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omments3.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0.xml" ContentType="application/vnd.openxmlformats-officedocument.drawingml.chartshapes+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omments4.xml" ContentType="application/vnd.openxmlformats-officedocument.spreadsheetml.comments+xml"/>
  <Override PartName="/xl/drawings/drawing13.xml" ContentType="application/vnd.openxmlformats-officedocument.drawing+xml"/>
  <Override PartName="/xl/comments5.xml" ContentType="application/vnd.openxmlformats-officedocument.spreadsheetml.comments+xml"/>
  <Override PartName="/xl/drawings/drawing14.xml" ContentType="application/vnd.openxmlformats-officedocument.drawing+xml"/>
  <Override PartName="/xl/comments6.xml" ContentType="application/vnd.openxmlformats-officedocument.spreadsheetml.comments+xml"/>
  <Override PartName="/xl/drawings/drawing15.xml" ContentType="application/vnd.openxmlformats-officedocument.drawing+xml"/>
  <Override PartName="/xl/comments7.xml" ContentType="application/vnd.openxmlformats-officedocument.spreadsheetml.comments+xml"/>
  <Override PartName="/xl/drawings/drawing16.xml" ContentType="application/vnd.openxmlformats-officedocument.drawing+xml"/>
  <Override PartName="/xl/comments8.xml" ContentType="application/vnd.openxmlformats-officedocument.spreadsheetml.comments+xml"/>
  <Override PartName="/xl/drawings/drawing17.xml" ContentType="application/vnd.openxmlformats-officedocument.drawing+xml"/>
  <Override PartName="/xl/comments9.xml" ContentType="application/vnd.openxmlformats-officedocument.spreadsheetml.comments+xml"/>
  <Override PartName="/xl/drawings/drawing18.xml" ContentType="application/vnd.openxmlformats-officedocument.drawing+xml"/>
  <Override PartName="/xl/comments10.xml" ContentType="application/vnd.openxmlformats-officedocument.spreadsheetml.comments+xml"/>
  <Override PartName="/xl/drawings/drawing19.xml" ContentType="application/vnd.openxmlformats-officedocument.drawing+xml"/>
  <Override PartName="/xl/drawings/drawing20.xml" ContentType="application/vnd.openxmlformats-officedocument.drawing+xml"/>
  <Override PartName="/xl/comments11.xml" ContentType="application/vnd.openxmlformats-officedocument.spreadsheetml.comments+xml"/>
  <Override PartName="/xl/drawings/drawing21.xml" ContentType="application/vnd.openxmlformats-officedocument.drawing+xml"/>
  <Override PartName="/xl/drawings/drawing22.xml" ContentType="application/vnd.openxmlformats-officedocument.drawing+xml"/>
  <Override PartName="/xl/comments12.xml" ContentType="application/vnd.openxmlformats-officedocument.spreadsheetml.comments+xml"/>
  <Override PartName="/xl/drawings/drawing23.xml" ContentType="application/vnd.openxmlformats-officedocument.drawing+xml"/>
  <Override PartName="/xl/comments13.xml" ContentType="application/vnd.openxmlformats-officedocument.spreadsheetml.comments+xml"/>
  <Override PartName="/xl/drawings/drawing24.xml" ContentType="application/vnd.openxmlformats-officedocument.drawing+xml"/>
  <Override PartName="/xl/drawings/drawing25.xml" ContentType="application/vnd.openxmlformats-officedocument.drawing+xml"/>
  <Override PartName="/xl/comments14.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D:\AGUS IRAWAN\1. MGP_MTD_TCM 2026\"/>
    </mc:Choice>
  </mc:AlternateContent>
  <bookViews>
    <workbookView xWindow="-108" yWindow="-108" windowWidth="23256" windowHeight="13896" firstSheet="6" activeTab="6"/>
  </bookViews>
  <sheets>
    <sheet name="Sheet1" sheetId="24" state="hidden" r:id="rId1"/>
    <sheet name="Sheet2" sheetId="87" state="hidden" r:id="rId2"/>
    <sheet name="Dashboard TCM" sheetId="19" state="hidden" r:id="rId3"/>
    <sheet name="YTD" sheetId="17" state="hidden" r:id="rId4"/>
    <sheet name="June TCM" sheetId="120" state="hidden" r:id="rId5"/>
    <sheet name="June TIS" sheetId="121" state="hidden" r:id="rId6"/>
    <sheet name="To Date Sumary TCM &amp; TIS" sheetId="88" r:id="rId7"/>
    <sheet name="TCM Dashboard" sheetId="106" r:id="rId8"/>
    <sheet name="TIS Dashboard" sheetId="107" r:id="rId9"/>
    <sheet name="Summary TCM" sheetId="2" r:id="rId10"/>
    <sheet name="Summary TIS" sheetId="95" r:id="rId11"/>
    <sheet name="January TCM" sheetId="94" state="hidden" r:id="rId12"/>
    <sheet name="February TCM" sheetId="99" state="hidden" r:id="rId13"/>
    <sheet name="Sheet3" sheetId="101" state="hidden" r:id="rId14"/>
    <sheet name="January TIS" sheetId="93" state="hidden" r:id="rId15"/>
    <sheet name="March TCM" sheetId="102" state="hidden" r:id="rId16"/>
    <sheet name="Sheet4" sheetId="104" state="hidden" r:id="rId17"/>
    <sheet name="February TIS" sheetId="100" state="hidden" r:id="rId18"/>
    <sheet name="March TIS" sheetId="103" state="hidden" r:id="rId19"/>
    <sheet name="April TCM" sheetId="111" state="hidden" r:id="rId20"/>
    <sheet name="April TIS" sheetId="112" state="hidden" r:id="rId21"/>
    <sheet name="May TCM" sheetId="116" state="hidden" r:id="rId22"/>
    <sheet name="May TIS" sheetId="117" state="hidden" r:id="rId23"/>
    <sheet name="July TCM" sheetId="122" state="hidden" r:id="rId24"/>
    <sheet name="August TCM" sheetId="124" state="hidden" r:id="rId25"/>
    <sheet name="July TIS" sheetId="123" state="hidden" r:id="rId26"/>
    <sheet name="September TCM" sheetId="126" r:id="rId27"/>
    <sheet name="August TIS" sheetId="125" state="hidden" r:id="rId28"/>
    <sheet name="September TIS" sheetId="127" r:id="rId29"/>
    <sheet name="TCM.HCV.LS" sheetId="114" r:id="rId30"/>
    <sheet name="TCM.HCV.HS" sheetId="115" r:id="rId31"/>
    <sheet name="TIS.HCV.MS" sheetId="119" r:id="rId32"/>
    <sheet name="Simulation Daily" sheetId="118" r:id="rId33"/>
    <sheet name="Data Base Coal Wining" sheetId="109" r:id="rId34"/>
    <sheet name="Data Base hauling" sheetId="108" r:id="rId35"/>
    <sheet name="Data Base CW TIS" sheetId="113" r:id="rId36"/>
    <sheet name="DB Hauling TIS" sheetId="110" r:id="rId37"/>
    <sheet name="TIS." sheetId="96" r:id="rId38"/>
    <sheet name="TCM." sheetId="98" r:id="rId39"/>
    <sheet name="Claude Log" sheetId="105" state="hidden" r:id="rId40"/>
  </sheets>
  <externalReferences>
    <externalReference r:id="rId41"/>
    <externalReference r:id="rId42"/>
    <externalReference r:id="rId43"/>
  </externalReferences>
  <definedNames>
    <definedName name="_xlnm._FilterDatabase" localSheetId="33" hidden="1">'Data Base Coal Wining'!$A$1:$O$1097</definedName>
    <definedName name="_xlnm._FilterDatabase" localSheetId="35" hidden="1">'Data Base CW TIS'!$A$1:$R$165</definedName>
    <definedName name="_xlnm._FilterDatabase" localSheetId="34" hidden="1">'Data Base hauling'!$A$1:$R$1077</definedName>
    <definedName name="_xlnm._FilterDatabase" localSheetId="36" hidden="1">'DB Hauling TIS'!$A$1:$R$114</definedName>
    <definedName name="Calendar">#N/A</definedName>
    <definedName name="DayWeek" localSheetId="19">{1,2,3,4,5,6,7}</definedName>
    <definedName name="DayWeek" localSheetId="20">{1,2,3,4,5,6,7}</definedName>
    <definedName name="DayWeek" localSheetId="24">{1,2,3,4,5,6,7}</definedName>
    <definedName name="DayWeek" localSheetId="27">{1,2,3,4,5,6,7}</definedName>
    <definedName name="DayWeek" localSheetId="12">{1,2,3,4,5,6,7}</definedName>
    <definedName name="DayWeek" localSheetId="17">{1,2,3,4,5,6,7}</definedName>
    <definedName name="DayWeek" localSheetId="11">{1,2,3,4,5,6,7}</definedName>
    <definedName name="DayWeek" localSheetId="14">{1,2,3,4,5,6,7}</definedName>
    <definedName name="DayWeek" localSheetId="23">{1,2,3,4,5,6,7}</definedName>
    <definedName name="DayWeek" localSheetId="25">{1,2,3,4,5,6,7}</definedName>
    <definedName name="DayWeek" localSheetId="4">{1,2,3,4,5,6,7}</definedName>
    <definedName name="DayWeek" localSheetId="5">{1,2,3,4,5,6,7}</definedName>
    <definedName name="DayWeek" localSheetId="15">{1,2,3,4,5,6,7}</definedName>
    <definedName name="DayWeek" localSheetId="18">{1,2,3,4,5,6,7}</definedName>
    <definedName name="DayWeek" localSheetId="21">{1,2,3,4,5,6,7}</definedName>
    <definedName name="DayWeek" localSheetId="22">{1,2,3,4,5,6,7}</definedName>
    <definedName name="DayWeek" localSheetId="26">{1,2,3,4,5,6,7}</definedName>
    <definedName name="DayWeek" localSheetId="28">{1,2,3,4,5,6,7}</definedName>
    <definedName name="DayWeek" localSheetId="10">{1,2,3,4,5,6,7}</definedName>
    <definedName name="DayWeek">{1,2,3,4,5,6,7}</definedName>
    <definedName name="NumWeek" localSheetId="19">{0;1;2;3;4;5}</definedName>
    <definedName name="NumWeek" localSheetId="20">{0;1;2;3;4;5}</definedName>
    <definedName name="NumWeek" localSheetId="24">{0;1;2;3;4;5}</definedName>
    <definedName name="NumWeek" localSheetId="27">{0;1;2;3;4;5}</definedName>
    <definedName name="NumWeek" localSheetId="12">{0;1;2;3;4;5}</definedName>
    <definedName name="NumWeek" localSheetId="17">{0;1;2;3;4;5}</definedName>
    <definedName name="NumWeek" localSheetId="11">{0;1;2;3;4;5}</definedName>
    <definedName name="NumWeek" localSheetId="14">{0;1;2;3;4;5}</definedName>
    <definedName name="NumWeek" localSheetId="23">{0;1;2;3;4;5}</definedName>
    <definedName name="NumWeek" localSheetId="25">{0;1;2;3;4;5}</definedName>
    <definedName name="NumWeek" localSheetId="4">{0;1;2;3;4;5}</definedName>
    <definedName name="NumWeek" localSheetId="5">{0;1;2;3;4;5}</definedName>
    <definedName name="NumWeek" localSheetId="15">{0;1;2;3;4;5}</definedName>
    <definedName name="NumWeek" localSheetId="18">{0;1;2;3;4;5}</definedName>
    <definedName name="NumWeek" localSheetId="21">{0;1;2;3;4;5}</definedName>
    <definedName name="NumWeek" localSheetId="22">{0;1;2;3;4;5}</definedName>
    <definedName name="NumWeek" localSheetId="26">{0;1;2;3;4;5}</definedName>
    <definedName name="NumWeek" localSheetId="28">{0;1;2;3;4;5}</definedName>
    <definedName name="NumWeek" localSheetId="10">{0;1;2;3;4;5}</definedName>
    <definedName name="NumWeek">{0;1;2;3;4;5}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D16" i="126" l="1"/>
  <c r="U14" i="119" l="1"/>
  <c r="T14" i="119"/>
  <c r="S14" i="119"/>
  <c r="R14" i="119"/>
  <c r="Q14" i="119"/>
  <c r="P14" i="119"/>
  <c r="N14" i="119"/>
  <c r="K14" i="119"/>
  <c r="L14" i="119" s="1"/>
  <c r="J14" i="119"/>
  <c r="H14" i="119"/>
  <c r="U13" i="119"/>
  <c r="T13" i="119"/>
  <c r="S13" i="119"/>
  <c r="R13" i="119"/>
  <c r="Q13" i="119"/>
  <c r="P13" i="119"/>
  <c r="N13" i="119"/>
  <c r="K13" i="119"/>
  <c r="L13" i="119" s="1"/>
  <c r="J13" i="119"/>
  <c r="H13" i="119"/>
  <c r="U12" i="119"/>
  <c r="T12" i="119"/>
  <c r="S12" i="119"/>
  <c r="R12" i="119"/>
  <c r="Q12" i="119"/>
  <c r="P12" i="119"/>
  <c r="N12" i="119"/>
  <c r="K12" i="119"/>
  <c r="L12" i="119" s="1"/>
  <c r="J12" i="119"/>
  <c r="H12" i="119"/>
  <c r="U11" i="119"/>
  <c r="T11" i="119"/>
  <c r="S11" i="119"/>
  <c r="R11" i="119"/>
  <c r="Q11" i="119"/>
  <c r="P11" i="119"/>
  <c r="N11" i="119"/>
  <c r="K11" i="119"/>
  <c r="L11" i="119" s="1"/>
  <c r="J11" i="119"/>
  <c r="H11" i="119"/>
  <c r="U10" i="119"/>
  <c r="T10" i="119"/>
  <c r="S10" i="119"/>
  <c r="R10" i="119"/>
  <c r="Q10" i="119"/>
  <c r="P10" i="119"/>
  <c r="N10" i="119"/>
  <c r="K10" i="119"/>
  <c r="L10" i="119" s="1"/>
  <c r="J10" i="119"/>
  <c r="H10" i="119"/>
  <c r="U9" i="119"/>
  <c r="T9" i="119"/>
  <c r="S9" i="119"/>
  <c r="R9" i="119"/>
  <c r="Q9" i="119"/>
  <c r="P9" i="119"/>
  <c r="N9" i="119"/>
  <c r="K9" i="119"/>
  <c r="L9" i="119" s="1"/>
  <c r="J9" i="119"/>
  <c r="H9" i="119"/>
  <c r="U8" i="119"/>
  <c r="T8" i="119"/>
  <c r="S8" i="119"/>
  <c r="R8" i="119"/>
  <c r="Q8" i="119"/>
  <c r="P8" i="119"/>
  <c r="N8" i="119"/>
  <c r="K8" i="119"/>
  <c r="L8" i="119" s="1"/>
  <c r="J8" i="119"/>
  <c r="H8" i="119"/>
  <c r="U7" i="119"/>
  <c r="T7" i="119"/>
  <c r="S7" i="119"/>
  <c r="R7" i="119"/>
  <c r="Q7" i="119"/>
  <c r="P7" i="119"/>
  <c r="N7" i="119"/>
  <c r="K7" i="119"/>
  <c r="L7" i="119" s="1"/>
  <c r="J7" i="119"/>
  <c r="H7" i="119"/>
  <c r="U6" i="119"/>
  <c r="T6" i="119"/>
  <c r="S6" i="119"/>
  <c r="R6" i="119"/>
  <c r="Q6" i="119"/>
  <c r="P6" i="119"/>
  <c r="N6" i="119"/>
  <c r="L6" i="119"/>
  <c r="K6" i="119"/>
  <c r="J6" i="119"/>
  <c r="H6" i="119"/>
  <c r="U5" i="119"/>
  <c r="T5" i="119"/>
  <c r="S5" i="119"/>
  <c r="R5" i="119"/>
  <c r="Q5" i="119"/>
  <c r="P5" i="119"/>
  <c r="N5" i="119"/>
  <c r="K5" i="119"/>
  <c r="L5" i="119" s="1"/>
  <c r="J5" i="119"/>
  <c r="H5" i="119"/>
  <c r="U4" i="119"/>
  <c r="T4" i="119"/>
  <c r="S4" i="119"/>
  <c r="R4" i="119"/>
  <c r="Q4" i="119"/>
  <c r="P4" i="119"/>
  <c r="N4" i="119"/>
  <c r="K4" i="119"/>
  <c r="L4" i="119" s="1"/>
  <c r="J4" i="119"/>
  <c r="H4" i="119"/>
  <c r="U3" i="119"/>
  <c r="T3" i="119"/>
  <c r="S3" i="119"/>
  <c r="R3" i="119"/>
  <c r="Q3" i="119"/>
  <c r="P3" i="119"/>
  <c r="N3" i="119"/>
  <c r="K3" i="119"/>
  <c r="L3" i="119" s="1"/>
  <c r="J3" i="119"/>
  <c r="H3" i="119"/>
  <c r="U8" i="115" l="1"/>
  <c r="T8" i="115"/>
  <c r="S8" i="115"/>
  <c r="R8" i="115"/>
  <c r="Q8" i="115"/>
  <c r="P8" i="115"/>
  <c r="N8" i="115"/>
  <c r="K8" i="115"/>
  <c r="L8" i="115" s="1"/>
  <c r="J8" i="115"/>
  <c r="H8" i="115"/>
  <c r="U7" i="115"/>
  <c r="T7" i="115"/>
  <c r="S7" i="115"/>
  <c r="R7" i="115"/>
  <c r="Q7" i="115"/>
  <c r="P7" i="115"/>
  <c r="N7" i="115"/>
  <c r="K7" i="115"/>
  <c r="L7" i="115" s="1"/>
  <c r="J7" i="115"/>
  <c r="H7" i="115"/>
  <c r="U6" i="115"/>
  <c r="T6" i="115"/>
  <c r="S6" i="115"/>
  <c r="R6" i="115"/>
  <c r="Q6" i="115"/>
  <c r="P6" i="115"/>
  <c r="N6" i="115"/>
  <c r="K6" i="115"/>
  <c r="L6" i="115" s="1"/>
  <c r="J6" i="115"/>
  <c r="H6" i="115"/>
  <c r="U5" i="115"/>
  <c r="T5" i="115"/>
  <c r="S5" i="115"/>
  <c r="R5" i="115"/>
  <c r="Q5" i="115"/>
  <c r="P5" i="115"/>
  <c r="N5" i="115"/>
  <c r="K5" i="115"/>
  <c r="L5" i="115" s="1"/>
  <c r="J5" i="115"/>
  <c r="H5" i="115"/>
  <c r="U4" i="115"/>
  <c r="T4" i="115"/>
  <c r="S4" i="115"/>
  <c r="R4" i="115"/>
  <c r="Q4" i="115"/>
  <c r="P4" i="115"/>
  <c r="N4" i="115"/>
  <c r="K4" i="115"/>
  <c r="L4" i="115" s="1"/>
  <c r="J4" i="115"/>
  <c r="H4" i="115"/>
  <c r="U3" i="115"/>
  <c r="T3" i="115"/>
  <c r="S3" i="115"/>
  <c r="R3" i="115"/>
  <c r="Q3" i="115"/>
  <c r="P3" i="115"/>
  <c r="N3" i="115"/>
  <c r="K3" i="115"/>
  <c r="L3" i="115" s="1"/>
  <c r="J3" i="115"/>
  <c r="H3" i="115"/>
  <c r="AL44" i="125" l="1"/>
  <c r="KP11" i="126" l="1"/>
  <c r="KQ11" i="126"/>
  <c r="KR11" i="126"/>
  <c r="KS11" i="126"/>
  <c r="KT11" i="126"/>
  <c r="KU11" i="126"/>
  <c r="KV11" i="126"/>
  <c r="KW11" i="126"/>
  <c r="KX11" i="126"/>
  <c r="KY11" i="126"/>
  <c r="KP12" i="126"/>
  <c r="KQ12" i="126"/>
  <c r="KR12" i="126"/>
  <c r="KS12" i="126"/>
  <c r="KT12" i="126"/>
  <c r="KU12" i="126"/>
  <c r="KV12" i="126"/>
  <c r="KW12" i="126"/>
  <c r="KX12" i="126"/>
  <c r="KY12" i="126"/>
  <c r="KP13" i="126"/>
  <c r="KQ13" i="126"/>
  <c r="KR13" i="126"/>
  <c r="KS13" i="126"/>
  <c r="KT13" i="126"/>
  <c r="KU13" i="126"/>
  <c r="KV13" i="126"/>
  <c r="KW13" i="126"/>
  <c r="KX13" i="126"/>
  <c r="KY13" i="126"/>
  <c r="KP14" i="126"/>
  <c r="KQ14" i="126"/>
  <c r="KR14" i="126"/>
  <c r="KS14" i="126"/>
  <c r="KT14" i="126"/>
  <c r="KU14" i="126"/>
  <c r="KV14" i="126"/>
  <c r="KW14" i="126"/>
  <c r="KX14" i="126"/>
  <c r="KY14" i="126"/>
  <c r="KP15" i="126"/>
  <c r="KQ15" i="126"/>
  <c r="KR15" i="126"/>
  <c r="KS15" i="126"/>
  <c r="KT15" i="126"/>
  <c r="KU15" i="126"/>
  <c r="KV15" i="126"/>
  <c r="KW15" i="126"/>
  <c r="KX15" i="126"/>
  <c r="KY15" i="126"/>
  <c r="KP16" i="126"/>
  <c r="KQ16" i="126"/>
  <c r="KR16" i="126"/>
  <c r="KS16" i="126"/>
  <c r="KT16" i="126"/>
  <c r="KU16" i="126"/>
  <c r="KV16" i="126"/>
  <c r="KW16" i="126"/>
  <c r="KX16" i="126"/>
  <c r="KY16" i="126"/>
  <c r="KP17" i="126"/>
  <c r="KQ17" i="126"/>
  <c r="KR17" i="126"/>
  <c r="KS17" i="126"/>
  <c r="KT17" i="126"/>
  <c r="KU17" i="126"/>
  <c r="KV17" i="126"/>
  <c r="KW17" i="126"/>
  <c r="KX17" i="126"/>
  <c r="KY17" i="126"/>
  <c r="KP18" i="126"/>
  <c r="KQ18" i="126"/>
  <c r="KR18" i="126"/>
  <c r="KS18" i="126"/>
  <c r="KT18" i="126"/>
  <c r="KU18" i="126"/>
  <c r="KV18" i="126"/>
  <c r="KW18" i="126"/>
  <c r="KX18" i="126"/>
  <c r="KY18" i="126"/>
  <c r="KP19" i="126"/>
  <c r="KQ19" i="126"/>
  <c r="KR19" i="126"/>
  <c r="KS19" i="126"/>
  <c r="KT19" i="126"/>
  <c r="KU19" i="126"/>
  <c r="KV19" i="126"/>
  <c r="KW19" i="126"/>
  <c r="KX19" i="126"/>
  <c r="KY19" i="126"/>
  <c r="KP20" i="126"/>
  <c r="KQ20" i="126"/>
  <c r="KR20" i="126"/>
  <c r="KS20" i="126"/>
  <c r="KT20" i="126"/>
  <c r="KU20" i="126"/>
  <c r="KV20" i="126"/>
  <c r="KW20" i="126"/>
  <c r="KX20" i="126"/>
  <c r="KY20" i="126"/>
  <c r="KP21" i="126"/>
  <c r="KQ21" i="126"/>
  <c r="KR21" i="126"/>
  <c r="KS21" i="126"/>
  <c r="KT21" i="126"/>
  <c r="KU21" i="126"/>
  <c r="KV21" i="126"/>
  <c r="KW21" i="126"/>
  <c r="KX21" i="126"/>
  <c r="KY21" i="126"/>
  <c r="KP22" i="126"/>
  <c r="KQ22" i="126"/>
  <c r="KR22" i="126"/>
  <c r="KS22" i="126"/>
  <c r="KT22" i="126"/>
  <c r="KU22" i="126"/>
  <c r="KV22" i="126"/>
  <c r="KW22" i="126"/>
  <c r="KX22" i="126"/>
  <c r="KY22" i="126"/>
  <c r="KP23" i="126"/>
  <c r="KQ23" i="126"/>
  <c r="KR23" i="126"/>
  <c r="KS23" i="126"/>
  <c r="KT23" i="126"/>
  <c r="KU23" i="126"/>
  <c r="KV23" i="126"/>
  <c r="KW23" i="126"/>
  <c r="KX23" i="126"/>
  <c r="KY23" i="126"/>
  <c r="KP24" i="126"/>
  <c r="KQ24" i="126"/>
  <c r="KR24" i="126"/>
  <c r="KS24" i="126"/>
  <c r="KT24" i="126"/>
  <c r="KU24" i="126"/>
  <c r="KV24" i="126"/>
  <c r="KW24" i="126"/>
  <c r="KX24" i="126"/>
  <c r="KY24" i="126"/>
  <c r="KP25" i="126"/>
  <c r="KQ25" i="126"/>
  <c r="KR25" i="126"/>
  <c r="KS25" i="126"/>
  <c r="KT25" i="126"/>
  <c r="KU25" i="126"/>
  <c r="KV25" i="126"/>
  <c r="KW25" i="126"/>
  <c r="KX25" i="126"/>
  <c r="KY25" i="126"/>
  <c r="KP26" i="126"/>
  <c r="KQ26" i="126"/>
  <c r="KR26" i="126"/>
  <c r="KS26" i="126"/>
  <c r="KT26" i="126"/>
  <c r="KU26" i="126"/>
  <c r="KV26" i="126"/>
  <c r="KW26" i="126"/>
  <c r="KX26" i="126"/>
  <c r="KY26" i="126"/>
  <c r="KP27" i="126"/>
  <c r="KQ27" i="126"/>
  <c r="KR27" i="126"/>
  <c r="KS27" i="126"/>
  <c r="KT27" i="126"/>
  <c r="KU27" i="126"/>
  <c r="KV27" i="126"/>
  <c r="KW27" i="126"/>
  <c r="KX27" i="126"/>
  <c r="KY27" i="126"/>
  <c r="KP28" i="126"/>
  <c r="KQ28" i="126"/>
  <c r="KR28" i="126"/>
  <c r="KS28" i="126"/>
  <c r="KT28" i="126"/>
  <c r="KU28" i="126"/>
  <c r="KV28" i="126"/>
  <c r="KW28" i="126"/>
  <c r="KX28" i="126"/>
  <c r="KY28" i="126"/>
  <c r="KP29" i="126"/>
  <c r="KQ29" i="126"/>
  <c r="KR29" i="126"/>
  <c r="KS29" i="126"/>
  <c r="KT29" i="126"/>
  <c r="KU29" i="126"/>
  <c r="KV29" i="126"/>
  <c r="KW29" i="126"/>
  <c r="KX29" i="126"/>
  <c r="KY29" i="126"/>
  <c r="KP30" i="126"/>
  <c r="KQ30" i="126"/>
  <c r="KR30" i="126"/>
  <c r="KS30" i="126"/>
  <c r="KT30" i="126"/>
  <c r="KU30" i="126"/>
  <c r="KV30" i="126"/>
  <c r="KW30" i="126"/>
  <c r="KX30" i="126"/>
  <c r="KY30" i="126"/>
  <c r="KP31" i="126"/>
  <c r="KQ31" i="126"/>
  <c r="KR31" i="126"/>
  <c r="KS31" i="126"/>
  <c r="KT31" i="126"/>
  <c r="KU31" i="126"/>
  <c r="KV31" i="126"/>
  <c r="KW31" i="126"/>
  <c r="KX31" i="126"/>
  <c r="KY31" i="126"/>
  <c r="KP32" i="126"/>
  <c r="KQ32" i="126"/>
  <c r="KR32" i="126"/>
  <c r="KS32" i="126"/>
  <c r="KT32" i="126"/>
  <c r="KU32" i="126"/>
  <c r="KV32" i="126"/>
  <c r="KW32" i="126"/>
  <c r="KX32" i="126"/>
  <c r="KY32" i="126"/>
  <c r="KP33" i="126"/>
  <c r="KQ33" i="126"/>
  <c r="KR33" i="126"/>
  <c r="KS33" i="126"/>
  <c r="KT33" i="126"/>
  <c r="KU33" i="126"/>
  <c r="KV33" i="126"/>
  <c r="KW33" i="126"/>
  <c r="KX33" i="126"/>
  <c r="KY33" i="126"/>
  <c r="KP34" i="126"/>
  <c r="KQ34" i="126"/>
  <c r="KR34" i="126"/>
  <c r="KS34" i="126"/>
  <c r="KT34" i="126"/>
  <c r="KU34" i="126"/>
  <c r="KV34" i="126"/>
  <c r="KW34" i="126"/>
  <c r="KX34" i="126"/>
  <c r="KY34" i="126"/>
  <c r="KP35" i="126"/>
  <c r="KQ35" i="126"/>
  <c r="KR35" i="126"/>
  <c r="KS35" i="126"/>
  <c r="KT35" i="126"/>
  <c r="KU35" i="126"/>
  <c r="KV35" i="126"/>
  <c r="KW35" i="126"/>
  <c r="KX35" i="126"/>
  <c r="KY35" i="126"/>
  <c r="KP36" i="126"/>
  <c r="KQ36" i="126"/>
  <c r="KR36" i="126"/>
  <c r="KS36" i="126"/>
  <c r="KT36" i="126"/>
  <c r="KU36" i="126"/>
  <c r="KV36" i="126"/>
  <c r="KW36" i="126"/>
  <c r="KX36" i="126"/>
  <c r="KY36" i="126"/>
  <c r="KP37" i="126"/>
  <c r="KQ37" i="126"/>
  <c r="KR37" i="126"/>
  <c r="KS37" i="126"/>
  <c r="KT37" i="126"/>
  <c r="KU37" i="126"/>
  <c r="KV37" i="126"/>
  <c r="KW37" i="126"/>
  <c r="KX37" i="126"/>
  <c r="KY37" i="126"/>
  <c r="KP38" i="126"/>
  <c r="KQ38" i="126"/>
  <c r="KR38" i="126"/>
  <c r="KS38" i="126"/>
  <c r="KT38" i="126"/>
  <c r="KU38" i="126"/>
  <c r="KV38" i="126"/>
  <c r="KW38" i="126"/>
  <c r="KX38" i="126"/>
  <c r="KY38" i="126"/>
  <c r="KP39" i="126"/>
  <c r="KQ39" i="126"/>
  <c r="KR39" i="126"/>
  <c r="KS39" i="126"/>
  <c r="KT39" i="126"/>
  <c r="KU39" i="126"/>
  <c r="KV39" i="126"/>
  <c r="KW39" i="126"/>
  <c r="KX39" i="126"/>
  <c r="KY39" i="126"/>
  <c r="KP40" i="126"/>
  <c r="KQ40" i="126"/>
  <c r="KR40" i="126"/>
  <c r="KS40" i="126"/>
  <c r="KT40" i="126"/>
  <c r="KU40" i="126"/>
  <c r="KV40" i="126"/>
  <c r="KW40" i="126"/>
  <c r="KX40" i="126"/>
  <c r="KY40" i="126"/>
  <c r="KY10" i="126"/>
  <c r="KX10" i="126"/>
  <c r="KW10" i="126"/>
  <c r="KV10" i="126"/>
  <c r="KU10" i="126"/>
  <c r="KT10" i="126"/>
  <c r="KS10" i="126"/>
  <c r="KR10" i="126"/>
  <c r="KQ10" i="126"/>
  <c r="KP10" i="126"/>
  <c r="GT11" i="126" l="1"/>
  <c r="GT12" i="126"/>
  <c r="GT13" i="126"/>
  <c r="GT14" i="126"/>
  <c r="GT15" i="126"/>
  <c r="GT16" i="126"/>
  <c r="GT17" i="126"/>
  <c r="GT18" i="126"/>
  <c r="GT19" i="126"/>
  <c r="GT20" i="126"/>
  <c r="GT21" i="126"/>
  <c r="GT22" i="126"/>
  <c r="GT23" i="126"/>
  <c r="GT24" i="126"/>
  <c r="GT25" i="126"/>
  <c r="GT26" i="126"/>
  <c r="GT27" i="126"/>
  <c r="GT28" i="126"/>
  <c r="GT29" i="126"/>
  <c r="GT30" i="126"/>
  <c r="GT31" i="126"/>
  <c r="GT32" i="126"/>
  <c r="GT33" i="126"/>
  <c r="GT34" i="126"/>
  <c r="GT35" i="126"/>
  <c r="GT36" i="126"/>
  <c r="GT37" i="126"/>
  <c r="GT38" i="126"/>
  <c r="GT39" i="126"/>
  <c r="GT40" i="126"/>
  <c r="GT10" i="126"/>
  <c r="GU15" i="126"/>
  <c r="GU16" i="126"/>
  <c r="GU17" i="126"/>
  <c r="GU18" i="126"/>
  <c r="GU19" i="126"/>
  <c r="GU20" i="126"/>
  <c r="GU21" i="126"/>
  <c r="GU22" i="126"/>
  <c r="GU23" i="126"/>
  <c r="GU24" i="126"/>
  <c r="GU25" i="126"/>
  <c r="GU26" i="126"/>
  <c r="GU27" i="126"/>
  <c r="GU28" i="126"/>
  <c r="GU29" i="126"/>
  <c r="GU30" i="126"/>
  <c r="GU31" i="126"/>
  <c r="GU32" i="126"/>
  <c r="GU33" i="126"/>
  <c r="GU34" i="126"/>
  <c r="GU35" i="126"/>
  <c r="GU36" i="126"/>
  <c r="GU37" i="126"/>
  <c r="GU38" i="126"/>
  <c r="GU39" i="126"/>
  <c r="GU40" i="126"/>
  <c r="O43" i="126" l="1"/>
  <c r="PK15" i="126" l="1"/>
  <c r="PK16" i="126"/>
  <c r="PK17" i="126"/>
  <c r="PK18" i="126"/>
  <c r="PK19" i="126"/>
  <c r="PK20" i="126"/>
  <c r="PK21" i="126"/>
  <c r="PK22" i="126"/>
  <c r="PK23" i="126"/>
  <c r="PK24" i="126"/>
  <c r="PK25" i="126"/>
  <c r="PK26" i="126"/>
  <c r="PK27" i="126"/>
  <c r="PK28" i="126"/>
  <c r="PK29" i="126"/>
  <c r="PK30" i="126"/>
  <c r="PK31" i="126"/>
  <c r="PK32" i="126"/>
  <c r="PK33" i="126"/>
  <c r="PK34" i="126"/>
  <c r="PK35" i="126"/>
  <c r="PK36" i="126"/>
  <c r="PK37" i="126"/>
  <c r="PK38" i="126"/>
  <c r="PK39" i="126"/>
  <c r="PK40" i="126"/>
  <c r="PK14" i="126"/>
  <c r="PK11" i="126"/>
  <c r="PK13" i="126"/>
  <c r="PK12" i="126"/>
  <c r="S36" i="108" l="1"/>
  <c r="S37" i="108"/>
  <c r="S38" i="108"/>
  <c r="S39" i="108"/>
  <c r="S40" i="108"/>
  <c r="S41" i="108"/>
  <c r="S42" i="108"/>
  <c r="S43" i="108"/>
  <c r="S44" i="108"/>
  <c r="S45" i="108"/>
  <c r="S46" i="108"/>
  <c r="S47" i="108"/>
  <c r="S48" i="108"/>
  <c r="S49" i="108"/>
  <c r="S50" i="108"/>
  <c r="S51" i="108"/>
  <c r="S52" i="108"/>
  <c r="S53" i="108"/>
  <c r="S54" i="108"/>
  <c r="S55" i="108"/>
  <c r="S56" i="108"/>
  <c r="S57" i="108"/>
  <c r="S58" i="108"/>
  <c r="S59" i="108"/>
  <c r="S60" i="108"/>
  <c r="GV14" i="126"/>
  <c r="GU14" i="126"/>
  <c r="AX14" i="126"/>
  <c r="S55" i="110" l="1"/>
  <c r="S56" i="110"/>
  <c r="S57" i="110"/>
  <c r="S58" i="110"/>
  <c r="S59" i="110"/>
  <c r="S60" i="110"/>
  <c r="S61" i="110"/>
  <c r="S62" i="110"/>
  <c r="S63" i="110"/>
  <c r="S64" i="110"/>
  <c r="S65" i="110"/>
  <c r="S66" i="110"/>
  <c r="S67" i="110"/>
  <c r="S68" i="110"/>
  <c r="S69" i="110"/>
  <c r="S70" i="110"/>
  <c r="S71" i="110"/>
  <c r="S54" i="110"/>
  <c r="ED14" i="126" l="1"/>
  <c r="ED15" i="126"/>
  <c r="ED16" i="126"/>
  <c r="ED17" i="126"/>
  <c r="ED18" i="126"/>
  <c r="ED19" i="126"/>
  <c r="ED20" i="126"/>
  <c r="ED21" i="126"/>
  <c r="ED22" i="126"/>
  <c r="ED23" i="126"/>
  <c r="ED24" i="126"/>
  <c r="ED25" i="126"/>
  <c r="ED26" i="126"/>
  <c r="ED27" i="126"/>
  <c r="ED28" i="126"/>
  <c r="ED29" i="126"/>
  <c r="ED30" i="126"/>
  <c r="ED31" i="126"/>
  <c r="ED32" i="126"/>
  <c r="ED33" i="126"/>
  <c r="ED34" i="126"/>
  <c r="ED35" i="126"/>
  <c r="ED36" i="126"/>
  <c r="ED37" i="126"/>
  <c r="ED38" i="126"/>
  <c r="ED39" i="126"/>
  <c r="ED40" i="126"/>
  <c r="ED13" i="126"/>
  <c r="ED12" i="126"/>
  <c r="ED11" i="126"/>
  <c r="ED10" i="126"/>
  <c r="KU41" i="124" l="1"/>
  <c r="CN11" i="124" l="1"/>
  <c r="CN12" i="124"/>
  <c r="CN13" i="124"/>
  <c r="CN14" i="124"/>
  <c r="CN15" i="124"/>
  <c r="CN16" i="124"/>
  <c r="CN17" i="124"/>
  <c r="CN18" i="124"/>
  <c r="CN19" i="124"/>
  <c r="CN20" i="124"/>
  <c r="CN21" i="124"/>
  <c r="CN22" i="124"/>
  <c r="CN23" i="124"/>
  <c r="CN24" i="124"/>
  <c r="CN25" i="124"/>
  <c r="CN26" i="124"/>
  <c r="CN27" i="124"/>
  <c r="CN28" i="124"/>
  <c r="CN29" i="124"/>
  <c r="CN30" i="124"/>
  <c r="CN31" i="124"/>
  <c r="CN32" i="124"/>
  <c r="CN33" i="124"/>
  <c r="CN34" i="124"/>
  <c r="CN35" i="124"/>
  <c r="CN36" i="124"/>
  <c r="CN37" i="124"/>
  <c r="CN38" i="124"/>
  <c r="CN39" i="124"/>
  <c r="CN40" i="124"/>
  <c r="CN10" i="124"/>
  <c r="AZ13" i="127" l="1"/>
  <c r="BA13" i="127"/>
  <c r="BB13" i="127"/>
  <c r="BC13" i="127"/>
  <c r="BD13" i="127"/>
  <c r="AZ14" i="127"/>
  <c r="BA14" i="127"/>
  <c r="BB14" i="127"/>
  <c r="BC14" i="127"/>
  <c r="BD14" i="127"/>
  <c r="AZ15" i="127"/>
  <c r="BA15" i="127"/>
  <c r="BB15" i="127"/>
  <c r="BC15" i="127"/>
  <c r="BD15" i="127"/>
  <c r="AZ16" i="127"/>
  <c r="BA16" i="127"/>
  <c r="BB16" i="127"/>
  <c r="BC16" i="127"/>
  <c r="BD16" i="127"/>
  <c r="AZ17" i="127"/>
  <c r="BA17" i="127"/>
  <c r="BB17" i="127"/>
  <c r="BC17" i="127"/>
  <c r="BD17" i="127"/>
  <c r="AZ18" i="127"/>
  <c r="BA18" i="127"/>
  <c r="BB18" i="127"/>
  <c r="BC18" i="127"/>
  <c r="BD18" i="127"/>
  <c r="AZ19" i="127"/>
  <c r="BA19" i="127"/>
  <c r="BB19" i="127"/>
  <c r="BC19" i="127"/>
  <c r="BD19" i="127"/>
  <c r="AZ20" i="127"/>
  <c r="BA20" i="127"/>
  <c r="BB20" i="127"/>
  <c r="BC20" i="127"/>
  <c r="BD20" i="127"/>
  <c r="AZ21" i="127"/>
  <c r="BA21" i="127"/>
  <c r="BB21" i="127"/>
  <c r="BC21" i="127"/>
  <c r="BD21" i="127"/>
  <c r="AZ22" i="127"/>
  <c r="BA22" i="127"/>
  <c r="BB22" i="127"/>
  <c r="BC22" i="127"/>
  <c r="BD22" i="127"/>
  <c r="AZ23" i="127"/>
  <c r="BA23" i="127"/>
  <c r="BB23" i="127"/>
  <c r="BC23" i="127"/>
  <c r="BD23" i="127"/>
  <c r="AZ24" i="127"/>
  <c r="BA24" i="127"/>
  <c r="BB24" i="127"/>
  <c r="BC24" i="127"/>
  <c r="BD24" i="127"/>
  <c r="AZ25" i="127"/>
  <c r="BA25" i="127"/>
  <c r="BB25" i="127"/>
  <c r="BC25" i="127"/>
  <c r="BD25" i="127"/>
  <c r="AZ26" i="127"/>
  <c r="BA26" i="127"/>
  <c r="BB26" i="127"/>
  <c r="BC26" i="127"/>
  <c r="BD26" i="127"/>
  <c r="AZ27" i="127"/>
  <c r="BA27" i="127"/>
  <c r="BB27" i="127"/>
  <c r="BC27" i="127"/>
  <c r="BD27" i="127"/>
  <c r="AZ28" i="127"/>
  <c r="BA28" i="127"/>
  <c r="BB28" i="127"/>
  <c r="BC28" i="127"/>
  <c r="BD28" i="127"/>
  <c r="AZ29" i="127"/>
  <c r="BA29" i="127"/>
  <c r="BB29" i="127"/>
  <c r="BC29" i="127"/>
  <c r="BD29" i="127"/>
  <c r="AZ30" i="127"/>
  <c r="BA30" i="127"/>
  <c r="BB30" i="127"/>
  <c r="BC30" i="127"/>
  <c r="BD30" i="127"/>
  <c r="AZ31" i="127"/>
  <c r="BA31" i="127"/>
  <c r="BB31" i="127"/>
  <c r="BC31" i="127"/>
  <c r="BD31" i="127"/>
  <c r="AZ32" i="127"/>
  <c r="BA32" i="127"/>
  <c r="BB32" i="127"/>
  <c r="BC32" i="127"/>
  <c r="BD32" i="127"/>
  <c r="AZ33" i="127"/>
  <c r="BA33" i="127"/>
  <c r="BB33" i="127"/>
  <c r="BC33" i="127"/>
  <c r="BD33" i="127"/>
  <c r="AZ34" i="127"/>
  <c r="BA34" i="127"/>
  <c r="BB34" i="127"/>
  <c r="BC34" i="127"/>
  <c r="BD34" i="127"/>
  <c r="AZ35" i="127"/>
  <c r="BA35" i="127"/>
  <c r="BB35" i="127"/>
  <c r="BC35" i="127"/>
  <c r="BD35" i="127"/>
  <c r="AZ36" i="127"/>
  <c r="BA36" i="127"/>
  <c r="BB36" i="127"/>
  <c r="BC36" i="127"/>
  <c r="BD36" i="127"/>
  <c r="AZ37" i="127"/>
  <c r="BA37" i="127"/>
  <c r="BB37" i="127"/>
  <c r="BC37" i="127"/>
  <c r="BD37" i="127"/>
  <c r="AZ38" i="127"/>
  <c r="BA38" i="127"/>
  <c r="BB38" i="127"/>
  <c r="BC38" i="127"/>
  <c r="BD38" i="127"/>
  <c r="AZ39" i="127"/>
  <c r="BA39" i="127"/>
  <c r="BB39" i="127"/>
  <c r="BC39" i="127"/>
  <c r="BD39" i="127"/>
  <c r="AZ40" i="127"/>
  <c r="BA40" i="127"/>
  <c r="BB40" i="127"/>
  <c r="BC40" i="127"/>
  <c r="BD40" i="127"/>
  <c r="AZ41" i="127"/>
  <c r="BA41" i="127"/>
  <c r="BB41" i="127"/>
  <c r="BC41" i="127"/>
  <c r="BD41" i="127"/>
  <c r="AZ42" i="127"/>
  <c r="BA42" i="127"/>
  <c r="BB42" i="127"/>
  <c r="BC42" i="127"/>
  <c r="BD42" i="127"/>
  <c r="BD12" i="127"/>
  <c r="BC12" i="127"/>
  <c r="BB12" i="127"/>
  <c r="BA12" i="127"/>
  <c r="AZ12" i="127"/>
  <c r="G140" i="2" l="1"/>
  <c r="G139" i="2"/>
  <c r="G138" i="2"/>
  <c r="G137" i="2"/>
  <c r="DQ41" i="124" l="1"/>
  <c r="DQ42" i="124" s="1"/>
  <c r="AJ8" i="95"/>
  <c r="AJ3" i="95"/>
  <c r="BG46" i="2"/>
  <c r="BG42" i="2"/>
  <c r="BG38" i="2"/>
  <c r="BG21" i="2"/>
  <c r="BG25" i="2"/>
  <c r="BG29" i="2"/>
  <c r="AG16" i="95"/>
  <c r="AH16" i="95"/>
  <c r="AI16" i="95"/>
  <c r="AE13" i="127" l="1"/>
  <c r="AF13" i="127"/>
  <c r="AE14" i="127"/>
  <c r="AF14" i="127"/>
  <c r="AE15" i="127"/>
  <c r="AF15" i="127"/>
  <c r="AE16" i="127"/>
  <c r="AF16" i="127"/>
  <c r="AE17" i="127"/>
  <c r="AF17" i="127"/>
  <c r="AE18" i="127"/>
  <c r="AF18" i="127"/>
  <c r="AE19" i="127"/>
  <c r="AF19" i="127"/>
  <c r="AE20" i="127"/>
  <c r="AF20" i="127"/>
  <c r="AE21" i="127"/>
  <c r="AF21" i="127"/>
  <c r="AE22" i="127"/>
  <c r="AF22" i="127"/>
  <c r="AE23" i="127"/>
  <c r="AF23" i="127"/>
  <c r="AE24" i="127"/>
  <c r="AF24" i="127"/>
  <c r="AE25" i="127"/>
  <c r="AF25" i="127"/>
  <c r="AE26" i="127"/>
  <c r="AF26" i="127"/>
  <c r="AE27" i="127"/>
  <c r="AF27" i="127"/>
  <c r="AE28" i="127"/>
  <c r="AF28" i="127"/>
  <c r="AE29" i="127"/>
  <c r="AF29" i="127"/>
  <c r="AE30" i="127"/>
  <c r="AF30" i="127"/>
  <c r="AE31" i="127"/>
  <c r="AF31" i="127"/>
  <c r="AE32" i="127"/>
  <c r="AF32" i="127"/>
  <c r="AE33" i="127"/>
  <c r="AF33" i="127"/>
  <c r="AE34" i="127"/>
  <c r="AF34" i="127"/>
  <c r="AE35" i="127"/>
  <c r="AF35" i="127"/>
  <c r="AE36" i="127"/>
  <c r="AF36" i="127"/>
  <c r="AE37" i="127"/>
  <c r="AF37" i="127"/>
  <c r="AE38" i="127"/>
  <c r="AF38" i="127"/>
  <c r="AE39" i="127"/>
  <c r="AF39" i="127"/>
  <c r="AE40" i="127"/>
  <c r="AF40" i="127"/>
  <c r="AE41" i="127"/>
  <c r="AF41" i="127"/>
  <c r="AE42" i="127"/>
  <c r="AF42" i="127"/>
  <c r="AF12" i="127"/>
  <c r="AE12" i="127"/>
  <c r="Z13" i="127"/>
  <c r="Z14" i="127"/>
  <c r="Z15" i="127"/>
  <c r="Z16" i="127"/>
  <c r="Z17" i="127"/>
  <c r="Z18" i="127"/>
  <c r="Z19" i="127"/>
  <c r="Z20" i="127"/>
  <c r="Z21" i="127"/>
  <c r="Z22" i="127"/>
  <c r="Z23" i="127"/>
  <c r="Z24" i="127"/>
  <c r="Z25" i="127"/>
  <c r="Z26" i="127"/>
  <c r="Z27" i="127"/>
  <c r="Z28" i="127"/>
  <c r="Z29" i="127"/>
  <c r="Z30" i="127"/>
  <c r="Z31" i="127"/>
  <c r="Z32" i="127"/>
  <c r="Z33" i="127"/>
  <c r="Z34" i="127"/>
  <c r="Z35" i="127"/>
  <c r="Z36" i="127"/>
  <c r="Z37" i="127"/>
  <c r="Z38" i="127"/>
  <c r="Z39" i="127"/>
  <c r="Z40" i="127"/>
  <c r="Z41" i="127"/>
  <c r="Z42" i="127"/>
  <c r="Z12" i="127"/>
  <c r="AA13" i="127"/>
  <c r="AA14" i="127"/>
  <c r="AA15" i="127"/>
  <c r="AA16" i="127"/>
  <c r="AA17" i="127"/>
  <c r="AA18" i="127"/>
  <c r="AA19" i="127"/>
  <c r="AA20" i="127"/>
  <c r="AA21" i="127"/>
  <c r="AA22" i="127"/>
  <c r="AA23" i="127"/>
  <c r="AA24" i="127"/>
  <c r="AA25" i="127"/>
  <c r="AA26" i="127"/>
  <c r="AA27" i="127"/>
  <c r="AA28" i="127"/>
  <c r="AA29" i="127"/>
  <c r="AA30" i="127"/>
  <c r="AA31" i="127"/>
  <c r="AA32" i="127"/>
  <c r="AA33" i="127"/>
  <c r="AA34" i="127"/>
  <c r="AA35" i="127"/>
  <c r="AA36" i="127"/>
  <c r="AA37" i="127"/>
  <c r="AA38" i="127"/>
  <c r="AA39" i="127"/>
  <c r="AA40" i="127"/>
  <c r="AA41" i="127"/>
  <c r="AA42" i="127"/>
  <c r="AA12" i="127"/>
  <c r="BP13" i="127"/>
  <c r="BP14" i="127"/>
  <c r="BP15" i="127"/>
  <c r="BP16" i="127"/>
  <c r="BP17" i="127"/>
  <c r="BP18" i="127"/>
  <c r="BP19" i="127"/>
  <c r="BP20" i="127"/>
  <c r="BP21" i="127"/>
  <c r="BP22" i="127"/>
  <c r="BP23" i="127"/>
  <c r="BP24" i="127"/>
  <c r="BP25" i="127"/>
  <c r="BP26" i="127"/>
  <c r="BP27" i="127"/>
  <c r="BP28" i="127"/>
  <c r="BP29" i="127"/>
  <c r="BP30" i="127"/>
  <c r="BP31" i="127"/>
  <c r="BP32" i="127"/>
  <c r="BP33" i="127"/>
  <c r="BP34" i="127"/>
  <c r="BP35" i="127"/>
  <c r="BP36" i="127"/>
  <c r="BP37" i="127"/>
  <c r="BP38" i="127"/>
  <c r="BP39" i="127"/>
  <c r="BP40" i="127"/>
  <c r="BP41" i="127"/>
  <c r="BP42" i="127"/>
  <c r="BP12" i="127"/>
  <c r="QJ9" i="126"/>
  <c r="QI9" i="126"/>
  <c r="QH9" i="126"/>
  <c r="PP9" i="126"/>
  <c r="PO9" i="126"/>
  <c r="OE9" i="126"/>
  <c r="OC9" i="126"/>
  <c r="NR9" i="126"/>
  <c r="NQ9" i="126"/>
  <c r="H58" i="2"/>
  <c r="H57" i="2"/>
  <c r="H56" i="2"/>
  <c r="G26" i="95" l="1"/>
  <c r="BQ11" i="126"/>
  <c r="BQ12" i="126"/>
  <c r="BQ13" i="126"/>
  <c r="AB13" i="126" s="1"/>
  <c r="BQ14" i="126"/>
  <c r="BQ15" i="126"/>
  <c r="AB15" i="126" s="1"/>
  <c r="BQ16" i="126"/>
  <c r="BQ17" i="126"/>
  <c r="BQ18" i="126"/>
  <c r="BQ19" i="126"/>
  <c r="BQ20" i="126"/>
  <c r="BQ21" i="126"/>
  <c r="BR21" i="126" s="1"/>
  <c r="BQ22" i="126"/>
  <c r="BQ23" i="126"/>
  <c r="BQ24" i="126"/>
  <c r="AB24" i="126" s="1"/>
  <c r="BQ25" i="126"/>
  <c r="AB25" i="126" s="1"/>
  <c r="BQ26" i="126"/>
  <c r="BR26" i="126" s="1"/>
  <c r="BQ27" i="126"/>
  <c r="AB27" i="126" s="1"/>
  <c r="BQ28" i="126"/>
  <c r="BQ29" i="126"/>
  <c r="BQ30" i="126"/>
  <c r="AB30" i="126" s="1"/>
  <c r="BQ31" i="126"/>
  <c r="BQ32" i="126"/>
  <c r="BQ33" i="126"/>
  <c r="BQ34" i="126"/>
  <c r="AB34" i="126" s="1"/>
  <c r="BQ35" i="126"/>
  <c r="BQ36" i="126"/>
  <c r="BQ37" i="126"/>
  <c r="BR37" i="126" s="1"/>
  <c r="BQ38" i="126"/>
  <c r="BQ39" i="126"/>
  <c r="BR39" i="126" s="1"/>
  <c r="BQ40" i="126"/>
  <c r="AB40" i="126" s="1"/>
  <c r="BQ10" i="126"/>
  <c r="BM11" i="126"/>
  <c r="BM12" i="126"/>
  <c r="T12" i="126" s="1"/>
  <c r="BM13" i="126"/>
  <c r="BM14" i="126"/>
  <c r="BM15" i="126"/>
  <c r="BM16" i="126"/>
  <c r="BO16" i="126" s="1"/>
  <c r="BM17" i="126"/>
  <c r="BO17" i="126" s="1"/>
  <c r="BM18" i="126"/>
  <c r="T18" i="126" s="1"/>
  <c r="BM19" i="126"/>
  <c r="BO19" i="126" s="1"/>
  <c r="BM20" i="126"/>
  <c r="BO20" i="126" s="1"/>
  <c r="BM21" i="126"/>
  <c r="BM22" i="126"/>
  <c r="BM23" i="126"/>
  <c r="BM24" i="126"/>
  <c r="BO24" i="126" s="1"/>
  <c r="BM25" i="126"/>
  <c r="BM26" i="126"/>
  <c r="T26" i="126" s="1"/>
  <c r="BM27" i="126"/>
  <c r="T27" i="126" s="1"/>
  <c r="BM28" i="126"/>
  <c r="BM29" i="126"/>
  <c r="BM30" i="126"/>
  <c r="BO30" i="126" s="1"/>
  <c r="BM31" i="126"/>
  <c r="BM32" i="126"/>
  <c r="BM33" i="126"/>
  <c r="T33" i="126" s="1"/>
  <c r="BM34" i="126"/>
  <c r="BO34" i="126" s="1"/>
  <c r="BM35" i="126"/>
  <c r="T35" i="126" s="1"/>
  <c r="BM36" i="126"/>
  <c r="BM37" i="126"/>
  <c r="BM38" i="126"/>
  <c r="T38" i="126" s="1"/>
  <c r="BM39" i="126"/>
  <c r="T39" i="126" s="1"/>
  <c r="BM40" i="126"/>
  <c r="BO40" i="126" s="1"/>
  <c r="BM10" i="126"/>
  <c r="BD11" i="126"/>
  <c r="BE11" i="126" s="1"/>
  <c r="BD12" i="126"/>
  <c r="BD13" i="126"/>
  <c r="BD14" i="126"/>
  <c r="BE14" i="126" s="1"/>
  <c r="BD15" i="126"/>
  <c r="BE15" i="126" s="1"/>
  <c r="BD16" i="126"/>
  <c r="BE16" i="126" s="1"/>
  <c r="BD17" i="126"/>
  <c r="BE17" i="126" s="1"/>
  <c r="BD18" i="126"/>
  <c r="BE18" i="126" s="1"/>
  <c r="BD19" i="126"/>
  <c r="BE19" i="126" s="1"/>
  <c r="BD20" i="126"/>
  <c r="BE20" i="126" s="1"/>
  <c r="BD21" i="126"/>
  <c r="BE21" i="126" s="1"/>
  <c r="BD22" i="126"/>
  <c r="BE22" i="126" s="1"/>
  <c r="BD23" i="126"/>
  <c r="BE23" i="126" s="1"/>
  <c r="BD24" i="126"/>
  <c r="BE24" i="126" s="1"/>
  <c r="BD25" i="126"/>
  <c r="BE25" i="126" s="1"/>
  <c r="BD26" i="126"/>
  <c r="BE26" i="126" s="1"/>
  <c r="BD27" i="126"/>
  <c r="BD28" i="126"/>
  <c r="BD29" i="126"/>
  <c r="BE29" i="126" s="1"/>
  <c r="BD30" i="126"/>
  <c r="BE30" i="126" s="1"/>
  <c r="BD31" i="126"/>
  <c r="BE31" i="126" s="1"/>
  <c r="BD32" i="126"/>
  <c r="BD33" i="126"/>
  <c r="BE33" i="126" s="1"/>
  <c r="BD34" i="126"/>
  <c r="BE34" i="126" s="1"/>
  <c r="BD35" i="126"/>
  <c r="BE35" i="126" s="1"/>
  <c r="BD36" i="126"/>
  <c r="BE36" i="126" s="1"/>
  <c r="BD37" i="126"/>
  <c r="BE37" i="126" s="1"/>
  <c r="BD38" i="126"/>
  <c r="BE38" i="126" s="1"/>
  <c r="BD39" i="126"/>
  <c r="BE39" i="126" s="1"/>
  <c r="BD40" i="126"/>
  <c r="BE40" i="126" s="1"/>
  <c r="BD10" i="126"/>
  <c r="AX11" i="126"/>
  <c r="AX12" i="126"/>
  <c r="AX13" i="126"/>
  <c r="AX15" i="126"/>
  <c r="AX16" i="126"/>
  <c r="AY16" i="126" s="1"/>
  <c r="AX17" i="126"/>
  <c r="AY17" i="126" s="1"/>
  <c r="AX18" i="126"/>
  <c r="AX19" i="126"/>
  <c r="AX20" i="126"/>
  <c r="AX21" i="126"/>
  <c r="AX22" i="126"/>
  <c r="AX23" i="126"/>
  <c r="AX24" i="126"/>
  <c r="AX25" i="126"/>
  <c r="AX26" i="126"/>
  <c r="AX27" i="126"/>
  <c r="AY27" i="126" s="1"/>
  <c r="AX28" i="126"/>
  <c r="AX29" i="126"/>
  <c r="AX30" i="126"/>
  <c r="AX31" i="126"/>
  <c r="AX32" i="126"/>
  <c r="AX33" i="126"/>
  <c r="AY33" i="126" s="1"/>
  <c r="AX34" i="126"/>
  <c r="AX35" i="126"/>
  <c r="AX36" i="126"/>
  <c r="AX37" i="126"/>
  <c r="AY37" i="126" s="1"/>
  <c r="AX38" i="126"/>
  <c r="AX39" i="126"/>
  <c r="AY39" i="126" s="1"/>
  <c r="AX40" i="126"/>
  <c r="AX10" i="126"/>
  <c r="BR23" i="126"/>
  <c r="BE13" i="126"/>
  <c r="JJ11" i="126"/>
  <c r="JV11" i="126" s="1"/>
  <c r="JK11" i="126"/>
  <c r="JY11" i="126" s="1"/>
  <c r="JJ12" i="126"/>
  <c r="JP12" i="126" s="1"/>
  <c r="JK12" i="126"/>
  <c r="JY12" i="126" s="1"/>
  <c r="JJ13" i="126"/>
  <c r="JR13" i="126" s="1"/>
  <c r="JK13" i="126"/>
  <c r="JZ13" i="126" s="1"/>
  <c r="JJ14" i="126"/>
  <c r="JR14" i="126" s="1"/>
  <c r="JK14" i="126"/>
  <c r="JX14" i="126" s="1"/>
  <c r="JJ15" i="126"/>
  <c r="JR15" i="126" s="1"/>
  <c r="JK15" i="126"/>
  <c r="JX15" i="126" s="1"/>
  <c r="JJ16" i="126"/>
  <c r="JR16" i="126" s="1"/>
  <c r="JK16" i="126"/>
  <c r="JX16" i="126" s="1"/>
  <c r="JJ17" i="126"/>
  <c r="JR17" i="126" s="1"/>
  <c r="JK17" i="126"/>
  <c r="JZ17" i="126" s="1"/>
  <c r="JJ18" i="126"/>
  <c r="JR18" i="126" s="1"/>
  <c r="JK18" i="126"/>
  <c r="KB18" i="126" s="1"/>
  <c r="JJ19" i="126"/>
  <c r="JP19" i="126" s="1"/>
  <c r="JK19" i="126"/>
  <c r="KE19" i="126" s="1"/>
  <c r="JJ20" i="126"/>
  <c r="JK20" i="126"/>
  <c r="KA20" i="126" s="1"/>
  <c r="JJ21" i="126"/>
  <c r="JU21" i="126" s="1"/>
  <c r="JK21" i="126"/>
  <c r="KB21" i="126" s="1"/>
  <c r="JJ22" i="126"/>
  <c r="JP22" i="126" s="1"/>
  <c r="JK22" i="126"/>
  <c r="JX22" i="126" s="1"/>
  <c r="JJ23" i="126"/>
  <c r="JQ23" i="126" s="1"/>
  <c r="JK23" i="126"/>
  <c r="JX23" i="126" s="1"/>
  <c r="JJ24" i="126"/>
  <c r="JR24" i="126" s="1"/>
  <c r="JK24" i="126"/>
  <c r="JX24" i="126" s="1"/>
  <c r="JJ25" i="126"/>
  <c r="JQ25" i="126" s="1"/>
  <c r="JK25" i="126"/>
  <c r="JZ25" i="126" s="1"/>
  <c r="JJ26" i="126"/>
  <c r="QO26" i="126" s="1"/>
  <c r="JK26" i="126"/>
  <c r="JZ26" i="126" s="1"/>
  <c r="JJ27" i="126"/>
  <c r="JQ27" i="126" s="1"/>
  <c r="JK27" i="126"/>
  <c r="KB27" i="126" s="1"/>
  <c r="JJ28" i="126"/>
  <c r="JK28" i="126"/>
  <c r="JX28" i="126" s="1"/>
  <c r="JJ29" i="126"/>
  <c r="JR29" i="126" s="1"/>
  <c r="JK29" i="126"/>
  <c r="JZ29" i="126" s="1"/>
  <c r="JJ30" i="126"/>
  <c r="JP30" i="126" s="1"/>
  <c r="JK30" i="126"/>
  <c r="JX30" i="126" s="1"/>
  <c r="JJ31" i="126"/>
  <c r="JP31" i="126" s="1"/>
  <c r="JK31" i="126"/>
  <c r="JX31" i="126" s="1"/>
  <c r="JJ32" i="126"/>
  <c r="JP32" i="126" s="1"/>
  <c r="JK32" i="126"/>
  <c r="JX32" i="126" s="1"/>
  <c r="JJ33" i="126"/>
  <c r="JR33" i="126" s="1"/>
  <c r="JK33" i="126"/>
  <c r="JX33" i="126" s="1"/>
  <c r="JJ34" i="126"/>
  <c r="JR34" i="126" s="1"/>
  <c r="JK34" i="126"/>
  <c r="JX34" i="126" s="1"/>
  <c r="JJ35" i="126"/>
  <c r="JR35" i="126" s="1"/>
  <c r="JK35" i="126"/>
  <c r="KB35" i="126" s="1"/>
  <c r="JJ36" i="126"/>
  <c r="JP36" i="126" s="1"/>
  <c r="JK36" i="126"/>
  <c r="KA36" i="126" s="1"/>
  <c r="JJ37" i="126"/>
  <c r="JQ37" i="126" s="1"/>
  <c r="JK37" i="126"/>
  <c r="KA37" i="126" s="1"/>
  <c r="JJ38" i="126"/>
  <c r="JR38" i="126" s="1"/>
  <c r="JK38" i="126"/>
  <c r="JX38" i="126" s="1"/>
  <c r="JJ39" i="126"/>
  <c r="JR39" i="126" s="1"/>
  <c r="JK39" i="126"/>
  <c r="JX39" i="126" s="1"/>
  <c r="JJ40" i="126"/>
  <c r="JS40" i="126" s="1"/>
  <c r="JK40" i="126"/>
  <c r="JY40" i="126" s="1"/>
  <c r="JK10" i="126"/>
  <c r="JZ10" i="126" s="1"/>
  <c r="JJ10" i="126"/>
  <c r="JV10" i="126" s="1"/>
  <c r="HF11" i="126"/>
  <c r="HH11" i="126"/>
  <c r="HJ11" i="126"/>
  <c r="HL11" i="126"/>
  <c r="HF12" i="126"/>
  <c r="HH12" i="126"/>
  <c r="HJ12" i="126"/>
  <c r="HL12" i="126"/>
  <c r="PN12" i="126" s="1"/>
  <c r="SH12" i="126" s="1"/>
  <c r="HF13" i="126"/>
  <c r="HH13" i="126"/>
  <c r="HJ13" i="126"/>
  <c r="HL13" i="126"/>
  <c r="PN13" i="126" s="1"/>
  <c r="SH13" i="126" s="1"/>
  <c r="HF14" i="126"/>
  <c r="HH14" i="126"/>
  <c r="HJ14" i="126"/>
  <c r="HL14" i="126"/>
  <c r="PN14" i="126" s="1"/>
  <c r="SH14" i="126" s="1"/>
  <c r="HF15" i="126"/>
  <c r="HH15" i="126"/>
  <c r="HJ15" i="126"/>
  <c r="HL15" i="126"/>
  <c r="PN15" i="126" s="1"/>
  <c r="SH15" i="126" s="1"/>
  <c r="HF16" i="126"/>
  <c r="HH16" i="126"/>
  <c r="HJ16" i="126"/>
  <c r="HL16" i="126"/>
  <c r="PN16" i="126" s="1"/>
  <c r="SH16" i="126" s="1"/>
  <c r="HF17" i="126"/>
  <c r="HH17" i="126"/>
  <c r="HJ17" i="126"/>
  <c r="HL17" i="126"/>
  <c r="PN17" i="126" s="1"/>
  <c r="SH17" i="126" s="1"/>
  <c r="HF18" i="126"/>
  <c r="HH18" i="126"/>
  <c r="HJ18" i="126"/>
  <c r="HL18" i="126"/>
  <c r="PN18" i="126" s="1"/>
  <c r="SH18" i="126" s="1"/>
  <c r="HF19" i="126"/>
  <c r="HH19" i="126"/>
  <c r="HJ19" i="126"/>
  <c r="HL19" i="126"/>
  <c r="HF20" i="126"/>
  <c r="HH20" i="126"/>
  <c r="HJ20" i="126"/>
  <c r="HL20" i="126"/>
  <c r="HF21" i="126"/>
  <c r="HH21" i="126"/>
  <c r="HJ21" i="126"/>
  <c r="HL21" i="126"/>
  <c r="PN21" i="126" s="1"/>
  <c r="SH21" i="126" s="1"/>
  <c r="HF22" i="126"/>
  <c r="HH22" i="126"/>
  <c r="HJ22" i="126"/>
  <c r="HL22" i="126"/>
  <c r="PN22" i="126" s="1"/>
  <c r="SH22" i="126" s="1"/>
  <c r="HF23" i="126"/>
  <c r="HH23" i="126"/>
  <c r="HJ23" i="126"/>
  <c r="HL23" i="126"/>
  <c r="PN23" i="126" s="1"/>
  <c r="SH23" i="126" s="1"/>
  <c r="HF24" i="126"/>
  <c r="HH24" i="126"/>
  <c r="HJ24" i="126"/>
  <c r="HL24" i="126"/>
  <c r="PN24" i="126" s="1"/>
  <c r="SH24" i="126" s="1"/>
  <c r="HF25" i="126"/>
  <c r="HH25" i="126"/>
  <c r="HJ25" i="126"/>
  <c r="HL25" i="126"/>
  <c r="PN25" i="126" s="1"/>
  <c r="SH25" i="126" s="1"/>
  <c r="HF26" i="126"/>
  <c r="HH26" i="126"/>
  <c r="HJ26" i="126"/>
  <c r="HL26" i="126"/>
  <c r="PN26" i="126" s="1"/>
  <c r="SH26" i="126" s="1"/>
  <c r="HF27" i="126"/>
  <c r="HH27" i="126"/>
  <c r="HJ27" i="126"/>
  <c r="HL27" i="126"/>
  <c r="PN27" i="126" s="1"/>
  <c r="SH27" i="126" s="1"/>
  <c r="HF28" i="126"/>
  <c r="HH28" i="126"/>
  <c r="HJ28" i="126"/>
  <c r="HL28" i="126"/>
  <c r="PN28" i="126" s="1"/>
  <c r="SH28" i="126" s="1"/>
  <c r="HF29" i="126"/>
  <c r="HH29" i="126"/>
  <c r="HJ29" i="126"/>
  <c r="HL29" i="126"/>
  <c r="PN29" i="126" s="1"/>
  <c r="SH29" i="126" s="1"/>
  <c r="HF30" i="126"/>
  <c r="HH30" i="126"/>
  <c r="HJ30" i="126"/>
  <c r="HL30" i="126"/>
  <c r="PN30" i="126" s="1"/>
  <c r="SH30" i="126" s="1"/>
  <c r="HF31" i="126"/>
  <c r="HH31" i="126"/>
  <c r="HJ31" i="126"/>
  <c r="HL31" i="126"/>
  <c r="HF32" i="126"/>
  <c r="HH32" i="126"/>
  <c r="HJ32" i="126"/>
  <c r="HL32" i="126"/>
  <c r="PN32" i="126" s="1"/>
  <c r="SH32" i="126" s="1"/>
  <c r="HF33" i="126"/>
  <c r="HH33" i="126"/>
  <c r="HJ33" i="126"/>
  <c r="HL33" i="126"/>
  <c r="PN33" i="126" s="1"/>
  <c r="SH33" i="126" s="1"/>
  <c r="HF34" i="126"/>
  <c r="HH34" i="126"/>
  <c r="HJ34" i="126"/>
  <c r="HL34" i="126"/>
  <c r="PN34" i="126" s="1"/>
  <c r="SH34" i="126" s="1"/>
  <c r="HF35" i="126"/>
  <c r="HH35" i="126"/>
  <c r="HJ35" i="126"/>
  <c r="HL35" i="126"/>
  <c r="HF36" i="126"/>
  <c r="HH36" i="126"/>
  <c r="HJ36" i="126"/>
  <c r="HL36" i="126"/>
  <c r="PN36" i="126" s="1"/>
  <c r="SH36" i="126" s="1"/>
  <c r="HF37" i="126"/>
  <c r="NN37" i="126" s="1"/>
  <c r="HH37" i="126"/>
  <c r="HJ37" i="126"/>
  <c r="HL37" i="126"/>
  <c r="PN37" i="126" s="1"/>
  <c r="SH37" i="126" s="1"/>
  <c r="HF38" i="126"/>
  <c r="HH38" i="126"/>
  <c r="HJ38" i="126"/>
  <c r="HL38" i="126"/>
  <c r="PN38" i="126" s="1"/>
  <c r="SH38" i="126" s="1"/>
  <c r="HF39" i="126"/>
  <c r="HH39" i="126"/>
  <c r="HJ39" i="126"/>
  <c r="HL39" i="126"/>
  <c r="PN39" i="126" s="1"/>
  <c r="SH39" i="126" s="1"/>
  <c r="HF40" i="126"/>
  <c r="HH40" i="126"/>
  <c r="HJ40" i="126"/>
  <c r="HL40" i="126"/>
  <c r="PN40" i="126" s="1"/>
  <c r="SH40" i="126" s="1"/>
  <c r="HL10" i="126"/>
  <c r="HJ10" i="126"/>
  <c r="HH10" i="126"/>
  <c r="HF10" i="126"/>
  <c r="GZ11" i="126"/>
  <c r="GZ12" i="126"/>
  <c r="GZ13" i="126"/>
  <c r="GZ14" i="126"/>
  <c r="GZ15" i="126"/>
  <c r="GZ16" i="126"/>
  <c r="GZ17" i="126"/>
  <c r="GZ18" i="126"/>
  <c r="GZ19" i="126"/>
  <c r="GZ20" i="126"/>
  <c r="GZ21" i="126"/>
  <c r="GZ22" i="126"/>
  <c r="GZ23" i="126"/>
  <c r="GZ24" i="126"/>
  <c r="GZ25" i="126"/>
  <c r="GZ26" i="126"/>
  <c r="GZ27" i="126"/>
  <c r="GZ28" i="126"/>
  <c r="GZ29" i="126"/>
  <c r="GZ30" i="126"/>
  <c r="GZ31" i="126"/>
  <c r="GZ32" i="126"/>
  <c r="GZ33" i="126"/>
  <c r="GZ34" i="126"/>
  <c r="GZ35" i="126"/>
  <c r="GZ36" i="126"/>
  <c r="GZ37" i="126"/>
  <c r="GZ38" i="126"/>
  <c r="GZ39" i="126"/>
  <c r="GZ40" i="126"/>
  <c r="GZ10" i="126"/>
  <c r="GU11" i="126"/>
  <c r="GV11" i="126"/>
  <c r="GW11" i="126"/>
  <c r="GU12" i="126"/>
  <c r="GV12" i="126"/>
  <c r="GW12" i="126"/>
  <c r="GU13" i="126"/>
  <c r="GV13" i="126"/>
  <c r="GW13" i="126"/>
  <c r="GW14" i="126"/>
  <c r="GV15" i="126"/>
  <c r="GW15" i="126"/>
  <c r="GV16" i="126"/>
  <c r="GW16" i="126"/>
  <c r="GV17" i="126"/>
  <c r="GW17" i="126"/>
  <c r="GV18" i="126"/>
  <c r="GW18" i="126"/>
  <c r="GV19" i="126"/>
  <c r="GW19" i="126"/>
  <c r="GV20" i="126"/>
  <c r="GW20" i="126"/>
  <c r="GV21" i="126"/>
  <c r="GW21" i="126"/>
  <c r="GV22" i="126"/>
  <c r="GW22" i="126"/>
  <c r="GV23" i="126"/>
  <c r="GW23" i="126"/>
  <c r="GV24" i="126"/>
  <c r="GW24" i="126"/>
  <c r="GV25" i="126"/>
  <c r="GW25" i="126"/>
  <c r="GV26" i="126"/>
  <c r="GW26" i="126"/>
  <c r="GV27" i="126"/>
  <c r="GW27" i="126"/>
  <c r="GV28" i="126"/>
  <c r="GW28" i="126"/>
  <c r="GV29" i="126"/>
  <c r="GW29" i="126"/>
  <c r="GV30" i="126"/>
  <c r="GW30" i="126"/>
  <c r="GV31" i="126"/>
  <c r="GW31" i="126"/>
  <c r="GV32" i="126"/>
  <c r="GW32" i="126"/>
  <c r="GV33" i="126"/>
  <c r="GW33" i="126"/>
  <c r="GV34" i="126"/>
  <c r="GW34" i="126"/>
  <c r="GV35" i="126"/>
  <c r="GW35" i="126"/>
  <c r="GV36" i="126"/>
  <c r="GW36" i="126"/>
  <c r="GV37" i="126"/>
  <c r="GW37" i="126"/>
  <c r="GV38" i="126"/>
  <c r="GW38" i="126"/>
  <c r="GV39" i="126"/>
  <c r="GW39" i="126"/>
  <c r="GV40" i="126"/>
  <c r="GW40" i="126"/>
  <c r="GV10" i="126"/>
  <c r="GW10" i="126"/>
  <c r="GU10" i="126"/>
  <c r="PX11" i="126"/>
  <c r="RQ11" i="126" s="1"/>
  <c r="PX12" i="126"/>
  <c r="PX13" i="126"/>
  <c r="PZ13" i="126" s="1"/>
  <c r="PX14" i="126"/>
  <c r="RQ14" i="126" s="1"/>
  <c r="PX15" i="126"/>
  <c r="PZ15" i="126" s="1"/>
  <c r="PX16" i="126"/>
  <c r="PZ16" i="126" s="1"/>
  <c r="PX17" i="126"/>
  <c r="PZ17" i="126" s="1"/>
  <c r="PX18" i="126"/>
  <c r="PX19" i="126"/>
  <c r="PZ19" i="126" s="1"/>
  <c r="PX20" i="126"/>
  <c r="PX21" i="126"/>
  <c r="PX22" i="126"/>
  <c r="PZ22" i="126" s="1"/>
  <c r="PX23" i="126"/>
  <c r="RQ23" i="126" s="1"/>
  <c r="PX24" i="126"/>
  <c r="RQ24" i="126" s="1"/>
  <c r="PX25" i="126"/>
  <c r="RQ25" i="126" s="1"/>
  <c r="PX26" i="126"/>
  <c r="PX27" i="126"/>
  <c r="PX28" i="126"/>
  <c r="PX29" i="126"/>
  <c r="PZ29" i="126" s="1"/>
  <c r="PX30" i="126"/>
  <c r="PX31" i="126"/>
  <c r="PX32" i="126"/>
  <c r="RQ32" i="126" s="1"/>
  <c r="PX33" i="126"/>
  <c r="PX34" i="126"/>
  <c r="PX35" i="126"/>
  <c r="PX36" i="126"/>
  <c r="PX37" i="126"/>
  <c r="PX38" i="126"/>
  <c r="PX39" i="126"/>
  <c r="PZ39" i="126" s="1"/>
  <c r="PX40" i="126"/>
  <c r="RQ40" i="126" s="1"/>
  <c r="PX10" i="126"/>
  <c r="PK10" i="126"/>
  <c r="JW11" i="126"/>
  <c r="JX11" i="126"/>
  <c r="KD11" i="126"/>
  <c r="JQ12" i="126"/>
  <c r="JT12" i="126"/>
  <c r="JU12" i="126"/>
  <c r="JV12" i="126"/>
  <c r="JW12" i="126"/>
  <c r="JX12" i="126"/>
  <c r="JP13" i="126"/>
  <c r="JW13" i="126"/>
  <c r="JW14" i="126"/>
  <c r="JW15" i="126"/>
  <c r="JW16" i="126"/>
  <c r="JW17" i="126"/>
  <c r="JW18" i="126"/>
  <c r="JW19" i="126"/>
  <c r="JZ19" i="126"/>
  <c r="KA19" i="126"/>
  <c r="KC19" i="126"/>
  <c r="KD19" i="126"/>
  <c r="JP20" i="126"/>
  <c r="JQ20" i="126"/>
  <c r="JR20" i="126"/>
  <c r="JS20" i="126"/>
  <c r="JT20" i="126"/>
  <c r="JU20" i="126"/>
  <c r="JV20" i="126"/>
  <c r="JW20" i="126"/>
  <c r="JX20" i="126"/>
  <c r="JY20" i="126"/>
  <c r="JW21" i="126"/>
  <c r="JW22" i="126"/>
  <c r="JW23" i="126"/>
  <c r="JW24" i="126"/>
  <c r="JW25" i="126"/>
  <c r="JW26" i="126"/>
  <c r="JW27" i="126"/>
  <c r="JY27" i="126"/>
  <c r="KA27" i="126"/>
  <c r="JP28" i="126"/>
  <c r="JQ28" i="126"/>
  <c r="JR28" i="126"/>
  <c r="JS28" i="126"/>
  <c r="JT28" i="126"/>
  <c r="JU28" i="126"/>
  <c r="JV28" i="126"/>
  <c r="JW28" i="126"/>
  <c r="JY28" i="126"/>
  <c r="KC28" i="126"/>
  <c r="JW29" i="126"/>
  <c r="JW30" i="126"/>
  <c r="JW31" i="126"/>
  <c r="JW32" i="126"/>
  <c r="JW33" i="126"/>
  <c r="JW34" i="126"/>
  <c r="JW35" i="126"/>
  <c r="KC35" i="126"/>
  <c r="JR36" i="126"/>
  <c r="JS36" i="126"/>
  <c r="JT36" i="126"/>
  <c r="JV36" i="126"/>
  <c r="JW36" i="126"/>
  <c r="JW37" i="126"/>
  <c r="JW38" i="126"/>
  <c r="JW39" i="126"/>
  <c r="JW40" i="126"/>
  <c r="JW10" i="126"/>
  <c r="IY11" i="126"/>
  <c r="JA11" i="126"/>
  <c r="JC11" i="126"/>
  <c r="IY12" i="126"/>
  <c r="JA12" i="126"/>
  <c r="JC12" i="126"/>
  <c r="IY13" i="126"/>
  <c r="JA13" i="126"/>
  <c r="JC13" i="126"/>
  <c r="IY14" i="126"/>
  <c r="JA14" i="126"/>
  <c r="JC14" i="126"/>
  <c r="IY15" i="126"/>
  <c r="JA15" i="126"/>
  <c r="JC15" i="126"/>
  <c r="IY16" i="126"/>
  <c r="JA16" i="126"/>
  <c r="JC16" i="126"/>
  <c r="IY17" i="126"/>
  <c r="JA17" i="126"/>
  <c r="JC17" i="126"/>
  <c r="IY18" i="126"/>
  <c r="JA18" i="126"/>
  <c r="JC18" i="126"/>
  <c r="IY19" i="126"/>
  <c r="JA19" i="126"/>
  <c r="JC19" i="126"/>
  <c r="IY20" i="126"/>
  <c r="JA20" i="126"/>
  <c r="JC20" i="126"/>
  <c r="IY21" i="126"/>
  <c r="JA21" i="126"/>
  <c r="JC21" i="126"/>
  <c r="IY22" i="126"/>
  <c r="JA22" i="126"/>
  <c r="JC22" i="126"/>
  <c r="IY23" i="126"/>
  <c r="JA23" i="126"/>
  <c r="JC23" i="126"/>
  <c r="IY24" i="126"/>
  <c r="JA24" i="126"/>
  <c r="JC24" i="126"/>
  <c r="IY25" i="126"/>
  <c r="JA25" i="126"/>
  <c r="JC25" i="126"/>
  <c r="IY26" i="126"/>
  <c r="JA26" i="126"/>
  <c r="JC26" i="126"/>
  <c r="IY27" i="126"/>
  <c r="JA27" i="126"/>
  <c r="JC27" i="126"/>
  <c r="IY28" i="126"/>
  <c r="JA28" i="126"/>
  <c r="JC28" i="126"/>
  <c r="IY29" i="126"/>
  <c r="JA29" i="126"/>
  <c r="JC29" i="126"/>
  <c r="IY30" i="126"/>
  <c r="JA30" i="126"/>
  <c r="JC30" i="126"/>
  <c r="IY31" i="126"/>
  <c r="JA31" i="126"/>
  <c r="JC31" i="126"/>
  <c r="IY32" i="126"/>
  <c r="JA32" i="126"/>
  <c r="JC32" i="126"/>
  <c r="IY33" i="126"/>
  <c r="JA33" i="126"/>
  <c r="JC33" i="126"/>
  <c r="IY34" i="126"/>
  <c r="JA34" i="126"/>
  <c r="JC34" i="126"/>
  <c r="IY35" i="126"/>
  <c r="JA35" i="126"/>
  <c r="JC35" i="126"/>
  <c r="IY36" i="126"/>
  <c r="JA36" i="126"/>
  <c r="JC36" i="126"/>
  <c r="IY37" i="126"/>
  <c r="JA37" i="126"/>
  <c r="JC37" i="126"/>
  <c r="IY38" i="126"/>
  <c r="JA38" i="126"/>
  <c r="JC38" i="126"/>
  <c r="IY39" i="126"/>
  <c r="JA39" i="126"/>
  <c r="JC39" i="126"/>
  <c r="IY40" i="126"/>
  <c r="JA40" i="126"/>
  <c r="JC40" i="126"/>
  <c r="JC10" i="126"/>
  <c r="JA10" i="126"/>
  <c r="IY10" i="126"/>
  <c r="IJ11" i="126"/>
  <c r="IL11" i="126"/>
  <c r="IN11" i="126"/>
  <c r="IQ11" i="126"/>
  <c r="IJ12" i="126"/>
  <c r="IL12" i="126"/>
  <c r="IN12" i="126"/>
  <c r="IQ12" i="126"/>
  <c r="IJ13" i="126"/>
  <c r="IL13" i="126"/>
  <c r="IN13" i="126"/>
  <c r="IQ13" i="126"/>
  <c r="IJ14" i="126"/>
  <c r="IL14" i="126"/>
  <c r="IN14" i="126"/>
  <c r="IQ14" i="126"/>
  <c r="IJ15" i="126"/>
  <c r="IL15" i="126"/>
  <c r="IN15" i="126"/>
  <c r="IQ15" i="126"/>
  <c r="IJ16" i="126"/>
  <c r="IL16" i="126"/>
  <c r="IN16" i="126"/>
  <c r="IQ16" i="126"/>
  <c r="IJ17" i="126"/>
  <c r="IL17" i="126"/>
  <c r="IN17" i="126"/>
  <c r="IQ17" i="126"/>
  <c r="IJ18" i="126"/>
  <c r="IL18" i="126"/>
  <c r="IN18" i="126"/>
  <c r="IQ18" i="126"/>
  <c r="IJ19" i="126"/>
  <c r="IL19" i="126"/>
  <c r="IN19" i="126"/>
  <c r="IQ19" i="126"/>
  <c r="IJ20" i="126"/>
  <c r="IL20" i="126"/>
  <c r="IN20" i="126"/>
  <c r="IQ20" i="126"/>
  <c r="IJ21" i="126"/>
  <c r="IL21" i="126"/>
  <c r="IN21" i="126"/>
  <c r="IQ21" i="126"/>
  <c r="IJ22" i="126"/>
  <c r="IL22" i="126"/>
  <c r="IN22" i="126"/>
  <c r="IQ22" i="126"/>
  <c r="IJ23" i="126"/>
  <c r="IL23" i="126"/>
  <c r="IN23" i="126"/>
  <c r="IQ23" i="126"/>
  <c r="IJ24" i="126"/>
  <c r="IL24" i="126"/>
  <c r="IN24" i="126"/>
  <c r="IQ24" i="126"/>
  <c r="IJ25" i="126"/>
  <c r="IL25" i="126"/>
  <c r="IN25" i="126"/>
  <c r="IQ25" i="126"/>
  <c r="IJ26" i="126"/>
  <c r="IL26" i="126"/>
  <c r="IN26" i="126"/>
  <c r="IQ26" i="126"/>
  <c r="IJ27" i="126"/>
  <c r="IL27" i="126"/>
  <c r="IN27" i="126"/>
  <c r="IQ27" i="126"/>
  <c r="IJ28" i="126"/>
  <c r="IL28" i="126"/>
  <c r="IN28" i="126"/>
  <c r="IQ28" i="126"/>
  <c r="IJ29" i="126"/>
  <c r="IL29" i="126"/>
  <c r="IN29" i="126"/>
  <c r="IQ29" i="126"/>
  <c r="IJ30" i="126"/>
  <c r="IL30" i="126"/>
  <c r="IN30" i="126"/>
  <c r="IQ30" i="126"/>
  <c r="IJ31" i="126"/>
  <c r="IL31" i="126"/>
  <c r="IN31" i="126"/>
  <c r="IQ31" i="126"/>
  <c r="IJ32" i="126"/>
  <c r="IL32" i="126"/>
  <c r="IN32" i="126"/>
  <c r="IQ32" i="126"/>
  <c r="IJ33" i="126"/>
  <c r="IL33" i="126"/>
  <c r="IN33" i="126"/>
  <c r="IQ33" i="126"/>
  <c r="IJ34" i="126"/>
  <c r="IL34" i="126"/>
  <c r="IN34" i="126"/>
  <c r="IQ34" i="126"/>
  <c r="IJ35" i="126"/>
  <c r="IL35" i="126"/>
  <c r="IN35" i="126"/>
  <c r="IQ35" i="126"/>
  <c r="IJ36" i="126"/>
  <c r="IL36" i="126"/>
  <c r="IN36" i="126"/>
  <c r="IQ36" i="126"/>
  <c r="IJ37" i="126"/>
  <c r="IL37" i="126"/>
  <c r="IN37" i="126"/>
  <c r="IQ37" i="126"/>
  <c r="IJ38" i="126"/>
  <c r="IL38" i="126"/>
  <c r="IN38" i="126"/>
  <c r="IQ38" i="126"/>
  <c r="IJ39" i="126"/>
  <c r="IL39" i="126"/>
  <c r="IN39" i="126"/>
  <c r="IQ39" i="126"/>
  <c r="IJ40" i="126"/>
  <c r="IL40" i="126"/>
  <c r="IN40" i="126"/>
  <c r="IQ40" i="126"/>
  <c r="IQ10" i="126"/>
  <c r="IN10" i="126"/>
  <c r="IL10" i="126"/>
  <c r="IJ10" i="126"/>
  <c r="EB11" i="126"/>
  <c r="EB12" i="126"/>
  <c r="EB13" i="126"/>
  <c r="EB14" i="126"/>
  <c r="EB15" i="126"/>
  <c r="EF15" i="126" s="1"/>
  <c r="EB16" i="126"/>
  <c r="EB17" i="126"/>
  <c r="EB18" i="126"/>
  <c r="EB19" i="126"/>
  <c r="EB20" i="126"/>
  <c r="EB21" i="126"/>
  <c r="EB22" i="126"/>
  <c r="EB23" i="126"/>
  <c r="EB24" i="126"/>
  <c r="EB25" i="126"/>
  <c r="EB26" i="126"/>
  <c r="EB27" i="126"/>
  <c r="EB28" i="126"/>
  <c r="EB29" i="126"/>
  <c r="EB30" i="126"/>
  <c r="EB31" i="126"/>
  <c r="EB32" i="126"/>
  <c r="EB33" i="126"/>
  <c r="EB34" i="126"/>
  <c r="EB35" i="126"/>
  <c r="EB36" i="126"/>
  <c r="EB37" i="126"/>
  <c r="EB38" i="126"/>
  <c r="EB39" i="126"/>
  <c r="EB40" i="126"/>
  <c r="EB10" i="126"/>
  <c r="DQ11" i="126"/>
  <c r="DQ12" i="126"/>
  <c r="DQ13" i="126"/>
  <c r="DQ14" i="126"/>
  <c r="DQ15" i="126"/>
  <c r="DQ16" i="126"/>
  <c r="DQ17" i="126"/>
  <c r="DQ18" i="126"/>
  <c r="DQ19" i="126"/>
  <c r="DQ20" i="126"/>
  <c r="DQ21" i="126"/>
  <c r="DQ22" i="126"/>
  <c r="DQ23" i="126"/>
  <c r="DQ24" i="126"/>
  <c r="DQ25" i="126"/>
  <c r="DQ26" i="126"/>
  <c r="DQ27" i="126"/>
  <c r="DQ28" i="126"/>
  <c r="DQ29" i="126"/>
  <c r="DQ30" i="126"/>
  <c r="DQ31" i="126"/>
  <c r="DQ32" i="126"/>
  <c r="DQ33" i="126"/>
  <c r="DQ34" i="126"/>
  <c r="DQ35" i="126"/>
  <c r="DQ36" i="126"/>
  <c r="DQ37" i="126"/>
  <c r="DQ38" i="126"/>
  <c r="DQ39" i="126"/>
  <c r="DQ40" i="126"/>
  <c r="DQ10" i="126"/>
  <c r="DP11" i="126"/>
  <c r="DP12" i="126"/>
  <c r="DP13" i="126"/>
  <c r="DP14" i="126"/>
  <c r="DP15" i="126"/>
  <c r="DP16" i="126"/>
  <c r="DP17" i="126"/>
  <c r="DP18" i="126"/>
  <c r="DP19" i="126"/>
  <c r="DP20" i="126"/>
  <c r="DP21" i="126"/>
  <c r="DP22" i="126"/>
  <c r="DP23" i="126"/>
  <c r="DP24" i="126"/>
  <c r="DP25" i="126"/>
  <c r="DP26" i="126"/>
  <c r="DP27" i="126"/>
  <c r="DP28" i="126"/>
  <c r="DP29" i="126"/>
  <c r="DP30" i="126"/>
  <c r="DP31" i="126"/>
  <c r="DP32" i="126"/>
  <c r="DP33" i="126"/>
  <c r="DP34" i="126"/>
  <c r="DP35" i="126"/>
  <c r="DP36" i="126"/>
  <c r="DP37" i="126"/>
  <c r="DP38" i="126"/>
  <c r="DP39" i="126"/>
  <c r="DP40" i="126"/>
  <c r="DP10" i="126"/>
  <c r="DN11" i="126"/>
  <c r="DN12" i="126"/>
  <c r="DN13" i="126"/>
  <c r="DN14" i="126"/>
  <c r="DN15" i="126"/>
  <c r="DN16" i="126"/>
  <c r="DN17" i="126"/>
  <c r="DN18" i="126"/>
  <c r="DN19" i="126"/>
  <c r="DN20" i="126"/>
  <c r="DN21" i="126"/>
  <c r="DN22" i="126"/>
  <c r="DN23" i="126"/>
  <c r="DN24" i="126"/>
  <c r="DN25" i="126"/>
  <c r="DN26" i="126"/>
  <c r="DN27" i="126"/>
  <c r="DN28" i="126"/>
  <c r="DN29" i="126"/>
  <c r="DN30" i="126"/>
  <c r="DN31" i="126"/>
  <c r="DN32" i="126"/>
  <c r="DN33" i="126"/>
  <c r="DN34" i="126"/>
  <c r="DN35" i="126"/>
  <c r="DN36" i="126"/>
  <c r="DN37" i="126"/>
  <c r="DN38" i="126"/>
  <c r="DN39" i="126"/>
  <c r="DN40" i="126"/>
  <c r="DN10" i="126"/>
  <c r="DL11" i="126"/>
  <c r="DL12" i="126"/>
  <c r="DL13" i="126"/>
  <c r="DL14" i="126"/>
  <c r="CX14" i="126" s="1"/>
  <c r="DL15" i="126"/>
  <c r="CX15" i="126" s="1"/>
  <c r="DL16" i="126"/>
  <c r="DL17" i="126"/>
  <c r="CX17" i="126" s="1"/>
  <c r="DL18" i="126"/>
  <c r="DL19" i="126"/>
  <c r="DL20" i="126"/>
  <c r="CX20" i="126" s="1"/>
  <c r="DL21" i="126"/>
  <c r="DL22" i="126"/>
  <c r="DL23" i="126"/>
  <c r="DL24" i="126"/>
  <c r="DL25" i="126"/>
  <c r="DL26" i="126"/>
  <c r="DL27" i="126"/>
  <c r="DL28" i="126"/>
  <c r="DL29" i="126"/>
  <c r="CX29" i="126" s="1"/>
  <c r="DL30" i="126"/>
  <c r="CX30" i="126" s="1"/>
  <c r="DL31" i="126"/>
  <c r="CX31" i="126" s="1"/>
  <c r="DL32" i="126"/>
  <c r="CX32" i="126" s="1"/>
  <c r="DL33" i="126"/>
  <c r="CX33" i="126" s="1"/>
  <c r="DL34" i="126"/>
  <c r="DL35" i="126"/>
  <c r="CX35" i="126" s="1"/>
  <c r="DL36" i="126"/>
  <c r="CX36" i="126" s="1"/>
  <c r="DL37" i="126"/>
  <c r="CX37" i="126" s="1"/>
  <c r="DL38" i="126"/>
  <c r="DL39" i="126"/>
  <c r="DL40" i="126"/>
  <c r="DL10" i="126"/>
  <c r="BP43" i="127"/>
  <c r="BP44" i="127" s="1"/>
  <c r="BP46" i="127" s="1"/>
  <c r="BP47" i="127" s="1"/>
  <c r="CN11" i="126"/>
  <c r="CN12" i="126"/>
  <c r="CN13" i="126"/>
  <c r="CN14" i="126"/>
  <c r="CN15" i="126"/>
  <c r="CN16" i="126"/>
  <c r="CN17" i="126"/>
  <c r="CN18" i="126"/>
  <c r="CN19" i="126"/>
  <c r="CN20" i="126"/>
  <c r="CN21" i="126"/>
  <c r="CN22" i="126"/>
  <c r="CN23" i="126"/>
  <c r="CN24" i="126"/>
  <c r="CN25" i="126"/>
  <c r="CN26" i="126"/>
  <c r="CN27" i="126"/>
  <c r="CN28" i="126"/>
  <c r="CN29" i="126"/>
  <c r="CN30" i="126"/>
  <c r="CN31" i="126"/>
  <c r="CN32" i="126"/>
  <c r="CN33" i="126"/>
  <c r="CN34" i="126"/>
  <c r="CN35" i="126"/>
  <c r="CN36" i="126"/>
  <c r="CN37" i="126"/>
  <c r="CN38" i="126"/>
  <c r="CN39" i="126"/>
  <c r="CN40" i="126"/>
  <c r="CN10" i="126"/>
  <c r="D130" i="127"/>
  <c r="C130" i="127"/>
  <c r="D129" i="127"/>
  <c r="C129" i="127"/>
  <c r="D128" i="127"/>
  <c r="C128" i="127"/>
  <c r="D127" i="127"/>
  <c r="C127" i="127"/>
  <c r="D126" i="127"/>
  <c r="C126" i="127"/>
  <c r="D125" i="127"/>
  <c r="C125" i="127"/>
  <c r="D124" i="127"/>
  <c r="C124" i="127"/>
  <c r="D123" i="127"/>
  <c r="C123" i="127"/>
  <c r="D122" i="127"/>
  <c r="C122" i="127"/>
  <c r="D121" i="127"/>
  <c r="C121" i="127"/>
  <c r="D120" i="127"/>
  <c r="C120" i="127"/>
  <c r="D119" i="127"/>
  <c r="C119" i="127"/>
  <c r="D118" i="127"/>
  <c r="C118" i="127"/>
  <c r="D117" i="127"/>
  <c r="C117" i="127"/>
  <c r="D116" i="127"/>
  <c r="C116" i="127"/>
  <c r="D115" i="127"/>
  <c r="C115" i="127"/>
  <c r="D114" i="127"/>
  <c r="C114" i="127"/>
  <c r="D113" i="127"/>
  <c r="C113" i="127"/>
  <c r="D112" i="127"/>
  <c r="C112" i="127"/>
  <c r="D111" i="127"/>
  <c r="C111" i="127"/>
  <c r="D110" i="127"/>
  <c r="C110" i="127"/>
  <c r="D109" i="127"/>
  <c r="C109" i="127"/>
  <c r="D108" i="127"/>
  <c r="C108" i="127"/>
  <c r="D107" i="127"/>
  <c r="C107" i="127"/>
  <c r="D106" i="127"/>
  <c r="C106" i="127"/>
  <c r="D105" i="127"/>
  <c r="C105" i="127"/>
  <c r="D104" i="127"/>
  <c r="C104" i="127"/>
  <c r="D103" i="127"/>
  <c r="C103" i="127"/>
  <c r="D102" i="127"/>
  <c r="C102" i="127"/>
  <c r="D101" i="127"/>
  <c r="C101" i="127"/>
  <c r="O100" i="127"/>
  <c r="O101" i="127" s="1"/>
  <c r="O102" i="127" s="1"/>
  <c r="O103" i="127" s="1"/>
  <c r="O104" i="127" s="1"/>
  <c r="O105" i="127" s="1"/>
  <c r="O106" i="127" s="1"/>
  <c r="O107" i="127" s="1"/>
  <c r="O108" i="127" s="1"/>
  <c r="O109" i="127" s="1"/>
  <c r="O110" i="127" s="1"/>
  <c r="O111" i="127" s="1"/>
  <c r="O112" i="127" s="1"/>
  <c r="O113" i="127" s="1"/>
  <c r="O114" i="127" s="1"/>
  <c r="O115" i="127" s="1"/>
  <c r="O116" i="127" s="1"/>
  <c r="O117" i="127" s="1"/>
  <c r="O118" i="127" s="1"/>
  <c r="O119" i="127" s="1"/>
  <c r="O120" i="127" s="1"/>
  <c r="O121" i="127" s="1"/>
  <c r="O122" i="127" s="1"/>
  <c r="O123" i="127" s="1"/>
  <c r="O124" i="127" s="1"/>
  <c r="O125" i="127" s="1"/>
  <c r="O126" i="127" s="1"/>
  <c r="O127" i="127" s="1"/>
  <c r="O128" i="127" s="1"/>
  <c r="O129" i="127" s="1"/>
  <c r="O130" i="127" s="1"/>
  <c r="D100" i="127"/>
  <c r="C100" i="127"/>
  <c r="S45" i="127"/>
  <c r="D45" i="127"/>
  <c r="C45" i="127"/>
  <c r="D50" i="127" s="1"/>
  <c r="AO44" i="127"/>
  <c r="AC44" i="127"/>
  <c r="C12" i="96" s="1"/>
  <c r="BQ43" i="127"/>
  <c r="BQ44" i="127" s="1"/>
  <c r="BQ46" i="127" s="1"/>
  <c r="BQ47" i="127" s="1"/>
  <c r="BO43" i="127"/>
  <c r="BN43" i="127"/>
  <c r="BN44" i="127" s="1"/>
  <c r="BN46" i="127" s="1"/>
  <c r="BN47" i="127" s="1"/>
  <c r="BM43" i="127"/>
  <c r="BM44" i="127" s="1"/>
  <c r="BL43" i="127"/>
  <c r="BL44" i="127" s="1"/>
  <c r="BK43" i="127"/>
  <c r="AP43" i="127"/>
  <c r="AP44" i="127" s="1"/>
  <c r="AO43" i="127"/>
  <c r="AI43" i="127"/>
  <c r="AI44" i="127" s="1"/>
  <c r="AD43" i="127"/>
  <c r="AD44" i="127" s="1"/>
  <c r="AC43" i="127"/>
  <c r="X43" i="127"/>
  <c r="X44" i="127" s="1"/>
  <c r="P43" i="127"/>
  <c r="P44" i="127" s="1"/>
  <c r="O43" i="127"/>
  <c r="I43" i="127"/>
  <c r="I44" i="127" s="1"/>
  <c r="H43" i="127"/>
  <c r="AU42" i="127" a="1"/>
  <c r="AU42" i="127" s="1"/>
  <c r="AQ42" i="127"/>
  <c r="AG42" i="127"/>
  <c r="AB42" i="127"/>
  <c r="W42" i="127" a="1"/>
  <c r="W42" i="127" s="1"/>
  <c r="V42" i="127" a="1"/>
  <c r="V42" i="127" s="1"/>
  <c r="U42" i="127" a="1"/>
  <c r="U42" i="127" s="1"/>
  <c r="C42" i="127"/>
  <c r="AU41" i="127" a="1"/>
  <c r="AU41" i="127" s="1"/>
  <c r="AQ41" i="127"/>
  <c r="AG41" i="127"/>
  <c r="W41" i="127" a="1"/>
  <c r="W41" i="127" s="1"/>
  <c r="V41" i="127" a="1"/>
  <c r="V41" i="127" s="1"/>
  <c r="U41" i="127" a="1"/>
  <c r="U41" i="127" s="1"/>
  <c r="C41" i="127"/>
  <c r="AU40" i="127" a="1"/>
  <c r="AU40" i="127" s="1"/>
  <c r="AQ40" i="127"/>
  <c r="AG40" i="127"/>
  <c r="AB40" i="127"/>
  <c r="W40" i="127" a="1"/>
  <c r="W40" i="127" s="1"/>
  <c r="V40" i="127" a="1"/>
  <c r="V40" i="127" s="1"/>
  <c r="U40" i="127" a="1"/>
  <c r="U40" i="127" s="1"/>
  <c r="C40" i="127"/>
  <c r="AU39" i="127" a="1"/>
  <c r="AU39" i="127" s="1"/>
  <c r="AQ39" i="127"/>
  <c r="AG39" i="127"/>
  <c r="AB39" i="127"/>
  <c r="W39" i="127" a="1"/>
  <c r="W39" i="127" s="1"/>
  <c r="V39" i="127" a="1"/>
  <c r="V39" i="127" s="1"/>
  <c r="U39" i="127" a="1"/>
  <c r="U39" i="127" s="1"/>
  <c r="C39" i="127"/>
  <c r="AU38" i="127" a="1"/>
  <c r="AU38" i="127" s="1"/>
  <c r="AQ38" i="127"/>
  <c r="AG38" i="127"/>
  <c r="W38" i="127" a="1"/>
  <c r="W38" i="127" s="1"/>
  <c r="V38" i="127" a="1"/>
  <c r="V38" i="127" s="1"/>
  <c r="U38" i="127" a="1"/>
  <c r="U38" i="127" s="1"/>
  <c r="C38" i="127"/>
  <c r="AU37" i="127" a="1"/>
  <c r="AU37" i="127" s="1"/>
  <c r="AQ37" i="127"/>
  <c r="AB37" i="127"/>
  <c r="CR37" i="127" s="1"/>
  <c r="W37" i="127" a="1"/>
  <c r="W37" i="127" s="1"/>
  <c r="V37" i="127" a="1"/>
  <c r="V37" i="127" s="1"/>
  <c r="U37" i="127" a="1"/>
  <c r="U37" i="127" s="1"/>
  <c r="C37" i="127"/>
  <c r="AU36" i="127" a="1"/>
  <c r="AU36" i="127" s="1"/>
  <c r="AQ36" i="127"/>
  <c r="AG36" i="127"/>
  <c r="AB36" i="127"/>
  <c r="W36" i="127" a="1"/>
  <c r="W36" i="127" s="1"/>
  <c r="V36" i="127" a="1"/>
  <c r="V36" i="127" s="1"/>
  <c r="U36" i="127" a="1"/>
  <c r="U36" i="127" s="1"/>
  <c r="C36" i="127"/>
  <c r="AU35" i="127" a="1"/>
  <c r="AU35" i="127" s="1"/>
  <c r="AQ35" i="127"/>
  <c r="AG35" i="127"/>
  <c r="AB35" i="127"/>
  <c r="W35" i="127" a="1"/>
  <c r="W35" i="127" s="1"/>
  <c r="V35" i="127" a="1"/>
  <c r="V35" i="127" s="1"/>
  <c r="U35" i="127" a="1"/>
  <c r="U35" i="127" s="1"/>
  <c r="C35" i="127"/>
  <c r="AU34" i="127" a="1"/>
  <c r="AU34" i="127" s="1"/>
  <c r="AQ34" i="127"/>
  <c r="AG34" i="127"/>
  <c r="AB34" i="127"/>
  <c r="W34" i="127" a="1"/>
  <c r="W34" i="127" s="1"/>
  <c r="V34" i="127" a="1"/>
  <c r="V34" i="127" s="1"/>
  <c r="U34" i="127" a="1"/>
  <c r="U34" i="127" s="1"/>
  <c r="C34" i="127"/>
  <c r="AU33" i="127" a="1"/>
  <c r="AU33" i="127" s="1"/>
  <c r="AQ33" i="127"/>
  <c r="AB33" i="127"/>
  <c r="W33" i="127" a="1"/>
  <c r="W33" i="127" s="1"/>
  <c r="V33" i="127" a="1"/>
  <c r="V33" i="127" s="1"/>
  <c r="U33" i="127" a="1"/>
  <c r="U33" i="127" s="1"/>
  <c r="C33" i="127"/>
  <c r="AU32" i="127" a="1"/>
  <c r="AU32" i="127" s="1"/>
  <c r="AQ32" i="127"/>
  <c r="AG32" i="127"/>
  <c r="AB32" i="127"/>
  <c r="W32" i="127" a="1"/>
  <c r="W32" i="127" s="1"/>
  <c r="V32" i="127" a="1"/>
  <c r="V32" i="127" s="1"/>
  <c r="U32" i="127" a="1"/>
  <c r="U32" i="127" s="1"/>
  <c r="C32" i="127"/>
  <c r="AU31" i="127" a="1"/>
  <c r="AU31" i="127" s="1"/>
  <c r="AQ31" i="127"/>
  <c r="AG31" i="127"/>
  <c r="W31" i="127" a="1"/>
  <c r="W31" i="127" s="1"/>
  <c r="V31" i="127" a="1"/>
  <c r="V31" i="127" s="1"/>
  <c r="U31" i="127" a="1"/>
  <c r="U31" i="127" s="1"/>
  <c r="C31" i="127"/>
  <c r="AU30" i="127" a="1"/>
  <c r="AU30" i="127" s="1"/>
  <c r="AQ30" i="127"/>
  <c r="AG30" i="127"/>
  <c r="W30" i="127" a="1"/>
  <c r="W30" i="127" s="1"/>
  <c r="V30" i="127" a="1"/>
  <c r="V30" i="127" s="1"/>
  <c r="U30" i="127" a="1"/>
  <c r="U30" i="127" s="1"/>
  <c r="C30" i="127"/>
  <c r="AU29" i="127" a="1"/>
  <c r="AU29" i="127" s="1"/>
  <c r="AQ29" i="127"/>
  <c r="AG29" i="127"/>
  <c r="AB29" i="127"/>
  <c r="W29" i="127" a="1"/>
  <c r="W29" i="127" s="1"/>
  <c r="V29" i="127" a="1"/>
  <c r="V29" i="127" s="1"/>
  <c r="U29" i="127" a="1"/>
  <c r="U29" i="127" s="1"/>
  <c r="C29" i="127"/>
  <c r="AU28" i="127" a="1"/>
  <c r="AU28" i="127" s="1"/>
  <c r="AQ28" i="127"/>
  <c r="AG28" i="127"/>
  <c r="AB28" i="127"/>
  <c r="W28" i="127" a="1"/>
  <c r="W28" i="127" s="1"/>
  <c r="V28" i="127" a="1"/>
  <c r="V28" i="127" s="1"/>
  <c r="U28" i="127" a="1"/>
  <c r="U28" i="127" s="1"/>
  <c r="C28" i="127"/>
  <c r="AU27" i="127" a="1"/>
  <c r="AU27" i="127" s="1"/>
  <c r="AQ27" i="127"/>
  <c r="AG27" i="127"/>
  <c r="W27" i="127" a="1"/>
  <c r="W27" i="127" s="1"/>
  <c r="V27" i="127" a="1"/>
  <c r="V27" i="127" s="1"/>
  <c r="U27" i="127" a="1"/>
  <c r="U27" i="127" s="1"/>
  <c r="C27" i="127"/>
  <c r="AU26" i="127" a="1"/>
  <c r="AU26" i="127" s="1"/>
  <c r="AQ26" i="127"/>
  <c r="AG26" i="127"/>
  <c r="AB26" i="127"/>
  <c r="CR26" i="127" s="1"/>
  <c r="W26" i="127" a="1"/>
  <c r="W26" i="127" s="1"/>
  <c r="V26" i="127" a="1"/>
  <c r="V26" i="127" s="1"/>
  <c r="U26" i="127" a="1"/>
  <c r="U26" i="127" s="1"/>
  <c r="C26" i="127"/>
  <c r="AU25" i="127" a="1"/>
  <c r="AU25" i="127" s="1"/>
  <c r="AQ25" i="127"/>
  <c r="W25" i="127" a="1"/>
  <c r="W25" i="127" s="1"/>
  <c r="V25" i="127" a="1"/>
  <c r="V25" i="127" s="1"/>
  <c r="U25" i="127" a="1"/>
  <c r="U25" i="127" s="1"/>
  <c r="C25" i="127"/>
  <c r="AU24" i="127" a="1"/>
  <c r="AU24" i="127" s="1"/>
  <c r="AQ24" i="127"/>
  <c r="AB24" i="127"/>
  <c r="AX24" i="127" s="1"/>
  <c r="W24" i="127" a="1"/>
  <c r="W24" i="127" s="1"/>
  <c r="V24" i="127" a="1"/>
  <c r="V24" i="127" s="1"/>
  <c r="U24" i="127" a="1"/>
  <c r="U24" i="127" s="1"/>
  <c r="C24" i="127"/>
  <c r="AU23" i="127" a="1"/>
  <c r="AU23" i="127" s="1"/>
  <c r="AQ23" i="127"/>
  <c r="AB23" i="127"/>
  <c r="W23" i="127" a="1"/>
  <c r="W23" i="127" s="1"/>
  <c r="V23" i="127" a="1"/>
  <c r="V23" i="127" s="1"/>
  <c r="U23" i="127" a="1"/>
  <c r="U23" i="127" s="1"/>
  <c r="C23" i="127"/>
  <c r="AU22" i="127" a="1"/>
  <c r="AU22" i="127" s="1"/>
  <c r="AQ22" i="127"/>
  <c r="AB22" i="127"/>
  <c r="CR22" i="127" s="1"/>
  <c r="W22" i="127" a="1"/>
  <c r="W22" i="127" s="1"/>
  <c r="V22" i="127" a="1"/>
  <c r="V22" i="127" s="1"/>
  <c r="U22" i="127" a="1"/>
  <c r="U22" i="127" s="1"/>
  <c r="C22" i="127"/>
  <c r="AU21" i="127" a="1"/>
  <c r="AU21" i="127" s="1"/>
  <c r="AQ21" i="127"/>
  <c r="AG21" i="127"/>
  <c r="AB21" i="127"/>
  <c r="W21" i="127" a="1"/>
  <c r="W21" i="127" s="1"/>
  <c r="V21" i="127" a="1"/>
  <c r="V21" i="127" s="1"/>
  <c r="U21" i="127" a="1"/>
  <c r="U21" i="127" s="1"/>
  <c r="C21" i="127"/>
  <c r="AU20" i="127" a="1"/>
  <c r="AU20" i="127" s="1"/>
  <c r="AQ20" i="127"/>
  <c r="AG20" i="127"/>
  <c r="AB20" i="127"/>
  <c r="AX20" i="127" s="1"/>
  <c r="W20" i="127" a="1"/>
  <c r="W20" i="127" s="1"/>
  <c r="V20" i="127" a="1"/>
  <c r="V20" i="127" s="1"/>
  <c r="U20" i="127" a="1"/>
  <c r="U20" i="127" s="1"/>
  <c r="C20" i="127"/>
  <c r="AU19" i="127" a="1"/>
  <c r="AU19" i="127" s="1"/>
  <c r="AQ19" i="127"/>
  <c r="AG19" i="127"/>
  <c r="AB19" i="127"/>
  <c r="CR19" i="127" s="1"/>
  <c r="W19" i="127" a="1"/>
  <c r="W19" i="127" s="1"/>
  <c r="V19" i="127" a="1"/>
  <c r="V19" i="127" s="1"/>
  <c r="U19" i="127" a="1"/>
  <c r="U19" i="127" s="1"/>
  <c r="C19" i="127"/>
  <c r="AU18" i="127" a="1"/>
  <c r="AU18" i="127" s="1"/>
  <c r="AQ18" i="127"/>
  <c r="AG18" i="127"/>
  <c r="AB18" i="127"/>
  <c r="W18" i="127" a="1"/>
  <c r="W18" i="127" s="1"/>
  <c r="V18" i="127" a="1"/>
  <c r="V18" i="127" s="1"/>
  <c r="U18" i="127" a="1"/>
  <c r="U18" i="127" s="1"/>
  <c r="C18" i="127"/>
  <c r="AU17" i="127" a="1"/>
  <c r="AU17" i="127" s="1"/>
  <c r="AQ17" i="127"/>
  <c r="AG17" i="127"/>
  <c r="AB17" i="127"/>
  <c r="CR17" i="127" s="1"/>
  <c r="W17" i="127" a="1"/>
  <c r="W17" i="127" s="1"/>
  <c r="V17" i="127" a="1"/>
  <c r="V17" i="127" s="1"/>
  <c r="U17" i="127" a="1"/>
  <c r="U17" i="127" s="1"/>
  <c r="C17" i="127"/>
  <c r="AU16" i="127" a="1"/>
  <c r="AU16" i="127" s="1"/>
  <c r="AQ16" i="127"/>
  <c r="AG16" i="127"/>
  <c r="AB16" i="127"/>
  <c r="CR16" i="127" s="1"/>
  <c r="W16" i="127" a="1"/>
  <c r="W16" i="127" s="1"/>
  <c r="V16" i="127" a="1"/>
  <c r="V16" i="127" s="1"/>
  <c r="U16" i="127" a="1"/>
  <c r="U16" i="127" s="1"/>
  <c r="C16" i="127"/>
  <c r="AU15" i="127" a="1"/>
  <c r="AU15" i="127" s="1"/>
  <c r="AQ15" i="127"/>
  <c r="AG15" i="127"/>
  <c r="W15" i="127" a="1"/>
  <c r="W15" i="127" s="1"/>
  <c r="V15" i="127" a="1"/>
  <c r="V15" i="127" s="1"/>
  <c r="U15" i="127" a="1"/>
  <c r="U15" i="127" s="1"/>
  <c r="C15" i="127"/>
  <c r="AU14" i="127" a="1"/>
  <c r="AU14" i="127" s="1"/>
  <c r="AQ14" i="127"/>
  <c r="AG14" i="127"/>
  <c r="W14" i="127" a="1"/>
  <c r="W14" i="127" s="1"/>
  <c r="V14" i="127" a="1"/>
  <c r="V14" i="127" s="1"/>
  <c r="U14" i="127" a="1"/>
  <c r="U14" i="127" s="1"/>
  <c r="C14" i="127"/>
  <c r="AU13" i="127" a="1"/>
  <c r="AU13" i="127" s="1"/>
  <c r="AQ13" i="127"/>
  <c r="AG13" i="127"/>
  <c r="AB13" i="127"/>
  <c r="AX13" i="127" s="1"/>
  <c r="W13" i="127" a="1"/>
  <c r="W13" i="127" s="1"/>
  <c r="V13" i="127" a="1"/>
  <c r="V13" i="127" s="1"/>
  <c r="U13" i="127" a="1"/>
  <c r="U13" i="127" s="1"/>
  <c r="C13" i="127"/>
  <c r="AU12" i="127"/>
  <c r="AQ12" i="127"/>
  <c r="AJ12" i="127"/>
  <c r="AA43" i="127"/>
  <c r="AA44" i="127" s="1"/>
  <c r="W12" i="127" a="1"/>
  <c r="W12" i="127" s="1"/>
  <c r="V12" i="127" a="1"/>
  <c r="V12" i="127" s="1"/>
  <c r="U12" i="127" a="1"/>
  <c r="U12" i="127" s="1"/>
  <c r="C12" i="127"/>
  <c r="AJ11" i="127"/>
  <c r="D290" i="126"/>
  <c r="JJ224" i="126"/>
  <c r="BZ211" i="126"/>
  <c r="BW210" i="126"/>
  <c r="BQ210" i="126"/>
  <c r="BM210" i="126"/>
  <c r="P178" i="126"/>
  <c r="P179" i="126" s="1"/>
  <c r="P180" i="126" s="1"/>
  <c r="P181" i="126" s="1"/>
  <c r="P182" i="126" s="1"/>
  <c r="P183" i="126" s="1"/>
  <c r="P184" i="126" s="1"/>
  <c r="P185" i="126" s="1"/>
  <c r="P186" i="126" s="1"/>
  <c r="P187" i="126" s="1"/>
  <c r="P188" i="126" s="1"/>
  <c r="P189" i="126" s="1"/>
  <c r="P190" i="126" s="1"/>
  <c r="P191" i="126" s="1"/>
  <c r="P192" i="126" s="1"/>
  <c r="P193" i="126" s="1"/>
  <c r="P194" i="126" s="1"/>
  <c r="P195" i="126" s="1"/>
  <c r="P196" i="126" s="1"/>
  <c r="P197" i="126" s="1"/>
  <c r="P198" i="126" s="1"/>
  <c r="P199" i="126" s="1"/>
  <c r="P200" i="126" s="1"/>
  <c r="P201" i="126" s="1"/>
  <c r="P202" i="126" s="1"/>
  <c r="P203" i="126" s="1"/>
  <c r="P204" i="126" s="1"/>
  <c r="P205" i="126" s="1"/>
  <c r="P206" i="126" s="1"/>
  <c r="P207" i="126" s="1"/>
  <c r="P208" i="126" s="1"/>
  <c r="O178" i="126"/>
  <c r="O179" i="126" s="1"/>
  <c r="O180" i="126" s="1"/>
  <c r="O181" i="126" s="1"/>
  <c r="O182" i="126" s="1"/>
  <c r="O183" i="126" s="1"/>
  <c r="O184" i="126" s="1"/>
  <c r="O185" i="126" s="1"/>
  <c r="O186" i="126" s="1"/>
  <c r="O187" i="126" s="1"/>
  <c r="O188" i="126" s="1"/>
  <c r="O189" i="126" s="1"/>
  <c r="O190" i="126" s="1"/>
  <c r="O191" i="126" s="1"/>
  <c r="O192" i="126" s="1"/>
  <c r="O193" i="126" s="1"/>
  <c r="O194" i="126" s="1"/>
  <c r="O195" i="126" s="1"/>
  <c r="O196" i="126" s="1"/>
  <c r="O197" i="126" s="1"/>
  <c r="O198" i="126" s="1"/>
  <c r="O199" i="126" s="1"/>
  <c r="O200" i="126" s="1"/>
  <c r="O201" i="126" s="1"/>
  <c r="O202" i="126" s="1"/>
  <c r="O203" i="126" s="1"/>
  <c r="O204" i="126" s="1"/>
  <c r="O205" i="126" s="1"/>
  <c r="O206" i="126" s="1"/>
  <c r="O207" i="126" s="1"/>
  <c r="O208" i="126" s="1"/>
  <c r="Q177" i="126"/>
  <c r="O139" i="126"/>
  <c r="O140" i="126" s="1"/>
  <c r="O141" i="126" s="1"/>
  <c r="O142" i="126" s="1"/>
  <c r="O143" i="126" s="1"/>
  <c r="O144" i="126" s="1"/>
  <c r="O145" i="126" s="1"/>
  <c r="O146" i="126" s="1"/>
  <c r="O147" i="126" s="1"/>
  <c r="O148" i="126" s="1"/>
  <c r="O149" i="126" s="1"/>
  <c r="O150" i="126" s="1"/>
  <c r="O151" i="126" s="1"/>
  <c r="O152" i="126" s="1"/>
  <c r="O153" i="126" s="1"/>
  <c r="O154" i="126" s="1"/>
  <c r="O155" i="126" s="1"/>
  <c r="O156" i="126" s="1"/>
  <c r="O157" i="126" s="1"/>
  <c r="O158" i="126" s="1"/>
  <c r="O159" i="126" s="1"/>
  <c r="O160" i="126" s="1"/>
  <c r="O161" i="126" s="1"/>
  <c r="O162" i="126" s="1"/>
  <c r="O163" i="126" s="1"/>
  <c r="O164" i="126" s="1"/>
  <c r="O165" i="126" s="1"/>
  <c r="O166" i="126" s="1"/>
  <c r="T137" i="126"/>
  <c r="P136" i="126"/>
  <c r="P137" i="126" s="1"/>
  <c r="P138" i="126" s="1"/>
  <c r="P139" i="126" s="1"/>
  <c r="P140" i="126" s="1"/>
  <c r="P141" i="126" s="1"/>
  <c r="P142" i="126" s="1"/>
  <c r="P143" i="126" s="1"/>
  <c r="P144" i="126" s="1"/>
  <c r="P145" i="126" s="1"/>
  <c r="P146" i="126" s="1"/>
  <c r="P147" i="126" s="1"/>
  <c r="P148" i="126" s="1"/>
  <c r="P149" i="126" s="1"/>
  <c r="P150" i="126" s="1"/>
  <c r="P151" i="126" s="1"/>
  <c r="P152" i="126" s="1"/>
  <c r="P153" i="126" s="1"/>
  <c r="P154" i="126" s="1"/>
  <c r="P155" i="126" s="1"/>
  <c r="P156" i="126" s="1"/>
  <c r="P157" i="126" s="1"/>
  <c r="P158" i="126" s="1"/>
  <c r="P159" i="126" s="1"/>
  <c r="P160" i="126" s="1"/>
  <c r="P161" i="126" s="1"/>
  <c r="P162" i="126" s="1"/>
  <c r="P163" i="126" s="1"/>
  <c r="P164" i="126" s="1"/>
  <c r="P165" i="126" s="1"/>
  <c r="P166" i="126" s="1"/>
  <c r="O136" i="126"/>
  <c r="O137" i="126" s="1"/>
  <c r="O138" i="126" s="1"/>
  <c r="P132" i="126"/>
  <c r="O132" i="126"/>
  <c r="X95" i="126"/>
  <c r="X96" i="126" s="1"/>
  <c r="X97" i="126" s="1"/>
  <c r="X98" i="126" s="1"/>
  <c r="X99" i="126" s="1"/>
  <c r="X100" i="126" s="1"/>
  <c r="X101" i="126" s="1"/>
  <c r="X102" i="126" s="1"/>
  <c r="X103" i="126" s="1"/>
  <c r="X104" i="126" s="1"/>
  <c r="X105" i="126" s="1"/>
  <c r="X106" i="126" s="1"/>
  <c r="X107" i="126" s="1"/>
  <c r="X108" i="126" s="1"/>
  <c r="X109" i="126" s="1"/>
  <c r="X110" i="126" s="1"/>
  <c r="X111" i="126" s="1"/>
  <c r="X112" i="126" s="1"/>
  <c r="X113" i="126" s="1"/>
  <c r="X114" i="126" s="1"/>
  <c r="X115" i="126" s="1"/>
  <c r="X116" i="126" s="1"/>
  <c r="X117" i="126" s="1"/>
  <c r="X118" i="126" s="1"/>
  <c r="X119" i="126" s="1"/>
  <c r="X120" i="126" s="1"/>
  <c r="X121" i="126" s="1"/>
  <c r="X122" i="126" s="1"/>
  <c r="X123" i="126" s="1"/>
  <c r="X124" i="126" s="1"/>
  <c r="X125" i="126" s="1"/>
  <c r="W95" i="126"/>
  <c r="W96" i="126" s="1"/>
  <c r="W97" i="126" s="1"/>
  <c r="W98" i="126" s="1"/>
  <c r="W99" i="126" s="1"/>
  <c r="W100" i="126" s="1"/>
  <c r="W101" i="126" s="1"/>
  <c r="W102" i="126" s="1"/>
  <c r="W103" i="126" s="1"/>
  <c r="W104" i="126" s="1"/>
  <c r="W105" i="126" s="1"/>
  <c r="W106" i="126" s="1"/>
  <c r="W107" i="126" s="1"/>
  <c r="W108" i="126" s="1"/>
  <c r="W109" i="126" s="1"/>
  <c r="W110" i="126" s="1"/>
  <c r="W111" i="126" s="1"/>
  <c r="W112" i="126" s="1"/>
  <c r="W113" i="126" s="1"/>
  <c r="W114" i="126" s="1"/>
  <c r="W115" i="126" s="1"/>
  <c r="W116" i="126" s="1"/>
  <c r="W117" i="126" s="1"/>
  <c r="W118" i="126" s="1"/>
  <c r="W119" i="126" s="1"/>
  <c r="W120" i="126" s="1"/>
  <c r="W121" i="126" s="1"/>
  <c r="W122" i="126" s="1"/>
  <c r="W123" i="126" s="1"/>
  <c r="W124" i="126" s="1"/>
  <c r="W125" i="126" s="1"/>
  <c r="T95" i="126"/>
  <c r="T96" i="126" s="1"/>
  <c r="T97" i="126" s="1"/>
  <c r="T98" i="126" s="1"/>
  <c r="T99" i="126" s="1"/>
  <c r="T100" i="126" s="1"/>
  <c r="T101" i="126" s="1"/>
  <c r="T102" i="126" s="1"/>
  <c r="T103" i="126" s="1"/>
  <c r="T104" i="126" s="1"/>
  <c r="T105" i="126" s="1"/>
  <c r="T106" i="126" s="1"/>
  <c r="T107" i="126" s="1"/>
  <c r="T108" i="126" s="1"/>
  <c r="T109" i="126" s="1"/>
  <c r="T110" i="126" s="1"/>
  <c r="T111" i="126" s="1"/>
  <c r="T112" i="126" s="1"/>
  <c r="T113" i="126" s="1"/>
  <c r="T114" i="126" s="1"/>
  <c r="T115" i="126" s="1"/>
  <c r="T116" i="126" s="1"/>
  <c r="T117" i="126" s="1"/>
  <c r="T118" i="126" s="1"/>
  <c r="T119" i="126" s="1"/>
  <c r="T120" i="126" s="1"/>
  <c r="T121" i="126" s="1"/>
  <c r="T122" i="126" s="1"/>
  <c r="T123" i="126" s="1"/>
  <c r="T124" i="126" s="1"/>
  <c r="T125" i="126" s="1"/>
  <c r="S95" i="126"/>
  <c r="S96" i="126" s="1"/>
  <c r="S97" i="126" s="1"/>
  <c r="S98" i="126" s="1"/>
  <c r="S99" i="126" s="1"/>
  <c r="S100" i="126" s="1"/>
  <c r="S101" i="126" s="1"/>
  <c r="S102" i="126" s="1"/>
  <c r="S103" i="126" s="1"/>
  <c r="S104" i="126" s="1"/>
  <c r="S105" i="126" s="1"/>
  <c r="S106" i="126" s="1"/>
  <c r="S107" i="126" s="1"/>
  <c r="S108" i="126" s="1"/>
  <c r="S109" i="126" s="1"/>
  <c r="S110" i="126" s="1"/>
  <c r="S111" i="126" s="1"/>
  <c r="S112" i="126" s="1"/>
  <c r="S113" i="126" s="1"/>
  <c r="S114" i="126" s="1"/>
  <c r="S115" i="126" s="1"/>
  <c r="S116" i="126" s="1"/>
  <c r="S117" i="126" s="1"/>
  <c r="S118" i="126" s="1"/>
  <c r="S119" i="126" s="1"/>
  <c r="S120" i="126" s="1"/>
  <c r="S121" i="126" s="1"/>
  <c r="S122" i="126" s="1"/>
  <c r="S123" i="126" s="1"/>
  <c r="S124" i="126" s="1"/>
  <c r="S125" i="126" s="1"/>
  <c r="P95" i="126"/>
  <c r="P96" i="126" s="1"/>
  <c r="P97" i="126" s="1"/>
  <c r="P98" i="126" s="1"/>
  <c r="P99" i="126" s="1"/>
  <c r="P100" i="126" s="1"/>
  <c r="P101" i="126" s="1"/>
  <c r="P102" i="126" s="1"/>
  <c r="P103" i="126" s="1"/>
  <c r="P104" i="126" s="1"/>
  <c r="P105" i="126" s="1"/>
  <c r="P106" i="126" s="1"/>
  <c r="P107" i="126" s="1"/>
  <c r="P108" i="126" s="1"/>
  <c r="P109" i="126" s="1"/>
  <c r="P110" i="126" s="1"/>
  <c r="P111" i="126" s="1"/>
  <c r="P112" i="126" s="1"/>
  <c r="P113" i="126" s="1"/>
  <c r="P114" i="126" s="1"/>
  <c r="P115" i="126" s="1"/>
  <c r="P116" i="126" s="1"/>
  <c r="P117" i="126" s="1"/>
  <c r="P118" i="126" s="1"/>
  <c r="P119" i="126" s="1"/>
  <c r="P120" i="126" s="1"/>
  <c r="P121" i="126" s="1"/>
  <c r="P122" i="126" s="1"/>
  <c r="P123" i="126" s="1"/>
  <c r="P124" i="126" s="1"/>
  <c r="P125" i="126" s="1"/>
  <c r="O95" i="126"/>
  <c r="O96" i="126" s="1"/>
  <c r="O97" i="126" s="1"/>
  <c r="O98" i="126" s="1"/>
  <c r="O99" i="126" s="1"/>
  <c r="O100" i="126" s="1"/>
  <c r="O101" i="126" s="1"/>
  <c r="O102" i="126" s="1"/>
  <c r="O103" i="126" s="1"/>
  <c r="O104" i="126" s="1"/>
  <c r="O105" i="126" s="1"/>
  <c r="O106" i="126" s="1"/>
  <c r="O107" i="126" s="1"/>
  <c r="O108" i="126" s="1"/>
  <c r="O109" i="126" s="1"/>
  <c r="O110" i="126" s="1"/>
  <c r="O111" i="126" s="1"/>
  <c r="O112" i="126" s="1"/>
  <c r="O113" i="126" s="1"/>
  <c r="O114" i="126" s="1"/>
  <c r="O115" i="126" s="1"/>
  <c r="O116" i="126" s="1"/>
  <c r="O117" i="126" s="1"/>
  <c r="O118" i="126" s="1"/>
  <c r="O119" i="126" s="1"/>
  <c r="O120" i="126" s="1"/>
  <c r="O121" i="126" s="1"/>
  <c r="O122" i="126" s="1"/>
  <c r="O123" i="126" s="1"/>
  <c r="O124" i="126" s="1"/>
  <c r="O125" i="126" s="1"/>
  <c r="AB94" i="126"/>
  <c r="BF59" i="126"/>
  <c r="BF58" i="126"/>
  <c r="BF57" i="126"/>
  <c r="P54" i="126"/>
  <c r="P55" i="126" s="1"/>
  <c r="P56" i="126" s="1"/>
  <c r="P57" i="126" s="1"/>
  <c r="P58" i="126" s="1"/>
  <c r="P59" i="126" s="1"/>
  <c r="P60" i="126" s="1"/>
  <c r="P61" i="126" s="1"/>
  <c r="P62" i="126" s="1"/>
  <c r="P63" i="126" s="1"/>
  <c r="P64" i="126" s="1"/>
  <c r="P65" i="126" s="1"/>
  <c r="P66" i="126" s="1"/>
  <c r="P67" i="126" s="1"/>
  <c r="P68" i="126" s="1"/>
  <c r="P69" i="126" s="1"/>
  <c r="P70" i="126" s="1"/>
  <c r="P71" i="126" s="1"/>
  <c r="P72" i="126" s="1"/>
  <c r="P73" i="126" s="1"/>
  <c r="P74" i="126" s="1"/>
  <c r="P75" i="126" s="1"/>
  <c r="P76" i="126" s="1"/>
  <c r="P77" i="126" s="1"/>
  <c r="P78" i="126" s="1"/>
  <c r="P79" i="126" s="1"/>
  <c r="P80" i="126" s="1"/>
  <c r="P81" i="126" s="1"/>
  <c r="P82" i="126" s="1"/>
  <c r="P83" i="126" s="1"/>
  <c r="X53" i="126"/>
  <c r="X54" i="126" s="1"/>
  <c r="X55" i="126" s="1"/>
  <c r="X56" i="126" s="1"/>
  <c r="X57" i="126" s="1"/>
  <c r="X58" i="126" s="1"/>
  <c r="X59" i="126" s="1"/>
  <c r="X60" i="126" s="1"/>
  <c r="X61" i="126" s="1"/>
  <c r="X62" i="126" s="1"/>
  <c r="X63" i="126" s="1"/>
  <c r="X64" i="126" s="1"/>
  <c r="X65" i="126" s="1"/>
  <c r="X66" i="126" s="1"/>
  <c r="X67" i="126" s="1"/>
  <c r="X68" i="126" s="1"/>
  <c r="X69" i="126" s="1"/>
  <c r="X70" i="126" s="1"/>
  <c r="X71" i="126" s="1"/>
  <c r="X72" i="126" s="1"/>
  <c r="X73" i="126" s="1"/>
  <c r="X74" i="126" s="1"/>
  <c r="X75" i="126" s="1"/>
  <c r="X76" i="126" s="1"/>
  <c r="X77" i="126" s="1"/>
  <c r="X78" i="126" s="1"/>
  <c r="X79" i="126" s="1"/>
  <c r="X80" i="126" s="1"/>
  <c r="X81" i="126" s="1"/>
  <c r="X82" i="126" s="1"/>
  <c r="X83" i="126" s="1"/>
  <c r="W53" i="126"/>
  <c r="W54" i="126" s="1"/>
  <c r="W55" i="126" s="1"/>
  <c r="W56" i="126" s="1"/>
  <c r="W57" i="126" s="1"/>
  <c r="W58" i="126" s="1"/>
  <c r="W59" i="126" s="1"/>
  <c r="W60" i="126" s="1"/>
  <c r="W61" i="126" s="1"/>
  <c r="W62" i="126" s="1"/>
  <c r="W63" i="126" s="1"/>
  <c r="W64" i="126" s="1"/>
  <c r="W65" i="126" s="1"/>
  <c r="W66" i="126" s="1"/>
  <c r="W67" i="126" s="1"/>
  <c r="W68" i="126" s="1"/>
  <c r="W69" i="126" s="1"/>
  <c r="W70" i="126" s="1"/>
  <c r="W71" i="126" s="1"/>
  <c r="W72" i="126" s="1"/>
  <c r="W73" i="126" s="1"/>
  <c r="W74" i="126" s="1"/>
  <c r="W75" i="126" s="1"/>
  <c r="W76" i="126" s="1"/>
  <c r="W77" i="126" s="1"/>
  <c r="W78" i="126" s="1"/>
  <c r="W79" i="126" s="1"/>
  <c r="W80" i="126" s="1"/>
  <c r="W81" i="126" s="1"/>
  <c r="W82" i="126" s="1"/>
  <c r="W83" i="126" s="1"/>
  <c r="P53" i="126"/>
  <c r="O53" i="126"/>
  <c r="O54" i="126" s="1"/>
  <c r="O55" i="126" s="1"/>
  <c r="O56" i="126" s="1"/>
  <c r="O57" i="126" s="1"/>
  <c r="O58" i="126" s="1"/>
  <c r="O59" i="126" s="1"/>
  <c r="O60" i="126" s="1"/>
  <c r="O61" i="126" s="1"/>
  <c r="O62" i="126" s="1"/>
  <c r="O63" i="126" s="1"/>
  <c r="O64" i="126" s="1"/>
  <c r="O65" i="126" s="1"/>
  <c r="O66" i="126" s="1"/>
  <c r="O67" i="126" s="1"/>
  <c r="O68" i="126" s="1"/>
  <c r="O69" i="126" s="1"/>
  <c r="O70" i="126" s="1"/>
  <c r="O71" i="126" s="1"/>
  <c r="O72" i="126" s="1"/>
  <c r="O73" i="126" s="1"/>
  <c r="O74" i="126" s="1"/>
  <c r="O75" i="126" s="1"/>
  <c r="O76" i="126" s="1"/>
  <c r="O77" i="126" s="1"/>
  <c r="O78" i="126" s="1"/>
  <c r="O79" i="126" s="1"/>
  <c r="O80" i="126" s="1"/>
  <c r="O81" i="126" s="1"/>
  <c r="O82" i="126" s="1"/>
  <c r="O83" i="126" s="1"/>
  <c r="BC52" i="126"/>
  <c r="AX52" i="126"/>
  <c r="AW52" i="126"/>
  <c r="T52" i="126"/>
  <c r="T53" i="126" s="1"/>
  <c r="T54" i="126" s="1"/>
  <c r="T55" i="126" s="1"/>
  <c r="T56" i="126" s="1"/>
  <c r="T57" i="126" s="1"/>
  <c r="T58" i="126" s="1"/>
  <c r="T59" i="126" s="1"/>
  <c r="T60" i="126" s="1"/>
  <c r="T61" i="126" s="1"/>
  <c r="T62" i="126" s="1"/>
  <c r="T63" i="126" s="1"/>
  <c r="T64" i="126" s="1"/>
  <c r="T65" i="126" s="1"/>
  <c r="T66" i="126" s="1"/>
  <c r="T67" i="126" s="1"/>
  <c r="T68" i="126" s="1"/>
  <c r="T69" i="126" s="1"/>
  <c r="T70" i="126" s="1"/>
  <c r="T71" i="126" s="1"/>
  <c r="T72" i="126" s="1"/>
  <c r="T73" i="126" s="1"/>
  <c r="T74" i="126" s="1"/>
  <c r="T75" i="126" s="1"/>
  <c r="T76" i="126" s="1"/>
  <c r="T77" i="126" s="1"/>
  <c r="T78" i="126" s="1"/>
  <c r="T79" i="126" s="1"/>
  <c r="T80" i="126" s="1"/>
  <c r="T81" i="126" s="1"/>
  <c r="T82" i="126" s="1"/>
  <c r="T83" i="126" s="1"/>
  <c r="P51" i="126"/>
  <c r="GT50" i="126"/>
  <c r="X50" i="126"/>
  <c r="X51" i="126" s="1"/>
  <c r="T50" i="126"/>
  <c r="S50" i="126"/>
  <c r="S52" i="126" s="1"/>
  <c r="S53" i="126" s="1"/>
  <c r="S54" i="126" s="1"/>
  <c r="S55" i="126" s="1"/>
  <c r="S56" i="126" s="1"/>
  <c r="S57" i="126" s="1"/>
  <c r="S58" i="126" s="1"/>
  <c r="S59" i="126" s="1"/>
  <c r="S60" i="126" s="1"/>
  <c r="S61" i="126" s="1"/>
  <c r="S62" i="126" s="1"/>
  <c r="S63" i="126" s="1"/>
  <c r="S64" i="126" s="1"/>
  <c r="S65" i="126" s="1"/>
  <c r="S66" i="126" s="1"/>
  <c r="S67" i="126" s="1"/>
  <c r="S68" i="126" s="1"/>
  <c r="S69" i="126" s="1"/>
  <c r="S70" i="126" s="1"/>
  <c r="S71" i="126" s="1"/>
  <c r="S72" i="126" s="1"/>
  <c r="S73" i="126" s="1"/>
  <c r="S74" i="126" s="1"/>
  <c r="S75" i="126" s="1"/>
  <c r="S76" i="126" s="1"/>
  <c r="S77" i="126" s="1"/>
  <c r="S78" i="126" s="1"/>
  <c r="S79" i="126" s="1"/>
  <c r="S80" i="126" s="1"/>
  <c r="S81" i="126" s="1"/>
  <c r="S82" i="126" s="1"/>
  <c r="S83" i="126" s="1"/>
  <c r="P50" i="126"/>
  <c r="O50" i="126"/>
  <c r="O51" i="126" s="1"/>
  <c r="BW49" i="126"/>
  <c r="BM48" i="126"/>
  <c r="DY47" i="126"/>
  <c r="CG45" i="126"/>
  <c r="CF45" i="126"/>
  <c r="CE45" i="126"/>
  <c r="BX45" i="126"/>
  <c r="BW45" i="126"/>
  <c r="BV45" i="126"/>
  <c r="BU45" i="126"/>
  <c r="BT45" i="126"/>
  <c r="BS45" i="126"/>
  <c r="BR45" i="126"/>
  <c r="BQ45" i="126"/>
  <c r="BP45" i="126"/>
  <c r="BO45" i="126"/>
  <c r="BM45" i="126"/>
  <c r="BL45" i="126"/>
  <c r="BK45" i="126"/>
  <c r="BJ45" i="126"/>
  <c r="BI45" i="126"/>
  <c r="BH45" i="126"/>
  <c r="BG45" i="126"/>
  <c r="BF45" i="126"/>
  <c r="S45" i="126" s="1"/>
  <c r="BE45" i="126"/>
  <c r="BD45" i="126"/>
  <c r="BC45" i="126"/>
  <c r="BB45" i="126"/>
  <c r="BA45" i="126"/>
  <c r="AZ45" i="126"/>
  <c r="AY45" i="126"/>
  <c r="AX45" i="126"/>
  <c r="AW45" i="126"/>
  <c r="AV45" i="126"/>
  <c r="AU45" i="126"/>
  <c r="AT45" i="126"/>
  <c r="AS45" i="126"/>
  <c r="AR45" i="126"/>
  <c r="AQ45" i="126"/>
  <c r="AP45" i="126"/>
  <c r="AO45" i="126"/>
  <c r="AN45" i="126"/>
  <c r="AL45" i="126"/>
  <c r="AK45" i="126"/>
  <c r="AJ45" i="126"/>
  <c r="AI45" i="126"/>
  <c r="AH45" i="126"/>
  <c r="AG45" i="126"/>
  <c r="AF45" i="126"/>
  <c r="AE45" i="126"/>
  <c r="Z45" i="126"/>
  <c r="Y45" i="126"/>
  <c r="X45" i="126"/>
  <c r="W45" i="126"/>
  <c r="V45" i="126"/>
  <c r="U45" i="126"/>
  <c r="T45" i="126"/>
  <c r="R45" i="126"/>
  <c r="Q45" i="126"/>
  <c r="P45" i="126"/>
  <c r="O45" i="126"/>
  <c r="QB44" i="126"/>
  <c r="PR44" i="126"/>
  <c r="ON44" i="126"/>
  <c r="OL44" i="126"/>
  <c r="OH44" i="126"/>
  <c r="MT44" i="126"/>
  <c r="LU44" i="126"/>
  <c r="LE44" i="126"/>
  <c r="LA44" i="126"/>
  <c r="JF44" i="126"/>
  <c r="HM44" i="126"/>
  <c r="FQ44" i="126"/>
  <c r="CP44" i="126"/>
  <c r="CB44" i="126"/>
  <c r="BS44" i="126"/>
  <c r="BK44" i="126"/>
  <c r="BA44" i="126"/>
  <c r="AZ44" i="126"/>
  <c r="AL44" i="126"/>
  <c r="LK43" i="126"/>
  <c r="JM43" i="126"/>
  <c r="JG43" i="126"/>
  <c r="IR43" i="126"/>
  <c r="GX43" i="126"/>
  <c r="GO43" i="126"/>
  <c r="CN43" i="126"/>
  <c r="CG43" i="126"/>
  <c r="CD43" i="126"/>
  <c r="CA43" i="126"/>
  <c r="BX43" i="126"/>
  <c r="BU43" i="126"/>
  <c r="BR43" i="126"/>
  <c r="BO43" i="126"/>
  <c r="BK43" i="126"/>
  <c r="BE43" i="126"/>
  <c r="AY43" i="126"/>
  <c r="AP43" i="126"/>
  <c r="AJ43" i="126"/>
  <c r="AJ44" i="126" s="1"/>
  <c r="AI43" i="126"/>
  <c r="AI44" i="126" s="1"/>
  <c r="AB43" i="126"/>
  <c r="AA43" i="126"/>
  <c r="X43" i="126"/>
  <c r="W43" i="126"/>
  <c r="T43" i="126"/>
  <c r="T90" i="126" s="1"/>
  <c r="S43" i="126"/>
  <c r="S90" i="126" s="1"/>
  <c r="P43" i="126"/>
  <c r="P90" i="126" s="1"/>
  <c r="MI42" i="126"/>
  <c r="MI44" i="126" s="1"/>
  <c r="MF42" i="126"/>
  <c r="LR42" i="126"/>
  <c r="LR44" i="126" s="1"/>
  <c r="LC42" i="126"/>
  <c r="LC44" i="126" s="1"/>
  <c r="LA42" i="126"/>
  <c r="KZ42" i="126"/>
  <c r="KZ44" i="126" s="1"/>
  <c r="JL42" i="126"/>
  <c r="JL44" i="126" s="1"/>
  <c r="JF42" i="126"/>
  <c r="IO42" i="126"/>
  <c r="IF42" i="126"/>
  <c r="IF44" i="126" s="1"/>
  <c r="IE42" i="126"/>
  <c r="HY42" i="126"/>
  <c r="HM42" i="126"/>
  <c r="HK42" i="126"/>
  <c r="HG42" i="126"/>
  <c r="GA42" i="126"/>
  <c r="GA44" i="126" s="1"/>
  <c r="FY42" i="126"/>
  <c r="FY44" i="126" s="1"/>
  <c r="FU42" i="126"/>
  <c r="FU44" i="126" s="1"/>
  <c r="FT42" i="126"/>
  <c r="FT44" i="126" s="1"/>
  <c r="FA42" i="126"/>
  <c r="FA44" i="126" s="1"/>
  <c r="DF42" i="126"/>
  <c r="DF44" i="126" s="1"/>
  <c r="DE42" i="126"/>
  <c r="DE44" i="126" s="1"/>
  <c r="BZ42" i="126"/>
  <c r="BZ44" i="126" s="1"/>
  <c r="BN42" i="126"/>
  <c r="AK42" i="126"/>
  <c r="QB41" i="126"/>
  <c r="PY41" i="126"/>
  <c r="PY42" i="126" s="1"/>
  <c r="PY44" i="126" s="1"/>
  <c r="PW41" i="126"/>
  <c r="PW42" i="126" s="1"/>
  <c r="PW44" i="126" s="1"/>
  <c r="PU41" i="126"/>
  <c r="PT41" i="126"/>
  <c r="PT42" i="126" s="1"/>
  <c r="PT44" i="126" s="1"/>
  <c r="PS41" i="126"/>
  <c r="PS42" i="126" s="1"/>
  <c r="PS44" i="126" s="1"/>
  <c r="PR41" i="126"/>
  <c r="PR42" i="126" s="1"/>
  <c r="PQ41" i="126"/>
  <c r="PQ42" i="126" s="1"/>
  <c r="PQ44" i="126" s="1"/>
  <c r="PM41" i="126"/>
  <c r="PM42" i="126" s="1"/>
  <c r="PL41" i="126"/>
  <c r="PL42" i="126" s="1"/>
  <c r="PL44" i="126" s="1"/>
  <c r="PJ41" i="126"/>
  <c r="PJ42" i="126" s="1"/>
  <c r="PJ44" i="126" s="1"/>
  <c r="PI41" i="126"/>
  <c r="PI42" i="126" s="1"/>
  <c r="PI44" i="126" s="1"/>
  <c r="PF41" i="126"/>
  <c r="PF42" i="126" s="1"/>
  <c r="PF44" i="126" s="1"/>
  <c r="OZ41" i="126"/>
  <c r="OZ42" i="126" s="1"/>
  <c r="OZ44" i="126" s="1"/>
  <c r="OY41" i="126"/>
  <c r="OY42" i="126" s="1"/>
  <c r="OY44" i="126" s="1"/>
  <c r="OX41" i="126"/>
  <c r="OX42" i="126" s="1"/>
  <c r="OX44" i="126" s="1"/>
  <c r="OW41" i="126"/>
  <c r="OW42" i="126" s="1"/>
  <c r="OW44" i="126" s="1"/>
  <c r="OV41" i="126"/>
  <c r="OV42" i="126" s="1"/>
  <c r="OV44" i="126" s="1"/>
  <c r="OU41" i="126"/>
  <c r="OU42" i="126" s="1"/>
  <c r="OU44" i="126" s="1"/>
  <c r="OD41" i="126"/>
  <c r="OD42" i="126" s="1"/>
  <c r="NC41" i="126"/>
  <c r="NC42" i="126" s="1"/>
  <c r="NC44" i="126" s="1"/>
  <c r="MX41" i="126"/>
  <c r="MX42" i="126" s="1"/>
  <c r="MX44" i="126" s="1"/>
  <c r="MW41" i="126"/>
  <c r="MW42" i="126" s="1"/>
  <c r="MW44" i="126" s="1"/>
  <c r="MU41" i="126"/>
  <c r="MU42" i="126" s="1"/>
  <c r="MU44" i="126" s="1"/>
  <c r="MT41" i="126"/>
  <c r="MT42" i="126" s="1"/>
  <c r="MS41" i="126"/>
  <c r="MS42" i="126" s="1"/>
  <c r="MS44" i="126" s="1"/>
  <c r="MQ41" i="126"/>
  <c r="MQ42" i="126" s="1"/>
  <c r="MQ44" i="126" s="1"/>
  <c r="MP41" i="126"/>
  <c r="MP42" i="126" s="1"/>
  <c r="MP44" i="126" s="1"/>
  <c r="MO41" i="126"/>
  <c r="MO42" i="126" s="1"/>
  <c r="MO44" i="126" s="1"/>
  <c r="MN41" i="126"/>
  <c r="MN42" i="126" s="1"/>
  <c r="MN44" i="126" s="1"/>
  <c r="MM41" i="126"/>
  <c r="MM42" i="126" s="1"/>
  <c r="MM44" i="126" s="1"/>
  <c r="MK41" i="126"/>
  <c r="MK42" i="126" s="1"/>
  <c r="MK44" i="126" s="1"/>
  <c r="MJ41" i="126"/>
  <c r="MJ42" i="126" s="1"/>
  <c r="MJ44" i="126" s="1"/>
  <c r="MI41" i="126"/>
  <c r="MH41" i="126"/>
  <c r="MH42" i="126" s="1"/>
  <c r="MH44" i="126" s="1"/>
  <c r="MG41" i="126"/>
  <c r="MG42" i="126" s="1"/>
  <c r="MF41" i="126"/>
  <c r="ME41" i="126"/>
  <c r="ME42" i="126" s="1"/>
  <c r="ME44" i="126" s="1"/>
  <c r="MC41" i="126"/>
  <c r="MC42" i="126" s="1"/>
  <c r="MB41" i="126"/>
  <c r="MB42" i="126" s="1"/>
  <c r="MB44" i="126" s="1"/>
  <c r="MA41" i="126"/>
  <c r="MA42" i="126" s="1"/>
  <c r="MA44" i="126" s="1"/>
  <c r="LZ41" i="126"/>
  <c r="LZ42" i="126" s="1"/>
  <c r="LY41" i="126"/>
  <c r="LY42" i="126" s="1"/>
  <c r="LY44" i="126" s="1"/>
  <c r="LW41" i="126"/>
  <c r="LW42" i="126" s="1"/>
  <c r="LW44" i="126" s="1"/>
  <c r="LV41" i="126"/>
  <c r="LV42" i="126" s="1"/>
  <c r="LV44" i="126" s="1"/>
  <c r="LU41" i="126"/>
  <c r="LU42" i="126" s="1"/>
  <c r="LT41" i="126"/>
  <c r="LT42" i="126" s="1"/>
  <c r="LS41" i="126"/>
  <c r="LS42" i="126" s="1"/>
  <c r="LS44" i="126" s="1"/>
  <c r="LR41" i="126"/>
  <c r="LQ41" i="126"/>
  <c r="LQ42" i="126" s="1"/>
  <c r="LQ44" i="126" s="1"/>
  <c r="LP41" i="126"/>
  <c r="LP42" i="126" s="1"/>
  <c r="LP44" i="126" s="1"/>
  <c r="LO41" i="126"/>
  <c r="LO42" i="126" s="1"/>
  <c r="LO44" i="126" s="1"/>
  <c r="LN41" i="126"/>
  <c r="LN42" i="126" s="1"/>
  <c r="LN44" i="126" s="1"/>
  <c r="LM41" i="126"/>
  <c r="LM42" i="126" s="1"/>
  <c r="LL41" i="126"/>
  <c r="LL42" i="126" s="1"/>
  <c r="LG41" i="126"/>
  <c r="LG42" i="126" s="1"/>
  <c r="LG44" i="126" s="1"/>
  <c r="LF41" i="126"/>
  <c r="LF42" i="126" s="1"/>
  <c r="LF44" i="126" s="1"/>
  <c r="LD41" i="126"/>
  <c r="LD42" i="126" s="1"/>
  <c r="LD44" i="126" s="1"/>
  <c r="LC41" i="126"/>
  <c r="LB41" i="126"/>
  <c r="LB42" i="126" s="1"/>
  <c r="LB44" i="126" s="1"/>
  <c r="LA41" i="126"/>
  <c r="KZ41" i="126"/>
  <c r="KO41" i="126"/>
  <c r="KO42" i="126" s="1"/>
  <c r="KO44" i="126" s="1"/>
  <c r="KN41" i="126"/>
  <c r="KN42" i="126" s="1"/>
  <c r="KN44" i="126" s="1"/>
  <c r="JO41" i="126"/>
  <c r="JO42" i="126" s="1"/>
  <c r="JO44" i="126" s="1"/>
  <c r="JN41" i="126"/>
  <c r="JN42" i="126" s="1"/>
  <c r="JN44" i="126" s="1"/>
  <c r="JL41" i="126"/>
  <c r="JI41" i="126"/>
  <c r="JI42" i="126" s="1"/>
  <c r="JI44" i="126" s="1"/>
  <c r="JH41" i="126"/>
  <c r="JH42" i="126" s="1"/>
  <c r="JH44" i="126" s="1"/>
  <c r="JF41" i="126"/>
  <c r="JE41" i="126"/>
  <c r="JE42" i="126" s="1"/>
  <c r="JE44" i="126" s="1"/>
  <c r="JD41" i="126"/>
  <c r="JD42" i="126" s="1"/>
  <c r="JB41" i="126"/>
  <c r="JB42" i="126" s="1"/>
  <c r="IZ41" i="126"/>
  <c r="IZ42" i="126" s="1"/>
  <c r="IX41" i="126"/>
  <c r="IX42" i="126" s="1"/>
  <c r="H47" i="2" s="1"/>
  <c r="IW41" i="126"/>
  <c r="IW42" i="126" s="1"/>
  <c r="IV41" i="126"/>
  <c r="IV42" i="126" s="1"/>
  <c r="IU41" i="126"/>
  <c r="IU42" i="126" s="1"/>
  <c r="IT41" i="126"/>
  <c r="IT42" i="126" s="1"/>
  <c r="IS41" i="126"/>
  <c r="IS42" i="126" s="1"/>
  <c r="H44" i="2" s="1"/>
  <c r="IP41" i="126"/>
  <c r="IP42" i="126" s="1"/>
  <c r="IP44" i="126" s="1"/>
  <c r="IO41" i="126"/>
  <c r="IM41" i="126"/>
  <c r="IM42" i="126" s="1"/>
  <c r="IK41" i="126"/>
  <c r="IK42" i="126" s="1"/>
  <c r="II41" i="126"/>
  <c r="II42" i="126" s="1"/>
  <c r="IH41" i="126"/>
  <c r="IH42" i="126" s="1"/>
  <c r="IG41" i="126"/>
  <c r="IG42" i="126" s="1"/>
  <c r="IF41" i="126"/>
  <c r="IE41" i="126"/>
  <c r="ID41" i="126"/>
  <c r="ID42" i="126" s="1"/>
  <c r="IB41" i="126"/>
  <c r="IB42" i="126" s="1"/>
  <c r="IA41" i="126"/>
  <c r="IA42" i="126" s="1"/>
  <c r="HZ41" i="126"/>
  <c r="HZ42" i="126" s="1"/>
  <c r="HY41" i="126"/>
  <c r="HX41" i="126"/>
  <c r="HX42" i="126" s="1"/>
  <c r="HV41" i="126"/>
  <c r="HV42" i="126" s="1"/>
  <c r="HT41" i="126"/>
  <c r="HT42" i="126" s="1"/>
  <c r="HS41" i="126"/>
  <c r="HS42" i="126" s="1"/>
  <c r="HR41" i="126"/>
  <c r="HR42" i="126" s="1"/>
  <c r="HQ41" i="126"/>
  <c r="HQ42" i="126" s="1"/>
  <c r="HP41" i="126"/>
  <c r="HP42" i="126" s="1"/>
  <c r="HO41" i="126"/>
  <c r="HO42" i="126" s="1"/>
  <c r="HM41" i="126"/>
  <c r="HK41" i="126"/>
  <c r="HI41" i="126"/>
  <c r="HI42" i="126" s="1"/>
  <c r="HG41" i="126"/>
  <c r="HE41" i="126"/>
  <c r="HE42" i="126" s="1"/>
  <c r="HD41" i="126"/>
  <c r="HD42" i="126" s="1"/>
  <c r="HD44" i="126" s="1"/>
  <c r="HC41" i="126"/>
  <c r="HC42" i="126" s="1"/>
  <c r="HB41" i="126"/>
  <c r="HB42" i="126" s="1"/>
  <c r="HB44" i="126" s="1"/>
  <c r="HA41" i="126"/>
  <c r="HA42" i="126" s="1"/>
  <c r="GY41" i="126"/>
  <c r="GY42" i="126" s="1"/>
  <c r="GY44" i="126" s="1"/>
  <c r="GS41" i="126"/>
  <c r="GS42" i="126" s="1"/>
  <c r="GS44" i="126" s="1"/>
  <c r="GR41" i="126"/>
  <c r="GR42" i="126" s="1"/>
  <c r="GR44" i="126" s="1"/>
  <c r="GQ41" i="126"/>
  <c r="GQ42" i="126" s="1"/>
  <c r="GQ44" i="126" s="1"/>
  <c r="GP41" i="126"/>
  <c r="GP42" i="126" s="1"/>
  <c r="GP44" i="126" s="1"/>
  <c r="GK41" i="126"/>
  <c r="GK42" i="126" s="1"/>
  <c r="GK44" i="126" s="1"/>
  <c r="GJ41" i="126"/>
  <c r="GJ42" i="126" s="1"/>
  <c r="GJ44" i="126" s="1"/>
  <c r="GG41" i="126"/>
  <c r="GG42" i="126" s="1"/>
  <c r="GG44" i="126" s="1"/>
  <c r="GC41" i="126"/>
  <c r="GC42" i="126" s="1"/>
  <c r="GC44" i="126" s="1"/>
  <c r="GA41" i="126"/>
  <c r="FY41" i="126"/>
  <c r="FW41" i="126"/>
  <c r="FW42" i="126" s="1"/>
  <c r="FW44" i="126" s="1"/>
  <c r="FU41" i="126"/>
  <c r="FT41" i="126"/>
  <c r="FS41" i="126"/>
  <c r="FS42" i="126" s="1"/>
  <c r="FS44" i="126" s="1"/>
  <c r="FR41" i="126"/>
  <c r="FR42" i="126" s="1"/>
  <c r="FR44" i="126" s="1"/>
  <c r="FQ41" i="126"/>
  <c r="FQ42" i="126" s="1"/>
  <c r="FP41" i="126"/>
  <c r="FP42" i="126" s="1"/>
  <c r="FP44" i="126" s="1"/>
  <c r="FN41" i="126"/>
  <c r="FN42" i="126" s="1"/>
  <c r="FN44" i="126" s="1"/>
  <c r="FM41" i="126"/>
  <c r="FM42" i="126" s="1"/>
  <c r="FM44" i="126" s="1"/>
  <c r="FL41" i="126"/>
  <c r="FL42" i="126" s="1"/>
  <c r="FL44" i="126" s="1"/>
  <c r="FK41" i="126"/>
  <c r="FK42" i="126" s="1"/>
  <c r="FK44" i="126" s="1"/>
  <c r="FJ41" i="126"/>
  <c r="FJ42" i="126" s="1"/>
  <c r="FJ44" i="126" s="1"/>
  <c r="FI41" i="126"/>
  <c r="FI42" i="126" s="1"/>
  <c r="FI44" i="126" s="1"/>
  <c r="FH41" i="126"/>
  <c r="FH42" i="126" s="1"/>
  <c r="FH44" i="126" s="1"/>
  <c r="FG41" i="126"/>
  <c r="FG42" i="126" s="1"/>
  <c r="FG44" i="126" s="1"/>
  <c r="FB41" i="126"/>
  <c r="FB42" i="126" s="1"/>
  <c r="FB44" i="126" s="1"/>
  <c r="FA41" i="126"/>
  <c r="EY41" i="126"/>
  <c r="EY42" i="126" s="1"/>
  <c r="EY44" i="126" s="1"/>
  <c r="EX41" i="126"/>
  <c r="EX42" i="126" s="1"/>
  <c r="EX44" i="126" s="1"/>
  <c r="EW41" i="126"/>
  <c r="EW42" i="126" s="1"/>
  <c r="EW44" i="126" s="1"/>
  <c r="EV41" i="126"/>
  <c r="EV42" i="126" s="1"/>
  <c r="EV44" i="126" s="1"/>
  <c r="EU41" i="126"/>
  <c r="EU42" i="126" s="1"/>
  <c r="EU44" i="126" s="1"/>
  <c r="ET41" i="126"/>
  <c r="ET42" i="126" s="1"/>
  <c r="ET44" i="126" s="1"/>
  <c r="EQ41" i="126"/>
  <c r="EQ42" i="126" s="1"/>
  <c r="EQ44" i="126" s="1"/>
  <c r="EO41" i="126"/>
  <c r="EO42" i="126" s="1"/>
  <c r="EO44" i="126" s="1"/>
  <c r="EN41" i="126"/>
  <c r="EN42" i="126" s="1"/>
  <c r="EM41" i="126"/>
  <c r="EM42" i="126" s="1"/>
  <c r="EM44" i="126" s="1"/>
  <c r="EK41" i="126"/>
  <c r="EK42" i="126" s="1"/>
  <c r="EK44" i="126" s="1"/>
  <c r="EJ41" i="126"/>
  <c r="EI41" i="126"/>
  <c r="EI42" i="126" s="1"/>
  <c r="EH41" i="126"/>
  <c r="EH42" i="126" s="1"/>
  <c r="EG41" i="126"/>
  <c r="EG42" i="126" s="1"/>
  <c r="EG44" i="126" s="1"/>
  <c r="DZ41" i="126"/>
  <c r="DZ42" i="126" s="1"/>
  <c r="DZ44" i="126" s="1"/>
  <c r="DX41" i="126"/>
  <c r="DX42" i="126" s="1"/>
  <c r="DX44" i="126" s="1"/>
  <c r="DV41" i="126"/>
  <c r="DV42" i="126" s="1"/>
  <c r="DV44" i="126" s="1"/>
  <c r="DT41" i="126"/>
  <c r="DT42" i="126" s="1"/>
  <c r="DT44" i="126" s="1"/>
  <c r="DR41" i="126"/>
  <c r="DR42" i="126" s="1"/>
  <c r="DO41" i="126"/>
  <c r="DO42" i="126" s="1"/>
  <c r="DJ41" i="126"/>
  <c r="DJ42" i="126" s="1"/>
  <c r="DJ44" i="126" s="1"/>
  <c r="DH41" i="126"/>
  <c r="DH42" i="126" s="1"/>
  <c r="DH44" i="126" s="1"/>
  <c r="DF41" i="126"/>
  <c r="DE41" i="126"/>
  <c r="CQ41" i="126"/>
  <c r="CQ42" i="126" s="1"/>
  <c r="CQ44" i="126" s="1"/>
  <c r="CP41" i="126"/>
  <c r="CO41" i="126"/>
  <c r="CO42" i="126" s="1"/>
  <c r="CO44" i="126" s="1"/>
  <c r="CM41" i="126"/>
  <c r="CM42" i="126" s="1"/>
  <c r="CM44" i="126" s="1"/>
  <c r="CL41" i="126"/>
  <c r="CL42" i="126" s="1"/>
  <c r="CK41" i="126"/>
  <c r="CK42" i="126" s="1"/>
  <c r="CJ41" i="126"/>
  <c r="CJ42" i="126" s="1"/>
  <c r="CJ44" i="126" s="1"/>
  <c r="CI41" i="126"/>
  <c r="CH41" i="126"/>
  <c r="CH42" i="126" s="1"/>
  <c r="CH44" i="126" s="1"/>
  <c r="CF41" i="126"/>
  <c r="CG41" i="126" s="1"/>
  <c r="CG42" i="126" s="1"/>
  <c r="CG44" i="126" s="1"/>
  <c r="CE41" i="126"/>
  <c r="CE42" i="126" s="1"/>
  <c r="CC41" i="126"/>
  <c r="CB41" i="126"/>
  <c r="BZ41" i="126"/>
  <c r="BY41" i="126"/>
  <c r="CA41" i="126" s="1"/>
  <c r="BV41" i="126"/>
  <c r="BV42" i="126" s="1"/>
  <c r="BU41" i="126"/>
  <c r="BU42" i="126" s="1"/>
  <c r="BU44" i="126" s="1"/>
  <c r="BT41" i="126"/>
  <c r="BT42" i="126" s="1"/>
  <c r="BT44" i="126" s="1"/>
  <c r="BS41" i="126"/>
  <c r="BS42" i="126" s="1"/>
  <c r="BS48" i="126" s="1"/>
  <c r="BP41" i="126"/>
  <c r="BP42" i="126" s="1"/>
  <c r="BP44" i="126" s="1"/>
  <c r="BN41" i="126"/>
  <c r="BL41" i="126"/>
  <c r="BL42" i="126" s="1"/>
  <c r="BK41" i="126"/>
  <c r="BK42" i="126" s="1"/>
  <c r="BJ41" i="126"/>
  <c r="BJ42" i="126" s="1"/>
  <c r="BJ44" i="126" s="1"/>
  <c r="BI41" i="126"/>
  <c r="BI42" i="126" s="1"/>
  <c r="BI44" i="126" s="1"/>
  <c r="BH41" i="126"/>
  <c r="BH42" i="126" s="1"/>
  <c r="BH44" i="126" s="1"/>
  <c r="BG41" i="126"/>
  <c r="BG42" i="126" s="1"/>
  <c r="BG44" i="126" s="1"/>
  <c r="BF41" i="126"/>
  <c r="BC41" i="126"/>
  <c r="BC42" i="126" s="1"/>
  <c r="BB41" i="126"/>
  <c r="BB42" i="126" s="1"/>
  <c r="BB44" i="126" s="1"/>
  <c r="BA41" i="126"/>
  <c r="BA42" i="126" s="1"/>
  <c r="AZ41" i="126"/>
  <c r="AZ42" i="126" s="1"/>
  <c r="AW41" i="126"/>
  <c r="AW42" i="126" s="1"/>
  <c r="AW48" i="126" s="1"/>
  <c r="AU41" i="126"/>
  <c r="AU42" i="126" s="1"/>
  <c r="AU44" i="126" s="1"/>
  <c r="AT41" i="126"/>
  <c r="AV41" i="126" s="1"/>
  <c r="AV42" i="126" s="1"/>
  <c r="AV44" i="126" s="1"/>
  <c r="AR41" i="126"/>
  <c r="AR42" i="126" s="1"/>
  <c r="AR44" i="126" s="1"/>
  <c r="AQ41" i="126"/>
  <c r="AQ42" i="126" s="1"/>
  <c r="AO41" i="126"/>
  <c r="AN41" i="126"/>
  <c r="AN42" i="126" s="1"/>
  <c r="AN44" i="126" s="1"/>
  <c r="AM41" i="126"/>
  <c r="AM42" i="126" s="1"/>
  <c r="AM44" i="126" s="1"/>
  <c r="AL41" i="126"/>
  <c r="AL42" i="126" s="1"/>
  <c r="AJ41" i="126"/>
  <c r="AI41" i="126"/>
  <c r="AK41" i="126" s="1"/>
  <c r="AH41" i="126"/>
  <c r="AH42" i="126" s="1"/>
  <c r="AH44" i="126" s="1"/>
  <c r="AF41" i="126"/>
  <c r="AF42" i="126" s="1"/>
  <c r="AF44" i="126" s="1"/>
  <c r="AE41" i="126"/>
  <c r="AE42" i="126" s="1"/>
  <c r="AG42" i="126" s="1"/>
  <c r="AG44" i="126" s="1"/>
  <c r="Z41" i="126"/>
  <c r="Z42" i="126" s="1"/>
  <c r="Z44" i="126" s="1"/>
  <c r="V41" i="126"/>
  <c r="V42" i="126" s="1"/>
  <c r="V44" i="126" s="1"/>
  <c r="R41" i="126"/>
  <c r="R42" i="126" s="1"/>
  <c r="R44" i="126" s="1"/>
  <c r="N41" i="126"/>
  <c r="N42" i="126" s="1"/>
  <c r="M41" i="126"/>
  <c r="M42" i="126" s="1"/>
  <c r="L41" i="126"/>
  <c r="L42" i="126" s="1"/>
  <c r="K41" i="126"/>
  <c r="K42" i="126" s="1"/>
  <c r="J41" i="126"/>
  <c r="J42" i="126" s="1"/>
  <c r="J44" i="126" s="1"/>
  <c r="I41" i="126"/>
  <c r="I42" i="126" s="1"/>
  <c r="H41" i="126"/>
  <c r="H42" i="126" s="1"/>
  <c r="RR40" i="126"/>
  <c r="RG40" i="126"/>
  <c r="RF40" i="126"/>
  <c r="RE40" i="126"/>
  <c r="RD40" i="126"/>
  <c r="RC40" i="126"/>
  <c r="RB40" i="126"/>
  <c r="QZ40" i="126"/>
  <c r="QY40" i="126"/>
  <c r="QX40" i="126"/>
  <c r="QW40" i="126"/>
  <c r="QV40" i="126"/>
  <c r="QU40" i="126"/>
  <c r="QP40" i="126"/>
  <c r="QA40" i="126"/>
  <c r="PA40" i="126"/>
  <c r="PA41" i="126" s="1"/>
  <c r="PA42" i="126" s="1"/>
  <c r="PA44" i="126" s="1"/>
  <c r="MV40" i="126"/>
  <c r="MD40" i="126"/>
  <c r="LX40" i="126"/>
  <c r="LJ40" i="126"/>
  <c r="LI40" i="126"/>
  <c r="LH40" i="126"/>
  <c r="HW40" i="126" a="1"/>
  <c r="HW40" i="126" s="1"/>
  <c r="HU40" i="126" a="1"/>
  <c r="HU40" i="126" s="1"/>
  <c r="GE40" i="126" a="1"/>
  <c r="GE40" i="126" s="1"/>
  <c r="GI40" i="126" s="1"/>
  <c r="FE40" i="126" s="1"/>
  <c r="FV40" i="126"/>
  <c r="FD40" i="126" s="1"/>
  <c r="FO40" i="126"/>
  <c r="FC40" i="126"/>
  <c r="EZ40" i="126"/>
  <c r="ES40" i="126"/>
  <c r="DC40" i="126"/>
  <c r="DA40" i="126"/>
  <c r="CY40" i="126"/>
  <c r="CW40" i="126"/>
  <c r="CV40" i="126"/>
  <c r="CU40" i="126"/>
  <c r="CT40" i="126"/>
  <c r="CS40" i="126"/>
  <c r="CR40" i="126"/>
  <c r="CG40" i="126"/>
  <c r="CD40" i="126"/>
  <c r="CA40" i="126"/>
  <c r="BX40" i="126"/>
  <c r="X40" i="126"/>
  <c r="BU40" i="126"/>
  <c r="BK40" i="126"/>
  <c r="BH40" i="126"/>
  <c r="BB40" i="126"/>
  <c r="AV40" i="126"/>
  <c r="AS40" i="126"/>
  <c r="AP40" i="126"/>
  <c r="AK40" i="126"/>
  <c r="AG40" i="126"/>
  <c r="AA40" i="126"/>
  <c r="W40" i="126"/>
  <c r="Y40" i="126" s="1"/>
  <c r="S40" i="126"/>
  <c r="O40" i="126"/>
  <c r="RR39" i="126"/>
  <c r="RG39" i="126"/>
  <c r="RF39" i="126"/>
  <c r="RE39" i="126"/>
  <c r="RD39" i="126"/>
  <c r="RC39" i="126"/>
  <c r="RB39" i="126"/>
  <c r="QZ39" i="126"/>
  <c r="QY39" i="126"/>
  <c r="QX39" i="126"/>
  <c r="QW39" i="126"/>
  <c r="QV39" i="126"/>
  <c r="QU39" i="126"/>
  <c r="QP39" i="126"/>
  <c r="QA39" i="126"/>
  <c r="PA39" i="126"/>
  <c r="MV39" i="126"/>
  <c r="MD39" i="126"/>
  <c r="LX39" i="126"/>
  <c r="LJ39" i="126"/>
  <c r="LI39" i="126"/>
  <c r="LH39" i="126"/>
  <c r="HW39" i="126" a="1"/>
  <c r="HW39" i="126" s="1"/>
  <c r="HU39" i="126" a="1"/>
  <c r="HU39" i="126" s="1"/>
  <c r="GE39" i="126" a="1"/>
  <c r="GE39" i="126" s="1"/>
  <c r="GI39" i="126" s="1"/>
  <c r="FE39" i="126" s="1"/>
  <c r="FV39" i="126"/>
  <c r="FD39" i="126" s="1"/>
  <c r="FO39" i="126"/>
  <c r="FC39" i="126" s="1"/>
  <c r="EZ39" i="126"/>
  <c r="ES39" i="126"/>
  <c r="DC39" i="126"/>
  <c r="DA39" i="126"/>
  <c r="CY39" i="126"/>
  <c r="CW39" i="126"/>
  <c r="CV39" i="126"/>
  <c r="CU39" i="126"/>
  <c r="CT39" i="126"/>
  <c r="CS39" i="126"/>
  <c r="CR39" i="126"/>
  <c r="CG39" i="126"/>
  <c r="CD39" i="126"/>
  <c r="CA39" i="126"/>
  <c r="BU39" i="126"/>
  <c r="BK39" i="126"/>
  <c r="BH39" i="126"/>
  <c r="BB39" i="126"/>
  <c r="AV39" i="126"/>
  <c r="AS39" i="126"/>
  <c r="AP39" i="126"/>
  <c r="AK39" i="126"/>
  <c r="AG39" i="126"/>
  <c r="AA39" i="126"/>
  <c r="W39" i="126"/>
  <c r="S39" i="126"/>
  <c r="O39" i="126"/>
  <c r="C39" i="126"/>
  <c r="RR38" i="126"/>
  <c r="RG38" i="126"/>
  <c r="RF38" i="126"/>
  <c r="RE38" i="126"/>
  <c r="RD38" i="126"/>
  <c r="RC38" i="126"/>
  <c r="RB38" i="126"/>
  <c r="QZ38" i="126"/>
  <c r="QY38" i="126"/>
  <c r="QX38" i="126"/>
  <c r="QW38" i="126"/>
  <c r="QV38" i="126"/>
  <c r="QU38" i="126"/>
  <c r="QP38" i="126"/>
  <c r="QA38" i="126"/>
  <c r="PA38" i="126"/>
  <c r="NI38" i="126"/>
  <c r="NI39" i="126" s="1"/>
  <c r="NI40" i="126" s="1"/>
  <c r="NI41" i="126" s="1"/>
  <c r="NI42" i="126" s="1"/>
  <c r="MV38" i="126"/>
  <c r="MD38" i="126"/>
  <c r="LX38" i="126"/>
  <c r="LJ38" i="126"/>
  <c r="LI38" i="126"/>
  <c r="LH38" i="126"/>
  <c r="HW38" i="126" a="1"/>
  <c r="HW38" i="126" s="1"/>
  <c r="HU38" i="126" a="1"/>
  <c r="HU38" i="126" s="1"/>
  <c r="GE38" i="126"/>
  <c r="GI38" i="126" s="1"/>
  <c r="FE38" i="126" s="1"/>
  <c r="GE38" i="126" a="1"/>
  <c r="FV38" i="126"/>
  <c r="FD38" i="126" s="1"/>
  <c r="FO38" i="126"/>
  <c r="FC38" i="126" s="1"/>
  <c r="EZ38" i="126"/>
  <c r="ES38" i="126"/>
  <c r="DC38" i="126"/>
  <c r="DA38" i="126"/>
  <c r="CY38" i="126"/>
  <c r="CW38" i="126"/>
  <c r="CV38" i="126"/>
  <c r="CU38" i="126"/>
  <c r="CT38" i="126"/>
  <c r="CS38" i="126"/>
  <c r="CR38" i="126"/>
  <c r="CG38" i="126"/>
  <c r="CD38" i="126"/>
  <c r="CA38" i="126"/>
  <c r="BX38" i="126"/>
  <c r="X38" i="126"/>
  <c r="BU38" i="126"/>
  <c r="BK38" i="126"/>
  <c r="BH38" i="126"/>
  <c r="BB38" i="126"/>
  <c r="AV38" i="126"/>
  <c r="AS38" i="126"/>
  <c r="AP38" i="126"/>
  <c r="AK38" i="126"/>
  <c r="AG38" i="126"/>
  <c r="AA38" i="126"/>
  <c r="W38" i="126"/>
  <c r="S38" i="126"/>
  <c r="O38" i="126"/>
  <c r="RR37" i="126"/>
  <c r="RG37" i="126"/>
  <c r="RF37" i="126"/>
  <c r="RE37" i="126"/>
  <c r="RD37" i="126"/>
  <c r="RC37" i="126"/>
  <c r="RB37" i="126"/>
  <c r="QZ37" i="126"/>
  <c r="QY37" i="126"/>
  <c r="QX37" i="126"/>
  <c r="QW37" i="126"/>
  <c r="QV37" i="126"/>
  <c r="QU37" i="126"/>
  <c r="QP37" i="126"/>
  <c r="QA37" i="126"/>
  <c r="PA37" i="126"/>
  <c r="NO37" i="126"/>
  <c r="NO38" i="126" s="1"/>
  <c r="NO39" i="126" s="1"/>
  <c r="NO40" i="126" s="1"/>
  <c r="NO41" i="126" s="1"/>
  <c r="NO42" i="126" s="1"/>
  <c r="NM37" i="126"/>
  <c r="NM38" i="126" s="1"/>
  <c r="NM39" i="126" s="1"/>
  <c r="NM40" i="126" s="1"/>
  <c r="NM41" i="126" s="1"/>
  <c r="NM42" i="126" s="1"/>
  <c r="NL37" i="126"/>
  <c r="NL38" i="126" s="1"/>
  <c r="NL39" i="126" s="1"/>
  <c r="NL40" i="126" s="1"/>
  <c r="NL41" i="126" s="1"/>
  <c r="NL42" i="126" s="1"/>
  <c r="NL44" i="126" s="1"/>
  <c r="NK37" i="126"/>
  <c r="NK38" i="126" s="1"/>
  <c r="NK39" i="126" s="1"/>
  <c r="NK40" i="126" s="1"/>
  <c r="NK41" i="126" s="1"/>
  <c r="NK42" i="126" s="1"/>
  <c r="NJ37" i="126"/>
  <c r="NJ38" i="126" s="1"/>
  <c r="NJ39" i="126" s="1"/>
  <c r="NJ40" i="126" s="1"/>
  <c r="NJ41" i="126" s="1"/>
  <c r="NJ42" i="126" s="1"/>
  <c r="NJ44" i="126" s="1"/>
  <c r="NI37" i="126"/>
  <c r="MV37" i="126"/>
  <c r="MD37" i="126"/>
  <c r="LX37" i="126"/>
  <c r="LJ37" i="126"/>
  <c r="LI37" i="126"/>
  <c r="LH37" i="126"/>
  <c r="HW37" i="126" a="1"/>
  <c r="HW37" i="126" s="1"/>
  <c r="HU37" i="126" a="1"/>
  <c r="HU37" i="126" s="1"/>
  <c r="GE37" i="126" a="1"/>
  <c r="GE37" i="126" s="1"/>
  <c r="GI37" i="126" s="1"/>
  <c r="FE37" i="126" s="1"/>
  <c r="FV37" i="126"/>
  <c r="FD37" i="126" s="1"/>
  <c r="FO37" i="126"/>
  <c r="FC37" i="126" s="1"/>
  <c r="EZ37" i="126"/>
  <c r="ES37" i="126"/>
  <c r="DC37" i="126"/>
  <c r="DA37" i="126"/>
  <c r="CY37" i="126"/>
  <c r="CW37" i="126"/>
  <c r="CV37" i="126"/>
  <c r="CU37" i="126"/>
  <c r="CT37" i="126"/>
  <c r="CS37" i="126"/>
  <c r="CR37" i="126"/>
  <c r="CG37" i="126"/>
  <c r="CD37" i="126"/>
  <c r="CA37" i="126"/>
  <c r="BX37" i="126"/>
  <c r="BU37" i="126"/>
  <c r="BK37" i="126"/>
  <c r="BH37" i="126"/>
  <c r="BB37" i="126"/>
  <c r="AV37" i="126"/>
  <c r="AS37" i="126"/>
  <c r="AP37" i="126"/>
  <c r="AK37" i="126"/>
  <c r="AG37" i="126"/>
  <c r="AA37" i="126"/>
  <c r="X37" i="126"/>
  <c r="W37" i="126"/>
  <c r="S37" i="126"/>
  <c r="O37" i="126"/>
  <c r="RR36" i="126"/>
  <c r="RG36" i="126"/>
  <c r="RF36" i="126"/>
  <c r="RE36" i="126"/>
  <c r="RD36" i="126"/>
  <c r="RC36" i="126"/>
  <c r="RB36" i="126"/>
  <c r="QZ36" i="126"/>
  <c r="QY36" i="126"/>
  <c r="QX36" i="126"/>
  <c r="QW36" i="126"/>
  <c r="QV36" i="126"/>
  <c r="QU36" i="126"/>
  <c r="QP36" i="126"/>
  <c r="QA36" i="126"/>
  <c r="PA36" i="126"/>
  <c r="MV36" i="126"/>
  <c r="MD36" i="126"/>
  <c r="LX36" i="126"/>
  <c r="LJ36" i="126"/>
  <c r="LI36" i="126"/>
  <c r="LH36" i="126"/>
  <c r="HW36" i="126" a="1"/>
  <c r="HW36" i="126" s="1"/>
  <c r="HU36" i="126" a="1"/>
  <c r="HU36" i="126" s="1"/>
  <c r="GE36" i="126"/>
  <c r="GI36" i="126" s="1"/>
  <c r="FE36" i="126" s="1"/>
  <c r="GE36" i="126" a="1"/>
  <c r="FV36" i="126"/>
  <c r="FD36" i="126" s="1"/>
  <c r="FO36" i="126"/>
  <c r="FC36" i="126" s="1"/>
  <c r="EZ36" i="126"/>
  <c r="ES36" i="126"/>
  <c r="DC36" i="126"/>
  <c r="DA36" i="126"/>
  <c r="CY36" i="126"/>
  <c r="CW36" i="126"/>
  <c r="CV36" i="126"/>
  <c r="CU36" i="126"/>
  <c r="CT36" i="126"/>
  <c r="CS36" i="126"/>
  <c r="CR36" i="126"/>
  <c r="CG36" i="126"/>
  <c r="CD36" i="126"/>
  <c r="CA36" i="126"/>
  <c r="BX36" i="126"/>
  <c r="BU36" i="126"/>
  <c r="BK36" i="126"/>
  <c r="BH36" i="126"/>
  <c r="BB36" i="126"/>
  <c r="AV36" i="126"/>
  <c r="AS36" i="126"/>
  <c r="AP36" i="126"/>
  <c r="AK36" i="126"/>
  <c r="AG36" i="126"/>
  <c r="AA36" i="126"/>
  <c r="X36" i="126"/>
  <c r="W36" i="126"/>
  <c r="Y36" i="126" s="1"/>
  <c r="S36" i="126"/>
  <c r="O36" i="126"/>
  <c r="RR35" i="126"/>
  <c r="RG35" i="126"/>
  <c r="RF35" i="126"/>
  <c r="RE35" i="126"/>
  <c r="RD35" i="126"/>
  <c r="RC35" i="126"/>
  <c r="RB35" i="126"/>
  <c r="QZ35" i="126"/>
  <c r="QY35" i="126"/>
  <c r="QX35" i="126"/>
  <c r="QW35" i="126"/>
  <c r="QV35" i="126"/>
  <c r="QU35" i="126"/>
  <c r="QP35" i="126"/>
  <c r="QA35" i="126"/>
  <c r="PA35" i="126"/>
  <c r="MV35" i="126"/>
  <c r="MD35" i="126"/>
  <c r="LX35" i="126"/>
  <c r="LJ35" i="126"/>
  <c r="LI35" i="126"/>
  <c r="LH35" i="126"/>
  <c r="HW35" i="126" a="1"/>
  <c r="HW35" i="126" s="1"/>
  <c r="HU35" i="126" a="1"/>
  <c r="HU35" i="126" s="1"/>
  <c r="PN35" i="126"/>
  <c r="SH35" i="126" s="1"/>
  <c r="GE35" i="126" a="1"/>
  <c r="GE35" i="126" s="1"/>
  <c r="GI35" i="126" s="1"/>
  <c r="FE35" i="126" s="1"/>
  <c r="FV35" i="126"/>
  <c r="FO35" i="126"/>
  <c r="FC35" i="126" s="1"/>
  <c r="FD35" i="126"/>
  <c r="EZ35" i="126"/>
  <c r="ES35" i="126"/>
  <c r="DB35" i="126"/>
  <c r="DC35" i="126"/>
  <c r="DA35" i="126"/>
  <c r="CY35" i="126"/>
  <c r="CW35" i="126"/>
  <c r="CV35" i="126"/>
  <c r="CU35" i="126"/>
  <c r="CT35" i="126"/>
  <c r="CS35" i="126"/>
  <c r="CR35" i="126"/>
  <c r="CG35" i="126"/>
  <c r="CD35" i="126"/>
  <c r="CA35" i="126"/>
  <c r="BU35" i="126"/>
  <c r="BK35" i="126"/>
  <c r="BH35" i="126"/>
  <c r="BB35" i="126"/>
  <c r="AV35" i="126"/>
  <c r="AS35" i="126"/>
  <c r="AP35" i="126"/>
  <c r="AK35" i="126"/>
  <c r="AG35" i="126"/>
  <c r="AA35" i="126"/>
  <c r="W35" i="126"/>
  <c r="S35" i="126"/>
  <c r="O35" i="126"/>
  <c r="RR34" i="126"/>
  <c r="RG34" i="126"/>
  <c r="RF34" i="126"/>
  <c r="RE34" i="126"/>
  <c r="RD34" i="126"/>
  <c r="RC34" i="126"/>
  <c r="RB34" i="126"/>
  <c r="QZ34" i="126"/>
  <c r="QY34" i="126"/>
  <c r="QX34" i="126"/>
  <c r="QW34" i="126"/>
  <c r="QV34" i="126"/>
  <c r="QU34" i="126"/>
  <c r="QP34" i="126"/>
  <c r="QA34" i="126"/>
  <c r="PA34" i="126"/>
  <c r="MV34" i="126"/>
  <c r="MD34" i="126"/>
  <c r="LX34" i="126"/>
  <c r="LJ34" i="126"/>
  <c r="LI34" i="126"/>
  <c r="LH34" i="126"/>
  <c r="LK34" i="126" s="1"/>
  <c r="HW34" i="126" a="1"/>
  <c r="HW34" i="126" s="1"/>
  <c r="HU34" i="126" a="1"/>
  <c r="HU34" i="126" s="1"/>
  <c r="GE34" i="126" a="1"/>
  <c r="GE34" i="126" s="1"/>
  <c r="GI34" i="126" s="1"/>
  <c r="FE34" i="126" s="1"/>
  <c r="FV34" i="126"/>
  <c r="FO34" i="126"/>
  <c r="FC34" i="126" s="1"/>
  <c r="FD34" i="126"/>
  <c r="EZ34" i="126"/>
  <c r="ES34" i="126"/>
  <c r="DC34" i="126"/>
  <c r="DA34" i="126"/>
  <c r="CY34" i="126"/>
  <c r="CW34" i="126"/>
  <c r="CV34" i="126"/>
  <c r="CU34" i="126"/>
  <c r="CT34" i="126"/>
  <c r="CS34" i="126"/>
  <c r="CR34" i="126"/>
  <c r="CG34" i="126"/>
  <c r="CD34" i="126"/>
  <c r="CA34" i="126"/>
  <c r="X34" i="126"/>
  <c r="BU34" i="126"/>
  <c r="BK34" i="126"/>
  <c r="BH34" i="126"/>
  <c r="BB34" i="126"/>
  <c r="AV34" i="126"/>
  <c r="AS34" i="126"/>
  <c r="AP34" i="126"/>
  <c r="AK34" i="126"/>
  <c r="AG34" i="126"/>
  <c r="AA34" i="126"/>
  <c r="W34" i="126"/>
  <c r="S34" i="126"/>
  <c r="O34" i="126"/>
  <c r="RR33" i="126"/>
  <c r="RG33" i="126"/>
  <c r="RF33" i="126"/>
  <c r="RE33" i="126"/>
  <c r="RD33" i="126"/>
  <c r="RC33" i="126"/>
  <c r="RB33" i="126"/>
  <c r="QZ33" i="126"/>
  <c r="QY33" i="126"/>
  <c r="QX33" i="126"/>
  <c r="QW33" i="126"/>
  <c r="QV33" i="126"/>
  <c r="QU33" i="126"/>
  <c r="QP33" i="126"/>
  <c r="PZ33" i="126"/>
  <c r="QA33" i="126"/>
  <c r="PA33" i="126"/>
  <c r="MV33" i="126"/>
  <c r="MD33" i="126"/>
  <c r="LX33" i="126"/>
  <c r="LJ33" i="126"/>
  <c r="LI33" i="126"/>
  <c r="LH33" i="126"/>
  <c r="HW33" i="126" a="1"/>
  <c r="HW33" i="126" s="1"/>
  <c r="HU33" i="126" a="1"/>
  <c r="HU33" i="126" s="1"/>
  <c r="GE33" i="126" a="1"/>
  <c r="GE33" i="126" s="1"/>
  <c r="GI33" i="126" s="1"/>
  <c r="FE33" i="126" s="1"/>
  <c r="FF33" i="126" s="1"/>
  <c r="FV33" i="126"/>
  <c r="FO33" i="126"/>
  <c r="FC33" i="126" s="1"/>
  <c r="FD33" i="126"/>
  <c r="EZ33" i="126"/>
  <c r="ES33" i="126"/>
  <c r="DC33" i="126"/>
  <c r="DA33" i="126"/>
  <c r="CY33" i="126"/>
  <c r="CW33" i="126"/>
  <c r="CV33" i="126"/>
  <c r="CU33" i="126"/>
  <c r="CT33" i="126"/>
  <c r="CS33" i="126"/>
  <c r="CR33" i="126"/>
  <c r="CG33" i="126"/>
  <c r="CD33" i="126"/>
  <c r="CA33" i="126"/>
  <c r="BU33" i="126"/>
  <c r="BK33" i="126"/>
  <c r="BH33" i="126"/>
  <c r="BB33" i="126"/>
  <c r="AV33" i="126"/>
  <c r="AS33" i="126"/>
  <c r="AP33" i="126"/>
  <c r="AK33" i="126"/>
  <c r="AG33" i="126"/>
  <c r="AA33" i="126"/>
  <c r="W33" i="126"/>
  <c r="S33" i="126"/>
  <c r="O33" i="126"/>
  <c r="C33" i="126" s="1"/>
  <c r="RR32" i="126"/>
  <c r="RG32" i="126"/>
  <c r="RF32" i="126"/>
  <c r="RE32" i="126"/>
  <c r="RD32" i="126"/>
  <c r="RC32" i="126"/>
  <c r="RB32" i="126"/>
  <c r="QZ32" i="126"/>
  <c r="QY32" i="126"/>
  <c r="QX32" i="126"/>
  <c r="QW32" i="126"/>
  <c r="QV32" i="126"/>
  <c r="QU32" i="126"/>
  <c r="QP32" i="126"/>
  <c r="PZ32" i="126"/>
  <c r="QA32" i="126"/>
  <c r="PA32" i="126"/>
  <c r="MV32" i="126"/>
  <c r="MD32" i="126"/>
  <c r="LX32" i="126"/>
  <c r="LJ32" i="126"/>
  <c r="LI32" i="126"/>
  <c r="LH32" i="126"/>
  <c r="HW32" i="126" a="1"/>
  <c r="HW32" i="126" s="1"/>
  <c r="HU32" i="126" a="1"/>
  <c r="HU32" i="126" s="1"/>
  <c r="GE32" i="126"/>
  <c r="GI32" i="126" s="1"/>
  <c r="FE32" i="126" s="1"/>
  <c r="GE32" i="126" a="1"/>
  <c r="FV32" i="126"/>
  <c r="FO32" i="126"/>
  <c r="FC32" i="126" s="1"/>
  <c r="FD32" i="126"/>
  <c r="EZ32" i="126"/>
  <c r="ES32" i="126"/>
  <c r="DC32" i="126"/>
  <c r="DA32" i="126"/>
  <c r="CY32" i="126"/>
  <c r="CW32" i="126"/>
  <c r="CV32" i="126"/>
  <c r="CU32" i="126"/>
  <c r="CT32" i="126"/>
  <c r="CS32" i="126"/>
  <c r="CR32" i="126"/>
  <c r="CG32" i="126"/>
  <c r="CD32" i="126"/>
  <c r="CA32" i="126"/>
  <c r="BX32" i="126"/>
  <c r="X32" i="126"/>
  <c r="BU32" i="126"/>
  <c r="BK32" i="126"/>
  <c r="BH32" i="126"/>
  <c r="BB32" i="126"/>
  <c r="AV32" i="126"/>
  <c r="AS32" i="126"/>
  <c r="AP32" i="126"/>
  <c r="AK32" i="126"/>
  <c r="AG32" i="126"/>
  <c r="AA32" i="126"/>
  <c r="W32" i="126"/>
  <c r="S32" i="126"/>
  <c r="O32" i="126"/>
  <c r="RR31" i="126"/>
  <c r="RG31" i="126"/>
  <c r="RF31" i="126"/>
  <c r="RE31" i="126"/>
  <c r="RD31" i="126"/>
  <c r="RC31" i="126"/>
  <c r="RB31" i="126"/>
  <c r="QZ31" i="126"/>
  <c r="QY31" i="126"/>
  <c r="QX31" i="126"/>
  <c r="QW31" i="126"/>
  <c r="QV31" i="126"/>
  <c r="QU31" i="126"/>
  <c r="QP31" i="126"/>
  <c r="PN31" i="126"/>
  <c r="SH31" i="126" s="1"/>
  <c r="QA31" i="126"/>
  <c r="PA31" i="126"/>
  <c r="NK31" i="126"/>
  <c r="NK32" i="126" s="1"/>
  <c r="NK33" i="126" s="1"/>
  <c r="NK34" i="126" s="1"/>
  <c r="NK35" i="126" s="1"/>
  <c r="MV31" i="126"/>
  <c r="MD31" i="126"/>
  <c r="LX31" i="126"/>
  <c r="LJ31" i="126"/>
  <c r="LI31" i="126"/>
  <c r="LH31" i="126"/>
  <c r="LK31" i="126" s="1"/>
  <c r="HW31" i="126" a="1"/>
  <c r="HW31" i="126" s="1"/>
  <c r="HU31" i="126" a="1"/>
  <c r="HU31" i="126" s="1"/>
  <c r="GE31" i="126" a="1"/>
  <c r="GE31" i="126" s="1"/>
  <c r="GI31" i="126" s="1"/>
  <c r="FE31" i="126" s="1"/>
  <c r="FV31" i="126"/>
  <c r="FO31" i="126"/>
  <c r="FC31" i="126" s="1"/>
  <c r="FD31" i="126"/>
  <c r="EZ31" i="126"/>
  <c r="ES31" i="126"/>
  <c r="DC31" i="126"/>
  <c r="DA31" i="126"/>
  <c r="CY31" i="126"/>
  <c r="CW31" i="126"/>
  <c r="CV31" i="126"/>
  <c r="CU31" i="126"/>
  <c r="CT31" i="126"/>
  <c r="CS31" i="126"/>
  <c r="CR31" i="126"/>
  <c r="CG31" i="126"/>
  <c r="CD31" i="126"/>
  <c r="CA31" i="126"/>
  <c r="BU31" i="126"/>
  <c r="BO31" i="126"/>
  <c r="BK31" i="126"/>
  <c r="BH31" i="126"/>
  <c r="BB31" i="126"/>
  <c r="AV31" i="126"/>
  <c r="AS31" i="126"/>
  <c r="AP31" i="126"/>
  <c r="AK31" i="126"/>
  <c r="AG31" i="126"/>
  <c r="AA31" i="126"/>
  <c r="W31" i="126"/>
  <c r="T31" i="126"/>
  <c r="S31" i="126"/>
  <c r="O31" i="126"/>
  <c r="RR30" i="126"/>
  <c r="RG30" i="126"/>
  <c r="RF30" i="126"/>
  <c r="RE30" i="126"/>
  <c r="RD30" i="126"/>
  <c r="RC30" i="126"/>
  <c r="RB30" i="126"/>
  <c r="QZ30" i="126"/>
  <c r="QY30" i="126"/>
  <c r="QX30" i="126"/>
  <c r="QW30" i="126"/>
  <c r="QV30" i="126"/>
  <c r="QU30" i="126"/>
  <c r="QP30" i="126"/>
  <c r="QA30" i="126"/>
  <c r="PA30" i="126"/>
  <c r="MV30" i="126"/>
  <c r="MD30" i="126"/>
  <c r="LX30" i="126"/>
  <c r="LJ30" i="126"/>
  <c r="LI30" i="126"/>
  <c r="LH30" i="126"/>
  <c r="HW30" i="126" a="1"/>
  <c r="HW30" i="126" s="1"/>
  <c r="HU30" i="126" a="1"/>
  <c r="HU30" i="126" s="1"/>
  <c r="GE30" i="126" a="1"/>
  <c r="GE30" i="126" s="1"/>
  <c r="GI30" i="126" s="1"/>
  <c r="FE30" i="126" s="1"/>
  <c r="FV30" i="126"/>
  <c r="FD30" i="126" s="1"/>
  <c r="FO30" i="126"/>
  <c r="FC30" i="126" s="1"/>
  <c r="EZ30" i="126"/>
  <c r="ES30" i="126"/>
  <c r="DC30" i="126"/>
  <c r="DA30" i="126"/>
  <c r="CY30" i="126"/>
  <c r="CW30" i="126"/>
  <c r="CV30" i="126"/>
  <c r="CU30" i="126"/>
  <c r="CT30" i="126"/>
  <c r="CS30" i="126"/>
  <c r="CR30" i="126"/>
  <c r="CG30" i="126"/>
  <c r="CD30" i="126"/>
  <c r="CA30" i="126"/>
  <c r="BU30" i="126"/>
  <c r="BK30" i="126"/>
  <c r="BH30" i="126"/>
  <c r="BB30" i="126"/>
  <c r="AV30" i="126"/>
  <c r="AS30" i="126"/>
  <c r="AP30" i="126"/>
  <c r="AK30" i="126"/>
  <c r="AG30" i="126"/>
  <c r="AA30" i="126"/>
  <c r="W30" i="126"/>
  <c r="S30" i="126"/>
  <c r="O30" i="126"/>
  <c r="RR29" i="126"/>
  <c r="RG29" i="126"/>
  <c r="RF29" i="126"/>
  <c r="RE29" i="126"/>
  <c r="RD29" i="126"/>
  <c r="RC29" i="126"/>
  <c r="RB29" i="126"/>
  <c r="QZ29" i="126"/>
  <c r="QY29" i="126"/>
  <c r="QX29" i="126"/>
  <c r="QW29" i="126"/>
  <c r="QV29" i="126"/>
  <c r="QU29" i="126"/>
  <c r="QP29" i="126"/>
  <c r="QA29" i="126"/>
  <c r="PA29" i="126"/>
  <c r="MV29" i="126"/>
  <c r="MD29" i="126"/>
  <c r="LX29" i="126"/>
  <c r="LJ29" i="126"/>
  <c r="LI29" i="126"/>
  <c r="LH29" i="126"/>
  <c r="LK29" i="126" s="1"/>
  <c r="HW29" i="126" a="1"/>
  <c r="HW29" i="126" s="1"/>
  <c r="HU29" i="126" a="1"/>
  <c r="HU29" i="126" s="1"/>
  <c r="GE29" i="126"/>
  <c r="GI29" i="126" s="1"/>
  <c r="FE29" i="126" s="1"/>
  <c r="GE29" i="126" a="1"/>
  <c r="FV29" i="126"/>
  <c r="FO29" i="126"/>
  <c r="FC29" i="126" s="1"/>
  <c r="FD29" i="126"/>
  <c r="EZ29" i="126"/>
  <c r="ES29" i="126"/>
  <c r="DC29" i="126"/>
  <c r="DA29" i="126"/>
  <c r="CY29" i="126"/>
  <c r="CW29" i="126"/>
  <c r="CV29" i="126"/>
  <c r="CU29" i="126"/>
  <c r="CT29" i="126"/>
  <c r="CS29" i="126"/>
  <c r="CR29" i="126"/>
  <c r="CG29" i="126"/>
  <c r="CD29" i="126"/>
  <c r="CA29" i="126"/>
  <c r="BU29" i="126"/>
  <c r="BK29" i="126"/>
  <c r="BH29" i="126"/>
  <c r="BB29" i="126"/>
  <c r="AV29" i="126"/>
  <c r="AS29" i="126"/>
  <c r="AP29" i="126"/>
  <c r="AK29" i="126"/>
  <c r="AG29" i="126"/>
  <c r="AA29" i="126"/>
  <c r="W29" i="126"/>
  <c r="S29" i="126"/>
  <c r="O29" i="126"/>
  <c r="RR28" i="126"/>
  <c r="RG28" i="126"/>
  <c r="RF28" i="126"/>
  <c r="RE28" i="126"/>
  <c r="RD28" i="126"/>
  <c r="RC28" i="126"/>
  <c r="RB28" i="126"/>
  <c r="QZ28" i="126"/>
  <c r="QY28" i="126"/>
  <c r="QX28" i="126"/>
  <c r="QW28" i="126"/>
  <c r="QV28" i="126"/>
  <c r="QU28" i="126"/>
  <c r="QP28" i="126"/>
  <c r="QA28" i="126"/>
  <c r="PA28" i="126"/>
  <c r="MV28" i="126"/>
  <c r="MD28" i="126"/>
  <c r="LX28" i="126"/>
  <c r="LJ28" i="126"/>
  <c r="LI28" i="126"/>
  <c r="LH28" i="126"/>
  <c r="HW28" i="126" a="1"/>
  <c r="HW28" i="126" s="1"/>
  <c r="HU28" i="126" a="1"/>
  <c r="HU28" i="126" s="1"/>
  <c r="GE28" i="126" a="1"/>
  <c r="GE28" i="126" s="1"/>
  <c r="GI28" i="126" s="1"/>
  <c r="FE28" i="126" s="1"/>
  <c r="FV28" i="126"/>
  <c r="FO28" i="126"/>
  <c r="FC28" i="126" s="1"/>
  <c r="FD28" i="126"/>
  <c r="EZ28" i="126"/>
  <c r="ES28" i="126"/>
  <c r="DC28" i="126"/>
  <c r="DA28" i="126"/>
  <c r="CY28" i="126"/>
  <c r="CW28" i="126"/>
  <c r="CV28" i="126"/>
  <c r="CU28" i="126"/>
  <c r="CT28" i="126"/>
  <c r="CS28" i="126"/>
  <c r="CR28" i="126"/>
  <c r="CG28" i="126"/>
  <c r="CD28" i="126"/>
  <c r="CA28" i="126"/>
  <c r="X28" i="126"/>
  <c r="BU28" i="126"/>
  <c r="BK28" i="126"/>
  <c r="BH28" i="126"/>
  <c r="BE28" i="126"/>
  <c r="BB28" i="126"/>
  <c r="AV28" i="126"/>
  <c r="AS28" i="126"/>
  <c r="AP28" i="126"/>
  <c r="AK28" i="126"/>
  <c r="AG28" i="126"/>
  <c r="AA28" i="126"/>
  <c r="W28" i="126"/>
  <c r="S28" i="126"/>
  <c r="O28" i="126"/>
  <c r="RR27" i="126"/>
  <c r="RG27" i="126"/>
  <c r="RF27" i="126"/>
  <c r="RE27" i="126"/>
  <c r="RD27" i="126"/>
  <c r="RC27" i="126"/>
  <c r="RB27" i="126"/>
  <c r="QZ27" i="126"/>
  <c r="QY27" i="126"/>
  <c r="QX27" i="126"/>
  <c r="QW27" i="126"/>
  <c r="QV27" i="126"/>
  <c r="QU27" i="126"/>
  <c r="QP27" i="126"/>
  <c r="QA27" i="126"/>
  <c r="PA27" i="126"/>
  <c r="MV27" i="126"/>
  <c r="MD27" i="126"/>
  <c r="LX27" i="126"/>
  <c r="LJ27" i="126"/>
  <c r="LI27" i="126"/>
  <c r="LH27" i="126"/>
  <c r="HW27" i="126" a="1"/>
  <c r="HW27" i="126" s="1"/>
  <c r="HU27" i="126" a="1"/>
  <c r="HU27" i="126" s="1"/>
  <c r="GE27" i="126" a="1"/>
  <c r="GE27" i="126" s="1"/>
  <c r="GI27" i="126" s="1"/>
  <c r="FE27" i="126" s="1"/>
  <c r="FV27" i="126"/>
  <c r="FD27" i="126" s="1"/>
  <c r="FO27" i="126"/>
  <c r="FC27" i="126" s="1"/>
  <c r="EZ27" i="126"/>
  <c r="ES27" i="126"/>
  <c r="DC27" i="126"/>
  <c r="DA27" i="126"/>
  <c r="CY27" i="126"/>
  <c r="CW27" i="126"/>
  <c r="CV27" i="126"/>
  <c r="CU27" i="126"/>
  <c r="CT27" i="126"/>
  <c r="CS27" i="126"/>
  <c r="CR27" i="126"/>
  <c r="CG27" i="126"/>
  <c r="CD27" i="126"/>
  <c r="CA27" i="126"/>
  <c r="BX27" i="126"/>
  <c r="BU27" i="126"/>
  <c r="BO27" i="126"/>
  <c r="BK27" i="126"/>
  <c r="BH27" i="126"/>
  <c r="BB27" i="126"/>
  <c r="AV27" i="126"/>
  <c r="AS27" i="126"/>
  <c r="AP27" i="126"/>
  <c r="AK27" i="126"/>
  <c r="AG27" i="126"/>
  <c r="AA27" i="126"/>
  <c r="W27" i="126"/>
  <c r="S27" i="126"/>
  <c r="O27" i="126"/>
  <c r="RR26" i="126"/>
  <c r="RG26" i="126"/>
  <c r="RF26" i="126"/>
  <c r="RE26" i="126"/>
  <c r="RD26" i="126"/>
  <c r="RC26" i="126"/>
  <c r="RB26" i="126"/>
  <c r="QZ26" i="126"/>
  <c r="QY26" i="126"/>
  <c r="QX26" i="126"/>
  <c r="QW26" i="126"/>
  <c r="QV26" i="126"/>
  <c r="QU26" i="126"/>
  <c r="QP26" i="126"/>
  <c r="QA26" i="126"/>
  <c r="PA26" i="126"/>
  <c r="MV26" i="126"/>
  <c r="MD26" i="126"/>
  <c r="LX26" i="126"/>
  <c r="LJ26" i="126"/>
  <c r="LI26" i="126"/>
  <c r="LH26" i="126"/>
  <c r="HW26" i="126" a="1"/>
  <c r="HW26" i="126" s="1"/>
  <c r="HU26" i="126" a="1"/>
  <c r="HU26" i="126" s="1"/>
  <c r="GE26" i="126" a="1"/>
  <c r="GE26" i="126" s="1"/>
  <c r="GI26" i="126" s="1"/>
  <c r="FE26" i="126" s="1"/>
  <c r="FV26" i="126"/>
  <c r="FD26" i="126" s="1"/>
  <c r="FO26" i="126"/>
  <c r="FC26" i="126"/>
  <c r="EZ26" i="126"/>
  <c r="ES26" i="126"/>
  <c r="BX26" i="126" s="1"/>
  <c r="DC26" i="126"/>
  <c r="DA26" i="126"/>
  <c r="CY26" i="126"/>
  <c r="CW26" i="126"/>
  <c r="CV26" i="126"/>
  <c r="CU26" i="126"/>
  <c r="CT26" i="126"/>
  <c r="CS26" i="126"/>
  <c r="CR26" i="126"/>
  <c r="CG26" i="126"/>
  <c r="CD26" i="126"/>
  <c r="CA26" i="126"/>
  <c r="BU26" i="126"/>
  <c r="BK26" i="126"/>
  <c r="BH26" i="126"/>
  <c r="BB26" i="126"/>
  <c r="AV26" i="126"/>
  <c r="AS26" i="126"/>
  <c r="AP26" i="126"/>
  <c r="AK26" i="126"/>
  <c r="AG26" i="126"/>
  <c r="AA26" i="126"/>
  <c r="X26" i="126"/>
  <c r="W26" i="126"/>
  <c r="S26" i="126"/>
  <c r="O26" i="126"/>
  <c r="RR25" i="126"/>
  <c r="RG25" i="126"/>
  <c r="RF25" i="126"/>
  <c r="RE25" i="126"/>
  <c r="RD25" i="126"/>
  <c r="RC25" i="126"/>
  <c r="RB25" i="126"/>
  <c r="QZ25" i="126"/>
  <c r="QY25" i="126"/>
  <c r="QX25" i="126"/>
  <c r="QW25" i="126"/>
  <c r="QV25" i="126"/>
  <c r="QU25" i="126"/>
  <c r="QP25" i="126"/>
  <c r="QA25" i="126"/>
  <c r="PA25" i="126"/>
  <c r="MV25" i="126"/>
  <c r="MD25" i="126"/>
  <c r="LX25" i="126"/>
  <c r="LJ25" i="126"/>
  <c r="LI25" i="126"/>
  <c r="LH25" i="126"/>
  <c r="HW25" i="126" a="1"/>
  <c r="HW25" i="126" s="1"/>
  <c r="HU25" i="126" a="1"/>
  <c r="HU25" i="126" s="1"/>
  <c r="GE25" i="126" a="1"/>
  <c r="GE25" i="126" s="1"/>
  <c r="GI25" i="126" s="1"/>
  <c r="FE25" i="126" s="1"/>
  <c r="FV25" i="126"/>
  <c r="FD25" i="126" s="1"/>
  <c r="FO25" i="126"/>
  <c r="FC25" i="126" s="1"/>
  <c r="EZ25" i="126"/>
  <c r="ES25" i="126"/>
  <c r="DC25" i="126"/>
  <c r="DA25" i="126"/>
  <c r="CY25" i="126"/>
  <c r="CW25" i="126"/>
  <c r="CV25" i="126"/>
  <c r="CU25" i="126"/>
  <c r="CT25" i="126"/>
  <c r="CS25" i="126"/>
  <c r="CR25" i="126"/>
  <c r="CG25" i="126"/>
  <c r="CD25" i="126"/>
  <c r="CA25" i="126"/>
  <c r="BX25" i="126"/>
  <c r="X25" i="126"/>
  <c r="BU25" i="126"/>
  <c r="BK25" i="126"/>
  <c r="BH25" i="126"/>
  <c r="BB25" i="126"/>
  <c r="AV25" i="126"/>
  <c r="AS25" i="126"/>
  <c r="AP25" i="126"/>
  <c r="AK25" i="126"/>
  <c r="AG25" i="126"/>
  <c r="AA25" i="126"/>
  <c r="W25" i="126"/>
  <c r="S25" i="126"/>
  <c r="O25" i="126"/>
  <c r="RR24" i="126"/>
  <c r="RG24" i="126"/>
  <c r="RF24" i="126"/>
  <c r="RE24" i="126"/>
  <c r="RD24" i="126"/>
  <c r="RC24" i="126"/>
  <c r="RB24" i="126"/>
  <c r="QZ24" i="126"/>
  <c r="QY24" i="126"/>
  <c r="QX24" i="126"/>
  <c r="QW24" i="126"/>
  <c r="QV24" i="126"/>
  <c r="QU24" i="126"/>
  <c r="QP24" i="126"/>
  <c r="QA24" i="126"/>
  <c r="PA24" i="126"/>
  <c r="OJ24" i="126"/>
  <c r="OJ25" i="126" s="1"/>
  <c r="OJ26" i="126" s="1"/>
  <c r="OJ27" i="126" s="1"/>
  <c r="OJ28" i="126" s="1"/>
  <c r="OJ29" i="126" s="1"/>
  <c r="OJ30" i="126" s="1"/>
  <c r="OJ31" i="126" s="1"/>
  <c r="OJ32" i="126" s="1"/>
  <c r="OJ33" i="126" s="1"/>
  <c r="OJ34" i="126" s="1"/>
  <c r="OJ35" i="126" s="1"/>
  <c r="OJ36" i="126" s="1"/>
  <c r="OJ37" i="126" s="1"/>
  <c r="OJ38" i="126" s="1"/>
  <c r="OJ39" i="126" s="1"/>
  <c r="OJ40" i="126" s="1"/>
  <c r="OJ41" i="126" s="1"/>
  <c r="OJ42" i="126" s="1"/>
  <c r="OJ44" i="126" s="1"/>
  <c r="MV24" i="126"/>
  <c r="MD24" i="126"/>
  <c r="LX24" i="126"/>
  <c r="LJ24" i="126"/>
  <c r="LI24" i="126"/>
  <c r="LH24" i="126"/>
  <c r="LK24" i="126" s="1"/>
  <c r="HW24" i="126" a="1"/>
  <c r="HW24" i="126" s="1"/>
  <c r="HU24" i="126" a="1"/>
  <c r="HU24" i="126" s="1"/>
  <c r="GE24" i="126" a="1"/>
  <c r="GE24" i="126" s="1"/>
  <c r="GI24" i="126" s="1"/>
  <c r="FE24" i="126" s="1"/>
  <c r="FV24" i="126"/>
  <c r="FD24" i="126" s="1"/>
  <c r="FO24" i="126"/>
  <c r="FC24" i="126" s="1"/>
  <c r="EZ24" i="126"/>
  <c r="ES24" i="126"/>
  <c r="DC24" i="126"/>
  <c r="DA24" i="126"/>
  <c r="CY24" i="126"/>
  <c r="CW24" i="126"/>
  <c r="CV24" i="126"/>
  <c r="CU24" i="126"/>
  <c r="CT24" i="126"/>
  <c r="CS24" i="126"/>
  <c r="CR24" i="126"/>
  <c r="CG24" i="126"/>
  <c r="CD24" i="126"/>
  <c r="CA24" i="126"/>
  <c r="BX24" i="126"/>
  <c r="BU24" i="126"/>
  <c r="BK24" i="126"/>
  <c r="BH24" i="126"/>
  <c r="BB24" i="126"/>
  <c r="AV24" i="126"/>
  <c r="AS24" i="126"/>
  <c r="AP24" i="126"/>
  <c r="AK24" i="126"/>
  <c r="AG24" i="126"/>
  <c r="AA24" i="126"/>
  <c r="W24" i="126"/>
  <c r="S24" i="126"/>
  <c r="O24" i="126"/>
  <c r="C24" i="126" s="1"/>
  <c r="RR23" i="126"/>
  <c r="RG23" i="126"/>
  <c r="RF23" i="126"/>
  <c r="RE23" i="126"/>
  <c r="RD23" i="126"/>
  <c r="RC23" i="126"/>
  <c r="RB23" i="126"/>
  <c r="QZ23" i="126"/>
  <c r="QY23" i="126"/>
  <c r="QX23" i="126"/>
  <c r="QW23" i="126"/>
  <c r="QV23" i="126"/>
  <c r="QU23" i="126"/>
  <c r="QP23" i="126"/>
  <c r="QA23" i="126"/>
  <c r="PA23" i="126"/>
  <c r="MV23" i="126"/>
  <c r="MD23" i="126"/>
  <c r="LX23" i="126"/>
  <c r="LJ23" i="126"/>
  <c r="LI23" i="126"/>
  <c r="LH23" i="126"/>
  <c r="HW23" i="126" a="1"/>
  <c r="HW23" i="126" s="1"/>
  <c r="HU23" i="126" a="1"/>
  <c r="HU23" i="126" s="1"/>
  <c r="GE23" i="126" a="1"/>
  <c r="GE23" i="126" s="1"/>
  <c r="GI23" i="126" s="1"/>
  <c r="FE23" i="126" s="1"/>
  <c r="FV23" i="126"/>
  <c r="FD23" i="126" s="1"/>
  <c r="FO23" i="126"/>
  <c r="FC23" i="126" s="1"/>
  <c r="EZ23" i="126"/>
  <c r="ES23" i="126"/>
  <c r="DC23" i="126"/>
  <c r="DA23" i="126"/>
  <c r="CY23" i="126"/>
  <c r="CW23" i="126"/>
  <c r="CV23" i="126"/>
  <c r="CU23" i="126"/>
  <c r="CT23" i="126"/>
  <c r="CS23" i="126"/>
  <c r="CR23" i="126"/>
  <c r="CG23" i="126"/>
  <c r="CD23" i="126"/>
  <c r="CA23" i="126"/>
  <c r="BU23" i="126"/>
  <c r="BK23" i="126"/>
  <c r="BH23" i="126"/>
  <c r="BB23" i="126"/>
  <c r="AV23" i="126"/>
  <c r="AS23" i="126"/>
  <c r="AP23" i="126"/>
  <c r="AK23" i="126"/>
  <c r="AG23" i="126"/>
  <c r="AA23" i="126"/>
  <c r="W23" i="126"/>
  <c r="S23" i="126"/>
  <c r="O23" i="126"/>
  <c r="RR22" i="126"/>
  <c r="RG22" i="126"/>
  <c r="RF22" i="126"/>
  <c r="RE22" i="126"/>
  <c r="RD22" i="126"/>
  <c r="RC22" i="126"/>
  <c r="RB22" i="126"/>
  <c r="QZ22" i="126"/>
  <c r="QY22" i="126"/>
  <c r="QX22" i="126"/>
  <c r="QW22" i="126"/>
  <c r="QV22" i="126"/>
  <c r="QU22" i="126"/>
  <c r="QP22" i="126"/>
  <c r="QA22" i="126"/>
  <c r="PA22" i="126"/>
  <c r="MV22" i="126"/>
  <c r="MD22" i="126"/>
  <c r="LX22" i="126"/>
  <c r="LJ22" i="126"/>
  <c r="LI22" i="126"/>
  <c r="LH22" i="126"/>
  <c r="HW22" i="126" a="1"/>
  <c r="HW22" i="126" s="1"/>
  <c r="HU22" i="126" a="1"/>
  <c r="HU22" i="126" s="1"/>
  <c r="GE22" i="126"/>
  <c r="GI22" i="126" s="1"/>
  <c r="FE22" i="126" s="1"/>
  <c r="GE22" i="126" a="1"/>
  <c r="FV22" i="126"/>
  <c r="FO22" i="126"/>
  <c r="FC22" i="126" s="1"/>
  <c r="FD22" i="126"/>
  <c r="EZ22" i="126"/>
  <c r="ES22" i="126"/>
  <c r="DC22" i="126"/>
  <c r="DA22" i="126"/>
  <c r="CY22" i="126"/>
  <c r="CW22" i="126"/>
  <c r="CV22" i="126"/>
  <c r="CU22" i="126"/>
  <c r="CT22" i="126"/>
  <c r="CS22" i="126"/>
  <c r="CR22" i="126"/>
  <c r="CG22" i="126"/>
  <c r="CD22" i="126"/>
  <c r="CA22" i="126"/>
  <c r="BU22" i="126"/>
  <c r="BK22" i="126"/>
  <c r="BH22" i="126"/>
  <c r="BB22" i="126"/>
  <c r="AV22" i="126"/>
  <c r="AS22" i="126"/>
  <c r="AP22" i="126"/>
  <c r="AK22" i="126"/>
  <c r="AG22" i="126"/>
  <c r="AA22" i="126"/>
  <c r="W22" i="126"/>
  <c r="S22" i="126"/>
  <c r="O22" i="126"/>
  <c r="RR21" i="126"/>
  <c r="RG21" i="126"/>
  <c r="RF21" i="126"/>
  <c r="RE21" i="126"/>
  <c r="RD21" i="126"/>
  <c r="RC21" i="126"/>
  <c r="RB21" i="126"/>
  <c r="QZ21" i="126"/>
  <c r="QY21" i="126"/>
  <c r="QX21" i="126"/>
  <c r="QW21" i="126"/>
  <c r="QV21" i="126"/>
  <c r="QU21" i="126"/>
  <c r="QP21" i="126"/>
  <c r="QA21" i="126"/>
  <c r="PA21" i="126"/>
  <c r="OJ21" i="126"/>
  <c r="MV21" i="126"/>
  <c r="MD21" i="126"/>
  <c r="LX21" i="126"/>
  <c r="LJ21" i="126"/>
  <c r="LI21" i="126"/>
  <c r="LH21" i="126"/>
  <c r="HW21" i="126" a="1"/>
  <c r="HW21" i="126" s="1"/>
  <c r="HU21" i="126" a="1"/>
  <c r="HU21" i="126" s="1"/>
  <c r="GE21" i="126"/>
  <c r="GI21" i="126" s="1"/>
  <c r="FE21" i="126" s="1"/>
  <c r="GE21" i="126" a="1"/>
  <c r="FV21" i="126"/>
  <c r="FD21" i="126" s="1"/>
  <c r="FO21" i="126"/>
  <c r="FC21" i="126" s="1"/>
  <c r="EZ21" i="126"/>
  <c r="ES21" i="126"/>
  <c r="DC21" i="126"/>
  <c r="DA21" i="126"/>
  <c r="CY21" i="126"/>
  <c r="CW21" i="126"/>
  <c r="CV21" i="126"/>
  <c r="CU21" i="126"/>
  <c r="CT21" i="126"/>
  <c r="CS21" i="126"/>
  <c r="CR21" i="126"/>
  <c r="CG21" i="126"/>
  <c r="CD21" i="126"/>
  <c r="CA21" i="126"/>
  <c r="BX21" i="126"/>
  <c r="BU21" i="126"/>
  <c r="BK21" i="126"/>
  <c r="BH21" i="126"/>
  <c r="BB21" i="126"/>
  <c r="AV21" i="126"/>
  <c r="AS21" i="126"/>
  <c r="AP21" i="126"/>
  <c r="AK21" i="126"/>
  <c r="AG21" i="126"/>
  <c r="AA21" i="126"/>
  <c r="X21" i="126"/>
  <c r="W21" i="126"/>
  <c r="S21" i="126"/>
  <c r="O21" i="126"/>
  <c r="RR20" i="126"/>
  <c r="RG20" i="126"/>
  <c r="RF20" i="126"/>
  <c r="RE20" i="126"/>
  <c r="RD20" i="126"/>
  <c r="RC20" i="126"/>
  <c r="RB20" i="126"/>
  <c r="QZ20" i="126"/>
  <c r="QY20" i="126"/>
  <c r="QX20" i="126"/>
  <c r="QW20" i="126"/>
  <c r="QV20" i="126"/>
  <c r="QU20" i="126"/>
  <c r="QP20" i="126"/>
  <c r="QA20" i="126"/>
  <c r="PA20" i="126"/>
  <c r="MV20" i="126"/>
  <c r="MD20" i="126"/>
  <c r="LX20" i="126"/>
  <c r="LJ20" i="126"/>
  <c r="LI20" i="126"/>
  <c r="LH20" i="126"/>
  <c r="HW20" i="126" a="1"/>
  <c r="HW20" i="126" s="1"/>
  <c r="HU20" i="126" a="1"/>
  <c r="HU20" i="126" s="1"/>
  <c r="GE20" i="126" a="1"/>
  <c r="GE20" i="126" s="1"/>
  <c r="GI20" i="126" s="1"/>
  <c r="FE20" i="126" s="1"/>
  <c r="FV20" i="126"/>
  <c r="FD20" i="126" s="1"/>
  <c r="FO20" i="126"/>
  <c r="FC20" i="126" s="1"/>
  <c r="EZ20" i="126"/>
  <c r="ES20" i="126"/>
  <c r="DC20" i="126"/>
  <c r="DA20" i="126"/>
  <c r="CY20" i="126"/>
  <c r="CW20" i="126"/>
  <c r="CV20" i="126"/>
  <c r="CU20" i="126"/>
  <c r="CT20" i="126"/>
  <c r="CS20" i="126"/>
  <c r="CR20" i="126"/>
  <c r="CG20" i="126"/>
  <c r="CD20" i="126"/>
  <c r="CA20" i="126"/>
  <c r="BU20" i="126"/>
  <c r="BK20" i="126"/>
  <c r="BH20" i="126"/>
  <c r="BB20" i="126"/>
  <c r="AV20" i="126"/>
  <c r="AS20" i="126"/>
  <c r="AP20" i="126"/>
  <c r="AK20" i="126"/>
  <c r="AG20" i="126"/>
  <c r="AA20" i="126"/>
  <c r="W20" i="126"/>
  <c r="S20" i="126"/>
  <c r="O20" i="126"/>
  <c r="RR19" i="126"/>
  <c r="RM19" i="126"/>
  <c r="RM20" i="126" s="1"/>
  <c r="RM21" i="126" s="1"/>
  <c r="RM22" i="126" s="1"/>
  <c r="RM23" i="126" s="1"/>
  <c r="RM24" i="126" s="1"/>
  <c r="RG19" i="126"/>
  <c r="RF19" i="126"/>
  <c r="RE19" i="126"/>
  <c r="RD19" i="126"/>
  <c r="RC19" i="126"/>
  <c r="RB19" i="126"/>
  <c r="QZ19" i="126"/>
  <c r="QY19" i="126"/>
  <c r="QX19" i="126"/>
  <c r="QW19" i="126"/>
  <c r="QV19" i="126"/>
  <c r="QU19" i="126"/>
  <c r="QP19" i="126"/>
  <c r="QA19" i="126"/>
  <c r="PA19" i="126"/>
  <c r="MV19" i="126"/>
  <c r="MD19" i="126"/>
  <c r="LX19" i="126"/>
  <c r="LJ19" i="126"/>
  <c r="LI19" i="126"/>
  <c r="LH19" i="126"/>
  <c r="HW19" i="126" a="1"/>
  <c r="HW19" i="126" s="1"/>
  <c r="HU19" i="126" a="1"/>
  <c r="HU19" i="126" s="1"/>
  <c r="PN19" i="126"/>
  <c r="SH19" i="126" s="1"/>
  <c r="GE19" i="126" a="1"/>
  <c r="GE19" i="126" s="1"/>
  <c r="GI19" i="126" s="1"/>
  <c r="FE19" i="126" s="1"/>
  <c r="FV19" i="126"/>
  <c r="FD19" i="126" s="1"/>
  <c r="FO19" i="126"/>
  <c r="FC19" i="126"/>
  <c r="EZ19" i="126"/>
  <c r="ES19" i="126"/>
  <c r="DC19" i="126"/>
  <c r="DA19" i="126"/>
  <c r="CY19" i="126"/>
  <c r="CW19" i="126"/>
  <c r="CV19" i="126"/>
  <c r="CU19" i="126"/>
  <c r="CT19" i="126"/>
  <c r="CS19" i="126"/>
  <c r="CR19" i="126"/>
  <c r="CG19" i="126"/>
  <c r="CD19" i="126"/>
  <c r="CA19" i="126"/>
  <c r="BU19" i="126"/>
  <c r="BK19" i="126"/>
  <c r="BH19" i="126"/>
  <c r="BB19" i="126"/>
  <c r="AV19" i="126"/>
  <c r="AS19" i="126"/>
  <c r="AP19" i="126"/>
  <c r="AK19" i="126"/>
  <c r="AG19" i="126"/>
  <c r="AA19" i="126"/>
  <c r="W19" i="126"/>
  <c r="S19" i="126"/>
  <c r="O19" i="126"/>
  <c r="RR18" i="126"/>
  <c r="RN18" i="126"/>
  <c r="RG18" i="126"/>
  <c r="RF18" i="126"/>
  <c r="RE18" i="126"/>
  <c r="RD18" i="126"/>
  <c r="RC18" i="126"/>
  <c r="RB18" i="126"/>
  <c r="QZ18" i="126"/>
  <c r="QY18" i="126"/>
  <c r="QX18" i="126"/>
  <c r="QW18" i="126"/>
  <c r="QV18" i="126"/>
  <c r="QU18" i="126"/>
  <c r="QP18" i="126"/>
  <c r="QA18" i="126"/>
  <c r="PA18" i="126"/>
  <c r="MV18" i="126"/>
  <c r="MD18" i="126"/>
  <c r="LX18" i="126"/>
  <c r="LJ18" i="126"/>
  <c r="LI18" i="126"/>
  <c r="LH18" i="126"/>
  <c r="HW18" i="126" a="1"/>
  <c r="HW18" i="126" s="1"/>
  <c r="HU18" i="126" a="1"/>
  <c r="HU18" i="126" s="1"/>
  <c r="GE18" i="126" a="1"/>
  <c r="GE18" i="126" s="1"/>
  <c r="GI18" i="126" s="1"/>
  <c r="FE18" i="126" s="1"/>
  <c r="FV18" i="126"/>
  <c r="FD18" i="126" s="1"/>
  <c r="FO18" i="126"/>
  <c r="FC18" i="126" s="1"/>
  <c r="EZ18" i="126"/>
  <c r="ES18" i="126"/>
  <c r="DC18" i="126"/>
  <c r="DA18" i="126"/>
  <c r="CY18" i="126"/>
  <c r="CW18" i="126"/>
  <c r="CV18" i="126"/>
  <c r="CU18" i="126"/>
  <c r="CT18" i="126"/>
  <c r="CS18" i="126"/>
  <c r="CR18" i="126"/>
  <c r="CG18" i="126"/>
  <c r="CD18" i="126"/>
  <c r="CA18" i="126"/>
  <c r="X18" i="126"/>
  <c r="BU18" i="126"/>
  <c r="BK18" i="126"/>
  <c r="BH18" i="126"/>
  <c r="BB18" i="126"/>
  <c r="AV18" i="126"/>
  <c r="AS18" i="126"/>
  <c r="AP18" i="126"/>
  <c r="AK18" i="126"/>
  <c r="AG18" i="126"/>
  <c r="AA18" i="126"/>
  <c r="W18" i="126"/>
  <c r="S18" i="126"/>
  <c r="O18" i="126"/>
  <c r="RR17" i="126"/>
  <c r="RG17" i="126"/>
  <c r="RF17" i="126"/>
  <c r="RE17" i="126"/>
  <c r="RD17" i="126"/>
  <c r="RC17" i="126"/>
  <c r="RB17" i="126"/>
  <c r="QZ17" i="126"/>
  <c r="QY17" i="126"/>
  <c r="QX17" i="126"/>
  <c r="QW17" i="126"/>
  <c r="QV17" i="126"/>
  <c r="QU17" i="126"/>
  <c r="QP17" i="126"/>
  <c r="QA17" i="126"/>
  <c r="PA17" i="126"/>
  <c r="MV17" i="126"/>
  <c r="MD17" i="126"/>
  <c r="LX17" i="126"/>
  <c r="LJ17" i="126"/>
  <c r="LI17" i="126"/>
  <c r="LH17" i="126"/>
  <c r="LK17" i="126" s="1"/>
  <c r="HW17" i="126" a="1"/>
  <c r="HW17" i="126" s="1"/>
  <c r="HU17" i="126" a="1"/>
  <c r="HU17" i="126" s="1"/>
  <c r="GE17" i="126" a="1"/>
  <c r="GE17" i="126" s="1"/>
  <c r="GI17" i="126" s="1"/>
  <c r="FE17" i="126" s="1"/>
  <c r="FV17" i="126"/>
  <c r="FO17" i="126"/>
  <c r="FD17" i="126"/>
  <c r="FC17" i="126"/>
  <c r="EZ17" i="126"/>
  <c r="ES17" i="126"/>
  <c r="DC17" i="126"/>
  <c r="DA17" i="126"/>
  <c r="CY17" i="126"/>
  <c r="CW17" i="126"/>
  <c r="CV17" i="126"/>
  <c r="CU17" i="126"/>
  <c r="CT17" i="126"/>
  <c r="CS17" i="126"/>
  <c r="CR17" i="126"/>
  <c r="CG17" i="126"/>
  <c r="CD17" i="126"/>
  <c r="CA17" i="126"/>
  <c r="BX17" i="126"/>
  <c r="BU17" i="126"/>
  <c r="BK17" i="126"/>
  <c r="BH17" i="126"/>
  <c r="BB17" i="126"/>
  <c r="AV17" i="126"/>
  <c r="AS17" i="126"/>
  <c r="AP17" i="126"/>
  <c r="AK17" i="126"/>
  <c r="AG17" i="126"/>
  <c r="AA17" i="126"/>
  <c r="X17" i="126"/>
  <c r="W17" i="126"/>
  <c r="S17" i="126"/>
  <c r="O17" i="126"/>
  <c r="C17" i="126" s="1"/>
  <c r="RR16" i="126"/>
  <c r="RG16" i="126"/>
  <c r="RF16" i="126"/>
  <c r="RE16" i="126"/>
  <c r="RD16" i="126"/>
  <c r="RC16" i="126"/>
  <c r="RB16" i="126"/>
  <c r="QZ16" i="126"/>
  <c r="QY16" i="126"/>
  <c r="QX16" i="126"/>
  <c r="QW16" i="126"/>
  <c r="QV16" i="126"/>
  <c r="QU16" i="126"/>
  <c r="QP16" i="126"/>
  <c r="QA16" i="126"/>
  <c r="PA16" i="126"/>
  <c r="MV16" i="126"/>
  <c r="LX16" i="126"/>
  <c r="LJ16" i="126"/>
  <c r="LI16" i="126"/>
  <c r="LH16" i="126"/>
  <c r="HW16" i="126" a="1"/>
  <c r="HW16" i="126" s="1"/>
  <c r="HU16" i="126" a="1"/>
  <c r="HU16" i="126" s="1"/>
  <c r="GE16" i="126"/>
  <c r="GI16" i="126" s="1"/>
  <c r="FE16" i="126" s="1"/>
  <c r="GE16" i="126" a="1"/>
  <c r="FV16" i="126"/>
  <c r="FD16" i="126" s="1"/>
  <c r="FO16" i="126"/>
  <c r="FC16" i="126" s="1"/>
  <c r="EZ16" i="126"/>
  <c r="ES16" i="126"/>
  <c r="BX16" i="126" s="1"/>
  <c r="DC16" i="126"/>
  <c r="DA16" i="126"/>
  <c r="CY16" i="126"/>
  <c r="CW16" i="126"/>
  <c r="CV16" i="126"/>
  <c r="CU16" i="126"/>
  <c r="CT16" i="126"/>
  <c r="CS16" i="126"/>
  <c r="CR16" i="126"/>
  <c r="CG16" i="126"/>
  <c r="CD16" i="126"/>
  <c r="CA16" i="126"/>
  <c r="BU16" i="126"/>
  <c r="BK16" i="126"/>
  <c r="BH16" i="126"/>
  <c r="BB16" i="126"/>
  <c r="AV16" i="126"/>
  <c r="AS16" i="126"/>
  <c r="AP16" i="126"/>
  <c r="AK16" i="126"/>
  <c r="AG16" i="126"/>
  <c r="AA16" i="126"/>
  <c r="W16" i="126"/>
  <c r="S16" i="126"/>
  <c r="O16" i="126"/>
  <c r="RR15" i="126"/>
  <c r="RG15" i="126"/>
  <c r="RF15" i="126"/>
  <c r="RE15" i="126"/>
  <c r="RD15" i="126"/>
  <c r="RC15" i="126"/>
  <c r="RB15" i="126"/>
  <c r="QZ15" i="126"/>
  <c r="QY15" i="126"/>
  <c r="QX15" i="126"/>
  <c r="QW15" i="126"/>
  <c r="QV15" i="126"/>
  <c r="QU15" i="126"/>
  <c r="QP15" i="126"/>
  <c r="QA15" i="126"/>
  <c r="PA15" i="126"/>
  <c r="MV15" i="126"/>
  <c r="MD15" i="126"/>
  <c r="LX15" i="126"/>
  <c r="LJ15" i="126"/>
  <c r="LI15" i="126"/>
  <c r="LH15" i="126"/>
  <c r="HW15" i="126" a="1"/>
  <c r="HW15" i="126" s="1"/>
  <c r="HU15" i="126" a="1"/>
  <c r="HU15" i="126" s="1"/>
  <c r="GE15" i="126" a="1"/>
  <c r="GE15" i="126" s="1"/>
  <c r="GI15" i="126" s="1"/>
  <c r="FE15" i="126" s="1"/>
  <c r="FV15" i="126"/>
  <c r="FD15" i="126" s="1"/>
  <c r="FO15" i="126"/>
  <c r="FC15" i="126" s="1"/>
  <c r="EZ15" i="126"/>
  <c r="ES15" i="126"/>
  <c r="DC15" i="126"/>
  <c r="DA15" i="126"/>
  <c r="CY15" i="126"/>
  <c r="CW15" i="126"/>
  <c r="CV15" i="126"/>
  <c r="CU15" i="126"/>
  <c r="CT15" i="126"/>
  <c r="CS15" i="126"/>
  <c r="CR15" i="126"/>
  <c r="CG15" i="126"/>
  <c r="CD15" i="126"/>
  <c r="CA15" i="126"/>
  <c r="BX15" i="126"/>
  <c r="BU15" i="126"/>
  <c r="BR15" i="126"/>
  <c r="T15" i="126"/>
  <c r="BK15" i="126"/>
  <c r="BH15" i="126"/>
  <c r="BB15" i="126"/>
  <c r="AV15" i="126"/>
  <c r="AS15" i="126"/>
  <c r="AP15" i="126"/>
  <c r="AK15" i="126"/>
  <c r="AG15" i="126"/>
  <c r="AA15" i="126"/>
  <c r="X15" i="126"/>
  <c r="W15" i="126"/>
  <c r="S15" i="126"/>
  <c r="O15" i="126"/>
  <c r="RR14" i="126"/>
  <c r="RG14" i="126"/>
  <c r="RF14" i="126"/>
  <c r="RE14" i="126"/>
  <c r="RD14" i="126"/>
  <c r="RC14" i="126"/>
  <c r="RB14" i="126"/>
  <c r="QZ14" i="126"/>
  <c r="QY14" i="126"/>
  <c r="QX14" i="126"/>
  <c r="QW14" i="126"/>
  <c r="QV14" i="126"/>
  <c r="QU14" i="126"/>
  <c r="QP14" i="126"/>
  <c r="QA14" i="126"/>
  <c r="PA14" i="126"/>
  <c r="MV14" i="126"/>
  <c r="MD14" i="126"/>
  <c r="LX14" i="126"/>
  <c r="LJ14" i="126"/>
  <c r="LI14" i="126"/>
  <c r="LH14" i="126"/>
  <c r="HW14" i="126" a="1"/>
  <c r="HW14" i="126" s="1"/>
  <c r="HU14" i="126" a="1"/>
  <c r="HU14" i="126" s="1"/>
  <c r="GE14" i="126" a="1"/>
  <c r="GE14" i="126" s="1"/>
  <c r="GI14" i="126" s="1"/>
  <c r="FE14" i="126" s="1"/>
  <c r="FV14" i="126"/>
  <c r="FD14" i="126" s="1"/>
  <c r="FO14" i="126"/>
  <c r="FC14" i="126"/>
  <c r="EZ14" i="126"/>
  <c r="ES14" i="126"/>
  <c r="BX14" i="126" s="1"/>
  <c r="DC14" i="126"/>
  <c r="DA14" i="126"/>
  <c r="CY14" i="126"/>
  <c r="CW14" i="126"/>
  <c r="CV14" i="126"/>
  <c r="CU14" i="126"/>
  <c r="CT14" i="126"/>
  <c r="CS14" i="126"/>
  <c r="CR14" i="126"/>
  <c r="CG14" i="126"/>
  <c r="CD14" i="126"/>
  <c r="CA14" i="126"/>
  <c r="BU14" i="126"/>
  <c r="T14" i="126"/>
  <c r="BK14" i="126"/>
  <c r="BH14" i="126"/>
  <c r="BB14" i="126"/>
  <c r="AV14" i="126"/>
  <c r="AS14" i="126"/>
  <c r="AP14" i="126"/>
  <c r="AK14" i="126"/>
  <c r="AG14" i="126"/>
  <c r="AA14" i="126"/>
  <c r="X14" i="126"/>
  <c r="W14" i="126"/>
  <c r="S14" i="126"/>
  <c r="O14" i="126"/>
  <c r="RR13" i="126"/>
  <c r="RG13" i="126"/>
  <c r="RF13" i="126"/>
  <c r="RE13" i="126"/>
  <c r="RD13" i="126"/>
  <c r="RC13" i="126"/>
  <c r="RB13" i="126"/>
  <c r="QZ13" i="126"/>
  <c r="QY13" i="126"/>
  <c r="QX13" i="126"/>
  <c r="QW13" i="126"/>
  <c r="QV13" i="126"/>
  <c r="QU13" i="126"/>
  <c r="QP13" i="126"/>
  <c r="QA13" i="126"/>
  <c r="PA13" i="126"/>
  <c r="MV13" i="126"/>
  <c r="MD13" i="126"/>
  <c r="LX13" i="126"/>
  <c r="LJ13" i="126"/>
  <c r="LI13" i="126"/>
  <c r="LH13" i="126"/>
  <c r="HW13" i="126" a="1"/>
  <c r="HW13" i="126" s="1"/>
  <c r="HU13" i="126" a="1"/>
  <c r="HU13" i="126" s="1"/>
  <c r="GE13" i="126" a="1"/>
  <c r="GE13" i="126" s="1"/>
  <c r="GI13" i="126" s="1"/>
  <c r="FE13" i="126" s="1"/>
  <c r="FV13" i="126"/>
  <c r="FD13" i="126" s="1"/>
  <c r="FO13" i="126"/>
  <c r="FC13" i="126"/>
  <c r="EZ13" i="126"/>
  <c r="ES13" i="126"/>
  <c r="DC13" i="126"/>
  <c r="DA13" i="126"/>
  <c r="CY13" i="126"/>
  <c r="CW13" i="126"/>
  <c r="CV13" i="126"/>
  <c r="CU13" i="126"/>
  <c r="CT13" i="126"/>
  <c r="CS13" i="126"/>
  <c r="CR13" i="126"/>
  <c r="CG13" i="126"/>
  <c r="CD13" i="126"/>
  <c r="CA13" i="126"/>
  <c r="BU13" i="126"/>
  <c r="BK13" i="126"/>
  <c r="BH13" i="126"/>
  <c r="BB13" i="126"/>
  <c r="AV13" i="126"/>
  <c r="AS13" i="126"/>
  <c r="AP13" i="126"/>
  <c r="AK13" i="126"/>
  <c r="AG13" i="126"/>
  <c r="AA13" i="126"/>
  <c r="W13" i="126"/>
  <c r="S13" i="126"/>
  <c r="O13" i="126"/>
  <c r="RR12" i="126"/>
  <c r="RG12" i="126"/>
  <c r="RF12" i="126"/>
  <c r="RE12" i="126"/>
  <c r="RD12" i="126"/>
  <c r="RC12" i="126"/>
  <c r="RB12" i="126"/>
  <c r="QZ12" i="126"/>
  <c r="QY12" i="126"/>
  <c r="QX12" i="126"/>
  <c r="QW12" i="126"/>
  <c r="QV12" i="126"/>
  <c r="QU12" i="126"/>
  <c r="QP12" i="126"/>
  <c r="QA12" i="126"/>
  <c r="PA12" i="126"/>
  <c r="MV12" i="126"/>
  <c r="MD12" i="126"/>
  <c r="LX12" i="126"/>
  <c r="LJ12" i="126"/>
  <c r="LI12" i="126"/>
  <c r="LH12" i="126"/>
  <c r="HW12" i="126" a="1"/>
  <c r="HW12" i="126" s="1"/>
  <c r="HU12" i="126" a="1"/>
  <c r="HU12" i="126" s="1"/>
  <c r="GE12" i="126" a="1"/>
  <c r="GE12" i="126" s="1"/>
  <c r="GI12" i="126" s="1"/>
  <c r="FE12" i="126" s="1"/>
  <c r="FV12" i="126"/>
  <c r="FD12" i="126" s="1"/>
  <c r="FO12" i="126"/>
  <c r="FC12" i="126" s="1"/>
  <c r="EZ12" i="126"/>
  <c r="ES12" i="126"/>
  <c r="DC12" i="126"/>
  <c r="DA12" i="126"/>
  <c r="CY12" i="126"/>
  <c r="CW12" i="126"/>
  <c r="CV12" i="126"/>
  <c r="CU12" i="126"/>
  <c r="CT12" i="126"/>
  <c r="CS12" i="126"/>
  <c r="CR12" i="126"/>
  <c r="CG12" i="126"/>
  <c r="CD12" i="126"/>
  <c r="CA12" i="126"/>
  <c r="BX12" i="126"/>
  <c r="BU12" i="126"/>
  <c r="BK12" i="126"/>
  <c r="BH12" i="126"/>
  <c r="BE12" i="126"/>
  <c r="BB12" i="126"/>
  <c r="AV12" i="126"/>
  <c r="AS12" i="126"/>
  <c r="AP12" i="126"/>
  <c r="AK12" i="126"/>
  <c r="AG12" i="126"/>
  <c r="AA12" i="126"/>
  <c r="W12" i="126"/>
  <c r="S12" i="126"/>
  <c r="O12" i="126"/>
  <c r="RR11" i="126"/>
  <c r="RG11" i="126"/>
  <c r="RF11" i="126"/>
  <c r="RE11" i="126"/>
  <c r="RD11" i="126"/>
  <c r="RC11" i="126"/>
  <c r="RB11" i="126"/>
  <c r="QZ11" i="126"/>
  <c r="QY11" i="126"/>
  <c r="QX11" i="126"/>
  <c r="QW11" i="126"/>
  <c r="QV11" i="126"/>
  <c r="QU11" i="126"/>
  <c r="QP11" i="126"/>
  <c r="QA11" i="126"/>
  <c r="PA11" i="126"/>
  <c r="NX11" i="126"/>
  <c r="NX12" i="126" s="1"/>
  <c r="NX13" i="126" s="1"/>
  <c r="NX14" i="126" s="1"/>
  <c r="NX15" i="126" s="1"/>
  <c r="NX16" i="126" s="1"/>
  <c r="NX17" i="126" s="1"/>
  <c r="NX18" i="126" s="1"/>
  <c r="NX19" i="126" s="1"/>
  <c r="NX20" i="126" s="1"/>
  <c r="NX21" i="126" s="1"/>
  <c r="NX22" i="126" s="1"/>
  <c r="NX23" i="126" s="1"/>
  <c r="NX24" i="126" s="1"/>
  <c r="NX25" i="126" s="1"/>
  <c r="NX26" i="126" s="1"/>
  <c r="NX27" i="126" s="1"/>
  <c r="NX28" i="126" s="1"/>
  <c r="NX29" i="126" s="1"/>
  <c r="NX30" i="126" s="1"/>
  <c r="NX31" i="126" s="1"/>
  <c r="NX32" i="126" s="1"/>
  <c r="NX33" i="126" s="1"/>
  <c r="NX34" i="126" s="1"/>
  <c r="NX35" i="126" s="1"/>
  <c r="NX36" i="126" s="1"/>
  <c r="NX37" i="126" s="1"/>
  <c r="NX38" i="126" s="1"/>
  <c r="NX39" i="126" s="1"/>
  <c r="NX40" i="126" s="1"/>
  <c r="NX41" i="126" s="1"/>
  <c r="NX42" i="126" s="1"/>
  <c r="MV11" i="126"/>
  <c r="MD11" i="126"/>
  <c r="LX11" i="126"/>
  <c r="LJ11" i="126"/>
  <c r="LI11" i="126"/>
  <c r="LH11" i="126"/>
  <c r="JM11" i="126"/>
  <c r="HW11" i="126" a="1"/>
  <c r="HW11" i="126" s="1"/>
  <c r="HU11" i="126" a="1"/>
  <c r="HU11" i="126" s="1"/>
  <c r="PN11" i="126"/>
  <c r="SH11" i="126" s="1"/>
  <c r="GE11" i="126"/>
  <c r="GI11" i="126" s="1"/>
  <c r="FE11" i="126" s="1"/>
  <c r="GE11" i="126" a="1"/>
  <c r="FV11" i="126"/>
  <c r="FD11" i="126" s="1"/>
  <c r="FO11" i="126"/>
  <c r="FC11" i="126" s="1"/>
  <c r="EZ11" i="126"/>
  <c r="ES11" i="126"/>
  <c r="DC11" i="126"/>
  <c r="DA11" i="126"/>
  <c r="CY11" i="126"/>
  <c r="CW11" i="126"/>
  <c r="CV11" i="126"/>
  <c r="CU11" i="126"/>
  <c r="CT11" i="126"/>
  <c r="CS11" i="126"/>
  <c r="CR11" i="126"/>
  <c r="CG11" i="126"/>
  <c r="CD11" i="126"/>
  <c r="CA11" i="126"/>
  <c r="X11" i="126"/>
  <c r="BU11" i="126"/>
  <c r="BK11" i="126"/>
  <c r="BH11" i="126"/>
  <c r="BB11" i="126"/>
  <c r="AV11" i="126"/>
  <c r="AS11" i="126"/>
  <c r="AP11" i="126"/>
  <c r="AK11" i="126"/>
  <c r="AG11" i="126"/>
  <c r="AA11" i="126"/>
  <c r="W11" i="126"/>
  <c r="S11" i="126"/>
  <c r="O11" i="126"/>
  <c r="RR10" i="126"/>
  <c r="RG10" i="126"/>
  <c r="RF10" i="126"/>
  <c r="RE10" i="126"/>
  <c r="RD10" i="126"/>
  <c r="RC10" i="126"/>
  <c r="RB10" i="126"/>
  <c r="QZ10" i="126"/>
  <c r="QY10" i="126"/>
  <c r="QX10" i="126"/>
  <c r="QW10" i="126"/>
  <c r="QV10" i="126"/>
  <c r="QU10" i="126"/>
  <c r="QP10" i="126"/>
  <c r="QK10" i="126"/>
  <c r="QK11" i="126" s="1"/>
  <c r="QK12" i="126" s="1"/>
  <c r="QK13" i="126" s="1"/>
  <c r="QK14" i="126" s="1"/>
  <c r="QK15" i="126" s="1"/>
  <c r="QK16" i="126" s="1"/>
  <c r="QK17" i="126" s="1"/>
  <c r="QK18" i="126" s="1"/>
  <c r="QK19" i="126" s="1"/>
  <c r="QK20" i="126" s="1"/>
  <c r="QK21" i="126" s="1"/>
  <c r="QK22" i="126" s="1"/>
  <c r="QK23" i="126" s="1"/>
  <c r="QK24" i="126" s="1"/>
  <c r="QK25" i="126" s="1"/>
  <c r="QK26" i="126" s="1"/>
  <c r="QK27" i="126" s="1"/>
  <c r="QK28" i="126" s="1"/>
  <c r="QK29" i="126" s="1"/>
  <c r="QK30" i="126" s="1"/>
  <c r="QK31" i="126" s="1"/>
  <c r="QK32" i="126" s="1"/>
  <c r="QK33" i="126" s="1"/>
  <c r="QK34" i="126" s="1"/>
  <c r="QK35" i="126" s="1"/>
  <c r="QK36" i="126" s="1"/>
  <c r="QK37" i="126" s="1"/>
  <c r="QK38" i="126" s="1"/>
  <c r="QK39" i="126" s="1"/>
  <c r="QK40" i="126" s="1"/>
  <c r="QK41" i="126" s="1"/>
  <c r="QK42" i="126" s="1"/>
  <c r="PG10" i="126"/>
  <c r="PG11" i="126" s="1"/>
  <c r="PG12" i="126" s="1"/>
  <c r="PG13" i="126" s="1"/>
  <c r="PG14" i="126" s="1"/>
  <c r="PG15" i="126" s="1"/>
  <c r="PG16" i="126" s="1"/>
  <c r="PG17" i="126" s="1"/>
  <c r="PG18" i="126" s="1"/>
  <c r="PG19" i="126" s="1"/>
  <c r="PG20" i="126" s="1"/>
  <c r="PG21" i="126" s="1"/>
  <c r="PG22" i="126" s="1"/>
  <c r="PG23" i="126" s="1"/>
  <c r="PG24" i="126" s="1"/>
  <c r="PG25" i="126" s="1"/>
  <c r="PG26" i="126" s="1"/>
  <c r="PG27" i="126" s="1"/>
  <c r="PG28" i="126" s="1"/>
  <c r="PG29" i="126" s="1"/>
  <c r="PG30" i="126" s="1"/>
  <c r="PG31" i="126" s="1"/>
  <c r="PG32" i="126" s="1"/>
  <c r="PG33" i="126" s="1"/>
  <c r="PG34" i="126" s="1"/>
  <c r="PG35" i="126" s="1"/>
  <c r="PG36" i="126" s="1"/>
  <c r="PG37" i="126" s="1"/>
  <c r="PG38" i="126" s="1"/>
  <c r="PG39" i="126" s="1"/>
  <c r="PG40" i="126" s="1"/>
  <c r="PG41" i="126" s="1"/>
  <c r="PG42" i="126" s="1"/>
  <c r="PG44" i="126" s="1"/>
  <c r="PE10" i="126"/>
  <c r="PE11" i="126" s="1"/>
  <c r="PE12" i="126" s="1"/>
  <c r="PE13" i="126" s="1"/>
  <c r="PE14" i="126" s="1"/>
  <c r="PE15" i="126" s="1"/>
  <c r="PE16" i="126" s="1"/>
  <c r="PE17" i="126" s="1"/>
  <c r="PE18" i="126" s="1"/>
  <c r="PE19" i="126" s="1"/>
  <c r="PE20" i="126" s="1"/>
  <c r="PE21" i="126" s="1"/>
  <c r="PE22" i="126" s="1"/>
  <c r="PE23" i="126" s="1"/>
  <c r="PE24" i="126" s="1"/>
  <c r="PE25" i="126" s="1"/>
  <c r="PE26" i="126" s="1"/>
  <c r="PE27" i="126" s="1"/>
  <c r="PE28" i="126" s="1"/>
  <c r="PE29" i="126" s="1"/>
  <c r="PE30" i="126" s="1"/>
  <c r="PE31" i="126" s="1"/>
  <c r="PE32" i="126" s="1"/>
  <c r="PE33" i="126" s="1"/>
  <c r="PE34" i="126" s="1"/>
  <c r="PE35" i="126" s="1"/>
  <c r="PE36" i="126" s="1"/>
  <c r="PE37" i="126" s="1"/>
  <c r="PE38" i="126" s="1"/>
  <c r="PE39" i="126" s="1"/>
  <c r="PE40" i="126" s="1"/>
  <c r="PE41" i="126" s="1"/>
  <c r="PE42" i="126" s="1"/>
  <c r="PE44" i="126" s="1"/>
  <c r="PD10" i="126"/>
  <c r="PD11" i="126" s="1"/>
  <c r="PD12" i="126" s="1"/>
  <c r="PD13" i="126" s="1"/>
  <c r="PD14" i="126" s="1"/>
  <c r="PD15" i="126" s="1"/>
  <c r="PD16" i="126" s="1"/>
  <c r="PD17" i="126" s="1"/>
  <c r="PD18" i="126" s="1"/>
  <c r="PD19" i="126" s="1"/>
  <c r="PD20" i="126" s="1"/>
  <c r="PD21" i="126" s="1"/>
  <c r="PD22" i="126" s="1"/>
  <c r="PD23" i="126" s="1"/>
  <c r="PD24" i="126" s="1"/>
  <c r="PD25" i="126" s="1"/>
  <c r="PD26" i="126" s="1"/>
  <c r="PD27" i="126" s="1"/>
  <c r="PD28" i="126" s="1"/>
  <c r="PD29" i="126" s="1"/>
  <c r="PD30" i="126" s="1"/>
  <c r="PD31" i="126" s="1"/>
  <c r="PD32" i="126" s="1"/>
  <c r="PD33" i="126" s="1"/>
  <c r="PD34" i="126" s="1"/>
  <c r="PD35" i="126" s="1"/>
  <c r="PD36" i="126" s="1"/>
  <c r="PD37" i="126" s="1"/>
  <c r="PD38" i="126" s="1"/>
  <c r="PD39" i="126" s="1"/>
  <c r="PD40" i="126" s="1"/>
  <c r="PD41" i="126" s="1"/>
  <c r="PD42" i="126" s="1"/>
  <c r="PD44" i="126" s="1"/>
  <c r="PC10" i="126"/>
  <c r="PC11" i="126" s="1"/>
  <c r="PC12" i="126" s="1"/>
  <c r="PC13" i="126" s="1"/>
  <c r="PC14" i="126" s="1"/>
  <c r="PC15" i="126" s="1"/>
  <c r="PC16" i="126" s="1"/>
  <c r="PC17" i="126" s="1"/>
  <c r="PC18" i="126" s="1"/>
  <c r="PC19" i="126" s="1"/>
  <c r="PC20" i="126" s="1"/>
  <c r="PC21" i="126" s="1"/>
  <c r="PC22" i="126" s="1"/>
  <c r="PC23" i="126" s="1"/>
  <c r="PC24" i="126" s="1"/>
  <c r="PC25" i="126" s="1"/>
  <c r="PC26" i="126" s="1"/>
  <c r="PC27" i="126" s="1"/>
  <c r="PC28" i="126" s="1"/>
  <c r="PC29" i="126" s="1"/>
  <c r="PC30" i="126" s="1"/>
  <c r="PC31" i="126" s="1"/>
  <c r="PC32" i="126" s="1"/>
  <c r="PC33" i="126" s="1"/>
  <c r="PC34" i="126" s="1"/>
  <c r="PC35" i="126" s="1"/>
  <c r="PC36" i="126" s="1"/>
  <c r="PC37" i="126" s="1"/>
  <c r="PC38" i="126" s="1"/>
  <c r="PC39" i="126" s="1"/>
  <c r="PC40" i="126" s="1"/>
  <c r="PC41" i="126" s="1"/>
  <c r="PC42" i="126" s="1"/>
  <c r="PC44" i="126" s="1"/>
  <c r="PB10" i="126"/>
  <c r="PB11" i="126" s="1"/>
  <c r="PA10" i="126"/>
  <c r="OS10" i="126"/>
  <c r="OS11" i="126" s="1"/>
  <c r="OS12" i="126" s="1"/>
  <c r="OS13" i="126" s="1"/>
  <c r="OS14" i="126" s="1"/>
  <c r="OS15" i="126" s="1"/>
  <c r="OS16" i="126" s="1"/>
  <c r="OS17" i="126" s="1"/>
  <c r="OS18" i="126" s="1"/>
  <c r="OS19" i="126" s="1"/>
  <c r="OS20" i="126" s="1"/>
  <c r="OS21" i="126" s="1"/>
  <c r="OS22" i="126" s="1"/>
  <c r="OS23" i="126" s="1"/>
  <c r="OS24" i="126" s="1"/>
  <c r="OS25" i="126" s="1"/>
  <c r="OS26" i="126" s="1"/>
  <c r="OS27" i="126" s="1"/>
  <c r="OS28" i="126" s="1"/>
  <c r="OS29" i="126" s="1"/>
  <c r="OS30" i="126" s="1"/>
  <c r="OS31" i="126" s="1"/>
  <c r="OS32" i="126" s="1"/>
  <c r="OS33" i="126" s="1"/>
  <c r="OS34" i="126" s="1"/>
  <c r="OS35" i="126" s="1"/>
  <c r="OS36" i="126" s="1"/>
  <c r="OS37" i="126" s="1"/>
  <c r="OS38" i="126" s="1"/>
  <c r="OS39" i="126" s="1"/>
  <c r="OS40" i="126" s="1"/>
  <c r="OS41" i="126" s="1"/>
  <c r="OS42" i="126" s="1"/>
  <c r="OO10" i="126"/>
  <c r="OO11" i="126" s="1"/>
  <c r="OO12" i="126" s="1"/>
  <c r="OO13" i="126" s="1"/>
  <c r="OO14" i="126" s="1"/>
  <c r="OO15" i="126" s="1"/>
  <c r="OO16" i="126" s="1"/>
  <c r="OO17" i="126" s="1"/>
  <c r="OO18" i="126" s="1"/>
  <c r="OO19" i="126" s="1"/>
  <c r="OO20" i="126" s="1"/>
  <c r="OO21" i="126" s="1"/>
  <c r="OO22" i="126" s="1"/>
  <c r="OO23" i="126" s="1"/>
  <c r="OO24" i="126" s="1"/>
  <c r="OO25" i="126" s="1"/>
  <c r="OO26" i="126" s="1"/>
  <c r="OO27" i="126" s="1"/>
  <c r="OO28" i="126" s="1"/>
  <c r="OO29" i="126" s="1"/>
  <c r="OO30" i="126" s="1"/>
  <c r="OO31" i="126" s="1"/>
  <c r="OO32" i="126" s="1"/>
  <c r="OO33" i="126" s="1"/>
  <c r="OO34" i="126" s="1"/>
  <c r="OO35" i="126" s="1"/>
  <c r="OO36" i="126" s="1"/>
  <c r="OO37" i="126" s="1"/>
  <c r="OO38" i="126" s="1"/>
  <c r="OO39" i="126" s="1"/>
  <c r="OO40" i="126" s="1"/>
  <c r="OO41" i="126" s="1"/>
  <c r="OO42" i="126" s="1"/>
  <c r="OM10" i="126"/>
  <c r="OM11" i="126" s="1"/>
  <c r="OM12" i="126" s="1"/>
  <c r="OM13" i="126" s="1"/>
  <c r="OM14" i="126" s="1"/>
  <c r="OM15" i="126" s="1"/>
  <c r="OM16" i="126" s="1"/>
  <c r="OM17" i="126" s="1"/>
  <c r="OM18" i="126" s="1"/>
  <c r="OM19" i="126" s="1"/>
  <c r="OM20" i="126" s="1"/>
  <c r="OM21" i="126" s="1"/>
  <c r="OM22" i="126" s="1"/>
  <c r="OM23" i="126" s="1"/>
  <c r="OM24" i="126" s="1"/>
  <c r="OM25" i="126" s="1"/>
  <c r="OM26" i="126" s="1"/>
  <c r="OM27" i="126" s="1"/>
  <c r="OM28" i="126" s="1"/>
  <c r="OM29" i="126" s="1"/>
  <c r="OM30" i="126" s="1"/>
  <c r="OM31" i="126" s="1"/>
  <c r="OM32" i="126" s="1"/>
  <c r="OM33" i="126" s="1"/>
  <c r="OM34" i="126" s="1"/>
  <c r="OM35" i="126" s="1"/>
  <c r="OM36" i="126" s="1"/>
  <c r="OM37" i="126" s="1"/>
  <c r="OM38" i="126" s="1"/>
  <c r="OM39" i="126" s="1"/>
  <c r="OM40" i="126" s="1"/>
  <c r="OM41" i="126" s="1"/>
  <c r="OM42" i="126" s="1"/>
  <c r="OL10" i="126"/>
  <c r="OL11" i="126" s="1"/>
  <c r="OL12" i="126" s="1"/>
  <c r="OL13" i="126" s="1"/>
  <c r="OL14" i="126" s="1"/>
  <c r="OL15" i="126" s="1"/>
  <c r="OL16" i="126" s="1"/>
  <c r="OL17" i="126" s="1"/>
  <c r="OL18" i="126" s="1"/>
  <c r="OL19" i="126" s="1"/>
  <c r="OL20" i="126" s="1"/>
  <c r="OL21" i="126" s="1"/>
  <c r="OL22" i="126" s="1"/>
  <c r="OL23" i="126" s="1"/>
  <c r="OL24" i="126" s="1"/>
  <c r="OL25" i="126" s="1"/>
  <c r="OL26" i="126" s="1"/>
  <c r="OL27" i="126" s="1"/>
  <c r="OL28" i="126" s="1"/>
  <c r="OL29" i="126" s="1"/>
  <c r="OL30" i="126" s="1"/>
  <c r="OL31" i="126" s="1"/>
  <c r="OL32" i="126" s="1"/>
  <c r="OL33" i="126" s="1"/>
  <c r="OL34" i="126" s="1"/>
  <c r="OL35" i="126" s="1"/>
  <c r="OL36" i="126" s="1"/>
  <c r="OL37" i="126" s="1"/>
  <c r="OL38" i="126" s="1"/>
  <c r="OL39" i="126" s="1"/>
  <c r="OL40" i="126" s="1"/>
  <c r="OL41" i="126" s="1"/>
  <c r="OK10" i="126"/>
  <c r="OK11" i="126" s="1"/>
  <c r="OK12" i="126" s="1"/>
  <c r="OK13" i="126" s="1"/>
  <c r="OK14" i="126" s="1"/>
  <c r="OK15" i="126" s="1"/>
  <c r="OK16" i="126" s="1"/>
  <c r="OK17" i="126" s="1"/>
  <c r="OK18" i="126" s="1"/>
  <c r="OK19" i="126" s="1"/>
  <c r="OK20" i="126" s="1"/>
  <c r="OK21" i="126" s="1"/>
  <c r="OK22" i="126" s="1"/>
  <c r="OK23" i="126" s="1"/>
  <c r="OK24" i="126" s="1"/>
  <c r="OK25" i="126" s="1"/>
  <c r="OK26" i="126" s="1"/>
  <c r="OK27" i="126" s="1"/>
  <c r="OK28" i="126" s="1"/>
  <c r="OK29" i="126" s="1"/>
  <c r="OK30" i="126" s="1"/>
  <c r="OK31" i="126" s="1"/>
  <c r="OK32" i="126" s="1"/>
  <c r="OK33" i="126" s="1"/>
  <c r="OK34" i="126" s="1"/>
  <c r="OK35" i="126" s="1"/>
  <c r="OK36" i="126" s="1"/>
  <c r="OK37" i="126" s="1"/>
  <c r="OK38" i="126" s="1"/>
  <c r="OK39" i="126" s="1"/>
  <c r="OK40" i="126" s="1"/>
  <c r="OK41" i="126" s="1"/>
  <c r="OK42" i="126" s="1"/>
  <c r="OJ10" i="126"/>
  <c r="OJ11" i="126" s="1"/>
  <c r="OJ12" i="126" s="1"/>
  <c r="OJ13" i="126" s="1"/>
  <c r="OJ14" i="126" s="1"/>
  <c r="OJ15" i="126" s="1"/>
  <c r="OJ16" i="126" s="1"/>
  <c r="OJ17" i="126" s="1"/>
  <c r="OJ18" i="126" s="1"/>
  <c r="OJ19" i="126" s="1"/>
  <c r="OI10" i="126"/>
  <c r="OI11" i="126" s="1"/>
  <c r="OI12" i="126" s="1"/>
  <c r="OI13" i="126" s="1"/>
  <c r="OI14" i="126" s="1"/>
  <c r="OI15" i="126" s="1"/>
  <c r="OI16" i="126" s="1"/>
  <c r="OI17" i="126" s="1"/>
  <c r="OI18" i="126" s="1"/>
  <c r="OI19" i="126" s="1"/>
  <c r="OI20" i="126" s="1"/>
  <c r="OI21" i="126" s="1"/>
  <c r="OI22" i="126" s="1"/>
  <c r="OI23" i="126" s="1"/>
  <c r="OI24" i="126" s="1"/>
  <c r="OI25" i="126" s="1"/>
  <c r="OI26" i="126" s="1"/>
  <c r="OI27" i="126" s="1"/>
  <c r="OI28" i="126" s="1"/>
  <c r="OI29" i="126" s="1"/>
  <c r="OI30" i="126" s="1"/>
  <c r="OI31" i="126" s="1"/>
  <c r="OI32" i="126" s="1"/>
  <c r="OI33" i="126" s="1"/>
  <c r="OI34" i="126" s="1"/>
  <c r="OI35" i="126" s="1"/>
  <c r="OI36" i="126" s="1"/>
  <c r="OI37" i="126" s="1"/>
  <c r="OI38" i="126" s="1"/>
  <c r="OI39" i="126" s="1"/>
  <c r="OI40" i="126" s="1"/>
  <c r="OI41" i="126" s="1"/>
  <c r="OI42" i="126" s="1"/>
  <c r="OH10" i="126"/>
  <c r="OH11" i="126" s="1"/>
  <c r="NZ10" i="126"/>
  <c r="NZ11" i="126" s="1"/>
  <c r="NZ12" i="126" s="1"/>
  <c r="NZ13" i="126" s="1"/>
  <c r="NZ14" i="126" s="1"/>
  <c r="NZ15" i="126" s="1"/>
  <c r="NZ16" i="126" s="1"/>
  <c r="NZ17" i="126" s="1"/>
  <c r="NZ18" i="126" s="1"/>
  <c r="NZ19" i="126" s="1"/>
  <c r="NZ20" i="126" s="1"/>
  <c r="NZ21" i="126" s="1"/>
  <c r="NZ22" i="126" s="1"/>
  <c r="NZ23" i="126" s="1"/>
  <c r="NZ24" i="126" s="1"/>
  <c r="NZ25" i="126" s="1"/>
  <c r="NZ26" i="126" s="1"/>
  <c r="NZ27" i="126" s="1"/>
  <c r="NZ28" i="126" s="1"/>
  <c r="NZ29" i="126" s="1"/>
  <c r="NZ30" i="126" s="1"/>
  <c r="NZ31" i="126" s="1"/>
  <c r="NZ32" i="126" s="1"/>
  <c r="NZ33" i="126" s="1"/>
  <c r="NZ34" i="126" s="1"/>
  <c r="NZ35" i="126" s="1"/>
  <c r="NZ36" i="126" s="1"/>
  <c r="NZ37" i="126" s="1"/>
  <c r="NZ38" i="126" s="1"/>
  <c r="NZ39" i="126" s="1"/>
  <c r="NZ40" i="126" s="1"/>
  <c r="NZ41" i="126" s="1"/>
  <c r="NZ42" i="126" s="1"/>
  <c r="NY10" i="126"/>
  <c r="NY11" i="126" s="1"/>
  <c r="NY12" i="126" s="1"/>
  <c r="NY13" i="126" s="1"/>
  <c r="NY14" i="126" s="1"/>
  <c r="NY15" i="126" s="1"/>
  <c r="NY16" i="126" s="1"/>
  <c r="NY17" i="126" s="1"/>
  <c r="NY18" i="126" s="1"/>
  <c r="NY19" i="126" s="1"/>
  <c r="NY20" i="126" s="1"/>
  <c r="NY21" i="126" s="1"/>
  <c r="NY22" i="126" s="1"/>
  <c r="NY23" i="126" s="1"/>
  <c r="NY24" i="126" s="1"/>
  <c r="NY25" i="126" s="1"/>
  <c r="NY26" i="126" s="1"/>
  <c r="NY27" i="126" s="1"/>
  <c r="NY28" i="126" s="1"/>
  <c r="NY29" i="126" s="1"/>
  <c r="NY30" i="126" s="1"/>
  <c r="NY31" i="126" s="1"/>
  <c r="NY32" i="126" s="1"/>
  <c r="NY33" i="126" s="1"/>
  <c r="NY34" i="126" s="1"/>
  <c r="NY35" i="126" s="1"/>
  <c r="NY36" i="126" s="1"/>
  <c r="NY37" i="126" s="1"/>
  <c r="NY38" i="126" s="1"/>
  <c r="NY39" i="126" s="1"/>
  <c r="NY40" i="126" s="1"/>
  <c r="NY41" i="126" s="1"/>
  <c r="NY42" i="126" s="1"/>
  <c r="NY44" i="126" s="1"/>
  <c r="NX10" i="126"/>
  <c r="NW10" i="126"/>
  <c r="NW11" i="126" s="1"/>
  <c r="NW12" i="126" s="1"/>
  <c r="NW13" i="126" s="1"/>
  <c r="NW14" i="126" s="1"/>
  <c r="NW15" i="126" s="1"/>
  <c r="NW16" i="126" s="1"/>
  <c r="NW17" i="126" s="1"/>
  <c r="NW18" i="126" s="1"/>
  <c r="NW19" i="126" s="1"/>
  <c r="NW20" i="126" s="1"/>
  <c r="NW21" i="126" s="1"/>
  <c r="NW22" i="126" s="1"/>
  <c r="NW23" i="126" s="1"/>
  <c r="NW24" i="126" s="1"/>
  <c r="NW25" i="126" s="1"/>
  <c r="NW26" i="126" s="1"/>
  <c r="NW27" i="126" s="1"/>
  <c r="NW28" i="126" s="1"/>
  <c r="NW29" i="126" s="1"/>
  <c r="NW30" i="126" s="1"/>
  <c r="NW31" i="126" s="1"/>
  <c r="NW32" i="126" s="1"/>
  <c r="NW33" i="126" s="1"/>
  <c r="NW34" i="126" s="1"/>
  <c r="NW35" i="126" s="1"/>
  <c r="NW36" i="126" s="1"/>
  <c r="NW37" i="126" s="1"/>
  <c r="NW38" i="126" s="1"/>
  <c r="NW39" i="126" s="1"/>
  <c r="NW40" i="126" s="1"/>
  <c r="NW41" i="126" s="1"/>
  <c r="NW42" i="126" s="1"/>
  <c r="NW44" i="126" s="1"/>
  <c r="NV10" i="126"/>
  <c r="NV11" i="126" s="1"/>
  <c r="NV12" i="126" s="1"/>
  <c r="NV13" i="126" s="1"/>
  <c r="NV14" i="126" s="1"/>
  <c r="NV15" i="126" s="1"/>
  <c r="NV16" i="126" s="1"/>
  <c r="NV17" i="126" s="1"/>
  <c r="NV18" i="126" s="1"/>
  <c r="NV19" i="126" s="1"/>
  <c r="NV20" i="126" s="1"/>
  <c r="NV21" i="126" s="1"/>
  <c r="NV22" i="126" s="1"/>
  <c r="NV23" i="126" s="1"/>
  <c r="NV24" i="126" s="1"/>
  <c r="NV25" i="126" s="1"/>
  <c r="NV26" i="126" s="1"/>
  <c r="NV27" i="126" s="1"/>
  <c r="NV28" i="126" s="1"/>
  <c r="NV29" i="126" s="1"/>
  <c r="NV30" i="126" s="1"/>
  <c r="NV31" i="126" s="1"/>
  <c r="NV32" i="126" s="1"/>
  <c r="NV33" i="126" s="1"/>
  <c r="NV34" i="126" s="1"/>
  <c r="NV35" i="126" s="1"/>
  <c r="NV36" i="126" s="1"/>
  <c r="NV37" i="126" s="1"/>
  <c r="NV38" i="126" s="1"/>
  <c r="NV39" i="126" s="1"/>
  <c r="NV40" i="126" s="1"/>
  <c r="NV41" i="126" s="1"/>
  <c r="NV42" i="126" s="1"/>
  <c r="NU10" i="126"/>
  <c r="NU11" i="126" s="1"/>
  <c r="NR10" i="126"/>
  <c r="NO10" i="126"/>
  <c r="NO11" i="126" s="1"/>
  <c r="NO12" i="126" s="1"/>
  <c r="NO13" i="126" s="1"/>
  <c r="NO14" i="126" s="1"/>
  <c r="NO15" i="126" s="1"/>
  <c r="NO16" i="126" s="1"/>
  <c r="NO17" i="126" s="1"/>
  <c r="NO18" i="126" s="1"/>
  <c r="NO19" i="126" s="1"/>
  <c r="NO20" i="126" s="1"/>
  <c r="NO21" i="126" s="1"/>
  <c r="NO22" i="126" s="1"/>
  <c r="NO23" i="126" s="1"/>
  <c r="NO24" i="126" s="1"/>
  <c r="NO25" i="126" s="1"/>
  <c r="NO26" i="126" s="1"/>
  <c r="NO27" i="126" s="1"/>
  <c r="NO28" i="126" s="1"/>
  <c r="NO29" i="126" s="1"/>
  <c r="NO30" i="126" s="1"/>
  <c r="NO31" i="126" s="1"/>
  <c r="NO32" i="126" s="1"/>
  <c r="NO33" i="126" s="1"/>
  <c r="NO34" i="126" s="1"/>
  <c r="NO35" i="126" s="1"/>
  <c r="NM10" i="126"/>
  <c r="NM11" i="126" s="1"/>
  <c r="NM12" i="126" s="1"/>
  <c r="NM13" i="126" s="1"/>
  <c r="NM14" i="126" s="1"/>
  <c r="NM15" i="126" s="1"/>
  <c r="NM16" i="126" s="1"/>
  <c r="NM17" i="126" s="1"/>
  <c r="NM18" i="126" s="1"/>
  <c r="NM19" i="126" s="1"/>
  <c r="NM20" i="126" s="1"/>
  <c r="NM21" i="126" s="1"/>
  <c r="NM22" i="126" s="1"/>
  <c r="NM23" i="126" s="1"/>
  <c r="NM24" i="126" s="1"/>
  <c r="NM25" i="126" s="1"/>
  <c r="NM26" i="126" s="1"/>
  <c r="NM27" i="126" s="1"/>
  <c r="NM28" i="126" s="1"/>
  <c r="NM29" i="126" s="1"/>
  <c r="NM30" i="126" s="1"/>
  <c r="NM31" i="126" s="1"/>
  <c r="NM32" i="126" s="1"/>
  <c r="NM33" i="126" s="1"/>
  <c r="NM34" i="126" s="1"/>
  <c r="NM35" i="126" s="1"/>
  <c r="NL10" i="126"/>
  <c r="NL11" i="126" s="1"/>
  <c r="NL12" i="126" s="1"/>
  <c r="NL13" i="126" s="1"/>
  <c r="NL14" i="126" s="1"/>
  <c r="NL15" i="126" s="1"/>
  <c r="NL16" i="126" s="1"/>
  <c r="NL17" i="126" s="1"/>
  <c r="NL18" i="126" s="1"/>
  <c r="NL19" i="126" s="1"/>
  <c r="NL20" i="126" s="1"/>
  <c r="NL21" i="126" s="1"/>
  <c r="NL22" i="126" s="1"/>
  <c r="NL23" i="126" s="1"/>
  <c r="NL24" i="126" s="1"/>
  <c r="NL25" i="126" s="1"/>
  <c r="NL26" i="126" s="1"/>
  <c r="NL27" i="126" s="1"/>
  <c r="NL28" i="126" s="1"/>
  <c r="NL29" i="126" s="1"/>
  <c r="NL30" i="126" s="1"/>
  <c r="NL31" i="126" s="1"/>
  <c r="NL32" i="126" s="1"/>
  <c r="NL33" i="126" s="1"/>
  <c r="NL34" i="126" s="1"/>
  <c r="NL35" i="126" s="1"/>
  <c r="NK10" i="126"/>
  <c r="NK11" i="126" s="1"/>
  <c r="NK12" i="126" s="1"/>
  <c r="NK13" i="126" s="1"/>
  <c r="NK14" i="126" s="1"/>
  <c r="NK15" i="126" s="1"/>
  <c r="NK16" i="126" s="1"/>
  <c r="NK17" i="126" s="1"/>
  <c r="NK18" i="126" s="1"/>
  <c r="NK19" i="126" s="1"/>
  <c r="NK20" i="126" s="1"/>
  <c r="NK21" i="126" s="1"/>
  <c r="NK22" i="126" s="1"/>
  <c r="NK23" i="126" s="1"/>
  <c r="NK24" i="126" s="1"/>
  <c r="NK25" i="126" s="1"/>
  <c r="NK26" i="126" s="1"/>
  <c r="NK27" i="126" s="1"/>
  <c r="NK28" i="126" s="1"/>
  <c r="NK29" i="126" s="1"/>
  <c r="NJ10" i="126"/>
  <c r="NJ11" i="126" s="1"/>
  <c r="NJ12" i="126" s="1"/>
  <c r="NJ13" i="126" s="1"/>
  <c r="NJ14" i="126" s="1"/>
  <c r="NJ15" i="126" s="1"/>
  <c r="NJ16" i="126" s="1"/>
  <c r="NJ17" i="126" s="1"/>
  <c r="NJ18" i="126" s="1"/>
  <c r="NJ19" i="126" s="1"/>
  <c r="NJ20" i="126" s="1"/>
  <c r="NJ21" i="126" s="1"/>
  <c r="NJ22" i="126" s="1"/>
  <c r="NJ23" i="126" s="1"/>
  <c r="NJ24" i="126" s="1"/>
  <c r="NJ25" i="126" s="1"/>
  <c r="NJ26" i="126" s="1"/>
  <c r="NJ27" i="126" s="1"/>
  <c r="NJ28" i="126" s="1"/>
  <c r="NJ29" i="126" s="1"/>
  <c r="NJ30" i="126" s="1"/>
  <c r="NJ31" i="126" s="1"/>
  <c r="NJ32" i="126" s="1"/>
  <c r="NJ33" i="126" s="1"/>
  <c r="NJ34" i="126" s="1"/>
  <c r="NJ35" i="126" s="1"/>
  <c r="NI10" i="126"/>
  <c r="NI11" i="126" s="1"/>
  <c r="NI12" i="126" s="1"/>
  <c r="NI13" i="126" s="1"/>
  <c r="NI14" i="126" s="1"/>
  <c r="NI15" i="126" s="1"/>
  <c r="NI16" i="126" s="1"/>
  <c r="NI17" i="126" s="1"/>
  <c r="NI18" i="126" s="1"/>
  <c r="NI19" i="126" s="1"/>
  <c r="NI20" i="126" s="1"/>
  <c r="NI21" i="126" s="1"/>
  <c r="NI22" i="126" s="1"/>
  <c r="NI23" i="126" s="1"/>
  <c r="NI24" i="126" s="1"/>
  <c r="NI25" i="126" s="1"/>
  <c r="NI26" i="126" s="1"/>
  <c r="NI27" i="126" s="1"/>
  <c r="NI28" i="126" s="1"/>
  <c r="NI29" i="126" s="1"/>
  <c r="NI30" i="126" s="1"/>
  <c r="NI31" i="126" s="1"/>
  <c r="NI32" i="126" s="1"/>
  <c r="NI33" i="126" s="1"/>
  <c r="NI34" i="126" s="1"/>
  <c r="NI35" i="126" s="1"/>
  <c r="MV10" i="126"/>
  <c r="MD10" i="126"/>
  <c r="LX10" i="126"/>
  <c r="LJ10" i="126"/>
  <c r="LI10" i="126"/>
  <c r="LH10" i="126"/>
  <c r="HW10" i="126" a="1"/>
  <c r="HW10" i="126" s="1"/>
  <c r="HU10" i="126" a="1"/>
  <c r="HU10" i="126" s="1"/>
  <c r="GE10" i="126"/>
  <c r="GE10" i="126" a="1"/>
  <c r="FV10" i="126"/>
  <c r="FO10" i="126"/>
  <c r="FO41" i="126" s="1"/>
  <c r="FO42" i="126" s="1"/>
  <c r="FO44" i="126" s="1"/>
  <c r="EZ10" i="126"/>
  <c r="ES10" i="126"/>
  <c r="DC10" i="126"/>
  <c r="DA10" i="126"/>
  <c r="CY10" i="126"/>
  <c r="CW10" i="126"/>
  <c r="CV10" i="126"/>
  <c r="CU10" i="126"/>
  <c r="CT10" i="126"/>
  <c r="CT41" i="126" s="1"/>
  <c r="CT42" i="126" s="1"/>
  <c r="CT44" i="126" s="1"/>
  <c r="CS10" i="126"/>
  <c r="CR10" i="126"/>
  <c r="CG10" i="126"/>
  <c r="CD10" i="126"/>
  <c r="CA10" i="126"/>
  <c r="BX10" i="126"/>
  <c r="BU10" i="126"/>
  <c r="BK10" i="126"/>
  <c r="BH10" i="126"/>
  <c r="BB10" i="126"/>
  <c r="AV10" i="126"/>
  <c r="AS10" i="126"/>
  <c r="AP10" i="126"/>
  <c r="AK10" i="126"/>
  <c r="AG10" i="126"/>
  <c r="AA10" i="126"/>
  <c r="X10" i="126"/>
  <c r="W10" i="126"/>
  <c r="S10" i="126"/>
  <c r="O10" i="126"/>
  <c r="RN9" i="126"/>
  <c r="QJ10" i="126"/>
  <c r="QJ11" i="126" s="1"/>
  <c r="QJ12" i="126" s="1"/>
  <c r="QJ13" i="126" s="1"/>
  <c r="QJ14" i="126" s="1"/>
  <c r="QJ15" i="126" s="1"/>
  <c r="QJ16" i="126" s="1"/>
  <c r="QJ17" i="126" s="1"/>
  <c r="QJ18" i="126" s="1"/>
  <c r="QJ19" i="126" s="1"/>
  <c r="QJ20" i="126" s="1"/>
  <c r="QJ21" i="126" s="1"/>
  <c r="QJ22" i="126" s="1"/>
  <c r="QJ23" i="126" s="1"/>
  <c r="QJ24" i="126" s="1"/>
  <c r="QJ25" i="126" s="1"/>
  <c r="QJ26" i="126" s="1"/>
  <c r="QJ27" i="126" s="1"/>
  <c r="QJ28" i="126" s="1"/>
  <c r="QJ29" i="126" s="1"/>
  <c r="QJ30" i="126" s="1"/>
  <c r="QJ31" i="126" s="1"/>
  <c r="QJ32" i="126" s="1"/>
  <c r="QJ33" i="126" s="1"/>
  <c r="QJ34" i="126" s="1"/>
  <c r="QJ35" i="126" s="1"/>
  <c r="QJ36" i="126" s="1"/>
  <c r="QJ37" i="126" s="1"/>
  <c r="QJ38" i="126" s="1"/>
  <c r="QJ39" i="126" s="1"/>
  <c r="QJ40" i="126" s="1"/>
  <c r="QJ41" i="126" s="1"/>
  <c r="QJ42" i="126" s="1"/>
  <c r="QH10" i="126"/>
  <c r="PH9" i="126"/>
  <c r="PH8" i="126"/>
  <c r="OT8" i="126"/>
  <c r="OG8" i="126"/>
  <c r="NT8" i="126"/>
  <c r="KF6" i="126"/>
  <c r="JX6" i="126"/>
  <c r="JP6" i="126"/>
  <c r="CF3" i="126"/>
  <c r="CE3" i="126"/>
  <c r="CC3" i="126"/>
  <c r="CJ1" i="126"/>
  <c r="JV19" i="126" l="1"/>
  <c r="JU11" i="126"/>
  <c r="JT11" i="126"/>
  <c r="JQ35" i="126"/>
  <c r="JS11" i="126"/>
  <c r="JP35" i="126"/>
  <c r="JR11" i="126"/>
  <c r="JQ11" i="126"/>
  <c r="JP11" i="126"/>
  <c r="JV27" i="126"/>
  <c r="JU27" i="126"/>
  <c r="JT27" i="126"/>
  <c r="H45" i="2"/>
  <c r="IU44" i="126"/>
  <c r="U15" i="126"/>
  <c r="H37" i="2"/>
  <c r="ID44" i="126"/>
  <c r="LK13" i="126"/>
  <c r="RM25" i="126"/>
  <c r="RM26" i="126" s="1"/>
  <c r="RM27" i="126" s="1"/>
  <c r="RM28" i="126" s="1"/>
  <c r="RM29" i="126" s="1"/>
  <c r="RM30" i="126" s="1"/>
  <c r="RM31" i="126" s="1"/>
  <c r="RM32" i="126" s="1"/>
  <c r="RM33" i="126" s="1"/>
  <c r="RM34" i="126" s="1"/>
  <c r="RM35" i="126" s="1"/>
  <c r="RM36" i="126" s="1"/>
  <c r="RM37" i="126" s="1"/>
  <c r="RM38" i="126" s="1"/>
  <c r="RM39" i="126" s="1"/>
  <c r="RM40" i="126" s="1"/>
  <c r="LK25" i="126"/>
  <c r="LK28" i="126"/>
  <c r="CC42" i="126"/>
  <c r="CD41" i="126"/>
  <c r="IH44" i="126"/>
  <c r="H39" i="2"/>
  <c r="CF42" i="126"/>
  <c r="CF44" i="126" s="1"/>
  <c r="CV41" i="126"/>
  <c r="CV42" i="126" s="1"/>
  <c r="CV44" i="126" s="1"/>
  <c r="LJ41" i="126"/>
  <c r="LJ42" i="126" s="1"/>
  <c r="MV41" i="126"/>
  <c r="MV42" i="126" s="1"/>
  <c r="MV44" i="126" s="1"/>
  <c r="Y17" i="126"/>
  <c r="AO42" i="126"/>
  <c r="AO44" i="126" s="1"/>
  <c r="AP41" i="126"/>
  <c r="AP42" i="126" s="1"/>
  <c r="AP44" i="126" s="1"/>
  <c r="CE44" i="126"/>
  <c r="CE48" i="126"/>
  <c r="LK40" i="126"/>
  <c r="BK44" i="127"/>
  <c r="AF28" i="95"/>
  <c r="C18" i="96"/>
  <c r="U39" i="126"/>
  <c r="U18" i="126"/>
  <c r="AC34" i="126"/>
  <c r="LK36" i="126"/>
  <c r="LK37" i="126"/>
  <c r="CR41" i="126"/>
  <c r="CR42" i="126" s="1"/>
  <c r="CR44" i="126" s="1"/>
  <c r="FV41" i="126"/>
  <c r="FV42" i="126" s="1"/>
  <c r="FV44" i="126" s="1"/>
  <c r="LK18" i="126"/>
  <c r="C23" i="126"/>
  <c r="C29" i="126"/>
  <c r="Y37" i="126"/>
  <c r="N44" i="126"/>
  <c r="BC130" i="2"/>
  <c r="CI42" i="126"/>
  <c r="CI44" i="126" s="1"/>
  <c r="H138" i="2"/>
  <c r="H137" i="2"/>
  <c r="CL44" i="126"/>
  <c r="H140" i="2"/>
  <c r="IW44" i="126"/>
  <c r="H46" i="2"/>
  <c r="AC27" i="126"/>
  <c r="JR37" i="126"/>
  <c r="JV29" i="126"/>
  <c r="JU29" i="126"/>
  <c r="JP29" i="126"/>
  <c r="KE35" i="126"/>
  <c r="KA35" i="126"/>
  <c r="KB19" i="126"/>
  <c r="JY19" i="126"/>
  <c r="JX27" i="126"/>
  <c r="K44" i="126"/>
  <c r="BC127" i="2"/>
  <c r="M44" i="126"/>
  <c r="BC128" i="2"/>
  <c r="BC131" i="2"/>
  <c r="BC132" i="2"/>
  <c r="BC129" i="2"/>
  <c r="BC133" i="2"/>
  <c r="BC135" i="2"/>
  <c r="L44" i="126"/>
  <c r="BC134" i="2"/>
  <c r="Y15" i="126"/>
  <c r="JT21" i="126"/>
  <c r="JV37" i="126"/>
  <c r="JS21" i="126"/>
  <c r="JU37" i="126"/>
  <c r="JR21" i="126"/>
  <c r="JT37" i="126"/>
  <c r="JP21" i="126"/>
  <c r="KE27" i="126"/>
  <c r="KC27" i="126"/>
  <c r="JZ27" i="126"/>
  <c r="KE36" i="126"/>
  <c r="KE20" i="126"/>
  <c r="KE28" i="126"/>
  <c r="KD20" i="126"/>
  <c r="JU36" i="126"/>
  <c r="JQ36" i="126"/>
  <c r="JS12" i="126"/>
  <c r="JR12" i="126"/>
  <c r="JZ35" i="126"/>
  <c r="JY35" i="126"/>
  <c r="JX35" i="126"/>
  <c r="KE11" i="126"/>
  <c r="JZ11" i="126"/>
  <c r="KD36" i="126"/>
  <c r="KB36" i="126"/>
  <c r="JZ36" i="126"/>
  <c r="JS37" i="126"/>
  <c r="JQ29" i="126"/>
  <c r="JQ21" i="126"/>
  <c r="JP37" i="126"/>
  <c r="JX19" i="126"/>
  <c r="KC11" i="126"/>
  <c r="KB11" i="126"/>
  <c r="KD35" i="126"/>
  <c r="KD27" i="126"/>
  <c r="KA11" i="126"/>
  <c r="KB31" i="126"/>
  <c r="JR31" i="126"/>
  <c r="KC31" i="126"/>
  <c r="JV30" i="126"/>
  <c r="JU22" i="126"/>
  <c r="IC14" i="126"/>
  <c r="IC36" i="126"/>
  <c r="JS22" i="126"/>
  <c r="JR22" i="126"/>
  <c r="JP15" i="126"/>
  <c r="IC26" i="126"/>
  <c r="JQ22" i="126"/>
  <c r="JP38" i="126"/>
  <c r="JQ38" i="126"/>
  <c r="JY17" i="126"/>
  <c r="JQ40" i="126"/>
  <c r="JR40" i="126"/>
  <c r="JU30" i="126"/>
  <c r="JT30" i="126"/>
  <c r="JP14" i="126"/>
  <c r="KC38" i="126"/>
  <c r="JY36" i="126"/>
  <c r="JR30" i="126"/>
  <c r="KC20" i="126"/>
  <c r="JV13" i="126"/>
  <c r="KD38" i="126"/>
  <c r="JS30" i="126"/>
  <c r="KB38" i="126"/>
  <c r="JQ30" i="126"/>
  <c r="KB20" i="126"/>
  <c r="JQ13" i="126"/>
  <c r="JZ20" i="126"/>
  <c r="W90" i="126"/>
  <c r="GX39" i="126"/>
  <c r="RY39" i="126" s="1"/>
  <c r="IR29" i="126"/>
  <c r="GM29" i="126" s="1"/>
  <c r="KD13" i="126"/>
  <c r="KE37" i="126"/>
  <c r="KD29" i="126"/>
  <c r="JZ37" i="126"/>
  <c r="IC24" i="126"/>
  <c r="IC39" i="126"/>
  <c r="JP40" i="126"/>
  <c r="IC30" i="126"/>
  <c r="IC22" i="126"/>
  <c r="JG15" i="126"/>
  <c r="GN15" i="126" s="1"/>
  <c r="JX25" i="126"/>
  <c r="HN20" i="126"/>
  <c r="GL20" i="126" s="1"/>
  <c r="NR11" i="126"/>
  <c r="NR12" i="126" s="1"/>
  <c r="NR13" i="126" s="1"/>
  <c r="NR14" i="126" s="1"/>
  <c r="NR15" i="126" s="1"/>
  <c r="NR16" i="126" s="1"/>
  <c r="NR17" i="126" s="1"/>
  <c r="NR18" i="126" s="1"/>
  <c r="NR19" i="126" s="1"/>
  <c r="NR20" i="126" s="1"/>
  <c r="NR21" i="126" s="1"/>
  <c r="NR22" i="126" s="1"/>
  <c r="NR23" i="126" s="1"/>
  <c r="NR24" i="126" s="1"/>
  <c r="NR25" i="126" s="1"/>
  <c r="NR26" i="126" s="1"/>
  <c r="NR27" i="126" s="1"/>
  <c r="NR28" i="126" s="1"/>
  <c r="NR29" i="126" s="1"/>
  <c r="NR30" i="126" s="1"/>
  <c r="NR31" i="126" s="1"/>
  <c r="NR32" i="126" s="1"/>
  <c r="NR33" i="126" s="1"/>
  <c r="NR34" i="126" s="1"/>
  <c r="NR35" i="126" s="1"/>
  <c r="NR36" i="126" s="1"/>
  <c r="NR37" i="126" s="1"/>
  <c r="NR38" i="126" s="1"/>
  <c r="NR39" i="126" s="1"/>
  <c r="NR40" i="126" s="1"/>
  <c r="NR41" i="126" s="1"/>
  <c r="NR42" i="126" s="1"/>
  <c r="NR44" i="126" s="1"/>
  <c r="IC19" i="126"/>
  <c r="KE40" i="126"/>
  <c r="JV32" i="126"/>
  <c r="JZ22" i="126"/>
  <c r="JU32" i="126"/>
  <c r="KD23" i="126"/>
  <c r="KE38" i="126"/>
  <c r="JQ15" i="126"/>
  <c r="KB22" i="126"/>
  <c r="KA22" i="126"/>
  <c r="KC14" i="126"/>
  <c r="KA38" i="126"/>
  <c r="JV31" i="126"/>
  <c r="JY22" i="126"/>
  <c r="JY38" i="126"/>
  <c r="JY13" i="126"/>
  <c r="JZ38" i="126"/>
  <c r="JG11" i="126"/>
  <c r="GN11" i="126" s="1"/>
  <c r="KC10" i="126"/>
  <c r="JG33" i="126"/>
  <c r="GN33" i="126" s="1"/>
  <c r="JZ21" i="126"/>
  <c r="JY18" i="126"/>
  <c r="JG27" i="126"/>
  <c r="GN27" i="126" s="1"/>
  <c r="GX25" i="126"/>
  <c r="RY25" i="126" s="1"/>
  <c r="KE10" i="126"/>
  <c r="GX23" i="126"/>
  <c r="RY23" i="126" s="1"/>
  <c r="GX19" i="126"/>
  <c r="RY19" i="126" s="1"/>
  <c r="IR31" i="126"/>
  <c r="GM31" i="126" s="1"/>
  <c r="IR11" i="126"/>
  <c r="GM11" i="126" s="1"/>
  <c r="JU31" i="126"/>
  <c r="JU25" i="126"/>
  <c r="JY21" i="126"/>
  <c r="JX13" i="126"/>
  <c r="IC35" i="126"/>
  <c r="JS31" i="126"/>
  <c r="JX21" i="126"/>
  <c r="JZ18" i="126"/>
  <c r="IR35" i="126"/>
  <c r="GM35" i="126" s="1"/>
  <c r="JG13" i="126"/>
  <c r="GN13" i="126" s="1"/>
  <c r="KB39" i="126"/>
  <c r="KB37" i="126"/>
  <c r="JX36" i="126"/>
  <c r="JQ31" i="126"/>
  <c r="KD28" i="126"/>
  <c r="JV23" i="126"/>
  <c r="IR23" i="126"/>
  <c r="GM23" i="126" s="1"/>
  <c r="JG34" i="126"/>
  <c r="GN34" i="126" s="1"/>
  <c r="JQ39" i="126"/>
  <c r="JY37" i="126"/>
  <c r="KB28" i="126"/>
  <c r="JU23" i="126"/>
  <c r="KD12" i="126"/>
  <c r="JP39" i="126"/>
  <c r="JX37" i="126"/>
  <c r="KA28" i="126"/>
  <c r="JV17" i="126"/>
  <c r="KC12" i="126"/>
  <c r="IR19" i="126"/>
  <c r="GM19" i="126" s="1"/>
  <c r="IC16" i="126"/>
  <c r="JZ28" i="126"/>
  <c r="KB12" i="126"/>
  <c r="JV25" i="126"/>
  <c r="JX18" i="126"/>
  <c r="HN14" i="126"/>
  <c r="GL14" i="126" s="1"/>
  <c r="KA31" i="126"/>
  <c r="KE23" i="126"/>
  <c r="KE39" i="126"/>
  <c r="JQ34" i="126"/>
  <c r="KC23" i="126"/>
  <c r="JT17" i="126"/>
  <c r="KD39" i="126"/>
  <c r="JP34" i="126"/>
  <c r="KB23" i="126"/>
  <c r="IR17" i="126"/>
  <c r="GM17" i="126" s="1"/>
  <c r="JG39" i="126"/>
  <c r="GN39" i="126" s="1"/>
  <c r="KC39" i="126"/>
  <c r="KE33" i="126"/>
  <c r="JT31" i="126"/>
  <c r="JY29" i="126"/>
  <c r="KA23" i="126"/>
  <c r="KA21" i="126"/>
  <c r="KE12" i="126"/>
  <c r="KA39" i="126"/>
  <c r="JQ33" i="126"/>
  <c r="IC27" i="126"/>
  <c r="JZ39" i="126"/>
  <c r="KE32" i="126"/>
  <c r="JY39" i="126"/>
  <c r="KD37" i="126"/>
  <c r="KC36" i="126"/>
  <c r="KD32" i="126"/>
  <c r="JT29" i="126"/>
  <c r="JT23" i="126"/>
  <c r="KB14" i="126"/>
  <c r="KA12" i="126"/>
  <c r="KC37" i="126"/>
  <c r="KC32" i="126"/>
  <c r="JZ30" i="126"/>
  <c r="JS29" i="126"/>
  <c r="JS23" i="126"/>
  <c r="JV21" i="126"/>
  <c r="KA14" i="126"/>
  <c r="JZ12" i="126"/>
  <c r="IC23" i="126"/>
  <c r="IC29" i="126"/>
  <c r="KB10" i="126"/>
  <c r="KB32" i="126"/>
  <c r="JY30" i="126"/>
  <c r="JY25" i="126"/>
  <c r="JR23" i="126"/>
  <c r="KA18" i="126"/>
  <c r="JY14" i="126"/>
  <c r="JG19" i="126"/>
  <c r="GN19" i="126" s="1"/>
  <c r="HN15" i="126"/>
  <c r="GL15" i="126" s="1"/>
  <c r="HN35" i="126"/>
  <c r="GL35" i="126" s="1"/>
  <c r="HN23" i="126"/>
  <c r="GL23" i="126" s="1"/>
  <c r="HN19" i="126"/>
  <c r="GL19" i="126" s="1"/>
  <c r="IR33" i="126"/>
  <c r="GM33" i="126" s="1"/>
  <c r="IR25" i="126"/>
  <c r="GM25" i="126" s="1"/>
  <c r="JG29" i="126"/>
  <c r="GN29" i="126" s="1"/>
  <c r="JY26" i="126"/>
  <c r="IC11" i="126"/>
  <c r="IC12" i="126"/>
  <c r="IC15" i="126"/>
  <c r="IC34" i="126"/>
  <c r="IC37" i="126"/>
  <c r="JX26" i="126"/>
  <c r="GX35" i="126"/>
  <c r="RY35" i="126" s="1"/>
  <c r="HN12" i="126"/>
  <c r="GL12" i="126" s="1"/>
  <c r="HN18" i="126"/>
  <c r="GL18" i="126" s="1"/>
  <c r="JG30" i="126"/>
  <c r="GN30" i="126" s="1"/>
  <c r="IR32" i="126"/>
  <c r="GM32" i="126" s="1"/>
  <c r="IR16" i="126"/>
  <c r="GM16" i="126" s="1"/>
  <c r="JG23" i="126"/>
  <c r="GN23" i="126" s="1"/>
  <c r="KE34" i="126"/>
  <c r="GX31" i="126"/>
  <c r="RY31" i="126" s="1"/>
  <c r="HN11" i="126"/>
  <c r="GL11" i="126" s="1"/>
  <c r="IC28" i="126"/>
  <c r="IC21" i="126"/>
  <c r="IC38" i="126"/>
  <c r="JG38" i="126"/>
  <c r="GN38" i="126" s="1"/>
  <c r="KD34" i="126"/>
  <c r="GX27" i="126"/>
  <c r="RY27" i="126" s="1"/>
  <c r="GX15" i="126"/>
  <c r="RY15" i="126" s="1"/>
  <c r="IC33" i="126"/>
  <c r="KA10" i="126"/>
  <c r="KD33" i="126"/>
  <c r="KE29" i="126"/>
  <c r="JV14" i="126"/>
  <c r="JV22" i="126"/>
  <c r="JQ14" i="126"/>
  <c r="KD10" i="126"/>
  <c r="JP33" i="126"/>
  <c r="JX29" i="126"/>
  <c r="JT22" i="126"/>
  <c r="JX17" i="126"/>
  <c r="KE13" i="126"/>
  <c r="CZ19" i="126"/>
  <c r="CZ13" i="126"/>
  <c r="C37" i="126"/>
  <c r="EF19" i="126"/>
  <c r="Q17" i="127"/>
  <c r="D17" i="127" s="1"/>
  <c r="CN17" i="127" s="1"/>
  <c r="BR13" i="126"/>
  <c r="T30" i="126"/>
  <c r="U30" i="126" s="1"/>
  <c r="RQ17" i="126"/>
  <c r="DB32" i="126"/>
  <c r="RQ22" i="126"/>
  <c r="FF14" i="126"/>
  <c r="U31" i="126"/>
  <c r="FF24" i="126"/>
  <c r="FF30" i="126"/>
  <c r="EF14" i="126"/>
  <c r="DB11" i="126"/>
  <c r="CZ27" i="126"/>
  <c r="CK44" i="126"/>
  <c r="H139" i="2"/>
  <c r="C10" i="126"/>
  <c r="Q37" i="127"/>
  <c r="R37" i="127" s="1"/>
  <c r="S37" i="127" s="1"/>
  <c r="E37" i="127" s="1"/>
  <c r="Q29" i="127"/>
  <c r="D29" i="127" s="1"/>
  <c r="CN29" i="127" s="1"/>
  <c r="Q27" i="127"/>
  <c r="R27" i="127" s="1"/>
  <c r="S27" i="127" s="1"/>
  <c r="E27" i="127" s="1"/>
  <c r="Q32" i="127"/>
  <c r="R32" i="127" s="1"/>
  <c r="S32" i="127" s="1"/>
  <c r="E32" i="127" s="1"/>
  <c r="Q38" i="127"/>
  <c r="R38" i="127" s="1"/>
  <c r="S38" i="127" s="1"/>
  <c r="E38" i="127" s="1"/>
  <c r="Y10" i="126"/>
  <c r="PZ24" i="126"/>
  <c r="EF35" i="126"/>
  <c r="FF11" i="126"/>
  <c r="FF31" i="126"/>
  <c r="DB18" i="126"/>
  <c r="FF12" i="126"/>
  <c r="EF33" i="126"/>
  <c r="DB17" i="126"/>
  <c r="FF36" i="126"/>
  <c r="CZ33" i="126"/>
  <c r="DB29" i="126"/>
  <c r="EF28" i="126"/>
  <c r="CZ16" i="126"/>
  <c r="DB14" i="126"/>
  <c r="EF29" i="126"/>
  <c r="EF13" i="126"/>
  <c r="CZ14" i="126"/>
  <c r="EF11" i="126"/>
  <c r="CZ28" i="126"/>
  <c r="CZ12" i="126"/>
  <c r="DB27" i="126"/>
  <c r="DB13" i="126"/>
  <c r="FF29" i="126"/>
  <c r="RQ13" i="126"/>
  <c r="DS29" i="126"/>
  <c r="FF38" i="126"/>
  <c r="DB38" i="126"/>
  <c r="PZ25" i="126"/>
  <c r="DB37" i="126"/>
  <c r="AC13" i="126"/>
  <c r="FF34" i="126"/>
  <c r="EF36" i="126"/>
  <c r="RQ19" i="126"/>
  <c r="FF40" i="126"/>
  <c r="FF22" i="126"/>
  <c r="DB28" i="126"/>
  <c r="FF28" i="126"/>
  <c r="DB19" i="126"/>
  <c r="CZ18" i="126"/>
  <c r="EF16" i="126"/>
  <c r="RQ29" i="126"/>
  <c r="BO35" i="126"/>
  <c r="EF31" i="126"/>
  <c r="FF35" i="126"/>
  <c r="R17" i="127"/>
  <c r="S17" i="127" s="1"/>
  <c r="E17" i="127" s="1"/>
  <c r="Q14" i="127"/>
  <c r="R14" i="127" s="1"/>
  <c r="S14" i="127" s="1"/>
  <c r="E14" i="127" s="1"/>
  <c r="Q21" i="127"/>
  <c r="R21" i="127" s="1"/>
  <c r="S21" i="127" s="1"/>
  <c r="E21" i="127" s="1"/>
  <c r="Q12" i="127"/>
  <c r="D12" i="127" s="1"/>
  <c r="Q19" i="127"/>
  <c r="D19" i="127" s="1"/>
  <c r="CN19" i="127" s="1"/>
  <c r="Q41" i="127"/>
  <c r="R41" i="127" s="1"/>
  <c r="S41" i="127" s="1"/>
  <c r="E41" i="127" s="1"/>
  <c r="Q42" i="127"/>
  <c r="R42" i="127" s="1"/>
  <c r="S42" i="127" s="1"/>
  <c r="E42" i="127" s="1"/>
  <c r="Q40" i="127"/>
  <c r="D40" i="127" s="1"/>
  <c r="CN40" i="127" s="1"/>
  <c r="Q31" i="127"/>
  <c r="R31" i="127" s="1"/>
  <c r="S31" i="127" s="1"/>
  <c r="E31" i="127" s="1"/>
  <c r="IR12" i="126"/>
  <c r="GM12" i="126" s="1"/>
  <c r="KC33" i="126"/>
  <c r="JQ10" i="126"/>
  <c r="KD40" i="126"/>
  <c r="KA34" i="126"/>
  <c r="KA33" i="126"/>
  <c r="KA32" i="126"/>
  <c r="JS27" i="126"/>
  <c r="JS26" i="126"/>
  <c r="JS25" i="126"/>
  <c r="JU19" i="126"/>
  <c r="JU18" i="126"/>
  <c r="JP17" i="126"/>
  <c r="HN38" i="126"/>
  <c r="GL38" i="126" s="1"/>
  <c r="GX28" i="126"/>
  <c r="RY28" i="126" s="1"/>
  <c r="GX36" i="126"/>
  <c r="RY36" i="126" s="1"/>
  <c r="HW41" i="126"/>
  <c r="HW42" i="126" s="1"/>
  <c r="JG26" i="126"/>
  <c r="GN26" i="126" s="1"/>
  <c r="JR10" i="126"/>
  <c r="KC40" i="126"/>
  <c r="JZ34" i="126"/>
  <c r="JZ33" i="126"/>
  <c r="JR27" i="126"/>
  <c r="JR26" i="126"/>
  <c r="JR25" i="126"/>
  <c r="JT19" i="126"/>
  <c r="JT18" i="126"/>
  <c r="KC16" i="126"/>
  <c r="GX40" i="126"/>
  <c r="RY40" i="126" s="1"/>
  <c r="KB34" i="126"/>
  <c r="KB33" i="126"/>
  <c r="KB40" i="126"/>
  <c r="JQ26" i="126"/>
  <c r="JS19" i="126"/>
  <c r="JQ18" i="126"/>
  <c r="KB16" i="126"/>
  <c r="IR28" i="126"/>
  <c r="GM28" i="126" s="1"/>
  <c r="JP10" i="126"/>
  <c r="JY33" i="126"/>
  <c r="JP27" i="126"/>
  <c r="JP26" i="126"/>
  <c r="JP25" i="126"/>
  <c r="JR19" i="126"/>
  <c r="JP18" i="126"/>
  <c r="KA16" i="126"/>
  <c r="KC34" i="126"/>
  <c r="JU26" i="126"/>
  <c r="JT26" i="126"/>
  <c r="JT25" i="126"/>
  <c r="JG21" i="126"/>
  <c r="GN21" i="126" s="1"/>
  <c r="JG31" i="126"/>
  <c r="GN31" i="126" s="1"/>
  <c r="JG36" i="126"/>
  <c r="GN36" i="126" s="1"/>
  <c r="JG20" i="126"/>
  <c r="GN20" i="126" s="1"/>
  <c r="JT10" i="126"/>
  <c r="KA40" i="126"/>
  <c r="JU10" i="126"/>
  <c r="JZ40" i="126"/>
  <c r="KE25" i="126"/>
  <c r="HN21" i="126"/>
  <c r="GL21" i="126" s="1"/>
  <c r="HN13" i="126"/>
  <c r="GL13" i="126" s="1"/>
  <c r="JQ17" i="126"/>
  <c r="JG37" i="126"/>
  <c r="GN37" i="126" s="1"/>
  <c r="JS10" i="126"/>
  <c r="JY34" i="126"/>
  <c r="JQ19" i="126"/>
  <c r="KE17" i="126"/>
  <c r="IC20" i="126"/>
  <c r="IR22" i="126"/>
  <c r="GM22" i="126" s="1"/>
  <c r="IR14" i="126"/>
  <c r="GM14" i="126" s="1"/>
  <c r="JG14" i="126"/>
  <c r="GN14" i="126" s="1"/>
  <c r="JV35" i="126"/>
  <c r="KE30" i="126"/>
  <c r="GX38" i="126"/>
  <c r="RY38" i="126" s="1"/>
  <c r="IR20" i="126"/>
  <c r="GM20" i="126" s="1"/>
  <c r="IR24" i="126"/>
  <c r="GM24" i="126" s="1"/>
  <c r="JV26" i="126"/>
  <c r="JG32" i="126"/>
  <c r="GN32" i="126" s="1"/>
  <c r="JV18" i="126"/>
  <c r="JT32" i="126"/>
  <c r="KE26" i="126"/>
  <c r="KE24" i="126"/>
  <c r="IR34" i="126"/>
  <c r="GM34" i="126" s="1"/>
  <c r="JV39" i="126"/>
  <c r="JV38" i="126"/>
  <c r="JV34" i="126"/>
  <c r="JV33" i="126"/>
  <c r="JS32" i="126"/>
  <c r="GX14" i="126"/>
  <c r="RY14" i="126" s="1"/>
  <c r="IC17" i="126"/>
  <c r="JG35" i="126"/>
  <c r="GN35" i="126" s="1"/>
  <c r="JV40" i="126"/>
  <c r="JU39" i="126"/>
  <c r="JU38" i="126"/>
  <c r="JU35" i="126"/>
  <c r="JU34" i="126"/>
  <c r="JU33" i="126"/>
  <c r="JR32" i="126"/>
  <c r="KD30" i="126"/>
  <c r="KC29" i="126"/>
  <c r="KC26" i="126"/>
  <c r="KC25" i="126"/>
  <c r="KB24" i="126"/>
  <c r="JP23" i="126"/>
  <c r="KE21" i="126"/>
  <c r="KE18" i="126"/>
  <c r="KC17" i="126"/>
  <c r="KB15" i="126"/>
  <c r="KC13" i="126"/>
  <c r="IC13" i="126"/>
  <c r="IC32" i="126"/>
  <c r="IR13" i="126"/>
  <c r="GM13" i="126" s="1"/>
  <c r="JG24" i="126"/>
  <c r="GN24" i="126" s="1"/>
  <c r="JX10" i="126"/>
  <c r="JU40" i="126"/>
  <c r="JT39" i="126"/>
  <c r="JT38" i="126"/>
  <c r="JT35" i="126"/>
  <c r="JT34" i="126"/>
  <c r="JT33" i="126"/>
  <c r="JQ32" i="126"/>
  <c r="KC30" i="126"/>
  <c r="KB29" i="126"/>
  <c r="KB26" i="126"/>
  <c r="KB25" i="126"/>
  <c r="KA24" i="126"/>
  <c r="KE22" i="126"/>
  <c r="KD21" i="126"/>
  <c r="KD18" i="126"/>
  <c r="KB17" i="126"/>
  <c r="KA15" i="126"/>
  <c r="KB13" i="126"/>
  <c r="GX37" i="126"/>
  <c r="RY37" i="126" s="1"/>
  <c r="GX32" i="126"/>
  <c r="RY32" i="126" s="1"/>
  <c r="IR40" i="126"/>
  <c r="GM40" i="126" s="1"/>
  <c r="JY10" i="126"/>
  <c r="JT40" i="126"/>
  <c r="JS39" i="126"/>
  <c r="JS38" i="126"/>
  <c r="JS35" i="126"/>
  <c r="JS34" i="126"/>
  <c r="JS33" i="126"/>
  <c r="KE31" i="126"/>
  <c r="KB30" i="126"/>
  <c r="KA29" i="126"/>
  <c r="KA26" i="126"/>
  <c r="KA25" i="126"/>
  <c r="KD22" i="126"/>
  <c r="KC21" i="126"/>
  <c r="KC18" i="126"/>
  <c r="KA17" i="126"/>
  <c r="KA13" i="126"/>
  <c r="KD26" i="126"/>
  <c r="KD25" i="126"/>
  <c r="KC24" i="126"/>
  <c r="KD17" i="126"/>
  <c r="KC15" i="126"/>
  <c r="QO32" i="126"/>
  <c r="KD31" i="126"/>
  <c r="KA30" i="126"/>
  <c r="JQ24" i="126"/>
  <c r="KC22" i="126"/>
  <c r="JV15" i="126"/>
  <c r="GX29" i="126"/>
  <c r="RY29" i="126" s="1"/>
  <c r="GX21" i="126"/>
  <c r="RY21" i="126" s="1"/>
  <c r="GX17" i="126"/>
  <c r="RY17" i="126" s="1"/>
  <c r="AX17" i="127"/>
  <c r="AX19" i="127"/>
  <c r="CR13" i="127"/>
  <c r="AX26" i="127"/>
  <c r="AQ43" i="127"/>
  <c r="AQ44" i="127" s="1"/>
  <c r="G14" i="95" s="1"/>
  <c r="AB37" i="126"/>
  <c r="AC37" i="126" s="1"/>
  <c r="BO26" i="126"/>
  <c r="U27" i="126"/>
  <c r="AC25" i="126"/>
  <c r="AB21" i="126"/>
  <c r="AC21" i="126" s="1"/>
  <c r="BR40" i="126"/>
  <c r="BO38" i="126"/>
  <c r="U12" i="126"/>
  <c r="T24" i="126"/>
  <c r="U24" i="126" s="1"/>
  <c r="BO33" i="126"/>
  <c r="U33" i="126"/>
  <c r="U35" i="126"/>
  <c r="P36" i="126"/>
  <c r="Q36" i="126" s="1"/>
  <c r="P30" i="126"/>
  <c r="Q30" i="126" s="1"/>
  <c r="RS21" i="126"/>
  <c r="AY29" i="126"/>
  <c r="P29" i="126"/>
  <c r="Q29" i="126" s="1"/>
  <c r="RS26" i="126"/>
  <c r="AY26" i="126"/>
  <c r="AY31" i="126"/>
  <c r="RS31" i="126"/>
  <c r="P31" i="126"/>
  <c r="Q31" i="126" s="1"/>
  <c r="AY35" i="126"/>
  <c r="P35" i="126"/>
  <c r="Q35" i="126" s="1"/>
  <c r="RS24" i="126"/>
  <c r="AY24" i="126"/>
  <c r="JQ16" i="126"/>
  <c r="JP24" i="126"/>
  <c r="JP16" i="126"/>
  <c r="KE16" i="126"/>
  <c r="KE15" i="126"/>
  <c r="KE14" i="126"/>
  <c r="KD24" i="126"/>
  <c r="KD16" i="126"/>
  <c r="KD15" i="126"/>
  <c r="KD14" i="126"/>
  <c r="JZ32" i="126"/>
  <c r="JZ31" i="126"/>
  <c r="JZ24" i="126"/>
  <c r="JZ23" i="126"/>
  <c r="JZ16" i="126"/>
  <c r="JZ15" i="126"/>
  <c r="JZ14" i="126"/>
  <c r="JY32" i="126"/>
  <c r="JY24" i="126"/>
  <c r="JY16" i="126"/>
  <c r="KU41" i="126"/>
  <c r="KU42" i="126" s="1"/>
  <c r="JY31" i="126"/>
  <c r="JX40" i="126"/>
  <c r="JY23" i="126"/>
  <c r="JY15" i="126"/>
  <c r="KV41" i="126"/>
  <c r="KV42" i="126" s="1"/>
  <c r="JV24" i="126"/>
  <c r="JV16" i="126"/>
  <c r="QO16" i="126" s="1"/>
  <c r="KX41" i="126"/>
  <c r="KX42" i="126" s="1"/>
  <c r="KX44" i="126" s="1"/>
  <c r="JU24" i="126"/>
  <c r="JU17" i="126"/>
  <c r="JU16" i="126"/>
  <c r="JU15" i="126"/>
  <c r="JU14" i="126"/>
  <c r="JU13" i="126"/>
  <c r="KW41" i="126"/>
  <c r="KW42" i="126" s="1"/>
  <c r="JT24" i="126"/>
  <c r="JT16" i="126"/>
  <c r="JT15" i="126"/>
  <c r="JT14" i="126"/>
  <c r="JT13" i="126"/>
  <c r="JS24" i="126"/>
  <c r="JS18" i="126"/>
  <c r="JS17" i="126"/>
  <c r="JS16" i="126"/>
  <c r="JS15" i="126"/>
  <c r="JS14" i="126"/>
  <c r="JS13" i="126"/>
  <c r="KQ41" i="126"/>
  <c r="KQ42" i="126" s="1"/>
  <c r="BC146" i="2" s="1"/>
  <c r="KR41" i="126"/>
  <c r="KR42" i="126" s="1"/>
  <c r="BC147" i="2" s="1"/>
  <c r="KP41" i="126"/>
  <c r="KP42" i="126" s="1"/>
  <c r="BC145" i="2" s="1"/>
  <c r="NN38" i="126"/>
  <c r="NN39" i="126" s="1"/>
  <c r="NN40" i="126" s="1"/>
  <c r="NN41" i="126" s="1"/>
  <c r="NN42" i="126" s="1"/>
  <c r="NN44" i="126" s="1"/>
  <c r="HN26" i="126"/>
  <c r="GL26" i="126" s="1"/>
  <c r="HF41" i="126"/>
  <c r="HF42" i="126" s="1"/>
  <c r="HF44" i="126" s="1"/>
  <c r="PN20" i="126"/>
  <c r="SH20" i="126" s="1"/>
  <c r="HJ41" i="126"/>
  <c r="HJ42" i="126" s="1"/>
  <c r="HL41" i="126"/>
  <c r="GZ41" i="126"/>
  <c r="GZ42" i="126" s="1"/>
  <c r="H31" i="2" s="1"/>
  <c r="HN28" i="126"/>
  <c r="GL28" i="126" s="1"/>
  <c r="HN32" i="126"/>
  <c r="GL32" i="126" s="1"/>
  <c r="GV41" i="126"/>
  <c r="GV42" i="126" s="1"/>
  <c r="GW41" i="126"/>
  <c r="GW42" i="126" s="1"/>
  <c r="PZ40" i="126"/>
  <c r="PO10" i="126"/>
  <c r="PO11" i="126" s="1"/>
  <c r="PO12" i="126" s="1"/>
  <c r="PO13" i="126" s="1"/>
  <c r="PO14" i="126" s="1"/>
  <c r="PO15" i="126" s="1"/>
  <c r="PO16" i="126" s="1"/>
  <c r="PO17" i="126" s="1"/>
  <c r="PO18" i="126" s="1"/>
  <c r="PO19" i="126" s="1"/>
  <c r="PO20" i="126" s="1"/>
  <c r="PO21" i="126" s="1"/>
  <c r="PO22" i="126" s="1"/>
  <c r="PO23" i="126" s="1"/>
  <c r="PO24" i="126" s="1"/>
  <c r="PO25" i="126" s="1"/>
  <c r="PO26" i="126" s="1"/>
  <c r="PO27" i="126" s="1"/>
  <c r="PO28" i="126" s="1"/>
  <c r="PO29" i="126" s="1"/>
  <c r="PO30" i="126" s="1"/>
  <c r="PO31" i="126" s="1"/>
  <c r="PO32" i="126" s="1"/>
  <c r="PO33" i="126" s="1"/>
  <c r="PO34" i="126" s="1"/>
  <c r="PO35" i="126" s="1"/>
  <c r="PO36" i="126" s="1"/>
  <c r="PO37" i="126" s="1"/>
  <c r="PO38" i="126" s="1"/>
  <c r="PO39" i="126" s="1"/>
  <c r="PO40" i="126" s="1"/>
  <c r="PO41" i="126" s="1"/>
  <c r="PO42" i="126" s="1"/>
  <c r="PO44" i="126" s="1"/>
  <c r="MD41" i="126"/>
  <c r="MD42" i="126" s="1"/>
  <c r="MD44" i="126" s="1"/>
  <c r="LK38" i="126"/>
  <c r="LK30" i="126"/>
  <c r="LK16" i="126"/>
  <c r="LK14" i="126"/>
  <c r="LK39" i="126"/>
  <c r="LK23" i="126"/>
  <c r="LK12" i="126"/>
  <c r="LK22" i="126"/>
  <c r="LK11" i="126"/>
  <c r="LK20" i="126"/>
  <c r="LH41" i="126"/>
  <c r="LH42" i="126" s="1"/>
  <c r="LI41" i="126"/>
  <c r="LI42" i="126" s="1"/>
  <c r="LK26" i="126"/>
  <c r="LK15" i="126"/>
  <c r="LK19" i="126"/>
  <c r="LK32" i="126"/>
  <c r="JA41" i="126"/>
  <c r="JA42" i="126" s="1"/>
  <c r="JC41" i="126"/>
  <c r="JC42" i="126" s="1"/>
  <c r="IQ41" i="126"/>
  <c r="IN41" i="126"/>
  <c r="IN42" i="126" s="1"/>
  <c r="IR10" i="126"/>
  <c r="GM10" i="126" s="1"/>
  <c r="DB39" i="126"/>
  <c r="EF38" i="126"/>
  <c r="EF22" i="126"/>
  <c r="DB22" i="126"/>
  <c r="EF21" i="126"/>
  <c r="EF26" i="126"/>
  <c r="DB24" i="126"/>
  <c r="EF39" i="126"/>
  <c r="DB21" i="126"/>
  <c r="EF34" i="126"/>
  <c r="DB16" i="126"/>
  <c r="DB25" i="126"/>
  <c r="EF40" i="126"/>
  <c r="EF24" i="126"/>
  <c r="DB34" i="126"/>
  <c r="DB26" i="126"/>
  <c r="EF25" i="126"/>
  <c r="DB31" i="126"/>
  <c r="DB15" i="126"/>
  <c r="EF30" i="126"/>
  <c r="DB30" i="126"/>
  <c r="CZ38" i="126"/>
  <c r="CZ25" i="126"/>
  <c r="EF18" i="126"/>
  <c r="EF20" i="126"/>
  <c r="EF23" i="126"/>
  <c r="CZ34" i="126"/>
  <c r="CZ37" i="126"/>
  <c r="DD37" i="126" s="1"/>
  <c r="CZ36" i="126"/>
  <c r="CZ20" i="126"/>
  <c r="EF27" i="126"/>
  <c r="CZ26" i="126"/>
  <c r="CZ39" i="126"/>
  <c r="CZ40" i="126"/>
  <c r="CZ24" i="126"/>
  <c r="OE10" i="126"/>
  <c r="OE11" i="126" s="1"/>
  <c r="OE12" i="126" s="1"/>
  <c r="OE13" i="126" s="1"/>
  <c r="OE14" i="126" s="1"/>
  <c r="OE15" i="126" s="1"/>
  <c r="OE16" i="126" s="1"/>
  <c r="OE17" i="126" s="1"/>
  <c r="OE18" i="126" s="1"/>
  <c r="OE19" i="126" s="1"/>
  <c r="OE20" i="126" s="1"/>
  <c r="OE21" i="126" s="1"/>
  <c r="OE22" i="126" s="1"/>
  <c r="OE23" i="126" s="1"/>
  <c r="OE24" i="126" s="1"/>
  <c r="OE25" i="126" s="1"/>
  <c r="OE26" i="126" s="1"/>
  <c r="OE27" i="126" s="1"/>
  <c r="OE28" i="126" s="1"/>
  <c r="OE29" i="126" s="1"/>
  <c r="OE30" i="126" s="1"/>
  <c r="OE31" i="126" s="1"/>
  <c r="OE32" i="126" s="1"/>
  <c r="OE33" i="126" s="1"/>
  <c r="OE34" i="126" s="1"/>
  <c r="OE35" i="126" s="1"/>
  <c r="OE36" i="126" s="1"/>
  <c r="OE37" i="126" s="1"/>
  <c r="OE38" i="126" s="1"/>
  <c r="OE39" i="126" s="1"/>
  <c r="OE40" i="126" s="1"/>
  <c r="OE41" i="126" s="1"/>
  <c r="OE42" i="126" s="1"/>
  <c r="OE44" i="126" s="1"/>
  <c r="DS32" i="126"/>
  <c r="DS20" i="126"/>
  <c r="CZ23" i="126"/>
  <c r="CN41" i="126"/>
  <c r="CN42" i="126" s="1"/>
  <c r="CN44" i="126" s="1"/>
  <c r="Y21" i="126"/>
  <c r="W41" i="126"/>
  <c r="W42" i="126" s="1"/>
  <c r="H122" i="2" s="1"/>
  <c r="C35" i="126"/>
  <c r="C27" i="126"/>
  <c r="Y34" i="126"/>
  <c r="Y26" i="126"/>
  <c r="AA41" i="126"/>
  <c r="C13" i="126"/>
  <c r="AC15" i="126"/>
  <c r="C20" i="126"/>
  <c r="BL48" i="126"/>
  <c r="BL44" i="126"/>
  <c r="U14" i="126"/>
  <c r="C19" i="126"/>
  <c r="U26" i="126"/>
  <c r="C36" i="126"/>
  <c r="C30" i="126"/>
  <c r="C18" i="126"/>
  <c r="C16" i="126"/>
  <c r="C25" i="126"/>
  <c r="C38" i="126"/>
  <c r="C22" i="126"/>
  <c r="C15" i="126"/>
  <c r="R29" i="127"/>
  <c r="S29" i="127" s="1"/>
  <c r="E29" i="127" s="1"/>
  <c r="CR33" i="127"/>
  <c r="AX33" i="127"/>
  <c r="AX35" i="127"/>
  <c r="CR35" i="127"/>
  <c r="AX21" i="127"/>
  <c r="CR21" i="127"/>
  <c r="AX28" i="127"/>
  <c r="CR28" i="127"/>
  <c r="CR42" i="127"/>
  <c r="AX42" i="127"/>
  <c r="CR36" i="127"/>
  <c r="AX36" i="127"/>
  <c r="Q28" i="127"/>
  <c r="AG24" i="127"/>
  <c r="CR24" i="127"/>
  <c r="Q30" i="127"/>
  <c r="AG33" i="127"/>
  <c r="AG37" i="127"/>
  <c r="Q26" i="127"/>
  <c r="Q15" i="127"/>
  <c r="AB15" i="127"/>
  <c r="AX16" i="127"/>
  <c r="CR20" i="127"/>
  <c r="AB30" i="127"/>
  <c r="AB38" i="127"/>
  <c r="AJ13" i="127"/>
  <c r="CR18" i="127"/>
  <c r="AX18" i="127"/>
  <c r="W43" i="127"/>
  <c r="W44" i="127" s="1"/>
  <c r="Q23" i="127"/>
  <c r="Q34" i="127"/>
  <c r="Q36" i="127"/>
  <c r="AX37" i="127"/>
  <c r="AB41" i="127"/>
  <c r="V43" i="127"/>
  <c r="V44" i="127" s="1"/>
  <c r="Z43" i="127"/>
  <c r="Z44" i="127" s="1"/>
  <c r="AB12" i="127"/>
  <c r="AX12" i="127" s="1"/>
  <c r="D21" i="127"/>
  <c r="CN21" i="127" s="1"/>
  <c r="CR32" i="127"/>
  <c r="AX32" i="127"/>
  <c r="Q39" i="127"/>
  <c r="AU43" i="127"/>
  <c r="AU44" i="127" s="1"/>
  <c r="AB14" i="127"/>
  <c r="AX22" i="127"/>
  <c r="AX23" i="127"/>
  <c r="CR23" i="127"/>
  <c r="AB25" i="127"/>
  <c r="D37" i="127"/>
  <c r="CN37" i="127" s="1"/>
  <c r="AX40" i="127"/>
  <c r="CR40" i="127"/>
  <c r="Q13" i="127"/>
  <c r="AE43" i="127"/>
  <c r="AE44" i="127" s="1"/>
  <c r="C13" i="96" s="1"/>
  <c r="Q16" i="127"/>
  <c r="AG23" i="127"/>
  <c r="AB27" i="127"/>
  <c r="AX39" i="127"/>
  <c r="CR39" i="127"/>
  <c r="G6" i="127"/>
  <c r="H44" i="127"/>
  <c r="G7" i="127" s="1"/>
  <c r="Q22" i="127"/>
  <c r="Q24" i="127"/>
  <c r="U43" i="127"/>
  <c r="U44" i="127" s="1"/>
  <c r="Q33" i="127"/>
  <c r="AG22" i="127"/>
  <c r="AF43" i="127"/>
  <c r="AF44" i="127" s="1"/>
  <c r="C14" i="96" s="1"/>
  <c r="AG12" i="127"/>
  <c r="Q18" i="127"/>
  <c r="AX29" i="127"/>
  <c r="CR29" i="127"/>
  <c r="AB31" i="127"/>
  <c r="O44" i="127"/>
  <c r="AG25" i="127"/>
  <c r="Q20" i="127"/>
  <c r="AX34" i="127"/>
  <c r="CR34" i="127"/>
  <c r="C43" i="127"/>
  <c r="Q25" i="127"/>
  <c r="Q35" i="127"/>
  <c r="RS13" i="126"/>
  <c r="P13" i="126"/>
  <c r="AY13" i="126"/>
  <c r="BO41" i="126"/>
  <c r="BO42" i="126" s="1"/>
  <c r="BO44" i="126" s="1"/>
  <c r="BM41" i="126"/>
  <c r="BM42" i="126" s="1"/>
  <c r="BM44" i="126" s="1"/>
  <c r="BO10" i="126"/>
  <c r="T10" i="126"/>
  <c r="DL41" i="126"/>
  <c r="DL42" i="126" s="1"/>
  <c r="DL44" i="126" s="1"/>
  <c r="CX10" i="126"/>
  <c r="DS10" i="126"/>
  <c r="BR41" i="126"/>
  <c r="BR42" i="126" s="1"/>
  <c r="BR44" i="126" s="1"/>
  <c r="BQ41" i="126"/>
  <c r="AB10" i="126"/>
  <c r="AC10" i="126" s="1"/>
  <c r="BR10" i="126"/>
  <c r="DN41" i="126"/>
  <c r="DN42" i="126" s="1"/>
  <c r="DN44" i="126" s="1"/>
  <c r="CZ10" i="126"/>
  <c r="IY41" i="126"/>
  <c r="IY42" i="126" s="1"/>
  <c r="IY44" i="126" s="1"/>
  <c r="ON10" i="126"/>
  <c r="ON11" i="126" s="1"/>
  <c r="ON12" i="126" s="1"/>
  <c r="ON13" i="126" s="1"/>
  <c r="ON14" i="126" s="1"/>
  <c r="JG10" i="126"/>
  <c r="DP41" i="126"/>
  <c r="DP42" i="126" s="1"/>
  <c r="DP44" i="126" s="1"/>
  <c r="DB10" i="126"/>
  <c r="CX12" i="126"/>
  <c r="DS12" i="126"/>
  <c r="KT41" i="126"/>
  <c r="KT42" i="126" s="1"/>
  <c r="KT44" i="126" s="1"/>
  <c r="QS11" i="126"/>
  <c r="QR11" i="126"/>
  <c r="BR12" i="126"/>
  <c r="AB12" i="126"/>
  <c r="AC12" i="126" s="1"/>
  <c r="JG12" i="126"/>
  <c r="GN12" i="126" s="1"/>
  <c r="EB41" i="126"/>
  <c r="EB42" i="126" s="1"/>
  <c r="EB44" i="126" s="1"/>
  <c r="EF10" i="126"/>
  <c r="DB12" i="126"/>
  <c r="BR14" i="126"/>
  <c r="AB14" i="126"/>
  <c r="AC14" i="126" s="1"/>
  <c r="NU12" i="126"/>
  <c r="EF12" i="126"/>
  <c r="PZ12" i="126"/>
  <c r="RQ12" i="126"/>
  <c r="BO13" i="126"/>
  <c r="T13" i="126"/>
  <c r="U13" i="126" s="1"/>
  <c r="CX13" i="126"/>
  <c r="DS13" i="126"/>
  <c r="ED41" i="126"/>
  <c r="ED42" i="126" s="1"/>
  <c r="ED44" i="126" s="1"/>
  <c r="KY41" i="126"/>
  <c r="KY42" i="126" s="1"/>
  <c r="KY44" i="126" s="1"/>
  <c r="PB12" i="126"/>
  <c r="PH11" i="126"/>
  <c r="GX13" i="126"/>
  <c r="RY13" i="126" s="1"/>
  <c r="AY11" i="126"/>
  <c r="P11" i="126"/>
  <c r="Q11" i="126" s="1"/>
  <c r="RS11" i="126"/>
  <c r="GX11" i="126"/>
  <c r="RY11" i="126" s="1"/>
  <c r="SE11" i="126" s="1"/>
  <c r="HU41" i="126"/>
  <c r="HU42" i="126" s="1"/>
  <c r="IC10" i="126"/>
  <c r="AY41" i="126"/>
  <c r="AY42" i="126" s="1"/>
  <c r="AY44" i="126" s="1"/>
  <c r="AX41" i="126"/>
  <c r="AX42" i="126" s="1"/>
  <c r="AX44" i="126" s="1"/>
  <c r="RS10" i="126"/>
  <c r="AY10" i="126"/>
  <c r="P10" i="126"/>
  <c r="Q10" i="126" s="1"/>
  <c r="BO11" i="126"/>
  <c r="T11" i="126"/>
  <c r="U11" i="126" s="1"/>
  <c r="CX11" i="126"/>
  <c r="DS11" i="126"/>
  <c r="AY12" i="126"/>
  <c r="P12" i="126"/>
  <c r="RS12" i="126"/>
  <c r="QH11" i="126"/>
  <c r="GT41" i="126"/>
  <c r="GT42" i="126" s="1"/>
  <c r="GX10" i="126"/>
  <c r="BD41" i="126"/>
  <c r="BD42" i="126" s="1"/>
  <c r="BD44" i="126" s="1"/>
  <c r="BE41" i="126"/>
  <c r="BE42" i="126" s="1"/>
  <c r="BE44" i="126" s="1"/>
  <c r="BE10" i="126"/>
  <c r="GU41" i="126"/>
  <c r="GU42" i="126" s="1"/>
  <c r="PK41" i="126"/>
  <c r="PK42" i="126" s="1"/>
  <c r="PK44" i="126" s="1"/>
  <c r="QA10" i="126"/>
  <c r="QA41" i="126" s="1"/>
  <c r="QA42" i="126" s="1"/>
  <c r="QA44" i="126" s="1"/>
  <c r="AB11" i="126"/>
  <c r="AC11" i="126" s="1"/>
  <c r="BR11" i="126"/>
  <c r="CZ11" i="126"/>
  <c r="RS14" i="126"/>
  <c r="OH12" i="126"/>
  <c r="PX41" i="126"/>
  <c r="PX42" i="126" s="1"/>
  <c r="PZ10" i="126"/>
  <c r="RQ10" i="126"/>
  <c r="GX12" i="126"/>
  <c r="RY12" i="126" s="1"/>
  <c r="Y11" i="126"/>
  <c r="BX13" i="126"/>
  <c r="X13" i="126"/>
  <c r="Y13" i="126" s="1"/>
  <c r="LX41" i="126"/>
  <c r="LX42" i="126" s="1"/>
  <c r="LX44" i="126" s="1"/>
  <c r="OC10" i="126"/>
  <c r="OC11" i="126" s="1"/>
  <c r="OC12" i="126" s="1"/>
  <c r="OC13" i="126" s="1"/>
  <c r="OC14" i="126" s="1"/>
  <c r="OC15" i="126" s="1"/>
  <c r="OC16" i="126" s="1"/>
  <c r="OC17" i="126" s="1"/>
  <c r="OC18" i="126" s="1"/>
  <c r="OC19" i="126" s="1"/>
  <c r="OC20" i="126" s="1"/>
  <c r="OC21" i="126" s="1"/>
  <c r="OC22" i="126" s="1"/>
  <c r="OC23" i="126" s="1"/>
  <c r="OC24" i="126" s="1"/>
  <c r="OC25" i="126" s="1"/>
  <c r="OC26" i="126" s="1"/>
  <c r="OC27" i="126" s="1"/>
  <c r="OC28" i="126" s="1"/>
  <c r="OC29" i="126" s="1"/>
  <c r="OC30" i="126" s="1"/>
  <c r="OC31" i="126" s="1"/>
  <c r="OC32" i="126" s="1"/>
  <c r="OC33" i="126" s="1"/>
  <c r="OC34" i="126" s="1"/>
  <c r="OC35" i="126" s="1"/>
  <c r="OC36" i="126" s="1"/>
  <c r="OC37" i="126" s="1"/>
  <c r="OC38" i="126" s="1"/>
  <c r="OC39" i="126" s="1"/>
  <c r="C11" i="126"/>
  <c r="X12" i="126"/>
  <c r="Y12" i="126" s="1"/>
  <c r="JM13" i="126"/>
  <c r="AY15" i="126"/>
  <c r="RS15" i="126"/>
  <c r="FF17" i="126"/>
  <c r="BR18" i="126"/>
  <c r="AB18" i="126"/>
  <c r="AC18" i="126" s="1"/>
  <c r="GX18" i="126"/>
  <c r="RY18" i="126" s="1"/>
  <c r="FC10" i="126"/>
  <c r="NN10" i="126"/>
  <c r="NN11" i="126" s="1"/>
  <c r="NN12" i="126" s="1"/>
  <c r="NN13" i="126" s="1"/>
  <c r="NN14" i="126" s="1"/>
  <c r="NN15" i="126" s="1"/>
  <c r="NN16" i="126" s="1"/>
  <c r="NN17" i="126" s="1"/>
  <c r="NN18" i="126" s="1"/>
  <c r="NN19" i="126" s="1"/>
  <c r="NN20" i="126" s="1"/>
  <c r="NN21" i="126" s="1"/>
  <c r="NN22" i="126" s="1"/>
  <c r="NN23" i="126" s="1"/>
  <c r="NN24" i="126" s="1"/>
  <c r="NN25" i="126" s="1"/>
  <c r="NN26" i="126" s="1"/>
  <c r="NN27" i="126" s="1"/>
  <c r="NN28" i="126" s="1"/>
  <c r="NN29" i="126" s="1"/>
  <c r="NN30" i="126" s="1"/>
  <c r="NN31" i="126" s="1"/>
  <c r="NN32" i="126" s="1"/>
  <c r="NN33" i="126" s="1"/>
  <c r="NN34" i="126" s="1"/>
  <c r="NN35" i="126" s="1"/>
  <c r="QO12" i="126"/>
  <c r="JG18" i="126"/>
  <c r="GN18" i="126" s="1"/>
  <c r="BR20" i="126"/>
  <c r="AB20" i="126"/>
  <c r="AC20" i="126" s="1"/>
  <c r="IL41" i="126"/>
  <c r="IL42" i="126" s="1"/>
  <c r="JK41" i="126"/>
  <c r="RQ18" i="126"/>
  <c r="PZ18" i="126"/>
  <c r="CX19" i="126"/>
  <c r="DS19" i="126"/>
  <c r="BX41" i="126"/>
  <c r="BX42" i="126" s="1"/>
  <c r="BX44" i="126" s="1"/>
  <c r="BW41" i="126"/>
  <c r="EZ41" i="126"/>
  <c r="EZ42" i="126" s="1"/>
  <c r="EZ44" i="126" s="1"/>
  <c r="FD10" i="126"/>
  <c r="FD41" i="126" s="1"/>
  <c r="FD42" i="126" s="1"/>
  <c r="FD44" i="126" s="1"/>
  <c r="JM12" i="126"/>
  <c r="P15" i="126"/>
  <c r="D15" i="126" s="1"/>
  <c r="GX16" i="126"/>
  <c r="RY16" i="126" s="1"/>
  <c r="BR19" i="126"/>
  <c r="AB19" i="126"/>
  <c r="AC19" i="126" s="1"/>
  <c r="C14" i="126"/>
  <c r="DS14" i="126"/>
  <c r="X16" i="126"/>
  <c r="Y16" i="126" s="1"/>
  <c r="QO18" i="126"/>
  <c r="JM18" i="126"/>
  <c r="NQ10" i="126"/>
  <c r="NQ11" i="126" s="1"/>
  <c r="NQ12" i="126" s="1"/>
  <c r="NQ13" i="126" s="1"/>
  <c r="NQ14" i="126" s="1"/>
  <c r="NQ15" i="126" s="1"/>
  <c r="NQ16" i="126" s="1"/>
  <c r="NQ17" i="126" s="1"/>
  <c r="NQ18" i="126" s="1"/>
  <c r="NQ19" i="126" s="1"/>
  <c r="NQ20" i="126" s="1"/>
  <c r="NQ21" i="126" s="1"/>
  <c r="NQ22" i="126" s="1"/>
  <c r="NQ23" i="126" s="1"/>
  <c r="NQ24" i="126" s="1"/>
  <c r="NQ25" i="126" s="1"/>
  <c r="NQ26" i="126" s="1"/>
  <c r="NQ27" i="126" s="1"/>
  <c r="NQ28" i="126" s="1"/>
  <c r="NQ29" i="126" s="1"/>
  <c r="NQ30" i="126" s="1"/>
  <c r="NQ31" i="126" s="1"/>
  <c r="NQ32" i="126" s="1"/>
  <c r="NQ33" i="126" s="1"/>
  <c r="NQ34" i="126" s="1"/>
  <c r="NQ35" i="126" s="1"/>
  <c r="NQ36" i="126" s="1"/>
  <c r="NQ37" i="126" s="1"/>
  <c r="NQ38" i="126" s="1"/>
  <c r="NQ39" i="126" s="1"/>
  <c r="NQ40" i="126" s="1"/>
  <c r="NQ41" i="126" s="1"/>
  <c r="NQ42" i="126" s="1"/>
  <c r="QO10" i="126"/>
  <c r="RK10" i="126"/>
  <c r="BX11" i="126"/>
  <c r="PZ11" i="126"/>
  <c r="BO12" i="126"/>
  <c r="JM15" i="126"/>
  <c r="BR16" i="126"/>
  <c r="AB16" i="126"/>
  <c r="AC16" i="126" s="1"/>
  <c r="CX16" i="126"/>
  <c r="DS16" i="126"/>
  <c r="AB17" i="126"/>
  <c r="AC17" i="126" s="1"/>
  <c r="BR17" i="126"/>
  <c r="FF15" i="126"/>
  <c r="RL10" i="126"/>
  <c r="RL11" i="126" s="1"/>
  <c r="RL12" i="126" s="1"/>
  <c r="RL13" i="126" s="1"/>
  <c r="RL14" i="126" s="1"/>
  <c r="RL15" i="126" s="1"/>
  <c r="RL16" i="126" s="1"/>
  <c r="RL17" i="126" s="1"/>
  <c r="C12" i="126"/>
  <c r="JM10" i="126"/>
  <c r="PH10" i="126"/>
  <c r="RM10" i="126"/>
  <c r="RM11" i="126" s="1"/>
  <c r="RM12" i="126" s="1"/>
  <c r="RM13" i="126" s="1"/>
  <c r="RM14" i="126" s="1"/>
  <c r="RM15" i="126" s="1"/>
  <c r="RM16" i="126" s="1"/>
  <c r="RM17" i="126" s="1"/>
  <c r="P14" i="126"/>
  <c r="AY14" i="126"/>
  <c r="BO15" i="126"/>
  <c r="ON17" i="126"/>
  <c r="ON18" i="126" s="1"/>
  <c r="ON19" i="126" s="1"/>
  <c r="ON20" i="126" s="1"/>
  <c r="ON21" i="126" s="1"/>
  <c r="ON22" i="126" s="1"/>
  <c r="ON23" i="126" s="1"/>
  <c r="ON24" i="126" s="1"/>
  <c r="ON25" i="126" s="1"/>
  <c r="ON26" i="126" s="1"/>
  <c r="ON27" i="126" s="1"/>
  <c r="ON28" i="126" s="1"/>
  <c r="ON29" i="126" s="1"/>
  <c r="ON30" i="126" s="1"/>
  <c r="ON31" i="126" s="1"/>
  <c r="ON32" i="126" s="1"/>
  <c r="ON33" i="126" s="1"/>
  <c r="ON34" i="126" s="1"/>
  <c r="ON35" i="126" s="1"/>
  <c r="ON36" i="126" s="1"/>
  <c r="ON37" i="126" s="1"/>
  <c r="ON38" i="126" s="1"/>
  <c r="ON39" i="126" s="1"/>
  <c r="ON40" i="126" s="1"/>
  <c r="ON41" i="126" s="1"/>
  <c r="JG17" i="126"/>
  <c r="GN17" i="126" s="1"/>
  <c r="AA42" i="126"/>
  <c r="HN17" i="126"/>
  <c r="GL17" i="126" s="1"/>
  <c r="AY18" i="126"/>
  <c r="RS18" i="126"/>
  <c r="P18" i="126"/>
  <c r="GE41" i="126"/>
  <c r="GE42" i="126" s="1"/>
  <c r="GE44" i="126" s="1"/>
  <c r="HH41" i="126"/>
  <c r="GI10" i="126"/>
  <c r="HN16" i="126"/>
  <c r="GL16" i="126" s="1"/>
  <c r="JG16" i="126"/>
  <c r="GN16" i="126" s="1"/>
  <c r="FF18" i="126"/>
  <c r="IC18" i="126"/>
  <c r="PN10" i="126"/>
  <c r="IR15" i="126"/>
  <c r="GM15" i="126" s="1"/>
  <c r="NH10" i="126"/>
  <c r="QO11" i="126"/>
  <c r="Y14" i="126"/>
  <c r="JM14" i="126"/>
  <c r="CZ15" i="126"/>
  <c r="EF17" i="126"/>
  <c r="CZ17" i="126"/>
  <c r="RS19" i="126"/>
  <c r="AY19" i="126"/>
  <c r="P19" i="126"/>
  <c r="Q19" i="126" s="1"/>
  <c r="X19" i="126"/>
  <c r="BX19" i="126"/>
  <c r="IJ41" i="126"/>
  <c r="IJ42" i="126" s="1"/>
  <c r="JJ41" i="126"/>
  <c r="KS41" i="126"/>
  <c r="KS42" i="126" s="1"/>
  <c r="KS44" i="126" s="1"/>
  <c r="P16" i="126"/>
  <c r="RS16" i="126"/>
  <c r="HN10" i="126"/>
  <c r="GL10" i="126" s="1"/>
  <c r="PZ14" i="126"/>
  <c r="FF16" i="126"/>
  <c r="FF19" i="126"/>
  <c r="FF20" i="126"/>
  <c r="QO13" i="126"/>
  <c r="O41" i="126"/>
  <c r="ES41" i="126"/>
  <c r="ES42" i="126" s="1"/>
  <c r="ES44" i="126" s="1"/>
  <c r="LK10" i="126"/>
  <c r="FF13" i="126"/>
  <c r="BO14" i="126"/>
  <c r="DS15" i="126"/>
  <c r="CX18" i="126"/>
  <c r="DS18" i="126"/>
  <c r="RL19" i="126"/>
  <c r="RL20" i="126" s="1"/>
  <c r="RL21" i="126" s="1"/>
  <c r="RL22" i="126" s="1"/>
  <c r="RL23" i="126" s="1"/>
  <c r="RL24" i="126" s="1"/>
  <c r="RL25" i="126" s="1"/>
  <c r="RL26" i="126" s="1"/>
  <c r="RL27" i="126" s="1"/>
  <c r="RL28" i="126" s="1"/>
  <c r="RL29" i="126" s="1"/>
  <c r="RL30" i="126" s="1"/>
  <c r="RL31" i="126" s="1"/>
  <c r="RL32" i="126" s="1"/>
  <c r="RL33" i="126" s="1"/>
  <c r="RL34" i="126" s="1"/>
  <c r="RL35" i="126" s="1"/>
  <c r="RL36" i="126" s="1"/>
  <c r="RL37" i="126" s="1"/>
  <c r="RL38" i="126" s="1"/>
  <c r="RL39" i="126" s="1"/>
  <c r="RL40" i="126" s="1"/>
  <c r="JM19" i="126"/>
  <c r="RS17" i="126"/>
  <c r="Y18" i="126"/>
  <c r="BX20" i="126"/>
  <c r="X20" i="126"/>
  <c r="Y20" i="126" s="1"/>
  <c r="CX21" i="126"/>
  <c r="DS21" i="126"/>
  <c r="IR21" i="126"/>
  <c r="GM21" i="126" s="1"/>
  <c r="HN22" i="126"/>
  <c r="GL22" i="126" s="1"/>
  <c r="JG22" i="126"/>
  <c r="GN22" i="126" s="1"/>
  <c r="DB20" i="126"/>
  <c r="CZ21" i="126"/>
  <c r="DB23" i="126"/>
  <c r="T16" i="126"/>
  <c r="U16" i="126" s="1"/>
  <c r="RK19" i="126"/>
  <c r="QO19" i="126"/>
  <c r="PZ20" i="126"/>
  <c r="RQ20" i="126"/>
  <c r="LK21" i="126"/>
  <c r="AB23" i="126"/>
  <c r="AC23" i="126" s="1"/>
  <c r="RQ15" i="126"/>
  <c r="P17" i="126"/>
  <c r="BO18" i="126"/>
  <c r="T19" i="126"/>
  <c r="U19" i="126" s="1"/>
  <c r="JM23" i="126"/>
  <c r="QO23" i="126"/>
  <c r="AY22" i="126"/>
  <c r="RS22" i="126"/>
  <c r="X23" i="126"/>
  <c r="Y23" i="126" s="1"/>
  <c r="BX23" i="126"/>
  <c r="T17" i="126"/>
  <c r="U17" i="126" s="1"/>
  <c r="RS20" i="126"/>
  <c r="AY21" i="126"/>
  <c r="GX24" i="126"/>
  <c r="RY24" i="126" s="1"/>
  <c r="JM16" i="126"/>
  <c r="AY20" i="126"/>
  <c r="RQ21" i="126"/>
  <c r="PZ21" i="126"/>
  <c r="FF23" i="126"/>
  <c r="RQ16" i="126"/>
  <c r="RS23" i="126"/>
  <c r="AY23" i="126"/>
  <c r="P23" i="126"/>
  <c r="Q23" i="126" s="1"/>
  <c r="BX18" i="126"/>
  <c r="P20" i="126"/>
  <c r="Q20" i="126" s="1"/>
  <c r="QO20" i="126"/>
  <c r="P21" i="126"/>
  <c r="C21" i="126"/>
  <c r="FF21" i="126"/>
  <c r="QO21" i="126"/>
  <c r="JM21" i="126"/>
  <c r="P22" i="126"/>
  <c r="T22" i="126"/>
  <c r="U22" i="126" s="1"/>
  <c r="BO22" i="126"/>
  <c r="CX22" i="126"/>
  <c r="DS22" i="126"/>
  <c r="AC24" i="126"/>
  <c r="JM17" i="126"/>
  <c r="T20" i="126"/>
  <c r="U20" i="126" s="1"/>
  <c r="JM20" i="126"/>
  <c r="BR22" i="126"/>
  <c r="AB22" i="126"/>
  <c r="AC22" i="126" s="1"/>
  <c r="CZ22" i="126"/>
  <c r="GX22" i="126"/>
  <c r="RY22" i="126" s="1"/>
  <c r="DS17" i="126"/>
  <c r="QO17" i="126"/>
  <c r="GX20" i="126"/>
  <c r="RY20" i="126" s="1"/>
  <c r="CX23" i="126"/>
  <c r="DS23" i="126"/>
  <c r="IR18" i="126"/>
  <c r="GM18" i="126" s="1"/>
  <c r="BO21" i="126"/>
  <c r="T21" i="126"/>
  <c r="U21" i="126" s="1"/>
  <c r="X22" i="126"/>
  <c r="Y22" i="126" s="1"/>
  <c r="BX22" i="126"/>
  <c r="T23" i="126"/>
  <c r="U23" i="126" s="1"/>
  <c r="BO23" i="126"/>
  <c r="BX29" i="126"/>
  <c r="X29" i="126"/>
  <c r="Y29" i="126" s="1"/>
  <c r="HN29" i="126"/>
  <c r="GL29" i="126" s="1"/>
  <c r="JM22" i="126"/>
  <c r="BR24" i="126"/>
  <c r="Y25" i="126"/>
  <c r="BO25" i="126"/>
  <c r="T25" i="126"/>
  <c r="U25" i="126" s="1"/>
  <c r="QO25" i="126"/>
  <c r="JM25" i="126"/>
  <c r="BE27" i="126"/>
  <c r="P27" i="126"/>
  <c r="Q27" i="126" s="1"/>
  <c r="AY28" i="126"/>
  <c r="P28" i="126"/>
  <c r="RS28" i="126"/>
  <c r="DS24" i="126"/>
  <c r="RQ26" i="126"/>
  <c r="PZ26" i="126"/>
  <c r="BR25" i="126"/>
  <c r="CX25" i="126"/>
  <c r="DS25" i="126"/>
  <c r="IC25" i="126"/>
  <c r="QO24" i="126"/>
  <c r="JM24" i="126"/>
  <c r="CX27" i="126"/>
  <c r="DS27" i="126"/>
  <c r="PZ23" i="126"/>
  <c r="P24" i="126"/>
  <c r="BO28" i="126"/>
  <c r="T28" i="126"/>
  <c r="U28" i="126" s="1"/>
  <c r="CX28" i="126"/>
  <c r="DS28" i="126"/>
  <c r="BR28" i="126"/>
  <c r="AB28" i="126"/>
  <c r="AC28" i="126" s="1"/>
  <c r="C26" i="126"/>
  <c r="FF26" i="126"/>
  <c r="HN27" i="126"/>
  <c r="GL27" i="126" s="1"/>
  <c r="T29" i="126"/>
  <c r="BO29" i="126"/>
  <c r="RS25" i="126"/>
  <c r="PZ27" i="126"/>
  <c r="RQ27" i="126"/>
  <c r="BR29" i="126"/>
  <c r="AB29" i="126"/>
  <c r="AC29" i="126" s="1"/>
  <c r="QO22" i="126"/>
  <c r="X24" i="126"/>
  <c r="Y24" i="126" s="1"/>
  <c r="AY25" i="126"/>
  <c r="Y28" i="126"/>
  <c r="JG28" i="126"/>
  <c r="GN28" i="126" s="1"/>
  <c r="RQ28" i="126"/>
  <c r="PZ28" i="126"/>
  <c r="HN25" i="126"/>
  <c r="GL25" i="126" s="1"/>
  <c r="CX24" i="126"/>
  <c r="P25" i="126"/>
  <c r="JG25" i="126"/>
  <c r="GN25" i="126" s="1"/>
  <c r="HN24" i="126"/>
  <c r="GL24" i="126" s="1"/>
  <c r="CX26" i="126"/>
  <c r="DS26" i="126"/>
  <c r="GX26" i="126"/>
  <c r="RY26" i="126" s="1"/>
  <c r="IR26" i="126"/>
  <c r="GM26" i="126" s="1"/>
  <c r="RS27" i="126"/>
  <c r="JM28" i="126"/>
  <c r="QO28" i="126"/>
  <c r="FF25" i="126"/>
  <c r="FF27" i="126"/>
  <c r="IR27" i="126"/>
  <c r="GM27" i="126" s="1"/>
  <c r="AB26" i="126"/>
  <c r="AC26" i="126" s="1"/>
  <c r="JM26" i="126"/>
  <c r="BR27" i="126"/>
  <c r="BX30" i="126"/>
  <c r="X30" i="126"/>
  <c r="Y30" i="126" s="1"/>
  <c r="IR30" i="126"/>
  <c r="GM30" i="126" s="1"/>
  <c r="RS30" i="126"/>
  <c r="QO31" i="126"/>
  <c r="JM31" i="126"/>
  <c r="GX30" i="126"/>
  <c r="RY30" i="126" s="1"/>
  <c r="BR33" i="126"/>
  <c r="AB33" i="126"/>
  <c r="AC33" i="126" s="1"/>
  <c r="GX33" i="126"/>
  <c r="RY33" i="126" s="1"/>
  <c r="QO34" i="126"/>
  <c r="JM34" i="126"/>
  <c r="BR35" i="126"/>
  <c r="AB35" i="126"/>
  <c r="AC35" i="126" s="1"/>
  <c r="IR36" i="126"/>
  <c r="GM36" i="126" s="1"/>
  <c r="FF37" i="126"/>
  <c r="IC31" i="126"/>
  <c r="EF32" i="126"/>
  <c r="Y33" i="126"/>
  <c r="RS34" i="126"/>
  <c r="AY34" i="126"/>
  <c r="P34" i="126"/>
  <c r="Q34" i="126" s="1"/>
  <c r="CZ35" i="126"/>
  <c r="DD35" i="126" s="1"/>
  <c r="QO29" i="126"/>
  <c r="JM29" i="126"/>
  <c r="RS29" i="126"/>
  <c r="DB33" i="126"/>
  <c r="DS33" i="126"/>
  <c r="JM27" i="126"/>
  <c r="C28" i="126"/>
  <c r="HN30" i="126"/>
  <c r="GL30" i="126" s="1"/>
  <c r="RS32" i="126"/>
  <c r="T36" i="126"/>
  <c r="U36" i="126" s="1"/>
  <c r="BO36" i="126"/>
  <c r="CZ29" i="126"/>
  <c r="AY30" i="126"/>
  <c r="PZ35" i="126"/>
  <c r="RQ35" i="126"/>
  <c r="BR36" i="126"/>
  <c r="AB36" i="126"/>
  <c r="AC36" i="126" s="1"/>
  <c r="RQ36" i="126"/>
  <c r="PZ36" i="126"/>
  <c r="P26" i="126"/>
  <c r="LK27" i="126"/>
  <c r="CZ31" i="126"/>
  <c r="BE32" i="126"/>
  <c r="P32" i="126"/>
  <c r="FF32" i="126"/>
  <c r="BR31" i="126"/>
  <c r="AB31" i="126"/>
  <c r="AC31" i="126" s="1"/>
  <c r="RS35" i="126"/>
  <c r="DB36" i="126"/>
  <c r="DS36" i="126"/>
  <c r="RS38" i="126"/>
  <c r="AY38" i="126"/>
  <c r="P38" i="126"/>
  <c r="X27" i="126"/>
  <c r="Y27" i="126" s="1"/>
  <c r="BX28" i="126"/>
  <c r="GX34" i="126"/>
  <c r="RY34" i="126" s="1"/>
  <c r="BX35" i="126"/>
  <c r="X35" i="126"/>
  <c r="Y35" i="126" s="1"/>
  <c r="T37" i="126"/>
  <c r="U37" i="126" s="1"/>
  <c r="BO37" i="126"/>
  <c r="QO27" i="126"/>
  <c r="DS31" i="126"/>
  <c r="BO32" i="126"/>
  <c r="T32" i="126"/>
  <c r="U32" i="126" s="1"/>
  <c r="BX33" i="126"/>
  <c r="X33" i="126"/>
  <c r="HN33" i="126"/>
  <c r="GL33" i="126" s="1"/>
  <c r="CX34" i="126"/>
  <c r="DS34" i="126"/>
  <c r="QO30" i="126"/>
  <c r="JM30" i="126"/>
  <c r="AB32" i="126"/>
  <c r="AC32" i="126" s="1"/>
  <c r="BR32" i="126"/>
  <c r="RQ31" i="126"/>
  <c r="PZ31" i="126"/>
  <c r="RQ34" i="126"/>
  <c r="PZ34" i="126"/>
  <c r="PZ30" i="126"/>
  <c r="RQ30" i="126"/>
  <c r="BX31" i="126"/>
  <c r="X31" i="126"/>
  <c r="Y31" i="126" s="1"/>
  <c r="BR30" i="126"/>
  <c r="DS30" i="126"/>
  <c r="HN31" i="126"/>
  <c r="GL31" i="126" s="1"/>
  <c r="HN34" i="126"/>
  <c r="GL34" i="126" s="1"/>
  <c r="AC30" i="126"/>
  <c r="CZ30" i="126"/>
  <c r="CZ32" i="126"/>
  <c r="QO33" i="126"/>
  <c r="JM33" i="126"/>
  <c r="C32" i="126"/>
  <c r="C34" i="126"/>
  <c r="BR34" i="126"/>
  <c r="IC40" i="126"/>
  <c r="LK33" i="126"/>
  <c r="JM35" i="126"/>
  <c r="JM38" i="126"/>
  <c r="QO38" i="126"/>
  <c r="BX34" i="126"/>
  <c r="HN36" i="126"/>
  <c r="GL36" i="126" s="1"/>
  <c r="U38" i="126"/>
  <c r="DS40" i="126"/>
  <c r="CX40" i="126"/>
  <c r="AY32" i="126"/>
  <c r="QO35" i="126"/>
  <c r="Y38" i="126"/>
  <c r="BR38" i="126"/>
  <c r="AB38" i="126"/>
  <c r="AC38" i="126" s="1"/>
  <c r="DS35" i="126"/>
  <c r="PZ37" i="126"/>
  <c r="RQ37" i="126"/>
  <c r="CX38" i="126"/>
  <c r="DS38" i="126"/>
  <c r="T34" i="126"/>
  <c r="U34" i="126" s="1"/>
  <c r="RS36" i="126"/>
  <c r="IR37" i="126"/>
  <c r="GM37" i="126" s="1"/>
  <c r="JM37" i="126"/>
  <c r="RQ38" i="126"/>
  <c r="PZ38" i="126"/>
  <c r="FF39" i="126"/>
  <c r="IR39" i="126"/>
  <c r="GM39" i="126" s="1"/>
  <c r="DS37" i="126"/>
  <c r="QO37" i="126"/>
  <c r="C31" i="126"/>
  <c r="Y32" i="126"/>
  <c r="EF37" i="126"/>
  <c r="RQ33" i="126"/>
  <c r="JG40" i="126"/>
  <c r="GN40" i="126" s="1"/>
  <c r="JM32" i="126"/>
  <c r="QO36" i="126"/>
  <c r="JM36" i="126"/>
  <c r="RS37" i="126"/>
  <c r="IR38" i="126"/>
  <c r="GM38" i="126" s="1"/>
  <c r="RS40" i="126"/>
  <c r="P40" i="126"/>
  <c r="Q40" i="126" s="1"/>
  <c r="AY40" i="126"/>
  <c r="RS33" i="126"/>
  <c r="HN37" i="126"/>
  <c r="GL37" i="126" s="1"/>
  <c r="NH37" i="126"/>
  <c r="CX39" i="126"/>
  <c r="DS39" i="126"/>
  <c r="QO40" i="126"/>
  <c r="JM40" i="126"/>
  <c r="LK35" i="126"/>
  <c r="AY36" i="126"/>
  <c r="P37" i="126"/>
  <c r="BX39" i="126"/>
  <c r="X39" i="126"/>
  <c r="Y39" i="126" s="1"/>
  <c r="P33" i="126"/>
  <c r="HN39" i="126"/>
  <c r="GL39" i="126" s="1"/>
  <c r="T40" i="126"/>
  <c r="U40" i="126" s="1"/>
  <c r="X90" i="126"/>
  <c r="AB210" i="126"/>
  <c r="Y43" i="126"/>
  <c r="AQ44" i="126"/>
  <c r="AS42" i="126"/>
  <c r="AS44" i="126" s="1"/>
  <c r="RS39" i="126"/>
  <c r="AC40" i="126"/>
  <c r="AS41" i="126"/>
  <c r="BY42" i="126"/>
  <c r="P39" i="126"/>
  <c r="Q39" i="126" s="1"/>
  <c r="CD42" i="126"/>
  <c r="CD44" i="126" s="1"/>
  <c r="CC44" i="126"/>
  <c r="RQ39" i="126"/>
  <c r="QO39" i="126"/>
  <c r="BV48" i="126"/>
  <c r="BV44" i="126"/>
  <c r="AT42" i="126"/>
  <c r="AT44" i="126" s="1"/>
  <c r="D43" i="126"/>
  <c r="C40" i="126"/>
  <c r="JM39" i="126"/>
  <c r="BC48" i="126"/>
  <c r="BC44" i="126"/>
  <c r="O90" i="126"/>
  <c r="Q43" i="126"/>
  <c r="C43" i="126"/>
  <c r="AB39" i="126"/>
  <c r="AC39" i="126" s="1"/>
  <c r="DB40" i="126"/>
  <c r="S41" i="126"/>
  <c r="BF42" i="126"/>
  <c r="BO39" i="126"/>
  <c r="HN40" i="126"/>
  <c r="GL40" i="126" s="1"/>
  <c r="O42" i="126"/>
  <c r="AK43" i="126"/>
  <c r="AK44" i="126" s="1"/>
  <c r="AG41" i="126"/>
  <c r="AE44" i="126"/>
  <c r="AW44" i="126"/>
  <c r="U43" i="126"/>
  <c r="R19" i="127" l="1"/>
  <c r="S19" i="127" s="1"/>
  <c r="E19" i="127" s="1"/>
  <c r="D27" i="127"/>
  <c r="CN27" i="127" s="1"/>
  <c r="R12" i="127"/>
  <c r="DD32" i="126"/>
  <c r="BK46" i="127"/>
  <c r="BK47" i="127" s="1"/>
  <c r="G31" i="95"/>
  <c r="BC84" i="2"/>
  <c r="H64" i="2"/>
  <c r="GO15" i="126"/>
  <c r="GO33" i="126"/>
  <c r="D41" i="127"/>
  <c r="CN41" i="127" s="1"/>
  <c r="E43" i="126"/>
  <c r="BC88" i="2"/>
  <c r="H65" i="2"/>
  <c r="GO14" i="126"/>
  <c r="GO31" i="126"/>
  <c r="GO23" i="126"/>
  <c r="GO20" i="126"/>
  <c r="GO32" i="126"/>
  <c r="GO19" i="126"/>
  <c r="GO35" i="126"/>
  <c r="GO12" i="126"/>
  <c r="GO21" i="126"/>
  <c r="GO11" i="126"/>
  <c r="IC41" i="126"/>
  <c r="QO14" i="126"/>
  <c r="GO29" i="126"/>
  <c r="GO30" i="126"/>
  <c r="IC42" i="126"/>
  <c r="GO13" i="126"/>
  <c r="GO34" i="126"/>
  <c r="KW44" i="126"/>
  <c r="BC160" i="2"/>
  <c r="GO26" i="126"/>
  <c r="KU44" i="126"/>
  <c r="BC158" i="2"/>
  <c r="GO18" i="126"/>
  <c r="KV44" i="126"/>
  <c r="BC159" i="2"/>
  <c r="GO39" i="126"/>
  <c r="GO24" i="126"/>
  <c r="DD14" i="126"/>
  <c r="DD27" i="126"/>
  <c r="DD17" i="126"/>
  <c r="DD13" i="126"/>
  <c r="SC29" i="126"/>
  <c r="DD29" i="126"/>
  <c r="QI10" i="126"/>
  <c r="QI11" i="126" s="1"/>
  <c r="QI12" i="126" s="1"/>
  <c r="QI13" i="126" s="1"/>
  <c r="QI14" i="126" s="1"/>
  <c r="QI15" i="126" s="1"/>
  <c r="QI16" i="126" s="1"/>
  <c r="QI17" i="126" s="1"/>
  <c r="QI18" i="126" s="1"/>
  <c r="QI19" i="126" s="1"/>
  <c r="QI20" i="126" s="1"/>
  <c r="QI21" i="126" s="1"/>
  <c r="QI22" i="126" s="1"/>
  <c r="QI23" i="126" s="1"/>
  <c r="QI24" i="126" s="1"/>
  <c r="QI25" i="126" s="1"/>
  <c r="QI26" i="126" s="1"/>
  <c r="QI27" i="126" s="1"/>
  <c r="QI28" i="126" s="1"/>
  <c r="QI29" i="126" s="1"/>
  <c r="QI30" i="126" s="1"/>
  <c r="QI31" i="126" s="1"/>
  <c r="QI32" i="126" s="1"/>
  <c r="QI33" i="126" s="1"/>
  <c r="QI34" i="126" s="1"/>
  <c r="QI35" i="126" s="1"/>
  <c r="QI36" i="126" s="1"/>
  <c r="QI37" i="126" s="1"/>
  <c r="QI38" i="126" s="1"/>
  <c r="QI39" i="126" s="1"/>
  <c r="QI40" i="126" s="1"/>
  <c r="QI41" i="126" s="1"/>
  <c r="QI42" i="126" s="1"/>
  <c r="DD19" i="126"/>
  <c r="SC31" i="126"/>
  <c r="AA44" i="126"/>
  <c r="BC31" i="2"/>
  <c r="H13" i="2"/>
  <c r="D14" i="127"/>
  <c r="CN14" i="127" s="1"/>
  <c r="D31" i="127"/>
  <c r="CN31" i="127" s="1"/>
  <c r="D38" i="127"/>
  <c r="CN38" i="127" s="1"/>
  <c r="D32" i="127"/>
  <c r="CN32" i="127" s="1"/>
  <c r="R40" i="127"/>
  <c r="S40" i="127" s="1"/>
  <c r="E40" i="127" s="1"/>
  <c r="BC105" i="2"/>
  <c r="H14" i="2"/>
  <c r="O49" i="126"/>
  <c r="BC23" i="2"/>
  <c r="H11" i="2"/>
  <c r="DD33" i="126"/>
  <c r="DD15" i="126"/>
  <c r="DD31" i="126"/>
  <c r="DD28" i="126"/>
  <c r="DD25" i="126"/>
  <c r="DD12" i="126"/>
  <c r="DD18" i="126"/>
  <c r="D42" i="127"/>
  <c r="CN42" i="127" s="1"/>
  <c r="KB41" i="126"/>
  <c r="KB42" i="126" s="1"/>
  <c r="KB44" i="126" s="1"/>
  <c r="GO38" i="126"/>
  <c r="GZ49" i="126" s="1"/>
  <c r="GU44" i="126"/>
  <c r="C57" i="98"/>
  <c r="IN44" i="126"/>
  <c r="H42" i="2"/>
  <c r="HJ44" i="126"/>
  <c r="H34" i="2"/>
  <c r="JZ41" i="126"/>
  <c r="JZ42" i="126" s="1"/>
  <c r="JZ44" i="126" s="1"/>
  <c r="IQ42" i="126"/>
  <c r="IQ44" i="126" s="1"/>
  <c r="H38" i="2"/>
  <c r="GT44" i="126"/>
  <c r="C56" i="98"/>
  <c r="JC44" i="126"/>
  <c r="H49" i="2"/>
  <c r="GO37" i="126"/>
  <c r="GO27" i="126"/>
  <c r="JV41" i="126"/>
  <c r="JV42" i="126" s="1"/>
  <c r="JV44" i="126" s="1"/>
  <c r="HH42" i="126"/>
  <c r="HH44" i="126" s="1"/>
  <c r="H33" i="2"/>
  <c r="JA44" i="126"/>
  <c r="H48" i="2"/>
  <c r="GW44" i="126"/>
  <c r="C59" i="98"/>
  <c r="IJ44" i="126"/>
  <c r="H40" i="2"/>
  <c r="HL42" i="126"/>
  <c r="HL44" i="126" s="1"/>
  <c r="H35" i="2"/>
  <c r="GV44" i="126"/>
  <c r="C58" i="98"/>
  <c r="IL44" i="126"/>
  <c r="H41" i="2"/>
  <c r="KQ44" i="126"/>
  <c r="H53" i="2"/>
  <c r="KP44" i="126"/>
  <c r="H52" i="2"/>
  <c r="KR44" i="126"/>
  <c r="H54" i="2"/>
  <c r="D26" i="126"/>
  <c r="E26" i="126" s="1"/>
  <c r="D36" i="126"/>
  <c r="E36" i="126" s="1"/>
  <c r="SC21" i="126"/>
  <c r="D33" i="126"/>
  <c r="E33" i="126" s="1"/>
  <c r="D14" i="126"/>
  <c r="SC26" i="126"/>
  <c r="D21" i="126"/>
  <c r="E21" i="126" s="1"/>
  <c r="D37" i="126"/>
  <c r="E37" i="126" s="1"/>
  <c r="JQ41" i="126"/>
  <c r="JQ42" i="126" s="1"/>
  <c r="JQ44" i="126" s="1"/>
  <c r="JP41" i="126"/>
  <c r="JP42" i="126" s="1"/>
  <c r="JP44" i="126" s="1"/>
  <c r="KD41" i="126"/>
  <c r="KD42" i="126" s="1"/>
  <c r="KD44" i="126" s="1"/>
  <c r="JR41" i="126"/>
  <c r="JR42" i="126" s="1"/>
  <c r="JR44" i="126" s="1"/>
  <c r="KE41" i="126"/>
  <c r="KE42" i="126" s="1"/>
  <c r="KE44" i="126" s="1"/>
  <c r="GO28" i="126"/>
  <c r="GO22" i="126"/>
  <c r="GO16" i="126"/>
  <c r="JG42" i="126"/>
  <c r="JG44" i="126" s="1"/>
  <c r="DD20" i="126"/>
  <c r="DD38" i="126"/>
  <c r="DD10" i="126"/>
  <c r="DD26" i="126"/>
  <c r="DD34" i="126"/>
  <c r="DD30" i="126"/>
  <c r="SC24" i="126"/>
  <c r="DD16" i="126"/>
  <c r="DD24" i="126"/>
  <c r="DD39" i="126"/>
  <c r="DD36" i="126"/>
  <c r="SC20" i="126"/>
  <c r="DD23" i="126"/>
  <c r="DD11" i="126"/>
  <c r="DD21" i="126"/>
  <c r="DD22" i="126"/>
  <c r="D35" i="126"/>
  <c r="E35" i="126" s="1"/>
  <c r="X41" i="126"/>
  <c r="Y41" i="126" s="1"/>
  <c r="D29" i="126"/>
  <c r="E29" i="126" s="1"/>
  <c r="E15" i="126"/>
  <c r="D28" i="126"/>
  <c r="E28" i="126" s="1"/>
  <c r="U29" i="126"/>
  <c r="SC14" i="126"/>
  <c r="SC38" i="126"/>
  <c r="SC30" i="126"/>
  <c r="SC34" i="126"/>
  <c r="SC32" i="126"/>
  <c r="SC23" i="126"/>
  <c r="SC22" i="126"/>
  <c r="SC13" i="126"/>
  <c r="SC35" i="126"/>
  <c r="SC27" i="126"/>
  <c r="SC15" i="126"/>
  <c r="SC40" i="126"/>
  <c r="D13" i="127"/>
  <c r="CN13" i="127" s="1"/>
  <c r="R13" i="127"/>
  <c r="S13" i="127" s="1"/>
  <c r="E13" i="127" s="1"/>
  <c r="R25" i="127"/>
  <c r="S25" i="127" s="1"/>
  <c r="E25" i="127" s="1"/>
  <c r="D25" i="127"/>
  <c r="CN25" i="127" s="1"/>
  <c r="D24" i="127"/>
  <c r="CN24" i="127" s="1"/>
  <c r="R24" i="127"/>
  <c r="S24" i="127" s="1"/>
  <c r="E24" i="127" s="1"/>
  <c r="R20" i="127"/>
  <c r="S20" i="127" s="1"/>
  <c r="E20" i="127" s="1"/>
  <c r="D20" i="127"/>
  <c r="CN20" i="127" s="1"/>
  <c r="R22" i="127"/>
  <c r="S22" i="127" s="1"/>
  <c r="E22" i="127" s="1"/>
  <c r="D22" i="127"/>
  <c r="CN22" i="127" s="1"/>
  <c r="CR12" i="127"/>
  <c r="AB43" i="127"/>
  <c r="AB44" i="127" s="1"/>
  <c r="CR38" i="127"/>
  <c r="AX38" i="127"/>
  <c r="R39" i="127"/>
  <c r="S39" i="127" s="1"/>
  <c r="E39" i="127" s="1"/>
  <c r="D39" i="127"/>
  <c r="CN39" i="127" s="1"/>
  <c r="R28" i="127"/>
  <c r="S28" i="127" s="1"/>
  <c r="E28" i="127" s="1"/>
  <c r="D28" i="127"/>
  <c r="CN28" i="127" s="1"/>
  <c r="AX30" i="127"/>
  <c r="CR30" i="127"/>
  <c r="S12" i="127"/>
  <c r="E12" i="127" s="1"/>
  <c r="D23" i="127"/>
  <c r="CN23" i="127" s="1"/>
  <c r="R23" i="127"/>
  <c r="S23" i="127" s="1"/>
  <c r="E23" i="127" s="1"/>
  <c r="CN12" i="127"/>
  <c r="AX14" i="127"/>
  <c r="CR14" i="127"/>
  <c r="D35" i="127"/>
  <c r="CN35" i="127" s="1"/>
  <c r="R35" i="127"/>
  <c r="S35" i="127" s="1"/>
  <c r="E35" i="127" s="1"/>
  <c r="AX25" i="127"/>
  <c r="CR25" i="127"/>
  <c r="AX41" i="127"/>
  <c r="CR41" i="127"/>
  <c r="Q43" i="127"/>
  <c r="AX15" i="127"/>
  <c r="CR15" i="127"/>
  <c r="R30" i="127"/>
  <c r="S30" i="127" s="1"/>
  <c r="E30" i="127" s="1"/>
  <c r="D30" i="127"/>
  <c r="CN30" i="127" s="1"/>
  <c r="AJ14" i="127"/>
  <c r="R36" i="127"/>
  <c r="S36" i="127" s="1"/>
  <c r="E36" i="127" s="1"/>
  <c r="D36" i="127"/>
  <c r="CN36" i="127" s="1"/>
  <c r="R15" i="127"/>
  <c r="S15" i="127" s="1"/>
  <c r="E15" i="127" s="1"/>
  <c r="D15" i="127"/>
  <c r="CN15" i="127" s="1"/>
  <c r="R16" i="127"/>
  <c r="S16" i="127" s="1"/>
  <c r="E16" i="127" s="1"/>
  <c r="D16" i="127"/>
  <c r="CN16" i="127" s="1"/>
  <c r="R33" i="127"/>
  <c r="S33" i="127" s="1"/>
  <c r="E33" i="127" s="1"/>
  <c r="D33" i="127"/>
  <c r="CN33" i="127" s="1"/>
  <c r="C44" i="127"/>
  <c r="AG43" i="127"/>
  <c r="AG44" i="127" s="1"/>
  <c r="G18" i="95" s="1"/>
  <c r="CR31" i="127"/>
  <c r="AX31" i="127"/>
  <c r="D18" i="127"/>
  <c r="CN18" i="127" s="1"/>
  <c r="R18" i="127"/>
  <c r="S18" i="127" s="1"/>
  <c r="E18" i="127" s="1"/>
  <c r="AX27" i="127"/>
  <c r="CR27" i="127"/>
  <c r="R34" i="127"/>
  <c r="S34" i="127" s="1"/>
  <c r="E34" i="127" s="1"/>
  <c r="D34" i="127"/>
  <c r="CN34" i="127" s="1"/>
  <c r="R26" i="127"/>
  <c r="S26" i="127" s="1"/>
  <c r="E26" i="127" s="1"/>
  <c r="D26" i="127"/>
  <c r="CN26" i="127" s="1"/>
  <c r="SE39" i="126"/>
  <c r="QS39" i="126"/>
  <c r="QR39" i="126"/>
  <c r="D39" i="126"/>
  <c r="E39" i="126" s="1"/>
  <c r="SE31" i="126"/>
  <c r="QS31" i="126"/>
  <c r="QR31" i="126"/>
  <c r="QR28" i="126"/>
  <c r="SE28" i="126"/>
  <c r="QS28" i="126"/>
  <c r="QR24" i="126"/>
  <c r="SE24" i="126"/>
  <c r="QS24" i="126"/>
  <c r="QS17" i="126"/>
  <c r="QR17" i="126"/>
  <c r="SE17" i="126"/>
  <c r="Y19" i="126"/>
  <c r="D11" i="126"/>
  <c r="D30" i="126"/>
  <c r="E30" i="126" s="1"/>
  <c r="Q26" i="126"/>
  <c r="GL41" i="126"/>
  <c r="GL42" i="126" s="1"/>
  <c r="GL44" i="126" s="1"/>
  <c r="SE18" i="126"/>
  <c r="QS18" i="126"/>
  <c r="QR18" i="126"/>
  <c r="SE12" i="126"/>
  <c r="QS12" i="126"/>
  <c r="QR12" i="126"/>
  <c r="FC41" i="126"/>
  <c r="FC42" i="126" s="1"/>
  <c r="FC44" i="126" s="1"/>
  <c r="OC41" i="126"/>
  <c r="OC42" i="126" s="1"/>
  <c r="OC44" i="126" s="1"/>
  <c r="OC40" i="126"/>
  <c r="SC33" i="126"/>
  <c r="SE26" i="126"/>
  <c r="QS26" i="126"/>
  <c r="QR26" i="126"/>
  <c r="QS22" i="126"/>
  <c r="QR22" i="126"/>
  <c r="SE22" i="126"/>
  <c r="SE15" i="126"/>
  <c r="QR15" i="126"/>
  <c r="QS15" i="126"/>
  <c r="KC41" i="126"/>
  <c r="KC42" i="126" s="1"/>
  <c r="KC44" i="126" s="1"/>
  <c r="QH12" i="126"/>
  <c r="DS41" i="126"/>
  <c r="DS42" i="126" s="1"/>
  <c r="DS44" i="126" s="1"/>
  <c r="SC10" i="126"/>
  <c r="RK20" i="126"/>
  <c r="RN19" i="126"/>
  <c r="D16" i="126"/>
  <c r="Q16" i="126"/>
  <c r="GI41" i="126"/>
  <c r="GI42" i="126" s="1"/>
  <c r="GI44" i="126" s="1"/>
  <c r="FE10" i="126"/>
  <c r="FE41" i="126" s="1"/>
  <c r="FE42" i="126" s="1"/>
  <c r="FE44" i="126" s="1"/>
  <c r="JU41" i="126"/>
  <c r="JU42" i="126" s="1"/>
  <c r="JU44" i="126" s="1"/>
  <c r="C41" i="126"/>
  <c r="JT41" i="126"/>
  <c r="JT42" i="126" s="1"/>
  <c r="JT44" i="126" s="1"/>
  <c r="Q14" i="126"/>
  <c r="CX41" i="126"/>
  <c r="CX42" i="126" s="1"/>
  <c r="CX44" i="126" s="1"/>
  <c r="D32" i="126"/>
  <c r="E32" i="126" s="1"/>
  <c r="SC39" i="126"/>
  <c r="D31" i="126"/>
  <c r="E31" i="126" s="1"/>
  <c r="D34" i="126"/>
  <c r="E34" i="126" s="1"/>
  <c r="SC28" i="126"/>
  <c r="D20" i="126"/>
  <c r="E20" i="126" s="1"/>
  <c r="JK42" i="126"/>
  <c r="JK48" i="126"/>
  <c r="JK209" i="126" s="1"/>
  <c r="SC12" i="126"/>
  <c r="QR36" i="126"/>
  <c r="SE36" i="126"/>
  <c r="QS36" i="126"/>
  <c r="GO25" i="126"/>
  <c r="D27" i="126"/>
  <c r="E27" i="126" s="1"/>
  <c r="SE16" i="126"/>
  <c r="QS16" i="126"/>
  <c r="QR16" i="126"/>
  <c r="Q17" i="126"/>
  <c r="D17" i="126"/>
  <c r="E17" i="126" s="1"/>
  <c r="QR14" i="126"/>
  <c r="SE14" i="126"/>
  <c r="QS14" i="126"/>
  <c r="D12" i="126"/>
  <c r="T41" i="126"/>
  <c r="U41" i="126" s="1"/>
  <c r="U10" i="126"/>
  <c r="S42" i="126"/>
  <c r="C42" i="126" s="1"/>
  <c r="BF44" i="126"/>
  <c r="SC17" i="126"/>
  <c r="Q22" i="126"/>
  <c r="D22" i="126"/>
  <c r="E22" i="126" s="1"/>
  <c r="SE19" i="126"/>
  <c r="QR19" i="126"/>
  <c r="QS19" i="126"/>
  <c r="LK41" i="126"/>
  <c r="LK42" i="126" s="1"/>
  <c r="H63" i="2" s="1"/>
  <c r="JK301" i="126"/>
  <c r="JJ42" i="126"/>
  <c r="JJ48" i="126"/>
  <c r="JJ209" i="126" s="1"/>
  <c r="BW48" i="126"/>
  <c r="BW42" i="126"/>
  <c r="EF41" i="126"/>
  <c r="EF42" i="126" s="1"/>
  <c r="EF44" i="126" s="1"/>
  <c r="DB41" i="126"/>
  <c r="DB42" i="126" s="1"/>
  <c r="DB44" i="126" s="1"/>
  <c r="QR29" i="126"/>
  <c r="SE29" i="126"/>
  <c r="QS29" i="126"/>
  <c r="QS34" i="126"/>
  <c r="QR34" i="126"/>
  <c r="SE34" i="126"/>
  <c r="D23" i="126"/>
  <c r="E23" i="126" s="1"/>
  <c r="Q18" i="126"/>
  <c r="D18" i="126"/>
  <c r="E18" i="126" s="1"/>
  <c r="RK11" i="126"/>
  <c r="RN10" i="126"/>
  <c r="SC11" i="126"/>
  <c r="NU13" i="126"/>
  <c r="Q24" i="126"/>
  <c r="D24" i="126"/>
  <c r="E24" i="126" s="1"/>
  <c r="NH11" i="126"/>
  <c r="IR41" i="126"/>
  <c r="GM41" i="126" s="1"/>
  <c r="JG41" i="126"/>
  <c r="GN10" i="126"/>
  <c r="GN41" i="126" s="1"/>
  <c r="GN42" i="126" s="1"/>
  <c r="GN44" i="126" s="1"/>
  <c r="Q37" i="126"/>
  <c r="SE32" i="126"/>
  <c r="QS32" i="126"/>
  <c r="QR32" i="126"/>
  <c r="QR38" i="126"/>
  <c r="QS38" i="126"/>
  <c r="SE38" i="126"/>
  <c r="Q32" i="126"/>
  <c r="D38" i="126"/>
  <c r="E38" i="126" s="1"/>
  <c r="Q38" i="126"/>
  <c r="KA41" i="126"/>
  <c r="KA42" i="126" s="1"/>
  <c r="KA44" i="126" s="1"/>
  <c r="HN41" i="126"/>
  <c r="QO15" i="126"/>
  <c r="SC19" i="126"/>
  <c r="SC37" i="126"/>
  <c r="DD40" i="126"/>
  <c r="QS21" i="126"/>
  <c r="QR21" i="126"/>
  <c r="SE21" i="126"/>
  <c r="Q21" i="126"/>
  <c r="D19" i="126"/>
  <c r="E19" i="126" s="1"/>
  <c r="GO17" i="126"/>
  <c r="JM41" i="126"/>
  <c r="QS10" i="126"/>
  <c r="QR10" i="126"/>
  <c r="O44" i="126"/>
  <c r="SC25" i="126"/>
  <c r="JS41" i="126"/>
  <c r="JS42" i="126" s="1"/>
  <c r="JS44" i="126" s="1"/>
  <c r="QR13" i="126"/>
  <c r="SE13" i="126"/>
  <c r="QS13" i="126"/>
  <c r="PZ41" i="126"/>
  <c r="JW41" i="126"/>
  <c r="JW42" i="126" s="1"/>
  <c r="JW44" i="126" s="1"/>
  <c r="CZ41" i="126"/>
  <c r="CZ42" i="126" s="1"/>
  <c r="CZ44" i="126" s="1"/>
  <c r="QS40" i="126"/>
  <c r="QR40" i="126"/>
  <c r="SE40" i="126"/>
  <c r="GO40" i="126"/>
  <c r="QR35" i="126"/>
  <c r="SE35" i="126"/>
  <c r="QS35" i="126"/>
  <c r="SE33" i="126"/>
  <c r="QS33" i="126"/>
  <c r="QR33" i="126"/>
  <c r="SE30" i="126"/>
  <c r="QS30" i="126"/>
  <c r="QR30" i="126"/>
  <c r="QR25" i="126"/>
  <c r="SE25" i="126"/>
  <c r="QS25" i="126"/>
  <c r="QR23" i="126"/>
  <c r="QS23" i="126"/>
  <c r="SE23" i="126"/>
  <c r="W44" i="126"/>
  <c r="P41" i="126"/>
  <c r="D10" i="126"/>
  <c r="PB13" i="126"/>
  <c r="PH12" i="126"/>
  <c r="D13" i="126"/>
  <c r="Q13" i="126"/>
  <c r="SC36" i="126"/>
  <c r="Q28" i="126"/>
  <c r="PN41" i="126"/>
  <c r="PN42" i="126" s="1"/>
  <c r="SH10" i="126"/>
  <c r="PP10" i="126"/>
  <c r="SC16" i="126"/>
  <c r="OH13" i="126"/>
  <c r="Q12" i="126"/>
  <c r="Q33" i="126"/>
  <c r="NH38" i="126"/>
  <c r="D25" i="126"/>
  <c r="E25" i="126" s="1"/>
  <c r="Q25" i="126"/>
  <c r="QR20" i="126"/>
  <c r="SE20" i="126"/>
  <c r="QS20" i="126"/>
  <c r="JY41" i="126"/>
  <c r="JY42" i="126" s="1"/>
  <c r="JY44" i="126" s="1"/>
  <c r="KM41" i="126"/>
  <c r="KM42" i="126" s="1"/>
  <c r="KM44" i="126" s="1"/>
  <c r="KL41" i="126"/>
  <c r="KL42" i="126" s="1"/>
  <c r="KL44" i="126" s="1"/>
  <c r="KK41" i="126"/>
  <c r="KK42" i="126" s="1"/>
  <c r="KK44" i="126" s="1"/>
  <c r="KH41" i="126"/>
  <c r="KH42" i="126" s="1"/>
  <c r="KH44" i="126" s="1"/>
  <c r="KG41" i="126"/>
  <c r="KG42" i="126" s="1"/>
  <c r="KG44" i="126" s="1"/>
  <c r="KF41" i="126"/>
  <c r="KF42" i="126" s="1"/>
  <c r="KF44" i="126" s="1"/>
  <c r="KJ41" i="126"/>
  <c r="KJ42" i="126" s="1"/>
  <c r="KJ44" i="126" s="1"/>
  <c r="KI41" i="126"/>
  <c r="KI42" i="126" s="1"/>
  <c r="KI44" i="126" s="1"/>
  <c r="JX41" i="126"/>
  <c r="JX42" i="126" s="1"/>
  <c r="JX44" i="126" s="1"/>
  <c r="CA42" i="126"/>
  <c r="CA44" i="126" s="1"/>
  <c r="BY44" i="126"/>
  <c r="BY48" i="126"/>
  <c r="D40" i="126"/>
  <c r="E40" i="126" s="1"/>
  <c r="SE37" i="126"/>
  <c r="QS37" i="126"/>
  <c r="QR37" i="126"/>
  <c r="GO36" i="126"/>
  <c r="QS27" i="126"/>
  <c r="QR27" i="126"/>
  <c r="SE27" i="126"/>
  <c r="SC18" i="126"/>
  <c r="Q15" i="126"/>
  <c r="GX41" i="126"/>
  <c r="GX42" i="126" s="1"/>
  <c r="GX44" i="126" s="1"/>
  <c r="RY10" i="126"/>
  <c r="SE10" i="126" s="1"/>
  <c r="BQ42" i="126"/>
  <c r="BQ44" i="126" s="1"/>
  <c r="AB44" i="126" s="1"/>
  <c r="AB41" i="126"/>
  <c r="HN42" i="126" l="1"/>
  <c r="HN44" i="126" s="1"/>
  <c r="NB11" i="126"/>
  <c r="JK44" i="126"/>
  <c r="H55" i="2"/>
  <c r="BC66" i="2"/>
  <c r="JJ44" i="126"/>
  <c r="H51" i="2"/>
  <c r="BC62" i="2"/>
  <c r="NB10" i="126"/>
  <c r="E16" i="126"/>
  <c r="E12" i="126"/>
  <c r="E13" i="126"/>
  <c r="E14" i="126"/>
  <c r="E11" i="126"/>
  <c r="X42" i="126"/>
  <c r="AF5" i="95"/>
  <c r="G11" i="95"/>
  <c r="BC27" i="2"/>
  <c r="H12" i="2"/>
  <c r="IR42" i="126"/>
  <c r="IR44" i="126" s="1"/>
  <c r="JX45" i="126"/>
  <c r="JP45" i="126"/>
  <c r="DD41" i="126"/>
  <c r="DD42" i="126" s="1"/>
  <c r="DD44" i="126" s="1"/>
  <c r="BC43" i="127" a="1"/>
  <c r="BC43" i="127" s="1"/>
  <c r="BC44" i="127" s="1"/>
  <c r="AZ43" i="127" a="1"/>
  <c r="AZ43" i="127" s="1"/>
  <c r="AZ44" i="127" s="1"/>
  <c r="AX43" i="127"/>
  <c r="AX44" i="127" s="1"/>
  <c r="AF25" i="95" s="1"/>
  <c r="AF16" i="95" s="1"/>
  <c r="BB43" i="127" a="1"/>
  <c r="BB43" i="127" s="1"/>
  <c r="BB44" i="127" s="1"/>
  <c r="BD43" i="127" a="1"/>
  <c r="BD43" i="127" s="1"/>
  <c r="BD44" i="127" s="1"/>
  <c r="BA43" i="127" a="1"/>
  <c r="BA43" i="127" s="1"/>
  <c r="BA44" i="127" s="1"/>
  <c r="D43" i="127"/>
  <c r="AJ15" i="127"/>
  <c r="R43" i="127"/>
  <c r="Q44" i="127"/>
  <c r="S44" i="127" s="1"/>
  <c r="S43" i="127"/>
  <c r="D41" i="126"/>
  <c r="E41" i="126" s="1"/>
  <c r="E10" i="126"/>
  <c r="C44" i="126"/>
  <c r="RK21" i="126"/>
  <c r="RN20" i="126"/>
  <c r="OH14" i="126"/>
  <c r="GR46" i="126"/>
  <c r="GM42" i="126"/>
  <c r="GM44" i="126" s="1"/>
  <c r="NH12" i="126"/>
  <c r="GO10" i="126"/>
  <c r="KF45" i="126"/>
  <c r="JM292" i="126"/>
  <c r="JM47" i="126"/>
  <c r="JM42" i="126"/>
  <c r="T228" i="126"/>
  <c r="AA49" i="126"/>
  <c r="P42" i="126"/>
  <c r="AB52" i="126"/>
  <c r="AB54" i="126" s="1"/>
  <c r="P49" i="126"/>
  <c r="NU14" i="126"/>
  <c r="NH39" i="126"/>
  <c r="S44" i="126"/>
  <c r="S49" i="126"/>
  <c r="T49" i="126"/>
  <c r="T42" i="126"/>
  <c r="BC44" i="2" s="1"/>
  <c r="FF10" i="126"/>
  <c r="FF41" i="126" s="1"/>
  <c r="FF42" i="126" s="1"/>
  <c r="FF44" i="126" s="1"/>
  <c r="QH13" i="126"/>
  <c r="NB12" i="126"/>
  <c r="RN11" i="126"/>
  <c r="RK12" i="126"/>
  <c r="NA10" i="126"/>
  <c r="PP11" i="126"/>
  <c r="Q41" i="126"/>
  <c r="AB42" i="126"/>
  <c r="AC41" i="126"/>
  <c r="AC42" i="126" s="1"/>
  <c r="AB300" i="126"/>
  <c r="PB14" i="126"/>
  <c r="PH13" i="126"/>
  <c r="AB212" i="126"/>
  <c r="GO41" i="126" l="1"/>
  <c r="GO42" i="126" s="1"/>
  <c r="GO44" i="126" s="1"/>
  <c r="X49" i="126"/>
  <c r="H125" i="2"/>
  <c r="X44" i="126"/>
  <c r="BC115" i="2"/>
  <c r="H21" i="2"/>
  <c r="Y42" i="126"/>
  <c r="Y44" i="126" s="1"/>
  <c r="H19" i="2"/>
  <c r="BC48" i="2"/>
  <c r="H17" i="2"/>
  <c r="BC40" i="2"/>
  <c r="T44" i="126"/>
  <c r="U44" i="126" s="1"/>
  <c r="H18" i="2"/>
  <c r="AX46" i="127"/>
  <c r="AX47" i="127" s="1"/>
  <c r="G22" i="95"/>
  <c r="AJ16" i="127"/>
  <c r="R44" i="127"/>
  <c r="R47" i="127"/>
  <c r="D44" i="127"/>
  <c r="E43" i="127"/>
  <c r="NH40" i="126"/>
  <c r="NH13" i="126"/>
  <c r="NA11" i="126"/>
  <c r="PP12" i="126"/>
  <c r="RN12" i="126"/>
  <c r="RK13" i="126"/>
  <c r="NU15" i="126"/>
  <c r="OH15" i="126"/>
  <c r="QH14" i="126"/>
  <c r="NB13" i="126"/>
  <c r="D42" i="126"/>
  <c r="P44" i="126"/>
  <c r="Q42" i="126"/>
  <c r="Q44" i="126" s="1"/>
  <c r="RN21" i="126"/>
  <c r="RK22" i="126"/>
  <c r="JM293" i="126"/>
  <c r="JM44" i="126"/>
  <c r="PB15" i="126"/>
  <c r="PH14" i="126"/>
  <c r="JM290" i="126"/>
  <c r="JM48" i="126"/>
  <c r="AC43" i="126"/>
  <c r="AC44" i="126" s="1"/>
  <c r="U42" i="126"/>
  <c r="G13" i="95" l="1"/>
  <c r="AF10" i="95"/>
  <c r="E44" i="127"/>
  <c r="J38" i="88"/>
  <c r="AJ17" i="127"/>
  <c r="OH16" i="126"/>
  <c r="NU16" i="126"/>
  <c r="NH14" i="126"/>
  <c r="PP13" i="126"/>
  <c r="NA12" i="126"/>
  <c r="D44" i="126"/>
  <c r="E42" i="126"/>
  <c r="E44" i="126" s="1"/>
  <c r="RK14" i="126"/>
  <c r="RN13" i="126"/>
  <c r="NH41" i="126"/>
  <c r="NH42" i="126" s="1"/>
  <c r="PB16" i="126"/>
  <c r="PH15" i="126"/>
  <c r="RK23" i="126"/>
  <c r="RN22" i="126"/>
  <c r="QH15" i="126"/>
  <c r="NB14" i="126"/>
  <c r="MD23" i="124"/>
  <c r="LX11" i="124"/>
  <c r="AJ18" i="127" l="1"/>
  <c r="RN14" i="126"/>
  <c r="RK15" i="126"/>
  <c r="NH15" i="126"/>
  <c r="NB15" i="126"/>
  <c r="QH16" i="126"/>
  <c r="NU17" i="126"/>
  <c r="OH17" i="126"/>
  <c r="PP14" i="126"/>
  <c r="NA13" i="126"/>
  <c r="RK24" i="126"/>
  <c r="RN23" i="126"/>
  <c r="PB17" i="126"/>
  <c r="PH16" i="126"/>
  <c r="NH44" i="126"/>
  <c r="AQ12" i="125"/>
  <c r="AJ19" i="127" l="1"/>
  <c r="OH18" i="126"/>
  <c r="NB16" i="126"/>
  <c r="QH17" i="126"/>
  <c r="NH16" i="126"/>
  <c r="PH17" i="126"/>
  <c r="PB18" i="126"/>
  <c r="RK25" i="126"/>
  <c r="RN24" i="126"/>
  <c r="RK16" i="126"/>
  <c r="RN15" i="126"/>
  <c r="NU18" i="126"/>
  <c r="NA14" i="126"/>
  <c r="PP15" i="126"/>
  <c r="AJ20" i="127" l="1"/>
  <c r="RK17" i="126"/>
  <c r="RN17" i="126" s="1"/>
  <c r="RN16" i="126"/>
  <c r="RK26" i="126"/>
  <c r="RN25" i="126"/>
  <c r="NH17" i="126"/>
  <c r="PB19" i="126"/>
  <c r="PH18" i="126"/>
  <c r="PP16" i="126"/>
  <c r="NA15" i="126"/>
  <c r="NB17" i="126"/>
  <c r="QH18" i="126"/>
  <c r="NU19" i="126"/>
  <c r="OH19" i="126"/>
  <c r="LX16" i="124"/>
  <c r="AJ21" i="127" l="1"/>
  <c r="NH18" i="126"/>
  <c r="NA16" i="126"/>
  <c r="PP17" i="126"/>
  <c r="PB20" i="126"/>
  <c r="PH19" i="126"/>
  <c r="NB18" i="126"/>
  <c r="QH19" i="126"/>
  <c r="OH20" i="126"/>
  <c r="NU20" i="126"/>
  <c r="RK27" i="126"/>
  <c r="RN26" i="126"/>
  <c r="AJ22" i="127" l="1"/>
  <c r="RK28" i="126"/>
  <c r="RN27" i="126"/>
  <c r="OH21" i="126"/>
  <c r="QH20" i="126"/>
  <c r="NB19" i="126"/>
  <c r="PB21" i="126"/>
  <c r="PH20" i="126"/>
  <c r="NU21" i="126"/>
  <c r="PP18" i="126"/>
  <c r="NA17" i="126"/>
  <c r="NH19" i="126"/>
  <c r="AU18" i="123"/>
  <c r="AU24" i="123"/>
  <c r="AU25" i="123"/>
  <c r="AU26" i="123"/>
  <c r="AU27" i="123"/>
  <c r="AU28" i="123"/>
  <c r="AU29" i="123"/>
  <c r="AU30" i="123"/>
  <c r="AU32" i="123"/>
  <c r="AU34" i="123"/>
  <c r="AU38" i="123"/>
  <c r="AU39" i="123"/>
  <c r="AU40" i="123"/>
  <c r="AU41" i="123"/>
  <c r="AU42" i="123"/>
  <c r="AU12" i="123"/>
  <c r="AJ23" i="127" l="1"/>
  <c r="NA18" i="126"/>
  <c r="PP19" i="126"/>
  <c r="PH21" i="126"/>
  <c r="PB22" i="126"/>
  <c r="QH21" i="126"/>
  <c r="NB20" i="126"/>
  <c r="NH20" i="126"/>
  <c r="NU22" i="126"/>
  <c r="OH22" i="126"/>
  <c r="RK29" i="126"/>
  <c r="RN28" i="126"/>
  <c r="AU23" i="123"/>
  <c r="AU22" i="123"/>
  <c r="AU21" i="123"/>
  <c r="AU20" i="123"/>
  <c r="AU19" i="123"/>
  <c r="AU37" i="123"/>
  <c r="AU17" i="123"/>
  <c r="AU16" i="123"/>
  <c r="AU36" i="123"/>
  <c r="AU35" i="123"/>
  <c r="AU15" i="123"/>
  <c r="AU14" i="123"/>
  <c r="AU33" i="123"/>
  <c r="AU13" i="123"/>
  <c r="AU31" i="123"/>
  <c r="AJ24" i="127" l="1"/>
  <c r="OH23" i="126"/>
  <c r="NH21" i="126"/>
  <c r="NB21" i="126"/>
  <c r="QH22" i="126"/>
  <c r="NA19" i="126"/>
  <c r="PP20" i="126"/>
  <c r="RK30" i="126"/>
  <c r="RN29" i="126"/>
  <c r="NU23" i="126"/>
  <c r="PH22" i="126"/>
  <c r="PB23" i="126"/>
  <c r="P132" i="124"/>
  <c r="O132" i="124"/>
  <c r="X50" i="124"/>
  <c r="X51" i="124" s="1"/>
  <c r="T50" i="124"/>
  <c r="S50" i="124"/>
  <c r="P50" i="124"/>
  <c r="P51" i="124" s="1"/>
  <c r="O50" i="124"/>
  <c r="O51" i="124" s="1"/>
  <c r="D45" i="125"/>
  <c r="P173" i="124" l="1"/>
  <c r="P173" i="126"/>
  <c r="AJ25" i="127"/>
  <c r="PH23" i="126"/>
  <c r="PB24" i="126"/>
  <c r="NU24" i="126"/>
  <c r="RK31" i="126"/>
  <c r="RN30" i="126"/>
  <c r="NA20" i="126"/>
  <c r="PP21" i="126"/>
  <c r="QH23" i="126"/>
  <c r="NB22" i="126"/>
  <c r="NH22" i="126"/>
  <c r="OH24" i="126"/>
  <c r="AJ26" i="127" l="1"/>
  <c r="OH25" i="126"/>
  <c r="QH24" i="126"/>
  <c r="NB23" i="126"/>
  <c r="NU25" i="126"/>
  <c r="NH23" i="126"/>
  <c r="PB25" i="126"/>
  <c r="PH24" i="126"/>
  <c r="PP22" i="126"/>
  <c r="NA21" i="126"/>
  <c r="RK32" i="126"/>
  <c r="RN31" i="126"/>
  <c r="AJ27" i="127" l="1"/>
  <c r="RK33" i="126"/>
  <c r="RN32" i="126"/>
  <c r="NA22" i="126"/>
  <c r="PP23" i="126"/>
  <c r="NU26" i="126"/>
  <c r="QH25" i="126"/>
  <c r="NB24" i="126"/>
  <c r="PH25" i="126"/>
  <c r="PB26" i="126"/>
  <c r="NH24" i="126"/>
  <c r="OH26" i="126"/>
  <c r="PO9" i="122"/>
  <c r="PN9" i="122"/>
  <c r="PO9" i="120"/>
  <c r="PN9" i="120"/>
  <c r="PM9" i="99"/>
  <c r="PN9" i="99"/>
  <c r="PP9" i="124"/>
  <c r="PO9" i="124"/>
  <c r="AJ28" i="127" l="1"/>
  <c r="OH27" i="126"/>
  <c r="NH25" i="126"/>
  <c r="PB27" i="126"/>
  <c r="PH26" i="126"/>
  <c r="QH26" i="126"/>
  <c r="NB25" i="126"/>
  <c r="NU27" i="126"/>
  <c r="PP24" i="126"/>
  <c r="NA23" i="126"/>
  <c r="RK34" i="126"/>
  <c r="RN33" i="126"/>
  <c r="AJ11" i="123"/>
  <c r="QJ9" i="124"/>
  <c r="QI9" i="124"/>
  <c r="QH9" i="124"/>
  <c r="AJ29" i="127" l="1"/>
  <c r="PP25" i="126"/>
  <c r="NA24" i="126"/>
  <c r="RK35" i="126"/>
  <c r="RN34" i="126"/>
  <c r="NU28" i="126"/>
  <c r="NB26" i="126"/>
  <c r="QH27" i="126"/>
  <c r="PH27" i="126"/>
  <c r="PB28" i="126"/>
  <c r="NH26" i="126"/>
  <c r="OH28" i="126"/>
  <c r="OF42" i="122"/>
  <c r="OS42" i="122"/>
  <c r="NF42" i="122"/>
  <c r="AJ30" i="127" l="1"/>
  <c r="OH29" i="126"/>
  <c r="NH27" i="126"/>
  <c r="PH28" i="126"/>
  <c r="PB29" i="126"/>
  <c r="QH28" i="126"/>
  <c r="NB27" i="126"/>
  <c r="NU29" i="126"/>
  <c r="RK36" i="126"/>
  <c r="RN35" i="126"/>
  <c r="PP26" i="126"/>
  <c r="NA25" i="126"/>
  <c r="AK11" i="125"/>
  <c r="AJ11" i="125"/>
  <c r="AJ31" i="127" l="1"/>
  <c r="RK37" i="126"/>
  <c r="RN36" i="126"/>
  <c r="QH29" i="126"/>
  <c r="NB28" i="126"/>
  <c r="NA26" i="126"/>
  <c r="PP27" i="126"/>
  <c r="NU30" i="126"/>
  <c r="PH29" i="126"/>
  <c r="PB30" i="126"/>
  <c r="NH28" i="126"/>
  <c r="OH30" i="126"/>
  <c r="BP13" i="125"/>
  <c r="BP14" i="125"/>
  <c r="BP15" i="125"/>
  <c r="BP16" i="125"/>
  <c r="BP17" i="125"/>
  <c r="BP18" i="125"/>
  <c r="BP19" i="125"/>
  <c r="BP20" i="125"/>
  <c r="BP21" i="125"/>
  <c r="BP22" i="125"/>
  <c r="BP23" i="125"/>
  <c r="BP24" i="125"/>
  <c r="BP25" i="125"/>
  <c r="BP26" i="125"/>
  <c r="BP27" i="125"/>
  <c r="BP28" i="125"/>
  <c r="BP29" i="125"/>
  <c r="BP30" i="125"/>
  <c r="BP31" i="125"/>
  <c r="BP32" i="125"/>
  <c r="BP33" i="125"/>
  <c r="BP34" i="125"/>
  <c r="BP35" i="125"/>
  <c r="BP36" i="125"/>
  <c r="BP37" i="125"/>
  <c r="BP38" i="125"/>
  <c r="BP39" i="125"/>
  <c r="BP40" i="125"/>
  <c r="BP41" i="125"/>
  <c r="BP42" i="125"/>
  <c r="BP12" i="125"/>
  <c r="AJ32" i="127" l="1"/>
  <c r="NH29" i="126"/>
  <c r="OH31" i="126"/>
  <c r="PB31" i="126"/>
  <c r="PH30" i="126"/>
  <c r="NU31" i="126"/>
  <c r="NA27" i="126"/>
  <c r="PP28" i="126"/>
  <c r="QH30" i="126"/>
  <c r="NB29" i="126"/>
  <c r="RK38" i="126"/>
  <c r="RN37" i="126"/>
  <c r="C44" i="123"/>
  <c r="CN39" i="122"/>
  <c r="CN38" i="122"/>
  <c r="CN37" i="122"/>
  <c r="CN36" i="122"/>
  <c r="CN35" i="122"/>
  <c r="CN34" i="122"/>
  <c r="CN33" i="122"/>
  <c r="CN32" i="122"/>
  <c r="CN31" i="122"/>
  <c r="CN30" i="122"/>
  <c r="CN29" i="122"/>
  <c r="CN28" i="122"/>
  <c r="CN27" i="122"/>
  <c r="CN26" i="122"/>
  <c r="CN25" i="122"/>
  <c r="CN24" i="122"/>
  <c r="CN23" i="122"/>
  <c r="CN22" i="122"/>
  <c r="CN21" i="122"/>
  <c r="CN20" i="122"/>
  <c r="CN19" i="122"/>
  <c r="CN18" i="122"/>
  <c r="CN17" i="122"/>
  <c r="CN16" i="122"/>
  <c r="CN15" i="122"/>
  <c r="CN14" i="122"/>
  <c r="CN13" i="122"/>
  <c r="CN12" i="122"/>
  <c r="CN11" i="122"/>
  <c r="CN10" i="122"/>
  <c r="AJ33" i="127" l="1"/>
  <c r="RN38" i="126"/>
  <c r="RK39" i="126"/>
  <c r="NA28" i="126"/>
  <c r="PP29" i="126"/>
  <c r="NU32" i="126"/>
  <c r="OH32" i="126"/>
  <c r="NH30" i="126"/>
  <c r="QH31" i="126"/>
  <c r="NB30" i="126"/>
  <c r="PH31" i="126"/>
  <c r="PB32" i="126"/>
  <c r="X42" i="122"/>
  <c r="AA42" i="122"/>
  <c r="W42" i="122"/>
  <c r="AJ34" i="127" l="1"/>
  <c r="PB33" i="126"/>
  <c r="PH32" i="126"/>
  <c r="QH32" i="126"/>
  <c r="NB31" i="126"/>
  <c r="NH31" i="126"/>
  <c r="OH33" i="126"/>
  <c r="NU33" i="126"/>
  <c r="NA29" i="126"/>
  <c r="PP30" i="126"/>
  <c r="RK40" i="126"/>
  <c r="RN40" i="126" s="1"/>
  <c r="RN39" i="126"/>
  <c r="BS11" i="125"/>
  <c r="AX22" i="123"/>
  <c r="AJ12" i="123"/>
  <c r="AJ13" i="123" s="1"/>
  <c r="AJ14" i="123" s="1"/>
  <c r="AJ15" i="123" s="1"/>
  <c r="AJ16" i="123" s="1"/>
  <c r="AJ17" i="123" s="1"/>
  <c r="AJ18" i="123" s="1"/>
  <c r="AJ19" i="123" s="1"/>
  <c r="AJ20" i="123" s="1"/>
  <c r="AJ21" i="123" s="1"/>
  <c r="AJ22" i="123" s="1"/>
  <c r="AJ23" i="123" s="1"/>
  <c r="AJ24" i="123" s="1"/>
  <c r="AJ25" i="123" s="1"/>
  <c r="AJ26" i="123" s="1"/>
  <c r="AJ27" i="123" s="1"/>
  <c r="AJ28" i="123" s="1"/>
  <c r="AJ29" i="123" s="1"/>
  <c r="AJ30" i="123" s="1"/>
  <c r="AJ31" i="123" s="1"/>
  <c r="AJ32" i="123" s="1"/>
  <c r="AJ33" i="123" s="1"/>
  <c r="AJ34" i="123" s="1"/>
  <c r="AJ35" i="123" s="1"/>
  <c r="AJ36" i="123" s="1"/>
  <c r="AJ37" i="123" s="1"/>
  <c r="AJ38" i="123" s="1"/>
  <c r="AJ39" i="123" s="1"/>
  <c r="AJ40" i="123" s="1"/>
  <c r="AJ41" i="123" s="1"/>
  <c r="AJ42" i="123" s="1"/>
  <c r="OP9" i="124"/>
  <c r="OC9" i="124"/>
  <c r="OA9" i="124"/>
  <c r="NQ9" i="124"/>
  <c r="NR9" i="124"/>
  <c r="NS9" i="124"/>
  <c r="ND9" i="124"/>
  <c r="D130" i="125"/>
  <c r="C130" i="125"/>
  <c r="D129" i="125"/>
  <c r="C129" i="125"/>
  <c r="D128" i="125"/>
  <c r="C128" i="125"/>
  <c r="D127" i="125"/>
  <c r="C127" i="125"/>
  <c r="D126" i="125"/>
  <c r="C126" i="125"/>
  <c r="D125" i="125"/>
  <c r="C125" i="125"/>
  <c r="D124" i="125"/>
  <c r="C124" i="125"/>
  <c r="D123" i="125"/>
  <c r="C123" i="125"/>
  <c r="D122" i="125"/>
  <c r="C122" i="125"/>
  <c r="D121" i="125"/>
  <c r="C121" i="125"/>
  <c r="D120" i="125"/>
  <c r="C120" i="125"/>
  <c r="D119" i="125"/>
  <c r="C119" i="125"/>
  <c r="D118" i="125"/>
  <c r="C118" i="125"/>
  <c r="D117" i="125"/>
  <c r="C117" i="125"/>
  <c r="D116" i="125"/>
  <c r="C116" i="125"/>
  <c r="D115" i="125"/>
  <c r="C115" i="125"/>
  <c r="D114" i="125"/>
  <c r="C114" i="125"/>
  <c r="D113" i="125"/>
  <c r="C113" i="125"/>
  <c r="D112" i="125"/>
  <c r="C112" i="125"/>
  <c r="D111" i="125"/>
  <c r="C111" i="125"/>
  <c r="D110" i="125"/>
  <c r="C110" i="125"/>
  <c r="D109" i="125"/>
  <c r="C109" i="125"/>
  <c r="D108" i="125"/>
  <c r="C108" i="125"/>
  <c r="D107" i="125"/>
  <c r="C107" i="125"/>
  <c r="D106" i="125"/>
  <c r="C106" i="125"/>
  <c r="D105" i="125"/>
  <c r="C105" i="125"/>
  <c r="D104" i="125"/>
  <c r="C104" i="125"/>
  <c r="D103" i="125"/>
  <c r="C103" i="125"/>
  <c r="D102" i="125"/>
  <c r="C102" i="125"/>
  <c r="D101" i="125"/>
  <c r="C101" i="125"/>
  <c r="O100" i="125"/>
  <c r="O101" i="125" s="1"/>
  <c r="O102" i="125" s="1"/>
  <c r="O103" i="125" s="1"/>
  <c r="O104" i="125" s="1"/>
  <c r="O105" i="125" s="1"/>
  <c r="O106" i="125" s="1"/>
  <c r="O107" i="125" s="1"/>
  <c r="O108" i="125" s="1"/>
  <c r="O109" i="125" s="1"/>
  <c r="O110" i="125" s="1"/>
  <c r="O111" i="125" s="1"/>
  <c r="O112" i="125" s="1"/>
  <c r="O113" i="125" s="1"/>
  <c r="O114" i="125" s="1"/>
  <c r="O115" i="125" s="1"/>
  <c r="O116" i="125" s="1"/>
  <c r="O117" i="125" s="1"/>
  <c r="O118" i="125" s="1"/>
  <c r="O119" i="125" s="1"/>
  <c r="O120" i="125" s="1"/>
  <c r="O121" i="125" s="1"/>
  <c r="O122" i="125" s="1"/>
  <c r="O123" i="125" s="1"/>
  <c r="O124" i="125" s="1"/>
  <c r="O125" i="125" s="1"/>
  <c r="O126" i="125" s="1"/>
  <c r="O127" i="125" s="1"/>
  <c r="O128" i="125" s="1"/>
  <c r="O129" i="125" s="1"/>
  <c r="O130" i="125" s="1"/>
  <c r="D100" i="125"/>
  <c r="C100" i="125"/>
  <c r="S45" i="125"/>
  <c r="C45" i="125"/>
  <c r="O173" i="126" s="1"/>
  <c r="BQ43" i="125"/>
  <c r="BQ44" i="125" s="1"/>
  <c r="BQ46" i="125" s="1"/>
  <c r="BQ47" i="125" s="1"/>
  <c r="BO43" i="125"/>
  <c r="BN43" i="125"/>
  <c r="BN44" i="125" s="1"/>
  <c r="BN46" i="125" s="1"/>
  <c r="BN47" i="125" s="1"/>
  <c r="BM43" i="125"/>
  <c r="BM44" i="125" s="1"/>
  <c r="BL43" i="125"/>
  <c r="BL44" i="125" s="1"/>
  <c r="BK43" i="125"/>
  <c r="BK44" i="125" s="1"/>
  <c r="BK46" i="125" s="1"/>
  <c r="BK47" i="125" s="1"/>
  <c r="AP43" i="125"/>
  <c r="AP44" i="125" s="1"/>
  <c r="AO43" i="125"/>
  <c r="AO44" i="125" s="1"/>
  <c r="AI43" i="125"/>
  <c r="AI44" i="125" s="1"/>
  <c r="AD43" i="125"/>
  <c r="AD44" i="125" s="1"/>
  <c r="AC43" i="125"/>
  <c r="X43" i="125"/>
  <c r="P43" i="125"/>
  <c r="P44" i="125" s="1"/>
  <c r="O43" i="125"/>
  <c r="I43" i="125"/>
  <c r="I44" i="125" s="1"/>
  <c r="H43" i="125"/>
  <c r="H44" i="125" s="1"/>
  <c r="G7" i="125" s="1"/>
  <c r="AQ42" i="125"/>
  <c r="C42" i="125"/>
  <c r="AQ41" i="125"/>
  <c r="C41" i="125"/>
  <c r="AQ40" i="125"/>
  <c r="C40" i="125"/>
  <c r="AQ39" i="125"/>
  <c r="C39" i="125"/>
  <c r="AQ38" i="125"/>
  <c r="C38" i="125"/>
  <c r="AQ37" i="125"/>
  <c r="C37" i="125"/>
  <c r="AQ36" i="125"/>
  <c r="C36" i="125"/>
  <c r="AQ35" i="125"/>
  <c r="C35" i="125"/>
  <c r="AQ34" i="125"/>
  <c r="C34" i="125"/>
  <c r="AQ33" i="125"/>
  <c r="C33" i="125"/>
  <c r="AQ32" i="125"/>
  <c r="C32" i="125"/>
  <c r="AQ31" i="125"/>
  <c r="C31" i="125"/>
  <c r="AQ30" i="125"/>
  <c r="C30" i="125"/>
  <c r="AQ29" i="125"/>
  <c r="C29" i="125"/>
  <c r="AQ28" i="125"/>
  <c r="C28" i="125"/>
  <c r="AQ27" i="125"/>
  <c r="C27" i="125"/>
  <c r="AQ26" i="125"/>
  <c r="C26" i="125"/>
  <c r="AQ25" i="125"/>
  <c r="C25" i="125"/>
  <c r="AQ24" i="125"/>
  <c r="C24" i="125"/>
  <c r="AQ23" i="125"/>
  <c r="C23" i="125"/>
  <c r="AQ22" i="125"/>
  <c r="C22" i="125"/>
  <c r="AQ21" i="125"/>
  <c r="C21" i="125"/>
  <c r="AQ20" i="125"/>
  <c r="C20" i="125"/>
  <c r="AQ19" i="125"/>
  <c r="C19" i="125"/>
  <c r="AQ18" i="125"/>
  <c r="C18" i="125"/>
  <c r="AQ17" i="125"/>
  <c r="C17" i="125"/>
  <c r="AQ16" i="125"/>
  <c r="C16" i="125"/>
  <c r="AQ15" i="125"/>
  <c r="C15" i="125"/>
  <c r="AQ14" i="125"/>
  <c r="C14" i="125"/>
  <c r="AQ13" i="125"/>
  <c r="C13" i="125"/>
  <c r="BP43" i="125"/>
  <c r="BP44" i="125" s="1"/>
  <c r="BP46" i="125" s="1"/>
  <c r="BP47" i="125" s="1"/>
  <c r="C12" i="125"/>
  <c r="RQ40" i="124"/>
  <c r="PZ39" i="124"/>
  <c r="PZ38" i="124"/>
  <c r="RQ37" i="124"/>
  <c r="RQ36" i="124"/>
  <c r="RQ35" i="124"/>
  <c r="RQ33" i="124"/>
  <c r="RQ31" i="124"/>
  <c r="RQ30" i="124"/>
  <c r="PZ29" i="124"/>
  <c r="RQ28" i="124"/>
  <c r="RQ27" i="124"/>
  <c r="RQ26" i="124"/>
  <c r="PZ25" i="124"/>
  <c r="RQ24" i="124"/>
  <c r="RQ23" i="124"/>
  <c r="PZ22" i="124"/>
  <c r="RQ21" i="124"/>
  <c r="PZ20" i="124"/>
  <c r="RQ19" i="124"/>
  <c r="RQ18" i="124"/>
  <c r="RQ17" i="124"/>
  <c r="RQ16" i="124"/>
  <c r="RQ15" i="124"/>
  <c r="PZ14" i="124"/>
  <c r="RQ13" i="124"/>
  <c r="RQ12" i="124"/>
  <c r="QA40" i="124"/>
  <c r="QA39" i="124"/>
  <c r="QA38" i="124"/>
  <c r="QA37" i="124"/>
  <c r="QA36" i="124"/>
  <c r="QA35" i="124"/>
  <c r="QA34" i="124"/>
  <c r="QA33" i="124"/>
  <c r="QA32" i="124"/>
  <c r="QA31" i="124"/>
  <c r="QA30" i="124"/>
  <c r="QA29" i="124"/>
  <c r="QA28" i="124"/>
  <c r="QA27" i="124"/>
  <c r="QA26" i="124"/>
  <c r="QA25" i="124"/>
  <c r="QA24" i="124"/>
  <c r="QA23" i="124"/>
  <c r="QA22" i="124"/>
  <c r="QA21" i="124"/>
  <c r="QA20" i="124"/>
  <c r="QA19" i="124"/>
  <c r="QA18" i="124"/>
  <c r="QA17" i="124"/>
  <c r="QA16" i="124"/>
  <c r="QA15" i="124"/>
  <c r="QA14" i="124"/>
  <c r="QA13" i="124"/>
  <c r="QA12" i="124"/>
  <c r="QA11" i="124"/>
  <c r="ON17" i="124"/>
  <c r="PN40" i="124"/>
  <c r="SH40" i="124" s="1"/>
  <c r="PN39" i="124"/>
  <c r="SH39" i="124" s="1"/>
  <c r="PN38" i="124"/>
  <c r="SH38" i="124" s="1"/>
  <c r="PN37" i="124"/>
  <c r="SH37" i="124" s="1"/>
  <c r="PN36" i="124"/>
  <c r="SH36" i="124" s="1"/>
  <c r="PN35" i="124"/>
  <c r="SH35" i="124" s="1"/>
  <c r="PN34" i="124"/>
  <c r="SH34" i="124" s="1"/>
  <c r="PN33" i="124"/>
  <c r="SH33" i="124" s="1"/>
  <c r="PN32" i="124"/>
  <c r="SH32" i="124" s="1"/>
  <c r="PN31" i="124"/>
  <c r="SH31" i="124" s="1"/>
  <c r="PN30" i="124"/>
  <c r="SH30" i="124" s="1"/>
  <c r="PN29" i="124"/>
  <c r="SH29" i="124" s="1"/>
  <c r="PN28" i="124"/>
  <c r="SH28" i="124" s="1"/>
  <c r="PN27" i="124"/>
  <c r="SH27" i="124" s="1"/>
  <c r="PN26" i="124"/>
  <c r="SH26" i="124" s="1"/>
  <c r="PN25" i="124"/>
  <c r="SH25" i="124" s="1"/>
  <c r="PN24" i="124"/>
  <c r="SH24" i="124" s="1"/>
  <c r="PN23" i="124"/>
  <c r="SH23" i="124" s="1"/>
  <c r="PN22" i="124"/>
  <c r="SH22" i="124" s="1"/>
  <c r="PN21" i="124"/>
  <c r="SH21" i="124" s="1"/>
  <c r="PN20" i="124"/>
  <c r="SH20" i="124" s="1"/>
  <c r="PN19" i="124"/>
  <c r="SH19" i="124" s="1"/>
  <c r="PN18" i="124"/>
  <c r="SH18" i="124" s="1"/>
  <c r="PN17" i="124"/>
  <c r="SH17" i="124" s="1"/>
  <c r="PN16" i="124"/>
  <c r="SH16" i="124" s="1"/>
  <c r="PN15" i="124"/>
  <c r="SH15" i="124" s="1"/>
  <c r="PN14" i="124"/>
  <c r="SH14" i="124" s="1"/>
  <c r="PN13" i="124"/>
  <c r="SH13" i="124" s="1"/>
  <c r="PN12" i="124"/>
  <c r="SH12" i="124" s="1"/>
  <c r="PN11" i="124"/>
  <c r="SH11" i="124" s="1"/>
  <c r="GE40" i="124" a="1"/>
  <c r="GE40" i="124" s="1"/>
  <c r="GI40" i="124" s="1"/>
  <c r="FE40" i="124" s="1"/>
  <c r="GI39" i="124"/>
  <c r="FE39" i="124" s="1"/>
  <c r="GI38" i="124"/>
  <c r="FE38" i="124" s="1"/>
  <c r="GI37" i="124"/>
  <c r="FE37" i="124" s="1"/>
  <c r="GI36" i="124"/>
  <c r="FE36" i="124" s="1"/>
  <c r="GI35" i="124"/>
  <c r="FE35" i="124" s="1"/>
  <c r="GI34" i="124"/>
  <c r="FE34" i="124" s="1"/>
  <c r="GI33" i="124"/>
  <c r="FE33" i="124" s="1"/>
  <c r="GI32" i="124"/>
  <c r="FE32" i="124" s="1"/>
  <c r="GI31" i="124"/>
  <c r="FE31" i="124" s="1"/>
  <c r="GI30" i="124"/>
  <c r="FE30" i="124" s="1"/>
  <c r="GI29" i="124"/>
  <c r="FE29" i="124" s="1"/>
  <c r="GI28" i="124"/>
  <c r="FE28" i="124" s="1"/>
  <c r="GI27" i="124"/>
  <c r="FE27" i="124" s="1"/>
  <c r="GI26" i="124"/>
  <c r="FE26" i="124" s="1"/>
  <c r="GI25" i="124"/>
  <c r="FE25" i="124" s="1"/>
  <c r="GI24" i="124"/>
  <c r="FE24" i="124" s="1"/>
  <c r="GI23" i="124"/>
  <c r="FE23" i="124" s="1"/>
  <c r="GI22" i="124"/>
  <c r="FE22" i="124" s="1"/>
  <c r="GI21" i="124"/>
  <c r="FE21" i="124" s="1"/>
  <c r="GI20" i="124"/>
  <c r="FE20" i="124" s="1"/>
  <c r="GI19" i="124"/>
  <c r="FE19" i="124" s="1"/>
  <c r="GI18" i="124"/>
  <c r="FE18" i="124" s="1"/>
  <c r="GI17" i="124"/>
  <c r="FE17" i="124" s="1"/>
  <c r="GI16" i="124"/>
  <c r="FE16" i="124" s="1"/>
  <c r="GI15" i="124"/>
  <c r="FE15" i="124" s="1"/>
  <c r="GI14" i="124"/>
  <c r="FE14" i="124" s="1"/>
  <c r="GI13" i="124"/>
  <c r="FE13" i="124" s="1"/>
  <c r="GI12" i="124"/>
  <c r="FE12" i="124" s="1"/>
  <c r="GI11" i="124"/>
  <c r="FE11" i="124" s="1"/>
  <c r="CX40" i="124"/>
  <c r="CX39" i="124"/>
  <c r="CX38" i="124"/>
  <c r="CX37" i="124"/>
  <c r="CX35" i="124"/>
  <c r="CX33" i="124"/>
  <c r="CX32" i="124"/>
  <c r="CX31" i="124"/>
  <c r="CX30" i="124"/>
  <c r="CX29" i="124"/>
  <c r="CX28" i="124"/>
  <c r="CX27" i="124"/>
  <c r="CX26" i="124"/>
  <c r="CX25" i="124"/>
  <c r="CX23" i="124"/>
  <c r="CX21" i="124"/>
  <c r="CX20" i="124"/>
  <c r="CX19" i="124"/>
  <c r="CX18" i="124"/>
  <c r="CX17" i="124"/>
  <c r="CX16" i="124"/>
  <c r="CX15" i="124"/>
  <c r="CX14" i="124"/>
  <c r="CX13" i="124"/>
  <c r="CX12" i="124"/>
  <c r="CX11" i="124"/>
  <c r="AB40" i="124"/>
  <c r="T40" i="124"/>
  <c r="BE40" i="124"/>
  <c r="BR39" i="124"/>
  <c r="BO39" i="124"/>
  <c r="BE39" i="124"/>
  <c r="AB38" i="124"/>
  <c r="T38" i="124"/>
  <c r="BE38" i="124"/>
  <c r="AB37" i="124"/>
  <c r="BO37" i="124"/>
  <c r="BE37" i="124"/>
  <c r="AY37" i="124"/>
  <c r="BR36" i="124"/>
  <c r="T36" i="124"/>
  <c r="BE36" i="124"/>
  <c r="AB35" i="124"/>
  <c r="BO35" i="124"/>
  <c r="BE35" i="124"/>
  <c r="AY35" i="124"/>
  <c r="AB34" i="124"/>
  <c r="BO34" i="124"/>
  <c r="BE34" i="124"/>
  <c r="AB33" i="124"/>
  <c r="T33" i="124"/>
  <c r="BE33" i="124"/>
  <c r="AB32" i="124"/>
  <c r="T32" i="124"/>
  <c r="BE32" i="124"/>
  <c r="AY32" i="124"/>
  <c r="BR31" i="124"/>
  <c r="BO31" i="124"/>
  <c r="BE31" i="124"/>
  <c r="BR30" i="124"/>
  <c r="T30" i="124"/>
  <c r="BE30" i="124"/>
  <c r="AB29" i="124"/>
  <c r="BO29" i="124"/>
  <c r="BE29" i="124"/>
  <c r="AB28" i="124"/>
  <c r="BO28" i="124"/>
  <c r="BE28" i="124"/>
  <c r="BO27" i="124"/>
  <c r="BE27" i="124"/>
  <c r="AY27" i="124"/>
  <c r="AB26" i="124"/>
  <c r="T26" i="124"/>
  <c r="BE26" i="124"/>
  <c r="AB25" i="124"/>
  <c r="BO25" i="124"/>
  <c r="BE25" i="124"/>
  <c r="BR24" i="124"/>
  <c r="T24" i="124"/>
  <c r="BE24" i="124"/>
  <c r="BR23" i="124"/>
  <c r="BO23" i="124"/>
  <c r="BE23" i="124"/>
  <c r="AB22" i="124"/>
  <c r="T22" i="124"/>
  <c r="BE22" i="124"/>
  <c r="BO21" i="124"/>
  <c r="BE21" i="124"/>
  <c r="BR20" i="124"/>
  <c r="BO20" i="124"/>
  <c r="BE20" i="124"/>
  <c r="AB19" i="124"/>
  <c r="BO19" i="124"/>
  <c r="BE19" i="124"/>
  <c r="AY19" i="124"/>
  <c r="T18" i="124"/>
  <c r="BE18" i="124"/>
  <c r="AY18" i="124"/>
  <c r="AB17" i="124"/>
  <c r="BO17" i="124"/>
  <c r="AY17" i="124"/>
  <c r="AB16" i="124"/>
  <c r="BO16" i="124"/>
  <c r="BE16" i="124"/>
  <c r="AB15" i="124"/>
  <c r="BO15" i="124"/>
  <c r="BE15" i="124"/>
  <c r="AB14" i="124"/>
  <c r="BO14" i="124"/>
  <c r="BE14" i="124"/>
  <c r="AB13" i="124"/>
  <c r="T13" i="124"/>
  <c r="BE13" i="124"/>
  <c r="AB12" i="124"/>
  <c r="T12" i="124"/>
  <c r="AY12" i="124"/>
  <c r="BR11" i="124"/>
  <c r="BO11" i="124"/>
  <c r="BE11" i="124"/>
  <c r="AY11" i="124"/>
  <c r="AB10" i="124"/>
  <c r="JJ224" i="124"/>
  <c r="BZ211" i="124"/>
  <c r="BW210" i="124"/>
  <c r="BQ210" i="124"/>
  <c r="BM210" i="124"/>
  <c r="P178" i="124"/>
  <c r="P179" i="124" s="1"/>
  <c r="P180" i="124" s="1"/>
  <c r="P181" i="124" s="1"/>
  <c r="P182" i="124" s="1"/>
  <c r="P183" i="124" s="1"/>
  <c r="P184" i="124" s="1"/>
  <c r="P185" i="124" s="1"/>
  <c r="P186" i="124" s="1"/>
  <c r="P187" i="124" s="1"/>
  <c r="P188" i="124" s="1"/>
  <c r="P189" i="124" s="1"/>
  <c r="P190" i="124" s="1"/>
  <c r="P191" i="124" s="1"/>
  <c r="P192" i="124" s="1"/>
  <c r="P193" i="124" s="1"/>
  <c r="P194" i="124" s="1"/>
  <c r="P195" i="124" s="1"/>
  <c r="P196" i="124" s="1"/>
  <c r="P197" i="124" s="1"/>
  <c r="P198" i="124" s="1"/>
  <c r="P199" i="124" s="1"/>
  <c r="P200" i="124" s="1"/>
  <c r="P201" i="124" s="1"/>
  <c r="P202" i="124" s="1"/>
  <c r="P203" i="124" s="1"/>
  <c r="P204" i="124" s="1"/>
  <c r="P205" i="124" s="1"/>
  <c r="P206" i="124" s="1"/>
  <c r="P207" i="124" s="1"/>
  <c r="P208" i="124" s="1"/>
  <c r="O178" i="124"/>
  <c r="O179" i="124" s="1"/>
  <c r="O180" i="124" s="1"/>
  <c r="O181" i="124" s="1"/>
  <c r="O182" i="124" s="1"/>
  <c r="O183" i="124" s="1"/>
  <c r="O184" i="124" s="1"/>
  <c r="O185" i="124" s="1"/>
  <c r="O186" i="124" s="1"/>
  <c r="O187" i="124" s="1"/>
  <c r="O188" i="124" s="1"/>
  <c r="O189" i="124" s="1"/>
  <c r="O190" i="124" s="1"/>
  <c r="O191" i="124" s="1"/>
  <c r="O192" i="124" s="1"/>
  <c r="O193" i="124" s="1"/>
  <c r="O194" i="124" s="1"/>
  <c r="O195" i="124" s="1"/>
  <c r="O196" i="124" s="1"/>
  <c r="O197" i="124" s="1"/>
  <c r="O198" i="124" s="1"/>
  <c r="O199" i="124" s="1"/>
  <c r="O200" i="124" s="1"/>
  <c r="O201" i="124" s="1"/>
  <c r="O202" i="124" s="1"/>
  <c r="O203" i="124" s="1"/>
  <c r="O204" i="124" s="1"/>
  <c r="O205" i="124" s="1"/>
  <c r="O206" i="124" s="1"/>
  <c r="O207" i="124" s="1"/>
  <c r="O208" i="124" s="1"/>
  <c r="Q177" i="124"/>
  <c r="T137" i="124"/>
  <c r="P136" i="124"/>
  <c r="P137" i="124" s="1"/>
  <c r="P138" i="124" s="1"/>
  <c r="P139" i="124" s="1"/>
  <c r="P140" i="124" s="1"/>
  <c r="P141" i="124" s="1"/>
  <c r="P142" i="124" s="1"/>
  <c r="P143" i="124" s="1"/>
  <c r="P144" i="124" s="1"/>
  <c r="P145" i="124" s="1"/>
  <c r="P146" i="124" s="1"/>
  <c r="P147" i="124" s="1"/>
  <c r="P148" i="124" s="1"/>
  <c r="P149" i="124" s="1"/>
  <c r="P150" i="124" s="1"/>
  <c r="P151" i="124" s="1"/>
  <c r="P152" i="124" s="1"/>
  <c r="P153" i="124" s="1"/>
  <c r="P154" i="124" s="1"/>
  <c r="P155" i="124" s="1"/>
  <c r="P156" i="124" s="1"/>
  <c r="P157" i="124" s="1"/>
  <c r="P158" i="124" s="1"/>
  <c r="P159" i="124" s="1"/>
  <c r="P160" i="124" s="1"/>
  <c r="P161" i="124" s="1"/>
  <c r="P162" i="124" s="1"/>
  <c r="P163" i="124" s="1"/>
  <c r="P164" i="124" s="1"/>
  <c r="P165" i="124" s="1"/>
  <c r="P166" i="124" s="1"/>
  <c r="O136" i="124"/>
  <c r="O137" i="124" s="1"/>
  <c r="O138" i="124" s="1"/>
  <c r="O139" i="124" s="1"/>
  <c r="O140" i="124" s="1"/>
  <c r="O141" i="124" s="1"/>
  <c r="O142" i="124" s="1"/>
  <c r="O143" i="124" s="1"/>
  <c r="O144" i="124" s="1"/>
  <c r="O145" i="124" s="1"/>
  <c r="O146" i="124" s="1"/>
  <c r="O147" i="124" s="1"/>
  <c r="O148" i="124" s="1"/>
  <c r="O149" i="124" s="1"/>
  <c r="O150" i="124" s="1"/>
  <c r="O151" i="124" s="1"/>
  <c r="O152" i="124" s="1"/>
  <c r="O153" i="124" s="1"/>
  <c r="O154" i="124" s="1"/>
  <c r="O155" i="124" s="1"/>
  <c r="O156" i="124" s="1"/>
  <c r="O157" i="124" s="1"/>
  <c r="O158" i="124" s="1"/>
  <c r="O159" i="124" s="1"/>
  <c r="O160" i="124" s="1"/>
  <c r="O161" i="124" s="1"/>
  <c r="O162" i="124" s="1"/>
  <c r="O163" i="124" s="1"/>
  <c r="O164" i="124" s="1"/>
  <c r="O165" i="124" s="1"/>
  <c r="O166" i="124" s="1"/>
  <c r="X95" i="124"/>
  <c r="X96" i="124" s="1"/>
  <c r="X97" i="124" s="1"/>
  <c r="X98" i="124" s="1"/>
  <c r="X99" i="124" s="1"/>
  <c r="X100" i="124" s="1"/>
  <c r="X101" i="124" s="1"/>
  <c r="X102" i="124" s="1"/>
  <c r="X103" i="124" s="1"/>
  <c r="X104" i="124" s="1"/>
  <c r="X105" i="124" s="1"/>
  <c r="X106" i="124" s="1"/>
  <c r="X107" i="124" s="1"/>
  <c r="X108" i="124" s="1"/>
  <c r="X109" i="124" s="1"/>
  <c r="X110" i="124" s="1"/>
  <c r="X111" i="124" s="1"/>
  <c r="X112" i="124" s="1"/>
  <c r="X113" i="124" s="1"/>
  <c r="X114" i="124" s="1"/>
  <c r="X115" i="124" s="1"/>
  <c r="X116" i="124" s="1"/>
  <c r="X117" i="124" s="1"/>
  <c r="X118" i="124" s="1"/>
  <c r="X119" i="124" s="1"/>
  <c r="X120" i="124" s="1"/>
  <c r="X121" i="124" s="1"/>
  <c r="X122" i="124" s="1"/>
  <c r="X123" i="124" s="1"/>
  <c r="X124" i="124" s="1"/>
  <c r="X125" i="124" s="1"/>
  <c r="W95" i="124"/>
  <c r="W96" i="124" s="1"/>
  <c r="W97" i="124" s="1"/>
  <c r="W98" i="124" s="1"/>
  <c r="W99" i="124" s="1"/>
  <c r="W100" i="124" s="1"/>
  <c r="W101" i="124" s="1"/>
  <c r="W102" i="124" s="1"/>
  <c r="W103" i="124" s="1"/>
  <c r="W104" i="124" s="1"/>
  <c r="W105" i="124" s="1"/>
  <c r="W106" i="124" s="1"/>
  <c r="W107" i="124" s="1"/>
  <c r="W108" i="124" s="1"/>
  <c r="W109" i="124" s="1"/>
  <c r="W110" i="124" s="1"/>
  <c r="W111" i="124" s="1"/>
  <c r="W112" i="124" s="1"/>
  <c r="W113" i="124" s="1"/>
  <c r="W114" i="124" s="1"/>
  <c r="W115" i="124" s="1"/>
  <c r="W116" i="124" s="1"/>
  <c r="W117" i="124" s="1"/>
  <c r="W118" i="124" s="1"/>
  <c r="W119" i="124" s="1"/>
  <c r="W120" i="124" s="1"/>
  <c r="W121" i="124" s="1"/>
  <c r="W122" i="124" s="1"/>
  <c r="W123" i="124" s="1"/>
  <c r="W124" i="124" s="1"/>
  <c r="W125" i="124" s="1"/>
  <c r="T95" i="124"/>
  <c r="T96" i="124" s="1"/>
  <c r="T97" i="124" s="1"/>
  <c r="T98" i="124" s="1"/>
  <c r="T99" i="124" s="1"/>
  <c r="T100" i="124" s="1"/>
  <c r="T101" i="124" s="1"/>
  <c r="T102" i="124" s="1"/>
  <c r="T103" i="124" s="1"/>
  <c r="T104" i="124" s="1"/>
  <c r="T105" i="124" s="1"/>
  <c r="T106" i="124" s="1"/>
  <c r="T107" i="124" s="1"/>
  <c r="T108" i="124" s="1"/>
  <c r="T109" i="124" s="1"/>
  <c r="T110" i="124" s="1"/>
  <c r="T111" i="124" s="1"/>
  <c r="T112" i="124" s="1"/>
  <c r="T113" i="124" s="1"/>
  <c r="T114" i="124" s="1"/>
  <c r="T115" i="124" s="1"/>
  <c r="T116" i="124" s="1"/>
  <c r="T117" i="124" s="1"/>
  <c r="T118" i="124" s="1"/>
  <c r="T119" i="124" s="1"/>
  <c r="T120" i="124" s="1"/>
  <c r="T121" i="124" s="1"/>
  <c r="T122" i="124" s="1"/>
  <c r="T123" i="124" s="1"/>
  <c r="T124" i="124" s="1"/>
  <c r="T125" i="124" s="1"/>
  <c r="S95" i="124"/>
  <c r="S96" i="124" s="1"/>
  <c r="S97" i="124" s="1"/>
  <c r="S98" i="124" s="1"/>
  <c r="S99" i="124" s="1"/>
  <c r="S100" i="124" s="1"/>
  <c r="S101" i="124" s="1"/>
  <c r="S102" i="124" s="1"/>
  <c r="S103" i="124" s="1"/>
  <c r="S104" i="124" s="1"/>
  <c r="S105" i="124" s="1"/>
  <c r="S106" i="124" s="1"/>
  <c r="S107" i="124" s="1"/>
  <c r="S108" i="124" s="1"/>
  <c r="S109" i="124" s="1"/>
  <c r="S110" i="124" s="1"/>
  <c r="S111" i="124" s="1"/>
  <c r="S112" i="124" s="1"/>
  <c r="S113" i="124" s="1"/>
  <c r="S114" i="124" s="1"/>
  <c r="S115" i="124" s="1"/>
  <c r="S116" i="124" s="1"/>
  <c r="S117" i="124" s="1"/>
  <c r="S118" i="124" s="1"/>
  <c r="S119" i="124" s="1"/>
  <c r="S120" i="124" s="1"/>
  <c r="S121" i="124" s="1"/>
  <c r="S122" i="124" s="1"/>
  <c r="S123" i="124" s="1"/>
  <c r="S124" i="124" s="1"/>
  <c r="S125" i="124" s="1"/>
  <c r="P95" i="124"/>
  <c r="P96" i="124" s="1"/>
  <c r="P97" i="124" s="1"/>
  <c r="P98" i="124" s="1"/>
  <c r="P99" i="124" s="1"/>
  <c r="P100" i="124" s="1"/>
  <c r="P101" i="124" s="1"/>
  <c r="P102" i="124" s="1"/>
  <c r="P103" i="124" s="1"/>
  <c r="P104" i="124" s="1"/>
  <c r="P105" i="124" s="1"/>
  <c r="P106" i="124" s="1"/>
  <c r="P107" i="124" s="1"/>
  <c r="P108" i="124" s="1"/>
  <c r="P109" i="124" s="1"/>
  <c r="P110" i="124" s="1"/>
  <c r="P111" i="124" s="1"/>
  <c r="P112" i="124" s="1"/>
  <c r="P113" i="124" s="1"/>
  <c r="P114" i="124" s="1"/>
  <c r="P115" i="124" s="1"/>
  <c r="P116" i="124" s="1"/>
  <c r="P117" i="124" s="1"/>
  <c r="P118" i="124" s="1"/>
  <c r="P119" i="124" s="1"/>
  <c r="P120" i="124" s="1"/>
  <c r="P121" i="124" s="1"/>
  <c r="P122" i="124" s="1"/>
  <c r="P123" i="124" s="1"/>
  <c r="P124" i="124" s="1"/>
  <c r="P125" i="124" s="1"/>
  <c r="O95" i="124"/>
  <c r="O96" i="124" s="1"/>
  <c r="O97" i="124" s="1"/>
  <c r="O98" i="124" s="1"/>
  <c r="O99" i="124" s="1"/>
  <c r="O100" i="124" s="1"/>
  <c r="O101" i="124" s="1"/>
  <c r="O102" i="124" s="1"/>
  <c r="O103" i="124" s="1"/>
  <c r="O104" i="124" s="1"/>
  <c r="O105" i="124" s="1"/>
  <c r="O106" i="124" s="1"/>
  <c r="O107" i="124" s="1"/>
  <c r="O108" i="124" s="1"/>
  <c r="O109" i="124" s="1"/>
  <c r="O110" i="124" s="1"/>
  <c r="O111" i="124" s="1"/>
  <c r="O112" i="124" s="1"/>
  <c r="O113" i="124" s="1"/>
  <c r="O114" i="124" s="1"/>
  <c r="O115" i="124" s="1"/>
  <c r="O116" i="124" s="1"/>
  <c r="O117" i="124" s="1"/>
  <c r="O118" i="124" s="1"/>
  <c r="O119" i="124" s="1"/>
  <c r="O120" i="124" s="1"/>
  <c r="O121" i="124" s="1"/>
  <c r="O122" i="124" s="1"/>
  <c r="O123" i="124" s="1"/>
  <c r="O124" i="124" s="1"/>
  <c r="O125" i="124" s="1"/>
  <c r="AB94" i="124"/>
  <c r="BF58" i="124"/>
  <c r="BF57" i="124"/>
  <c r="BF59" i="124" s="1"/>
  <c r="X53" i="124"/>
  <c r="X54" i="124" s="1"/>
  <c r="X55" i="124" s="1"/>
  <c r="X56" i="124" s="1"/>
  <c r="X57" i="124" s="1"/>
  <c r="X58" i="124" s="1"/>
  <c r="X59" i="124" s="1"/>
  <c r="X60" i="124" s="1"/>
  <c r="X61" i="124" s="1"/>
  <c r="X62" i="124" s="1"/>
  <c r="X63" i="124" s="1"/>
  <c r="X64" i="124" s="1"/>
  <c r="X65" i="124" s="1"/>
  <c r="X66" i="124" s="1"/>
  <c r="X67" i="124" s="1"/>
  <c r="X68" i="124" s="1"/>
  <c r="X69" i="124" s="1"/>
  <c r="X70" i="124" s="1"/>
  <c r="X71" i="124" s="1"/>
  <c r="X72" i="124" s="1"/>
  <c r="X73" i="124" s="1"/>
  <c r="X74" i="124" s="1"/>
  <c r="X75" i="124" s="1"/>
  <c r="X76" i="124" s="1"/>
  <c r="X77" i="124" s="1"/>
  <c r="X78" i="124" s="1"/>
  <c r="X79" i="124" s="1"/>
  <c r="X80" i="124" s="1"/>
  <c r="X81" i="124" s="1"/>
  <c r="X82" i="124" s="1"/>
  <c r="X83" i="124" s="1"/>
  <c r="W53" i="124"/>
  <c r="W54" i="124" s="1"/>
  <c r="W55" i="124" s="1"/>
  <c r="W56" i="124" s="1"/>
  <c r="W57" i="124" s="1"/>
  <c r="W58" i="124" s="1"/>
  <c r="W59" i="124" s="1"/>
  <c r="W60" i="124" s="1"/>
  <c r="W61" i="124" s="1"/>
  <c r="W62" i="124" s="1"/>
  <c r="W63" i="124" s="1"/>
  <c r="W64" i="124" s="1"/>
  <c r="W65" i="124" s="1"/>
  <c r="W66" i="124" s="1"/>
  <c r="W67" i="124" s="1"/>
  <c r="W68" i="124" s="1"/>
  <c r="W69" i="124" s="1"/>
  <c r="W70" i="124" s="1"/>
  <c r="W71" i="124" s="1"/>
  <c r="W72" i="124" s="1"/>
  <c r="W73" i="124" s="1"/>
  <c r="W74" i="124" s="1"/>
  <c r="W75" i="124" s="1"/>
  <c r="W76" i="124" s="1"/>
  <c r="W77" i="124" s="1"/>
  <c r="W78" i="124" s="1"/>
  <c r="W79" i="124" s="1"/>
  <c r="W80" i="124" s="1"/>
  <c r="W81" i="124" s="1"/>
  <c r="W82" i="124" s="1"/>
  <c r="W83" i="124" s="1"/>
  <c r="P53" i="124"/>
  <c r="P54" i="124" s="1"/>
  <c r="P55" i="124" s="1"/>
  <c r="P56" i="124" s="1"/>
  <c r="P57" i="124" s="1"/>
  <c r="P58" i="124" s="1"/>
  <c r="P59" i="124" s="1"/>
  <c r="P60" i="124" s="1"/>
  <c r="P61" i="124" s="1"/>
  <c r="P62" i="124" s="1"/>
  <c r="P63" i="124" s="1"/>
  <c r="P64" i="124" s="1"/>
  <c r="P65" i="124" s="1"/>
  <c r="P66" i="124" s="1"/>
  <c r="P67" i="124" s="1"/>
  <c r="P68" i="124" s="1"/>
  <c r="P69" i="124" s="1"/>
  <c r="P70" i="124" s="1"/>
  <c r="P71" i="124" s="1"/>
  <c r="P72" i="124" s="1"/>
  <c r="P73" i="124" s="1"/>
  <c r="P74" i="124" s="1"/>
  <c r="P75" i="124" s="1"/>
  <c r="P76" i="124" s="1"/>
  <c r="P77" i="124" s="1"/>
  <c r="P78" i="124" s="1"/>
  <c r="P79" i="124" s="1"/>
  <c r="P80" i="124" s="1"/>
  <c r="P81" i="124" s="1"/>
  <c r="P82" i="124" s="1"/>
  <c r="P83" i="124" s="1"/>
  <c r="O53" i="124"/>
  <c r="O54" i="124" s="1"/>
  <c r="O55" i="124" s="1"/>
  <c r="O56" i="124" s="1"/>
  <c r="O57" i="124" s="1"/>
  <c r="O58" i="124" s="1"/>
  <c r="O59" i="124" s="1"/>
  <c r="O60" i="124" s="1"/>
  <c r="O61" i="124" s="1"/>
  <c r="O62" i="124" s="1"/>
  <c r="O63" i="124" s="1"/>
  <c r="O64" i="124" s="1"/>
  <c r="O65" i="124" s="1"/>
  <c r="O66" i="124" s="1"/>
  <c r="O67" i="124" s="1"/>
  <c r="O68" i="124" s="1"/>
  <c r="O69" i="124" s="1"/>
  <c r="O70" i="124" s="1"/>
  <c r="O71" i="124" s="1"/>
  <c r="O72" i="124" s="1"/>
  <c r="O73" i="124" s="1"/>
  <c r="O74" i="124" s="1"/>
  <c r="O75" i="124" s="1"/>
  <c r="O76" i="124" s="1"/>
  <c r="O77" i="124" s="1"/>
  <c r="O78" i="124" s="1"/>
  <c r="O79" i="124" s="1"/>
  <c r="O80" i="124" s="1"/>
  <c r="O81" i="124" s="1"/>
  <c r="O82" i="124" s="1"/>
  <c r="O83" i="124" s="1"/>
  <c r="BC52" i="124"/>
  <c r="AX52" i="124"/>
  <c r="AW52" i="124"/>
  <c r="GT50" i="124"/>
  <c r="T52" i="124"/>
  <c r="T53" i="124" s="1"/>
  <c r="T54" i="124" s="1"/>
  <c r="T55" i="124" s="1"/>
  <c r="T56" i="124" s="1"/>
  <c r="T57" i="124" s="1"/>
  <c r="T58" i="124" s="1"/>
  <c r="T59" i="124" s="1"/>
  <c r="T60" i="124" s="1"/>
  <c r="T61" i="124" s="1"/>
  <c r="T62" i="124" s="1"/>
  <c r="T63" i="124" s="1"/>
  <c r="T64" i="124" s="1"/>
  <c r="T65" i="124" s="1"/>
  <c r="T66" i="124" s="1"/>
  <c r="T67" i="124" s="1"/>
  <c r="T68" i="124" s="1"/>
  <c r="T69" i="124" s="1"/>
  <c r="T70" i="124" s="1"/>
  <c r="T71" i="124" s="1"/>
  <c r="T72" i="124" s="1"/>
  <c r="T73" i="124" s="1"/>
  <c r="T74" i="124" s="1"/>
  <c r="T75" i="124" s="1"/>
  <c r="T76" i="124" s="1"/>
  <c r="T77" i="124" s="1"/>
  <c r="T78" i="124" s="1"/>
  <c r="T79" i="124" s="1"/>
  <c r="T80" i="124" s="1"/>
  <c r="T81" i="124" s="1"/>
  <c r="T82" i="124" s="1"/>
  <c r="T83" i="124" s="1"/>
  <c r="S52" i="124"/>
  <c r="S53" i="124" s="1"/>
  <c r="S54" i="124" s="1"/>
  <c r="S55" i="124" s="1"/>
  <c r="S56" i="124" s="1"/>
  <c r="S57" i="124" s="1"/>
  <c r="S58" i="124" s="1"/>
  <c r="S59" i="124" s="1"/>
  <c r="S60" i="124" s="1"/>
  <c r="S61" i="124" s="1"/>
  <c r="S62" i="124" s="1"/>
  <c r="S63" i="124" s="1"/>
  <c r="S64" i="124" s="1"/>
  <c r="S65" i="124" s="1"/>
  <c r="S66" i="124" s="1"/>
  <c r="S67" i="124" s="1"/>
  <c r="S68" i="124" s="1"/>
  <c r="S69" i="124" s="1"/>
  <c r="S70" i="124" s="1"/>
  <c r="S71" i="124" s="1"/>
  <c r="S72" i="124" s="1"/>
  <c r="S73" i="124" s="1"/>
  <c r="S74" i="124" s="1"/>
  <c r="S75" i="124" s="1"/>
  <c r="S76" i="124" s="1"/>
  <c r="S77" i="124" s="1"/>
  <c r="S78" i="124" s="1"/>
  <c r="S79" i="124" s="1"/>
  <c r="S80" i="124" s="1"/>
  <c r="S81" i="124" s="1"/>
  <c r="S82" i="124" s="1"/>
  <c r="S83" i="124" s="1"/>
  <c r="BW49" i="124"/>
  <c r="BM48" i="124"/>
  <c r="DY47" i="124"/>
  <c r="CG45" i="124"/>
  <c r="CF45" i="124"/>
  <c r="CE45" i="124"/>
  <c r="BX45" i="124"/>
  <c r="BW45" i="124"/>
  <c r="BV45" i="124"/>
  <c r="BU45" i="124"/>
  <c r="BT45" i="124"/>
  <c r="BS45" i="124"/>
  <c r="BR45" i="124"/>
  <c r="BQ45" i="124"/>
  <c r="BP45" i="124"/>
  <c r="BO45" i="124"/>
  <c r="BM45" i="124"/>
  <c r="BL45" i="124"/>
  <c r="BK45" i="124"/>
  <c r="BJ45" i="124"/>
  <c r="BI45" i="124"/>
  <c r="BH45" i="124"/>
  <c r="BG45" i="124"/>
  <c r="BF45" i="124"/>
  <c r="S45" i="124" s="1"/>
  <c r="BE45" i="124"/>
  <c r="BD45" i="124"/>
  <c r="BC45" i="124"/>
  <c r="BB45" i="124"/>
  <c r="BA45" i="124"/>
  <c r="AZ45" i="124"/>
  <c r="AY45" i="124"/>
  <c r="AX45" i="124"/>
  <c r="AW45" i="124"/>
  <c r="AV45" i="124"/>
  <c r="AU45" i="124"/>
  <c r="AT45" i="124"/>
  <c r="AS45" i="124"/>
  <c r="AR45" i="124"/>
  <c r="AQ45" i="124"/>
  <c r="AP45" i="124"/>
  <c r="AO45" i="124"/>
  <c r="AN45" i="124"/>
  <c r="AL45" i="124"/>
  <c r="AK45" i="124"/>
  <c r="AJ45" i="124"/>
  <c r="AI45" i="124"/>
  <c r="AH45" i="124"/>
  <c r="AG45" i="124"/>
  <c r="AF45" i="124"/>
  <c r="AE45" i="124"/>
  <c r="Z45" i="124"/>
  <c r="Y45" i="124"/>
  <c r="X45" i="124"/>
  <c r="W45" i="124"/>
  <c r="V45" i="124"/>
  <c r="U45" i="124"/>
  <c r="T45" i="124"/>
  <c r="R45" i="124"/>
  <c r="Q45" i="124"/>
  <c r="P45" i="124"/>
  <c r="O45" i="124"/>
  <c r="QB44" i="124"/>
  <c r="ON44" i="124"/>
  <c r="OL44" i="124"/>
  <c r="OH44" i="124"/>
  <c r="LE44" i="124"/>
  <c r="CP44" i="124"/>
  <c r="CB44" i="124"/>
  <c r="LK43" i="124"/>
  <c r="JM43" i="124"/>
  <c r="JG43" i="124"/>
  <c r="IR43" i="124"/>
  <c r="GX43" i="124"/>
  <c r="GO43" i="124"/>
  <c r="CN43" i="124"/>
  <c r="CG43" i="124"/>
  <c r="CD43" i="124"/>
  <c r="CA43" i="124"/>
  <c r="BX43" i="124"/>
  <c r="BU43" i="124"/>
  <c r="BR43" i="124"/>
  <c r="BO43" i="124"/>
  <c r="BK43" i="124"/>
  <c r="BE43" i="124"/>
  <c r="AY43" i="124"/>
  <c r="AP43" i="124"/>
  <c r="AJ43" i="124"/>
  <c r="AJ44" i="124" s="1"/>
  <c r="AI43" i="124"/>
  <c r="AB43" i="124"/>
  <c r="AA43" i="124"/>
  <c r="X43" i="124"/>
  <c r="W43" i="124"/>
  <c r="T43" i="124"/>
  <c r="T90" i="124" s="1"/>
  <c r="S43" i="124"/>
  <c r="S90" i="124" s="1"/>
  <c r="P43" i="124"/>
  <c r="P90" i="124" s="1"/>
  <c r="O43" i="124"/>
  <c r="O90" i="124" s="1"/>
  <c r="BN42" i="124"/>
  <c r="AK42" i="124"/>
  <c r="QB41" i="124"/>
  <c r="PY41" i="124"/>
  <c r="PY42" i="124" s="1"/>
  <c r="PY44" i="124" s="1"/>
  <c r="PW41" i="124"/>
  <c r="PW42" i="124" s="1"/>
  <c r="PW44" i="124" s="1"/>
  <c r="PU41" i="124"/>
  <c r="PT41" i="124"/>
  <c r="PT42" i="124" s="1"/>
  <c r="PT44" i="124" s="1"/>
  <c r="PS41" i="124"/>
  <c r="PS42" i="124" s="1"/>
  <c r="PS44" i="124" s="1"/>
  <c r="PR41" i="124"/>
  <c r="PR42" i="124" s="1"/>
  <c r="PR44" i="124" s="1"/>
  <c r="PQ41" i="124"/>
  <c r="PQ42" i="124" s="1"/>
  <c r="PQ44" i="124" s="1"/>
  <c r="PM41" i="124"/>
  <c r="PM42" i="124" s="1"/>
  <c r="PL41" i="124"/>
  <c r="PL42" i="124" s="1"/>
  <c r="PL44" i="124" s="1"/>
  <c r="PJ41" i="124"/>
  <c r="PJ42" i="124" s="1"/>
  <c r="PJ44" i="124" s="1"/>
  <c r="PI41" i="124"/>
  <c r="PI42" i="124" s="1"/>
  <c r="PI44" i="124" s="1"/>
  <c r="PF41" i="124"/>
  <c r="PF42" i="124" s="1"/>
  <c r="PF44" i="124" s="1"/>
  <c r="OZ41" i="124"/>
  <c r="OZ42" i="124" s="1"/>
  <c r="OZ44" i="124" s="1"/>
  <c r="OY41" i="124"/>
  <c r="OY42" i="124" s="1"/>
  <c r="OY44" i="124" s="1"/>
  <c r="OX41" i="124"/>
  <c r="OX42" i="124" s="1"/>
  <c r="OX44" i="124" s="1"/>
  <c r="OW41" i="124"/>
  <c r="OW42" i="124" s="1"/>
  <c r="OW44" i="124" s="1"/>
  <c r="OV41" i="124"/>
  <c r="OV42" i="124" s="1"/>
  <c r="OV44" i="124" s="1"/>
  <c r="OU41" i="124"/>
  <c r="OU42" i="124" s="1"/>
  <c r="OU44" i="124" s="1"/>
  <c r="OD41" i="124"/>
  <c r="OD42" i="124" s="1"/>
  <c r="NC41" i="124"/>
  <c r="NC42" i="124" s="1"/>
  <c r="NC44" i="124" s="1"/>
  <c r="MX41" i="124"/>
  <c r="MX42" i="124" s="1"/>
  <c r="MX44" i="124" s="1"/>
  <c r="MW41" i="124"/>
  <c r="MW42" i="124" s="1"/>
  <c r="MW44" i="124" s="1"/>
  <c r="MU41" i="124"/>
  <c r="MU42" i="124" s="1"/>
  <c r="MU44" i="124" s="1"/>
  <c r="MT41" i="124"/>
  <c r="MT42" i="124" s="1"/>
  <c r="MT44" i="124" s="1"/>
  <c r="MS41" i="124"/>
  <c r="MS42" i="124" s="1"/>
  <c r="MS44" i="124" s="1"/>
  <c r="MQ41" i="124"/>
  <c r="MQ42" i="124" s="1"/>
  <c r="MQ44" i="124" s="1"/>
  <c r="MP41" i="124"/>
  <c r="MP42" i="124" s="1"/>
  <c r="MP44" i="124" s="1"/>
  <c r="MO41" i="124"/>
  <c r="MO42" i="124" s="1"/>
  <c r="MO44" i="124" s="1"/>
  <c r="MN41" i="124"/>
  <c r="MN42" i="124" s="1"/>
  <c r="MN44" i="124" s="1"/>
  <c r="MM41" i="124"/>
  <c r="MM42" i="124" s="1"/>
  <c r="MM44" i="124" s="1"/>
  <c r="MK41" i="124"/>
  <c r="MK42" i="124" s="1"/>
  <c r="MK44" i="124" s="1"/>
  <c r="MJ41" i="124"/>
  <c r="MJ42" i="124" s="1"/>
  <c r="MJ44" i="124" s="1"/>
  <c r="MI41" i="124"/>
  <c r="MI42" i="124" s="1"/>
  <c r="MI44" i="124" s="1"/>
  <c r="MH41" i="124"/>
  <c r="MH42" i="124" s="1"/>
  <c r="MH44" i="124" s="1"/>
  <c r="MG41" i="124"/>
  <c r="MG42" i="124" s="1"/>
  <c r="MF41" i="124"/>
  <c r="MF42" i="124" s="1"/>
  <c r="ME41" i="124"/>
  <c r="ME42" i="124" s="1"/>
  <c r="ME44" i="124" s="1"/>
  <c r="MC41" i="124"/>
  <c r="MC42" i="124" s="1"/>
  <c r="MB41" i="124"/>
  <c r="MB42" i="124" s="1"/>
  <c r="MB44" i="124" s="1"/>
  <c r="MA41" i="124"/>
  <c r="MA42" i="124" s="1"/>
  <c r="MA44" i="124" s="1"/>
  <c r="LZ41" i="124"/>
  <c r="LZ42" i="124" s="1"/>
  <c r="LY41" i="124"/>
  <c r="LY42" i="124" s="1"/>
  <c r="LY44" i="124" s="1"/>
  <c r="LW41" i="124"/>
  <c r="LW42" i="124" s="1"/>
  <c r="LW44" i="124" s="1"/>
  <c r="LV41" i="124"/>
  <c r="LV42" i="124" s="1"/>
  <c r="LV44" i="124" s="1"/>
  <c r="LU41" i="124"/>
  <c r="LU42" i="124" s="1"/>
  <c r="LU44" i="124" s="1"/>
  <c r="LT41" i="124"/>
  <c r="LT42" i="124" s="1"/>
  <c r="LS41" i="124"/>
  <c r="LS42" i="124" s="1"/>
  <c r="LS44" i="124" s="1"/>
  <c r="LR41" i="124"/>
  <c r="LR42" i="124" s="1"/>
  <c r="LR44" i="124" s="1"/>
  <c r="LQ41" i="124"/>
  <c r="LQ42" i="124" s="1"/>
  <c r="LQ44" i="124" s="1"/>
  <c r="LP41" i="124"/>
  <c r="LP42" i="124" s="1"/>
  <c r="LP44" i="124" s="1"/>
  <c r="LO41" i="124"/>
  <c r="LO42" i="124" s="1"/>
  <c r="LO44" i="124" s="1"/>
  <c r="LN41" i="124"/>
  <c r="LN42" i="124" s="1"/>
  <c r="LN44" i="124" s="1"/>
  <c r="LM41" i="124"/>
  <c r="LM42" i="124" s="1"/>
  <c r="LL41" i="124"/>
  <c r="LL42" i="124" s="1"/>
  <c r="LG41" i="124"/>
  <c r="LG42" i="124" s="1"/>
  <c r="LG44" i="124" s="1"/>
  <c r="LF41" i="124"/>
  <c r="LF42" i="124" s="1"/>
  <c r="LF44" i="124" s="1"/>
  <c r="LD41" i="124"/>
  <c r="LD42" i="124" s="1"/>
  <c r="LD44" i="124" s="1"/>
  <c r="LC41" i="124"/>
  <c r="LC42" i="124" s="1"/>
  <c r="LC44" i="124" s="1"/>
  <c r="LB41" i="124"/>
  <c r="LB42" i="124" s="1"/>
  <c r="LB44" i="124" s="1"/>
  <c r="LA41" i="124"/>
  <c r="LA42" i="124" s="1"/>
  <c r="LA44" i="124" s="1"/>
  <c r="KZ41" i="124"/>
  <c r="KZ42" i="124" s="1"/>
  <c r="KZ44" i="124" s="1"/>
  <c r="KO41" i="124"/>
  <c r="KO42" i="124" s="1"/>
  <c r="KO44" i="124" s="1"/>
  <c r="KN41" i="124"/>
  <c r="KN42" i="124" s="1"/>
  <c r="KN44" i="124" s="1"/>
  <c r="JO41" i="124"/>
  <c r="JO42" i="124" s="1"/>
  <c r="JO44" i="124" s="1"/>
  <c r="JN41" i="124"/>
  <c r="JN42" i="124" s="1"/>
  <c r="JN44" i="124" s="1"/>
  <c r="JL41" i="124"/>
  <c r="JL42" i="124" s="1"/>
  <c r="JL44" i="124" s="1"/>
  <c r="JI41" i="124"/>
  <c r="JI42" i="124" s="1"/>
  <c r="JI44" i="124" s="1"/>
  <c r="JH41" i="124"/>
  <c r="JH42" i="124" s="1"/>
  <c r="JH44" i="124" s="1"/>
  <c r="JF41" i="124"/>
  <c r="JF42" i="124" s="1"/>
  <c r="JF44" i="124" s="1"/>
  <c r="JE41" i="124"/>
  <c r="JE42" i="124" s="1"/>
  <c r="JE44" i="124" s="1"/>
  <c r="JD41" i="124"/>
  <c r="JD42" i="124" s="1"/>
  <c r="JB41" i="124"/>
  <c r="JB42" i="124" s="1"/>
  <c r="IZ41" i="124"/>
  <c r="IZ42" i="124" s="1"/>
  <c r="IX41" i="124"/>
  <c r="IX42" i="124" s="1"/>
  <c r="IW41" i="124"/>
  <c r="IW42" i="124" s="1"/>
  <c r="IW44" i="124" s="1"/>
  <c r="IV41" i="124"/>
  <c r="IV42" i="124" s="1"/>
  <c r="IU41" i="124"/>
  <c r="IU42" i="124" s="1"/>
  <c r="IU44" i="124" s="1"/>
  <c r="IT41" i="124"/>
  <c r="IT42" i="124" s="1"/>
  <c r="IS41" i="124"/>
  <c r="IS42" i="124" s="1"/>
  <c r="IP41" i="124"/>
  <c r="IP42" i="124" s="1"/>
  <c r="IP44" i="124" s="1"/>
  <c r="IO41" i="124"/>
  <c r="IO42" i="124" s="1"/>
  <c r="IM41" i="124"/>
  <c r="IM42" i="124" s="1"/>
  <c r="IK41" i="124"/>
  <c r="IK42" i="124" s="1"/>
  <c r="II41" i="124"/>
  <c r="II42" i="124" s="1"/>
  <c r="IH41" i="124"/>
  <c r="IH42" i="124" s="1"/>
  <c r="IH44" i="124" s="1"/>
  <c r="IG41" i="124"/>
  <c r="IG42" i="124" s="1"/>
  <c r="IF41" i="124"/>
  <c r="IF42" i="124" s="1"/>
  <c r="IF44" i="124" s="1"/>
  <c r="IE41" i="124"/>
  <c r="IE42" i="124" s="1"/>
  <c r="ID41" i="124"/>
  <c r="ID42" i="124" s="1"/>
  <c r="IB41" i="124"/>
  <c r="IB42" i="124" s="1"/>
  <c r="IA41" i="124"/>
  <c r="IA42" i="124" s="1"/>
  <c r="HZ41" i="124"/>
  <c r="HZ42" i="124" s="1"/>
  <c r="HY41" i="124"/>
  <c r="HY42" i="124" s="1"/>
  <c r="HX41" i="124"/>
  <c r="HX42" i="124" s="1"/>
  <c r="HV41" i="124"/>
  <c r="HV42" i="124" s="1"/>
  <c r="HT41" i="124"/>
  <c r="HT42" i="124" s="1"/>
  <c r="HS41" i="124"/>
  <c r="HS42" i="124" s="1"/>
  <c r="HR41" i="124"/>
  <c r="HR42" i="124" s="1"/>
  <c r="HQ41" i="124"/>
  <c r="HQ42" i="124" s="1"/>
  <c r="HP41" i="124"/>
  <c r="HP42" i="124" s="1"/>
  <c r="HO41" i="124"/>
  <c r="HO42" i="124" s="1"/>
  <c r="HM41" i="124"/>
  <c r="HM42" i="124" s="1"/>
  <c r="HM44" i="124" s="1"/>
  <c r="HK41" i="124"/>
  <c r="HK42" i="124" s="1"/>
  <c r="HI41" i="124"/>
  <c r="HI42" i="124" s="1"/>
  <c r="HG41" i="124"/>
  <c r="HG42" i="124" s="1"/>
  <c r="HF41" i="124"/>
  <c r="HF42" i="124" s="1"/>
  <c r="HF44" i="124" s="1"/>
  <c r="HE41" i="124"/>
  <c r="HE42" i="124" s="1"/>
  <c r="HD41" i="124"/>
  <c r="HD42" i="124" s="1"/>
  <c r="HD44" i="124" s="1"/>
  <c r="HC41" i="124"/>
  <c r="HB41" i="124"/>
  <c r="HB42" i="124" s="1"/>
  <c r="HB44" i="124" s="1"/>
  <c r="HA41" i="124"/>
  <c r="HA42" i="124" s="1"/>
  <c r="GZ41" i="124"/>
  <c r="GZ42" i="124" s="1"/>
  <c r="GY41" i="124"/>
  <c r="GY42" i="124" s="1"/>
  <c r="GY44" i="124" s="1"/>
  <c r="GS41" i="124"/>
  <c r="GS42" i="124" s="1"/>
  <c r="GS44" i="124" s="1"/>
  <c r="GR41" i="124"/>
  <c r="GR42" i="124" s="1"/>
  <c r="GR44" i="124" s="1"/>
  <c r="GQ41" i="124"/>
  <c r="GQ42" i="124" s="1"/>
  <c r="GQ44" i="124" s="1"/>
  <c r="GP41" i="124"/>
  <c r="GP42" i="124" s="1"/>
  <c r="GP44" i="124" s="1"/>
  <c r="GK41" i="124"/>
  <c r="GK42" i="124" s="1"/>
  <c r="GK44" i="124" s="1"/>
  <c r="GJ41" i="124"/>
  <c r="GJ42" i="124" s="1"/>
  <c r="GJ44" i="124" s="1"/>
  <c r="GG41" i="124"/>
  <c r="GG42" i="124" s="1"/>
  <c r="GG44" i="124" s="1"/>
  <c r="GC41" i="124"/>
  <c r="GC42" i="124" s="1"/>
  <c r="GC44" i="124" s="1"/>
  <c r="GA41" i="124"/>
  <c r="GA42" i="124" s="1"/>
  <c r="GA44" i="124" s="1"/>
  <c r="FY41" i="124"/>
  <c r="FY42" i="124" s="1"/>
  <c r="FY44" i="124" s="1"/>
  <c r="FW41" i="124"/>
  <c r="FW42" i="124" s="1"/>
  <c r="FW44" i="124" s="1"/>
  <c r="FU41" i="124"/>
  <c r="FU42" i="124" s="1"/>
  <c r="FU44" i="124" s="1"/>
  <c r="FT41" i="124"/>
  <c r="FT42" i="124" s="1"/>
  <c r="FT44" i="124" s="1"/>
  <c r="FS41" i="124"/>
  <c r="FS42" i="124" s="1"/>
  <c r="FS44" i="124" s="1"/>
  <c r="FR41" i="124"/>
  <c r="FR42" i="124" s="1"/>
  <c r="FR44" i="124" s="1"/>
  <c r="FQ41" i="124"/>
  <c r="FQ42" i="124" s="1"/>
  <c r="FQ44" i="124" s="1"/>
  <c r="FP41" i="124"/>
  <c r="FP42" i="124" s="1"/>
  <c r="FP44" i="124" s="1"/>
  <c r="FN41" i="124"/>
  <c r="FN42" i="124" s="1"/>
  <c r="FN44" i="124" s="1"/>
  <c r="FM41" i="124"/>
  <c r="FM42" i="124" s="1"/>
  <c r="FM44" i="124" s="1"/>
  <c r="FL41" i="124"/>
  <c r="FL42" i="124" s="1"/>
  <c r="FL44" i="124" s="1"/>
  <c r="FK41" i="124"/>
  <c r="FK42" i="124" s="1"/>
  <c r="FK44" i="124" s="1"/>
  <c r="FJ41" i="124"/>
  <c r="FJ42" i="124" s="1"/>
  <c r="FJ44" i="124" s="1"/>
  <c r="FI41" i="124"/>
  <c r="FI42" i="124" s="1"/>
  <c r="FI44" i="124" s="1"/>
  <c r="FH41" i="124"/>
  <c r="FH42" i="124" s="1"/>
  <c r="FH44" i="124" s="1"/>
  <c r="FG41" i="124"/>
  <c r="FG42" i="124" s="1"/>
  <c r="FG44" i="124" s="1"/>
  <c r="FB41" i="124"/>
  <c r="FB42" i="124" s="1"/>
  <c r="FB44" i="124" s="1"/>
  <c r="FA41" i="124"/>
  <c r="FA42" i="124" s="1"/>
  <c r="FA44" i="124" s="1"/>
  <c r="EY41" i="124"/>
  <c r="EY42" i="124" s="1"/>
  <c r="EY44" i="124" s="1"/>
  <c r="EX41" i="124"/>
  <c r="EX42" i="124" s="1"/>
  <c r="EX44" i="124" s="1"/>
  <c r="EW41" i="124"/>
  <c r="EW42" i="124" s="1"/>
  <c r="EW44" i="124" s="1"/>
  <c r="EV41" i="124"/>
  <c r="EV42" i="124" s="1"/>
  <c r="EV44" i="124" s="1"/>
  <c r="EU41" i="124"/>
  <c r="EU42" i="124" s="1"/>
  <c r="EU44" i="124" s="1"/>
  <c r="ET41" i="124"/>
  <c r="ET42" i="124" s="1"/>
  <c r="ET44" i="124" s="1"/>
  <c r="EQ41" i="124"/>
  <c r="EQ42" i="124" s="1"/>
  <c r="EQ44" i="124" s="1"/>
  <c r="EO41" i="124"/>
  <c r="EO42" i="124" s="1"/>
  <c r="EO44" i="124" s="1"/>
  <c r="EN41" i="124"/>
  <c r="EN42" i="124" s="1"/>
  <c r="EM41" i="124"/>
  <c r="EM42" i="124" s="1"/>
  <c r="EM44" i="124" s="1"/>
  <c r="EK41" i="124"/>
  <c r="EK42" i="124" s="1"/>
  <c r="EK44" i="124" s="1"/>
  <c r="EJ41" i="124"/>
  <c r="EI41" i="124"/>
  <c r="EI42" i="124" s="1"/>
  <c r="EH41" i="124"/>
  <c r="EH42" i="124" s="1"/>
  <c r="EG41" i="124"/>
  <c r="EG42" i="124" s="1"/>
  <c r="EG44" i="124" s="1"/>
  <c r="DZ41" i="124"/>
  <c r="DZ42" i="124" s="1"/>
  <c r="DZ44" i="124" s="1"/>
  <c r="DX41" i="124"/>
  <c r="DX42" i="124" s="1"/>
  <c r="DX44" i="124" s="1"/>
  <c r="DV41" i="124"/>
  <c r="DV42" i="124" s="1"/>
  <c r="DV44" i="124" s="1"/>
  <c r="DT41" i="124"/>
  <c r="DT42" i="124" s="1"/>
  <c r="DT44" i="124" s="1"/>
  <c r="DR41" i="124"/>
  <c r="DR42" i="124" s="1"/>
  <c r="DO41" i="124"/>
  <c r="DO42" i="124" s="1"/>
  <c r="DJ41" i="124"/>
  <c r="DJ42" i="124" s="1"/>
  <c r="DJ44" i="124" s="1"/>
  <c r="DH41" i="124"/>
  <c r="DH42" i="124" s="1"/>
  <c r="DH44" i="124" s="1"/>
  <c r="DF41" i="124"/>
  <c r="DF42" i="124" s="1"/>
  <c r="DF44" i="124" s="1"/>
  <c r="DE41" i="124"/>
  <c r="DE42" i="124" s="1"/>
  <c r="DE44" i="124" s="1"/>
  <c r="CQ41" i="124"/>
  <c r="CQ42" i="124" s="1"/>
  <c r="CQ44" i="124" s="1"/>
  <c r="CP41" i="124"/>
  <c r="CO41" i="124"/>
  <c r="CO42" i="124" s="1"/>
  <c r="CO44" i="124" s="1"/>
  <c r="CM41" i="124"/>
  <c r="CM42" i="124" s="1"/>
  <c r="CM44" i="124" s="1"/>
  <c r="CL41" i="124"/>
  <c r="CL42" i="124" s="1"/>
  <c r="CL44" i="124" s="1"/>
  <c r="CK41" i="124"/>
  <c r="CK44" i="124" s="1"/>
  <c r="CJ41" i="124"/>
  <c r="CJ42" i="124" s="1"/>
  <c r="CJ44" i="124" s="1"/>
  <c r="CI41" i="124"/>
  <c r="CI42" i="124" s="1"/>
  <c r="CI44" i="124" s="1"/>
  <c r="CH41" i="124"/>
  <c r="CH42" i="124" s="1"/>
  <c r="CH44" i="124" s="1"/>
  <c r="CF41" i="124"/>
  <c r="CF42" i="124" s="1"/>
  <c r="CF44" i="124" s="1"/>
  <c r="CE41" i="124"/>
  <c r="CE42" i="124" s="1"/>
  <c r="CC41" i="124"/>
  <c r="CC42" i="124" s="1"/>
  <c r="CD42" i="124" s="1"/>
  <c r="CB41" i="124"/>
  <c r="BZ41" i="124"/>
  <c r="BZ42" i="124" s="1"/>
  <c r="BZ44" i="124" s="1"/>
  <c r="BY41" i="124"/>
  <c r="BV41" i="124"/>
  <c r="BV48" i="124" s="1"/>
  <c r="BU41" i="124"/>
  <c r="BU42" i="124" s="1"/>
  <c r="BT41" i="124"/>
  <c r="BT42" i="124" s="1"/>
  <c r="BT44" i="124" s="1"/>
  <c r="BS41" i="124"/>
  <c r="BS42" i="124" s="1"/>
  <c r="BS48" i="124" s="1"/>
  <c r="BP41" i="124"/>
  <c r="BP44" i="124" s="1"/>
  <c r="BN41" i="124"/>
  <c r="BL41" i="124"/>
  <c r="BL42" i="124" s="1"/>
  <c r="BK41" i="124"/>
  <c r="BK42" i="124" s="1"/>
  <c r="BJ41" i="124"/>
  <c r="BJ42" i="124" s="1"/>
  <c r="BJ44" i="124" s="1"/>
  <c r="BI41" i="124"/>
  <c r="BI42" i="124" s="1"/>
  <c r="BI44" i="124" s="1"/>
  <c r="BH41" i="124"/>
  <c r="BH42" i="124" s="1"/>
  <c r="BH44" i="124" s="1"/>
  <c r="BG41" i="124"/>
  <c r="BG42" i="124" s="1"/>
  <c r="BG44" i="124" s="1"/>
  <c r="BF41" i="124"/>
  <c r="BF42" i="124" s="1"/>
  <c r="BF44" i="124" s="1"/>
  <c r="BC41" i="124"/>
  <c r="BC48" i="124" s="1"/>
  <c r="BB41" i="124"/>
  <c r="BB42" i="124" s="1"/>
  <c r="BB44" i="124" s="1"/>
  <c r="BA41" i="124"/>
  <c r="BA42" i="124" s="1"/>
  <c r="BA44" i="124" s="1"/>
  <c r="AZ41" i="124"/>
  <c r="AZ42" i="124" s="1"/>
  <c r="AZ44" i="124" s="1"/>
  <c r="AW41" i="124"/>
  <c r="AU41" i="124"/>
  <c r="AU42" i="124" s="1"/>
  <c r="AU44" i="124" s="1"/>
  <c r="AT41" i="124"/>
  <c r="AT42" i="124" s="1"/>
  <c r="AT44" i="124" s="1"/>
  <c r="AR41" i="124"/>
  <c r="AR42" i="124" s="1"/>
  <c r="AR44" i="124" s="1"/>
  <c r="AQ41" i="124"/>
  <c r="AQ42" i="124" s="1"/>
  <c r="AO41" i="124"/>
  <c r="AO42" i="124" s="1"/>
  <c r="AO44" i="124" s="1"/>
  <c r="AN41" i="124"/>
  <c r="AN42" i="124" s="1"/>
  <c r="AN44" i="124" s="1"/>
  <c r="AM41" i="124"/>
  <c r="AM42" i="124" s="1"/>
  <c r="AM44" i="124" s="1"/>
  <c r="AL41" i="124"/>
  <c r="AL42" i="124" s="1"/>
  <c r="AL44" i="124" s="1"/>
  <c r="AJ41" i="124"/>
  <c r="AI41" i="124"/>
  <c r="AH41" i="124"/>
  <c r="AH42" i="124" s="1"/>
  <c r="AH44" i="124" s="1"/>
  <c r="AF41" i="124"/>
  <c r="AF42" i="124" s="1"/>
  <c r="AF44" i="124" s="1"/>
  <c r="AE41" i="124"/>
  <c r="Z41" i="124"/>
  <c r="Z42" i="124" s="1"/>
  <c r="Z44" i="124" s="1"/>
  <c r="V41" i="124"/>
  <c r="V42" i="124" s="1"/>
  <c r="V44" i="124" s="1"/>
  <c r="R41" i="124"/>
  <c r="R42" i="124" s="1"/>
  <c r="R44" i="124" s="1"/>
  <c r="N41" i="124"/>
  <c r="N42" i="124" s="1"/>
  <c r="M41" i="124"/>
  <c r="M42" i="124" s="1"/>
  <c r="L41" i="124"/>
  <c r="L42" i="124" s="1"/>
  <c r="K41" i="124"/>
  <c r="K42" i="124" s="1"/>
  <c r="J41" i="124"/>
  <c r="J42" i="124" s="1"/>
  <c r="J44" i="124" s="1"/>
  <c r="I41" i="124"/>
  <c r="I42" i="124" s="1"/>
  <c r="H41" i="124"/>
  <c r="H42" i="124" s="1"/>
  <c r="RR40" i="124"/>
  <c r="RG40" i="124"/>
  <c r="RF40" i="124"/>
  <c r="RE40" i="124"/>
  <c r="RD40" i="124"/>
  <c r="RC40" i="124"/>
  <c r="RB40" i="124"/>
  <c r="QZ40" i="124"/>
  <c r="QY40" i="124"/>
  <c r="QX40" i="124"/>
  <c r="QW40" i="124"/>
  <c r="QV40" i="124"/>
  <c r="QU40" i="124"/>
  <c r="QP40" i="124"/>
  <c r="PA40" i="124"/>
  <c r="PA41" i="124" s="1"/>
  <c r="PA42" i="124" s="1"/>
  <c r="PA44" i="124" s="1"/>
  <c r="MV40" i="124"/>
  <c r="MD40" i="124"/>
  <c r="LX40" i="124"/>
  <c r="LJ40" i="124"/>
  <c r="LI40" i="124"/>
  <c r="LH40" i="124"/>
  <c r="HW40" i="124" a="1"/>
  <c r="HW40" i="124" s="1"/>
  <c r="HU40" i="124" a="1"/>
  <c r="HU40" i="124" s="1"/>
  <c r="FV40" i="124"/>
  <c r="FD40" i="124" s="1"/>
  <c r="FO40" i="124"/>
  <c r="FC40" i="124" s="1"/>
  <c r="EZ40" i="124"/>
  <c r="ES40" i="124"/>
  <c r="BW40" i="124" s="1"/>
  <c r="X40" i="124" s="1"/>
  <c r="DC40" i="124"/>
  <c r="DA40" i="124"/>
  <c r="CY40" i="124"/>
  <c r="CW40" i="124"/>
  <c r="CV40" i="124"/>
  <c r="CU40" i="124"/>
  <c r="CT40" i="124"/>
  <c r="CS40" i="124"/>
  <c r="CR40" i="124"/>
  <c r="CN41" i="124"/>
  <c r="CN42" i="124" s="1"/>
  <c r="CN44" i="124" s="1"/>
  <c r="CG40" i="124"/>
  <c r="CD40" i="124"/>
  <c r="CA40" i="124"/>
  <c r="BU40" i="124"/>
  <c r="BK40" i="124"/>
  <c r="BH40" i="124"/>
  <c r="BB40" i="124"/>
  <c r="AV40" i="124"/>
  <c r="AS40" i="124"/>
  <c r="AP40" i="124"/>
  <c r="AK40" i="124"/>
  <c r="AG40" i="124"/>
  <c r="AA40" i="124"/>
  <c r="W40" i="124"/>
  <c r="S40" i="124"/>
  <c r="O40" i="124"/>
  <c r="RR39" i="124"/>
  <c r="RG39" i="124"/>
  <c r="RF39" i="124"/>
  <c r="RE39" i="124"/>
  <c r="RD39" i="124"/>
  <c r="RC39" i="124"/>
  <c r="RB39" i="124"/>
  <c r="QZ39" i="124"/>
  <c r="QY39" i="124"/>
  <c r="QX39" i="124"/>
  <c r="QW39" i="124"/>
  <c r="QV39" i="124"/>
  <c r="QU39" i="124"/>
  <c r="QP39" i="124"/>
  <c r="PA39" i="124"/>
  <c r="MV39" i="124"/>
  <c r="MD39" i="124"/>
  <c r="LX39" i="124"/>
  <c r="LJ39" i="124"/>
  <c r="LI39" i="124"/>
  <c r="LH39" i="124"/>
  <c r="HW39" i="124" a="1"/>
  <c r="HW39" i="124" s="1"/>
  <c r="HU39" i="124" a="1"/>
  <c r="HU39" i="124" s="1"/>
  <c r="FV39" i="124"/>
  <c r="FD39" i="124" s="1"/>
  <c r="FO39" i="124"/>
  <c r="FC39" i="124" s="1"/>
  <c r="EZ39" i="124"/>
  <c r="ES39" i="124"/>
  <c r="BW39" i="124" s="1"/>
  <c r="BX39" i="124" s="1"/>
  <c r="DC39" i="124"/>
  <c r="DA39" i="124"/>
  <c r="CY39" i="124"/>
  <c r="CW39" i="124"/>
  <c r="CV39" i="124"/>
  <c r="CU39" i="124"/>
  <c r="CT39" i="124"/>
  <c r="CS39" i="124"/>
  <c r="CR39" i="124"/>
  <c r="CG39" i="124"/>
  <c r="CD39" i="124"/>
  <c r="CA39" i="124"/>
  <c r="BU39" i="124"/>
  <c r="BK39" i="124"/>
  <c r="BH39" i="124"/>
  <c r="BB39" i="124"/>
  <c r="AV39" i="124"/>
  <c r="AS39" i="124"/>
  <c r="AP39" i="124"/>
  <c r="AK39" i="124"/>
  <c r="AG39" i="124"/>
  <c r="AA39" i="124"/>
  <c r="W39" i="124"/>
  <c r="S39" i="124"/>
  <c r="O39" i="124"/>
  <c r="RR38" i="124"/>
  <c r="RG38" i="124"/>
  <c r="RF38" i="124"/>
  <c r="RE38" i="124"/>
  <c r="RD38" i="124"/>
  <c r="RC38" i="124"/>
  <c r="RB38" i="124"/>
  <c r="QZ38" i="124"/>
  <c r="QY38" i="124"/>
  <c r="QX38" i="124"/>
  <c r="QW38" i="124"/>
  <c r="QV38" i="124"/>
  <c r="QU38" i="124"/>
  <c r="QP38" i="124"/>
  <c r="PA38" i="124"/>
  <c r="MV38" i="124"/>
  <c r="MD38" i="124"/>
  <c r="LX38" i="124"/>
  <c r="LJ38" i="124"/>
  <c r="LI38" i="124"/>
  <c r="LH38" i="124"/>
  <c r="HW38" i="124" a="1"/>
  <c r="HW38" i="124" s="1"/>
  <c r="HU38" i="124" a="1"/>
  <c r="HU38" i="124" s="1"/>
  <c r="FV38" i="124"/>
  <c r="FD38" i="124" s="1"/>
  <c r="FO38" i="124"/>
  <c r="FC38" i="124"/>
  <c r="EZ38" i="124"/>
  <c r="ES38" i="124"/>
  <c r="BW38" i="124" s="1"/>
  <c r="X38" i="124" s="1"/>
  <c r="DC38" i="124"/>
  <c r="DA38" i="124"/>
  <c r="CY38" i="124"/>
  <c r="CW38" i="124"/>
  <c r="CV38" i="124"/>
  <c r="CU38" i="124"/>
  <c r="CT38" i="124"/>
  <c r="CS38" i="124"/>
  <c r="CR38" i="124"/>
  <c r="CG38" i="124"/>
  <c r="CD38" i="124"/>
  <c r="CA38" i="124"/>
  <c r="BU38" i="124"/>
  <c r="BK38" i="124"/>
  <c r="BH38" i="124"/>
  <c r="BB38" i="124"/>
  <c r="AV38" i="124"/>
  <c r="AS38" i="124"/>
  <c r="AP38" i="124"/>
  <c r="AK38" i="124"/>
  <c r="AG38" i="124"/>
  <c r="AA38" i="124"/>
  <c r="W38" i="124"/>
  <c r="S38" i="124"/>
  <c r="O38" i="124"/>
  <c r="RR37" i="124"/>
  <c r="RG37" i="124"/>
  <c r="RF37" i="124"/>
  <c r="RE37" i="124"/>
  <c r="RD37" i="124"/>
  <c r="RC37" i="124"/>
  <c r="RB37" i="124"/>
  <c r="QZ37" i="124"/>
  <c r="QY37" i="124"/>
  <c r="QX37" i="124"/>
  <c r="QW37" i="124"/>
  <c r="QV37" i="124"/>
  <c r="QU37" i="124"/>
  <c r="QP37" i="124"/>
  <c r="PA37" i="124"/>
  <c r="NO37" i="124"/>
  <c r="NO38" i="124" s="1"/>
  <c r="NO39" i="124" s="1"/>
  <c r="NO40" i="124" s="1"/>
  <c r="NO41" i="124" s="1"/>
  <c r="NO42" i="124" s="1"/>
  <c r="NN37" i="124"/>
  <c r="NN38" i="124" s="1"/>
  <c r="NN39" i="124" s="1"/>
  <c r="NN40" i="124" s="1"/>
  <c r="NN41" i="124" s="1"/>
  <c r="NN42" i="124" s="1"/>
  <c r="NN44" i="124" s="1"/>
  <c r="NM37" i="124"/>
  <c r="NM38" i="124" s="1"/>
  <c r="NM39" i="124" s="1"/>
  <c r="NM40" i="124" s="1"/>
  <c r="NM41" i="124" s="1"/>
  <c r="NM42" i="124" s="1"/>
  <c r="NL37" i="124"/>
  <c r="NK37" i="124"/>
  <c r="NK38" i="124" s="1"/>
  <c r="NK39" i="124" s="1"/>
  <c r="NK40" i="124" s="1"/>
  <c r="NK41" i="124" s="1"/>
  <c r="NK42" i="124" s="1"/>
  <c r="NJ37" i="124"/>
  <c r="NJ38" i="124" s="1"/>
  <c r="NJ39" i="124" s="1"/>
  <c r="NJ40" i="124" s="1"/>
  <c r="NJ41" i="124" s="1"/>
  <c r="NJ42" i="124" s="1"/>
  <c r="NJ44" i="124" s="1"/>
  <c r="NI37" i="124"/>
  <c r="NI38" i="124" s="1"/>
  <c r="NI39" i="124" s="1"/>
  <c r="NI40" i="124" s="1"/>
  <c r="NI41" i="124" s="1"/>
  <c r="NI42" i="124" s="1"/>
  <c r="NH37" i="124"/>
  <c r="NH38" i="124" s="1"/>
  <c r="MV37" i="124"/>
  <c r="MD37" i="124"/>
  <c r="LX37" i="124"/>
  <c r="LJ37" i="124"/>
  <c r="LI37" i="124"/>
  <c r="LH37" i="124"/>
  <c r="HW37" i="124" a="1"/>
  <c r="HW37" i="124" s="1"/>
  <c r="HU37" i="124" a="1"/>
  <c r="HU37" i="124" s="1"/>
  <c r="FV37" i="124"/>
  <c r="FD37" i="124" s="1"/>
  <c r="FO37" i="124"/>
  <c r="FC37" i="124" s="1"/>
  <c r="EZ37" i="124"/>
  <c r="ES37" i="124"/>
  <c r="BW37" i="124" s="1"/>
  <c r="BX37" i="124" s="1"/>
  <c r="DC37" i="124"/>
  <c r="DA37" i="124"/>
  <c r="CY37" i="124"/>
  <c r="CW37" i="124"/>
  <c r="CV37" i="124"/>
  <c r="CU37" i="124"/>
  <c r="CT37" i="124"/>
  <c r="CS37" i="124"/>
  <c r="CR37" i="124"/>
  <c r="CG37" i="124"/>
  <c r="CD37" i="124"/>
  <c r="CA37" i="124"/>
  <c r="BU37" i="124"/>
  <c r="BK37" i="124"/>
  <c r="BH37" i="124"/>
  <c r="BB37" i="124"/>
  <c r="AV37" i="124"/>
  <c r="AS37" i="124"/>
  <c r="AP37" i="124"/>
  <c r="AK37" i="124"/>
  <c r="AG37" i="124"/>
  <c r="AA37" i="124"/>
  <c r="W37" i="124"/>
  <c r="S37" i="124"/>
  <c r="O37" i="124"/>
  <c r="RR36" i="124"/>
  <c r="RG36" i="124"/>
  <c r="RF36" i="124"/>
  <c r="RE36" i="124"/>
  <c r="RD36" i="124"/>
  <c r="RC36" i="124"/>
  <c r="RB36" i="124"/>
  <c r="QZ36" i="124"/>
  <c r="QY36" i="124"/>
  <c r="QX36" i="124"/>
  <c r="QW36" i="124"/>
  <c r="QV36" i="124"/>
  <c r="QU36" i="124"/>
  <c r="QP36" i="124"/>
  <c r="PA36" i="124"/>
  <c r="MV36" i="124"/>
  <c r="MD36" i="124"/>
  <c r="LX36" i="124"/>
  <c r="LJ36" i="124"/>
  <c r="LI36" i="124"/>
  <c r="LH36" i="124"/>
  <c r="HW36" i="124" a="1"/>
  <c r="HW36" i="124" s="1"/>
  <c r="HU36" i="124" a="1"/>
  <c r="HU36" i="124" s="1"/>
  <c r="FV36" i="124"/>
  <c r="FO36" i="124"/>
  <c r="FC36" i="124" s="1"/>
  <c r="FD36" i="124"/>
  <c r="EZ36" i="124"/>
  <c r="ES36" i="124"/>
  <c r="BW36" i="124" s="1"/>
  <c r="X36" i="124" s="1"/>
  <c r="DC36" i="124"/>
  <c r="DA36" i="124"/>
  <c r="CY36" i="124"/>
  <c r="CW36" i="124"/>
  <c r="CV36" i="124"/>
  <c r="CU36" i="124"/>
  <c r="CT36" i="124"/>
  <c r="CS36" i="124"/>
  <c r="CR36" i="124"/>
  <c r="CG36" i="124"/>
  <c r="CD36" i="124"/>
  <c r="CA36" i="124"/>
  <c r="BU36" i="124"/>
  <c r="BK36" i="124"/>
  <c r="BH36" i="124"/>
  <c r="BB36" i="124"/>
  <c r="AV36" i="124"/>
  <c r="AS36" i="124"/>
  <c r="AP36" i="124"/>
  <c r="AK36" i="124"/>
  <c r="AG36" i="124"/>
  <c r="AA36" i="124"/>
  <c r="W36" i="124"/>
  <c r="S36" i="124"/>
  <c r="O36" i="124"/>
  <c r="RR35" i="124"/>
  <c r="RG35" i="124"/>
  <c r="RF35" i="124"/>
  <c r="RE35" i="124"/>
  <c r="RD35" i="124"/>
  <c r="RC35" i="124"/>
  <c r="RB35" i="124"/>
  <c r="QZ35" i="124"/>
  <c r="QY35" i="124"/>
  <c r="QX35" i="124"/>
  <c r="QW35" i="124"/>
  <c r="QV35" i="124"/>
  <c r="QU35" i="124"/>
  <c r="QP35" i="124"/>
  <c r="PA35" i="124"/>
  <c r="MV35" i="124"/>
  <c r="MD35" i="124"/>
  <c r="LX35" i="124"/>
  <c r="LJ35" i="124"/>
  <c r="LI35" i="124"/>
  <c r="LH35" i="124"/>
  <c r="HW35" i="124" a="1"/>
  <c r="HW35" i="124" s="1"/>
  <c r="HU35" i="124" a="1"/>
  <c r="HU35" i="124" s="1"/>
  <c r="FV35" i="124"/>
  <c r="FD35" i="124" s="1"/>
  <c r="FO35" i="124"/>
  <c r="FC35" i="124" s="1"/>
  <c r="EZ35" i="124"/>
  <c r="ES35" i="124"/>
  <c r="BW35" i="124" s="1"/>
  <c r="X35" i="124" s="1"/>
  <c r="DC35" i="124"/>
  <c r="DA35" i="124"/>
  <c r="CY35" i="124"/>
  <c r="CW35" i="124"/>
  <c r="CV35" i="124"/>
  <c r="CU35" i="124"/>
  <c r="CT35" i="124"/>
  <c r="CS35" i="124"/>
  <c r="CR35" i="124"/>
  <c r="CG35" i="124"/>
  <c r="CD35" i="124"/>
  <c r="CA35" i="124"/>
  <c r="BU35" i="124"/>
  <c r="BK35" i="124"/>
  <c r="BH35" i="124"/>
  <c r="BB35" i="124"/>
  <c r="AV35" i="124"/>
  <c r="AS35" i="124"/>
  <c r="AP35" i="124"/>
  <c r="AK35" i="124"/>
  <c r="AG35" i="124"/>
  <c r="AA35" i="124"/>
  <c r="W35" i="124"/>
  <c r="S35" i="124"/>
  <c r="O35" i="124"/>
  <c r="RR34" i="124"/>
  <c r="RG34" i="124"/>
  <c r="RF34" i="124"/>
  <c r="RE34" i="124"/>
  <c r="RD34" i="124"/>
  <c r="RC34" i="124"/>
  <c r="RB34" i="124"/>
  <c r="QZ34" i="124"/>
  <c r="QY34" i="124"/>
  <c r="QX34" i="124"/>
  <c r="QW34" i="124"/>
  <c r="QV34" i="124"/>
  <c r="QU34" i="124"/>
  <c r="QP34" i="124"/>
  <c r="PA34" i="124"/>
  <c r="MV34" i="124"/>
  <c r="MD34" i="124"/>
  <c r="LX34" i="124"/>
  <c r="LJ34" i="124"/>
  <c r="LI34" i="124"/>
  <c r="LH34" i="124"/>
  <c r="HW34" i="124" a="1"/>
  <c r="HW34" i="124" s="1"/>
  <c r="HU34" i="124" a="1"/>
  <c r="HU34" i="124" s="1"/>
  <c r="FV34" i="124"/>
  <c r="FD34" i="124" s="1"/>
  <c r="FO34" i="124"/>
  <c r="FC34" i="124" s="1"/>
  <c r="EZ34" i="124"/>
  <c r="ES34" i="124"/>
  <c r="BW34" i="124" s="1"/>
  <c r="BX34" i="124" s="1"/>
  <c r="DC34" i="124"/>
  <c r="DA34" i="124"/>
  <c r="CY34" i="124"/>
  <c r="CW34" i="124"/>
  <c r="CV34" i="124"/>
  <c r="CU34" i="124"/>
  <c r="CT34" i="124"/>
  <c r="CS34" i="124"/>
  <c r="CR34" i="124"/>
  <c r="CG34" i="124"/>
  <c r="CD34" i="124"/>
  <c r="CA34" i="124"/>
  <c r="BU34" i="124"/>
  <c r="BK34" i="124"/>
  <c r="BH34" i="124"/>
  <c r="BB34" i="124"/>
  <c r="AV34" i="124"/>
  <c r="AS34" i="124"/>
  <c r="AP34" i="124"/>
  <c r="AK34" i="124"/>
  <c r="AG34" i="124"/>
  <c r="AA34" i="124"/>
  <c r="W34" i="124"/>
  <c r="S34" i="124"/>
  <c r="O34" i="124"/>
  <c r="RR33" i="124"/>
  <c r="RG33" i="124"/>
  <c r="RF33" i="124"/>
  <c r="RE33" i="124"/>
  <c r="RD33" i="124"/>
  <c r="RC33" i="124"/>
  <c r="RB33" i="124"/>
  <c r="QZ33" i="124"/>
  <c r="QY33" i="124"/>
  <c r="QX33" i="124"/>
  <c r="QW33" i="124"/>
  <c r="QV33" i="124"/>
  <c r="QU33" i="124"/>
  <c r="QP33" i="124"/>
  <c r="PA33" i="124"/>
  <c r="MV33" i="124"/>
  <c r="MD33" i="124"/>
  <c r="LX33" i="124"/>
  <c r="LJ33" i="124"/>
  <c r="LI33" i="124"/>
  <c r="LH33" i="124"/>
  <c r="HW33" i="124" a="1"/>
  <c r="HW33" i="124" s="1"/>
  <c r="HU33" i="124" a="1"/>
  <c r="HU33" i="124" s="1"/>
  <c r="FV33" i="124"/>
  <c r="FD33" i="124" s="1"/>
  <c r="FO33" i="124"/>
  <c r="FC33" i="124" s="1"/>
  <c r="EZ33" i="124"/>
  <c r="ES33" i="124"/>
  <c r="BW33" i="124" s="1"/>
  <c r="DC33" i="124"/>
  <c r="DA33" i="124"/>
  <c r="CY33" i="124"/>
  <c r="CW33" i="124"/>
  <c r="CV33" i="124"/>
  <c r="CU33" i="124"/>
  <c r="CT33" i="124"/>
  <c r="CS33" i="124"/>
  <c r="CR33" i="124"/>
  <c r="CG33" i="124"/>
  <c r="CD33" i="124"/>
  <c r="CA33" i="124"/>
  <c r="BU33" i="124"/>
  <c r="BK33" i="124"/>
  <c r="BH33" i="124"/>
  <c r="BB33" i="124"/>
  <c r="AV33" i="124"/>
  <c r="AS33" i="124"/>
  <c r="AP33" i="124"/>
  <c r="AK33" i="124"/>
  <c r="AG33" i="124"/>
  <c r="AA33" i="124"/>
  <c r="W33" i="124"/>
  <c r="S33" i="124"/>
  <c r="O33" i="124"/>
  <c r="RR32" i="124"/>
  <c r="RG32" i="124"/>
  <c r="RF32" i="124"/>
  <c r="RE32" i="124"/>
  <c r="RD32" i="124"/>
  <c r="RC32" i="124"/>
  <c r="RB32" i="124"/>
  <c r="QZ32" i="124"/>
  <c r="QY32" i="124"/>
  <c r="QX32" i="124"/>
  <c r="QW32" i="124"/>
  <c r="QV32" i="124"/>
  <c r="QU32" i="124"/>
  <c r="QP32" i="124"/>
  <c r="PA32" i="124"/>
  <c r="MV32" i="124"/>
  <c r="MD32" i="124"/>
  <c r="LX32" i="124"/>
  <c r="LJ32" i="124"/>
  <c r="LI32" i="124"/>
  <c r="LH32" i="124"/>
  <c r="HW32" i="124" a="1"/>
  <c r="HW32" i="124" s="1"/>
  <c r="HU32" i="124" a="1"/>
  <c r="HU32" i="124" s="1"/>
  <c r="FV32" i="124"/>
  <c r="FD32" i="124" s="1"/>
  <c r="FO32" i="124"/>
  <c r="FC32" i="124" s="1"/>
  <c r="EZ32" i="124"/>
  <c r="ES32" i="124"/>
  <c r="BW32" i="124" s="1"/>
  <c r="X32" i="124" s="1"/>
  <c r="DC32" i="124"/>
  <c r="DA32" i="124"/>
  <c r="CY32" i="124"/>
  <c r="CW32" i="124"/>
  <c r="CV32" i="124"/>
  <c r="CU32" i="124"/>
  <c r="CT32" i="124"/>
  <c r="CS32" i="124"/>
  <c r="CR32" i="124"/>
  <c r="CG32" i="124"/>
  <c r="CD32" i="124"/>
  <c r="CA32" i="124"/>
  <c r="BU32" i="124"/>
  <c r="BK32" i="124"/>
  <c r="BH32" i="124"/>
  <c r="BB32" i="124"/>
  <c r="AV32" i="124"/>
  <c r="AS32" i="124"/>
  <c r="AP32" i="124"/>
  <c r="AK32" i="124"/>
  <c r="AG32" i="124"/>
  <c r="AA32" i="124"/>
  <c r="W32" i="124"/>
  <c r="S32" i="124"/>
  <c r="O32" i="124"/>
  <c r="RR31" i="124"/>
  <c r="RG31" i="124"/>
  <c r="RF31" i="124"/>
  <c r="RE31" i="124"/>
  <c r="RD31" i="124"/>
  <c r="RC31" i="124"/>
  <c r="RB31" i="124"/>
  <c r="QZ31" i="124"/>
  <c r="QY31" i="124"/>
  <c r="QX31" i="124"/>
  <c r="QW31" i="124"/>
  <c r="QV31" i="124"/>
  <c r="QU31" i="124"/>
  <c r="QP31" i="124"/>
  <c r="PA31" i="124"/>
  <c r="NK31" i="124"/>
  <c r="NK32" i="124" s="1"/>
  <c r="NK33" i="124" s="1"/>
  <c r="NK34" i="124" s="1"/>
  <c r="NK35" i="124" s="1"/>
  <c r="MV31" i="124"/>
  <c r="MD31" i="124"/>
  <c r="LX31" i="124"/>
  <c r="LJ31" i="124"/>
  <c r="LI31" i="124"/>
  <c r="LH31" i="124"/>
  <c r="HW31" i="124" a="1"/>
  <c r="HW31" i="124" s="1"/>
  <c r="HU31" i="124" a="1"/>
  <c r="HU31" i="124" s="1"/>
  <c r="FV31" i="124"/>
  <c r="FD31" i="124" s="1"/>
  <c r="FO31" i="124"/>
  <c r="FC31" i="124" s="1"/>
  <c r="EZ31" i="124"/>
  <c r="ES31" i="124"/>
  <c r="BW31" i="124" s="1"/>
  <c r="X31" i="124" s="1"/>
  <c r="DC31" i="124"/>
  <c r="DA31" i="124"/>
  <c r="CY31" i="124"/>
  <c r="CW31" i="124"/>
  <c r="CV31" i="124"/>
  <c r="CU31" i="124"/>
  <c r="CT31" i="124"/>
  <c r="CS31" i="124"/>
  <c r="CR31" i="124"/>
  <c r="CG31" i="124"/>
  <c r="CD31" i="124"/>
  <c r="CA31" i="124"/>
  <c r="BU31" i="124"/>
  <c r="BK31" i="124"/>
  <c r="BH31" i="124"/>
  <c r="BB31" i="124"/>
  <c r="AV31" i="124"/>
  <c r="AS31" i="124"/>
  <c r="AP31" i="124"/>
  <c r="AK31" i="124"/>
  <c r="AG31" i="124"/>
  <c r="AA31" i="124"/>
  <c r="W31" i="124"/>
  <c r="S31" i="124"/>
  <c r="O31" i="124"/>
  <c r="RR30" i="124"/>
  <c r="RG30" i="124"/>
  <c r="RF30" i="124"/>
  <c r="RE30" i="124"/>
  <c r="RD30" i="124"/>
  <c r="RC30" i="124"/>
  <c r="RB30" i="124"/>
  <c r="QZ30" i="124"/>
  <c r="QY30" i="124"/>
  <c r="QX30" i="124"/>
  <c r="QW30" i="124"/>
  <c r="QV30" i="124"/>
  <c r="QU30" i="124"/>
  <c r="QP30" i="124"/>
  <c r="PA30" i="124"/>
  <c r="MV30" i="124"/>
  <c r="MD30" i="124"/>
  <c r="LX30" i="124"/>
  <c r="LJ30" i="124"/>
  <c r="LI30" i="124"/>
  <c r="LH30" i="124"/>
  <c r="HW30" i="124" a="1"/>
  <c r="HW30" i="124" s="1"/>
  <c r="HU30" i="124" a="1"/>
  <c r="HU30" i="124" s="1"/>
  <c r="FV30" i="124"/>
  <c r="FD30" i="124" s="1"/>
  <c r="FO30" i="124"/>
  <c r="FC30" i="124" s="1"/>
  <c r="EZ30" i="124"/>
  <c r="ES30" i="124"/>
  <c r="BW30" i="124" s="1"/>
  <c r="BX30" i="124" s="1"/>
  <c r="DC30" i="124"/>
  <c r="DA30" i="124"/>
  <c r="CY30" i="124"/>
  <c r="CW30" i="124"/>
  <c r="CV30" i="124"/>
  <c r="CU30" i="124"/>
  <c r="CT30" i="124"/>
  <c r="CS30" i="124"/>
  <c r="CR30" i="124"/>
  <c r="CG30" i="124"/>
  <c r="CD30" i="124"/>
  <c r="CA30" i="124"/>
  <c r="BU30" i="124"/>
  <c r="BK30" i="124"/>
  <c r="BH30" i="124"/>
  <c r="BB30" i="124"/>
  <c r="AV30" i="124"/>
  <c r="AS30" i="124"/>
  <c r="AP30" i="124"/>
  <c r="AK30" i="124"/>
  <c r="AG30" i="124"/>
  <c r="AA30" i="124"/>
  <c r="W30" i="124"/>
  <c r="S30" i="124"/>
  <c r="O30" i="124"/>
  <c r="RR29" i="124"/>
  <c r="RG29" i="124"/>
  <c r="RF29" i="124"/>
  <c r="RE29" i="124"/>
  <c r="RD29" i="124"/>
  <c r="RC29" i="124"/>
  <c r="RB29" i="124"/>
  <c r="QZ29" i="124"/>
  <c r="QY29" i="124"/>
  <c r="QX29" i="124"/>
  <c r="QW29" i="124"/>
  <c r="QV29" i="124"/>
  <c r="QU29" i="124"/>
  <c r="QP29" i="124"/>
  <c r="PA29" i="124"/>
  <c r="MV29" i="124"/>
  <c r="MD29" i="124"/>
  <c r="LX29" i="124"/>
  <c r="LJ29" i="124"/>
  <c r="LI29" i="124"/>
  <c r="LH29" i="124"/>
  <c r="HW29" i="124" a="1"/>
  <c r="HW29" i="124" s="1"/>
  <c r="HU29" i="124" a="1"/>
  <c r="HU29" i="124" s="1"/>
  <c r="FV29" i="124"/>
  <c r="FD29" i="124" s="1"/>
  <c r="FO29" i="124"/>
  <c r="FC29" i="124" s="1"/>
  <c r="EZ29" i="124"/>
  <c r="ES29" i="124"/>
  <c r="BW29" i="124" s="1"/>
  <c r="X29" i="124" s="1"/>
  <c r="DC29" i="124"/>
  <c r="DA29" i="124"/>
  <c r="CY29" i="124"/>
  <c r="CW29" i="124"/>
  <c r="CV29" i="124"/>
  <c r="CU29" i="124"/>
  <c r="CT29" i="124"/>
  <c r="CS29" i="124"/>
  <c r="CR29" i="124"/>
  <c r="CG29" i="124"/>
  <c r="CD29" i="124"/>
  <c r="CA29" i="124"/>
  <c r="BU29" i="124"/>
  <c r="BK29" i="124"/>
  <c r="BH29" i="124"/>
  <c r="BB29" i="124"/>
  <c r="AV29" i="124"/>
  <c r="AS29" i="124"/>
  <c r="AP29" i="124"/>
  <c r="AK29" i="124"/>
  <c r="AG29" i="124"/>
  <c r="AA29" i="124"/>
  <c r="W29" i="124"/>
  <c r="S29" i="124"/>
  <c r="O29" i="124"/>
  <c r="RR28" i="124"/>
  <c r="RG28" i="124"/>
  <c r="RF28" i="124"/>
  <c r="RE28" i="124"/>
  <c r="RD28" i="124"/>
  <c r="RC28" i="124"/>
  <c r="RB28" i="124"/>
  <c r="QZ28" i="124"/>
  <c r="QY28" i="124"/>
  <c r="QX28" i="124"/>
  <c r="QW28" i="124"/>
  <c r="QV28" i="124"/>
  <c r="QU28" i="124"/>
  <c r="QP28" i="124"/>
  <c r="PA28" i="124"/>
  <c r="MV28" i="124"/>
  <c r="MD28" i="124"/>
  <c r="LX28" i="124"/>
  <c r="LJ28" i="124"/>
  <c r="LI28" i="124"/>
  <c r="LH28" i="124"/>
  <c r="HW28" i="124" a="1"/>
  <c r="HW28" i="124" s="1"/>
  <c r="HU28" i="124" a="1"/>
  <c r="HU28" i="124" s="1"/>
  <c r="FV28" i="124"/>
  <c r="FD28" i="124" s="1"/>
  <c r="FO28" i="124"/>
  <c r="FC28" i="124" s="1"/>
  <c r="EZ28" i="124"/>
  <c r="ES28" i="124"/>
  <c r="BW28" i="124" s="1"/>
  <c r="X28" i="124" s="1"/>
  <c r="DC28" i="124"/>
  <c r="DA28" i="124"/>
  <c r="CY28" i="124"/>
  <c r="CW28" i="124"/>
  <c r="CV28" i="124"/>
  <c r="CU28" i="124"/>
  <c r="CT28" i="124"/>
  <c r="CS28" i="124"/>
  <c r="CR28" i="124"/>
  <c r="CG28" i="124"/>
  <c r="CD28" i="124"/>
  <c r="CA28" i="124"/>
  <c r="BU28" i="124"/>
  <c r="BK28" i="124"/>
  <c r="BH28" i="124"/>
  <c r="BB28" i="124"/>
  <c r="AV28" i="124"/>
  <c r="AS28" i="124"/>
  <c r="AP28" i="124"/>
  <c r="AK28" i="124"/>
  <c r="AG28" i="124"/>
  <c r="AA28" i="124"/>
  <c r="W28" i="124"/>
  <c r="S28" i="124"/>
  <c r="O28" i="124"/>
  <c r="RR27" i="124"/>
  <c r="RG27" i="124"/>
  <c r="RF27" i="124"/>
  <c r="RE27" i="124"/>
  <c r="RD27" i="124"/>
  <c r="RC27" i="124"/>
  <c r="RB27" i="124"/>
  <c r="QZ27" i="124"/>
  <c r="QY27" i="124"/>
  <c r="QX27" i="124"/>
  <c r="QW27" i="124"/>
  <c r="QV27" i="124"/>
  <c r="QU27" i="124"/>
  <c r="QP27" i="124"/>
  <c r="PA27" i="124"/>
  <c r="MV27" i="124"/>
  <c r="MD27" i="124"/>
  <c r="LX27" i="124"/>
  <c r="LJ27" i="124"/>
  <c r="LI27" i="124"/>
  <c r="LH27" i="124"/>
  <c r="HW27" i="124" a="1"/>
  <c r="HW27" i="124" s="1"/>
  <c r="HU27" i="124" a="1"/>
  <c r="HU27" i="124" s="1"/>
  <c r="FV27" i="124"/>
  <c r="FD27" i="124" s="1"/>
  <c r="FO27" i="124"/>
  <c r="FC27" i="124" s="1"/>
  <c r="EZ27" i="124"/>
  <c r="ES27" i="124"/>
  <c r="BW27" i="124" s="1"/>
  <c r="DC27" i="124"/>
  <c r="DA27" i="124"/>
  <c r="CY27" i="124"/>
  <c r="CW27" i="124"/>
  <c r="CV27" i="124"/>
  <c r="CU27" i="124"/>
  <c r="CT27" i="124"/>
  <c r="CS27" i="124"/>
  <c r="CR27" i="124"/>
  <c r="CG27" i="124"/>
  <c r="CD27" i="124"/>
  <c r="CA27" i="124"/>
  <c r="BU27" i="124"/>
  <c r="BK27" i="124"/>
  <c r="BH27" i="124"/>
  <c r="BB27" i="124"/>
  <c r="AV27" i="124"/>
  <c r="AS27" i="124"/>
  <c r="AP27" i="124"/>
  <c r="AK27" i="124"/>
  <c r="AG27" i="124"/>
  <c r="AA27" i="124"/>
  <c r="W27" i="124"/>
  <c r="S27" i="124"/>
  <c r="O27" i="124"/>
  <c r="RR26" i="124"/>
  <c r="RG26" i="124"/>
  <c r="RF26" i="124"/>
  <c r="RE26" i="124"/>
  <c r="RD26" i="124"/>
  <c r="RC26" i="124"/>
  <c r="RB26" i="124"/>
  <c r="QZ26" i="124"/>
  <c r="QY26" i="124"/>
  <c r="QX26" i="124"/>
  <c r="QW26" i="124"/>
  <c r="QV26" i="124"/>
  <c r="QU26" i="124"/>
  <c r="QP26" i="124"/>
  <c r="PA26" i="124"/>
  <c r="MV26" i="124"/>
  <c r="MD26" i="124"/>
  <c r="LX26" i="124"/>
  <c r="LJ26" i="124"/>
  <c r="LI26" i="124"/>
  <c r="LH26" i="124"/>
  <c r="HW26" i="124" a="1"/>
  <c r="HW26" i="124" s="1"/>
  <c r="HU26" i="124" a="1"/>
  <c r="HU26" i="124" s="1"/>
  <c r="FV26" i="124"/>
  <c r="FD26" i="124" s="1"/>
  <c r="FO26" i="124"/>
  <c r="FC26" i="124" s="1"/>
  <c r="EZ26" i="124"/>
  <c r="ES26" i="124"/>
  <c r="BW26" i="124" s="1"/>
  <c r="X26" i="124" s="1"/>
  <c r="DC26" i="124"/>
  <c r="DA26" i="124"/>
  <c r="CY26" i="124"/>
  <c r="CW26" i="124"/>
  <c r="CV26" i="124"/>
  <c r="CU26" i="124"/>
  <c r="CT26" i="124"/>
  <c r="CS26" i="124"/>
  <c r="CR26" i="124"/>
  <c r="CG26" i="124"/>
  <c r="CD26" i="124"/>
  <c r="CA26" i="124"/>
  <c r="BU26" i="124"/>
  <c r="BK26" i="124"/>
  <c r="BH26" i="124"/>
  <c r="BB26" i="124"/>
  <c r="AV26" i="124"/>
  <c r="AS26" i="124"/>
  <c r="AP26" i="124"/>
  <c r="AK26" i="124"/>
  <c r="AG26" i="124"/>
  <c r="AA26" i="124"/>
  <c r="W26" i="124"/>
  <c r="S26" i="124"/>
  <c r="O26" i="124"/>
  <c r="RR25" i="124"/>
  <c r="RG25" i="124"/>
  <c r="RF25" i="124"/>
  <c r="RE25" i="124"/>
  <c r="RD25" i="124"/>
  <c r="RC25" i="124"/>
  <c r="RB25" i="124"/>
  <c r="QZ25" i="124"/>
  <c r="QY25" i="124"/>
  <c r="QX25" i="124"/>
  <c r="QW25" i="124"/>
  <c r="QV25" i="124"/>
  <c r="QU25" i="124"/>
  <c r="QP25" i="124"/>
  <c r="PA25" i="124"/>
  <c r="MV25" i="124"/>
  <c r="MD25" i="124"/>
  <c r="LX25" i="124"/>
  <c r="LJ25" i="124"/>
  <c r="LI25" i="124"/>
  <c r="LH25" i="124"/>
  <c r="HW25" i="124" a="1"/>
  <c r="HW25" i="124" s="1"/>
  <c r="HU25" i="124" a="1"/>
  <c r="HU25" i="124" s="1"/>
  <c r="FV25" i="124"/>
  <c r="FD25" i="124" s="1"/>
  <c r="FO25" i="124"/>
  <c r="FC25" i="124"/>
  <c r="EZ25" i="124"/>
  <c r="ES25" i="124"/>
  <c r="BW25" i="124" s="1"/>
  <c r="BX25" i="124" s="1"/>
  <c r="DC25" i="124"/>
  <c r="DA25" i="124"/>
  <c r="CY25" i="124"/>
  <c r="CW25" i="124"/>
  <c r="CV25" i="124"/>
  <c r="CU25" i="124"/>
  <c r="CT25" i="124"/>
  <c r="CS25" i="124"/>
  <c r="CR25" i="124"/>
  <c r="CG25" i="124"/>
  <c r="CD25" i="124"/>
  <c r="CA25" i="124"/>
  <c r="BU25" i="124"/>
  <c r="BK25" i="124"/>
  <c r="BH25" i="124"/>
  <c r="BB25" i="124"/>
  <c r="AV25" i="124"/>
  <c r="AS25" i="124"/>
  <c r="AP25" i="124"/>
  <c r="AK25" i="124"/>
  <c r="AG25" i="124"/>
  <c r="AA25" i="124"/>
  <c r="W25" i="124"/>
  <c r="S25" i="124"/>
  <c r="O25" i="124"/>
  <c r="RR24" i="124"/>
  <c r="RG24" i="124"/>
  <c r="RF24" i="124"/>
  <c r="RE24" i="124"/>
  <c r="RD24" i="124"/>
  <c r="RC24" i="124"/>
  <c r="RB24" i="124"/>
  <c r="QZ24" i="124"/>
  <c r="QY24" i="124"/>
  <c r="QX24" i="124"/>
  <c r="QW24" i="124"/>
  <c r="QV24" i="124"/>
  <c r="QU24" i="124"/>
  <c r="QP24" i="124"/>
  <c r="PA24" i="124"/>
  <c r="OJ24" i="124"/>
  <c r="OJ25" i="124" s="1"/>
  <c r="OJ26" i="124" s="1"/>
  <c r="OJ27" i="124" s="1"/>
  <c r="OJ28" i="124" s="1"/>
  <c r="OJ29" i="124" s="1"/>
  <c r="OJ30" i="124" s="1"/>
  <c r="OJ31" i="124" s="1"/>
  <c r="OJ32" i="124" s="1"/>
  <c r="OJ33" i="124" s="1"/>
  <c r="OJ34" i="124" s="1"/>
  <c r="OJ35" i="124" s="1"/>
  <c r="OJ36" i="124" s="1"/>
  <c r="OJ37" i="124" s="1"/>
  <c r="OJ38" i="124" s="1"/>
  <c r="OJ39" i="124" s="1"/>
  <c r="OJ40" i="124" s="1"/>
  <c r="OJ41" i="124" s="1"/>
  <c r="OJ42" i="124" s="1"/>
  <c r="OJ44" i="124" s="1"/>
  <c r="MV24" i="124"/>
  <c r="MD24" i="124"/>
  <c r="LX24" i="124"/>
  <c r="LJ24" i="124"/>
  <c r="LI24" i="124"/>
  <c r="LH24" i="124"/>
  <c r="HW24" i="124" a="1"/>
  <c r="HW24" i="124" s="1"/>
  <c r="HU24" i="124" a="1"/>
  <c r="HU24" i="124" s="1"/>
  <c r="FV24" i="124"/>
  <c r="FD24" i="124" s="1"/>
  <c r="FO24" i="124"/>
  <c r="FC24" i="124" s="1"/>
  <c r="EZ24" i="124"/>
  <c r="ES24" i="124"/>
  <c r="BW24" i="124" s="1"/>
  <c r="X24" i="124" s="1"/>
  <c r="DC24" i="124"/>
  <c r="DA24" i="124"/>
  <c r="CY24" i="124"/>
  <c r="CW24" i="124"/>
  <c r="CV24" i="124"/>
  <c r="CU24" i="124"/>
  <c r="CT24" i="124"/>
  <c r="CS24" i="124"/>
  <c r="CR24" i="124"/>
  <c r="CG24" i="124"/>
  <c r="CD24" i="124"/>
  <c r="CA24" i="124"/>
  <c r="BU24" i="124"/>
  <c r="BK24" i="124"/>
  <c r="BH24" i="124"/>
  <c r="BB24" i="124"/>
  <c r="AV24" i="124"/>
  <c r="AS24" i="124"/>
  <c r="AP24" i="124"/>
  <c r="AK24" i="124"/>
  <c r="AG24" i="124"/>
  <c r="AA24" i="124"/>
  <c r="W24" i="124"/>
  <c r="S24" i="124"/>
  <c r="O24" i="124"/>
  <c r="RR23" i="124"/>
  <c r="RG23" i="124"/>
  <c r="RF23" i="124"/>
  <c r="RE23" i="124"/>
  <c r="RD23" i="124"/>
  <c r="RC23" i="124"/>
  <c r="RB23" i="124"/>
  <c r="QZ23" i="124"/>
  <c r="QY23" i="124"/>
  <c r="QX23" i="124"/>
  <c r="QW23" i="124"/>
  <c r="QV23" i="124"/>
  <c r="QU23" i="124"/>
  <c r="QP23" i="124"/>
  <c r="PA23" i="124"/>
  <c r="MV23" i="124"/>
  <c r="LX23" i="124"/>
  <c r="LJ23" i="124"/>
  <c r="LI23" i="124"/>
  <c r="LH23" i="124"/>
  <c r="HW23" i="124" a="1"/>
  <c r="HW23" i="124" s="1"/>
  <c r="HU23" i="124" a="1"/>
  <c r="HU23" i="124" s="1"/>
  <c r="FV23" i="124"/>
  <c r="FD23" i="124" s="1"/>
  <c r="FO23" i="124"/>
  <c r="FC23" i="124" s="1"/>
  <c r="EZ23" i="124"/>
  <c r="ES23" i="124"/>
  <c r="BW23" i="124" s="1"/>
  <c r="BX23" i="124" s="1"/>
  <c r="DC23" i="124"/>
  <c r="DA23" i="124"/>
  <c r="CY23" i="124"/>
  <c r="CW23" i="124"/>
  <c r="CV23" i="124"/>
  <c r="CU23" i="124"/>
  <c r="CT23" i="124"/>
  <c r="CS23" i="124"/>
  <c r="CR23" i="124"/>
  <c r="CG23" i="124"/>
  <c r="CD23" i="124"/>
  <c r="CA23" i="124"/>
  <c r="BU23" i="124"/>
  <c r="BK23" i="124"/>
  <c r="BH23" i="124"/>
  <c r="BB23" i="124"/>
  <c r="AV23" i="124"/>
  <c r="AS23" i="124"/>
  <c r="AP23" i="124"/>
  <c r="AK23" i="124"/>
  <c r="AG23" i="124"/>
  <c r="AA23" i="124"/>
  <c r="W23" i="124"/>
  <c r="S23" i="124"/>
  <c r="O23" i="124"/>
  <c r="RR22" i="124"/>
  <c r="RG22" i="124"/>
  <c r="RF22" i="124"/>
  <c r="RE22" i="124"/>
  <c r="RD22" i="124"/>
  <c r="RC22" i="124"/>
  <c r="RB22" i="124"/>
  <c r="QZ22" i="124"/>
  <c r="QY22" i="124"/>
  <c r="QX22" i="124"/>
  <c r="QW22" i="124"/>
  <c r="QV22" i="124"/>
  <c r="QU22" i="124"/>
  <c r="QP22" i="124"/>
  <c r="PA22" i="124"/>
  <c r="MV22" i="124"/>
  <c r="MD22" i="124"/>
  <c r="LX22" i="124"/>
  <c r="LJ22" i="124"/>
  <c r="LI22" i="124"/>
  <c r="LH22" i="124"/>
  <c r="HW22" i="124" a="1"/>
  <c r="HW22" i="124" s="1"/>
  <c r="HU22" i="124" a="1"/>
  <c r="HU22" i="124" s="1"/>
  <c r="FV22" i="124"/>
  <c r="FD22" i="124" s="1"/>
  <c r="FO22" i="124"/>
  <c r="FC22" i="124" s="1"/>
  <c r="EZ22" i="124"/>
  <c r="ES22" i="124"/>
  <c r="BW22" i="124" s="1"/>
  <c r="BX22" i="124" s="1"/>
  <c r="DC22" i="124"/>
  <c r="DA22" i="124"/>
  <c r="CY22" i="124"/>
  <c r="CW22" i="124"/>
  <c r="CV22" i="124"/>
  <c r="CU22" i="124"/>
  <c r="CT22" i="124"/>
  <c r="CS22" i="124"/>
  <c r="CR22" i="124"/>
  <c r="CG22" i="124"/>
  <c r="CD22" i="124"/>
  <c r="CA22" i="124"/>
  <c r="BU22" i="124"/>
  <c r="BK22" i="124"/>
  <c r="BH22" i="124"/>
  <c r="BB22" i="124"/>
  <c r="AV22" i="124"/>
  <c r="AS22" i="124"/>
  <c r="AP22" i="124"/>
  <c r="AK22" i="124"/>
  <c r="AG22" i="124"/>
  <c r="AA22" i="124"/>
  <c r="W22" i="124"/>
  <c r="S22" i="124"/>
  <c r="O22" i="124"/>
  <c r="RR21" i="124"/>
  <c r="RG21" i="124"/>
  <c r="RF21" i="124"/>
  <c r="RE21" i="124"/>
  <c r="RD21" i="124"/>
  <c r="RC21" i="124"/>
  <c r="RB21" i="124"/>
  <c r="QZ21" i="124"/>
  <c r="QY21" i="124"/>
  <c r="QX21" i="124"/>
  <c r="QW21" i="124"/>
  <c r="QV21" i="124"/>
  <c r="QU21" i="124"/>
  <c r="QP21" i="124"/>
  <c r="PA21" i="124"/>
  <c r="OJ21" i="124"/>
  <c r="MV21" i="124"/>
  <c r="MD21" i="124"/>
  <c r="LX21" i="124"/>
  <c r="LJ21" i="124"/>
  <c r="LI21" i="124"/>
  <c r="LH21" i="124"/>
  <c r="HW21" i="124" a="1"/>
  <c r="HW21" i="124" s="1"/>
  <c r="HU21" i="124" a="1"/>
  <c r="HU21" i="124" s="1"/>
  <c r="FV21" i="124"/>
  <c r="FD21" i="124" s="1"/>
  <c r="FO21" i="124"/>
  <c r="FC21" i="124" s="1"/>
  <c r="EZ21" i="124"/>
  <c r="ES21" i="124"/>
  <c r="BW21" i="124" s="1"/>
  <c r="BX21" i="124" s="1"/>
  <c r="DC21" i="124"/>
  <c r="DA21" i="124"/>
  <c r="CY21" i="124"/>
  <c r="CW21" i="124"/>
  <c r="CV21" i="124"/>
  <c r="CU21" i="124"/>
  <c r="CT21" i="124"/>
  <c r="CS21" i="124"/>
  <c r="CR21" i="124"/>
  <c r="CG21" i="124"/>
  <c r="CD21" i="124"/>
  <c r="CA21" i="124"/>
  <c r="BU21" i="124"/>
  <c r="BK21" i="124"/>
  <c r="BH21" i="124"/>
  <c r="BB21" i="124"/>
  <c r="AV21" i="124"/>
  <c r="AS21" i="124"/>
  <c r="AP21" i="124"/>
  <c r="AK21" i="124"/>
  <c r="AG21" i="124"/>
  <c r="AA21" i="124"/>
  <c r="W21" i="124"/>
  <c r="S21" i="124"/>
  <c r="O21" i="124"/>
  <c r="RR20" i="124"/>
  <c r="RG20" i="124"/>
  <c r="RF20" i="124"/>
  <c r="RE20" i="124"/>
  <c r="RD20" i="124"/>
  <c r="RC20" i="124"/>
  <c r="RB20" i="124"/>
  <c r="QZ20" i="124"/>
  <c r="QY20" i="124"/>
  <c r="QX20" i="124"/>
  <c r="QW20" i="124"/>
  <c r="QV20" i="124"/>
  <c r="QU20" i="124"/>
  <c r="QP20" i="124"/>
  <c r="PA20" i="124"/>
  <c r="MV20" i="124"/>
  <c r="MD20" i="124"/>
  <c r="LX20" i="124"/>
  <c r="LJ20" i="124"/>
  <c r="LI20" i="124"/>
  <c r="LH20" i="124"/>
  <c r="HW20" i="124" a="1"/>
  <c r="HW20" i="124" s="1"/>
  <c r="HU20" i="124" a="1"/>
  <c r="HU20" i="124" s="1"/>
  <c r="FV20" i="124"/>
  <c r="FD20" i="124" s="1"/>
  <c r="FO20" i="124"/>
  <c r="FC20" i="124" s="1"/>
  <c r="EZ20" i="124"/>
  <c r="ES20" i="124"/>
  <c r="BW20" i="124" s="1"/>
  <c r="X20" i="124" s="1"/>
  <c r="DC20" i="124"/>
  <c r="DA20" i="124"/>
  <c r="CY20" i="124"/>
  <c r="CW20" i="124"/>
  <c r="CV20" i="124"/>
  <c r="CU20" i="124"/>
  <c r="CT20" i="124"/>
  <c r="CS20" i="124"/>
  <c r="CR20" i="124"/>
  <c r="CG20" i="124"/>
  <c r="CD20" i="124"/>
  <c r="CA20" i="124"/>
  <c r="BU20" i="124"/>
  <c r="BK20" i="124"/>
  <c r="BH20" i="124"/>
  <c r="BB20" i="124"/>
  <c r="AV20" i="124"/>
  <c r="AS20" i="124"/>
  <c r="AP20" i="124"/>
  <c r="AK20" i="124"/>
  <c r="AG20" i="124"/>
  <c r="AA20" i="124"/>
  <c r="W20" i="124"/>
  <c r="S20" i="124"/>
  <c r="O20" i="124"/>
  <c r="RR19" i="124"/>
  <c r="RG19" i="124"/>
  <c r="RF19" i="124"/>
  <c r="RE19" i="124"/>
  <c r="RD19" i="124"/>
  <c r="RC19" i="124"/>
  <c r="RB19" i="124"/>
  <c r="QZ19" i="124"/>
  <c r="QY19" i="124"/>
  <c r="QX19" i="124"/>
  <c r="QW19" i="124"/>
  <c r="QV19" i="124"/>
  <c r="QU19" i="124"/>
  <c r="QP19" i="124"/>
  <c r="PA19" i="124"/>
  <c r="MV19" i="124"/>
  <c r="MD19" i="124"/>
  <c r="LX19" i="124"/>
  <c r="LJ19" i="124"/>
  <c r="RM19" i="124" s="1"/>
  <c r="LI19" i="124"/>
  <c r="LH19" i="124"/>
  <c r="HW19" i="124" a="1"/>
  <c r="HW19" i="124" s="1"/>
  <c r="HU19" i="124" a="1"/>
  <c r="HU19" i="124" s="1"/>
  <c r="FV19" i="124"/>
  <c r="FD19" i="124" s="1"/>
  <c r="FO19" i="124"/>
  <c r="FC19" i="124" s="1"/>
  <c r="EZ19" i="124"/>
  <c r="ES19" i="124"/>
  <c r="BW19" i="124" s="1"/>
  <c r="BX19" i="124" s="1"/>
  <c r="DC19" i="124"/>
  <c r="DA19" i="124"/>
  <c r="CY19" i="124"/>
  <c r="CW19" i="124"/>
  <c r="CV19" i="124"/>
  <c r="CU19" i="124"/>
  <c r="CT19" i="124"/>
  <c r="CS19" i="124"/>
  <c r="CR19" i="124"/>
  <c r="CG19" i="124"/>
  <c r="CD19" i="124"/>
  <c r="CA19" i="124"/>
  <c r="BU19" i="124"/>
  <c r="BK19" i="124"/>
  <c r="BH19" i="124"/>
  <c r="BB19" i="124"/>
  <c r="AV19" i="124"/>
  <c r="AS19" i="124"/>
  <c r="AP19" i="124"/>
  <c r="AK19" i="124"/>
  <c r="AG19" i="124"/>
  <c r="AA19" i="124"/>
  <c r="W19" i="124"/>
  <c r="S19" i="124"/>
  <c r="O19" i="124"/>
  <c r="RR18" i="124"/>
  <c r="RN18" i="124"/>
  <c r="RG18" i="124"/>
  <c r="RF18" i="124"/>
  <c r="RE18" i="124"/>
  <c r="RD18" i="124"/>
  <c r="RC18" i="124"/>
  <c r="RB18" i="124"/>
  <c r="QZ18" i="124"/>
  <c r="QY18" i="124"/>
  <c r="QX18" i="124"/>
  <c r="QW18" i="124"/>
  <c r="QV18" i="124"/>
  <c r="QU18" i="124"/>
  <c r="QP18" i="124"/>
  <c r="PA18" i="124"/>
  <c r="MV18" i="124"/>
  <c r="MD18" i="124"/>
  <c r="LX18" i="124"/>
  <c r="LJ18" i="124"/>
  <c r="LI18" i="124"/>
  <c r="LH18" i="124"/>
  <c r="HW18" i="124" a="1"/>
  <c r="HW18" i="124" s="1"/>
  <c r="HU18" i="124" a="1"/>
  <c r="HU18" i="124" s="1"/>
  <c r="FV18" i="124"/>
  <c r="FD18" i="124" s="1"/>
  <c r="FO18" i="124"/>
  <c r="FC18" i="124"/>
  <c r="EZ18" i="124"/>
  <c r="ES18" i="124"/>
  <c r="BW18" i="124" s="1"/>
  <c r="DC18" i="124"/>
  <c r="DA18" i="124"/>
  <c r="CY18" i="124"/>
  <c r="CW18" i="124"/>
  <c r="CV18" i="124"/>
  <c r="CU18" i="124"/>
  <c r="CT18" i="124"/>
  <c r="CS18" i="124"/>
  <c r="CR18" i="124"/>
  <c r="CG18" i="124"/>
  <c r="CD18" i="124"/>
  <c r="CA18" i="124"/>
  <c r="BU18" i="124"/>
  <c r="BK18" i="124"/>
  <c r="BH18" i="124"/>
  <c r="BB18" i="124"/>
  <c r="AV18" i="124"/>
  <c r="AS18" i="124"/>
  <c r="AP18" i="124"/>
  <c r="AK18" i="124"/>
  <c r="AG18" i="124"/>
  <c r="AA18" i="124"/>
  <c r="W18" i="124"/>
  <c r="S18" i="124"/>
  <c r="O18" i="124"/>
  <c r="RR17" i="124"/>
  <c r="RG17" i="124"/>
  <c r="RF17" i="124"/>
  <c r="RE17" i="124"/>
  <c r="RD17" i="124"/>
  <c r="RC17" i="124"/>
  <c r="RB17" i="124"/>
  <c r="QZ17" i="124"/>
  <c r="QY17" i="124"/>
  <c r="QX17" i="124"/>
  <c r="QW17" i="124"/>
  <c r="QV17" i="124"/>
  <c r="QU17" i="124"/>
  <c r="QP17" i="124"/>
  <c r="PA17" i="124"/>
  <c r="MV17" i="124"/>
  <c r="MD17" i="124"/>
  <c r="LX17" i="124"/>
  <c r="LJ17" i="124"/>
  <c r="LI17" i="124"/>
  <c r="LH17" i="124"/>
  <c r="HW17" i="124" a="1"/>
  <c r="HW17" i="124" s="1"/>
  <c r="HU17" i="124" a="1"/>
  <c r="HU17" i="124" s="1"/>
  <c r="FV17" i="124"/>
  <c r="FD17" i="124" s="1"/>
  <c r="FO17" i="124"/>
  <c r="FC17" i="124" s="1"/>
  <c r="EZ17" i="124"/>
  <c r="ES17" i="124"/>
  <c r="BW17" i="124" s="1"/>
  <c r="BX17" i="124" s="1"/>
  <c r="DC17" i="124"/>
  <c r="DA17" i="124"/>
  <c r="CY17" i="124"/>
  <c r="CW17" i="124"/>
  <c r="CV17" i="124"/>
  <c r="CU17" i="124"/>
  <c r="CT17" i="124"/>
  <c r="CS17" i="124"/>
  <c r="CR17" i="124"/>
  <c r="CG17" i="124"/>
  <c r="CD17" i="124"/>
  <c r="CA17" i="124"/>
  <c r="BU17" i="124"/>
  <c r="BK17" i="124"/>
  <c r="BH17" i="124"/>
  <c r="BB17" i="124"/>
  <c r="AV17" i="124"/>
  <c r="AS17" i="124"/>
  <c r="AP17" i="124"/>
  <c r="AK17" i="124"/>
  <c r="AG17" i="124"/>
  <c r="AA17" i="124"/>
  <c r="W17" i="124"/>
  <c r="S17" i="124"/>
  <c r="O17" i="124"/>
  <c r="RR16" i="124"/>
  <c r="RG16" i="124"/>
  <c r="RF16" i="124"/>
  <c r="RE16" i="124"/>
  <c r="RD16" i="124"/>
  <c r="RC16" i="124"/>
  <c r="RB16" i="124"/>
  <c r="QZ16" i="124"/>
  <c r="QY16" i="124"/>
  <c r="QX16" i="124"/>
  <c r="QW16" i="124"/>
  <c r="QV16" i="124"/>
  <c r="QU16" i="124"/>
  <c r="QP16" i="124"/>
  <c r="PA16" i="124"/>
  <c r="MV16" i="124"/>
  <c r="MD16" i="124"/>
  <c r="LJ16" i="124"/>
  <c r="LI16" i="124"/>
  <c r="LH16" i="124"/>
  <c r="HW16" i="124" a="1"/>
  <c r="HW16" i="124" s="1"/>
  <c r="HU16" i="124" a="1"/>
  <c r="HU16" i="124" s="1"/>
  <c r="FV16" i="124"/>
  <c r="FD16" i="124" s="1"/>
  <c r="FO16" i="124"/>
  <c r="FC16" i="124" s="1"/>
  <c r="EZ16" i="124"/>
  <c r="ES16" i="124"/>
  <c r="BW16" i="124" s="1"/>
  <c r="X16" i="124" s="1"/>
  <c r="DC16" i="124"/>
  <c r="DA16" i="124"/>
  <c r="CY16" i="124"/>
  <c r="CW16" i="124"/>
  <c r="CV16" i="124"/>
  <c r="CU16" i="124"/>
  <c r="CT16" i="124"/>
  <c r="CS16" i="124"/>
  <c r="CR16" i="124"/>
  <c r="CG16" i="124"/>
  <c r="CD16" i="124"/>
  <c r="CA16" i="124"/>
  <c r="BU16" i="124"/>
  <c r="BK16" i="124"/>
  <c r="BH16" i="124"/>
  <c r="BB16" i="124"/>
  <c r="AV16" i="124"/>
  <c r="AS16" i="124"/>
  <c r="AP16" i="124"/>
  <c r="AK16" i="124"/>
  <c r="AG16" i="124"/>
  <c r="AA16" i="124"/>
  <c r="W16" i="124"/>
  <c r="S16" i="124"/>
  <c r="O16" i="124"/>
  <c r="RR15" i="124"/>
  <c r="RG15" i="124"/>
  <c r="RF15" i="124"/>
  <c r="RE15" i="124"/>
  <c r="RD15" i="124"/>
  <c r="RC15" i="124"/>
  <c r="RB15" i="124"/>
  <c r="QZ15" i="124"/>
  <c r="QY15" i="124"/>
  <c r="QX15" i="124"/>
  <c r="QW15" i="124"/>
  <c r="QV15" i="124"/>
  <c r="QU15" i="124"/>
  <c r="QP15" i="124"/>
  <c r="PA15" i="124"/>
  <c r="MV15" i="124"/>
  <c r="MD15" i="124"/>
  <c r="LX15" i="124"/>
  <c r="LJ15" i="124"/>
  <c r="LI15" i="124"/>
  <c r="LH15" i="124"/>
  <c r="HW15" i="124" a="1"/>
  <c r="HW15" i="124" s="1"/>
  <c r="HU15" i="124" a="1"/>
  <c r="HU15" i="124" s="1"/>
  <c r="FV15" i="124"/>
  <c r="FD15" i="124" s="1"/>
  <c r="FO15" i="124"/>
  <c r="FC15" i="124" s="1"/>
  <c r="EZ15" i="124"/>
  <c r="ES15" i="124"/>
  <c r="BW15" i="124" s="1"/>
  <c r="BX15" i="124" s="1"/>
  <c r="DC15" i="124"/>
  <c r="DA15" i="124"/>
  <c r="CY15" i="124"/>
  <c r="CW15" i="124"/>
  <c r="CV15" i="124"/>
  <c r="CU15" i="124"/>
  <c r="CT15" i="124"/>
  <c r="CS15" i="124"/>
  <c r="CR15" i="124"/>
  <c r="CG15" i="124"/>
  <c r="CD15" i="124"/>
  <c r="CA15" i="124"/>
  <c r="BU15" i="124"/>
  <c r="BK15" i="124"/>
  <c r="BH15" i="124"/>
  <c r="BB15" i="124"/>
  <c r="AV15" i="124"/>
  <c r="AS15" i="124"/>
  <c r="AP15" i="124"/>
  <c r="AK15" i="124"/>
  <c r="AG15" i="124"/>
  <c r="AA15" i="124"/>
  <c r="W15" i="124"/>
  <c r="S15" i="124"/>
  <c r="O15" i="124"/>
  <c r="RR14" i="124"/>
  <c r="RG14" i="124"/>
  <c r="RF14" i="124"/>
  <c r="RE14" i="124"/>
  <c r="RD14" i="124"/>
  <c r="RC14" i="124"/>
  <c r="RB14" i="124"/>
  <c r="QZ14" i="124"/>
  <c r="QY14" i="124"/>
  <c r="QX14" i="124"/>
  <c r="QW14" i="124"/>
  <c r="QV14" i="124"/>
  <c r="QU14" i="124"/>
  <c r="QP14" i="124"/>
  <c r="PA14" i="124"/>
  <c r="MV14" i="124"/>
  <c r="MD14" i="124"/>
  <c r="LX14" i="124"/>
  <c r="LJ14" i="124"/>
  <c r="LI14" i="124"/>
  <c r="LH14" i="124"/>
  <c r="HW14" i="124" a="1"/>
  <c r="HW14" i="124" s="1"/>
  <c r="HU14" i="124" a="1"/>
  <c r="HU14" i="124" s="1"/>
  <c r="FV14" i="124"/>
  <c r="FD14" i="124" s="1"/>
  <c r="FO14" i="124"/>
  <c r="FC14" i="124" s="1"/>
  <c r="EZ14" i="124"/>
  <c r="ES14" i="124"/>
  <c r="BW14" i="124" s="1"/>
  <c r="BX14" i="124" s="1"/>
  <c r="DC14" i="124"/>
  <c r="DA14" i="124"/>
  <c r="CY14" i="124"/>
  <c r="CW14" i="124"/>
  <c r="CV14" i="124"/>
  <c r="CU14" i="124"/>
  <c r="CT14" i="124"/>
  <c r="CS14" i="124"/>
  <c r="CR14" i="124"/>
  <c r="CG14" i="124"/>
  <c r="CD14" i="124"/>
  <c r="CA14" i="124"/>
  <c r="BU14" i="124"/>
  <c r="BK14" i="124"/>
  <c r="BH14" i="124"/>
  <c r="BB14" i="124"/>
  <c r="AV14" i="124"/>
  <c r="AS14" i="124"/>
  <c r="AP14" i="124"/>
  <c r="AK14" i="124"/>
  <c r="AG14" i="124"/>
  <c r="AA14" i="124"/>
  <c r="W14" i="124"/>
  <c r="S14" i="124"/>
  <c r="O14" i="124"/>
  <c r="RR13" i="124"/>
  <c r="RG13" i="124"/>
  <c r="RF13" i="124"/>
  <c r="RE13" i="124"/>
  <c r="RD13" i="124"/>
  <c r="RC13" i="124"/>
  <c r="RB13" i="124"/>
  <c r="QZ13" i="124"/>
  <c r="QY13" i="124"/>
  <c r="QX13" i="124"/>
  <c r="QW13" i="124"/>
  <c r="QV13" i="124"/>
  <c r="QU13" i="124"/>
  <c r="QP13" i="124"/>
  <c r="PA13" i="124"/>
  <c r="MV13" i="124"/>
  <c r="MD13" i="124"/>
  <c r="LX13" i="124"/>
  <c r="LJ13" i="124"/>
  <c r="LI13" i="124"/>
  <c r="LH13" i="124"/>
  <c r="HW13" i="124" a="1"/>
  <c r="HW13" i="124" s="1"/>
  <c r="HU13" i="124" a="1"/>
  <c r="HU13" i="124" s="1"/>
  <c r="FV13" i="124"/>
  <c r="FD13" i="124" s="1"/>
  <c r="FO13" i="124"/>
  <c r="FC13" i="124" s="1"/>
  <c r="EZ13" i="124"/>
  <c r="ES13" i="124"/>
  <c r="BW13" i="124" s="1"/>
  <c r="X13" i="124" s="1"/>
  <c r="DC13" i="124"/>
  <c r="DA13" i="124"/>
  <c r="CY13" i="124"/>
  <c r="CW13" i="124"/>
  <c r="CV13" i="124"/>
  <c r="CU13" i="124"/>
  <c r="CT13" i="124"/>
  <c r="CS13" i="124"/>
  <c r="CR13" i="124"/>
  <c r="CG13" i="124"/>
  <c r="CD13" i="124"/>
  <c r="CA13" i="124"/>
  <c r="BU13" i="124"/>
  <c r="BK13" i="124"/>
  <c r="BH13" i="124"/>
  <c r="BB13" i="124"/>
  <c r="AV13" i="124"/>
  <c r="AS13" i="124"/>
  <c r="AP13" i="124"/>
  <c r="AK13" i="124"/>
  <c r="AG13" i="124"/>
  <c r="AA13" i="124"/>
  <c r="W13" i="124"/>
  <c r="S13" i="124"/>
  <c r="O13" i="124"/>
  <c r="RR12" i="124"/>
  <c r="RG12" i="124"/>
  <c r="RF12" i="124"/>
  <c r="RE12" i="124"/>
  <c r="RD12" i="124"/>
  <c r="RC12" i="124"/>
  <c r="RB12" i="124"/>
  <c r="QZ12" i="124"/>
  <c r="QY12" i="124"/>
  <c r="QX12" i="124"/>
  <c r="QW12" i="124"/>
  <c r="QV12" i="124"/>
  <c r="QU12" i="124"/>
  <c r="QP12" i="124"/>
  <c r="PA12" i="124"/>
  <c r="MV12" i="124"/>
  <c r="MD12" i="124"/>
  <c r="LX12" i="124"/>
  <c r="LJ12" i="124"/>
  <c r="LI12" i="124"/>
  <c r="LH12" i="124"/>
  <c r="HW12" i="124" a="1"/>
  <c r="HW12" i="124" s="1"/>
  <c r="HU12" i="124" a="1"/>
  <c r="HU12" i="124" s="1"/>
  <c r="FV12" i="124"/>
  <c r="FD12" i="124" s="1"/>
  <c r="FO12" i="124"/>
  <c r="FC12" i="124" s="1"/>
  <c r="EZ12" i="124"/>
  <c r="ES12" i="124"/>
  <c r="BW12" i="124" s="1"/>
  <c r="BX12" i="124" s="1"/>
  <c r="DC12" i="124"/>
  <c r="DA12" i="124"/>
  <c r="CY12" i="124"/>
  <c r="CW12" i="124"/>
  <c r="CV12" i="124"/>
  <c r="CU12" i="124"/>
  <c r="CT12" i="124"/>
  <c r="CS12" i="124"/>
  <c r="CR12" i="124"/>
  <c r="CG12" i="124"/>
  <c r="CD12" i="124"/>
  <c r="CA12" i="124"/>
  <c r="BU12" i="124"/>
  <c r="BK12" i="124"/>
  <c r="BH12" i="124"/>
  <c r="BB12" i="124"/>
  <c r="AV12" i="124"/>
  <c r="AS12" i="124"/>
  <c r="AP12" i="124"/>
  <c r="AK12" i="124"/>
  <c r="AG12" i="124"/>
  <c r="AA12" i="124"/>
  <c r="W12" i="124"/>
  <c r="S12" i="124"/>
  <c r="O12" i="124"/>
  <c r="RR11" i="124"/>
  <c r="RG11" i="124"/>
  <c r="RF11" i="124"/>
  <c r="RE11" i="124"/>
  <c r="RD11" i="124"/>
  <c r="RC11" i="124"/>
  <c r="RB11" i="124"/>
  <c r="QZ11" i="124"/>
  <c r="QY11" i="124"/>
  <c r="QX11" i="124"/>
  <c r="QW11" i="124"/>
  <c r="QV11" i="124"/>
  <c r="QU11" i="124"/>
  <c r="QP11" i="124"/>
  <c r="PA11" i="124"/>
  <c r="MV11" i="124"/>
  <c r="MD11" i="124"/>
  <c r="LJ11" i="124"/>
  <c r="LI11" i="124"/>
  <c r="LH11" i="124"/>
  <c r="HW11" i="124" a="1"/>
  <c r="HW11" i="124" s="1"/>
  <c r="HU11" i="124" a="1"/>
  <c r="HU11" i="124" s="1"/>
  <c r="FV11" i="124"/>
  <c r="FD11" i="124" s="1"/>
  <c r="FO11" i="124"/>
  <c r="FC11" i="124" s="1"/>
  <c r="EZ11" i="124"/>
  <c r="ES11" i="124"/>
  <c r="BW11" i="124" s="1"/>
  <c r="X11" i="124" s="1"/>
  <c r="DC11" i="124"/>
  <c r="DA11" i="124"/>
  <c r="CY11" i="124"/>
  <c r="CW11" i="124"/>
  <c r="CV11" i="124"/>
  <c r="CU11" i="124"/>
  <c r="CT11" i="124"/>
  <c r="CS11" i="124"/>
  <c r="CR11" i="124"/>
  <c r="CG11" i="124"/>
  <c r="CD11" i="124"/>
  <c r="CA11" i="124"/>
  <c r="BU11" i="124"/>
  <c r="BK11" i="124"/>
  <c r="BH11" i="124"/>
  <c r="BB11" i="124"/>
  <c r="AV11" i="124"/>
  <c r="AS11" i="124"/>
  <c r="AP11" i="124"/>
  <c r="AK11" i="124"/>
  <c r="AG11" i="124"/>
  <c r="AA11" i="124"/>
  <c r="W11" i="124"/>
  <c r="S11" i="124"/>
  <c r="O11" i="124"/>
  <c r="RR10" i="124"/>
  <c r="RG10" i="124"/>
  <c r="RF10" i="124"/>
  <c r="RE10" i="124"/>
  <c r="RD10" i="124"/>
  <c r="RC10" i="124"/>
  <c r="RB10" i="124"/>
  <c r="QZ10" i="124"/>
  <c r="QY10" i="124"/>
  <c r="QX10" i="124"/>
  <c r="QW10" i="124"/>
  <c r="QV10" i="124"/>
  <c r="QU10" i="124"/>
  <c r="QP10" i="124"/>
  <c r="QK10" i="124"/>
  <c r="QK11" i="124" s="1"/>
  <c r="QK12" i="124" s="1"/>
  <c r="QK13" i="124" s="1"/>
  <c r="QK14" i="124" s="1"/>
  <c r="QK15" i="124" s="1"/>
  <c r="QK16" i="124" s="1"/>
  <c r="QK17" i="124" s="1"/>
  <c r="QK18" i="124" s="1"/>
  <c r="QK19" i="124" s="1"/>
  <c r="QK20" i="124" s="1"/>
  <c r="QK21" i="124" s="1"/>
  <c r="QK22" i="124" s="1"/>
  <c r="QK23" i="124" s="1"/>
  <c r="QK24" i="124" s="1"/>
  <c r="QK25" i="124" s="1"/>
  <c r="QK26" i="124" s="1"/>
  <c r="QK27" i="124" s="1"/>
  <c r="QK28" i="124" s="1"/>
  <c r="QK29" i="124" s="1"/>
  <c r="QK30" i="124" s="1"/>
  <c r="QK31" i="124" s="1"/>
  <c r="QK32" i="124" s="1"/>
  <c r="QK33" i="124" s="1"/>
  <c r="QK34" i="124" s="1"/>
  <c r="QK35" i="124" s="1"/>
  <c r="QK36" i="124" s="1"/>
  <c r="QK37" i="124" s="1"/>
  <c r="QK38" i="124" s="1"/>
  <c r="QK39" i="124" s="1"/>
  <c r="QK40" i="124" s="1"/>
  <c r="QK41" i="124" s="1"/>
  <c r="QK42" i="124" s="1"/>
  <c r="QH10" i="124"/>
  <c r="QH11" i="124" s="1"/>
  <c r="PG10" i="124"/>
  <c r="PG11" i="124" s="1"/>
  <c r="PG12" i="124" s="1"/>
  <c r="PG13" i="124" s="1"/>
  <c r="PG14" i="124" s="1"/>
  <c r="PG15" i="124" s="1"/>
  <c r="PG16" i="124" s="1"/>
  <c r="PG17" i="124" s="1"/>
  <c r="PG18" i="124" s="1"/>
  <c r="PG19" i="124" s="1"/>
  <c r="PG20" i="124" s="1"/>
  <c r="PG21" i="124" s="1"/>
  <c r="PG22" i="124" s="1"/>
  <c r="PG23" i="124" s="1"/>
  <c r="PG24" i="124" s="1"/>
  <c r="PG25" i="124" s="1"/>
  <c r="PG26" i="124" s="1"/>
  <c r="PG27" i="124" s="1"/>
  <c r="PG28" i="124" s="1"/>
  <c r="PG29" i="124" s="1"/>
  <c r="PG30" i="124" s="1"/>
  <c r="PG31" i="124" s="1"/>
  <c r="PG32" i="124" s="1"/>
  <c r="PG33" i="124" s="1"/>
  <c r="PG34" i="124" s="1"/>
  <c r="PG35" i="124" s="1"/>
  <c r="PG36" i="124" s="1"/>
  <c r="PG37" i="124" s="1"/>
  <c r="PG38" i="124" s="1"/>
  <c r="PG39" i="124" s="1"/>
  <c r="PG40" i="124" s="1"/>
  <c r="PG41" i="124" s="1"/>
  <c r="PG42" i="124" s="1"/>
  <c r="PG44" i="124" s="1"/>
  <c r="PE10" i="124"/>
  <c r="PE11" i="124" s="1"/>
  <c r="PE12" i="124" s="1"/>
  <c r="PE13" i="124" s="1"/>
  <c r="PE14" i="124" s="1"/>
  <c r="PE15" i="124" s="1"/>
  <c r="PE16" i="124" s="1"/>
  <c r="PE17" i="124" s="1"/>
  <c r="PE18" i="124" s="1"/>
  <c r="PE19" i="124" s="1"/>
  <c r="PE20" i="124" s="1"/>
  <c r="PE21" i="124" s="1"/>
  <c r="PE22" i="124" s="1"/>
  <c r="PE23" i="124" s="1"/>
  <c r="PE24" i="124" s="1"/>
  <c r="PE25" i="124" s="1"/>
  <c r="PE26" i="124" s="1"/>
  <c r="PE27" i="124" s="1"/>
  <c r="PE28" i="124" s="1"/>
  <c r="PE29" i="124" s="1"/>
  <c r="PE30" i="124" s="1"/>
  <c r="PE31" i="124" s="1"/>
  <c r="PE32" i="124" s="1"/>
  <c r="PE33" i="124" s="1"/>
  <c r="PE34" i="124" s="1"/>
  <c r="PE35" i="124" s="1"/>
  <c r="PE36" i="124" s="1"/>
  <c r="PE37" i="124" s="1"/>
  <c r="PE38" i="124" s="1"/>
  <c r="PE39" i="124" s="1"/>
  <c r="PE40" i="124" s="1"/>
  <c r="PE41" i="124" s="1"/>
  <c r="PE42" i="124" s="1"/>
  <c r="PE44" i="124" s="1"/>
  <c r="PD10" i="124"/>
  <c r="PD11" i="124" s="1"/>
  <c r="PD12" i="124" s="1"/>
  <c r="PD13" i="124" s="1"/>
  <c r="PD14" i="124" s="1"/>
  <c r="PD15" i="124" s="1"/>
  <c r="PD16" i="124" s="1"/>
  <c r="PD17" i="124" s="1"/>
  <c r="PD18" i="124" s="1"/>
  <c r="PD19" i="124" s="1"/>
  <c r="PD20" i="124" s="1"/>
  <c r="PD21" i="124" s="1"/>
  <c r="PD22" i="124" s="1"/>
  <c r="PD23" i="124" s="1"/>
  <c r="PD24" i="124" s="1"/>
  <c r="PD25" i="124" s="1"/>
  <c r="PD26" i="124" s="1"/>
  <c r="PD27" i="124" s="1"/>
  <c r="PD28" i="124" s="1"/>
  <c r="PD29" i="124" s="1"/>
  <c r="PD30" i="124" s="1"/>
  <c r="PD31" i="124" s="1"/>
  <c r="PD32" i="124" s="1"/>
  <c r="PD33" i="124" s="1"/>
  <c r="PD34" i="124" s="1"/>
  <c r="PD35" i="124" s="1"/>
  <c r="PD36" i="124" s="1"/>
  <c r="PD37" i="124" s="1"/>
  <c r="PD38" i="124" s="1"/>
  <c r="PD39" i="124" s="1"/>
  <c r="PD40" i="124" s="1"/>
  <c r="PD41" i="124" s="1"/>
  <c r="PD42" i="124" s="1"/>
  <c r="PD44" i="124" s="1"/>
  <c r="PC10" i="124"/>
  <c r="PC11" i="124" s="1"/>
  <c r="PC12" i="124" s="1"/>
  <c r="PC13" i="124" s="1"/>
  <c r="PC14" i="124" s="1"/>
  <c r="PC15" i="124" s="1"/>
  <c r="PC16" i="124" s="1"/>
  <c r="PC17" i="124" s="1"/>
  <c r="PC18" i="124" s="1"/>
  <c r="PC19" i="124" s="1"/>
  <c r="PC20" i="124" s="1"/>
  <c r="PC21" i="124" s="1"/>
  <c r="PC22" i="124" s="1"/>
  <c r="PC23" i="124" s="1"/>
  <c r="PC24" i="124" s="1"/>
  <c r="PC25" i="124" s="1"/>
  <c r="PC26" i="124" s="1"/>
  <c r="PC27" i="124" s="1"/>
  <c r="PC28" i="124" s="1"/>
  <c r="PC29" i="124" s="1"/>
  <c r="PC30" i="124" s="1"/>
  <c r="PC31" i="124" s="1"/>
  <c r="PC32" i="124" s="1"/>
  <c r="PC33" i="124" s="1"/>
  <c r="PC34" i="124" s="1"/>
  <c r="PC35" i="124" s="1"/>
  <c r="PC36" i="124" s="1"/>
  <c r="PC37" i="124" s="1"/>
  <c r="PC38" i="124" s="1"/>
  <c r="PC39" i="124" s="1"/>
  <c r="PC40" i="124" s="1"/>
  <c r="PC41" i="124" s="1"/>
  <c r="PC42" i="124" s="1"/>
  <c r="PC44" i="124" s="1"/>
  <c r="PB10" i="124"/>
  <c r="PA10" i="124"/>
  <c r="OS10" i="124"/>
  <c r="OS11" i="124" s="1"/>
  <c r="OS12" i="124" s="1"/>
  <c r="OS13" i="124" s="1"/>
  <c r="OS14" i="124" s="1"/>
  <c r="OS15" i="124" s="1"/>
  <c r="OS16" i="124" s="1"/>
  <c r="OS17" i="124" s="1"/>
  <c r="OS18" i="124" s="1"/>
  <c r="OS19" i="124" s="1"/>
  <c r="OS20" i="124" s="1"/>
  <c r="OS21" i="124" s="1"/>
  <c r="OS22" i="124" s="1"/>
  <c r="OS23" i="124" s="1"/>
  <c r="OS24" i="124" s="1"/>
  <c r="OS25" i="124" s="1"/>
  <c r="OS26" i="124" s="1"/>
  <c r="OS27" i="124" s="1"/>
  <c r="OS28" i="124" s="1"/>
  <c r="OS29" i="124" s="1"/>
  <c r="OS30" i="124" s="1"/>
  <c r="OS31" i="124" s="1"/>
  <c r="OS32" i="124" s="1"/>
  <c r="OS33" i="124" s="1"/>
  <c r="OS34" i="124" s="1"/>
  <c r="OS35" i="124" s="1"/>
  <c r="OS36" i="124" s="1"/>
  <c r="OS37" i="124" s="1"/>
  <c r="OS38" i="124" s="1"/>
  <c r="OS39" i="124" s="1"/>
  <c r="OS40" i="124" s="1"/>
  <c r="OS41" i="124" s="1"/>
  <c r="OS42" i="124" s="1"/>
  <c r="OO10" i="124"/>
  <c r="OO11" i="124" s="1"/>
  <c r="OO12" i="124" s="1"/>
  <c r="OO13" i="124" s="1"/>
  <c r="OO14" i="124" s="1"/>
  <c r="OO15" i="124" s="1"/>
  <c r="OO16" i="124" s="1"/>
  <c r="OO17" i="124" s="1"/>
  <c r="OO18" i="124" s="1"/>
  <c r="OO19" i="124" s="1"/>
  <c r="OO20" i="124" s="1"/>
  <c r="OO21" i="124" s="1"/>
  <c r="OO22" i="124" s="1"/>
  <c r="OO23" i="124" s="1"/>
  <c r="OO24" i="124" s="1"/>
  <c r="OO25" i="124" s="1"/>
  <c r="OO26" i="124" s="1"/>
  <c r="OO27" i="124" s="1"/>
  <c r="OO28" i="124" s="1"/>
  <c r="OO29" i="124" s="1"/>
  <c r="OO30" i="124" s="1"/>
  <c r="OO31" i="124" s="1"/>
  <c r="OO32" i="124" s="1"/>
  <c r="OO33" i="124" s="1"/>
  <c r="OO34" i="124" s="1"/>
  <c r="OO35" i="124" s="1"/>
  <c r="OO36" i="124" s="1"/>
  <c r="OO37" i="124" s="1"/>
  <c r="OO38" i="124" s="1"/>
  <c r="OO39" i="124" s="1"/>
  <c r="OO40" i="124" s="1"/>
  <c r="OO41" i="124" s="1"/>
  <c r="OO42" i="124" s="1"/>
  <c r="OM10" i="124"/>
  <c r="OM11" i="124" s="1"/>
  <c r="OM12" i="124" s="1"/>
  <c r="OM13" i="124" s="1"/>
  <c r="OM14" i="124" s="1"/>
  <c r="OM15" i="124" s="1"/>
  <c r="OM16" i="124" s="1"/>
  <c r="OM17" i="124" s="1"/>
  <c r="OM18" i="124" s="1"/>
  <c r="OM19" i="124" s="1"/>
  <c r="OM20" i="124" s="1"/>
  <c r="OM21" i="124" s="1"/>
  <c r="OM22" i="124" s="1"/>
  <c r="OM23" i="124" s="1"/>
  <c r="OM24" i="124" s="1"/>
  <c r="OM25" i="124" s="1"/>
  <c r="OM26" i="124" s="1"/>
  <c r="OM27" i="124" s="1"/>
  <c r="OM28" i="124" s="1"/>
  <c r="OM29" i="124" s="1"/>
  <c r="OM30" i="124" s="1"/>
  <c r="OM31" i="124" s="1"/>
  <c r="OM32" i="124" s="1"/>
  <c r="OM33" i="124" s="1"/>
  <c r="OM34" i="124" s="1"/>
  <c r="OM35" i="124" s="1"/>
  <c r="OM36" i="124" s="1"/>
  <c r="OM37" i="124" s="1"/>
  <c r="OM38" i="124" s="1"/>
  <c r="OM39" i="124" s="1"/>
  <c r="OM40" i="124" s="1"/>
  <c r="OM41" i="124" s="1"/>
  <c r="OM42" i="124" s="1"/>
  <c r="OL10" i="124"/>
  <c r="OL11" i="124" s="1"/>
  <c r="OL12" i="124" s="1"/>
  <c r="OL13" i="124" s="1"/>
  <c r="OL14" i="124" s="1"/>
  <c r="OL15" i="124" s="1"/>
  <c r="OL16" i="124" s="1"/>
  <c r="OL17" i="124" s="1"/>
  <c r="OL18" i="124" s="1"/>
  <c r="OL19" i="124" s="1"/>
  <c r="OL20" i="124" s="1"/>
  <c r="OL21" i="124" s="1"/>
  <c r="OL22" i="124" s="1"/>
  <c r="OL23" i="124" s="1"/>
  <c r="OL24" i="124" s="1"/>
  <c r="OL25" i="124" s="1"/>
  <c r="OL26" i="124" s="1"/>
  <c r="OL27" i="124" s="1"/>
  <c r="OL28" i="124" s="1"/>
  <c r="OL29" i="124" s="1"/>
  <c r="OL30" i="124" s="1"/>
  <c r="OL31" i="124" s="1"/>
  <c r="OL32" i="124" s="1"/>
  <c r="OL33" i="124" s="1"/>
  <c r="OL34" i="124" s="1"/>
  <c r="OL35" i="124" s="1"/>
  <c r="OL36" i="124" s="1"/>
  <c r="OL37" i="124" s="1"/>
  <c r="OL38" i="124" s="1"/>
  <c r="OL39" i="124" s="1"/>
  <c r="OL40" i="124" s="1"/>
  <c r="OL41" i="124" s="1"/>
  <c r="OK10" i="124"/>
  <c r="OK11" i="124" s="1"/>
  <c r="OK12" i="124" s="1"/>
  <c r="OK13" i="124" s="1"/>
  <c r="OK14" i="124" s="1"/>
  <c r="OK15" i="124" s="1"/>
  <c r="OK16" i="124" s="1"/>
  <c r="OK17" i="124" s="1"/>
  <c r="OK18" i="124" s="1"/>
  <c r="OK19" i="124" s="1"/>
  <c r="OK20" i="124" s="1"/>
  <c r="OK21" i="124" s="1"/>
  <c r="OK22" i="124" s="1"/>
  <c r="OK23" i="124" s="1"/>
  <c r="OK24" i="124" s="1"/>
  <c r="OK25" i="124" s="1"/>
  <c r="OK26" i="124" s="1"/>
  <c r="OK27" i="124" s="1"/>
  <c r="OK28" i="124" s="1"/>
  <c r="OK29" i="124" s="1"/>
  <c r="OK30" i="124" s="1"/>
  <c r="OK31" i="124" s="1"/>
  <c r="OK32" i="124" s="1"/>
  <c r="OK33" i="124" s="1"/>
  <c r="OK34" i="124" s="1"/>
  <c r="OK35" i="124" s="1"/>
  <c r="OK36" i="124" s="1"/>
  <c r="OK37" i="124" s="1"/>
  <c r="OK38" i="124" s="1"/>
  <c r="OK39" i="124" s="1"/>
  <c r="OK40" i="124" s="1"/>
  <c r="OK41" i="124" s="1"/>
  <c r="OK42" i="124" s="1"/>
  <c r="OJ10" i="124"/>
  <c r="OJ11" i="124" s="1"/>
  <c r="OJ12" i="124" s="1"/>
  <c r="OJ13" i="124" s="1"/>
  <c r="OJ14" i="124" s="1"/>
  <c r="OJ15" i="124" s="1"/>
  <c r="OJ16" i="124" s="1"/>
  <c r="OJ17" i="124" s="1"/>
  <c r="OJ18" i="124" s="1"/>
  <c r="OJ19" i="124" s="1"/>
  <c r="OI10" i="124"/>
  <c r="OI11" i="124" s="1"/>
  <c r="OI12" i="124" s="1"/>
  <c r="OI13" i="124" s="1"/>
  <c r="OI14" i="124" s="1"/>
  <c r="OI15" i="124" s="1"/>
  <c r="OI16" i="124" s="1"/>
  <c r="OI17" i="124" s="1"/>
  <c r="OI18" i="124" s="1"/>
  <c r="OI19" i="124" s="1"/>
  <c r="OI20" i="124" s="1"/>
  <c r="OI21" i="124" s="1"/>
  <c r="OI22" i="124" s="1"/>
  <c r="OI23" i="124" s="1"/>
  <c r="OI24" i="124" s="1"/>
  <c r="OI25" i="124" s="1"/>
  <c r="OI26" i="124" s="1"/>
  <c r="OI27" i="124" s="1"/>
  <c r="OI28" i="124" s="1"/>
  <c r="OI29" i="124" s="1"/>
  <c r="OI30" i="124" s="1"/>
  <c r="OI31" i="124" s="1"/>
  <c r="OI32" i="124" s="1"/>
  <c r="OI33" i="124" s="1"/>
  <c r="OI34" i="124" s="1"/>
  <c r="OI35" i="124" s="1"/>
  <c r="OI36" i="124" s="1"/>
  <c r="OI37" i="124" s="1"/>
  <c r="OI38" i="124" s="1"/>
  <c r="OI39" i="124" s="1"/>
  <c r="OI40" i="124" s="1"/>
  <c r="OI41" i="124" s="1"/>
  <c r="OI42" i="124" s="1"/>
  <c r="OH10" i="124"/>
  <c r="OH11" i="124" s="1"/>
  <c r="NZ10" i="124"/>
  <c r="NZ11" i="124" s="1"/>
  <c r="NZ12" i="124" s="1"/>
  <c r="NZ13" i="124" s="1"/>
  <c r="NZ14" i="124" s="1"/>
  <c r="NZ15" i="124" s="1"/>
  <c r="NZ16" i="124" s="1"/>
  <c r="NZ17" i="124" s="1"/>
  <c r="NZ18" i="124" s="1"/>
  <c r="NZ19" i="124" s="1"/>
  <c r="NZ20" i="124" s="1"/>
  <c r="NZ21" i="124" s="1"/>
  <c r="NZ22" i="124" s="1"/>
  <c r="NZ23" i="124" s="1"/>
  <c r="NZ24" i="124" s="1"/>
  <c r="NZ25" i="124" s="1"/>
  <c r="NZ26" i="124" s="1"/>
  <c r="NZ27" i="124" s="1"/>
  <c r="NZ28" i="124" s="1"/>
  <c r="NZ29" i="124" s="1"/>
  <c r="NZ30" i="124" s="1"/>
  <c r="NZ31" i="124" s="1"/>
  <c r="NZ32" i="124" s="1"/>
  <c r="NZ33" i="124" s="1"/>
  <c r="NZ34" i="124" s="1"/>
  <c r="NZ35" i="124" s="1"/>
  <c r="NZ36" i="124" s="1"/>
  <c r="NZ37" i="124" s="1"/>
  <c r="NZ38" i="124" s="1"/>
  <c r="NZ39" i="124" s="1"/>
  <c r="NZ40" i="124" s="1"/>
  <c r="NZ41" i="124" s="1"/>
  <c r="NZ42" i="124" s="1"/>
  <c r="NY10" i="124"/>
  <c r="NY11" i="124" s="1"/>
  <c r="NY12" i="124" s="1"/>
  <c r="NY13" i="124" s="1"/>
  <c r="NY14" i="124" s="1"/>
  <c r="NY15" i="124" s="1"/>
  <c r="NY16" i="124" s="1"/>
  <c r="NY17" i="124" s="1"/>
  <c r="NY18" i="124" s="1"/>
  <c r="NY19" i="124" s="1"/>
  <c r="NY20" i="124" s="1"/>
  <c r="NY21" i="124" s="1"/>
  <c r="NY22" i="124" s="1"/>
  <c r="NY23" i="124" s="1"/>
  <c r="NY24" i="124" s="1"/>
  <c r="NY25" i="124" s="1"/>
  <c r="NY26" i="124" s="1"/>
  <c r="NY27" i="124" s="1"/>
  <c r="NY28" i="124" s="1"/>
  <c r="NY29" i="124" s="1"/>
  <c r="NY30" i="124" s="1"/>
  <c r="NY31" i="124" s="1"/>
  <c r="NY32" i="124" s="1"/>
  <c r="NY33" i="124" s="1"/>
  <c r="NY34" i="124" s="1"/>
  <c r="NY35" i="124" s="1"/>
  <c r="NY36" i="124" s="1"/>
  <c r="NY37" i="124" s="1"/>
  <c r="NY38" i="124" s="1"/>
  <c r="NY39" i="124" s="1"/>
  <c r="NY40" i="124" s="1"/>
  <c r="NY41" i="124" s="1"/>
  <c r="NY42" i="124" s="1"/>
  <c r="NY44" i="124" s="1"/>
  <c r="NX10" i="124"/>
  <c r="NX11" i="124" s="1"/>
  <c r="NX12" i="124" s="1"/>
  <c r="NX13" i="124" s="1"/>
  <c r="NX14" i="124" s="1"/>
  <c r="NX15" i="124" s="1"/>
  <c r="NX16" i="124" s="1"/>
  <c r="NX17" i="124" s="1"/>
  <c r="NX18" i="124" s="1"/>
  <c r="NX19" i="124" s="1"/>
  <c r="NX20" i="124" s="1"/>
  <c r="NX21" i="124" s="1"/>
  <c r="NX22" i="124" s="1"/>
  <c r="NX23" i="124" s="1"/>
  <c r="NX24" i="124" s="1"/>
  <c r="NX25" i="124" s="1"/>
  <c r="NX26" i="124" s="1"/>
  <c r="NX27" i="124" s="1"/>
  <c r="NX28" i="124" s="1"/>
  <c r="NX29" i="124" s="1"/>
  <c r="NX30" i="124" s="1"/>
  <c r="NX31" i="124" s="1"/>
  <c r="NX32" i="124" s="1"/>
  <c r="NX33" i="124" s="1"/>
  <c r="NX34" i="124" s="1"/>
  <c r="NX35" i="124" s="1"/>
  <c r="NX36" i="124" s="1"/>
  <c r="NX37" i="124" s="1"/>
  <c r="NX38" i="124" s="1"/>
  <c r="NX39" i="124" s="1"/>
  <c r="NX40" i="124" s="1"/>
  <c r="NX41" i="124" s="1"/>
  <c r="NX42" i="124" s="1"/>
  <c r="NW10" i="124"/>
  <c r="NW11" i="124" s="1"/>
  <c r="NW12" i="124" s="1"/>
  <c r="NW13" i="124" s="1"/>
  <c r="NW14" i="124" s="1"/>
  <c r="NW15" i="124" s="1"/>
  <c r="NW16" i="124" s="1"/>
  <c r="NW17" i="124" s="1"/>
  <c r="NW18" i="124" s="1"/>
  <c r="NW19" i="124" s="1"/>
  <c r="NW20" i="124" s="1"/>
  <c r="NW21" i="124" s="1"/>
  <c r="NW22" i="124" s="1"/>
  <c r="NW23" i="124" s="1"/>
  <c r="NW24" i="124" s="1"/>
  <c r="NW25" i="124" s="1"/>
  <c r="NW26" i="124" s="1"/>
  <c r="NW27" i="124" s="1"/>
  <c r="NW28" i="124" s="1"/>
  <c r="NW29" i="124" s="1"/>
  <c r="NW30" i="124" s="1"/>
  <c r="NW31" i="124" s="1"/>
  <c r="NW32" i="124" s="1"/>
  <c r="NW33" i="124" s="1"/>
  <c r="NW34" i="124" s="1"/>
  <c r="NW35" i="124" s="1"/>
  <c r="NW36" i="124" s="1"/>
  <c r="NW37" i="124" s="1"/>
  <c r="NW38" i="124" s="1"/>
  <c r="NW39" i="124" s="1"/>
  <c r="NW40" i="124" s="1"/>
  <c r="NW41" i="124" s="1"/>
  <c r="NW42" i="124" s="1"/>
  <c r="NW44" i="124" s="1"/>
  <c r="NV10" i="124"/>
  <c r="NV11" i="124" s="1"/>
  <c r="NV12" i="124" s="1"/>
  <c r="NV13" i="124" s="1"/>
  <c r="NV14" i="124" s="1"/>
  <c r="NV15" i="124" s="1"/>
  <c r="NV16" i="124" s="1"/>
  <c r="NV17" i="124" s="1"/>
  <c r="NV18" i="124" s="1"/>
  <c r="NV19" i="124" s="1"/>
  <c r="NV20" i="124" s="1"/>
  <c r="NV21" i="124" s="1"/>
  <c r="NV22" i="124" s="1"/>
  <c r="NV23" i="124" s="1"/>
  <c r="NV24" i="124" s="1"/>
  <c r="NV25" i="124" s="1"/>
  <c r="NV26" i="124" s="1"/>
  <c r="NV27" i="124" s="1"/>
  <c r="NV28" i="124" s="1"/>
  <c r="NV29" i="124" s="1"/>
  <c r="NV30" i="124" s="1"/>
  <c r="NV31" i="124" s="1"/>
  <c r="NV32" i="124" s="1"/>
  <c r="NV33" i="124" s="1"/>
  <c r="NV34" i="124" s="1"/>
  <c r="NV35" i="124" s="1"/>
  <c r="NV36" i="124" s="1"/>
  <c r="NV37" i="124" s="1"/>
  <c r="NV38" i="124" s="1"/>
  <c r="NV39" i="124" s="1"/>
  <c r="NV40" i="124" s="1"/>
  <c r="NV41" i="124" s="1"/>
  <c r="NV42" i="124" s="1"/>
  <c r="NU10" i="124"/>
  <c r="NU11" i="124" s="1"/>
  <c r="NR10" i="124"/>
  <c r="NR11" i="124" s="1"/>
  <c r="NR12" i="124" s="1"/>
  <c r="NR13" i="124" s="1"/>
  <c r="NR14" i="124" s="1"/>
  <c r="NR15" i="124" s="1"/>
  <c r="NR16" i="124" s="1"/>
  <c r="NR17" i="124" s="1"/>
  <c r="NR18" i="124" s="1"/>
  <c r="NR19" i="124" s="1"/>
  <c r="NR20" i="124" s="1"/>
  <c r="NR21" i="124" s="1"/>
  <c r="NR22" i="124" s="1"/>
  <c r="NR23" i="124" s="1"/>
  <c r="NR24" i="124" s="1"/>
  <c r="NR25" i="124" s="1"/>
  <c r="NR26" i="124" s="1"/>
  <c r="NR27" i="124" s="1"/>
  <c r="NR28" i="124" s="1"/>
  <c r="NR29" i="124" s="1"/>
  <c r="NR30" i="124" s="1"/>
  <c r="NR31" i="124" s="1"/>
  <c r="NR32" i="124" s="1"/>
  <c r="NR33" i="124" s="1"/>
  <c r="NR34" i="124" s="1"/>
  <c r="NR35" i="124" s="1"/>
  <c r="NR36" i="124" s="1"/>
  <c r="NR37" i="124" s="1"/>
  <c r="NR38" i="124" s="1"/>
  <c r="NR39" i="124" s="1"/>
  <c r="NR40" i="124" s="1"/>
  <c r="NR41" i="124" s="1"/>
  <c r="NR44" i="124" s="1"/>
  <c r="NO10" i="124"/>
  <c r="NO11" i="124" s="1"/>
  <c r="NO12" i="124" s="1"/>
  <c r="NO13" i="124" s="1"/>
  <c r="NO14" i="124" s="1"/>
  <c r="NO15" i="124" s="1"/>
  <c r="NO16" i="124" s="1"/>
  <c r="NO17" i="124" s="1"/>
  <c r="NO18" i="124" s="1"/>
  <c r="NO19" i="124" s="1"/>
  <c r="NO20" i="124" s="1"/>
  <c r="NO21" i="124" s="1"/>
  <c r="NO22" i="124" s="1"/>
  <c r="NO23" i="124" s="1"/>
  <c r="NO24" i="124" s="1"/>
  <c r="NO25" i="124" s="1"/>
  <c r="NO26" i="124" s="1"/>
  <c r="NO27" i="124" s="1"/>
  <c r="NO28" i="124" s="1"/>
  <c r="NO29" i="124" s="1"/>
  <c r="NO30" i="124" s="1"/>
  <c r="NO31" i="124" s="1"/>
  <c r="NO32" i="124" s="1"/>
  <c r="NO33" i="124" s="1"/>
  <c r="NO34" i="124" s="1"/>
  <c r="NO35" i="124" s="1"/>
  <c r="NN10" i="124"/>
  <c r="NN11" i="124" s="1"/>
  <c r="NN12" i="124" s="1"/>
  <c r="NN13" i="124" s="1"/>
  <c r="NN14" i="124" s="1"/>
  <c r="NN15" i="124" s="1"/>
  <c r="NN16" i="124" s="1"/>
  <c r="NN17" i="124" s="1"/>
  <c r="NN18" i="124" s="1"/>
  <c r="NN19" i="124" s="1"/>
  <c r="NN20" i="124" s="1"/>
  <c r="NN21" i="124" s="1"/>
  <c r="NN22" i="124" s="1"/>
  <c r="NN23" i="124" s="1"/>
  <c r="NN24" i="124" s="1"/>
  <c r="NN25" i="124" s="1"/>
  <c r="NN26" i="124" s="1"/>
  <c r="NN27" i="124" s="1"/>
  <c r="NN28" i="124" s="1"/>
  <c r="NN29" i="124" s="1"/>
  <c r="NN30" i="124" s="1"/>
  <c r="NN31" i="124" s="1"/>
  <c r="NN32" i="124" s="1"/>
  <c r="NN33" i="124" s="1"/>
  <c r="NN34" i="124" s="1"/>
  <c r="NN35" i="124" s="1"/>
  <c r="NM10" i="124"/>
  <c r="NM11" i="124" s="1"/>
  <c r="NM12" i="124" s="1"/>
  <c r="NM13" i="124" s="1"/>
  <c r="NM14" i="124" s="1"/>
  <c r="NM15" i="124" s="1"/>
  <c r="NM16" i="124" s="1"/>
  <c r="NM17" i="124" s="1"/>
  <c r="NM18" i="124" s="1"/>
  <c r="NM19" i="124" s="1"/>
  <c r="NM20" i="124" s="1"/>
  <c r="NM21" i="124" s="1"/>
  <c r="NM22" i="124" s="1"/>
  <c r="NM23" i="124" s="1"/>
  <c r="NM24" i="124" s="1"/>
  <c r="NM25" i="124" s="1"/>
  <c r="NM26" i="124" s="1"/>
  <c r="NM27" i="124" s="1"/>
  <c r="NM28" i="124" s="1"/>
  <c r="NM29" i="124" s="1"/>
  <c r="NM30" i="124" s="1"/>
  <c r="NM31" i="124" s="1"/>
  <c r="NM32" i="124" s="1"/>
  <c r="NM33" i="124" s="1"/>
  <c r="NM34" i="124" s="1"/>
  <c r="NM35" i="124" s="1"/>
  <c r="NL10" i="124"/>
  <c r="NL11" i="124" s="1"/>
  <c r="NL12" i="124" s="1"/>
  <c r="NL13" i="124" s="1"/>
  <c r="NL14" i="124" s="1"/>
  <c r="NL15" i="124" s="1"/>
  <c r="NL16" i="124" s="1"/>
  <c r="NL17" i="124" s="1"/>
  <c r="NL18" i="124" s="1"/>
  <c r="NL19" i="124" s="1"/>
  <c r="NL20" i="124" s="1"/>
  <c r="NL21" i="124" s="1"/>
  <c r="NL22" i="124" s="1"/>
  <c r="NL23" i="124" s="1"/>
  <c r="NL24" i="124" s="1"/>
  <c r="NL25" i="124" s="1"/>
  <c r="NL26" i="124" s="1"/>
  <c r="NL27" i="124" s="1"/>
  <c r="NL28" i="124" s="1"/>
  <c r="NL29" i="124" s="1"/>
  <c r="NL30" i="124" s="1"/>
  <c r="NL31" i="124" s="1"/>
  <c r="NL32" i="124" s="1"/>
  <c r="NL33" i="124" s="1"/>
  <c r="NL34" i="124" s="1"/>
  <c r="NL35" i="124" s="1"/>
  <c r="NK10" i="124"/>
  <c r="NK11" i="124" s="1"/>
  <c r="NK12" i="124" s="1"/>
  <c r="NK13" i="124" s="1"/>
  <c r="NK14" i="124" s="1"/>
  <c r="NK15" i="124" s="1"/>
  <c r="NK16" i="124" s="1"/>
  <c r="NK17" i="124" s="1"/>
  <c r="NK18" i="124" s="1"/>
  <c r="NK19" i="124" s="1"/>
  <c r="NK20" i="124" s="1"/>
  <c r="NK21" i="124" s="1"/>
  <c r="NK22" i="124" s="1"/>
  <c r="NK23" i="124" s="1"/>
  <c r="NK24" i="124" s="1"/>
  <c r="NK25" i="124" s="1"/>
  <c r="NK26" i="124" s="1"/>
  <c r="NK27" i="124" s="1"/>
  <c r="NK28" i="124" s="1"/>
  <c r="NK29" i="124" s="1"/>
  <c r="NJ10" i="124"/>
  <c r="NJ11" i="124" s="1"/>
  <c r="NJ12" i="124" s="1"/>
  <c r="NJ13" i="124" s="1"/>
  <c r="NJ14" i="124" s="1"/>
  <c r="NJ15" i="124" s="1"/>
  <c r="NJ16" i="124" s="1"/>
  <c r="NJ17" i="124" s="1"/>
  <c r="NJ18" i="124" s="1"/>
  <c r="NJ19" i="124" s="1"/>
  <c r="NJ20" i="124" s="1"/>
  <c r="NJ21" i="124" s="1"/>
  <c r="NJ22" i="124" s="1"/>
  <c r="NJ23" i="124" s="1"/>
  <c r="NJ24" i="124" s="1"/>
  <c r="NJ25" i="124" s="1"/>
  <c r="NJ26" i="124" s="1"/>
  <c r="NJ27" i="124" s="1"/>
  <c r="NJ28" i="124" s="1"/>
  <c r="NJ29" i="124" s="1"/>
  <c r="NJ30" i="124" s="1"/>
  <c r="NJ31" i="124" s="1"/>
  <c r="NJ32" i="124" s="1"/>
  <c r="NJ33" i="124" s="1"/>
  <c r="NJ34" i="124" s="1"/>
  <c r="NJ35" i="124" s="1"/>
  <c r="NI10" i="124"/>
  <c r="NI11" i="124" s="1"/>
  <c r="NI12" i="124" s="1"/>
  <c r="NI13" i="124" s="1"/>
  <c r="NI14" i="124" s="1"/>
  <c r="NI15" i="124" s="1"/>
  <c r="NI16" i="124" s="1"/>
  <c r="NI17" i="124" s="1"/>
  <c r="NI18" i="124" s="1"/>
  <c r="NI19" i="124" s="1"/>
  <c r="NI20" i="124" s="1"/>
  <c r="NI21" i="124" s="1"/>
  <c r="NI22" i="124" s="1"/>
  <c r="NI23" i="124" s="1"/>
  <c r="NI24" i="124" s="1"/>
  <c r="NI25" i="124" s="1"/>
  <c r="NI26" i="124" s="1"/>
  <c r="NI27" i="124" s="1"/>
  <c r="NI28" i="124" s="1"/>
  <c r="NI29" i="124" s="1"/>
  <c r="NI30" i="124" s="1"/>
  <c r="NI31" i="124" s="1"/>
  <c r="NI32" i="124" s="1"/>
  <c r="NI33" i="124" s="1"/>
  <c r="NI34" i="124" s="1"/>
  <c r="NI35" i="124" s="1"/>
  <c r="NH10" i="124"/>
  <c r="MV10" i="124"/>
  <c r="MD10" i="124"/>
  <c r="LX10" i="124"/>
  <c r="LJ10" i="124"/>
  <c r="RM10" i="124" s="1"/>
  <c r="LI10" i="124"/>
  <c r="LH10" i="124"/>
  <c r="HW10" i="124" a="1"/>
  <c r="HW10" i="124" s="1"/>
  <c r="HU10" i="124" a="1"/>
  <c r="HU10" i="124" s="1"/>
  <c r="FV10" i="124"/>
  <c r="FO10" i="124"/>
  <c r="EZ10" i="124"/>
  <c r="ES10" i="124"/>
  <c r="BW10" i="124" s="1"/>
  <c r="X10" i="124" s="1"/>
  <c r="DC10" i="124"/>
  <c r="DA10" i="124"/>
  <c r="CY10" i="124"/>
  <c r="CW10" i="124"/>
  <c r="CV10" i="124"/>
  <c r="CU10" i="124"/>
  <c r="CT10" i="124"/>
  <c r="CS10" i="124"/>
  <c r="CR10" i="124"/>
  <c r="CG10" i="124"/>
  <c r="CD10" i="124"/>
  <c r="CA10" i="124"/>
  <c r="BU10" i="124"/>
  <c r="BK10" i="124"/>
  <c r="BH10" i="124"/>
  <c r="BB10" i="124"/>
  <c r="AV10" i="124"/>
  <c r="AS10" i="124"/>
  <c r="AP10" i="124"/>
  <c r="AK10" i="124"/>
  <c r="AG10" i="124"/>
  <c r="AA10" i="124"/>
  <c r="W10" i="124"/>
  <c r="S10" i="124"/>
  <c r="O10" i="124"/>
  <c r="RN9" i="124"/>
  <c r="QJ10" i="124"/>
  <c r="QJ11" i="124" s="1"/>
  <c r="QJ12" i="124" s="1"/>
  <c r="QJ13" i="124" s="1"/>
  <c r="QJ14" i="124" s="1"/>
  <c r="QJ15" i="124" s="1"/>
  <c r="QJ16" i="124" s="1"/>
  <c r="QJ17" i="124" s="1"/>
  <c r="QJ18" i="124" s="1"/>
  <c r="QJ19" i="124" s="1"/>
  <c r="QJ20" i="124" s="1"/>
  <c r="QJ21" i="124" s="1"/>
  <c r="QJ22" i="124" s="1"/>
  <c r="QJ23" i="124" s="1"/>
  <c r="QJ24" i="124" s="1"/>
  <c r="QJ25" i="124" s="1"/>
  <c r="QJ26" i="124" s="1"/>
  <c r="QJ27" i="124" s="1"/>
  <c r="QJ28" i="124" s="1"/>
  <c r="QJ29" i="124" s="1"/>
  <c r="QJ30" i="124" s="1"/>
  <c r="QJ31" i="124" s="1"/>
  <c r="QJ32" i="124" s="1"/>
  <c r="QJ33" i="124" s="1"/>
  <c r="QJ34" i="124" s="1"/>
  <c r="QJ35" i="124" s="1"/>
  <c r="QJ36" i="124" s="1"/>
  <c r="QJ37" i="124" s="1"/>
  <c r="QJ38" i="124" s="1"/>
  <c r="QJ39" i="124" s="1"/>
  <c r="QJ40" i="124" s="1"/>
  <c r="QJ41" i="124" s="1"/>
  <c r="PH9" i="124"/>
  <c r="OR9" i="124"/>
  <c r="OE9" i="124"/>
  <c r="OE10" i="124" s="1"/>
  <c r="OE11" i="124" s="1"/>
  <c r="OE12" i="124" s="1"/>
  <c r="OE13" i="124" s="1"/>
  <c r="OE14" i="124" s="1"/>
  <c r="OE15" i="124" s="1"/>
  <c r="OE16" i="124" s="1"/>
  <c r="OE17" i="124" s="1"/>
  <c r="OE18" i="124" s="1"/>
  <c r="OE19" i="124" s="1"/>
  <c r="OE20" i="124" s="1"/>
  <c r="OE21" i="124" s="1"/>
  <c r="OE22" i="124" s="1"/>
  <c r="OE23" i="124" s="1"/>
  <c r="OE24" i="124" s="1"/>
  <c r="OE25" i="124" s="1"/>
  <c r="OE26" i="124" s="1"/>
  <c r="OE27" i="124" s="1"/>
  <c r="OE28" i="124" s="1"/>
  <c r="OE29" i="124" s="1"/>
  <c r="OE30" i="124" s="1"/>
  <c r="OE31" i="124" s="1"/>
  <c r="OE32" i="124" s="1"/>
  <c r="OE33" i="124" s="1"/>
  <c r="OE34" i="124" s="1"/>
  <c r="OE35" i="124" s="1"/>
  <c r="OE36" i="124" s="1"/>
  <c r="OE37" i="124" s="1"/>
  <c r="OE38" i="124" s="1"/>
  <c r="OE39" i="124" s="1"/>
  <c r="OE40" i="124" s="1"/>
  <c r="NQ10" i="124"/>
  <c r="NQ11" i="124" s="1"/>
  <c r="NQ12" i="124" s="1"/>
  <c r="NQ13" i="124" s="1"/>
  <c r="NQ14" i="124" s="1"/>
  <c r="NQ15" i="124" s="1"/>
  <c r="NQ16" i="124" s="1"/>
  <c r="NQ17" i="124" s="1"/>
  <c r="NQ18" i="124" s="1"/>
  <c r="NQ19" i="124" s="1"/>
  <c r="NQ20" i="124" s="1"/>
  <c r="NQ21" i="124" s="1"/>
  <c r="NQ22" i="124" s="1"/>
  <c r="NQ23" i="124" s="1"/>
  <c r="NQ24" i="124" s="1"/>
  <c r="NQ25" i="124" s="1"/>
  <c r="NQ26" i="124" s="1"/>
  <c r="NQ27" i="124" s="1"/>
  <c r="NQ28" i="124" s="1"/>
  <c r="NQ29" i="124" s="1"/>
  <c r="NQ30" i="124" s="1"/>
  <c r="NQ31" i="124" s="1"/>
  <c r="NQ32" i="124" s="1"/>
  <c r="NQ33" i="124" s="1"/>
  <c r="NQ34" i="124" s="1"/>
  <c r="NQ35" i="124" s="1"/>
  <c r="NQ36" i="124" s="1"/>
  <c r="NQ37" i="124" s="1"/>
  <c r="NQ38" i="124" s="1"/>
  <c r="NQ39" i="124" s="1"/>
  <c r="NQ40" i="124" s="1"/>
  <c r="NQ41" i="124" s="1"/>
  <c r="PH8" i="124"/>
  <c r="OT8" i="124"/>
  <c r="OG8" i="124"/>
  <c r="NT8" i="124"/>
  <c r="KF6" i="124"/>
  <c r="JX6" i="124"/>
  <c r="JP6" i="124"/>
  <c r="CF3" i="124"/>
  <c r="CE3" i="124"/>
  <c r="CC3" i="124"/>
  <c r="CJ1" i="124"/>
  <c r="RM11" i="124" l="1"/>
  <c r="LK16" i="124"/>
  <c r="AJ35" i="127"/>
  <c r="PP31" i="126"/>
  <c r="NA30" i="126"/>
  <c r="NU34" i="126"/>
  <c r="OH34" i="126"/>
  <c r="NH32" i="126"/>
  <c r="NB32" i="126"/>
  <c r="QH33" i="126"/>
  <c r="PB34" i="126"/>
  <c r="PH33" i="126"/>
  <c r="BX40" i="124"/>
  <c r="BX38" i="124"/>
  <c r="X39" i="124"/>
  <c r="AB210" i="124"/>
  <c r="BU44" i="124"/>
  <c r="LK11" i="124"/>
  <c r="G6" i="125"/>
  <c r="X37" i="124"/>
  <c r="BX36" i="124"/>
  <c r="BX35" i="124"/>
  <c r="LK34" i="124"/>
  <c r="C30" i="124"/>
  <c r="X25" i="124"/>
  <c r="X30" i="124"/>
  <c r="Y30" i="124" s="1"/>
  <c r="BX31" i="124"/>
  <c r="BX32" i="124"/>
  <c r="X12" i="124"/>
  <c r="Y12" i="124" s="1"/>
  <c r="X17" i="124"/>
  <c r="Y17" i="124" s="1"/>
  <c r="BX26" i="124"/>
  <c r="BX20" i="124"/>
  <c r="BX11" i="124"/>
  <c r="BX28" i="124"/>
  <c r="X21" i="124"/>
  <c r="Y21" i="124" s="1"/>
  <c r="BX13" i="124"/>
  <c r="X15" i="124"/>
  <c r="Y15" i="124" s="1"/>
  <c r="BX24" i="124"/>
  <c r="BX16" i="124"/>
  <c r="C10" i="124"/>
  <c r="CA41" i="124"/>
  <c r="CD41" i="124"/>
  <c r="Q24" i="125"/>
  <c r="D24" i="125" s="1"/>
  <c r="Q12" i="125"/>
  <c r="D12" i="125" s="1"/>
  <c r="Q16" i="125"/>
  <c r="D16" i="125" s="1"/>
  <c r="X23" i="124"/>
  <c r="Y23" i="124" s="1"/>
  <c r="IC11" i="124"/>
  <c r="OC10" i="124"/>
  <c r="OC11" i="124" s="1"/>
  <c r="OC12" i="124" s="1"/>
  <c r="OC13" i="124" s="1"/>
  <c r="OC14" i="124" s="1"/>
  <c r="OC15" i="124" s="1"/>
  <c r="OC16" i="124" s="1"/>
  <c r="OC17" i="124" s="1"/>
  <c r="OC18" i="124" s="1"/>
  <c r="OC19" i="124" s="1"/>
  <c r="OC20" i="124" s="1"/>
  <c r="OC21" i="124" s="1"/>
  <c r="OC22" i="124" s="1"/>
  <c r="OC23" i="124" s="1"/>
  <c r="OC24" i="124" s="1"/>
  <c r="OC25" i="124" s="1"/>
  <c r="OC26" i="124" s="1"/>
  <c r="OC27" i="124" s="1"/>
  <c r="OC28" i="124" s="1"/>
  <c r="OC29" i="124" s="1"/>
  <c r="OC30" i="124" s="1"/>
  <c r="OC31" i="124" s="1"/>
  <c r="OC32" i="124" s="1"/>
  <c r="OC33" i="124" s="1"/>
  <c r="OC34" i="124" s="1"/>
  <c r="OC35" i="124" s="1"/>
  <c r="OC36" i="124" s="1"/>
  <c r="OC37" i="124" s="1"/>
  <c r="OC38" i="124" s="1"/>
  <c r="OC39" i="124" s="1"/>
  <c r="RM20" i="124"/>
  <c r="RM21" i="124" s="1"/>
  <c r="RM22" i="124" s="1"/>
  <c r="RM23" i="124" s="1"/>
  <c r="RM24" i="124" s="1"/>
  <c r="RM25" i="124" s="1"/>
  <c r="RM26" i="124" s="1"/>
  <c r="RM27" i="124" s="1"/>
  <c r="RM28" i="124" s="1"/>
  <c r="RM29" i="124" s="1"/>
  <c r="RM30" i="124" s="1"/>
  <c r="RM31" i="124" s="1"/>
  <c r="LK14" i="124"/>
  <c r="LK40" i="124"/>
  <c r="W90" i="124"/>
  <c r="X90" i="124"/>
  <c r="D50" i="125"/>
  <c r="O173" i="124"/>
  <c r="LK20" i="124"/>
  <c r="AK43" i="124"/>
  <c r="LK12" i="124"/>
  <c r="BK44" i="124"/>
  <c r="IC38" i="124"/>
  <c r="LK13" i="124"/>
  <c r="LK18" i="124"/>
  <c r="AK44" i="124"/>
  <c r="MV41" i="124"/>
  <c r="MV42" i="124" s="1"/>
  <c r="MV44" i="124" s="1"/>
  <c r="IC30" i="124"/>
  <c r="AK41" i="124"/>
  <c r="U32" i="124"/>
  <c r="BB135" i="2"/>
  <c r="BB133" i="2"/>
  <c r="LK23" i="124"/>
  <c r="N44" i="124"/>
  <c r="BB130" i="2"/>
  <c r="IC12" i="124"/>
  <c r="LK21" i="124"/>
  <c r="K44" i="124"/>
  <c r="BB127" i="2"/>
  <c r="BY42" i="124"/>
  <c r="FF34" i="124"/>
  <c r="CG41" i="124"/>
  <c r="CG42" i="124" s="1"/>
  <c r="CG44" i="124" s="1"/>
  <c r="BB132" i="2"/>
  <c r="BB129" i="2"/>
  <c r="L44" i="124"/>
  <c r="BB134" i="2"/>
  <c r="FO41" i="124"/>
  <c r="FO42" i="124" s="1"/>
  <c r="FO44" i="124" s="1"/>
  <c r="LK28" i="124"/>
  <c r="M44" i="124"/>
  <c r="BB131" i="2"/>
  <c r="BB128" i="2"/>
  <c r="AS41" i="124"/>
  <c r="CD44" i="124"/>
  <c r="C43" i="124"/>
  <c r="FV41" i="124"/>
  <c r="FV42" i="124" s="1"/>
  <c r="FV44" i="124" s="1"/>
  <c r="PH10" i="124"/>
  <c r="LK26" i="124"/>
  <c r="AG41" i="124"/>
  <c r="Y40" i="124"/>
  <c r="Y16" i="124"/>
  <c r="HN35" i="124"/>
  <c r="GL35" i="124" s="1"/>
  <c r="IC22" i="124"/>
  <c r="Y38" i="124"/>
  <c r="IR11" i="124"/>
  <c r="GM11" i="124" s="1"/>
  <c r="CR41" i="124"/>
  <c r="CR42" i="124" s="1"/>
  <c r="CR44" i="124" s="1"/>
  <c r="CT41" i="124"/>
  <c r="CT42" i="124" s="1"/>
  <c r="CT44" i="124" s="1"/>
  <c r="CV41" i="124"/>
  <c r="CV42" i="124" s="1"/>
  <c r="CV44" i="124" s="1"/>
  <c r="GX32" i="124"/>
  <c r="RY32" i="124" s="1"/>
  <c r="IC19" i="124"/>
  <c r="IC13" i="124"/>
  <c r="QO38" i="124"/>
  <c r="LX41" i="124"/>
  <c r="LX42" i="124" s="1"/>
  <c r="LX44" i="124" s="1"/>
  <c r="Q14" i="125"/>
  <c r="Q37" i="125"/>
  <c r="C43" i="125"/>
  <c r="C44" i="125" s="1"/>
  <c r="AG38" i="125"/>
  <c r="AE28" i="95"/>
  <c r="AG18" i="125"/>
  <c r="AG28" i="125"/>
  <c r="AX22" i="125"/>
  <c r="AG21" i="125"/>
  <c r="CR13" i="125"/>
  <c r="AX18" i="125"/>
  <c r="AX28" i="125"/>
  <c r="CR38" i="125"/>
  <c r="AG17" i="125"/>
  <c r="AG37" i="125"/>
  <c r="AX19" i="125"/>
  <c r="CR29" i="125"/>
  <c r="AX39" i="125"/>
  <c r="P28" i="124"/>
  <c r="Q28" i="124" s="1"/>
  <c r="EF16" i="124"/>
  <c r="AQ43" i="125"/>
  <c r="AQ44" i="125" s="1"/>
  <c r="AX20" i="125"/>
  <c r="CR30" i="125"/>
  <c r="AX40" i="125"/>
  <c r="AG19" i="125"/>
  <c r="AG29" i="125"/>
  <c r="AG39" i="125"/>
  <c r="AX32" i="125"/>
  <c r="CR16" i="125"/>
  <c r="AX26" i="125"/>
  <c r="AX36" i="125"/>
  <c r="AG15" i="125"/>
  <c r="AG25" i="125"/>
  <c r="CR21" i="125"/>
  <c r="CR31" i="125"/>
  <c r="CR41" i="125"/>
  <c r="AG20" i="125"/>
  <c r="AG30" i="125"/>
  <c r="AG31" i="125"/>
  <c r="AX23" i="125"/>
  <c r="AX33" i="125"/>
  <c r="AG22" i="125"/>
  <c r="AG32" i="125"/>
  <c r="AG42" i="125"/>
  <c r="CR14" i="125"/>
  <c r="CR24" i="125"/>
  <c r="AX15" i="125"/>
  <c r="AX25" i="125"/>
  <c r="CR35" i="125"/>
  <c r="AG14" i="125"/>
  <c r="AG34" i="125"/>
  <c r="Q38" i="125"/>
  <c r="Q41" i="125"/>
  <c r="Q13" i="125"/>
  <c r="Q36" i="125"/>
  <c r="Q21" i="125"/>
  <c r="Q29" i="125"/>
  <c r="Q27" i="125"/>
  <c r="Q15" i="125"/>
  <c r="Q20" i="125"/>
  <c r="AG13" i="125"/>
  <c r="AG23" i="125"/>
  <c r="AG33" i="125"/>
  <c r="AG24" i="125"/>
  <c r="AG16" i="125"/>
  <c r="AG26" i="125"/>
  <c r="AG36" i="125"/>
  <c r="AX34" i="125"/>
  <c r="AX17" i="125"/>
  <c r="CR27" i="125"/>
  <c r="AX37" i="125"/>
  <c r="AA43" i="125"/>
  <c r="AA44" i="125" s="1"/>
  <c r="AJ12" i="125"/>
  <c r="AJ13" i="125" s="1"/>
  <c r="RM12" i="124"/>
  <c r="RM13" i="124" s="1"/>
  <c r="RM14" i="124" s="1"/>
  <c r="RM15" i="124" s="1"/>
  <c r="RM16" i="124" s="1"/>
  <c r="RM17" i="124" s="1"/>
  <c r="LK32" i="124"/>
  <c r="LK36" i="124"/>
  <c r="LK24" i="124"/>
  <c r="LK31" i="124"/>
  <c r="LK35" i="124"/>
  <c r="RM32" i="124"/>
  <c r="RM33" i="124" s="1"/>
  <c r="RM34" i="124" s="1"/>
  <c r="RM35" i="124" s="1"/>
  <c r="RM36" i="124" s="1"/>
  <c r="RM37" i="124" s="1"/>
  <c r="RM38" i="124" s="1"/>
  <c r="RM39" i="124" s="1"/>
  <c r="RM40" i="124" s="1"/>
  <c r="LK39" i="124"/>
  <c r="LK19" i="124"/>
  <c r="LH41" i="124"/>
  <c r="LH42" i="124" s="1"/>
  <c r="LI41" i="124"/>
  <c r="LI42" i="124" s="1"/>
  <c r="LK22" i="124"/>
  <c r="LK17" i="124"/>
  <c r="LK30" i="124"/>
  <c r="LK25" i="124"/>
  <c r="LK29" i="124"/>
  <c r="LK33" i="124"/>
  <c r="LK15" i="124"/>
  <c r="LK37" i="124"/>
  <c r="LK38" i="124"/>
  <c r="AF43" i="125"/>
  <c r="AF44" i="125" s="1"/>
  <c r="Q32" i="125"/>
  <c r="D32" i="125" s="1"/>
  <c r="AG40" i="125"/>
  <c r="Q17" i="125"/>
  <c r="D17" i="125" s="1"/>
  <c r="Q26" i="125"/>
  <c r="D26" i="125" s="1"/>
  <c r="Q18" i="125"/>
  <c r="D18" i="125" s="1"/>
  <c r="Q19" i="125"/>
  <c r="D19" i="125" s="1"/>
  <c r="Q34" i="125"/>
  <c r="D34" i="125" s="1"/>
  <c r="Q35" i="125"/>
  <c r="D35" i="125" s="1"/>
  <c r="U43" i="125"/>
  <c r="U44" i="125" s="1"/>
  <c r="V43" i="125"/>
  <c r="V44" i="125" s="1"/>
  <c r="W43" i="125"/>
  <c r="W44" i="125" s="1"/>
  <c r="Q33" i="125"/>
  <c r="D33" i="125" s="1"/>
  <c r="Q28" i="125"/>
  <c r="D28" i="125" s="1"/>
  <c r="Q42" i="125"/>
  <c r="D42" i="125" s="1"/>
  <c r="AU43" i="125"/>
  <c r="AU44" i="125" s="1"/>
  <c r="Z43" i="125"/>
  <c r="Z44" i="125" s="1"/>
  <c r="AG35" i="125"/>
  <c r="Q25" i="125"/>
  <c r="D25" i="125" s="1"/>
  <c r="AG27" i="125"/>
  <c r="AE43" i="125"/>
  <c r="AE44" i="125" s="1"/>
  <c r="Q22" i="125"/>
  <c r="D22" i="125" s="1"/>
  <c r="Q23" i="125"/>
  <c r="D23" i="125" s="1"/>
  <c r="Q40" i="125"/>
  <c r="D40" i="125" s="1"/>
  <c r="Q30" i="125"/>
  <c r="D30" i="125" s="1"/>
  <c r="Q31" i="125"/>
  <c r="D31" i="125" s="1"/>
  <c r="Q39" i="125"/>
  <c r="D39" i="125" s="1"/>
  <c r="AG41" i="125"/>
  <c r="AC44" i="125"/>
  <c r="AG12" i="125"/>
  <c r="RQ34" i="124"/>
  <c r="PZ34" i="124"/>
  <c r="EF22" i="124"/>
  <c r="EF23" i="124"/>
  <c r="CZ24" i="124"/>
  <c r="Y13" i="124"/>
  <c r="Y31" i="124"/>
  <c r="Y35" i="124"/>
  <c r="Y25" i="124"/>
  <c r="S41" i="124"/>
  <c r="U22" i="124"/>
  <c r="U40" i="124"/>
  <c r="AC25" i="124"/>
  <c r="AC26" i="124"/>
  <c r="AC38" i="124"/>
  <c r="AA41" i="124"/>
  <c r="AA42" i="124" s="1"/>
  <c r="AC34" i="124"/>
  <c r="Y37" i="124"/>
  <c r="BX29" i="124"/>
  <c r="Y29" i="124"/>
  <c r="Y24" i="124"/>
  <c r="C38" i="124"/>
  <c r="Y39" i="124"/>
  <c r="Y36" i="124"/>
  <c r="Y26" i="124"/>
  <c r="Y28" i="124"/>
  <c r="Y20" i="124"/>
  <c r="C13" i="124"/>
  <c r="AC40" i="124"/>
  <c r="AC37" i="124"/>
  <c r="AC16" i="124"/>
  <c r="AC35" i="124"/>
  <c r="AC15" i="124"/>
  <c r="AC17" i="124"/>
  <c r="AC29" i="124"/>
  <c r="AC33" i="124"/>
  <c r="AC12" i="124"/>
  <c r="AC13" i="124"/>
  <c r="AC28" i="124"/>
  <c r="U24" i="124"/>
  <c r="C40" i="124"/>
  <c r="C37" i="124"/>
  <c r="C16" i="124"/>
  <c r="C22" i="124"/>
  <c r="C23" i="124"/>
  <c r="C36" i="124"/>
  <c r="C15" i="124"/>
  <c r="C17" i="124"/>
  <c r="U13" i="124"/>
  <c r="C25" i="124"/>
  <c r="C11" i="124"/>
  <c r="C32" i="124"/>
  <c r="O41" i="124"/>
  <c r="C12" i="124"/>
  <c r="GX35" i="124"/>
  <c r="RY35" i="124" s="1"/>
  <c r="JG31" i="124"/>
  <c r="GN31" i="124" s="1"/>
  <c r="GX36" i="124"/>
  <c r="RY36" i="124" s="1"/>
  <c r="IQ41" i="124"/>
  <c r="HN29" i="124"/>
  <c r="GL29" i="124" s="1"/>
  <c r="JG33" i="124"/>
  <c r="GN33" i="124" s="1"/>
  <c r="IR12" i="124"/>
  <c r="GM12" i="124" s="1"/>
  <c r="HN40" i="124"/>
  <c r="GL40" i="124" s="1"/>
  <c r="JG38" i="124"/>
  <c r="GN38" i="124" s="1"/>
  <c r="IC31" i="124"/>
  <c r="P17" i="124"/>
  <c r="Q17" i="124" s="1"/>
  <c r="DB18" i="124"/>
  <c r="EF17" i="124"/>
  <c r="DB11" i="124"/>
  <c r="EF40" i="124"/>
  <c r="T20" i="124"/>
  <c r="U20" i="124" s="1"/>
  <c r="P14" i="124"/>
  <c r="Q14" i="124" s="1"/>
  <c r="DB39" i="124"/>
  <c r="DB30" i="124"/>
  <c r="DB40" i="124"/>
  <c r="EF25" i="124"/>
  <c r="RS10" i="124"/>
  <c r="P12" i="124"/>
  <c r="CZ20" i="124"/>
  <c r="CZ19" i="124"/>
  <c r="DB21" i="124"/>
  <c r="PZ36" i="124"/>
  <c r="DB38" i="124"/>
  <c r="BR15" i="124"/>
  <c r="CZ22" i="124"/>
  <c r="PZ33" i="124"/>
  <c r="EF19" i="124"/>
  <c r="BO26" i="124"/>
  <c r="CZ33" i="124"/>
  <c r="DS23" i="124"/>
  <c r="CZ27" i="124"/>
  <c r="PZ28" i="124"/>
  <c r="EF33" i="124"/>
  <c r="ON18" i="124"/>
  <c r="ON19" i="124" s="1"/>
  <c r="ON20" i="124" s="1"/>
  <c r="ON21" i="124" s="1"/>
  <c r="ON22" i="124" s="1"/>
  <c r="ON23" i="124" s="1"/>
  <c r="ON24" i="124" s="1"/>
  <c r="ON25" i="124" s="1"/>
  <c r="ON26" i="124" s="1"/>
  <c r="ON27" i="124" s="1"/>
  <c r="ON28" i="124" s="1"/>
  <c r="ON29" i="124" s="1"/>
  <c r="ON30" i="124" s="1"/>
  <c r="ON31" i="124" s="1"/>
  <c r="ON32" i="124" s="1"/>
  <c r="ON33" i="124" s="1"/>
  <c r="ON34" i="124" s="1"/>
  <c r="ON35" i="124" s="1"/>
  <c r="ON36" i="124" s="1"/>
  <c r="ON37" i="124" s="1"/>
  <c r="ON38" i="124" s="1"/>
  <c r="ON39" i="124" s="1"/>
  <c r="ON40" i="124" s="1"/>
  <c r="ON41" i="124" s="1"/>
  <c r="IR19" i="124"/>
  <c r="GM19" i="124" s="1"/>
  <c r="NS10" i="124"/>
  <c r="NS11" i="124" s="1"/>
  <c r="NS12" i="124" s="1"/>
  <c r="NS13" i="124" s="1"/>
  <c r="NS14" i="124" s="1"/>
  <c r="NS15" i="124" s="1"/>
  <c r="NS16" i="124" s="1"/>
  <c r="IC26" i="124"/>
  <c r="GX16" i="124"/>
  <c r="RY16" i="124" s="1"/>
  <c r="JG29" i="124"/>
  <c r="GN29" i="124" s="1"/>
  <c r="JG34" i="124"/>
  <c r="GN34" i="124" s="1"/>
  <c r="HN36" i="124"/>
  <c r="GL36" i="124" s="1"/>
  <c r="IC35" i="124"/>
  <c r="IC28" i="124"/>
  <c r="GX29" i="124"/>
  <c r="RY29" i="124" s="1"/>
  <c r="IR14" i="124"/>
  <c r="GM14" i="124" s="1"/>
  <c r="HN21" i="124"/>
  <c r="GL21" i="124" s="1"/>
  <c r="GX12" i="124"/>
  <c r="RY12" i="124" s="1"/>
  <c r="HN37" i="124"/>
  <c r="GL37" i="124" s="1"/>
  <c r="JG13" i="124"/>
  <c r="GN13" i="124" s="1"/>
  <c r="IC32" i="124"/>
  <c r="HN22" i="124"/>
  <c r="GL22" i="124" s="1"/>
  <c r="IR32" i="124"/>
  <c r="GM32" i="124" s="1"/>
  <c r="GX24" i="124"/>
  <c r="RY24" i="124" s="1"/>
  <c r="GX27" i="124"/>
  <c r="RY27" i="124" s="1"/>
  <c r="HN20" i="124"/>
  <c r="GL20" i="124" s="1"/>
  <c r="GX21" i="124"/>
  <c r="RY21" i="124" s="1"/>
  <c r="GX23" i="124"/>
  <c r="RY23" i="124" s="1"/>
  <c r="JG27" i="124"/>
  <c r="GN27" i="124" s="1"/>
  <c r="GT41" i="124"/>
  <c r="GT42" i="124" s="1"/>
  <c r="IC16" i="124"/>
  <c r="GX26" i="124"/>
  <c r="RY26" i="124" s="1"/>
  <c r="GX40" i="124"/>
  <c r="RY40" i="124" s="1"/>
  <c r="HN19" i="124"/>
  <c r="GL19" i="124" s="1"/>
  <c r="HN13" i="124"/>
  <c r="GL13" i="124" s="1"/>
  <c r="IC14" i="124"/>
  <c r="HN17" i="124"/>
  <c r="GL17" i="124" s="1"/>
  <c r="IC20" i="124"/>
  <c r="IR24" i="124"/>
  <c r="GM24" i="124" s="1"/>
  <c r="IR28" i="124"/>
  <c r="GM28" i="124" s="1"/>
  <c r="GX33" i="124"/>
  <c r="RY33" i="124" s="1"/>
  <c r="JG35" i="124"/>
  <c r="GN35" i="124" s="1"/>
  <c r="IR37" i="124"/>
  <c r="GM37" i="124" s="1"/>
  <c r="IR38" i="124"/>
  <c r="GM38" i="124" s="1"/>
  <c r="GX15" i="124"/>
  <c r="RY15" i="124" s="1"/>
  <c r="IC34" i="124"/>
  <c r="GW41" i="124"/>
  <c r="GW42" i="124" s="1"/>
  <c r="HN12" i="124"/>
  <c r="GL12" i="124" s="1"/>
  <c r="HN32" i="124"/>
  <c r="GL32" i="124" s="1"/>
  <c r="IC36" i="124"/>
  <c r="HJ41" i="124"/>
  <c r="HJ42" i="124" s="1"/>
  <c r="HW41" i="124"/>
  <c r="HW42" i="124" s="1"/>
  <c r="GX25" i="124"/>
  <c r="RY25" i="124" s="1"/>
  <c r="HN27" i="124"/>
  <c r="GL27" i="124" s="1"/>
  <c r="HN33" i="124"/>
  <c r="GL33" i="124" s="1"/>
  <c r="JG37" i="124"/>
  <c r="GN37" i="124" s="1"/>
  <c r="HN39" i="124"/>
  <c r="GL39" i="124" s="1"/>
  <c r="IR13" i="124"/>
  <c r="GM13" i="124" s="1"/>
  <c r="IR17" i="124"/>
  <c r="GM17" i="124" s="1"/>
  <c r="JG20" i="124"/>
  <c r="GN20" i="124" s="1"/>
  <c r="GX22" i="124"/>
  <c r="RY22" i="124" s="1"/>
  <c r="IR30" i="124"/>
  <c r="GM30" i="124" s="1"/>
  <c r="IL41" i="124"/>
  <c r="IL42" i="124" s="1"/>
  <c r="JG14" i="124"/>
  <c r="GN14" i="124" s="1"/>
  <c r="HN15" i="124"/>
  <c r="GL15" i="124" s="1"/>
  <c r="IC21" i="124"/>
  <c r="GX38" i="124"/>
  <c r="RY38" i="124" s="1"/>
  <c r="IN41" i="124"/>
  <c r="IN42" i="124" s="1"/>
  <c r="IR26" i="124"/>
  <c r="GM26" i="124" s="1"/>
  <c r="IC33" i="124"/>
  <c r="JG36" i="124"/>
  <c r="GN36" i="124" s="1"/>
  <c r="GX37" i="124"/>
  <c r="RY37" i="124" s="1"/>
  <c r="GX19" i="124"/>
  <c r="RY19" i="124" s="1"/>
  <c r="IC25" i="124"/>
  <c r="JA41" i="124"/>
  <c r="JA42" i="124" s="1"/>
  <c r="IC15" i="124"/>
  <c r="JG30" i="124"/>
  <c r="GN30" i="124" s="1"/>
  <c r="IR33" i="124"/>
  <c r="GM33" i="124" s="1"/>
  <c r="JG40" i="124"/>
  <c r="GN40" i="124" s="1"/>
  <c r="JC41" i="124"/>
  <c r="JC42" i="124" s="1"/>
  <c r="HN16" i="124"/>
  <c r="GL16" i="124" s="1"/>
  <c r="IC18" i="124"/>
  <c r="JG21" i="124"/>
  <c r="GN21" i="124" s="1"/>
  <c r="HN28" i="124"/>
  <c r="GL28" i="124" s="1"/>
  <c r="JG32" i="124"/>
  <c r="GN32" i="124" s="1"/>
  <c r="JG12" i="124"/>
  <c r="GN12" i="124" s="1"/>
  <c r="HN14" i="124"/>
  <c r="GL14" i="124" s="1"/>
  <c r="IC24" i="124"/>
  <c r="GX30" i="124"/>
  <c r="RY30" i="124" s="1"/>
  <c r="BO13" i="124"/>
  <c r="FF16" i="124"/>
  <c r="EF26" i="124"/>
  <c r="BE12" i="124"/>
  <c r="U26" i="124"/>
  <c r="DB25" i="124"/>
  <c r="EF30" i="124"/>
  <c r="DB17" i="124"/>
  <c r="DB20" i="124"/>
  <c r="DB24" i="124"/>
  <c r="RS33" i="124"/>
  <c r="FF37" i="124"/>
  <c r="DB19" i="124"/>
  <c r="EF27" i="124"/>
  <c r="P29" i="124"/>
  <c r="Q29" i="124" s="1"/>
  <c r="AY33" i="124"/>
  <c r="DB36" i="124"/>
  <c r="BR17" i="124"/>
  <c r="OA10" i="124"/>
  <c r="OA11" i="124" s="1"/>
  <c r="OA12" i="124" s="1"/>
  <c r="OA13" i="124" s="1"/>
  <c r="OA14" i="124" s="1"/>
  <c r="OA15" i="124" s="1"/>
  <c r="OA16" i="124" s="1"/>
  <c r="OA17" i="124" s="1"/>
  <c r="OA18" i="124" s="1"/>
  <c r="OA19" i="124" s="1"/>
  <c r="OA20" i="124" s="1"/>
  <c r="OA21" i="124" s="1"/>
  <c r="OA22" i="124" s="1"/>
  <c r="OA23" i="124" s="1"/>
  <c r="OA24" i="124" s="1"/>
  <c r="OA25" i="124" s="1"/>
  <c r="OA26" i="124" s="1"/>
  <c r="OA27" i="124" s="1"/>
  <c r="OA28" i="124" s="1"/>
  <c r="OA29" i="124" s="1"/>
  <c r="OA30" i="124" s="1"/>
  <c r="OA31" i="124" s="1"/>
  <c r="OA32" i="124" s="1"/>
  <c r="OA33" i="124" s="1"/>
  <c r="OA34" i="124" s="1"/>
  <c r="OA35" i="124" s="1"/>
  <c r="OA36" i="124" s="1"/>
  <c r="OA37" i="124" s="1"/>
  <c r="OA38" i="124" s="1"/>
  <c r="OA39" i="124" s="1"/>
  <c r="OA40" i="124" s="1"/>
  <c r="OA41" i="124" s="1"/>
  <c r="DS29" i="124"/>
  <c r="CZ39" i="124"/>
  <c r="DB15" i="124"/>
  <c r="EF15" i="124"/>
  <c r="CZ23" i="124"/>
  <c r="DB29" i="124"/>
  <c r="EF11" i="124"/>
  <c r="CZ18" i="124"/>
  <c r="AC19" i="124"/>
  <c r="PZ23" i="124"/>
  <c r="CZ26" i="124"/>
  <c r="CZ13" i="124"/>
  <c r="DB14" i="124"/>
  <c r="DS18" i="124"/>
  <c r="RQ20" i="124"/>
  <c r="RS25" i="124"/>
  <c r="FF28" i="124"/>
  <c r="DS34" i="124"/>
  <c r="P38" i="124"/>
  <c r="Q38" i="124" s="1"/>
  <c r="CZ14" i="124"/>
  <c r="EB41" i="124"/>
  <c r="EB42" i="124" s="1"/>
  <c r="EB44" i="124" s="1"/>
  <c r="FF14" i="124"/>
  <c r="AC22" i="124"/>
  <c r="P27" i="124"/>
  <c r="Q27" i="124" s="1"/>
  <c r="T34" i="124"/>
  <c r="U34" i="124" s="1"/>
  <c r="AB36" i="124"/>
  <c r="AC36" i="124" s="1"/>
  <c r="T16" i="124"/>
  <c r="U16" i="124" s="1"/>
  <c r="P23" i="124"/>
  <c r="Q23" i="124" s="1"/>
  <c r="CZ29" i="124"/>
  <c r="BO12" i="124"/>
  <c r="P15" i="124"/>
  <c r="T27" i="124"/>
  <c r="U27" i="124" s="1"/>
  <c r="CZ30" i="124"/>
  <c r="BO33" i="124"/>
  <c r="T35" i="124"/>
  <c r="U35" i="124" s="1"/>
  <c r="FF35" i="124"/>
  <c r="DS24" i="124"/>
  <c r="CZ25" i="124"/>
  <c r="DB26" i="124"/>
  <c r="CZ28" i="124"/>
  <c r="P39" i="124"/>
  <c r="Q39" i="124" s="1"/>
  <c r="DB12" i="124"/>
  <c r="EF18" i="124"/>
  <c r="PZ19" i="124"/>
  <c r="FF20" i="124"/>
  <c r="P21" i="124"/>
  <c r="Q21" i="124" s="1"/>
  <c r="BO24" i="124"/>
  <c r="BR26" i="124"/>
  <c r="BO30" i="124"/>
  <c r="EF12" i="124"/>
  <c r="BR13" i="124"/>
  <c r="DS13" i="124"/>
  <c r="FF31" i="124"/>
  <c r="RS22" i="124"/>
  <c r="U33" i="124"/>
  <c r="CX34" i="124"/>
  <c r="RS36" i="124"/>
  <c r="EF13" i="124"/>
  <c r="DS14" i="124"/>
  <c r="RQ14" i="124"/>
  <c r="CZ15" i="124"/>
  <c r="BE17" i="124"/>
  <c r="RQ22" i="124"/>
  <c r="BR28" i="124"/>
  <c r="U30" i="124"/>
  <c r="AB31" i="124"/>
  <c r="AC31" i="124" s="1"/>
  <c r="RS32" i="124"/>
  <c r="CZ17" i="124"/>
  <c r="EF24" i="124"/>
  <c r="DS37" i="124"/>
  <c r="P18" i="124"/>
  <c r="RS19" i="124"/>
  <c r="CZ21" i="124"/>
  <c r="EF39" i="124"/>
  <c r="DS36" i="124"/>
  <c r="DL41" i="124"/>
  <c r="DL42" i="124" s="1"/>
  <c r="DL44" i="124" s="1"/>
  <c r="FF13" i="124"/>
  <c r="DB22" i="124"/>
  <c r="T28" i="124"/>
  <c r="T29" i="124"/>
  <c r="U29" i="124" s="1"/>
  <c r="AB30" i="124"/>
  <c r="AC30" i="124" s="1"/>
  <c r="CZ34" i="124"/>
  <c r="CZ36" i="124"/>
  <c r="EF37" i="124"/>
  <c r="T23" i="124"/>
  <c r="U23" i="124" s="1"/>
  <c r="DB37" i="124"/>
  <c r="CZ16" i="124"/>
  <c r="EF21" i="124"/>
  <c r="BO22" i="124"/>
  <c r="PZ24" i="124"/>
  <c r="CZ32" i="124"/>
  <c r="BO36" i="124"/>
  <c r="DS38" i="124"/>
  <c r="BO40" i="124"/>
  <c r="T39" i="124"/>
  <c r="U39" i="124" s="1"/>
  <c r="T17" i="124"/>
  <c r="U17" i="124" s="1"/>
  <c r="DS19" i="124"/>
  <c r="P22" i="124"/>
  <c r="Q22" i="124" s="1"/>
  <c r="AB23" i="124"/>
  <c r="AC23" i="124" s="1"/>
  <c r="P26" i="124"/>
  <c r="Q26" i="124" s="1"/>
  <c r="BO32" i="124"/>
  <c r="EF34" i="124"/>
  <c r="DS35" i="124"/>
  <c r="EF36" i="124"/>
  <c r="T37" i="124"/>
  <c r="U37" i="124" s="1"/>
  <c r="BO38" i="124"/>
  <c r="EF38" i="124"/>
  <c r="PO10" i="124"/>
  <c r="PO11" i="124" s="1"/>
  <c r="PO12" i="124" s="1"/>
  <c r="PO13" i="124" s="1"/>
  <c r="PO14" i="124" s="1"/>
  <c r="PO15" i="124" s="1"/>
  <c r="PO16" i="124" s="1"/>
  <c r="PO17" i="124" s="1"/>
  <c r="PO18" i="124" s="1"/>
  <c r="PO19" i="124" s="1"/>
  <c r="PO20" i="124" s="1"/>
  <c r="PO21" i="124" s="1"/>
  <c r="PO22" i="124" s="1"/>
  <c r="PO23" i="124" s="1"/>
  <c r="PO24" i="124" s="1"/>
  <c r="PO25" i="124" s="1"/>
  <c r="PO26" i="124" s="1"/>
  <c r="PO27" i="124" s="1"/>
  <c r="PO28" i="124" s="1"/>
  <c r="PO29" i="124" s="1"/>
  <c r="PO30" i="124" s="1"/>
  <c r="PO31" i="124" s="1"/>
  <c r="PO32" i="124" s="1"/>
  <c r="PO33" i="124" s="1"/>
  <c r="PO34" i="124" s="1"/>
  <c r="PO35" i="124" s="1"/>
  <c r="PO36" i="124" s="1"/>
  <c r="PO37" i="124" s="1"/>
  <c r="PO38" i="124" s="1"/>
  <c r="PO39" i="124" s="1"/>
  <c r="PO40" i="124" s="1"/>
  <c r="PO41" i="124" s="1"/>
  <c r="PO44" i="124" s="1"/>
  <c r="FF11" i="124"/>
  <c r="T21" i="124"/>
  <c r="U21" i="124" s="1"/>
  <c r="U36" i="124"/>
  <c r="T15" i="124"/>
  <c r="U15" i="124" s="1"/>
  <c r="AC14" i="124"/>
  <c r="DB16" i="124"/>
  <c r="P30" i="124"/>
  <c r="EF32" i="124"/>
  <c r="BR38" i="124"/>
  <c r="FF40" i="124"/>
  <c r="PZ13" i="124"/>
  <c r="RS24" i="124"/>
  <c r="CX24" i="124"/>
  <c r="EF35" i="124"/>
  <c r="U38" i="124"/>
  <c r="ED41" i="124"/>
  <c r="ED42" i="124" s="1"/>
  <c r="ED44" i="124" s="1"/>
  <c r="T14" i="124"/>
  <c r="U14" i="124" s="1"/>
  <c r="P19" i="124"/>
  <c r="Q19" i="124" s="1"/>
  <c r="EF20" i="124"/>
  <c r="FF21" i="124"/>
  <c r="EF31" i="124"/>
  <c r="P35" i="124"/>
  <c r="Q35" i="124" s="1"/>
  <c r="DB35" i="124"/>
  <c r="KP41" i="124"/>
  <c r="KP42" i="124" s="1"/>
  <c r="JK41" i="124"/>
  <c r="RL10" i="124"/>
  <c r="RL11" i="124" s="1"/>
  <c r="RL12" i="124" s="1"/>
  <c r="RL13" i="124" s="1"/>
  <c r="RL14" i="124" s="1"/>
  <c r="RL15" i="124" s="1"/>
  <c r="RL16" i="124" s="1"/>
  <c r="RL17" i="124" s="1"/>
  <c r="QO11" i="124"/>
  <c r="JM11" i="124"/>
  <c r="GE41" i="124"/>
  <c r="GE42" i="124" s="1"/>
  <c r="GE44" i="124" s="1"/>
  <c r="GI10" i="124"/>
  <c r="HH41" i="124"/>
  <c r="HN10" i="124"/>
  <c r="GL10" i="124" s="1"/>
  <c r="KR41" i="124"/>
  <c r="KR42" i="124" s="1"/>
  <c r="OE41" i="124"/>
  <c r="OE44" i="124" s="1"/>
  <c r="HL41" i="124"/>
  <c r="PN10" i="124"/>
  <c r="PP10" i="124" s="1"/>
  <c r="HU41" i="124"/>
  <c r="HU42" i="124" s="1"/>
  <c r="IC10" i="124"/>
  <c r="OP10" i="124"/>
  <c r="OP11" i="124" s="1"/>
  <c r="OP12" i="124" s="1"/>
  <c r="OP13" i="124" s="1"/>
  <c r="OP14" i="124" s="1"/>
  <c r="OP15" i="124" s="1"/>
  <c r="OP16" i="124" s="1"/>
  <c r="OP17" i="124" s="1"/>
  <c r="OP18" i="124" s="1"/>
  <c r="OP19" i="124" s="1"/>
  <c r="OP20" i="124" s="1"/>
  <c r="OP21" i="124" s="1"/>
  <c r="OP22" i="124" s="1"/>
  <c r="OP23" i="124" s="1"/>
  <c r="OP24" i="124" s="1"/>
  <c r="OP25" i="124" s="1"/>
  <c r="OP26" i="124" s="1"/>
  <c r="OP27" i="124" s="1"/>
  <c r="OP28" i="124" s="1"/>
  <c r="OP29" i="124" s="1"/>
  <c r="OP30" i="124" s="1"/>
  <c r="OP31" i="124" s="1"/>
  <c r="OP32" i="124" s="1"/>
  <c r="OP33" i="124" s="1"/>
  <c r="OP34" i="124" s="1"/>
  <c r="OP35" i="124" s="1"/>
  <c r="OP36" i="124" s="1"/>
  <c r="OP37" i="124" s="1"/>
  <c r="OP38" i="124" s="1"/>
  <c r="OP39" i="124" s="1"/>
  <c r="OP40" i="124" s="1"/>
  <c r="OP41" i="124" s="1"/>
  <c r="NU12" i="124"/>
  <c r="IY41" i="124"/>
  <c r="IY42" i="124" s="1"/>
  <c r="IY44" i="124" s="1"/>
  <c r="ON10" i="124"/>
  <c r="ON11" i="124" s="1"/>
  <c r="ON12" i="124" s="1"/>
  <c r="ON13" i="124" s="1"/>
  <c r="ON14" i="124" s="1"/>
  <c r="JG10" i="124"/>
  <c r="QH12" i="124"/>
  <c r="DP41" i="124"/>
  <c r="DP42" i="124" s="1"/>
  <c r="DP44" i="124" s="1"/>
  <c r="DB10" i="124"/>
  <c r="DS10" i="124"/>
  <c r="JJ41" i="124"/>
  <c r="JM10" i="124"/>
  <c r="QO10" i="124"/>
  <c r="RK10" i="124"/>
  <c r="IJ41" i="124"/>
  <c r="IJ42" i="124" s="1"/>
  <c r="KX41" i="124"/>
  <c r="KX42" i="124" s="1"/>
  <c r="KX44" i="124" s="1"/>
  <c r="Y11" i="124"/>
  <c r="HN11" i="124"/>
  <c r="GL11" i="124" s="1"/>
  <c r="GX14" i="124"/>
  <c r="RY14" i="124" s="1"/>
  <c r="FF19" i="124"/>
  <c r="JG16" i="124"/>
  <c r="GN16" i="124" s="1"/>
  <c r="GX17" i="124"/>
  <c r="RY17" i="124" s="1"/>
  <c r="HN18" i="124"/>
  <c r="GL18" i="124" s="1"/>
  <c r="OH12" i="124"/>
  <c r="QO12" i="124"/>
  <c r="JM12" i="124"/>
  <c r="AY13" i="124"/>
  <c r="RS13" i="124"/>
  <c r="GX13" i="124"/>
  <c r="RY13" i="124" s="1"/>
  <c r="JM17" i="124"/>
  <c r="BX41" i="124"/>
  <c r="BX42" i="124" s="1"/>
  <c r="BX44" i="124" s="1"/>
  <c r="BW41" i="124"/>
  <c r="BX10" i="124"/>
  <c r="JM16" i="124"/>
  <c r="EF10" i="124"/>
  <c r="U12" i="124"/>
  <c r="BR12" i="124"/>
  <c r="DS12" i="124"/>
  <c r="JM14" i="124"/>
  <c r="ND10" i="124"/>
  <c r="ND11" i="124" s="1"/>
  <c r="ND12" i="124" s="1"/>
  <c r="ND13" i="124" s="1"/>
  <c r="ND14" i="124" s="1"/>
  <c r="ND15" i="124" s="1"/>
  <c r="ND16" i="124" s="1"/>
  <c r="ND17" i="124" s="1"/>
  <c r="ND18" i="124" s="1"/>
  <c r="ND20" i="124" s="1"/>
  <c r="ND21" i="124" s="1"/>
  <c r="ND22" i="124" s="1"/>
  <c r="ND23" i="124" s="1"/>
  <c r="ND24" i="124" s="1"/>
  <c r="ND25" i="124" s="1"/>
  <c r="ND26" i="124" s="1"/>
  <c r="ND27" i="124" s="1"/>
  <c r="ND28" i="124" s="1"/>
  <c r="ND30" i="124" s="1"/>
  <c r="ND31" i="124" s="1"/>
  <c r="ND32" i="124" s="1"/>
  <c r="ND33" i="124" s="1"/>
  <c r="ND34" i="124" s="1"/>
  <c r="ND35" i="124" s="1"/>
  <c r="ND36" i="124" s="1"/>
  <c r="ND37" i="124" s="1"/>
  <c r="ND38" i="124" s="1"/>
  <c r="ND39" i="124" s="1"/>
  <c r="ND40" i="124" s="1"/>
  <c r="ND41" i="124" s="1"/>
  <c r="ND9" i="126" s="1"/>
  <c r="IR10" i="124"/>
  <c r="LK10" i="124"/>
  <c r="RQ10" i="124"/>
  <c r="ES41" i="124"/>
  <c r="ES42" i="124" s="1"/>
  <c r="ES44" i="124" s="1"/>
  <c r="GX10" i="124"/>
  <c r="EZ41" i="124"/>
  <c r="EZ42" i="124" s="1"/>
  <c r="EZ44" i="124" s="1"/>
  <c r="KQ41" i="124"/>
  <c r="KQ42" i="124" s="1"/>
  <c r="MD41" i="124"/>
  <c r="MD42" i="124" s="1"/>
  <c r="MD44" i="124" s="1"/>
  <c r="OR10" i="124"/>
  <c r="OR11" i="124" s="1"/>
  <c r="OR12" i="124" s="1"/>
  <c r="OR13" i="124" s="1"/>
  <c r="OR14" i="124" s="1"/>
  <c r="OR15" i="124" s="1"/>
  <c r="OR16" i="124" s="1"/>
  <c r="OR17" i="124" s="1"/>
  <c r="OR18" i="124" s="1"/>
  <c r="OR19" i="124" s="1"/>
  <c r="OR20" i="124" s="1"/>
  <c r="OR21" i="124" s="1"/>
  <c r="OR22" i="124" s="1"/>
  <c r="OR23" i="124" s="1"/>
  <c r="OR24" i="124" s="1"/>
  <c r="OR25" i="124" s="1"/>
  <c r="OR26" i="124" s="1"/>
  <c r="OR27" i="124" s="1"/>
  <c r="OR28" i="124" s="1"/>
  <c r="OR29" i="124" s="1"/>
  <c r="OR30" i="124" s="1"/>
  <c r="OR31" i="124" s="1"/>
  <c r="OR32" i="124" s="1"/>
  <c r="OR33" i="124" s="1"/>
  <c r="OR34" i="124" s="1"/>
  <c r="OR35" i="124" s="1"/>
  <c r="OR36" i="124" s="1"/>
  <c r="OR37" i="124" s="1"/>
  <c r="OR38" i="124" s="1"/>
  <c r="OR39" i="124" s="1"/>
  <c r="OR41" i="124" s="1"/>
  <c r="FF18" i="124"/>
  <c r="P13" i="124"/>
  <c r="D13" i="124" s="1"/>
  <c r="JM13" i="124"/>
  <c r="PX41" i="124"/>
  <c r="PX42" i="124" s="1"/>
  <c r="PZ10" i="124"/>
  <c r="AB11" i="124"/>
  <c r="AC11" i="124" s="1"/>
  <c r="AC10" i="124"/>
  <c r="PB11" i="124"/>
  <c r="DB13" i="124"/>
  <c r="IR15" i="124"/>
  <c r="GM15" i="124" s="1"/>
  <c r="U18" i="124"/>
  <c r="AY41" i="124"/>
  <c r="AY42" i="124" s="1"/>
  <c r="AY44" i="124" s="1"/>
  <c r="AX41" i="124"/>
  <c r="AX42" i="124" s="1"/>
  <c r="AX44" i="124" s="1"/>
  <c r="FC10" i="124"/>
  <c r="AY10" i="124"/>
  <c r="FD10" i="124"/>
  <c r="FD41" i="124" s="1"/>
  <c r="FD42" i="124" s="1"/>
  <c r="FD44" i="124" s="1"/>
  <c r="KS41" i="124"/>
  <c r="KS42" i="124" s="1"/>
  <c r="KS44" i="124" s="1"/>
  <c r="CZ11" i="124"/>
  <c r="IC17" i="124"/>
  <c r="JG18" i="124"/>
  <c r="GN18" i="124" s="1"/>
  <c r="KY41" i="124"/>
  <c r="KY42" i="124" s="1"/>
  <c r="KY44" i="124" s="1"/>
  <c r="FF12" i="124"/>
  <c r="GU41" i="124"/>
  <c r="GU42" i="124" s="1"/>
  <c r="KT41" i="124"/>
  <c r="KT42" i="124" s="1"/>
  <c r="KT44" i="124" s="1"/>
  <c r="GX11" i="124"/>
  <c r="RY11" i="124" s="1"/>
  <c r="BE41" i="124"/>
  <c r="BE42" i="124" s="1"/>
  <c r="BE44" i="124" s="1"/>
  <c r="BD41" i="124"/>
  <c r="BD42" i="124" s="1"/>
  <c r="BD44" i="124" s="1"/>
  <c r="CX10" i="124"/>
  <c r="BE10" i="124"/>
  <c r="P10" i="124"/>
  <c r="CZ10" i="124"/>
  <c r="KU42" i="124"/>
  <c r="BB158" i="2" s="1"/>
  <c r="JG11" i="124"/>
  <c r="GN11" i="124" s="1"/>
  <c r="FF15" i="124"/>
  <c r="JG15" i="124"/>
  <c r="GN15" i="124" s="1"/>
  <c r="P11" i="124"/>
  <c r="RQ11" i="124"/>
  <c r="PZ11" i="124"/>
  <c r="RS12" i="124"/>
  <c r="C14" i="124"/>
  <c r="FF17" i="124"/>
  <c r="BO41" i="124"/>
  <c r="BO42" i="124" s="1"/>
  <c r="BO44" i="124" s="1"/>
  <c r="BM41" i="124"/>
  <c r="BM42" i="124" s="1"/>
  <c r="BM44" i="124" s="1"/>
  <c r="KV41" i="124"/>
  <c r="KV42" i="124" s="1"/>
  <c r="NH11" i="124"/>
  <c r="T10" i="124"/>
  <c r="BO10" i="124"/>
  <c r="GV41" i="124"/>
  <c r="GV42" i="124" s="1"/>
  <c r="RS11" i="124"/>
  <c r="IR16" i="124"/>
  <c r="GM16" i="124" s="1"/>
  <c r="KW41" i="124"/>
  <c r="KW42" i="124" s="1"/>
  <c r="BR41" i="124"/>
  <c r="BR42" i="124" s="1"/>
  <c r="BR44" i="124" s="1"/>
  <c r="BQ41" i="124"/>
  <c r="W41" i="124"/>
  <c r="Y10" i="124"/>
  <c r="BR10" i="124"/>
  <c r="PK41" i="124"/>
  <c r="PK42" i="124" s="1"/>
  <c r="PK44" i="124" s="1"/>
  <c r="QA10" i="124"/>
  <c r="QA41" i="124" s="1"/>
  <c r="QA42" i="124" s="1"/>
  <c r="QA44" i="124" s="1"/>
  <c r="DS11" i="124"/>
  <c r="CZ12" i="124"/>
  <c r="BX18" i="124"/>
  <c r="X18" i="124"/>
  <c r="Y18" i="124" s="1"/>
  <c r="JM23" i="124"/>
  <c r="JG17" i="124"/>
  <c r="GN17" i="124" s="1"/>
  <c r="PZ15" i="124"/>
  <c r="BR19" i="124"/>
  <c r="RK19" i="124"/>
  <c r="JM21" i="124"/>
  <c r="JM22" i="124"/>
  <c r="HN24" i="124"/>
  <c r="GL24" i="124" s="1"/>
  <c r="EF14" i="124"/>
  <c r="PZ16" i="124"/>
  <c r="T19" i="124"/>
  <c r="U19" i="124" s="1"/>
  <c r="JM15" i="124"/>
  <c r="AY20" i="124"/>
  <c r="RS20" i="124"/>
  <c r="GX20" i="124"/>
  <c r="RY20" i="124" s="1"/>
  <c r="DS15" i="124"/>
  <c r="BR16" i="124"/>
  <c r="JM18" i="124"/>
  <c r="X19" i="124"/>
  <c r="Y19" i="124" s="1"/>
  <c r="JG19" i="124"/>
  <c r="GN19" i="124" s="1"/>
  <c r="AB21" i="124"/>
  <c r="AC21" i="124" s="1"/>
  <c r="BR21" i="124"/>
  <c r="RS14" i="124"/>
  <c r="PZ17" i="124"/>
  <c r="HN23" i="124"/>
  <c r="GL23" i="124" s="1"/>
  <c r="IR25" i="124"/>
  <c r="GM25" i="124" s="1"/>
  <c r="AY14" i="124"/>
  <c r="JM20" i="124"/>
  <c r="PZ12" i="124"/>
  <c r="DS17" i="124"/>
  <c r="C20" i="124"/>
  <c r="DS16" i="124"/>
  <c r="DS22" i="124"/>
  <c r="RS15" i="124"/>
  <c r="RS17" i="124"/>
  <c r="RS18" i="124"/>
  <c r="IC23" i="124"/>
  <c r="JM19" i="124"/>
  <c r="P20" i="124"/>
  <c r="AY15" i="124"/>
  <c r="IR22" i="124"/>
  <c r="GM22" i="124" s="1"/>
  <c r="FF23" i="124"/>
  <c r="IR23" i="124"/>
  <c r="GM23" i="124" s="1"/>
  <c r="FF24" i="124"/>
  <c r="C18" i="124"/>
  <c r="RL19" i="124"/>
  <c r="RL20" i="124" s="1"/>
  <c r="RL21" i="124" s="1"/>
  <c r="RL22" i="124" s="1"/>
  <c r="RL23" i="124" s="1"/>
  <c r="RL24" i="124" s="1"/>
  <c r="RL25" i="124" s="1"/>
  <c r="RL26" i="124" s="1"/>
  <c r="RL27" i="124" s="1"/>
  <c r="RL28" i="124" s="1"/>
  <c r="RL29" i="124" s="1"/>
  <c r="RL30" i="124" s="1"/>
  <c r="RL31" i="124" s="1"/>
  <c r="RL32" i="124" s="1"/>
  <c r="RL33" i="124" s="1"/>
  <c r="RL34" i="124" s="1"/>
  <c r="RL35" i="124" s="1"/>
  <c r="RL36" i="124" s="1"/>
  <c r="RL37" i="124" s="1"/>
  <c r="RL38" i="124" s="1"/>
  <c r="RL39" i="124" s="1"/>
  <c r="RL40" i="124" s="1"/>
  <c r="IR21" i="124"/>
  <c r="GM21" i="124" s="1"/>
  <c r="LJ41" i="124"/>
  <c r="LJ42" i="124" s="1"/>
  <c r="IR18" i="124"/>
  <c r="GM18" i="124" s="1"/>
  <c r="PZ18" i="124"/>
  <c r="JG24" i="124"/>
  <c r="GN24" i="124" s="1"/>
  <c r="JM25" i="124"/>
  <c r="RS16" i="124"/>
  <c r="X14" i="124"/>
  <c r="BR14" i="124"/>
  <c r="AY16" i="124"/>
  <c r="C19" i="124"/>
  <c r="JG23" i="124"/>
  <c r="GN23" i="124" s="1"/>
  <c r="IR27" i="124"/>
  <c r="GM27" i="124" s="1"/>
  <c r="BO18" i="124"/>
  <c r="GX18" i="124"/>
  <c r="RY18" i="124" s="1"/>
  <c r="IR20" i="124"/>
  <c r="GM20" i="124" s="1"/>
  <c r="FF22" i="124"/>
  <c r="JG22" i="124"/>
  <c r="GN22" i="124" s="1"/>
  <c r="AB18" i="124"/>
  <c r="AC18" i="124" s="1"/>
  <c r="BR18" i="124"/>
  <c r="AB20" i="124"/>
  <c r="AC20" i="124" s="1"/>
  <c r="T11" i="124"/>
  <c r="U11" i="124" s="1"/>
  <c r="DN41" i="124"/>
  <c r="DN42" i="124" s="1"/>
  <c r="DN44" i="124" s="1"/>
  <c r="P16" i="124"/>
  <c r="AY22" i="124"/>
  <c r="AB24" i="124"/>
  <c r="AC24" i="124" s="1"/>
  <c r="JM29" i="124"/>
  <c r="HN30" i="124"/>
  <c r="GL30" i="124" s="1"/>
  <c r="AC32" i="124"/>
  <c r="FF32" i="124"/>
  <c r="CX22" i="124"/>
  <c r="RS23" i="124"/>
  <c r="P25" i="124"/>
  <c r="AY26" i="124"/>
  <c r="RS27" i="124"/>
  <c r="DB28" i="124"/>
  <c r="IR31" i="124"/>
  <c r="GM31" i="124" s="1"/>
  <c r="C26" i="124"/>
  <c r="RS26" i="124"/>
  <c r="DS28" i="124"/>
  <c r="DS20" i="124"/>
  <c r="AY23" i="124"/>
  <c r="EF28" i="124"/>
  <c r="T25" i="124"/>
  <c r="U25" i="124" s="1"/>
  <c r="BR25" i="124"/>
  <c r="PZ21" i="124"/>
  <c r="DS25" i="124"/>
  <c r="C28" i="124"/>
  <c r="C24" i="124"/>
  <c r="JG25" i="124"/>
  <c r="GN25" i="124" s="1"/>
  <c r="DS21" i="124"/>
  <c r="AY24" i="124"/>
  <c r="JM27" i="124"/>
  <c r="X22" i="124"/>
  <c r="Y22" i="124" s="1"/>
  <c r="BR22" i="124"/>
  <c r="JG26" i="124"/>
  <c r="GN26" i="124" s="1"/>
  <c r="DB27" i="124"/>
  <c r="IC29" i="124"/>
  <c r="FF30" i="124"/>
  <c r="GX31" i="124"/>
  <c r="RY31" i="124" s="1"/>
  <c r="DB23" i="124"/>
  <c r="C27" i="124"/>
  <c r="DS27" i="124"/>
  <c r="P24" i="124"/>
  <c r="HN25" i="124"/>
  <c r="GL25" i="124" s="1"/>
  <c r="AB27" i="124"/>
  <c r="AC27" i="124" s="1"/>
  <c r="BR27" i="124"/>
  <c r="IR29" i="124"/>
  <c r="GM29" i="124" s="1"/>
  <c r="FF25" i="124"/>
  <c r="DS26" i="124"/>
  <c r="QO26" i="124"/>
  <c r="FF29" i="124"/>
  <c r="BX27" i="124"/>
  <c r="X27" i="124"/>
  <c r="Y27" i="124" s="1"/>
  <c r="C21" i="124"/>
  <c r="RS21" i="124"/>
  <c r="IC27" i="124"/>
  <c r="GX28" i="124"/>
  <c r="RY28" i="124" s="1"/>
  <c r="JG28" i="124"/>
  <c r="GN28" i="124" s="1"/>
  <c r="AY21" i="124"/>
  <c r="HN26" i="124"/>
  <c r="GL26" i="124" s="1"/>
  <c r="JM26" i="124"/>
  <c r="JM30" i="124"/>
  <c r="JM24" i="124"/>
  <c r="AY25" i="124"/>
  <c r="RQ25" i="124"/>
  <c r="FF27" i="124"/>
  <c r="FF26" i="124"/>
  <c r="LK27" i="124"/>
  <c r="JM28" i="124"/>
  <c r="DS31" i="124"/>
  <c r="DB31" i="124"/>
  <c r="PZ26" i="124"/>
  <c r="HN31" i="124"/>
  <c r="GL31" i="124" s="1"/>
  <c r="P32" i="124"/>
  <c r="D32" i="124" s="1"/>
  <c r="IR35" i="124"/>
  <c r="GM35" i="124" s="1"/>
  <c r="RS28" i="124"/>
  <c r="RS30" i="124"/>
  <c r="DB34" i="124"/>
  <c r="HN34" i="124"/>
  <c r="GL34" i="124" s="1"/>
  <c r="JM39" i="124"/>
  <c r="AY28" i="124"/>
  <c r="RQ32" i="124"/>
  <c r="PZ32" i="124"/>
  <c r="EF29" i="124"/>
  <c r="JM36" i="124"/>
  <c r="JM37" i="124"/>
  <c r="RQ29" i="124"/>
  <c r="RS31" i="124"/>
  <c r="DS30" i="124"/>
  <c r="AY31" i="124"/>
  <c r="JM31" i="124"/>
  <c r="BR32" i="124"/>
  <c r="DB32" i="124"/>
  <c r="C29" i="124"/>
  <c r="RS29" i="124"/>
  <c r="C31" i="124"/>
  <c r="CZ31" i="124"/>
  <c r="PZ31" i="124"/>
  <c r="Y32" i="124"/>
  <c r="DS32" i="124"/>
  <c r="C34" i="124"/>
  <c r="AY29" i="124"/>
  <c r="QO32" i="124"/>
  <c r="JM33" i="124"/>
  <c r="PZ27" i="124"/>
  <c r="DB33" i="124"/>
  <c r="JM32" i="124"/>
  <c r="C33" i="124"/>
  <c r="DS33" i="124"/>
  <c r="IR34" i="124"/>
  <c r="GM34" i="124" s="1"/>
  <c r="JM35" i="124"/>
  <c r="IC39" i="124"/>
  <c r="P31" i="124"/>
  <c r="NH39" i="124"/>
  <c r="IC37" i="124"/>
  <c r="HN38" i="124"/>
  <c r="GL38" i="124" s="1"/>
  <c r="IR39" i="124"/>
  <c r="GM39" i="124" s="1"/>
  <c r="IC40" i="124"/>
  <c r="AY30" i="124"/>
  <c r="BX33" i="124"/>
  <c r="X33" i="124"/>
  <c r="Y33" i="124" s="1"/>
  <c r="T31" i="124"/>
  <c r="U31" i="124" s="1"/>
  <c r="GX34" i="124"/>
  <c r="RY34" i="124" s="1"/>
  <c r="IR36" i="124"/>
  <c r="GM36" i="124" s="1"/>
  <c r="FF39" i="124"/>
  <c r="JG39" i="124"/>
  <c r="GN39" i="124" s="1"/>
  <c r="BR29" i="124"/>
  <c r="PZ30" i="124"/>
  <c r="FF33" i="124"/>
  <c r="P34" i="124"/>
  <c r="C35" i="124"/>
  <c r="FF36" i="124"/>
  <c r="FF38" i="124"/>
  <c r="GX39" i="124"/>
  <c r="RY39" i="124" s="1"/>
  <c r="X34" i="124"/>
  <c r="Y34" i="124" s="1"/>
  <c r="BR34" i="124"/>
  <c r="CZ35" i="124"/>
  <c r="RQ38" i="124"/>
  <c r="AB39" i="124"/>
  <c r="AC39" i="124" s="1"/>
  <c r="DS39" i="124"/>
  <c r="RQ39" i="124"/>
  <c r="AY36" i="124"/>
  <c r="P37" i="124"/>
  <c r="CZ37" i="124"/>
  <c r="RS38" i="124"/>
  <c r="RS39" i="124"/>
  <c r="JM34" i="124"/>
  <c r="CX36" i="124"/>
  <c r="AY38" i="124"/>
  <c r="P36" i="124"/>
  <c r="BL48" i="124"/>
  <c r="BL44" i="124"/>
  <c r="BR35" i="124"/>
  <c r="RS40" i="124"/>
  <c r="AY40" i="124"/>
  <c r="IR40" i="124"/>
  <c r="GM40" i="124" s="1"/>
  <c r="PZ35" i="124"/>
  <c r="BR37" i="124"/>
  <c r="CZ38" i="124"/>
  <c r="NL38" i="124"/>
  <c r="NL39" i="124" s="1"/>
  <c r="NL40" i="124" s="1"/>
  <c r="NL41" i="124" s="1"/>
  <c r="NL42" i="124" s="1"/>
  <c r="NL44" i="124" s="1"/>
  <c r="C39" i="124"/>
  <c r="AY39" i="124"/>
  <c r="AS42" i="124"/>
  <c r="AS44" i="124" s="1"/>
  <c r="AQ44" i="124"/>
  <c r="P33" i="124"/>
  <c r="PZ37" i="124"/>
  <c r="RS34" i="124"/>
  <c r="P40" i="124"/>
  <c r="D40" i="124" s="1"/>
  <c r="AY34" i="124"/>
  <c r="S42" i="124"/>
  <c r="CZ40" i="124"/>
  <c r="AW44" i="124"/>
  <c r="AW48" i="124"/>
  <c r="O42" i="124"/>
  <c r="BR40" i="124"/>
  <c r="BR33" i="124"/>
  <c r="RS35" i="124"/>
  <c r="JM38" i="124"/>
  <c r="DS40" i="124"/>
  <c r="QO40" i="124"/>
  <c r="JM40" i="124"/>
  <c r="CE44" i="124"/>
  <c r="CE48" i="124"/>
  <c r="RS37" i="124"/>
  <c r="AP41" i="124"/>
  <c r="AP42" i="124" s="1"/>
  <c r="AP44" i="124" s="1"/>
  <c r="D43" i="124"/>
  <c r="BV44" i="124"/>
  <c r="BY48" i="124"/>
  <c r="AE42" i="124"/>
  <c r="AI44" i="124"/>
  <c r="BC44" i="124"/>
  <c r="Q43" i="124"/>
  <c r="AV41" i="124"/>
  <c r="AV42" i="124" s="1"/>
  <c r="AV44" i="124" s="1"/>
  <c r="U43" i="124"/>
  <c r="CC44" i="124"/>
  <c r="Y43" i="124"/>
  <c r="ID44" i="124"/>
  <c r="PZ40" i="124"/>
  <c r="HC42" i="124"/>
  <c r="BS44" i="124"/>
  <c r="NS41" i="124" l="1"/>
  <c r="NS9" i="126" s="1"/>
  <c r="NS10" i="126" s="1"/>
  <c r="NS11" i="126" s="1"/>
  <c r="NS12" i="126" s="1"/>
  <c r="NS13" i="126" s="1"/>
  <c r="NS14" i="126" s="1"/>
  <c r="NS15" i="126" s="1"/>
  <c r="NS16" i="126" s="1"/>
  <c r="NS17" i="126" s="1"/>
  <c r="NS18" i="126" s="1"/>
  <c r="NS19" i="126" s="1"/>
  <c r="NS20" i="126" s="1"/>
  <c r="NS21" i="126" s="1"/>
  <c r="NS22" i="126" s="1"/>
  <c r="NS23" i="126" s="1"/>
  <c r="NS24" i="126" s="1"/>
  <c r="NS25" i="126" s="1"/>
  <c r="NS26" i="126" s="1"/>
  <c r="NS27" i="126" s="1"/>
  <c r="NS28" i="126" s="1"/>
  <c r="NS29" i="126" s="1"/>
  <c r="NS30" i="126" s="1"/>
  <c r="NS31" i="126" s="1"/>
  <c r="NS32" i="126" s="1"/>
  <c r="NS33" i="126" s="1"/>
  <c r="NS34" i="126" s="1"/>
  <c r="NS35" i="126" s="1"/>
  <c r="NS36" i="126" s="1"/>
  <c r="NS37" i="126" s="1"/>
  <c r="NS38" i="126" s="1"/>
  <c r="NS39" i="126" s="1"/>
  <c r="NS40" i="126" s="1"/>
  <c r="NS41" i="126" s="1"/>
  <c r="NS42" i="126" s="1"/>
  <c r="NS17" i="124"/>
  <c r="NS18" i="124" s="1"/>
  <c r="NS19" i="124" s="1"/>
  <c r="NS20" i="124" s="1"/>
  <c r="NS21" i="124" s="1"/>
  <c r="NS22" i="124" s="1"/>
  <c r="NS23" i="124" s="1"/>
  <c r="NS24" i="124" s="1"/>
  <c r="NS25" i="124" s="1"/>
  <c r="NS26" i="124" s="1"/>
  <c r="NS27" i="124" s="1"/>
  <c r="NS28" i="124" s="1"/>
  <c r="NS29" i="124" s="1"/>
  <c r="NS30" i="124" s="1"/>
  <c r="NS31" i="124" s="1"/>
  <c r="NS32" i="124" s="1"/>
  <c r="NS33" i="124" s="1"/>
  <c r="NS34" i="124" s="1"/>
  <c r="NS35" i="124" s="1"/>
  <c r="NS36" i="124" s="1"/>
  <c r="NS37" i="124" s="1"/>
  <c r="NS38" i="124" s="1"/>
  <c r="NS39" i="124" s="1"/>
  <c r="D12" i="124"/>
  <c r="KV44" i="124"/>
  <c r="BB159" i="2"/>
  <c r="KW44" i="124"/>
  <c r="BB160" i="2"/>
  <c r="OA44" i="124"/>
  <c r="OA9" i="126"/>
  <c r="OP44" i="124"/>
  <c r="OP9" i="126"/>
  <c r="OP10" i="126" s="1"/>
  <c r="OP11" i="126" s="1"/>
  <c r="OP12" i="126" s="1"/>
  <c r="OP13" i="126" s="1"/>
  <c r="OP14" i="126" s="1"/>
  <c r="OP15" i="126" s="1"/>
  <c r="OP16" i="126" s="1"/>
  <c r="OP17" i="126" s="1"/>
  <c r="OP18" i="126" s="1"/>
  <c r="OP19" i="126" s="1"/>
  <c r="OP20" i="126" s="1"/>
  <c r="OP21" i="126" s="1"/>
  <c r="OP22" i="126" s="1"/>
  <c r="OP23" i="126" s="1"/>
  <c r="OP24" i="126" s="1"/>
  <c r="OP25" i="126" s="1"/>
  <c r="OP26" i="126" s="1"/>
  <c r="OP27" i="126" s="1"/>
  <c r="OP28" i="126" s="1"/>
  <c r="OP29" i="126" s="1"/>
  <c r="OP30" i="126" s="1"/>
  <c r="OP31" i="126" s="1"/>
  <c r="OP32" i="126" s="1"/>
  <c r="OP33" i="126" s="1"/>
  <c r="OP34" i="126" s="1"/>
  <c r="OP35" i="126" s="1"/>
  <c r="OP36" i="126" s="1"/>
  <c r="OP37" i="126" s="1"/>
  <c r="OP38" i="126" s="1"/>
  <c r="OP39" i="126" s="1"/>
  <c r="OP40" i="126" s="1"/>
  <c r="OP41" i="126" s="1"/>
  <c r="OP42" i="126" s="1"/>
  <c r="OP44" i="126" s="1"/>
  <c r="OR44" i="124"/>
  <c r="OR9" i="126"/>
  <c r="ND10" i="126"/>
  <c r="ND11" i="126" s="1"/>
  <c r="ND12" i="126" s="1"/>
  <c r="ND13" i="126" s="1"/>
  <c r="ND14" i="126" s="1"/>
  <c r="ND15" i="126" s="1"/>
  <c r="ND16" i="126" s="1"/>
  <c r="ND17" i="126" s="1"/>
  <c r="ND18" i="126" s="1"/>
  <c r="ND19" i="126" s="1"/>
  <c r="AJ36" i="127"/>
  <c r="PH34" i="126"/>
  <c r="PB35" i="126"/>
  <c r="NB33" i="126"/>
  <c r="QH34" i="126"/>
  <c r="NH33" i="126"/>
  <c r="OH35" i="126"/>
  <c r="NU35" i="126"/>
  <c r="NA31" i="126"/>
  <c r="PP32" i="126"/>
  <c r="QO36" i="124"/>
  <c r="QO30" i="124"/>
  <c r="OC40" i="124"/>
  <c r="OC41" i="124"/>
  <c r="OC44" i="124" s="1"/>
  <c r="GO38" i="124"/>
  <c r="GZ49" i="124" s="1"/>
  <c r="QO35" i="124"/>
  <c r="GO39" i="124"/>
  <c r="GO37" i="124"/>
  <c r="QO34" i="124"/>
  <c r="QO22" i="124"/>
  <c r="QO25" i="124"/>
  <c r="QO24" i="124"/>
  <c r="D37" i="125"/>
  <c r="CN37" i="125" s="1"/>
  <c r="R14" i="125"/>
  <c r="S14" i="125" s="1"/>
  <c r="E14" i="125" s="1"/>
  <c r="D14" i="125"/>
  <c r="CN14" i="125" s="1"/>
  <c r="R20" i="125"/>
  <c r="S20" i="125" s="1"/>
  <c r="E20" i="125" s="1"/>
  <c r="D20" i="125"/>
  <c r="CN20" i="125" s="1"/>
  <c r="D15" i="125"/>
  <c r="CN15" i="125" s="1"/>
  <c r="R27" i="125"/>
  <c r="S27" i="125" s="1"/>
  <c r="E27" i="125" s="1"/>
  <c r="D27" i="125"/>
  <c r="CN27" i="125" s="1"/>
  <c r="R29" i="125"/>
  <c r="S29" i="125" s="1"/>
  <c r="E29" i="125" s="1"/>
  <c r="D29" i="125"/>
  <c r="CN29" i="125" s="1"/>
  <c r="D21" i="125"/>
  <c r="CN21" i="125" s="1"/>
  <c r="D36" i="125"/>
  <c r="CN36" i="125" s="1"/>
  <c r="R13" i="125"/>
  <c r="S13" i="125" s="1"/>
  <c r="E13" i="125" s="1"/>
  <c r="D13" i="125"/>
  <c r="CN13" i="125" s="1"/>
  <c r="R41" i="125"/>
  <c r="S41" i="125" s="1"/>
  <c r="E41" i="125" s="1"/>
  <c r="D41" i="125"/>
  <c r="CN41" i="125" s="1"/>
  <c r="R38" i="125"/>
  <c r="S38" i="125" s="1"/>
  <c r="E38" i="125" s="1"/>
  <c r="D38" i="125"/>
  <c r="CN38" i="125" s="1"/>
  <c r="QO20" i="124"/>
  <c r="QO19" i="124"/>
  <c r="QO18" i="124"/>
  <c r="IC42" i="124"/>
  <c r="CR34" i="125"/>
  <c r="R37" i="125"/>
  <c r="S37" i="125" s="1"/>
  <c r="E37" i="125" s="1"/>
  <c r="E43" i="124"/>
  <c r="IC41" i="124"/>
  <c r="CA42" i="124"/>
  <c r="CA44" i="124" s="1"/>
  <c r="BY44" i="124"/>
  <c r="GO14" i="124"/>
  <c r="GO17" i="124"/>
  <c r="IL44" i="124"/>
  <c r="GW44" i="124"/>
  <c r="IJ44" i="124"/>
  <c r="GT44" i="124"/>
  <c r="JA44" i="124"/>
  <c r="GU44" i="124"/>
  <c r="GO35" i="124"/>
  <c r="JC44" i="124"/>
  <c r="HH42" i="124"/>
  <c r="HH44" i="124" s="1"/>
  <c r="GO19" i="124"/>
  <c r="IQ42" i="124"/>
  <c r="IQ44" i="124" s="1"/>
  <c r="IN44" i="124"/>
  <c r="GV44" i="124"/>
  <c r="KU44" i="124"/>
  <c r="HJ44" i="124"/>
  <c r="HL42" i="124"/>
  <c r="HL44" i="124" s="1"/>
  <c r="AX21" i="125"/>
  <c r="CR39" i="125"/>
  <c r="CR22" i="125"/>
  <c r="R21" i="125"/>
  <c r="S21" i="125" s="1"/>
  <c r="E21" i="125" s="1"/>
  <c r="R15" i="125"/>
  <c r="S15" i="125" s="1"/>
  <c r="E15" i="125" s="1"/>
  <c r="R36" i="125"/>
  <c r="S36" i="125" s="1"/>
  <c r="E36" i="125" s="1"/>
  <c r="AE5" i="95"/>
  <c r="CR19" i="125"/>
  <c r="CR18" i="125"/>
  <c r="DD30" i="124"/>
  <c r="DD39" i="124"/>
  <c r="BB88" i="2"/>
  <c r="AX16" i="125"/>
  <c r="AX38" i="125"/>
  <c r="CR28" i="125"/>
  <c r="CR23" i="125"/>
  <c r="DD19" i="124"/>
  <c r="D28" i="124"/>
  <c r="E28" i="124" s="1"/>
  <c r="DD40" i="124"/>
  <c r="KR44" i="124"/>
  <c r="BB147" i="2"/>
  <c r="KQ44" i="124"/>
  <c r="BB146" i="2"/>
  <c r="KP44" i="124"/>
  <c r="BB145" i="2"/>
  <c r="BB84" i="2"/>
  <c r="AX31" i="125"/>
  <c r="AX29" i="125"/>
  <c r="CR17" i="125"/>
  <c r="AX30" i="125"/>
  <c r="CR20" i="125"/>
  <c r="AX13" i="125"/>
  <c r="CR32" i="125"/>
  <c r="AX41" i="125"/>
  <c r="AX27" i="125"/>
  <c r="CR26" i="125"/>
  <c r="CR36" i="125"/>
  <c r="CR25" i="125"/>
  <c r="CR40" i="125"/>
  <c r="CR15" i="125"/>
  <c r="BB27" i="2"/>
  <c r="AA44" i="124"/>
  <c r="BB31" i="2"/>
  <c r="BB23" i="2"/>
  <c r="AX14" i="125"/>
  <c r="AX24" i="125"/>
  <c r="CR33" i="125"/>
  <c r="CR37" i="125"/>
  <c r="AX35" i="125"/>
  <c r="R31" i="125"/>
  <c r="S31" i="125" s="1"/>
  <c r="E31" i="125" s="1"/>
  <c r="CN31" i="125"/>
  <c r="R39" i="125"/>
  <c r="S39" i="125" s="1"/>
  <c r="E39" i="125" s="1"/>
  <c r="CN39" i="125"/>
  <c r="CR42" i="125"/>
  <c r="AX42" i="125"/>
  <c r="R17" i="125"/>
  <c r="S17" i="125" s="1"/>
  <c r="E17" i="125" s="1"/>
  <c r="CN17" i="125"/>
  <c r="R24" i="125"/>
  <c r="S24" i="125" s="1"/>
  <c r="E24" i="125" s="1"/>
  <c r="CN24" i="125"/>
  <c r="R16" i="125"/>
  <c r="S16" i="125" s="1"/>
  <c r="E16" i="125" s="1"/>
  <c r="CN16" i="125"/>
  <c r="R30" i="125"/>
  <c r="S30" i="125" s="1"/>
  <c r="E30" i="125" s="1"/>
  <c r="CN30" i="125"/>
  <c r="R19" i="125"/>
  <c r="S19" i="125" s="1"/>
  <c r="E19" i="125" s="1"/>
  <c r="CN19" i="125"/>
  <c r="R18" i="125"/>
  <c r="S18" i="125" s="1"/>
  <c r="E18" i="125" s="1"/>
  <c r="CN18" i="125"/>
  <c r="R23" i="125"/>
  <c r="S23" i="125" s="1"/>
  <c r="E23" i="125" s="1"/>
  <c r="CN23" i="125"/>
  <c r="R25" i="125"/>
  <c r="S25" i="125" s="1"/>
  <c r="E25" i="125" s="1"/>
  <c r="CN25" i="125"/>
  <c r="R32" i="125"/>
  <c r="S32" i="125" s="1"/>
  <c r="E32" i="125" s="1"/>
  <c r="CN32" i="125"/>
  <c r="AK12" i="125"/>
  <c r="R12" i="125"/>
  <c r="Q43" i="125"/>
  <c r="AJ14" i="125"/>
  <c r="R35" i="125"/>
  <c r="S35" i="125" s="1"/>
  <c r="E35" i="125" s="1"/>
  <c r="CN35" i="125"/>
  <c r="R34" i="125"/>
  <c r="S34" i="125" s="1"/>
  <c r="E34" i="125" s="1"/>
  <c r="CN34" i="125"/>
  <c r="R40" i="125"/>
  <c r="S40" i="125" s="1"/>
  <c r="E40" i="125" s="1"/>
  <c r="CN40" i="125"/>
  <c r="R22" i="125"/>
  <c r="S22" i="125" s="1"/>
  <c r="E22" i="125" s="1"/>
  <c r="CN22" i="125"/>
  <c r="R42" i="125"/>
  <c r="S42" i="125" s="1"/>
  <c r="E42" i="125" s="1"/>
  <c r="CN42" i="125"/>
  <c r="AG43" i="125"/>
  <c r="AG44" i="125" s="1"/>
  <c r="R28" i="125"/>
  <c r="S28" i="125" s="1"/>
  <c r="E28" i="125" s="1"/>
  <c r="CN28" i="125"/>
  <c r="R33" i="125"/>
  <c r="S33" i="125" s="1"/>
  <c r="E33" i="125" s="1"/>
  <c r="CN33" i="125"/>
  <c r="R26" i="125"/>
  <c r="S26" i="125" s="1"/>
  <c r="E26" i="125" s="1"/>
  <c r="CN26" i="125"/>
  <c r="AX12" i="125"/>
  <c r="AB43" i="125"/>
  <c r="AB44" i="125" s="1"/>
  <c r="CR12" i="125"/>
  <c r="BS12" i="125"/>
  <c r="BS13" i="125" s="1"/>
  <c r="BS14" i="125" s="1"/>
  <c r="BS15" i="125" s="1"/>
  <c r="BS16" i="125" s="1"/>
  <c r="BS17" i="125" s="1"/>
  <c r="BS18" i="125" s="1"/>
  <c r="BS19" i="125" s="1"/>
  <c r="BS20" i="125" s="1"/>
  <c r="BS21" i="125" s="1"/>
  <c r="BS22" i="125" s="1"/>
  <c r="BS23" i="125" s="1"/>
  <c r="BS24" i="125" s="1"/>
  <c r="BS25" i="125" s="1"/>
  <c r="BS26" i="125" s="1"/>
  <c r="BS27" i="125" s="1"/>
  <c r="BS28" i="125" s="1"/>
  <c r="BS29" i="125" s="1"/>
  <c r="BS30" i="125" s="1"/>
  <c r="BS31" i="125" s="1"/>
  <c r="BS32" i="125" s="1"/>
  <c r="BS33" i="125" s="1"/>
  <c r="BS34" i="125" s="1"/>
  <c r="BS35" i="125" s="1"/>
  <c r="BS36" i="125" s="1"/>
  <c r="BS37" i="125" s="1"/>
  <c r="BS38" i="125" s="1"/>
  <c r="BS39" i="125" s="1"/>
  <c r="BS40" i="125" s="1"/>
  <c r="BS41" i="125" s="1"/>
  <c r="BS42" i="125" s="1"/>
  <c r="BS43" i="125" s="1"/>
  <c r="GO13" i="124"/>
  <c r="GO12" i="124"/>
  <c r="GO40" i="124"/>
  <c r="GO32" i="124"/>
  <c r="GO26" i="124"/>
  <c r="GO36" i="124"/>
  <c r="JG42" i="124"/>
  <c r="JG44" i="124" s="1"/>
  <c r="GO20" i="124"/>
  <c r="GO21" i="124"/>
  <c r="GO27" i="124"/>
  <c r="GO30" i="124"/>
  <c r="HN41" i="124"/>
  <c r="GO29" i="124"/>
  <c r="GO28" i="124"/>
  <c r="DD13" i="124"/>
  <c r="D29" i="124"/>
  <c r="E29" i="124" s="1"/>
  <c r="SC33" i="124"/>
  <c r="DD18" i="124"/>
  <c r="E13" i="124"/>
  <c r="X41" i="124"/>
  <c r="X42" i="124" s="1"/>
  <c r="E40" i="124"/>
  <c r="E32" i="124"/>
  <c r="E12" i="124"/>
  <c r="GO16" i="124"/>
  <c r="GO22" i="124"/>
  <c r="DD14" i="124"/>
  <c r="DD27" i="124"/>
  <c r="DD24" i="124"/>
  <c r="DD11" i="124"/>
  <c r="D35" i="124"/>
  <c r="E35" i="124" s="1"/>
  <c r="SC38" i="124"/>
  <c r="DD33" i="124"/>
  <c r="DD15" i="124"/>
  <c r="SC24" i="124"/>
  <c r="DD20" i="124"/>
  <c r="D30" i="124"/>
  <c r="E30" i="124" s="1"/>
  <c r="SC25" i="124"/>
  <c r="SC19" i="124"/>
  <c r="Q12" i="124"/>
  <c r="DD36" i="124"/>
  <c r="DD31" i="124"/>
  <c r="DD28" i="124"/>
  <c r="D38" i="124"/>
  <c r="E38" i="124" s="1"/>
  <c r="DD26" i="124"/>
  <c r="DD17" i="124"/>
  <c r="DD16" i="124"/>
  <c r="SC36" i="124"/>
  <c r="SC23" i="124"/>
  <c r="DD25" i="124"/>
  <c r="SC20" i="124"/>
  <c r="DD21" i="124"/>
  <c r="DD38" i="124"/>
  <c r="DD12" i="124"/>
  <c r="QO29" i="124"/>
  <c r="QO33" i="124"/>
  <c r="QO28" i="124"/>
  <c r="QO15" i="124"/>
  <c r="QO14" i="124"/>
  <c r="QO21" i="124"/>
  <c r="QO37" i="124"/>
  <c r="QO39" i="124"/>
  <c r="QO27" i="124"/>
  <c r="QO13" i="124"/>
  <c r="QO17" i="124"/>
  <c r="QO31" i="124"/>
  <c r="GO31" i="124"/>
  <c r="QO23" i="124"/>
  <c r="QO16" i="124"/>
  <c r="JW41" i="124"/>
  <c r="JW42" i="124" s="1"/>
  <c r="JW44" i="124" s="1"/>
  <c r="GO33" i="124"/>
  <c r="GO15" i="124"/>
  <c r="SC18" i="124"/>
  <c r="D18" i="124"/>
  <c r="E18" i="124" s="1"/>
  <c r="D24" i="124"/>
  <c r="E24" i="124" s="1"/>
  <c r="Q18" i="124"/>
  <c r="DD23" i="124"/>
  <c r="D21" i="124"/>
  <c r="E21" i="124" s="1"/>
  <c r="D15" i="124"/>
  <c r="D16" i="124"/>
  <c r="SC35" i="124"/>
  <c r="SC27" i="124"/>
  <c r="SC32" i="124"/>
  <c r="SC13" i="124"/>
  <c r="DD34" i="124"/>
  <c r="D36" i="124"/>
  <c r="E36" i="124" s="1"/>
  <c r="DD29" i="124"/>
  <c r="DD35" i="124"/>
  <c r="DD37" i="124"/>
  <c r="SC11" i="124"/>
  <c r="D34" i="124"/>
  <c r="E34" i="124" s="1"/>
  <c r="DD32" i="124"/>
  <c r="SC28" i="124"/>
  <c r="SC21" i="124"/>
  <c r="SC37" i="124"/>
  <c r="Q32" i="124"/>
  <c r="SC29" i="124"/>
  <c r="Q30" i="124"/>
  <c r="SC22" i="124"/>
  <c r="D23" i="124"/>
  <c r="E23" i="124" s="1"/>
  <c r="U28" i="124"/>
  <c r="SC34" i="124"/>
  <c r="SC26" i="124"/>
  <c r="Q15" i="124"/>
  <c r="SC40" i="124"/>
  <c r="Q36" i="124"/>
  <c r="SC30" i="124"/>
  <c r="D26" i="124"/>
  <c r="E26" i="124" s="1"/>
  <c r="DD22" i="124"/>
  <c r="D20" i="124"/>
  <c r="E20" i="124" s="1"/>
  <c r="SC14" i="124"/>
  <c r="D17" i="124"/>
  <c r="E17" i="124" s="1"/>
  <c r="SE32" i="124"/>
  <c r="QS32" i="124"/>
  <c r="QR32" i="124"/>
  <c r="GO25" i="124"/>
  <c r="D25" i="124"/>
  <c r="E25" i="124" s="1"/>
  <c r="Q25" i="124"/>
  <c r="D19" i="124"/>
  <c r="E19" i="124" s="1"/>
  <c r="JV41" i="124"/>
  <c r="JV42" i="124" s="1"/>
  <c r="JV44" i="124" s="1"/>
  <c r="PP11" i="124"/>
  <c r="NA10" i="124"/>
  <c r="S44" i="124"/>
  <c r="D37" i="124"/>
  <c r="E37" i="124" s="1"/>
  <c r="Q37" i="124"/>
  <c r="NH40" i="124"/>
  <c r="GO18" i="124"/>
  <c r="JS41" i="124"/>
  <c r="JS42" i="124" s="1"/>
  <c r="JS44" i="124" s="1"/>
  <c r="SE36" i="124"/>
  <c r="QS36" i="124"/>
  <c r="QR36" i="124"/>
  <c r="SE24" i="124"/>
  <c r="QS24" i="124"/>
  <c r="QR24" i="124"/>
  <c r="SE27" i="124"/>
  <c r="QR27" i="124"/>
  <c r="QS27" i="124"/>
  <c r="QS13" i="124"/>
  <c r="QR13" i="124"/>
  <c r="SE13" i="124"/>
  <c r="EF41" i="124"/>
  <c r="EF42" i="124" s="1"/>
  <c r="EF44" i="124" s="1"/>
  <c r="JP41" i="124"/>
  <c r="JP42" i="124" s="1"/>
  <c r="JP44" i="124" s="1"/>
  <c r="Q24" i="124"/>
  <c r="SE21" i="124"/>
  <c r="QS21" i="124"/>
  <c r="QR21" i="124"/>
  <c r="D14" i="124"/>
  <c r="JQ41" i="124"/>
  <c r="JQ42" i="124" s="1"/>
  <c r="JQ44" i="124" s="1"/>
  <c r="GO23" i="124"/>
  <c r="Y14" i="124"/>
  <c r="C41" i="124"/>
  <c r="JM41" i="124"/>
  <c r="JM47" i="124" s="1"/>
  <c r="QS10" i="124"/>
  <c r="QR10" i="124"/>
  <c r="PN41" i="124"/>
  <c r="PN42" i="124" s="1"/>
  <c r="SH10" i="124"/>
  <c r="FC41" i="124"/>
  <c r="FC42" i="124" s="1"/>
  <c r="FC44" i="124" s="1"/>
  <c r="JK301" i="124"/>
  <c r="JJ42" i="124"/>
  <c r="JJ48" i="124"/>
  <c r="JJ209" i="124" s="1"/>
  <c r="D39" i="124"/>
  <c r="E39" i="124" s="1"/>
  <c r="SC31" i="124"/>
  <c r="SE30" i="124"/>
  <c r="QS30" i="124"/>
  <c r="QR30" i="124"/>
  <c r="SE29" i="124"/>
  <c r="QS29" i="124"/>
  <c r="QR29" i="124"/>
  <c r="D22" i="124"/>
  <c r="E22" i="124" s="1"/>
  <c r="QS18" i="124"/>
  <c r="QR18" i="124"/>
  <c r="SE18" i="124"/>
  <c r="BW42" i="124"/>
  <c r="BW44" i="124" s="1"/>
  <c r="BW48" i="124"/>
  <c r="KC41" i="124"/>
  <c r="KC42" i="124" s="1"/>
  <c r="KC44" i="124" s="1"/>
  <c r="SE33" i="124"/>
  <c r="QR33" i="124"/>
  <c r="QS33" i="124"/>
  <c r="SE31" i="124"/>
  <c r="QR31" i="124"/>
  <c r="QS31" i="124"/>
  <c r="KE41" i="124"/>
  <c r="KE42" i="124" s="1"/>
  <c r="KE44" i="124" s="1"/>
  <c r="QR40" i="124"/>
  <c r="SE40" i="124"/>
  <c r="QS40" i="124"/>
  <c r="SE39" i="124"/>
  <c r="QS39" i="124"/>
  <c r="QR39" i="124"/>
  <c r="SC16" i="124"/>
  <c r="T41" i="124"/>
  <c r="U10" i="124"/>
  <c r="Q13" i="124"/>
  <c r="DS41" i="124"/>
  <c r="DS42" i="124" s="1"/>
  <c r="DS44" i="124" s="1"/>
  <c r="SC10" i="124"/>
  <c r="QS19" i="124"/>
  <c r="QR19" i="124"/>
  <c r="SE19" i="124"/>
  <c r="SC15" i="124"/>
  <c r="NH12" i="124"/>
  <c r="D11" i="124"/>
  <c r="Q11" i="124"/>
  <c r="SE14" i="124"/>
  <c r="QS14" i="124"/>
  <c r="QR14" i="124"/>
  <c r="DB41" i="124"/>
  <c r="DB42" i="124" s="1"/>
  <c r="DB44" i="124" s="1"/>
  <c r="JX41" i="124"/>
  <c r="JX42" i="124" s="1"/>
  <c r="JX44" i="124" s="1"/>
  <c r="KM41" i="124"/>
  <c r="KM42" i="124" s="1"/>
  <c r="KM44" i="124" s="1"/>
  <c r="KL41" i="124"/>
  <c r="KL42" i="124" s="1"/>
  <c r="KL44" i="124" s="1"/>
  <c r="KK41" i="124"/>
  <c r="KK42" i="124" s="1"/>
  <c r="KK44" i="124" s="1"/>
  <c r="KJ41" i="124"/>
  <c r="KJ42" i="124" s="1"/>
  <c r="KJ44" i="124" s="1"/>
  <c r="KI41" i="124"/>
  <c r="KI42" i="124" s="1"/>
  <c r="KI44" i="124" s="1"/>
  <c r="KH41" i="124"/>
  <c r="KH42" i="124" s="1"/>
  <c r="KH44" i="124" s="1"/>
  <c r="KG41" i="124"/>
  <c r="KG42" i="124" s="1"/>
  <c r="KG44" i="124" s="1"/>
  <c r="KF41" i="124"/>
  <c r="KF42" i="124" s="1"/>
  <c r="KF44" i="124" s="1"/>
  <c r="SE38" i="124"/>
  <c r="QS38" i="124"/>
  <c r="QR38" i="124"/>
  <c r="QS37" i="124"/>
  <c r="QR37" i="124"/>
  <c r="SE37" i="124"/>
  <c r="D27" i="124"/>
  <c r="E27" i="124" s="1"/>
  <c r="QS17" i="124"/>
  <c r="SE17" i="124"/>
  <c r="QR17" i="124"/>
  <c r="GO11" i="124"/>
  <c r="GL41" i="124"/>
  <c r="GL42" i="124" s="1"/>
  <c r="GL44" i="124" s="1"/>
  <c r="JY41" i="124"/>
  <c r="JY42" i="124" s="1"/>
  <c r="JY44" i="124" s="1"/>
  <c r="SE28" i="124"/>
  <c r="QS28" i="124"/>
  <c r="QR28" i="124"/>
  <c r="RN19" i="124"/>
  <c r="RK20" i="124"/>
  <c r="JZ41" i="124"/>
  <c r="JZ42" i="124" s="1"/>
  <c r="JZ44" i="124" s="1"/>
  <c r="GO34" i="124"/>
  <c r="GO24" i="124"/>
  <c r="SE23" i="124"/>
  <c r="QS23" i="124"/>
  <c r="QR23" i="124"/>
  <c r="QH13" i="124"/>
  <c r="KA41" i="124"/>
  <c r="KA42" i="124" s="1"/>
  <c r="KA44" i="124" s="1"/>
  <c r="SC39" i="124"/>
  <c r="PB12" i="124"/>
  <c r="PH11" i="124"/>
  <c r="SE12" i="124"/>
  <c r="QR12" i="124"/>
  <c r="QS12" i="124"/>
  <c r="GI41" i="124"/>
  <c r="GI42" i="124" s="1"/>
  <c r="GI44" i="124" s="1"/>
  <c r="FE10" i="124"/>
  <c r="FE41" i="124" s="1"/>
  <c r="FE42" i="124" s="1"/>
  <c r="FE44" i="124" s="1"/>
  <c r="KB41" i="124"/>
  <c r="KB42" i="124" s="1"/>
  <c r="KB44" i="124" s="1"/>
  <c r="Q34" i="124"/>
  <c r="SE26" i="124"/>
  <c r="QS26" i="124"/>
  <c r="QR26" i="124"/>
  <c r="SC17" i="124"/>
  <c r="CZ41" i="124"/>
  <c r="CZ42" i="124" s="1"/>
  <c r="CZ44" i="124" s="1"/>
  <c r="QR16" i="124"/>
  <c r="SE16" i="124"/>
  <c r="QS16" i="124"/>
  <c r="QI10" i="124"/>
  <c r="KD41" i="124"/>
  <c r="KD42" i="124" s="1"/>
  <c r="KD44" i="124" s="1"/>
  <c r="Q31" i="124"/>
  <c r="D31" i="124"/>
  <c r="E31" i="124" s="1"/>
  <c r="P41" i="124"/>
  <c r="D10" i="124"/>
  <c r="Q10" i="124"/>
  <c r="GX41" i="124"/>
  <c r="GX42" i="124" s="1"/>
  <c r="GX44" i="124" s="1"/>
  <c r="RY10" i="124"/>
  <c r="SE10" i="124" s="1"/>
  <c r="JR41" i="124"/>
  <c r="JR42" i="124" s="1"/>
  <c r="JR44" i="124" s="1"/>
  <c r="JG41" i="124"/>
  <c r="GN10" i="124"/>
  <c r="GN41" i="124" s="1"/>
  <c r="GN42" i="124" s="1"/>
  <c r="GN44" i="124" s="1"/>
  <c r="JK42" i="124"/>
  <c r="JK48" i="124"/>
  <c r="JK209" i="124" s="1"/>
  <c r="Q20" i="124"/>
  <c r="PZ41" i="124"/>
  <c r="RN10" i="124"/>
  <c r="RK11" i="124"/>
  <c r="AE44" i="124"/>
  <c r="AG42" i="124"/>
  <c r="AG44" i="124" s="1"/>
  <c r="S49" i="124"/>
  <c r="Q40" i="124"/>
  <c r="SE15" i="124"/>
  <c r="QS15" i="124"/>
  <c r="QR15" i="124"/>
  <c r="QS22" i="124"/>
  <c r="QR22" i="124"/>
  <c r="SE22" i="124"/>
  <c r="W42" i="124"/>
  <c r="C42" i="124" s="1"/>
  <c r="JU41" i="124"/>
  <c r="JU42" i="124" s="1"/>
  <c r="JU44" i="124" s="1"/>
  <c r="SE11" i="124"/>
  <c r="QS11" i="124"/>
  <c r="QR11" i="124"/>
  <c r="D33" i="124"/>
  <c r="E33" i="124" s="1"/>
  <c r="O49" i="124"/>
  <c r="O44" i="124"/>
  <c r="BQ42" i="124"/>
  <c r="BQ44" i="124" s="1"/>
  <c r="AB44" i="124" s="1"/>
  <c r="AB41" i="124"/>
  <c r="LK41" i="124"/>
  <c r="LK42" i="124" s="1"/>
  <c r="QS34" i="124"/>
  <c r="QR34" i="124"/>
  <c r="SE34" i="124"/>
  <c r="SE35" i="124"/>
  <c r="QS35" i="124"/>
  <c r="QR35" i="124"/>
  <c r="Q33" i="124"/>
  <c r="SE25" i="124"/>
  <c r="QR25" i="124"/>
  <c r="QS25" i="124"/>
  <c r="SE20" i="124"/>
  <c r="QR20" i="124"/>
  <c r="QS20" i="124"/>
  <c r="Q16" i="124"/>
  <c r="CX41" i="124"/>
  <c r="CX42" i="124" s="1"/>
  <c r="CX44" i="124" s="1"/>
  <c r="DD10" i="124"/>
  <c r="IR41" i="124"/>
  <c r="GM41" i="124" s="1"/>
  <c r="GM10" i="124"/>
  <c r="SC12" i="124"/>
  <c r="OH13" i="124"/>
  <c r="JT41" i="124"/>
  <c r="JT42" i="124" s="1"/>
  <c r="JT44" i="124" s="1"/>
  <c r="NU13" i="124"/>
  <c r="OA10" i="126" l="1"/>
  <c r="ND20" i="126"/>
  <c r="OR10" i="126"/>
  <c r="OR11" i="126" s="1"/>
  <c r="OR12" i="126" s="1"/>
  <c r="OR13" i="126" s="1"/>
  <c r="OR14" i="126" s="1"/>
  <c r="OR15" i="126" s="1"/>
  <c r="OR16" i="126" s="1"/>
  <c r="OR17" i="126" s="1"/>
  <c r="OR18" i="126" s="1"/>
  <c r="OR19" i="126" s="1"/>
  <c r="OR20" i="126" s="1"/>
  <c r="OR21" i="126" s="1"/>
  <c r="OR22" i="126" s="1"/>
  <c r="OR23" i="126" s="1"/>
  <c r="OR24" i="126" s="1"/>
  <c r="OR25" i="126" s="1"/>
  <c r="OR26" i="126" s="1"/>
  <c r="OR27" i="126" s="1"/>
  <c r="OR28" i="126" s="1"/>
  <c r="OR29" i="126" s="1"/>
  <c r="OR30" i="126" s="1"/>
  <c r="OR31" i="126" s="1"/>
  <c r="OR32" i="126" s="1"/>
  <c r="OR33" i="126" s="1"/>
  <c r="OR34" i="126" s="1"/>
  <c r="OR35" i="126" s="1"/>
  <c r="OR36" i="126" s="1"/>
  <c r="OR37" i="126" s="1"/>
  <c r="AJ37" i="127"/>
  <c r="NA32" i="126"/>
  <c r="PP33" i="126"/>
  <c r="NU36" i="126"/>
  <c r="OH36" i="126"/>
  <c r="NH34" i="126"/>
  <c r="NB34" i="126"/>
  <c r="QH35" i="126"/>
  <c r="PH35" i="126"/>
  <c r="PB36" i="126"/>
  <c r="D43" i="125"/>
  <c r="HN42" i="124"/>
  <c r="HN44" i="124" s="1"/>
  <c r="IR42" i="124"/>
  <c r="IR44" i="124" s="1"/>
  <c r="JK44" i="124"/>
  <c r="BB66" i="2"/>
  <c r="JJ44" i="124"/>
  <c r="BB62" i="2"/>
  <c r="BB115" i="2"/>
  <c r="Y41" i="124"/>
  <c r="AB212" i="124"/>
  <c r="BS11" i="127"/>
  <c r="BS12" i="127" s="1"/>
  <c r="BS13" i="127" s="1"/>
  <c r="BS14" i="127" s="1"/>
  <c r="BS15" i="127" s="1"/>
  <c r="BS16" i="127" s="1"/>
  <c r="BS17" i="127" s="1"/>
  <c r="BS18" i="127" s="1"/>
  <c r="BS19" i="127" s="1"/>
  <c r="BS20" i="127" s="1"/>
  <c r="BS21" i="127" s="1"/>
  <c r="BS22" i="127" s="1"/>
  <c r="BS23" i="127" s="1"/>
  <c r="BS24" i="127" s="1"/>
  <c r="BS25" i="127" s="1"/>
  <c r="BS26" i="127" s="1"/>
  <c r="BS27" i="127" s="1"/>
  <c r="BS28" i="127" s="1"/>
  <c r="BS29" i="127" s="1"/>
  <c r="BS30" i="127" s="1"/>
  <c r="BS31" i="127" s="1"/>
  <c r="BS32" i="127" s="1"/>
  <c r="BS33" i="127" s="1"/>
  <c r="BS34" i="127" s="1"/>
  <c r="BS35" i="127" s="1"/>
  <c r="BS36" i="127" s="1"/>
  <c r="BS37" i="127" s="1"/>
  <c r="BS38" i="127" s="1"/>
  <c r="BS39" i="127" s="1"/>
  <c r="BS40" i="127" s="1"/>
  <c r="BS41" i="127" s="1"/>
  <c r="BS42" i="127" s="1"/>
  <c r="D51" i="95"/>
  <c r="BB105" i="2"/>
  <c r="E15" i="124"/>
  <c r="E16" i="124"/>
  <c r="E14" i="124"/>
  <c r="E11" i="124"/>
  <c r="AX43" i="125"/>
  <c r="AX44" i="125" s="1"/>
  <c r="BA43" i="125" a="1"/>
  <c r="BA43" i="125" s="1"/>
  <c r="BA44" i="125" s="1"/>
  <c r="AZ43" i="125" a="1"/>
  <c r="AZ43" i="125" s="1"/>
  <c r="AZ44" i="125" s="1"/>
  <c r="BB43" i="125" a="1"/>
  <c r="BB43" i="125" s="1"/>
  <c r="BB44" i="125" s="1"/>
  <c r="BC43" i="125" a="1"/>
  <c r="BC43" i="125" s="1"/>
  <c r="BC44" i="125" s="1"/>
  <c r="BD43" i="125" a="1"/>
  <c r="BD43" i="125" s="1"/>
  <c r="BD44" i="125" s="1"/>
  <c r="Q44" i="125"/>
  <c r="S44" i="125" s="1"/>
  <c r="S43" i="125"/>
  <c r="S12" i="125"/>
  <c r="E12" i="125" s="1"/>
  <c r="R43" i="125"/>
  <c r="R44" i="125" s="1"/>
  <c r="AJ15" i="125"/>
  <c r="AK13" i="125"/>
  <c r="AL12" i="125"/>
  <c r="CN12" i="125"/>
  <c r="GO10" i="124"/>
  <c r="JP45" i="124"/>
  <c r="DD41" i="124"/>
  <c r="DD42" i="124" s="1"/>
  <c r="DD44" i="124" s="1"/>
  <c r="D41" i="124"/>
  <c r="D290" i="124" s="1"/>
  <c r="PP12" i="124"/>
  <c r="NA11" i="124"/>
  <c r="FF10" i="124"/>
  <c r="FF41" i="124" s="1"/>
  <c r="FF42" i="124" s="1"/>
  <c r="FF44" i="124" s="1"/>
  <c r="T42" i="124"/>
  <c r="T49" i="124"/>
  <c r="U41" i="124"/>
  <c r="JX45" i="124"/>
  <c r="PB13" i="124"/>
  <c r="PH12" i="124"/>
  <c r="E10" i="124"/>
  <c r="T228" i="124"/>
  <c r="AA49" i="124"/>
  <c r="P42" i="124"/>
  <c r="Q41" i="124"/>
  <c r="AB52" i="124"/>
  <c r="AB54" i="124" s="1"/>
  <c r="P49" i="124"/>
  <c r="QI11" i="124"/>
  <c r="NB10" i="124"/>
  <c r="QH14" i="124"/>
  <c r="JM292" i="124"/>
  <c r="JM42" i="124"/>
  <c r="NU14" i="124"/>
  <c r="Y42" i="124"/>
  <c r="Y44" i="124" s="1"/>
  <c r="W44" i="124"/>
  <c r="RN11" i="124"/>
  <c r="RK12" i="124"/>
  <c r="OH14" i="124"/>
  <c r="NH13" i="124"/>
  <c r="C44" i="124"/>
  <c r="KF45" i="124"/>
  <c r="NH41" i="124"/>
  <c r="NH42" i="124" s="1"/>
  <c r="RK21" i="124"/>
  <c r="RN20" i="124"/>
  <c r="GM42" i="124"/>
  <c r="GM44" i="124" s="1"/>
  <c r="GR46" i="124"/>
  <c r="AB300" i="124"/>
  <c r="AB42" i="124"/>
  <c r="AC41" i="124"/>
  <c r="AC42" i="124" s="1"/>
  <c r="X44" i="124"/>
  <c r="X49" i="124"/>
  <c r="OA11" i="126" l="1"/>
  <c r="ND21" i="126"/>
  <c r="AJ38" i="127"/>
  <c r="QH36" i="126"/>
  <c r="NB35" i="126"/>
  <c r="NH35" i="126"/>
  <c r="PB37" i="126"/>
  <c r="PH36" i="126"/>
  <c r="NA33" i="126"/>
  <c r="PP34" i="126"/>
  <c r="OH37" i="126"/>
  <c r="NU37" i="126"/>
  <c r="GO41" i="124"/>
  <c r="GO42" i="124" s="1"/>
  <c r="GO44" i="124" s="1"/>
  <c r="BB48" i="2"/>
  <c r="AX46" i="125"/>
  <c r="AX47" i="125" s="1"/>
  <c r="AE25" i="95"/>
  <c r="AE16" i="95" s="1"/>
  <c r="BB44" i="2"/>
  <c r="BB40" i="2"/>
  <c r="R47" i="125"/>
  <c r="E43" i="125"/>
  <c r="D44" i="125"/>
  <c r="AJ16" i="125"/>
  <c r="AK14" i="125"/>
  <c r="AL13" i="125"/>
  <c r="E41" i="124"/>
  <c r="NU15" i="124"/>
  <c r="D42" i="124"/>
  <c r="P44" i="124"/>
  <c r="Q42" i="124"/>
  <c r="Q44" i="124" s="1"/>
  <c r="JM290" i="124"/>
  <c r="JM48" i="124"/>
  <c r="PB14" i="124"/>
  <c r="PH13" i="124"/>
  <c r="NH44" i="124"/>
  <c r="AC43" i="124"/>
  <c r="AC44" i="124" s="1"/>
  <c r="JM293" i="124"/>
  <c r="JM44" i="124"/>
  <c r="RK22" i="124"/>
  <c r="RN21" i="124"/>
  <c r="OH15" i="124"/>
  <c r="NH14" i="124"/>
  <c r="T44" i="124"/>
  <c r="U44" i="124" s="1"/>
  <c r="U42" i="124"/>
  <c r="QI12" i="124"/>
  <c r="NB11" i="124"/>
  <c r="QH15" i="124"/>
  <c r="RN12" i="124"/>
  <c r="RK13" i="124"/>
  <c r="PP13" i="124"/>
  <c r="NA12" i="124"/>
  <c r="OA12" i="126" l="1"/>
  <c r="ND22" i="126"/>
  <c r="AJ39" i="127"/>
  <c r="NU38" i="126"/>
  <c r="PP35" i="126"/>
  <c r="NA34" i="126"/>
  <c r="PB38" i="126"/>
  <c r="PH37" i="126"/>
  <c r="OH38" i="126"/>
  <c r="QH37" i="126"/>
  <c r="NB36" i="126"/>
  <c r="E44" i="125"/>
  <c r="AE10" i="95"/>
  <c r="AK15" i="125"/>
  <c r="AL14" i="125"/>
  <c r="AJ17" i="125"/>
  <c r="RN13" i="124"/>
  <c r="RK14" i="124"/>
  <c r="PP14" i="124"/>
  <c r="NA13" i="124"/>
  <c r="QH16" i="124"/>
  <c r="PH14" i="124"/>
  <c r="PB15" i="124"/>
  <c r="NH15" i="124"/>
  <c r="QI13" i="124"/>
  <c r="NB12" i="124"/>
  <c r="NU16" i="124"/>
  <c r="OH16" i="124"/>
  <c r="RK23" i="124"/>
  <c r="RN22" i="124"/>
  <c r="D44" i="124"/>
  <c r="E42" i="124"/>
  <c r="E44" i="124" s="1"/>
  <c r="OA13" i="126" l="1"/>
  <c r="ND23" i="126"/>
  <c r="AJ40" i="127"/>
  <c r="QH38" i="126"/>
  <c r="NB37" i="126"/>
  <c r="OH39" i="126"/>
  <c r="PH38" i="126"/>
  <c r="PB39" i="126"/>
  <c r="NA35" i="126"/>
  <c r="PP36" i="126"/>
  <c r="NU39" i="126"/>
  <c r="AJ18" i="125"/>
  <c r="AK16" i="125"/>
  <c r="AL15" i="125"/>
  <c r="QI14" i="124"/>
  <c r="NB13" i="124"/>
  <c r="NH16" i="124"/>
  <c r="QH17" i="124"/>
  <c r="OH17" i="124"/>
  <c r="NU17" i="124"/>
  <c r="RK15" i="124"/>
  <c r="RN14" i="124"/>
  <c r="PB16" i="124"/>
  <c r="PH15" i="124"/>
  <c r="RN23" i="124"/>
  <c r="RK24" i="124"/>
  <c r="NA14" i="124"/>
  <c r="PP15" i="124"/>
  <c r="OA14" i="126" l="1"/>
  <c r="ND24" i="126"/>
  <c r="AJ41" i="127"/>
  <c r="PP37" i="126"/>
  <c r="NA36" i="126"/>
  <c r="NU40" i="126"/>
  <c r="PB40" i="126"/>
  <c r="PH39" i="126"/>
  <c r="OH40" i="126"/>
  <c r="QH39" i="126"/>
  <c r="NB38" i="126"/>
  <c r="AK17" i="125"/>
  <c r="AL16" i="125"/>
  <c r="AJ19" i="125"/>
  <c r="PB17" i="124"/>
  <c r="PH16" i="124"/>
  <c r="RN15" i="124"/>
  <c r="RK16" i="124"/>
  <c r="NU18" i="124"/>
  <c r="OH18" i="124"/>
  <c r="QH18" i="124"/>
  <c r="NA15" i="124"/>
  <c r="PP16" i="124"/>
  <c r="NH17" i="124"/>
  <c r="RK25" i="124"/>
  <c r="RN24" i="124"/>
  <c r="QI15" i="124"/>
  <c r="NB14" i="124"/>
  <c r="BW18" i="122"/>
  <c r="BW19" i="122"/>
  <c r="BW20" i="122"/>
  <c r="BW21" i="122"/>
  <c r="BW22" i="122"/>
  <c r="BW23" i="122"/>
  <c r="BW24" i="122"/>
  <c r="BW25" i="122"/>
  <c r="BW26" i="122"/>
  <c r="BW27" i="122"/>
  <c r="BW28" i="122"/>
  <c r="BW29" i="122"/>
  <c r="BW30" i="122"/>
  <c r="BW31" i="122"/>
  <c r="BW32" i="122"/>
  <c r="BW33" i="122"/>
  <c r="BW34" i="122"/>
  <c r="BW35" i="122"/>
  <c r="BW36" i="122"/>
  <c r="BW37" i="122"/>
  <c r="BW38" i="122"/>
  <c r="OA15" i="126" l="1"/>
  <c r="ND25" i="126"/>
  <c r="AJ42" i="127"/>
  <c r="OH41" i="126"/>
  <c r="NU41" i="126"/>
  <c r="NU42" i="126" s="1"/>
  <c r="NU44" i="126" s="1"/>
  <c r="NB39" i="126"/>
  <c r="QH40" i="126"/>
  <c r="PB41" i="126"/>
  <c r="PB42" i="126" s="1"/>
  <c r="PB44" i="126" s="1"/>
  <c r="PH40" i="126"/>
  <c r="PH41" i="126" s="1"/>
  <c r="PH42" i="126" s="1"/>
  <c r="PH44" i="126" s="1"/>
  <c r="PP38" i="126"/>
  <c r="NA37" i="126"/>
  <c r="AJ20" i="125"/>
  <c r="AK18" i="125"/>
  <c r="AL17" i="125"/>
  <c r="NU19" i="124"/>
  <c r="PH17" i="124"/>
  <c r="PB18" i="124"/>
  <c r="OH19" i="124"/>
  <c r="QI16" i="124"/>
  <c r="NB15" i="124"/>
  <c r="RK26" i="124"/>
  <c r="RN25" i="124"/>
  <c r="QH19" i="124"/>
  <c r="RN16" i="124"/>
  <c r="RK17" i="124"/>
  <c r="RN17" i="124" s="1"/>
  <c r="NH18" i="124"/>
  <c r="NA16" i="124"/>
  <c r="PP17" i="124"/>
  <c r="OA16" i="126" l="1"/>
  <c r="ND26" i="126"/>
  <c r="AJ43" i="127"/>
  <c r="AJ44" i="127" s="1"/>
  <c r="NA38" i="126"/>
  <c r="PP39" i="126"/>
  <c r="NB40" i="126"/>
  <c r="NB41" i="126" s="1"/>
  <c r="NB42" i="126" s="1"/>
  <c r="NB44" i="126" s="1"/>
  <c r="QH41" i="126"/>
  <c r="QH42" i="126" s="1"/>
  <c r="QH44" i="126" s="1"/>
  <c r="AK19" i="125"/>
  <c r="AL18" i="125"/>
  <c r="AJ21" i="125"/>
  <c r="NH19" i="124"/>
  <c r="NU20" i="124"/>
  <c r="QH20" i="124"/>
  <c r="OH20" i="124"/>
  <c r="PP18" i="124"/>
  <c r="NA17" i="124"/>
  <c r="RK27" i="124"/>
  <c r="RN26" i="124"/>
  <c r="QI17" i="124"/>
  <c r="NB16" i="124"/>
  <c r="PB19" i="124"/>
  <c r="PH18" i="124"/>
  <c r="OA17" i="126" l="1"/>
  <c r="ND27" i="126"/>
  <c r="PP40" i="126"/>
  <c r="NA39" i="126"/>
  <c r="AJ22" i="125"/>
  <c r="AK20" i="125"/>
  <c r="AL19" i="125"/>
  <c r="PB20" i="124"/>
  <c r="PH19" i="124"/>
  <c r="QH21" i="124"/>
  <c r="QI18" i="124"/>
  <c r="NB17" i="124"/>
  <c r="PP19" i="124"/>
  <c r="NA18" i="124"/>
  <c r="RK28" i="124"/>
  <c r="RN27" i="124"/>
  <c r="OH21" i="124"/>
  <c r="NU21" i="124"/>
  <c r="NH20" i="124"/>
  <c r="OA18" i="126" l="1"/>
  <c r="ND28" i="126"/>
  <c r="PP41" i="126"/>
  <c r="PP42" i="126" s="1"/>
  <c r="PP44" i="126" s="1"/>
  <c r="NA40" i="126"/>
  <c r="NA41" i="126" s="1"/>
  <c r="NA42" i="126" s="1"/>
  <c r="NA44" i="126" s="1"/>
  <c r="AK21" i="125"/>
  <c r="AL20" i="125"/>
  <c r="AJ23" i="125"/>
  <c r="ND44" i="124"/>
  <c r="OH22" i="124"/>
  <c r="QH22" i="124"/>
  <c r="NH21" i="124"/>
  <c r="RN28" i="124"/>
  <c r="RK29" i="124"/>
  <c r="QI19" i="124"/>
  <c r="NB18" i="124"/>
  <c r="NU22" i="124"/>
  <c r="PP20" i="124"/>
  <c r="NA19" i="124"/>
  <c r="PB21" i="124"/>
  <c r="PH20" i="124"/>
  <c r="PK41" i="122"/>
  <c r="PK42" i="122" s="1"/>
  <c r="PL41" i="122"/>
  <c r="PL42" i="122" s="1"/>
  <c r="OA19" i="126" l="1"/>
  <c r="ND29" i="126"/>
  <c r="AJ24" i="125"/>
  <c r="AK22" i="125"/>
  <c r="AL21" i="125"/>
  <c r="PH21" i="124"/>
  <c r="PB22" i="124"/>
  <c r="NU23" i="124"/>
  <c r="QH23" i="124"/>
  <c r="QI20" i="124"/>
  <c r="NB19" i="124"/>
  <c r="RK30" i="124"/>
  <c r="RN29" i="124"/>
  <c r="NH22" i="124"/>
  <c r="OH23" i="124"/>
  <c r="NA20" i="124"/>
  <c r="PP21" i="124"/>
  <c r="B2" i="106"/>
  <c r="OA20" i="126" l="1"/>
  <c r="ND30" i="126"/>
  <c r="AK23" i="125"/>
  <c r="AL22" i="125"/>
  <c r="AJ25" i="125"/>
  <c r="NA21" i="124"/>
  <c r="PP22" i="124"/>
  <c r="NH23" i="124"/>
  <c r="QI21" i="124"/>
  <c r="NB20" i="124"/>
  <c r="OH24" i="124"/>
  <c r="RN30" i="124"/>
  <c r="RK31" i="124"/>
  <c r="QH24" i="124"/>
  <c r="NU24" i="124"/>
  <c r="PH22" i="124"/>
  <c r="PB23" i="124"/>
  <c r="BX31" i="122"/>
  <c r="OA21" i="126" l="1"/>
  <c r="ND31" i="126"/>
  <c r="AJ26" i="125"/>
  <c r="AK24" i="125"/>
  <c r="AL23" i="125"/>
  <c r="OH25" i="124"/>
  <c r="NU25" i="124"/>
  <c r="QH25" i="124"/>
  <c r="RK32" i="124"/>
  <c r="RN31" i="124"/>
  <c r="QI22" i="124"/>
  <c r="NB21" i="124"/>
  <c r="NH24" i="124"/>
  <c r="NA22" i="124"/>
  <c r="PP23" i="124"/>
  <c r="PB24" i="124"/>
  <c r="PH23" i="124"/>
  <c r="ER13" i="122"/>
  <c r="OA22" i="126" l="1"/>
  <c r="ND32" i="126"/>
  <c r="AK25" i="125"/>
  <c r="AL24" i="125"/>
  <c r="AJ27" i="125"/>
  <c r="QH26" i="124"/>
  <c r="OH26" i="124"/>
  <c r="NH25" i="124"/>
  <c r="NU26" i="124"/>
  <c r="NA23" i="124"/>
  <c r="PP24" i="124"/>
  <c r="PB25" i="124"/>
  <c r="PH24" i="124"/>
  <c r="QI23" i="124"/>
  <c r="NB22" i="124"/>
  <c r="RK33" i="124"/>
  <c r="RN32" i="124"/>
  <c r="NO9" i="122"/>
  <c r="OA23" i="126" l="1"/>
  <c r="ND33" i="126"/>
  <c r="AJ28" i="125"/>
  <c r="AK26" i="125"/>
  <c r="AL25" i="125"/>
  <c r="RN33" i="124"/>
  <c r="RK34" i="124"/>
  <c r="NH26" i="124"/>
  <c r="PP25" i="124"/>
  <c r="NA24" i="124"/>
  <c r="NU27" i="124"/>
  <c r="QH27" i="124"/>
  <c r="QI24" i="124"/>
  <c r="NB23" i="124"/>
  <c r="PB26" i="124"/>
  <c r="PH25" i="124"/>
  <c r="OH27" i="124"/>
  <c r="BW13" i="122"/>
  <c r="BW14" i="122"/>
  <c r="BW15" i="122"/>
  <c r="BW16" i="122"/>
  <c r="BW17" i="122"/>
  <c r="OA24" i="126" l="1"/>
  <c r="ND34" i="126"/>
  <c r="AK27" i="125"/>
  <c r="AL26" i="125"/>
  <c r="AJ29" i="125"/>
  <c r="OH28" i="124"/>
  <c r="QI25" i="124"/>
  <c r="NB24" i="124"/>
  <c r="QH28" i="124"/>
  <c r="NH27" i="124"/>
  <c r="PB27" i="124"/>
  <c r="PH26" i="124"/>
  <c r="NU28" i="124"/>
  <c r="PP26" i="124"/>
  <c r="NA25" i="124"/>
  <c r="RK35" i="124"/>
  <c r="RN34" i="124"/>
  <c r="OA25" i="126" l="1"/>
  <c r="ND35" i="126"/>
  <c r="AJ30" i="125"/>
  <c r="AK28" i="125"/>
  <c r="AL27" i="125"/>
  <c r="NH28" i="124"/>
  <c r="RN35" i="124"/>
  <c r="RK36" i="124"/>
  <c r="PP27" i="124"/>
  <c r="NA26" i="124"/>
  <c r="NU29" i="124"/>
  <c r="PB28" i="124"/>
  <c r="PH27" i="124"/>
  <c r="QH29" i="124"/>
  <c r="QI26" i="124"/>
  <c r="NB25" i="124"/>
  <c r="OH29" i="124"/>
  <c r="BW11" i="122"/>
  <c r="BW12" i="122"/>
  <c r="OA26" i="126" l="1"/>
  <c r="ND36" i="126"/>
  <c r="AK29" i="125"/>
  <c r="AL28" i="125"/>
  <c r="AJ31" i="125"/>
  <c r="OH30" i="124"/>
  <c r="QH30" i="124"/>
  <c r="NU30" i="124"/>
  <c r="NH29" i="124"/>
  <c r="QI27" i="124"/>
  <c r="NB26" i="124"/>
  <c r="PB29" i="124"/>
  <c r="PH28" i="124"/>
  <c r="PP28" i="124"/>
  <c r="NA27" i="124"/>
  <c r="RK37" i="124"/>
  <c r="RN36" i="124"/>
  <c r="W25" i="95"/>
  <c r="W16" i="95"/>
  <c r="W5" i="95"/>
  <c r="OA27" i="126" l="1"/>
  <c r="ND37" i="126"/>
  <c r="AJ32" i="125"/>
  <c r="AK30" i="125"/>
  <c r="AL29" i="125"/>
  <c r="PH29" i="124"/>
  <c r="PB30" i="124"/>
  <c r="RK38" i="124"/>
  <c r="RN37" i="124"/>
  <c r="PP29" i="124"/>
  <c r="NA28" i="124"/>
  <c r="QI28" i="124"/>
  <c r="NB27" i="124"/>
  <c r="NH30" i="124"/>
  <c r="NU31" i="124"/>
  <c r="QH31" i="124"/>
  <c r="OH31" i="124"/>
  <c r="W10" i="95"/>
  <c r="OA28" i="126" l="1"/>
  <c r="ND38" i="126"/>
  <c r="AK31" i="125"/>
  <c r="AL30" i="125"/>
  <c r="AJ33" i="125"/>
  <c r="OH32" i="124"/>
  <c r="PP30" i="124"/>
  <c r="NA29" i="124"/>
  <c r="QH32" i="124"/>
  <c r="NU32" i="124"/>
  <c r="NH31" i="124"/>
  <c r="QI29" i="124"/>
  <c r="NB28" i="124"/>
  <c r="RN38" i="124"/>
  <c r="RK39" i="124"/>
  <c r="PB31" i="124"/>
  <c r="PH30" i="124"/>
  <c r="LG24" i="122"/>
  <c r="OA29" i="126" l="1"/>
  <c r="ND39" i="126"/>
  <c r="AJ34" i="125"/>
  <c r="AK32" i="125"/>
  <c r="AL31" i="125"/>
  <c r="RK40" i="124"/>
  <c r="RN40" i="124" s="1"/>
  <c r="RN39" i="124"/>
  <c r="QI30" i="124"/>
  <c r="NB29" i="124"/>
  <c r="NH32" i="124"/>
  <c r="NU33" i="124"/>
  <c r="PB32" i="124"/>
  <c r="PH31" i="124"/>
  <c r="QH33" i="124"/>
  <c r="PP31" i="124"/>
  <c r="NA30" i="124"/>
  <c r="OH33" i="124"/>
  <c r="BW10" i="122"/>
  <c r="OA30" i="126" l="1"/>
  <c r="ND40" i="126"/>
  <c r="AK33" i="125"/>
  <c r="AL32" i="125"/>
  <c r="AJ35" i="125"/>
  <c r="QH34" i="124"/>
  <c r="OH34" i="124"/>
  <c r="PP32" i="124"/>
  <c r="NA31" i="124"/>
  <c r="PB33" i="124"/>
  <c r="PH32" i="124"/>
  <c r="NU34" i="124"/>
  <c r="NH33" i="124"/>
  <c r="QI31" i="124"/>
  <c r="NB30" i="124"/>
  <c r="BX25" i="122"/>
  <c r="OA31" i="126" l="1"/>
  <c r="ND41" i="126"/>
  <c r="ND42" i="126" s="1"/>
  <c r="ND44" i="126" s="1"/>
  <c r="AJ36" i="125"/>
  <c r="AK34" i="125"/>
  <c r="AL33" i="125"/>
  <c r="QI32" i="124"/>
  <c r="NB31" i="124"/>
  <c r="NH34" i="124"/>
  <c r="PB34" i="124"/>
  <c r="PH33" i="124"/>
  <c r="NU35" i="124"/>
  <c r="PP33" i="124"/>
  <c r="NA32" i="124"/>
  <c r="OH35" i="124"/>
  <c r="QH35" i="124"/>
  <c r="OA32" i="126" l="1"/>
  <c r="AK35" i="125"/>
  <c r="AL34" i="125"/>
  <c r="AJ37" i="125"/>
  <c r="OH36" i="124"/>
  <c r="NU36" i="124"/>
  <c r="NH35" i="124"/>
  <c r="QH36" i="124"/>
  <c r="PP34" i="124"/>
  <c r="NA33" i="124"/>
  <c r="PB35" i="124"/>
  <c r="PH34" i="124"/>
  <c r="QI33" i="124"/>
  <c r="NB32" i="124"/>
  <c r="HV40" i="122" a="1"/>
  <c r="HV40" i="122" s="1"/>
  <c r="HT40" i="122" a="1"/>
  <c r="HT40" i="122" s="1"/>
  <c r="HV39" i="122" a="1"/>
  <c r="HV39" i="122" s="1"/>
  <c r="HT39" i="122" a="1"/>
  <c r="HT39" i="122" s="1"/>
  <c r="HV38" i="122" a="1"/>
  <c r="HV38" i="122" s="1"/>
  <c r="HT38" i="122" a="1"/>
  <c r="HT38" i="122" s="1"/>
  <c r="HV37" i="122" a="1"/>
  <c r="HV37" i="122" s="1"/>
  <c r="HT37" i="122" a="1"/>
  <c r="HT37" i="122" s="1"/>
  <c r="HV36" i="122" a="1"/>
  <c r="HV36" i="122" s="1"/>
  <c r="HT36" i="122" a="1"/>
  <c r="HT36" i="122" s="1"/>
  <c r="HV35" i="122" a="1"/>
  <c r="HV35" i="122" s="1"/>
  <c r="HT35" i="122" a="1"/>
  <c r="HT35" i="122" s="1"/>
  <c r="HV34" i="122" a="1"/>
  <c r="HV34" i="122" s="1"/>
  <c r="HT34" i="122" a="1"/>
  <c r="HT34" i="122" s="1"/>
  <c r="HV33" i="122" a="1"/>
  <c r="HV33" i="122" s="1"/>
  <c r="HT33" i="122" a="1"/>
  <c r="HT33" i="122" s="1"/>
  <c r="HV32" i="122" a="1"/>
  <c r="HV32" i="122" s="1"/>
  <c r="HT32" i="122" a="1"/>
  <c r="HT32" i="122" s="1"/>
  <c r="HV31" i="122" a="1"/>
  <c r="HV31" i="122" s="1"/>
  <c r="HT31" i="122" a="1"/>
  <c r="HT31" i="122" s="1"/>
  <c r="HV30" i="122" a="1"/>
  <c r="HV30" i="122" s="1"/>
  <c r="HT30" i="122" a="1"/>
  <c r="HT30" i="122" s="1"/>
  <c r="HV29" i="122" a="1"/>
  <c r="HV29" i="122" s="1"/>
  <c r="HT29" i="122" a="1"/>
  <c r="HT29" i="122" s="1"/>
  <c r="HV28" i="122" a="1"/>
  <c r="HV28" i="122" s="1"/>
  <c r="HT28" i="122" a="1"/>
  <c r="HT28" i="122" s="1"/>
  <c r="HV27" i="122" a="1"/>
  <c r="HV27" i="122" s="1"/>
  <c r="HT27" i="122" a="1"/>
  <c r="HT27" i="122" s="1"/>
  <c r="HV26" i="122" a="1"/>
  <c r="HV26" i="122" s="1"/>
  <c r="HT26" i="122" a="1"/>
  <c r="HT26" i="122" s="1"/>
  <c r="HV25" i="122" a="1"/>
  <c r="HV25" i="122" s="1"/>
  <c r="HT25" i="122" a="1"/>
  <c r="HT25" i="122" s="1"/>
  <c r="HV24" i="122" a="1"/>
  <c r="HV24" i="122" s="1"/>
  <c r="HT24" i="122" a="1"/>
  <c r="HT24" i="122" s="1"/>
  <c r="HV23" i="122" a="1"/>
  <c r="HV23" i="122" s="1"/>
  <c r="HT23" i="122" a="1"/>
  <c r="HT23" i="122" s="1"/>
  <c r="HV22" i="122" a="1"/>
  <c r="HV22" i="122" s="1"/>
  <c r="HT22" i="122" a="1"/>
  <c r="HT22" i="122" s="1"/>
  <c r="HV21" i="122" a="1"/>
  <c r="HV21" i="122" s="1"/>
  <c r="HT21" i="122" a="1"/>
  <c r="HT21" i="122" s="1"/>
  <c r="HV20" i="122" a="1"/>
  <c r="HV20" i="122" s="1"/>
  <c r="HT20" i="122" a="1"/>
  <c r="HT20" i="122" s="1"/>
  <c r="HV19" i="122" a="1"/>
  <c r="HV19" i="122" s="1"/>
  <c r="HT19" i="122" a="1"/>
  <c r="HT19" i="122" s="1"/>
  <c r="HV18" i="122" a="1"/>
  <c r="HV18" i="122" s="1"/>
  <c r="HT18" i="122" a="1"/>
  <c r="HT18" i="122" s="1"/>
  <c r="HV17" i="122" a="1"/>
  <c r="HV17" i="122" s="1"/>
  <c r="HT17" i="122" a="1"/>
  <c r="HT17" i="122" s="1"/>
  <c r="HV16" i="122" a="1"/>
  <c r="HV16" i="122" s="1"/>
  <c r="HT16" i="122" a="1"/>
  <c r="HT16" i="122" s="1"/>
  <c r="HV15" i="122" a="1"/>
  <c r="HV15" i="122" s="1"/>
  <c r="HT15" i="122" a="1"/>
  <c r="HT15" i="122" s="1"/>
  <c r="HV14" i="122" a="1"/>
  <c r="HV14" i="122" s="1"/>
  <c r="HT14" i="122" a="1"/>
  <c r="HT14" i="122" s="1"/>
  <c r="HV13" i="122" a="1"/>
  <c r="HV13" i="122" s="1"/>
  <c r="HT13" i="122" a="1"/>
  <c r="HT13" i="122" s="1"/>
  <c r="HV12" i="122" a="1"/>
  <c r="HV12" i="122" s="1"/>
  <c r="HT12" i="122" a="1"/>
  <c r="HT12" i="122" s="1"/>
  <c r="HV11" i="122" a="1"/>
  <c r="HV11" i="122" s="1"/>
  <c r="HT11" i="122" a="1"/>
  <c r="HT11" i="122" s="1"/>
  <c r="HV10" i="122" a="1"/>
  <c r="HV10" i="122" s="1"/>
  <c r="HT10" i="122" a="1"/>
  <c r="HT10" i="122" s="1"/>
  <c r="OA33" i="126" l="1"/>
  <c r="AJ38" i="125"/>
  <c r="AK36" i="125"/>
  <c r="AL35" i="125"/>
  <c r="QI34" i="124"/>
  <c r="NB33" i="124"/>
  <c r="PB36" i="124"/>
  <c r="PH35" i="124"/>
  <c r="PP35" i="124"/>
  <c r="NA34" i="124"/>
  <c r="QH37" i="124"/>
  <c r="NU37" i="124"/>
  <c r="OH37" i="124"/>
  <c r="JL17" i="122"/>
  <c r="JL25" i="122"/>
  <c r="JL33" i="122"/>
  <c r="JL18" i="122"/>
  <c r="JL26" i="122"/>
  <c r="JL34" i="122"/>
  <c r="JL19" i="122"/>
  <c r="JL27" i="122"/>
  <c r="JL35" i="122"/>
  <c r="JL12" i="122"/>
  <c r="JL20" i="122"/>
  <c r="JL28" i="122"/>
  <c r="JL36" i="122"/>
  <c r="JL13" i="122"/>
  <c r="JL21" i="122"/>
  <c r="JL29" i="122"/>
  <c r="JL37" i="122"/>
  <c r="JL14" i="122"/>
  <c r="JL22" i="122"/>
  <c r="JL30" i="122"/>
  <c r="JL38" i="122"/>
  <c r="JL15" i="122"/>
  <c r="JL23" i="122"/>
  <c r="JL31" i="122"/>
  <c r="JL39" i="122"/>
  <c r="JL16" i="122"/>
  <c r="JL24" i="122"/>
  <c r="JL32" i="122"/>
  <c r="JL40" i="122"/>
  <c r="OA34" i="126" l="1"/>
  <c r="AK37" i="125"/>
  <c r="AL36" i="125"/>
  <c r="AJ39" i="125"/>
  <c r="OH38" i="124"/>
  <c r="NU38" i="124"/>
  <c r="QH38" i="124"/>
  <c r="NA35" i="124"/>
  <c r="PP36" i="124"/>
  <c r="PB37" i="124"/>
  <c r="PH36" i="124"/>
  <c r="QI35" i="124"/>
  <c r="NB34" i="124"/>
  <c r="BP13" i="123"/>
  <c r="BP14" i="123"/>
  <c r="BP15" i="123"/>
  <c r="BP16" i="123"/>
  <c r="BP17" i="123"/>
  <c r="BP18" i="123"/>
  <c r="BP19" i="123"/>
  <c r="BP20" i="123"/>
  <c r="BP21" i="123"/>
  <c r="BP22" i="123"/>
  <c r="BP23" i="123"/>
  <c r="BP24" i="123"/>
  <c r="BP25" i="123"/>
  <c r="BP26" i="123"/>
  <c r="BP27" i="123"/>
  <c r="BP28" i="123"/>
  <c r="BP29" i="123"/>
  <c r="BP30" i="123"/>
  <c r="BP31" i="123"/>
  <c r="BP32" i="123"/>
  <c r="BP33" i="123"/>
  <c r="BP34" i="123"/>
  <c r="BP35" i="123"/>
  <c r="BP36" i="123"/>
  <c r="BP37" i="123"/>
  <c r="BP38" i="123"/>
  <c r="BP39" i="123"/>
  <c r="BP40" i="123"/>
  <c r="BP41" i="123"/>
  <c r="BP42" i="123"/>
  <c r="BP12" i="123"/>
  <c r="OA35" i="126" l="1"/>
  <c r="AJ40" i="125"/>
  <c r="AK38" i="125"/>
  <c r="AL37" i="125"/>
  <c r="QH39" i="124"/>
  <c r="NU39" i="124"/>
  <c r="QI36" i="124"/>
  <c r="NB35" i="124"/>
  <c r="OH39" i="124"/>
  <c r="PB38" i="124"/>
  <c r="PH37" i="124"/>
  <c r="NA36" i="124"/>
  <c r="PP37" i="124"/>
  <c r="AV110" i="2"/>
  <c r="AW110" i="2"/>
  <c r="AX110" i="2"/>
  <c r="AY110" i="2"/>
  <c r="AZ110" i="2"/>
  <c r="BA110" i="2"/>
  <c r="BB110" i="2"/>
  <c r="BC110" i="2"/>
  <c r="BD110" i="2"/>
  <c r="BE110" i="2"/>
  <c r="BF110" i="2"/>
  <c r="X43" i="122"/>
  <c r="T43" i="122"/>
  <c r="AB43" i="122"/>
  <c r="AA43" i="122"/>
  <c r="W43" i="122"/>
  <c r="S43" i="122"/>
  <c r="O43" i="122"/>
  <c r="C43" i="122" l="1"/>
  <c r="OA36" i="126"/>
  <c r="AK39" i="125"/>
  <c r="AL38" i="125"/>
  <c r="AJ41" i="125"/>
  <c r="PP38" i="124"/>
  <c r="NA37" i="124"/>
  <c r="OH40" i="124"/>
  <c r="QI37" i="124"/>
  <c r="NB36" i="124"/>
  <c r="QH40" i="124"/>
  <c r="PH38" i="124"/>
  <c r="PB39" i="124"/>
  <c r="NU40" i="124"/>
  <c r="BA77" i="2"/>
  <c r="BB77" i="2"/>
  <c r="BC77" i="2"/>
  <c r="BD77" i="2"/>
  <c r="BE77" i="2"/>
  <c r="BF77" i="2"/>
  <c r="OA37" i="126" l="1"/>
  <c r="AJ42" i="125"/>
  <c r="AK40" i="125"/>
  <c r="AL39" i="125"/>
  <c r="NU41" i="124"/>
  <c r="NU42" i="124" s="1"/>
  <c r="NU44" i="124" s="1"/>
  <c r="PB40" i="124"/>
  <c r="PH39" i="124"/>
  <c r="QH41" i="124"/>
  <c r="QH44" i="124" s="1"/>
  <c r="QI38" i="124"/>
  <c r="NB37" i="124"/>
  <c r="OH41" i="124"/>
  <c r="PP39" i="124"/>
  <c r="NA38" i="124"/>
  <c r="AA42" i="94"/>
  <c r="OA38" i="126" l="1"/>
  <c r="OR38" i="126"/>
  <c r="AK41" i="125"/>
  <c r="AL40" i="125"/>
  <c r="AJ43" i="125"/>
  <c r="AJ44" i="125" s="1"/>
  <c r="PB41" i="124"/>
  <c r="PB42" i="124" s="1"/>
  <c r="PB44" i="124" s="1"/>
  <c r="PH40" i="124"/>
  <c r="PH41" i="124" s="1"/>
  <c r="PH42" i="124" s="1"/>
  <c r="PH44" i="124" s="1"/>
  <c r="PP40" i="124"/>
  <c r="NA39" i="124"/>
  <c r="QI39" i="124"/>
  <c r="NB38" i="124"/>
  <c r="S42" i="116"/>
  <c r="X42" i="116"/>
  <c r="W42" i="102"/>
  <c r="OA39" i="126" l="1"/>
  <c r="OR39" i="126"/>
  <c r="AK42" i="125"/>
  <c r="AL41" i="125"/>
  <c r="NA40" i="124"/>
  <c r="NA41" i="124" s="1"/>
  <c r="NA42" i="124" s="1"/>
  <c r="NA44" i="124" s="1"/>
  <c r="PP41" i="124"/>
  <c r="PP44" i="124" s="1"/>
  <c r="QI40" i="124"/>
  <c r="NB39" i="124"/>
  <c r="BD42" i="123" a="1"/>
  <c r="BD42" i="123" s="1"/>
  <c r="BC42" i="123" a="1"/>
  <c r="BC42" i="123" s="1"/>
  <c r="BB42" i="123" a="1"/>
  <c r="BB42" i="123" s="1"/>
  <c r="BA42" i="123" a="1"/>
  <c r="BA42" i="123" s="1"/>
  <c r="AZ42" i="123" a="1"/>
  <c r="AZ42" i="123" s="1"/>
  <c r="BD41" i="123" a="1"/>
  <c r="BD41" i="123" s="1"/>
  <c r="BC41" i="123" a="1"/>
  <c r="BC41" i="123" s="1"/>
  <c r="BB41" i="123" a="1"/>
  <c r="BB41" i="123" s="1"/>
  <c r="BA41" i="123" a="1"/>
  <c r="BA41" i="123" s="1"/>
  <c r="AZ41" i="123" a="1"/>
  <c r="AZ41" i="123" s="1"/>
  <c r="BD40" i="123" a="1"/>
  <c r="BD40" i="123" s="1"/>
  <c r="BC40" i="123" a="1"/>
  <c r="BC40" i="123" s="1"/>
  <c r="BB40" i="123" a="1"/>
  <c r="BB40" i="123" s="1"/>
  <c r="BA40" i="123" a="1"/>
  <c r="BA40" i="123" s="1"/>
  <c r="AZ40" i="123" a="1"/>
  <c r="AZ40" i="123" s="1"/>
  <c r="BD39" i="123" a="1"/>
  <c r="BD39" i="123" s="1"/>
  <c r="BC39" i="123" a="1"/>
  <c r="BC39" i="123" s="1"/>
  <c r="BB39" i="123" a="1"/>
  <c r="BB39" i="123" s="1"/>
  <c r="BA39" i="123" a="1"/>
  <c r="BA39" i="123" s="1"/>
  <c r="AZ39" i="123" a="1"/>
  <c r="AZ39" i="123" s="1"/>
  <c r="BD38" i="123" a="1"/>
  <c r="BD38" i="123" s="1"/>
  <c r="BC38" i="123" a="1"/>
  <c r="BC38" i="123" s="1"/>
  <c r="BB38" i="123" a="1"/>
  <c r="BB38" i="123" s="1"/>
  <c r="BA38" i="123" a="1"/>
  <c r="BA38" i="123" s="1"/>
  <c r="AZ38" i="123" a="1"/>
  <c r="AZ38" i="123" s="1"/>
  <c r="BD37" i="123" a="1"/>
  <c r="BD37" i="123" s="1"/>
  <c r="BC37" i="123" a="1"/>
  <c r="BC37" i="123" s="1"/>
  <c r="BB37" i="123" a="1"/>
  <c r="BB37" i="123" s="1"/>
  <c r="BA37" i="123" a="1"/>
  <c r="BA37" i="123" s="1"/>
  <c r="AZ37" i="123" a="1"/>
  <c r="AZ37" i="123" s="1"/>
  <c r="BD36" i="123" a="1"/>
  <c r="BD36" i="123" s="1"/>
  <c r="BC36" i="123" a="1"/>
  <c r="BC36" i="123" s="1"/>
  <c r="BB36" i="123" a="1"/>
  <c r="BB36" i="123" s="1"/>
  <c r="BA36" i="123" a="1"/>
  <c r="BA36" i="123" s="1"/>
  <c r="AZ36" i="123" a="1"/>
  <c r="AZ36" i="123" s="1"/>
  <c r="BD35" i="123" a="1"/>
  <c r="BD35" i="123" s="1"/>
  <c r="BC35" i="123" a="1"/>
  <c r="BC35" i="123" s="1"/>
  <c r="BB35" i="123" a="1"/>
  <c r="BB35" i="123" s="1"/>
  <c r="BA35" i="123" a="1"/>
  <c r="BA35" i="123" s="1"/>
  <c r="AZ35" i="123" a="1"/>
  <c r="AZ35" i="123" s="1"/>
  <c r="BD34" i="123" a="1"/>
  <c r="BD34" i="123" s="1"/>
  <c r="BC34" i="123" a="1"/>
  <c r="BC34" i="123" s="1"/>
  <c r="BB34" i="123" a="1"/>
  <c r="BB34" i="123" s="1"/>
  <c r="BA34" i="123" a="1"/>
  <c r="BA34" i="123" s="1"/>
  <c r="AZ34" i="123" a="1"/>
  <c r="AZ34" i="123" s="1"/>
  <c r="BD33" i="123" a="1"/>
  <c r="BD33" i="123" s="1"/>
  <c r="BC33" i="123" a="1"/>
  <c r="BC33" i="123" s="1"/>
  <c r="BB33" i="123" a="1"/>
  <c r="BB33" i="123" s="1"/>
  <c r="BA33" i="123" a="1"/>
  <c r="BA33" i="123" s="1"/>
  <c r="AZ33" i="123" a="1"/>
  <c r="AZ33" i="123" s="1"/>
  <c r="BD32" i="123" a="1"/>
  <c r="BD32" i="123" s="1"/>
  <c r="BC32" i="123" a="1"/>
  <c r="BC32" i="123" s="1"/>
  <c r="BB32" i="123" a="1"/>
  <c r="BB32" i="123" s="1"/>
  <c r="BA32" i="123" a="1"/>
  <c r="BA32" i="123" s="1"/>
  <c r="AZ32" i="123" a="1"/>
  <c r="AZ32" i="123" s="1"/>
  <c r="BD31" i="123" a="1"/>
  <c r="BD31" i="123" s="1"/>
  <c r="BC31" i="123" a="1"/>
  <c r="BC31" i="123" s="1"/>
  <c r="BB31" i="123" a="1"/>
  <c r="BB31" i="123" s="1"/>
  <c r="BA31" i="123" a="1"/>
  <c r="BA31" i="123" s="1"/>
  <c r="AZ31" i="123" a="1"/>
  <c r="AZ31" i="123" s="1"/>
  <c r="BD30" i="123" a="1"/>
  <c r="BD30" i="123" s="1"/>
  <c r="BC30" i="123" a="1"/>
  <c r="BC30" i="123" s="1"/>
  <c r="BB30" i="123" a="1"/>
  <c r="BB30" i="123" s="1"/>
  <c r="BA30" i="123" a="1"/>
  <c r="BA30" i="123" s="1"/>
  <c r="AZ30" i="123" a="1"/>
  <c r="AZ30" i="123" s="1"/>
  <c r="BD29" i="123" a="1"/>
  <c r="BD29" i="123" s="1"/>
  <c r="BC29" i="123" a="1"/>
  <c r="BC29" i="123" s="1"/>
  <c r="BB29" i="123" a="1"/>
  <c r="BB29" i="123" s="1"/>
  <c r="BA29" i="123" a="1"/>
  <c r="BA29" i="123" s="1"/>
  <c r="AZ29" i="123" a="1"/>
  <c r="AZ29" i="123" s="1"/>
  <c r="BD28" i="123" a="1"/>
  <c r="BD28" i="123" s="1"/>
  <c r="BC28" i="123" a="1"/>
  <c r="BC28" i="123" s="1"/>
  <c r="BB28" i="123" a="1"/>
  <c r="BB28" i="123" s="1"/>
  <c r="BA28" i="123" a="1"/>
  <c r="BA28" i="123" s="1"/>
  <c r="AZ28" i="123" a="1"/>
  <c r="AZ28" i="123" s="1"/>
  <c r="BD27" i="123" a="1"/>
  <c r="BD27" i="123" s="1"/>
  <c r="BC27" i="123" a="1"/>
  <c r="BC27" i="123" s="1"/>
  <c r="BB27" i="123" a="1"/>
  <c r="BB27" i="123" s="1"/>
  <c r="BA27" i="123" a="1"/>
  <c r="BA27" i="123" s="1"/>
  <c r="AZ27" i="123" a="1"/>
  <c r="AZ27" i="123" s="1"/>
  <c r="BD26" i="123" a="1"/>
  <c r="BD26" i="123" s="1"/>
  <c r="BC26" i="123" a="1"/>
  <c r="BC26" i="123" s="1"/>
  <c r="BB26" i="123" a="1"/>
  <c r="BB26" i="123" s="1"/>
  <c r="BA26" i="123" a="1"/>
  <c r="BA26" i="123" s="1"/>
  <c r="AZ26" i="123" a="1"/>
  <c r="AZ26" i="123" s="1"/>
  <c r="BD25" i="123" a="1"/>
  <c r="BD25" i="123" s="1"/>
  <c r="BC25" i="123" a="1"/>
  <c r="BC25" i="123" s="1"/>
  <c r="BB25" i="123" a="1"/>
  <c r="BB25" i="123" s="1"/>
  <c r="BA25" i="123" a="1"/>
  <c r="BA25" i="123" s="1"/>
  <c r="AZ25" i="123" a="1"/>
  <c r="AZ25" i="123" s="1"/>
  <c r="BD24" i="123" a="1"/>
  <c r="BD24" i="123" s="1"/>
  <c r="BC24" i="123" a="1"/>
  <c r="BC24" i="123" s="1"/>
  <c r="BB24" i="123" a="1"/>
  <c r="BB24" i="123" s="1"/>
  <c r="BA24" i="123" a="1"/>
  <c r="BA24" i="123" s="1"/>
  <c r="AZ24" i="123" a="1"/>
  <c r="AZ24" i="123" s="1"/>
  <c r="BD23" i="123" a="1"/>
  <c r="BD23" i="123" s="1"/>
  <c r="BC23" i="123" a="1"/>
  <c r="BC23" i="123" s="1"/>
  <c r="BB23" i="123" a="1"/>
  <c r="BB23" i="123" s="1"/>
  <c r="BA23" i="123" a="1"/>
  <c r="BA23" i="123" s="1"/>
  <c r="AZ23" i="123" a="1"/>
  <c r="AZ23" i="123" s="1"/>
  <c r="BD22" i="123" a="1"/>
  <c r="BD22" i="123" s="1"/>
  <c r="BC22" i="123" a="1"/>
  <c r="BC22" i="123" s="1"/>
  <c r="BB22" i="123" a="1"/>
  <c r="BB22" i="123" s="1"/>
  <c r="BA22" i="123" a="1"/>
  <c r="BA22" i="123" s="1"/>
  <c r="AZ22" i="123" a="1"/>
  <c r="AZ22" i="123" s="1"/>
  <c r="BD21" i="123" a="1"/>
  <c r="BD21" i="123" s="1"/>
  <c r="BC21" i="123" a="1"/>
  <c r="BC21" i="123" s="1"/>
  <c r="BB21" i="123" a="1"/>
  <c r="BB21" i="123" s="1"/>
  <c r="BA21" i="123" a="1"/>
  <c r="BA21" i="123" s="1"/>
  <c r="AZ21" i="123" a="1"/>
  <c r="AZ21" i="123" s="1"/>
  <c r="BD20" i="123" a="1"/>
  <c r="BD20" i="123" s="1"/>
  <c r="BC20" i="123" a="1"/>
  <c r="BC20" i="123" s="1"/>
  <c r="BB20" i="123" a="1"/>
  <c r="BB20" i="123" s="1"/>
  <c r="BA20" i="123" a="1"/>
  <c r="BA20" i="123" s="1"/>
  <c r="AZ20" i="123" a="1"/>
  <c r="AZ20" i="123" s="1"/>
  <c r="BD19" i="123" a="1"/>
  <c r="BD19" i="123" s="1"/>
  <c r="BC19" i="123" a="1"/>
  <c r="BC19" i="123" s="1"/>
  <c r="BB19" i="123" a="1"/>
  <c r="BB19" i="123" s="1"/>
  <c r="BA19" i="123" a="1"/>
  <c r="BA19" i="123" s="1"/>
  <c r="AZ19" i="123" a="1"/>
  <c r="AZ19" i="123" s="1"/>
  <c r="BD18" i="123" a="1"/>
  <c r="BD18" i="123" s="1"/>
  <c r="BC18" i="123" a="1"/>
  <c r="BC18" i="123" s="1"/>
  <c r="BB18" i="123" a="1"/>
  <c r="BB18" i="123" s="1"/>
  <c r="BA18" i="123" a="1"/>
  <c r="BA18" i="123" s="1"/>
  <c r="AZ18" i="123" a="1"/>
  <c r="AZ18" i="123" s="1"/>
  <c r="BD17" i="123" a="1"/>
  <c r="BD17" i="123" s="1"/>
  <c r="BC17" i="123" a="1"/>
  <c r="BC17" i="123" s="1"/>
  <c r="BB17" i="123" a="1"/>
  <c r="BB17" i="123" s="1"/>
  <c r="BA17" i="123" a="1"/>
  <c r="BA17" i="123" s="1"/>
  <c r="AZ17" i="123" a="1"/>
  <c r="AZ17" i="123" s="1"/>
  <c r="BD16" i="123" a="1"/>
  <c r="BD16" i="123" s="1"/>
  <c r="BC16" i="123" a="1"/>
  <c r="BC16" i="123" s="1"/>
  <c r="BB16" i="123" a="1"/>
  <c r="BB16" i="123" s="1"/>
  <c r="BA16" i="123" a="1"/>
  <c r="BA16" i="123" s="1"/>
  <c r="AZ16" i="123" a="1"/>
  <c r="AZ16" i="123" s="1"/>
  <c r="BD15" i="123" a="1"/>
  <c r="BD15" i="123" s="1"/>
  <c r="BC15" i="123" a="1"/>
  <c r="BC15" i="123" s="1"/>
  <c r="BB15" i="123" a="1"/>
  <c r="BB15" i="123" s="1"/>
  <c r="BA15" i="123" a="1"/>
  <c r="BA15" i="123" s="1"/>
  <c r="AZ15" i="123" a="1"/>
  <c r="AZ15" i="123" s="1"/>
  <c r="BD14" i="123" a="1"/>
  <c r="BD14" i="123" s="1"/>
  <c r="BC14" i="123" a="1"/>
  <c r="BC14" i="123" s="1"/>
  <c r="BB14" i="123" a="1"/>
  <c r="BB14" i="123" s="1"/>
  <c r="BA14" i="123" a="1"/>
  <c r="BA14" i="123" s="1"/>
  <c r="AZ14" i="123" a="1"/>
  <c r="AZ14" i="123" s="1"/>
  <c r="BD13" i="123" a="1"/>
  <c r="BD13" i="123" s="1"/>
  <c r="BC13" i="123" a="1"/>
  <c r="BC13" i="123" s="1"/>
  <c r="BB13" i="123" a="1"/>
  <c r="BB13" i="123" s="1"/>
  <c r="BA13" i="123" a="1"/>
  <c r="BA13" i="123" s="1"/>
  <c r="AZ13" i="123" a="1"/>
  <c r="AZ13" i="123" s="1"/>
  <c r="BD12" i="123" a="1"/>
  <c r="BD12" i="123" s="1"/>
  <c r="BC12" i="123" a="1"/>
  <c r="BC12" i="123" s="1"/>
  <c r="BB12" i="123" a="1"/>
  <c r="BB12" i="123" s="1"/>
  <c r="BA12" i="123" a="1"/>
  <c r="BA12" i="123" s="1"/>
  <c r="AZ12" i="123" a="1"/>
  <c r="AZ12" i="123" s="1"/>
  <c r="OA40" i="126" l="1"/>
  <c r="OR40" i="126"/>
  <c r="AK43" i="125"/>
  <c r="AK11" i="127" s="1"/>
  <c r="AL42" i="125"/>
  <c r="AL43" i="125" s="1"/>
  <c r="QI41" i="124"/>
  <c r="NB40" i="124"/>
  <c r="AL44" i="121"/>
  <c r="OA41" i="126" l="1"/>
  <c r="OA42" i="126" s="1"/>
  <c r="OA44" i="126" s="1"/>
  <c r="AK12" i="127"/>
  <c r="OR41" i="126"/>
  <c r="OR42" i="126" s="1"/>
  <c r="OR44" i="126" s="1"/>
  <c r="NB41" i="124"/>
  <c r="NB42" i="124" s="1"/>
  <c r="NB44" i="124" s="1"/>
  <c r="NF42" i="120"/>
  <c r="NS42" i="120"/>
  <c r="O42" i="120"/>
  <c r="X42" i="120"/>
  <c r="W42" i="120"/>
  <c r="T42" i="120"/>
  <c r="S42" i="120"/>
  <c r="BO42" i="120"/>
  <c r="AL12" i="127" l="1"/>
  <c r="AK13" i="127"/>
  <c r="BA15" i="2"/>
  <c r="BA16" i="2"/>
  <c r="BA33" i="2"/>
  <c r="BA34" i="2"/>
  <c r="BA55" i="2"/>
  <c r="BA56" i="2"/>
  <c r="BA71" i="2"/>
  <c r="BA75" i="2"/>
  <c r="BA76" i="2"/>
  <c r="BA93" i="2"/>
  <c r="BA97" i="2"/>
  <c r="BA99" i="2"/>
  <c r="BA100" i="2"/>
  <c r="BA109" i="2"/>
  <c r="BA120" i="2"/>
  <c r="BA122" i="2"/>
  <c r="AS11" i="123"/>
  <c r="AX38" i="123"/>
  <c r="AX18" i="123"/>
  <c r="SG40" i="122"/>
  <c r="SG39" i="122"/>
  <c r="SG38" i="122"/>
  <c r="SG37" i="122"/>
  <c r="SG36" i="122"/>
  <c r="SG35" i="122"/>
  <c r="SG34" i="122"/>
  <c r="SG33" i="122"/>
  <c r="SG32" i="122"/>
  <c r="SG31" i="122"/>
  <c r="SG30" i="122"/>
  <c r="SG29" i="122"/>
  <c r="SG28" i="122"/>
  <c r="SG27" i="122"/>
  <c r="SG26" i="122"/>
  <c r="SG25" i="122"/>
  <c r="SG24" i="122"/>
  <c r="SG23" i="122"/>
  <c r="SG22" i="122"/>
  <c r="SG20" i="122"/>
  <c r="SG19" i="122"/>
  <c r="SG18" i="122"/>
  <c r="SG17" i="122"/>
  <c r="SG16" i="122"/>
  <c r="SG15" i="122"/>
  <c r="SG14" i="122"/>
  <c r="SG13" i="122"/>
  <c r="SG12" i="122"/>
  <c r="SG11" i="122"/>
  <c r="D130" i="123"/>
  <c r="C130" i="123"/>
  <c r="D129" i="123"/>
  <c r="C129" i="123"/>
  <c r="D128" i="123"/>
  <c r="C128" i="123"/>
  <c r="D127" i="123"/>
  <c r="C127" i="123"/>
  <c r="D126" i="123"/>
  <c r="C126" i="123"/>
  <c r="D125" i="123"/>
  <c r="C125" i="123"/>
  <c r="D124" i="123"/>
  <c r="C124" i="123"/>
  <c r="D123" i="123"/>
  <c r="C123" i="123"/>
  <c r="D122" i="123"/>
  <c r="C122" i="123"/>
  <c r="D121" i="123"/>
  <c r="C121" i="123"/>
  <c r="D120" i="123"/>
  <c r="C120" i="123"/>
  <c r="D119" i="123"/>
  <c r="C119" i="123"/>
  <c r="D118" i="123"/>
  <c r="C118" i="123"/>
  <c r="D117" i="123"/>
  <c r="C117" i="123"/>
  <c r="D116" i="123"/>
  <c r="C116" i="123"/>
  <c r="D115" i="123"/>
  <c r="C115" i="123"/>
  <c r="D114" i="123"/>
  <c r="C114" i="123"/>
  <c r="D113" i="123"/>
  <c r="C113" i="123"/>
  <c r="D112" i="123"/>
  <c r="C112" i="123"/>
  <c r="D111" i="123"/>
  <c r="C111" i="123"/>
  <c r="D110" i="123"/>
  <c r="C110" i="123"/>
  <c r="D109" i="123"/>
  <c r="C109" i="123"/>
  <c r="D108" i="123"/>
  <c r="C108" i="123"/>
  <c r="D107" i="123"/>
  <c r="C107" i="123"/>
  <c r="D106" i="123"/>
  <c r="C106" i="123"/>
  <c r="D105" i="123"/>
  <c r="C105" i="123"/>
  <c r="D104" i="123"/>
  <c r="C104" i="123"/>
  <c r="D103" i="123"/>
  <c r="C103" i="123"/>
  <c r="D102" i="123"/>
  <c r="C102" i="123"/>
  <c r="D101" i="123"/>
  <c r="C101" i="123"/>
  <c r="O100" i="123"/>
  <c r="O101" i="123" s="1"/>
  <c r="O102" i="123" s="1"/>
  <c r="O103" i="123" s="1"/>
  <c r="O104" i="123" s="1"/>
  <c r="O105" i="123" s="1"/>
  <c r="O106" i="123" s="1"/>
  <c r="O107" i="123" s="1"/>
  <c r="O108" i="123" s="1"/>
  <c r="O109" i="123" s="1"/>
  <c r="O110" i="123" s="1"/>
  <c r="O111" i="123" s="1"/>
  <c r="O112" i="123" s="1"/>
  <c r="O113" i="123" s="1"/>
  <c r="O114" i="123" s="1"/>
  <c r="O115" i="123" s="1"/>
  <c r="O116" i="123" s="1"/>
  <c r="O117" i="123" s="1"/>
  <c r="O118" i="123" s="1"/>
  <c r="O119" i="123" s="1"/>
  <c r="O120" i="123" s="1"/>
  <c r="O121" i="123" s="1"/>
  <c r="O122" i="123" s="1"/>
  <c r="O123" i="123" s="1"/>
  <c r="O124" i="123" s="1"/>
  <c r="O125" i="123" s="1"/>
  <c r="O126" i="123" s="1"/>
  <c r="O127" i="123" s="1"/>
  <c r="O128" i="123" s="1"/>
  <c r="O129" i="123" s="1"/>
  <c r="O130" i="123" s="1"/>
  <c r="D100" i="123"/>
  <c r="C100" i="123"/>
  <c r="S45" i="123"/>
  <c r="C45" i="123"/>
  <c r="D50" i="123" s="1"/>
  <c r="BQ43" i="123"/>
  <c r="BQ44" i="123" s="1"/>
  <c r="BQ46" i="123" s="1"/>
  <c r="BQ47" i="123" s="1"/>
  <c r="BO43" i="123"/>
  <c r="BN43" i="123"/>
  <c r="BN44" i="123" s="1"/>
  <c r="BN46" i="123" s="1"/>
  <c r="BN47" i="123" s="1"/>
  <c r="BM43" i="123"/>
  <c r="BM44" i="123" s="1"/>
  <c r="BL43" i="123"/>
  <c r="BL44" i="123" s="1"/>
  <c r="BK43" i="123"/>
  <c r="BK44" i="123" s="1"/>
  <c r="BK46" i="123" s="1"/>
  <c r="BK47" i="123" s="1"/>
  <c r="AP43" i="123"/>
  <c r="AP44" i="123" s="1"/>
  <c r="AO43" i="123"/>
  <c r="AO44" i="123" s="1"/>
  <c r="AI43" i="123"/>
  <c r="AI44" i="123" s="1"/>
  <c r="AD43" i="123"/>
  <c r="AD44" i="123" s="1"/>
  <c r="AC43" i="123"/>
  <c r="AC44" i="123" s="1"/>
  <c r="Z43" i="123"/>
  <c r="Z44" i="123" s="1"/>
  <c r="X43" i="123"/>
  <c r="X44" i="123" s="1"/>
  <c r="P43" i="123"/>
  <c r="P44" i="123" s="1"/>
  <c r="O43" i="123"/>
  <c r="I43" i="123"/>
  <c r="I44" i="123" s="1"/>
  <c r="H43" i="123"/>
  <c r="G6" i="123" s="1"/>
  <c r="AQ42" i="123"/>
  <c r="C42" i="123"/>
  <c r="AQ41" i="123"/>
  <c r="C41" i="123"/>
  <c r="AQ40" i="123"/>
  <c r="C40" i="123"/>
  <c r="AQ39" i="123"/>
  <c r="C39" i="123"/>
  <c r="AQ38" i="123"/>
  <c r="C38" i="123"/>
  <c r="AQ37" i="123"/>
  <c r="C37" i="123"/>
  <c r="AQ36" i="123"/>
  <c r="C36" i="123"/>
  <c r="AQ35" i="123"/>
  <c r="C35" i="123"/>
  <c r="AQ34" i="123"/>
  <c r="C34" i="123"/>
  <c r="AQ33" i="123"/>
  <c r="C33" i="123"/>
  <c r="AQ32" i="123"/>
  <c r="C32" i="123"/>
  <c r="AQ31" i="123"/>
  <c r="C31" i="123"/>
  <c r="AQ30" i="123"/>
  <c r="C30" i="123"/>
  <c r="AQ29" i="123"/>
  <c r="C29" i="123"/>
  <c r="AQ28" i="123"/>
  <c r="C28" i="123"/>
  <c r="AQ27" i="123"/>
  <c r="C27" i="123"/>
  <c r="AQ26" i="123"/>
  <c r="C26" i="123"/>
  <c r="AQ25" i="123"/>
  <c r="C25" i="123"/>
  <c r="AQ24" i="123"/>
  <c r="C24" i="123"/>
  <c r="AQ23" i="123"/>
  <c r="C23" i="123"/>
  <c r="AQ22" i="123"/>
  <c r="C22" i="123"/>
  <c r="AQ21" i="123"/>
  <c r="C21" i="123"/>
  <c r="AQ20" i="123"/>
  <c r="C20" i="123"/>
  <c r="AQ19" i="123"/>
  <c r="C19" i="123"/>
  <c r="AQ18" i="123"/>
  <c r="C18" i="123"/>
  <c r="AQ17" i="123"/>
  <c r="C17" i="123"/>
  <c r="AQ16" i="123"/>
  <c r="C16" i="123"/>
  <c r="AQ15" i="123"/>
  <c r="C15" i="123"/>
  <c r="AQ14" i="123"/>
  <c r="C14" i="123"/>
  <c r="AQ13" i="123"/>
  <c r="C13" i="123"/>
  <c r="BP43" i="123"/>
  <c r="BP44" i="123" s="1"/>
  <c r="BP46" i="123" s="1"/>
  <c r="BP47" i="123" s="1"/>
  <c r="AQ12" i="123"/>
  <c r="C12" i="123"/>
  <c r="AR11" i="123"/>
  <c r="AR12" i="123" s="1"/>
  <c r="AR13" i="123" s="1"/>
  <c r="AR14" i="123" s="1"/>
  <c r="AR15" i="123" s="1"/>
  <c r="AR16" i="123" s="1"/>
  <c r="AR17" i="123" s="1"/>
  <c r="AR18" i="123" s="1"/>
  <c r="AR19" i="123" s="1"/>
  <c r="AR20" i="123" s="1"/>
  <c r="AR21" i="123" s="1"/>
  <c r="AR22" i="123" s="1"/>
  <c r="AR23" i="123" s="1"/>
  <c r="AR24" i="123" s="1"/>
  <c r="AR25" i="123" s="1"/>
  <c r="AR26" i="123" s="1"/>
  <c r="AR27" i="123" s="1"/>
  <c r="AR28" i="123" s="1"/>
  <c r="AR29" i="123" s="1"/>
  <c r="AR30" i="123" s="1"/>
  <c r="AR31" i="123" s="1"/>
  <c r="AR32" i="123" s="1"/>
  <c r="AR33" i="123" s="1"/>
  <c r="AR34" i="123" s="1"/>
  <c r="AR35" i="123" s="1"/>
  <c r="AR36" i="123" s="1"/>
  <c r="AR37" i="123" s="1"/>
  <c r="AR38" i="123" s="1"/>
  <c r="AR39" i="123" s="1"/>
  <c r="AR40" i="123" s="1"/>
  <c r="AR41" i="123" s="1"/>
  <c r="AR42" i="123" s="1"/>
  <c r="AR43" i="123" s="1"/>
  <c r="AR44" i="123" s="1"/>
  <c r="AS4" i="123"/>
  <c r="JI224" i="122"/>
  <c r="BZ211" i="122"/>
  <c r="BW210" i="122"/>
  <c r="BQ210" i="122"/>
  <c r="BM210" i="122"/>
  <c r="P178" i="122"/>
  <c r="P179" i="122" s="1"/>
  <c r="P180" i="122" s="1"/>
  <c r="P181" i="122" s="1"/>
  <c r="P182" i="122" s="1"/>
  <c r="P183" i="122" s="1"/>
  <c r="P184" i="122" s="1"/>
  <c r="P185" i="122" s="1"/>
  <c r="P186" i="122" s="1"/>
  <c r="P187" i="122" s="1"/>
  <c r="P188" i="122" s="1"/>
  <c r="P189" i="122" s="1"/>
  <c r="P190" i="122" s="1"/>
  <c r="P191" i="122" s="1"/>
  <c r="P192" i="122" s="1"/>
  <c r="P193" i="122" s="1"/>
  <c r="P194" i="122" s="1"/>
  <c r="P195" i="122" s="1"/>
  <c r="P196" i="122" s="1"/>
  <c r="P197" i="122" s="1"/>
  <c r="P198" i="122" s="1"/>
  <c r="P199" i="122" s="1"/>
  <c r="P200" i="122" s="1"/>
  <c r="P201" i="122" s="1"/>
  <c r="P202" i="122" s="1"/>
  <c r="P203" i="122" s="1"/>
  <c r="P204" i="122" s="1"/>
  <c r="P205" i="122" s="1"/>
  <c r="P206" i="122" s="1"/>
  <c r="P207" i="122" s="1"/>
  <c r="P208" i="122" s="1"/>
  <c r="O178" i="122"/>
  <c r="O179" i="122" s="1"/>
  <c r="O180" i="122" s="1"/>
  <c r="O181" i="122" s="1"/>
  <c r="O182" i="122" s="1"/>
  <c r="O183" i="122" s="1"/>
  <c r="O184" i="122" s="1"/>
  <c r="O185" i="122" s="1"/>
  <c r="O186" i="122" s="1"/>
  <c r="O187" i="122" s="1"/>
  <c r="O188" i="122" s="1"/>
  <c r="O189" i="122" s="1"/>
  <c r="O190" i="122" s="1"/>
  <c r="O191" i="122" s="1"/>
  <c r="O192" i="122" s="1"/>
  <c r="O193" i="122" s="1"/>
  <c r="O194" i="122" s="1"/>
  <c r="O195" i="122" s="1"/>
  <c r="O196" i="122" s="1"/>
  <c r="O197" i="122" s="1"/>
  <c r="O198" i="122" s="1"/>
  <c r="O199" i="122" s="1"/>
  <c r="O200" i="122" s="1"/>
  <c r="O201" i="122" s="1"/>
  <c r="O202" i="122" s="1"/>
  <c r="O203" i="122" s="1"/>
  <c r="O204" i="122" s="1"/>
  <c r="O205" i="122" s="1"/>
  <c r="O206" i="122" s="1"/>
  <c r="O207" i="122" s="1"/>
  <c r="O208" i="122" s="1"/>
  <c r="Q177" i="122"/>
  <c r="T137" i="122"/>
  <c r="P136" i="122"/>
  <c r="P137" i="122" s="1"/>
  <c r="P138" i="122" s="1"/>
  <c r="P139" i="122" s="1"/>
  <c r="P140" i="122" s="1"/>
  <c r="P141" i="122" s="1"/>
  <c r="P142" i="122" s="1"/>
  <c r="P143" i="122" s="1"/>
  <c r="P144" i="122" s="1"/>
  <c r="P145" i="122" s="1"/>
  <c r="P146" i="122" s="1"/>
  <c r="P147" i="122" s="1"/>
  <c r="P148" i="122" s="1"/>
  <c r="P149" i="122" s="1"/>
  <c r="P150" i="122" s="1"/>
  <c r="P151" i="122" s="1"/>
  <c r="P152" i="122" s="1"/>
  <c r="P153" i="122" s="1"/>
  <c r="P154" i="122" s="1"/>
  <c r="P155" i="122" s="1"/>
  <c r="P156" i="122" s="1"/>
  <c r="P157" i="122" s="1"/>
  <c r="P158" i="122" s="1"/>
  <c r="P159" i="122" s="1"/>
  <c r="P160" i="122" s="1"/>
  <c r="P161" i="122" s="1"/>
  <c r="P162" i="122" s="1"/>
  <c r="P163" i="122" s="1"/>
  <c r="P164" i="122" s="1"/>
  <c r="P165" i="122" s="1"/>
  <c r="P166" i="122" s="1"/>
  <c r="O136" i="122"/>
  <c r="O137" i="122" s="1"/>
  <c r="O138" i="122" s="1"/>
  <c r="O139" i="122" s="1"/>
  <c r="O140" i="122" s="1"/>
  <c r="O141" i="122" s="1"/>
  <c r="O142" i="122" s="1"/>
  <c r="O143" i="122" s="1"/>
  <c r="O144" i="122" s="1"/>
  <c r="O145" i="122" s="1"/>
  <c r="O146" i="122" s="1"/>
  <c r="O147" i="122" s="1"/>
  <c r="O148" i="122" s="1"/>
  <c r="O149" i="122" s="1"/>
  <c r="O150" i="122" s="1"/>
  <c r="O151" i="122" s="1"/>
  <c r="O152" i="122" s="1"/>
  <c r="O153" i="122" s="1"/>
  <c r="O154" i="122" s="1"/>
  <c r="O155" i="122" s="1"/>
  <c r="O156" i="122" s="1"/>
  <c r="O157" i="122" s="1"/>
  <c r="O158" i="122" s="1"/>
  <c r="O159" i="122" s="1"/>
  <c r="O160" i="122" s="1"/>
  <c r="O161" i="122" s="1"/>
  <c r="O162" i="122" s="1"/>
  <c r="O163" i="122" s="1"/>
  <c r="O164" i="122" s="1"/>
  <c r="O165" i="122" s="1"/>
  <c r="O166" i="122" s="1"/>
  <c r="P132" i="122"/>
  <c r="O132" i="122"/>
  <c r="X95" i="122"/>
  <c r="X96" i="122" s="1"/>
  <c r="X97" i="122" s="1"/>
  <c r="X98" i="122" s="1"/>
  <c r="X99" i="122" s="1"/>
  <c r="X100" i="122" s="1"/>
  <c r="X101" i="122" s="1"/>
  <c r="X102" i="122" s="1"/>
  <c r="X103" i="122" s="1"/>
  <c r="X104" i="122" s="1"/>
  <c r="X105" i="122" s="1"/>
  <c r="X106" i="122" s="1"/>
  <c r="X107" i="122" s="1"/>
  <c r="X108" i="122" s="1"/>
  <c r="X109" i="122" s="1"/>
  <c r="X110" i="122" s="1"/>
  <c r="X111" i="122" s="1"/>
  <c r="X112" i="122" s="1"/>
  <c r="X113" i="122" s="1"/>
  <c r="X114" i="122" s="1"/>
  <c r="X115" i="122" s="1"/>
  <c r="X116" i="122" s="1"/>
  <c r="X117" i="122" s="1"/>
  <c r="X118" i="122" s="1"/>
  <c r="X119" i="122" s="1"/>
  <c r="X120" i="122" s="1"/>
  <c r="X121" i="122" s="1"/>
  <c r="X122" i="122" s="1"/>
  <c r="X123" i="122" s="1"/>
  <c r="X124" i="122" s="1"/>
  <c r="X125" i="122" s="1"/>
  <c r="W95" i="122"/>
  <c r="W96" i="122" s="1"/>
  <c r="W97" i="122" s="1"/>
  <c r="W98" i="122" s="1"/>
  <c r="W99" i="122" s="1"/>
  <c r="W100" i="122" s="1"/>
  <c r="W101" i="122" s="1"/>
  <c r="W102" i="122" s="1"/>
  <c r="W103" i="122" s="1"/>
  <c r="W104" i="122" s="1"/>
  <c r="W105" i="122" s="1"/>
  <c r="W106" i="122" s="1"/>
  <c r="W107" i="122" s="1"/>
  <c r="W108" i="122" s="1"/>
  <c r="W109" i="122" s="1"/>
  <c r="W110" i="122" s="1"/>
  <c r="W111" i="122" s="1"/>
  <c r="W112" i="122" s="1"/>
  <c r="W113" i="122" s="1"/>
  <c r="W114" i="122" s="1"/>
  <c r="W115" i="122" s="1"/>
  <c r="W116" i="122" s="1"/>
  <c r="W117" i="122" s="1"/>
  <c r="W118" i="122" s="1"/>
  <c r="W119" i="122" s="1"/>
  <c r="W120" i="122" s="1"/>
  <c r="W121" i="122" s="1"/>
  <c r="W122" i="122" s="1"/>
  <c r="W123" i="122" s="1"/>
  <c r="W124" i="122" s="1"/>
  <c r="W125" i="122" s="1"/>
  <c r="T95" i="122"/>
  <c r="T96" i="122" s="1"/>
  <c r="T97" i="122" s="1"/>
  <c r="T98" i="122" s="1"/>
  <c r="T99" i="122" s="1"/>
  <c r="T100" i="122" s="1"/>
  <c r="T101" i="122" s="1"/>
  <c r="T102" i="122" s="1"/>
  <c r="T103" i="122" s="1"/>
  <c r="T104" i="122" s="1"/>
  <c r="T105" i="122" s="1"/>
  <c r="T106" i="122" s="1"/>
  <c r="T107" i="122" s="1"/>
  <c r="T108" i="122" s="1"/>
  <c r="T109" i="122" s="1"/>
  <c r="T110" i="122" s="1"/>
  <c r="T111" i="122" s="1"/>
  <c r="T112" i="122" s="1"/>
  <c r="T113" i="122" s="1"/>
  <c r="T114" i="122" s="1"/>
  <c r="T115" i="122" s="1"/>
  <c r="T116" i="122" s="1"/>
  <c r="T117" i="122" s="1"/>
  <c r="T118" i="122" s="1"/>
  <c r="T119" i="122" s="1"/>
  <c r="T120" i="122" s="1"/>
  <c r="T121" i="122" s="1"/>
  <c r="T122" i="122" s="1"/>
  <c r="T123" i="122" s="1"/>
  <c r="T124" i="122" s="1"/>
  <c r="T125" i="122" s="1"/>
  <c r="S95" i="122"/>
  <c r="S96" i="122" s="1"/>
  <c r="S97" i="122" s="1"/>
  <c r="S98" i="122" s="1"/>
  <c r="S99" i="122" s="1"/>
  <c r="S100" i="122" s="1"/>
  <c r="S101" i="122" s="1"/>
  <c r="S102" i="122" s="1"/>
  <c r="S103" i="122" s="1"/>
  <c r="S104" i="122" s="1"/>
  <c r="S105" i="122" s="1"/>
  <c r="S106" i="122" s="1"/>
  <c r="S107" i="122" s="1"/>
  <c r="S108" i="122" s="1"/>
  <c r="S109" i="122" s="1"/>
  <c r="S110" i="122" s="1"/>
  <c r="S111" i="122" s="1"/>
  <c r="S112" i="122" s="1"/>
  <c r="S113" i="122" s="1"/>
  <c r="S114" i="122" s="1"/>
  <c r="S115" i="122" s="1"/>
  <c r="S116" i="122" s="1"/>
  <c r="S117" i="122" s="1"/>
  <c r="S118" i="122" s="1"/>
  <c r="S119" i="122" s="1"/>
  <c r="S120" i="122" s="1"/>
  <c r="S121" i="122" s="1"/>
  <c r="S122" i="122" s="1"/>
  <c r="S123" i="122" s="1"/>
  <c r="S124" i="122" s="1"/>
  <c r="S125" i="122" s="1"/>
  <c r="P95" i="122"/>
  <c r="P96" i="122" s="1"/>
  <c r="P97" i="122" s="1"/>
  <c r="P98" i="122" s="1"/>
  <c r="P99" i="122" s="1"/>
  <c r="P100" i="122" s="1"/>
  <c r="P101" i="122" s="1"/>
  <c r="P102" i="122" s="1"/>
  <c r="P103" i="122" s="1"/>
  <c r="P104" i="122" s="1"/>
  <c r="P105" i="122" s="1"/>
  <c r="P106" i="122" s="1"/>
  <c r="P107" i="122" s="1"/>
  <c r="P108" i="122" s="1"/>
  <c r="P109" i="122" s="1"/>
  <c r="P110" i="122" s="1"/>
  <c r="P111" i="122" s="1"/>
  <c r="P112" i="122" s="1"/>
  <c r="P113" i="122" s="1"/>
  <c r="P114" i="122" s="1"/>
  <c r="P115" i="122" s="1"/>
  <c r="P116" i="122" s="1"/>
  <c r="P117" i="122" s="1"/>
  <c r="P118" i="122" s="1"/>
  <c r="P119" i="122" s="1"/>
  <c r="P120" i="122" s="1"/>
  <c r="P121" i="122" s="1"/>
  <c r="P122" i="122" s="1"/>
  <c r="P123" i="122" s="1"/>
  <c r="P124" i="122" s="1"/>
  <c r="P125" i="122" s="1"/>
  <c r="O95" i="122"/>
  <c r="O96" i="122" s="1"/>
  <c r="O97" i="122" s="1"/>
  <c r="O98" i="122" s="1"/>
  <c r="O99" i="122" s="1"/>
  <c r="O100" i="122" s="1"/>
  <c r="O101" i="122" s="1"/>
  <c r="O102" i="122" s="1"/>
  <c r="O103" i="122" s="1"/>
  <c r="O104" i="122" s="1"/>
  <c r="O105" i="122" s="1"/>
  <c r="O106" i="122" s="1"/>
  <c r="O107" i="122" s="1"/>
  <c r="O108" i="122" s="1"/>
  <c r="O109" i="122" s="1"/>
  <c r="O110" i="122" s="1"/>
  <c r="O111" i="122" s="1"/>
  <c r="O112" i="122" s="1"/>
  <c r="O113" i="122" s="1"/>
  <c r="O114" i="122" s="1"/>
  <c r="O115" i="122" s="1"/>
  <c r="O116" i="122" s="1"/>
  <c r="O117" i="122" s="1"/>
  <c r="O118" i="122" s="1"/>
  <c r="O119" i="122" s="1"/>
  <c r="O120" i="122" s="1"/>
  <c r="O121" i="122" s="1"/>
  <c r="O122" i="122" s="1"/>
  <c r="O123" i="122" s="1"/>
  <c r="O124" i="122" s="1"/>
  <c r="O125" i="122" s="1"/>
  <c r="AB94" i="122"/>
  <c r="BF58" i="122"/>
  <c r="BF57" i="122"/>
  <c r="BF59" i="122" s="1"/>
  <c r="X53" i="122"/>
  <c r="X54" i="122" s="1"/>
  <c r="X55" i="122" s="1"/>
  <c r="X56" i="122" s="1"/>
  <c r="X57" i="122" s="1"/>
  <c r="X58" i="122" s="1"/>
  <c r="X59" i="122" s="1"/>
  <c r="X60" i="122" s="1"/>
  <c r="X61" i="122" s="1"/>
  <c r="X62" i="122" s="1"/>
  <c r="X63" i="122" s="1"/>
  <c r="X64" i="122" s="1"/>
  <c r="X65" i="122" s="1"/>
  <c r="X66" i="122" s="1"/>
  <c r="X67" i="122" s="1"/>
  <c r="X68" i="122" s="1"/>
  <c r="X69" i="122" s="1"/>
  <c r="X70" i="122" s="1"/>
  <c r="X71" i="122" s="1"/>
  <c r="X72" i="122" s="1"/>
  <c r="X73" i="122" s="1"/>
  <c r="X74" i="122" s="1"/>
  <c r="X75" i="122" s="1"/>
  <c r="X76" i="122" s="1"/>
  <c r="X77" i="122" s="1"/>
  <c r="X78" i="122" s="1"/>
  <c r="X79" i="122" s="1"/>
  <c r="X80" i="122" s="1"/>
  <c r="X81" i="122" s="1"/>
  <c r="X82" i="122" s="1"/>
  <c r="X83" i="122" s="1"/>
  <c r="W53" i="122"/>
  <c r="W54" i="122" s="1"/>
  <c r="W55" i="122" s="1"/>
  <c r="W56" i="122" s="1"/>
  <c r="W57" i="122" s="1"/>
  <c r="W58" i="122" s="1"/>
  <c r="W59" i="122" s="1"/>
  <c r="W60" i="122" s="1"/>
  <c r="W61" i="122" s="1"/>
  <c r="W62" i="122" s="1"/>
  <c r="W63" i="122" s="1"/>
  <c r="W64" i="122" s="1"/>
  <c r="W65" i="122" s="1"/>
  <c r="W66" i="122" s="1"/>
  <c r="W67" i="122" s="1"/>
  <c r="W68" i="122" s="1"/>
  <c r="W69" i="122" s="1"/>
  <c r="W70" i="122" s="1"/>
  <c r="W71" i="122" s="1"/>
  <c r="W72" i="122" s="1"/>
  <c r="W73" i="122" s="1"/>
  <c r="W74" i="122" s="1"/>
  <c r="W75" i="122" s="1"/>
  <c r="W76" i="122" s="1"/>
  <c r="W77" i="122" s="1"/>
  <c r="W78" i="122" s="1"/>
  <c r="W79" i="122" s="1"/>
  <c r="W80" i="122" s="1"/>
  <c r="W81" i="122" s="1"/>
  <c r="W82" i="122" s="1"/>
  <c r="W83" i="122" s="1"/>
  <c r="P53" i="122"/>
  <c r="P54" i="122" s="1"/>
  <c r="P55" i="122" s="1"/>
  <c r="P56" i="122" s="1"/>
  <c r="P57" i="122" s="1"/>
  <c r="P58" i="122" s="1"/>
  <c r="P59" i="122" s="1"/>
  <c r="P60" i="122" s="1"/>
  <c r="P61" i="122" s="1"/>
  <c r="P62" i="122" s="1"/>
  <c r="P63" i="122" s="1"/>
  <c r="P64" i="122" s="1"/>
  <c r="P65" i="122" s="1"/>
  <c r="P66" i="122" s="1"/>
  <c r="P67" i="122" s="1"/>
  <c r="P68" i="122" s="1"/>
  <c r="P69" i="122" s="1"/>
  <c r="P70" i="122" s="1"/>
  <c r="P71" i="122" s="1"/>
  <c r="P72" i="122" s="1"/>
  <c r="P73" i="122" s="1"/>
  <c r="P74" i="122" s="1"/>
  <c r="P75" i="122" s="1"/>
  <c r="P76" i="122" s="1"/>
  <c r="P77" i="122" s="1"/>
  <c r="P78" i="122" s="1"/>
  <c r="P79" i="122" s="1"/>
  <c r="P80" i="122" s="1"/>
  <c r="P81" i="122" s="1"/>
  <c r="P82" i="122" s="1"/>
  <c r="P83" i="122" s="1"/>
  <c r="O53" i="122"/>
  <c r="O54" i="122" s="1"/>
  <c r="O55" i="122" s="1"/>
  <c r="O56" i="122" s="1"/>
  <c r="O57" i="122" s="1"/>
  <c r="O58" i="122" s="1"/>
  <c r="O59" i="122" s="1"/>
  <c r="O60" i="122" s="1"/>
  <c r="O61" i="122" s="1"/>
  <c r="O62" i="122" s="1"/>
  <c r="O63" i="122" s="1"/>
  <c r="O64" i="122" s="1"/>
  <c r="O65" i="122" s="1"/>
  <c r="O66" i="122" s="1"/>
  <c r="O67" i="122" s="1"/>
  <c r="O68" i="122" s="1"/>
  <c r="O69" i="122" s="1"/>
  <c r="O70" i="122" s="1"/>
  <c r="O71" i="122" s="1"/>
  <c r="O72" i="122" s="1"/>
  <c r="O73" i="122" s="1"/>
  <c r="O74" i="122" s="1"/>
  <c r="O75" i="122" s="1"/>
  <c r="O76" i="122" s="1"/>
  <c r="O77" i="122" s="1"/>
  <c r="O78" i="122" s="1"/>
  <c r="O79" i="122" s="1"/>
  <c r="O80" i="122" s="1"/>
  <c r="O81" i="122" s="1"/>
  <c r="O82" i="122" s="1"/>
  <c r="O83" i="122" s="1"/>
  <c r="BC52" i="122"/>
  <c r="AX52" i="122"/>
  <c r="AW52" i="122"/>
  <c r="GS50" i="122"/>
  <c r="X50" i="122"/>
  <c r="X51" i="122" s="1"/>
  <c r="T50" i="122"/>
  <c r="T52" i="122" s="1"/>
  <c r="T53" i="122" s="1"/>
  <c r="T54" i="122" s="1"/>
  <c r="T55" i="122" s="1"/>
  <c r="T56" i="122" s="1"/>
  <c r="T57" i="122" s="1"/>
  <c r="T58" i="122" s="1"/>
  <c r="T59" i="122" s="1"/>
  <c r="T60" i="122" s="1"/>
  <c r="T61" i="122" s="1"/>
  <c r="T62" i="122" s="1"/>
  <c r="T63" i="122" s="1"/>
  <c r="T64" i="122" s="1"/>
  <c r="T65" i="122" s="1"/>
  <c r="T66" i="122" s="1"/>
  <c r="T67" i="122" s="1"/>
  <c r="T68" i="122" s="1"/>
  <c r="T69" i="122" s="1"/>
  <c r="T70" i="122" s="1"/>
  <c r="T71" i="122" s="1"/>
  <c r="T72" i="122" s="1"/>
  <c r="T73" i="122" s="1"/>
  <c r="T74" i="122" s="1"/>
  <c r="T75" i="122" s="1"/>
  <c r="T76" i="122" s="1"/>
  <c r="T77" i="122" s="1"/>
  <c r="T78" i="122" s="1"/>
  <c r="T79" i="122" s="1"/>
  <c r="T80" i="122" s="1"/>
  <c r="T81" i="122" s="1"/>
  <c r="T82" i="122" s="1"/>
  <c r="T83" i="122" s="1"/>
  <c r="S50" i="122"/>
  <c r="S52" i="122" s="1"/>
  <c r="S53" i="122" s="1"/>
  <c r="S54" i="122" s="1"/>
  <c r="S55" i="122" s="1"/>
  <c r="S56" i="122" s="1"/>
  <c r="S57" i="122" s="1"/>
  <c r="S58" i="122" s="1"/>
  <c r="S59" i="122" s="1"/>
  <c r="S60" i="122" s="1"/>
  <c r="S61" i="122" s="1"/>
  <c r="S62" i="122" s="1"/>
  <c r="S63" i="122" s="1"/>
  <c r="S64" i="122" s="1"/>
  <c r="S65" i="122" s="1"/>
  <c r="S66" i="122" s="1"/>
  <c r="S67" i="122" s="1"/>
  <c r="S68" i="122" s="1"/>
  <c r="S69" i="122" s="1"/>
  <c r="S70" i="122" s="1"/>
  <c r="S71" i="122" s="1"/>
  <c r="S72" i="122" s="1"/>
  <c r="S73" i="122" s="1"/>
  <c r="S74" i="122" s="1"/>
  <c r="S75" i="122" s="1"/>
  <c r="S76" i="122" s="1"/>
  <c r="S77" i="122" s="1"/>
  <c r="S78" i="122" s="1"/>
  <c r="S79" i="122" s="1"/>
  <c r="S80" i="122" s="1"/>
  <c r="S81" i="122" s="1"/>
  <c r="S82" i="122" s="1"/>
  <c r="S83" i="122" s="1"/>
  <c r="P50" i="122"/>
  <c r="P51" i="122" s="1"/>
  <c r="O50" i="122"/>
  <c r="O51" i="122" s="1"/>
  <c r="BW49" i="122"/>
  <c r="BM48" i="122"/>
  <c r="DX47" i="122"/>
  <c r="CG45" i="122"/>
  <c r="CF45" i="122"/>
  <c r="CE45" i="122"/>
  <c r="BX45" i="122"/>
  <c r="BW45" i="122"/>
  <c r="BV45" i="122"/>
  <c r="BU45" i="122"/>
  <c r="BT45" i="122"/>
  <c r="BS45" i="122"/>
  <c r="BR45" i="122"/>
  <c r="BQ45" i="122"/>
  <c r="BP45" i="122"/>
  <c r="BO45" i="122"/>
  <c r="BM45" i="122"/>
  <c r="BL45" i="122"/>
  <c r="BK45" i="122"/>
  <c r="BJ45" i="122"/>
  <c r="BI45" i="122"/>
  <c r="BH45" i="122"/>
  <c r="BG45" i="122"/>
  <c r="BF45" i="122"/>
  <c r="S45" i="122" s="1"/>
  <c r="BE45" i="122"/>
  <c r="BD45" i="122"/>
  <c r="BC45" i="122"/>
  <c r="BB45" i="122"/>
  <c r="BA45" i="122"/>
  <c r="AZ45" i="122"/>
  <c r="AY45" i="122"/>
  <c r="AX45" i="122"/>
  <c r="AW45" i="122"/>
  <c r="AV45" i="122"/>
  <c r="AU45" i="122"/>
  <c r="AT45" i="122"/>
  <c r="AS45" i="122"/>
  <c r="AR45" i="122"/>
  <c r="AQ45" i="122"/>
  <c r="AP45" i="122"/>
  <c r="AO45" i="122"/>
  <c r="AN45" i="122"/>
  <c r="AL45" i="122"/>
  <c r="AK45" i="122"/>
  <c r="AJ45" i="122"/>
  <c r="AI45" i="122"/>
  <c r="AH45" i="122"/>
  <c r="AG45" i="122"/>
  <c r="AF45" i="122"/>
  <c r="AE45" i="122"/>
  <c r="Z45" i="122"/>
  <c r="Y45" i="122"/>
  <c r="X45" i="122"/>
  <c r="W45" i="122"/>
  <c r="V45" i="122"/>
  <c r="U45" i="122"/>
  <c r="T45" i="122"/>
  <c r="R45" i="122"/>
  <c r="Q45" i="122"/>
  <c r="P45" i="122"/>
  <c r="O45" i="122"/>
  <c r="QA44" i="122"/>
  <c r="OM44" i="122"/>
  <c r="OK44" i="122"/>
  <c r="OG44" i="122"/>
  <c r="LD44" i="122"/>
  <c r="CP44" i="122"/>
  <c r="CB44" i="122"/>
  <c r="LJ43" i="122"/>
  <c r="JL43" i="122"/>
  <c r="JF43" i="122"/>
  <c r="IQ43" i="122"/>
  <c r="GW43" i="122"/>
  <c r="GN43" i="122"/>
  <c r="CN43" i="122"/>
  <c r="CG43" i="122"/>
  <c r="CD43" i="122"/>
  <c r="CA43" i="122"/>
  <c r="BX43" i="122"/>
  <c r="BU43" i="122"/>
  <c r="BR43" i="122"/>
  <c r="BO43" i="122"/>
  <c r="BK43" i="122"/>
  <c r="BE43" i="122"/>
  <c r="AY43" i="122"/>
  <c r="AP43" i="122"/>
  <c r="AJ43" i="122"/>
  <c r="AJ44" i="122" s="1"/>
  <c r="AI43" i="122"/>
  <c r="AI44" i="122" s="1"/>
  <c r="X90" i="122"/>
  <c r="T90" i="122"/>
  <c r="U43" i="122"/>
  <c r="P43" i="122"/>
  <c r="BN42" i="122"/>
  <c r="AK42" i="122"/>
  <c r="QA41" i="122"/>
  <c r="PX41" i="122"/>
  <c r="PX42" i="122" s="1"/>
  <c r="PX44" i="122" s="1"/>
  <c r="PV41" i="122"/>
  <c r="PV42" i="122" s="1"/>
  <c r="PV44" i="122" s="1"/>
  <c r="PT41" i="122"/>
  <c r="PS41" i="122"/>
  <c r="PS42" i="122" s="1"/>
  <c r="PS44" i="122" s="1"/>
  <c r="PR41" i="122"/>
  <c r="PR42" i="122" s="1"/>
  <c r="PR44" i="122" s="1"/>
  <c r="PQ41" i="122"/>
  <c r="PQ42" i="122" s="1"/>
  <c r="PQ44" i="122" s="1"/>
  <c r="PP41" i="122"/>
  <c r="PP42" i="122" s="1"/>
  <c r="PP44" i="122" s="1"/>
  <c r="PK44" i="122"/>
  <c r="PI41" i="122"/>
  <c r="PI42" i="122" s="1"/>
  <c r="PI44" i="122" s="1"/>
  <c r="PH41" i="122"/>
  <c r="PH42" i="122" s="1"/>
  <c r="PH44" i="122" s="1"/>
  <c r="PE41" i="122"/>
  <c r="PE42" i="122" s="1"/>
  <c r="PE44" i="122" s="1"/>
  <c r="OY41" i="122"/>
  <c r="OY42" i="122" s="1"/>
  <c r="OY44" i="122" s="1"/>
  <c r="OX41" i="122"/>
  <c r="OX42" i="122" s="1"/>
  <c r="OX44" i="122" s="1"/>
  <c r="OW41" i="122"/>
  <c r="OW42" i="122" s="1"/>
  <c r="OW44" i="122" s="1"/>
  <c r="OV41" i="122"/>
  <c r="OV42" i="122" s="1"/>
  <c r="OV44" i="122" s="1"/>
  <c r="OU41" i="122"/>
  <c r="OU42" i="122" s="1"/>
  <c r="OU44" i="122" s="1"/>
  <c r="OT41" i="122"/>
  <c r="OT42" i="122" s="1"/>
  <c r="OT44" i="122" s="1"/>
  <c r="OC41" i="122"/>
  <c r="OC42" i="122" s="1"/>
  <c r="NB41" i="122"/>
  <c r="NB42" i="122" s="1"/>
  <c r="NB44" i="122" s="1"/>
  <c r="MW41" i="122"/>
  <c r="MW42" i="122" s="1"/>
  <c r="MW44" i="122" s="1"/>
  <c r="MV41" i="122"/>
  <c r="MV42" i="122" s="1"/>
  <c r="MV44" i="122" s="1"/>
  <c r="MT41" i="122"/>
  <c r="MT42" i="122" s="1"/>
  <c r="MT44" i="122" s="1"/>
  <c r="MS41" i="122"/>
  <c r="MS42" i="122" s="1"/>
  <c r="MS44" i="122" s="1"/>
  <c r="MR41" i="122"/>
  <c r="MR42" i="122" s="1"/>
  <c r="MR44" i="122" s="1"/>
  <c r="MP41" i="122"/>
  <c r="MP42" i="122" s="1"/>
  <c r="MP44" i="122" s="1"/>
  <c r="MO41" i="122"/>
  <c r="MO42" i="122" s="1"/>
  <c r="MO44" i="122" s="1"/>
  <c r="MN41" i="122"/>
  <c r="MN42" i="122" s="1"/>
  <c r="MN44" i="122" s="1"/>
  <c r="MM41" i="122"/>
  <c r="MM42" i="122" s="1"/>
  <c r="MM44" i="122" s="1"/>
  <c r="ML41" i="122"/>
  <c r="ML42" i="122" s="1"/>
  <c r="ML44" i="122" s="1"/>
  <c r="MJ41" i="122"/>
  <c r="MJ42" i="122" s="1"/>
  <c r="MJ44" i="122" s="1"/>
  <c r="MI41" i="122"/>
  <c r="MI42" i="122" s="1"/>
  <c r="MI44" i="122" s="1"/>
  <c r="MH41" i="122"/>
  <c r="MH42" i="122" s="1"/>
  <c r="MH44" i="122" s="1"/>
  <c r="MG41" i="122"/>
  <c r="MG42" i="122" s="1"/>
  <c r="MG44" i="122" s="1"/>
  <c r="MF41" i="122"/>
  <c r="MF42" i="122" s="1"/>
  <c r="ME41" i="122"/>
  <c r="ME42" i="122" s="1"/>
  <c r="MD41" i="122"/>
  <c r="MD42" i="122" s="1"/>
  <c r="MD44" i="122" s="1"/>
  <c r="MB41" i="122"/>
  <c r="MB42" i="122" s="1"/>
  <c r="MA41" i="122"/>
  <c r="MA42" i="122" s="1"/>
  <c r="MA44" i="122" s="1"/>
  <c r="LZ41" i="122"/>
  <c r="LZ42" i="122" s="1"/>
  <c r="LZ44" i="122" s="1"/>
  <c r="LY41" i="122"/>
  <c r="LY42" i="122" s="1"/>
  <c r="LX41" i="122"/>
  <c r="LX42" i="122" s="1"/>
  <c r="LX44" i="122" s="1"/>
  <c r="LV41" i="122"/>
  <c r="LV42" i="122" s="1"/>
  <c r="LV44" i="122" s="1"/>
  <c r="LU41" i="122"/>
  <c r="LU42" i="122" s="1"/>
  <c r="LU44" i="122" s="1"/>
  <c r="LT41" i="122"/>
  <c r="LT42" i="122" s="1"/>
  <c r="LT44" i="122" s="1"/>
  <c r="LS41" i="122"/>
  <c r="LS42" i="122" s="1"/>
  <c r="LR41" i="122"/>
  <c r="LR42" i="122" s="1"/>
  <c r="LR44" i="122" s="1"/>
  <c r="LQ41" i="122"/>
  <c r="LQ42" i="122" s="1"/>
  <c r="LQ44" i="122" s="1"/>
  <c r="LP41" i="122"/>
  <c r="LP42" i="122" s="1"/>
  <c r="LP44" i="122" s="1"/>
  <c r="LO41" i="122"/>
  <c r="LO42" i="122" s="1"/>
  <c r="LO44" i="122" s="1"/>
  <c r="LN41" i="122"/>
  <c r="LN42" i="122" s="1"/>
  <c r="LN44" i="122" s="1"/>
  <c r="LM41" i="122"/>
  <c r="LM42" i="122" s="1"/>
  <c r="LM44" i="122" s="1"/>
  <c r="LL41" i="122"/>
  <c r="LL42" i="122" s="1"/>
  <c r="LK41" i="122"/>
  <c r="LK42" i="122" s="1"/>
  <c r="LF41" i="122"/>
  <c r="LF42" i="122" s="1"/>
  <c r="LF44" i="122" s="1"/>
  <c r="LE41" i="122"/>
  <c r="LE42" i="122" s="1"/>
  <c r="LE44" i="122" s="1"/>
  <c r="LC41" i="122"/>
  <c r="LC42" i="122" s="1"/>
  <c r="LC44" i="122" s="1"/>
  <c r="LB41" i="122"/>
  <c r="LB42" i="122" s="1"/>
  <c r="LB44" i="122" s="1"/>
  <c r="LA41" i="122"/>
  <c r="LA42" i="122" s="1"/>
  <c r="LA44" i="122" s="1"/>
  <c r="KZ41" i="122"/>
  <c r="KZ42" i="122" s="1"/>
  <c r="KZ44" i="122" s="1"/>
  <c r="KY41" i="122"/>
  <c r="KY42" i="122" s="1"/>
  <c r="KY44" i="122" s="1"/>
  <c r="KN41" i="122"/>
  <c r="KN42" i="122" s="1"/>
  <c r="KN44" i="122" s="1"/>
  <c r="KM41" i="122"/>
  <c r="KM42" i="122" s="1"/>
  <c r="KM44" i="122" s="1"/>
  <c r="JN41" i="122"/>
  <c r="JN42" i="122" s="1"/>
  <c r="JN44" i="122" s="1"/>
  <c r="JM41" i="122"/>
  <c r="JM42" i="122" s="1"/>
  <c r="JM44" i="122" s="1"/>
  <c r="JK41" i="122"/>
  <c r="JK42" i="122" s="1"/>
  <c r="JK44" i="122" s="1"/>
  <c r="JH41" i="122"/>
  <c r="JH42" i="122" s="1"/>
  <c r="JH44" i="122" s="1"/>
  <c r="JG41" i="122"/>
  <c r="JG42" i="122" s="1"/>
  <c r="JG44" i="122" s="1"/>
  <c r="JE41" i="122"/>
  <c r="JE42" i="122" s="1"/>
  <c r="JE44" i="122" s="1"/>
  <c r="JD41" i="122"/>
  <c r="JD42" i="122" s="1"/>
  <c r="JD44" i="122" s="1"/>
  <c r="JC41" i="122"/>
  <c r="JC42" i="122" s="1"/>
  <c r="JA41" i="122"/>
  <c r="JA42" i="122" s="1"/>
  <c r="IY41" i="122"/>
  <c r="IY42" i="122" s="1"/>
  <c r="IW41" i="122"/>
  <c r="IW42" i="122" s="1"/>
  <c r="IV41" i="122"/>
  <c r="IV42" i="122" s="1"/>
  <c r="IU41" i="122"/>
  <c r="IU42" i="122" s="1"/>
  <c r="IT41" i="122"/>
  <c r="IT42" i="122" s="1"/>
  <c r="IT44" i="122" s="1"/>
  <c r="IS41" i="122"/>
  <c r="IS42" i="122" s="1"/>
  <c r="IR41" i="122"/>
  <c r="IR42" i="122" s="1"/>
  <c r="IO41" i="122"/>
  <c r="IO42" i="122" s="1"/>
  <c r="IO44" i="122" s="1"/>
  <c r="IN41" i="122"/>
  <c r="IN42" i="122" s="1"/>
  <c r="IL41" i="122"/>
  <c r="IL42" i="122" s="1"/>
  <c r="IJ41" i="122"/>
  <c r="IJ42" i="122" s="1"/>
  <c r="IH41" i="122"/>
  <c r="IH42" i="122" s="1"/>
  <c r="IG41" i="122"/>
  <c r="IG42" i="122" s="1"/>
  <c r="IG44" i="122" s="1"/>
  <c r="IF41" i="122"/>
  <c r="IF42" i="122" s="1"/>
  <c r="IE41" i="122"/>
  <c r="IE42" i="122" s="1"/>
  <c r="IE44" i="122" s="1"/>
  <c r="ID41" i="122"/>
  <c r="ID42" i="122" s="1"/>
  <c r="IC41" i="122"/>
  <c r="IC42" i="122" s="1"/>
  <c r="IA41" i="122"/>
  <c r="IA42" i="122" s="1"/>
  <c r="HZ41" i="122"/>
  <c r="HZ42" i="122" s="1"/>
  <c r="HY41" i="122"/>
  <c r="HY42" i="122" s="1"/>
  <c r="HX41" i="122"/>
  <c r="HX42" i="122" s="1"/>
  <c r="HW41" i="122"/>
  <c r="HW42" i="122" s="1"/>
  <c r="HU41" i="122"/>
  <c r="HU42" i="122" s="1"/>
  <c r="HS41" i="122"/>
  <c r="HS42" i="122" s="1"/>
  <c r="HR41" i="122"/>
  <c r="HR42" i="122" s="1"/>
  <c r="HQ41" i="122"/>
  <c r="HQ42" i="122" s="1"/>
  <c r="HP41" i="122"/>
  <c r="HP42" i="122" s="1"/>
  <c r="HO41" i="122"/>
  <c r="HO42" i="122" s="1"/>
  <c r="HN41" i="122"/>
  <c r="HL41" i="122"/>
  <c r="HL42" i="122" s="1"/>
  <c r="HL44" i="122" s="1"/>
  <c r="HJ41" i="122"/>
  <c r="HJ42" i="122" s="1"/>
  <c r="HH41" i="122"/>
  <c r="HH42" i="122" s="1"/>
  <c r="HF41" i="122"/>
  <c r="HF42" i="122" s="1"/>
  <c r="HE41" i="122"/>
  <c r="HE42" i="122" s="1"/>
  <c r="HE44" i="122" s="1"/>
  <c r="HD41" i="122"/>
  <c r="HD42" i="122" s="1"/>
  <c r="HC41" i="122"/>
  <c r="HC42" i="122" s="1"/>
  <c r="HC44" i="122" s="1"/>
  <c r="HB41" i="122"/>
  <c r="HB42" i="122" s="1"/>
  <c r="HA41" i="122"/>
  <c r="HA42" i="122" s="1"/>
  <c r="HA44" i="122" s="1"/>
  <c r="GZ41" i="122"/>
  <c r="GZ42" i="122" s="1"/>
  <c r="GY41" i="122"/>
  <c r="GY42" i="122" s="1"/>
  <c r="GX41" i="122"/>
  <c r="GX42" i="122" s="1"/>
  <c r="GX44" i="122" s="1"/>
  <c r="GR41" i="122"/>
  <c r="GR42" i="122" s="1"/>
  <c r="GR44" i="122" s="1"/>
  <c r="GQ41" i="122"/>
  <c r="GQ42" i="122" s="1"/>
  <c r="GQ44" i="122" s="1"/>
  <c r="GP41" i="122"/>
  <c r="GP42" i="122" s="1"/>
  <c r="GP44" i="122" s="1"/>
  <c r="GO41" i="122"/>
  <c r="GO42" i="122" s="1"/>
  <c r="GO44" i="122" s="1"/>
  <c r="GJ41" i="122"/>
  <c r="GJ42" i="122" s="1"/>
  <c r="GJ44" i="122" s="1"/>
  <c r="GI41" i="122"/>
  <c r="GI42" i="122" s="1"/>
  <c r="GI44" i="122" s="1"/>
  <c r="GF41" i="122"/>
  <c r="GF42" i="122" s="1"/>
  <c r="GF44" i="122" s="1"/>
  <c r="GB41" i="122"/>
  <c r="GB42" i="122" s="1"/>
  <c r="GB44" i="122" s="1"/>
  <c r="FZ41" i="122"/>
  <c r="FZ42" i="122" s="1"/>
  <c r="FZ44" i="122" s="1"/>
  <c r="FX41" i="122"/>
  <c r="FX42" i="122" s="1"/>
  <c r="FX44" i="122" s="1"/>
  <c r="FV41" i="122"/>
  <c r="FV42" i="122" s="1"/>
  <c r="FV44" i="122" s="1"/>
  <c r="FT41" i="122"/>
  <c r="FT42" i="122" s="1"/>
  <c r="FT44" i="122" s="1"/>
  <c r="FS41" i="122"/>
  <c r="FS42" i="122" s="1"/>
  <c r="FS44" i="122" s="1"/>
  <c r="FR41" i="122"/>
  <c r="FR42" i="122" s="1"/>
  <c r="FR44" i="122" s="1"/>
  <c r="FQ41" i="122"/>
  <c r="FQ42" i="122" s="1"/>
  <c r="FQ44" i="122" s="1"/>
  <c r="FP41" i="122"/>
  <c r="FP42" i="122" s="1"/>
  <c r="FP44" i="122" s="1"/>
  <c r="FO41" i="122"/>
  <c r="FO42" i="122" s="1"/>
  <c r="FO44" i="122" s="1"/>
  <c r="FM41" i="122"/>
  <c r="FM42" i="122" s="1"/>
  <c r="FM44" i="122" s="1"/>
  <c r="FL41" i="122"/>
  <c r="FL42" i="122" s="1"/>
  <c r="FL44" i="122" s="1"/>
  <c r="FK41" i="122"/>
  <c r="FK42" i="122" s="1"/>
  <c r="FK44" i="122" s="1"/>
  <c r="FJ41" i="122"/>
  <c r="FJ42" i="122" s="1"/>
  <c r="FJ44" i="122" s="1"/>
  <c r="FI41" i="122"/>
  <c r="FI42" i="122" s="1"/>
  <c r="FI44" i="122" s="1"/>
  <c r="FH41" i="122"/>
  <c r="FH42" i="122" s="1"/>
  <c r="FH44" i="122" s="1"/>
  <c r="FG41" i="122"/>
  <c r="FG42" i="122" s="1"/>
  <c r="FG44" i="122" s="1"/>
  <c r="FF41" i="122"/>
  <c r="FF42" i="122" s="1"/>
  <c r="FF44" i="122" s="1"/>
  <c r="FA41" i="122"/>
  <c r="FA42" i="122" s="1"/>
  <c r="FA44" i="122" s="1"/>
  <c r="EZ41" i="122"/>
  <c r="EZ42" i="122" s="1"/>
  <c r="EZ44" i="122" s="1"/>
  <c r="EX41" i="122"/>
  <c r="EX42" i="122" s="1"/>
  <c r="EX44" i="122" s="1"/>
  <c r="EW41" i="122"/>
  <c r="EW42" i="122" s="1"/>
  <c r="EW44" i="122" s="1"/>
  <c r="EV41" i="122"/>
  <c r="EV42" i="122" s="1"/>
  <c r="EV44" i="122" s="1"/>
  <c r="EU41" i="122"/>
  <c r="EU42" i="122" s="1"/>
  <c r="EU44" i="122" s="1"/>
  <c r="ET41" i="122"/>
  <c r="ET42" i="122" s="1"/>
  <c r="ET44" i="122" s="1"/>
  <c r="ES41" i="122"/>
  <c r="ES42" i="122" s="1"/>
  <c r="ES44" i="122" s="1"/>
  <c r="EP41" i="122"/>
  <c r="EP42" i="122" s="1"/>
  <c r="EP44" i="122" s="1"/>
  <c r="EN41" i="122"/>
  <c r="EN42" i="122" s="1"/>
  <c r="EN44" i="122" s="1"/>
  <c r="EM41" i="122"/>
  <c r="EM42" i="122" s="1"/>
  <c r="EL41" i="122"/>
  <c r="EL42" i="122" s="1"/>
  <c r="EL44" i="122" s="1"/>
  <c r="EJ41" i="122"/>
  <c r="EJ42" i="122" s="1"/>
  <c r="EJ44" i="122" s="1"/>
  <c r="EI41" i="122"/>
  <c r="EH41" i="122"/>
  <c r="EH42" i="122" s="1"/>
  <c r="EG41" i="122"/>
  <c r="EG42" i="122" s="1"/>
  <c r="EF41" i="122"/>
  <c r="EF42" i="122" s="1"/>
  <c r="EF44" i="122" s="1"/>
  <c r="DY41" i="122"/>
  <c r="DY42" i="122" s="1"/>
  <c r="DY44" i="122" s="1"/>
  <c r="DW41" i="122"/>
  <c r="DW42" i="122" s="1"/>
  <c r="DW44" i="122" s="1"/>
  <c r="DU41" i="122"/>
  <c r="DU42" i="122" s="1"/>
  <c r="DU44" i="122" s="1"/>
  <c r="DS41" i="122"/>
  <c r="DS42" i="122" s="1"/>
  <c r="DS44" i="122" s="1"/>
  <c r="DQ41" i="122"/>
  <c r="DQ42" i="122" s="1"/>
  <c r="DP41" i="122"/>
  <c r="DP42" i="122" s="1"/>
  <c r="DP44" i="122" s="1"/>
  <c r="DO41" i="122"/>
  <c r="DO42" i="122" s="1"/>
  <c r="DJ41" i="122"/>
  <c r="DJ42" i="122" s="1"/>
  <c r="DJ44" i="122" s="1"/>
  <c r="DH41" i="122"/>
  <c r="DH42" i="122" s="1"/>
  <c r="DH44" i="122" s="1"/>
  <c r="DF41" i="122"/>
  <c r="DF42" i="122" s="1"/>
  <c r="DF44" i="122" s="1"/>
  <c r="DE41" i="122"/>
  <c r="DE42" i="122" s="1"/>
  <c r="DE44" i="122" s="1"/>
  <c r="CQ41" i="122"/>
  <c r="CQ42" i="122" s="1"/>
  <c r="CQ44" i="122" s="1"/>
  <c r="CP41" i="122"/>
  <c r="CO41" i="122"/>
  <c r="CO42" i="122" s="1"/>
  <c r="CO44" i="122" s="1"/>
  <c r="CM41" i="122"/>
  <c r="CM42" i="122" s="1"/>
  <c r="CM44" i="122" s="1"/>
  <c r="CL41" i="122"/>
  <c r="CL42" i="122" s="1"/>
  <c r="CL44" i="122" s="1"/>
  <c r="CK41" i="122"/>
  <c r="CK44" i="122" s="1"/>
  <c r="CJ41" i="122"/>
  <c r="CJ42" i="122" s="1"/>
  <c r="CJ44" i="122" s="1"/>
  <c r="CI41" i="122"/>
  <c r="CI44" i="122" s="1"/>
  <c r="CH41" i="122"/>
  <c r="CH42" i="122" s="1"/>
  <c r="CH44" i="122" s="1"/>
  <c r="CF41" i="122"/>
  <c r="CF42" i="122" s="1"/>
  <c r="CF44" i="122" s="1"/>
  <c r="CE41" i="122"/>
  <c r="CC41" i="122"/>
  <c r="CC42" i="122" s="1"/>
  <c r="CB41" i="122"/>
  <c r="BZ41" i="122"/>
  <c r="BZ42" i="122" s="1"/>
  <c r="BZ44" i="122" s="1"/>
  <c r="BY41" i="122"/>
  <c r="BY42" i="122" s="1"/>
  <c r="BY48" i="122" s="1"/>
  <c r="BX41" i="122"/>
  <c r="BX42" i="122" s="1"/>
  <c r="BW41" i="122"/>
  <c r="BW48" i="122" s="1"/>
  <c r="BV41" i="122"/>
  <c r="BV48" i="122" s="1"/>
  <c r="BU41" i="122"/>
  <c r="BU42" i="122" s="1"/>
  <c r="BT41" i="122"/>
  <c r="BT42" i="122" s="1"/>
  <c r="BT44" i="122" s="1"/>
  <c r="BS41" i="122"/>
  <c r="BS42" i="122" s="1"/>
  <c r="BS44" i="122" s="1"/>
  <c r="BP41" i="122"/>
  <c r="BN41" i="122"/>
  <c r="BL41" i="122"/>
  <c r="BL44" i="122" s="1"/>
  <c r="BK41" i="122"/>
  <c r="BK42" i="122" s="1"/>
  <c r="BJ41" i="122"/>
  <c r="BJ42" i="122" s="1"/>
  <c r="BJ44" i="122" s="1"/>
  <c r="BI41" i="122"/>
  <c r="BI42" i="122" s="1"/>
  <c r="BI44" i="122" s="1"/>
  <c r="BH41" i="122"/>
  <c r="BH42" i="122" s="1"/>
  <c r="BH44" i="122" s="1"/>
  <c r="BG41" i="122"/>
  <c r="BG42" i="122" s="1"/>
  <c r="BG44" i="122" s="1"/>
  <c r="BF41" i="122"/>
  <c r="BC41" i="122"/>
  <c r="BC48" i="122" s="1"/>
  <c r="BB41" i="122"/>
  <c r="BB42" i="122" s="1"/>
  <c r="BB44" i="122" s="1"/>
  <c r="BA41" i="122"/>
  <c r="BA42" i="122" s="1"/>
  <c r="BA44" i="122" s="1"/>
  <c r="AZ41" i="122"/>
  <c r="AZ42" i="122" s="1"/>
  <c r="AZ44" i="122" s="1"/>
  <c r="AW41" i="122"/>
  <c r="AU41" i="122"/>
  <c r="AU42" i="122" s="1"/>
  <c r="AU44" i="122" s="1"/>
  <c r="AT41" i="122"/>
  <c r="AT42" i="122" s="1"/>
  <c r="AT44" i="122" s="1"/>
  <c r="AR41" i="122"/>
  <c r="AR42" i="122" s="1"/>
  <c r="AR44" i="122" s="1"/>
  <c r="AQ41" i="122"/>
  <c r="AO41" i="122"/>
  <c r="AO42" i="122" s="1"/>
  <c r="AO44" i="122" s="1"/>
  <c r="AN41" i="122"/>
  <c r="AN42" i="122" s="1"/>
  <c r="AN44" i="122" s="1"/>
  <c r="AM41" i="122"/>
  <c r="AM42" i="122" s="1"/>
  <c r="AM44" i="122" s="1"/>
  <c r="AL41" i="122"/>
  <c r="AL42" i="122" s="1"/>
  <c r="AL44" i="122" s="1"/>
  <c r="AJ41" i="122"/>
  <c r="AI41" i="122"/>
  <c r="AH41" i="122"/>
  <c r="AH42" i="122" s="1"/>
  <c r="AH44" i="122" s="1"/>
  <c r="AF41" i="122"/>
  <c r="AF42" i="122" s="1"/>
  <c r="AF44" i="122" s="1"/>
  <c r="AE41" i="122"/>
  <c r="Z41" i="122"/>
  <c r="Z42" i="122" s="1"/>
  <c r="Z44" i="122" s="1"/>
  <c r="V41" i="122"/>
  <c r="V42" i="122" s="1"/>
  <c r="V44" i="122" s="1"/>
  <c r="R41" i="122"/>
  <c r="R42" i="122" s="1"/>
  <c r="R44" i="122" s="1"/>
  <c r="N41" i="122"/>
  <c r="N42" i="122" s="1"/>
  <c r="M41" i="122"/>
  <c r="M42" i="122" s="1"/>
  <c r="L41" i="122"/>
  <c r="L42" i="122" s="1"/>
  <c r="K41" i="122"/>
  <c r="K42" i="122" s="1"/>
  <c r="J41" i="122"/>
  <c r="J42" i="122" s="1"/>
  <c r="J44" i="122" s="1"/>
  <c r="I41" i="122"/>
  <c r="I42" i="122" s="1"/>
  <c r="H41" i="122"/>
  <c r="H42" i="122" s="1"/>
  <c r="RQ40" i="122"/>
  <c r="RF40" i="122"/>
  <c r="RE40" i="122"/>
  <c r="RD40" i="122"/>
  <c r="RC40" i="122"/>
  <c r="RB40" i="122"/>
  <c r="RA40" i="122"/>
  <c r="QY40" i="122"/>
  <c r="QX40" i="122"/>
  <c r="QW40" i="122"/>
  <c r="QV40" i="122"/>
  <c r="QU40" i="122"/>
  <c r="QT40" i="122"/>
  <c r="QO40" i="122"/>
  <c r="OZ40" i="122"/>
  <c r="OZ41" i="122" s="1"/>
  <c r="OZ42" i="122" s="1"/>
  <c r="OZ44" i="122" s="1"/>
  <c r="MU40" i="122"/>
  <c r="MC40" i="122"/>
  <c r="LW40" i="122"/>
  <c r="LI40" i="122"/>
  <c r="LH40" i="122"/>
  <c r="LG40" i="122"/>
  <c r="FU40" i="122"/>
  <c r="FC40" i="122" s="1"/>
  <c r="FN40" i="122"/>
  <c r="FB40" i="122" s="1"/>
  <c r="EY40" i="122"/>
  <c r="ER40" i="122"/>
  <c r="DC40" i="122"/>
  <c r="DA40" i="122"/>
  <c r="CY40" i="122"/>
  <c r="CW40" i="122"/>
  <c r="CV40" i="122"/>
  <c r="CU40" i="122"/>
  <c r="CT40" i="122"/>
  <c r="CS40" i="122"/>
  <c r="CR40" i="122"/>
  <c r="CN40" i="122"/>
  <c r="CN41" i="122" s="1"/>
  <c r="CN42" i="122" s="1"/>
  <c r="CG40" i="122"/>
  <c r="CD40" i="122"/>
  <c r="CA40" i="122"/>
  <c r="BX40" i="122"/>
  <c r="BU40" i="122"/>
  <c r="BK40" i="122"/>
  <c r="BH40" i="122"/>
  <c r="BB40" i="122"/>
  <c r="AV40" i="122"/>
  <c r="AS40" i="122"/>
  <c r="AP40" i="122"/>
  <c r="AK40" i="122"/>
  <c r="AG40" i="122"/>
  <c r="AA40" i="122"/>
  <c r="X40" i="122"/>
  <c r="W40" i="122"/>
  <c r="S40" i="122"/>
  <c r="O40" i="122"/>
  <c r="RQ39" i="122"/>
  <c r="RF39" i="122"/>
  <c r="RE39" i="122"/>
  <c r="RD39" i="122"/>
  <c r="RC39" i="122"/>
  <c r="RB39" i="122"/>
  <c r="RA39" i="122"/>
  <c r="QY39" i="122"/>
  <c r="QX39" i="122"/>
  <c r="QW39" i="122"/>
  <c r="QV39" i="122"/>
  <c r="QU39" i="122"/>
  <c r="QT39" i="122"/>
  <c r="QO39" i="122"/>
  <c r="OZ39" i="122"/>
  <c r="MU39" i="122"/>
  <c r="MC39" i="122"/>
  <c r="LW39" i="122"/>
  <c r="LI39" i="122"/>
  <c r="LH39" i="122"/>
  <c r="LG39" i="122"/>
  <c r="FU39" i="122"/>
  <c r="FC39" i="122" s="1"/>
  <c r="FN39" i="122"/>
  <c r="FB39" i="122" s="1"/>
  <c r="EY39" i="122"/>
  <c r="ER39" i="122"/>
  <c r="DC39" i="122"/>
  <c r="DA39" i="122"/>
  <c r="CY39" i="122"/>
  <c r="CW39" i="122"/>
  <c r="CV39" i="122"/>
  <c r="CU39" i="122"/>
  <c r="CT39" i="122"/>
  <c r="CS39" i="122"/>
  <c r="CR39" i="122"/>
  <c r="CG39" i="122"/>
  <c r="CD39" i="122"/>
  <c r="CA39" i="122"/>
  <c r="BX39" i="122"/>
  <c r="BU39" i="122"/>
  <c r="BK39" i="122"/>
  <c r="BH39" i="122"/>
  <c r="BB39" i="122"/>
  <c r="AV39" i="122"/>
  <c r="AS39" i="122"/>
  <c r="AP39" i="122"/>
  <c r="AK39" i="122"/>
  <c r="AG39" i="122"/>
  <c r="AA39" i="122"/>
  <c r="X39" i="122"/>
  <c r="W39" i="122"/>
  <c r="S39" i="122"/>
  <c r="O39" i="122"/>
  <c r="RQ38" i="122"/>
  <c r="RF38" i="122"/>
  <c r="RE38" i="122"/>
  <c r="RD38" i="122"/>
  <c r="RC38" i="122"/>
  <c r="RB38" i="122"/>
  <c r="RA38" i="122"/>
  <c r="QY38" i="122"/>
  <c r="QX38" i="122"/>
  <c r="QW38" i="122"/>
  <c r="QV38" i="122"/>
  <c r="QU38" i="122"/>
  <c r="QT38" i="122"/>
  <c r="QO38" i="122"/>
  <c r="OZ38" i="122"/>
  <c r="MU38" i="122"/>
  <c r="MC38" i="122"/>
  <c r="LW38" i="122"/>
  <c r="LI38" i="122"/>
  <c r="LH38" i="122"/>
  <c r="LG38" i="122"/>
  <c r="FU38" i="122"/>
  <c r="FC38" i="122" s="1"/>
  <c r="FN38" i="122"/>
  <c r="FB38" i="122" s="1"/>
  <c r="EY38" i="122"/>
  <c r="ER38" i="122"/>
  <c r="DC38" i="122"/>
  <c r="DA38" i="122"/>
  <c r="CY38" i="122"/>
  <c r="CW38" i="122"/>
  <c r="CV38" i="122"/>
  <c r="CU38" i="122"/>
  <c r="CT38" i="122"/>
  <c r="CS38" i="122"/>
  <c r="CR38" i="122"/>
  <c r="CG38" i="122"/>
  <c r="CD38" i="122"/>
  <c r="CA38" i="122"/>
  <c r="BX38" i="122"/>
  <c r="BU38" i="122"/>
  <c r="BK38" i="122"/>
  <c r="BH38" i="122"/>
  <c r="BB38" i="122"/>
  <c r="AV38" i="122"/>
  <c r="AS38" i="122"/>
  <c r="AP38" i="122"/>
  <c r="AK38" i="122"/>
  <c r="AG38" i="122"/>
  <c r="AA38" i="122"/>
  <c r="X38" i="122"/>
  <c r="W38" i="122"/>
  <c r="S38" i="122"/>
  <c r="O38" i="122"/>
  <c r="RQ37" i="122"/>
  <c r="RF37" i="122"/>
  <c r="RE37" i="122"/>
  <c r="RD37" i="122"/>
  <c r="RC37" i="122"/>
  <c r="RB37" i="122"/>
  <c r="RA37" i="122"/>
  <c r="QY37" i="122"/>
  <c r="QX37" i="122"/>
  <c r="QW37" i="122"/>
  <c r="QV37" i="122"/>
  <c r="QU37" i="122"/>
  <c r="QT37" i="122"/>
  <c r="QO37" i="122"/>
  <c r="OZ37" i="122"/>
  <c r="NN37" i="122"/>
  <c r="NN38" i="122" s="1"/>
  <c r="NN39" i="122" s="1"/>
  <c r="NN40" i="122" s="1"/>
  <c r="NN41" i="122" s="1"/>
  <c r="NN42" i="122" s="1"/>
  <c r="NM37" i="122"/>
  <c r="NM38" i="122" s="1"/>
  <c r="NM39" i="122" s="1"/>
  <c r="NM40" i="122" s="1"/>
  <c r="NM41" i="122" s="1"/>
  <c r="NM42" i="122" s="1"/>
  <c r="NM44" i="122" s="1"/>
  <c r="NL37" i="122"/>
  <c r="NL38" i="122" s="1"/>
  <c r="NL39" i="122" s="1"/>
  <c r="NL40" i="122" s="1"/>
  <c r="NL41" i="122" s="1"/>
  <c r="NL42" i="122" s="1"/>
  <c r="NK37" i="122"/>
  <c r="NK38" i="122" s="1"/>
  <c r="NK39" i="122" s="1"/>
  <c r="NK40" i="122" s="1"/>
  <c r="NK41" i="122" s="1"/>
  <c r="NK42" i="122" s="1"/>
  <c r="NK44" i="122" s="1"/>
  <c r="NJ37" i="122"/>
  <c r="NJ38" i="122" s="1"/>
  <c r="NJ39" i="122" s="1"/>
  <c r="NJ40" i="122" s="1"/>
  <c r="NJ41" i="122" s="1"/>
  <c r="NJ42" i="122" s="1"/>
  <c r="NI37" i="122"/>
  <c r="NI38" i="122" s="1"/>
  <c r="NI39" i="122" s="1"/>
  <c r="NI40" i="122" s="1"/>
  <c r="NI41" i="122" s="1"/>
  <c r="NI42" i="122" s="1"/>
  <c r="NI44" i="122" s="1"/>
  <c r="NH37" i="122"/>
  <c r="NH38" i="122" s="1"/>
  <c r="NH39" i="122" s="1"/>
  <c r="NH40" i="122" s="1"/>
  <c r="NH41" i="122" s="1"/>
  <c r="NH42" i="122" s="1"/>
  <c r="NG37" i="122"/>
  <c r="NG38" i="122" s="1"/>
  <c r="NG39" i="122" s="1"/>
  <c r="MU37" i="122"/>
  <c r="MC37" i="122"/>
  <c r="LW37" i="122"/>
  <c r="LI37" i="122"/>
  <c r="LH37" i="122"/>
  <c r="LG37" i="122"/>
  <c r="FU37" i="122"/>
  <c r="FC37" i="122" s="1"/>
  <c r="FN37" i="122"/>
  <c r="FB37" i="122" s="1"/>
  <c r="EY37" i="122"/>
  <c r="ER37" i="122"/>
  <c r="DC37" i="122"/>
  <c r="DA37" i="122"/>
  <c r="CY37" i="122"/>
  <c r="CW37" i="122"/>
  <c r="CV37" i="122"/>
  <c r="CU37" i="122"/>
  <c r="CT37" i="122"/>
  <c r="CS37" i="122"/>
  <c r="CR37" i="122"/>
  <c r="CG37" i="122"/>
  <c r="CD37" i="122"/>
  <c r="CA37" i="122"/>
  <c r="BX37" i="122"/>
  <c r="BU37" i="122"/>
  <c r="BK37" i="122"/>
  <c r="BH37" i="122"/>
  <c r="BB37" i="122"/>
  <c r="AV37" i="122"/>
  <c r="AS37" i="122"/>
  <c r="AP37" i="122"/>
  <c r="AK37" i="122"/>
  <c r="AG37" i="122"/>
  <c r="AA37" i="122"/>
  <c r="X37" i="122"/>
  <c r="W37" i="122"/>
  <c r="S37" i="122"/>
  <c r="O37" i="122"/>
  <c r="RQ36" i="122"/>
  <c r="RF36" i="122"/>
  <c r="RE36" i="122"/>
  <c r="RD36" i="122"/>
  <c r="RC36" i="122"/>
  <c r="RB36" i="122"/>
  <c r="RA36" i="122"/>
  <c r="QY36" i="122"/>
  <c r="QX36" i="122"/>
  <c r="QW36" i="122"/>
  <c r="QV36" i="122"/>
  <c r="QU36" i="122"/>
  <c r="QT36" i="122"/>
  <c r="QO36" i="122"/>
  <c r="OZ36" i="122"/>
  <c r="MU36" i="122"/>
  <c r="MC36" i="122"/>
  <c r="LW36" i="122"/>
  <c r="LI36" i="122"/>
  <c r="LH36" i="122"/>
  <c r="LG36" i="122"/>
  <c r="FU36" i="122"/>
  <c r="FC36" i="122" s="1"/>
  <c r="FN36" i="122"/>
  <c r="FB36" i="122" s="1"/>
  <c r="EY36" i="122"/>
  <c r="ER36" i="122"/>
  <c r="DC36" i="122"/>
  <c r="DA36" i="122"/>
  <c r="CY36" i="122"/>
  <c r="CW36" i="122"/>
  <c r="CV36" i="122"/>
  <c r="CU36" i="122"/>
  <c r="CT36" i="122"/>
  <c r="CS36" i="122"/>
  <c r="CR36" i="122"/>
  <c r="CG36" i="122"/>
  <c r="CD36" i="122"/>
  <c r="CA36" i="122"/>
  <c r="BX36" i="122"/>
  <c r="BU36" i="122"/>
  <c r="BK36" i="122"/>
  <c r="BH36" i="122"/>
  <c r="BB36" i="122"/>
  <c r="AV36" i="122"/>
  <c r="AS36" i="122"/>
  <c r="AP36" i="122"/>
  <c r="AK36" i="122"/>
  <c r="AG36" i="122"/>
  <c r="AA36" i="122"/>
  <c r="X36" i="122"/>
  <c r="W36" i="122"/>
  <c r="S36" i="122"/>
  <c r="O36" i="122"/>
  <c r="RQ35" i="122"/>
  <c r="RF35" i="122"/>
  <c r="RE35" i="122"/>
  <c r="RD35" i="122"/>
  <c r="RC35" i="122"/>
  <c r="RB35" i="122"/>
  <c r="RA35" i="122"/>
  <c r="QY35" i="122"/>
  <c r="QX35" i="122"/>
  <c r="QW35" i="122"/>
  <c r="QV35" i="122"/>
  <c r="QU35" i="122"/>
  <c r="QT35" i="122"/>
  <c r="QO35" i="122"/>
  <c r="OZ35" i="122"/>
  <c r="MU35" i="122"/>
  <c r="MC35" i="122"/>
  <c r="LW35" i="122"/>
  <c r="LI35" i="122"/>
  <c r="LH35" i="122"/>
  <c r="LG35" i="122"/>
  <c r="FU35" i="122"/>
  <c r="FC35" i="122" s="1"/>
  <c r="FN35" i="122"/>
  <c r="FB35" i="122" s="1"/>
  <c r="EY35" i="122"/>
  <c r="ER35" i="122"/>
  <c r="DC35" i="122"/>
  <c r="DA35" i="122"/>
  <c r="CY35" i="122"/>
  <c r="CW35" i="122"/>
  <c r="CV35" i="122"/>
  <c r="CU35" i="122"/>
  <c r="CT35" i="122"/>
  <c r="CS35" i="122"/>
  <c r="CR35" i="122"/>
  <c r="CG35" i="122"/>
  <c r="CD35" i="122"/>
  <c r="CA35" i="122"/>
  <c r="BX35" i="122"/>
  <c r="BU35" i="122"/>
  <c r="BK35" i="122"/>
  <c r="BH35" i="122"/>
  <c r="BB35" i="122"/>
  <c r="AV35" i="122"/>
  <c r="AS35" i="122"/>
  <c r="AP35" i="122"/>
  <c r="AK35" i="122"/>
  <c r="AG35" i="122"/>
  <c r="AA35" i="122"/>
  <c r="X35" i="122"/>
  <c r="W35" i="122"/>
  <c r="S35" i="122"/>
  <c r="O35" i="122"/>
  <c r="RQ34" i="122"/>
  <c r="RF34" i="122"/>
  <c r="RE34" i="122"/>
  <c r="RD34" i="122"/>
  <c r="RC34" i="122"/>
  <c r="RB34" i="122"/>
  <c r="RA34" i="122"/>
  <c r="QY34" i="122"/>
  <c r="QX34" i="122"/>
  <c r="QW34" i="122"/>
  <c r="QV34" i="122"/>
  <c r="QU34" i="122"/>
  <c r="QT34" i="122"/>
  <c r="QO34" i="122"/>
  <c r="OZ34" i="122"/>
  <c r="MU34" i="122"/>
  <c r="MC34" i="122"/>
  <c r="LW34" i="122"/>
  <c r="LI34" i="122"/>
  <c r="LH34" i="122"/>
  <c r="LG34" i="122"/>
  <c r="FU34" i="122"/>
  <c r="FC34" i="122" s="1"/>
  <c r="FN34" i="122"/>
  <c r="FB34" i="122" s="1"/>
  <c r="EY34" i="122"/>
  <c r="ER34" i="122"/>
  <c r="DC34" i="122"/>
  <c r="DA34" i="122"/>
  <c r="CY34" i="122"/>
  <c r="CW34" i="122"/>
  <c r="CV34" i="122"/>
  <c r="CU34" i="122"/>
  <c r="CT34" i="122"/>
  <c r="CS34" i="122"/>
  <c r="CR34" i="122"/>
  <c r="CG34" i="122"/>
  <c r="CD34" i="122"/>
  <c r="CA34" i="122"/>
  <c r="BX34" i="122"/>
  <c r="BU34" i="122"/>
  <c r="BK34" i="122"/>
  <c r="BH34" i="122"/>
  <c r="BB34" i="122"/>
  <c r="AV34" i="122"/>
  <c r="AS34" i="122"/>
  <c r="AP34" i="122"/>
  <c r="AK34" i="122"/>
  <c r="AG34" i="122"/>
  <c r="AA34" i="122"/>
  <c r="X34" i="122"/>
  <c r="W34" i="122"/>
  <c r="S34" i="122"/>
  <c r="O34" i="122"/>
  <c r="RQ33" i="122"/>
  <c r="RF33" i="122"/>
  <c r="RE33" i="122"/>
  <c r="RD33" i="122"/>
  <c r="RC33" i="122"/>
  <c r="RB33" i="122"/>
  <c r="RA33" i="122"/>
  <c r="QY33" i="122"/>
  <c r="QX33" i="122"/>
  <c r="QW33" i="122"/>
  <c r="QV33" i="122"/>
  <c r="QU33" i="122"/>
  <c r="QT33" i="122"/>
  <c r="QO33" i="122"/>
  <c r="OZ33" i="122"/>
  <c r="MU33" i="122"/>
  <c r="MC33" i="122"/>
  <c r="LW33" i="122"/>
  <c r="LI33" i="122"/>
  <c r="LH33" i="122"/>
  <c r="LG33" i="122"/>
  <c r="FU33" i="122"/>
  <c r="FC33" i="122" s="1"/>
  <c r="FN33" i="122"/>
  <c r="FB33" i="122" s="1"/>
  <c r="EY33" i="122"/>
  <c r="ER33" i="122"/>
  <c r="DC33" i="122"/>
  <c r="DA33" i="122"/>
  <c r="CY33" i="122"/>
  <c r="CW33" i="122"/>
  <c r="CV33" i="122"/>
  <c r="CU33" i="122"/>
  <c r="CT33" i="122"/>
  <c r="CS33" i="122"/>
  <c r="CR33" i="122"/>
  <c r="CG33" i="122"/>
  <c r="CD33" i="122"/>
  <c r="CA33" i="122"/>
  <c r="BX33" i="122"/>
  <c r="BU33" i="122"/>
  <c r="BK33" i="122"/>
  <c r="BH33" i="122"/>
  <c r="BB33" i="122"/>
  <c r="AV33" i="122"/>
  <c r="AS33" i="122"/>
  <c r="AP33" i="122"/>
  <c r="AK33" i="122"/>
  <c r="AG33" i="122"/>
  <c r="AA33" i="122"/>
  <c r="X33" i="122"/>
  <c r="W33" i="122"/>
  <c r="S33" i="122"/>
  <c r="O33" i="122"/>
  <c r="RQ32" i="122"/>
  <c r="RF32" i="122"/>
  <c r="RE32" i="122"/>
  <c r="RD32" i="122"/>
  <c r="RC32" i="122"/>
  <c r="RB32" i="122"/>
  <c r="RA32" i="122"/>
  <c r="QY32" i="122"/>
  <c r="QX32" i="122"/>
  <c r="QW32" i="122"/>
  <c r="QV32" i="122"/>
  <c r="QU32" i="122"/>
  <c r="QT32" i="122"/>
  <c r="QO32" i="122"/>
  <c r="OZ32" i="122"/>
  <c r="MU32" i="122"/>
  <c r="MC32" i="122"/>
  <c r="LW32" i="122"/>
  <c r="LI32" i="122"/>
  <c r="LH32" i="122"/>
  <c r="LG32" i="122"/>
  <c r="FU32" i="122"/>
  <c r="FC32" i="122" s="1"/>
  <c r="FN32" i="122"/>
  <c r="FB32" i="122" s="1"/>
  <c r="EY32" i="122"/>
  <c r="ER32" i="122"/>
  <c r="DC32" i="122"/>
  <c r="DA32" i="122"/>
  <c r="CY32" i="122"/>
  <c r="CW32" i="122"/>
  <c r="CV32" i="122"/>
  <c r="CU32" i="122"/>
  <c r="CT32" i="122"/>
  <c r="CS32" i="122"/>
  <c r="CR32" i="122"/>
  <c r="CG32" i="122"/>
  <c r="CD32" i="122"/>
  <c r="CA32" i="122"/>
  <c r="BX32" i="122"/>
  <c r="BU32" i="122"/>
  <c r="BK32" i="122"/>
  <c r="BH32" i="122"/>
  <c r="BB32" i="122"/>
  <c r="AV32" i="122"/>
  <c r="AS32" i="122"/>
  <c r="AP32" i="122"/>
  <c r="AK32" i="122"/>
  <c r="AG32" i="122"/>
  <c r="AA32" i="122"/>
  <c r="X32" i="122"/>
  <c r="W32" i="122"/>
  <c r="S32" i="122"/>
  <c r="O32" i="122"/>
  <c r="RQ31" i="122"/>
  <c r="RF31" i="122"/>
  <c r="RE31" i="122"/>
  <c r="RD31" i="122"/>
  <c r="RC31" i="122"/>
  <c r="RB31" i="122"/>
  <c r="RA31" i="122"/>
  <c r="QY31" i="122"/>
  <c r="QX31" i="122"/>
  <c r="QW31" i="122"/>
  <c r="QV31" i="122"/>
  <c r="QU31" i="122"/>
  <c r="QT31" i="122"/>
  <c r="QO31" i="122"/>
  <c r="OZ31" i="122"/>
  <c r="NJ31" i="122"/>
  <c r="NJ32" i="122" s="1"/>
  <c r="NJ33" i="122" s="1"/>
  <c r="NJ34" i="122" s="1"/>
  <c r="NJ35" i="122" s="1"/>
  <c r="MU31" i="122"/>
  <c r="MC31" i="122"/>
  <c r="LW31" i="122"/>
  <c r="LI31" i="122"/>
  <c r="LH31" i="122"/>
  <c r="LG31" i="122"/>
  <c r="FU31" i="122"/>
  <c r="FC31" i="122" s="1"/>
  <c r="FN31" i="122"/>
  <c r="FB31" i="122" s="1"/>
  <c r="EY31" i="122"/>
  <c r="ER31" i="122"/>
  <c r="DC31" i="122"/>
  <c r="DA31" i="122"/>
  <c r="CY31" i="122"/>
  <c r="CW31" i="122"/>
  <c r="CV31" i="122"/>
  <c r="CU31" i="122"/>
  <c r="CT31" i="122"/>
  <c r="CS31" i="122"/>
  <c r="CR31" i="122"/>
  <c r="CG31" i="122"/>
  <c r="CD31" i="122"/>
  <c r="CA31" i="122"/>
  <c r="BU31" i="122"/>
  <c r="BK31" i="122"/>
  <c r="BH31" i="122"/>
  <c r="BB31" i="122"/>
  <c r="AV31" i="122"/>
  <c r="AS31" i="122"/>
  <c r="AP31" i="122"/>
  <c r="AK31" i="122"/>
  <c r="AG31" i="122"/>
  <c r="AA31" i="122"/>
  <c r="X31" i="122"/>
  <c r="W31" i="122"/>
  <c r="S31" i="122"/>
  <c r="O31" i="122"/>
  <c r="RQ30" i="122"/>
  <c r="RF30" i="122"/>
  <c r="RE30" i="122"/>
  <c r="RD30" i="122"/>
  <c r="RC30" i="122"/>
  <c r="RB30" i="122"/>
  <c r="RA30" i="122"/>
  <c r="QY30" i="122"/>
  <c r="QX30" i="122"/>
  <c r="QW30" i="122"/>
  <c r="QV30" i="122"/>
  <c r="QU30" i="122"/>
  <c r="QT30" i="122"/>
  <c r="QO30" i="122"/>
  <c r="OZ30" i="122"/>
  <c r="MU30" i="122"/>
  <c r="MC30" i="122"/>
  <c r="LW30" i="122"/>
  <c r="LI30" i="122"/>
  <c r="LH30" i="122"/>
  <c r="LG30" i="122"/>
  <c r="FU30" i="122"/>
  <c r="FC30" i="122" s="1"/>
  <c r="FN30" i="122"/>
  <c r="FB30" i="122" s="1"/>
  <c r="EY30" i="122"/>
  <c r="ER30" i="122"/>
  <c r="DC30" i="122"/>
  <c r="DA30" i="122"/>
  <c r="CY30" i="122"/>
  <c r="CW30" i="122"/>
  <c r="CV30" i="122"/>
  <c r="CU30" i="122"/>
  <c r="CT30" i="122"/>
  <c r="CS30" i="122"/>
  <c r="CR30" i="122"/>
  <c r="CG30" i="122"/>
  <c r="CD30" i="122"/>
  <c r="CA30" i="122"/>
  <c r="BX30" i="122"/>
  <c r="BU30" i="122"/>
  <c r="BK30" i="122"/>
  <c r="BH30" i="122"/>
  <c r="BB30" i="122"/>
  <c r="AV30" i="122"/>
  <c r="AS30" i="122"/>
  <c r="AP30" i="122"/>
  <c r="AK30" i="122"/>
  <c r="AG30" i="122"/>
  <c r="AA30" i="122"/>
  <c r="X30" i="122"/>
  <c r="W30" i="122"/>
  <c r="S30" i="122"/>
  <c r="O30" i="122"/>
  <c r="RQ29" i="122"/>
  <c r="RF29" i="122"/>
  <c r="RE29" i="122"/>
  <c r="RD29" i="122"/>
  <c r="RC29" i="122"/>
  <c r="RB29" i="122"/>
  <c r="RA29" i="122"/>
  <c r="QY29" i="122"/>
  <c r="QX29" i="122"/>
  <c r="QW29" i="122"/>
  <c r="QV29" i="122"/>
  <c r="QU29" i="122"/>
  <c r="QT29" i="122"/>
  <c r="QO29" i="122"/>
  <c r="OZ29" i="122"/>
  <c r="MU29" i="122"/>
  <c r="MC29" i="122"/>
  <c r="LW29" i="122"/>
  <c r="LI29" i="122"/>
  <c r="LH29" i="122"/>
  <c r="LG29" i="122"/>
  <c r="FU29" i="122"/>
  <c r="FC29" i="122" s="1"/>
  <c r="FN29" i="122"/>
  <c r="FB29" i="122" s="1"/>
  <c r="EY29" i="122"/>
  <c r="ER29" i="122"/>
  <c r="DC29" i="122"/>
  <c r="DA29" i="122"/>
  <c r="CY29" i="122"/>
  <c r="CW29" i="122"/>
  <c r="CV29" i="122"/>
  <c r="CU29" i="122"/>
  <c r="CT29" i="122"/>
  <c r="CS29" i="122"/>
  <c r="CR29" i="122"/>
  <c r="CG29" i="122"/>
  <c r="CD29" i="122"/>
  <c r="CA29" i="122"/>
  <c r="BX29" i="122"/>
  <c r="BU29" i="122"/>
  <c r="BK29" i="122"/>
  <c r="BH29" i="122"/>
  <c r="BB29" i="122"/>
  <c r="AV29" i="122"/>
  <c r="AS29" i="122"/>
  <c r="AP29" i="122"/>
  <c r="AK29" i="122"/>
  <c r="AG29" i="122"/>
  <c r="AA29" i="122"/>
  <c r="X29" i="122"/>
  <c r="W29" i="122"/>
  <c r="S29" i="122"/>
  <c r="O29" i="122"/>
  <c r="RQ28" i="122"/>
  <c r="RF28" i="122"/>
  <c r="RE28" i="122"/>
  <c r="RD28" i="122"/>
  <c r="RC28" i="122"/>
  <c r="RB28" i="122"/>
  <c r="RA28" i="122"/>
  <c r="QY28" i="122"/>
  <c r="QX28" i="122"/>
  <c r="QW28" i="122"/>
  <c r="QV28" i="122"/>
  <c r="QU28" i="122"/>
  <c r="QT28" i="122"/>
  <c r="QO28" i="122"/>
  <c r="OZ28" i="122"/>
  <c r="MU28" i="122"/>
  <c r="MC28" i="122"/>
  <c r="LW28" i="122"/>
  <c r="LI28" i="122"/>
  <c r="LH28" i="122"/>
  <c r="LG28" i="122"/>
  <c r="FU28" i="122"/>
  <c r="FC28" i="122" s="1"/>
  <c r="FN28" i="122"/>
  <c r="FB28" i="122" s="1"/>
  <c r="EY28" i="122"/>
  <c r="ER28" i="122"/>
  <c r="DC28" i="122"/>
  <c r="DA28" i="122"/>
  <c r="CY28" i="122"/>
  <c r="CW28" i="122"/>
  <c r="CV28" i="122"/>
  <c r="CU28" i="122"/>
  <c r="CT28" i="122"/>
  <c r="CS28" i="122"/>
  <c r="CR28" i="122"/>
  <c r="CG28" i="122"/>
  <c r="CD28" i="122"/>
  <c r="CA28" i="122"/>
  <c r="BX28" i="122"/>
  <c r="BU28" i="122"/>
  <c r="BK28" i="122"/>
  <c r="BH28" i="122"/>
  <c r="BB28" i="122"/>
  <c r="AV28" i="122"/>
  <c r="AS28" i="122"/>
  <c r="AP28" i="122"/>
  <c r="AK28" i="122"/>
  <c r="AG28" i="122"/>
  <c r="AA28" i="122"/>
  <c r="X28" i="122"/>
  <c r="W28" i="122"/>
  <c r="S28" i="122"/>
  <c r="O28" i="122"/>
  <c r="RQ27" i="122"/>
  <c r="RF27" i="122"/>
  <c r="RE27" i="122"/>
  <c r="RD27" i="122"/>
  <c r="RC27" i="122"/>
  <c r="RB27" i="122"/>
  <c r="RA27" i="122"/>
  <c r="QY27" i="122"/>
  <c r="QX27" i="122"/>
  <c r="QW27" i="122"/>
  <c r="QV27" i="122"/>
  <c r="QU27" i="122"/>
  <c r="QT27" i="122"/>
  <c r="QO27" i="122"/>
  <c r="OZ27" i="122"/>
  <c r="MU27" i="122"/>
  <c r="MC27" i="122"/>
  <c r="LW27" i="122"/>
  <c r="LI27" i="122"/>
  <c r="LH27" i="122"/>
  <c r="LG27" i="122"/>
  <c r="FU27" i="122"/>
  <c r="FC27" i="122" s="1"/>
  <c r="FN27" i="122"/>
  <c r="FB27" i="122" s="1"/>
  <c r="EY27" i="122"/>
  <c r="ER27" i="122"/>
  <c r="DC27" i="122"/>
  <c r="DA27" i="122"/>
  <c r="CY27" i="122"/>
  <c r="CW27" i="122"/>
  <c r="CV27" i="122"/>
  <c r="CU27" i="122"/>
  <c r="CT27" i="122"/>
  <c r="CS27" i="122"/>
  <c r="CR27" i="122"/>
  <c r="CG27" i="122"/>
  <c r="CD27" i="122"/>
  <c r="CA27" i="122"/>
  <c r="BX27" i="122"/>
  <c r="BU27" i="122"/>
  <c r="BK27" i="122"/>
  <c r="BH27" i="122"/>
  <c r="BB27" i="122"/>
  <c r="AV27" i="122"/>
  <c r="AS27" i="122"/>
  <c r="AP27" i="122"/>
  <c r="AK27" i="122"/>
  <c r="AG27" i="122"/>
  <c r="AA27" i="122"/>
  <c r="X27" i="122"/>
  <c r="W27" i="122"/>
  <c r="S27" i="122"/>
  <c r="O27" i="122"/>
  <c r="RQ26" i="122"/>
  <c r="RF26" i="122"/>
  <c r="RE26" i="122"/>
  <c r="RD26" i="122"/>
  <c r="RC26" i="122"/>
  <c r="RB26" i="122"/>
  <c r="RA26" i="122"/>
  <c r="QY26" i="122"/>
  <c r="QX26" i="122"/>
  <c r="QW26" i="122"/>
  <c r="QV26" i="122"/>
  <c r="QU26" i="122"/>
  <c r="QT26" i="122"/>
  <c r="QO26" i="122"/>
  <c r="OZ26" i="122"/>
  <c r="MU26" i="122"/>
  <c r="MC26" i="122"/>
  <c r="LW26" i="122"/>
  <c r="LI26" i="122"/>
  <c r="LH26" i="122"/>
  <c r="LG26" i="122"/>
  <c r="FU26" i="122"/>
  <c r="FC26" i="122" s="1"/>
  <c r="FN26" i="122"/>
  <c r="FB26" i="122" s="1"/>
  <c r="EY26" i="122"/>
  <c r="ER26" i="122"/>
  <c r="DC26" i="122"/>
  <c r="DA26" i="122"/>
  <c r="CY26" i="122"/>
  <c r="CW26" i="122"/>
  <c r="CV26" i="122"/>
  <c r="CU26" i="122"/>
  <c r="CT26" i="122"/>
  <c r="CS26" i="122"/>
  <c r="CR26" i="122"/>
  <c r="CG26" i="122"/>
  <c r="CD26" i="122"/>
  <c r="CA26" i="122"/>
  <c r="BX26" i="122"/>
  <c r="BU26" i="122"/>
  <c r="BK26" i="122"/>
  <c r="BH26" i="122"/>
  <c r="BB26" i="122"/>
  <c r="AV26" i="122"/>
  <c r="AS26" i="122"/>
  <c r="AP26" i="122"/>
  <c r="AK26" i="122"/>
  <c r="AG26" i="122"/>
  <c r="AA26" i="122"/>
  <c r="X26" i="122"/>
  <c r="W26" i="122"/>
  <c r="S26" i="122"/>
  <c r="O26" i="122"/>
  <c r="RQ25" i="122"/>
  <c r="RF25" i="122"/>
  <c r="RE25" i="122"/>
  <c r="RD25" i="122"/>
  <c r="RC25" i="122"/>
  <c r="RB25" i="122"/>
  <c r="RA25" i="122"/>
  <c r="QY25" i="122"/>
  <c r="QX25" i="122"/>
  <c r="QW25" i="122"/>
  <c r="QV25" i="122"/>
  <c r="QU25" i="122"/>
  <c r="QT25" i="122"/>
  <c r="QO25" i="122"/>
  <c r="OZ25" i="122"/>
  <c r="MU25" i="122"/>
  <c r="MC25" i="122"/>
  <c r="LW25" i="122"/>
  <c r="LI25" i="122"/>
  <c r="LH25" i="122"/>
  <c r="LG25" i="122"/>
  <c r="FU25" i="122"/>
  <c r="FC25" i="122" s="1"/>
  <c r="FN25" i="122"/>
  <c r="FB25" i="122" s="1"/>
  <c r="EY25" i="122"/>
  <c r="ER25" i="122"/>
  <c r="DC25" i="122"/>
  <c r="DA25" i="122"/>
  <c r="CY25" i="122"/>
  <c r="CW25" i="122"/>
  <c r="CV25" i="122"/>
  <c r="CU25" i="122"/>
  <c r="CT25" i="122"/>
  <c r="CS25" i="122"/>
  <c r="CR25" i="122"/>
  <c r="CG25" i="122"/>
  <c r="CD25" i="122"/>
  <c r="CA25" i="122"/>
  <c r="BU25" i="122"/>
  <c r="BK25" i="122"/>
  <c r="BH25" i="122"/>
  <c r="BB25" i="122"/>
  <c r="AV25" i="122"/>
  <c r="AS25" i="122"/>
  <c r="AP25" i="122"/>
  <c r="AK25" i="122"/>
  <c r="AG25" i="122"/>
  <c r="AA25" i="122"/>
  <c r="X25" i="122"/>
  <c r="W25" i="122"/>
  <c r="S25" i="122"/>
  <c r="O25" i="122"/>
  <c r="RQ24" i="122"/>
  <c r="RF24" i="122"/>
  <c r="RE24" i="122"/>
  <c r="RD24" i="122"/>
  <c r="RC24" i="122"/>
  <c r="RB24" i="122"/>
  <c r="RA24" i="122"/>
  <c r="QY24" i="122"/>
  <c r="QX24" i="122"/>
  <c r="QW24" i="122"/>
  <c r="QV24" i="122"/>
  <c r="QU24" i="122"/>
  <c r="QT24" i="122"/>
  <c r="QO24" i="122"/>
  <c r="OZ24" i="122"/>
  <c r="OI24" i="122"/>
  <c r="OI25" i="122" s="1"/>
  <c r="OI26" i="122" s="1"/>
  <c r="OI27" i="122" s="1"/>
  <c r="OI28" i="122" s="1"/>
  <c r="OI29" i="122" s="1"/>
  <c r="OI30" i="122" s="1"/>
  <c r="OI31" i="122" s="1"/>
  <c r="OI32" i="122" s="1"/>
  <c r="OI33" i="122" s="1"/>
  <c r="OI34" i="122" s="1"/>
  <c r="OI35" i="122" s="1"/>
  <c r="OI36" i="122" s="1"/>
  <c r="OI37" i="122" s="1"/>
  <c r="OI38" i="122" s="1"/>
  <c r="OI39" i="122" s="1"/>
  <c r="OI40" i="122" s="1"/>
  <c r="OI41" i="122" s="1"/>
  <c r="OI42" i="122" s="1"/>
  <c r="OI44" i="122" s="1"/>
  <c r="MU24" i="122"/>
  <c r="MC24" i="122"/>
  <c r="LW24" i="122"/>
  <c r="LI24" i="122"/>
  <c r="LH24" i="122"/>
  <c r="FU24" i="122"/>
  <c r="FN24" i="122"/>
  <c r="FB24" i="122" s="1"/>
  <c r="FC24" i="122"/>
  <c r="EY24" i="122"/>
  <c r="ER24" i="122"/>
  <c r="DC24" i="122"/>
  <c r="DA24" i="122"/>
  <c r="CY24" i="122"/>
  <c r="CW24" i="122"/>
  <c r="CV24" i="122"/>
  <c r="CU24" i="122"/>
  <c r="CT24" i="122"/>
  <c r="CS24" i="122"/>
  <c r="CR24" i="122"/>
  <c r="CG24" i="122"/>
  <c r="CD24" i="122"/>
  <c r="CA24" i="122"/>
  <c r="BX24" i="122"/>
  <c r="BU24" i="122"/>
  <c r="BK24" i="122"/>
  <c r="BH24" i="122"/>
  <c r="BB24" i="122"/>
  <c r="AV24" i="122"/>
  <c r="AS24" i="122"/>
  <c r="AP24" i="122"/>
  <c r="AK24" i="122"/>
  <c r="AG24" i="122"/>
  <c r="AA24" i="122"/>
  <c r="X24" i="122"/>
  <c r="W24" i="122"/>
  <c r="S24" i="122"/>
  <c r="O24" i="122"/>
  <c r="RQ23" i="122"/>
  <c r="RF23" i="122"/>
  <c r="RE23" i="122"/>
  <c r="RD23" i="122"/>
  <c r="RC23" i="122"/>
  <c r="RB23" i="122"/>
  <c r="RA23" i="122"/>
  <c r="QY23" i="122"/>
  <c r="QX23" i="122"/>
  <c r="QW23" i="122"/>
  <c r="QV23" i="122"/>
  <c r="QU23" i="122"/>
  <c r="QT23" i="122"/>
  <c r="QO23" i="122"/>
  <c r="OZ23" i="122"/>
  <c r="MU23" i="122"/>
  <c r="MC23" i="122"/>
  <c r="LW23" i="122"/>
  <c r="LI23" i="122"/>
  <c r="LH23" i="122"/>
  <c r="LG23" i="122"/>
  <c r="FU23" i="122"/>
  <c r="FC23" i="122" s="1"/>
  <c r="FN23" i="122"/>
  <c r="FB23" i="122" s="1"/>
  <c r="EY23" i="122"/>
  <c r="ER23" i="122"/>
  <c r="DC23" i="122"/>
  <c r="DA23" i="122"/>
  <c r="CY23" i="122"/>
  <c r="CW23" i="122"/>
  <c r="CV23" i="122"/>
  <c r="CU23" i="122"/>
  <c r="CT23" i="122"/>
  <c r="CS23" i="122"/>
  <c r="CR23" i="122"/>
  <c r="CG23" i="122"/>
  <c r="CD23" i="122"/>
  <c r="CA23" i="122"/>
  <c r="BX23" i="122"/>
  <c r="BU23" i="122"/>
  <c r="BK23" i="122"/>
  <c r="BH23" i="122"/>
  <c r="BB23" i="122"/>
  <c r="AV23" i="122"/>
  <c r="AS23" i="122"/>
  <c r="AP23" i="122"/>
  <c r="AK23" i="122"/>
  <c r="AG23" i="122"/>
  <c r="AA23" i="122"/>
  <c r="X23" i="122"/>
  <c r="W23" i="122"/>
  <c r="S23" i="122"/>
  <c r="O23" i="122"/>
  <c r="RQ22" i="122"/>
  <c r="RF22" i="122"/>
  <c r="RE22" i="122"/>
  <c r="RD22" i="122"/>
  <c r="RC22" i="122"/>
  <c r="RB22" i="122"/>
  <c r="RA22" i="122"/>
  <c r="QY22" i="122"/>
  <c r="QX22" i="122"/>
  <c r="QW22" i="122"/>
  <c r="QV22" i="122"/>
  <c r="QU22" i="122"/>
  <c r="QT22" i="122"/>
  <c r="QO22" i="122"/>
  <c r="OZ22" i="122"/>
  <c r="MU22" i="122"/>
  <c r="MC22" i="122"/>
  <c r="LW22" i="122"/>
  <c r="LI22" i="122"/>
  <c r="LH22" i="122"/>
  <c r="LG22" i="122"/>
  <c r="FU22" i="122"/>
  <c r="FC22" i="122" s="1"/>
  <c r="FN22" i="122"/>
  <c r="FB22" i="122" s="1"/>
  <c r="EY22" i="122"/>
  <c r="ER22" i="122"/>
  <c r="DC22" i="122"/>
  <c r="DA22" i="122"/>
  <c r="CY22" i="122"/>
  <c r="CW22" i="122"/>
  <c r="CV22" i="122"/>
  <c r="CU22" i="122"/>
  <c r="CT22" i="122"/>
  <c r="CS22" i="122"/>
  <c r="CR22" i="122"/>
  <c r="CG22" i="122"/>
  <c r="CD22" i="122"/>
  <c r="CA22" i="122"/>
  <c r="BX22" i="122"/>
  <c r="BU22" i="122"/>
  <c r="BK22" i="122"/>
  <c r="BH22" i="122"/>
  <c r="BB22" i="122"/>
  <c r="AV22" i="122"/>
  <c r="AS22" i="122"/>
  <c r="AP22" i="122"/>
  <c r="AK22" i="122"/>
  <c r="AG22" i="122"/>
  <c r="AA22" i="122"/>
  <c r="X22" i="122"/>
  <c r="W22" i="122"/>
  <c r="S22" i="122"/>
  <c r="O22" i="122"/>
  <c r="RQ21" i="122"/>
  <c r="RF21" i="122"/>
  <c r="RE21" i="122"/>
  <c r="RD21" i="122"/>
  <c r="RC21" i="122"/>
  <c r="RB21" i="122"/>
  <c r="RA21" i="122"/>
  <c r="QY21" i="122"/>
  <c r="QX21" i="122"/>
  <c r="QW21" i="122"/>
  <c r="QV21" i="122"/>
  <c r="QU21" i="122"/>
  <c r="QT21" i="122"/>
  <c r="QO21" i="122"/>
  <c r="OZ21" i="122"/>
  <c r="OI21" i="122"/>
  <c r="MU21" i="122"/>
  <c r="MC21" i="122"/>
  <c r="LW21" i="122"/>
  <c r="LI21" i="122"/>
  <c r="LH21" i="122"/>
  <c r="LG21" i="122"/>
  <c r="FU21" i="122"/>
  <c r="FC21" i="122" s="1"/>
  <c r="FN21" i="122"/>
  <c r="FB21" i="122" s="1"/>
  <c r="EY21" i="122"/>
  <c r="ER21" i="122"/>
  <c r="DC21" i="122"/>
  <c r="DA21" i="122"/>
  <c r="CY21" i="122"/>
  <c r="CW21" i="122"/>
  <c r="CV21" i="122"/>
  <c r="CU21" i="122"/>
  <c r="CT21" i="122"/>
  <c r="CS21" i="122"/>
  <c r="CR21" i="122"/>
  <c r="CG21" i="122"/>
  <c r="CD21" i="122"/>
  <c r="CA21" i="122"/>
  <c r="BX21" i="122"/>
  <c r="BU21" i="122"/>
  <c r="BK21" i="122"/>
  <c r="BH21" i="122"/>
  <c r="BB21" i="122"/>
  <c r="AV21" i="122"/>
  <c r="AS21" i="122"/>
  <c r="AP21" i="122"/>
  <c r="AK21" i="122"/>
  <c r="AG21" i="122"/>
  <c r="AA21" i="122"/>
  <c r="X21" i="122"/>
  <c r="W21" i="122"/>
  <c r="S21" i="122"/>
  <c r="O21" i="122"/>
  <c r="RQ20" i="122"/>
  <c r="RF20" i="122"/>
  <c r="RE20" i="122"/>
  <c r="RD20" i="122"/>
  <c r="RC20" i="122"/>
  <c r="RB20" i="122"/>
  <c r="RA20" i="122"/>
  <c r="QY20" i="122"/>
  <c r="QX20" i="122"/>
  <c r="QW20" i="122"/>
  <c r="QV20" i="122"/>
  <c r="QU20" i="122"/>
  <c r="QT20" i="122"/>
  <c r="QO20" i="122"/>
  <c r="OZ20" i="122"/>
  <c r="MU20" i="122"/>
  <c r="MC20" i="122"/>
  <c r="LW20" i="122"/>
  <c r="LI20" i="122"/>
  <c r="LH20" i="122"/>
  <c r="LG20" i="122"/>
  <c r="FU20" i="122"/>
  <c r="FC20" i="122" s="1"/>
  <c r="FN20" i="122"/>
  <c r="FB20" i="122" s="1"/>
  <c r="EY20" i="122"/>
  <c r="ER20" i="122"/>
  <c r="DC20" i="122"/>
  <c r="DA20" i="122"/>
  <c r="CY20" i="122"/>
  <c r="CW20" i="122"/>
  <c r="CV20" i="122"/>
  <c r="CU20" i="122"/>
  <c r="CT20" i="122"/>
  <c r="CS20" i="122"/>
  <c r="CR20" i="122"/>
  <c r="CG20" i="122"/>
  <c r="CD20" i="122"/>
  <c r="CA20" i="122"/>
  <c r="BX20" i="122"/>
  <c r="BU20" i="122"/>
  <c r="BK20" i="122"/>
  <c r="BH20" i="122"/>
  <c r="BB20" i="122"/>
  <c r="AV20" i="122"/>
  <c r="AS20" i="122"/>
  <c r="AP20" i="122"/>
  <c r="AK20" i="122"/>
  <c r="AG20" i="122"/>
  <c r="AA20" i="122"/>
  <c r="X20" i="122"/>
  <c r="W20" i="122"/>
  <c r="S20" i="122"/>
  <c r="O20" i="122"/>
  <c r="RQ19" i="122"/>
  <c r="RF19" i="122"/>
  <c r="RE19" i="122"/>
  <c r="RD19" i="122"/>
  <c r="RC19" i="122"/>
  <c r="RB19" i="122"/>
  <c r="RA19" i="122"/>
  <c r="QY19" i="122"/>
  <c r="QX19" i="122"/>
  <c r="QW19" i="122"/>
  <c r="QV19" i="122"/>
  <c r="QU19" i="122"/>
  <c r="QT19" i="122"/>
  <c r="QO19" i="122"/>
  <c r="OZ19" i="122"/>
  <c r="MU19" i="122"/>
  <c r="MC19" i="122"/>
  <c r="LW19" i="122"/>
  <c r="LI19" i="122"/>
  <c r="LH19" i="122"/>
  <c r="LG19" i="122"/>
  <c r="FU19" i="122"/>
  <c r="FC19" i="122" s="1"/>
  <c r="FN19" i="122"/>
  <c r="FB19" i="122" s="1"/>
  <c r="EY19" i="122"/>
  <c r="ER19" i="122"/>
  <c r="DC19" i="122"/>
  <c r="DA19" i="122"/>
  <c r="CY19" i="122"/>
  <c r="CW19" i="122"/>
  <c r="CV19" i="122"/>
  <c r="CU19" i="122"/>
  <c r="CT19" i="122"/>
  <c r="CS19" i="122"/>
  <c r="CR19" i="122"/>
  <c r="CG19" i="122"/>
  <c r="CD19" i="122"/>
  <c r="CA19" i="122"/>
  <c r="BX19" i="122"/>
  <c r="BU19" i="122"/>
  <c r="BK19" i="122"/>
  <c r="BH19" i="122"/>
  <c r="BB19" i="122"/>
  <c r="AV19" i="122"/>
  <c r="AS19" i="122"/>
  <c r="AP19" i="122"/>
  <c r="AK19" i="122"/>
  <c r="AG19" i="122"/>
  <c r="AA19" i="122"/>
  <c r="X19" i="122"/>
  <c r="W19" i="122"/>
  <c r="S19" i="122"/>
  <c r="O19" i="122"/>
  <c r="RQ18" i="122"/>
  <c r="RM18" i="122"/>
  <c r="RF18" i="122"/>
  <c r="RE18" i="122"/>
  <c r="RD18" i="122"/>
  <c r="RC18" i="122"/>
  <c r="RB18" i="122"/>
  <c r="RA18" i="122"/>
  <c r="QY18" i="122"/>
  <c r="QX18" i="122"/>
  <c r="QW18" i="122"/>
  <c r="QV18" i="122"/>
  <c r="QU18" i="122"/>
  <c r="QT18" i="122"/>
  <c r="QO18" i="122"/>
  <c r="OZ18" i="122"/>
  <c r="MU18" i="122"/>
  <c r="MC18" i="122"/>
  <c r="LW18" i="122"/>
  <c r="LI18" i="122"/>
  <c r="LH18" i="122"/>
  <c r="LG18" i="122"/>
  <c r="FU18" i="122"/>
  <c r="FC18" i="122" s="1"/>
  <c r="FN18" i="122"/>
  <c r="FB18" i="122" s="1"/>
  <c r="EY18" i="122"/>
  <c r="ER18" i="122"/>
  <c r="DC18" i="122"/>
  <c r="DA18" i="122"/>
  <c r="CY18" i="122"/>
  <c r="CW18" i="122"/>
  <c r="CV18" i="122"/>
  <c r="CU18" i="122"/>
  <c r="CT18" i="122"/>
  <c r="CS18" i="122"/>
  <c r="CR18" i="122"/>
  <c r="CG18" i="122"/>
  <c r="CD18" i="122"/>
  <c r="CA18" i="122"/>
  <c r="BX18" i="122"/>
  <c r="BU18" i="122"/>
  <c r="BK18" i="122"/>
  <c r="BH18" i="122"/>
  <c r="BB18" i="122"/>
  <c r="AV18" i="122"/>
  <c r="AS18" i="122"/>
  <c r="AP18" i="122"/>
  <c r="AK18" i="122"/>
  <c r="AG18" i="122"/>
  <c r="AA18" i="122"/>
  <c r="X18" i="122"/>
  <c r="W18" i="122"/>
  <c r="S18" i="122"/>
  <c r="O18" i="122"/>
  <c r="RQ17" i="122"/>
  <c r="RF17" i="122"/>
  <c r="RE17" i="122"/>
  <c r="RD17" i="122"/>
  <c r="RC17" i="122"/>
  <c r="RB17" i="122"/>
  <c r="RA17" i="122"/>
  <c r="QY17" i="122"/>
  <c r="QX17" i="122"/>
  <c r="QW17" i="122"/>
  <c r="QV17" i="122"/>
  <c r="QU17" i="122"/>
  <c r="QT17" i="122"/>
  <c r="QO17" i="122"/>
  <c r="OZ17" i="122"/>
  <c r="MU17" i="122"/>
  <c r="MC17" i="122"/>
  <c r="LW17" i="122"/>
  <c r="LI17" i="122"/>
  <c r="LH17" i="122"/>
  <c r="LG17" i="122"/>
  <c r="FU17" i="122"/>
  <c r="FC17" i="122" s="1"/>
  <c r="FN17" i="122"/>
  <c r="FB17" i="122"/>
  <c r="EY17" i="122"/>
  <c r="ER17" i="122"/>
  <c r="DC17" i="122"/>
  <c r="DA17" i="122"/>
  <c r="CY17" i="122"/>
  <c r="CW17" i="122"/>
  <c r="CV17" i="122"/>
  <c r="CU17" i="122"/>
  <c r="CT17" i="122"/>
  <c r="CS17" i="122"/>
  <c r="CR17" i="122"/>
  <c r="CG17" i="122"/>
  <c r="CD17" i="122"/>
  <c r="CA17" i="122"/>
  <c r="BX17" i="122"/>
  <c r="BU17" i="122"/>
  <c r="BK17" i="122"/>
  <c r="BH17" i="122"/>
  <c r="BB17" i="122"/>
  <c r="AV17" i="122"/>
  <c r="AS17" i="122"/>
  <c r="AP17" i="122"/>
  <c r="AK17" i="122"/>
  <c r="AG17" i="122"/>
  <c r="AA17" i="122"/>
  <c r="X17" i="122"/>
  <c r="W17" i="122"/>
  <c r="S17" i="122"/>
  <c r="O17" i="122"/>
  <c r="RQ16" i="122"/>
  <c r="RF16" i="122"/>
  <c r="RE16" i="122"/>
  <c r="RD16" i="122"/>
  <c r="RC16" i="122"/>
  <c r="RB16" i="122"/>
  <c r="RA16" i="122"/>
  <c r="QY16" i="122"/>
  <c r="QX16" i="122"/>
  <c r="QW16" i="122"/>
  <c r="QV16" i="122"/>
  <c r="QU16" i="122"/>
  <c r="QT16" i="122"/>
  <c r="QO16" i="122"/>
  <c r="OZ16" i="122"/>
  <c r="MU16" i="122"/>
  <c r="MC16" i="122"/>
  <c r="LW16" i="122"/>
  <c r="LI16" i="122"/>
  <c r="LH16" i="122"/>
  <c r="LG16" i="122"/>
  <c r="FU16" i="122"/>
  <c r="FC16" i="122" s="1"/>
  <c r="FN16" i="122"/>
  <c r="FB16" i="122" s="1"/>
  <c r="EY16" i="122"/>
  <c r="ER16" i="122"/>
  <c r="DC16" i="122"/>
  <c r="DA16" i="122"/>
  <c r="CY16" i="122"/>
  <c r="CW16" i="122"/>
  <c r="CV16" i="122"/>
  <c r="CU16" i="122"/>
  <c r="CT16" i="122"/>
  <c r="CS16" i="122"/>
  <c r="CR16" i="122"/>
  <c r="CG16" i="122"/>
  <c r="CD16" i="122"/>
  <c r="CA16" i="122"/>
  <c r="BX16" i="122"/>
  <c r="BU16" i="122"/>
  <c r="BK16" i="122"/>
  <c r="BH16" i="122"/>
  <c r="BB16" i="122"/>
  <c r="AV16" i="122"/>
  <c r="AS16" i="122"/>
  <c r="AP16" i="122"/>
  <c r="AK16" i="122"/>
  <c r="AG16" i="122"/>
  <c r="AA16" i="122"/>
  <c r="X16" i="122"/>
  <c r="W16" i="122"/>
  <c r="S16" i="122"/>
  <c r="O16" i="122"/>
  <c r="RQ15" i="122"/>
  <c r="RF15" i="122"/>
  <c r="RE15" i="122"/>
  <c r="RD15" i="122"/>
  <c r="RC15" i="122"/>
  <c r="RB15" i="122"/>
  <c r="RA15" i="122"/>
  <c r="QY15" i="122"/>
  <c r="QX15" i="122"/>
  <c r="QW15" i="122"/>
  <c r="QV15" i="122"/>
  <c r="QU15" i="122"/>
  <c r="QT15" i="122"/>
  <c r="QO15" i="122"/>
  <c r="OZ15" i="122"/>
  <c r="MU15" i="122"/>
  <c r="MC15" i="122"/>
  <c r="LW15" i="122"/>
  <c r="LI15" i="122"/>
  <c r="LH15" i="122"/>
  <c r="LG15" i="122"/>
  <c r="FU15" i="122"/>
  <c r="FC15" i="122" s="1"/>
  <c r="FN15" i="122"/>
  <c r="FB15" i="122" s="1"/>
  <c r="EY15" i="122"/>
  <c r="ER15" i="122"/>
  <c r="DC15" i="122"/>
  <c r="DA15" i="122"/>
  <c r="CY15" i="122"/>
  <c r="CW15" i="122"/>
  <c r="CV15" i="122"/>
  <c r="CU15" i="122"/>
  <c r="CT15" i="122"/>
  <c r="CS15" i="122"/>
  <c r="CR15" i="122"/>
  <c r="CG15" i="122"/>
  <c r="CD15" i="122"/>
  <c r="CA15" i="122"/>
  <c r="BX15" i="122"/>
  <c r="BU15" i="122"/>
  <c r="BK15" i="122"/>
  <c r="BH15" i="122"/>
  <c r="BB15" i="122"/>
  <c r="AV15" i="122"/>
  <c r="AS15" i="122"/>
  <c r="AP15" i="122"/>
  <c r="AK15" i="122"/>
  <c r="AG15" i="122"/>
  <c r="AA15" i="122"/>
  <c r="X15" i="122"/>
  <c r="W15" i="122"/>
  <c r="S15" i="122"/>
  <c r="O15" i="122"/>
  <c r="RQ14" i="122"/>
  <c r="RF14" i="122"/>
  <c r="RE14" i="122"/>
  <c r="RD14" i="122"/>
  <c r="RC14" i="122"/>
  <c r="RB14" i="122"/>
  <c r="RA14" i="122"/>
  <c r="QY14" i="122"/>
  <c r="QX14" i="122"/>
  <c r="QW14" i="122"/>
  <c r="QV14" i="122"/>
  <c r="QU14" i="122"/>
  <c r="QT14" i="122"/>
  <c r="QO14" i="122"/>
  <c r="OZ14" i="122"/>
  <c r="MU14" i="122"/>
  <c r="MC14" i="122"/>
  <c r="LW14" i="122"/>
  <c r="LI14" i="122"/>
  <c r="LH14" i="122"/>
  <c r="LG14" i="122"/>
  <c r="FU14" i="122"/>
  <c r="FC14" i="122" s="1"/>
  <c r="FN14" i="122"/>
  <c r="FB14" i="122" s="1"/>
  <c r="EY14" i="122"/>
  <c r="ER14" i="122"/>
  <c r="DC14" i="122"/>
  <c r="DA14" i="122"/>
  <c r="CY14" i="122"/>
  <c r="CW14" i="122"/>
  <c r="CV14" i="122"/>
  <c r="CU14" i="122"/>
  <c r="CT14" i="122"/>
  <c r="CS14" i="122"/>
  <c r="CR14" i="122"/>
  <c r="CG14" i="122"/>
  <c r="CD14" i="122"/>
  <c r="CA14" i="122"/>
  <c r="BX14" i="122"/>
  <c r="BU14" i="122"/>
  <c r="BK14" i="122"/>
  <c r="BH14" i="122"/>
  <c r="BB14" i="122"/>
  <c r="AV14" i="122"/>
  <c r="AS14" i="122"/>
  <c r="AP14" i="122"/>
  <c r="AK14" i="122"/>
  <c r="AG14" i="122"/>
  <c r="AA14" i="122"/>
  <c r="X14" i="122"/>
  <c r="W14" i="122"/>
  <c r="S14" i="122"/>
  <c r="O14" i="122"/>
  <c r="RQ13" i="122"/>
  <c r="RF13" i="122"/>
  <c r="RE13" i="122"/>
  <c r="RD13" i="122"/>
  <c r="RC13" i="122"/>
  <c r="RB13" i="122"/>
  <c r="RA13" i="122"/>
  <c r="QY13" i="122"/>
  <c r="QX13" i="122"/>
  <c r="QW13" i="122"/>
  <c r="QV13" i="122"/>
  <c r="QU13" i="122"/>
  <c r="QT13" i="122"/>
  <c r="QO13" i="122"/>
  <c r="OZ13" i="122"/>
  <c r="MU13" i="122"/>
  <c r="MC13" i="122"/>
  <c r="LW13" i="122"/>
  <c r="LI13" i="122"/>
  <c r="LH13" i="122"/>
  <c r="LG13" i="122"/>
  <c r="FU13" i="122"/>
  <c r="FC13" i="122" s="1"/>
  <c r="FN13" i="122"/>
  <c r="FB13" i="122" s="1"/>
  <c r="EY13" i="122"/>
  <c r="DC13" i="122"/>
  <c r="DA13" i="122"/>
  <c r="CY13" i="122"/>
  <c r="CW13" i="122"/>
  <c r="CV13" i="122"/>
  <c r="CU13" i="122"/>
  <c r="CT13" i="122"/>
  <c r="CS13" i="122"/>
  <c r="CR13" i="122"/>
  <c r="CG13" i="122"/>
  <c r="CD13" i="122"/>
  <c r="CA13" i="122"/>
  <c r="BX13" i="122"/>
  <c r="BU13" i="122"/>
  <c r="BK13" i="122"/>
  <c r="BH13" i="122"/>
  <c r="BB13" i="122"/>
  <c r="AV13" i="122"/>
  <c r="AS13" i="122"/>
  <c r="AP13" i="122"/>
  <c r="AK13" i="122"/>
  <c r="AG13" i="122"/>
  <c r="AA13" i="122"/>
  <c r="X13" i="122"/>
  <c r="W13" i="122"/>
  <c r="S13" i="122"/>
  <c r="O13" i="122"/>
  <c r="RQ12" i="122"/>
  <c r="RF12" i="122"/>
  <c r="RE12" i="122"/>
  <c r="RD12" i="122"/>
  <c r="RC12" i="122"/>
  <c r="RB12" i="122"/>
  <c r="RA12" i="122"/>
  <c r="QY12" i="122"/>
  <c r="QX12" i="122"/>
  <c r="QW12" i="122"/>
  <c r="QV12" i="122"/>
  <c r="QU12" i="122"/>
  <c r="QT12" i="122"/>
  <c r="QO12" i="122"/>
  <c r="OZ12" i="122"/>
  <c r="MU12" i="122"/>
  <c r="MC12" i="122"/>
  <c r="LW12" i="122"/>
  <c r="LI12" i="122"/>
  <c r="LH12" i="122"/>
  <c r="LG12" i="122"/>
  <c r="FU12" i="122"/>
  <c r="FC12" i="122" s="1"/>
  <c r="FN12" i="122"/>
  <c r="FB12" i="122" s="1"/>
  <c r="EY12" i="122"/>
  <c r="ER12" i="122"/>
  <c r="DC12" i="122"/>
  <c r="DA12" i="122"/>
  <c r="CY12" i="122"/>
  <c r="CW12" i="122"/>
  <c r="CV12" i="122"/>
  <c r="CU12" i="122"/>
  <c r="CT12" i="122"/>
  <c r="CS12" i="122"/>
  <c r="CR12" i="122"/>
  <c r="CG12" i="122"/>
  <c r="CD12" i="122"/>
  <c r="CA12" i="122"/>
  <c r="BX12" i="122"/>
  <c r="BU12" i="122"/>
  <c r="BK12" i="122"/>
  <c r="BH12" i="122"/>
  <c r="BB12" i="122"/>
  <c r="AV12" i="122"/>
  <c r="AS12" i="122"/>
  <c r="AP12" i="122"/>
  <c r="AK12" i="122"/>
  <c r="AG12" i="122"/>
  <c r="AA12" i="122"/>
  <c r="X12" i="122"/>
  <c r="W12" i="122"/>
  <c r="S12" i="122"/>
  <c r="O12" i="122"/>
  <c r="RQ11" i="122"/>
  <c r="RF11" i="122"/>
  <c r="RE11" i="122"/>
  <c r="RD11" i="122"/>
  <c r="RC11" i="122"/>
  <c r="RB11" i="122"/>
  <c r="RA11" i="122"/>
  <c r="QY11" i="122"/>
  <c r="QX11" i="122"/>
  <c r="QW11" i="122"/>
  <c r="QV11" i="122"/>
  <c r="QU11" i="122"/>
  <c r="QT11" i="122"/>
  <c r="QO11" i="122"/>
  <c r="OZ11" i="122"/>
  <c r="MU11" i="122"/>
  <c r="MC11" i="122"/>
  <c r="LW11" i="122"/>
  <c r="LI11" i="122"/>
  <c r="LH11" i="122"/>
  <c r="LG11" i="122"/>
  <c r="FU11" i="122"/>
  <c r="FC11" i="122" s="1"/>
  <c r="FN11" i="122"/>
  <c r="FB11" i="122" s="1"/>
  <c r="EY11" i="122"/>
  <c r="ER11" i="122"/>
  <c r="DC11" i="122"/>
  <c r="DA11" i="122"/>
  <c r="CY11" i="122"/>
  <c r="CW11" i="122"/>
  <c r="CV11" i="122"/>
  <c r="CU11" i="122"/>
  <c r="CT11" i="122"/>
  <c r="CS11" i="122"/>
  <c r="CR11" i="122"/>
  <c r="CG11" i="122"/>
  <c r="CD11" i="122"/>
  <c r="CA11" i="122"/>
  <c r="BX11" i="122"/>
  <c r="BU11" i="122"/>
  <c r="BK11" i="122"/>
  <c r="BH11" i="122"/>
  <c r="BB11" i="122"/>
  <c r="AV11" i="122"/>
  <c r="AS11" i="122"/>
  <c r="AP11" i="122"/>
  <c r="AK11" i="122"/>
  <c r="AG11" i="122"/>
  <c r="AA11" i="122"/>
  <c r="X11" i="122"/>
  <c r="W11" i="122"/>
  <c r="S11" i="122"/>
  <c r="O11" i="122"/>
  <c r="RQ10" i="122"/>
  <c r="RF10" i="122"/>
  <c r="RE10" i="122"/>
  <c r="RD10" i="122"/>
  <c r="RC10" i="122"/>
  <c r="RB10" i="122"/>
  <c r="RA10" i="122"/>
  <c r="QY10" i="122"/>
  <c r="QX10" i="122"/>
  <c r="QW10" i="122"/>
  <c r="QV10" i="122"/>
  <c r="QU10" i="122"/>
  <c r="QT10" i="122"/>
  <c r="QO10" i="122"/>
  <c r="QJ10" i="122"/>
  <c r="QJ11" i="122" s="1"/>
  <c r="QJ12" i="122" s="1"/>
  <c r="QJ13" i="122" s="1"/>
  <c r="QJ14" i="122" s="1"/>
  <c r="QJ15" i="122" s="1"/>
  <c r="QJ16" i="122" s="1"/>
  <c r="QJ17" i="122" s="1"/>
  <c r="QJ18" i="122" s="1"/>
  <c r="QJ19" i="122" s="1"/>
  <c r="QJ20" i="122" s="1"/>
  <c r="QJ21" i="122" s="1"/>
  <c r="QJ22" i="122" s="1"/>
  <c r="QJ23" i="122" s="1"/>
  <c r="QJ24" i="122" s="1"/>
  <c r="QJ25" i="122" s="1"/>
  <c r="QJ26" i="122" s="1"/>
  <c r="QJ27" i="122" s="1"/>
  <c r="QJ28" i="122" s="1"/>
  <c r="QJ29" i="122" s="1"/>
  <c r="QJ30" i="122" s="1"/>
  <c r="QJ31" i="122" s="1"/>
  <c r="QJ32" i="122" s="1"/>
  <c r="QJ33" i="122" s="1"/>
  <c r="QJ34" i="122" s="1"/>
  <c r="QJ35" i="122" s="1"/>
  <c r="QJ36" i="122" s="1"/>
  <c r="QJ37" i="122" s="1"/>
  <c r="QJ38" i="122" s="1"/>
  <c r="QJ39" i="122" s="1"/>
  <c r="QJ40" i="122" s="1"/>
  <c r="QJ41" i="122" s="1"/>
  <c r="QJ42" i="122" s="1"/>
  <c r="PF10" i="122"/>
  <c r="PD10" i="122"/>
  <c r="PD11" i="122" s="1"/>
  <c r="PD12" i="122" s="1"/>
  <c r="PD13" i="122" s="1"/>
  <c r="PD14" i="122" s="1"/>
  <c r="PD15" i="122" s="1"/>
  <c r="PD16" i="122" s="1"/>
  <c r="PD17" i="122" s="1"/>
  <c r="PD18" i="122" s="1"/>
  <c r="PD19" i="122" s="1"/>
  <c r="PD20" i="122" s="1"/>
  <c r="PD21" i="122" s="1"/>
  <c r="PD22" i="122" s="1"/>
  <c r="PD23" i="122" s="1"/>
  <c r="PD24" i="122" s="1"/>
  <c r="PD25" i="122" s="1"/>
  <c r="PD26" i="122" s="1"/>
  <c r="PD27" i="122" s="1"/>
  <c r="PD28" i="122" s="1"/>
  <c r="PD29" i="122" s="1"/>
  <c r="PD30" i="122" s="1"/>
  <c r="PD31" i="122" s="1"/>
  <c r="PD32" i="122" s="1"/>
  <c r="PD33" i="122" s="1"/>
  <c r="PD34" i="122" s="1"/>
  <c r="PD35" i="122" s="1"/>
  <c r="PD36" i="122" s="1"/>
  <c r="PD37" i="122" s="1"/>
  <c r="PD38" i="122" s="1"/>
  <c r="PD39" i="122" s="1"/>
  <c r="PD40" i="122" s="1"/>
  <c r="PD41" i="122" s="1"/>
  <c r="PD42" i="122" s="1"/>
  <c r="PD44" i="122" s="1"/>
  <c r="PC10" i="122"/>
  <c r="PC11" i="122" s="1"/>
  <c r="PC12" i="122" s="1"/>
  <c r="PC13" i="122" s="1"/>
  <c r="PC14" i="122" s="1"/>
  <c r="PC15" i="122" s="1"/>
  <c r="PC16" i="122" s="1"/>
  <c r="PC17" i="122" s="1"/>
  <c r="PC18" i="122" s="1"/>
  <c r="PC19" i="122" s="1"/>
  <c r="PC20" i="122" s="1"/>
  <c r="PC21" i="122" s="1"/>
  <c r="PC22" i="122" s="1"/>
  <c r="PC23" i="122" s="1"/>
  <c r="PC24" i="122" s="1"/>
  <c r="PC25" i="122" s="1"/>
  <c r="PC26" i="122" s="1"/>
  <c r="PC27" i="122" s="1"/>
  <c r="PC28" i="122" s="1"/>
  <c r="PC29" i="122" s="1"/>
  <c r="PC30" i="122" s="1"/>
  <c r="PC31" i="122" s="1"/>
  <c r="PC32" i="122" s="1"/>
  <c r="PC33" i="122" s="1"/>
  <c r="PC34" i="122" s="1"/>
  <c r="PC35" i="122" s="1"/>
  <c r="PC36" i="122" s="1"/>
  <c r="PC37" i="122" s="1"/>
  <c r="PC38" i="122" s="1"/>
  <c r="PC39" i="122" s="1"/>
  <c r="PC40" i="122" s="1"/>
  <c r="PC41" i="122" s="1"/>
  <c r="PC42" i="122" s="1"/>
  <c r="PC44" i="122" s="1"/>
  <c r="PB10" i="122"/>
  <c r="PB11" i="122" s="1"/>
  <c r="PB12" i="122" s="1"/>
  <c r="PB13" i="122" s="1"/>
  <c r="PB14" i="122" s="1"/>
  <c r="PB15" i="122" s="1"/>
  <c r="PB16" i="122" s="1"/>
  <c r="PB17" i="122" s="1"/>
  <c r="PB18" i="122" s="1"/>
  <c r="PB19" i="122" s="1"/>
  <c r="PB20" i="122" s="1"/>
  <c r="PB21" i="122" s="1"/>
  <c r="PB22" i="122" s="1"/>
  <c r="PB23" i="122" s="1"/>
  <c r="PB24" i="122" s="1"/>
  <c r="PB25" i="122" s="1"/>
  <c r="PB26" i="122" s="1"/>
  <c r="PB27" i="122" s="1"/>
  <c r="PB28" i="122" s="1"/>
  <c r="PB29" i="122" s="1"/>
  <c r="PB30" i="122" s="1"/>
  <c r="PB31" i="122" s="1"/>
  <c r="PB32" i="122" s="1"/>
  <c r="PB33" i="122" s="1"/>
  <c r="PB34" i="122" s="1"/>
  <c r="PB35" i="122" s="1"/>
  <c r="PB36" i="122" s="1"/>
  <c r="PB37" i="122" s="1"/>
  <c r="PB38" i="122" s="1"/>
  <c r="PB39" i="122" s="1"/>
  <c r="PB40" i="122" s="1"/>
  <c r="PB41" i="122" s="1"/>
  <c r="PB42" i="122" s="1"/>
  <c r="PB44" i="122" s="1"/>
  <c r="PA10" i="122"/>
  <c r="PA11" i="122" s="1"/>
  <c r="PA12" i="122" s="1"/>
  <c r="PA13" i="122" s="1"/>
  <c r="OZ10" i="122"/>
  <c r="OR10" i="122"/>
  <c r="OR11" i="122" s="1"/>
  <c r="OR12" i="122" s="1"/>
  <c r="OR13" i="122" s="1"/>
  <c r="OR14" i="122" s="1"/>
  <c r="OR15" i="122" s="1"/>
  <c r="OR16" i="122" s="1"/>
  <c r="OR17" i="122" s="1"/>
  <c r="OR18" i="122" s="1"/>
  <c r="OR19" i="122" s="1"/>
  <c r="OR20" i="122" s="1"/>
  <c r="OR21" i="122" s="1"/>
  <c r="OR22" i="122" s="1"/>
  <c r="OR23" i="122" s="1"/>
  <c r="OR24" i="122" s="1"/>
  <c r="OR25" i="122" s="1"/>
  <c r="OR26" i="122" s="1"/>
  <c r="OR27" i="122" s="1"/>
  <c r="OR28" i="122" s="1"/>
  <c r="OR29" i="122" s="1"/>
  <c r="OR30" i="122" s="1"/>
  <c r="OR31" i="122" s="1"/>
  <c r="OR32" i="122" s="1"/>
  <c r="OR33" i="122" s="1"/>
  <c r="OR34" i="122" s="1"/>
  <c r="OR35" i="122" s="1"/>
  <c r="OR36" i="122" s="1"/>
  <c r="OR37" i="122" s="1"/>
  <c r="OR38" i="122" s="1"/>
  <c r="OR39" i="122" s="1"/>
  <c r="OR40" i="122" s="1"/>
  <c r="OR41" i="122" s="1"/>
  <c r="OR42" i="122" s="1"/>
  <c r="ON10" i="122"/>
  <c r="ON11" i="122" s="1"/>
  <c r="ON12" i="122" s="1"/>
  <c r="ON13" i="122" s="1"/>
  <c r="ON14" i="122" s="1"/>
  <c r="ON15" i="122" s="1"/>
  <c r="ON16" i="122" s="1"/>
  <c r="ON17" i="122" s="1"/>
  <c r="ON18" i="122" s="1"/>
  <c r="ON19" i="122" s="1"/>
  <c r="ON20" i="122" s="1"/>
  <c r="ON21" i="122" s="1"/>
  <c r="ON22" i="122" s="1"/>
  <c r="ON23" i="122" s="1"/>
  <c r="ON24" i="122" s="1"/>
  <c r="ON25" i="122" s="1"/>
  <c r="ON26" i="122" s="1"/>
  <c r="ON27" i="122" s="1"/>
  <c r="ON28" i="122" s="1"/>
  <c r="ON29" i="122" s="1"/>
  <c r="ON30" i="122" s="1"/>
  <c r="ON31" i="122" s="1"/>
  <c r="ON32" i="122" s="1"/>
  <c r="ON33" i="122" s="1"/>
  <c r="ON34" i="122" s="1"/>
  <c r="ON35" i="122" s="1"/>
  <c r="ON36" i="122" s="1"/>
  <c r="ON37" i="122" s="1"/>
  <c r="ON38" i="122" s="1"/>
  <c r="ON39" i="122" s="1"/>
  <c r="ON40" i="122" s="1"/>
  <c r="ON41" i="122" s="1"/>
  <c r="ON42" i="122" s="1"/>
  <c r="OL10" i="122"/>
  <c r="OL11" i="122" s="1"/>
  <c r="OL12" i="122" s="1"/>
  <c r="OL13" i="122" s="1"/>
  <c r="OL14" i="122" s="1"/>
  <c r="OL15" i="122" s="1"/>
  <c r="OL16" i="122" s="1"/>
  <c r="OL17" i="122" s="1"/>
  <c r="OL18" i="122" s="1"/>
  <c r="OL19" i="122" s="1"/>
  <c r="OL20" i="122" s="1"/>
  <c r="OL21" i="122" s="1"/>
  <c r="OL22" i="122" s="1"/>
  <c r="OL23" i="122" s="1"/>
  <c r="OL24" i="122" s="1"/>
  <c r="OL25" i="122" s="1"/>
  <c r="OL26" i="122" s="1"/>
  <c r="OL27" i="122" s="1"/>
  <c r="OL28" i="122" s="1"/>
  <c r="OL29" i="122" s="1"/>
  <c r="OL30" i="122" s="1"/>
  <c r="OL31" i="122" s="1"/>
  <c r="OL32" i="122" s="1"/>
  <c r="OL33" i="122" s="1"/>
  <c r="OL34" i="122" s="1"/>
  <c r="OL35" i="122" s="1"/>
  <c r="OL36" i="122" s="1"/>
  <c r="OL37" i="122" s="1"/>
  <c r="OL38" i="122" s="1"/>
  <c r="OL39" i="122" s="1"/>
  <c r="OL40" i="122" s="1"/>
  <c r="OL41" i="122" s="1"/>
  <c r="OL42" i="122" s="1"/>
  <c r="OK10" i="122"/>
  <c r="OK11" i="122" s="1"/>
  <c r="OK12" i="122" s="1"/>
  <c r="OK13" i="122" s="1"/>
  <c r="OK14" i="122" s="1"/>
  <c r="OK15" i="122" s="1"/>
  <c r="OK16" i="122" s="1"/>
  <c r="OK17" i="122" s="1"/>
  <c r="OK18" i="122" s="1"/>
  <c r="OK19" i="122" s="1"/>
  <c r="OK20" i="122" s="1"/>
  <c r="OK21" i="122" s="1"/>
  <c r="OK22" i="122" s="1"/>
  <c r="OK23" i="122" s="1"/>
  <c r="OK24" i="122" s="1"/>
  <c r="OK25" i="122" s="1"/>
  <c r="OK26" i="122" s="1"/>
  <c r="OK27" i="122" s="1"/>
  <c r="OK28" i="122" s="1"/>
  <c r="OK29" i="122" s="1"/>
  <c r="OK30" i="122" s="1"/>
  <c r="OK31" i="122" s="1"/>
  <c r="OK32" i="122" s="1"/>
  <c r="OK33" i="122" s="1"/>
  <c r="OK34" i="122" s="1"/>
  <c r="OK35" i="122" s="1"/>
  <c r="OK36" i="122" s="1"/>
  <c r="OK37" i="122" s="1"/>
  <c r="OK38" i="122" s="1"/>
  <c r="OK39" i="122" s="1"/>
  <c r="OK40" i="122" s="1"/>
  <c r="OK41" i="122" s="1"/>
  <c r="OJ10" i="122"/>
  <c r="OJ11" i="122" s="1"/>
  <c r="OJ12" i="122" s="1"/>
  <c r="OJ13" i="122" s="1"/>
  <c r="OJ14" i="122" s="1"/>
  <c r="OJ15" i="122" s="1"/>
  <c r="OJ16" i="122" s="1"/>
  <c r="OJ17" i="122" s="1"/>
  <c r="OJ18" i="122" s="1"/>
  <c r="OJ19" i="122" s="1"/>
  <c r="OJ20" i="122" s="1"/>
  <c r="OJ21" i="122" s="1"/>
  <c r="OJ22" i="122" s="1"/>
  <c r="OJ23" i="122" s="1"/>
  <c r="OJ24" i="122" s="1"/>
  <c r="OJ25" i="122" s="1"/>
  <c r="OJ26" i="122" s="1"/>
  <c r="OJ27" i="122" s="1"/>
  <c r="OJ28" i="122" s="1"/>
  <c r="OJ29" i="122" s="1"/>
  <c r="OJ30" i="122" s="1"/>
  <c r="OJ31" i="122" s="1"/>
  <c r="OJ32" i="122" s="1"/>
  <c r="OJ33" i="122" s="1"/>
  <c r="OJ34" i="122" s="1"/>
  <c r="OJ35" i="122" s="1"/>
  <c r="OJ36" i="122" s="1"/>
  <c r="OJ37" i="122" s="1"/>
  <c r="OJ38" i="122" s="1"/>
  <c r="OJ39" i="122" s="1"/>
  <c r="OJ40" i="122" s="1"/>
  <c r="OJ41" i="122" s="1"/>
  <c r="OJ42" i="122" s="1"/>
  <c r="OI10" i="122"/>
  <c r="OI11" i="122" s="1"/>
  <c r="OI12" i="122" s="1"/>
  <c r="OI13" i="122" s="1"/>
  <c r="OI14" i="122" s="1"/>
  <c r="OI15" i="122" s="1"/>
  <c r="OI16" i="122" s="1"/>
  <c r="OI17" i="122" s="1"/>
  <c r="OI18" i="122" s="1"/>
  <c r="OI19" i="122" s="1"/>
  <c r="OH10" i="122"/>
  <c r="OH11" i="122" s="1"/>
  <c r="OH12" i="122" s="1"/>
  <c r="OH13" i="122" s="1"/>
  <c r="OH14" i="122" s="1"/>
  <c r="OH15" i="122" s="1"/>
  <c r="OH16" i="122" s="1"/>
  <c r="OH17" i="122" s="1"/>
  <c r="OH18" i="122" s="1"/>
  <c r="OH19" i="122" s="1"/>
  <c r="OH20" i="122" s="1"/>
  <c r="OH21" i="122" s="1"/>
  <c r="OH22" i="122" s="1"/>
  <c r="OH23" i="122" s="1"/>
  <c r="OH24" i="122" s="1"/>
  <c r="OH25" i="122" s="1"/>
  <c r="OH26" i="122" s="1"/>
  <c r="OH27" i="122" s="1"/>
  <c r="OH28" i="122" s="1"/>
  <c r="OH29" i="122" s="1"/>
  <c r="OH30" i="122" s="1"/>
  <c r="OH31" i="122" s="1"/>
  <c r="OH32" i="122" s="1"/>
  <c r="OH33" i="122" s="1"/>
  <c r="OH34" i="122" s="1"/>
  <c r="OH35" i="122" s="1"/>
  <c r="OH36" i="122" s="1"/>
  <c r="OH37" i="122" s="1"/>
  <c r="OH38" i="122" s="1"/>
  <c r="OH39" i="122" s="1"/>
  <c r="OH40" i="122" s="1"/>
  <c r="OH41" i="122" s="1"/>
  <c r="OH42" i="122" s="1"/>
  <c r="OG10" i="122"/>
  <c r="OG11" i="122" s="1"/>
  <c r="NY10" i="122"/>
  <c r="NY11" i="122" s="1"/>
  <c r="NY12" i="122" s="1"/>
  <c r="NY13" i="122" s="1"/>
  <c r="NY14" i="122" s="1"/>
  <c r="NY15" i="122" s="1"/>
  <c r="NY16" i="122" s="1"/>
  <c r="NY17" i="122" s="1"/>
  <c r="NY18" i="122" s="1"/>
  <c r="NY19" i="122" s="1"/>
  <c r="NY20" i="122" s="1"/>
  <c r="NY21" i="122" s="1"/>
  <c r="NY22" i="122" s="1"/>
  <c r="NY23" i="122" s="1"/>
  <c r="NY24" i="122" s="1"/>
  <c r="NY25" i="122" s="1"/>
  <c r="NY26" i="122" s="1"/>
  <c r="NY27" i="122" s="1"/>
  <c r="NY28" i="122" s="1"/>
  <c r="NY29" i="122" s="1"/>
  <c r="NY30" i="122" s="1"/>
  <c r="NY31" i="122" s="1"/>
  <c r="NY32" i="122" s="1"/>
  <c r="NY33" i="122" s="1"/>
  <c r="NY34" i="122" s="1"/>
  <c r="NY35" i="122" s="1"/>
  <c r="NY36" i="122" s="1"/>
  <c r="NY37" i="122" s="1"/>
  <c r="NY38" i="122" s="1"/>
  <c r="NY39" i="122" s="1"/>
  <c r="NY40" i="122" s="1"/>
  <c r="NY41" i="122" s="1"/>
  <c r="NY42" i="122" s="1"/>
  <c r="NX10" i="122"/>
  <c r="NX11" i="122" s="1"/>
  <c r="NX12" i="122" s="1"/>
  <c r="NX13" i="122" s="1"/>
  <c r="NX14" i="122" s="1"/>
  <c r="NX15" i="122" s="1"/>
  <c r="NX16" i="122" s="1"/>
  <c r="NX17" i="122" s="1"/>
  <c r="NX18" i="122" s="1"/>
  <c r="NX19" i="122" s="1"/>
  <c r="NX20" i="122" s="1"/>
  <c r="NX21" i="122" s="1"/>
  <c r="NX22" i="122" s="1"/>
  <c r="NX23" i="122" s="1"/>
  <c r="NX24" i="122" s="1"/>
  <c r="NX25" i="122" s="1"/>
  <c r="NX26" i="122" s="1"/>
  <c r="NX27" i="122" s="1"/>
  <c r="NX28" i="122" s="1"/>
  <c r="NX29" i="122" s="1"/>
  <c r="NX30" i="122" s="1"/>
  <c r="NX31" i="122" s="1"/>
  <c r="NX32" i="122" s="1"/>
  <c r="NX33" i="122" s="1"/>
  <c r="NX34" i="122" s="1"/>
  <c r="NX35" i="122" s="1"/>
  <c r="NX36" i="122" s="1"/>
  <c r="NX37" i="122" s="1"/>
  <c r="NX38" i="122" s="1"/>
  <c r="NX39" i="122" s="1"/>
  <c r="NX40" i="122" s="1"/>
  <c r="NX41" i="122" s="1"/>
  <c r="NX42" i="122" s="1"/>
  <c r="NX44" i="122" s="1"/>
  <c r="NW10" i="122"/>
  <c r="NW11" i="122" s="1"/>
  <c r="NW12" i="122" s="1"/>
  <c r="NW13" i="122" s="1"/>
  <c r="NW14" i="122" s="1"/>
  <c r="NW15" i="122" s="1"/>
  <c r="NW16" i="122" s="1"/>
  <c r="NW17" i="122" s="1"/>
  <c r="NW18" i="122" s="1"/>
  <c r="NW19" i="122" s="1"/>
  <c r="NW20" i="122" s="1"/>
  <c r="NW21" i="122" s="1"/>
  <c r="NW22" i="122" s="1"/>
  <c r="NW23" i="122" s="1"/>
  <c r="NW24" i="122" s="1"/>
  <c r="NW25" i="122" s="1"/>
  <c r="NW26" i="122" s="1"/>
  <c r="NW27" i="122" s="1"/>
  <c r="NW28" i="122" s="1"/>
  <c r="NW29" i="122" s="1"/>
  <c r="NW30" i="122" s="1"/>
  <c r="NW31" i="122" s="1"/>
  <c r="NW32" i="122" s="1"/>
  <c r="NW33" i="122" s="1"/>
  <c r="NW34" i="122" s="1"/>
  <c r="NW35" i="122" s="1"/>
  <c r="NW36" i="122" s="1"/>
  <c r="NW37" i="122" s="1"/>
  <c r="NW38" i="122" s="1"/>
  <c r="NW39" i="122" s="1"/>
  <c r="NW40" i="122" s="1"/>
  <c r="NW41" i="122" s="1"/>
  <c r="NW42" i="122" s="1"/>
  <c r="NV10" i="122"/>
  <c r="NV11" i="122" s="1"/>
  <c r="NV12" i="122" s="1"/>
  <c r="NV13" i="122" s="1"/>
  <c r="NV14" i="122" s="1"/>
  <c r="NV15" i="122" s="1"/>
  <c r="NV16" i="122" s="1"/>
  <c r="NV17" i="122" s="1"/>
  <c r="NV18" i="122" s="1"/>
  <c r="NV19" i="122" s="1"/>
  <c r="NV20" i="122" s="1"/>
  <c r="NV21" i="122" s="1"/>
  <c r="NV22" i="122" s="1"/>
  <c r="NV23" i="122" s="1"/>
  <c r="NV24" i="122" s="1"/>
  <c r="NV25" i="122" s="1"/>
  <c r="NV26" i="122" s="1"/>
  <c r="NV27" i="122" s="1"/>
  <c r="NV28" i="122" s="1"/>
  <c r="NV29" i="122" s="1"/>
  <c r="NV30" i="122" s="1"/>
  <c r="NV31" i="122" s="1"/>
  <c r="NV32" i="122" s="1"/>
  <c r="NV33" i="122" s="1"/>
  <c r="NV34" i="122" s="1"/>
  <c r="NV35" i="122" s="1"/>
  <c r="NV36" i="122" s="1"/>
  <c r="NV37" i="122" s="1"/>
  <c r="NV38" i="122" s="1"/>
  <c r="NV39" i="122" s="1"/>
  <c r="NV40" i="122" s="1"/>
  <c r="NV41" i="122" s="1"/>
  <c r="NV42" i="122" s="1"/>
  <c r="NV44" i="122" s="1"/>
  <c r="NU10" i="122"/>
  <c r="NU11" i="122" s="1"/>
  <c r="NU12" i="122" s="1"/>
  <c r="NU13" i="122" s="1"/>
  <c r="NU14" i="122" s="1"/>
  <c r="NU15" i="122" s="1"/>
  <c r="NU16" i="122" s="1"/>
  <c r="NU17" i="122" s="1"/>
  <c r="NU18" i="122" s="1"/>
  <c r="NU19" i="122" s="1"/>
  <c r="NU20" i="122" s="1"/>
  <c r="NU21" i="122" s="1"/>
  <c r="NU22" i="122" s="1"/>
  <c r="NU23" i="122" s="1"/>
  <c r="NU24" i="122" s="1"/>
  <c r="NU25" i="122" s="1"/>
  <c r="NU26" i="122" s="1"/>
  <c r="NU27" i="122" s="1"/>
  <c r="NU28" i="122" s="1"/>
  <c r="NU29" i="122" s="1"/>
  <c r="NU30" i="122" s="1"/>
  <c r="NU31" i="122" s="1"/>
  <c r="NU32" i="122" s="1"/>
  <c r="NU33" i="122" s="1"/>
  <c r="NU34" i="122" s="1"/>
  <c r="NU35" i="122" s="1"/>
  <c r="NU36" i="122" s="1"/>
  <c r="NU37" i="122" s="1"/>
  <c r="NU38" i="122" s="1"/>
  <c r="NU39" i="122" s="1"/>
  <c r="NU40" i="122" s="1"/>
  <c r="NU41" i="122" s="1"/>
  <c r="NU42" i="122" s="1"/>
  <c r="NT10" i="122"/>
  <c r="NT11" i="122" s="1"/>
  <c r="NQ10" i="122"/>
  <c r="NQ11" i="122" s="1"/>
  <c r="NQ12" i="122" s="1"/>
  <c r="NQ13" i="122" s="1"/>
  <c r="NQ14" i="122" s="1"/>
  <c r="NQ15" i="122" s="1"/>
  <c r="NQ16" i="122" s="1"/>
  <c r="NQ17" i="122" s="1"/>
  <c r="NQ18" i="122" s="1"/>
  <c r="NQ19" i="122" s="1"/>
  <c r="NQ20" i="122" s="1"/>
  <c r="NQ21" i="122" s="1"/>
  <c r="NQ22" i="122" s="1"/>
  <c r="NQ23" i="122" s="1"/>
  <c r="NQ24" i="122" s="1"/>
  <c r="NQ25" i="122" s="1"/>
  <c r="NQ26" i="122" s="1"/>
  <c r="NQ27" i="122" s="1"/>
  <c r="NQ28" i="122" s="1"/>
  <c r="NQ29" i="122" s="1"/>
  <c r="NQ30" i="122" s="1"/>
  <c r="NQ31" i="122" s="1"/>
  <c r="NQ32" i="122" s="1"/>
  <c r="NQ33" i="122" s="1"/>
  <c r="NQ34" i="122" s="1"/>
  <c r="NQ35" i="122" s="1"/>
  <c r="NQ36" i="122" s="1"/>
  <c r="NQ37" i="122" s="1"/>
  <c r="NQ38" i="122" s="1"/>
  <c r="NQ39" i="122" s="1"/>
  <c r="NQ40" i="122" s="1"/>
  <c r="NQ41" i="122" s="1"/>
  <c r="NQ44" i="122" s="1"/>
  <c r="NN10" i="122"/>
  <c r="NM10" i="122"/>
  <c r="NM11" i="122" s="1"/>
  <c r="NM12" i="122" s="1"/>
  <c r="NM13" i="122" s="1"/>
  <c r="NM14" i="122" s="1"/>
  <c r="NM15" i="122" s="1"/>
  <c r="NM16" i="122" s="1"/>
  <c r="NM17" i="122" s="1"/>
  <c r="NM18" i="122" s="1"/>
  <c r="NM19" i="122" s="1"/>
  <c r="NM20" i="122" s="1"/>
  <c r="NM21" i="122" s="1"/>
  <c r="NM22" i="122" s="1"/>
  <c r="NM23" i="122" s="1"/>
  <c r="NM24" i="122" s="1"/>
  <c r="NM25" i="122" s="1"/>
  <c r="NM26" i="122" s="1"/>
  <c r="NM27" i="122" s="1"/>
  <c r="NM28" i="122" s="1"/>
  <c r="NM29" i="122" s="1"/>
  <c r="NM30" i="122" s="1"/>
  <c r="NM31" i="122" s="1"/>
  <c r="NM32" i="122" s="1"/>
  <c r="NM33" i="122" s="1"/>
  <c r="NM34" i="122" s="1"/>
  <c r="NM35" i="122" s="1"/>
  <c r="NL10" i="122"/>
  <c r="NL11" i="122" s="1"/>
  <c r="NL12" i="122" s="1"/>
  <c r="NL13" i="122" s="1"/>
  <c r="NL14" i="122" s="1"/>
  <c r="NL15" i="122" s="1"/>
  <c r="NL16" i="122" s="1"/>
  <c r="NL17" i="122" s="1"/>
  <c r="NL18" i="122" s="1"/>
  <c r="NL19" i="122" s="1"/>
  <c r="NL20" i="122" s="1"/>
  <c r="NL21" i="122" s="1"/>
  <c r="NL22" i="122" s="1"/>
  <c r="NL23" i="122" s="1"/>
  <c r="NL24" i="122" s="1"/>
  <c r="NL25" i="122" s="1"/>
  <c r="NL26" i="122" s="1"/>
  <c r="NL27" i="122" s="1"/>
  <c r="NL28" i="122" s="1"/>
  <c r="NL29" i="122" s="1"/>
  <c r="NL30" i="122" s="1"/>
  <c r="NL31" i="122" s="1"/>
  <c r="NL32" i="122" s="1"/>
  <c r="NL33" i="122" s="1"/>
  <c r="NL34" i="122" s="1"/>
  <c r="NL35" i="122" s="1"/>
  <c r="NK10" i="122"/>
  <c r="NK11" i="122" s="1"/>
  <c r="NK12" i="122" s="1"/>
  <c r="NK13" i="122" s="1"/>
  <c r="NK14" i="122" s="1"/>
  <c r="NK15" i="122" s="1"/>
  <c r="NK16" i="122" s="1"/>
  <c r="NK17" i="122" s="1"/>
  <c r="NK18" i="122" s="1"/>
  <c r="NK19" i="122" s="1"/>
  <c r="NK20" i="122" s="1"/>
  <c r="NK21" i="122" s="1"/>
  <c r="NK22" i="122" s="1"/>
  <c r="NK23" i="122" s="1"/>
  <c r="NK24" i="122" s="1"/>
  <c r="NK25" i="122" s="1"/>
  <c r="NK26" i="122" s="1"/>
  <c r="NK27" i="122" s="1"/>
  <c r="NK28" i="122" s="1"/>
  <c r="NK29" i="122" s="1"/>
  <c r="NK30" i="122" s="1"/>
  <c r="NK31" i="122" s="1"/>
  <c r="NK32" i="122" s="1"/>
  <c r="NK33" i="122" s="1"/>
  <c r="NK34" i="122" s="1"/>
  <c r="NK35" i="122" s="1"/>
  <c r="NJ10" i="122"/>
  <c r="NJ11" i="122" s="1"/>
  <c r="NJ12" i="122" s="1"/>
  <c r="NJ13" i="122" s="1"/>
  <c r="NJ14" i="122" s="1"/>
  <c r="NJ15" i="122" s="1"/>
  <c r="NJ16" i="122" s="1"/>
  <c r="NJ17" i="122" s="1"/>
  <c r="NJ18" i="122" s="1"/>
  <c r="NJ19" i="122" s="1"/>
  <c r="NJ20" i="122" s="1"/>
  <c r="NJ21" i="122" s="1"/>
  <c r="NJ22" i="122" s="1"/>
  <c r="NJ23" i="122" s="1"/>
  <c r="NJ24" i="122" s="1"/>
  <c r="NJ25" i="122" s="1"/>
  <c r="NJ26" i="122" s="1"/>
  <c r="NJ27" i="122" s="1"/>
  <c r="NJ28" i="122" s="1"/>
  <c r="NJ29" i="122" s="1"/>
  <c r="NI10" i="122"/>
  <c r="NI11" i="122" s="1"/>
  <c r="NI12" i="122" s="1"/>
  <c r="NI13" i="122" s="1"/>
  <c r="NI14" i="122" s="1"/>
  <c r="NI15" i="122" s="1"/>
  <c r="NI16" i="122" s="1"/>
  <c r="NI17" i="122" s="1"/>
  <c r="NI18" i="122" s="1"/>
  <c r="NI19" i="122" s="1"/>
  <c r="NI20" i="122" s="1"/>
  <c r="NI21" i="122" s="1"/>
  <c r="NI22" i="122" s="1"/>
  <c r="NI23" i="122" s="1"/>
  <c r="NI24" i="122" s="1"/>
  <c r="NI25" i="122" s="1"/>
  <c r="NI26" i="122" s="1"/>
  <c r="NI27" i="122" s="1"/>
  <c r="NI28" i="122" s="1"/>
  <c r="NI29" i="122" s="1"/>
  <c r="NI30" i="122" s="1"/>
  <c r="NI31" i="122" s="1"/>
  <c r="NI32" i="122" s="1"/>
  <c r="NI33" i="122" s="1"/>
  <c r="NI34" i="122" s="1"/>
  <c r="NI35" i="122" s="1"/>
  <c r="NH10" i="122"/>
  <c r="NH11" i="122" s="1"/>
  <c r="NH12" i="122" s="1"/>
  <c r="NH13" i="122" s="1"/>
  <c r="NH14" i="122" s="1"/>
  <c r="NH15" i="122" s="1"/>
  <c r="NH16" i="122" s="1"/>
  <c r="NH17" i="122" s="1"/>
  <c r="NH18" i="122" s="1"/>
  <c r="NH19" i="122" s="1"/>
  <c r="NH20" i="122" s="1"/>
  <c r="NH21" i="122" s="1"/>
  <c r="NH22" i="122" s="1"/>
  <c r="NH23" i="122" s="1"/>
  <c r="NH24" i="122" s="1"/>
  <c r="NH25" i="122" s="1"/>
  <c r="NH26" i="122" s="1"/>
  <c r="NH27" i="122" s="1"/>
  <c r="NH28" i="122" s="1"/>
  <c r="NH29" i="122" s="1"/>
  <c r="NH30" i="122" s="1"/>
  <c r="NH31" i="122" s="1"/>
  <c r="NH32" i="122" s="1"/>
  <c r="NH33" i="122" s="1"/>
  <c r="NH34" i="122" s="1"/>
  <c r="NH35" i="122" s="1"/>
  <c r="NG10" i="122"/>
  <c r="NG11" i="122" s="1"/>
  <c r="NG12" i="122" s="1"/>
  <c r="NG13" i="122" s="1"/>
  <c r="NE10" i="122"/>
  <c r="NE11" i="122" s="1"/>
  <c r="NE12" i="122" s="1"/>
  <c r="NE13" i="122" s="1"/>
  <c r="NE14" i="122" s="1"/>
  <c r="NE15" i="122" s="1"/>
  <c r="NE16" i="122" s="1"/>
  <c r="NE17" i="122" s="1"/>
  <c r="NE18" i="122" s="1"/>
  <c r="MU10" i="122"/>
  <c r="MC10" i="122"/>
  <c r="LW10" i="122"/>
  <c r="LI10" i="122"/>
  <c r="LH10" i="122"/>
  <c r="LG10" i="122"/>
  <c r="FU10" i="122"/>
  <c r="FN10" i="122"/>
  <c r="EY10" i="122"/>
  <c r="ER10" i="122"/>
  <c r="DC10" i="122"/>
  <c r="DA10" i="122"/>
  <c r="CY10" i="122"/>
  <c r="CW10" i="122"/>
  <c r="CV10" i="122"/>
  <c r="CU10" i="122"/>
  <c r="CT10" i="122"/>
  <c r="CS10" i="122"/>
  <c r="CR10" i="122"/>
  <c r="CG10" i="122"/>
  <c r="CD10" i="122"/>
  <c r="CA10" i="122"/>
  <c r="BX10" i="122"/>
  <c r="BU10" i="122"/>
  <c r="BK10" i="122"/>
  <c r="BH10" i="122"/>
  <c r="BB10" i="122"/>
  <c r="AV10" i="122"/>
  <c r="AS10" i="122"/>
  <c r="AP10" i="122"/>
  <c r="AK10" i="122"/>
  <c r="AG10" i="122"/>
  <c r="AA10" i="122"/>
  <c r="X10" i="122"/>
  <c r="W10" i="122"/>
  <c r="S10" i="122"/>
  <c r="O10" i="122"/>
  <c r="RM9" i="122"/>
  <c r="PG9" i="122"/>
  <c r="PG8" i="122"/>
  <c r="OS8" i="122"/>
  <c r="OF8" i="122"/>
  <c r="NS8" i="122"/>
  <c r="KE6" i="122"/>
  <c r="JW6" i="122"/>
  <c r="JO6" i="122"/>
  <c r="CF3" i="122"/>
  <c r="CE3" i="122"/>
  <c r="CC3" i="122"/>
  <c r="CJ1" i="122"/>
  <c r="AR11" i="125" l="1"/>
  <c r="AR12" i="125" s="1"/>
  <c r="AR13" i="125" s="1"/>
  <c r="AR14" i="125" s="1"/>
  <c r="AR15" i="125" s="1"/>
  <c r="AR16" i="125" s="1"/>
  <c r="AR17" i="125" s="1"/>
  <c r="AR18" i="125" s="1"/>
  <c r="AR19" i="125" s="1"/>
  <c r="AR20" i="125" s="1"/>
  <c r="AR21" i="125" s="1"/>
  <c r="AR22" i="125" s="1"/>
  <c r="AR23" i="125" s="1"/>
  <c r="AR24" i="125" s="1"/>
  <c r="AR25" i="125" s="1"/>
  <c r="AR26" i="125" s="1"/>
  <c r="AR27" i="125" s="1"/>
  <c r="AR28" i="125" s="1"/>
  <c r="AR29" i="125" s="1"/>
  <c r="AR30" i="125" s="1"/>
  <c r="AR31" i="125" s="1"/>
  <c r="AR32" i="125" s="1"/>
  <c r="AR33" i="125" s="1"/>
  <c r="AR34" i="125" s="1"/>
  <c r="AR35" i="125" s="1"/>
  <c r="AR36" i="125" s="1"/>
  <c r="AR37" i="125" s="1"/>
  <c r="AR38" i="125" s="1"/>
  <c r="AR39" i="125" s="1"/>
  <c r="AR40" i="125" s="1"/>
  <c r="AR41" i="125" s="1"/>
  <c r="AR42" i="125" s="1"/>
  <c r="AR43" i="125" s="1"/>
  <c r="AR11" i="127"/>
  <c r="AR12" i="127" s="1"/>
  <c r="AR13" i="127" s="1"/>
  <c r="AR14" i="127" s="1"/>
  <c r="AR15" i="127" s="1"/>
  <c r="AR16" i="127" s="1"/>
  <c r="AR17" i="127" s="1"/>
  <c r="AR18" i="127" s="1"/>
  <c r="AR19" i="127" s="1"/>
  <c r="AR20" i="127" s="1"/>
  <c r="AR21" i="127" s="1"/>
  <c r="AR22" i="127" s="1"/>
  <c r="AR23" i="127" s="1"/>
  <c r="AR24" i="127" s="1"/>
  <c r="AR25" i="127" s="1"/>
  <c r="AR26" i="127" s="1"/>
  <c r="AR27" i="127" s="1"/>
  <c r="AR28" i="127" s="1"/>
  <c r="AR29" i="127" s="1"/>
  <c r="AR30" i="127" s="1"/>
  <c r="AR31" i="127" s="1"/>
  <c r="AR32" i="127" s="1"/>
  <c r="AR33" i="127" s="1"/>
  <c r="AR34" i="127" s="1"/>
  <c r="AR35" i="127" s="1"/>
  <c r="AR36" i="127" s="1"/>
  <c r="AR37" i="127" s="1"/>
  <c r="AR38" i="127" s="1"/>
  <c r="AR39" i="127" s="1"/>
  <c r="AR40" i="127" s="1"/>
  <c r="AR41" i="127" s="1"/>
  <c r="AR42" i="127" s="1"/>
  <c r="AR43" i="127" s="1"/>
  <c r="AR44" i="127" s="1"/>
  <c r="AK14" i="127"/>
  <c r="AL13" i="127"/>
  <c r="AR44" i="125"/>
  <c r="D48" i="95" s="1"/>
  <c r="N44" i="122"/>
  <c r="BA130" i="2"/>
  <c r="K44" i="122"/>
  <c r="BA127" i="2"/>
  <c r="L44" i="122"/>
  <c r="BA134" i="2"/>
  <c r="M44" i="122"/>
  <c r="BA128" i="2"/>
  <c r="BA131" i="2"/>
  <c r="BA135" i="2"/>
  <c r="BA133" i="2"/>
  <c r="BA129" i="2"/>
  <c r="BA132" i="2"/>
  <c r="BA10" i="2"/>
  <c r="LJ29" i="122"/>
  <c r="BY44" i="122"/>
  <c r="Y31" i="122"/>
  <c r="Y33" i="122"/>
  <c r="AK41" i="122"/>
  <c r="D27" i="123"/>
  <c r="CN27" i="123" s="1"/>
  <c r="Y20" i="122"/>
  <c r="Y15" i="122"/>
  <c r="C24" i="122"/>
  <c r="Y37" i="122"/>
  <c r="CN44" i="122"/>
  <c r="LJ28" i="122"/>
  <c r="P90" i="122"/>
  <c r="D43" i="122"/>
  <c r="BP44" i="122"/>
  <c r="C10" i="122"/>
  <c r="Y39" i="122"/>
  <c r="BA6" i="2"/>
  <c r="BA5" i="2"/>
  <c r="C27" i="122"/>
  <c r="LJ22" i="122"/>
  <c r="C26" i="122"/>
  <c r="Y27" i="122"/>
  <c r="AG41" i="122"/>
  <c r="Y26" i="122"/>
  <c r="LJ17" i="122"/>
  <c r="LJ18" i="122"/>
  <c r="LJ19" i="122"/>
  <c r="Y22" i="122"/>
  <c r="IB15" i="122"/>
  <c r="C37" i="122"/>
  <c r="Y11" i="122"/>
  <c r="Y19" i="122"/>
  <c r="PG10" i="122"/>
  <c r="Y14" i="122"/>
  <c r="AV41" i="122"/>
  <c r="AV42" i="122" s="1"/>
  <c r="AV44" i="122" s="1"/>
  <c r="AB210" i="122"/>
  <c r="BA11" i="2"/>
  <c r="C34" i="122"/>
  <c r="Y16" i="122"/>
  <c r="IB13" i="122"/>
  <c r="JF11" i="122"/>
  <c r="GM11" i="122" s="1"/>
  <c r="JF31" i="122"/>
  <c r="GM31" i="122" s="1"/>
  <c r="IV44" i="122"/>
  <c r="PF11" i="122"/>
  <c r="PF12" i="122" s="1"/>
  <c r="PF13" i="122" s="1"/>
  <c r="PF14" i="122" s="1"/>
  <c r="PF15" i="122" s="1"/>
  <c r="PF16" i="122" s="1"/>
  <c r="PF17" i="122" s="1"/>
  <c r="PF18" i="122" s="1"/>
  <c r="PF19" i="122" s="1"/>
  <c r="PF20" i="122" s="1"/>
  <c r="PF21" i="122" s="1"/>
  <c r="PF22" i="122" s="1"/>
  <c r="PF23" i="122" s="1"/>
  <c r="PF24" i="122" s="1"/>
  <c r="PF25" i="122" s="1"/>
  <c r="PF26" i="122" s="1"/>
  <c r="PF27" i="122" s="1"/>
  <c r="PF28" i="122" s="1"/>
  <c r="PF29" i="122" s="1"/>
  <c r="PF30" i="122" s="1"/>
  <c r="PF31" i="122" s="1"/>
  <c r="PF32" i="122" s="1"/>
  <c r="PF33" i="122" s="1"/>
  <c r="PF34" i="122" s="1"/>
  <c r="PF35" i="122" s="1"/>
  <c r="PF36" i="122" s="1"/>
  <c r="PF37" i="122" s="1"/>
  <c r="PF38" i="122" s="1"/>
  <c r="PF39" i="122" s="1"/>
  <c r="PF40" i="122" s="1"/>
  <c r="PF41" i="122" s="1"/>
  <c r="PF42" i="122" s="1"/>
  <c r="PF44" i="122" s="1"/>
  <c r="C30" i="122"/>
  <c r="JF19" i="122"/>
  <c r="GM19" i="122" s="1"/>
  <c r="JF39" i="122"/>
  <c r="GM39" i="122" s="1"/>
  <c r="LJ33" i="122"/>
  <c r="C39" i="122"/>
  <c r="IB19" i="122"/>
  <c r="AQ43" i="123"/>
  <c r="AQ44" i="123" s="1"/>
  <c r="CT41" i="122"/>
  <c r="CT42" i="122" s="1"/>
  <c r="CT44" i="122" s="1"/>
  <c r="MU41" i="122"/>
  <c r="MU42" i="122" s="1"/>
  <c r="MU44" i="122" s="1"/>
  <c r="Y32" i="122"/>
  <c r="C33" i="122"/>
  <c r="LJ35" i="122"/>
  <c r="FN41" i="122"/>
  <c r="FN42" i="122" s="1"/>
  <c r="FN44" i="122" s="1"/>
  <c r="Y18" i="122"/>
  <c r="LJ20" i="122"/>
  <c r="Y34" i="122"/>
  <c r="LJ36" i="122"/>
  <c r="LJ37" i="122"/>
  <c r="BX44" i="122"/>
  <c r="AE42" i="122"/>
  <c r="FU41" i="122"/>
  <c r="FU42" i="122" s="1"/>
  <c r="FU44" i="122" s="1"/>
  <c r="Y35" i="122"/>
  <c r="JF15" i="122"/>
  <c r="GM15" i="122" s="1"/>
  <c r="JF35" i="122"/>
  <c r="GM35" i="122" s="1"/>
  <c r="Y21" i="122"/>
  <c r="Y24" i="122"/>
  <c r="LJ13" i="122"/>
  <c r="Y25" i="122"/>
  <c r="Y38" i="122"/>
  <c r="LJ40" i="122"/>
  <c r="CV41" i="122"/>
  <c r="CV42" i="122" s="1"/>
  <c r="CV44" i="122" s="1"/>
  <c r="LJ14" i="122"/>
  <c r="LJ16" i="122"/>
  <c r="Y28" i="122"/>
  <c r="LJ30" i="122"/>
  <c r="LJ31" i="122"/>
  <c r="LJ12" i="122"/>
  <c r="BW44" i="122"/>
  <c r="LJ11" i="122"/>
  <c r="IQ18" i="122"/>
  <c r="GL18" i="122" s="1"/>
  <c r="HM13" i="122"/>
  <c r="GK13" i="122" s="1"/>
  <c r="IB32" i="122"/>
  <c r="IB20" i="122"/>
  <c r="RX19" i="122"/>
  <c r="IB14" i="122"/>
  <c r="IQ34" i="122"/>
  <c r="GL34" i="122" s="1"/>
  <c r="RX37" i="122"/>
  <c r="HM32" i="122"/>
  <c r="GK32" i="122" s="1"/>
  <c r="QN29" i="122"/>
  <c r="RJ19" i="122"/>
  <c r="RJ20" i="122" s="1"/>
  <c r="HM34" i="122"/>
  <c r="GK34" i="122" s="1"/>
  <c r="HM21" i="122"/>
  <c r="GK21" i="122" s="1"/>
  <c r="IQ13" i="122"/>
  <c r="GL13" i="122" s="1"/>
  <c r="IQ39" i="122"/>
  <c r="GL39" i="122" s="1"/>
  <c r="IB29" i="122"/>
  <c r="HM14" i="122"/>
  <c r="GK14" i="122" s="1"/>
  <c r="HM18" i="122"/>
  <c r="GK18" i="122" s="1"/>
  <c r="IQ16" i="122"/>
  <c r="GL16" i="122" s="1"/>
  <c r="IQ29" i="122"/>
  <c r="GL29" i="122" s="1"/>
  <c r="RX33" i="122"/>
  <c r="IQ27" i="122"/>
  <c r="GL27" i="122" s="1"/>
  <c r="HM29" i="122"/>
  <c r="GK29" i="122" s="1"/>
  <c r="JF12" i="122"/>
  <c r="GM12" i="122" s="1"/>
  <c r="JF16" i="122"/>
  <c r="GM16" i="122" s="1"/>
  <c r="JF20" i="122"/>
  <c r="GM20" i="122" s="1"/>
  <c r="JF24" i="122"/>
  <c r="GM24" i="122" s="1"/>
  <c r="JF28" i="122"/>
  <c r="GM28" i="122" s="1"/>
  <c r="JF32" i="122"/>
  <c r="GM32" i="122" s="1"/>
  <c r="JF36" i="122"/>
  <c r="GM36" i="122" s="1"/>
  <c r="JF40" i="122"/>
  <c r="GM40" i="122" s="1"/>
  <c r="RX28" i="122"/>
  <c r="HM15" i="122"/>
  <c r="GK15" i="122" s="1"/>
  <c r="HM26" i="122"/>
  <c r="GK26" i="122" s="1"/>
  <c r="HM39" i="122"/>
  <c r="GK39" i="122" s="1"/>
  <c r="IQ22" i="122"/>
  <c r="GL22" i="122" s="1"/>
  <c r="RX14" i="122"/>
  <c r="IQ25" i="122"/>
  <c r="GL25" i="122" s="1"/>
  <c r="IQ35" i="122"/>
  <c r="GL35" i="122" s="1"/>
  <c r="IB21" i="122"/>
  <c r="IB30" i="122"/>
  <c r="IB35" i="122"/>
  <c r="JF25" i="122"/>
  <c r="GM25" i="122" s="1"/>
  <c r="JF29" i="122"/>
  <c r="GM29" i="122" s="1"/>
  <c r="JF37" i="122"/>
  <c r="GM37" i="122" s="1"/>
  <c r="IB25" i="122"/>
  <c r="IB26" i="122"/>
  <c r="IB36" i="122"/>
  <c r="RX26" i="122"/>
  <c r="RX34" i="122"/>
  <c r="HM27" i="122"/>
  <c r="GK27" i="122" s="1"/>
  <c r="IB38" i="122"/>
  <c r="IB22" i="122"/>
  <c r="IB39" i="122"/>
  <c r="IB16" i="122"/>
  <c r="IB27" i="122"/>
  <c r="IB18" i="122"/>
  <c r="IB34" i="122"/>
  <c r="RX21" i="122"/>
  <c r="IB37" i="122"/>
  <c r="IB12" i="122"/>
  <c r="IB31" i="122"/>
  <c r="IQ38" i="122"/>
  <c r="GL38" i="122" s="1"/>
  <c r="IB17" i="122"/>
  <c r="IB24" i="122"/>
  <c r="RX35" i="122"/>
  <c r="HM37" i="122"/>
  <c r="GK37" i="122" s="1"/>
  <c r="IQ23" i="122"/>
  <c r="GL23" i="122" s="1"/>
  <c r="IB28" i="122"/>
  <c r="IB40" i="122"/>
  <c r="RX38" i="122"/>
  <c r="IQ15" i="122"/>
  <c r="GL15" i="122" s="1"/>
  <c r="IQ31" i="122"/>
  <c r="GL31" i="122" s="1"/>
  <c r="JF22" i="122"/>
  <c r="GM22" i="122" s="1"/>
  <c r="HV41" i="122"/>
  <c r="HV42" i="122" s="1"/>
  <c r="BL48" i="122"/>
  <c r="O42" i="122"/>
  <c r="BA23" i="2" s="1"/>
  <c r="BC44" i="122"/>
  <c r="AD28" i="95"/>
  <c r="H44" i="123"/>
  <c r="G7" i="123" s="1"/>
  <c r="D40" i="123"/>
  <c r="CN40" i="123" s="1"/>
  <c r="CR28" i="123"/>
  <c r="AX28" i="123"/>
  <c r="AX31" i="123"/>
  <c r="CR31" i="123"/>
  <c r="AX42" i="123"/>
  <c r="CR42" i="123"/>
  <c r="AX16" i="123"/>
  <c r="CR16" i="123"/>
  <c r="CR36" i="123"/>
  <c r="AX36" i="123"/>
  <c r="E35" i="123"/>
  <c r="D24" i="123"/>
  <c r="CN24" i="123" s="1"/>
  <c r="D30" i="123"/>
  <c r="CN30" i="123" s="1"/>
  <c r="E32" i="123"/>
  <c r="D38" i="123"/>
  <c r="CN38" i="123" s="1"/>
  <c r="D18" i="123"/>
  <c r="CN18" i="123" s="1"/>
  <c r="E25" i="123"/>
  <c r="E16" i="123"/>
  <c r="D41" i="123"/>
  <c r="CN41" i="123" s="1"/>
  <c r="E21" i="123"/>
  <c r="AS12" i="123"/>
  <c r="D20" i="123"/>
  <c r="CN20" i="123" s="1"/>
  <c r="MC41" i="122"/>
  <c r="MC42" i="122" s="1"/>
  <c r="MC44" i="122" s="1"/>
  <c r="LI41" i="122"/>
  <c r="LI42" i="122" s="1"/>
  <c r="LW41" i="122"/>
  <c r="LW42" i="122" s="1"/>
  <c r="LW44" i="122" s="1"/>
  <c r="LJ21" i="122"/>
  <c r="LJ25" i="122"/>
  <c r="LJ39" i="122"/>
  <c r="LJ26" i="122"/>
  <c r="LJ32" i="122"/>
  <c r="LG41" i="122"/>
  <c r="LG42" i="122" s="1"/>
  <c r="BA84" i="2" s="1"/>
  <c r="LJ15" i="122"/>
  <c r="QQ27" i="122"/>
  <c r="RJ10" i="122"/>
  <c r="RJ11" i="122" s="1"/>
  <c r="QR38" i="122"/>
  <c r="QR33" i="122"/>
  <c r="JJ41" i="122"/>
  <c r="JJ42" i="122" s="1"/>
  <c r="BA66" i="2" s="1"/>
  <c r="RK10" i="122"/>
  <c r="RK11" i="122" s="1"/>
  <c r="RK12" i="122" s="1"/>
  <c r="RK13" i="122" s="1"/>
  <c r="RK14" i="122" s="1"/>
  <c r="RK15" i="122" s="1"/>
  <c r="RK16" i="122" s="1"/>
  <c r="RK17" i="122" s="1"/>
  <c r="QQ20" i="122"/>
  <c r="QQ21" i="122"/>
  <c r="QR30" i="122"/>
  <c r="QR12" i="122"/>
  <c r="QN22" i="122"/>
  <c r="QQ22" i="122"/>
  <c r="KW41" i="122"/>
  <c r="KW42" i="122" s="1"/>
  <c r="KW44" i="122" s="1"/>
  <c r="KX41" i="122"/>
  <c r="KX42" i="122" s="1"/>
  <c r="KX44" i="122" s="1"/>
  <c r="JF18" i="122"/>
  <c r="GM18" i="122" s="1"/>
  <c r="JF38" i="122"/>
  <c r="GM38" i="122" s="1"/>
  <c r="IZ41" i="122"/>
  <c r="IZ42" i="122" s="1"/>
  <c r="JF26" i="122"/>
  <c r="GM26" i="122" s="1"/>
  <c r="JF13" i="122"/>
  <c r="GM13" i="122" s="1"/>
  <c r="JF33" i="122"/>
  <c r="GM33" i="122" s="1"/>
  <c r="OM17" i="122"/>
  <c r="OM18" i="122" s="1"/>
  <c r="OM19" i="122" s="1"/>
  <c r="OM20" i="122" s="1"/>
  <c r="OM21" i="122" s="1"/>
  <c r="OM22" i="122" s="1"/>
  <c r="OM23" i="122" s="1"/>
  <c r="OM24" i="122" s="1"/>
  <c r="OM25" i="122" s="1"/>
  <c r="OM26" i="122" s="1"/>
  <c r="OM27" i="122" s="1"/>
  <c r="OM28" i="122" s="1"/>
  <c r="OM29" i="122" s="1"/>
  <c r="OM30" i="122" s="1"/>
  <c r="OM31" i="122" s="1"/>
  <c r="OM32" i="122" s="1"/>
  <c r="OM33" i="122" s="1"/>
  <c r="OM34" i="122" s="1"/>
  <c r="OM35" i="122" s="1"/>
  <c r="OM36" i="122" s="1"/>
  <c r="OM37" i="122" s="1"/>
  <c r="OM38" i="122" s="1"/>
  <c r="OM39" i="122" s="1"/>
  <c r="OM40" i="122" s="1"/>
  <c r="OM41" i="122" s="1"/>
  <c r="JF17" i="122"/>
  <c r="GM17" i="122" s="1"/>
  <c r="JF27" i="122"/>
  <c r="GM27" i="122" s="1"/>
  <c r="JF14" i="122"/>
  <c r="GM14" i="122" s="1"/>
  <c r="JF34" i="122"/>
  <c r="GM34" i="122" s="1"/>
  <c r="IM41" i="122"/>
  <c r="IM42" i="122" s="1"/>
  <c r="IP41" i="122"/>
  <c r="IQ24" i="122"/>
  <c r="GL24" i="122" s="1"/>
  <c r="IQ37" i="122"/>
  <c r="GL37" i="122" s="1"/>
  <c r="IQ11" i="122"/>
  <c r="GL11" i="122" s="1"/>
  <c r="IQ20" i="122"/>
  <c r="GL20" i="122" s="1"/>
  <c r="IQ33" i="122"/>
  <c r="GL33" i="122" s="1"/>
  <c r="IQ21" i="122"/>
  <c r="GL21" i="122" s="1"/>
  <c r="IQ12" i="122"/>
  <c r="GL12" i="122" s="1"/>
  <c r="IQ26" i="122"/>
  <c r="GL26" i="122" s="1"/>
  <c r="IQ30" i="122"/>
  <c r="GL30" i="122" s="1"/>
  <c r="IQ17" i="122"/>
  <c r="GL17" i="122" s="1"/>
  <c r="IQ14" i="122"/>
  <c r="GL14" i="122" s="1"/>
  <c r="IQ32" i="122"/>
  <c r="GL32" i="122" s="1"/>
  <c r="II41" i="122"/>
  <c r="II42" i="122" s="1"/>
  <c r="IQ19" i="122"/>
  <c r="GL19" i="122" s="1"/>
  <c r="IQ28" i="122"/>
  <c r="GL28" i="122" s="1"/>
  <c r="HM36" i="122"/>
  <c r="GK36" i="122" s="1"/>
  <c r="HM20" i="122"/>
  <c r="GK20" i="122" s="1"/>
  <c r="HM31" i="122"/>
  <c r="GK31" i="122" s="1"/>
  <c r="HM22" i="122"/>
  <c r="GK22" i="122" s="1"/>
  <c r="HI41" i="122"/>
  <c r="HI42" i="122" s="1"/>
  <c r="HM17" i="122"/>
  <c r="GK17" i="122" s="1"/>
  <c r="SG10" i="122"/>
  <c r="PO10" i="122"/>
  <c r="PO11" i="122" s="1"/>
  <c r="PO12" i="122" s="1"/>
  <c r="HM11" i="122"/>
  <c r="GK11" i="122" s="1"/>
  <c r="HM12" i="122"/>
  <c r="GK12" i="122" s="1"/>
  <c r="HM40" i="122"/>
  <c r="GK40" i="122" s="1"/>
  <c r="HM30" i="122"/>
  <c r="GK30" i="122" s="1"/>
  <c r="HM35" i="122"/>
  <c r="GK35" i="122" s="1"/>
  <c r="HM19" i="122"/>
  <c r="GK19" i="122" s="1"/>
  <c r="RX23" i="122"/>
  <c r="RX32" i="122"/>
  <c r="GS41" i="122"/>
  <c r="GS42" i="122" s="1"/>
  <c r="RX15" i="122"/>
  <c r="RX20" i="122"/>
  <c r="RX29" i="122"/>
  <c r="GV41" i="122"/>
  <c r="GV42" i="122" s="1"/>
  <c r="RX11" i="122"/>
  <c r="RX16" i="122"/>
  <c r="RX12" i="122"/>
  <c r="RX40" i="122"/>
  <c r="RX22" i="122"/>
  <c r="RX36" i="122"/>
  <c r="RX18" i="122"/>
  <c r="RX27" i="122"/>
  <c r="Y12" i="122"/>
  <c r="BV44" i="122"/>
  <c r="Y17" i="122"/>
  <c r="C28" i="122"/>
  <c r="Y13" i="122"/>
  <c r="Y30" i="122"/>
  <c r="Y36" i="122"/>
  <c r="S41" i="122"/>
  <c r="C11" i="122"/>
  <c r="C31" i="122"/>
  <c r="C19" i="122"/>
  <c r="C23" i="122"/>
  <c r="C21" i="122"/>
  <c r="O41" i="122"/>
  <c r="C36" i="122"/>
  <c r="AX20" i="123"/>
  <c r="CR20" i="123"/>
  <c r="AE43" i="123"/>
  <c r="AE44" i="123" s="1"/>
  <c r="AF43" i="123"/>
  <c r="AF44" i="123" s="1"/>
  <c r="AX13" i="123"/>
  <c r="CR13" i="123"/>
  <c r="W43" i="123"/>
  <c r="W44" i="123" s="1"/>
  <c r="CR15" i="123"/>
  <c r="AX15" i="123"/>
  <c r="AX41" i="123"/>
  <c r="CR41" i="123"/>
  <c r="AX40" i="123"/>
  <c r="CR40" i="123"/>
  <c r="AX26" i="123"/>
  <c r="CR26" i="123"/>
  <c r="CR17" i="123"/>
  <c r="AX17" i="123"/>
  <c r="AX19" i="123"/>
  <c r="CR19" i="123"/>
  <c r="U43" i="123"/>
  <c r="U44" i="123" s="1"/>
  <c r="V43" i="123"/>
  <c r="V44" i="123" s="1"/>
  <c r="AB43" i="123"/>
  <c r="AB44" i="123" s="1"/>
  <c r="CR12" i="123"/>
  <c r="AX12" i="123"/>
  <c r="AX14" i="123"/>
  <c r="CR14" i="123"/>
  <c r="AU43" i="123"/>
  <c r="AU44" i="123" s="1"/>
  <c r="CR29" i="123"/>
  <c r="AX29" i="123"/>
  <c r="CR39" i="123"/>
  <c r="AX39" i="123"/>
  <c r="CR30" i="123"/>
  <c r="AX30" i="123"/>
  <c r="CR25" i="123"/>
  <c r="AX25" i="123"/>
  <c r="AX27" i="123"/>
  <c r="CR27" i="123"/>
  <c r="CR32" i="123"/>
  <c r="AX32" i="123"/>
  <c r="CR37" i="123"/>
  <c r="AX37" i="123"/>
  <c r="AX24" i="123"/>
  <c r="CR24" i="123"/>
  <c r="CR35" i="123"/>
  <c r="AX35" i="123"/>
  <c r="CR21" i="123"/>
  <c r="AX21" i="123"/>
  <c r="AX23" i="123"/>
  <c r="CR23" i="123"/>
  <c r="CR22" i="123"/>
  <c r="AX33" i="123"/>
  <c r="CR33" i="123"/>
  <c r="AX34" i="123"/>
  <c r="CR34" i="123"/>
  <c r="C43" i="123"/>
  <c r="CR38" i="123"/>
  <c r="AA43" i="123"/>
  <c r="AA44" i="123" s="1"/>
  <c r="CR18" i="123"/>
  <c r="OG12" i="122"/>
  <c r="NE19" i="122"/>
  <c r="NE20" i="122" s="1"/>
  <c r="NE21" i="122" s="1"/>
  <c r="NE22" i="122" s="1"/>
  <c r="NE23" i="122" s="1"/>
  <c r="NE24" i="122" s="1"/>
  <c r="NE25" i="122" s="1"/>
  <c r="NE26" i="122" s="1"/>
  <c r="NE27" i="122" s="1"/>
  <c r="NE28" i="122" s="1"/>
  <c r="NE29" i="122" s="1"/>
  <c r="NE30" i="122" s="1"/>
  <c r="PA14" i="122"/>
  <c r="NT12" i="122"/>
  <c r="IB11" i="122"/>
  <c r="HT41" i="122"/>
  <c r="HT42" i="122" s="1"/>
  <c r="IB10" i="122"/>
  <c r="IX41" i="122"/>
  <c r="IX42" i="122" s="1"/>
  <c r="IX44" i="122" s="1"/>
  <c r="JB41" i="122"/>
  <c r="JB42" i="122" s="1"/>
  <c r="KO41" i="122"/>
  <c r="KO42" i="122" s="1"/>
  <c r="BA145" i="2" s="1"/>
  <c r="W41" i="122"/>
  <c r="X41" i="122"/>
  <c r="JI41" i="122"/>
  <c r="KQ41" i="122"/>
  <c r="KQ42" i="122" s="1"/>
  <c r="BA147" i="2" s="1"/>
  <c r="NN11" i="122"/>
  <c r="NN12" i="122" s="1"/>
  <c r="NN13" i="122" s="1"/>
  <c r="NN14" i="122" s="1"/>
  <c r="NN15" i="122" s="1"/>
  <c r="NN16" i="122" s="1"/>
  <c r="NN17" i="122" s="1"/>
  <c r="NN18" i="122" s="1"/>
  <c r="NN19" i="122" s="1"/>
  <c r="NN20" i="122" s="1"/>
  <c r="NN21" i="122" s="1"/>
  <c r="NN22" i="122" s="1"/>
  <c r="NN23" i="122" s="1"/>
  <c r="NN24" i="122" s="1"/>
  <c r="NN25" i="122" s="1"/>
  <c r="NN26" i="122" s="1"/>
  <c r="NN27" i="122" s="1"/>
  <c r="NN28" i="122" s="1"/>
  <c r="NN29" i="122" s="1"/>
  <c r="NN30" i="122" s="1"/>
  <c r="NN31" i="122" s="1"/>
  <c r="NN32" i="122" s="1"/>
  <c r="NN33" i="122" s="1"/>
  <c r="NN34" i="122" s="1"/>
  <c r="NN35" i="122" s="1"/>
  <c r="C17" i="122"/>
  <c r="Y10" i="122"/>
  <c r="KR41" i="122"/>
  <c r="KR42" i="122" s="1"/>
  <c r="KR44" i="122" s="1"/>
  <c r="GU41" i="122"/>
  <c r="GU42" i="122" s="1"/>
  <c r="JF10" i="122"/>
  <c r="KP41" i="122"/>
  <c r="KP42" i="122" s="1"/>
  <c r="BA146" i="2" s="1"/>
  <c r="HG41" i="122"/>
  <c r="JL10" i="122"/>
  <c r="KS41" i="122"/>
  <c r="KS42" i="122" s="1"/>
  <c r="KS44" i="122" s="1"/>
  <c r="IQ10" i="122"/>
  <c r="GT41" i="122"/>
  <c r="GT42" i="122" s="1"/>
  <c r="KU41" i="122"/>
  <c r="KU42" i="122" s="1"/>
  <c r="AA41" i="122"/>
  <c r="C13" i="122"/>
  <c r="EY41" i="122"/>
  <c r="EY42" i="122" s="1"/>
  <c r="EY44" i="122" s="1"/>
  <c r="HM10" i="122"/>
  <c r="GK10" i="122" s="1"/>
  <c r="KV41" i="122"/>
  <c r="KV42" i="122" s="1"/>
  <c r="LJ10" i="122"/>
  <c r="FB10" i="122"/>
  <c r="C15" i="122"/>
  <c r="FC10" i="122"/>
  <c r="FC41" i="122" s="1"/>
  <c r="FC42" i="122" s="1"/>
  <c r="FC44" i="122" s="1"/>
  <c r="C12" i="122"/>
  <c r="NG14" i="122"/>
  <c r="LH41" i="122"/>
  <c r="LH42" i="122" s="1"/>
  <c r="BA88" i="2" s="1"/>
  <c r="RX13" i="122"/>
  <c r="C14" i="122"/>
  <c r="IK41" i="122"/>
  <c r="IK42" i="122" s="1"/>
  <c r="OM10" i="122"/>
  <c r="OM11" i="122" s="1"/>
  <c r="OM12" i="122" s="1"/>
  <c r="OM13" i="122" s="1"/>
  <c r="OM14" i="122" s="1"/>
  <c r="RX17" i="122"/>
  <c r="JL11" i="122"/>
  <c r="QN11" i="122"/>
  <c r="C18" i="122"/>
  <c r="RL10" i="122"/>
  <c r="RL11" i="122" s="1"/>
  <c r="RL12" i="122" s="1"/>
  <c r="RL13" i="122" s="1"/>
  <c r="RL14" i="122" s="1"/>
  <c r="RL15" i="122" s="1"/>
  <c r="RL16" i="122" s="1"/>
  <c r="RL17" i="122" s="1"/>
  <c r="HM16" i="122"/>
  <c r="GK16" i="122" s="1"/>
  <c r="C16" i="122"/>
  <c r="RK19" i="122"/>
  <c r="RK20" i="122" s="1"/>
  <c r="RK21" i="122" s="1"/>
  <c r="RK22" i="122" s="1"/>
  <c r="RK23" i="122" s="1"/>
  <c r="RK24" i="122" s="1"/>
  <c r="RK25" i="122" s="1"/>
  <c r="RK26" i="122" s="1"/>
  <c r="RK27" i="122" s="1"/>
  <c r="RK28" i="122" s="1"/>
  <c r="RK29" i="122" s="1"/>
  <c r="RK30" i="122" s="1"/>
  <c r="RK31" i="122" s="1"/>
  <c r="RK32" i="122" s="1"/>
  <c r="RK33" i="122" s="1"/>
  <c r="RK34" i="122" s="1"/>
  <c r="RK35" i="122" s="1"/>
  <c r="RK36" i="122" s="1"/>
  <c r="RK37" i="122" s="1"/>
  <c r="RK38" i="122" s="1"/>
  <c r="RK39" i="122" s="1"/>
  <c r="RK40" i="122" s="1"/>
  <c r="HM23" i="122"/>
  <c r="GK23" i="122" s="1"/>
  <c r="C20" i="122"/>
  <c r="Y23" i="122"/>
  <c r="C25" i="122"/>
  <c r="LJ27" i="122"/>
  <c r="CR41" i="122"/>
  <c r="CR42" i="122" s="1"/>
  <c r="CR44" i="122" s="1"/>
  <c r="ER41" i="122"/>
  <c r="ER42" i="122" s="1"/>
  <c r="ER44" i="122" s="1"/>
  <c r="HK41" i="122"/>
  <c r="KT41" i="122"/>
  <c r="KT42" i="122" s="1"/>
  <c r="IB23" i="122"/>
  <c r="HM28" i="122"/>
  <c r="GK28" i="122" s="1"/>
  <c r="SG21" i="122"/>
  <c r="C29" i="122"/>
  <c r="JF21" i="122"/>
  <c r="GM21" i="122" s="1"/>
  <c r="JF23" i="122"/>
  <c r="GM23" i="122" s="1"/>
  <c r="RX25" i="122"/>
  <c r="QN18" i="122"/>
  <c r="RL19" i="122"/>
  <c r="RL20" i="122" s="1"/>
  <c r="RL21" i="122" s="1"/>
  <c r="RL22" i="122" s="1"/>
  <c r="RL23" i="122" s="1"/>
  <c r="RL24" i="122" s="1"/>
  <c r="RL25" i="122" s="1"/>
  <c r="RL26" i="122" s="1"/>
  <c r="RL27" i="122" s="1"/>
  <c r="RL28" i="122" s="1"/>
  <c r="RL29" i="122" s="1"/>
  <c r="RL30" i="122" s="1"/>
  <c r="RL31" i="122" s="1"/>
  <c r="RL32" i="122" s="1"/>
  <c r="RL33" i="122" s="1"/>
  <c r="RL34" i="122" s="1"/>
  <c r="RL35" i="122" s="1"/>
  <c r="RL36" i="122" s="1"/>
  <c r="RL37" i="122" s="1"/>
  <c r="RL38" i="122" s="1"/>
  <c r="RL39" i="122" s="1"/>
  <c r="RL40" i="122" s="1"/>
  <c r="RX24" i="122"/>
  <c r="QN21" i="122"/>
  <c r="HM25" i="122"/>
  <c r="GK25" i="122" s="1"/>
  <c r="QN12" i="122"/>
  <c r="QN20" i="122"/>
  <c r="HM24" i="122"/>
  <c r="GK24" i="122" s="1"/>
  <c r="C22" i="122"/>
  <c r="LJ24" i="122"/>
  <c r="LJ23" i="122"/>
  <c r="RX30" i="122"/>
  <c r="C32" i="122"/>
  <c r="QN26" i="122"/>
  <c r="QN27" i="122"/>
  <c r="LJ34" i="122"/>
  <c r="QN25" i="122"/>
  <c r="QN28" i="122"/>
  <c r="QN24" i="122"/>
  <c r="QN23" i="122"/>
  <c r="Y29" i="122"/>
  <c r="RX31" i="122"/>
  <c r="QN31" i="122"/>
  <c r="HM33" i="122"/>
  <c r="GK33" i="122" s="1"/>
  <c r="QN34" i="122"/>
  <c r="JF30" i="122"/>
  <c r="GM30" i="122" s="1"/>
  <c r="IB33" i="122"/>
  <c r="CA42" i="122"/>
  <c r="CA44" i="122" s="1"/>
  <c r="QN40" i="122"/>
  <c r="CA41" i="122"/>
  <c r="IQ36" i="122"/>
  <c r="GL36" i="122" s="1"/>
  <c r="RX39" i="122"/>
  <c r="CD42" i="122"/>
  <c r="CD44" i="122" s="1"/>
  <c r="CC44" i="122"/>
  <c r="CD41" i="122"/>
  <c r="BF42" i="122"/>
  <c r="NG40" i="122"/>
  <c r="QN30" i="122"/>
  <c r="C38" i="122"/>
  <c r="C35" i="122"/>
  <c r="O90" i="122"/>
  <c r="E43" i="122"/>
  <c r="QN38" i="122"/>
  <c r="C40" i="122"/>
  <c r="BU44" i="122"/>
  <c r="Q43" i="122"/>
  <c r="QN36" i="122"/>
  <c r="Y40" i="122"/>
  <c r="AW48" i="122"/>
  <c r="AW44" i="122"/>
  <c r="HM38" i="122"/>
  <c r="GK38" i="122" s="1"/>
  <c r="LJ38" i="122"/>
  <c r="QN37" i="122"/>
  <c r="BS48" i="122"/>
  <c r="IC44" i="122"/>
  <c r="Y43" i="122"/>
  <c r="W90" i="122"/>
  <c r="CE42" i="122"/>
  <c r="CG41" i="122"/>
  <c r="CG42" i="122" s="1"/>
  <c r="CG44" i="122" s="1"/>
  <c r="BK44" i="122"/>
  <c r="AK43" i="122"/>
  <c r="AK44" i="122" s="1"/>
  <c r="S90" i="122"/>
  <c r="IQ40" i="122"/>
  <c r="GL40" i="122" s="1"/>
  <c r="AP41" i="122"/>
  <c r="AP42" i="122" s="1"/>
  <c r="AP44" i="122" s="1"/>
  <c r="QN39" i="122"/>
  <c r="AQ42" i="122"/>
  <c r="AS41" i="122"/>
  <c r="HN42" i="122"/>
  <c r="AB58" i="118"/>
  <c r="AB59" i="118"/>
  <c r="AB60" i="118"/>
  <c r="AB61" i="118"/>
  <c r="AB62" i="118"/>
  <c r="AB63" i="118"/>
  <c r="X41" i="118"/>
  <c r="W41" i="118"/>
  <c r="B2" i="118"/>
  <c r="B3" i="118"/>
  <c r="B4" i="118"/>
  <c r="B5" i="118"/>
  <c r="B6" i="118"/>
  <c r="B7" i="118"/>
  <c r="B8" i="118"/>
  <c r="B9" i="118"/>
  <c r="B10" i="118"/>
  <c r="B11" i="118"/>
  <c r="B12" i="118"/>
  <c r="B13" i="118"/>
  <c r="B14" i="118"/>
  <c r="B15" i="118"/>
  <c r="B16" i="118"/>
  <c r="B17" i="118"/>
  <c r="B18" i="118"/>
  <c r="B19" i="118"/>
  <c r="B20" i="118"/>
  <c r="B21" i="118"/>
  <c r="B22" i="118"/>
  <c r="B23" i="118"/>
  <c r="B24" i="118"/>
  <c r="B25" i="118"/>
  <c r="B26" i="118"/>
  <c r="B27" i="118"/>
  <c r="B28" i="118"/>
  <c r="B29" i="118"/>
  <c r="B30" i="118"/>
  <c r="B31" i="118"/>
  <c r="B32" i="118"/>
  <c r="AK15" i="127" l="1"/>
  <c r="AL14" i="127"/>
  <c r="KV44" i="122"/>
  <c r="BA160" i="2"/>
  <c r="KU44" i="122"/>
  <c r="BA159" i="2"/>
  <c r="KT44" i="122"/>
  <c r="BA158" i="2"/>
  <c r="AS13" i="123"/>
  <c r="AS14" i="123" s="1"/>
  <c r="AS15" i="123" s="1"/>
  <c r="AS16" i="123" s="1"/>
  <c r="AS17" i="123" s="1"/>
  <c r="AS18" i="123" s="1"/>
  <c r="AS19" i="123" s="1"/>
  <c r="AS20" i="123" s="1"/>
  <c r="AS21" i="123" s="1"/>
  <c r="AS22" i="123" s="1"/>
  <c r="AS23" i="123" s="1"/>
  <c r="AS24" i="123" s="1"/>
  <c r="AS25" i="123" s="1"/>
  <c r="AS26" i="123" s="1"/>
  <c r="AS27" i="123" s="1"/>
  <c r="AS28" i="123" s="1"/>
  <c r="AS29" i="123" s="1"/>
  <c r="AS30" i="123" s="1"/>
  <c r="AS31" i="123" s="1"/>
  <c r="AS32" i="123" s="1"/>
  <c r="AS33" i="123" s="1"/>
  <c r="AS34" i="123" s="1"/>
  <c r="AS35" i="123" s="1"/>
  <c r="AS36" i="123" s="1"/>
  <c r="AS37" i="123" s="1"/>
  <c r="AS38" i="123" s="1"/>
  <c r="AS39" i="123" s="1"/>
  <c r="AS40" i="123" s="1"/>
  <c r="AS41" i="123" s="1"/>
  <c r="AS42" i="123" s="1"/>
  <c r="AS43" i="123" s="1"/>
  <c r="AS44" i="123" s="1"/>
  <c r="AS11" i="125" s="1"/>
  <c r="AS12" i="125" s="1"/>
  <c r="AS13" i="125" s="1"/>
  <c r="AS14" i="125" s="1"/>
  <c r="AS15" i="125" s="1"/>
  <c r="AS16" i="125" s="1"/>
  <c r="AS17" i="125" s="1"/>
  <c r="AS18" i="125" s="1"/>
  <c r="AS19" i="125" s="1"/>
  <c r="AS20" i="125" s="1"/>
  <c r="AS21" i="125" s="1"/>
  <c r="AS22" i="125" s="1"/>
  <c r="AS23" i="125" s="1"/>
  <c r="AS24" i="125" s="1"/>
  <c r="AS25" i="125" s="1"/>
  <c r="AS26" i="125" s="1"/>
  <c r="AS27" i="125" s="1"/>
  <c r="AS28" i="125" s="1"/>
  <c r="AS29" i="125" s="1"/>
  <c r="AS30" i="125" s="1"/>
  <c r="AS31" i="125" s="1"/>
  <c r="AS32" i="125" s="1"/>
  <c r="AS33" i="125" s="1"/>
  <c r="AS34" i="125" s="1"/>
  <c r="AS35" i="125" s="1"/>
  <c r="AS36" i="125" s="1"/>
  <c r="AS37" i="125" s="1"/>
  <c r="AS38" i="125" s="1"/>
  <c r="AS39" i="125" s="1"/>
  <c r="AS40" i="125" s="1"/>
  <c r="AS41" i="125" s="1"/>
  <c r="AS42" i="125" s="1"/>
  <c r="AS43" i="125" s="1"/>
  <c r="D35" i="123"/>
  <c r="GH30" i="122"/>
  <c r="FD30" i="122" s="1"/>
  <c r="FE30" i="122" s="1"/>
  <c r="GH11" i="122"/>
  <c r="FD11" i="122" s="1"/>
  <c r="FE11" i="122" s="1"/>
  <c r="GH31" i="122"/>
  <c r="FD31" i="122" s="1"/>
  <c r="FE31" i="122" s="1"/>
  <c r="GH12" i="122"/>
  <c r="FD12" i="122" s="1"/>
  <c r="FE12" i="122" s="1"/>
  <c r="GH32" i="122"/>
  <c r="FD32" i="122" s="1"/>
  <c r="FE32" i="122" s="1"/>
  <c r="GH13" i="122"/>
  <c r="FD13" i="122" s="1"/>
  <c r="FE13" i="122" s="1"/>
  <c r="GH33" i="122"/>
  <c r="FD33" i="122" s="1"/>
  <c r="FE33" i="122" s="1"/>
  <c r="GH14" i="122"/>
  <c r="FD14" i="122" s="1"/>
  <c r="FE14" i="122" s="1"/>
  <c r="GH34" i="122"/>
  <c r="FD34" i="122" s="1"/>
  <c r="FE34" i="122" s="1"/>
  <c r="GH15" i="122"/>
  <c r="FD15" i="122" s="1"/>
  <c r="FE15" i="122" s="1"/>
  <c r="GH35" i="122"/>
  <c r="GH38" i="122"/>
  <c r="FD38" i="122" s="1"/>
  <c r="FE38" i="122" s="1"/>
  <c r="GH16" i="122"/>
  <c r="FD16" i="122" s="1"/>
  <c r="FE16" i="122" s="1"/>
  <c r="GH36" i="122"/>
  <c r="FD36" i="122" s="1"/>
  <c r="FE36" i="122" s="1"/>
  <c r="GH17" i="122"/>
  <c r="FD17" i="122" s="1"/>
  <c r="FE17" i="122" s="1"/>
  <c r="GH37" i="122"/>
  <c r="FD37" i="122" s="1"/>
  <c r="FE37" i="122" s="1"/>
  <c r="GH18" i="122"/>
  <c r="FD18" i="122" s="1"/>
  <c r="FE18" i="122" s="1"/>
  <c r="GH19" i="122"/>
  <c r="FD19" i="122" s="1"/>
  <c r="FE19" i="122" s="1"/>
  <c r="GH39" i="122"/>
  <c r="FD39" i="122" s="1"/>
  <c r="FE39" i="122" s="1"/>
  <c r="GH20" i="122"/>
  <c r="FD20" i="122" s="1"/>
  <c r="FE20" i="122" s="1"/>
  <c r="GH40" i="122"/>
  <c r="FD40" i="122" s="1"/>
  <c r="FE40" i="122" s="1"/>
  <c r="GH21" i="122"/>
  <c r="FD21" i="122" s="1"/>
  <c r="FE21" i="122" s="1"/>
  <c r="GH22" i="122"/>
  <c r="FD22" i="122" s="1"/>
  <c r="FE22" i="122" s="1"/>
  <c r="GH23" i="122"/>
  <c r="FD23" i="122" s="1"/>
  <c r="FE23" i="122" s="1"/>
  <c r="GH24" i="122"/>
  <c r="FD24" i="122" s="1"/>
  <c r="FE24" i="122" s="1"/>
  <c r="GH25" i="122"/>
  <c r="FD25" i="122" s="1"/>
  <c r="FE25" i="122" s="1"/>
  <c r="GH26" i="122"/>
  <c r="FD26" i="122" s="1"/>
  <c r="FE26" i="122" s="1"/>
  <c r="GH27" i="122"/>
  <c r="FD27" i="122" s="1"/>
  <c r="FE27" i="122" s="1"/>
  <c r="GH28" i="122"/>
  <c r="FD28" i="122" s="1"/>
  <c r="FE28" i="122" s="1"/>
  <c r="GH29" i="122"/>
  <c r="FD29" i="122" s="1"/>
  <c r="FE29" i="122" s="1"/>
  <c r="BE25" i="122"/>
  <c r="QN17" i="122"/>
  <c r="PG13" i="122"/>
  <c r="PG11" i="122"/>
  <c r="PG12" i="122"/>
  <c r="AG43" i="123"/>
  <c r="AG44" i="123" s="1"/>
  <c r="E40" i="123"/>
  <c r="QN16" i="122"/>
  <c r="QN15" i="122"/>
  <c r="GN39" i="122"/>
  <c r="O49" i="122"/>
  <c r="QR21" i="122"/>
  <c r="QN14" i="122"/>
  <c r="QQ30" i="122"/>
  <c r="GN36" i="122"/>
  <c r="SD37" i="122"/>
  <c r="D16" i="123"/>
  <c r="CN16" i="123" s="1"/>
  <c r="E41" i="123"/>
  <c r="GN25" i="122"/>
  <c r="GN18" i="122"/>
  <c r="GN29" i="122"/>
  <c r="GN22" i="122"/>
  <c r="GN15" i="122"/>
  <c r="GN16" i="122"/>
  <c r="GN31" i="122"/>
  <c r="O44" i="122"/>
  <c r="GN34" i="122"/>
  <c r="GN38" i="122"/>
  <c r="GY49" i="122" s="1"/>
  <c r="GN35" i="122"/>
  <c r="QQ37" i="122"/>
  <c r="QR37" i="122"/>
  <c r="SD30" i="122"/>
  <c r="GN13" i="122"/>
  <c r="QN13" i="122"/>
  <c r="SD33" i="122"/>
  <c r="QQ33" i="122"/>
  <c r="QR27" i="122"/>
  <c r="SD15" i="122"/>
  <c r="IB42" i="122"/>
  <c r="SD21" i="122"/>
  <c r="GN32" i="122"/>
  <c r="GN27" i="122"/>
  <c r="QQ38" i="122"/>
  <c r="SD27" i="122"/>
  <c r="JF42" i="122"/>
  <c r="JF44" i="122" s="1"/>
  <c r="SD38" i="122"/>
  <c r="GN26" i="122"/>
  <c r="QR20" i="122"/>
  <c r="AG42" i="122"/>
  <c r="AG44" i="122" s="1"/>
  <c r="GN37" i="122"/>
  <c r="AE44" i="122"/>
  <c r="BA24" i="2"/>
  <c r="BA85" i="2"/>
  <c r="AX43" i="123"/>
  <c r="AX44" i="123" s="1"/>
  <c r="SD20" i="122"/>
  <c r="GN11" i="122"/>
  <c r="GN24" i="122"/>
  <c r="SD12" i="122"/>
  <c r="IB41" i="122"/>
  <c r="QQ12" i="122"/>
  <c r="MZ10" i="122"/>
  <c r="II44" i="122"/>
  <c r="KQ44" i="122"/>
  <c r="IP42" i="122"/>
  <c r="IP44" i="122" s="1"/>
  <c r="HG42" i="122"/>
  <c r="GN20" i="122"/>
  <c r="IM44" i="122"/>
  <c r="KP44" i="122"/>
  <c r="GV44" i="122"/>
  <c r="GU44" i="122"/>
  <c r="IK44" i="122"/>
  <c r="JJ44" i="122"/>
  <c r="BA67" i="2"/>
  <c r="GT44" i="122"/>
  <c r="GS44" i="122"/>
  <c r="KO44" i="122"/>
  <c r="HK42" i="122"/>
  <c r="HK44" i="122" s="1"/>
  <c r="JB44" i="122"/>
  <c r="HI44" i="122"/>
  <c r="IZ44" i="122"/>
  <c r="E38" i="123"/>
  <c r="E30" i="123"/>
  <c r="E24" i="123"/>
  <c r="PZ38" i="122"/>
  <c r="DB40" i="122"/>
  <c r="DB31" i="122"/>
  <c r="DB22" i="122"/>
  <c r="DB13" i="122"/>
  <c r="BE20" i="122"/>
  <c r="BE13" i="122"/>
  <c r="BE19" i="122"/>
  <c r="PZ21" i="122"/>
  <c r="BE38" i="122"/>
  <c r="PZ37" i="122"/>
  <c r="PZ20" i="122"/>
  <c r="DB39" i="122"/>
  <c r="DB30" i="122"/>
  <c r="DB21" i="122"/>
  <c r="DB12" i="122"/>
  <c r="BE32" i="122"/>
  <c r="BE26" i="122"/>
  <c r="PZ36" i="122"/>
  <c r="PZ19" i="122"/>
  <c r="PZ35" i="122"/>
  <c r="PZ17" i="122"/>
  <c r="DB29" i="122"/>
  <c r="DB20" i="122"/>
  <c r="DB11" i="122"/>
  <c r="PZ34" i="122"/>
  <c r="PZ16" i="122"/>
  <c r="DB38" i="122"/>
  <c r="BE37" i="122"/>
  <c r="BE31" i="122"/>
  <c r="PZ33" i="122"/>
  <c r="PZ15" i="122"/>
  <c r="DB19" i="122"/>
  <c r="BE18" i="122"/>
  <c r="PZ32" i="122"/>
  <c r="PZ14" i="122"/>
  <c r="DB37" i="122"/>
  <c r="DB28" i="122"/>
  <c r="PZ13" i="122"/>
  <c r="BE36" i="122"/>
  <c r="BE24" i="122"/>
  <c r="PZ31" i="122"/>
  <c r="PZ12" i="122"/>
  <c r="DB36" i="122"/>
  <c r="DB27" i="122"/>
  <c r="DB18" i="122"/>
  <c r="BE30" i="122"/>
  <c r="BE17" i="122"/>
  <c r="PZ30" i="122"/>
  <c r="PZ11" i="122"/>
  <c r="RR30" i="122"/>
  <c r="PZ29" i="122"/>
  <c r="DB35" i="122"/>
  <c r="DB26" i="122"/>
  <c r="DB17" i="122"/>
  <c r="BE35" i="122"/>
  <c r="BE23" i="122"/>
  <c r="PZ28" i="122"/>
  <c r="BE29" i="122"/>
  <c r="BE16" i="122"/>
  <c r="BE33" i="122"/>
  <c r="DB34" i="122"/>
  <c r="DB25" i="122"/>
  <c r="DB16" i="122"/>
  <c r="BE15" i="122"/>
  <c r="PZ27" i="122"/>
  <c r="BE40" i="122"/>
  <c r="BE22" i="122"/>
  <c r="PZ26" i="122"/>
  <c r="DB24" i="122"/>
  <c r="DB15" i="122"/>
  <c r="BE28" i="122"/>
  <c r="BE14" i="122"/>
  <c r="PZ25" i="122"/>
  <c r="DB33" i="122"/>
  <c r="BE34" i="122"/>
  <c r="BE21" i="122"/>
  <c r="BE12" i="122"/>
  <c r="PZ18" i="122"/>
  <c r="PZ24" i="122"/>
  <c r="DB14" i="122"/>
  <c r="BE39" i="122"/>
  <c r="BE27" i="122"/>
  <c r="RR18" i="122"/>
  <c r="PZ40" i="122"/>
  <c r="PZ23" i="122"/>
  <c r="DB32" i="122"/>
  <c r="DB23" i="122"/>
  <c r="BE11" i="122"/>
  <c r="PZ39" i="122"/>
  <c r="PZ22" i="122"/>
  <c r="CN35" i="123"/>
  <c r="D32" i="123"/>
  <c r="CN32" i="123" s="1"/>
  <c r="E27" i="123"/>
  <c r="D25" i="123"/>
  <c r="CN25" i="123" s="1"/>
  <c r="D21" i="123"/>
  <c r="CN21" i="123" s="1"/>
  <c r="E18" i="123"/>
  <c r="E20" i="123"/>
  <c r="JW41" i="122"/>
  <c r="JW42" i="122" s="1"/>
  <c r="JW44" i="122" s="1"/>
  <c r="KD41" i="122"/>
  <c r="KD42" i="122" s="1"/>
  <c r="KD44" i="122" s="1"/>
  <c r="JT41" i="122"/>
  <c r="JT42" i="122" s="1"/>
  <c r="JT44" i="122" s="1"/>
  <c r="QR22" i="122"/>
  <c r="JS41" i="122"/>
  <c r="JS42" i="122" s="1"/>
  <c r="JS44" i="122" s="1"/>
  <c r="QQ15" i="122"/>
  <c r="QR15" i="122"/>
  <c r="JX41" i="122"/>
  <c r="JX42" i="122" s="1"/>
  <c r="JX44" i="122" s="1"/>
  <c r="KA41" i="122"/>
  <c r="KA42" i="122" s="1"/>
  <c r="KA44" i="122" s="1"/>
  <c r="KC41" i="122"/>
  <c r="KC42" i="122" s="1"/>
  <c r="KC44" i="122" s="1"/>
  <c r="JV41" i="122"/>
  <c r="JV42" i="122" s="1"/>
  <c r="JV44" i="122" s="1"/>
  <c r="JY41" i="122"/>
  <c r="JY42" i="122" s="1"/>
  <c r="JY44" i="122" s="1"/>
  <c r="JJ48" i="122"/>
  <c r="JJ209" i="122" s="1"/>
  <c r="SD22" i="122"/>
  <c r="KL41" i="122"/>
  <c r="KL42" i="122" s="1"/>
  <c r="KL44" i="122" s="1"/>
  <c r="KB41" i="122"/>
  <c r="KB42" i="122" s="1"/>
  <c r="KB44" i="122" s="1"/>
  <c r="GN21" i="122"/>
  <c r="GN14" i="122"/>
  <c r="GN17" i="122"/>
  <c r="GN12" i="122"/>
  <c r="GN28" i="122"/>
  <c r="GN33" i="122"/>
  <c r="GN19" i="122"/>
  <c r="GN40" i="122"/>
  <c r="GN30" i="122"/>
  <c r="MZ11" i="122"/>
  <c r="HM41" i="122"/>
  <c r="E26" i="123"/>
  <c r="D26" i="123"/>
  <c r="CN26" i="123" s="1"/>
  <c r="D22" i="123"/>
  <c r="CN22" i="123" s="1"/>
  <c r="E22" i="123"/>
  <c r="E23" i="123"/>
  <c r="D23" i="123"/>
  <c r="CN23" i="123" s="1"/>
  <c r="E37" i="123"/>
  <c r="D37" i="123"/>
  <c r="CN37" i="123" s="1"/>
  <c r="BC43" i="123" a="1"/>
  <c r="BC43" i="123" s="1"/>
  <c r="BC44" i="123" s="1"/>
  <c r="E33" i="123"/>
  <c r="D33" i="123"/>
  <c r="CN33" i="123" s="1"/>
  <c r="D34" i="123"/>
  <c r="CN34" i="123" s="1"/>
  <c r="E34" i="123"/>
  <c r="BB43" i="123" a="1"/>
  <c r="BB43" i="123" s="1"/>
  <c r="BB44" i="123" s="1"/>
  <c r="D29" i="123"/>
  <c r="CN29" i="123" s="1"/>
  <c r="E29" i="123"/>
  <c r="E19" i="123"/>
  <c r="D19" i="123"/>
  <c r="CN19" i="123" s="1"/>
  <c r="E15" i="123"/>
  <c r="D15" i="123"/>
  <c r="CN15" i="123" s="1"/>
  <c r="D14" i="123"/>
  <c r="CN14" i="123" s="1"/>
  <c r="E14" i="123"/>
  <c r="D36" i="123"/>
  <c r="CN36" i="123" s="1"/>
  <c r="E36" i="123"/>
  <c r="E13" i="123"/>
  <c r="D13" i="123"/>
  <c r="CN13" i="123" s="1"/>
  <c r="BA43" i="123" a="1"/>
  <c r="BA43" i="123" s="1"/>
  <c r="BA44" i="123" s="1"/>
  <c r="E39" i="123"/>
  <c r="D39" i="123"/>
  <c r="CN39" i="123" s="1"/>
  <c r="E42" i="123"/>
  <c r="D42" i="123"/>
  <c r="CN42" i="123" s="1"/>
  <c r="AZ43" i="123" a="1"/>
  <c r="AZ43" i="123" s="1"/>
  <c r="AZ44" i="123" s="1"/>
  <c r="Q43" i="123"/>
  <c r="D12" i="123"/>
  <c r="BD43" i="123" a="1"/>
  <c r="BD43" i="123" s="1"/>
  <c r="BD44" i="123" s="1"/>
  <c r="E28" i="123"/>
  <c r="D28" i="123"/>
  <c r="CN28" i="123" s="1"/>
  <c r="D17" i="123"/>
  <c r="CN17" i="123" s="1"/>
  <c r="E17" i="123"/>
  <c r="D31" i="123"/>
  <c r="CN31" i="123" s="1"/>
  <c r="E31" i="123"/>
  <c r="QQ26" i="122"/>
  <c r="QR26" i="122"/>
  <c r="SD26" i="122"/>
  <c r="BA115" i="2"/>
  <c r="MZ12" i="122"/>
  <c r="PO13" i="122"/>
  <c r="AQ44" i="122"/>
  <c r="AS42" i="122"/>
  <c r="AS44" i="122" s="1"/>
  <c r="QN35" i="122"/>
  <c r="KE41" i="122"/>
  <c r="KE42" i="122" s="1"/>
  <c r="KE44" i="122" s="1"/>
  <c r="PG14" i="122"/>
  <c r="PA15" i="122"/>
  <c r="KF41" i="122"/>
  <c r="KF42" i="122" s="1"/>
  <c r="KF44" i="122" s="1"/>
  <c r="QN32" i="122"/>
  <c r="RM19" i="122"/>
  <c r="PM41" i="122"/>
  <c r="PM42" i="122" s="1"/>
  <c r="KH41" i="122"/>
  <c r="KH42" i="122" s="1"/>
  <c r="KH44" i="122" s="1"/>
  <c r="Y41" i="122"/>
  <c r="BA105" i="2"/>
  <c r="RM10" i="122"/>
  <c r="RM20" i="122"/>
  <c r="RJ21" i="122"/>
  <c r="JU41" i="122"/>
  <c r="JU42" i="122" s="1"/>
  <c r="JU44" i="122" s="1"/>
  <c r="KI41" i="122"/>
  <c r="KI42" i="122" s="1"/>
  <c r="KI44" i="122" s="1"/>
  <c r="GW41" i="122"/>
  <c r="GW42" i="122" s="1"/>
  <c r="GW44" i="122" s="1"/>
  <c r="RX10" i="122"/>
  <c r="SD10" i="122" s="1"/>
  <c r="JL41" i="122"/>
  <c r="QR10" i="122"/>
  <c r="QQ10" i="122"/>
  <c r="QR36" i="122"/>
  <c r="QQ36" i="122"/>
  <c r="SD36" i="122"/>
  <c r="KG41" i="122"/>
  <c r="KG42" i="122" s="1"/>
  <c r="KG44" i="122" s="1"/>
  <c r="BA31" i="2"/>
  <c r="SD35" i="122"/>
  <c r="QR35" i="122"/>
  <c r="QQ35" i="122"/>
  <c r="QR31" i="122"/>
  <c r="QQ31" i="122"/>
  <c r="SD31" i="122"/>
  <c r="SD16" i="122"/>
  <c r="QR16" i="122"/>
  <c r="QQ16" i="122"/>
  <c r="SD18" i="122"/>
  <c r="QR18" i="122"/>
  <c r="QQ18" i="122"/>
  <c r="QR17" i="122"/>
  <c r="QQ17" i="122"/>
  <c r="SD17" i="122"/>
  <c r="KJ41" i="122"/>
  <c r="KJ42" i="122" s="1"/>
  <c r="KJ44" i="122" s="1"/>
  <c r="RJ12" i="122"/>
  <c r="RM11" i="122"/>
  <c r="SD39" i="122"/>
  <c r="QR39" i="122"/>
  <c r="QQ39" i="122"/>
  <c r="NG41" i="122"/>
  <c r="NG42" i="122" s="1"/>
  <c r="NS42" i="122" s="1"/>
  <c r="QQ14" i="122"/>
  <c r="SD14" i="122"/>
  <c r="QR14" i="122"/>
  <c r="KK41" i="122"/>
  <c r="KK42" i="122" s="1"/>
  <c r="KK44" i="122" s="1"/>
  <c r="NT13" i="122"/>
  <c r="QR34" i="122"/>
  <c r="QQ34" i="122"/>
  <c r="SD34" i="122"/>
  <c r="QR29" i="122"/>
  <c r="QQ29" i="122"/>
  <c r="SD29" i="122"/>
  <c r="SD28" i="122"/>
  <c r="QR28" i="122"/>
  <c r="QQ28" i="122"/>
  <c r="CE48" i="122"/>
  <c r="CE44" i="122"/>
  <c r="JZ41" i="122"/>
  <c r="JZ42" i="122" s="1"/>
  <c r="JZ44" i="122" s="1"/>
  <c r="C41" i="122"/>
  <c r="JF41" i="122"/>
  <c r="GM10" i="122"/>
  <c r="GM41" i="122" s="1"/>
  <c r="GM42" i="122" s="1"/>
  <c r="GM44" i="122" s="1"/>
  <c r="SD25" i="122"/>
  <c r="QR25" i="122"/>
  <c r="QQ25" i="122"/>
  <c r="QN19" i="122"/>
  <c r="SD19" i="122"/>
  <c r="QR19" i="122"/>
  <c r="QQ19" i="122"/>
  <c r="S42" i="122"/>
  <c r="BA27" i="2" s="1"/>
  <c r="BF44" i="122"/>
  <c r="QR23" i="122"/>
  <c r="SD23" i="122"/>
  <c r="QQ23" i="122"/>
  <c r="QQ24" i="122"/>
  <c r="QR24" i="122"/>
  <c r="SD24" i="122"/>
  <c r="JQ41" i="122"/>
  <c r="JQ42" i="122" s="1"/>
  <c r="JQ44" i="122" s="1"/>
  <c r="JO41" i="122"/>
  <c r="JO42" i="122" s="1"/>
  <c r="JO44" i="122" s="1"/>
  <c r="QN10" i="122"/>
  <c r="NE31" i="122"/>
  <c r="SD32" i="122"/>
  <c r="QQ32" i="122"/>
  <c r="QR32" i="122"/>
  <c r="NG15" i="122"/>
  <c r="JP41" i="122"/>
  <c r="JP42" i="122" s="1"/>
  <c r="JP44" i="122" s="1"/>
  <c r="GN23" i="122"/>
  <c r="JJ301" i="122"/>
  <c r="JI42" i="122"/>
  <c r="BA62" i="2" s="1"/>
  <c r="JI48" i="122"/>
  <c r="JI209" i="122" s="1"/>
  <c r="QQ11" i="122"/>
  <c r="QR11" i="122"/>
  <c r="SD11" i="122"/>
  <c r="QR13" i="122"/>
  <c r="SD13" i="122"/>
  <c r="QQ13" i="122"/>
  <c r="FB41" i="122"/>
  <c r="FB42" i="122" s="1"/>
  <c r="FB44" i="122" s="1"/>
  <c r="JR41" i="122"/>
  <c r="JR42" i="122" s="1"/>
  <c r="JR44" i="122" s="1"/>
  <c r="IQ41" i="122"/>
  <c r="GL41" i="122" s="1"/>
  <c r="GL10" i="122"/>
  <c r="QQ40" i="122"/>
  <c r="QR40" i="122"/>
  <c r="SD40" i="122"/>
  <c r="QN33" i="122"/>
  <c r="LJ41" i="122"/>
  <c r="LJ42" i="122" s="1"/>
  <c r="GK41" i="122"/>
  <c r="GK42" i="122" s="1"/>
  <c r="GK44" i="122" s="1"/>
  <c r="OG13" i="122"/>
  <c r="AS4" i="121"/>
  <c r="AK16" i="127" l="1"/>
  <c r="AL15" i="127"/>
  <c r="FD35" i="122"/>
  <c r="FE35" i="122" s="1"/>
  <c r="JL47" i="122"/>
  <c r="JL290" i="122" s="1"/>
  <c r="JL292" i="122"/>
  <c r="RR26" i="122"/>
  <c r="RR35" i="122"/>
  <c r="RR17" i="122"/>
  <c r="AA44" i="122"/>
  <c r="BA32" i="2"/>
  <c r="RR19" i="122"/>
  <c r="RR34" i="122"/>
  <c r="RR38" i="122"/>
  <c r="RR15" i="122"/>
  <c r="RR39" i="122"/>
  <c r="RR21" i="122"/>
  <c r="RR10" i="122"/>
  <c r="RR16" i="122"/>
  <c r="RR29" i="122"/>
  <c r="RR37" i="122"/>
  <c r="RR13" i="122"/>
  <c r="RR22" i="122"/>
  <c r="RR40" i="122"/>
  <c r="RR27" i="122"/>
  <c r="RR33" i="122"/>
  <c r="RR11" i="122"/>
  <c r="RR32" i="122"/>
  <c r="RR24" i="122"/>
  <c r="RR12" i="122"/>
  <c r="RR28" i="122"/>
  <c r="RR36" i="122"/>
  <c r="RR14" i="122"/>
  <c r="RR23" i="122"/>
  <c r="RR31" i="122"/>
  <c r="RR25" i="122"/>
  <c r="RR20" i="122"/>
  <c r="AB17" i="122"/>
  <c r="AC17" i="122" s="1"/>
  <c r="BR17" i="122"/>
  <c r="BR34" i="122"/>
  <c r="AB34" i="122"/>
  <c r="AC34" i="122" s="1"/>
  <c r="AB32" i="122"/>
  <c r="AC32" i="122" s="1"/>
  <c r="BR32" i="122"/>
  <c r="AB26" i="122"/>
  <c r="AC26" i="122" s="1"/>
  <c r="BR26" i="122"/>
  <c r="BR16" i="122"/>
  <c r="AB16" i="122"/>
  <c r="AC16" i="122" s="1"/>
  <c r="AB25" i="122"/>
  <c r="AC25" i="122" s="1"/>
  <c r="BR25" i="122"/>
  <c r="AB15" i="122"/>
  <c r="AC15" i="122" s="1"/>
  <c r="BR15" i="122"/>
  <c r="AB31" i="122"/>
  <c r="AC31" i="122" s="1"/>
  <c r="BR31" i="122"/>
  <c r="BR14" i="122"/>
  <c r="AB14" i="122"/>
  <c r="AC14" i="122" s="1"/>
  <c r="AB24" i="122"/>
  <c r="AC24" i="122" s="1"/>
  <c r="BR24" i="122"/>
  <c r="BR29" i="122"/>
  <c r="AB29" i="122"/>
  <c r="AC29" i="122" s="1"/>
  <c r="BR23" i="122"/>
  <c r="AB23" i="122"/>
  <c r="AC23" i="122" s="1"/>
  <c r="AB13" i="122"/>
  <c r="AC13" i="122" s="1"/>
  <c r="BR13" i="122"/>
  <c r="AB33" i="122"/>
  <c r="AC33" i="122" s="1"/>
  <c r="BR33" i="122"/>
  <c r="AB12" i="122"/>
  <c r="AC12" i="122" s="1"/>
  <c r="BR12" i="122"/>
  <c r="AB22" i="122"/>
  <c r="AC22" i="122" s="1"/>
  <c r="BR22" i="122"/>
  <c r="AB30" i="122"/>
  <c r="AC30" i="122" s="1"/>
  <c r="BR30" i="122"/>
  <c r="BR27" i="122"/>
  <c r="AB27" i="122"/>
  <c r="AC27" i="122" s="1"/>
  <c r="AB11" i="122"/>
  <c r="AC11" i="122" s="1"/>
  <c r="BR11" i="122"/>
  <c r="AB21" i="122"/>
  <c r="AC21" i="122" s="1"/>
  <c r="BR21" i="122"/>
  <c r="BR35" i="122"/>
  <c r="AB35" i="122"/>
  <c r="AC35" i="122" s="1"/>
  <c r="AB28" i="122"/>
  <c r="AC28" i="122" s="1"/>
  <c r="BR28" i="122"/>
  <c r="BR37" i="122"/>
  <c r="AB37" i="122"/>
  <c r="AC37" i="122" s="1"/>
  <c r="BR20" i="122"/>
  <c r="AB20" i="122"/>
  <c r="AC20" i="122" s="1"/>
  <c r="BR36" i="122"/>
  <c r="AB36" i="122"/>
  <c r="AC36" i="122" s="1"/>
  <c r="BQ41" i="122"/>
  <c r="AB10" i="122"/>
  <c r="AC10" i="122" s="1"/>
  <c r="BR41" i="122"/>
  <c r="BR42" i="122" s="1"/>
  <c r="BR44" i="122" s="1"/>
  <c r="BR10" i="122"/>
  <c r="AB40" i="122"/>
  <c r="AC40" i="122" s="1"/>
  <c r="BR40" i="122"/>
  <c r="AB19" i="122"/>
  <c r="AC19" i="122" s="1"/>
  <c r="BR19" i="122"/>
  <c r="AB39" i="122"/>
  <c r="AC39" i="122" s="1"/>
  <c r="BR39" i="122"/>
  <c r="BR18" i="122"/>
  <c r="AB18" i="122"/>
  <c r="AC18" i="122" s="1"/>
  <c r="BR38" i="122"/>
  <c r="AB38" i="122"/>
  <c r="AC38" i="122" s="1"/>
  <c r="CZ28" i="122"/>
  <c r="EA41" i="122"/>
  <c r="EA42" i="122" s="1"/>
  <c r="EA44" i="122" s="1"/>
  <c r="GD41" i="122"/>
  <c r="GD42" i="122" s="1"/>
  <c r="GD44" i="122" s="1"/>
  <c r="GH10" i="122"/>
  <c r="CZ38" i="122"/>
  <c r="IQ42" i="122"/>
  <c r="IQ44" i="122" s="1"/>
  <c r="CZ11" i="122"/>
  <c r="CZ22" i="122"/>
  <c r="CZ18" i="122"/>
  <c r="CZ34" i="122"/>
  <c r="GN10" i="122"/>
  <c r="GN41" i="122" s="1"/>
  <c r="GN42" i="122" s="1"/>
  <c r="GN44" i="122" s="1"/>
  <c r="CZ29" i="122"/>
  <c r="CZ13" i="122"/>
  <c r="CZ36" i="122"/>
  <c r="EE40" i="122"/>
  <c r="CZ25" i="122"/>
  <c r="EE20" i="122"/>
  <c r="EE38" i="122"/>
  <c r="EE27" i="122"/>
  <c r="CZ31" i="122"/>
  <c r="EE22" i="122"/>
  <c r="CZ16" i="122"/>
  <c r="EE34" i="122"/>
  <c r="CZ19" i="122"/>
  <c r="CZ21" i="122"/>
  <c r="CZ26" i="122"/>
  <c r="EE18" i="122"/>
  <c r="CZ12" i="122"/>
  <c r="EE39" i="122"/>
  <c r="CZ17" i="122"/>
  <c r="CZ39" i="122"/>
  <c r="CZ27" i="122"/>
  <c r="CZ35" i="122"/>
  <c r="CZ30" i="122"/>
  <c r="AX46" i="123"/>
  <c r="AX47" i="123" s="1"/>
  <c r="AD25" i="95"/>
  <c r="AD16" i="95" s="1"/>
  <c r="EE16" i="122"/>
  <c r="CZ37" i="122"/>
  <c r="EE31" i="122"/>
  <c r="EE24" i="122"/>
  <c r="CZ20" i="122"/>
  <c r="CZ40" i="122"/>
  <c r="EE29" i="122"/>
  <c r="EE12" i="122"/>
  <c r="EE35" i="122"/>
  <c r="EE30" i="122"/>
  <c r="BA89" i="2"/>
  <c r="BA78" i="2"/>
  <c r="JW45" i="122"/>
  <c r="HG44" i="122"/>
  <c r="HM42" i="122"/>
  <c r="HM44" i="122" s="1"/>
  <c r="JI44" i="122"/>
  <c r="AD5" i="95"/>
  <c r="EE23" i="122"/>
  <c r="EE32" i="122"/>
  <c r="EE17" i="122"/>
  <c r="EE26" i="122"/>
  <c r="EE21" i="122"/>
  <c r="EE33" i="122"/>
  <c r="EE13" i="122"/>
  <c r="PY28" i="122"/>
  <c r="RP28" i="122"/>
  <c r="BO38" i="122"/>
  <c r="T38" i="122"/>
  <c r="PY33" i="122"/>
  <c r="RP33" i="122"/>
  <c r="AY23" i="122"/>
  <c r="P23" i="122"/>
  <c r="T10" i="122"/>
  <c r="BO41" i="122"/>
  <c r="BO42" i="122" s="1"/>
  <c r="BO44" i="122" s="1"/>
  <c r="BO10" i="122"/>
  <c r="BM41" i="122"/>
  <c r="BM42" i="122" s="1"/>
  <c r="BM44" i="122" s="1"/>
  <c r="CX23" i="122"/>
  <c r="DR23" i="122"/>
  <c r="CX12" i="122"/>
  <c r="DR12" i="122"/>
  <c r="CX32" i="122"/>
  <c r="DR32" i="122"/>
  <c r="P26" i="122"/>
  <c r="AY26" i="122"/>
  <c r="RP27" i="122"/>
  <c r="PY27" i="122"/>
  <c r="RP11" i="122"/>
  <c r="PY11" i="122"/>
  <c r="RP29" i="122"/>
  <c r="PY29" i="122"/>
  <c r="BO21" i="122"/>
  <c r="T21" i="122"/>
  <c r="U21" i="122" s="1"/>
  <c r="T24" i="122"/>
  <c r="U24" i="122" s="1"/>
  <c r="BO24" i="122"/>
  <c r="CX10" i="122"/>
  <c r="DL41" i="122"/>
  <c r="DL42" i="122" s="1"/>
  <c r="DL44" i="122" s="1"/>
  <c r="DR10" i="122"/>
  <c r="AY24" i="122"/>
  <c r="P24" i="122"/>
  <c r="EE11" i="122"/>
  <c r="AY32" i="122"/>
  <c r="P32" i="122"/>
  <c r="AY15" i="122"/>
  <c r="P15" i="122"/>
  <c r="P28" i="122"/>
  <c r="AY28" i="122"/>
  <c r="T20" i="122"/>
  <c r="U20" i="122" s="1"/>
  <c r="BO20" i="122"/>
  <c r="PY36" i="122"/>
  <c r="RP36" i="122"/>
  <c r="P25" i="122"/>
  <c r="AY25" i="122"/>
  <c r="CZ14" i="122"/>
  <c r="AY31" i="122"/>
  <c r="P31" i="122"/>
  <c r="EE14" i="122"/>
  <c r="RP14" i="122"/>
  <c r="PY14" i="122"/>
  <c r="P36" i="122"/>
  <c r="AY36" i="122"/>
  <c r="P37" i="122"/>
  <c r="AY37" i="122"/>
  <c r="CZ23" i="122"/>
  <c r="RP26" i="122"/>
  <c r="PY26" i="122"/>
  <c r="AY18" i="122"/>
  <c r="P18" i="122"/>
  <c r="T39" i="122"/>
  <c r="U39" i="122" s="1"/>
  <c r="BO39" i="122"/>
  <c r="RP32" i="122"/>
  <c r="PY32" i="122"/>
  <c r="AY16" i="122"/>
  <c r="P16" i="122"/>
  <c r="CX38" i="122"/>
  <c r="DR38" i="122"/>
  <c r="BE10" i="122"/>
  <c r="BD41" i="122"/>
  <c r="BD42" i="122" s="1"/>
  <c r="BD44" i="122" s="1"/>
  <c r="BE41" i="122"/>
  <c r="BE42" i="122" s="1"/>
  <c r="BE44" i="122" s="1"/>
  <c r="EE19" i="122"/>
  <c r="DR13" i="122"/>
  <c r="CX13" i="122"/>
  <c r="PY23" i="122"/>
  <c r="RP23" i="122"/>
  <c r="CX33" i="122"/>
  <c r="DR33" i="122"/>
  <c r="CX18" i="122"/>
  <c r="DR18" i="122"/>
  <c r="BO22" i="122"/>
  <c r="T22" i="122"/>
  <c r="U22" i="122" s="1"/>
  <c r="P30" i="122"/>
  <c r="AY30" i="122"/>
  <c r="CX21" i="122"/>
  <c r="DR21" i="122"/>
  <c r="EE28" i="122"/>
  <c r="T13" i="122"/>
  <c r="U13" i="122" s="1"/>
  <c r="BO13" i="122"/>
  <c r="RP10" i="122"/>
  <c r="PY10" i="122"/>
  <c r="PW41" i="122"/>
  <c r="PW42" i="122" s="1"/>
  <c r="P34" i="122"/>
  <c r="Q34" i="122" s="1"/>
  <c r="AY34" i="122"/>
  <c r="DR27" i="122"/>
  <c r="CX27" i="122"/>
  <c r="P14" i="122"/>
  <c r="Q14" i="122" s="1"/>
  <c r="AY14" i="122"/>
  <c r="P29" i="122"/>
  <c r="AY29" i="122"/>
  <c r="BO35" i="122"/>
  <c r="T35" i="122"/>
  <c r="U35" i="122" s="1"/>
  <c r="CX30" i="122"/>
  <c r="DR30" i="122"/>
  <c r="EE37" i="122"/>
  <c r="T18" i="122"/>
  <c r="U18" i="122" s="1"/>
  <c r="BO18" i="122"/>
  <c r="CX36" i="122"/>
  <c r="DR36" i="122"/>
  <c r="T14" i="122"/>
  <c r="BO14" i="122"/>
  <c r="P35" i="122"/>
  <c r="AY35" i="122"/>
  <c r="CX11" i="122"/>
  <c r="DR11" i="122"/>
  <c r="CX39" i="122"/>
  <c r="DR39" i="122"/>
  <c r="RP20" i="122"/>
  <c r="PY20" i="122"/>
  <c r="EC41" i="122"/>
  <c r="EC42" i="122" s="1"/>
  <c r="EC44" i="122" s="1"/>
  <c r="DB10" i="122"/>
  <c r="DB41" i="122" s="1"/>
  <c r="DB42" i="122" s="1"/>
  <c r="DB44" i="122" s="1"/>
  <c r="AY19" i="122"/>
  <c r="P19" i="122"/>
  <c r="DR40" i="122"/>
  <c r="CX40" i="122"/>
  <c r="P27" i="122"/>
  <c r="AY27" i="122"/>
  <c r="EE15" i="122"/>
  <c r="BO15" i="122"/>
  <c r="T15" i="122"/>
  <c r="U15" i="122" s="1"/>
  <c r="T40" i="122"/>
  <c r="U40" i="122" s="1"/>
  <c r="BO40" i="122"/>
  <c r="PY17" i="122"/>
  <c r="RP17" i="122"/>
  <c r="RP38" i="122"/>
  <c r="PY38" i="122"/>
  <c r="T25" i="122"/>
  <c r="U25" i="122" s="1"/>
  <c r="BO25" i="122"/>
  <c r="RP25" i="122"/>
  <c r="PY25" i="122"/>
  <c r="P33" i="122"/>
  <c r="AY33" i="122"/>
  <c r="DR19" i="122"/>
  <c r="CX19" i="122"/>
  <c r="RP35" i="122"/>
  <c r="PY35" i="122"/>
  <c r="T31" i="122"/>
  <c r="U31" i="122" s="1"/>
  <c r="BO31" i="122"/>
  <c r="P20" i="122"/>
  <c r="AY20" i="122"/>
  <c r="DR16" i="122"/>
  <c r="CX16" i="122"/>
  <c r="RP13" i="122"/>
  <c r="PY13" i="122"/>
  <c r="T28" i="122"/>
  <c r="U28" i="122" s="1"/>
  <c r="BO28" i="122"/>
  <c r="PZ10" i="122"/>
  <c r="PZ41" i="122" s="1"/>
  <c r="PZ42" i="122" s="1"/>
  <c r="PZ44" i="122" s="1"/>
  <c r="PJ41" i="122"/>
  <c r="PJ42" i="122" s="1"/>
  <c r="PJ44" i="122" s="1"/>
  <c r="PN10" i="122"/>
  <c r="PN11" i="122" s="1"/>
  <c r="PN12" i="122" s="1"/>
  <c r="PN13" i="122" s="1"/>
  <c r="PN14" i="122" s="1"/>
  <c r="PN15" i="122" s="1"/>
  <c r="PN16" i="122" s="1"/>
  <c r="PN17" i="122" s="1"/>
  <c r="PN18" i="122" s="1"/>
  <c r="PN19" i="122" s="1"/>
  <c r="PN20" i="122" s="1"/>
  <c r="PN21" i="122" s="1"/>
  <c r="PN22" i="122" s="1"/>
  <c r="PN23" i="122" s="1"/>
  <c r="PN24" i="122" s="1"/>
  <c r="PN25" i="122" s="1"/>
  <c r="PN26" i="122" s="1"/>
  <c r="PN27" i="122" s="1"/>
  <c r="PN28" i="122" s="1"/>
  <c r="PN29" i="122" s="1"/>
  <c r="PN30" i="122" s="1"/>
  <c r="PN31" i="122" s="1"/>
  <c r="PN32" i="122" s="1"/>
  <c r="PN33" i="122" s="1"/>
  <c r="PN34" i="122" s="1"/>
  <c r="PN35" i="122" s="1"/>
  <c r="PN36" i="122" s="1"/>
  <c r="PN37" i="122" s="1"/>
  <c r="PN38" i="122" s="1"/>
  <c r="PN39" i="122" s="1"/>
  <c r="PN40" i="122" s="1"/>
  <c r="PN41" i="122" s="1"/>
  <c r="PN44" i="122" s="1"/>
  <c r="BO36" i="122"/>
  <c r="T36" i="122"/>
  <c r="U36" i="122" s="1"/>
  <c r="T37" i="122"/>
  <c r="U37" i="122" s="1"/>
  <c r="BO37" i="122"/>
  <c r="T26" i="122"/>
  <c r="U26" i="122" s="1"/>
  <c r="BO26" i="122"/>
  <c r="DR25" i="122"/>
  <c r="CX25" i="122"/>
  <c r="RP31" i="122"/>
  <c r="PY31" i="122"/>
  <c r="T34" i="122"/>
  <c r="BO34" i="122"/>
  <c r="PY19" i="122"/>
  <c r="RP19" i="122"/>
  <c r="RP22" i="122"/>
  <c r="PY22" i="122"/>
  <c r="DR14" i="122"/>
  <c r="CX14" i="122"/>
  <c r="BO12" i="122"/>
  <c r="T12" i="122"/>
  <c r="U12" i="122" s="1"/>
  <c r="T32" i="122"/>
  <c r="U32" i="122" s="1"/>
  <c r="BO32" i="122"/>
  <c r="CX34" i="122"/>
  <c r="DR34" i="122"/>
  <c r="T16" i="122"/>
  <c r="U16" i="122" s="1"/>
  <c r="BO16" i="122"/>
  <c r="CX22" i="122"/>
  <c r="DR22" i="122"/>
  <c r="RP40" i="122"/>
  <c r="PY40" i="122"/>
  <c r="CZ32" i="122"/>
  <c r="P13" i="122"/>
  <c r="AY13" i="122"/>
  <c r="BO33" i="122"/>
  <c r="T33" i="122"/>
  <c r="U33" i="122" s="1"/>
  <c r="BO11" i="122"/>
  <c r="T11" i="122"/>
  <c r="U11" i="122" s="1"/>
  <c r="EE36" i="122"/>
  <c r="CX31" i="122"/>
  <c r="DR31" i="122"/>
  <c r="T19" i="122"/>
  <c r="U19" i="122" s="1"/>
  <c r="BO19" i="122"/>
  <c r="CZ15" i="122"/>
  <c r="AY39" i="122"/>
  <c r="P39" i="122"/>
  <c r="PY12" i="122"/>
  <c r="RP12" i="122"/>
  <c r="CX28" i="122"/>
  <c r="DR28" i="122"/>
  <c r="RP16" i="122"/>
  <c r="PY16" i="122"/>
  <c r="BO29" i="122"/>
  <c r="T29" i="122"/>
  <c r="U29" i="122" s="1"/>
  <c r="PY18" i="122"/>
  <c r="RP18" i="122"/>
  <c r="AY17" i="122"/>
  <c r="P17" i="122"/>
  <c r="CZ24" i="122"/>
  <c r="DR17" i="122"/>
  <c r="CX17" i="122"/>
  <c r="RP30" i="122"/>
  <c r="PY30" i="122"/>
  <c r="AY22" i="122"/>
  <c r="P22" i="122"/>
  <c r="DR37" i="122"/>
  <c r="CX37" i="122"/>
  <c r="RP34" i="122"/>
  <c r="PY34" i="122"/>
  <c r="PY37" i="122"/>
  <c r="RP37" i="122"/>
  <c r="AY11" i="122"/>
  <c r="P11" i="122"/>
  <c r="CZ33" i="122"/>
  <c r="P21" i="122"/>
  <c r="AY21" i="122"/>
  <c r="P10" i="122"/>
  <c r="AY10" i="122"/>
  <c r="AY41" i="122"/>
  <c r="AY42" i="122" s="1"/>
  <c r="AY44" i="122" s="1"/>
  <c r="AX41" i="122"/>
  <c r="AX42" i="122" s="1"/>
  <c r="AX44" i="122" s="1"/>
  <c r="DN41" i="122"/>
  <c r="DN42" i="122" s="1"/>
  <c r="DN44" i="122" s="1"/>
  <c r="BO17" i="122"/>
  <c r="T17" i="122"/>
  <c r="U17" i="122" s="1"/>
  <c r="P38" i="122"/>
  <c r="Q38" i="122" s="1"/>
  <c r="AY38" i="122"/>
  <c r="BO27" i="122"/>
  <c r="T27" i="122"/>
  <c r="U27" i="122" s="1"/>
  <c r="DR26" i="122"/>
  <c r="CX26" i="122"/>
  <c r="DR35" i="122"/>
  <c r="CX35" i="122"/>
  <c r="AY40" i="122"/>
  <c r="P40" i="122"/>
  <c r="EE25" i="122"/>
  <c r="DR20" i="122"/>
  <c r="CX20" i="122"/>
  <c r="PY21" i="122"/>
  <c r="RP21" i="122"/>
  <c r="RP24" i="122"/>
  <c r="PY24" i="122"/>
  <c r="DR15" i="122"/>
  <c r="CX15" i="122"/>
  <c r="AY12" i="122"/>
  <c r="P12" i="122"/>
  <c r="PY15" i="122"/>
  <c r="RP15" i="122"/>
  <c r="DR29" i="122"/>
  <c r="CX29" i="122"/>
  <c r="T23" i="122"/>
  <c r="U23" i="122" s="1"/>
  <c r="BO23" i="122"/>
  <c r="T30" i="122"/>
  <c r="U30" i="122" s="1"/>
  <c r="BO30" i="122"/>
  <c r="RP39" i="122"/>
  <c r="PY39" i="122"/>
  <c r="DR24" i="122"/>
  <c r="CX24" i="122"/>
  <c r="E12" i="123"/>
  <c r="R43" i="123"/>
  <c r="D43" i="123"/>
  <c r="CN12" i="123"/>
  <c r="S43" i="123"/>
  <c r="Q44" i="123"/>
  <c r="S44" i="123" s="1"/>
  <c r="W44" i="122"/>
  <c r="Y42" i="122"/>
  <c r="Y44" i="122" s="1"/>
  <c r="MZ13" i="122"/>
  <c r="PO14" i="122"/>
  <c r="X44" i="122"/>
  <c r="X49" i="122"/>
  <c r="NG44" i="122"/>
  <c r="JL42" i="122"/>
  <c r="JL48" i="122"/>
  <c r="NG16" i="122"/>
  <c r="PA16" i="122"/>
  <c r="PG15" i="122"/>
  <c r="NE32" i="122"/>
  <c r="GQ46" i="122"/>
  <c r="GL42" i="122"/>
  <c r="GL44" i="122" s="1"/>
  <c r="KE45" i="122"/>
  <c r="RM21" i="122"/>
  <c r="RJ22" i="122"/>
  <c r="JO45" i="122"/>
  <c r="S44" i="122"/>
  <c r="C42" i="122"/>
  <c r="S49" i="122"/>
  <c r="OG14" i="122"/>
  <c r="NT14" i="122"/>
  <c r="RJ13" i="122"/>
  <c r="RM12" i="122"/>
  <c r="W42" i="116"/>
  <c r="AK17" i="127" l="1"/>
  <c r="AL16" i="127"/>
  <c r="AS11" i="127"/>
  <c r="AS12" i="127" s="1"/>
  <c r="AS13" i="127" s="1"/>
  <c r="AS14" i="127" s="1"/>
  <c r="AS15" i="127" s="1"/>
  <c r="AS16" i="127" s="1"/>
  <c r="AS17" i="127" s="1"/>
  <c r="AS18" i="127" s="1"/>
  <c r="AS19" i="127" s="1"/>
  <c r="AS20" i="127" s="1"/>
  <c r="AS21" i="127" s="1"/>
  <c r="AS22" i="127" s="1"/>
  <c r="AS23" i="127" s="1"/>
  <c r="AS24" i="127" s="1"/>
  <c r="AS25" i="127" s="1"/>
  <c r="AS26" i="127" s="1"/>
  <c r="AS27" i="127" s="1"/>
  <c r="AS28" i="127" s="1"/>
  <c r="AS29" i="127" s="1"/>
  <c r="AS30" i="127" s="1"/>
  <c r="AS31" i="127" s="1"/>
  <c r="AS32" i="127" s="1"/>
  <c r="AS33" i="127" s="1"/>
  <c r="AS34" i="127" s="1"/>
  <c r="AS35" i="127" s="1"/>
  <c r="AS36" i="127" s="1"/>
  <c r="AS37" i="127" s="1"/>
  <c r="AS38" i="127" s="1"/>
  <c r="AS39" i="127" s="1"/>
  <c r="AS40" i="127" s="1"/>
  <c r="AS41" i="127" s="1"/>
  <c r="AS42" i="127" s="1"/>
  <c r="AS43" i="127" s="1"/>
  <c r="JL44" i="122"/>
  <c r="JL293" i="122"/>
  <c r="SB34" i="122"/>
  <c r="BQ42" i="122"/>
  <c r="BQ44" i="122" s="1"/>
  <c r="AB44" i="122" s="1"/>
  <c r="AB41" i="122"/>
  <c r="SB33" i="122"/>
  <c r="DD13" i="122"/>
  <c r="DD22" i="122"/>
  <c r="EE10" i="122"/>
  <c r="EE41" i="122" s="1"/>
  <c r="EE42" i="122" s="1"/>
  <c r="EE44" i="122" s="1"/>
  <c r="CZ10" i="122"/>
  <c r="DD10" i="122" s="1"/>
  <c r="GH41" i="122"/>
  <c r="GH42" i="122" s="1"/>
  <c r="GH44" i="122" s="1"/>
  <c r="FD10" i="122"/>
  <c r="DD38" i="122"/>
  <c r="DD34" i="122"/>
  <c r="DD25" i="122"/>
  <c r="DD36" i="122"/>
  <c r="DD20" i="122"/>
  <c r="DD16" i="122"/>
  <c r="DD31" i="122"/>
  <c r="DD11" i="122"/>
  <c r="DD18" i="122"/>
  <c r="DD33" i="122"/>
  <c r="SB35" i="122"/>
  <c r="DD29" i="122"/>
  <c r="DD21" i="122"/>
  <c r="DD39" i="122"/>
  <c r="DD28" i="122"/>
  <c r="DD17" i="122"/>
  <c r="DD19" i="122"/>
  <c r="DD40" i="122"/>
  <c r="DD35" i="122"/>
  <c r="DD30" i="122"/>
  <c r="SB32" i="122"/>
  <c r="DD32" i="122"/>
  <c r="DD12" i="122"/>
  <c r="DD27" i="122"/>
  <c r="DD26" i="122"/>
  <c r="DD37" i="122"/>
  <c r="BA79" i="2"/>
  <c r="BA80" i="2"/>
  <c r="BA63" i="2"/>
  <c r="BA57" i="2"/>
  <c r="BA111" i="2"/>
  <c r="BA112" i="2" s="1"/>
  <c r="BA116" i="2"/>
  <c r="BA101" i="2"/>
  <c r="BA102" i="2" s="1"/>
  <c r="BA106" i="2"/>
  <c r="BA28" i="2"/>
  <c r="BA17" i="2"/>
  <c r="SB26" i="122"/>
  <c r="SB31" i="122"/>
  <c r="SB30" i="122"/>
  <c r="SB17" i="122"/>
  <c r="DD14" i="122"/>
  <c r="SB21" i="122"/>
  <c r="SB20" i="122"/>
  <c r="SB27" i="122"/>
  <c r="SB25" i="122"/>
  <c r="SB15" i="122"/>
  <c r="Q12" i="122"/>
  <c r="D12" i="122"/>
  <c r="SB38" i="122"/>
  <c r="D38" i="122"/>
  <c r="E38" i="122" s="1"/>
  <c r="U38" i="122"/>
  <c r="SB37" i="122"/>
  <c r="SB16" i="122"/>
  <c r="D29" i="122"/>
  <c r="E29" i="122" s="1"/>
  <c r="Q29" i="122"/>
  <c r="D32" i="122"/>
  <c r="E32" i="122" s="1"/>
  <c r="Q32" i="122"/>
  <c r="D34" i="122"/>
  <c r="E34" i="122" s="1"/>
  <c r="U34" i="122"/>
  <c r="SB11" i="122"/>
  <c r="D22" i="122"/>
  <c r="E22" i="122" s="1"/>
  <c r="Q22" i="122"/>
  <c r="SB18" i="122"/>
  <c r="SB14" i="122"/>
  <c r="Q13" i="122"/>
  <c r="D13" i="122"/>
  <c r="D20" i="122"/>
  <c r="E20" i="122" s="1"/>
  <c r="Q20" i="122"/>
  <c r="D18" i="122"/>
  <c r="E18" i="122" s="1"/>
  <c r="Q18" i="122"/>
  <c r="Q24" i="122"/>
  <c r="D24" i="122"/>
  <c r="E24" i="122" s="1"/>
  <c r="SB39" i="122"/>
  <c r="Q30" i="122"/>
  <c r="D30" i="122"/>
  <c r="E30" i="122" s="1"/>
  <c r="D31" i="122"/>
  <c r="E31" i="122" s="1"/>
  <c r="Q31" i="122"/>
  <c r="SB28" i="122"/>
  <c r="D26" i="122"/>
  <c r="E26" i="122" s="1"/>
  <c r="Q26" i="122"/>
  <c r="SB22" i="122"/>
  <c r="SB24" i="122"/>
  <c r="D35" i="122"/>
  <c r="E35" i="122" s="1"/>
  <c r="Q35" i="122"/>
  <c r="SB12" i="122"/>
  <c r="Q36" i="122"/>
  <c r="D36" i="122"/>
  <c r="E36" i="122" s="1"/>
  <c r="D33" i="122"/>
  <c r="E33" i="122" s="1"/>
  <c r="Q33" i="122"/>
  <c r="D11" i="122"/>
  <c r="Q11" i="122"/>
  <c r="Q40" i="122"/>
  <c r="D40" i="122"/>
  <c r="E40" i="122" s="1"/>
  <c r="D39" i="122"/>
  <c r="E39" i="122" s="1"/>
  <c r="Q39" i="122"/>
  <c r="D25" i="122"/>
  <c r="E25" i="122" s="1"/>
  <c r="Q25" i="122"/>
  <c r="DR41" i="122"/>
  <c r="DR42" i="122" s="1"/>
  <c r="DR44" i="122" s="1"/>
  <c r="D10" i="122"/>
  <c r="Q10" i="122"/>
  <c r="P41" i="122"/>
  <c r="D14" i="122"/>
  <c r="U14" i="122"/>
  <c r="SB23" i="122"/>
  <c r="DD24" i="122"/>
  <c r="DD15" i="122"/>
  <c r="Q27" i="122"/>
  <c r="D27" i="122"/>
  <c r="E27" i="122" s="1"/>
  <c r="SB36" i="122"/>
  <c r="DD23" i="122"/>
  <c r="SB29" i="122"/>
  <c r="SB19" i="122"/>
  <c r="SB13" i="122"/>
  <c r="CX41" i="122"/>
  <c r="CX42" i="122" s="1"/>
  <c r="CX44" i="122" s="1"/>
  <c r="D21" i="122"/>
  <c r="E21" i="122" s="1"/>
  <c r="Q21" i="122"/>
  <c r="SB40" i="122"/>
  <c r="PY41" i="122"/>
  <c r="D37" i="122"/>
  <c r="E37" i="122" s="1"/>
  <c r="Q37" i="122"/>
  <c r="U10" i="122"/>
  <c r="T41" i="122"/>
  <c r="D23" i="122"/>
  <c r="E23" i="122" s="1"/>
  <c r="Q23" i="122"/>
  <c r="Q28" i="122"/>
  <c r="D28" i="122"/>
  <c r="E28" i="122" s="1"/>
  <c r="D16" i="122"/>
  <c r="Q16" i="122"/>
  <c r="Q15" i="122"/>
  <c r="D15" i="122"/>
  <c r="D17" i="122"/>
  <c r="E17" i="122" s="1"/>
  <c r="Q17" i="122"/>
  <c r="Q19" i="122"/>
  <c r="D19" i="122"/>
  <c r="E19" i="122" s="1"/>
  <c r="D44" i="123"/>
  <c r="E44" i="123" s="1"/>
  <c r="E43" i="123"/>
  <c r="R47" i="123"/>
  <c r="R44" i="123"/>
  <c r="RJ14" i="122"/>
  <c r="RM13" i="122"/>
  <c r="C44" i="122"/>
  <c r="NT15" i="122"/>
  <c r="NE33" i="122"/>
  <c r="PA17" i="122"/>
  <c r="PG16" i="122"/>
  <c r="OG15" i="122"/>
  <c r="NG17" i="122"/>
  <c r="MZ14" i="122"/>
  <c r="PO15" i="122"/>
  <c r="RM22" i="122"/>
  <c r="RJ23" i="122"/>
  <c r="AS44" i="127" l="1"/>
  <c r="D49" i="95" s="1"/>
  <c r="B40" i="96"/>
  <c r="AK18" i="127"/>
  <c r="AL17" i="127"/>
  <c r="AB42" i="122"/>
  <c r="BA48" i="2" s="1"/>
  <c r="AB300" i="122"/>
  <c r="AB212" i="122"/>
  <c r="AC41" i="122"/>
  <c r="AC42" i="122" s="1"/>
  <c r="AC43" i="122" s="1"/>
  <c r="AC44" i="122" s="1"/>
  <c r="SB10" i="122"/>
  <c r="CZ41" i="122"/>
  <c r="CZ42" i="122" s="1"/>
  <c r="CZ44" i="122" s="1"/>
  <c r="FD41" i="122"/>
  <c r="FD42" i="122" s="1"/>
  <c r="FD44" i="122" s="1"/>
  <c r="FE10" i="122"/>
  <c r="FE41" i="122" s="1"/>
  <c r="FE42" i="122" s="1"/>
  <c r="FE44" i="122" s="1"/>
  <c r="BA59" i="2"/>
  <c r="BA58" i="2"/>
  <c r="BA7" i="2"/>
  <c r="BA18" i="2"/>
  <c r="BA19" i="2"/>
  <c r="T42" i="122"/>
  <c r="BA44" i="2" s="1"/>
  <c r="T49" i="122"/>
  <c r="U41" i="122"/>
  <c r="E11" i="122"/>
  <c r="E13" i="122"/>
  <c r="E14" i="122"/>
  <c r="P49" i="122"/>
  <c r="Q41" i="122"/>
  <c r="T228" i="122"/>
  <c r="AA49" i="122"/>
  <c r="AB52" i="122"/>
  <c r="AB54" i="122" s="1"/>
  <c r="P42" i="122"/>
  <c r="BA40" i="2" s="1"/>
  <c r="E12" i="122"/>
  <c r="DD41" i="122"/>
  <c r="DD42" i="122" s="1"/>
  <c r="DD44" i="122" s="1"/>
  <c r="E10" i="122"/>
  <c r="D41" i="122"/>
  <c r="E15" i="122"/>
  <c r="E16" i="122"/>
  <c r="AD10" i="95"/>
  <c r="PG17" i="122"/>
  <c r="PA18" i="122"/>
  <c r="NE34" i="122"/>
  <c r="RJ24" i="122"/>
  <c r="RM23" i="122"/>
  <c r="NG18" i="122"/>
  <c r="NT16" i="122"/>
  <c r="MZ15" i="122"/>
  <c r="PO16" i="122"/>
  <c r="OG16" i="122"/>
  <c r="RM14" i="122"/>
  <c r="RJ15" i="122"/>
  <c r="P132" i="120"/>
  <c r="O132" i="120"/>
  <c r="X50" i="120"/>
  <c r="X51" i="120" s="1"/>
  <c r="T50" i="120"/>
  <c r="S50" i="120"/>
  <c r="P50" i="120"/>
  <c r="P51" i="120" s="1"/>
  <c r="O50" i="120"/>
  <c r="O51" i="120" s="1"/>
  <c r="AK19" i="127" l="1"/>
  <c r="AL18" i="127"/>
  <c r="BA49" i="2"/>
  <c r="E41" i="122"/>
  <c r="D47" i="122"/>
  <c r="D290" i="122" s="1"/>
  <c r="BA8" i="2"/>
  <c r="BA9" i="2"/>
  <c r="T44" i="122"/>
  <c r="U44" i="122" s="1"/>
  <c r="U42" i="122"/>
  <c r="BA41" i="2"/>
  <c r="P44" i="122"/>
  <c r="D42" i="122"/>
  <c r="Q42" i="122"/>
  <c r="Q44" i="122" s="1"/>
  <c r="NT17" i="122"/>
  <c r="NG19" i="122"/>
  <c r="RM15" i="122"/>
  <c r="RJ16" i="122"/>
  <c r="PO17" i="122"/>
  <c r="MZ16" i="122"/>
  <c r="RJ25" i="122"/>
  <c r="RM24" i="122"/>
  <c r="NE35" i="122"/>
  <c r="OG17" i="122"/>
  <c r="PA19" i="122"/>
  <c r="PG18" i="122"/>
  <c r="AZ15" i="121" a="1"/>
  <c r="AZ15" i="121" s="1"/>
  <c r="BA15" i="121" a="1"/>
  <c r="BA15" i="121" s="1"/>
  <c r="BB15" i="121" a="1"/>
  <c r="BB15" i="121" s="1"/>
  <c r="BC15" i="121" a="1"/>
  <c r="BC15" i="121" s="1"/>
  <c r="BD15" i="121" a="1"/>
  <c r="BD15" i="121" s="1"/>
  <c r="AZ12" i="121" a="1"/>
  <c r="AZ12" i="121" s="1"/>
  <c r="BA12" i="121" a="1"/>
  <c r="BA12" i="121" s="1"/>
  <c r="BB12" i="121" a="1"/>
  <c r="BB12" i="121" s="1"/>
  <c r="BC12" i="121" a="1"/>
  <c r="BC12" i="121" s="1"/>
  <c r="BD12" i="121" a="1"/>
  <c r="BD12" i="121" s="1"/>
  <c r="AZ13" i="121" a="1"/>
  <c r="AZ13" i="121" s="1"/>
  <c r="BA13" i="121" a="1"/>
  <c r="BA13" i="121" s="1"/>
  <c r="BB13" i="121" a="1"/>
  <c r="BB13" i="121" s="1"/>
  <c r="BC13" i="121" a="1"/>
  <c r="BC13" i="121" s="1"/>
  <c r="BD13" i="121" a="1"/>
  <c r="BD13" i="121" s="1"/>
  <c r="AZ14" i="121" a="1"/>
  <c r="AZ14" i="121" s="1"/>
  <c r="BA14" i="121" a="1"/>
  <c r="BA14" i="121" s="1"/>
  <c r="BB14" i="121" a="1"/>
  <c r="BB14" i="121" s="1"/>
  <c r="BC14" i="121" a="1"/>
  <c r="BC14" i="121" s="1"/>
  <c r="BD14" i="121" a="1"/>
  <c r="BD14" i="121" s="1"/>
  <c r="AZ16" i="121" a="1"/>
  <c r="AZ16" i="121" s="1"/>
  <c r="BA16" i="121" a="1"/>
  <c r="BA16" i="121" s="1"/>
  <c r="BB16" i="121" a="1"/>
  <c r="BB16" i="121" s="1"/>
  <c r="BC16" i="121" a="1"/>
  <c r="BC16" i="121" s="1"/>
  <c r="BD16" i="121" a="1"/>
  <c r="BD16" i="121" s="1"/>
  <c r="AZ17" i="121" a="1"/>
  <c r="AZ17" i="121" s="1"/>
  <c r="BA17" i="121" a="1"/>
  <c r="BA17" i="121" s="1"/>
  <c r="BB17" i="121" a="1"/>
  <c r="BB17" i="121" s="1"/>
  <c r="BC17" i="121" a="1"/>
  <c r="BC17" i="121" s="1"/>
  <c r="BD17" i="121" a="1"/>
  <c r="BD17" i="121" s="1"/>
  <c r="AZ18" i="121" a="1"/>
  <c r="AZ18" i="121" s="1"/>
  <c r="BA18" i="121" a="1"/>
  <c r="BA18" i="121" s="1"/>
  <c r="BB18" i="121" a="1"/>
  <c r="BB18" i="121" s="1"/>
  <c r="BC18" i="121" a="1"/>
  <c r="BC18" i="121" s="1"/>
  <c r="BD18" i="121" a="1"/>
  <c r="BD18" i="121" s="1"/>
  <c r="AZ19" i="121" a="1"/>
  <c r="AZ19" i="121" s="1"/>
  <c r="BA19" i="121" a="1"/>
  <c r="BA19" i="121" s="1"/>
  <c r="BB19" i="121" a="1"/>
  <c r="BB19" i="121" s="1"/>
  <c r="BC19" i="121" a="1"/>
  <c r="BC19" i="121" s="1"/>
  <c r="BD19" i="121" a="1"/>
  <c r="BD19" i="121" s="1"/>
  <c r="AZ20" i="121" a="1"/>
  <c r="AZ20" i="121" s="1"/>
  <c r="BA20" i="121" a="1"/>
  <c r="BA20" i="121" s="1"/>
  <c r="BB20" i="121" a="1"/>
  <c r="BB20" i="121" s="1"/>
  <c r="BC20" i="121" a="1"/>
  <c r="BC20" i="121" s="1"/>
  <c r="BD20" i="121" a="1"/>
  <c r="BD20" i="121" s="1"/>
  <c r="AZ21" i="121" a="1"/>
  <c r="AZ21" i="121" s="1"/>
  <c r="BA21" i="121" a="1"/>
  <c r="BA21" i="121" s="1"/>
  <c r="BB21" i="121" a="1"/>
  <c r="BB21" i="121" s="1"/>
  <c r="BC21" i="121" a="1"/>
  <c r="BC21" i="121" s="1"/>
  <c r="BD21" i="121" a="1"/>
  <c r="BD21" i="121" s="1"/>
  <c r="AZ22" i="121" a="1"/>
  <c r="AZ22" i="121" s="1"/>
  <c r="BA22" i="121" a="1"/>
  <c r="BA22" i="121" s="1"/>
  <c r="BB22" i="121" a="1"/>
  <c r="BB22" i="121" s="1"/>
  <c r="BC22" i="121" a="1"/>
  <c r="BC22" i="121" s="1"/>
  <c r="BD22" i="121" a="1"/>
  <c r="BD22" i="121" s="1"/>
  <c r="AZ23" i="121" a="1"/>
  <c r="AZ23" i="121" s="1"/>
  <c r="BA23" i="121" a="1"/>
  <c r="BA23" i="121" s="1"/>
  <c r="BB23" i="121" a="1"/>
  <c r="BB23" i="121" s="1"/>
  <c r="BC23" i="121" a="1"/>
  <c r="BC23" i="121" s="1"/>
  <c r="BD23" i="121" a="1"/>
  <c r="BD23" i="121" s="1"/>
  <c r="AZ24" i="121" a="1"/>
  <c r="AZ24" i="121" s="1"/>
  <c r="BA24" i="121" a="1"/>
  <c r="BA24" i="121" s="1"/>
  <c r="BB24" i="121" a="1"/>
  <c r="BB24" i="121" s="1"/>
  <c r="BC24" i="121" a="1"/>
  <c r="BC24" i="121" s="1"/>
  <c r="BD24" i="121" a="1"/>
  <c r="BD24" i="121" s="1"/>
  <c r="AZ25" i="121" a="1"/>
  <c r="AZ25" i="121" s="1"/>
  <c r="BA25" i="121" a="1"/>
  <c r="BA25" i="121" s="1"/>
  <c r="BB25" i="121" a="1"/>
  <c r="BB25" i="121" s="1"/>
  <c r="BC25" i="121" a="1"/>
  <c r="BC25" i="121" s="1"/>
  <c r="BD25" i="121" a="1"/>
  <c r="BD25" i="121" s="1"/>
  <c r="AZ26" i="121" a="1"/>
  <c r="AZ26" i="121" s="1"/>
  <c r="BA26" i="121" a="1"/>
  <c r="BA26" i="121" s="1"/>
  <c r="BB26" i="121" a="1"/>
  <c r="BB26" i="121" s="1"/>
  <c r="BC26" i="121" a="1"/>
  <c r="BC26" i="121" s="1"/>
  <c r="BD26" i="121" a="1"/>
  <c r="BD26" i="121" s="1"/>
  <c r="AZ27" i="121" a="1"/>
  <c r="AZ27" i="121" s="1"/>
  <c r="BA27" i="121" a="1"/>
  <c r="BA27" i="121" s="1"/>
  <c r="BB27" i="121" a="1"/>
  <c r="BB27" i="121" s="1"/>
  <c r="BC27" i="121" a="1"/>
  <c r="BC27" i="121" s="1"/>
  <c r="BD27" i="121" a="1"/>
  <c r="BD27" i="121" s="1"/>
  <c r="AZ28" i="121" a="1"/>
  <c r="AZ28" i="121" s="1"/>
  <c r="BA28" i="121" a="1"/>
  <c r="BA28" i="121" s="1"/>
  <c r="BB28" i="121" a="1"/>
  <c r="BB28" i="121" s="1"/>
  <c r="BC28" i="121" a="1"/>
  <c r="BC28" i="121" s="1"/>
  <c r="BD28" i="121" a="1"/>
  <c r="BD28" i="121" s="1"/>
  <c r="AZ29" i="121" a="1"/>
  <c r="AZ29" i="121" s="1"/>
  <c r="BA29" i="121" a="1"/>
  <c r="BA29" i="121" s="1"/>
  <c r="BB29" i="121" a="1"/>
  <c r="BB29" i="121" s="1"/>
  <c r="BC29" i="121" a="1"/>
  <c r="BC29" i="121" s="1"/>
  <c r="BD29" i="121" a="1"/>
  <c r="BD29" i="121" s="1"/>
  <c r="AZ30" i="121" a="1"/>
  <c r="AZ30" i="121" s="1"/>
  <c r="BA30" i="121" a="1"/>
  <c r="BA30" i="121" s="1"/>
  <c r="BB30" i="121" a="1"/>
  <c r="BB30" i="121" s="1"/>
  <c r="BC30" i="121" a="1"/>
  <c r="BC30" i="121" s="1"/>
  <c r="BD30" i="121" a="1"/>
  <c r="BD30" i="121" s="1"/>
  <c r="AZ31" i="121" a="1"/>
  <c r="AZ31" i="121" s="1"/>
  <c r="BA31" i="121" a="1"/>
  <c r="BA31" i="121" s="1"/>
  <c r="BB31" i="121" a="1"/>
  <c r="BB31" i="121" s="1"/>
  <c r="BC31" i="121" a="1"/>
  <c r="BC31" i="121" s="1"/>
  <c r="BD31" i="121" a="1"/>
  <c r="BD31" i="121" s="1"/>
  <c r="AZ32" i="121" a="1"/>
  <c r="AZ32" i="121" s="1"/>
  <c r="BA32" i="121" a="1"/>
  <c r="BA32" i="121" s="1"/>
  <c r="BB32" i="121" a="1"/>
  <c r="BB32" i="121" s="1"/>
  <c r="BC32" i="121" a="1"/>
  <c r="BC32" i="121" s="1"/>
  <c r="BD32" i="121" a="1"/>
  <c r="BD32" i="121" s="1"/>
  <c r="AZ33" i="121" a="1"/>
  <c r="AZ33" i="121" s="1"/>
  <c r="BA33" i="121" a="1"/>
  <c r="BA33" i="121" s="1"/>
  <c r="BB33" i="121" a="1"/>
  <c r="BB33" i="121" s="1"/>
  <c r="BC33" i="121" a="1"/>
  <c r="BC33" i="121" s="1"/>
  <c r="BD33" i="121" a="1"/>
  <c r="BD33" i="121" s="1"/>
  <c r="AZ34" i="121" a="1"/>
  <c r="AZ34" i="121" s="1"/>
  <c r="BA34" i="121" a="1"/>
  <c r="BA34" i="121" s="1"/>
  <c r="BB34" i="121" a="1"/>
  <c r="BB34" i="121" s="1"/>
  <c r="BC34" i="121" a="1"/>
  <c r="BC34" i="121" s="1"/>
  <c r="BD34" i="121" a="1"/>
  <c r="BD34" i="121" s="1"/>
  <c r="AZ35" i="121" a="1"/>
  <c r="AZ35" i="121" s="1"/>
  <c r="BA35" i="121" a="1"/>
  <c r="BA35" i="121" s="1"/>
  <c r="BB35" i="121" a="1"/>
  <c r="BB35" i="121" s="1"/>
  <c r="BC35" i="121" a="1"/>
  <c r="BC35" i="121" s="1"/>
  <c r="BD35" i="121" a="1"/>
  <c r="BD35" i="121" s="1"/>
  <c r="AZ36" i="121" a="1"/>
  <c r="AZ36" i="121" s="1"/>
  <c r="BA36" i="121" a="1"/>
  <c r="BA36" i="121" s="1"/>
  <c r="BB36" i="121" a="1"/>
  <c r="BB36" i="121" s="1"/>
  <c r="BC36" i="121" a="1"/>
  <c r="BC36" i="121" s="1"/>
  <c r="BD36" i="121" a="1"/>
  <c r="BD36" i="121" s="1"/>
  <c r="AZ37" i="121" a="1"/>
  <c r="AZ37" i="121" s="1"/>
  <c r="BA37" i="121" a="1"/>
  <c r="BA37" i="121" s="1"/>
  <c r="BB37" i="121" a="1"/>
  <c r="BB37" i="121" s="1"/>
  <c r="BC37" i="121" a="1"/>
  <c r="BC37" i="121" s="1"/>
  <c r="BD37" i="121" a="1"/>
  <c r="BD37" i="121" s="1"/>
  <c r="AZ38" i="121" a="1"/>
  <c r="AZ38" i="121" s="1"/>
  <c r="BA38" i="121" a="1"/>
  <c r="BA38" i="121" s="1"/>
  <c r="BB38" i="121" a="1"/>
  <c r="BB38" i="121" s="1"/>
  <c r="BC38" i="121" a="1"/>
  <c r="BC38" i="121" s="1"/>
  <c r="BD38" i="121" a="1"/>
  <c r="BD38" i="121" s="1"/>
  <c r="AZ39" i="121" a="1"/>
  <c r="AZ39" i="121" s="1"/>
  <c r="BA39" i="121" a="1"/>
  <c r="BA39" i="121" s="1"/>
  <c r="BB39" i="121" a="1"/>
  <c r="BB39" i="121" s="1"/>
  <c r="BC39" i="121" a="1"/>
  <c r="BC39" i="121" s="1"/>
  <c r="BD39" i="121" a="1"/>
  <c r="BD39" i="121" s="1"/>
  <c r="AZ40" i="121" a="1"/>
  <c r="AZ40" i="121" s="1"/>
  <c r="BA40" i="121" a="1"/>
  <c r="BA40" i="121" s="1"/>
  <c r="BB40" i="121" a="1"/>
  <c r="BB40" i="121" s="1"/>
  <c r="BC40" i="121" a="1"/>
  <c r="BC40" i="121" s="1"/>
  <c r="BD40" i="121" a="1"/>
  <c r="BD40" i="121" s="1"/>
  <c r="AZ41" i="121" a="1"/>
  <c r="AZ41" i="121" s="1"/>
  <c r="BA41" i="121" a="1"/>
  <c r="BA41" i="121" s="1"/>
  <c r="BB41" i="121" a="1"/>
  <c r="BB41" i="121" s="1"/>
  <c r="BC41" i="121" a="1"/>
  <c r="BC41" i="121" s="1"/>
  <c r="BD41" i="121" a="1"/>
  <c r="BD41" i="121" s="1"/>
  <c r="AZ42" i="121" a="1"/>
  <c r="AZ42" i="121" s="1"/>
  <c r="BA42" i="121" a="1"/>
  <c r="BA42" i="121" s="1"/>
  <c r="BB42" i="121" a="1"/>
  <c r="BB42" i="121" s="1"/>
  <c r="BC42" i="121" a="1"/>
  <c r="BC42" i="121" s="1"/>
  <c r="BD42" i="121" a="1"/>
  <c r="BD42" i="121" s="1"/>
  <c r="AL44" i="117"/>
  <c r="AK20" i="127" l="1"/>
  <c r="AL19" i="127"/>
  <c r="BA35" i="2"/>
  <c r="BA45" i="2"/>
  <c r="D44" i="122"/>
  <c r="E42" i="122"/>
  <c r="E44" i="122" s="1"/>
  <c r="PO18" i="122"/>
  <c r="MZ17" i="122"/>
  <c r="RJ17" i="122"/>
  <c r="RM17" i="122" s="1"/>
  <c r="RM16" i="122"/>
  <c r="NE36" i="122"/>
  <c r="RM25" i="122"/>
  <c r="RJ26" i="122"/>
  <c r="OG18" i="122"/>
  <c r="PA20" i="122"/>
  <c r="PG19" i="122"/>
  <c r="NG20" i="122"/>
  <c r="NT18" i="122"/>
  <c r="NS42" i="116"/>
  <c r="OF42" i="116"/>
  <c r="NR25" i="116"/>
  <c r="NR26" i="116" s="1"/>
  <c r="NR27" i="116" s="1"/>
  <c r="NR28" i="116" s="1"/>
  <c r="BP13" i="121"/>
  <c r="BP14" i="121"/>
  <c r="BP15" i="121"/>
  <c r="BP16" i="121"/>
  <c r="BP17" i="121"/>
  <c r="BP18" i="121"/>
  <c r="BP19" i="121"/>
  <c r="BP20" i="121"/>
  <c r="BP21" i="121"/>
  <c r="BP22" i="121"/>
  <c r="BP23" i="121"/>
  <c r="BP24" i="121"/>
  <c r="BP25" i="121"/>
  <c r="BP26" i="121"/>
  <c r="BP27" i="121"/>
  <c r="BP28" i="121"/>
  <c r="BP29" i="121"/>
  <c r="BP30" i="121"/>
  <c r="BP31" i="121"/>
  <c r="BP32" i="121"/>
  <c r="BP33" i="121"/>
  <c r="BP34" i="121"/>
  <c r="BP35" i="121"/>
  <c r="BP36" i="121"/>
  <c r="BP37" i="121"/>
  <c r="BP38" i="121"/>
  <c r="BP39" i="121"/>
  <c r="BP40" i="121"/>
  <c r="BP41" i="121"/>
  <c r="BP42" i="121"/>
  <c r="BP12" i="121"/>
  <c r="AK21" i="127" l="1"/>
  <c r="AL20" i="127"/>
  <c r="BA36" i="2"/>
  <c r="BA12" i="2"/>
  <c r="BA37" i="2"/>
  <c r="NT19" i="122"/>
  <c r="NG21" i="122"/>
  <c r="OG19" i="122"/>
  <c r="NE37" i="122"/>
  <c r="PA21" i="122"/>
  <c r="PG20" i="122"/>
  <c r="RJ27" i="122"/>
  <c r="RM26" i="122"/>
  <c r="PO19" i="122"/>
  <c r="MZ18" i="122"/>
  <c r="NF42" i="116"/>
  <c r="AK22" i="127" l="1"/>
  <c r="AL21" i="127"/>
  <c r="BA13" i="2"/>
  <c r="BA14" i="2"/>
  <c r="PA22" i="122"/>
  <c r="PG21" i="122"/>
  <c r="NE38" i="122"/>
  <c r="PO20" i="122"/>
  <c r="MZ19" i="122"/>
  <c r="OG20" i="122"/>
  <c r="NG22" i="122"/>
  <c r="NT20" i="122"/>
  <c r="RJ28" i="122"/>
  <c r="RM27" i="122"/>
  <c r="G34" i="118"/>
  <c r="H34" i="118"/>
  <c r="I34" i="118"/>
  <c r="J34" i="118"/>
  <c r="G35" i="118"/>
  <c r="H35" i="118"/>
  <c r="I35" i="118"/>
  <c r="J35" i="118"/>
  <c r="G36" i="118"/>
  <c r="H36" i="118"/>
  <c r="I36" i="118"/>
  <c r="J36" i="118"/>
  <c r="G37" i="118"/>
  <c r="H37" i="118"/>
  <c r="I37" i="118"/>
  <c r="J37" i="118"/>
  <c r="G38" i="118"/>
  <c r="H38" i="118"/>
  <c r="I38" i="118"/>
  <c r="J38" i="118"/>
  <c r="G39" i="118"/>
  <c r="H39" i="118"/>
  <c r="I39" i="118"/>
  <c r="J39" i="118"/>
  <c r="G40" i="118"/>
  <c r="H40" i="118"/>
  <c r="I40" i="118"/>
  <c r="J40" i="118"/>
  <c r="G41" i="118"/>
  <c r="H41" i="118"/>
  <c r="I41" i="118"/>
  <c r="J41" i="118"/>
  <c r="G42" i="118"/>
  <c r="H42" i="118"/>
  <c r="I42" i="118"/>
  <c r="J42" i="118"/>
  <c r="G43" i="118"/>
  <c r="H43" i="118"/>
  <c r="I43" i="118"/>
  <c r="J43" i="118"/>
  <c r="G44" i="118"/>
  <c r="H44" i="118"/>
  <c r="I44" i="118"/>
  <c r="J44" i="118"/>
  <c r="G45" i="118"/>
  <c r="H45" i="118"/>
  <c r="I45" i="118"/>
  <c r="J45" i="118"/>
  <c r="G46" i="118"/>
  <c r="H46" i="118"/>
  <c r="I46" i="118"/>
  <c r="J46" i="118"/>
  <c r="G47" i="118"/>
  <c r="H47" i="118"/>
  <c r="I47" i="118"/>
  <c r="J47" i="118"/>
  <c r="G48" i="118"/>
  <c r="H48" i="118"/>
  <c r="I48" i="118"/>
  <c r="J48" i="118"/>
  <c r="G49" i="118"/>
  <c r="H49" i="118"/>
  <c r="I49" i="118"/>
  <c r="J49" i="118"/>
  <c r="G50" i="118"/>
  <c r="H50" i="118"/>
  <c r="I50" i="118"/>
  <c r="J50" i="118"/>
  <c r="G51" i="118"/>
  <c r="H51" i="118"/>
  <c r="I51" i="118"/>
  <c r="J51" i="118"/>
  <c r="G52" i="118"/>
  <c r="H52" i="118"/>
  <c r="I52" i="118"/>
  <c r="J52" i="118"/>
  <c r="G53" i="118"/>
  <c r="H53" i="118"/>
  <c r="I53" i="118"/>
  <c r="J53" i="118"/>
  <c r="G54" i="118"/>
  <c r="H54" i="118"/>
  <c r="I54" i="118"/>
  <c r="J54" i="118"/>
  <c r="G55" i="118"/>
  <c r="H55" i="118"/>
  <c r="I55" i="118"/>
  <c r="J55" i="118"/>
  <c r="G56" i="118"/>
  <c r="H56" i="118"/>
  <c r="I56" i="118"/>
  <c r="J56" i="118"/>
  <c r="G57" i="118"/>
  <c r="H57" i="118"/>
  <c r="I57" i="118"/>
  <c r="J57" i="118"/>
  <c r="G58" i="118"/>
  <c r="H58" i="118"/>
  <c r="I58" i="118"/>
  <c r="J58" i="118"/>
  <c r="G59" i="118"/>
  <c r="H59" i="118"/>
  <c r="I59" i="118"/>
  <c r="J59" i="118"/>
  <c r="G60" i="118"/>
  <c r="H60" i="118"/>
  <c r="I60" i="118"/>
  <c r="J60" i="118"/>
  <c r="G61" i="118"/>
  <c r="H61" i="118"/>
  <c r="I61" i="118"/>
  <c r="J61" i="118"/>
  <c r="G62" i="118"/>
  <c r="H62" i="118"/>
  <c r="I62" i="118"/>
  <c r="J62" i="118"/>
  <c r="G63" i="118"/>
  <c r="H63" i="118"/>
  <c r="I63" i="118"/>
  <c r="J63" i="118"/>
  <c r="J33" i="118"/>
  <c r="I33" i="118"/>
  <c r="H33" i="118"/>
  <c r="G33" i="118"/>
  <c r="AK23" i="127" l="1"/>
  <c r="AL22" i="127"/>
  <c r="NT21" i="122"/>
  <c r="OG21" i="122"/>
  <c r="MZ20" i="122"/>
  <c r="PO21" i="122"/>
  <c r="RM28" i="122"/>
  <c r="RJ29" i="122"/>
  <c r="NE39" i="122"/>
  <c r="NG23" i="122"/>
  <c r="PA23" i="122"/>
  <c r="PG22" i="122"/>
  <c r="GS40" i="120"/>
  <c r="GT40" i="120"/>
  <c r="GU40" i="120"/>
  <c r="GV40" i="120"/>
  <c r="BM40" i="120"/>
  <c r="BD40" i="120"/>
  <c r="AX40" i="120"/>
  <c r="AK24" i="127" l="1"/>
  <c r="AL23" i="127"/>
  <c r="OG22" i="122"/>
  <c r="NE40" i="122"/>
  <c r="NG24" i="122"/>
  <c r="RM29" i="122"/>
  <c r="RJ30" i="122"/>
  <c r="MZ21" i="122"/>
  <c r="PO22" i="122"/>
  <c r="PG23" i="122"/>
  <c r="PA24" i="122"/>
  <c r="NT22" i="122"/>
  <c r="M34" i="118"/>
  <c r="N34" i="118"/>
  <c r="M35" i="118"/>
  <c r="N35" i="118"/>
  <c r="M36" i="118"/>
  <c r="N36" i="118"/>
  <c r="M37" i="118"/>
  <c r="N37" i="118"/>
  <c r="M38" i="118"/>
  <c r="N38" i="118"/>
  <c r="M50" i="118"/>
  <c r="N33" i="118"/>
  <c r="M33" i="118"/>
  <c r="E34" i="118"/>
  <c r="E35" i="118"/>
  <c r="E36" i="118"/>
  <c r="E37" i="118"/>
  <c r="E38" i="118"/>
  <c r="E39" i="118"/>
  <c r="E40" i="118"/>
  <c r="E41" i="118"/>
  <c r="E42" i="118"/>
  <c r="E43" i="118"/>
  <c r="E44" i="118"/>
  <c r="E45" i="118"/>
  <c r="E46" i="118"/>
  <c r="E47" i="118"/>
  <c r="E48" i="118"/>
  <c r="E49" i="118"/>
  <c r="E50" i="118"/>
  <c r="E51" i="118"/>
  <c r="E52" i="118"/>
  <c r="E53" i="118"/>
  <c r="E54" i="118"/>
  <c r="E55" i="118"/>
  <c r="E56" i="118"/>
  <c r="E57" i="118"/>
  <c r="E58" i="118"/>
  <c r="E59" i="118"/>
  <c r="E60" i="118"/>
  <c r="E61" i="118"/>
  <c r="E62" i="118"/>
  <c r="E63" i="118"/>
  <c r="E33" i="118"/>
  <c r="IP11" i="120"/>
  <c r="IP14" i="120"/>
  <c r="IP15" i="120"/>
  <c r="IP16" i="120"/>
  <c r="IP17" i="120"/>
  <c r="IP18" i="120"/>
  <c r="IP19" i="120"/>
  <c r="IP20" i="120"/>
  <c r="IP21" i="120"/>
  <c r="IP22" i="120"/>
  <c r="IP23" i="120"/>
  <c r="IP24" i="120"/>
  <c r="IP25" i="120"/>
  <c r="IP26" i="120"/>
  <c r="IP27" i="120"/>
  <c r="IP28" i="120"/>
  <c r="IP29" i="120"/>
  <c r="IP30" i="120"/>
  <c r="IP31" i="120"/>
  <c r="IP32" i="120"/>
  <c r="IP33" i="120"/>
  <c r="IP34" i="120"/>
  <c r="IP35" i="120"/>
  <c r="IP36" i="120"/>
  <c r="IP37" i="120"/>
  <c r="IP38" i="120"/>
  <c r="IP39" i="120"/>
  <c r="IP40" i="120"/>
  <c r="IP10" i="120"/>
  <c r="AK25" i="127" l="1"/>
  <c r="AL24" i="127"/>
  <c r="NT23" i="122"/>
  <c r="PG24" i="122"/>
  <c r="PA25" i="122"/>
  <c r="PO23" i="122"/>
  <c r="PO24" i="122" s="1"/>
  <c r="MZ22" i="122"/>
  <c r="RJ31" i="122"/>
  <c r="RM30" i="122"/>
  <c r="NG25" i="122"/>
  <c r="NE41" i="122"/>
  <c r="NE42" i="122" s="1"/>
  <c r="NF9" i="126" s="1"/>
  <c r="NF10" i="126" s="1"/>
  <c r="NF11" i="126" s="1"/>
  <c r="NF12" i="126" s="1"/>
  <c r="NF13" i="126" s="1"/>
  <c r="NF14" i="126" s="1"/>
  <c r="NF15" i="126" s="1"/>
  <c r="NF16" i="126" s="1"/>
  <c r="NF17" i="126" s="1"/>
  <c r="NF18" i="126" s="1"/>
  <c r="NF19" i="126" s="1"/>
  <c r="NF20" i="126" s="1"/>
  <c r="NF21" i="126" s="1"/>
  <c r="NF22" i="126" s="1"/>
  <c r="NF23" i="126" s="1"/>
  <c r="NF24" i="126" s="1"/>
  <c r="NF25" i="126" s="1"/>
  <c r="NF26" i="126" s="1"/>
  <c r="NF27" i="126" s="1"/>
  <c r="NF28" i="126" s="1"/>
  <c r="NF29" i="126" s="1"/>
  <c r="NF30" i="126" s="1"/>
  <c r="NF31" i="126" s="1"/>
  <c r="NF32" i="126" s="1"/>
  <c r="NF33" i="126" s="1"/>
  <c r="NF34" i="126" s="1"/>
  <c r="NF35" i="126" s="1"/>
  <c r="NF36" i="126" s="1"/>
  <c r="NF37" i="126" s="1"/>
  <c r="NF38" i="126" s="1"/>
  <c r="NF39" i="126" s="1"/>
  <c r="NF40" i="126" s="1"/>
  <c r="NF41" i="126" s="1"/>
  <c r="NF42" i="126" s="1"/>
  <c r="NF44" i="126" s="1"/>
  <c r="OG23" i="122"/>
  <c r="O36" i="118"/>
  <c r="B60" i="118"/>
  <c r="B44" i="118"/>
  <c r="D58" i="118"/>
  <c r="D42" i="118"/>
  <c r="B59" i="118"/>
  <c r="B43" i="118"/>
  <c r="B33" i="118"/>
  <c r="O33" i="118"/>
  <c r="O35" i="118"/>
  <c r="O34" i="118"/>
  <c r="D57" i="118"/>
  <c r="D41" i="118"/>
  <c r="B58" i="118"/>
  <c r="B42" i="118"/>
  <c r="D56" i="118"/>
  <c r="D40" i="118"/>
  <c r="B57" i="118"/>
  <c r="B41" i="118"/>
  <c r="D55" i="118"/>
  <c r="D39" i="118"/>
  <c r="B56" i="118"/>
  <c r="B40" i="118"/>
  <c r="D54" i="118"/>
  <c r="D38" i="118"/>
  <c r="B55" i="118"/>
  <c r="B39" i="118"/>
  <c r="D53" i="118"/>
  <c r="D37" i="118"/>
  <c r="B54" i="118"/>
  <c r="B38" i="118"/>
  <c r="D52" i="118"/>
  <c r="D36" i="118"/>
  <c r="B53" i="118"/>
  <c r="B37" i="118"/>
  <c r="D51" i="118"/>
  <c r="D35" i="118"/>
  <c r="B52" i="118"/>
  <c r="B36" i="118"/>
  <c r="D50" i="118"/>
  <c r="D34" i="118"/>
  <c r="B51" i="118"/>
  <c r="B35" i="118"/>
  <c r="D49" i="118"/>
  <c r="B50" i="118"/>
  <c r="B34" i="118"/>
  <c r="D48" i="118"/>
  <c r="B49" i="118"/>
  <c r="D63" i="118"/>
  <c r="D47" i="118"/>
  <c r="B48" i="118"/>
  <c r="D62" i="118"/>
  <c r="D46" i="118"/>
  <c r="D33" i="118"/>
  <c r="B63" i="118"/>
  <c r="B47" i="118"/>
  <c r="D61" i="118"/>
  <c r="D45" i="118"/>
  <c r="B62" i="118"/>
  <c r="B46" i="118"/>
  <c r="D60" i="118"/>
  <c r="D44" i="118"/>
  <c r="B61" i="118"/>
  <c r="B45" i="118"/>
  <c r="D59" i="118"/>
  <c r="D43" i="118"/>
  <c r="N57" i="118"/>
  <c r="N49" i="118"/>
  <c r="N41" i="118"/>
  <c r="M57" i="118"/>
  <c r="M49" i="118"/>
  <c r="M41" i="118"/>
  <c r="N56" i="118"/>
  <c r="N48" i="118"/>
  <c r="N40" i="118"/>
  <c r="M56" i="118"/>
  <c r="M48" i="118"/>
  <c r="M40" i="118"/>
  <c r="N63" i="118"/>
  <c r="N55" i="118"/>
  <c r="N47" i="118"/>
  <c r="N39" i="118"/>
  <c r="M63" i="118"/>
  <c r="M55" i="118"/>
  <c r="M47" i="118"/>
  <c r="M39" i="118"/>
  <c r="N62" i="118"/>
  <c r="N54" i="118"/>
  <c r="N46" i="118"/>
  <c r="M62" i="118"/>
  <c r="M54" i="118"/>
  <c r="M46" i="118"/>
  <c r="O38" i="118"/>
  <c r="N61" i="118"/>
  <c r="N53" i="118"/>
  <c r="N45" i="118"/>
  <c r="M61" i="118"/>
  <c r="M53" i="118"/>
  <c r="M45" i="118"/>
  <c r="O37" i="118"/>
  <c r="N60" i="118"/>
  <c r="N52" i="118"/>
  <c r="N44" i="118"/>
  <c r="M60" i="118"/>
  <c r="M52" i="118"/>
  <c r="M44" i="118"/>
  <c r="N59" i="118"/>
  <c r="N51" i="118"/>
  <c r="N43" i="118"/>
  <c r="M59" i="118"/>
  <c r="M51" i="118"/>
  <c r="M43" i="118"/>
  <c r="N58" i="118"/>
  <c r="N50" i="118"/>
  <c r="O50" i="118" s="1"/>
  <c r="N42" i="118"/>
  <c r="M58" i="118"/>
  <c r="M42" i="118"/>
  <c r="BS11" i="121"/>
  <c r="AS11" i="121"/>
  <c r="AK11" i="121"/>
  <c r="AJ11" i="121"/>
  <c r="OB9" i="120"/>
  <c r="OD9" i="120"/>
  <c r="NZ9" i="120"/>
  <c r="NQ9" i="120"/>
  <c r="NQ10" i="120"/>
  <c r="NQ11" i="120" s="1"/>
  <c r="NQ12" i="120" s="1"/>
  <c r="NQ13" i="120" s="1"/>
  <c r="NQ14" i="120" s="1"/>
  <c r="NQ15" i="120" s="1"/>
  <c r="NQ16" i="120" s="1"/>
  <c r="NQ17" i="120" s="1"/>
  <c r="NQ18" i="120" s="1"/>
  <c r="NQ19" i="120" s="1"/>
  <c r="NQ20" i="120" s="1"/>
  <c r="NQ21" i="120" s="1"/>
  <c r="NQ22" i="120" s="1"/>
  <c r="NQ23" i="120" s="1"/>
  <c r="NQ24" i="120" s="1"/>
  <c r="NQ25" i="120" s="1"/>
  <c r="NQ26" i="120" s="1"/>
  <c r="NQ27" i="120" s="1"/>
  <c r="NQ28" i="120" s="1"/>
  <c r="NQ29" i="120" s="1"/>
  <c r="NQ30" i="120" s="1"/>
  <c r="NQ31" i="120" s="1"/>
  <c r="NQ32" i="120" s="1"/>
  <c r="NQ33" i="120" s="1"/>
  <c r="NQ34" i="120" s="1"/>
  <c r="NQ35" i="120" s="1"/>
  <c r="NQ36" i="120" s="1"/>
  <c r="NQ37" i="120" s="1"/>
  <c r="NQ38" i="120" s="1"/>
  <c r="NQ39" i="120" s="1"/>
  <c r="NQ40" i="120" s="1"/>
  <c r="NQ41" i="120" s="1"/>
  <c r="NP9" i="120"/>
  <c r="NP10" i="120" s="1"/>
  <c r="NO9" i="120"/>
  <c r="AY22" i="120"/>
  <c r="AY30" i="120"/>
  <c r="AY35" i="120"/>
  <c r="AY37" i="120"/>
  <c r="AY39" i="120"/>
  <c r="D130" i="121"/>
  <c r="C130" i="121"/>
  <c r="D129" i="121"/>
  <c r="C129" i="121"/>
  <c r="D128" i="121"/>
  <c r="C128" i="121"/>
  <c r="D127" i="121"/>
  <c r="C127" i="121"/>
  <c r="D126" i="121"/>
  <c r="C126" i="121"/>
  <c r="D125" i="121"/>
  <c r="C125" i="121"/>
  <c r="D124" i="121"/>
  <c r="C124" i="121"/>
  <c r="D123" i="121"/>
  <c r="C123" i="121"/>
  <c r="D122" i="121"/>
  <c r="C122" i="121"/>
  <c r="D121" i="121"/>
  <c r="C121" i="121"/>
  <c r="D120" i="121"/>
  <c r="C120" i="121"/>
  <c r="D119" i="121"/>
  <c r="C119" i="121"/>
  <c r="D118" i="121"/>
  <c r="C118" i="121"/>
  <c r="D117" i="121"/>
  <c r="C117" i="121"/>
  <c r="D116" i="121"/>
  <c r="C116" i="121"/>
  <c r="D115" i="121"/>
  <c r="C115" i="121"/>
  <c r="D114" i="121"/>
  <c r="C114" i="121"/>
  <c r="D113" i="121"/>
  <c r="C113" i="121"/>
  <c r="D112" i="121"/>
  <c r="C112" i="121"/>
  <c r="D111" i="121"/>
  <c r="C111" i="121"/>
  <c r="D110" i="121"/>
  <c r="C110" i="121"/>
  <c r="D109" i="121"/>
  <c r="C109" i="121"/>
  <c r="D108" i="121"/>
  <c r="C108" i="121"/>
  <c r="D107" i="121"/>
  <c r="C107" i="121"/>
  <c r="D106" i="121"/>
  <c r="C106" i="121"/>
  <c r="D105" i="121"/>
  <c r="C105" i="121"/>
  <c r="D104" i="121"/>
  <c r="C104" i="121"/>
  <c r="D103" i="121"/>
  <c r="C103" i="121"/>
  <c r="D102" i="121"/>
  <c r="C102" i="121"/>
  <c r="D101" i="121"/>
  <c r="C101" i="121"/>
  <c r="O100" i="121"/>
  <c r="O101" i="121" s="1"/>
  <c r="O102" i="121" s="1"/>
  <c r="O103" i="121" s="1"/>
  <c r="O104" i="121" s="1"/>
  <c r="O105" i="121" s="1"/>
  <c r="O106" i="121" s="1"/>
  <c r="O107" i="121" s="1"/>
  <c r="O108" i="121" s="1"/>
  <c r="O109" i="121" s="1"/>
  <c r="O110" i="121" s="1"/>
  <c r="O111" i="121" s="1"/>
  <c r="O112" i="121" s="1"/>
  <c r="O113" i="121" s="1"/>
  <c r="O114" i="121" s="1"/>
  <c r="O115" i="121" s="1"/>
  <c r="O116" i="121" s="1"/>
  <c r="O117" i="121" s="1"/>
  <c r="O118" i="121" s="1"/>
  <c r="O119" i="121" s="1"/>
  <c r="O120" i="121" s="1"/>
  <c r="O121" i="121" s="1"/>
  <c r="O122" i="121" s="1"/>
  <c r="O123" i="121" s="1"/>
  <c r="O124" i="121" s="1"/>
  <c r="O125" i="121" s="1"/>
  <c r="O126" i="121" s="1"/>
  <c r="O127" i="121" s="1"/>
  <c r="O128" i="121" s="1"/>
  <c r="O129" i="121" s="1"/>
  <c r="O130" i="121" s="1"/>
  <c r="D100" i="121"/>
  <c r="C100" i="121"/>
  <c r="S45" i="121"/>
  <c r="D45" i="121"/>
  <c r="C45" i="121"/>
  <c r="BQ43" i="121"/>
  <c r="BQ44" i="121" s="1"/>
  <c r="BQ46" i="121" s="1"/>
  <c r="BQ47" i="121" s="1"/>
  <c r="BO43" i="121"/>
  <c r="BN43" i="121"/>
  <c r="BN44" i="121" s="1"/>
  <c r="BN46" i="121" s="1"/>
  <c r="BN47" i="121" s="1"/>
  <c r="BM43" i="121"/>
  <c r="BM44" i="121" s="1"/>
  <c r="BL43" i="121"/>
  <c r="BL44" i="121" s="1"/>
  <c r="BK43" i="121"/>
  <c r="AP43" i="121"/>
  <c r="AP44" i="121" s="1"/>
  <c r="AO43" i="121"/>
  <c r="AO44" i="121" s="1"/>
  <c r="AI43" i="121"/>
  <c r="AI44" i="121" s="1"/>
  <c r="AD43" i="121"/>
  <c r="AD44" i="121" s="1"/>
  <c r="AC43" i="121"/>
  <c r="AC44" i="121" s="1"/>
  <c r="Z43" i="121"/>
  <c r="Z44" i="121" s="1"/>
  <c r="X43" i="121"/>
  <c r="X44" i="121" s="1"/>
  <c r="P43" i="121"/>
  <c r="P44" i="121" s="1"/>
  <c r="O43" i="121"/>
  <c r="I43" i="121"/>
  <c r="I44" i="121" s="1"/>
  <c r="H43" i="121"/>
  <c r="H44" i="121" s="1"/>
  <c r="G7" i="121" s="1"/>
  <c r="AU42" i="121" a="1"/>
  <c r="AU42" i="121" s="1"/>
  <c r="AQ42" i="121"/>
  <c r="AX42" i="121"/>
  <c r="C42" i="121"/>
  <c r="AQ41" i="121"/>
  <c r="C41" i="121"/>
  <c r="AQ40" i="121"/>
  <c r="C40" i="121"/>
  <c r="AQ39" i="121"/>
  <c r="C39" i="121"/>
  <c r="AQ38" i="121"/>
  <c r="C38" i="121"/>
  <c r="AQ37" i="121"/>
  <c r="C37" i="121"/>
  <c r="AQ36" i="121"/>
  <c r="C36" i="121"/>
  <c r="AQ35" i="121"/>
  <c r="CR35" i="121"/>
  <c r="C35" i="121"/>
  <c r="AQ34" i="121"/>
  <c r="C34" i="121"/>
  <c r="AQ33" i="121"/>
  <c r="C33" i="121"/>
  <c r="AQ32" i="121"/>
  <c r="C32" i="121"/>
  <c r="AQ31" i="121"/>
  <c r="C31" i="121"/>
  <c r="AQ30" i="121"/>
  <c r="C30" i="121"/>
  <c r="AQ29" i="121"/>
  <c r="CR29" i="121"/>
  <c r="C29" i="121"/>
  <c r="AQ28" i="121"/>
  <c r="CR28" i="121"/>
  <c r="C28" i="121"/>
  <c r="AQ27" i="121"/>
  <c r="C27" i="121"/>
  <c r="AQ26" i="121"/>
  <c r="CR26" i="121"/>
  <c r="C26" i="121"/>
  <c r="AQ25" i="121"/>
  <c r="C25" i="121"/>
  <c r="AQ24" i="121"/>
  <c r="C24" i="121"/>
  <c r="AQ23" i="121"/>
  <c r="CR23" i="121"/>
  <c r="C23" i="121"/>
  <c r="AQ22" i="121"/>
  <c r="CR22" i="121"/>
  <c r="C22" i="121"/>
  <c r="AQ21" i="121"/>
  <c r="C21" i="121"/>
  <c r="AQ20" i="121"/>
  <c r="C20" i="121"/>
  <c r="AQ19" i="121"/>
  <c r="C19" i="121"/>
  <c r="AQ18" i="121"/>
  <c r="C18" i="121"/>
  <c r="AQ17" i="121"/>
  <c r="C17" i="121"/>
  <c r="AQ16" i="121"/>
  <c r="C16" i="121"/>
  <c r="AQ15" i="121"/>
  <c r="C15" i="121"/>
  <c r="AQ14" i="121"/>
  <c r="C14" i="121"/>
  <c r="AQ13" i="121"/>
  <c r="C13" i="121"/>
  <c r="BP43" i="121"/>
  <c r="BP44" i="121" s="1"/>
  <c r="BP46" i="121" s="1"/>
  <c r="BP47" i="121" s="1"/>
  <c r="AQ12" i="121"/>
  <c r="C12" i="121"/>
  <c r="AR11" i="121"/>
  <c r="AR12" i="121" s="1"/>
  <c r="AR13" i="121" s="1"/>
  <c r="AR14" i="121" s="1"/>
  <c r="AR15" i="121" s="1"/>
  <c r="AR16" i="121" s="1"/>
  <c r="AR17" i="121" s="1"/>
  <c r="AR18" i="121" s="1"/>
  <c r="AR19" i="121" s="1"/>
  <c r="AR20" i="121" s="1"/>
  <c r="AR21" i="121" s="1"/>
  <c r="AR22" i="121" s="1"/>
  <c r="AR23" i="121" s="1"/>
  <c r="AR24" i="121" s="1"/>
  <c r="AR25" i="121" s="1"/>
  <c r="AR26" i="121" s="1"/>
  <c r="AR27" i="121" s="1"/>
  <c r="AR28" i="121" s="1"/>
  <c r="AR29" i="121" s="1"/>
  <c r="AR30" i="121" s="1"/>
  <c r="AR31" i="121" s="1"/>
  <c r="AR32" i="121" s="1"/>
  <c r="AR33" i="121" s="1"/>
  <c r="AR34" i="121" s="1"/>
  <c r="AR35" i="121" s="1"/>
  <c r="AR36" i="121" s="1"/>
  <c r="AR37" i="121" s="1"/>
  <c r="AR38" i="121" s="1"/>
  <c r="AR39" i="121" s="1"/>
  <c r="AR40" i="121" s="1"/>
  <c r="AR41" i="121" s="1"/>
  <c r="AR42" i="121" s="1"/>
  <c r="AR43" i="121" s="1"/>
  <c r="AR44" i="121" s="1"/>
  <c r="JI224" i="120"/>
  <c r="BZ211" i="120"/>
  <c r="BW210" i="120"/>
  <c r="BQ210" i="120"/>
  <c r="BM210" i="120"/>
  <c r="P178" i="120"/>
  <c r="P179" i="120" s="1"/>
  <c r="P180" i="120" s="1"/>
  <c r="P181" i="120" s="1"/>
  <c r="P182" i="120" s="1"/>
  <c r="P183" i="120" s="1"/>
  <c r="P184" i="120" s="1"/>
  <c r="P185" i="120" s="1"/>
  <c r="P186" i="120" s="1"/>
  <c r="P187" i="120" s="1"/>
  <c r="P188" i="120" s="1"/>
  <c r="P189" i="120" s="1"/>
  <c r="P190" i="120" s="1"/>
  <c r="P191" i="120" s="1"/>
  <c r="P192" i="120" s="1"/>
  <c r="P193" i="120" s="1"/>
  <c r="P194" i="120" s="1"/>
  <c r="P195" i="120" s="1"/>
  <c r="P196" i="120" s="1"/>
  <c r="P197" i="120" s="1"/>
  <c r="P198" i="120" s="1"/>
  <c r="P199" i="120" s="1"/>
  <c r="P200" i="120" s="1"/>
  <c r="P201" i="120" s="1"/>
  <c r="P202" i="120" s="1"/>
  <c r="P203" i="120" s="1"/>
  <c r="P204" i="120" s="1"/>
  <c r="P205" i="120" s="1"/>
  <c r="P206" i="120" s="1"/>
  <c r="P207" i="120" s="1"/>
  <c r="P208" i="120" s="1"/>
  <c r="O178" i="120"/>
  <c r="O179" i="120" s="1"/>
  <c r="O180" i="120" s="1"/>
  <c r="O181" i="120" s="1"/>
  <c r="O182" i="120" s="1"/>
  <c r="O183" i="120" s="1"/>
  <c r="O184" i="120" s="1"/>
  <c r="O185" i="120" s="1"/>
  <c r="O186" i="120" s="1"/>
  <c r="O187" i="120" s="1"/>
  <c r="O188" i="120" s="1"/>
  <c r="O189" i="120" s="1"/>
  <c r="O190" i="120" s="1"/>
  <c r="O191" i="120" s="1"/>
  <c r="O192" i="120" s="1"/>
  <c r="O193" i="120" s="1"/>
  <c r="O194" i="120" s="1"/>
  <c r="O195" i="120" s="1"/>
  <c r="O196" i="120" s="1"/>
  <c r="O197" i="120" s="1"/>
  <c r="O198" i="120" s="1"/>
  <c r="O199" i="120" s="1"/>
  <c r="O200" i="120" s="1"/>
  <c r="O201" i="120" s="1"/>
  <c r="O202" i="120" s="1"/>
  <c r="O203" i="120" s="1"/>
  <c r="O204" i="120" s="1"/>
  <c r="O205" i="120" s="1"/>
  <c r="O206" i="120" s="1"/>
  <c r="O207" i="120" s="1"/>
  <c r="O208" i="120" s="1"/>
  <c r="Q177" i="120"/>
  <c r="T137" i="120"/>
  <c r="P136" i="120"/>
  <c r="P137" i="120" s="1"/>
  <c r="P138" i="120" s="1"/>
  <c r="P139" i="120" s="1"/>
  <c r="P140" i="120" s="1"/>
  <c r="P141" i="120" s="1"/>
  <c r="P142" i="120" s="1"/>
  <c r="P143" i="120" s="1"/>
  <c r="P144" i="120" s="1"/>
  <c r="P145" i="120" s="1"/>
  <c r="P146" i="120" s="1"/>
  <c r="P147" i="120" s="1"/>
  <c r="P148" i="120" s="1"/>
  <c r="P149" i="120" s="1"/>
  <c r="P150" i="120" s="1"/>
  <c r="P151" i="120" s="1"/>
  <c r="P152" i="120" s="1"/>
  <c r="P153" i="120" s="1"/>
  <c r="P154" i="120" s="1"/>
  <c r="P155" i="120" s="1"/>
  <c r="P156" i="120" s="1"/>
  <c r="P157" i="120" s="1"/>
  <c r="P158" i="120" s="1"/>
  <c r="P159" i="120" s="1"/>
  <c r="P160" i="120" s="1"/>
  <c r="P161" i="120" s="1"/>
  <c r="P162" i="120" s="1"/>
  <c r="P163" i="120" s="1"/>
  <c r="P164" i="120" s="1"/>
  <c r="P165" i="120" s="1"/>
  <c r="P166" i="120" s="1"/>
  <c r="O136" i="120"/>
  <c r="O137" i="120" s="1"/>
  <c r="O138" i="120" s="1"/>
  <c r="O139" i="120" s="1"/>
  <c r="O140" i="120" s="1"/>
  <c r="O141" i="120" s="1"/>
  <c r="O142" i="120" s="1"/>
  <c r="O143" i="120" s="1"/>
  <c r="O144" i="120" s="1"/>
  <c r="O145" i="120" s="1"/>
  <c r="O146" i="120" s="1"/>
  <c r="O147" i="120" s="1"/>
  <c r="O148" i="120" s="1"/>
  <c r="O149" i="120" s="1"/>
  <c r="O150" i="120" s="1"/>
  <c r="O151" i="120" s="1"/>
  <c r="O152" i="120" s="1"/>
  <c r="O153" i="120" s="1"/>
  <c r="O154" i="120" s="1"/>
  <c r="O155" i="120" s="1"/>
  <c r="O156" i="120" s="1"/>
  <c r="O157" i="120" s="1"/>
  <c r="O158" i="120" s="1"/>
  <c r="O159" i="120" s="1"/>
  <c r="O160" i="120" s="1"/>
  <c r="O161" i="120" s="1"/>
  <c r="O162" i="120" s="1"/>
  <c r="O163" i="120" s="1"/>
  <c r="O164" i="120" s="1"/>
  <c r="O165" i="120" s="1"/>
  <c r="O166" i="120" s="1"/>
  <c r="X95" i="120"/>
  <c r="X96" i="120" s="1"/>
  <c r="X97" i="120" s="1"/>
  <c r="X98" i="120" s="1"/>
  <c r="X99" i="120" s="1"/>
  <c r="X100" i="120" s="1"/>
  <c r="X101" i="120" s="1"/>
  <c r="X102" i="120" s="1"/>
  <c r="X103" i="120" s="1"/>
  <c r="X104" i="120" s="1"/>
  <c r="X105" i="120" s="1"/>
  <c r="X106" i="120" s="1"/>
  <c r="X107" i="120" s="1"/>
  <c r="X108" i="120" s="1"/>
  <c r="X109" i="120" s="1"/>
  <c r="X110" i="120" s="1"/>
  <c r="X111" i="120" s="1"/>
  <c r="X112" i="120" s="1"/>
  <c r="X113" i="120" s="1"/>
  <c r="X114" i="120" s="1"/>
  <c r="X115" i="120" s="1"/>
  <c r="X116" i="120" s="1"/>
  <c r="X117" i="120" s="1"/>
  <c r="X118" i="120" s="1"/>
  <c r="X119" i="120" s="1"/>
  <c r="X120" i="120" s="1"/>
  <c r="X121" i="120" s="1"/>
  <c r="X122" i="120" s="1"/>
  <c r="X123" i="120" s="1"/>
  <c r="X124" i="120" s="1"/>
  <c r="X125" i="120" s="1"/>
  <c r="W95" i="120"/>
  <c r="W96" i="120" s="1"/>
  <c r="W97" i="120" s="1"/>
  <c r="W98" i="120" s="1"/>
  <c r="W99" i="120" s="1"/>
  <c r="W100" i="120" s="1"/>
  <c r="W101" i="120" s="1"/>
  <c r="W102" i="120" s="1"/>
  <c r="W103" i="120" s="1"/>
  <c r="W104" i="120" s="1"/>
  <c r="W105" i="120" s="1"/>
  <c r="W106" i="120" s="1"/>
  <c r="W107" i="120" s="1"/>
  <c r="W108" i="120" s="1"/>
  <c r="W109" i="120" s="1"/>
  <c r="W110" i="120" s="1"/>
  <c r="W111" i="120" s="1"/>
  <c r="W112" i="120" s="1"/>
  <c r="W113" i="120" s="1"/>
  <c r="W114" i="120" s="1"/>
  <c r="W115" i="120" s="1"/>
  <c r="W116" i="120" s="1"/>
  <c r="W117" i="120" s="1"/>
  <c r="W118" i="120" s="1"/>
  <c r="W119" i="120" s="1"/>
  <c r="W120" i="120" s="1"/>
  <c r="W121" i="120" s="1"/>
  <c r="W122" i="120" s="1"/>
  <c r="W123" i="120" s="1"/>
  <c r="W124" i="120" s="1"/>
  <c r="W125" i="120" s="1"/>
  <c r="T95" i="120"/>
  <c r="T96" i="120" s="1"/>
  <c r="T97" i="120" s="1"/>
  <c r="T98" i="120" s="1"/>
  <c r="T99" i="120" s="1"/>
  <c r="T100" i="120" s="1"/>
  <c r="T101" i="120" s="1"/>
  <c r="T102" i="120" s="1"/>
  <c r="T103" i="120" s="1"/>
  <c r="T104" i="120" s="1"/>
  <c r="T105" i="120" s="1"/>
  <c r="T106" i="120" s="1"/>
  <c r="T107" i="120" s="1"/>
  <c r="T108" i="120" s="1"/>
  <c r="T109" i="120" s="1"/>
  <c r="T110" i="120" s="1"/>
  <c r="T111" i="120" s="1"/>
  <c r="T112" i="120" s="1"/>
  <c r="T113" i="120" s="1"/>
  <c r="T114" i="120" s="1"/>
  <c r="T115" i="120" s="1"/>
  <c r="T116" i="120" s="1"/>
  <c r="T117" i="120" s="1"/>
  <c r="T118" i="120" s="1"/>
  <c r="T119" i="120" s="1"/>
  <c r="T120" i="120" s="1"/>
  <c r="T121" i="120" s="1"/>
  <c r="T122" i="120" s="1"/>
  <c r="T123" i="120" s="1"/>
  <c r="T124" i="120" s="1"/>
  <c r="T125" i="120" s="1"/>
  <c r="S95" i="120"/>
  <c r="S96" i="120" s="1"/>
  <c r="S97" i="120" s="1"/>
  <c r="S98" i="120" s="1"/>
  <c r="S99" i="120" s="1"/>
  <c r="S100" i="120" s="1"/>
  <c r="S101" i="120" s="1"/>
  <c r="S102" i="120" s="1"/>
  <c r="S103" i="120" s="1"/>
  <c r="S104" i="120" s="1"/>
  <c r="S105" i="120" s="1"/>
  <c r="S106" i="120" s="1"/>
  <c r="S107" i="120" s="1"/>
  <c r="S108" i="120" s="1"/>
  <c r="S109" i="120" s="1"/>
  <c r="S110" i="120" s="1"/>
  <c r="S111" i="120" s="1"/>
  <c r="S112" i="120" s="1"/>
  <c r="S113" i="120" s="1"/>
  <c r="S114" i="120" s="1"/>
  <c r="S115" i="120" s="1"/>
  <c r="S116" i="120" s="1"/>
  <c r="S117" i="120" s="1"/>
  <c r="S118" i="120" s="1"/>
  <c r="S119" i="120" s="1"/>
  <c r="S120" i="120" s="1"/>
  <c r="S121" i="120" s="1"/>
  <c r="S122" i="120" s="1"/>
  <c r="S123" i="120" s="1"/>
  <c r="S124" i="120" s="1"/>
  <c r="S125" i="120" s="1"/>
  <c r="P95" i="120"/>
  <c r="P96" i="120" s="1"/>
  <c r="P97" i="120" s="1"/>
  <c r="P98" i="120" s="1"/>
  <c r="P99" i="120" s="1"/>
  <c r="P100" i="120" s="1"/>
  <c r="P101" i="120" s="1"/>
  <c r="P102" i="120" s="1"/>
  <c r="P103" i="120" s="1"/>
  <c r="P104" i="120" s="1"/>
  <c r="P105" i="120" s="1"/>
  <c r="P106" i="120" s="1"/>
  <c r="P107" i="120" s="1"/>
  <c r="P108" i="120" s="1"/>
  <c r="P109" i="120" s="1"/>
  <c r="P110" i="120" s="1"/>
  <c r="P111" i="120" s="1"/>
  <c r="P112" i="120" s="1"/>
  <c r="P113" i="120" s="1"/>
  <c r="P114" i="120" s="1"/>
  <c r="P115" i="120" s="1"/>
  <c r="P116" i="120" s="1"/>
  <c r="P117" i="120" s="1"/>
  <c r="P118" i="120" s="1"/>
  <c r="P119" i="120" s="1"/>
  <c r="P120" i="120" s="1"/>
  <c r="P121" i="120" s="1"/>
  <c r="P122" i="120" s="1"/>
  <c r="P123" i="120" s="1"/>
  <c r="P124" i="120" s="1"/>
  <c r="P125" i="120" s="1"/>
  <c r="O95" i="120"/>
  <c r="O96" i="120" s="1"/>
  <c r="O97" i="120" s="1"/>
  <c r="O98" i="120" s="1"/>
  <c r="O99" i="120" s="1"/>
  <c r="O100" i="120" s="1"/>
  <c r="O101" i="120" s="1"/>
  <c r="O102" i="120" s="1"/>
  <c r="O103" i="120" s="1"/>
  <c r="O104" i="120" s="1"/>
  <c r="O105" i="120" s="1"/>
  <c r="O106" i="120" s="1"/>
  <c r="O107" i="120" s="1"/>
  <c r="O108" i="120" s="1"/>
  <c r="O109" i="120" s="1"/>
  <c r="O110" i="120" s="1"/>
  <c r="O111" i="120" s="1"/>
  <c r="O112" i="120" s="1"/>
  <c r="O113" i="120" s="1"/>
  <c r="O114" i="120" s="1"/>
  <c r="O115" i="120" s="1"/>
  <c r="O116" i="120" s="1"/>
  <c r="O117" i="120" s="1"/>
  <c r="O118" i="120" s="1"/>
  <c r="O119" i="120" s="1"/>
  <c r="O120" i="120" s="1"/>
  <c r="O121" i="120" s="1"/>
  <c r="O122" i="120" s="1"/>
  <c r="O123" i="120" s="1"/>
  <c r="O124" i="120" s="1"/>
  <c r="O125" i="120" s="1"/>
  <c r="AB94" i="120"/>
  <c r="BF58" i="120"/>
  <c r="BF57" i="120"/>
  <c r="BF59" i="120" s="1"/>
  <c r="X53" i="120"/>
  <c r="X54" i="120" s="1"/>
  <c r="X55" i="120" s="1"/>
  <c r="X56" i="120" s="1"/>
  <c r="X57" i="120" s="1"/>
  <c r="X58" i="120" s="1"/>
  <c r="X59" i="120" s="1"/>
  <c r="X60" i="120" s="1"/>
  <c r="X61" i="120" s="1"/>
  <c r="X62" i="120" s="1"/>
  <c r="X63" i="120" s="1"/>
  <c r="X64" i="120" s="1"/>
  <c r="X65" i="120" s="1"/>
  <c r="X66" i="120" s="1"/>
  <c r="X67" i="120" s="1"/>
  <c r="X68" i="120" s="1"/>
  <c r="X69" i="120" s="1"/>
  <c r="X70" i="120" s="1"/>
  <c r="X71" i="120" s="1"/>
  <c r="X72" i="120" s="1"/>
  <c r="X73" i="120" s="1"/>
  <c r="X74" i="120" s="1"/>
  <c r="X75" i="120" s="1"/>
  <c r="X76" i="120" s="1"/>
  <c r="X77" i="120" s="1"/>
  <c r="X78" i="120" s="1"/>
  <c r="X79" i="120" s="1"/>
  <c r="X80" i="120" s="1"/>
  <c r="X81" i="120" s="1"/>
  <c r="X82" i="120" s="1"/>
  <c r="X83" i="120" s="1"/>
  <c r="W53" i="120"/>
  <c r="W54" i="120" s="1"/>
  <c r="W55" i="120" s="1"/>
  <c r="W56" i="120" s="1"/>
  <c r="W57" i="120" s="1"/>
  <c r="W58" i="120" s="1"/>
  <c r="W59" i="120" s="1"/>
  <c r="W60" i="120" s="1"/>
  <c r="W61" i="120" s="1"/>
  <c r="W62" i="120" s="1"/>
  <c r="W63" i="120" s="1"/>
  <c r="W64" i="120" s="1"/>
  <c r="W65" i="120" s="1"/>
  <c r="W66" i="120" s="1"/>
  <c r="W67" i="120" s="1"/>
  <c r="W68" i="120" s="1"/>
  <c r="W69" i="120" s="1"/>
  <c r="W70" i="120" s="1"/>
  <c r="W71" i="120" s="1"/>
  <c r="W72" i="120" s="1"/>
  <c r="W73" i="120" s="1"/>
  <c r="W74" i="120" s="1"/>
  <c r="W75" i="120" s="1"/>
  <c r="W76" i="120" s="1"/>
  <c r="W77" i="120" s="1"/>
  <c r="W78" i="120" s="1"/>
  <c r="W79" i="120" s="1"/>
  <c r="W80" i="120" s="1"/>
  <c r="W81" i="120" s="1"/>
  <c r="W82" i="120" s="1"/>
  <c r="W83" i="120" s="1"/>
  <c r="P53" i="120"/>
  <c r="P54" i="120" s="1"/>
  <c r="P55" i="120" s="1"/>
  <c r="P56" i="120" s="1"/>
  <c r="P57" i="120" s="1"/>
  <c r="P58" i="120" s="1"/>
  <c r="P59" i="120" s="1"/>
  <c r="P60" i="120" s="1"/>
  <c r="P61" i="120" s="1"/>
  <c r="P62" i="120" s="1"/>
  <c r="P63" i="120" s="1"/>
  <c r="P64" i="120" s="1"/>
  <c r="P65" i="120" s="1"/>
  <c r="P66" i="120" s="1"/>
  <c r="P67" i="120" s="1"/>
  <c r="P68" i="120" s="1"/>
  <c r="P69" i="120" s="1"/>
  <c r="P70" i="120" s="1"/>
  <c r="P71" i="120" s="1"/>
  <c r="P72" i="120" s="1"/>
  <c r="P73" i="120" s="1"/>
  <c r="P74" i="120" s="1"/>
  <c r="P75" i="120" s="1"/>
  <c r="P76" i="120" s="1"/>
  <c r="P77" i="120" s="1"/>
  <c r="P78" i="120" s="1"/>
  <c r="P79" i="120" s="1"/>
  <c r="P80" i="120" s="1"/>
  <c r="P81" i="120" s="1"/>
  <c r="P82" i="120" s="1"/>
  <c r="P83" i="120" s="1"/>
  <c r="O53" i="120"/>
  <c r="O54" i="120" s="1"/>
  <c r="O55" i="120" s="1"/>
  <c r="O56" i="120" s="1"/>
  <c r="O57" i="120" s="1"/>
  <c r="O58" i="120" s="1"/>
  <c r="O59" i="120" s="1"/>
  <c r="O60" i="120" s="1"/>
  <c r="O61" i="120" s="1"/>
  <c r="O62" i="120" s="1"/>
  <c r="O63" i="120" s="1"/>
  <c r="O64" i="120" s="1"/>
  <c r="O65" i="120" s="1"/>
  <c r="O66" i="120" s="1"/>
  <c r="O67" i="120" s="1"/>
  <c r="O68" i="120" s="1"/>
  <c r="O69" i="120" s="1"/>
  <c r="O70" i="120" s="1"/>
  <c r="O71" i="120" s="1"/>
  <c r="O72" i="120" s="1"/>
  <c r="O73" i="120" s="1"/>
  <c r="O74" i="120" s="1"/>
  <c r="O75" i="120" s="1"/>
  <c r="O76" i="120" s="1"/>
  <c r="O77" i="120" s="1"/>
  <c r="O78" i="120" s="1"/>
  <c r="O79" i="120" s="1"/>
  <c r="O80" i="120" s="1"/>
  <c r="O81" i="120" s="1"/>
  <c r="O82" i="120" s="1"/>
  <c r="O83" i="120" s="1"/>
  <c r="BC52" i="120"/>
  <c r="AX52" i="120"/>
  <c r="AW52" i="120"/>
  <c r="GS50" i="120"/>
  <c r="T52" i="120"/>
  <c r="T53" i="120" s="1"/>
  <c r="T54" i="120" s="1"/>
  <c r="T55" i="120" s="1"/>
  <c r="T56" i="120" s="1"/>
  <c r="T57" i="120" s="1"/>
  <c r="T58" i="120" s="1"/>
  <c r="T59" i="120" s="1"/>
  <c r="T60" i="120" s="1"/>
  <c r="T61" i="120" s="1"/>
  <c r="T62" i="120" s="1"/>
  <c r="T63" i="120" s="1"/>
  <c r="T64" i="120" s="1"/>
  <c r="T65" i="120" s="1"/>
  <c r="T66" i="120" s="1"/>
  <c r="T67" i="120" s="1"/>
  <c r="T68" i="120" s="1"/>
  <c r="T69" i="120" s="1"/>
  <c r="T70" i="120" s="1"/>
  <c r="T71" i="120" s="1"/>
  <c r="T72" i="120" s="1"/>
  <c r="T73" i="120" s="1"/>
  <c r="T74" i="120" s="1"/>
  <c r="T75" i="120" s="1"/>
  <c r="T76" i="120" s="1"/>
  <c r="T77" i="120" s="1"/>
  <c r="T78" i="120" s="1"/>
  <c r="T79" i="120" s="1"/>
  <c r="T80" i="120" s="1"/>
  <c r="T81" i="120" s="1"/>
  <c r="T82" i="120" s="1"/>
  <c r="T83" i="120" s="1"/>
  <c r="S52" i="120"/>
  <c r="S53" i="120" s="1"/>
  <c r="S54" i="120" s="1"/>
  <c r="S55" i="120" s="1"/>
  <c r="S56" i="120" s="1"/>
  <c r="S57" i="120" s="1"/>
  <c r="S58" i="120" s="1"/>
  <c r="S59" i="120" s="1"/>
  <c r="S60" i="120" s="1"/>
  <c r="S61" i="120" s="1"/>
  <c r="S62" i="120" s="1"/>
  <c r="S63" i="120" s="1"/>
  <c r="S64" i="120" s="1"/>
  <c r="S65" i="120" s="1"/>
  <c r="S66" i="120" s="1"/>
  <c r="S67" i="120" s="1"/>
  <c r="S68" i="120" s="1"/>
  <c r="S69" i="120" s="1"/>
  <c r="S70" i="120" s="1"/>
  <c r="S71" i="120" s="1"/>
  <c r="S72" i="120" s="1"/>
  <c r="S73" i="120" s="1"/>
  <c r="S74" i="120" s="1"/>
  <c r="S75" i="120" s="1"/>
  <c r="S76" i="120" s="1"/>
  <c r="S77" i="120" s="1"/>
  <c r="S78" i="120" s="1"/>
  <c r="S79" i="120" s="1"/>
  <c r="S80" i="120" s="1"/>
  <c r="S81" i="120" s="1"/>
  <c r="S82" i="120" s="1"/>
  <c r="S83" i="120" s="1"/>
  <c r="BW49" i="120"/>
  <c r="BM48" i="120"/>
  <c r="DX47" i="120"/>
  <c r="CG45" i="120"/>
  <c r="CF45" i="120"/>
  <c r="CE45" i="120"/>
  <c r="BX45" i="120"/>
  <c r="BW45" i="120"/>
  <c r="BV45" i="120"/>
  <c r="BU45" i="120"/>
  <c r="BT45" i="120"/>
  <c r="BS45" i="120"/>
  <c r="BR45" i="120"/>
  <c r="BQ45" i="120"/>
  <c r="BP45" i="120"/>
  <c r="BO45" i="120"/>
  <c r="BM45" i="120"/>
  <c r="BL45" i="120"/>
  <c r="BK45" i="120"/>
  <c r="BJ45" i="120"/>
  <c r="BI45" i="120"/>
  <c r="BH45" i="120"/>
  <c r="BG45" i="120"/>
  <c r="BF45" i="120"/>
  <c r="S45" i="120" s="1"/>
  <c r="BE45" i="120"/>
  <c r="BD45" i="120"/>
  <c r="BC45" i="120"/>
  <c r="BB45" i="120"/>
  <c r="BA45" i="120"/>
  <c r="AZ45" i="120"/>
  <c r="AY45" i="120"/>
  <c r="AX45" i="120"/>
  <c r="AW45" i="120"/>
  <c r="AV45" i="120"/>
  <c r="AU45" i="120"/>
  <c r="AT45" i="120"/>
  <c r="AS45" i="120"/>
  <c r="AR45" i="120"/>
  <c r="AQ45" i="120"/>
  <c r="AP45" i="120"/>
  <c r="AO45" i="120"/>
  <c r="AN45" i="120"/>
  <c r="AL45" i="120"/>
  <c r="AK45" i="120"/>
  <c r="AJ45" i="120"/>
  <c r="AI45" i="120"/>
  <c r="AH45" i="120"/>
  <c r="AG45" i="120"/>
  <c r="AF45" i="120"/>
  <c r="AE45" i="120"/>
  <c r="Z45" i="120"/>
  <c r="Y45" i="120"/>
  <c r="X45" i="120"/>
  <c r="W45" i="120"/>
  <c r="V45" i="120"/>
  <c r="U45" i="120"/>
  <c r="T45" i="120"/>
  <c r="R45" i="120"/>
  <c r="Q45" i="120"/>
  <c r="P45" i="120"/>
  <c r="O45" i="120"/>
  <c r="QA44" i="120"/>
  <c r="OM44" i="120"/>
  <c r="OK44" i="120"/>
  <c r="OG44" i="120"/>
  <c r="LD44" i="120"/>
  <c r="CP44" i="120"/>
  <c r="CB44" i="120"/>
  <c r="LJ43" i="120"/>
  <c r="JL43" i="120"/>
  <c r="JF43" i="120"/>
  <c r="IQ43" i="120"/>
  <c r="GW43" i="120"/>
  <c r="GN43" i="120"/>
  <c r="CN43" i="120"/>
  <c r="CG43" i="120"/>
  <c r="CD43" i="120"/>
  <c r="CA43" i="120"/>
  <c r="BX43" i="120"/>
  <c r="BU43" i="120"/>
  <c r="BR43" i="120"/>
  <c r="BO43" i="120"/>
  <c r="BK43" i="120"/>
  <c r="BE43" i="120"/>
  <c r="AY43" i="120"/>
  <c r="AP43" i="120"/>
  <c r="AJ43" i="120"/>
  <c r="AJ44" i="120" s="1"/>
  <c r="AI43" i="120"/>
  <c r="AB43" i="120"/>
  <c r="X43" i="120"/>
  <c r="X90" i="120" s="1"/>
  <c r="W43" i="120"/>
  <c r="W90" i="120" s="1"/>
  <c r="T43" i="120"/>
  <c r="T90" i="120" s="1"/>
  <c r="S43" i="120"/>
  <c r="S90" i="120" s="1"/>
  <c r="P43" i="120"/>
  <c r="P90" i="120" s="1"/>
  <c r="O43" i="120"/>
  <c r="O90" i="120" s="1"/>
  <c r="BN42" i="120"/>
  <c r="AK42" i="120"/>
  <c r="QA41" i="120"/>
  <c r="PX41" i="120"/>
  <c r="PX42" i="120" s="1"/>
  <c r="PX44" i="120" s="1"/>
  <c r="PV41" i="120"/>
  <c r="PV42" i="120" s="1"/>
  <c r="PV44" i="120" s="1"/>
  <c r="PT41" i="120"/>
  <c r="PS41" i="120"/>
  <c r="PS42" i="120" s="1"/>
  <c r="PS44" i="120" s="1"/>
  <c r="PR41" i="120"/>
  <c r="PR42" i="120" s="1"/>
  <c r="PR44" i="120" s="1"/>
  <c r="PQ41" i="120"/>
  <c r="PQ42" i="120" s="1"/>
  <c r="PQ44" i="120" s="1"/>
  <c r="PP41" i="120"/>
  <c r="PP42" i="120" s="1"/>
  <c r="PP44" i="120" s="1"/>
  <c r="PL41" i="120"/>
  <c r="PL42" i="120" s="1"/>
  <c r="PK41" i="120"/>
  <c r="PK42" i="120" s="1"/>
  <c r="PK44" i="120" s="1"/>
  <c r="PI41" i="120"/>
  <c r="PI42" i="120" s="1"/>
  <c r="PI44" i="120" s="1"/>
  <c r="PH41" i="120"/>
  <c r="PH42" i="120" s="1"/>
  <c r="PH44" i="120" s="1"/>
  <c r="PE41" i="120"/>
  <c r="PE42" i="120" s="1"/>
  <c r="PE44" i="120" s="1"/>
  <c r="OY41" i="120"/>
  <c r="OY42" i="120" s="1"/>
  <c r="OY44" i="120" s="1"/>
  <c r="OX41" i="120"/>
  <c r="OX42" i="120" s="1"/>
  <c r="OX44" i="120" s="1"/>
  <c r="OW41" i="120"/>
  <c r="OW42" i="120" s="1"/>
  <c r="OW44" i="120" s="1"/>
  <c r="OV41" i="120"/>
  <c r="OV42" i="120" s="1"/>
  <c r="OV44" i="120" s="1"/>
  <c r="OU41" i="120"/>
  <c r="OU42" i="120" s="1"/>
  <c r="OU44" i="120" s="1"/>
  <c r="OT41" i="120"/>
  <c r="OT42" i="120" s="1"/>
  <c r="OT44" i="120" s="1"/>
  <c r="OC41" i="120"/>
  <c r="OC42" i="120" s="1"/>
  <c r="OD9" i="126" s="1"/>
  <c r="NB41" i="120"/>
  <c r="NB42" i="120" s="1"/>
  <c r="NB44" i="120" s="1"/>
  <c r="MW41" i="120"/>
  <c r="MW42" i="120" s="1"/>
  <c r="MW44" i="120" s="1"/>
  <c r="MV41" i="120"/>
  <c r="MV42" i="120" s="1"/>
  <c r="MV44" i="120" s="1"/>
  <c r="MT41" i="120"/>
  <c r="MT42" i="120" s="1"/>
  <c r="MT44" i="120" s="1"/>
  <c r="MS41" i="120"/>
  <c r="MS42" i="120" s="1"/>
  <c r="MS44" i="120" s="1"/>
  <c r="MR41" i="120"/>
  <c r="MR42" i="120" s="1"/>
  <c r="MR44" i="120" s="1"/>
  <c r="MP41" i="120"/>
  <c r="MP42" i="120" s="1"/>
  <c r="MP44" i="120" s="1"/>
  <c r="MO41" i="120"/>
  <c r="MO42" i="120" s="1"/>
  <c r="MO44" i="120" s="1"/>
  <c r="MN41" i="120"/>
  <c r="MN42" i="120" s="1"/>
  <c r="MN44" i="120" s="1"/>
  <c r="MM41" i="120"/>
  <c r="MM42" i="120" s="1"/>
  <c r="MM44" i="120" s="1"/>
  <c r="ML41" i="120"/>
  <c r="ML42" i="120" s="1"/>
  <c r="ML44" i="120" s="1"/>
  <c r="MJ41" i="120"/>
  <c r="MJ42" i="120" s="1"/>
  <c r="MJ44" i="120" s="1"/>
  <c r="MI41" i="120"/>
  <c r="MI42" i="120" s="1"/>
  <c r="MI44" i="120" s="1"/>
  <c r="MH41" i="120"/>
  <c r="MH42" i="120" s="1"/>
  <c r="MH44" i="120" s="1"/>
  <c r="MG41" i="120"/>
  <c r="MG42" i="120" s="1"/>
  <c r="MG44" i="120" s="1"/>
  <c r="MF41" i="120"/>
  <c r="MF42" i="120" s="1"/>
  <c r="ME41" i="120"/>
  <c r="ME42" i="120" s="1"/>
  <c r="MD41" i="120"/>
  <c r="MD42" i="120" s="1"/>
  <c r="MD44" i="120" s="1"/>
  <c r="MB41" i="120"/>
  <c r="MB42" i="120" s="1"/>
  <c r="MA41" i="120"/>
  <c r="MA42" i="120" s="1"/>
  <c r="MA44" i="120" s="1"/>
  <c r="LZ41" i="120"/>
  <c r="LZ42" i="120" s="1"/>
  <c r="LZ44" i="120" s="1"/>
  <c r="LY41" i="120"/>
  <c r="LY42" i="120" s="1"/>
  <c r="LX41" i="120"/>
  <c r="LX42" i="120" s="1"/>
  <c r="LX44" i="120" s="1"/>
  <c r="LV41" i="120"/>
  <c r="LV42" i="120" s="1"/>
  <c r="LV44" i="120" s="1"/>
  <c r="LU41" i="120"/>
  <c r="LU42" i="120" s="1"/>
  <c r="LU44" i="120" s="1"/>
  <c r="LT41" i="120"/>
  <c r="LT42" i="120" s="1"/>
  <c r="LT44" i="120" s="1"/>
  <c r="LS41" i="120"/>
  <c r="LS42" i="120" s="1"/>
  <c r="LR41" i="120"/>
  <c r="LR42" i="120" s="1"/>
  <c r="LR44" i="120" s="1"/>
  <c r="LQ41" i="120"/>
  <c r="LQ42" i="120" s="1"/>
  <c r="LQ44" i="120" s="1"/>
  <c r="LP41" i="120"/>
  <c r="LP42" i="120" s="1"/>
  <c r="LP44" i="120" s="1"/>
  <c r="LO41" i="120"/>
  <c r="LO42" i="120" s="1"/>
  <c r="LO44" i="120" s="1"/>
  <c r="LN41" i="120"/>
  <c r="LN42" i="120" s="1"/>
  <c r="LN44" i="120" s="1"/>
  <c r="LM41" i="120"/>
  <c r="LM42" i="120" s="1"/>
  <c r="LM44" i="120" s="1"/>
  <c r="LL41" i="120"/>
  <c r="LL42" i="120" s="1"/>
  <c r="LK41" i="120"/>
  <c r="LK42" i="120" s="1"/>
  <c r="LF41" i="120"/>
  <c r="LF42" i="120" s="1"/>
  <c r="LF44" i="120" s="1"/>
  <c r="LE41" i="120"/>
  <c r="LE42" i="120" s="1"/>
  <c r="LE44" i="120" s="1"/>
  <c r="LC41" i="120"/>
  <c r="LC42" i="120" s="1"/>
  <c r="LC44" i="120" s="1"/>
  <c r="LB41" i="120"/>
  <c r="LB42" i="120" s="1"/>
  <c r="LB44" i="120" s="1"/>
  <c r="LA41" i="120"/>
  <c r="LA42" i="120" s="1"/>
  <c r="LA44" i="120" s="1"/>
  <c r="KZ41" i="120"/>
  <c r="KZ42" i="120" s="1"/>
  <c r="KZ44" i="120" s="1"/>
  <c r="KY41" i="120"/>
  <c r="KY42" i="120" s="1"/>
  <c r="KY44" i="120" s="1"/>
  <c r="KN41" i="120"/>
  <c r="KN42" i="120" s="1"/>
  <c r="KN44" i="120" s="1"/>
  <c r="KM41" i="120"/>
  <c r="KM42" i="120" s="1"/>
  <c r="KM44" i="120" s="1"/>
  <c r="JN41" i="120"/>
  <c r="JN42" i="120" s="1"/>
  <c r="JN44" i="120" s="1"/>
  <c r="JM41" i="120"/>
  <c r="JM42" i="120" s="1"/>
  <c r="JM44" i="120" s="1"/>
  <c r="JK41" i="120"/>
  <c r="JK42" i="120" s="1"/>
  <c r="JK44" i="120" s="1"/>
  <c r="JH41" i="120"/>
  <c r="JH42" i="120" s="1"/>
  <c r="JH44" i="120" s="1"/>
  <c r="JG41" i="120"/>
  <c r="JG42" i="120" s="1"/>
  <c r="JG44" i="120" s="1"/>
  <c r="JE41" i="120"/>
  <c r="JE42" i="120" s="1"/>
  <c r="JE44" i="120" s="1"/>
  <c r="JD41" i="120"/>
  <c r="JD42" i="120" s="1"/>
  <c r="JD44" i="120" s="1"/>
  <c r="JC41" i="120"/>
  <c r="JC42" i="120" s="1"/>
  <c r="JA41" i="120"/>
  <c r="JA42" i="120" s="1"/>
  <c r="IY41" i="120"/>
  <c r="IY42" i="120" s="1"/>
  <c r="IW41" i="120"/>
  <c r="IW42" i="120" s="1"/>
  <c r="IV41" i="120"/>
  <c r="IV42" i="120" s="1"/>
  <c r="IV44" i="120" s="1"/>
  <c r="IU41" i="120"/>
  <c r="IU42" i="120" s="1"/>
  <c r="IT41" i="120"/>
  <c r="IT42" i="120" s="1"/>
  <c r="IT44" i="120" s="1"/>
  <c r="IS41" i="120"/>
  <c r="IS42" i="120" s="1"/>
  <c r="IR41" i="120"/>
  <c r="IR42" i="120" s="1"/>
  <c r="IO41" i="120"/>
  <c r="IO42" i="120" s="1"/>
  <c r="IO44" i="120" s="1"/>
  <c r="IN41" i="120"/>
  <c r="IN42" i="120" s="1"/>
  <c r="IL41" i="120"/>
  <c r="IL42" i="120" s="1"/>
  <c r="IJ41" i="120"/>
  <c r="IJ42" i="120" s="1"/>
  <c r="IH41" i="120"/>
  <c r="IH42" i="120" s="1"/>
  <c r="IG41" i="120"/>
  <c r="IG42" i="120" s="1"/>
  <c r="IG44" i="120" s="1"/>
  <c r="IF41" i="120"/>
  <c r="IF42" i="120" s="1"/>
  <c r="IE41" i="120"/>
  <c r="IE42" i="120" s="1"/>
  <c r="IE44" i="120" s="1"/>
  <c r="ID41" i="120"/>
  <c r="ID42" i="120" s="1"/>
  <c r="IC41" i="120"/>
  <c r="IC42" i="120" s="1"/>
  <c r="IA41" i="120"/>
  <c r="IA42" i="120" s="1"/>
  <c r="HZ41" i="120"/>
  <c r="HZ42" i="120" s="1"/>
  <c r="HY41" i="120"/>
  <c r="HY42" i="120" s="1"/>
  <c r="HX41" i="120"/>
  <c r="HX42" i="120" s="1"/>
  <c r="HW41" i="120"/>
  <c r="HW42" i="120" s="1"/>
  <c r="HU41" i="120"/>
  <c r="HU42" i="120" s="1"/>
  <c r="HS41" i="120"/>
  <c r="HS42" i="120" s="1"/>
  <c r="HR41" i="120"/>
  <c r="HR42" i="120" s="1"/>
  <c r="HQ41" i="120"/>
  <c r="HQ42" i="120" s="1"/>
  <c r="HP41" i="120"/>
  <c r="HP42" i="120" s="1"/>
  <c r="HO41" i="120"/>
  <c r="HO42" i="120" s="1"/>
  <c r="HN41" i="120"/>
  <c r="HL41" i="120"/>
  <c r="HL42" i="120" s="1"/>
  <c r="HL44" i="120" s="1"/>
  <c r="HJ41" i="120"/>
  <c r="HJ42" i="120" s="1"/>
  <c r="HH41" i="120"/>
  <c r="HH42" i="120" s="1"/>
  <c r="HF41" i="120"/>
  <c r="HF42" i="120" s="1"/>
  <c r="HE41" i="120"/>
  <c r="HE42" i="120" s="1"/>
  <c r="HE44" i="120" s="1"/>
  <c r="HD41" i="120"/>
  <c r="HD42" i="120" s="1"/>
  <c r="HC41" i="120"/>
  <c r="HC42" i="120" s="1"/>
  <c r="HC44" i="120" s="1"/>
  <c r="HB41" i="120"/>
  <c r="HB42" i="120" s="1"/>
  <c r="HA41" i="120"/>
  <c r="HA42" i="120" s="1"/>
  <c r="HA44" i="120" s="1"/>
  <c r="GZ41" i="120"/>
  <c r="GZ42" i="120" s="1"/>
  <c r="GY41" i="120"/>
  <c r="GY42" i="120" s="1"/>
  <c r="GX41" i="120"/>
  <c r="GX42" i="120" s="1"/>
  <c r="GX44" i="120" s="1"/>
  <c r="GR41" i="120"/>
  <c r="GR42" i="120" s="1"/>
  <c r="GR44" i="120" s="1"/>
  <c r="GQ41" i="120"/>
  <c r="GQ42" i="120" s="1"/>
  <c r="GQ44" i="120" s="1"/>
  <c r="GP41" i="120"/>
  <c r="GP42" i="120" s="1"/>
  <c r="GP44" i="120" s="1"/>
  <c r="GO41" i="120"/>
  <c r="GO42" i="120" s="1"/>
  <c r="GO44" i="120" s="1"/>
  <c r="GJ41" i="120"/>
  <c r="GJ42" i="120" s="1"/>
  <c r="GJ44" i="120" s="1"/>
  <c r="GI41" i="120"/>
  <c r="GI42" i="120" s="1"/>
  <c r="GI44" i="120" s="1"/>
  <c r="GF41" i="120"/>
  <c r="GF42" i="120" s="1"/>
  <c r="GF44" i="120" s="1"/>
  <c r="GD41" i="120"/>
  <c r="GD42" i="120" s="1"/>
  <c r="GD44" i="120" s="1"/>
  <c r="GB41" i="120"/>
  <c r="GB42" i="120" s="1"/>
  <c r="GB44" i="120" s="1"/>
  <c r="FZ41" i="120"/>
  <c r="FZ42" i="120" s="1"/>
  <c r="FZ44" i="120" s="1"/>
  <c r="FX41" i="120"/>
  <c r="FX42" i="120" s="1"/>
  <c r="FX44" i="120" s="1"/>
  <c r="FV41" i="120"/>
  <c r="FV42" i="120" s="1"/>
  <c r="FV44" i="120" s="1"/>
  <c r="FT41" i="120"/>
  <c r="FT42" i="120" s="1"/>
  <c r="FT44" i="120" s="1"/>
  <c r="FS41" i="120"/>
  <c r="FS42" i="120" s="1"/>
  <c r="FS44" i="120" s="1"/>
  <c r="FR41" i="120"/>
  <c r="FR42" i="120" s="1"/>
  <c r="FR44" i="120" s="1"/>
  <c r="FQ41" i="120"/>
  <c r="FQ42" i="120" s="1"/>
  <c r="FQ44" i="120" s="1"/>
  <c r="FP41" i="120"/>
  <c r="FP42" i="120" s="1"/>
  <c r="FP44" i="120" s="1"/>
  <c r="FO41" i="120"/>
  <c r="FO42" i="120" s="1"/>
  <c r="FO44" i="120" s="1"/>
  <c r="FM41" i="120"/>
  <c r="FM42" i="120" s="1"/>
  <c r="FM44" i="120" s="1"/>
  <c r="FL41" i="120"/>
  <c r="FL42" i="120" s="1"/>
  <c r="FL44" i="120" s="1"/>
  <c r="FK41" i="120"/>
  <c r="FK42" i="120" s="1"/>
  <c r="FK44" i="120" s="1"/>
  <c r="FJ41" i="120"/>
  <c r="FJ42" i="120" s="1"/>
  <c r="FJ44" i="120" s="1"/>
  <c r="FI41" i="120"/>
  <c r="FI42" i="120" s="1"/>
  <c r="FI44" i="120" s="1"/>
  <c r="FH41" i="120"/>
  <c r="FH42" i="120" s="1"/>
  <c r="FH44" i="120" s="1"/>
  <c r="FG41" i="120"/>
  <c r="FG42" i="120" s="1"/>
  <c r="FG44" i="120" s="1"/>
  <c r="FF41" i="120"/>
  <c r="FF42" i="120" s="1"/>
  <c r="FF44" i="120" s="1"/>
  <c r="FA41" i="120"/>
  <c r="FA42" i="120" s="1"/>
  <c r="FA44" i="120" s="1"/>
  <c r="EZ41" i="120"/>
  <c r="EZ42" i="120" s="1"/>
  <c r="EZ44" i="120" s="1"/>
  <c r="EX41" i="120"/>
  <c r="EX42" i="120" s="1"/>
  <c r="EX44" i="120" s="1"/>
  <c r="EW41" i="120"/>
  <c r="EW42" i="120" s="1"/>
  <c r="EW44" i="120" s="1"/>
  <c r="EV41" i="120"/>
  <c r="EV42" i="120" s="1"/>
  <c r="EV44" i="120" s="1"/>
  <c r="EU41" i="120"/>
  <c r="EU42" i="120" s="1"/>
  <c r="EU44" i="120" s="1"/>
  <c r="ET41" i="120"/>
  <c r="ET42" i="120" s="1"/>
  <c r="ET44" i="120" s="1"/>
  <c r="ES41" i="120"/>
  <c r="ES42" i="120" s="1"/>
  <c r="ES44" i="120" s="1"/>
  <c r="EP41" i="120"/>
  <c r="EP42" i="120" s="1"/>
  <c r="EP44" i="120" s="1"/>
  <c r="EN41" i="120"/>
  <c r="EN42" i="120" s="1"/>
  <c r="EN44" i="120" s="1"/>
  <c r="EM41" i="120"/>
  <c r="EM42" i="120" s="1"/>
  <c r="EL41" i="120"/>
  <c r="EL42" i="120" s="1"/>
  <c r="EL44" i="120" s="1"/>
  <c r="EJ41" i="120"/>
  <c r="EJ42" i="120" s="1"/>
  <c r="EJ44" i="120" s="1"/>
  <c r="EI41" i="120"/>
  <c r="EH41" i="120"/>
  <c r="EH42" i="120" s="1"/>
  <c r="EG41" i="120"/>
  <c r="EG42" i="120" s="1"/>
  <c r="EF41" i="120"/>
  <c r="EF42" i="120" s="1"/>
  <c r="EF44" i="120" s="1"/>
  <c r="DY41" i="120"/>
  <c r="DY42" i="120" s="1"/>
  <c r="DY44" i="120" s="1"/>
  <c r="DW41" i="120"/>
  <c r="DW42" i="120" s="1"/>
  <c r="DW44" i="120" s="1"/>
  <c r="DU41" i="120"/>
  <c r="DU42" i="120" s="1"/>
  <c r="DU44" i="120" s="1"/>
  <c r="DS41" i="120"/>
  <c r="DS42" i="120" s="1"/>
  <c r="DS44" i="120" s="1"/>
  <c r="DQ41" i="120"/>
  <c r="DQ42" i="120" s="1"/>
  <c r="DP41" i="120"/>
  <c r="DP42" i="120" s="1"/>
  <c r="DP44" i="120" s="1"/>
  <c r="DO41" i="120"/>
  <c r="DO42" i="120" s="1"/>
  <c r="DJ41" i="120"/>
  <c r="DJ42" i="120" s="1"/>
  <c r="DJ44" i="120" s="1"/>
  <c r="DH41" i="120"/>
  <c r="DH42" i="120" s="1"/>
  <c r="DH44" i="120" s="1"/>
  <c r="DF41" i="120"/>
  <c r="DF42" i="120" s="1"/>
  <c r="DF44" i="120" s="1"/>
  <c r="DE41" i="120"/>
  <c r="DE42" i="120" s="1"/>
  <c r="DE44" i="120" s="1"/>
  <c r="CQ41" i="120"/>
  <c r="CQ42" i="120" s="1"/>
  <c r="CQ44" i="120" s="1"/>
  <c r="CP41" i="120"/>
  <c r="CO41" i="120"/>
  <c r="CO42" i="120" s="1"/>
  <c r="CO44" i="120" s="1"/>
  <c r="CM41" i="120"/>
  <c r="CM42" i="120" s="1"/>
  <c r="CM44" i="120" s="1"/>
  <c r="CL41" i="120"/>
  <c r="CL42" i="120" s="1"/>
  <c r="CL44" i="120" s="1"/>
  <c r="CK41" i="120"/>
  <c r="CK42" i="120" s="1"/>
  <c r="CK44" i="120" s="1"/>
  <c r="CJ41" i="120"/>
  <c r="CJ42" i="120" s="1"/>
  <c r="CJ44" i="120" s="1"/>
  <c r="CI41" i="120"/>
  <c r="CI42" i="120" s="1"/>
  <c r="CI44" i="120" s="1"/>
  <c r="CH41" i="120"/>
  <c r="CH42" i="120" s="1"/>
  <c r="CH44" i="120" s="1"/>
  <c r="CF41" i="120"/>
  <c r="CF42" i="120" s="1"/>
  <c r="CF44" i="120" s="1"/>
  <c r="CE41" i="120"/>
  <c r="CE42" i="120" s="1"/>
  <c r="CC41" i="120"/>
  <c r="CB41" i="120"/>
  <c r="BZ41" i="120"/>
  <c r="BZ42" i="120" s="1"/>
  <c r="BZ44" i="120" s="1"/>
  <c r="BY41" i="120"/>
  <c r="BY42" i="120" s="1"/>
  <c r="BY44" i="120" s="1"/>
  <c r="BX41" i="120"/>
  <c r="BX42" i="120" s="1"/>
  <c r="BW41" i="120"/>
  <c r="BW48" i="120" s="1"/>
  <c r="BV41" i="120"/>
  <c r="BV48" i="120" s="1"/>
  <c r="BU41" i="120"/>
  <c r="BU42" i="120" s="1"/>
  <c r="BT41" i="120"/>
  <c r="BT42" i="120" s="1"/>
  <c r="BT44" i="120" s="1"/>
  <c r="BS41" i="120"/>
  <c r="BS42" i="120" s="1"/>
  <c r="BS48" i="120" s="1"/>
  <c r="BR41" i="120"/>
  <c r="BR42" i="120" s="1"/>
  <c r="BQ41" i="120"/>
  <c r="BQ42" i="120" s="1"/>
  <c r="BQ44" i="120" s="1"/>
  <c r="AB44" i="120" s="1"/>
  <c r="BP41" i="120"/>
  <c r="BP42" i="120" s="1"/>
  <c r="BP44" i="120" s="1"/>
  <c r="BN41" i="120"/>
  <c r="BL41" i="120"/>
  <c r="BL44" i="120" s="1"/>
  <c r="BK41" i="120"/>
  <c r="BK42" i="120" s="1"/>
  <c r="BJ41" i="120"/>
  <c r="BJ42" i="120" s="1"/>
  <c r="BJ44" i="120" s="1"/>
  <c r="BI41" i="120"/>
  <c r="BI42" i="120" s="1"/>
  <c r="BI44" i="120" s="1"/>
  <c r="BH41" i="120"/>
  <c r="BH42" i="120" s="1"/>
  <c r="BH44" i="120" s="1"/>
  <c r="BG41" i="120"/>
  <c r="BG42" i="120" s="1"/>
  <c r="BG44" i="120" s="1"/>
  <c r="BF41" i="120"/>
  <c r="BC41" i="120"/>
  <c r="BB41" i="120"/>
  <c r="BB42" i="120" s="1"/>
  <c r="BB44" i="120" s="1"/>
  <c r="BA41" i="120"/>
  <c r="BA42" i="120" s="1"/>
  <c r="BA44" i="120" s="1"/>
  <c r="AZ41" i="120"/>
  <c r="AZ42" i="120" s="1"/>
  <c r="AZ44" i="120" s="1"/>
  <c r="AW41" i="120"/>
  <c r="AW48" i="120" s="1"/>
  <c r="AU41" i="120"/>
  <c r="AU42" i="120" s="1"/>
  <c r="AU44" i="120" s="1"/>
  <c r="AT41" i="120"/>
  <c r="AT42" i="120" s="1"/>
  <c r="AT44" i="120" s="1"/>
  <c r="AR41" i="120"/>
  <c r="AQ41" i="120"/>
  <c r="AQ42" i="120" s="1"/>
  <c r="AO41" i="120"/>
  <c r="AN41" i="120"/>
  <c r="AN42" i="120" s="1"/>
  <c r="AN44" i="120" s="1"/>
  <c r="AM41" i="120"/>
  <c r="AM42" i="120" s="1"/>
  <c r="AM44" i="120" s="1"/>
  <c r="AL41" i="120"/>
  <c r="AL42" i="120" s="1"/>
  <c r="AL44" i="120" s="1"/>
  <c r="AJ41" i="120"/>
  <c r="AI41" i="120"/>
  <c r="AH41" i="120"/>
  <c r="AH42" i="120" s="1"/>
  <c r="AH44" i="120" s="1"/>
  <c r="AF41" i="120"/>
  <c r="AF42" i="120" s="1"/>
  <c r="AF44" i="120" s="1"/>
  <c r="AE41" i="120"/>
  <c r="AE42" i="120" s="1"/>
  <c r="Z41" i="120"/>
  <c r="Z42" i="120" s="1"/>
  <c r="Z44" i="120" s="1"/>
  <c r="V41" i="120"/>
  <c r="V42" i="120" s="1"/>
  <c r="V44" i="120" s="1"/>
  <c r="R41" i="120"/>
  <c r="R42" i="120" s="1"/>
  <c r="R44" i="120" s="1"/>
  <c r="N41" i="120"/>
  <c r="N42" i="120" s="1"/>
  <c r="N44" i="120" s="1"/>
  <c r="M41" i="120"/>
  <c r="M42" i="120" s="1"/>
  <c r="M44" i="120" s="1"/>
  <c r="L41" i="120"/>
  <c r="L42" i="120" s="1"/>
  <c r="L44" i="120" s="1"/>
  <c r="K41" i="120"/>
  <c r="K42" i="120" s="1"/>
  <c r="K44" i="120" s="1"/>
  <c r="J41" i="120"/>
  <c r="J42" i="120" s="1"/>
  <c r="J44" i="120" s="1"/>
  <c r="I41" i="120"/>
  <c r="I42" i="120" s="1"/>
  <c r="AZ132" i="2" s="1"/>
  <c r="H41" i="120"/>
  <c r="H42" i="120" s="1"/>
  <c r="RQ40" i="120"/>
  <c r="RO40" i="120"/>
  <c r="RF40" i="120"/>
  <c r="RE40" i="120"/>
  <c r="RD40" i="120"/>
  <c r="RC40" i="120"/>
  <c r="RB40" i="120"/>
  <c r="RA40" i="120"/>
  <c r="QY40" i="120"/>
  <c r="QX40" i="120"/>
  <c r="QW40" i="120"/>
  <c r="QV40" i="120"/>
  <c r="QU40" i="120"/>
  <c r="QT40" i="120"/>
  <c r="QO40" i="120"/>
  <c r="RP40" i="120"/>
  <c r="PZ40" i="120"/>
  <c r="OZ40" i="120"/>
  <c r="OZ41" i="120" s="1"/>
  <c r="OZ42" i="120" s="1"/>
  <c r="OZ44" i="120" s="1"/>
  <c r="MU40" i="120"/>
  <c r="MC40" i="120"/>
  <c r="LW40" i="120"/>
  <c r="LI40" i="120"/>
  <c r="LH40" i="120"/>
  <c r="U63" i="118" s="1"/>
  <c r="LG40" i="120"/>
  <c r="T63" i="118" s="1"/>
  <c r="HV40" i="120" a="1"/>
  <c r="HV40" i="120" s="1"/>
  <c r="HT40" i="120" a="1"/>
  <c r="HT40" i="120" s="1"/>
  <c r="SG40" i="120"/>
  <c r="GH40" i="120"/>
  <c r="FD40" i="120" s="1"/>
  <c r="FU40" i="120"/>
  <c r="FC40" i="120" s="1"/>
  <c r="FN40" i="120"/>
  <c r="FB40" i="120" s="1"/>
  <c r="EY40" i="120"/>
  <c r="ER40" i="120"/>
  <c r="DB40" i="120"/>
  <c r="EE40" i="120"/>
  <c r="DC40" i="120"/>
  <c r="DA40" i="120"/>
  <c r="CY40" i="120"/>
  <c r="CW40" i="120"/>
  <c r="CV40" i="120"/>
  <c r="CU40" i="120"/>
  <c r="CT40" i="120"/>
  <c r="CS40" i="120"/>
  <c r="CR40" i="120"/>
  <c r="CN40" i="120"/>
  <c r="CN41" i="120" s="1"/>
  <c r="CN42" i="120" s="1"/>
  <c r="CG40" i="120"/>
  <c r="CD40" i="120"/>
  <c r="CA40" i="120"/>
  <c r="BX40" i="120"/>
  <c r="BU40" i="120"/>
  <c r="BR40" i="120"/>
  <c r="BK40" i="120"/>
  <c r="BH40" i="120"/>
  <c r="BE40" i="120"/>
  <c r="BB40" i="120"/>
  <c r="AV40" i="120"/>
  <c r="AS40" i="120"/>
  <c r="AP40" i="120"/>
  <c r="AK40" i="120"/>
  <c r="AG40" i="120"/>
  <c r="AB40" i="120"/>
  <c r="AA40" i="120"/>
  <c r="X40" i="120"/>
  <c r="W40" i="120"/>
  <c r="S40" i="120"/>
  <c r="O40" i="120"/>
  <c r="RQ39" i="120"/>
  <c r="RO39" i="120"/>
  <c r="RF39" i="120"/>
  <c r="RE39" i="120"/>
  <c r="RD39" i="120"/>
  <c r="RC39" i="120"/>
  <c r="RB39" i="120"/>
  <c r="RA39" i="120"/>
  <c r="QY39" i="120"/>
  <c r="QX39" i="120"/>
  <c r="QW39" i="120"/>
  <c r="QV39" i="120"/>
  <c r="QU39" i="120"/>
  <c r="QT39" i="120"/>
  <c r="QO39" i="120"/>
  <c r="PY39" i="120"/>
  <c r="PZ39" i="120"/>
  <c r="OZ39" i="120"/>
  <c r="MU39" i="120"/>
  <c r="MC39" i="120"/>
  <c r="LW39" i="120"/>
  <c r="LI39" i="120"/>
  <c r="LH39" i="120"/>
  <c r="U62" i="118" s="1"/>
  <c r="LG39" i="120"/>
  <c r="T62" i="118" s="1"/>
  <c r="HV39" i="120" a="1"/>
  <c r="HV39" i="120" s="1"/>
  <c r="HT39" i="120" a="1"/>
  <c r="HT39" i="120" s="1"/>
  <c r="SG39" i="120"/>
  <c r="GH39" i="120"/>
  <c r="FD39" i="120" s="1"/>
  <c r="FU39" i="120"/>
  <c r="FC39" i="120" s="1"/>
  <c r="FN39" i="120"/>
  <c r="FB39" i="120" s="1"/>
  <c r="EY39" i="120"/>
  <c r="ER39" i="120"/>
  <c r="DB39" i="120"/>
  <c r="DC39" i="120"/>
  <c r="DA39" i="120"/>
  <c r="CY39" i="120"/>
  <c r="CW39" i="120"/>
  <c r="CV39" i="120"/>
  <c r="CU39" i="120"/>
  <c r="CT39" i="120"/>
  <c r="CS39" i="120"/>
  <c r="CR39" i="120"/>
  <c r="CG39" i="120"/>
  <c r="CD39" i="120"/>
  <c r="CA39" i="120"/>
  <c r="BX39" i="120"/>
  <c r="BU39" i="120"/>
  <c r="BR39" i="120"/>
  <c r="BO39" i="120"/>
  <c r="BK39" i="120"/>
  <c r="BH39" i="120"/>
  <c r="BE39" i="120"/>
  <c r="BB39" i="120"/>
  <c r="AV39" i="120"/>
  <c r="AS39" i="120"/>
  <c r="AP39" i="120"/>
  <c r="AK39" i="120"/>
  <c r="AG39" i="120"/>
  <c r="AB39" i="120"/>
  <c r="AA39" i="120"/>
  <c r="X39" i="120"/>
  <c r="W39" i="120"/>
  <c r="S39" i="120"/>
  <c r="O39" i="120"/>
  <c r="RQ38" i="120"/>
  <c r="RO38" i="120"/>
  <c r="RF38" i="120"/>
  <c r="RE38" i="120"/>
  <c r="RD38" i="120"/>
  <c r="RC38" i="120"/>
  <c r="RB38" i="120"/>
  <c r="RA38" i="120"/>
  <c r="QY38" i="120"/>
  <c r="QX38" i="120"/>
  <c r="QW38" i="120"/>
  <c r="QV38" i="120"/>
  <c r="QU38" i="120"/>
  <c r="QT38" i="120"/>
  <c r="QO38" i="120"/>
  <c r="PY38" i="120"/>
  <c r="PZ38" i="120"/>
  <c r="OZ38" i="120"/>
  <c r="MU38" i="120"/>
  <c r="MC38" i="120"/>
  <c r="LW38" i="120"/>
  <c r="LI38" i="120"/>
  <c r="LH38" i="120"/>
  <c r="U61" i="118" s="1"/>
  <c r="LG38" i="120"/>
  <c r="T61" i="118" s="1"/>
  <c r="HV38" i="120" a="1"/>
  <c r="HV38" i="120" s="1"/>
  <c r="HT38" i="120" a="1"/>
  <c r="HT38" i="120" s="1"/>
  <c r="SG38" i="120"/>
  <c r="GH38" i="120"/>
  <c r="FD38" i="120" s="1"/>
  <c r="FU38" i="120"/>
  <c r="FC38" i="120" s="1"/>
  <c r="FN38" i="120"/>
  <c r="FB38" i="120" s="1"/>
  <c r="EY38" i="120"/>
  <c r="ER38" i="120"/>
  <c r="CX38" i="120"/>
  <c r="DC38" i="120"/>
  <c r="DA38" i="120"/>
  <c r="CY38" i="120"/>
  <c r="CW38" i="120"/>
  <c r="CV38" i="120"/>
  <c r="CU38" i="120"/>
  <c r="CT38" i="120"/>
  <c r="CS38" i="120"/>
  <c r="CR38" i="120"/>
  <c r="CG38" i="120"/>
  <c r="CD38" i="120"/>
  <c r="CA38" i="120"/>
  <c r="BX38" i="120"/>
  <c r="BU38" i="120"/>
  <c r="BR38" i="120"/>
  <c r="BK38" i="120"/>
  <c r="BH38" i="120"/>
  <c r="BE38" i="120"/>
  <c r="BB38" i="120"/>
  <c r="AV38" i="120"/>
  <c r="AS38" i="120"/>
  <c r="AP38" i="120"/>
  <c r="AK38" i="120"/>
  <c r="AG38" i="120"/>
  <c r="AB38" i="120"/>
  <c r="AA38" i="120"/>
  <c r="X38" i="120"/>
  <c r="W38" i="120"/>
  <c r="S38" i="120"/>
  <c r="O38" i="120"/>
  <c r="RQ37" i="120"/>
  <c r="RO37" i="120"/>
  <c r="RF37" i="120"/>
  <c r="RE37" i="120"/>
  <c r="RD37" i="120"/>
  <c r="RC37" i="120"/>
  <c r="RB37" i="120"/>
  <c r="RA37" i="120"/>
  <c r="QY37" i="120"/>
  <c r="QX37" i="120"/>
  <c r="QW37" i="120"/>
  <c r="QV37" i="120"/>
  <c r="QU37" i="120"/>
  <c r="QT37" i="120"/>
  <c r="QO37" i="120"/>
  <c r="PY37" i="120"/>
  <c r="PZ37" i="120"/>
  <c r="OZ37" i="120"/>
  <c r="NN37" i="120"/>
  <c r="NN38" i="120" s="1"/>
  <c r="NN39" i="120" s="1"/>
  <c r="NN40" i="120" s="1"/>
  <c r="NN41" i="120" s="1"/>
  <c r="NN42" i="120" s="1"/>
  <c r="NM37" i="120"/>
  <c r="NM38" i="120" s="1"/>
  <c r="NM39" i="120" s="1"/>
  <c r="NM40" i="120" s="1"/>
  <c r="NM41" i="120" s="1"/>
  <c r="NM42" i="120" s="1"/>
  <c r="NM44" i="120" s="1"/>
  <c r="NL37" i="120"/>
  <c r="NL38" i="120" s="1"/>
  <c r="NL39" i="120" s="1"/>
  <c r="NL40" i="120" s="1"/>
  <c r="NL41" i="120" s="1"/>
  <c r="NL42" i="120" s="1"/>
  <c r="NK37" i="120"/>
  <c r="NK38" i="120" s="1"/>
  <c r="NK39" i="120" s="1"/>
  <c r="NK40" i="120" s="1"/>
  <c r="NK41" i="120" s="1"/>
  <c r="NK42" i="120" s="1"/>
  <c r="NK44" i="120" s="1"/>
  <c r="NJ37" i="120"/>
  <c r="NJ38" i="120" s="1"/>
  <c r="NJ39" i="120" s="1"/>
  <c r="NJ40" i="120" s="1"/>
  <c r="NJ41" i="120" s="1"/>
  <c r="NJ42" i="120" s="1"/>
  <c r="NI37" i="120"/>
  <c r="NI38" i="120" s="1"/>
  <c r="NI39" i="120" s="1"/>
  <c r="NI40" i="120" s="1"/>
  <c r="NI41" i="120" s="1"/>
  <c r="NI42" i="120" s="1"/>
  <c r="NI44" i="120" s="1"/>
  <c r="NH37" i="120"/>
  <c r="NH38" i="120" s="1"/>
  <c r="NH39" i="120" s="1"/>
  <c r="NH40" i="120" s="1"/>
  <c r="NH41" i="120" s="1"/>
  <c r="NH42" i="120" s="1"/>
  <c r="NG37" i="120"/>
  <c r="MU37" i="120"/>
  <c r="MC37" i="120"/>
  <c r="LW37" i="120"/>
  <c r="LI37" i="120"/>
  <c r="LH37" i="120"/>
  <c r="U60" i="118" s="1"/>
  <c r="LG37" i="120"/>
  <c r="T60" i="118" s="1"/>
  <c r="HV37" i="120" a="1"/>
  <c r="HV37" i="120" s="1"/>
  <c r="HT37" i="120" a="1"/>
  <c r="HT37" i="120" s="1"/>
  <c r="SG37" i="120"/>
  <c r="GH37" i="120"/>
  <c r="FD37" i="120" s="1"/>
  <c r="FU37" i="120"/>
  <c r="FC37" i="120" s="1"/>
  <c r="FN37" i="120"/>
  <c r="FB37" i="120" s="1"/>
  <c r="EY37" i="120"/>
  <c r="ER37" i="120"/>
  <c r="DB37" i="120"/>
  <c r="CZ37" i="120"/>
  <c r="DC37" i="120"/>
  <c r="DA37" i="120"/>
  <c r="CY37" i="120"/>
  <c r="CW37" i="120"/>
  <c r="CV37" i="120"/>
  <c r="CU37" i="120"/>
  <c r="CT37" i="120"/>
  <c r="CS37" i="120"/>
  <c r="CR37" i="120"/>
  <c r="CG37" i="120"/>
  <c r="CD37" i="120"/>
  <c r="CA37" i="120"/>
  <c r="BX37" i="120"/>
  <c r="BU37" i="120"/>
  <c r="BR37" i="120"/>
  <c r="BK37" i="120"/>
  <c r="BH37" i="120"/>
  <c r="BB37" i="120"/>
  <c r="AV37" i="120"/>
  <c r="AS37" i="120"/>
  <c r="AP37" i="120"/>
  <c r="AK37" i="120"/>
  <c r="AG37" i="120"/>
  <c r="AB37" i="120"/>
  <c r="AA37" i="120"/>
  <c r="X37" i="120"/>
  <c r="W37" i="120"/>
  <c r="S37" i="120"/>
  <c r="O37" i="120"/>
  <c r="RQ36" i="120"/>
  <c r="RO36" i="120"/>
  <c r="RF36" i="120"/>
  <c r="RE36" i="120"/>
  <c r="RD36" i="120"/>
  <c r="RC36" i="120"/>
  <c r="RB36" i="120"/>
  <c r="RA36" i="120"/>
  <c r="QY36" i="120"/>
  <c r="QX36" i="120"/>
  <c r="QW36" i="120"/>
  <c r="QV36" i="120"/>
  <c r="QU36" i="120"/>
  <c r="QT36" i="120"/>
  <c r="QO36" i="120"/>
  <c r="RP36" i="120"/>
  <c r="PZ36" i="120"/>
  <c r="OZ36" i="120"/>
  <c r="MU36" i="120"/>
  <c r="MC36" i="120"/>
  <c r="LW36" i="120"/>
  <c r="LI36" i="120"/>
  <c r="LH36" i="120"/>
  <c r="U59" i="118" s="1"/>
  <c r="LG36" i="120"/>
  <c r="T59" i="118" s="1"/>
  <c r="HV36" i="120" a="1"/>
  <c r="HV36" i="120" s="1"/>
  <c r="HT36" i="120" a="1"/>
  <c r="HT36" i="120" s="1"/>
  <c r="SG36" i="120"/>
  <c r="GH36" i="120"/>
  <c r="FD36" i="120" s="1"/>
  <c r="FU36" i="120"/>
  <c r="FC36" i="120" s="1"/>
  <c r="FN36" i="120"/>
  <c r="FB36" i="120" s="1"/>
  <c r="EY36" i="120"/>
  <c r="ER36" i="120"/>
  <c r="DB36" i="120"/>
  <c r="CX36" i="120"/>
  <c r="DC36" i="120"/>
  <c r="DA36" i="120"/>
  <c r="CY36" i="120"/>
  <c r="CW36" i="120"/>
  <c r="CV36" i="120"/>
  <c r="CU36" i="120"/>
  <c r="CT36" i="120"/>
  <c r="CS36" i="120"/>
  <c r="CR36" i="120"/>
  <c r="CG36" i="120"/>
  <c r="CD36" i="120"/>
  <c r="CA36" i="120"/>
  <c r="BX36" i="120"/>
  <c r="BU36" i="120"/>
  <c r="BR36" i="120"/>
  <c r="T36" i="120"/>
  <c r="BK36" i="120"/>
  <c r="BH36" i="120"/>
  <c r="BE36" i="120"/>
  <c r="BB36" i="120"/>
  <c r="AV36" i="120"/>
  <c r="AS36" i="120"/>
  <c r="AP36" i="120"/>
  <c r="AK36" i="120"/>
  <c r="AG36" i="120"/>
  <c r="AB36" i="120"/>
  <c r="AA36" i="120"/>
  <c r="X36" i="120"/>
  <c r="W36" i="120"/>
  <c r="S36" i="120"/>
  <c r="O36" i="120"/>
  <c r="RQ35" i="120"/>
  <c r="RO35" i="120"/>
  <c r="RF35" i="120"/>
  <c r="RE35" i="120"/>
  <c r="RD35" i="120"/>
  <c r="RC35" i="120"/>
  <c r="RB35" i="120"/>
  <c r="RA35" i="120"/>
  <c r="QY35" i="120"/>
  <c r="QX35" i="120"/>
  <c r="QW35" i="120"/>
  <c r="QV35" i="120"/>
  <c r="QU35" i="120"/>
  <c r="QT35" i="120"/>
  <c r="QO35" i="120"/>
  <c r="RP35" i="120"/>
  <c r="PZ35" i="120"/>
  <c r="OZ35" i="120"/>
  <c r="MU35" i="120"/>
  <c r="MC35" i="120"/>
  <c r="LW35" i="120"/>
  <c r="LI35" i="120"/>
  <c r="LH35" i="120"/>
  <c r="U58" i="118" s="1"/>
  <c r="LG35" i="120"/>
  <c r="T58" i="118" s="1"/>
  <c r="HV35" i="120" a="1"/>
  <c r="HV35" i="120" s="1"/>
  <c r="HT35" i="120" a="1"/>
  <c r="HT35" i="120" s="1"/>
  <c r="SG35" i="120"/>
  <c r="GH35" i="120"/>
  <c r="FD35" i="120" s="1"/>
  <c r="FU35" i="120"/>
  <c r="FC35" i="120" s="1"/>
  <c r="FN35" i="120"/>
  <c r="FB35" i="120" s="1"/>
  <c r="EY35" i="120"/>
  <c r="ER35" i="120"/>
  <c r="DB35" i="120"/>
  <c r="EE35" i="120"/>
  <c r="CX35" i="120"/>
  <c r="DC35" i="120"/>
  <c r="DA35" i="120"/>
  <c r="CY35" i="120"/>
  <c r="CW35" i="120"/>
  <c r="CV35" i="120"/>
  <c r="CU35" i="120"/>
  <c r="CT35" i="120"/>
  <c r="CS35" i="120"/>
  <c r="CR35" i="120"/>
  <c r="CG35" i="120"/>
  <c r="CD35" i="120"/>
  <c r="CA35" i="120"/>
  <c r="BX35" i="120"/>
  <c r="BU35" i="120"/>
  <c r="BR35" i="120"/>
  <c r="BK35" i="120"/>
  <c r="BH35" i="120"/>
  <c r="BE35" i="120"/>
  <c r="BB35" i="120"/>
  <c r="AV35" i="120"/>
  <c r="AS35" i="120"/>
  <c r="AP35" i="120"/>
  <c r="AK35" i="120"/>
  <c r="AG35" i="120"/>
  <c r="AB35" i="120"/>
  <c r="AA35" i="120"/>
  <c r="X35" i="120"/>
  <c r="W35" i="120"/>
  <c r="S35" i="120"/>
  <c r="O35" i="120"/>
  <c r="RQ34" i="120"/>
  <c r="RO34" i="120"/>
  <c r="RF34" i="120"/>
  <c r="RE34" i="120"/>
  <c r="RD34" i="120"/>
  <c r="RC34" i="120"/>
  <c r="RB34" i="120"/>
  <c r="RA34" i="120"/>
  <c r="QY34" i="120"/>
  <c r="QX34" i="120"/>
  <c r="QW34" i="120"/>
  <c r="QV34" i="120"/>
  <c r="QU34" i="120"/>
  <c r="QT34" i="120"/>
  <c r="QO34" i="120"/>
  <c r="RP34" i="120"/>
  <c r="PZ34" i="120"/>
  <c r="OZ34" i="120"/>
  <c r="MU34" i="120"/>
  <c r="MC34" i="120"/>
  <c r="LW34" i="120"/>
  <c r="LI34" i="120"/>
  <c r="LH34" i="120"/>
  <c r="U57" i="118" s="1"/>
  <c r="LG34" i="120"/>
  <c r="T57" i="118" s="1"/>
  <c r="HV34" i="120" a="1"/>
  <c r="HV34" i="120" s="1"/>
  <c r="HT34" i="120" a="1"/>
  <c r="HT34" i="120" s="1"/>
  <c r="SG34" i="120"/>
  <c r="GH34" i="120"/>
  <c r="FD34" i="120" s="1"/>
  <c r="FU34" i="120"/>
  <c r="FC34" i="120" s="1"/>
  <c r="FN34" i="120"/>
  <c r="FB34" i="120" s="1"/>
  <c r="EY34" i="120"/>
  <c r="ER34" i="120"/>
  <c r="DB34" i="120"/>
  <c r="CX34" i="120"/>
  <c r="DC34" i="120"/>
  <c r="DA34" i="120"/>
  <c r="CY34" i="120"/>
  <c r="CW34" i="120"/>
  <c r="CV34" i="120"/>
  <c r="CU34" i="120"/>
  <c r="CT34" i="120"/>
  <c r="CS34" i="120"/>
  <c r="CR34" i="120"/>
  <c r="CG34" i="120"/>
  <c r="CD34" i="120"/>
  <c r="CA34" i="120"/>
  <c r="BX34" i="120"/>
  <c r="BU34" i="120"/>
  <c r="BR34" i="120"/>
  <c r="T34" i="120"/>
  <c r="BK34" i="120"/>
  <c r="BH34" i="120"/>
  <c r="BE34" i="120"/>
  <c r="BB34" i="120"/>
  <c r="AV34" i="120"/>
  <c r="AS34" i="120"/>
  <c r="AP34" i="120"/>
  <c r="AK34" i="120"/>
  <c r="AG34" i="120"/>
  <c r="AB34" i="120"/>
  <c r="AA34" i="120"/>
  <c r="X34" i="120"/>
  <c r="W34" i="120"/>
  <c r="S34" i="120"/>
  <c r="O34" i="120"/>
  <c r="RQ33" i="120"/>
  <c r="RO33" i="120"/>
  <c r="RF33" i="120"/>
  <c r="RE33" i="120"/>
  <c r="RD33" i="120"/>
  <c r="RC33" i="120"/>
  <c r="RB33" i="120"/>
  <c r="RA33" i="120"/>
  <c r="QY33" i="120"/>
  <c r="QX33" i="120"/>
  <c r="QW33" i="120"/>
  <c r="QV33" i="120"/>
  <c r="QU33" i="120"/>
  <c r="QT33" i="120"/>
  <c r="QO33" i="120"/>
  <c r="RP33" i="120"/>
  <c r="PZ33" i="120"/>
  <c r="OZ33" i="120"/>
  <c r="MU33" i="120"/>
  <c r="MC33" i="120"/>
  <c r="LW33" i="120"/>
  <c r="LI33" i="120"/>
  <c r="LH33" i="120"/>
  <c r="U56" i="118" s="1"/>
  <c r="LG33" i="120"/>
  <c r="T56" i="118" s="1"/>
  <c r="HV33" i="120" a="1"/>
  <c r="HV33" i="120" s="1"/>
  <c r="HT33" i="120" a="1"/>
  <c r="HT33" i="120" s="1"/>
  <c r="SG33" i="120"/>
  <c r="GH33" i="120"/>
  <c r="FD33" i="120" s="1"/>
  <c r="FU33" i="120"/>
  <c r="FC33" i="120" s="1"/>
  <c r="FN33" i="120"/>
  <c r="FB33" i="120" s="1"/>
  <c r="EY33" i="120"/>
  <c r="ER33" i="120"/>
  <c r="DB33" i="120"/>
  <c r="DC33" i="120"/>
  <c r="DA33" i="120"/>
  <c r="CY33" i="120"/>
  <c r="CW33" i="120"/>
  <c r="CV33" i="120"/>
  <c r="CU33" i="120"/>
  <c r="CT33" i="120"/>
  <c r="CS33" i="120"/>
  <c r="CR33" i="120"/>
  <c r="CG33" i="120"/>
  <c r="CD33" i="120"/>
  <c r="CA33" i="120"/>
  <c r="BX33" i="120"/>
  <c r="BU33" i="120"/>
  <c r="BR33" i="120"/>
  <c r="BK33" i="120"/>
  <c r="BH33" i="120"/>
  <c r="BE33" i="120"/>
  <c r="BB33" i="120"/>
  <c r="AV33" i="120"/>
  <c r="AS33" i="120"/>
  <c r="AP33" i="120"/>
  <c r="AK33" i="120"/>
  <c r="AG33" i="120"/>
  <c r="AB33" i="120"/>
  <c r="AA33" i="120"/>
  <c r="X33" i="120"/>
  <c r="W33" i="120"/>
  <c r="S33" i="120"/>
  <c r="O33" i="120"/>
  <c r="RQ32" i="120"/>
  <c r="RO32" i="120"/>
  <c r="RF32" i="120"/>
  <c r="RE32" i="120"/>
  <c r="RD32" i="120"/>
  <c r="RC32" i="120"/>
  <c r="RB32" i="120"/>
  <c r="RA32" i="120"/>
  <c r="QY32" i="120"/>
  <c r="QX32" i="120"/>
  <c r="QW32" i="120"/>
  <c r="QV32" i="120"/>
  <c r="QU32" i="120"/>
  <c r="QT32" i="120"/>
  <c r="QO32" i="120"/>
  <c r="RP32" i="120"/>
  <c r="PZ32" i="120"/>
  <c r="OZ32" i="120"/>
  <c r="MU32" i="120"/>
  <c r="MC32" i="120"/>
  <c r="LW32" i="120"/>
  <c r="LI32" i="120"/>
  <c r="LH32" i="120"/>
  <c r="U55" i="118" s="1"/>
  <c r="LG32" i="120"/>
  <c r="T55" i="118" s="1"/>
  <c r="HV32" i="120" a="1"/>
  <c r="HV32" i="120" s="1"/>
  <c r="HT32" i="120" a="1"/>
  <c r="HT32" i="120" s="1"/>
  <c r="SG32" i="120"/>
  <c r="GH32" i="120"/>
  <c r="FD32" i="120" s="1"/>
  <c r="FU32" i="120"/>
  <c r="FC32" i="120" s="1"/>
  <c r="FN32" i="120"/>
  <c r="FB32" i="120" s="1"/>
  <c r="EY32" i="120"/>
  <c r="ER32" i="120"/>
  <c r="DB32" i="120"/>
  <c r="CZ32" i="120"/>
  <c r="DC32" i="120"/>
  <c r="DA32" i="120"/>
  <c r="CY32" i="120"/>
  <c r="CW32" i="120"/>
  <c r="CV32" i="120"/>
  <c r="CU32" i="120"/>
  <c r="CT32" i="120"/>
  <c r="CS32" i="120"/>
  <c r="CR32" i="120"/>
  <c r="CG32" i="120"/>
  <c r="CD32" i="120"/>
  <c r="CA32" i="120"/>
  <c r="BX32" i="120"/>
  <c r="BU32" i="120"/>
  <c r="BR32" i="120"/>
  <c r="BK32" i="120"/>
  <c r="BH32" i="120"/>
  <c r="BE32" i="120"/>
  <c r="BB32" i="120"/>
  <c r="AV32" i="120"/>
  <c r="AS32" i="120"/>
  <c r="AP32" i="120"/>
  <c r="AK32" i="120"/>
  <c r="AG32" i="120"/>
  <c r="AB32" i="120"/>
  <c r="AA32" i="120"/>
  <c r="X32" i="120"/>
  <c r="W32" i="120"/>
  <c r="S32" i="120"/>
  <c r="O32" i="120"/>
  <c r="RQ31" i="120"/>
  <c r="RO31" i="120"/>
  <c r="RF31" i="120"/>
  <c r="RE31" i="120"/>
  <c r="RD31" i="120"/>
  <c r="RC31" i="120"/>
  <c r="RB31" i="120"/>
  <c r="RA31" i="120"/>
  <c r="QY31" i="120"/>
  <c r="QX31" i="120"/>
  <c r="QW31" i="120"/>
  <c r="QV31" i="120"/>
  <c r="QU31" i="120"/>
  <c r="QT31" i="120"/>
  <c r="QO31" i="120"/>
  <c r="RP31" i="120"/>
  <c r="PZ31" i="120"/>
  <c r="OZ31" i="120"/>
  <c r="NJ31" i="120"/>
  <c r="NJ32" i="120" s="1"/>
  <c r="NJ33" i="120" s="1"/>
  <c r="NJ34" i="120" s="1"/>
  <c r="NJ35" i="120" s="1"/>
  <c r="MU31" i="120"/>
  <c r="MC31" i="120"/>
  <c r="LW31" i="120"/>
  <c r="LI31" i="120"/>
  <c r="LH31" i="120"/>
  <c r="U54" i="118" s="1"/>
  <c r="LG31" i="120"/>
  <c r="T54" i="118" s="1"/>
  <c r="HV31" i="120" a="1"/>
  <c r="HV31" i="120" s="1"/>
  <c r="HT31" i="120" a="1"/>
  <c r="HT31" i="120" s="1"/>
  <c r="SG31" i="120"/>
  <c r="GH31" i="120"/>
  <c r="FD31" i="120" s="1"/>
  <c r="FU31" i="120"/>
  <c r="FC31" i="120" s="1"/>
  <c r="FN31" i="120"/>
  <c r="FB31" i="120" s="1"/>
  <c r="EY31" i="120"/>
  <c r="ER31" i="120"/>
  <c r="DB31" i="120"/>
  <c r="CX31" i="120"/>
  <c r="DC31" i="120"/>
  <c r="DA31" i="120"/>
  <c r="CY31" i="120"/>
  <c r="CW31" i="120"/>
  <c r="CV31" i="120"/>
  <c r="CU31" i="120"/>
  <c r="CT31" i="120"/>
  <c r="CS31" i="120"/>
  <c r="CR31" i="120"/>
  <c r="CG31" i="120"/>
  <c r="CD31" i="120"/>
  <c r="CA31" i="120"/>
  <c r="BX31" i="120"/>
  <c r="BU31" i="120"/>
  <c r="BR31" i="120"/>
  <c r="BK31" i="120"/>
  <c r="BH31" i="120"/>
  <c r="BE31" i="120"/>
  <c r="BB31" i="120"/>
  <c r="AV31" i="120"/>
  <c r="AS31" i="120"/>
  <c r="AP31" i="120"/>
  <c r="AK31" i="120"/>
  <c r="AG31" i="120"/>
  <c r="AB31" i="120"/>
  <c r="AA31" i="120"/>
  <c r="X31" i="120"/>
  <c r="W31" i="120"/>
  <c r="S31" i="120"/>
  <c r="O31" i="120"/>
  <c r="RQ30" i="120"/>
  <c r="RO30" i="120"/>
  <c r="RF30" i="120"/>
  <c r="RE30" i="120"/>
  <c r="RD30" i="120"/>
  <c r="RC30" i="120"/>
  <c r="RB30" i="120"/>
  <c r="RA30" i="120"/>
  <c r="QY30" i="120"/>
  <c r="QX30" i="120"/>
  <c r="QW30" i="120"/>
  <c r="QV30" i="120"/>
  <c r="QU30" i="120"/>
  <c r="QT30" i="120"/>
  <c r="QO30" i="120"/>
  <c r="PY30" i="120"/>
  <c r="PZ30" i="120"/>
  <c r="OZ30" i="120"/>
  <c r="MU30" i="120"/>
  <c r="MC30" i="120"/>
  <c r="LW30" i="120"/>
  <c r="LI30" i="120"/>
  <c r="LH30" i="120"/>
  <c r="U53" i="118" s="1"/>
  <c r="LG30" i="120"/>
  <c r="T53" i="118" s="1"/>
  <c r="HV30" i="120" a="1"/>
  <c r="HV30" i="120" s="1"/>
  <c r="HT30" i="120" a="1"/>
  <c r="HT30" i="120" s="1"/>
  <c r="SG30" i="120"/>
  <c r="GH30" i="120"/>
  <c r="FD30" i="120" s="1"/>
  <c r="FU30" i="120"/>
  <c r="FC30" i="120" s="1"/>
  <c r="FN30" i="120"/>
  <c r="FB30" i="120" s="1"/>
  <c r="EY30" i="120"/>
  <c r="ER30" i="120"/>
  <c r="DB30" i="120"/>
  <c r="CX30" i="120"/>
  <c r="DC30" i="120"/>
  <c r="DA30" i="120"/>
  <c r="CY30" i="120"/>
  <c r="CW30" i="120"/>
  <c r="CV30" i="120"/>
  <c r="CU30" i="120"/>
  <c r="CT30" i="120"/>
  <c r="CS30" i="120"/>
  <c r="CR30" i="120"/>
  <c r="CG30" i="120"/>
  <c r="CD30" i="120"/>
  <c r="CA30" i="120"/>
  <c r="BX30" i="120"/>
  <c r="BU30" i="120"/>
  <c r="BR30" i="120"/>
  <c r="BO30" i="120"/>
  <c r="BK30" i="120"/>
  <c r="BH30" i="120"/>
  <c r="BB30" i="120"/>
  <c r="AV30" i="120"/>
  <c r="AS30" i="120"/>
  <c r="AP30" i="120"/>
  <c r="AK30" i="120"/>
  <c r="AG30" i="120"/>
  <c r="AB30" i="120"/>
  <c r="AA30" i="120"/>
  <c r="X30" i="120"/>
  <c r="W30" i="120"/>
  <c r="S30" i="120"/>
  <c r="O30" i="120"/>
  <c r="RQ29" i="120"/>
  <c r="RO29" i="120"/>
  <c r="RF29" i="120"/>
  <c r="RE29" i="120"/>
  <c r="RD29" i="120"/>
  <c r="RC29" i="120"/>
  <c r="RB29" i="120"/>
  <c r="RA29" i="120"/>
  <c r="QY29" i="120"/>
  <c r="QX29" i="120"/>
  <c r="QW29" i="120"/>
  <c r="QV29" i="120"/>
  <c r="QU29" i="120"/>
  <c r="QT29" i="120"/>
  <c r="QO29" i="120"/>
  <c r="RP29" i="120"/>
  <c r="PZ29" i="120"/>
  <c r="OZ29" i="120"/>
  <c r="MU29" i="120"/>
  <c r="MC29" i="120"/>
  <c r="LW29" i="120"/>
  <c r="LI29" i="120"/>
  <c r="LH29" i="120"/>
  <c r="U52" i="118" s="1"/>
  <c r="LG29" i="120"/>
  <c r="T52" i="118" s="1"/>
  <c r="V52" i="118" s="1"/>
  <c r="HV29" i="120" a="1"/>
  <c r="HV29" i="120" s="1"/>
  <c r="HT29" i="120" a="1"/>
  <c r="HT29" i="120" s="1"/>
  <c r="SG29" i="120"/>
  <c r="GH29" i="120"/>
  <c r="FD29" i="120" s="1"/>
  <c r="FU29" i="120"/>
  <c r="FC29" i="120" s="1"/>
  <c r="FN29" i="120"/>
  <c r="FB29" i="120" s="1"/>
  <c r="EY29" i="120"/>
  <c r="ER29" i="120"/>
  <c r="DB29" i="120"/>
  <c r="DC29" i="120"/>
  <c r="DA29" i="120"/>
  <c r="CY29" i="120"/>
  <c r="CW29" i="120"/>
  <c r="CV29" i="120"/>
  <c r="CU29" i="120"/>
  <c r="CT29" i="120"/>
  <c r="CS29" i="120"/>
  <c r="CR29" i="120"/>
  <c r="CG29" i="120"/>
  <c r="CD29" i="120"/>
  <c r="CA29" i="120"/>
  <c r="BX29" i="120"/>
  <c r="BU29" i="120"/>
  <c r="BR29" i="120"/>
  <c r="BK29" i="120"/>
  <c r="BH29" i="120"/>
  <c r="BE29" i="120"/>
  <c r="BB29" i="120"/>
  <c r="AV29" i="120"/>
  <c r="AS29" i="120"/>
  <c r="AP29" i="120"/>
  <c r="AK29" i="120"/>
  <c r="AG29" i="120"/>
  <c r="AB29" i="120"/>
  <c r="AA29" i="120"/>
  <c r="X29" i="120"/>
  <c r="W29" i="120"/>
  <c r="S29" i="120"/>
  <c r="O29" i="120"/>
  <c r="RQ28" i="120"/>
  <c r="RO28" i="120"/>
  <c r="RF28" i="120"/>
  <c r="RE28" i="120"/>
  <c r="RD28" i="120"/>
  <c r="RC28" i="120"/>
  <c r="RB28" i="120"/>
  <c r="RA28" i="120"/>
  <c r="QY28" i="120"/>
  <c r="QX28" i="120"/>
  <c r="QW28" i="120"/>
  <c r="QV28" i="120"/>
  <c r="QU28" i="120"/>
  <c r="QT28" i="120"/>
  <c r="QO28" i="120"/>
  <c r="PY28" i="120"/>
  <c r="PZ28" i="120"/>
  <c r="OZ28" i="120"/>
  <c r="MU28" i="120"/>
  <c r="MC28" i="120"/>
  <c r="LW28" i="120"/>
  <c r="LI28" i="120"/>
  <c r="LH28" i="120"/>
  <c r="U51" i="118" s="1"/>
  <c r="LG28" i="120"/>
  <c r="T51" i="118" s="1"/>
  <c r="HV28" i="120" a="1"/>
  <c r="HV28" i="120" s="1"/>
  <c r="HT28" i="120" a="1"/>
  <c r="HT28" i="120" s="1"/>
  <c r="SG28" i="120"/>
  <c r="GH28" i="120"/>
  <c r="FD28" i="120" s="1"/>
  <c r="FU28" i="120"/>
  <c r="FC28" i="120" s="1"/>
  <c r="FN28" i="120"/>
  <c r="FB28" i="120" s="1"/>
  <c r="EY28" i="120"/>
  <c r="ER28" i="120"/>
  <c r="DB28" i="120"/>
  <c r="CX28" i="120"/>
  <c r="DC28" i="120"/>
  <c r="DA28" i="120"/>
  <c r="CY28" i="120"/>
  <c r="CW28" i="120"/>
  <c r="CV28" i="120"/>
  <c r="CU28" i="120"/>
  <c r="CT28" i="120"/>
  <c r="CS28" i="120"/>
  <c r="CR28" i="120"/>
  <c r="CG28" i="120"/>
  <c r="CD28" i="120"/>
  <c r="CA28" i="120"/>
  <c r="BX28" i="120"/>
  <c r="BU28" i="120"/>
  <c r="BR28" i="120"/>
  <c r="BK28" i="120"/>
  <c r="BH28" i="120"/>
  <c r="BE28" i="120"/>
  <c r="BB28" i="120"/>
  <c r="AV28" i="120"/>
  <c r="AS28" i="120"/>
  <c r="AP28" i="120"/>
  <c r="AK28" i="120"/>
  <c r="AG28" i="120"/>
  <c r="AB28" i="120"/>
  <c r="AA28" i="120"/>
  <c r="X28" i="120"/>
  <c r="W28" i="120"/>
  <c r="S28" i="120"/>
  <c r="O28" i="120"/>
  <c r="RQ27" i="120"/>
  <c r="RO27" i="120"/>
  <c r="RF27" i="120"/>
  <c r="RE27" i="120"/>
  <c r="RD27" i="120"/>
  <c r="RC27" i="120"/>
  <c r="RB27" i="120"/>
  <c r="RA27" i="120"/>
  <c r="QY27" i="120"/>
  <c r="QX27" i="120"/>
  <c r="QW27" i="120"/>
  <c r="QV27" i="120"/>
  <c r="QU27" i="120"/>
  <c r="QT27" i="120"/>
  <c r="QO27" i="120"/>
  <c r="PY27" i="120"/>
  <c r="PZ27" i="120"/>
  <c r="OZ27" i="120"/>
  <c r="MU27" i="120"/>
  <c r="MC27" i="120"/>
  <c r="LW27" i="120"/>
  <c r="LI27" i="120"/>
  <c r="LH27" i="120"/>
  <c r="U50" i="118" s="1"/>
  <c r="LG27" i="120"/>
  <c r="T50" i="118" s="1"/>
  <c r="HV27" i="120" a="1"/>
  <c r="HV27" i="120" s="1"/>
  <c r="HT27" i="120" a="1"/>
  <c r="HT27" i="120" s="1"/>
  <c r="SG27" i="120"/>
  <c r="GH27" i="120"/>
  <c r="FD27" i="120" s="1"/>
  <c r="FU27" i="120"/>
  <c r="FC27" i="120" s="1"/>
  <c r="FN27" i="120"/>
  <c r="FB27" i="120" s="1"/>
  <c r="EY27" i="120"/>
  <c r="ER27" i="120"/>
  <c r="DB27" i="120"/>
  <c r="DC27" i="120"/>
  <c r="DA27" i="120"/>
  <c r="CY27" i="120"/>
  <c r="CW27" i="120"/>
  <c r="CV27" i="120"/>
  <c r="CU27" i="120"/>
  <c r="CT27" i="120"/>
  <c r="CS27" i="120"/>
  <c r="CR27" i="120"/>
  <c r="CG27" i="120"/>
  <c r="CD27" i="120"/>
  <c r="CA27" i="120"/>
  <c r="BX27" i="120"/>
  <c r="BU27" i="120"/>
  <c r="BR27" i="120"/>
  <c r="BK27" i="120"/>
  <c r="BH27" i="120"/>
  <c r="BE27" i="120"/>
  <c r="BB27" i="120"/>
  <c r="AV27" i="120"/>
  <c r="AS27" i="120"/>
  <c r="AP27" i="120"/>
  <c r="AK27" i="120"/>
  <c r="AG27" i="120"/>
  <c r="AB27" i="120"/>
  <c r="AA27" i="120"/>
  <c r="X27" i="120"/>
  <c r="W27" i="120"/>
  <c r="S27" i="120"/>
  <c r="O27" i="120"/>
  <c r="RQ26" i="120"/>
  <c r="RO26" i="120"/>
  <c r="RF26" i="120"/>
  <c r="RE26" i="120"/>
  <c r="RD26" i="120"/>
  <c r="RC26" i="120"/>
  <c r="RB26" i="120"/>
  <c r="RA26" i="120"/>
  <c r="QY26" i="120"/>
  <c r="QX26" i="120"/>
  <c r="QW26" i="120"/>
  <c r="QV26" i="120"/>
  <c r="QU26" i="120"/>
  <c r="QT26" i="120"/>
  <c r="QO26" i="120"/>
  <c r="PY26" i="120"/>
  <c r="PZ26" i="120"/>
  <c r="OZ26" i="120"/>
  <c r="MU26" i="120"/>
  <c r="MC26" i="120"/>
  <c r="LW26" i="120"/>
  <c r="LI26" i="120"/>
  <c r="LH26" i="120"/>
  <c r="U49" i="118" s="1"/>
  <c r="LG26" i="120"/>
  <c r="T49" i="118" s="1"/>
  <c r="HV26" i="120" a="1"/>
  <c r="HV26" i="120" s="1"/>
  <c r="HT26" i="120" a="1"/>
  <c r="HT26" i="120" s="1"/>
  <c r="SG26" i="120"/>
  <c r="GH26" i="120"/>
  <c r="FD26" i="120" s="1"/>
  <c r="FU26" i="120"/>
  <c r="FC26" i="120" s="1"/>
  <c r="FN26" i="120"/>
  <c r="FB26" i="120" s="1"/>
  <c r="EY26" i="120"/>
  <c r="ER26" i="120"/>
  <c r="DB26" i="120"/>
  <c r="CX26" i="120"/>
  <c r="DC26" i="120"/>
  <c r="DA26" i="120"/>
  <c r="CY26" i="120"/>
  <c r="CW26" i="120"/>
  <c r="CV26" i="120"/>
  <c r="CU26" i="120"/>
  <c r="CT26" i="120"/>
  <c r="CS26" i="120"/>
  <c r="CR26" i="120"/>
  <c r="CG26" i="120"/>
  <c r="CD26" i="120"/>
  <c r="CA26" i="120"/>
  <c r="BX26" i="120"/>
  <c r="BU26" i="120"/>
  <c r="BR26" i="120"/>
  <c r="T26" i="120"/>
  <c r="BK26" i="120"/>
  <c r="BH26" i="120"/>
  <c r="BB26" i="120"/>
  <c r="AV26" i="120"/>
  <c r="AS26" i="120"/>
  <c r="AP26" i="120"/>
  <c r="AK26" i="120"/>
  <c r="AG26" i="120"/>
  <c r="AB26" i="120"/>
  <c r="AA26" i="120"/>
  <c r="X26" i="120"/>
  <c r="W26" i="120"/>
  <c r="S26" i="120"/>
  <c r="O26" i="120"/>
  <c r="RQ25" i="120"/>
  <c r="RO25" i="120"/>
  <c r="RF25" i="120"/>
  <c r="RE25" i="120"/>
  <c r="RD25" i="120"/>
  <c r="RC25" i="120"/>
  <c r="RB25" i="120"/>
  <c r="RA25" i="120"/>
  <c r="QY25" i="120"/>
  <c r="QX25" i="120"/>
  <c r="QW25" i="120"/>
  <c r="QV25" i="120"/>
  <c r="QU25" i="120"/>
  <c r="QT25" i="120"/>
  <c r="QO25" i="120"/>
  <c r="RP25" i="120"/>
  <c r="PZ25" i="120"/>
  <c r="OZ25" i="120"/>
  <c r="MU25" i="120"/>
  <c r="MC25" i="120"/>
  <c r="LW25" i="120"/>
  <c r="LI25" i="120"/>
  <c r="LH25" i="120"/>
  <c r="U48" i="118" s="1"/>
  <c r="LG25" i="120"/>
  <c r="T48" i="118" s="1"/>
  <c r="HV25" i="120" a="1"/>
  <c r="HV25" i="120" s="1"/>
  <c r="HT25" i="120" a="1"/>
  <c r="HT25" i="120" s="1"/>
  <c r="SG25" i="120"/>
  <c r="GH25" i="120"/>
  <c r="FD25" i="120" s="1"/>
  <c r="FU25" i="120"/>
  <c r="FC25" i="120" s="1"/>
  <c r="FN25" i="120"/>
  <c r="FB25" i="120" s="1"/>
  <c r="EY25" i="120"/>
  <c r="ER25" i="120"/>
  <c r="DB25" i="120"/>
  <c r="DC25" i="120"/>
  <c r="DA25" i="120"/>
  <c r="CY25" i="120"/>
  <c r="CW25" i="120"/>
  <c r="CV25" i="120"/>
  <c r="CU25" i="120"/>
  <c r="CT25" i="120"/>
  <c r="CS25" i="120"/>
  <c r="CR25" i="120"/>
  <c r="CG25" i="120"/>
  <c r="CD25" i="120"/>
  <c r="CA25" i="120"/>
  <c r="BX25" i="120"/>
  <c r="BU25" i="120"/>
  <c r="BR25" i="120"/>
  <c r="BK25" i="120"/>
  <c r="BH25" i="120"/>
  <c r="BE25" i="120"/>
  <c r="BB25" i="120"/>
  <c r="AV25" i="120"/>
  <c r="AS25" i="120"/>
  <c r="AP25" i="120"/>
  <c r="AK25" i="120"/>
  <c r="AG25" i="120"/>
  <c r="AB25" i="120"/>
  <c r="AA25" i="120"/>
  <c r="X25" i="120"/>
  <c r="W25" i="120"/>
  <c r="S25" i="120"/>
  <c r="O25" i="120"/>
  <c r="RQ24" i="120"/>
  <c r="RO24" i="120"/>
  <c r="RF24" i="120"/>
  <c r="RE24" i="120"/>
  <c r="RD24" i="120"/>
  <c r="RC24" i="120"/>
  <c r="RB24" i="120"/>
  <c r="RA24" i="120"/>
  <c r="QY24" i="120"/>
  <c r="QX24" i="120"/>
  <c r="QW24" i="120"/>
  <c r="QV24" i="120"/>
  <c r="QU24" i="120"/>
  <c r="QT24" i="120"/>
  <c r="QO24" i="120"/>
  <c r="RP24" i="120"/>
  <c r="PZ24" i="120"/>
  <c r="OZ24" i="120"/>
  <c r="OI24" i="120"/>
  <c r="OI25" i="120" s="1"/>
  <c r="OI26" i="120" s="1"/>
  <c r="OI27" i="120" s="1"/>
  <c r="OI28" i="120" s="1"/>
  <c r="OI29" i="120" s="1"/>
  <c r="OI30" i="120" s="1"/>
  <c r="OI31" i="120" s="1"/>
  <c r="OI32" i="120" s="1"/>
  <c r="OI33" i="120" s="1"/>
  <c r="OI34" i="120" s="1"/>
  <c r="OI35" i="120" s="1"/>
  <c r="OI36" i="120" s="1"/>
  <c r="OI37" i="120" s="1"/>
  <c r="OI38" i="120" s="1"/>
  <c r="OI39" i="120" s="1"/>
  <c r="OI40" i="120" s="1"/>
  <c r="OI41" i="120" s="1"/>
  <c r="OI42" i="120" s="1"/>
  <c r="OI44" i="120" s="1"/>
  <c r="MU24" i="120"/>
  <c r="MC24" i="120"/>
  <c r="LW24" i="120"/>
  <c r="LI24" i="120"/>
  <c r="LH24" i="120"/>
  <c r="U47" i="118" s="1"/>
  <c r="LG24" i="120"/>
  <c r="T47" i="118" s="1"/>
  <c r="HV24" i="120" a="1"/>
  <c r="HV24" i="120" s="1"/>
  <c r="HT24" i="120" a="1"/>
  <c r="HT24" i="120" s="1"/>
  <c r="SG24" i="120"/>
  <c r="GH24" i="120"/>
  <c r="FD24" i="120" s="1"/>
  <c r="FU24" i="120"/>
  <c r="FC24" i="120" s="1"/>
  <c r="FN24" i="120"/>
  <c r="FB24" i="120" s="1"/>
  <c r="EY24" i="120"/>
  <c r="ER24" i="120"/>
  <c r="DB24" i="120"/>
  <c r="DC24" i="120"/>
  <c r="DA24" i="120"/>
  <c r="CY24" i="120"/>
  <c r="CW24" i="120"/>
  <c r="CV24" i="120"/>
  <c r="CU24" i="120"/>
  <c r="CT24" i="120"/>
  <c r="CS24" i="120"/>
  <c r="CR24" i="120"/>
  <c r="CG24" i="120"/>
  <c r="CD24" i="120"/>
  <c r="CA24" i="120"/>
  <c r="BX24" i="120"/>
  <c r="BU24" i="120"/>
  <c r="BR24" i="120"/>
  <c r="BK24" i="120"/>
  <c r="BH24" i="120"/>
  <c r="BE24" i="120"/>
  <c r="BB24" i="120"/>
  <c r="AV24" i="120"/>
  <c r="AS24" i="120"/>
  <c r="AP24" i="120"/>
  <c r="AK24" i="120"/>
  <c r="AG24" i="120"/>
  <c r="AB24" i="120"/>
  <c r="AA24" i="120"/>
  <c r="X24" i="120"/>
  <c r="W24" i="120"/>
  <c r="S24" i="120"/>
  <c r="O24" i="120"/>
  <c r="RQ23" i="120"/>
  <c r="RO23" i="120"/>
  <c r="RF23" i="120"/>
  <c r="RE23" i="120"/>
  <c r="RD23" i="120"/>
  <c r="RC23" i="120"/>
  <c r="RB23" i="120"/>
  <c r="RA23" i="120"/>
  <c r="QY23" i="120"/>
  <c r="QX23" i="120"/>
  <c r="QW23" i="120"/>
  <c r="QV23" i="120"/>
  <c r="QU23" i="120"/>
  <c r="QT23" i="120"/>
  <c r="QO23" i="120"/>
  <c r="PY23" i="120"/>
  <c r="PZ23" i="120"/>
  <c r="OZ23" i="120"/>
  <c r="MU23" i="120"/>
  <c r="MC23" i="120"/>
  <c r="LW23" i="120"/>
  <c r="LI23" i="120"/>
  <c r="LH23" i="120"/>
  <c r="U46" i="118" s="1"/>
  <c r="LG23" i="120"/>
  <c r="T46" i="118" s="1"/>
  <c r="HV23" i="120" a="1"/>
  <c r="HV23" i="120" s="1"/>
  <c r="HT23" i="120" a="1"/>
  <c r="HT23" i="120" s="1"/>
  <c r="SG23" i="120"/>
  <c r="GH23" i="120"/>
  <c r="FD23" i="120" s="1"/>
  <c r="FU23" i="120"/>
  <c r="FC23" i="120" s="1"/>
  <c r="FN23" i="120"/>
  <c r="FB23" i="120" s="1"/>
  <c r="EY23" i="120"/>
  <c r="ER23" i="120"/>
  <c r="CX23" i="120"/>
  <c r="DC23" i="120"/>
  <c r="DA23" i="120"/>
  <c r="CY23" i="120"/>
  <c r="CW23" i="120"/>
  <c r="CV23" i="120"/>
  <c r="CU23" i="120"/>
  <c r="CT23" i="120"/>
  <c r="CS23" i="120"/>
  <c r="CR23" i="120"/>
  <c r="CG23" i="120"/>
  <c r="CD23" i="120"/>
  <c r="CA23" i="120"/>
  <c r="BX23" i="120"/>
  <c r="BU23" i="120"/>
  <c r="BR23" i="120"/>
  <c r="BK23" i="120"/>
  <c r="BH23" i="120"/>
  <c r="BE23" i="120"/>
  <c r="BB23" i="120"/>
  <c r="AV23" i="120"/>
  <c r="AS23" i="120"/>
  <c r="AP23" i="120"/>
  <c r="AK23" i="120"/>
  <c r="AG23" i="120"/>
  <c r="AB23" i="120"/>
  <c r="AA23" i="120"/>
  <c r="X23" i="120"/>
  <c r="W23" i="120"/>
  <c r="S23" i="120"/>
  <c r="O23" i="120"/>
  <c r="RQ22" i="120"/>
  <c r="RO22" i="120"/>
  <c r="RF22" i="120"/>
  <c r="RE22" i="120"/>
  <c r="RD22" i="120"/>
  <c r="RC22" i="120"/>
  <c r="RB22" i="120"/>
  <c r="RA22" i="120"/>
  <c r="QY22" i="120"/>
  <c r="QX22" i="120"/>
  <c r="QW22" i="120"/>
  <c r="QV22" i="120"/>
  <c r="QU22" i="120"/>
  <c r="QT22" i="120"/>
  <c r="QO22" i="120"/>
  <c r="RP22" i="120"/>
  <c r="PZ22" i="120"/>
  <c r="OZ22" i="120"/>
  <c r="MU22" i="120"/>
  <c r="MC22" i="120"/>
  <c r="LW22" i="120"/>
  <c r="LI22" i="120"/>
  <c r="LH22" i="120"/>
  <c r="U45" i="118" s="1"/>
  <c r="LG22" i="120"/>
  <c r="T45" i="118" s="1"/>
  <c r="HV22" i="120" a="1"/>
  <c r="HV22" i="120" s="1"/>
  <c r="HT22" i="120" a="1"/>
  <c r="HT22" i="120" s="1"/>
  <c r="SG22" i="120"/>
  <c r="GH22" i="120"/>
  <c r="FD22" i="120" s="1"/>
  <c r="FU22" i="120"/>
  <c r="FC22" i="120" s="1"/>
  <c r="FN22" i="120"/>
  <c r="FB22" i="120" s="1"/>
  <c r="EY22" i="120"/>
  <c r="ER22" i="120"/>
  <c r="CX22" i="120"/>
  <c r="DC22" i="120"/>
  <c r="DA22" i="120"/>
  <c r="CY22" i="120"/>
  <c r="CW22" i="120"/>
  <c r="CV22" i="120"/>
  <c r="CU22" i="120"/>
  <c r="CT22" i="120"/>
  <c r="CS22" i="120"/>
  <c r="CR22" i="120"/>
  <c r="CG22" i="120"/>
  <c r="CD22" i="120"/>
  <c r="CA22" i="120"/>
  <c r="BX22" i="120"/>
  <c r="BU22" i="120"/>
  <c r="BR22" i="120"/>
  <c r="BO22" i="120"/>
  <c r="BK22" i="120"/>
  <c r="BH22" i="120"/>
  <c r="BE22" i="120"/>
  <c r="BB22" i="120"/>
  <c r="AV22" i="120"/>
  <c r="AS22" i="120"/>
  <c r="AP22" i="120"/>
  <c r="AK22" i="120"/>
  <c r="AG22" i="120"/>
  <c r="AB22" i="120"/>
  <c r="AA22" i="120"/>
  <c r="X22" i="120"/>
  <c r="W22" i="120"/>
  <c r="S22" i="120"/>
  <c r="O22" i="120"/>
  <c r="RQ21" i="120"/>
  <c r="RO21" i="120"/>
  <c r="RF21" i="120"/>
  <c r="RE21" i="120"/>
  <c r="RD21" i="120"/>
  <c r="RC21" i="120"/>
  <c r="RB21" i="120"/>
  <c r="RA21" i="120"/>
  <c r="QY21" i="120"/>
  <c r="QX21" i="120"/>
  <c r="QW21" i="120"/>
  <c r="QV21" i="120"/>
  <c r="QU21" i="120"/>
  <c r="QT21" i="120"/>
  <c r="QO21" i="120"/>
  <c r="PY21" i="120"/>
  <c r="PZ21" i="120"/>
  <c r="OZ21" i="120"/>
  <c r="OI21" i="120"/>
  <c r="MU21" i="120"/>
  <c r="MC21" i="120"/>
  <c r="LW21" i="120"/>
  <c r="LI21" i="120"/>
  <c r="LH21" i="120"/>
  <c r="U44" i="118" s="1"/>
  <c r="LG21" i="120"/>
  <c r="T44" i="118" s="1"/>
  <c r="HV21" i="120" a="1"/>
  <c r="HV21" i="120" s="1"/>
  <c r="HT21" i="120" a="1"/>
  <c r="HT21" i="120" s="1"/>
  <c r="SG21" i="120"/>
  <c r="GH21" i="120"/>
  <c r="FD21" i="120" s="1"/>
  <c r="FU21" i="120"/>
  <c r="FC21" i="120" s="1"/>
  <c r="FN21" i="120"/>
  <c r="FB21" i="120" s="1"/>
  <c r="EY21" i="120"/>
  <c r="ER21" i="120"/>
  <c r="DC21" i="120"/>
  <c r="DA21" i="120"/>
  <c r="CY21" i="120"/>
  <c r="CW21" i="120"/>
  <c r="CV21" i="120"/>
  <c r="CU21" i="120"/>
  <c r="CT21" i="120"/>
  <c r="CS21" i="120"/>
  <c r="CR21" i="120"/>
  <c r="CG21" i="120"/>
  <c r="CD21" i="120"/>
  <c r="CA21" i="120"/>
  <c r="BX21" i="120"/>
  <c r="BU21" i="120"/>
  <c r="BR21" i="120"/>
  <c r="BK21" i="120"/>
  <c r="BH21" i="120"/>
  <c r="BE21" i="120"/>
  <c r="BB21" i="120"/>
  <c r="AV21" i="120"/>
  <c r="AS21" i="120"/>
  <c r="AP21" i="120"/>
  <c r="AK21" i="120"/>
  <c r="AG21" i="120"/>
  <c r="AB21" i="120"/>
  <c r="AA21" i="120"/>
  <c r="X21" i="120"/>
  <c r="W21" i="120"/>
  <c r="S21" i="120"/>
  <c r="O21" i="120"/>
  <c r="RQ20" i="120"/>
  <c r="RO20" i="120"/>
  <c r="RF20" i="120"/>
  <c r="RE20" i="120"/>
  <c r="RD20" i="120"/>
  <c r="RC20" i="120"/>
  <c r="RB20" i="120"/>
  <c r="RA20" i="120"/>
  <c r="QY20" i="120"/>
  <c r="QX20" i="120"/>
  <c r="QW20" i="120"/>
  <c r="QV20" i="120"/>
  <c r="QU20" i="120"/>
  <c r="QT20" i="120"/>
  <c r="QO20" i="120"/>
  <c r="PY20" i="120"/>
  <c r="PZ20" i="120"/>
  <c r="OZ20" i="120"/>
  <c r="MU20" i="120"/>
  <c r="MC20" i="120"/>
  <c r="LW20" i="120"/>
  <c r="LI20" i="120"/>
  <c r="LH20" i="120"/>
  <c r="U43" i="118" s="1"/>
  <c r="LG20" i="120"/>
  <c r="T43" i="118" s="1"/>
  <c r="V43" i="118" s="1"/>
  <c r="HV20" i="120" a="1"/>
  <c r="HV20" i="120" s="1"/>
  <c r="HT20" i="120" a="1"/>
  <c r="HT20" i="120" s="1"/>
  <c r="SG20" i="120"/>
  <c r="GH20" i="120"/>
  <c r="FD20" i="120" s="1"/>
  <c r="FU20" i="120"/>
  <c r="FC20" i="120" s="1"/>
  <c r="FN20" i="120"/>
  <c r="FB20" i="120" s="1"/>
  <c r="EY20" i="120"/>
  <c r="ER20" i="120"/>
  <c r="DC20" i="120"/>
  <c r="DA20" i="120"/>
  <c r="CY20" i="120"/>
  <c r="CW20" i="120"/>
  <c r="CV20" i="120"/>
  <c r="CU20" i="120"/>
  <c r="CT20" i="120"/>
  <c r="CS20" i="120"/>
  <c r="CR20" i="120"/>
  <c r="CG20" i="120"/>
  <c r="CD20" i="120"/>
  <c r="CA20" i="120"/>
  <c r="BX20" i="120"/>
  <c r="BU20" i="120"/>
  <c r="BR20" i="120"/>
  <c r="BK20" i="120"/>
  <c r="BH20" i="120"/>
  <c r="BE20" i="120"/>
  <c r="BB20" i="120"/>
  <c r="AV20" i="120"/>
  <c r="AS20" i="120"/>
  <c r="AP20" i="120"/>
  <c r="AK20" i="120"/>
  <c r="AG20" i="120"/>
  <c r="AB20" i="120"/>
  <c r="AA20" i="120"/>
  <c r="X20" i="120"/>
  <c r="W20" i="120"/>
  <c r="S20" i="120"/>
  <c r="O20" i="120"/>
  <c r="RQ19" i="120"/>
  <c r="RO19" i="120"/>
  <c r="RF19" i="120"/>
  <c r="RE19" i="120"/>
  <c r="RD19" i="120"/>
  <c r="RC19" i="120"/>
  <c r="RB19" i="120"/>
  <c r="RA19" i="120"/>
  <c r="QY19" i="120"/>
  <c r="QX19" i="120"/>
  <c r="QW19" i="120"/>
  <c r="QV19" i="120"/>
  <c r="QU19" i="120"/>
  <c r="QT19" i="120"/>
  <c r="QO19" i="120"/>
  <c r="PY19" i="120"/>
  <c r="PZ19" i="120"/>
  <c r="OZ19" i="120"/>
  <c r="MU19" i="120"/>
  <c r="MC19" i="120"/>
  <c r="LW19" i="120"/>
  <c r="LI19" i="120"/>
  <c r="RL19" i="120" s="1"/>
  <c r="LH19" i="120"/>
  <c r="U42" i="118" s="1"/>
  <c r="LG19" i="120"/>
  <c r="T42" i="118" s="1"/>
  <c r="HV19" i="120" a="1"/>
  <c r="HV19" i="120" s="1"/>
  <c r="HT19" i="120" a="1"/>
  <c r="HT19" i="120" s="1"/>
  <c r="SG19" i="120"/>
  <c r="GH19" i="120"/>
  <c r="FD19" i="120" s="1"/>
  <c r="FU19" i="120"/>
  <c r="FC19" i="120" s="1"/>
  <c r="FN19" i="120"/>
  <c r="FB19" i="120" s="1"/>
  <c r="EY19" i="120"/>
  <c r="ER19" i="120"/>
  <c r="DB19" i="120"/>
  <c r="DC19" i="120"/>
  <c r="DA19" i="120"/>
  <c r="CY19" i="120"/>
  <c r="CW19" i="120"/>
  <c r="CV19" i="120"/>
  <c r="CU19" i="120"/>
  <c r="CT19" i="120"/>
  <c r="CS19" i="120"/>
  <c r="CR19" i="120"/>
  <c r="CG19" i="120"/>
  <c r="CD19" i="120"/>
  <c r="CA19" i="120"/>
  <c r="BX19" i="120"/>
  <c r="BU19" i="120"/>
  <c r="BR19" i="120"/>
  <c r="BK19" i="120"/>
  <c r="BH19" i="120"/>
  <c r="BE19" i="120"/>
  <c r="BB19" i="120"/>
  <c r="AV19" i="120"/>
  <c r="AS19" i="120"/>
  <c r="AP19" i="120"/>
  <c r="AK19" i="120"/>
  <c r="AG19" i="120"/>
  <c r="AB19" i="120"/>
  <c r="AA19" i="120"/>
  <c r="X19" i="120"/>
  <c r="W19" i="120"/>
  <c r="S19" i="120"/>
  <c r="O19" i="120"/>
  <c r="RQ18" i="120"/>
  <c r="RO18" i="120"/>
  <c r="RM18" i="120"/>
  <c r="RF18" i="120"/>
  <c r="RE18" i="120"/>
  <c r="RD18" i="120"/>
  <c r="RC18" i="120"/>
  <c r="RB18" i="120"/>
  <c r="RA18" i="120"/>
  <c r="QY18" i="120"/>
  <c r="QX18" i="120"/>
  <c r="QW18" i="120"/>
  <c r="QV18" i="120"/>
  <c r="QU18" i="120"/>
  <c r="QT18" i="120"/>
  <c r="QO18" i="120"/>
  <c r="PZ18" i="120"/>
  <c r="OZ18" i="120"/>
  <c r="MU18" i="120"/>
  <c r="MC18" i="120"/>
  <c r="LW18" i="120"/>
  <c r="LI18" i="120"/>
  <c r="LH18" i="120"/>
  <c r="U41" i="118" s="1"/>
  <c r="LG18" i="120"/>
  <c r="T41" i="118" s="1"/>
  <c r="HV18" i="120" a="1"/>
  <c r="HV18" i="120" s="1"/>
  <c r="HT18" i="120" a="1"/>
  <c r="HT18" i="120" s="1"/>
  <c r="SG18" i="120"/>
  <c r="GH18" i="120"/>
  <c r="FD18" i="120" s="1"/>
  <c r="FU18" i="120"/>
  <c r="FC18" i="120" s="1"/>
  <c r="FN18" i="120"/>
  <c r="FB18" i="120" s="1"/>
  <c r="EY18" i="120"/>
  <c r="ER18" i="120"/>
  <c r="DB18" i="120"/>
  <c r="DC18" i="120"/>
  <c r="DA18" i="120"/>
  <c r="CY18" i="120"/>
  <c r="CW18" i="120"/>
  <c r="CV18" i="120"/>
  <c r="CU18" i="120"/>
  <c r="CT18" i="120"/>
  <c r="CS18" i="120"/>
  <c r="CR18" i="120"/>
  <c r="CG18" i="120"/>
  <c r="CD18" i="120"/>
  <c r="CA18" i="120"/>
  <c r="BX18" i="120"/>
  <c r="BU18" i="120"/>
  <c r="BR18" i="120"/>
  <c r="T18" i="120"/>
  <c r="BK18" i="120"/>
  <c r="BH18" i="120"/>
  <c r="BE18" i="120"/>
  <c r="BB18" i="120"/>
  <c r="AV18" i="120"/>
  <c r="AS18" i="120"/>
  <c r="AP18" i="120"/>
  <c r="AK18" i="120"/>
  <c r="AG18" i="120"/>
  <c r="AB18" i="120"/>
  <c r="AA18" i="120"/>
  <c r="X18" i="120"/>
  <c r="W18" i="120"/>
  <c r="S18" i="120"/>
  <c r="O18" i="120"/>
  <c r="RQ17" i="120"/>
  <c r="RO17" i="120"/>
  <c r="RF17" i="120"/>
  <c r="RE17" i="120"/>
  <c r="RD17" i="120"/>
  <c r="RC17" i="120"/>
  <c r="RB17" i="120"/>
  <c r="RA17" i="120"/>
  <c r="QY17" i="120"/>
  <c r="QX17" i="120"/>
  <c r="QW17" i="120"/>
  <c r="QV17" i="120"/>
  <c r="QU17" i="120"/>
  <c r="QT17" i="120"/>
  <c r="QO17" i="120"/>
  <c r="RP17" i="120"/>
  <c r="PZ17" i="120"/>
  <c r="OZ17" i="120"/>
  <c r="MU17" i="120"/>
  <c r="MC17" i="120"/>
  <c r="LW17" i="120"/>
  <c r="LI17" i="120"/>
  <c r="LH17" i="120"/>
  <c r="U40" i="118" s="1"/>
  <c r="LG17" i="120"/>
  <c r="T40" i="118" s="1"/>
  <c r="V40" i="118" s="1"/>
  <c r="HV17" i="120" a="1"/>
  <c r="HV17" i="120" s="1"/>
  <c r="HT17" i="120" a="1"/>
  <c r="HT17" i="120" s="1"/>
  <c r="SG17" i="120"/>
  <c r="GH17" i="120"/>
  <c r="FD17" i="120" s="1"/>
  <c r="FU17" i="120"/>
  <c r="FC17" i="120" s="1"/>
  <c r="FN17" i="120"/>
  <c r="FB17" i="120" s="1"/>
  <c r="EY17" i="120"/>
  <c r="ER17" i="120"/>
  <c r="DB17" i="120"/>
  <c r="DC17" i="120"/>
  <c r="DA17" i="120"/>
  <c r="CY17" i="120"/>
  <c r="CW17" i="120"/>
  <c r="CV17" i="120"/>
  <c r="CU17" i="120"/>
  <c r="CT17" i="120"/>
  <c r="CS17" i="120"/>
  <c r="CR17" i="120"/>
  <c r="CG17" i="120"/>
  <c r="CD17" i="120"/>
  <c r="CA17" i="120"/>
  <c r="BX17" i="120"/>
  <c r="BU17" i="120"/>
  <c r="BR17" i="120"/>
  <c r="T17" i="120"/>
  <c r="BK17" i="120"/>
  <c r="BH17" i="120"/>
  <c r="BE17" i="120"/>
  <c r="BB17" i="120"/>
  <c r="AV17" i="120"/>
  <c r="AS17" i="120"/>
  <c r="AP17" i="120"/>
  <c r="AK17" i="120"/>
  <c r="AG17" i="120"/>
  <c r="AB17" i="120"/>
  <c r="AA17" i="120"/>
  <c r="X17" i="120"/>
  <c r="W17" i="120"/>
  <c r="S17" i="120"/>
  <c r="O17" i="120"/>
  <c r="RQ16" i="120"/>
  <c r="RO16" i="120"/>
  <c r="RF16" i="120"/>
  <c r="RE16" i="120"/>
  <c r="RD16" i="120"/>
  <c r="RC16" i="120"/>
  <c r="RB16" i="120"/>
  <c r="RA16" i="120"/>
  <c r="QY16" i="120"/>
  <c r="QX16" i="120"/>
  <c r="QW16" i="120"/>
  <c r="QV16" i="120"/>
  <c r="QU16" i="120"/>
  <c r="QT16" i="120"/>
  <c r="QO16" i="120"/>
  <c r="PY16" i="120"/>
  <c r="PZ16" i="120"/>
  <c r="OZ16" i="120"/>
  <c r="MU16" i="120"/>
  <c r="MC16" i="120"/>
  <c r="LW16" i="120"/>
  <c r="LI16" i="120"/>
  <c r="LH16" i="120"/>
  <c r="U39" i="118" s="1"/>
  <c r="LG16" i="120"/>
  <c r="T39" i="118" s="1"/>
  <c r="HV16" i="120" a="1"/>
  <c r="HV16" i="120" s="1"/>
  <c r="HT16" i="120" a="1"/>
  <c r="HT16" i="120" s="1"/>
  <c r="SG16" i="120"/>
  <c r="GH16" i="120"/>
  <c r="FD16" i="120" s="1"/>
  <c r="FU16" i="120"/>
  <c r="FC16" i="120" s="1"/>
  <c r="FN16" i="120"/>
  <c r="FB16" i="120" s="1"/>
  <c r="EY16" i="120"/>
  <c r="ER16" i="120"/>
  <c r="DB16" i="120"/>
  <c r="DC16" i="120"/>
  <c r="DA16" i="120"/>
  <c r="CY16" i="120"/>
  <c r="CW16" i="120"/>
  <c r="CV16" i="120"/>
  <c r="CU16" i="120"/>
  <c r="CT16" i="120"/>
  <c r="CS16" i="120"/>
  <c r="CR16" i="120"/>
  <c r="CG16" i="120"/>
  <c r="CD16" i="120"/>
  <c r="CA16" i="120"/>
  <c r="BX16" i="120"/>
  <c r="BU16" i="120"/>
  <c r="BR16" i="120"/>
  <c r="BO16" i="120"/>
  <c r="BK16" i="120"/>
  <c r="BH16" i="120"/>
  <c r="BE16" i="120"/>
  <c r="BB16" i="120"/>
  <c r="AV16" i="120"/>
  <c r="AS16" i="120"/>
  <c r="AP16" i="120"/>
  <c r="AK16" i="120"/>
  <c r="AG16" i="120"/>
  <c r="AB16" i="120"/>
  <c r="AA16" i="120"/>
  <c r="X16" i="120"/>
  <c r="W16" i="120"/>
  <c r="S16" i="120"/>
  <c r="O16" i="120"/>
  <c r="RQ15" i="120"/>
  <c r="RO15" i="120"/>
  <c r="RF15" i="120"/>
  <c r="RE15" i="120"/>
  <c r="RD15" i="120"/>
  <c r="RC15" i="120"/>
  <c r="RB15" i="120"/>
  <c r="RA15" i="120"/>
  <c r="QY15" i="120"/>
  <c r="QX15" i="120"/>
  <c r="QW15" i="120"/>
  <c r="QV15" i="120"/>
  <c r="QU15" i="120"/>
  <c r="QT15" i="120"/>
  <c r="QO15" i="120"/>
  <c r="PY15" i="120"/>
  <c r="PZ15" i="120"/>
  <c r="OZ15" i="120"/>
  <c r="MU15" i="120"/>
  <c r="MC15" i="120"/>
  <c r="LW15" i="120"/>
  <c r="LI15" i="120"/>
  <c r="LH15" i="120"/>
  <c r="U38" i="118" s="1"/>
  <c r="LG15" i="120"/>
  <c r="T38" i="118" s="1"/>
  <c r="HV15" i="120" a="1"/>
  <c r="HV15" i="120" s="1"/>
  <c r="HT15" i="120" a="1"/>
  <c r="HT15" i="120" s="1"/>
  <c r="SG15" i="120"/>
  <c r="GH15" i="120"/>
  <c r="FD15" i="120" s="1"/>
  <c r="FU15" i="120"/>
  <c r="FC15" i="120" s="1"/>
  <c r="FN15" i="120"/>
  <c r="FB15" i="120" s="1"/>
  <c r="EY15" i="120"/>
  <c r="ER15" i="120"/>
  <c r="DB15" i="120"/>
  <c r="DC15" i="120"/>
  <c r="DA15" i="120"/>
  <c r="CY15" i="120"/>
  <c r="CW15" i="120"/>
  <c r="CV15" i="120"/>
  <c r="CU15" i="120"/>
  <c r="CT15" i="120"/>
  <c r="CS15" i="120"/>
  <c r="CR15" i="120"/>
  <c r="CG15" i="120"/>
  <c r="CD15" i="120"/>
  <c r="CA15" i="120"/>
  <c r="BX15" i="120"/>
  <c r="BU15" i="120"/>
  <c r="BR15" i="120"/>
  <c r="BK15" i="120"/>
  <c r="BH15" i="120"/>
  <c r="BE15" i="120"/>
  <c r="BB15" i="120"/>
  <c r="AV15" i="120"/>
  <c r="AS15" i="120"/>
  <c r="AP15" i="120"/>
  <c r="AK15" i="120"/>
  <c r="AG15" i="120"/>
  <c r="AB15" i="120"/>
  <c r="AA15" i="120"/>
  <c r="X15" i="120"/>
  <c r="W15" i="120"/>
  <c r="S15" i="120"/>
  <c r="O15" i="120"/>
  <c r="RQ14" i="120"/>
  <c r="RO14" i="120"/>
  <c r="RF14" i="120"/>
  <c r="RE14" i="120"/>
  <c r="RD14" i="120"/>
  <c r="RC14" i="120"/>
  <c r="RB14" i="120"/>
  <c r="RA14" i="120"/>
  <c r="QY14" i="120"/>
  <c r="QX14" i="120"/>
  <c r="QW14" i="120"/>
  <c r="QV14" i="120"/>
  <c r="QU14" i="120"/>
  <c r="QT14" i="120"/>
  <c r="QO14" i="120"/>
  <c r="PY14" i="120"/>
  <c r="PZ14" i="120"/>
  <c r="OZ14" i="120"/>
  <c r="MU14" i="120"/>
  <c r="MC14" i="120"/>
  <c r="LW14" i="120"/>
  <c r="LI14" i="120"/>
  <c r="LH14" i="120"/>
  <c r="U37" i="118" s="1"/>
  <c r="LG14" i="120"/>
  <c r="T37" i="118" s="1"/>
  <c r="HV14" i="120" a="1"/>
  <c r="HV14" i="120" s="1"/>
  <c r="HT14" i="120" a="1"/>
  <c r="HT14" i="120" s="1"/>
  <c r="SG14" i="120"/>
  <c r="GH14" i="120"/>
  <c r="FD14" i="120" s="1"/>
  <c r="FU14" i="120"/>
  <c r="FC14" i="120" s="1"/>
  <c r="FN14" i="120"/>
  <c r="FB14" i="120" s="1"/>
  <c r="EY14" i="120"/>
  <c r="ER14" i="120"/>
  <c r="DB14" i="120"/>
  <c r="DC14" i="120"/>
  <c r="DA14" i="120"/>
  <c r="CY14" i="120"/>
  <c r="CW14" i="120"/>
  <c r="CV14" i="120"/>
  <c r="CU14" i="120"/>
  <c r="CT14" i="120"/>
  <c r="CS14" i="120"/>
  <c r="CR14" i="120"/>
  <c r="CG14" i="120"/>
  <c r="CD14" i="120"/>
  <c r="CA14" i="120"/>
  <c r="BX14" i="120"/>
  <c r="BU14" i="120"/>
  <c r="BR14" i="120"/>
  <c r="BO14" i="120"/>
  <c r="BK14" i="120"/>
  <c r="BH14" i="120"/>
  <c r="BE14" i="120"/>
  <c r="BB14" i="120"/>
  <c r="AV14" i="120"/>
  <c r="AS14" i="120"/>
  <c r="AP14" i="120"/>
  <c r="AK14" i="120"/>
  <c r="AG14" i="120"/>
  <c r="AB14" i="120"/>
  <c r="AA14" i="120"/>
  <c r="X14" i="120"/>
  <c r="W14" i="120"/>
  <c r="S14" i="120"/>
  <c r="O14" i="120"/>
  <c r="RQ13" i="120"/>
  <c r="RO13" i="120"/>
  <c r="RF13" i="120"/>
  <c r="RE13" i="120"/>
  <c r="RD13" i="120"/>
  <c r="RC13" i="120"/>
  <c r="RB13" i="120"/>
  <c r="RA13" i="120"/>
  <c r="QY13" i="120"/>
  <c r="QX13" i="120"/>
  <c r="QW13" i="120"/>
  <c r="QV13" i="120"/>
  <c r="QU13" i="120"/>
  <c r="QT13" i="120"/>
  <c r="QO13" i="120"/>
  <c r="PY13" i="120"/>
  <c r="PZ13" i="120"/>
  <c r="OZ13" i="120"/>
  <c r="MU13" i="120"/>
  <c r="MC13" i="120"/>
  <c r="LW13" i="120"/>
  <c r="LI13" i="120"/>
  <c r="LH13" i="120"/>
  <c r="U36" i="118" s="1"/>
  <c r="LG13" i="120"/>
  <c r="T36" i="118" s="1"/>
  <c r="HV13" i="120" a="1"/>
  <c r="HV13" i="120" s="1"/>
  <c r="HT13" i="120" a="1"/>
  <c r="HT13" i="120" s="1"/>
  <c r="SG13" i="120"/>
  <c r="GH13" i="120"/>
  <c r="FD13" i="120" s="1"/>
  <c r="FU13" i="120"/>
  <c r="FC13" i="120" s="1"/>
  <c r="FN13" i="120"/>
  <c r="FB13" i="120" s="1"/>
  <c r="EY13" i="120"/>
  <c r="ER13" i="120"/>
  <c r="DB13" i="120"/>
  <c r="CX13" i="120"/>
  <c r="DC13" i="120"/>
  <c r="DA13" i="120"/>
  <c r="CY13" i="120"/>
  <c r="CW13" i="120"/>
  <c r="CV13" i="120"/>
  <c r="CU13" i="120"/>
  <c r="CT13" i="120"/>
  <c r="CS13" i="120"/>
  <c r="CR13" i="120"/>
  <c r="CG13" i="120"/>
  <c r="CD13" i="120"/>
  <c r="CA13" i="120"/>
  <c r="BX13" i="120"/>
  <c r="BU13" i="120"/>
  <c r="BR13" i="120"/>
  <c r="BK13" i="120"/>
  <c r="BH13" i="120"/>
  <c r="BE13" i="120"/>
  <c r="BB13" i="120"/>
  <c r="AV13" i="120"/>
  <c r="AS13" i="120"/>
  <c r="AP13" i="120"/>
  <c r="AK13" i="120"/>
  <c r="AG13" i="120"/>
  <c r="AB13" i="120"/>
  <c r="AA13" i="120"/>
  <c r="X13" i="120"/>
  <c r="W13" i="120"/>
  <c r="S13" i="120"/>
  <c r="O13" i="120"/>
  <c r="RQ12" i="120"/>
  <c r="RO12" i="120"/>
  <c r="RF12" i="120"/>
  <c r="RE12" i="120"/>
  <c r="RD12" i="120"/>
  <c r="RC12" i="120"/>
  <c r="RB12" i="120"/>
  <c r="RA12" i="120"/>
  <c r="QY12" i="120"/>
  <c r="QX12" i="120"/>
  <c r="QW12" i="120"/>
  <c r="QV12" i="120"/>
  <c r="QU12" i="120"/>
  <c r="QT12" i="120"/>
  <c r="QO12" i="120"/>
  <c r="PY12" i="120"/>
  <c r="PZ12" i="120"/>
  <c r="OZ12" i="120"/>
  <c r="MU12" i="120"/>
  <c r="MC12" i="120"/>
  <c r="LW12" i="120"/>
  <c r="LI12" i="120"/>
  <c r="LH12" i="120"/>
  <c r="U35" i="118" s="1"/>
  <c r="LG12" i="120"/>
  <c r="T35" i="118" s="1"/>
  <c r="HV12" i="120" a="1"/>
  <c r="HV12" i="120" s="1"/>
  <c r="HT12" i="120" a="1"/>
  <c r="HT12" i="120" s="1"/>
  <c r="SG12" i="120"/>
  <c r="GH12" i="120"/>
  <c r="FD12" i="120" s="1"/>
  <c r="FU12" i="120"/>
  <c r="FC12" i="120" s="1"/>
  <c r="FN12" i="120"/>
  <c r="FB12" i="120" s="1"/>
  <c r="EY12" i="120"/>
  <c r="ER12" i="120"/>
  <c r="DB12" i="120"/>
  <c r="DC12" i="120"/>
  <c r="DA12" i="120"/>
  <c r="CY12" i="120"/>
  <c r="CW12" i="120"/>
  <c r="CV12" i="120"/>
  <c r="CU12" i="120"/>
  <c r="CT12" i="120"/>
  <c r="CS12" i="120"/>
  <c r="CR12" i="120"/>
  <c r="CG12" i="120"/>
  <c r="CD12" i="120"/>
  <c r="CA12" i="120"/>
  <c r="BX12" i="120"/>
  <c r="BU12" i="120"/>
  <c r="BR12" i="120"/>
  <c r="BK12" i="120"/>
  <c r="BH12" i="120"/>
  <c r="BE12" i="120"/>
  <c r="BB12" i="120"/>
  <c r="AV12" i="120"/>
  <c r="AS12" i="120"/>
  <c r="AP12" i="120"/>
  <c r="AK12" i="120"/>
  <c r="AG12" i="120"/>
  <c r="AB12" i="120"/>
  <c r="AA12" i="120"/>
  <c r="X12" i="120"/>
  <c r="W12" i="120"/>
  <c r="S12" i="120"/>
  <c r="O12" i="120"/>
  <c r="RQ11" i="120"/>
  <c r="RO11" i="120"/>
  <c r="RF11" i="120"/>
  <c r="RE11" i="120"/>
  <c r="RD11" i="120"/>
  <c r="RC11" i="120"/>
  <c r="RB11" i="120"/>
  <c r="RA11" i="120"/>
  <c r="QY11" i="120"/>
  <c r="QX11" i="120"/>
  <c r="QW11" i="120"/>
  <c r="QV11" i="120"/>
  <c r="QU11" i="120"/>
  <c r="QT11" i="120"/>
  <c r="QO11" i="120"/>
  <c r="RP11" i="120"/>
  <c r="PZ11" i="120"/>
  <c r="OZ11" i="120"/>
  <c r="MU11" i="120"/>
  <c r="MC11" i="120"/>
  <c r="LW11" i="120"/>
  <c r="LI11" i="120"/>
  <c r="LH11" i="120"/>
  <c r="U34" i="118" s="1"/>
  <c r="LG11" i="120"/>
  <c r="T34" i="118" s="1"/>
  <c r="HV11" i="120" a="1"/>
  <c r="HV11" i="120" s="1"/>
  <c r="HT11" i="120" a="1"/>
  <c r="HT11" i="120" s="1"/>
  <c r="SG11" i="120"/>
  <c r="GH11" i="120"/>
  <c r="FD11" i="120" s="1"/>
  <c r="FU11" i="120"/>
  <c r="FC11" i="120" s="1"/>
  <c r="FN11" i="120"/>
  <c r="FB11" i="120" s="1"/>
  <c r="EY11" i="120"/>
  <c r="ER11" i="120"/>
  <c r="DB11" i="120"/>
  <c r="CZ11" i="120"/>
  <c r="DC11" i="120"/>
  <c r="DA11" i="120"/>
  <c r="CY11" i="120"/>
  <c r="CW11" i="120"/>
  <c r="CV11" i="120"/>
  <c r="CU11" i="120"/>
  <c r="CT11" i="120"/>
  <c r="CS11" i="120"/>
  <c r="CR11" i="120"/>
  <c r="CG11" i="120"/>
  <c r="CD11" i="120"/>
  <c r="CA11" i="120"/>
  <c r="BX11" i="120"/>
  <c r="BU11" i="120"/>
  <c r="BR11" i="120"/>
  <c r="BK11" i="120"/>
  <c r="BH11" i="120"/>
  <c r="BE11" i="120"/>
  <c r="BB11" i="120"/>
  <c r="AV11" i="120"/>
  <c r="AS11" i="120"/>
  <c r="AP11" i="120"/>
  <c r="AK11" i="120"/>
  <c r="AG11" i="120"/>
  <c r="AB11" i="120"/>
  <c r="AA11" i="120"/>
  <c r="X11" i="120"/>
  <c r="W11" i="120"/>
  <c r="S11" i="120"/>
  <c r="O11" i="120"/>
  <c r="RQ10" i="120"/>
  <c r="RO10" i="120"/>
  <c r="RF10" i="120"/>
  <c r="RE10" i="120"/>
  <c r="RD10" i="120"/>
  <c r="RC10" i="120"/>
  <c r="RB10" i="120"/>
  <c r="RA10" i="120"/>
  <c r="QY10" i="120"/>
  <c r="QX10" i="120"/>
  <c r="QW10" i="120"/>
  <c r="QV10" i="120"/>
  <c r="QU10" i="120"/>
  <c r="QT10" i="120"/>
  <c r="QO10" i="120"/>
  <c r="QJ10" i="120"/>
  <c r="QJ11" i="120" s="1"/>
  <c r="QJ12" i="120" s="1"/>
  <c r="QJ13" i="120" s="1"/>
  <c r="QJ14" i="120" s="1"/>
  <c r="QJ15" i="120" s="1"/>
  <c r="QJ16" i="120" s="1"/>
  <c r="QJ17" i="120" s="1"/>
  <c r="QJ18" i="120" s="1"/>
  <c r="QJ19" i="120" s="1"/>
  <c r="QJ20" i="120" s="1"/>
  <c r="QJ21" i="120" s="1"/>
  <c r="QJ22" i="120" s="1"/>
  <c r="QJ23" i="120" s="1"/>
  <c r="QJ24" i="120" s="1"/>
  <c r="QJ25" i="120" s="1"/>
  <c r="QJ26" i="120" s="1"/>
  <c r="QJ27" i="120" s="1"/>
  <c r="QJ28" i="120" s="1"/>
  <c r="QJ29" i="120" s="1"/>
  <c r="QJ30" i="120" s="1"/>
  <c r="QJ31" i="120" s="1"/>
  <c r="QJ32" i="120" s="1"/>
  <c r="QJ33" i="120" s="1"/>
  <c r="QJ34" i="120" s="1"/>
  <c r="QJ35" i="120" s="1"/>
  <c r="QJ36" i="120" s="1"/>
  <c r="QJ37" i="120" s="1"/>
  <c r="QJ38" i="120" s="1"/>
  <c r="QJ39" i="120" s="1"/>
  <c r="QJ40" i="120" s="1"/>
  <c r="QJ41" i="120" s="1"/>
  <c r="QJ42" i="120" s="1"/>
  <c r="PF10" i="120"/>
  <c r="PF11" i="120" s="1"/>
  <c r="PF12" i="120" s="1"/>
  <c r="PF13" i="120" s="1"/>
  <c r="PF14" i="120" s="1"/>
  <c r="PF15" i="120" s="1"/>
  <c r="PF16" i="120" s="1"/>
  <c r="PF17" i="120" s="1"/>
  <c r="PF18" i="120" s="1"/>
  <c r="PF19" i="120" s="1"/>
  <c r="PF20" i="120" s="1"/>
  <c r="PF21" i="120" s="1"/>
  <c r="PF22" i="120" s="1"/>
  <c r="PF23" i="120" s="1"/>
  <c r="PF24" i="120" s="1"/>
  <c r="PF25" i="120" s="1"/>
  <c r="PF26" i="120" s="1"/>
  <c r="PF27" i="120" s="1"/>
  <c r="PF28" i="120" s="1"/>
  <c r="PF29" i="120" s="1"/>
  <c r="PF30" i="120" s="1"/>
  <c r="PF31" i="120" s="1"/>
  <c r="PF32" i="120" s="1"/>
  <c r="PF33" i="120" s="1"/>
  <c r="PF34" i="120" s="1"/>
  <c r="PF35" i="120" s="1"/>
  <c r="PF36" i="120" s="1"/>
  <c r="PF37" i="120" s="1"/>
  <c r="PF38" i="120" s="1"/>
  <c r="PF39" i="120" s="1"/>
  <c r="PF40" i="120" s="1"/>
  <c r="PF41" i="120" s="1"/>
  <c r="PF42" i="120" s="1"/>
  <c r="PF44" i="120" s="1"/>
  <c r="PD10" i="120"/>
  <c r="PD11" i="120" s="1"/>
  <c r="PD12" i="120" s="1"/>
  <c r="PD13" i="120" s="1"/>
  <c r="PD14" i="120" s="1"/>
  <c r="PD15" i="120" s="1"/>
  <c r="PD16" i="120" s="1"/>
  <c r="PD17" i="120" s="1"/>
  <c r="PD18" i="120" s="1"/>
  <c r="PD19" i="120" s="1"/>
  <c r="PD20" i="120" s="1"/>
  <c r="PD21" i="120" s="1"/>
  <c r="PD22" i="120" s="1"/>
  <c r="PD23" i="120" s="1"/>
  <c r="PD24" i="120" s="1"/>
  <c r="PD25" i="120" s="1"/>
  <c r="PD26" i="120" s="1"/>
  <c r="PD27" i="120" s="1"/>
  <c r="PD28" i="120" s="1"/>
  <c r="PD29" i="120" s="1"/>
  <c r="PD30" i="120" s="1"/>
  <c r="PD31" i="120" s="1"/>
  <c r="PD32" i="120" s="1"/>
  <c r="PD33" i="120" s="1"/>
  <c r="PD34" i="120" s="1"/>
  <c r="PD35" i="120" s="1"/>
  <c r="PD36" i="120" s="1"/>
  <c r="PD37" i="120" s="1"/>
  <c r="PD38" i="120" s="1"/>
  <c r="PD39" i="120" s="1"/>
  <c r="PD40" i="120" s="1"/>
  <c r="PD41" i="120" s="1"/>
  <c r="PD42" i="120" s="1"/>
  <c r="PD44" i="120" s="1"/>
  <c r="PC10" i="120"/>
  <c r="PC11" i="120" s="1"/>
  <c r="PC12" i="120" s="1"/>
  <c r="PC13" i="120" s="1"/>
  <c r="PC14" i="120" s="1"/>
  <c r="PC15" i="120" s="1"/>
  <c r="PC16" i="120" s="1"/>
  <c r="PC17" i="120" s="1"/>
  <c r="PC18" i="120" s="1"/>
  <c r="PC19" i="120" s="1"/>
  <c r="PC20" i="120" s="1"/>
  <c r="PC21" i="120" s="1"/>
  <c r="PC22" i="120" s="1"/>
  <c r="PC23" i="120" s="1"/>
  <c r="PC24" i="120" s="1"/>
  <c r="PC25" i="120" s="1"/>
  <c r="PC26" i="120" s="1"/>
  <c r="PC27" i="120" s="1"/>
  <c r="PC28" i="120" s="1"/>
  <c r="PC29" i="120" s="1"/>
  <c r="PC30" i="120" s="1"/>
  <c r="PC31" i="120" s="1"/>
  <c r="PC32" i="120" s="1"/>
  <c r="PC33" i="120" s="1"/>
  <c r="PC34" i="120" s="1"/>
  <c r="PC35" i="120" s="1"/>
  <c r="PC36" i="120" s="1"/>
  <c r="PC37" i="120" s="1"/>
  <c r="PC38" i="120" s="1"/>
  <c r="PC39" i="120" s="1"/>
  <c r="PC40" i="120" s="1"/>
  <c r="PC41" i="120" s="1"/>
  <c r="PC42" i="120" s="1"/>
  <c r="PC44" i="120" s="1"/>
  <c r="PB10" i="120"/>
  <c r="PB11" i="120" s="1"/>
  <c r="PB12" i="120" s="1"/>
  <c r="PB13" i="120" s="1"/>
  <c r="PB14" i="120" s="1"/>
  <c r="PB15" i="120" s="1"/>
  <c r="PB16" i="120" s="1"/>
  <c r="PB17" i="120" s="1"/>
  <c r="PB18" i="120" s="1"/>
  <c r="PB19" i="120" s="1"/>
  <c r="PB20" i="120" s="1"/>
  <c r="PB21" i="120" s="1"/>
  <c r="PB22" i="120" s="1"/>
  <c r="PB23" i="120" s="1"/>
  <c r="PB24" i="120" s="1"/>
  <c r="PB25" i="120" s="1"/>
  <c r="PB26" i="120" s="1"/>
  <c r="PB27" i="120" s="1"/>
  <c r="PB28" i="120" s="1"/>
  <c r="PB29" i="120" s="1"/>
  <c r="PB30" i="120" s="1"/>
  <c r="PB31" i="120" s="1"/>
  <c r="PB32" i="120" s="1"/>
  <c r="PB33" i="120" s="1"/>
  <c r="PB34" i="120" s="1"/>
  <c r="PB35" i="120" s="1"/>
  <c r="PB36" i="120" s="1"/>
  <c r="PB37" i="120" s="1"/>
  <c r="PB38" i="120" s="1"/>
  <c r="PB39" i="120" s="1"/>
  <c r="PB40" i="120" s="1"/>
  <c r="PB41" i="120" s="1"/>
  <c r="PB42" i="120" s="1"/>
  <c r="PB44" i="120" s="1"/>
  <c r="PA10" i="120"/>
  <c r="PA11" i="120" s="1"/>
  <c r="OZ10" i="120"/>
  <c r="OR10" i="120"/>
  <c r="OR11" i="120" s="1"/>
  <c r="OR12" i="120" s="1"/>
  <c r="OR13" i="120" s="1"/>
  <c r="OR14" i="120" s="1"/>
  <c r="OR15" i="120" s="1"/>
  <c r="OR16" i="120" s="1"/>
  <c r="OR17" i="120" s="1"/>
  <c r="OR18" i="120" s="1"/>
  <c r="OR19" i="120" s="1"/>
  <c r="OR20" i="120" s="1"/>
  <c r="OR21" i="120" s="1"/>
  <c r="OR22" i="120" s="1"/>
  <c r="OR23" i="120" s="1"/>
  <c r="OR24" i="120" s="1"/>
  <c r="OR25" i="120" s="1"/>
  <c r="OR26" i="120" s="1"/>
  <c r="OR27" i="120" s="1"/>
  <c r="OR28" i="120" s="1"/>
  <c r="OR29" i="120" s="1"/>
  <c r="OR30" i="120" s="1"/>
  <c r="OR31" i="120" s="1"/>
  <c r="OR32" i="120" s="1"/>
  <c r="OR33" i="120" s="1"/>
  <c r="OR34" i="120" s="1"/>
  <c r="OR35" i="120" s="1"/>
  <c r="OR36" i="120" s="1"/>
  <c r="OR37" i="120" s="1"/>
  <c r="OR38" i="120" s="1"/>
  <c r="OR39" i="120" s="1"/>
  <c r="OR40" i="120" s="1"/>
  <c r="OR41" i="120" s="1"/>
  <c r="OR42" i="120" s="1"/>
  <c r="ON10" i="120"/>
  <c r="ON11" i="120" s="1"/>
  <c r="ON12" i="120" s="1"/>
  <c r="ON13" i="120" s="1"/>
  <c r="ON14" i="120" s="1"/>
  <c r="ON15" i="120" s="1"/>
  <c r="ON16" i="120" s="1"/>
  <c r="ON17" i="120" s="1"/>
  <c r="ON18" i="120" s="1"/>
  <c r="ON19" i="120" s="1"/>
  <c r="ON20" i="120" s="1"/>
  <c r="ON21" i="120" s="1"/>
  <c r="ON22" i="120" s="1"/>
  <c r="ON23" i="120" s="1"/>
  <c r="ON24" i="120" s="1"/>
  <c r="ON25" i="120" s="1"/>
  <c r="ON26" i="120" s="1"/>
  <c r="ON27" i="120" s="1"/>
  <c r="ON28" i="120" s="1"/>
  <c r="ON29" i="120" s="1"/>
  <c r="ON30" i="120" s="1"/>
  <c r="ON31" i="120" s="1"/>
  <c r="ON32" i="120" s="1"/>
  <c r="ON33" i="120" s="1"/>
  <c r="ON34" i="120" s="1"/>
  <c r="ON35" i="120" s="1"/>
  <c r="ON36" i="120" s="1"/>
  <c r="ON37" i="120" s="1"/>
  <c r="ON38" i="120" s="1"/>
  <c r="ON39" i="120" s="1"/>
  <c r="ON40" i="120" s="1"/>
  <c r="ON41" i="120" s="1"/>
  <c r="ON42" i="120" s="1"/>
  <c r="OL10" i="120"/>
  <c r="OL11" i="120" s="1"/>
  <c r="OL12" i="120" s="1"/>
  <c r="OL13" i="120" s="1"/>
  <c r="OL14" i="120" s="1"/>
  <c r="OL15" i="120" s="1"/>
  <c r="OL16" i="120" s="1"/>
  <c r="OL17" i="120" s="1"/>
  <c r="OL18" i="120" s="1"/>
  <c r="OL19" i="120" s="1"/>
  <c r="OL20" i="120" s="1"/>
  <c r="OL21" i="120" s="1"/>
  <c r="OL22" i="120" s="1"/>
  <c r="OL23" i="120" s="1"/>
  <c r="OL24" i="120" s="1"/>
  <c r="OL25" i="120" s="1"/>
  <c r="OL26" i="120" s="1"/>
  <c r="OL27" i="120" s="1"/>
  <c r="OL28" i="120" s="1"/>
  <c r="OL29" i="120" s="1"/>
  <c r="OL30" i="120" s="1"/>
  <c r="OL31" i="120" s="1"/>
  <c r="OL32" i="120" s="1"/>
  <c r="OL33" i="120" s="1"/>
  <c r="OL34" i="120" s="1"/>
  <c r="OL35" i="120" s="1"/>
  <c r="OL36" i="120" s="1"/>
  <c r="OL37" i="120" s="1"/>
  <c r="OL38" i="120" s="1"/>
  <c r="OL39" i="120" s="1"/>
  <c r="OL40" i="120" s="1"/>
  <c r="OL41" i="120" s="1"/>
  <c r="OL42" i="120" s="1"/>
  <c r="OK10" i="120"/>
  <c r="OK11" i="120" s="1"/>
  <c r="OK12" i="120" s="1"/>
  <c r="OK13" i="120" s="1"/>
  <c r="OK14" i="120" s="1"/>
  <c r="OK15" i="120" s="1"/>
  <c r="OK16" i="120" s="1"/>
  <c r="OK17" i="120" s="1"/>
  <c r="OK18" i="120" s="1"/>
  <c r="OK19" i="120" s="1"/>
  <c r="OK20" i="120" s="1"/>
  <c r="OK21" i="120" s="1"/>
  <c r="OK22" i="120" s="1"/>
  <c r="OK23" i="120" s="1"/>
  <c r="OK24" i="120" s="1"/>
  <c r="OK25" i="120" s="1"/>
  <c r="OK26" i="120" s="1"/>
  <c r="OK27" i="120" s="1"/>
  <c r="OK28" i="120" s="1"/>
  <c r="OK29" i="120" s="1"/>
  <c r="OK30" i="120" s="1"/>
  <c r="OK31" i="120" s="1"/>
  <c r="OK32" i="120" s="1"/>
  <c r="OK33" i="120" s="1"/>
  <c r="OK34" i="120" s="1"/>
  <c r="OK35" i="120" s="1"/>
  <c r="OK36" i="120" s="1"/>
  <c r="OK37" i="120" s="1"/>
  <c r="OK38" i="120" s="1"/>
  <c r="OK39" i="120" s="1"/>
  <c r="OK40" i="120" s="1"/>
  <c r="OK41" i="120" s="1"/>
  <c r="OJ10" i="120"/>
  <c r="OJ11" i="120" s="1"/>
  <c r="OJ12" i="120" s="1"/>
  <c r="OJ13" i="120" s="1"/>
  <c r="OJ14" i="120" s="1"/>
  <c r="OJ15" i="120" s="1"/>
  <c r="OJ16" i="120" s="1"/>
  <c r="OJ17" i="120" s="1"/>
  <c r="OJ18" i="120" s="1"/>
  <c r="OJ19" i="120" s="1"/>
  <c r="OJ20" i="120" s="1"/>
  <c r="OJ21" i="120" s="1"/>
  <c r="OJ22" i="120" s="1"/>
  <c r="OJ23" i="120" s="1"/>
  <c r="OJ24" i="120" s="1"/>
  <c r="OJ25" i="120" s="1"/>
  <c r="OJ26" i="120" s="1"/>
  <c r="OJ27" i="120" s="1"/>
  <c r="OJ28" i="120" s="1"/>
  <c r="OJ29" i="120" s="1"/>
  <c r="OJ30" i="120" s="1"/>
  <c r="OJ31" i="120" s="1"/>
  <c r="OJ32" i="120" s="1"/>
  <c r="OJ33" i="120" s="1"/>
  <c r="OJ34" i="120" s="1"/>
  <c r="OJ35" i="120" s="1"/>
  <c r="OJ36" i="120" s="1"/>
  <c r="OJ37" i="120" s="1"/>
  <c r="OJ38" i="120" s="1"/>
  <c r="OJ39" i="120" s="1"/>
  <c r="OJ40" i="120" s="1"/>
  <c r="OJ41" i="120" s="1"/>
  <c r="OJ42" i="120" s="1"/>
  <c r="OI10" i="120"/>
  <c r="OI11" i="120" s="1"/>
  <c r="OI12" i="120" s="1"/>
  <c r="OI13" i="120" s="1"/>
  <c r="OI14" i="120" s="1"/>
  <c r="OI15" i="120" s="1"/>
  <c r="OI16" i="120" s="1"/>
  <c r="OI17" i="120" s="1"/>
  <c r="OI18" i="120" s="1"/>
  <c r="OI19" i="120" s="1"/>
  <c r="OH10" i="120"/>
  <c r="OH11" i="120" s="1"/>
  <c r="OH12" i="120" s="1"/>
  <c r="OH13" i="120" s="1"/>
  <c r="OH14" i="120" s="1"/>
  <c r="OH15" i="120" s="1"/>
  <c r="OH16" i="120" s="1"/>
  <c r="OH17" i="120" s="1"/>
  <c r="OH18" i="120" s="1"/>
  <c r="OH19" i="120" s="1"/>
  <c r="OH20" i="120" s="1"/>
  <c r="OH21" i="120" s="1"/>
  <c r="OH22" i="120" s="1"/>
  <c r="OH23" i="120" s="1"/>
  <c r="OH24" i="120" s="1"/>
  <c r="OH25" i="120" s="1"/>
  <c r="OH26" i="120" s="1"/>
  <c r="OH27" i="120" s="1"/>
  <c r="OH28" i="120" s="1"/>
  <c r="OH29" i="120" s="1"/>
  <c r="OH30" i="120" s="1"/>
  <c r="OH31" i="120" s="1"/>
  <c r="OH32" i="120" s="1"/>
  <c r="OH33" i="120" s="1"/>
  <c r="OH34" i="120" s="1"/>
  <c r="OH35" i="120" s="1"/>
  <c r="OH36" i="120" s="1"/>
  <c r="OH37" i="120" s="1"/>
  <c r="OH38" i="120" s="1"/>
  <c r="OH39" i="120" s="1"/>
  <c r="OH40" i="120" s="1"/>
  <c r="OH41" i="120" s="1"/>
  <c r="OH42" i="120" s="1"/>
  <c r="OG10" i="120"/>
  <c r="OG11" i="120" s="1"/>
  <c r="NY10" i="120"/>
  <c r="NY11" i="120" s="1"/>
  <c r="NY12" i="120" s="1"/>
  <c r="NY13" i="120" s="1"/>
  <c r="NY14" i="120" s="1"/>
  <c r="NY15" i="120" s="1"/>
  <c r="NY16" i="120" s="1"/>
  <c r="NY17" i="120" s="1"/>
  <c r="NY18" i="120" s="1"/>
  <c r="NY19" i="120" s="1"/>
  <c r="NY20" i="120" s="1"/>
  <c r="NY21" i="120" s="1"/>
  <c r="NY22" i="120" s="1"/>
  <c r="NY23" i="120" s="1"/>
  <c r="NY24" i="120" s="1"/>
  <c r="NY25" i="120" s="1"/>
  <c r="NY26" i="120" s="1"/>
  <c r="NY27" i="120" s="1"/>
  <c r="NY28" i="120" s="1"/>
  <c r="NY29" i="120" s="1"/>
  <c r="NY30" i="120" s="1"/>
  <c r="NY31" i="120" s="1"/>
  <c r="NY32" i="120" s="1"/>
  <c r="NY33" i="120" s="1"/>
  <c r="NY34" i="120" s="1"/>
  <c r="NY35" i="120" s="1"/>
  <c r="NY36" i="120" s="1"/>
  <c r="NY37" i="120" s="1"/>
  <c r="NY38" i="120" s="1"/>
  <c r="NY39" i="120" s="1"/>
  <c r="NY40" i="120" s="1"/>
  <c r="NY41" i="120" s="1"/>
  <c r="NY42" i="120" s="1"/>
  <c r="NX10" i="120"/>
  <c r="NX11" i="120" s="1"/>
  <c r="NX12" i="120" s="1"/>
  <c r="NX13" i="120" s="1"/>
  <c r="NX14" i="120" s="1"/>
  <c r="NX15" i="120" s="1"/>
  <c r="NX16" i="120" s="1"/>
  <c r="NX17" i="120" s="1"/>
  <c r="NX18" i="120" s="1"/>
  <c r="NX19" i="120" s="1"/>
  <c r="NX20" i="120" s="1"/>
  <c r="NX21" i="120" s="1"/>
  <c r="NX22" i="120" s="1"/>
  <c r="NX23" i="120" s="1"/>
  <c r="NX24" i="120" s="1"/>
  <c r="NX25" i="120" s="1"/>
  <c r="NX26" i="120" s="1"/>
  <c r="NX27" i="120" s="1"/>
  <c r="NX28" i="120" s="1"/>
  <c r="NX29" i="120" s="1"/>
  <c r="NX30" i="120" s="1"/>
  <c r="NX31" i="120" s="1"/>
  <c r="NX32" i="120" s="1"/>
  <c r="NX33" i="120" s="1"/>
  <c r="NX34" i="120" s="1"/>
  <c r="NX35" i="120" s="1"/>
  <c r="NX36" i="120" s="1"/>
  <c r="NX37" i="120" s="1"/>
  <c r="NX38" i="120" s="1"/>
  <c r="NX39" i="120" s="1"/>
  <c r="NX40" i="120" s="1"/>
  <c r="NX41" i="120" s="1"/>
  <c r="NX42" i="120" s="1"/>
  <c r="NX44" i="120" s="1"/>
  <c r="NW10" i="120"/>
  <c r="NW11" i="120" s="1"/>
  <c r="NW12" i="120" s="1"/>
  <c r="NW13" i="120" s="1"/>
  <c r="NW14" i="120" s="1"/>
  <c r="NW15" i="120" s="1"/>
  <c r="NW16" i="120" s="1"/>
  <c r="NW17" i="120" s="1"/>
  <c r="NW18" i="120" s="1"/>
  <c r="NW19" i="120" s="1"/>
  <c r="NW20" i="120" s="1"/>
  <c r="NW21" i="120" s="1"/>
  <c r="NW22" i="120" s="1"/>
  <c r="NW23" i="120" s="1"/>
  <c r="NW24" i="120" s="1"/>
  <c r="NW25" i="120" s="1"/>
  <c r="NW26" i="120" s="1"/>
  <c r="NW27" i="120" s="1"/>
  <c r="NW28" i="120" s="1"/>
  <c r="NW29" i="120" s="1"/>
  <c r="NW30" i="120" s="1"/>
  <c r="NW31" i="120" s="1"/>
  <c r="NW32" i="120" s="1"/>
  <c r="NW33" i="120" s="1"/>
  <c r="NW34" i="120" s="1"/>
  <c r="NW35" i="120" s="1"/>
  <c r="NW36" i="120" s="1"/>
  <c r="NW37" i="120" s="1"/>
  <c r="NW38" i="120" s="1"/>
  <c r="NW39" i="120" s="1"/>
  <c r="NW40" i="120" s="1"/>
  <c r="NW41" i="120" s="1"/>
  <c r="NW42" i="120" s="1"/>
  <c r="NV10" i="120"/>
  <c r="NV11" i="120" s="1"/>
  <c r="NV12" i="120" s="1"/>
  <c r="NV13" i="120" s="1"/>
  <c r="NV14" i="120" s="1"/>
  <c r="NV15" i="120" s="1"/>
  <c r="NV16" i="120" s="1"/>
  <c r="NV17" i="120" s="1"/>
  <c r="NV18" i="120" s="1"/>
  <c r="NV19" i="120" s="1"/>
  <c r="NV20" i="120" s="1"/>
  <c r="NV21" i="120" s="1"/>
  <c r="NV22" i="120" s="1"/>
  <c r="NV23" i="120" s="1"/>
  <c r="NV24" i="120" s="1"/>
  <c r="NV25" i="120" s="1"/>
  <c r="NV26" i="120" s="1"/>
  <c r="NV27" i="120" s="1"/>
  <c r="NV28" i="120" s="1"/>
  <c r="NV29" i="120" s="1"/>
  <c r="NV30" i="120" s="1"/>
  <c r="NV31" i="120" s="1"/>
  <c r="NV32" i="120" s="1"/>
  <c r="NV33" i="120" s="1"/>
  <c r="NV34" i="120" s="1"/>
  <c r="NV35" i="120" s="1"/>
  <c r="NV36" i="120" s="1"/>
  <c r="NV37" i="120" s="1"/>
  <c r="NV38" i="120" s="1"/>
  <c r="NV39" i="120" s="1"/>
  <c r="NV40" i="120" s="1"/>
  <c r="NV41" i="120" s="1"/>
  <c r="NV42" i="120" s="1"/>
  <c r="NV44" i="120" s="1"/>
  <c r="NU10" i="120"/>
  <c r="NU11" i="120" s="1"/>
  <c r="NU12" i="120" s="1"/>
  <c r="NU13" i="120" s="1"/>
  <c r="NU14" i="120" s="1"/>
  <c r="NU15" i="120" s="1"/>
  <c r="NU16" i="120" s="1"/>
  <c r="NU17" i="120" s="1"/>
  <c r="NU18" i="120" s="1"/>
  <c r="NU19" i="120" s="1"/>
  <c r="NU20" i="120" s="1"/>
  <c r="NU21" i="120" s="1"/>
  <c r="NU22" i="120" s="1"/>
  <c r="NU23" i="120" s="1"/>
  <c r="NU24" i="120" s="1"/>
  <c r="NU25" i="120" s="1"/>
  <c r="NU26" i="120" s="1"/>
  <c r="NU27" i="120" s="1"/>
  <c r="NU28" i="120" s="1"/>
  <c r="NU29" i="120" s="1"/>
  <c r="NU30" i="120" s="1"/>
  <c r="NU31" i="120" s="1"/>
  <c r="NU32" i="120" s="1"/>
  <c r="NU33" i="120" s="1"/>
  <c r="NU34" i="120" s="1"/>
  <c r="NU35" i="120" s="1"/>
  <c r="NU36" i="120" s="1"/>
  <c r="NU37" i="120" s="1"/>
  <c r="NU38" i="120" s="1"/>
  <c r="NU39" i="120" s="1"/>
  <c r="NU40" i="120" s="1"/>
  <c r="NU41" i="120" s="1"/>
  <c r="NU42" i="120" s="1"/>
  <c r="NT10" i="120"/>
  <c r="NN10" i="120"/>
  <c r="NN11" i="120" s="1"/>
  <c r="NN12" i="120" s="1"/>
  <c r="NN13" i="120" s="1"/>
  <c r="NN14" i="120" s="1"/>
  <c r="NN15" i="120" s="1"/>
  <c r="NN16" i="120" s="1"/>
  <c r="NN17" i="120" s="1"/>
  <c r="NN18" i="120" s="1"/>
  <c r="NN19" i="120" s="1"/>
  <c r="NN20" i="120" s="1"/>
  <c r="NN21" i="120" s="1"/>
  <c r="NN22" i="120" s="1"/>
  <c r="NN23" i="120" s="1"/>
  <c r="NN24" i="120" s="1"/>
  <c r="NN25" i="120" s="1"/>
  <c r="NN26" i="120" s="1"/>
  <c r="NN27" i="120" s="1"/>
  <c r="NN28" i="120" s="1"/>
  <c r="NN29" i="120" s="1"/>
  <c r="NN30" i="120" s="1"/>
  <c r="NN31" i="120" s="1"/>
  <c r="NN32" i="120" s="1"/>
  <c r="NN33" i="120" s="1"/>
  <c r="NN34" i="120" s="1"/>
  <c r="NN35" i="120" s="1"/>
  <c r="NM10" i="120"/>
  <c r="NM11" i="120" s="1"/>
  <c r="NM12" i="120" s="1"/>
  <c r="NM13" i="120" s="1"/>
  <c r="NM14" i="120" s="1"/>
  <c r="NM15" i="120" s="1"/>
  <c r="NM16" i="120" s="1"/>
  <c r="NM17" i="120" s="1"/>
  <c r="NM18" i="120" s="1"/>
  <c r="NM19" i="120" s="1"/>
  <c r="NM20" i="120" s="1"/>
  <c r="NM21" i="120" s="1"/>
  <c r="NM22" i="120" s="1"/>
  <c r="NM23" i="120" s="1"/>
  <c r="NM24" i="120" s="1"/>
  <c r="NM25" i="120" s="1"/>
  <c r="NM26" i="120" s="1"/>
  <c r="NM27" i="120" s="1"/>
  <c r="NM28" i="120" s="1"/>
  <c r="NM29" i="120" s="1"/>
  <c r="NM30" i="120" s="1"/>
  <c r="NM31" i="120" s="1"/>
  <c r="NM32" i="120" s="1"/>
  <c r="NM33" i="120" s="1"/>
  <c r="NM34" i="120" s="1"/>
  <c r="NM35" i="120" s="1"/>
  <c r="NL10" i="120"/>
  <c r="NL11" i="120" s="1"/>
  <c r="NL12" i="120" s="1"/>
  <c r="NL13" i="120" s="1"/>
  <c r="NL14" i="120" s="1"/>
  <c r="NL15" i="120" s="1"/>
  <c r="NL16" i="120" s="1"/>
  <c r="NL17" i="120" s="1"/>
  <c r="NL18" i="120" s="1"/>
  <c r="NL19" i="120" s="1"/>
  <c r="NL20" i="120" s="1"/>
  <c r="NL21" i="120" s="1"/>
  <c r="NL22" i="120" s="1"/>
  <c r="NL23" i="120" s="1"/>
  <c r="NL24" i="120" s="1"/>
  <c r="NL25" i="120" s="1"/>
  <c r="NL26" i="120" s="1"/>
  <c r="NL27" i="120" s="1"/>
  <c r="NL28" i="120" s="1"/>
  <c r="NL29" i="120" s="1"/>
  <c r="NL30" i="120" s="1"/>
  <c r="NL31" i="120" s="1"/>
  <c r="NL32" i="120" s="1"/>
  <c r="NL33" i="120" s="1"/>
  <c r="NL34" i="120" s="1"/>
  <c r="NL35" i="120" s="1"/>
  <c r="NK10" i="120"/>
  <c r="NK11" i="120" s="1"/>
  <c r="NK12" i="120" s="1"/>
  <c r="NK13" i="120" s="1"/>
  <c r="NK14" i="120" s="1"/>
  <c r="NK15" i="120" s="1"/>
  <c r="NK16" i="120" s="1"/>
  <c r="NK17" i="120" s="1"/>
  <c r="NK18" i="120" s="1"/>
  <c r="NK19" i="120" s="1"/>
  <c r="NK20" i="120" s="1"/>
  <c r="NK21" i="120" s="1"/>
  <c r="NK22" i="120" s="1"/>
  <c r="NK23" i="120" s="1"/>
  <c r="NK24" i="120" s="1"/>
  <c r="NK25" i="120" s="1"/>
  <c r="NK26" i="120" s="1"/>
  <c r="NK27" i="120" s="1"/>
  <c r="NK28" i="120" s="1"/>
  <c r="NK29" i="120" s="1"/>
  <c r="NK30" i="120" s="1"/>
  <c r="NK31" i="120" s="1"/>
  <c r="NK32" i="120" s="1"/>
  <c r="NK33" i="120" s="1"/>
  <c r="NK34" i="120" s="1"/>
  <c r="NK35" i="120" s="1"/>
  <c r="NJ10" i="120"/>
  <c r="NJ11" i="120" s="1"/>
  <c r="NJ12" i="120" s="1"/>
  <c r="NJ13" i="120" s="1"/>
  <c r="NJ14" i="120" s="1"/>
  <c r="NJ15" i="120" s="1"/>
  <c r="NJ16" i="120" s="1"/>
  <c r="NJ17" i="120" s="1"/>
  <c r="NJ18" i="120" s="1"/>
  <c r="NJ19" i="120" s="1"/>
  <c r="NJ20" i="120" s="1"/>
  <c r="NJ21" i="120" s="1"/>
  <c r="NJ22" i="120" s="1"/>
  <c r="NJ23" i="120" s="1"/>
  <c r="NJ24" i="120" s="1"/>
  <c r="NJ25" i="120" s="1"/>
  <c r="NJ26" i="120" s="1"/>
  <c r="NJ27" i="120" s="1"/>
  <c r="NJ28" i="120" s="1"/>
  <c r="NJ29" i="120" s="1"/>
  <c r="NI10" i="120"/>
  <c r="NI11" i="120" s="1"/>
  <c r="NI12" i="120" s="1"/>
  <c r="NI13" i="120" s="1"/>
  <c r="NI14" i="120" s="1"/>
  <c r="NI15" i="120" s="1"/>
  <c r="NI16" i="120" s="1"/>
  <c r="NI17" i="120" s="1"/>
  <c r="NI18" i="120" s="1"/>
  <c r="NI19" i="120" s="1"/>
  <c r="NI20" i="120" s="1"/>
  <c r="NI21" i="120" s="1"/>
  <c r="NI22" i="120" s="1"/>
  <c r="NI23" i="120" s="1"/>
  <c r="NI24" i="120" s="1"/>
  <c r="NI25" i="120" s="1"/>
  <c r="NI26" i="120" s="1"/>
  <c r="NI27" i="120" s="1"/>
  <c r="NI28" i="120" s="1"/>
  <c r="NI29" i="120" s="1"/>
  <c r="NI30" i="120" s="1"/>
  <c r="NI31" i="120" s="1"/>
  <c r="NI32" i="120" s="1"/>
  <c r="NI33" i="120" s="1"/>
  <c r="NI34" i="120" s="1"/>
  <c r="NI35" i="120" s="1"/>
  <c r="NH10" i="120"/>
  <c r="NH11" i="120" s="1"/>
  <c r="NH12" i="120" s="1"/>
  <c r="NH13" i="120" s="1"/>
  <c r="NH14" i="120" s="1"/>
  <c r="NH15" i="120" s="1"/>
  <c r="NH16" i="120" s="1"/>
  <c r="NH17" i="120" s="1"/>
  <c r="NH18" i="120" s="1"/>
  <c r="NH19" i="120" s="1"/>
  <c r="NH20" i="120" s="1"/>
  <c r="NH21" i="120" s="1"/>
  <c r="NH22" i="120" s="1"/>
  <c r="NH23" i="120" s="1"/>
  <c r="NH24" i="120" s="1"/>
  <c r="NH25" i="120" s="1"/>
  <c r="NH26" i="120" s="1"/>
  <c r="NH27" i="120" s="1"/>
  <c r="NH28" i="120" s="1"/>
  <c r="NH29" i="120" s="1"/>
  <c r="NH30" i="120" s="1"/>
  <c r="NH31" i="120" s="1"/>
  <c r="NH32" i="120" s="1"/>
  <c r="NH33" i="120" s="1"/>
  <c r="NH34" i="120" s="1"/>
  <c r="NH35" i="120" s="1"/>
  <c r="NG10" i="120"/>
  <c r="NG11" i="120" s="1"/>
  <c r="NE10" i="120"/>
  <c r="NE11" i="120" s="1"/>
  <c r="NE12" i="120" s="1"/>
  <c r="NE13" i="120" s="1"/>
  <c r="NE14" i="120" s="1"/>
  <c r="NE15" i="120" s="1"/>
  <c r="NE16" i="120" s="1"/>
  <c r="NE17" i="120" s="1"/>
  <c r="NE18" i="120" s="1"/>
  <c r="MU10" i="120"/>
  <c r="MC10" i="120"/>
  <c r="LW10" i="120"/>
  <c r="LI10" i="120"/>
  <c r="RL10" i="120" s="1"/>
  <c r="LH10" i="120"/>
  <c r="U33" i="118" s="1"/>
  <c r="LG10" i="120"/>
  <c r="T33" i="118" s="1"/>
  <c r="V33" i="118" s="1"/>
  <c r="HV10" i="120" a="1"/>
  <c r="HV10" i="120" s="1"/>
  <c r="HT10" i="120" a="1"/>
  <c r="HT10" i="120" s="1"/>
  <c r="GH10" i="120"/>
  <c r="FD10" i="120" s="1"/>
  <c r="FU10" i="120"/>
  <c r="FC10" i="120" s="1"/>
  <c r="FN10" i="120"/>
  <c r="EY10" i="120"/>
  <c r="ER10" i="120"/>
  <c r="DB10" i="120"/>
  <c r="DC10" i="120"/>
  <c r="DA10" i="120"/>
  <c r="CY10" i="120"/>
  <c r="CW10" i="120"/>
  <c r="CV10" i="120"/>
  <c r="CU10" i="120"/>
  <c r="CT10" i="120"/>
  <c r="CS10" i="120"/>
  <c r="CR10" i="120"/>
  <c r="CG10" i="120"/>
  <c r="CD10" i="120"/>
  <c r="CA10" i="120"/>
  <c r="BX10" i="120"/>
  <c r="BU10" i="120"/>
  <c r="BR10" i="120"/>
  <c r="BK10" i="120"/>
  <c r="BH10" i="120"/>
  <c r="BB10" i="120"/>
  <c r="AV10" i="120"/>
  <c r="AS10" i="120"/>
  <c r="AP10" i="120"/>
  <c r="AK10" i="120"/>
  <c r="AG10" i="120"/>
  <c r="AB10" i="120"/>
  <c r="AA10" i="120"/>
  <c r="X10" i="120"/>
  <c r="W10" i="120"/>
  <c r="S10" i="120"/>
  <c r="O10" i="120"/>
  <c r="RM9" i="120"/>
  <c r="QI9" i="120"/>
  <c r="QH9" i="120"/>
  <c r="QG9" i="120"/>
  <c r="QG10" i="120" s="1"/>
  <c r="QG11" i="120" s="1"/>
  <c r="PG9" i="120"/>
  <c r="PG8" i="120"/>
  <c r="OS8" i="120"/>
  <c r="OF8" i="120"/>
  <c r="NS8" i="120"/>
  <c r="KE6" i="120"/>
  <c r="JW6" i="120"/>
  <c r="JO6" i="120"/>
  <c r="CF3" i="120"/>
  <c r="CE3" i="120"/>
  <c r="CC3" i="120"/>
  <c r="CJ1" i="120"/>
  <c r="EN41" i="116"/>
  <c r="B78" i="98"/>
  <c r="V102" i="106"/>
  <c r="AK26" i="127" l="1"/>
  <c r="AL25" i="127"/>
  <c r="NE44" i="122"/>
  <c r="NF9" i="124"/>
  <c r="NF10" i="124" s="1"/>
  <c r="NF11" i="124" s="1"/>
  <c r="NF12" i="124" s="1"/>
  <c r="NF13" i="124" s="1"/>
  <c r="NF14" i="124" s="1"/>
  <c r="NF15" i="124" s="1"/>
  <c r="NF16" i="124" s="1"/>
  <c r="NF17" i="124" s="1"/>
  <c r="NF18" i="124" s="1"/>
  <c r="NF19" i="124" s="1"/>
  <c r="NF20" i="124" s="1"/>
  <c r="NF21" i="124" s="1"/>
  <c r="NF22" i="124" s="1"/>
  <c r="NF23" i="124" s="1"/>
  <c r="NF24" i="124" s="1"/>
  <c r="NF25" i="124" s="1"/>
  <c r="NF26" i="124" s="1"/>
  <c r="NF27" i="124" s="1"/>
  <c r="NF28" i="124" s="1"/>
  <c r="NF29" i="124" s="1"/>
  <c r="NF30" i="124" s="1"/>
  <c r="NF31" i="124" s="1"/>
  <c r="NF32" i="124" s="1"/>
  <c r="NF33" i="124" s="1"/>
  <c r="NF34" i="124" s="1"/>
  <c r="NF35" i="124" s="1"/>
  <c r="NF36" i="124" s="1"/>
  <c r="NF37" i="124" s="1"/>
  <c r="NF38" i="124" s="1"/>
  <c r="NF39" i="124" s="1"/>
  <c r="NF40" i="124" s="1"/>
  <c r="NF41" i="124" s="1"/>
  <c r="NF42" i="124" s="1"/>
  <c r="NF44" i="124" s="1"/>
  <c r="OC9" i="122"/>
  <c r="OD9" i="124"/>
  <c r="V34" i="118"/>
  <c r="V37" i="118"/>
  <c r="V62" i="118"/>
  <c r="V50" i="118"/>
  <c r="V42" i="118"/>
  <c r="AC24" i="120"/>
  <c r="O173" i="120"/>
  <c r="O173" i="122"/>
  <c r="P173" i="120"/>
  <c r="P173" i="122"/>
  <c r="O53" i="118"/>
  <c r="NQ44" i="120"/>
  <c r="NQ9" i="122"/>
  <c r="OG24" i="122"/>
  <c r="NG26" i="122"/>
  <c r="RJ32" i="122"/>
  <c r="RM31" i="122"/>
  <c r="MZ23" i="122"/>
  <c r="PA26" i="122"/>
  <c r="PG25" i="122"/>
  <c r="NT24" i="122"/>
  <c r="V41" i="118"/>
  <c r="V53" i="118"/>
  <c r="V38" i="118"/>
  <c r="V60" i="118"/>
  <c r="V63" i="118"/>
  <c r="V51" i="118"/>
  <c r="V56" i="118"/>
  <c r="V46" i="118"/>
  <c r="V47" i="118"/>
  <c r="O60" i="118"/>
  <c r="O43" i="118"/>
  <c r="V44" i="118"/>
  <c r="V59" i="118"/>
  <c r="V39" i="118"/>
  <c r="V45" i="118"/>
  <c r="NP11" i="120"/>
  <c r="R33" i="118"/>
  <c r="V35" i="118"/>
  <c r="AC28" i="120"/>
  <c r="V57" i="118"/>
  <c r="V36" i="118"/>
  <c r="AC29" i="120"/>
  <c r="V61" i="118"/>
  <c r="O42" i="118"/>
  <c r="V48" i="118"/>
  <c r="V58" i="118"/>
  <c r="V54" i="118"/>
  <c r="V49" i="118"/>
  <c r="O51" i="118"/>
  <c r="O45" i="118"/>
  <c r="O62" i="118"/>
  <c r="O40" i="118"/>
  <c r="O57" i="118"/>
  <c r="L45" i="118"/>
  <c r="L33" i="118"/>
  <c r="L59" i="118"/>
  <c r="L48" i="118"/>
  <c r="L37" i="118"/>
  <c r="L44" i="118"/>
  <c r="L60" i="118"/>
  <c r="O52" i="118"/>
  <c r="O41" i="118"/>
  <c r="O46" i="118"/>
  <c r="O56" i="118"/>
  <c r="V55" i="118"/>
  <c r="L42" i="118"/>
  <c r="L62" i="118"/>
  <c r="L51" i="118"/>
  <c r="L43" i="118"/>
  <c r="L58" i="118"/>
  <c r="L55" i="118"/>
  <c r="L63" i="118"/>
  <c r="L36" i="118"/>
  <c r="L40" i="118"/>
  <c r="L57" i="118"/>
  <c r="O44" i="118"/>
  <c r="L52" i="118"/>
  <c r="L56" i="118"/>
  <c r="L53" i="118"/>
  <c r="L41" i="118"/>
  <c r="L61" i="118"/>
  <c r="L49" i="118"/>
  <c r="L38" i="118"/>
  <c r="L34" i="118"/>
  <c r="L54" i="118"/>
  <c r="L46" i="118"/>
  <c r="L50" i="118"/>
  <c r="L35" i="118"/>
  <c r="L39" i="118"/>
  <c r="L47" i="118"/>
  <c r="O61" i="118"/>
  <c r="O49" i="118"/>
  <c r="O39" i="118"/>
  <c r="O59" i="118"/>
  <c r="O47" i="118"/>
  <c r="O48" i="118"/>
  <c r="O55" i="118"/>
  <c r="O58" i="118"/>
  <c r="O54" i="118"/>
  <c r="O63" i="118"/>
  <c r="AC16" i="120"/>
  <c r="AC14" i="120"/>
  <c r="LJ21" i="120"/>
  <c r="Y38" i="120"/>
  <c r="Y23" i="120"/>
  <c r="Y31" i="120"/>
  <c r="G6" i="121"/>
  <c r="AC33" i="120"/>
  <c r="Y19" i="120"/>
  <c r="Y30" i="120"/>
  <c r="Q19" i="121"/>
  <c r="Q20" i="121"/>
  <c r="R20" i="121" s="1"/>
  <c r="Y29" i="120"/>
  <c r="LJ34" i="120"/>
  <c r="BU44" i="120"/>
  <c r="BK44" i="121"/>
  <c r="BK46" i="121" s="1"/>
  <c r="BK47" i="121" s="1"/>
  <c r="AC28" i="95"/>
  <c r="AC34" i="120"/>
  <c r="Y16" i="120"/>
  <c r="Y21" i="120"/>
  <c r="LJ27" i="120"/>
  <c r="LJ39" i="120"/>
  <c r="D50" i="121"/>
  <c r="FE40" i="120"/>
  <c r="AC38" i="120"/>
  <c r="BK44" i="120"/>
  <c r="FE19" i="120"/>
  <c r="AC12" i="120"/>
  <c r="Y32" i="120"/>
  <c r="AK41" i="120"/>
  <c r="AC17" i="120"/>
  <c r="AC27" i="120"/>
  <c r="LJ18" i="120"/>
  <c r="FE30" i="120"/>
  <c r="AC32" i="120"/>
  <c r="C33" i="120"/>
  <c r="Y40" i="120"/>
  <c r="LJ40" i="120"/>
  <c r="CN44" i="120"/>
  <c r="C39" i="120"/>
  <c r="U43" i="120"/>
  <c r="FE39" i="120"/>
  <c r="FE31" i="120"/>
  <c r="AP41" i="120"/>
  <c r="AP42" i="120" s="1"/>
  <c r="AP44" i="120" s="1"/>
  <c r="AC35" i="120"/>
  <c r="Y36" i="120"/>
  <c r="FE37" i="120"/>
  <c r="AS12" i="121"/>
  <c r="AS13" i="121" s="1"/>
  <c r="AS14" i="121" s="1"/>
  <c r="AS15" i="121" s="1"/>
  <c r="AS16" i="121" s="1"/>
  <c r="AS17" i="121" s="1"/>
  <c r="AS18" i="121" s="1"/>
  <c r="AS19" i="121" s="1"/>
  <c r="AS20" i="121" s="1"/>
  <c r="AS21" i="121" s="1"/>
  <c r="AS22" i="121" s="1"/>
  <c r="AS23" i="121" s="1"/>
  <c r="AS24" i="121" s="1"/>
  <c r="AS25" i="121" s="1"/>
  <c r="AS26" i="121" s="1"/>
  <c r="AS27" i="121" s="1"/>
  <c r="AS28" i="121" s="1"/>
  <c r="AS29" i="121" s="1"/>
  <c r="BS44" i="120"/>
  <c r="C23" i="120"/>
  <c r="AG41" i="120"/>
  <c r="BR44" i="120"/>
  <c r="Q43" i="120"/>
  <c r="LJ14" i="120"/>
  <c r="LJ15" i="120"/>
  <c r="AC19" i="120"/>
  <c r="AC20" i="120"/>
  <c r="FE22" i="120"/>
  <c r="FE38" i="120"/>
  <c r="FE14" i="120"/>
  <c r="FE34" i="120"/>
  <c r="CR41" i="120"/>
  <c r="CR42" i="120" s="1"/>
  <c r="CR44" i="120" s="1"/>
  <c r="C26" i="120"/>
  <c r="LJ29" i="120"/>
  <c r="Y18" i="120"/>
  <c r="CV41" i="120"/>
  <c r="CV42" i="120" s="1"/>
  <c r="CV44" i="120" s="1"/>
  <c r="MU41" i="120"/>
  <c r="MU42" i="120" s="1"/>
  <c r="MU44" i="120" s="1"/>
  <c r="C15" i="120"/>
  <c r="FE16" i="120"/>
  <c r="AC18" i="120"/>
  <c r="FE20" i="120"/>
  <c r="AC26" i="120"/>
  <c r="LJ12" i="120"/>
  <c r="LJ19" i="120"/>
  <c r="LJ23" i="120"/>
  <c r="CT41" i="120"/>
  <c r="CT42" i="120" s="1"/>
  <c r="CT44" i="120" s="1"/>
  <c r="FE28" i="120"/>
  <c r="C43" i="120"/>
  <c r="FE36" i="120"/>
  <c r="AC30" i="120"/>
  <c r="AC36" i="120"/>
  <c r="AV41" i="120"/>
  <c r="AV42" i="120" s="1"/>
  <c r="AV44" i="120" s="1"/>
  <c r="D43" i="120"/>
  <c r="LJ20" i="120"/>
  <c r="LJ16" i="120"/>
  <c r="AC23" i="120"/>
  <c r="LJ24" i="120"/>
  <c r="C34" i="120"/>
  <c r="AC15" i="120"/>
  <c r="EY41" i="120"/>
  <c r="EY42" i="120" s="1"/>
  <c r="EY44" i="120" s="1"/>
  <c r="Y20" i="120"/>
  <c r="BX44" i="120"/>
  <c r="FE27" i="120"/>
  <c r="CA42" i="120"/>
  <c r="CA44" i="120" s="1"/>
  <c r="FE32" i="120"/>
  <c r="CA41" i="120"/>
  <c r="FE15" i="120"/>
  <c r="LJ28" i="120"/>
  <c r="FE29" i="120"/>
  <c r="AC37" i="120"/>
  <c r="Y43" i="120"/>
  <c r="FN41" i="120"/>
  <c r="FN42" i="120" s="1"/>
  <c r="FN44" i="120" s="1"/>
  <c r="FE18" i="120"/>
  <c r="C17" i="120"/>
  <c r="LJ17" i="120"/>
  <c r="LJ25" i="120"/>
  <c r="AC11" i="120"/>
  <c r="AC21" i="120"/>
  <c r="Y25" i="120"/>
  <c r="C35" i="120"/>
  <c r="AZ127" i="2"/>
  <c r="Y22" i="120"/>
  <c r="FE23" i="120"/>
  <c r="AC25" i="120"/>
  <c r="LJ32" i="120"/>
  <c r="CG41" i="120"/>
  <c r="CG42" i="120" s="1"/>
  <c r="CG44" i="120" s="1"/>
  <c r="AZ130" i="2"/>
  <c r="Y14" i="120"/>
  <c r="CR40" i="121"/>
  <c r="CR36" i="121"/>
  <c r="CR42" i="121"/>
  <c r="CR27" i="121"/>
  <c r="Y12" i="120"/>
  <c r="Y13" i="120"/>
  <c r="C12" i="120"/>
  <c r="Q15" i="121"/>
  <c r="D15" i="121" s="1"/>
  <c r="CN15" i="121" s="1"/>
  <c r="Q34" i="121"/>
  <c r="R34" i="121" s="1"/>
  <c r="S34" i="121" s="1"/>
  <c r="E34" i="121" s="1"/>
  <c r="Y10" i="120"/>
  <c r="FD41" i="120"/>
  <c r="FD42" i="120" s="1"/>
  <c r="FD44" i="120" s="1"/>
  <c r="FE13" i="120"/>
  <c r="IB17" i="120"/>
  <c r="IB10" i="120"/>
  <c r="Q28" i="121"/>
  <c r="D28" i="121" s="1"/>
  <c r="CN28" i="121" s="1"/>
  <c r="Q41" i="121"/>
  <c r="R41" i="121" s="1"/>
  <c r="S41" i="121" s="1"/>
  <c r="E41" i="121" s="1"/>
  <c r="Q21" i="121"/>
  <c r="R21" i="121" s="1"/>
  <c r="S21" i="121" s="1"/>
  <c r="E21" i="121" s="1"/>
  <c r="AZ135" i="2"/>
  <c r="AZ133" i="2"/>
  <c r="AZ128" i="2"/>
  <c r="AZ129" i="2"/>
  <c r="AZ131" i="2"/>
  <c r="AZ134" i="2"/>
  <c r="RP16" i="120"/>
  <c r="EE29" i="120"/>
  <c r="CZ35" i="120"/>
  <c r="DD35" i="120" s="1"/>
  <c r="EE14" i="120"/>
  <c r="RP38" i="120"/>
  <c r="DR12" i="120"/>
  <c r="EE15" i="120"/>
  <c r="Q38" i="121"/>
  <c r="D38" i="121" s="1"/>
  <c r="CN38" i="121" s="1"/>
  <c r="Q40" i="121"/>
  <c r="R40" i="121" s="1"/>
  <c r="S40" i="121" s="1"/>
  <c r="E40" i="121" s="1"/>
  <c r="Q29" i="121"/>
  <c r="D29" i="121" s="1"/>
  <c r="CN29" i="121" s="1"/>
  <c r="Q24" i="121"/>
  <c r="R24" i="121" s="1"/>
  <c r="S24" i="121" s="1"/>
  <c r="E24" i="121" s="1"/>
  <c r="Q18" i="121"/>
  <c r="R18" i="121" s="1"/>
  <c r="S18" i="121" s="1"/>
  <c r="E18" i="121" s="1"/>
  <c r="Q22" i="121"/>
  <c r="R22" i="121" s="1"/>
  <c r="S22" i="121" s="1"/>
  <c r="E22" i="121" s="1"/>
  <c r="Q25" i="121"/>
  <c r="D25" i="121" s="1"/>
  <c r="CN25" i="121" s="1"/>
  <c r="Q14" i="121"/>
  <c r="D14" i="121" s="1"/>
  <c r="CN14" i="121" s="1"/>
  <c r="Q27" i="121"/>
  <c r="D27" i="121" s="1"/>
  <c r="CN27" i="121" s="1"/>
  <c r="Q37" i="121"/>
  <c r="D37" i="121" s="1"/>
  <c r="CN37" i="121" s="1"/>
  <c r="CR24" i="121"/>
  <c r="CR13" i="121"/>
  <c r="CR33" i="121"/>
  <c r="CR15" i="121"/>
  <c r="CR31" i="121"/>
  <c r="MC41" i="120"/>
  <c r="MC42" i="120" s="1"/>
  <c r="MC44" i="120" s="1"/>
  <c r="RL20" i="120"/>
  <c r="RL21" i="120" s="1"/>
  <c r="RL22" i="120" s="1"/>
  <c r="RL23" i="120" s="1"/>
  <c r="RL24" i="120" s="1"/>
  <c r="RL25" i="120" s="1"/>
  <c r="RL26" i="120" s="1"/>
  <c r="RL27" i="120" s="1"/>
  <c r="RL28" i="120" s="1"/>
  <c r="RL29" i="120" s="1"/>
  <c r="RL30" i="120" s="1"/>
  <c r="RL31" i="120" s="1"/>
  <c r="RL32" i="120" s="1"/>
  <c r="RL33" i="120" s="1"/>
  <c r="RL34" i="120" s="1"/>
  <c r="RL35" i="120" s="1"/>
  <c r="RL36" i="120" s="1"/>
  <c r="RL37" i="120" s="1"/>
  <c r="RL38" i="120" s="1"/>
  <c r="RL39" i="120" s="1"/>
  <c r="RL40" i="120" s="1"/>
  <c r="LJ22" i="120"/>
  <c r="RL11" i="120"/>
  <c r="RL12" i="120" s="1"/>
  <c r="RL13" i="120" s="1"/>
  <c r="RL14" i="120" s="1"/>
  <c r="RL15" i="120" s="1"/>
  <c r="RL16" i="120" s="1"/>
  <c r="RL17" i="120" s="1"/>
  <c r="LJ30" i="120"/>
  <c r="LW41" i="120"/>
  <c r="LW42" i="120" s="1"/>
  <c r="LW44" i="120" s="1"/>
  <c r="LJ11" i="120"/>
  <c r="IB32" i="120"/>
  <c r="JF25" i="120"/>
  <c r="GM25" i="120" s="1"/>
  <c r="JF36" i="120"/>
  <c r="GM36" i="120" s="1"/>
  <c r="RP27" i="120"/>
  <c r="CZ15" i="120"/>
  <c r="CZ36" i="120"/>
  <c r="DD36" i="120" s="1"/>
  <c r="RP23" i="120"/>
  <c r="DR17" i="120"/>
  <c r="CZ28" i="120"/>
  <c r="DD28" i="120" s="1"/>
  <c r="BO23" i="120"/>
  <c r="T23" i="120"/>
  <c r="U23" i="120" s="1"/>
  <c r="P25" i="120"/>
  <c r="Q25" i="120" s="1"/>
  <c r="RP30" i="120"/>
  <c r="EE12" i="120"/>
  <c r="P17" i="120"/>
  <c r="Q17" i="120" s="1"/>
  <c r="CZ16" i="120"/>
  <c r="EE26" i="120"/>
  <c r="CZ34" i="120"/>
  <c r="DD34" i="120" s="1"/>
  <c r="RP15" i="120"/>
  <c r="DR33" i="120"/>
  <c r="EE13" i="120"/>
  <c r="PY31" i="120"/>
  <c r="RP26" i="120"/>
  <c r="EE30" i="120"/>
  <c r="CZ20" i="120"/>
  <c r="RP14" i="120"/>
  <c r="EE28" i="120"/>
  <c r="PY34" i="120"/>
  <c r="RP37" i="120"/>
  <c r="CZ39" i="120"/>
  <c r="CZ25" i="120"/>
  <c r="T22" i="120"/>
  <c r="U22" i="120" s="1"/>
  <c r="CZ29" i="120"/>
  <c r="IB33" i="120"/>
  <c r="JF26" i="120"/>
  <c r="GM26" i="120" s="1"/>
  <c r="IB12" i="120"/>
  <c r="IB24" i="120"/>
  <c r="IB37" i="120"/>
  <c r="JF24" i="120"/>
  <c r="GM24" i="120" s="1"/>
  <c r="IB16" i="120"/>
  <c r="IQ33" i="120"/>
  <c r="GL33" i="120" s="1"/>
  <c r="JF30" i="120"/>
  <c r="GM30" i="120" s="1"/>
  <c r="JF21" i="120"/>
  <c r="GM21" i="120" s="1"/>
  <c r="JF11" i="120"/>
  <c r="GM11" i="120" s="1"/>
  <c r="HM28" i="120"/>
  <c r="GK28" i="120" s="1"/>
  <c r="GW21" i="120"/>
  <c r="RX21" i="120" s="1"/>
  <c r="JF34" i="120"/>
  <c r="GM34" i="120" s="1"/>
  <c r="HM36" i="120"/>
  <c r="GK36" i="120" s="1"/>
  <c r="IQ16" i="120"/>
  <c r="GL16" i="120" s="1"/>
  <c r="HM24" i="120"/>
  <c r="GK24" i="120" s="1"/>
  <c r="IQ27" i="120"/>
  <c r="GL27" i="120" s="1"/>
  <c r="IQ11" i="120"/>
  <c r="GL11" i="120" s="1"/>
  <c r="IB40" i="120"/>
  <c r="HM14" i="120"/>
  <c r="GK14" i="120" s="1"/>
  <c r="IB20" i="120"/>
  <c r="JF27" i="120"/>
  <c r="GM27" i="120" s="1"/>
  <c r="GW16" i="120"/>
  <c r="RX16" i="120" s="1"/>
  <c r="IB18" i="120"/>
  <c r="JF35" i="120"/>
  <c r="GM35" i="120" s="1"/>
  <c r="IQ37" i="120"/>
  <c r="GL37" i="120" s="1"/>
  <c r="IB31" i="120"/>
  <c r="HM12" i="120"/>
  <c r="GK12" i="120" s="1"/>
  <c r="GW24" i="120"/>
  <c r="RX24" i="120" s="1"/>
  <c r="GW20" i="120"/>
  <c r="RX20" i="120" s="1"/>
  <c r="IB19" i="120"/>
  <c r="JL40" i="120"/>
  <c r="QR40" i="120" s="1"/>
  <c r="QN40" i="120"/>
  <c r="IB28" i="120"/>
  <c r="HM29" i="120"/>
  <c r="GK29" i="120" s="1"/>
  <c r="JL38" i="120"/>
  <c r="QR38" i="120" s="1"/>
  <c r="GW12" i="120"/>
  <c r="RX12" i="120" s="1"/>
  <c r="NC19" i="120"/>
  <c r="IQ15" i="120"/>
  <c r="GL15" i="120" s="1"/>
  <c r="IB23" i="120"/>
  <c r="HM27" i="120"/>
  <c r="GK27" i="120" s="1"/>
  <c r="IQ35" i="120"/>
  <c r="GL35" i="120" s="1"/>
  <c r="KS41" i="120"/>
  <c r="KS42" i="120" s="1"/>
  <c r="KS44" i="120" s="1"/>
  <c r="HM38" i="120"/>
  <c r="GK38" i="120" s="1"/>
  <c r="IB13" i="120"/>
  <c r="GW35" i="120"/>
  <c r="RX35" i="120" s="1"/>
  <c r="GW17" i="120"/>
  <c r="RX17" i="120" s="1"/>
  <c r="IQ25" i="120"/>
  <c r="GL25" i="120" s="1"/>
  <c r="IB30" i="120"/>
  <c r="IB38" i="120"/>
  <c r="JF17" i="120"/>
  <c r="GM17" i="120" s="1"/>
  <c r="HM26" i="120"/>
  <c r="GK26" i="120" s="1"/>
  <c r="IB27" i="120"/>
  <c r="IQ38" i="120"/>
  <c r="GL38" i="120" s="1"/>
  <c r="HM15" i="120"/>
  <c r="GK15" i="120" s="1"/>
  <c r="KW41" i="120"/>
  <c r="KW42" i="120" s="1"/>
  <c r="KW44" i="120" s="1"/>
  <c r="HM11" i="120"/>
  <c r="GK11" i="120" s="1"/>
  <c r="HM21" i="120"/>
  <c r="GK21" i="120" s="1"/>
  <c r="IB22" i="120"/>
  <c r="IQ29" i="120"/>
  <c r="GL29" i="120" s="1"/>
  <c r="IB34" i="120"/>
  <c r="IQ40" i="120"/>
  <c r="GL40" i="120" s="1"/>
  <c r="JF31" i="120"/>
  <c r="GM31" i="120" s="1"/>
  <c r="GW25" i="120"/>
  <c r="RX25" i="120" s="1"/>
  <c r="IB25" i="120"/>
  <c r="GW37" i="120"/>
  <c r="RX37" i="120" s="1"/>
  <c r="IB26" i="120"/>
  <c r="IQ32" i="120"/>
  <c r="GL32" i="120" s="1"/>
  <c r="IB35" i="120"/>
  <c r="GW30" i="120"/>
  <c r="RX30" i="120" s="1"/>
  <c r="JF38" i="120"/>
  <c r="GM38" i="120" s="1"/>
  <c r="HM20" i="120"/>
  <c r="GK20" i="120" s="1"/>
  <c r="GW39" i="120"/>
  <c r="RX39" i="120" s="1"/>
  <c r="GW27" i="120"/>
  <c r="RX27" i="120" s="1"/>
  <c r="HM18" i="120"/>
  <c r="GK18" i="120" s="1"/>
  <c r="GT41" i="120"/>
  <c r="GT42" i="120" s="1"/>
  <c r="JL16" i="120"/>
  <c r="QR16" i="120" s="1"/>
  <c r="GW18" i="120"/>
  <c r="RX18" i="120" s="1"/>
  <c r="IQ31" i="120"/>
  <c r="GL31" i="120" s="1"/>
  <c r="IZ41" i="120"/>
  <c r="IZ42" i="120" s="1"/>
  <c r="JF22" i="120"/>
  <c r="GM22" i="120" s="1"/>
  <c r="GW28" i="120"/>
  <c r="RX28" i="120" s="1"/>
  <c r="JB41" i="120"/>
  <c r="JB42" i="120" s="1"/>
  <c r="JF15" i="120"/>
  <c r="GM15" i="120" s="1"/>
  <c r="GW22" i="120"/>
  <c r="RX22" i="120" s="1"/>
  <c r="IK41" i="120"/>
  <c r="IK42" i="120" s="1"/>
  <c r="KV41" i="120"/>
  <c r="KV42" i="120" s="1"/>
  <c r="JF14" i="120"/>
  <c r="GM14" i="120" s="1"/>
  <c r="OD10" i="120"/>
  <c r="OD11" i="120" s="1"/>
  <c r="OD12" i="120" s="1"/>
  <c r="OD13" i="120" s="1"/>
  <c r="OD14" i="120" s="1"/>
  <c r="OD15" i="120" s="1"/>
  <c r="OD16" i="120" s="1"/>
  <c r="OD17" i="120" s="1"/>
  <c r="OD18" i="120" s="1"/>
  <c r="OD19" i="120" s="1"/>
  <c r="OD20" i="120" s="1"/>
  <c r="KR41" i="120"/>
  <c r="KR42" i="120" s="1"/>
  <c r="KR44" i="120" s="1"/>
  <c r="GW15" i="120"/>
  <c r="RX15" i="120" s="1"/>
  <c r="DR19" i="120"/>
  <c r="CX19" i="120"/>
  <c r="BO33" i="120"/>
  <c r="T33" i="120"/>
  <c r="U33" i="120" s="1"/>
  <c r="CX20" i="120"/>
  <c r="DR20" i="120"/>
  <c r="T21" i="120"/>
  <c r="U21" i="120" s="1"/>
  <c r="BO21" i="120"/>
  <c r="BO31" i="120"/>
  <c r="T31" i="120"/>
  <c r="U31" i="120" s="1"/>
  <c r="PY22" i="120"/>
  <c r="CZ14" i="120"/>
  <c r="CZ21" i="120"/>
  <c r="RP13" i="120"/>
  <c r="DR37" i="120"/>
  <c r="PY36" i="120"/>
  <c r="CX17" i="120"/>
  <c r="RP20" i="120"/>
  <c r="CZ23" i="120"/>
  <c r="P34" i="120"/>
  <c r="D34" i="120" s="1"/>
  <c r="DR16" i="120"/>
  <c r="DR25" i="120"/>
  <c r="PY25" i="120"/>
  <c r="PY29" i="120"/>
  <c r="PY33" i="120"/>
  <c r="EE37" i="120"/>
  <c r="PY40" i="120"/>
  <c r="T14" i="120"/>
  <c r="U14" i="120" s="1"/>
  <c r="RP12" i="120"/>
  <c r="EE18" i="120"/>
  <c r="EE16" i="120"/>
  <c r="EE17" i="120"/>
  <c r="EE27" i="120"/>
  <c r="CZ31" i="120"/>
  <c r="DD31" i="120" s="1"/>
  <c r="U36" i="120"/>
  <c r="P27" i="120"/>
  <c r="Q27" i="120" s="1"/>
  <c r="PY17" i="120"/>
  <c r="CZ30" i="120"/>
  <c r="DD30" i="120" s="1"/>
  <c r="EE32" i="120"/>
  <c r="CZ33" i="120"/>
  <c r="CZ40" i="120"/>
  <c r="P12" i="120"/>
  <c r="Q12" i="120" s="1"/>
  <c r="T16" i="120"/>
  <c r="U16" i="120" s="1"/>
  <c r="RP28" i="120"/>
  <c r="DR24" i="120"/>
  <c r="DR14" i="120"/>
  <c r="T39" i="120"/>
  <c r="U39" i="120" s="1"/>
  <c r="PW41" i="120"/>
  <c r="PW42" i="120" s="1"/>
  <c r="CZ22" i="120"/>
  <c r="EE24" i="120"/>
  <c r="EE34" i="120"/>
  <c r="BW44" i="120"/>
  <c r="X41" i="120"/>
  <c r="AZ115" i="2" s="1"/>
  <c r="Y39" i="120"/>
  <c r="U17" i="120"/>
  <c r="U26" i="120"/>
  <c r="U34" i="120"/>
  <c r="Y17" i="120"/>
  <c r="Y33" i="120"/>
  <c r="C20" i="120"/>
  <c r="C22" i="120"/>
  <c r="Y26" i="120"/>
  <c r="Y15" i="120"/>
  <c r="Y24" i="120"/>
  <c r="Y34" i="120"/>
  <c r="C16" i="120"/>
  <c r="C37" i="120"/>
  <c r="BL48" i="120"/>
  <c r="C36" i="120"/>
  <c r="C13" i="120"/>
  <c r="O41" i="120"/>
  <c r="C11" i="120"/>
  <c r="C29" i="120"/>
  <c r="C18" i="120"/>
  <c r="C24" i="120"/>
  <c r="C32" i="120"/>
  <c r="AW44" i="120"/>
  <c r="C27" i="120"/>
  <c r="C21" i="120"/>
  <c r="CR19" i="121"/>
  <c r="Q36" i="121"/>
  <c r="CR39" i="121"/>
  <c r="Q13" i="121"/>
  <c r="Q16" i="121"/>
  <c r="AQ43" i="121"/>
  <c r="AQ44" i="121" s="1"/>
  <c r="CR16" i="121"/>
  <c r="CR37" i="121"/>
  <c r="CR38" i="121"/>
  <c r="CR32" i="121"/>
  <c r="CR18" i="121"/>
  <c r="Q42" i="121"/>
  <c r="Q35" i="121"/>
  <c r="AE43" i="121"/>
  <c r="AE44" i="121" s="1"/>
  <c r="AF43" i="121"/>
  <c r="AF44" i="121" s="1"/>
  <c r="Q31" i="121"/>
  <c r="Q30" i="121"/>
  <c r="CR21" i="121"/>
  <c r="AU43" i="121"/>
  <c r="AU44" i="121" s="1"/>
  <c r="CR30" i="121"/>
  <c r="U43" i="121"/>
  <c r="U44" i="121" s="1"/>
  <c r="Q17" i="121"/>
  <c r="CR41" i="121"/>
  <c r="V43" i="121"/>
  <c r="V44" i="121" s="1"/>
  <c r="CR17" i="121"/>
  <c r="CR25" i="121"/>
  <c r="Q23" i="121"/>
  <c r="C43" i="121"/>
  <c r="O44" i="121"/>
  <c r="Q12" i="121"/>
  <c r="CR20" i="121"/>
  <c r="Q26" i="121"/>
  <c r="AA43" i="121"/>
  <c r="AA44" i="121" s="1"/>
  <c r="BS12" i="121"/>
  <c r="BS13" i="121" s="1"/>
  <c r="BS14" i="121" s="1"/>
  <c r="BS15" i="121" s="1"/>
  <c r="BS16" i="121" s="1"/>
  <c r="BS17" i="121" s="1"/>
  <c r="BS18" i="121" s="1"/>
  <c r="BS19" i="121" s="1"/>
  <c r="BS20" i="121" s="1"/>
  <c r="BS21" i="121" s="1"/>
  <c r="BS22" i="121" s="1"/>
  <c r="BS23" i="121" s="1"/>
  <c r="BS24" i="121" s="1"/>
  <c r="BS25" i="121" s="1"/>
  <c r="BS26" i="121" s="1"/>
  <c r="BS27" i="121" s="1"/>
  <c r="BS28" i="121" s="1"/>
  <c r="BS29" i="121" s="1"/>
  <c r="BS30" i="121" s="1"/>
  <c r="BS31" i="121" s="1"/>
  <c r="BS32" i="121" s="1"/>
  <c r="BS33" i="121" s="1"/>
  <c r="BS34" i="121" s="1"/>
  <c r="BS35" i="121" s="1"/>
  <c r="BS36" i="121" s="1"/>
  <c r="BS37" i="121" s="1"/>
  <c r="BS38" i="121" s="1"/>
  <c r="BS39" i="121" s="1"/>
  <c r="BS40" i="121" s="1"/>
  <c r="BS41" i="121" s="1"/>
  <c r="BS42" i="121" s="1"/>
  <c r="BS43" i="121" s="1"/>
  <c r="Q39" i="121"/>
  <c r="W43" i="121"/>
  <c r="W44" i="121" s="1"/>
  <c r="Q33" i="121"/>
  <c r="Q32" i="121"/>
  <c r="CR34" i="121"/>
  <c r="CR14" i="121"/>
  <c r="AX41" i="120"/>
  <c r="AY41" i="120"/>
  <c r="AY42" i="120" s="1"/>
  <c r="AY44" i="120" s="1"/>
  <c r="P10" i="120"/>
  <c r="Q10" i="120" s="1"/>
  <c r="RR10" i="120"/>
  <c r="AY10" i="120"/>
  <c r="DR11" i="120"/>
  <c r="CZ12" i="120"/>
  <c r="BE41" i="120"/>
  <c r="BE42" i="120" s="1"/>
  <c r="BE44" i="120" s="1"/>
  <c r="BD41" i="120"/>
  <c r="BE10" i="120"/>
  <c r="DL41" i="120"/>
  <c r="DL42" i="120" s="1"/>
  <c r="DL44" i="120" s="1"/>
  <c r="DR10" i="120"/>
  <c r="CX10" i="120"/>
  <c r="KQ41" i="120"/>
  <c r="KQ42" i="120" s="1"/>
  <c r="AZ147" i="2" s="1"/>
  <c r="EE11" i="120"/>
  <c r="BO12" i="120"/>
  <c r="T12" i="120"/>
  <c r="U12" i="120" s="1"/>
  <c r="JL18" i="120"/>
  <c r="PA12" i="120"/>
  <c r="PG11" i="120"/>
  <c r="BO11" i="120"/>
  <c r="T11" i="120"/>
  <c r="U11" i="120" s="1"/>
  <c r="JF13" i="120"/>
  <c r="GM13" i="120" s="1"/>
  <c r="FE12" i="120"/>
  <c r="IQ12" i="120"/>
  <c r="GL12" i="120" s="1"/>
  <c r="DN41" i="120"/>
  <c r="DN42" i="120" s="1"/>
  <c r="DN44" i="120" s="1"/>
  <c r="CZ10" i="120"/>
  <c r="OB10" i="120"/>
  <c r="OB11" i="120" s="1"/>
  <c r="OB12" i="120" s="1"/>
  <c r="OB13" i="120" s="1"/>
  <c r="OB14" i="120" s="1"/>
  <c r="OB15" i="120" s="1"/>
  <c r="OB16" i="120" s="1"/>
  <c r="OB17" i="120" s="1"/>
  <c r="OB18" i="120" s="1"/>
  <c r="OB19" i="120" s="1"/>
  <c r="OB20" i="120" s="1"/>
  <c r="OB21" i="120" s="1"/>
  <c r="OB22" i="120" s="1"/>
  <c r="OB23" i="120" s="1"/>
  <c r="OB24" i="120" s="1"/>
  <c r="OB25" i="120" s="1"/>
  <c r="OB26" i="120" s="1"/>
  <c r="OB27" i="120" s="1"/>
  <c r="OB28" i="120" s="1"/>
  <c r="OB29" i="120" s="1"/>
  <c r="OB30" i="120" s="1"/>
  <c r="OB31" i="120" s="1"/>
  <c r="OB32" i="120" s="1"/>
  <c r="OB33" i="120" s="1"/>
  <c r="OB34" i="120" s="1"/>
  <c r="OB35" i="120" s="1"/>
  <c r="OB36" i="120" s="1"/>
  <c r="OB37" i="120" s="1"/>
  <c r="OB38" i="120" s="1"/>
  <c r="OB39" i="120" s="1"/>
  <c r="OB40" i="120" s="1"/>
  <c r="OB41" i="120" s="1"/>
  <c r="PM41" i="120"/>
  <c r="PM42" i="120" s="1"/>
  <c r="SG10" i="120"/>
  <c r="PO10" i="120"/>
  <c r="EA41" i="120"/>
  <c r="EA42" i="120" s="1"/>
  <c r="EA44" i="120" s="1"/>
  <c r="EE10" i="120"/>
  <c r="HV41" i="120"/>
  <c r="HV42" i="120" s="1"/>
  <c r="FE11" i="120"/>
  <c r="GW13" i="120"/>
  <c r="RX13" i="120" s="1"/>
  <c r="GW14" i="120"/>
  <c r="RX14" i="120" s="1"/>
  <c r="RR15" i="120"/>
  <c r="P15" i="120"/>
  <c r="Q15" i="120" s="1"/>
  <c r="AY15" i="120"/>
  <c r="KU41" i="120"/>
  <c r="KU42" i="120" s="1"/>
  <c r="JL15" i="120"/>
  <c r="RR16" i="120"/>
  <c r="P16" i="120"/>
  <c r="Q16" i="120" s="1"/>
  <c r="AY16" i="120"/>
  <c r="JL13" i="120"/>
  <c r="KX41" i="120"/>
  <c r="KX42" i="120" s="1"/>
  <c r="KX44" i="120" s="1"/>
  <c r="QG12" i="120"/>
  <c r="GW11" i="120"/>
  <c r="RX11" i="120" s="1"/>
  <c r="JF12" i="120"/>
  <c r="GM12" i="120" s="1"/>
  <c r="JL14" i="120"/>
  <c r="RR14" i="120"/>
  <c r="P14" i="120"/>
  <c r="AY14" i="120"/>
  <c r="P13" i="120"/>
  <c r="AY13" i="120"/>
  <c r="RR13" i="120"/>
  <c r="HM13" i="120"/>
  <c r="GK13" i="120" s="1"/>
  <c r="BO15" i="120"/>
  <c r="T15" i="120"/>
  <c r="U15" i="120" s="1"/>
  <c r="IB15" i="120"/>
  <c r="IX41" i="120"/>
  <c r="IX42" i="120" s="1"/>
  <c r="IX44" i="120" s="1"/>
  <c r="JF10" i="120"/>
  <c r="OM10" i="120"/>
  <c r="GS41" i="120"/>
  <c r="GS42" i="120" s="1"/>
  <c r="GW10" i="120"/>
  <c r="JI41" i="120"/>
  <c r="JI48" i="120" s="1"/>
  <c r="JI209" i="120" s="1"/>
  <c r="RJ10" i="120"/>
  <c r="JL10" i="120"/>
  <c r="GV41" i="120"/>
  <c r="GV42" i="120" s="1"/>
  <c r="JJ41" i="120"/>
  <c r="RK10" i="120"/>
  <c r="RK11" i="120" s="1"/>
  <c r="RK12" i="120" s="1"/>
  <c r="RK13" i="120" s="1"/>
  <c r="RK14" i="120" s="1"/>
  <c r="RK15" i="120" s="1"/>
  <c r="RK16" i="120" s="1"/>
  <c r="RK17" i="120" s="1"/>
  <c r="CZ13" i="120"/>
  <c r="DD13" i="120" s="1"/>
  <c r="DR13" i="120"/>
  <c r="PJ41" i="120"/>
  <c r="PJ42" i="120" s="1"/>
  <c r="PJ44" i="120" s="1"/>
  <c r="PZ10" i="120"/>
  <c r="PZ41" i="120" s="1"/>
  <c r="PZ42" i="120" s="1"/>
  <c r="PZ44" i="120" s="1"/>
  <c r="PN41" i="120"/>
  <c r="PN44" i="120" s="1"/>
  <c r="NF18" i="120"/>
  <c r="MX18" i="120" s="1"/>
  <c r="NE19" i="120"/>
  <c r="NE20" i="120" s="1"/>
  <c r="NE21" i="120" s="1"/>
  <c r="NE22" i="120" s="1"/>
  <c r="NE23" i="120" s="1"/>
  <c r="NE24" i="120" s="1"/>
  <c r="NE25" i="120" s="1"/>
  <c r="NE26" i="120" s="1"/>
  <c r="NE27" i="120" s="1"/>
  <c r="NE28" i="120" s="1"/>
  <c r="NE29" i="120" s="1"/>
  <c r="NE30" i="120" s="1"/>
  <c r="NE31" i="120" s="1"/>
  <c r="NE32" i="120" s="1"/>
  <c r="NE33" i="120" s="1"/>
  <c r="NE34" i="120" s="1"/>
  <c r="NE35" i="120" s="1"/>
  <c r="NE36" i="120" s="1"/>
  <c r="NE37" i="120" s="1"/>
  <c r="NE38" i="120" s="1"/>
  <c r="NE39" i="120" s="1"/>
  <c r="NE40" i="120" s="1"/>
  <c r="NE41" i="120" s="1"/>
  <c r="NE42" i="120" s="1"/>
  <c r="NE44" i="120" s="1"/>
  <c r="P11" i="120"/>
  <c r="RR11" i="120"/>
  <c r="AY11" i="120"/>
  <c r="BO13" i="120"/>
  <c r="T13" i="120"/>
  <c r="U13" i="120" s="1"/>
  <c r="IQ13" i="120"/>
  <c r="GL13" i="120" s="1"/>
  <c r="IB14" i="120"/>
  <c r="IP41" i="120"/>
  <c r="KO41" i="120"/>
  <c r="KO42" i="120" s="1"/>
  <c r="AZ145" i="2" s="1"/>
  <c r="IB11" i="120"/>
  <c r="LG41" i="120"/>
  <c r="LG42" i="120" s="1"/>
  <c r="AC13" i="120"/>
  <c r="OM17" i="120"/>
  <c r="OM18" i="120" s="1"/>
  <c r="OM19" i="120" s="1"/>
  <c r="OM20" i="120" s="1"/>
  <c r="OM21" i="120" s="1"/>
  <c r="OM22" i="120" s="1"/>
  <c r="OM23" i="120" s="1"/>
  <c r="OM24" i="120" s="1"/>
  <c r="OM25" i="120" s="1"/>
  <c r="OM26" i="120" s="1"/>
  <c r="OM27" i="120" s="1"/>
  <c r="OM28" i="120" s="1"/>
  <c r="OM29" i="120" s="1"/>
  <c r="OM30" i="120" s="1"/>
  <c r="OM31" i="120" s="1"/>
  <c r="OM32" i="120" s="1"/>
  <c r="OM33" i="120" s="1"/>
  <c r="OM34" i="120" s="1"/>
  <c r="OM35" i="120" s="1"/>
  <c r="OM36" i="120" s="1"/>
  <c r="OM37" i="120" s="1"/>
  <c r="OM38" i="120" s="1"/>
  <c r="OM39" i="120" s="1"/>
  <c r="OM40" i="120" s="1"/>
  <c r="OM41" i="120" s="1"/>
  <c r="CX11" i="120"/>
  <c r="DD11" i="120" s="1"/>
  <c r="PY10" i="120"/>
  <c r="QI10" i="120" s="1"/>
  <c r="BO17" i="120"/>
  <c r="CZ17" i="120"/>
  <c r="JL17" i="120"/>
  <c r="GW19" i="120"/>
  <c r="RX19" i="120" s="1"/>
  <c r="JF19" i="120"/>
  <c r="GM19" i="120" s="1"/>
  <c r="FC41" i="120"/>
  <c r="FC42" i="120" s="1"/>
  <c r="FC44" i="120" s="1"/>
  <c r="HG41" i="120"/>
  <c r="KP41" i="120"/>
  <c r="KP42" i="120" s="1"/>
  <c r="AZ146" i="2" s="1"/>
  <c r="LJ10" i="120"/>
  <c r="NO10" i="120"/>
  <c r="AA41" i="120"/>
  <c r="AC10" i="120"/>
  <c r="RR12" i="120"/>
  <c r="CX16" i="120"/>
  <c r="HM17" i="120"/>
  <c r="GK17" i="120" s="1"/>
  <c r="DB23" i="120"/>
  <c r="EE23" i="120"/>
  <c r="DR18" i="120"/>
  <c r="CX18" i="120"/>
  <c r="II41" i="120"/>
  <c r="II42" i="120" s="1"/>
  <c r="P20" i="120"/>
  <c r="AY20" i="120"/>
  <c r="RR20" i="120"/>
  <c r="AY12" i="120"/>
  <c r="C14" i="120"/>
  <c r="BO18" i="120"/>
  <c r="HM19" i="120"/>
  <c r="GK19" i="120" s="1"/>
  <c r="JL20" i="120"/>
  <c r="EC41" i="120"/>
  <c r="EC42" i="120" s="1"/>
  <c r="EC44" i="120" s="1"/>
  <c r="GU41" i="120"/>
  <c r="GU42" i="120" s="1"/>
  <c r="KT41" i="120"/>
  <c r="KT42" i="120" s="1"/>
  <c r="Y11" i="120"/>
  <c r="NG12" i="120"/>
  <c r="RK19" i="120"/>
  <c r="RK20" i="120" s="1"/>
  <c r="RK21" i="120" s="1"/>
  <c r="RK22" i="120" s="1"/>
  <c r="RK23" i="120" s="1"/>
  <c r="RK24" i="120" s="1"/>
  <c r="RK25" i="120" s="1"/>
  <c r="RK26" i="120" s="1"/>
  <c r="RK27" i="120" s="1"/>
  <c r="RK28" i="120" s="1"/>
  <c r="RK29" i="120" s="1"/>
  <c r="RK30" i="120" s="1"/>
  <c r="RK31" i="120" s="1"/>
  <c r="RK32" i="120" s="1"/>
  <c r="RK33" i="120" s="1"/>
  <c r="RK34" i="120" s="1"/>
  <c r="RK35" i="120" s="1"/>
  <c r="RK36" i="120" s="1"/>
  <c r="RK37" i="120" s="1"/>
  <c r="RK38" i="120" s="1"/>
  <c r="RK39" i="120" s="1"/>
  <c r="RK40" i="120" s="1"/>
  <c r="ND19" i="120"/>
  <c r="CX12" i="120"/>
  <c r="CX14" i="120"/>
  <c r="JF16" i="120"/>
  <c r="GM16" i="120" s="1"/>
  <c r="U18" i="120"/>
  <c r="P19" i="120"/>
  <c r="Q19" i="120" s="1"/>
  <c r="RR19" i="120"/>
  <c r="AY19" i="120"/>
  <c r="JL21" i="120"/>
  <c r="C10" i="120"/>
  <c r="RP10" i="120"/>
  <c r="QN17" i="120"/>
  <c r="LJ13" i="120"/>
  <c r="BO20" i="120"/>
  <c r="T20" i="120"/>
  <c r="U20" i="120" s="1"/>
  <c r="ER41" i="120"/>
  <c r="ER42" i="120" s="1"/>
  <c r="ER44" i="120" s="1"/>
  <c r="NZ10" i="120"/>
  <c r="PY11" i="120"/>
  <c r="FB10" i="120"/>
  <c r="IQ10" i="120"/>
  <c r="JL11" i="120"/>
  <c r="OG12" i="120"/>
  <c r="FE17" i="120"/>
  <c r="IQ17" i="120"/>
  <c r="GL17" i="120" s="1"/>
  <c r="DR21" i="120"/>
  <c r="CX21" i="120"/>
  <c r="HM16" i="120"/>
  <c r="GK16" i="120" s="1"/>
  <c r="QN16" i="120"/>
  <c r="IQ18" i="120"/>
  <c r="GL18" i="120" s="1"/>
  <c r="BO19" i="120"/>
  <c r="T19" i="120"/>
  <c r="U19" i="120" s="1"/>
  <c r="CZ19" i="120"/>
  <c r="HI41" i="120"/>
  <c r="HI42" i="120" s="1"/>
  <c r="EE19" i="120"/>
  <c r="DB20" i="120"/>
  <c r="EE20" i="120"/>
  <c r="NT11" i="120"/>
  <c r="PG10" i="120"/>
  <c r="IM41" i="120"/>
  <c r="IM42" i="120" s="1"/>
  <c r="CX15" i="120"/>
  <c r="DR15" i="120"/>
  <c r="RR17" i="120"/>
  <c r="AY17" i="120"/>
  <c r="JF18" i="120"/>
  <c r="GM18" i="120" s="1"/>
  <c r="IQ19" i="120"/>
  <c r="GL19" i="120" s="1"/>
  <c r="IQ20" i="120"/>
  <c r="GL20" i="120" s="1"/>
  <c r="DB21" i="120"/>
  <c r="EE21" i="120"/>
  <c r="IB21" i="120"/>
  <c r="GH41" i="120"/>
  <c r="GH42" i="120" s="1"/>
  <c r="GH44" i="120" s="1"/>
  <c r="HM10" i="120"/>
  <c r="GK10" i="120" s="1"/>
  <c r="LH41" i="120"/>
  <c r="LH42" i="120" s="1"/>
  <c r="BO41" i="120"/>
  <c r="BO44" i="120" s="1"/>
  <c r="BM41" i="120"/>
  <c r="BM44" i="120" s="1"/>
  <c r="LI41" i="120"/>
  <c r="LI42" i="120" s="1"/>
  <c r="IQ14" i="120"/>
  <c r="GL14" i="120" s="1"/>
  <c r="HT41" i="120"/>
  <c r="HT42" i="120" s="1"/>
  <c r="JL12" i="120"/>
  <c r="AY18" i="120"/>
  <c r="RR18" i="120"/>
  <c r="P18" i="120"/>
  <c r="D18" i="120" s="1"/>
  <c r="RP18" i="120"/>
  <c r="PY18" i="120"/>
  <c r="T10" i="120"/>
  <c r="FU41" i="120"/>
  <c r="FU42" i="120" s="1"/>
  <c r="FU44" i="120" s="1"/>
  <c r="HK41" i="120"/>
  <c r="W41" i="120"/>
  <c r="BO10" i="120"/>
  <c r="CZ18" i="120"/>
  <c r="FE21" i="120"/>
  <c r="C19" i="120"/>
  <c r="QN19" i="120"/>
  <c r="P22" i="120"/>
  <c r="DR22" i="120"/>
  <c r="IQ23" i="120"/>
  <c r="GL23" i="120" s="1"/>
  <c r="BO28" i="120"/>
  <c r="T28" i="120"/>
  <c r="U28" i="120" s="1"/>
  <c r="JL30" i="120"/>
  <c r="RP19" i="120"/>
  <c r="HM22" i="120"/>
  <c r="GK22" i="120" s="1"/>
  <c r="FE24" i="120"/>
  <c r="IQ24" i="120"/>
  <c r="GL24" i="120" s="1"/>
  <c r="FE25" i="120"/>
  <c r="BE30" i="120"/>
  <c r="P30" i="120"/>
  <c r="Q30" i="120" s="1"/>
  <c r="DB22" i="120"/>
  <c r="P23" i="120"/>
  <c r="RR23" i="120"/>
  <c r="AY23" i="120"/>
  <c r="FE26" i="120"/>
  <c r="T29" i="120"/>
  <c r="U29" i="120" s="1"/>
  <c r="BO29" i="120"/>
  <c r="EE22" i="120"/>
  <c r="JL22" i="120"/>
  <c r="HM30" i="120"/>
  <c r="GK30" i="120" s="1"/>
  <c r="RR21" i="120"/>
  <c r="RR22" i="120"/>
  <c r="IQ28" i="120"/>
  <c r="GL28" i="120" s="1"/>
  <c r="IB29" i="120"/>
  <c r="AY21" i="120"/>
  <c r="AC22" i="120"/>
  <c r="GW23" i="120"/>
  <c r="RX23" i="120" s="1"/>
  <c r="CX24" i="120"/>
  <c r="BO32" i="120"/>
  <c r="T32" i="120"/>
  <c r="U32" i="120" s="1"/>
  <c r="JF23" i="120"/>
  <c r="GM23" i="120" s="1"/>
  <c r="RR24" i="120"/>
  <c r="AY24" i="120"/>
  <c r="GW26" i="120"/>
  <c r="RX26" i="120" s="1"/>
  <c r="JL26" i="120"/>
  <c r="JF28" i="120"/>
  <c r="GM28" i="120" s="1"/>
  <c r="P21" i="120"/>
  <c r="IQ22" i="120"/>
  <c r="GL22" i="120" s="1"/>
  <c r="JL23" i="120"/>
  <c r="DR23" i="120"/>
  <c r="HM23" i="120"/>
  <c r="GK23" i="120" s="1"/>
  <c r="P26" i="120"/>
  <c r="D26" i="120" s="1"/>
  <c r="JL27" i="120"/>
  <c r="JF20" i="120"/>
  <c r="GM20" i="120" s="1"/>
  <c r="IQ21" i="120"/>
  <c r="GL21" i="120" s="1"/>
  <c r="BO24" i="120"/>
  <c r="T24" i="120"/>
  <c r="U24" i="120" s="1"/>
  <c r="CZ24" i="120"/>
  <c r="HM25" i="120"/>
  <c r="GK25" i="120" s="1"/>
  <c r="JF29" i="120"/>
  <c r="GM29" i="120" s="1"/>
  <c r="RP21" i="120"/>
  <c r="BO25" i="120"/>
  <c r="T25" i="120"/>
  <c r="RR26" i="120"/>
  <c r="BE26" i="120"/>
  <c r="DR27" i="120"/>
  <c r="CX27" i="120"/>
  <c r="GW29" i="120"/>
  <c r="RX29" i="120" s="1"/>
  <c r="IQ30" i="120"/>
  <c r="GL30" i="120" s="1"/>
  <c r="JL19" i="120"/>
  <c r="RR28" i="120"/>
  <c r="P28" i="120"/>
  <c r="AY28" i="120"/>
  <c r="GW31" i="120"/>
  <c r="RX31" i="120" s="1"/>
  <c r="RJ19" i="120"/>
  <c r="P24" i="120"/>
  <c r="Q24" i="120" s="1"/>
  <c r="DR26" i="120"/>
  <c r="CZ26" i="120"/>
  <c r="DD26" i="120" s="1"/>
  <c r="CZ27" i="120"/>
  <c r="QN23" i="120"/>
  <c r="RR29" i="120"/>
  <c r="P29" i="120"/>
  <c r="AY29" i="120"/>
  <c r="IQ26" i="120"/>
  <c r="GL26" i="120" s="1"/>
  <c r="BO27" i="120"/>
  <c r="T27" i="120"/>
  <c r="AY31" i="120"/>
  <c r="RR31" i="120"/>
  <c r="P31" i="120"/>
  <c r="CX29" i="120"/>
  <c r="DR29" i="120"/>
  <c r="C25" i="120"/>
  <c r="EE25" i="120"/>
  <c r="RR25" i="120"/>
  <c r="RR30" i="120"/>
  <c r="HM37" i="120"/>
  <c r="GK37" i="120" s="1"/>
  <c r="AY25" i="120"/>
  <c r="C30" i="120"/>
  <c r="FE33" i="120"/>
  <c r="JF33" i="120"/>
  <c r="GM33" i="120" s="1"/>
  <c r="GW34" i="120"/>
  <c r="RX34" i="120" s="1"/>
  <c r="CX25" i="120"/>
  <c r="LJ26" i="120"/>
  <c r="C28" i="120"/>
  <c r="JL29" i="120"/>
  <c r="PY24" i="120"/>
  <c r="AY26" i="120"/>
  <c r="GW33" i="120"/>
  <c r="RX33" i="120" s="1"/>
  <c r="BO35" i="120"/>
  <c r="T35" i="120"/>
  <c r="U35" i="120" s="1"/>
  <c r="RR38" i="120"/>
  <c r="AY38" i="120"/>
  <c r="P38" i="120"/>
  <c r="Y27" i="120"/>
  <c r="JL34" i="120"/>
  <c r="JL24" i="120"/>
  <c r="DR31" i="120"/>
  <c r="P33" i="120"/>
  <c r="RR33" i="120"/>
  <c r="AY33" i="120"/>
  <c r="T30" i="120"/>
  <c r="U30" i="120" s="1"/>
  <c r="JL28" i="120"/>
  <c r="EE31" i="120"/>
  <c r="GW32" i="120"/>
  <c r="RX32" i="120" s="1"/>
  <c r="JF32" i="120"/>
  <c r="GM32" i="120" s="1"/>
  <c r="DR34" i="120"/>
  <c r="FE35" i="120"/>
  <c r="C31" i="120"/>
  <c r="AC31" i="120"/>
  <c r="HM31" i="120"/>
  <c r="GK31" i="120" s="1"/>
  <c r="HM33" i="120"/>
  <c r="GK33" i="120" s="1"/>
  <c r="Y28" i="120"/>
  <c r="JL31" i="120"/>
  <c r="DR28" i="120"/>
  <c r="DR30" i="120"/>
  <c r="JL25" i="120"/>
  <c r="BO26" i="120"/>
  <c r="HM32" i="120"/>
  <c r="GK32" i="120" s="1"/>
  <c r="DB38" i="120"/>
  <c r="EE38" i="120"/>
  <c r="CX32" i="120"/>
  <c r="DD32" i="120" s="1"/>
  <c r="DR32" i="120"/>
  <c r="IQ34" i="120"/>
  <c r="GL34" i="120" s="1"/>
  <c r="RR27" i="120"/>
  <c r="AY27" i="120"/>
  <c r="RR36" i="120"/>
  <c r="AY36" i="120"/>
  <c r="P36" i="120"/>
  <c r="D36" i="120" s="1"/>
  <c r="P32" i="120"/>
  <c r="HM35" i="120"/>
  <c r="GK35" i="120" s="1"/>
  <c r="BE37" i="120"/>
  <c r="P37" i="120"/>
  <c r="Q37" i="120" s="1"/>
  <c r="HM39" i="120"/>
  <c r="GK39" i="120" s="1"/>
  <c r="BO37" i="120"/>
  <c r="T37" i="120"/>
  <c r="U37" i="120" s="1"/>
  <c r="IB39" i="120"/>
  <c r="LJ31" i="120"/>
  <c r="BO36" i="120"/>
  <c r="JF37" i="120"/>
  <c r="GM37" i="120" s="1"/>
  <c r="BO34" i="120"/>
  <c r="JL35" i="120"/>
  <c r="EE36" i="120"/>
  <c r="BC44" i="120"/>
  <c r="BC48" i="120"/>
  <c r="PY32" i="120"/>
  <c r="RR35" i="120"/>
  <c r="EE33" i="120"/>
  <c r="IB36" i="120"/>
  <c r="JL37" i="120"/>
  <c r="RR32" i="120"/>
  <c r="JF39" i="120"/>
  <c r="GM39" i="120" s="1"/>
  <c r="T40" i="120"/>
  <c r="U40" i="120" s="1"/>
  <c r="BO40" i="120"/>
  <c r="AY32" i="120"/>
  <c r="P35" i="120"/>
  <c r="RR37" i="120"/>
  <c r="JL33" i="120"/>
  <c r="IQ36" i="120"/>
  <c r="GL36" i="120" s="1"/>
  <c r="CX33" i="120"/>
  <c r="P39" i="120"/>
  <c r="JL39" i="120"/>
  <c r="RR34" i="120"/>
  <c r="CX37" i="120"/>
  <c r="DD37" i="120" s="1"/>
  <c r="JL32" i="120"/>
  <c r="LJ33" i="120"/>
  <c r="AY34" i="120"/>
  <c r="HM34" i="120"/>
  <c r="GK34" i="120" s="1"/>
  <c r="Y35" i="120"/>
  <c r="DR35" i="120"/>
  <c r="T38" i="120"/>
  <c r="U38" i="120" s="1"/>
  <c r="BO38" i="120"/>
  <c r="CZ38" i="120"/>
  <c r="LJ35" i="120"/>
  <c r="GW36" i="120"/>
  <c r="RX36" i="120" s="1"/>
  <c r="DR39" i="120"/>
  <c r="CX39" i="120"/>
  <c r="RR39" i="120"/>
  <c r="LJ36" i="120"/>
  <c r="DR38" i="120"/>
  <c r="C40" i="120"/>
  <c r="GW40" i="120"/>
  <c r="RX40" i="120" s="1"/>
  <c r="CX40" i="120"/>
  <c r="DR40" i="120"/>
  <c r="HN42" i="120"/>
  <c r="HM40" i="120"/>
  <c r="GK40" i="120" s="1"/>
  <c r="AR42" i="120"/>
  <c r="AR44" i="120" s="1"/>
  <c r="AS41" i="120"/>
  <c r="C38" i="120"/>
  <c r="PY35" i="120"/>
  <c r="JL36" i="120"/>
  <c r="IQ39" i="120"/>
  <c r="GL39" i="120" s="1"/>
  <c r="AC40" i="120"/>
  <c r="AE44" i="120"/>
  <c r="AG42" i="120"/>
  <c r="AG44" i="120" s="1"/>
  <c r="LJ38" i="120"/>
  <c r="Y37" i="120"/>
  <c r="NG38" i="120"/>
  <c r="DR36" i="120"/>
  <c r="CE44" i="120"/>
  <c r="CE48" i="120"/>
  <c r="AI44" i="120"/>
  <c r="AK43" i="120"/>
  <c r="AK44" i="120" s="1"/>
  <c r="BF42" i="120"/>
  <c r="S41" i="120"/>
  <c r="BV44" i="120"/>
  <c r="P40" i="120"/>
  <c r="RR40" i="120"/>
  <c r="AY40" i="120"/>
  <c r="AB41" i="120"/>
  <c r="AB42" i="120" s="1"/>
  <c r="CD41" i="120"/>
  <c r="CC42" i="120"/>
  <c r="AC39" i="120"/>
  <c r="RP39" i="120"/>
  <c r="LJ37" i="120"/>
  <c r="GW38" i="120"/>
  <c r="EE39" i="120"/>
  <c r="AQ44" i="120"/>
  <c r="IC44" i="120"/>
  <c r="AB210" i="120"/>
  <c r="JF40" i="120"/>
  <c r="GM40" i="120" s="1"/>
  <c r="AO42" i="120"/>
  <c r="AO44" i="120" s="1"/>
  <c r="BY48" i="120"/>
  <c r="AK27" i="127" l="1"/>
  <c r="AL26" i="127"/>
  <c r="II44" i="120"/>
  <c r="KT44" i="120"/>
  <c r="AZ158" i="2"/>
  <c r="AX42" i="120"/>
  <c r="BD42" i="120"/>
  <c r="BD44" i="120" s="1"/>
  <c r="OB44" i="120"/>
  <c r="OB9" i="122"/>
  <c r="OB10" i="122" s="1"/>
  <c r="OB11" i="122" s="1"/>
  <c r="OB12" i="122" s="1"/>
  <c r="OB13" i="122" s="1"/>
  <c r="OB14" i="122" s="1"/>
  <c r="OB15" i="122" s="1"/>
  <c r="OB16" i="122" s="1"/>
  <c r="OB17" i="122" s="1"/>
  <c r="OB18" i="122" s="1"/>
  <c r="OB19" i="122" s="1"/>
  <c r="OB20" i="122" s="1"/>
  <c r="OB21" i="122" s="1"/>
  <c r="OB22" i="122" s="1"/>
  <c r="OB23" i="122" s="1"/>
  <c r="OB24" i="122" s="1"/>
  <c r="OB25" i="122" s="1"/>
  <c r="OB26" i="122" s="1"/>
  <c r="OB27" i="122" s="1"/>
  <c r="OB28" i="122" s="1"/>
  <c r="OB29" i="122" s="1"/>
  <c r="OB30" i="122" s="1"/>
  <c r="OB31" i="122" s="1"/>
  <c r="OB32" i="122" s="1"/>
  <c r="OB33" i="122" s="1"/>
  <c r="OB34" i="122" s="1"/>
  <c r="OB35" i="122" s="1"/>
  <c r="OB36" i="122" s="1"/>
  <c r="OB37" i="122" s="1"/>
  <c r="OB38" i="122" s="1"/>
  <c r="OB39" i="122" s="1"/>
  <c r="OB40" i="122" s="1"/>
  <c r="OB41" i="122" s="1"/>
  <c r="OB44" i="122" s="1"/>
  <c r="NT25" i="122"/>
  <c r="PA27" i="122"/>
  <c r="PG26" i="122"/>
  <c r="MZ24" i="122"/>
  <c r="PO25" i="122"/>
  <c r="RM32" i="122"/>
  <c r="RJ33" i="122"/>
  <c r="NG27" i="122"/>
  <c r="OG25" i="122"/>
  <c r="NP12" i="120"/>
  <c r="R34" i="118"/>
  <c r="AS30" i="121"/>
  <c r="AS31" i="121" s="1"/>
  <c r="AS32" i="121" s="1"/>
  <c r="AS33" i="121" s="1"/>
  <c r="AS34" i="121" s="1"/>
  <c r="AS35" i="121" s="1"/>
  <c r="AS36" i="121" s="1"/>
  <c r="AS37" i="121" s="1"/>
  <c r="AS38" i="121" s="1"/>
  <c r="AS39" i="121" s="1"/>
  <c r="AS40" i="121" s="1"/>
  <c r="AS41" i="121" s="1"/>
  <c r="AS42" i="121" s="1"/>
  <c r="NO11" i="120"/>
  <c r="AA33" i="118"/>
  <c r="NZ11" i="120"/>
  <c r="AD33" i="118"/>
  <c r="ND20" i="120"/>
  <c r="X42" i="118"/>
  <c r="NC20" i="120"/>
  <c r="W42" i="118"/>
  <c r="AZ48" i="2"/>
  <c r="AZ23" i="2"/>
  <c r="JJ42" i="120"/>
  <c r="AZ66" i="2" s="1"/>
  <c r="JJ48" i="120"/>
  <c r="JJ209" i="120" s="1"/>
  <c r="OD21" i="120"/>
  <c r="OD22" i="120" s="1"/>
  <c r="OD23" i="120" s="1"/>
  <c r="OD24" i="120" s="1"/>
  <c r="OD25" i="120" s="1"/>
  <c r="OD26" i="120" s="1"/>
  <c r="OD27" i="120" s="1"/>
  <c r="OD28" i="120" s="1"/>
  <c r="OD29" i="120" s="1"/>
  <c r="OD30" i="120" s="1"/>
  <c r="OD31" i="120" s="1"/>
  <c r="OD32" i="120" s="1"/>
  <c r="OD33" i="120" s="1"/>
  <c r="OD34" i="120" s="1"/>
  <c r="OD35" i="120" s="1"/>
  <c r="OD36" i="120" s="1"/>
  <c r="OD37" i="120" s="1"/>
  <c r="OD38" i="120" s="1"/>
  <c r="OD39" i="120" s="1"/>
  <c r="OD40" i="120" s="1"/>
  <c r="OD41" i="120" s="1"/>
  <c r="D20" i="121"/>
  <c r="CN20" i="121" s="1"/>
  <c r="E34" i="120"/>
  <c r="E26" i="120"/>
  <c r="AZ84" i="2"/>
  <c r="R15" i="121"/>
  <c r="S15" i="121" s="1"/>
  <c r="E15" i="121" s="1"/>
  <c r="D34" i="121"/>
  <c r="CN34" i="121" s="1"/>
  <c r="D21" i="121"/>
  <c r="CN21" i="121" s="1"/>
  <c r="E43" i="120"/>
  <c r="D41" i="121"/>
  <c r="CN41" i="121" s="1"/>
  <c r="D18" i="121"/>
  <c r="CN18" i="121" s="1"/>
  <c r="D24" i="121"/>
  <c r="CN24" i="121" s="1"/>
  <c r="DD15" i="120"/>
  <c r="R38" i="121"/>
  <c r="S38" i="121" s="1"/>
  <c r="E38" i="121" s="1"/>
  <c r="R14" i="121"/>
  <c r="S14" i="121" s="1"/>
  <c r="E14" i="121" s="1"/>
  <c r="AZ88" i="2"/>
  <c r="D25" i="120"/>
  <c r="E25" i="120" s="1"/>
  <c r="R27" i="121"/>
  <c r="S27" i="121" s="1"/>
  <c r="E27" i="121" s="1"/>
  <c r="R37" i="121"/>
  <c r="S37" i="121" s="1"/>
  <c r="E37" i="121" s="1"/>
  <c r="R28" i="121"/>
  <c r="S28" i="121" s="1"/>
  <c r="E28" i="121" s="1"/>
  <c r="QQ38" i="120"/>
  <c r="QH10" i="120"/>
  <c r="QH11" i="120" s="1"/>
  <c r="QH12" i="120" s="1"/>
  <c r="QH13" i="120" s="1"/>
  <c r="QH14" i="120" s="1"/>
  <c r="QH15" i="120" s="1"/>
  <c r="QH16" i="120" s="1"/>
  <c r="QH17" i="120" s="1"/>
  <c r="QH18" i="120" s="1"/>
  <c r="QH19" i="120" s="1"/>
  <c r="QH20" i="120" s="1"/>
  <c r="QH21" i="120" s="1"/>
  <c r="QH22" i="120" s="1"/>
  <c r="QH23" i="120" s="1"/>
  <c r="QH24" i="120" s="1"/>
  <c r="QH25" i="120" s="1"/>
  <c r="QH26" i="120" s="1"/>
  <c r="QH27" i="120" s="1"/>
  <c r="QH28" i="120" s="1"/>
  <c r="QH29" i="120" s="1"/>
  <c r="QH30" i="120" s="1"/>
  <c r="QH31" i="120" s="1"/>
  <c r="QH32" i="120" s="1"/>
  <c r="QH33" i="120" s="1"/>
  <c r="QH34" i="120" s="1"/>
  <c r="QH35" i="120" s="1"/>
  <c r="QH36" i="120" s="1"/>
  <c r="QH37" i="120" s="1"/>
  <c r="QH38" i="120" s="1"/>
  <c r="QH39" i="120" s="1"/>
  <c r="QH40" i="120" s="1"/>
  <c r="QH41" i="120" s="1"/>
  <c r="QH9" i="122" s="1"/>
  <c r="QH10" i="122" s="1"/>
  <c r="GN12" i="120"/>
  <c r="GN36" i="120"/>
  <c r="KV44" i="120"/>
  <c r="AZ160" i="2"/>
  <c r="KU44" i="120"/>
  <c r="AZ159" i="2"/>
  <c r="GN38" i="120"/>
  <c r="GY49" i="120" s="1"/>
  <c r="D40" i="121"/>
  <c r="CN40" i="121" s="1"/>
  <c r="R29" i="121"/>
  <c r="S29" i="121" s="1"/>
  <c r="E29" i="121" s="1"/>
  <c r="R25" i="121"/>
  <c r="S25" i="121" s="1"/>
  <c r="E25" i="121" s="1"/>
  <c r="SB12" i="120"/>
  <c r="S20" i="121"/>
  <c r="E20" i="121" s="1"/>
  <c r="D22" i="121"/>
  <c r="CN22" i="121" s="1"/>
  <c r="BS11" i="123"/>
  <c r="BS12" i="123" s="1"/>
  <c r="AG43" i="121"/>
  <c r="AG44" i="121" s="1"/>
  <c r="QQ40" i="120"/>
  <c r="SD40" i="120"/>
  <c r="QN33" i="120"/>
  <c r="QN26" i="120"/>
  <c r="GN27" i="120"/>
  <c r="GN26" i="120"/>
  <c r="SD16" i="120"/>
  <c r="QQ16" i="120"/>
  <c r="QN36" i="120"/>
  <c r="DD16" i="120"/>
  <c r="D17" i="120"/>
  <c r="E17" i="120" s="1"/>
  <c r="DD39" i="120"/>
  <c r="SB14" i="120"/>
  <c r="DD23" i="120"/>
  <c r="DD10" i="120"/>
  <c r="SB30" i="120"/>
  <c r="DD18" i="120"/>
  <c r="DD25" i="120"/>
  <c r="DD29" i="120"/>
  <c r="Q34" i="120"/>
  <c r="DD20" i="120"/>
  <c r="D33" i="120"/>
  <c r="E33" i="120" s="1"/>
  <c r="DD38" i="120"/>
  <c r="DD19" i="120"/>
  <c r="DD33" i="120"/>
  <c r="SB17" i="120"/>
  <c r="D16" i="120"/>
  <c r="SB20" i="120"/>
  <c r="SB15" i="120"/>
  <c r="D12" i="120"/>
  <c r="E12" i="120" s="1"/>
  <c r="SB24" i="120"/>
  <c r="D31" i="120"/>
  <c r="E31" i="120" s="1"/>
  <c r="D28" i="120"/>
  <c r="E28" i="120" s="1"/>
  <c r="DD17" i="120"/>
  <c r="GN25" i="120"/>
  <c r="GN21" i="120"/>
  <c r="QN25" i="120"/>
  <c r="GN34" i="120"/>
  <c r="QN20" i="120"/>
  <c r="QN27" i="120"/>
  <c r="GN11" i="120"/>
  <c r="QN18" i="120"/>
  <c r="GN14" i="120"/>
  <c r="QN11" i="120"/>
  <c r="JF42" i="120"/>
  <c r="JF44" i="120" s="1"/>
  <c r="GN24" i="120"/>
  <c r="QN12" i="120"/>
  <c r="IB41" i="120"/>
  <c r="GN16" i="120"/>
  <c r="GN20" i="120"/>
  <c r="GN35" i="120"/>
  <c r="GN32" i="120"/>
  <c r="GN29" i="120"/>
  <c r="IB42" i="120"/>
  <c r="GN31" i="120"/>
  <c r="GN15" i="120"/>
  <c r="GN28" i="120"/>
  <c r="QN10" i="120"/>
  <c r="GU44" i="120"/>
  <c r="IZ44" i="120"/>
  <c r="HK42" i="120"/>
  <c r="HK44" i="120" s="1"/>
  <c r="QN15" i="120"/>
  <c r="GV44" i="120"/>
  <c r="KP44" i="120"/>
  <c r="QN30" i="120"/>
  <c r="GS44" i="120"/>
  <c r="KQ44" i="120"/>
  <c r="QN31" i="120"/>
  <c r="GT44" i="120"/>
  <c r="GN33" i="120"/>
  <c r="KO44" i="120"/>
  <c r="QN24" i="120"/>
  <c r="QN38" i="120"/>
  <c r="QN29" i="120"/>
  <c r="HI44" i="120"/>
  <c r="QN21" i="120"/>
  <c r="IP42" i="120"/>
  <c r="QN34" i="120"/>
  <c r="QN35" i="120"/>
  <c r="GN19" i="120"/>
  <c r="GN13" i="120"/>
  <c r="QN14" i="120"/>
  <c r="QN37" i="120"/>
  <c r="QN28" i="120"/>
  <c r="GN18" i="120"/>
  <c r="IK44" i="120"/>
  <c r="GN40" i="120"/>
  <c r="QN32" i="120"/>
  <c r="QN39" i="120"/>
  <c r="QN22" i="120"/>
  <c r="IM44" i="120"/>
  <c r="QN13" i="120"/>
  <c r="JB44" i="120"/>
  <c r="SB33" i="120"/>
  <c r="DD14" i="120"/>
  <c r="DD12" i="120"/>
  <c r="SB16" i="120"/>
  <c r="DD27" i="120"/>
  <c r="QI11" i="120"/>
  <c r="QI12" i="120" s="1"/>
  <c r="QI13" i="120" s="1"/>
  <c r="QI14" i="120" s="1"/>
  <c r="QI15" i="120" s="1"/>
  <c r="QI16" i="120" s="1"/>
  <c r="QI17" i="120" s="1"/>
  <c r="QI18" i="120" s="1"/>
  <c r="QI19" i="120" s="1"/>
  <c r="QI20" i="120" s="1"/>
  <c r="QI21" i="120" s="1"/>
  <c r="QI22" i="120" s="1"/>
  <c r="QI23" i="120" s="1"/>
  <c r="QI24" i="120" s="1"/>
  <c r="QI25" i="120" s="1"/>
  <c r="QI26" i="120" s="1"/>
  <c r="QI27" i="120" s="1"/>
  <c r="QI28" i="120" s="1"/>
  <c r="QI29" i="120" s="1"/>
  <c r="QI30" i="120" s="1"/>
  <c r="QI31" i="120" s="1"/>
  <c r="QI32" i="120" s="1"/>
  <c r="QI33" i="120" s="1"/>
  <c r="QI34" i="120" s="1"/>
  <c r="QI35" i="120" s="1"/>
  <c r="QI36" i="120" s="1"/>
  <c r="QI37" i="120" s="1"/>
  <c r="QI38" i="120" s="1"/>
  <c r="QI39" i="120" s="1"/>
  <c r="QI40" i="120" s="1"/>
  <c r="QI41" i="120" s="1"/>
  <c r="QI9" i="122" s="1"/>
  <c r="D27" i="120"/>
  <c r="E27" i="120" s="1"/>
  <c r="DD21" i="120"/>
  <c r="SB28" i="120"/>
  <c r="DB41" i="120"/>
  <c r="DB42" i="120" s="1"/>
  <c r="DB44" i="120" s="1"/>
  <c r="SB37" i="120"/>
  <c r="DD22" i="120"/>
  <c r="DD40" i="120"/>
  <c r="X44" i="120"/>
  <c r="X49" i="120"/>
  <c r="E36" i="120"/>
  <c r="U25" i="120"/>
  <c r="U27" i="120"/>
  <c r="D11" i="120"/>
  <c r="E11" i="120" s="1"/>
  <c r="E18" i="120"/>
  <c r="SB13" i="120"/>
  <c r="SB36" i="120"/>
  <c r="SB25" i="120"/>
  <c r="SB38" i="120"/>
  <c r="Q31" i="120"/>
  <c r="SB23" i="120"/>
  <c r="SB19" i="120"/>
  <c r="SB18" i="120"/>
  <c r="SB22" i="120"/>
  <c r="SB29" i="120"/>
  <c r="SB35" i="120"/>
  <c r="O49" i="120"/>
  <c r="R39" i="121"/>
  <c r="S39" i="121" s="1"/>
  <c r="E39" i="121" s="1"/>
  <c r="D39" i="121"/>
  <c r="CN39" i="121" s="1"/>
  <c r="R13" i="121"/>
  <c r="S13" i="121" s="1"/>
  <c r="E13" i="121" s="1"/>
  <c r="D13" i="121"/>
  <c r="CN13" i="121" s="1"/>
  <c r="R26" i="121"/>
  <c r="S26" i="121" s="1"/>
  <c r="E26" i="121" s="1"/>
  <c r="D26" i="121"/>
  <c r="CN26" i="121" s="1"/>
  <c r="R42" i="121"/>
  <c r="S42" i="121" s="1"/>
  <c r="E42" i="121" s="1"/>
  <c r="D42" i="121"/>
  <c r="CN42" i="121" s="1"/>
  <c r="R17" i="121"/>
  <c r="S17" i="121" s="1"/>
  <c r="E17" i="121" s="1"/>
  <c r="D17" i="121"/>
  <c r="CN17" i="121" s="1"/>
  <c r="D12" i="121"/>
  <c r="Q43" i="121"/>
  <c r="R12" i="121"/>
  <c r="D36" i="121"/>
  <c r="CN36" i="121" s="1"/>
  <c r="R36" i="121"/>
  <c r="S36" i="121" s="1"/>
  <c r="E36" i="121" s="1"/>
  <c r="R33" i="121"/>
  <c r="S33" i="121" s="1"/>
  <c r="E33" i="121" s="1"/>
  <c r="D33" i="121"/>
  <c r="CN33" i="121" s="1"/>
  <c r="D35" i="121"/>
  <c r="CN35" i="121" s="1"/>
  <c r="R35" i="121"/>
  <c r="S35" i="121" s="1"/>
  <c r="E35" i="121" s="1"/>
  <c r="R30" i="121"/>
  <c r="S30" i="121" s="1"/>
  <c r="E30" i="121" s="1"/>
  <c r="D30" i="121"/>
  <c r="CN30" i="121" s="1"/>
  <c r="D32" i="121"/>
  <c r="CN32" i="121" s="1"/>
  <c r="R32" i="121"/>
  <c r="S32" i="121" s="1"/>
  <c r="E32" i="121" s="1"/>
  <c r="D16" i="121"/>
  <c r="CN16" i="121" s="1"/>
  <c r="R16" i="121"/>
  <c r="S16" i="121" s="1"/>
  <c r="E16" i="121" s="1"/>
  <c r="R31" i="121"/>
  <c r="S31" i="121" s="1"/>
  <c r="E31" i="121" s="1"/>
  <c r="D31" i="121"/>
  <c r="CN31" i="121" s="1"/>
  <c r="D23" i="121"/>
  <c r="CN23" i="121" s="1"/>
  <c r="R23" i="121"/>
  <c r="S23" i="121" s="1"/>
  <c r="E23" i="121" s="1"/>
  <c r="AB43" i="121"/>
  <c r="AB44" i="121" s="1"/>
  <c r="CR12" i="121"/>
  <c r="R19" i="121"/>
  <c r="S19" i="121" s="1"/>
  <c r="E19" i="121" s="1"/>
  <c r="D19" i="121"/>
  <c r="CN19" i="121" s="1"/>
  <c r="Q39" i="120"/>
  <c r="D39" i="120"/>
  <c r="E39" i="120" s="1"/>
  <c r="QR36" i="120"/>
  <c r="SD36" i="120"/>
  <c r="QQ36" i="120"/>
  <c r="QR32" i="120"/>
  <c r="QQ32" i="120"/>
  <c r="SD32" i="120"/>
  <c r="QQ22" i="120"/>
  <c r="QR22" i="120"/>
  <c r="SD22" i="120"/>
  <c r="NT12" i="120"/>
  <c r="Q18" i="120"/>
  <c r="JT41" i="120"/>
  <c r="JT42" i="120" s="1"/>
  <c r="JT44" i="120" s="1"/>
  <c r="AB300" i="120"/>
  <c r="Q26" i="120"/>
  <c r="D24" i="120"/>
  <c r="E24" i="120" s="1"/>
  <c r="D22" i="120"/>
  <c r="E22" i="120" s="1"/>
  <c r="Q22" i="120"/>
  <c r="SB21" i="120"/>
  <c r="NG13" i="120"/>
  <c r="SD17" i="120"/>
  <c r="QR17" i="120"/>
  <c r="QQ17" i="120"/>
  <c r="JJ301" i="120"/>
  <c r="JI42" i="120"/>
  <c r="AZ62" i="2" s="1"/>
  <c r="QQ25" i="120"/>
  <c r="SD25" i="120"/>
  <c r="QR25" i="120"/>
  <c r="BF44" i="120"/>
  <c r="SB39" i="120"/>
  <c r="SD24" i="120"/>
  <c r="QR24" i="120"/>
  <c r="QQ24" i="120"/>
  <c r="RM19" i="120"/>
  <c r="RJ20" i="120"/>
  <c r="SD26" i="120"/>
  <c r="QR26" i="120"/>
  <c r="QQ26" i="120"/>
  <c r="Q36" i="120"/>
  <c r="GN22" i="120"/>
  <c r="C41" i="120"/>
  <c r="SD34" i="120"/>
  <c r="QR34" i="120"/>
  <c r="QQ34" i="120"/>
  <c r="SD12" i="120"/>
  <c r="QR12" i="120"/>
  <c r="QQ12" i="120"/>
  <c r="QR21" i="120"/>
  <c r="QQ21" i="120"/>
  <c r="SD21" i="120"/>
  <c r="QG13" i="120"/>
  <c r="D15" i="120"/>
  <c r="RX38" i="120"/>
  <c r="SD38" i="120" s="1"/>
  <c r="SD33" i="120"/>
  <c r="QR33" i="120"/>
  <c r="QQ33" i="120"/>
  <c r="GN39" i="120"/>
  <c r="GN23" i="120"/>
  <c r="GN17" i="120"/>
  <c r="GW41" i="120"/>
  <c r="GW42" i="120" s="1"/>
  <c r="GW44" i="120" s="1"/>
  <c r="RX10" i="120"/>
  <c r="SD10" i="120" s="1"/>
  <c r="SB32" i="120"/>
  <c r="SD31" i="120"/>
  <c r="QR31" i="120"/>
  <c r="QQ31" i="120"/>
  <c r="SD20" i="120"/>
  <c r="QR20" i="120"/>
  <c r="QQ20" i="120"/>
  <c r="CX41" i="120"/>
  <c r="CX42" i="120" s="1"/>
  <c r="CX44" i="120" s="1"/>
  <c r="O44" i="120"/>
  <c r="AS42" i="120"/>
  <c r="AS44" i="120" s="1"/>
  <c r="D37" i="120"/>
  <c r="E37" i="120" s="1"/>
  <c r="SD23" i="120"/>
  <c r="QR23" i="120"/>
  <c r="QQ23" i="120"/>
  <c r="Q28" i="120"/>
  <c r="OG13" i="120"/>
  <c r="OM11" i="120"/>
  <c r="DR41" i="120"/>
  <c r="DR42" i="120" s="1"/>
  <c r="DR44" i="120" s="1"/>
  <c r="SB10" i="120"/>
  <c r="QR37" i="120"/>
  <c r="SD37" i="120"/>
  <c r="QQ37" i="120"/>
  <c r="GN37" i="120"/>
  <c r="QR30" i="120"/>
  <c r="QQ30" i="120"/>
  <c r="SD30" i="120"/>
  <c r="QR11" i="120"/>
  <c r="QQ11" i="120"/>
  <c r="SD11" i="120"/>
  <c r="JF41" i="120"/>
  <c r="GM10" i="120"/>
  <c r="GM41" i="120" s="1"/>
  <c r="GM42" i="120" s="1"/>
  <c r="GM44" i="120" s="1"/>
  <c r="Q14" i="120"/>
  <c r="D14" i="120"/>
  <c r="NG39" i="120"/>
  <c r="D35" i="120"/>
  <c r="E35" i="120" s="1"/>
  <c r="Q35" i="120"/>
  <c r="QR35" i="120"/>
  <c r="QQ35" i="120"/>
  <c r="SD35" i="120"/>
  <c r="QR27" i="120"/>
  <c r="SD27" i="120"/>
  <c r="QQ27" i="120"/>
  <c r="IQ41" i="120"/>
  <c r="GL41" i="120" s="1"/>
  <c r="GL10" i="120"/>
  <c r="D32" i="120"/>
  <c r="E32" i="120" s="1"/>
  <c r="Q32" i="120"/>
  <c r="SD19" i="120"/>
  <c r="QR19" i="120"/>
  <c r="QQ19" i="120"/>
  <c r="FB41" i="120"/>
  <c r="FB42" i="120" s="1"/>
  <c r="FB44" i="120" s="1"/>
  <c r="FE10" i="120"/>
  <c r="FE41" i="120" s="1"/>
  <c r="FE42" i="120" s="1"/>
  <c r="FE44" i="120" s="1"/>
  <c r="Q20" i="120"/>
  <c r="D20" i="120"/>
  <c r="E20" i="120" s="1"/>
  <c r="SB34" i="120"/>
  <c r="QR29" i="120"/>
  <c r="QQ29" i="120"/>
  <c r="SD29" i="120"/>
  <c r="Q23" i="120"/>
  <c r="D23" i="120"/>
  <c r="E23" i="120" s="1"/>
  <c r="AC41" i="120"/>
  <c r="AC42" i="120" s="1"/>
  <c r="AA42" i="120"/>
  <c r="PY41" i="120"/>
  <c r="JX41" i="120"/>
  <c r="JX42" i="120" s="1"/>
  <c r="JX44" i="120" s="1"/>
  <c r="JS41" i="120"/>
  <c r="JS42" i="120" s="1"/>
  <c r="JS44" i="120" s="1"/>
  <c r="PG12" i="120"/>
  <c r="PA13" i="120"/>
  <c r="Q33" i="120"/>
  <c r="AB212" i="120"/>
  <c r="JZ41" i="120"/>
  <c r="JZ42" i="120" s="1"/>
  <c r="JZ44" i="120" s="1"/>
  <c r="JU41" i="120"/>
  <c r="JU42" i="120" s="1"/>
  <c r="JU44" i="120" s="1"/>
  <c r="EE41" i="120"/>
  <c r="EE42" i="120" s="1"/>
  <c r="EE44" i="120" s="1"/>
  <c r="Q29" i="120"/>
  <c r="D29" i="120"/>
  <c r="E29" i="120" s="1"/>
  <c r="Y41" i="120"/>
  <c r="AZ105" i="2"/>
  <c r="LJ41" i="120"/>
  <c r="LJ42" i="120" s="1"/>
  <c r="KA41" i="120"/>
  <c r="KA42" i="120" s="1"/>
  <c r="KA44" i="120" s="1"/>
  <c r="JQ41" i="120"/>
  <c r="JQ42" i="120" s="1"/>
  <c r="JQ44" i="120" s="1"/>
  <c r="SB11" i="120"/>
  <c r="CC44" i="120"/>
  <c r="CD42" i="120"/>
  <c r="CD44" i="120" s="1"/>
  <c r="SB40" i="120"/>
  <c r="SD39" i="120"/>
  <c r="QR39" i="120"/>
  <c r="QQ39" i="120"/>
  <c r="Q21" i="120"/>
  <c r="D21" i="120"/>
  <c r="E21" i="120" s="1"/>
  <c r="KB41" i="120"/>
  <c r="KB42" i="120" s="1"/>
  <c r="KB44" i="120" s="1"/>
  <c r="JL41" i="120"/>
  <c r="QR10" i="120"/>
  <c r="QQ10" i="120"/>
  <c r="QQ13" i="120"/>
  <c r="SD13" i="120"/>
  <c r="QR13" i="120"/>
  <c r="D38" i="120"/>
  <c r="E38" i="120" s="1"/>
  <c r="Q38" i="120"/>
  <c r="SB27" i="120"/>
  <c r="D19" i="120"/>
  <c r="E19" i="120" s="1"/>
  <c r="NF19" i="120"/>
  <c r="MX19" i="120" s="1"/>
  <c r="JV41" i="120"/>
  <c r="JV42" i="120" s="1"/>
  <c r="JV44" i="120" s="1"/>
  <c r="JY41" i="120"/>
  <c r="JY42" i="120" s="1"/>
  <c r="JY44" i="120" s="1"/>
  <c r="JP41" i="120"/>
  <c r="JP42" i="120" s="1"/>
  <c r="JP44" i="120" s="1"/>
  <c r="SD15" i="120"/>
  <c r="QR15" i="120"/>
  <c r="QQ15" i="120"/>
  <c r="MZ10" i="120"/>
  <c r="PO11" i="120"/>
  <c r="SD18" i="120"/>
  <c r="QR18" i="120"/>
  <c r="QQ18" i="120"/>
  <c r="D30" i="120"/>
  <c r="E30" i="120" s="1"/>
  <c r="GK41" i="120"/>
  <c r="GK42" i="120" s="1"/>
  <c r="GK44" i="120" s="1"/>
  <c r="HG42" i="120"/>
  <c r="HG45" i="120" s="1"/>
  <c r="HM41" i="120"/>
  <c r="KC41" i="120"/>
  <c r="KC42" i="120" s="1"/>
  <c r="KC44" i="120" s="1"/>
  <c r="QR14" i="120"/>
  <c r="SD14" i="120"/>
  <c r="QQ14" i="120"/>
  <c r="SD28" i="120"/>
  <c r="QR28" i="120"/>
  <c r="QQ28" i="120"/>
  <c r="T41" i="120"/>
  <c r="U41" i="120" s="1"/>
  <c r="U10" i="120"/>
  <c r="KD41" i="120"/>
  <c r="KD42" i="120" s="1"/>
  <c r="KD44" i="120" s="1"/>
  <c r="JR41" i="120"/>
  <c r="JR42" i="120" s="1"/>
  <c r="JR44" i="120" s="1"/>
  <c r="P41" i="120"/>
  <c r="D10" i="120"/>
  <c r="D40" i="120"/>
  <c r="E40" i="120" s="1"/>
  <c r="Q40" i="120"/>
  <c r="SB31" i="120"/>
  <c r="GN30" i="120"/>
  <c r="JO41" i="120"/>
  <c r="JO42" i="120" s="1"/>
  <c r="JO44" i="120" s="1"/>
  <c r="Q13" i="120"/>
  <c r="D13" i="120"/>
  <c r="SB26" i="120"/>
  <c r="DD24" i="120"/>
  <c r="KI41" i="120"/>
  <c r="KI42" i="120" s="1"/>
  <c r="KI44" i="120" s="1"/>
  <c r="KH41" i="120"/>
  <c r="KH42" i="120" s="1"/>
  <c r="KH44" i="120" s="1"/>
  <c r="KG41" i="120"/>
  <c r="KG42" i="120" s="1"/>
  <c r="KG44" i="120" s="1"/>
  <c r="KF41" i="120"/>
  <c r="KF42" i="120" s="1"/>
  <c r="KF44" i="120" s="1"/>
  <c r="KL41" i="120"/>
  <c r="KL42" i="120" s="1"/>
  <c r="KL44" i="120" s="1"/>
  <c r="KE41" i="120"/>
  <c r="KE42" i="120" s="1"/>
  <c r="KE44" i="120" s="1"/>
  <c r="KK41" i="120"/>
  <c r="KK42" i="120" s="1"/>
  <c r="KK44" i="120" s="1"/>
  <c r="KJ41" i="120"/>
  <c r="KJ42" i="120" s="1"/>
  <c r="KJ44" i="120" s="1"/>
  <c r="JW41" i="120"/>
  <c r="JW42" i="120" s="1"/>
  <c r="JW44" i="120" s="1"/>
  <c r="RJ11" i="120"/>
  <c r="RM10" i="120"/>
  <c r="Q11" i="120"/>
  <c r="CZ41" i="120"/>
  <c r="CZ42" i="120" s="1"/>
  <c r="CZ44" i="120" s="1"/>
  <c r="AF13" i="118"/>
  <c r="AF17" i="118"/>
  <c r="AB16" i="118"/>
  <c r="AB17" i="118"/>
  <c r="X10" i="118"/>
  <c r="W10" i="118"/>
  <c r="F3" i="118"/>
  <c r="F4" i="118"/>
  <c r="F5" i="118"/>
  <c r="F6" i="118"/>
  <c r="F7" i="118"/>
  <c r="F8" i="118"/>
  <c r="F9" i="118"/>
  <c r="F10" i="118"/>
  <c r="F11" i="118"/>
  <c r="F12" i="118"/>
  <c r="F13" i="118"/>
  <c r="F14" i="118"/>
  <c r="F15" i="118"/>
  <c r="F16" i="118"/>
  <c r="F17" i="118"/>
  <c r="F18" i="118"/>
  <c r="F19" i="118"/>
  <c r="F20" i="118"/>
  <c r="F2" i="118"/>
  <c r="T10" i="116"/>
  <c r="AK28" i="127" l="1"/>
  <c r="AL27" i="127"/>
  <c r="AA44" i="120"/>
  <c r="AZ31" i="2"/>
  <c r="BS13" i="123"/>
  <c r="BS14" i="123" s="1"/>
  <c r="BS15" i="123" s="1"/>
  <c r="BS16" i="123" s="1"/>
  <c r="BS17" i="123" s="1"/>
  <c r="BS18" i="123" s="1"/>
  <c r="BS19" i="123" s="1"/>
  <c r="BS20" i="123" s="1"/>
  <c r="BS21" i="123" s="1"/>
  <c r="BS22" i="123" s="1"/>
  <c r="BS23" i="123" s="1"/>
  <c r="BS24" i="123" s="1"/>
  <c r="BS25" i="123" s="1"/>
  <c r="BS26" i="123" s="1"/>
  <c r="BS27" i="123" s="1"/>
  <c r="BS28" i="123" s="1"/>
  <c r="BS29" i="123" s="1"/>
  <c r="BS30" i="123" s="1"/>
  <c r="BS31" i="123" s="1"/>
  <c r="BS32" i="123" s="1"/>
  <c r="BS33" i="123" s="1"/>
  <c r="BS34" i="123" s="1"/>
  <c r="BS35" i="123" s="1"/>
  <c r="BS36" i="123" s="1"/>
  <c r="BS37" i="123" s="1"/>
  <c r="BS38" i="123" s="1"/>
  <c r="BS39" i="123" s="1"/>
  <c r="BS40" i="123" s="1"/>
  <c r="BS41" i="123" s="1"/>
  <c r="BS42" i="123" s="1"/>
  <c r="BS43" i="123" s="1"/>
  <c r="QI10" i="122"/>
  <c r="QI11" i="122" s="1"/>
  <c r="QI12" i="122" s="1"/>
  <c r="QI13" i="122" s="1"/>
  <c r="QI14" i="122" s="1"/>
  <c r="QI15" i="122" s="1"/>
  <c r="QI16" i="122" s="1"/>
  <c r="QI17" i="122" s="1"/>
  <c r="QI18" i="122" s="1"/>
  <c r="QI19" i="122" s="1"/>
  <c r="QI20" i="122" s="1"/>
  <c r="QI21" i="122" s="1"/>
  <c r="QI22" i="122" s="1"/>
  <c r="QI23" i="122" s="1"/>
  <c r="QI24" i="122" s="1"/>
  <c r="QI25" i="122" s="1"/>
  <c r="QI26" i="122" s="1"/>
  <c r="QI27" i="122" s="1"/>
  <c r="QI28" i="122" s="1"/>
  <c r="QI29" i="122" s="1"/>
  <c r="QI30" i="122" s="1"/>
  <c r="QI31" i="122" s="1"/>
  <c r="QI32" i="122" s="1"/>
  <c r="QI33" i="122" s="1"/>
  <c r="QI34" i="122" s="1"/>
  <c r="QI35" i="122" s="1"/>
  <c r="QI36" i="122" s="1"/>
  <c r="QI37" i="122" s="1"/>
  <c r="QI38" i="122" s="1"/>
  <c r="QI39" i="122" s="1"/>
  <c r="QI40" i="122" s="1"/>
  <c r="QI41" i="122" s="1"/>
  <c r="P42" i="120"/>
  <c r="AX44" i="120"/>
  <c r="OD44" i="120"/>
  <c r="OD9" i="122"/>
  <c r="OD10" i="122" s="1"/>
  <c r="OD11" i="122" s="1"/>
  <c r="OD12" i="122" s="1"/>
  <c r="OD13" i="122" s="1"/>
  <c r="OD14" i="122" s="1"/>
  <c r="OD15" i="122" s="1"/>
  <c r="OD16" i="122" s="1"/>
  <c r="OD17" i="122" s="1"/>
  <c r="OD18" i="122" s="1"/>
  <c r="OD19" i="122" s="1"/>
  <c r="OD20" i="122" s="1"/>
  <c r="OD21" i="122" s="1"/>
  <c r="OD22" i="122" s="1"/>
  <c r="OD23" i="122" s="1"/>
  <c r="OD24" i="122" s="1"/>
  <c r="OD25" i="122" s="1"/>
  <c r="OD26" i="122" s="1"/>
  <c r="OD27" i="122" s="1"/>
  <c r="OD28" i="122" s="1"/>
  <c r="OD29" i="122" s="1"/>
  <c r="OD30" i="122" s="1"/>
  <c r="OD31" i="122" s="1"/>
  <c r="OD32" i="122" s="1"/>
  <c r="OD33" i="122" s="1"/>
  <c r="OD34" i="122" s="1"/>
  <c r="OD35" i="122" s="1"/>
  <c r="OD36" i="122" s="1"/>
  <c r="OD37" i="122" s="1"/>
  <c r="OD38" i="122" s="1"/>
  <c r="OD39" i="122" s="1"/>
  <c r="OD40" i="122" s="1"/>
  <c r="OD41" i="122" s="1"/>
  <c r="OD42" i="122" s="1"/>
  <c r="OD44" i="122" s="1"/>
  <c r="QH11" i="122"/>
  <c r="OG26" i="122"/>
  <c r="NG28" i="122"/>
  <c r="RJ34" i="122"/>
  <c r="RM33" i="122"/>
  <c r="PO26" i="122"/>
  <c r="MZ25" i="122"/>
  <c r="PA28" i="122"/>
  <c r="PG27" i="122"/>
  <c r="NT26" i="122"/>
  <c r="NP13" i="120"/>
  <c r="R35" i="118"/>
  <c r="NF20" i="120"/>
  <c r="MX20" i="120" s="1"/>
  <c r="NC21" i="120"/>
  <c r="W43" i="118"/>
  <c r="ND21" i="120"/>
  <c r="X43" i="118"/>
  <c r="NZ12" i="120"/>
  <c r="AD34" i="118"/>
  <c r="NO12" i="120"/>
  <c r="AA34" i="118"/>
  <c r="JJ44" i="120"/>
  <c r="AZ27" i="2"/>
  <c r="AC5" i="95"/>
  <c r="NA10" i="120"/>
  <c r="NA11" i="120"/>
  <c r="E10" i="120"/>
  <c r="E16" i="120"/>
  <c r="NA12" i="120"/>
  <c r="JW45" i="120"/>
  <c r="JI44" i="120"/>
  <c r="GN10" i="120"/>
  <c r="IP44" i="120"/>
  <c r="IQ42" i="120"/>
  <c r="IQ44" i="120" s="1"/>
  <c r="DD41" i="120"/>
  <c r="DD42" i="120" s="1"/>
  <c r="DD44" i="120" s="1"/>
  <c r="E15" i="120"/>
  <c r="E13" i="120"/>
  <c r="E14" i="120"/>
  <c r="S12" i="121"/>
  <c r="E12" i="121" s="1"/>
  <c r="R43" i="121"/>
  <c r="D43" i="121"/>
  <c r="CN12" i="121"/>
  <c r="BD43" i="121" a="1"/>
  <c r="BD43" i="121" s="1"/>
  <c r="BD44" i="121" s="1"/>
  <c r="AZ43" i="121" a="1"/>
  <c r="AZ43" i="121" s="1"/>
  <c r="AZ44" i="121" s="1"/>
  <c r="AX43" i="121"/>
  <c r="AX44" i="121" s="1"/>
  <c r="AC25" i="95" s="1"/>
  <c r="AC16" i="95" s="1"/>
  <c r="BA43" i="121" a="1"/>
  <c r="BA43" i="121" s="1"/>
  <c r="BA44" i="121" s="1"/>
  <c r="BC43" i="121" a="1"/>
  <c r="BC43" i="121" s="1"/>
  <c r="BC44" i="121" s="1"/>
  <c r="BB43" i="121" a="1"/>
  <c r="BB43" i="121" s="1"/>
  <c r="BB44" i="121" s="1"/>
  <c r="AL12" i="121"/>
  <c r="Q44" i="121"/>
  <c r="S44" i="121" s="1"/>
  <c r="S43" i="121"/>
  <c r="S44" i="120"/>
  <c r="S49" i="120"/>
  <c r="OM12" i="120"/>
  <c r="JL47" i="120"/>
  <c r="JL48" i="120" s="1"/>
  <c r="JL42" i="120"/>
  <c r="JL44" i="120" s="1"/>
  <c r="PA14" i="120"/>
  <c r="PG13" i="120"/>
  <c r="NT13" i="120"/>
  <c r="OG14" i="120"/>
  <c r="T49" i="120"/>
  <c r="AZ44" i="2"/>
  <c r="KE45" i="120"/>
  <c r="NA13" i="120"/>
  <c r="QG14" i="120"/>
  <c r="PO12" i="120"/>
  <c r="MZ11" i="120"/>
  <c r="GQ46" i="120"/>
  <c r="GL42" i="120"/>
  <c r="GL44" i="120" s="1"/>
  <c r="NG40" i="120"/>
  <c r="HG44" i="120"/>
  <c r="HM42" i="120"/>
  <c r="HM44" i="120" s="1"/>
  <c r="W44" i="120"/>
  <c r="Y42" i="120"/>
  <c r="Y44" i="120" s="1"/>
  <c r="RJ21" i="120"/>
  <c r="RM20" i="120"/>
  <c r="NG14" i="120"/>
  <c r="T228" i="120"/>
  <c r="AA49" i="120"/>
  <c r="P49" i="120"/>
  <c r="AB52" i="120"/>
  <c r="AB54" i="120" s="1"/>
  <c r="Q41" i="120"/>
  <c r="C42" i="120"/>
  <c r="AC43" i="120"/>
  <c r="AC44" i="120" s="1"/>
  <c r="JO45" i="120"/>
  <c r="RJ12" i="120"/>
  <c r="RM11" i="120"/>
  <c r="D41" i="120"/>
  <c r="E41" i="120" s="1"/>
  <c r="E3" i="118"/>
  <c r="E4" i="118"/>
  <c r="E5" i="118"/>
  <c r="E6" i="118"/>
  <c r="E7" i="118"/>
  <c r="E8" i="118"/>
  <c r="E9" i="118"/>
  <c r="E10" i="118"/>
  <c r="E11" i="118"/>
  <c r="E12" i="118"/>
  <c r="E13" i="118"/>
  <c r="E14" i="118"/>
  <c r="E15" i="118"/>
  <c r="E16" i="118"/>
  <c r="E17" i="118"/>
  <c r="E18" i="118"/>
  <c r="E19" i="118"/>
  <c r="E20" i="118"/>
  <c r="E21" i="118"/>
  <c r="E22" i="118"/>
  <c r="E23" i="118"/>
  <c r="E24" i="118"/>
  <c r="E25" i="118"/>
  <c r="E26" i="118"/>
  <c r="E27" i="118"/>
  <c r="E28" i="118"/>
  <c r="E29" i="118"/>
  <c r="E30" i="118"/>
  <c r="E31" i="118"/>
  <c r="E32" i="118"/>
  <c r="E2" i="118"/>
  <c r="AK29" i="127" l="1"/>
  <c r="AL28" i="127"/>
  <c r="QH12" i="122"/>
  <c r="NG29" i="122"/>
  <c r="NT27" i="122"/>
  <c r="PA29" i="122"/>
  <c r="PG28" i="122"/>
  <c r="PO27" i="122"/>
  <c r="MZ26" i="122"/>
  <c r="RJ35" i="122"/>
  <c r="RM34" i="122"/>
  <c r="OG27" i="122"/>
  <c r="NP14" i="120"/>
  <c r="R36" i="118"/>
  <c r="NF21" i="120"/>
  <c r="MX21" i="120" s="1"/>
  <c r="NO13" i="120"/>
  <c r="AA35" i="118"/>
  <c r="ND22" i="120"/>
  <c r="X44" i="118"/>
  <c r="NZ13" i="120"/>
  <c r="AD35" i="118"/>
  <c r="NC22" i="120"/>
  <c r="W44" i="118"/>
  <c r="AZ40" i="2"/>
  <c r="AX46" i="121"/>
  <c r="AX47" i="121" s="1"/>
  <c r="GN41" i="120"/>
  <c r="GN42" i="120" s="1"/>
  <c r="GN44" i="120" s="1"/>
  <c r="T44" i="120"/>
  <c r="U44" i="120" s="1"/>
  <c r="E44" i="121"/>
  <c r="E43" i="121"/>
  <c r="AL13" i="121"/>
  <c r="R44" i="121"/>
  <c r="AC10" i="95" s="1"/>
  <c r="R47" i="121"/>
  <c r="NG15" i="120"/>
  <c r="D42" i="120"/>
  <c r="D44" i="120" s="1"/>
  <c r="P44" i="120"/>
  <c r="Q42" i="120"/>
  <c r="Q44" i="120" s="1"/>
  <c r="OG15" i="120"/>
  <c r="RM12" i="120"/>
  <c r="RJ13" i="120"/>
  <c r="NT14" i="120"/>
  <c r="PG14" i="120"/>
  <c r="PA15" i="120"/>
  <c r="PO13" i="120"/>
  <c r="MZ12" i="120"/>
  <c r="OM13" i="120"/>
  <c r="RJ22" i="120"/>
  <c r="RM21" i="120"/>
  <c r="QG15" i="120"/>
  <c r="NA14" i="120"/>
  <c r="U42" i="120"/>
  <c r="NG41" i="120"/>
  <c r="NG42" i="120" s="1"/>
  <c r="C44" i="120"/>
  <c r="AK30" i="127" l="1"/>
  <c r="AL29" i="127"/>
  <c r="QH13" i="122"/>
  <c r="MZ27" i="122"/>
  <c r="PO28" i="122"/>
  <c r="OG28" i="122"/>
  <c r="RJ36" i="122"/>
  <c r="RM35" i="122"/>
  <c r="PA30" i="122"/>
  <c r="PG29" i="122"/>
  <c r="NT28" i="122"/>
  <c r="NG30" i="122"/>
  <c r="NP15" i="120"/>
  <c r="R37" i="118"/>
  <c r="NF22" i="120"/>
  <c r="MX22" i="120" s="1"/>
  <c r="NZ14" i="120"/>
  <c r="AD36" i="118"/>
  <c r="ND23" i="120"/>
  <c r="X45" i="118"/>
  <c r="NC23" i="120"/>
  <c r="W45" i="118"/>
  <c r="NO14" i="120"/>
  <c r="AA36" i="118"/>
  <c r="AL14" i="121"/>
  <c r="OM14" i="120"/>
  <c r="PG15" i="120"/>
  <c r="PA16" i="120"/>
  <c r="NA15" i="120"/>
  <c r="QG16" i="120"/>
  <c r="NG16" i="120"/>
  <c r="E42" i="120"/>
  <c r="E44" i="120" s="1"/>
  <c r="NT15" i="120"/>
  <c r="RM13" i="120"/>
  <c r="RJ14" i="120"/>
  <c r="MZ13" i="120"/>
  <c r="PO14" i="120"/>
  <c r="NG44" i="120"/>
  <c r="OG16" i="120"/>
  <c r="RJ23" i="120"/>
  <c r="RM22" i="120"/>
  <c r="BN42" i="116"/>
  <c r="BN41" i="116"/>
  <c r="AK31" i="127" l="1"/>
  <c r="AL30" i="127"/>
  <c r="QH14" i="122"/>
  <c r="NG31" i="122"/>
  <c r="NT29" i="122"/>
  <c r="PA31" i="122"/>
  <c r="PG30" i="122"/>
  <c r="PO29" i="122"/>
  <c r="MZ28" i="122"/>
  <c r="RJ37" i="122"/>
  <c r="RM36" i="122"/>
  <c r="OG29" i="122"/>
  <c r="NP16" i="120"/>
  <c r="R38" i="118"/>
  <c r="NF23" i="120"/>
  <c r="MX23" i="120" s="1"/>
  <c r="NO15" i="120"/>
  <c r="AA37" i="118"/>
  <c r="ND24" i="120"/>
  <c r="X46" i="118"/>
  <c r="NZ15" i="120"/>
  <c r="AD37" i="118"/>
  <c r="NC24" i="120"/>
  <c r="W46" i="118"/>
  <c r="AL15" i="121"/>
  <c r="NT16" i="120"/>
  <c r="NG17" i="120"/>
  <c r="RJ15" i="120"/>
  <c r="RM14" i="120"/>
  <c r="RJ24" i="120"/>
  <c r="RM23" i="120"/>
  <c r="QG17" i="120"/>
  <c r="NA16" i="120"/>
  <c r="PA17" i="120"/>
  <c r="PG16" i="120"/>
  <c r="OG17" i="120"/>
  <c r="PO15" i="120"/>
  <c r="MZ14" i="120"/>
  <c r="AK32" i="127" l="1"/>
  <c r="AL31" i="127"/>
  <c r="QH15" i="122"/>
  <c r="RM37" i="122"/>
  <c r="RJ38" i="122"/>
  <c r="MZ29" i="122"/>
  <c r="PO30" i="122"/>
  <c r="OG30" i="122"/>
  <c r="PG31" i="122"/>
  <c r="PA32" i="122"/>
  <c r="NG32" i="122"/>
  <c r="NT30" i="122"/>
  <c r="NP17" i="120"/>
  <c r="R39" i="118"/>
  <c r="NZ16" i="120"/>
  <c r="AD38" i="118"/>
  <c r="ND25" i="120"/>
  <c r="X47" i="118"/>
  <c r="NC25" i="120"/>
  <c r="NC26" i="120" s="1"/>
  <c r="NC27" i="120" s="1"/>
  <c r="NC28" i="120" s="1"/>
  <c r="NC29" i="120" s="1"/>
  <c r="NC31" i="120" s="1"/>
  <c r="NC32" i="120" s="1"/>
  <c r="NC33" i="120" s="1"/>
  <c r="NC34" i="120" s="1"/>
  <c r="NC35" i="120" s="1"/>
  <c r="NC36" i="120" s="1"/>
  <c r="NC37" i="120" s="1"/>
  <c r="NC38" i="120" s="1"/>
  <c r="NC39" i="120" s="1"/>
  <c r="W47" i="118"/>
  <c r="NF24" i="120"/>
  <c r="MX24" i="120" s="1"/>
  <c r="NO16" i="120"/>
  <c r="AA38" i="118"/>
  <c r="AL16" i="121"/>
  <c r="PA18" i="120"/>
  <c r="PG17" i="120"/>
  <c r="RJ25" i="120"/>
  <c r="RM24" i="120"/>
  <c r="QG18" i="120"/>
  <c r="NA17" i="120"/>
  <c r="MZ15" i="120"/>
  <c r="PO16" i="120"/>
  <c r="NG18" i="120"/>
  <c r="OG18" i="120"/>
  <c r="RM15" i="120"/>
  <c r="RJ16" i="120"/>
  <c r="NT17" i="120"/>
  <c r="G8" i="118"/>
  <c r="H8" i="118"/>
  <c r="I8" i="118"/>
  <c r="J8" i="118"/>
  <c r="G9" i="118"/>
  <c r="H9" i="118"/>
  <c r="I9" i="118"/>
  <c r="J9" i="118"/>
  <c r="G10" i="118"/>
  <c r="H10" i="118"/>
  <c r="I10" i="118"/>
  <c r="J10" i="118"/>
  <c r="G11" i="118"/>
  <c r="H11" i="118"/>
  <c r="I11" i="118"/>
  <c r="J11" i="118"/>
  <c r="G12" i="118"/>
  <c r="H12" i="118"/>
  <c r="I12" i="118"/>
  <c r="J12" i="118"/>
  <c r="G13" i="118"/>
  <c r="H13" i="118"/>
  <c r="I13" i="118"/>
  <c r="J13" i="118"/>
  <c r="G14" i="118"/>
  <c r="H14" i="118"/>
  <c r="I14" i="118"/>
  <c r="J14" i="118"/>
  <c r="G15" i="118"/>
  <c r="H15" i="118"/>
  <c r="I15" i="118"/>
  <c r="J15" i="118"/>
  <c r="G16" i="118"/>
  <c r="H16" i="118"/>
  <c r="I16" i="118"/>
  <c r="J16" i="118"/>
  <c r="G17" i="118"/>
  <c r="H17" i="118"/>
  <c r="I17" i="118"/>
  <c r="J17" i="118"/>
  <c r="G18" i="118"/>
  <c r="H18" i="118"/>
  <c r="I18" i="118"/>
  <c r="J18" i="118"/>
  <c r="G19" i="118"/>
  <c r="H19" i="118"/>
  <c r="I19" i="118"/>
  <c r="J19" i="118"/>
  <c r="G20" i="118"/>
  <c r="H20" i="118"/>
  <c r="I20" i="118"/>
  <c r="J20" i="118"/>
  <c r="G21" i="118"/>
  <c r="H21" i="118"/>
  <c r="I21" i="118"/>
  <c r="J21" i="118"/>
  <c r="G22" i="118"/>
  <c r="H22" i="118"/>
  <c r="I22" i="118"/>
  <c r="J22" i="118"/>
  <c r="G23" i="118"/>
  <c r="H23" i="118"/>
  <c r="I23" i="118"/>
  <c r="J23" i="118"/>
  <c r="G24" i="118"/>
  <c r="H24" i="118"/>
  <c r="I24" i="118"/>
  <c r="J24" i="118"/>
  <c r="G25" i="118"/>
  <c r="H25" i="118"/>
  <c r="I25" i="118"/>
  <c r="J25" i="118"/>
  <c r="G26" i="118"/>
  <c r="H26" i="118"/>
  <c r="I26" i="118"/>
  <c r="J26" i="118"/>
  <c r="G27" i="118"/>
  <c r="H27" i="118"/>
  <c r="I27" i="118"/>
  <c r="J27" i="118"/>
  <c r="G28" i="118"/>
  <c r="H28" i="118"/>
  <c r="I28" i="118"/>
  <c r="J28" i="118"/>
  <c r="G29" i="118"/>
  <c r="H29" i="118"/>
  <c r="I29" i="118"/>
  <c r="J29" i="118"/>
  <c r="G30" i="118"/>
  <c r="H30" i="118"/>
  <c r="I30" i="118"/>
  <c r="J30" i="118"/>
  <c r="G31" i="118"/>
  <c r="H31" i="118"/>
  <c r="I31" i="118"/>
  <c r="J31" i="118"/>
  <c r="G32" i="118"/>
  <c r="H32" i="118"/>
  <c r="I32" i="118"/>
  <c r="J32" i="118"/>
  <c r="AK33" i="127" l="1"/>
  <c r="AL32" i="127"/>
  <c r="QH16" i="122"/>
  <c r="PA33" i="122"/>
  <c r="PG32" i="122"/>
  <c r="NG33" i="122"/>
  <c r="OG31" i="122"/>
  <c r="PO31" i="122"/>
  <c r="MZ30" i="122"/>
  <c r="NT31" i="122"/>
  <c r="RM38" i="122"/>
  <c r="RJ39" i="122"/>
  <c r="NP18" i="120"/>
  <c r="R40" i="118"/>
  <c r="NO17" i="120"/>
  <c r="AA39" i="118"/>
  <c r="W48" i="118"/>
  <c r="NF25" i="120"/>
  <c r="MX25" i="120" s="1"/>
  <c r="ND26" i="120"/>
  <c r="NF26" i="120" s="1"/>
  <c r="MX26" i="120" s="1"/>
  <c r="X48" i="118"/>
  <c r="NZ17" i="120"/>
  <c r="AD39" i="118"/>
  <c r="AL17" i="121"/>
  <c r="MZ16" i="120"/>
  <c r="PO17" i="120"/>
  <c r="QG19" i="120"/>
  <c r="NA18" i="120"/>
  <c r="OG19" i="120"/>
  <c r="NG19" i="120"/>
  <c r="NT18" i="120"/>
  <c r="RJ17" i="120"/>
  <c r="RM17" i="120" s="1"/>
  <c r="RM16" i="120"/>
  <c r="RM25" i="120"/>
  <c r="RJ26" i="120"/>
  <c r="PA19" i="120"/>
  <c r="PG18" i="120"/>
  <c r="B9" i="98"/>
  <c r="AK34" i="127" l="1"/>
  <c r="AL33" i="127"/>
  <c r="QH17" i="122"/>
  <c r="RJ40" i="122"/>
  <c r="RM40" i="122" s="1"/>
  <c r="RM39" i="122"/>
  <c r="NT32" i="122"/>
  <c r="PO32" i="122"/>
  <c r="MZ31" i="122"/>
  <c r="OG32" i="122"/>
  <c r="NG34" i="122"/>
  <c r="PA34" i="122"/>
  <c r="PG33" i="122"/>
  <c r="NP19" i="120"/>
  <c r="R41" i="118"/>
  <c r="NZ18" i="120"/>
  <c r="AD40" i="118"/>
  <c r="W49" i="118"/>
  <c r="ND27" i="120"/>
  <c r="X49" i="118"/>
  <c r="NO18" i="120"/>
  <c r="AA40" i="118"/>
  <c r="AL18" i="121"/>
  <c r="PG19" i="120"/>
  <c r="PA20" i="120"/>
  <c r="RJ27" i="120"/>
  <c r="RM26" i="120"/>
  <c r="NT19" i="120"/>
  <c r="NG20" i="120"/>
  <c r="OG20" i="120"/>
  <c r="NA19" i="120"/>
  <c r="QG20" i="120"/>
  <c r="PO18" i="120"/>
  <c r="MZ17" i="120"/>
  <c r="P132" i="116"/>
  <c r="O132" i="116"/>
  <c r="X50" i="116"/>
  <c r="X51" i="116" s="1"/>
  <c r="W50" i="116"/>
  <c r="W51" i="116" s="1"/>
  <c r="T50" i="116"/>
  <c r="T52" i="116" s="1"/>
  <c r="S50" i="116"/>
  <c r="S52" i="116" s="1"/>
  <c r="P50" i="116"/>
  <c r="P51" i="116" s="1"/>
  <c r="O50" i="116"/>
  <c r="O51" i="116" s="1"/>
  <c r="O43" i="116"/>
  <c r="O90" i="116" s="1"/>
  <c r="P43" i="116"/>
  <c r="AK35" i="127" l="1"/>
  <c r="AL34" i="127"/>
  <c r="QH18" i="122"/>
  <c r="NG35" i="122"/>
  <c r="PG34" i="122"/>
  <c r="PA35" i="122"/>
  <c r="OG33" i="122"/>
  <c r="PO33" i="122"/>
  <c r="MZ32" i="122"/>
  <c r="NT33" i="122"/>
  <c r="NP20" i="120"/>
  <c r="R42" i="118"/>
  <c r="NO19" i="120"/>
  <c r="AA41" i="118"/>
  <c r="ND28" i="120"/>
  <c r="X50" i="118"/>
  <c r="W50" i="118"/>
  <c r="NF27" i="120"/>
  <c r="MX27" i="120" s="1"/>
  <c r="NZ19" i="120"/>
  <c r="AD41" i="118"/>
  <c r="AL19" i="121"/>
  <c r="OG21" i="120"/>
  <c r="MZ18" i="120"/>
  <c r="PO19" i="120"/>
  <c r="QG21" i="120"/>
  <c r="NA20" i="120"/>
  <c r="NG21" i="120"/>
  <c r="NT20" i="120"/>
  <c r="PA21" i="120"/>
  <c r="PG20" i="120"/>
  <c r="RM27" i="120"/>
  <c r="RJ28" i="120"/>
  <c r="X42" i="102"/>
  <c r="AK36" i="127" l="1"/>
  <c r="AL35" i="127"/>
  <c r="QH19" i="122"/>
  <c r="PO34" i="122"/>
  <c r="MZ33" i="122"/>
  <c r="OG34" i="122"/>
  <c r="PA36" i="122"/>
  <c r="PG35" i="122"/>
  <c r="NT34" i="122"/>
  <c r="NP21" i="120"/>
  <c r="R43" i="118"/>
  <c r="NZ20" i="120"/>
  <c r="AD42" i="118"/>
  <c r="W51" i="118"/>
  <c r="NF28" i="120"/>
  <c r="MX28" i="120" s="1"/>
  <c r="ND29" i="120"/>
  <c r="NF29" i="120" s="1"/>
  <c r="MX29" i="120" s="1"/>
  <c r="X51" i="118"/>
  <c r="NO20" i="120"/>
  <c r="AA42" i="118"/>
  <c r="AL20" i="121"/>
  <c r="RJ29" i="120"/>
  <c r="RM28" i="120"/>
  <c r="NT21" i="120"/>
  <c r="NG22" i="120"/>
  <c r="QG22" i="120"/>
  <c r="NA21" i="120"/>
  <c r="PG21" i="120"/>
  <c r="PA22" i="120"/>
  <c r="MZ19" i="120"/>
  <c r="PO20" i="120"/>
  <c r="OG22" i="120"/>
  <c r="AK37" i="127" l="1"/>
  <c r="AL36" i="127"/>
  <c r="QH20" i="122"/>
  <c r="NT35" i="122"/>
  <c r="PA37" i="122"/>
  <c r="PG36" i="122"/>
  <c r="OG35" i="122"/>
  <c r="PO35" i="122"/>
  <c r="MZ34" i="122"/>
  <c r="NP22" i="120"/>
  <c r="R44" i="118"/>
  <c r="X52" i="118"/>
  <c r="NO21" i="120"/>
  <c r="AA43" i="118"/>
  <c r="W52" i="118"/>
  <c r="NZ21" i="120"/>
  <c r="AD43" i="118"/>
  <c r="AL21" i="121"/>
  <c r="OG23" i="120"/>
  <c r="PO21" i="120"/>
  <c r="MZ20" i="120"/>
  <c r="PA23" i="120"/>
  <c r="PG22" i="120"/>
  <c r="QG23" i="120"/>
  <c r="NA22" i="120"/>
  <c r="NG23" i="120"/>
  <c r="NT22" i="120"/>
  <c r="RJ30" i="120"/>
  <c r="RM29" i="120"/>
  <c r="J7" i="118"/>
  <c r="I7" i="118"/>
  <c r="H7" i="118"/>
  <c r="G7" i="118"/>
  <c r="J6" i="118"/>
  <c r="I6" i="118"/>
  <c r="H6" i="118"/>
  <c r="G6" i="118"/>
  <c r="J5" i="118"/>
  <c r="I5" i="118"/>
  <c r="H5" i="118"/>
  <c r="G5" i="118"/>
  <c r="J4" i="118"/>
  <c r="I4" i="118"/>
  <c r="H4" i="118"/>
  <c r="G4" i="118"/>
  <c r="J3" i="118"/>
  <c r="I3" i="118"/>
  <c r="H3" i="118"/>
  <c r="G3" i="118"/>
  <c r="J2" i="118"/>
  <c r="I2" i="118"/>
  <c r="H2" i="118"/>
  <c r="G2" i="118"/>
  <c r="AK38" i="127" l="1"/>
  <c r="AL37" i="127"/>
  <c r="QH21" i="122"/>
  <c r="PO36" i="122"/>
  <c r="MZ35" i="122"/>
  <c r="NT36" i="122"/>
  <c r="OG36" i="122"/>
  <c r="PG37" i="122"/>
  <c r="PA38" i="122"/>
  <c r="NP23" i="120"/>
  <c r="R45" i="118"/>
  <c r="NF30" i="120"/>
  <c r="MX30" i="120" s="1"/>
  <c r="W53" i="118"/>
  <c r="NZ22" i="120"/>
  <c r="AD44" i="118"/>
  <c r="NO22" i="120"/>
  <c r="AA44" i="118"/>
  <c r="ND31" i="120"/>
  <c r="X53" i="118"/>
  <c r="AL22" i="121"/>
  <c r="RM30" i="120"/>
  <c r="RJ31" i="120"/>
  <c r="PO22" i="120"/>
  <c r="MZ21" i="120"/>
  <c r="NG24" i="120"/>
  <c r="OG24" i="120"/>
  <c r="NT23" i="120"/>
  <c r="QG24" i="120"/>
  <c r="NA23" i="120"/>
  <c r="PA24" i="120"/>
  <c r="PG23" i="120"/>
  <c r="AL44" i="112"/>
  <c r="AK39" i="127" l="1"/>
  <c r="AL38" i="127"/>
  <c r="QH22" i="122"/>
  <c r="PA39" i="122"/>
  <c r="PG38" i="122"/>
  <c r="OG37" i="122"/>
  <c r="NT37" i="122"/>
  <c r="PO37" i="122"/>
  <c r="MZ36" i="122"/>
  <c r="NP24" i="120"/>
  <c r="R46" i="118"/>
  <c r="ND32" i="120"/>
  <c r="X54" i="118"/>
  <c r="NO23" i="120"/>
  <c r="AA45" i="118"/>
  <c r="NZ23" i="120"/>
  <c r="AD45" i="118"/>
  <c r="NF31" i="120"/>
  <c r="MX31" i="120" s="1"/>
  <c r="W54" i="118"/>
  <c r="AL23" i="121"/>
  <c r="PG24" i="120"/>
  <c r="PA25" i="120"/>
  <c r="NT24" i="120"/>
  <c r="OG25" i="120"/>
  <c r="MZ22" i="120"/>
  <c r="PO23" i="120"/>
  <c r="QG25" i="120"/>
  <c r="NA24" i="120"/>
  <c r="NG25" i="120"/>
  <c r="RJ32" i="120"/>
  <c r="RM31" i="120"/>
  <c r="W42" i="111"/>
  <c r="X42" i="111"/>
  <c r="AK40" i="127" l="1"/>
  <c r="AL39" i="127"/>
  <c r="QH23" i="122"/>
  <c r="NT38" i="122"/>
  <c r="OG38" i="122"/>
  <c r="MZ37" i="122"/>
  <c r="PO38" i="122"/>
  <c r="PG39" i="122"/>
  <c r="PA40" i="122"/>
  <c r="NP25" i="120"/>
  <c r="R47" i="118"/>
  <c r="W55" i="118"/>
  <c r="NF32" i="120"/>
  <c r="MX32" i="120" s="1"/>
  <c r="NZ24" i="120"/>
  <c r="AD46" i="118"/>
  <c r="NO24" i="120"/>
  <c r="AA46" i="118"/>
  <c r="ND33" i="120"/>
  <c r="NF33" i="120" s="1"/>
  <c r="MX33" i="120" s="1"/>
  <c r="X55" i="118"/>
  <c r="AL24" i="121"/>
  <c r="NG26" i="120"/>
  <c r="NA25" i="120"/>
  <c r="QG26" i="120"/>
  <c r="OG26" i="120"/>
  <c r="RM32" i="120"/>
  <c r="RJ33" i="120"/>
  <c r="PO24" i="120"/>
  <c r="MZ23" i="120"/>
  <c r="NT25" i="120"/>
  <c r="PA26" i="120"/>
  <c r="PG25" i="120"/>
  <c r="NE42" i="111"/>
  <c r="NR42" i="111"/>
  <c r="OE42" i="111"/>
  <c r="OR42" i="111"/>
  <c r="AK41" i="127" l="1"/>
  <c r="AL40" i="127"/>
  <c r="QH24" i="122"/>
  <c r="PA41" i="122"/>
  <c r="PA42" i="122" s="1"/>
  <c r="PA44" i="122" s="1"/>
  <c r="PG40" i="122"/>
  <c r="PG41" i="122" s="1"/>
  <c r="PG42" i="122" s="1"/>
  <c r="PG44" i="122" s="1"/>
  <c r="MZ38" i="122"/>
  <c r="PO39" i="122"/>
  <c r="OG39" i="122"/>
  <c r="NT39" i="122"/>
  <c r="NP26" i="120"/>
  <c r="R48" i="118"/>
  <c r="ND34" i="120"/>
  <c r="X56" i="118"/>
  <c r="NO25" i="120"/>
  <c r="AA47" i="118"/>
  <c r="NZ25" i="120"/>
  <c r="AD47" i="118"/>
  <c r="W56" i="118"/>
  <c r="AL25" i="121"/>
  <c r="NT26" i="120"/>
  <c r="PO25" i="120"/>
  <c r="MZ24" i="120"/>
  <c r="PG26" i="120"/>
  <c r="PA27" i="120"/>
  <c r="RJ34" i="120"/>
  <c r="RM33" i="120"/>
  <c r="OG27" i="120"/>
  <c r="QG27" i="120"/>
  <c r="NA26" i="120"/>
  <c r="NG27" i="120"/>
  <c r="AK42" i="127" l="1"/>
  <c r="AL41" i="127"/>
  <c r="QH25" i="122"/>
  <c r="OG40" i="122"/>
  <c r="NT40" i="122"/>
  <c r="PO40" i="122"/>
  <c r="MZ39" i="122"/>
  <c r="NP27" i="120"/>
  <c r="R49" i="118"/>
  <c r="W57" i="118"/>
  <c r="NF34" i="120"/>
  <c r="MX34" i="120" s="1"/>
  <c r="NZ26" i="120"/>
  <c r="AD48" i="118"/>
  <c r="NO26" i="120"/>
  <c r="AA48" i="118"/>
  <c r="ND35" i="120"/>
  <c r="X57" i="118"/>
  <c r="AL26" i="121"/>
  <c r="NG28" i="120"/>
  <c r="OG28" i="120"/>
  <c r="NA27" i="120"/>
  <c r="QG28" i="120"/>
  <c r="PA28" i="120"/>
  <c r="PG27" i="120"/>
  <c r="RM34" i="120"/>
  <c r="RJ35" i="120"/>
  <c r="MZ25" i="120"/>
  <c r="PO26" i="120"/>
  <c r="NT27" i="120"/>
  <c r="PO9" i="116"/>
  <c r="PN9" i="116"/>
  <c r="AK43" i="127" l="1"/>
  <c r="AK44" i="127" s="1"/>
  <c r="AL42" i="127"/>
  <c r="AL43" i="127" s="1"/>
  <c r="AL44" i="127" s="1"/>
  <c r="QH26" i="122"/>
  <c r="MZ40" i="122"/>
  <c r="MZ41" i="122" s="1"/>
  <c r="MZ42" i="122" s="1"/>
  <c r="MZ44" i="122" s="1"/>
  <c r="PO41" i="122"/>
  <c r="PO44" i="122" s="1"/>
  <c r="NT41" i="122"/>
  <c r="NT42" i="122" s="1"/>
  <c r="NT44" i="122" s="1"/>
  <c r="OG41" i="122"/>
  <c r="NP28" i="120"/>
  <c r="R50" i="118"/>
  <c r="NF35" i="120"/>
  <c r="MX35" i="120" s="1"/>
  <c r="ND36" i="120"/>
  <c r="X58" i="118"/>
  <c r="NO27" i="120"/>
  <c r="AA49" i="118"/>
  <c r="NZ27" i="120"/>
  <c r="AD49" i="118"/>
  <c r="W58" i="118"/>
  <c r="AL27" i="121"/>
  <c r="PO27" i="120"/>
  <c r="MZ26" i="120"/>
  <c r="QG29" i="120"/>
  <c r="NA28" i="120"/>
  <c r="NT28" i="120"/>
  <c r="RM35" i="120"/>
  <c r="RJ36" i="120"/>
  <c r="PG28" i="120"/>
  <c r="PA29" i="120"/>
  <c r="OG29" i="120"/>
  <c r="NG29" i="120"/>
  <c r="BP13" i="117"/>
  <c r="BP14" i="117"/>
  <c r="BP15" i="117"/>
  <c r="BP16" i="117"/>
  <c r="BP17" i="117"/>
  <c r="BP18" i="117"/>
  <c r="BP19" i="117"/>
  <c r="BP20" i="117"/>
  <c r="BP21" i="117"/>
  <c r="BP22" i="117"/>
  <c r="BP23" i="117"/>
  <c r="BP24" i="117"/>
  <c r="BP25" i="117"/>
  <c r="BP26" i="117"/>
  <c r="BP27" i="117"/>
  <c r="BP28" i="117"/>
  <c r="BP29" i="117"/>
  <c r="BP30" i="117"/>
  <c r="BP31" i="117"/>
  <c r="BP32" i="117"/>
  <c r="BP33" i="117"/>
  <c r="BP34" i="117"/>
  <c r="BP35" i="117"/>
  <c r="BP36" i="117"/>
  <c r="BP37" i="117"/>
  <c r="BP38" i="117"/>
  <c r="BP39" i="117"/>
  <c r="BP40" i="117"/>
  <c r="BP41" i="117"/>
  <c r="BP42" i="117"/>
  <c r="BP12" i="117"/>
  <c r="QH27" i="122" l="1"/>
  <c r="NP29" i="120"/>
  <c r="R51" i="118"/>
  <c r="W59" i="118"/>
  <c r="NF36" i="120"/>
  <c r="MX36" i="120" s="1"/>
  <c r="NZ28" i="120"/>
  <c r="AD50" i="118"/>
  <c r="NO28" i="120"/>
  <c r="AA50" i="118"/>
  <c r="ND37" i="120"/>
  <c r="X59" i="118"/>
  <c r="AL28" i="121"/>
  <c r="OG30" i="120"/>
  <c r="NG30" i="120"/>
  <c r="NT29" i="120"/>
  <c r="PG29" i="120"/>
  <c r="PA30" i="120"/>
  <c r="RM36" i="120"/>
  <c r="RJ37" i="120"/>
  <c r="QG30" i="120"/>
  <c r="NA29" i="120"/>
  <c r="PO28" i="120"/>
  <c r="MZ27" i="120"/>
  <c r="O10" i="116"/>
  <c r="O13" i="116"/>
  <c r="O14" i="116"/>
  <c r="O15" i="116"/>
  <c r="O16" i="116"/>
  <c r="O17" i="116"/>
  <c r="O18" i="116"/>
  <c r="O19" i="116"/>
  <c r="O20" i="116"/>
  <c r="O21" i="116"/>
  <c r="O22" i="116"/>
  <c r="O23" i="116"/>
  <c r="O24" i="116"/>
  <c r="O25" i="116"/>
  <c r="O26" i="116"/>
  <c r="O27" i="116"/>
  <c r="O28" i="116"/>
  <c r="O29" i="116"/>
  <c r="O30" i="116"/>
  <c r="O31" i="116"/>
  <c r="O32" i="116"/>
  <c r="O33" i="116"/>
  <c r="O34" i="116"/>
  <c r="O35" i="116"/>
  <c r="O36" i="116"/>
  <c r="O37" i="116"/>
  <c r="O38" i="116"/>
  <c r="O39" i="116"/>
  <c r="O40" i="116"/>
  <c r="O11" i="116"/>
  <c r="O12" i="116"/>
  <c r="QH28" i="122" l="1"/>
  <c r="NP30" i="120"/>
  <c r="R52" i="118"/>
  <c r="NF37" i="120"/>
  <c r="MX37" i="120" s="1"/>
  <c r="NZ29" i="120"/>
  <c r="AD51" i="118"/>
  <c r="ND38" i="120"/>
  <c r="X60" i="118"/>
  <c r="NO29" i="120"/>
  <c r="AA51" i="118"/>
  <c r="W60" i="118"/>
  <c r="AL29" i="121"/>
  <c r="RJ38" i="120"/>
  <c r="RM37" i="120"/>
  <c r="PA31" i="120"/>
  <c r="PG30" i="120"/>
  <c r="PO29" i="120"/>
  <c r="MZ28" i="120"/>
  <c r="NT30" i="120"/>
  <c r="NG31" i="120"/>
  <c r="OG31" i="120"/>
  <c r="NA30" i="120"/>
  <c r="QG31" i="120"/>
  <c r="DB40" i="116"/>
  <c r="DB39" i="116"/>
  <c r="DB38" i="116"/>
  <c r="DB37" i="116"/>
  <c r="DB36" i="116"/>
  <c r="DB35" i="116"/>
  <c r="DB34" i="116"/>
  <c r="DB33" i="116"/>
  <c r="DB30" i="116"/>
  <c r="DB29" i="116"/>
  <c r="DB28" i="116"/>
  <c r="DB27" i="116"/>
  <c r="DB26" i="116"/>
  <c r="DB25" i="116"/>
  <c r="DB24" i="116"/>
  <c r="DB23" i="116"/>
  <c r="DB21" i="116"/>
  <c r="DB20" i="116"/>
  <c r="DB19" i="116"/>
  <c r="DB18" i="116"/>
  <c r="DB17" i="116"/>
  <c r="DB16" i="116"/>
  <c r="DB15" i="116"/>
  <c r="DB14" i="116"/>
  <c r="DB13" i="116"/>
  <c r="DB12" i="116"/>
  <c r="DB11" i="116"/>
  <c r="T40" i="116"/>
  <c r="BE40" i="116"/>
  <c r="T39" i="116"/>
  <c r="BE39" i="116"/>
  <c r="AY39" i="116"/>
  <c r="T38" i="116"/>
  <c r="BE38" i="116"/>
  <c r="T37" i="116"/>
  <c r="T36" i="116"/>
  <c r="BE36" i="116"/>
  <c r="T35" i="116"/>
  <c r="BE35" i="116"/>
  <c r="T34" i="116"/>
  <c r="BE34" i="116"/>
  <c r="T33" i="116"/>
  <c r="BE33" i="116"/>
  <c r="AY33" i="116"/>
  <c r="T32" i="116"/>
  <c r="BE32" i="116"/>
  <c r="T31" i="116"/>
  <c r="BE31" i="116"/>
  <c r="T30" i="116"/>
  <c r="BE30" i="116"/>
  <c r="T29" i="116"/>
  <c r="BE29" i="116"/>
  <c r="T28" i="116"/>
  <c r="BE28" i="116"/>
  <c r="T27" i="116"/>
  <c r="BE27" i="116"/>
  <c r="T26" i="116"/>
  <c r="BE26" i="116"/>
  <c r="AY26" i="116"/>
  <c r="T25" i="116"/>
  <c r="BE25" i="116"/>
  <c r="T24" i="116"/>
  <c r="BE24" i="116"/>
  <c r="T23" i="116"/>
  <c r="BE23" i="116"/>
  <c r="T22" i="116"/>
  <c r="BE22" i="116"/>
  <c r="AY22" i="116"/>
  <c r="T21" i="116"/>
  <c r="BE21" i="116"/>
  <c r="T20" i="116"/>
  <c r="BE20" i="116"/>
  <c r="T19" i="116"/>
  <c r="BE19" i="116"/>
  <c r="T18" i="116"/>
  <c r="BE18" i="116"/>
  <c r="T17" i="116"/>
  <c r="BE17" i="116"/>
  <c r="T16" i="116"/>
  <c r="BE16" i="116"/>
  <c r="T15" i="116"/>
  <c r="BE15" i="116"/>
  <c r="T14" i="116"/>
  <c r="BE14" i="116"/>
  <c r="T13" i="116"/>
  <c r="BE13" i="116"/>
  <c r="T12" i="116"/>
  <c r="BE12" i="116"/>
  <c r="T11" i="116"/>
  <c r="BE11" i="116"/>
  <c r="N2" i="118"/>
  <c r="M2" i="118"/>
  <c r="SG40" i="116"/>
  <c r="SG39" i="116"/>
  <c r="SG37" i="116"/>
  <c r="SG36" i="116"/>
  <c r="SG35" i="116"/>
  <c r="SG34" i="116"/>
  <c r="SG33" i="116"/>
  <c r="SG32" i="116"/>
  <c r="SG31" i="116"/>
  <c r="SG30" i="116"/>
  <c r="SG29" i="116"/>
  <c r="SG28" i="116"/>
  <c r="SG27" i="116"/>
  <c r="SG26" i="116"/>
  <c r="SG25" i="116"/>
  <c r="SG24" i="116"/>
  <c r="SG23" i="116"/>
  <c r="SG22" i="116"/>
  <c r="SG21" i="116"/>
  <c r="SG20" i="116"/>
  <c r="SG19" i="116"/>
  <c r="SG18" i="116"/>
  <c r="SG17" i="116"/>
  <c r="SG16" i="116"/>
  <c r="SG15" i="116"/>
  <c r="SG14" i="116"/>
  <c r="SG13" i="116"/>
  <c r="SG12" i="116"/>
  <c r="SG11" i="116"/>
  <c r="B4" i="2"/>
  <c r="E140" i="2" s="1"/>
  <c r="AF17" i="117" a="1"/>
  <c r="AF17" i="117" s="1"/>
  <c r="AF18" i="117" a="1"/>
  <c r="AF18" i="117" s="1"/>
  <c r="AF19" i="117" a="1"/>
  <c r="AF19" i="117" s="1"/>
  <c r="AF20" i="117" a="1"/>
  <c r="AF20" i="117" s="1"/>
  <c r="AE18" i="117" a="1"/>
  <c r="AE18" i="117" s="1"/>
  <c r="AE19" i="117" a="1"/>
  <c r="AE19" i="117" s="1"/>
  <c r="AE20" i="117" a="1"/>
  <c r="AE20" i="117" s="1"/>
  <c r="AE21" i="117" a="1"/>
  <c r="AE21" i="117" s="1"/>
  <c r="LW10" i="116"/>
  <c r="MC10" i="116"/>
  <c r="LW11" i="116"/>
  <c r="MC11" i="116"/>
  <c r="LW12" i="116"/>
  <c r="MC12" i="116"/>
  <c r="LW13" i="116"/>
  <c r="MC13" i="116"/>
  <c r="LW14" i="116"/>
  <c r="MC14" i="116"/>
  <c r="LW15" i="116"/>
  <c r="MC15" i="116"/>
  <c r="LW16" i="116"/>
  <c r="MC16" i="116"/>
  <c r="LW17" i="116"/>
  <c r="MC17" i="116"/>
  <c r="LW18" i="116"/>
  <c r="MC18" i="116"/>
  <c r="LW19" i="116"/>
  <c r="MC19" i="116"/>
  <c r="LW20" i="116"/>
  <c r="MC20" i="116"/>
  <c r="LW21" i="116"/>
  <c r="MC21" i="116"/>
  <c r="LW22" i="116"/>
  <c r="MC22" i="116"/>
  <c r="LW23" i="116"/>
  <c r="MC23" i="116"/>
  <c r="LW24" i="116"/>
  <c r="MC24" i="116"/>
  <c r="LW25" i="116"/>
  <c r="MC25" i="116"/>
  <c r="LW26" i="116"/>
  <c r="MC26" i="116"/>
  <c r="LW27" i="116"/>
  <c r="MC27" i="116"/>
  <c r="LW28" i="116"/>
  <c r="MC28" i="116"/>
  <c r="LW29" i="116"/>
  <c r="MC29" i="116"/>
  <c r="LW30" i="116"/>
  <c r="MC30" i="116"/>
  <c r="LW31" i="116"/>
  <c r="MC31" i="116"/>
  <c r="LW32" i="116"/>
  <c r="MC32" i="116"/>
  <c r="LW33" i="116"/>
  <c r="MC33" i="116"/>
  <c r="LW34" i="116"/>
  <c r="MC34" i="116"/>
  <c r="LW35" i="116"/>
  <c r="MC35" i="116"/>
  <c r="LW36" i="116"/>
  <c r="MC36" i="116"/>
  <c r="LW37" i="116"/>
  <c r="MC37" i="116"/>
  <c r="LW38" i="116"/>
  <c r="MC38" i="116"/>
  <c r="LW39" i="116"/>
  <c r="MC39" i="116"/>
  <c r="ER16" i="116"/>
  <c r="ER17" i="116"/>
  <c r="D130" i="117"/>
  <c r="C130" i="117"/>
  <c r="D129" i="117"/>
  <c r="C129" i="117"/>
  <c r="D128" i="117"/>
  <c r="C128" i="117"/>
  <c r="D127" i="117"/>
  <c r="C127" i="117"/>
  <c r="D126" i="117"/>
  <c r="C126" i="117"/>
  <c r="D125" i="117"/>
  <c r="C125" i="117"/>
  <c r="D124" i="117"/>
  <c r="C124" i="117"/>
  <c r="D123" i="117"/>
  <c r="C123" i="117"/>
  <c r="D122" i="117"/>
  <c r="C122" i="117"/>
  <c r="D121" i="117"/>
  <c r="C121" i="117"/>
  <c r="D120" i="117"/>
  <c r="C120" i="117"/>
  <c r="D119" i="117"/>
  <c r="C119" i="117"/>
  <c r="D118" i="117"/>
  <c r="C118" i="117"/>
  <c r="D117" i="117"/>
  <c r="C117" i="117"/>
  <c r="D116" i="117"/>
  <c r="C116" i="117"/>
  <c r="D115" i="117"/>
  <c r="C115" i="117"/>
  <c r="D114" i="117"/>
  <c r="C114" i="117"/>
  <c r="D113" i="117"/>
  <c r="C113" i="117"/>
  <c r="D112" i="117"/>
  <c r="C112" i="117"/>
  <c r="D111" i="117"/>
  <c r="C111" i="117"/>
  <c r="D110" i="117"/>
  <c r="C110" i="117"/>
  <c r="D109" i="117"/>
  <c r="C109" i="117"/>
  <c r="D108" i="117"/>
  <c r="C108" i="117"/>
  <c r="D107" i="117"/>
  <c r="C107" i="117"/>
  <c r="D106" i="117"/>
  <c r="C106" i="117"/>
  <c r="D105" i="117"/>
  <c r="C105" i="117"/>
  <c r="D104" i="117"/>
  <c r="C104" i="117"/>
  <c r="D103" i="117"/>
  <c r="C103" i="117"/>
  <c r="D102" i="117"/>
  <c r="C102" i="117"/>
  <c r="D101" i="117"/>
  <c r="C101" i="117"/>
  <c r="O100" i="117"/>
  <c r="O101" i="117" s="1"/>
  <c r="O102" i="117" s="1"/>
  <c r="O103" i="117" s="1"/>
  <c r="O104" i="117" s="1"/>
  <c r="O105" i="117" s="1"/>
  <c r="O106" i="117" s="1"/>
  <c r="O107" i="117" s="1"/>
  <c r="O108" i="117" s="1"/>
  <c r="O109" i="117" s="1"/>
  <c r="O110" i="117" s="1"/>
  <c r="O111" i="117" s="1"/>
  <c r="O112" i="117" s="1"/>
  <c r="O113" i="117" s="1"/>
  <c r="O114" i="117" s="1"/>
  <c r="O115" i="117" s="1"/>
  <c r="O116" i="117" s="1"/>
  <c r="O117" i="117" s="1"/>
  <c r="O118" i="117" s="1"/>
  <c r="O119" i="117" s="1"/>
  <c r="O120" i="117" s="1"/>
  <c r="O121" i="117" s="1"/>
  <c r="O122" i="117" s="1"/>
  <c r="O123" i="117" s="1"/>
  <c r="O124" i="117" s="1"/>
  <c r="O125" i="117" s="1"/>
  <c r="O126" i="117" s="1"/>
  <c r="O127" i="117" s="1"/>
  <c r="O128" i="117" s="1"/>
  <c r="O129" i="117" s="1"/>
  <c r="O130" i="117" s="1"/>
  <c r="D100" i="117"/>
  <c r="C100" i="117"/>
  <c r="S45" i="117"/>
  <c r="D45" i="117"/>
  <c r="C45" i="117"/>
  <c r="BQ43" i="117"/>
  <c r="BQ44" i="117" s="1"/>
  <c r="BQ46" i="117" s="1"/>
  <c r="BQ47" i="117" s="1"/>
  <c r="BO43" i="117"/>
  <c r="BN43" i="117"/>
  <c r="BN44" i="117" s="1"/>
  <c r="BN46" i="117" s="1"/>
  <c r="BN47" i="117" s="1"/>
  <c r="BM43" i="117"/>
  <c r="BM44" i="117" s="1"/>
  <c r="BL43" i="117"/>
  <c r="BL44" i="117" s="1"/>
  <c r="BK43" i="117"/>
  <c r="AP43" i="117"/>
  <c r="AP44" i="117" s="1"/>
  <c r="AO43" i="117"/>
  <c r="AO44" i="117" s="1"/>
  <c r="AI43" i="117"/>
  <c r="AI44" i="117" s="1"/>
  <c r="AD43" i="117"/>
  <c r="AD44" i="117" s="1"/>
  <c r="AC43" i="117"/>
  <c r="Z43" i="117"/>
  <c r="Z44" i="117" s="1"/>
  <c r="X43" i="117"/>
  <c r="X44" i="117" s="1"/>
  <c r="P43" i="117"/>
  <c r="P44" i="117" s="1"/>
  <c r="O43" i="117"/>
  <c r="I43" i="117"/>
  <c r="I44" i="117" s="1"/>
  <c r="H43" i="117"/>
  <c r="G6" i="117" s="1"/>
  <c r="AQ42" i="117"/>
  <c r="AF42" i="117" a="1"/>
  <c r="AF42" i="117" s="1"/>
  <c r="AE42" i="117" a="1"/>
  <c r="AE42" i="117" s="1"/>
  <c r="C42" i="117"/>
  <c r="AQ41" i="117"/>
  <c r="AF41" i="117" a="1"/>
  <c r="AF41" i="117" s="1"/>
  <c r="AE41" i="117" a="1"/>
  <c r="AE41" i="117" s="1"/>
  <c r="C41" i="117"/>
  <c r="AQ40" i="117"/>
  <c r="AF40" i="117" a="1"/>
  <c r="AF40" i="117" s="1"/>
  <c r="AE40" i="117" a="1"/>
  <c r="AE40" i="117" s="1"/>
  <c r="C40" i="117"/>
  <c r="AQ39" i="117"/>
  <c r="AF39" i="117" a="1"/>
  <c r="AF39" i="117" s="1"/>
  <c r="AE39" i="117" a="1"/>
  <c r="AE39" i="117" s="1"/>
  <c r="C39" i="117"/>
  <c r="AQ38" i="117"/>
  <c r="AF38" i="117" a="1"/>
  <c r="AF38" i="117" s="1"/>
  <c r="AE38" i="117" a="1"/>
  <c r="AE38" i="117" s="1"/>
  <c r="C38" i="117"/>
  <c r="AQ37" i="117"/>
  <c r="AF37" i="117" a="1"/>
  <c r="AF37" i="117" s="1"/>
  <c r="AE37" i="117" a="1"/>
  <c r="AE37" i="117" s="1"/>
  <c r="C37" i="117"/>
  <c r="AQ36" i="117"/>
  <c r="AF36" i="117" a="1"/>
  <c r="AF36" i="117" s="1"/>
  <c r="AE36" i="117" a="1"/>
  <c r="AE36" i="117" s="1"/>
  <c r="C36" i="117"/>
  <c r="AQ35" i="117"/>
  <c r="AF35" i="117" a="1"/>
  <c r="AF35" i="117" s="1"/>
  <c r="AE35" i="117" a="1"/>
  <c r="AE35" i="117" s="1"/>
  <c r="C35" i="117"/>
  <c r="AQ34" i="117"/>
  <c r="AF34" i="117" a="1"/>
  <c r="AF34" i="117" s="1"/>
  <c r="AE34" i="117" a="1"/>
  <c r="AE34" i="117" s="1"/>
  <c r="C34" i="117"/>
  <c r="AQ33" i="117"/>
  <c r="AF33" i="117" a="1"/>
  <c r="AF33" i="117" s="1"/>
  <c r="AE33" i="117" a="1"/>
  <c r="AE33" i="117" s="1"/>
  <c r="C33" i="117"/>
  <c r="AQ32" i="117"/>
  <c r="AF32" i="117" a="1"/>
  <c r="AF32" i="117" s="1"/>
  <c r="AE32" i="117" a="1"/>
  <c r="AE32" i="117" s="1"/>
  <c r="C32" i="117"/>
  <c r="AQ31" i="117"/>
  <c r="AF31" i="117" a="1"/>
  <c r="AF31" i="117" s="1"/>
  <c r="AE31" i="117" a="1"/>
  <c r="AE31" i="117" s="1"/>
  <c r="C31" i="117"/>
  <c r="AQ30" i="117"/>
  <c r="AF30" i="117" a="1"/>
  <c r="AF30" i="117" s="1"/>
  <c r="AE30" i="117" a="1"/>
  <c r="AE30" i="117" s="1"/>
  <c r="C30" i="117"/>
  <c r="AQ29" i="117"/>
  <c r="AF29" i="117" a="1"/>
  <c r="AF29" i="117" s="1"/>
  <c r="AE29" i="117" a="1"/>
  <c r="AE29" i="117" s="1"/>
  <c r="C29" i="117"/>
  <c r="AQ28" i="117"/>
  <c r="AF28" i="117" a="1"/>
  <c r="AF28" i="117" s="1"/>
  <c r="AE28" i="117" a="1"/>
  <c r="AE28" i="117" s="1"/>
  <c r="C28" i="117"/>
  <c r="AQ27" i="117"/>
  <c r="AF27" i="117" a="1"/>
  <c r="AF27" i="117" s="1"/>
  <c r="AE27" i="117" a="1"/>
  <c r="AE27" i="117" s="1"/>
  <c r="C27" i="117"/>
  <c r="AQ26" i="117"/>
  <c r="AF26" i="117" a="1"/>
  <c r="AF26" i="117" s="1"/>
  <c r="AE26" i="117" a="1"/>
  <c r="AE26" i="117" s="1"/>
  <c r="C26" i="117"/>
  <c r="AQ25" i="117"/>
  <c r="AF25" i="117" a="1"/>
  <c r="AF25" i="117" s="1"/>
  <c r="AE25" i="117" a="1"/>
  <c r="AE25" i="117" s="1"/>
  <c r="C25" i="117"/>
  <c r="AQ24" i="117"/>
  <c r="AF24" i="117" a="1"/>
  <c r="AF24" i="117" s="1"/>
  <c r="AE24" i="117" a="1"/>
  <c r="AE24" i="117" s="1"/>
  <c r="C24" i="117"/>
  <c r="AQ23" i="117"/>
  <c r="AF23" i="117" a="1"/>
  <c r="AF23" i="117" s="1"/>
  <c r="AE23" i="117" a="1"/>
  <c r="AE23" i="117" s="1"/>
  <c r="C23" i="117"/>
  <c r="AQ22" i="117"/>
  <c r="AF22" i="117" a="1"/>
  <c r="AF22" i="117" s="1"/>
  <c r="AE22" i="117" a="1"/>
  <c r="AE22" i="117" s="1"/>
  <c r="C22" i="117"/>
  <c r="AQ21" i="117"/>
  <c r="AF21" i="117" a="1"/>
  <c r="AF21" i="117" s="1"/>
  <c r="C21" i="117"/>
  <c r="AQ20" i="117"/>
  <c r="C20" i="117"/>
  <c r="AQ19" i="117"/>
  <c r="C19" i="117"/>
  <c r="AQ18" i="117"/>
  <c r="C18" i="117"/>
  <c r="AQ17" i="117"/>
  <c r="AE17" i="117" a="1"/>
  <c r="AE17" i="117" s="1"/>
  <c r="C17" i="117"/>
  <c r="AQ16" i="117"/>
  <c r="AF16" i="117" a="1"/>
  <c r="AF16" i="117" s="1"/>
  <c r="AE16" i="117" a="1"/>
  <c r="AE16" i="117" s="1"/>
  <c r="C16" i="117"/>
  <c r="AQ15" i="117"/>
  <c r="AF15" i="117" a="1"/>
  <c r="AF15" i="117" s="1"/>
  <c r="AE15" i="117" a="1"/>
  <c r="AE15" i="117" s="1"/>
  <c r="C15" i="117"/>
  <c r="AQ14" i="117"/>
  <c r="AF14" i="117" a="1"/>
  <c r="AF14" i="117" s="1"/>
  <c r="AE14" i="117" a="1"/>
  <c r="AE14" i="117" s="1"/>
  <c r="C14" i="117"/>
  <c r="AQ13" i="117"/>
  <c r="AF13" i="117" a="1"/>
  <c r="AF13" i="117" s="1"/>
  <c r="AE13" i="117" a="1"/>
  <c r="AE13" i="117" s="1"/>
  <c r="C13" i="117"/>
  <c r="AQ12" i="117"/>
  <c r="AF12" i="117" a="1"/>
  <c r="AF12" i="117" s="1"/>
  <c r="AE12" i="117" a="1"/>
  <c r="AE12" i="117" s="1"/>
  <c r="C12" i="117"/>
  <c r="JI224" i="116"/>
  <c r="BZ211" i="116"/>
  <c r="BW210" i="116"/>
  <c r="BQ210" i="116"/>
  <c r="BM210" i="116"/>
  <c r="P178" i="116"/>
  <c r="P179" i="116" s="1"/>
  <c r="P180" i="116" s="1"/>
  <c r="P181" i="116" s="1"/>
  <c r="P182" i="116" s="1"/>
  <c r="P183" i="116" s="1"/>
  <c r="P184" i="116" s="1"/>
  <c r="P185" i="116" s="1"/>
  <c r="P186" i="116" s="1"/>
  <c r="P187" i="116" s="1"/>
  <c r="P188" i="116" s="1"/>
  <c r="P189" i="116" s="1"/>
  <c r="P190" i="116" s="1"/>
  <c r="P191" i="116" s="1"/>
  <c r="P192" i="116" s="1"/>
  <c r="P193" i="116" s="1"/>
  <c r="P194" i="116" s="1"/>
  <c r="P195" i="116" s="1"/>
  <c r="P196" i="116" s="1"/>
  <c r="P197" i="116" s="1"/>
  <c r="P198" i="116" s="1"/>
  <c r="P199" i="116" s="1"/>
  <c r="P200" i="116" s="1"/>
  <c r="P201" i="116" s="1"/>
  <c r="P202" i="116" s="1"/>
  <c r="P203" i="116" s="1"/>
  <c r="P204" i="116" s="1"/>
  <c r="P205" i="116" s="1"/>
  <c r="P206" i="116" s="1"/>
  <c r="P207" i="116" s="1"/>
  <c r="P208" i="116" s="1"/>
  <c r="O178" i="116"/>
  <c r="O179" i="116" s="1"/>
  <c r="O180" i="116" s="1"/>
  <c r="O181" i="116" s="1"/>
  <c r="O182" i="116" s="1"/>
  <c r="O183" i="116" s="1"/>
  <c r="O184" i="116" s="1"/>
  <c r="O185" i="116" s="1"/>
  <c r="O186" i="116" s="1"/>
  <c r="O187" i="116" s="1"/>
  <c r="O188" i="116" s="1"/>
  <c r="O189" i="116" s="1"/>
  <c r="O190" i="116" s="1"/>
  <c r="O191" i="116" s="1"/>
  <c r="O192" i="116" s="1"/>
  <c r="O193" i="116" s="1"/>
  <c r="O194" i="116" s="1"/>
  <c r="O195" i="116" s="1"/>
  <c r="O196" i="116" s="1"/>
  <c r="O197" i="116" s="1"/>
  <c r="O198" i="116" s="1"/>
  <c r="O199" i="116" s="1"/>
  <c r="O200" i="116" s="1"/>
  <c r="O201" i="116" s="1"/>
  <c r="O202" i="116" s="1"/>
  <c r="O203" i="116" s="1"/>
  <c r="O204" i="116" s="1"/>
  <c r="O205" i="116" s="1"/>
  <c r="O206" i="116" s="1"/>
  <c r="O207" i="116" s="1"/>
  <c r="O208" i="116" s="1"/>
  <c r="Q177" i="116"/>
  <c r="T137" i="116"/>
  <c r="P136" i="116"/>
  <c r="P137" i="116" s="1"/>
  <c r="P138" i="116" s="1"/>
  <c r="P139" i="116" s="1"/>
  <c r="P140" i="116" s="1"/>
  <c r="P141" i="116" s="1"/>
  <c r="P142" i="116" s="1"/>
  <c r="P143" i="116" s="1"/>
  <c r="P144" i="116" s="1"/>
  <c r="P145" i="116" s="1"/>
  <c r="P146" i="116" s="1"/>
  <c r="P147" i="116" s="1"/>
  <c r="P148" i="116" s="1"/>
  <c r="P149" i="116" s="1"/>
  <c r="P150" i="116" s="1"/>
  <c r="P151" i="116" s="1"/>
  <c r="P152" i="116" s="1"/>
  <c r="P153" i="116" s="1"/>
  <c r="P154" i="116" s="1"/>
  <c r="P155" i="116" s="1"/>
  <c r="P156" i="116" s="1"/>
  <c r="P157" i="116" s="1"/>
  <c r="P158" i="116" s="1"/>
  <c r="P159" i="116" s="1"/>
  <c r="P160" i="116" s="1"/>
  <c r="P161" i="116" s="1"/>
  <c r="P162" i="116" s="1"/>
  <c r="P163" i="116" s="1"/>
  <c r="P164" i="116" s="1"/>
  <c r="P165" i="116" s="1"/>
  <c r="P166" i="116" s="1"/>
  <c r="O136" i="116"/>
  <c r="O137" i="116" s="1"/>
  <c r="O138" i="116" s="1"/>
  <c r="O139" i="116" s="1"/>
  <c r="O140" i="116" s="1"/>
  <c r="O141" i="116" s="1"/>
  <c r="O142" i="116" s="1"/>
  <c r="O143" i="116" s="1"/>
  <c r="O144" i="116" s="1"/>
  <c r="O145" i="116" s="1"/>
  <c r="O146" i="116" s="1"/>
  <c r="O147" i="116" s="1"/>
  <c r="O148" i="116" s="1"/>
  <c r="O149" i="116" s="1"/>
  <c r="O150" i="116" s="1"/>
  <c r="O151" i="116" s="1"/>
  <c r="O152" i="116" s="1"/>
  <c r="O153" i="116" s="1"/>
  <c r="O154" i="116" s="1"/>
  <c r="O155" i="116" s="1"/>
  <c r="O156" i="116" s="1"/>
  <c r="O157" i="116" s="1"/>
  <c r="O158" i="116" s="1"/>
  <c r="O159" i="116" s="1"/>
  <c r="O160" i="116" s="1"/>
  <c r="O161" i="116" s="1"/>
  <c r="O162" i="116" s="1"/>
  <c r="O163" i="116" s="1"/>
  <c r="O164" i="116" s="1"/>
  <c r="O165" i="116" s="1"/>
  <c r="O166" i="116" s="1"/>
  <c r="X95" i="116"/>
  <c r="X96" i="116" s="1"/>
  <c r="X97" i="116" s="1"/>
  <c r="X98" i="116" s="1"/>
  <c r="X99" i="116" s="1"/>
  <c r="X100" i="116" s="1"/>
  <c r="X101" i="116" s="1"/>
  <c r="X102" i="116" s="1"/>
  <c r="X103" i="116" s="1"/>
  <c r="X104" i="116" s="1"/>
  <c r="X105" i="116" s="1"/>
  <c r="X106" i="116" s="1"/>
  <c r="X107" i="116" s="1"/>
  <c r="X108" i="116" s="1"/>
  <c r="X109" i="116" s="1"/>
  <c r="X110" i="116" s="1"/>
  <c r="X111" i="116" s="1"/>
  <c r="X112" i="116" s="1"/>
  <c r="X113" i="116" s="1"/>
  <c r="X114" i="116" s="1"/>
  <c r="X115" i="116" s="1"/>
  <c r="X116" i="116" s="1"/>
  <c r="X117" i="116" s="1"/>
  <c r="X118" i="116" s="1"/>
  <c r="X119" i="116" s="1"/>
  <c r="X120" i="116" s="1"/>
  <c r="X121" i="116" s="1"/>
  <c r="X122" i="116" s="1"/>
  <c r="X123" i="116" s="1"/>
  <c r="X124" i="116" s="1"/>
  <c r="X125" i="116" s="1"/>
  <c r="W95" i="116"/>
  <c r="W96" i="116" s="1"/>
  <c r="W97" i="116" s="1"/>
  <c r="W98" i="116" s="1"/>
  <c r="W99" i="116" s="1"/>
  <c r="W100" i="116" s="1"/>
  <c r="W101" i="116" s="1"/>
  <c r="W102" i="116" s="1"/>
  <c r="W103" i="116" s="1"/>
  <c r="W104" i="116" s="1"/>
  <c r="W105" i="116" s="1"/>
  <c r="W106" i="116" s="1"/>
  <c r="W107" i="116" s="1"/>
  <c r="W108" i="116" s="1"/>
  <c r="W109" i="116" s="1"/>
  <c r="W110" i="116" s="1"/>
  <c r="W111" i="116" s="1"/>
  <c r="W112" i="116" s="1"/>
  <c r="W113" i="116" s="1"/>
  <c r="W114" i="116" s="1"/>
  <c r="W115" i="116" s="1"/>
  <c r="W116" i="116" s="1"/>
  <c r="W117" i="116" s="1"/>
  <c r="W118" i="116" s="1"/>
  <c r="W119" i="116" s="1"/>
  <c r="W120" i="116" s="1"/>
  <c r="W121" i="116" s="1"/>
  <c r="W122" i="116" s="1"/>
  <c r="W123" i="116" s="1"/>
  <c r="W124" i="116" s="1"/>
  <c r="W125" i="116" s="1"/>
  <c r="T95" i="116"/>
  <c r="T96" i="116" s="1"/>
  <c r="T97" i="116" s="1"/>
  <c r="T98" i="116" s="1"/>
  <c r="T99" i="116" s="1"/>
  <c r="T100" i="116" s="1"/>
  <c r="T101" i="116" s="1"/>
  <c r="T102" i="116" s="1"/>
  <c r="T103" i="116" s="1"/>
  <c r="T104" i="116" s="1"/>
  <c r="T105" i="116" s="1"/>
  <c r="T106" i="116" s="1"/>
  <c r="T107" i="116" s="1"/>
  <c r="T108" i="116" s="1"/>
  <c r="T109" i="116" s="1"/>
  <c r="T110" i="116" s="1"/>
  <c r="T111" i="116" s="1"/>
  <c r="T112" i="116" s="1"/>
  <c r="T113" i="116" s="1"/>
  <c r="T114" i="116" s="1"/>
  <c r="T115" i="116" s="1"/>
  <c r="T116" i="116" s="1"/>
  <c r="T117" i="116" s="1"/>
  <c r="T118" i="116" s="1"/>
  <c r="T119" i="116" s="1"/>
  <c r="T120" i="116" s="1"/>
  <c r="T121" i="116" s="1"/>
  <c r="T122" i="116" s="1"/>
  <c r="T123" i="116" s="1"/>
  <c r="T124" i="116" s="1"/>
  <c r="T125" i="116" s="1"/>
  <c r="S95" i="116"/>
  <c r="S96" i="116" s="1"/>
  <c r="S97" i="116" s="1"/>
  <c r="S98" i="116" s="1"/>
  <c r="S99" i="116" s="1"/>
  <c r="S100" i="116" s="1"/>
  <c r="S101" i="116" s="1"/>
  <c r="S102" i="116" s="1"/>
  <c r="S103" i="116" s="1"/>
  <c r="S104" i="116" s="1"/>
  <c r="S105" i="116" s="1"/>
  <c r="S106" i="116" s="1"/>
  <c r="S107" i="116" s="1"/>
  <c r="S108" i="116" s="1"/>
  <c r="S109" i="116" s="1"/>
  <c r="S110" i="116" s="1"/>
  <c r="S111" i="116" s="1"/>
  <c r="S112" i="116" s="1"/>
  <c r="S113" i="116" s="1"/>
  <c r="S114" i="116" s="1"/>
  <c r="S115" i="116" s="1"/>
  <c r="S116" i="116" s="1"/>
  <c r="S117" i="116" s="1"/>
  <c r="S118" i="116" s="1"/>
  <c r="S119" i="116" s="1"/>
  <c r="S120" i="116" s="1"/>
  <c r="S121" i="116" s="1"/>
  <c r="S122" i="116" s="1"/>
  <c r="S123" i="116" s="1"/>
  <c r="S124" i="116" s="1"/>
  <c r="S125" i="116" s="1"/>
  <c r="P95" i="116"/>
  <c r="P96" i="116" s="1"/>
  <c r="P97" i="116" s="1"/>
  <c r="P98" i="116" s="1"/>
  <c r="P99" i="116" s="1"/>
  <c r="P100" i="116" s="1"/>
  <c r="P101" i="116" s="1"/>
  <c r="P102" i="116" s="1"/>
  <c r="P103" i="116" s="1"/>
  <c r="P104" i="116" s="1"/>
  <c r="P105" i="116" s="1"/>
  <c r="P106" i="116" s="1"/>
  <c r="P107" i="116" s="1"/>
  <c r="P108" i="116" s="1"/>
  <c r="P109" i="116" s="1"/>
  <c r="P110" i="116" s="1"/>
  <c r="P111" i="116" s="1"/>
  <c r="P112" i="116" s="1"/>
  <c r="P113" i="116" s="1"/>
  <c r="P114" i="116" s="1"/>
  <c r="P115" i="116" s="1"/>
  <c r="P116" i="116" s="1"/>
  <c r="P117" i="116" s="1"/>
  <c r="P118" i="116" s="1"/>
  <c r="P119" i="116" s="1"/>
  <c r="P120" i="116" s="1"/>
  <c r="P121" i="116" s="1"/>
  <c r="P122" i="116" s="1"/>
  <c r="P123" i="116" s="1"/>
  <c r="P124" i="116" s="1"/>
  <c r="P125" i="116" s="1"/>
  <c r="O95" i="116"/>
  <c r="O96" i="116" s="1"/>
  <c r="O97" i="116" s="1"/>
  <c r="O98" i="116" s="1"/>
  <c r="O99" i="116" s="1"/>
  <c r="O100" i="116" s="1"/>
  <c r="O101" i="116" s="1"/>
  <c r="O102" i="116" s="1"/>
  <c r="O103" i="116" s="1"/>
  <c r="O104" i="116" s="1"/>
  <c r="O105" i="116" s="1"/>
  <c r="O106" i="116" s="1"/>
  <c r="O107" i="116" s="1"/>
  <c r="O108" i="116" s="1"/>
  <c r="O109" i="116" s="1"/>
  <c r="O110" i="116" s="1"/>
  <c r="O111" i="116" s="1"/>
  <c r="O112" i="116" s="1"/>
  <c r="O113" i="116" s="1"/>
  <c r="O114" i="116" s="1"/>
  <c r="O115" i="116" s="1"/>
  <c r="O116" i="116" s="1"/>
  <c r="O117" i="116" s="1"/>
  <c r="O118" i="116" s="1"/>
  <c r="O119" i="116" s="1"/>
  <c r="O120" i="116" s="1"/>
  <c r="O121" i="116" s="1"/>
  <c r="O122" i="116" s="1"/>
  <c r="O123" i="116" s="1"/>
  <c r="O124" i="116" s="1"/>
  <c r="O125" i="116" s="1"/>
  <c r="AB94" i="116"/>
  <c r="BF58" i="116"/>
  <c r="BF57" i="116"/>
  <c r="BF59" i="116" s="1"/>
  <c r="X53" i="116"/>
  <c r="X54" i="116" s="1"/>
  <c r="X55" i="116" s="1"/>
  <c r="X56" i="116" s="1"/>
  <c r="X57" i="116" s="1"/>
  <c r="X58" i="116" s="1"/>
  <c r="X59" i="116" s="1"/>
  <c r="X60" i="116" s="1"/>
  <c r="X61" i="116" s="1"/>
  <c r="X62" i="116" s="1"/>
  <c r="X63" i="116" s="1"/>
  <c r="X64" i="116" s="1"/>
  <c r="X65" i="116" s="1"/>
  <c r="X66" i="116" s="1"/>
  <c r="X67" i="116" s="1"/>
  <c r="X68" i="116" s="1"/>
  <c r="X69" i="116" s="1"/>
  <c r="X70" i="116" s="1"/>
  <c r="X71" i="116" s="1"/>
  <c r="X72" i="116" s="1"/>
  <c r="X73" i="116" s="1"/>
  <c r="X74" i="116" s="1"/>
  <c r="X75" i="116" s="1"/>
  <c r="X76" i="116" s="1"/>
  <c r="X77" i="116" s="1"/>
  <c r="X78" i="116" s="1"/>
  <c r="X79" i="116" s="1"/>
  <c r="X80" i="116" s="1"/>
  <c r="X81" i="116" s="1"/>
  <c r="X82" i="116" s="1"/>
  <c r="X83" i="116" s="1"/>
  <c r="W53" i="116"/>
  <c r="W54" i="116" s="1"/>
  <c r="W55" i="116" s="1"/>
  <c r="W56" i="116" s="1"/>
  <c r="W57" i="116" s="1"/>
  <c r="W58" i="116" s="1"/>
  <c r="W59" i="116" s="1"/>
  <c r="W60" i="116" s="1"/>
  <c r="W61" i="116" s="1"/>
  <c r="W62" i="116" s="1"/>
  <c r="W63" i="116" s="1"/>
  <c r="W64" i="116" s="1"/>
  <c r="W65" i="116" s="1"/>
  <c r="W66" i="116" s="1"/>
  <c r="W67" i="116" s="1"/>
  <c r="W68" i="116" s="1"/>
  <c r="W69" i="116" s="1"/>
  <c r="W70" i="116" s="1"/>
  <c r="W71" i="116" s="1"/>
  <c r="W72" i="116" s="1"/>
  <c r="W73" i="116" s="1"/>
  <c r="W74" i="116" s="1"/>
  <c r="W75" i="116" s="1"/>
  <c r="W76" i="116" s="1"/>
  <c r="W77" i="116" s="1"/>
  <c r="W78" i="116" s="1"/>
  <c r="W79" i="116" s="1"/>
  <c r="W80" i="116" s="1"/>
  <c r="W81" i="116" s="1"/>
  <c r="W82" i="116" s="1"/>
  <c r="W83" i="116" s="1"/>
  <c r="T53" i="116"/>
  <c r="T54" i="116" s="1"/>
  <c r="T55" i="116" s="1"/>
  <c r="T56" i="116" s="1"/>
  <c r="T57" i="116" s="1"/>
  <c r="T58" i="116" s="1"/>
  <c r="T59" i="116" s="1"/>
  <c r="T60" i="116" s="1"/>
  <c r="T61" i="116" s="1"/>
  <c r="T62" i="116" s="1"/>
  <c r="T63" i="116" s="1"/>
  <c r="T64" i="116" s="1"/>
  <c r="T65" i="116" s="1"/>
  <c r="T66" i="116" s="1"/>
  <c r="T67" i="116" s="1"/>
  <c r="T68" i="116" s="1"/>
  <c r="T69" i="116" s="1"/>
  <c r="T70" i="116" s="1"/>
  <c r="T71" i="116" s="1"/>
  <c r="T72" i="116" s="1"/>
  <c r="T73" i="116" s="1"/>
  <c r="T74" i="116" s="1"/>
  <c r="T75" i="116" s="1"/>
  <c r="T76" i="116" s="1"/>
  <c r="T77" i="116" s="1"/>
  <c r="T78" i="116" s="1"/>
  <c r="T79" i="116" s="1"/>
  <c r="T80" i="116" s="1"/>
  <c r="T81" i="116" s="1"/>
  <c r="T82" i="116" s="1"/>
  <c r="T83" i="116" s="1"/>
  <c r="S53" i="116"/>
  <c r="S54" i="116" s="1"/>
  <c r="S55" i="116" s="1"/>
  <c r="S56" i="116" s="1"/>
  <c r="S57" i="116" s="1"/>
  <c r="S58" i="116" s="1"/>
  <c r="S59" i="116" s="1"/>
  <c r="S60" i="116" s="1"/>
  <c r="S61" i="116" s="1"/>
  <c r="S62" i="116" s="1"/>
  <c r="S63" i="116" s="1"/>
  <c r="S64" i="116" s="1"/>
  <c r="S65" i="116" s="1"/>
  <c r="S66" i="116" s="1"/>
  <c r="S67" i="116" s="1"/>
  <c r="S68" i="116" s="1"/>
  <c r="S69" i="116" s="1"/>
  <c r="S70" i="116" s="1"/>
  <c r="S71" i="116" s="1"/>
  <c r="S72" i="116" s="1"/>
  <c r="S73" i="116" s="1"/>
  <c r="S74" i="116" s="1"/>
  <c r="S75" i="116" s="1"/>
  <c r="S76" i="116" s="1"/>
  <c r="S77" i="116" s="1"/>
  <c r="S78" i="116" s="1"/>
  <c r="S79" i="116" s="1"/>
  <c r="S80" i="116" s="1"/>
  <c r="S81" i="116" s="1"/>
  <c r="S82" i="116" s="1"/>
  <c r="S83" i="116" s="1"/>
  <c r="P53" i="116"/>
  <c r="P54" i="116" s="1"/>
  <c r="P55" i="116" s="1"/>
  <c r="P56" i="116" s="1"/>
  <c r="P57" i="116" s="1"/>
  <c r="P58" i="116" s="1"/>
  <c r="P59" i="116" s="1"/>
  <c r="P60" i="116" s="1"/>
  <c r="P61" i="116" s="1"/>
  <c r="P62" i="116" s="1"/>
  <c r="P63" i="116" s="1"/>
  <c r="P64" i="116" s="1"/>
  <c r="P65" i="116" s="1"/>
  <c r="P66" i="116" s="1"/>
  <c r="P67" i="116" s="1"/>
  <c r="P68" i="116" s="1"/>
  <c r="P69" i="116" s="1"/>
  <c r="P70" i="116" s="1"/>
  <c r="P71" i="116" s="1"/>
  <c r="P72" i="116" s="1"/>
  <c r="P73" i="116" s="1"/>
  <c r="P74" i="116" s="1"/>
  <c r="P75" i="116" s="1"/>
  <c r="P76" i="116" s="1"/>
  <c r="P77" i="116" s="1"/>
  <c r="P78" i="116" s="1"/>
  <c r="P79" i="116" s="1"/>
  <c r="P80" i="116" s="1"/>
  <c r="P81" i="116" s="1"/>
  <c r="P82" i="116" s="1"/>
  <c r="P83" i="116" s="1"/>
  <c r="O53" i="116"/>
  <c r="O54" i="116" s="1"/>
  <c r="O55" i="116" s="1"/>
  <c r="O56" i="116" s="1"/>
  <c r="O57" i="116" s="1"/>
  <c r="O58" i="116" s="1"/>
  <c r="O59" i="116" s="1"/>
  <c r="O60" i="116" s="1"/>
  <c r="O61" i="116" s="1"/>
  <c r="O62" i="116" s="1"/>
  <c r="O63" i="116" s="1"/>
  <c r="O64" i="116" s="1"/>
  <c r="O65" i="116" s="1"/>
  <c r="O66" i="116" s="1"/>
  <c r="O67" i="116" s="1"/>
  <c r="O68" i="116" s="1"/>
  <c r="O69" i="116" s="1"/>
  <c r="O70" i="116" s="1"/>
  <c r="O71" i="116" s="1"/>
  <c r="O72" i="116" s="1"/>
  <c r="O73" i="116" s="1"/>
  <c r="O74" i="116" s="1"/>
  <c r="O75" i="116" s="1"/>
  <c r="O76" i="116" s="1"/>
  <c r="O77" i="116" s="1"/>
  <c r="O78" i="116" s="1"/>
  <c r="O79" i="116" s="1"/>
  <c r="O80" i="116" s="1"/>
  <c r="O81" i="116" s="1"/>
  <c r="O82" i="116" s="1"/>
  <c r="O83" i="116" s="1"/>
  <c r="BC52" i="116"/>
  <c r="AX52" i="116"/>
  <c r="AW52" i="116"/>
  <c r="GS50" i="116"/>
  <c r="BW49" i="116"/>
  <c r="BM48" i="116"/>
  <c r="DX47" i="116"/>
  <c r="CG45" i="116"/>
  <c r="CF45" i="116"/>
  <c r="CE45" i="116"/>
  <c r="BX45" i="116"/>
  <c r="BW45" i="116"/>
  <c r="BV45" i="116"/>
  <c r="BU45" i="116"/>
  <c r="BT45" i="116"/>
  <c r="BS45" i="116"/>
  <c r="BR45" i="116"/>
  <c r="BQ45" i="116"/>
  <c r="BP45" i="116"/>
  <c r="BO45" i="116"/>
  <c r="BM45" i="116"/>
  <c r="BL45" i="116"/>
  <c r="BK45" i="116"/>
  <c r="BJ45" i="116"/>
  <c r="BI45" i="116"/>
  <c r="BH45" i="116"/>
  <c r="BG45" i="116"/>
  <c r="BF45" i="116"/>
  <c r="S45" i="116" s="1"/>
  <c r="BE45" i="116"/>
  <c r="BD45" i="116"/>
  <c r="BC45" i="116"/>
  <c r="BB45" i="116"/>
  <c r="BA45" i="116"/>
  <c r="AZ45" i="116"/>
  <c r="AY45" i="116"/>
  <c r="AX45" i="116"/>
  <c r="AW45" i="116"/>
  <c r="AV45" i="116"/>
  <c r="AU45" i="116"/>
  <c r="AT45" i="116"/>
  <c r="AS45" i="116"/>
  <c r="AR45" i="116"/>
  <c r="AQ45" i="116"/>
  <c r="AP45" i="116"/>
  <c r="AO45" i="116"/>
  <c r="AN45" i="116"/>
  <c r="AL45" i="116"/>
  <c r="AK45" i="116"/>
  <c r="AJ45" i="116"/>
  <c r="AI45" i="116"/>
  <c r="AH45" i="116"/>
  <c r="AG45" i="116"/>
  <c r="AF45" i="116"/>
  <c r="AE45" i="116"/>
  <c r="Z45" i="116"/>
  <c r="Y45" i="116"/>
  <c r="X45" i="116"/>
  <c r="W45" i="116"/>
  <c r="V45" i="116"/>
  <c r="U45" i="116"/>
  <c r="T45" i="116"/>
  <c r="R45" i="116"/>
  <c r="Q45" i="116"/>
  <c r="P45" i="116"/>
  <c r="O45" i="116"/>
  <c r="QA44" i="116"/>
  <c r="OM44" i="116"/>
  <c r="OK44" i="116"/>
  <c r="OG44" i="116"/>
  <c r="LD44" i="116"/>
  <c r="CP44" i="116"/>
  <c r="CB44" i="116"/>
  <c r="LJ43" i="116"/>
  <c r="JL43" i="116"/>
  <c r="JF43" i="116"/>
  <c r="IQ43" i="116"/>
  <c r="GW43" i="116"/>
  <c r="GN43" i="116"/>
  <c r="CN43" i="116"/>
  <c r="CG43" i="116"/>
  <c r="CD43" i="116"/>
  <c r="CA43" i="116"/>
  <c r="BX43" i="116"/>
  <c r="BU43" i="116"/>
  <c r="BR43" i="116"/>
  <c r="BO43" i="116"/>
  <c r="BK43" i="116"/>
  <c r="BE43" i="116"/>
  <c r="AY43" i="116"/>
  <c r="AP43" i="116"/>
  <c r="AJ43" i="116"/>
  <c r="AJ44" i="116" s="1"/>
  <c r="AI43" i="116"/>
  <c r="AB43" i="116"/>
  <c r="X43" i="116"/>
  <c r="X90" i="116" s="1"/>
  <c r="W43" i="116"/>
  <c r="W90" i="116" s="1"/>
  <c r="T43" i="116"/>
  <c r="S43" i="116"/>
  <c r="EN42" i="116"/>
  <c r="EN44" i="116" s="1"/>
  <c r="AK42" i="116"/>
  <c r="QA41" i="116"/>
  <c r="PX41" i="116"/>
  <c r="PX42" i="116" s="1"/>
  <c r="PX44" i="116" s="1"/>
  <c r="PV41" i="116"/>
  <c r="PV42" i="116" s="1"/>
  <c r="PV44" i="116" s="1"/>
  <c r="PT41" i="116"/>
  <c r="PS41" i="116"/>
  <c r="PS42" i="116" s="1"/>
  <c r="PS44" i="116" s="1"/>
  <c r="PR41" i="116"/>
  <c r="PR42" i="116" s="1"/>
  <c r="PR44" i="116" s="1"/>
  <c r="PQ41" i="116"/>
  <c r="PQ42" i="116" s="1"/>
  <c r="PQ44" i="116" s="1"/>
  <c r="PP41" i="116"/>
  <c r="PP42" i="116" s="1"/>
  <c r="PP44" i="116" s="1"/>
  <c r="PL41" i="116"/>
  <c r="PL42" i="116" s="1"/>
  <c r="PK41" i="116"/>
  <c r="PK42" i="116" s="1"/>
  <c r="PK44" i="116" s="1"/>
  <c r="PI41" i="116"/>
  <c r="PI42" i="116" s="1"/>
  <c r="PI44" i="116" s="1"/>
  <c r="PH41" i="116"/>
  <c r="PH42" i="116" s="1"/>
  <c r="PH44" i="116" s="1"/>
  <c r="OY41" i="116"/>
  <c r="OY42" i="116" s="1"/>
  <c r="OY44" i="116" s="1"/>
  <c r="OX41" i="116"/>
  <c r="OX42" i="116" s="1"/>
  <c r="OX44" i="116" s="1"/>
  <c r="OW41" i="116"/>
  <c r="OW42" i="116" s="1"/>
  <c r="OW44" i="116" s="1"/>
  <c r="OV41" i="116"/>
  <c r="OV42" i="116" s="1"/>
  <c r="OV44" i="116" s="1"/>
  <c r="OU41" i="116"/>
  <c r="OU42" i="116" s="1"/>
  <c r="OU44" i="116" s="1"/>
  <c r="OT41" i="116"/>
  <c r="OT42" i="116" s="1"/>
  <c r="OT44" i="116" s="1"/>
  <c r="OC41" i="116"/>
  <c r="OC42" i="116" s="1"/>
  <c r="OC9" i="120" s="1"/>
  <c r="NB41" i="116"/>
  <c r="NB42" i="116" s="1"/>
  <c r="NB44" i="116" s="1"/>
  <c r="MW41" i="116"/>
  <c r="MW42" i="116" s="1"/>
  <c r="MW44" i="116" s="1"/>
  <c r="MV41" i="116"/>
  <c r="MV42" i="116" s="1"/>
  <c r="MV44" i="116" s="1"/>
  <c r="MT41" i="116"/>
  <c r="MT42" i="116" s="1"/>
  <c r="MT44" i="116" s="1"/>
  <c r="MS41" i="116"/>
  <c r="MS42" i="116" s="1"/>
  <c r="MS44" i="116" s="1"/>
  <c r="MR41" i="116"/>
  <c r="MR42" i="116" s="1"/>
  <c r="MR44" i="116" s="1"/>
  <c r="MP41" i="116"/>
  <c r="MP42" i="116" s="1"/>
  <c r="MP44" i="116" s="1"/>
  <c r="MO41" i="116"/>
  <c r="MO42" i="116" s="1"/>
  <c r="MO44" i="116" s="1"/>
  <c r="MN41" i="116"/>
  <c r="MN42" i="116" s="1"/>
  <c r="MN44" i="116" s="1"/>
  <c r="MM41" i="116"/>
  <c r="MM42" i="116" s="1"/>
  <c r="MM44" i="116" s="1"/>
  <c r="ML41" i="116"/>
  <c r="ML42" i="116" s="1"/>
  <c r="ML44" i="116" s="1"/>
  <c r="MJ41" i="116"/>
  <c r="MJ42" i="116" s="1"/>
  <c r="MJ44" i="116" s="1"/>
  <c r="MI41" i="116"/>
  <c r="MI42" i="116" s="1"/>
  <c r="MI44" i="116" s="1"/>
  <c r="MH41" i="116"/>
  <c r="MH42" i="116" s="1"/>
  <c r="MH44" i="116" s="1"/>
  <c r="MG41" i="116"/>
  <c r="MG42" i="116" s="1"/>
  <c r="MG44" i="116" s="1"/>
  <c r="MF41" i="116"/>
  <c r="MF42" i="116" s="1"/>
  <c r="ME41" i="116"/>
  <c r="ME42" i="116" s="1"/>
  <c r="MD41" i="116"/>
  <c r="MD42" i="116" s="1"/>
  <c r="MD44" i="116" s="1"/>
  <c r="MB41" i="116"/>
  <c r="MB42" i="116" s="1"/>
  <c r="MA41" i="116"/>
  <c r="MA42" i="116" s="1"/>
  <c r="MA44" i="116" s="1"/>
  <c r="LZ41" i="116"/>
  <c r="LZ42" i="116" s="1"/>
  <c r="LZ44" i="116" s="1"/>
  <c r="LY41" i="116"/>
  <c r="LY42" i="116" s="1"/>
  <c r="LX41" i="116"/>
  <c r="LX42" i="116" s="1"/>
  <c r="LX44" i="116" s="1"/>
  <c r="LV41" i="116"/>
  <c r="LV42" i="116" s="1"/>
  <c r="LV44" i="116" s="1"/>
  <c r="LU41" i="116"/>
  <c r="LU42" i="116" s="1"/>
  <c r="LU44" i="116" s="1"/>
  <c r="LT41" i="116"/>
  <c r="LT42" i="116" s="1"/>
  <c r="LT44" i="116" s="1"/>
  <c r="LS41" i="116"/>
  <c r="LS42" i="116" s="1"/>
  <c r="LR41" i="116"/>
  <c r="LR42" i="116" s="1"/>
  <c r="LR44" i="116" s="1"/>
  <c r="LQ41" i="116"/>
  <c r="LQ42" i="116" s="1"/>
  <c r="LQ44" i="116" s="1"/>
  <c r="LP41" i="116"/>
  <c r="LP42" i="116" s="1"/>
  <c r="LP44" i="116" s="1"/>
  <c r="LO41" i="116"/>
  <c r="LO42" i="116" s="1"/>
  <c r="LO44" i="116" s="1"/>
  <c r="LN41" i="116"/>
  <c r="LN42" i="116" s="1"/>
  <c r="LN44" i="116" s="1"/>
  <c r="LM41" i="116"/>
  <c r="LM42" i="116" s="1"/>
  <c r="LM44" i="116" s="1"/>
  <c r="LL41" i="116"/>
  <c r="LL42" i="116" s="1"/>
  <c r="LK41" i="116"/>
  <c r="LK42" i="116" s="1"/>
  <c r="LF41" i="116"/>
  <c r="LF42" i="116" s="1"/>
  <c r="LF44" i="116" s="1"/>
  <c r="LE41" i="116"/>
  <c r="LE42" i="116" s="1"/>
  <c r="LE44" i="116" s="1"/>
  <c r="LC41" i="116"/>
  <c r="LC42" i="116" s="1"/>
  <c r="LC44" i="116" s="1"/>
  <c r="LB41" i="116"/>
  <c r="LB42" i="116" s="1"/>
  <c r="LB44" i="116" s="1"/>
  <c r="LA41" i="116"/>
  <c r="LA42" i="116" s="1"/>
  <c r="LA44" i="116" s="1"/>
  <c r="KZ41" i="116"/>
  <c r="KZ42" i="116" s="1"/>
  <c r="KZ44" i="116" s="1"/>
  <c r="KY41" i="116"/>
  <c r="KY42" i="116" s="1"/>
  <c r="KY44" i="116" s="1"/>
  <c r="KN41" i="116"/>
  <c r="KN42" i="116" s="1"/>
  <c r="KN44" i="116" s="1"/>
  <c r="KM41" i="116"/>
  <c r="KM42" i="116" s="1"/>
  <c r="KM44" i="116" s="1"/>
  <c r="JN41" i="116"/>
  <c r="JN42" i="116" s="1"/>
  <c r="JN44" i="116" s="1"/>
  <c r="JM41" i="116"/>
  <c r="JM42" i="116" s="1"/>
  <c r="JM44" i="116" s="1"/>
  <c r="JK41" i="116"/>
  <c r="JK42" i="116" s="1"/>
  <c r="JK44" i="116" s="1"/>
  <c r="JH41" i="116"/>
  <c r="JH42" i="116" s="1"/>
  <c r="JH44" i="116" s="1"/>
  <c r="JG41" i="116"/>
  <c r="JG42" i="116" s="1"/>
  <c r="JG44" i="116" s="1"/>
  <c r="JE41" i="116"/>
  <c r="JE42" i="116" s="1"/>
  <c r="JE44" i="116" s="1"/>
  <c r="JD41" i="116"/>
  <c r="JD42" i="116" s="1"/>
  <c r="JD44" i="116" s="1"/>
  <c r="JC41" i="116"/>
  <c r="JC42" i="116" s="1"/>
  <c r="JA41" i="116"/>
  <c r="JA42" i="116" s="1"/>
  <c r="IY41" i="116"/>
  <c r="IY42" i="116" s="1"/>
  <c r="IW41" i="116"/>
  <c r="IW42" i="116" s="1"/>
  <c r="IV41" i="116"/>
  <c r="IV42" i="116" s="1"/>
  <c r="IU41" i="116"/>
  <c r="IU42" i="116" s="1"/>
  <c r="IT41" i="116"/>
  <c r="IT42" i="116" s="1"/>
  <c r="IT44" i="116" s="1"/>
  <c r="IS41" i="116"/>
  <c r="IS42" i="116" s="1"/>
  <c r="IR41" i="116"/>
  <c r="IR42" i="116" s="1"/>
  <c r="IO41" i="116"/>
  <c r="IO42" i="116" s="1"/>
  <c r="IO44" i="116" s="1"/>
  <c r="IN41" i="116"/>
  <c r="IN42" i="116" s="1"/>
  <c r="IL41" i="116"/>
  <c r="IL42" i="116" s="1"/>
  <c r="IJ41" i="116"/>
  <c r="IJ42" i="116" s="1"/>
  <c r="IH41" i="116"/>
  <c r="IH42" i="116" s="1"/>
  <c r="IG41" i="116"/>
  <c r="IG42" i="116" s="1"/>
  <c r="IF41" i="116"/>
  <c r="IF42" i="116" s="1"/>
  <c r="IE41" i="116"/>
  <c r="IE42" i="116" s="1"/>
  <c r="IE44" i="116" s="1"/>
  <c r="ID41" i="116"/>
  <c r="ID42" i="116" s="1"/>
  <c r="IC41" i="116"/>
  <c r="IC42" i="116" s="1"/>
  <c r="IA41" i="116"/>
  <c r="IA42" i="116" s="1"/>
  <c r="HZ41" i="116"/>
  <c r="HZ42" i="116" s="1"/>
  <c r="HY41" i="116"/>
  <c r="HY42" i="116" s="1"/>
  <c r="HX41" i="116"/>
  <c r="HX42" i="116" s="1"/>
  <c r="HW41" i="116"/>
  <c r="HW42" i="116" s="1"/>
  <c r="HU41" i="116"/>
  <c r="HU42" i="116" s="1"/>
  <c r="HS41" i="116"/>
  <c r="HS42" i="116" s="1"/>
  <c r="HR41" i="116"/>
  <c r="HR42" i="116" s="1"/>
  <c r="HQ41" i="116"/>
  <c r="HQ42" i="116" s="1"/>
  <c r="HP41" i="116"/>
  <c r="HP42" i="116" s="1"/>
  <c r="HO41" i="116"/>
  <c r="HO42" i="116" s="1"/>
  <c r="HN41" i="116"/>
  <c r="HN42" i="116" s="1"/>
  <c r="HL41" i="116"/>
  <c r="HL42" i="116" s="1"/>
  <c r="HL44" i="116" s="1"/>
  <c r="HJ41" i="116"/>
  <c r="HJ42" i="116" s="1"/>
  <c r="HH41" i="116"/>
  <c r="HH42" i="116" s="1"/>
  <c r="HF41" i="116"/>
  <c r="HF42" i="116" s="1"/>
  <c r="HE41" i="116"/>
  <c r="HE42" i="116" s="1"/>
  <c r="HE44" i="116" s="1"/>
  <c r="HD41" i="116"/>
  <c r="HD42" i="116" s="1"/>
  <c r="HC41" i="116"/>
  <c r="HC42" i="116" s="1"/>
  <c r="HC44" i="116" s="1"/>
  <c r="HB41" i="116"/>
  <c r="HB42" i="116" s="1"/>
  <c r="HA41" i="116"/>
  <c r="HA42" i="116" s="1"/>
  <c r="HA44" i="116" s="1"/>
  <c r="GZ41" i="116"/>
  <c r="GZ42" i="116" s="1"/>
  <c r="GY41" i="116"/>
  <c r="GX41" i="116"/>
  <c r="GX42" i="116" s="1"/>
  <c r="GX44" i="116" s="1"/>
  <c r="GR41" i="116"/>
  <c r="GR42" i="116" s="1"/>
  <c r="GR44" i="116" s="1"/>
  <c r="GQ41" i="116"/>
  <c r="GQ42" i="116" s="1"/>
  <c r="GQ44" i="116" s="1"/>
  <c r="GP41" i="116"/>
  <c r="GP42" i="116" s="1"/>
  <c r="GP44" i="116" s="1"/>
  <c r="GO41" i="116"/>
  <c r="GO42" i="116" s="1"/>
  <c r="GO44" i="116" s="1"/>
  <c r="GJ41" i="116"/>
  <c r="GJ42" i="116" s="1"/>
  <c r="GJ44" i="116" s="1"/>
  <c r="GI41" i="116"/>
  <c r="GI42" i="116" s="1"/>
  <c r="GI44" i="116" s="1"/>
  <c r="GF41" i="116"/>
  <c r="GF42" i="116" s="1"/>
  <c r="GF44" i="116" s="1"/>
  <c r="GD41" i="116"/>
  <c r="GD42" i="116" s="1"/>
  <c r="GD44" i="116" s="1"/>
  <c r="GB41" i="116"/>
  <c r="GB42" i="116" s="1"/>
  <c r="GB44" i="116" s="1"/>
  <c r="FZ41" i="116"/>
  <c r="FZ42" i="116" s="1"/>
  <c r="FZ44" i="116" s="1"/>
  <c r="FX41" i="116"/>
  <c r="FX42" i="116" s="1"/>
  <c r="FX44" i="116" s="1"/>
  <c r="FV41" i="116"/>
  <c r="FV42" i="116" s="1"/>
  <c r="FV44" i="116" s="1"/>
  <c r="FT41" i="116"/>
  <c r="FT42" i="116" s="1"/>
  <c r="FT44" i="116" s="1"/>
  <c r="FS41" i="116"/>
  <c r="FS42" i="116" s="1"/>
  <c r="FS44" i="116" s="1"/>
  <c r="FR41" i="116"/>
  <c r="FR42" i="116" s="1"/>
  <c r="FR44" i="116" s="1"/>
  <c r="FQ41" i="116"/>
  <c r="FQ42" i="116" s="1"/>
  <c r="FQ44" i="116" s="1"/>
  <c r="FP41" i="116"/>
  <c r="FP42" i="116" s="1"/>
  <c r="FP44" i="116" s="1"/>
  <c r="FO41" i="116"/>
  <c r="FO42" i="116" s="1"/>
  <c r="FO44" i="116" s="1"/>
  <c r="FM41" i="116"/>
  <c r="FM42" i="116" s="1"/>
  <c r="FM44" i="116" s="1"/>
  <c r="FL41" i="116"/>
  <c r="FL42" i="116" s="1"/>
  <c r="FL44" i="116" s="1"/>
  <c r="FK41" i="116"/>
  <c r="FK42" i="116" s="1"/>
  <c r="FK44" i="116" s="1"/>
  <c r="FJ41" i="116"/>
  <c r="FJ42" i="116" s="1"/>
  <c r="FJ44" i="116" s="1"/>
  <c r="FI41" i="116"/>
  <c r="FI42" i="116" s="1"/>
  <c r="FI44" i="116" s="1"/>
  <c r="FH41" i="116"/>
  <c r="FH42" i="116" s="1"/>
  <c r="FH44" i="116" s="1"/>
  <c r="FG41" i="116"/>
  <c r="FG42" i="116" s="1"/>
  <c r="FG44" i="116" s="1"/>
  <c r="FF41" i="116"/>
  <c r="FF42" i="116" s="1"/>
  <c r="FF44" i="116" s="1"/>
  <c r="FA41" i="116"/>
  <c r="FA42" i="116" s="1"/>
  <c r="FA44" i="116" s="1"/>
  <c r="EZ41" i="116"/>
  <c r="EZ42" i="116" s="1"/>
  <c r="EZ44" i="116" s="1"/>
  <c r="EX41" i="116"/>
  <c r="EX42" i="116" s="1"/>
  <c r="EX44" i="116" s="1"/>
  <c r="EW41" i="116"/>
  <c r="EW42" i="116" s="1"/>
  <c r="EW44" i="116" s="1"/>
  <c r="EV41" i="116"/>
  <c r="EV42" i="116" s="1"/>
  <c r="EV44" i="116" s="1"/>
  <c r="EU41" i="116"/>
  <c r="EU42" i="116" s="1"/>
  <c r="EU44" i="116" s="1"/>
  <c r="ET41" i="116"/>
  <c r="ET42" i="116" s="1"/>
  <c r="ET44" i="116" s="1"/>
  <c r="ES41" i="116"/>
  <c r="ES42" i="116" s="1"/>
  <c r="ES44" i="116" s="1"/>
  <c r="EP41" i="116"/>
  <c r="EP42" i="116" s="1"/>
  <c r="EP44" i="116" s="1"/>
  <c r="EM41" i="116"/>
  <c r="EM42" i="116" s="1"/>
  <c r="EL41" i="116"/>
  <c r="EL42" i="116" s="1"/>
  <c r="EL44" i="116" s="1"/>
  <c r="EJ41" i="116"/>
  <c r="EJ42" i="116" s="1"/>
  <c r="EJ44" i="116" s="1"/>
  <c r="EI41" i="116"/>
  <c r="EH41" i="116"/>
  <c r="EH42" i="116" s="1"/>
  <c r="EG41" i="116"/>
  <c r="EG42" i="116" s="1"/>
  <c r="EF41" i="116"/>
  <c r="EF42" i="116" s="1"/>
  <c r="EF44" i="116" s="1"/>
  <c r="DY41" i="116"/>
  <c r="DY42" i="116" s="1"/>
  <c r="DY44" i="116" s="1"/>
  <c r="DW41" i="116"/>
  <c r="DW42" i="116" s="1"/>
  <c r="DW44" i="116" s="1"/>
  <c r="DU41" i="116"/>
  <c r="DU42" i="116" s="1"/>
  <c r="DU44" i="116" s="1"/>
  <c r="DS41" i="116"/>
  <c r="DS42" i="116" s="1"/>
  <c r="DS44" i="116" s="1"/>
  <c r="DQ41" i="116"/>
  <c r="DQ42" i="116" s="1"/>
  <c r="DP41" i="116"/>
  <c r="DP42" i="116" s="1"/>
  <c r="DP44" i="116" s="1"/>
  <c r="DO41" i="116"/>
  <c r="DO42" i="116" s="1"/>
  <c r="DJ41" i="116"/>
  <c r="DJ42" i="116" s="1"/>
  <c r="DJ44" i="116" s="1"/>
  <c r="DH41" i="116"/>
  <c r="DH42" i="116" s="1"/>
  <c r="DH44" i="116" s="1"/>
  <c r="DF41" i="116"/>
  <c r="DF42" i="116" s="1"/>
  <c r="DF44" i="116" s="1"/>
  <c r="DE41" i="116"/>
  <c r="DE42" i="116" s="1"/>
  <c r="DE44" i="116" s="1"/>
  <c r="CQ41" i="116"/>
  <c r="CQ42" i="116" s="1"/>
  <c r="CQ44" i="116" s="1"/>
  <c r="CP41" i="116"/>
  <c r="CO41" i="116"/>
  <c r="CO42" i="116" s="1"/>
  <c r="CO44" i="116" s="1"/>
  <c r="CM41" i="116"/>
  <c r="CM42" i="116" s="1"/>
  <c r="CM44" i="116" s="1"/>
  <c r="CL41" i="116"/>
  <c r="CL42" i="116" s="1"/>
  <c r="CL44" i="116" s="1"/>
  <c r="CK41" i="116"/>
  <c r="CK44" i="116" s="1"/>
  <c r="CJ41" i="116"/>
  <c r="CJ42" i="116" s="1"/>
  <c r="CJ44" i="116" s="1"/>
  <c r="CI41" i="116"/>
  <c r="CI44" i="116" s="1"/>
  <c r="CH41" i="116"/>
  <c r="CH42" i="116" s="1"/>
  <c r="CH44" i="116" s="1"/>
  <c r="CF41" i="116"/>
  <c r="CF42" i="116" s="1"/>
  <c r="CF44" i="116" s="1"/>
  <c r="CE41" i="116"/>
  <c r="CC41" i="116"/>
  <c r="CB41" i="116"/>
  <c r="BZ41" i="116"/>
  <c r="BZ42" i="116" s="1"/>
  <c r="BZ44" i="116" s="1"/>
  <c r="BY41" i="116"/>
  <c r="BY42" i="116" s="1"/>
  <c r="BX41" i="116"/>
  <c r="BX42" i="116" s="1"/>
  <c r="BW41" i="116"/>
  <c r="BW44" i="116" s="1"/>
  <c r="BV41" i="116"/>
  <c r="BU41" i="116"/>
  <c r="BU42" i="116" s="1"/>
  <c r="BT41" i="116"/>
  <c r="BT42" i="116" s="1"/>
  <c r="BT44" i="116" s="1"/>
  <c r="BS41" i="116"/>
  <c r="BS42" i="116" s="1"/>
  <c r="BS48" i="116" s="1"/>
  <c r="BR41" i="116"/>
  <c r="BR42" i="116" s="1"/>
  <c r="BQ41" i="116"/>
  <c r="BP41" i="116"/>
  <c r="BP42" i="116" s="1"/>
  <c r="BP44" i="116" s="1"/>
  <c r="BL41" i="116"/>
  <c r="BK41" i="116"/>
  <c r="BK42" i="116" s="1"/>
  <c r="BJ41" i="116"/>
  <c r="BJ42" i="116" s="1"/>
  <c r="BJ44" i="116" s="1"/>
  <c r="BI41" i="116"/>
  <c r="BI42" i="116" s="1"/>
  <c r="BI44" i="116" s="1"/>
  <c r="BH41" i="116"/>
  <c r="BH42" i="116" s="1"/>
  <c r="BH44" i="116" s="1"/>
  <c r="BG41" i="116"/>
  <c r="BG42" i="116" s="1"/>
  <c r="BF41" i="116"/>
  <c r="BF42" i="116" s="1"/>
  <c r="BC41" i="116"/>
  <c r="BB41" i="116"/>
  <c r="BB42" i="116" s="1"/>
  <c r="BB44" i="116" s="1"/>
  <c r="BA41" i="116"/>
  <c r="BA42" i="116" s="1"/>
  <c r="BA44" i="116" s="1"/>
  <c r="AZ41" i="116"/>
  <c r="AZ42" i="116" s="1"/>
  <c r="AZ44" i="116" s="1"/>
  <c r="AW41" i="116"/>
  <c r="AW44" i="116" s="1"/>
  <c r="AU41" i="116"/>
  <c r="AU42" i="116" s="1"/>
  <c r="AU44" i="116" s="1"/>
  <c r="AT41" i="116"/>
  <c r="AR41" i="116"/>
  <c r="AR42" i="116" s="1"/>
  <c r="AR44" i="116" s="1"/>
  <c r="AQ41" i="116"/>
  <c r="AO41" i="116"/>
  <c r="AO42" i="116" s="1"/>
  <c r="AO44" i="116" s="1"/>
  <c r="AN41" i="116"/>
  <c r="AM41" i="116"/>
  <c r="AM42" i="116" s="1"/>
  <c r="AM44" i="116" s="1"/>
  <c r="AL41" i="116"/>
  <c r="AL42" i="116" s="1"/>
  <c r="AL44" i="116" s="1"/>
  <c r="AJ41" i="116"/>
  <c r="AI41" i="116"/>
  <c r="AH41" i="116"/>
  <c r="AH42" i="116" s="1"/>
  <c r="AH44" i="116" s="1"/>
  <c r="AF41" i="116"/>
  <c r="AF42" i="116" s="1"/>
  <c r="AF44" i="116" s="1"/>
  <c r="AE41" i="116"/>
  <c r="Z41" i="116"/>
  <c r="Z42" i="116" s="1"/>
  <c r="Z44" i="116" s="1"/>
  <c r="V41" i="116"/>
  <c r="V42" i="116" s="1"/>
  <c r="V44" i="116" s="1"/>
  <c r="R41" i="116"/>
  <c r="R42" i="116" s="1"/>
  <c r="R44" i="116" s="1"/>
  <c r="N41" i="116"/>
  <c r="N42" i="116" s="1"/>
  <c r="N44" i="116" s="1"/>
  <c r="M41" i="116"/>
  <c r="M42" i="116" s="1"/>
  <c r="M44" i="116" s="1"/>
  <c r="L41" i="116"/>
  <c r="L42" i="116" s="1"/>
  <c r="L44" i="116" s="1"/>
  <c r="K41" i="116"/>
  <c r="K42" i="116" s="1"/>
  <c r="K44" i="116" s="1"/>
  <c r="J41" i="116"/>
  <c r="J42" i="116" s="1"/>
  <c r="J44" i="116" s="1"/>
  <c r="I41" i="116"/>
  <c r="I42" i="116" s="1"/>
  <c r="AY132" i="2" s="1"/>
  <c r="H41" i="116"/>
  <c r="H42" i="116" s="1"/>
  <c r="AY133" i="2" s="1"/>
  <c r="RQ40" i="116"/>
  <c r="RO40" i="116"/>
  <c r="RF40" i="116"/>
  <c r="RE40" i="116"/>
  <c r="RD40" i="116"/>
  <c r="RC40" i="116"/>
  <c r="RB40" i="116"/>
  <c r="RA40" i="116"/>
  <c r="QY40" i="116"/>
  <c r="QX40" i="116"/>
  <c r="QW40" i="116"/>
  <c r="QV40" i="116"/>
  <c r="QU40" i="116"/>
  <c r="QT40" i="116"/>
  <c r="QO40" i="116"/>
  <c r="PZ40" i="116"/>
  <c r="OZ40" i="116"/>
  <c r="OZ41" i="116" s="1"/>
  <c r="OZ42" i="116" s="1"/>
  <c r="OZ44" i="116" s="1"/>
  <c r="MU40" i="116"/>
  <c r="MC40" i="116"/>
  <c r="LW40" i="116"/>
  <c r="LI40" i="116"/>
  <c r="LH40" i="116"/>
  <c r="LG40" i="116"/>
  <c r="HV40" i="116" a="1"/>
  <c r="HV40" i="116" s="1"/>
  <c r="HT40" i="116" a="1"/>
  <c r="HT40" i="116" s="1"/>
  <c r="GH40" i="116"/>
  <c r="FD40" i="116" s="1"/>
  <c r="FU40" i="116"/>
  <c r="FC40" i="116" s="1"/>
  <c r="FN40" i="116"/>
  <c r="FB40" i="116" s="1"/>
  <c r="EY40" i="116"/>
  <c r="ER40" i="116"/>
  <c r="DC40" i="116"/>
  <c r="DA40" i="116"/>
  <c r="CY40" i="116"/>
  <c r="CW40" i="116"/>
  <c r="CV40" i="116"/>
  <c r="CU40" i="116"/>
  <c r="CT40" i="116"/>
  <c r="CS40" i="116"/>
  <c r="CR40" i="116"/>
  <c r="CN40" i="116"/>
  <c r="CN41" i="116" s="1"/>
  <c r="CN42" i="116" s="1"/>
  <c r="CG40" i="116"/>
  <c r="CD40" i="116"/>
  <c r="CA40" i="116"/>
  <c r="BX40" i="116"/>
  <c r="BU40" i="116"/>
  <c r="BR40" i="116"/>
  <c r="BK40" i="116"/>
  <c r="BH40" i="116"/>
  <c r="BB40" i="116"/>
  <c r="AV40" i="116"/>
  <c r="AS40" i="116"/>
  <c r="AP40" i="116"/>
  <c r="AK40" i="116"/>
  <c r="AG40" i="116"/>
  <c r="AB40" i="116"/>
  <c r="AA40" i="116"/>
  <c r="X40" i="116"/>
  <c r="W40" i="116"/>
  <c r="S40" i="116"/>
  <c r="RQ39" i="116"/>
  <c r="RO39" i="116"/>
  <c r="RF39" i="116"/>
  <c r="RE39" i="116"/>
  <c r="RD39" i="116"/>
  <c r="RC39" i="116"/>
  <c r="RB39" i="116"/>
  <c r="RA39" i="116"/>
  <c r="QY39" i="116"/>
  <c r="QX39" i="116"/>
  <c r="QW39" i="116"/>
  <c r="QV39" i="116"/>
  <c r="QU39" i="116"/>
  <c r="QT39" i="116"/>
  <c r="QO39" i="116"/>
  <c r="PZ39" i="116"/>
  <c r="OZ39" i="116"/>
  <c r="MU39" i="116"/>
  <c r="LI39" i="116"/>
  <c r="LH39" i="116"/>
  <c r="U31" i="118" s="1"/>
  <c r="LG39" i="116"/>
  <c r="T31" i="118" s="1"/>
  <c r="HV39" i="116" a="1"/>
  <c r="HV39" i="116" s="1"/>
  <c r="HT39" i="116" a="1"/>
  <c r="HT39" i="116" s="1"/>
  <c r="GH39" i="116"/>
  <c r="FD39" i="116" s="1"/>
  <c r="FU39" i="116"/>
  <c r="FC39" i="116" s="1"/>
  <c r="FN39" i="116"/>
  <c r="FB39" i="116" s="1"/>
  <c r="EY39" i="116"/>
  <c r="ER39" i="116"/>
  <c r="DC39" i="116"/>
  <c r="DA39" i="116"/>
  <c r="CY39" i="116"/>
  <c r="CW39" i="116"/>
  <c r="CV39" i="116"/>
  <c r="CU39" i="116"/>
  <c r="CT39" i="116"/>
  <c r="CS39" i="116"/>
  <c r="CR39" i="116"/>
  <c r="CG39" i="116"/>
  <c r="CD39" i="116"/>
  <c r="CA39" i="116"/>
  <c r="BX39" i="116"/>
  <c r="BU39" i="116"/>
  <c r="BR39" i="116"/>
  <c r="BK39" i="116"/>
  <c r="BH39" i="116"/>
  <c r="BB39" i="116"/>
  <c r="AV39" i="116"/>
  <c r="AS39" i="116"/>
  <c r="AP39" i="116"/>
  <c r="AK39" i="116"/>
  <c r="AG39" i="116"/>
  <c r="AB39" i="116"/>
  <c r="AA39" i="116"/>
  <c r="X39" i="116"/>
  <c r="W39" i="116"/>
  <c r="S39" i="116"/>
  <c r="RQ38" i="116"/>
  <c r="RO38" i="116"/>
  <c r="RF38" i="116"/>
  <c r="RE38" i="116"/>
  <c r="RD38" i="116"/>
  <c r="RC38" i="116"/>
  <c r="RB38" i="116"/>
  <c r="RA38" i="116"/>
  <c r="QY38" i="116"/>
  <c r="QX38" i="116"/>
  <c r="QW38" i="116"/>
  <c r="QV38" i="116"/>
  <c r="QU38" i="116"/>
  <c r="QT38" i="116"/>
  <c r="QO38" i="116"/>
  <c r="PZ38" i="116"/>
  <c r="OZ38" i="116"/>
  <c r="MU38" i="116"/>
  <c r="LI38" i="116"/>
  <c r="LH38" i="116"/>
  <c r="U30" i="118" s="1"/>
  <c r="LG38" i="116"/>
  <c r="T30" i="118" s="1"/>
  <c r="HV38" i="116" a="1"/>
  <c r="HV38" i="116" s="1"/>
  <c r="HT38" i="116" a="1"/>
  <c r="HT38" i="116" s="1"/>
  <c r="GH38" i="116"/>
  <c r="FD38" i="116" s="1"/>
  <c r="FU38" i="116"/>
  <c r="FC38" i="116" s="1"/>
  <c r="FN38" i="116"/>
  <c r="FB38" i="116" s="1"/>
  <c r="EY38" i="116"/>
  <c r="ER38" i="116"/>
  <c r="DC38" i="116"/>
  <c r="DA38" i="116"/>
  <c r="CY38" i="116"/>
  <c r="CW38" i="116"/>
  <c r="CV38" i="116"/>
  <c r="CU38" i="116"/>
  <c r="CT38" i="116"/>
  <c r="CS38" i="116"/>
  <c r="CR38" i="116"/>
  <c r="CG38" i="116"/>
  <c r="CD38" i="116"/>
  <c r="CA38" i="116"/>
  <c r="BX38" i="116"/>
  <c r="BU38" i="116"/>
  <c r="BR38" i="116"/>
  <c r="BK38" i="116"/>
  <c r="BH38" i="116"/>
  <c r="BB38" i="116"/>
  <c r="AV38" i="116"/>
  <c r="AS38" i="116"/>
  <c r="AP38" i="116"/>
  <c r="AK38" i="116"/>
  <c r="AG38" i="116"/>
  <c r="AB38" i="116"/>
  <c r="AA38" i="116"/>
  <c r="X38" i="116"/>
  <c r="W38" i="116"/>
  <c r="S38" i="116"/>
  <c r="RQ37" i="116"/>
  <c r="RO37" i="116"/>
  <c r="RF37" i="116"/>
  <c r="RE37" i="116"/>
  <c r="RD37" i="116"/>
  <c r="RC37" i="116"/>
  <c r="RB37" i="116"/>
  <c r="RA37" i="116"/>
  <c r="QY37" i="116"/>
  <c r="QX37" i="116"/>
  <c r="QW37" i="116"/>
  <c r="QV37" i="116"/>
  <c r="QU37" i="116"/>
  <c r="QT37" i="116"/>
  <c r="QO37" i="116"/>
  <c r="PZ37" i="116"/>
  <c r="OZ37" i="116"/>
  <c r="NN37" i="116"/>
  <c r="NN38" i="116" s="1"/>
  <c r="NN39" i="116" s="1"/>
  <c r="NN40" i="116" s="1"/>
  <c r="NN41" i="116" s="1"/>
  <c r="NN42" i="116" s="1"/>
  <c r="NM37" i="116"/>
  <c r="NM38" i="116" s="1"/>
  <c r="NM39" i="116" s="1"/>
  <c r="NM40" i="116" s="1"/>
  <c r="NM41" i="116" s="1"/>
  <c r="NM42" i="116" s="1"/>
  <c r="NM44" i="116" s="1"/>
  <c r="NL37" i="116"/>
  <c r="NL38" i="116" s="1"/>
  <c r="NL39" i="116" s="1"/>
  <c r="NL40" i="116" s="1"/>
  <c r="NL41" i="116" s="1"/>
  <c r="NL42" i="116" s="1"/>
  <c r="NK37" i="116"/>
  <c r="NK38" i="116" s="1"/>
  <c r="NK39" i="116" s="1"/>
  <c r="NK40" i="116" s="1"/>
  <c r="NK41" i="116" s="1"/>
  <c r="NK42" i="116" s="1"/>
  <c r="NK44" i="116" s="1"/>
  <c r="NJ37" i="116"/>
  <c r="NJ38" i="116" s="1"/>
  <c r="NJ39" i="116" s="1"/>
  <c r="NJ40" i="116" s="1"/>
  <c r="NJ41" i="116" s="1"/>
  <c r="NJ42" i="116" s="1"/>
  <c r="NI37" i="116"/>
  <c r="NI38" i="116" s="1"/>
  <c r="NI39" i="116" s="1"/>
  <c r="NI40" i="116" s="1"/>
  <c r="NI41" i="116" s="1"/>
  <c r="NI42" i="116" s="1"/>
  <c r="NI44" i="116" s="1"/>
  <c r="NH37" i="116"/>
  <c r="NH38" i="116" s="1"/>
  <c r="NH39" i="116" s="1"/>
  <c r="NH40" i="116" s="1"/>
  <c r="NH41" i="116" s="1"/>
  <c r="NH42" i="116" s="1"/>
  <c r="NG37" i="116"/>
  <c r="MU37" i="116"/>
  <c r="LI37" i="116"/>
  <c r="LH37" i="116"/>
  <c r="U29" i="118" s="1"/>
  <c r="LG37" i="116"/>
  <c r="T29" i="118" s="1"/>
  <c r="HV37" i="116" a="1"/>
  <c r="HV37" i="116" s="1"/>
  <c r="HT37" i="116" a="1"/>
  <c r="HT37" i="116" s="1"/>
  <c r="GH37" i="116"/>
  <c r="FD37" i="116" s="1"/>
  <c r="FU37" i="116"/>
  <c r="FC37" i="116" s="1"/>
  <c r="FN37" i="116"/>
  <c r="FB37" i="116" s="1"/>
  <c r="EY37" i="116"/>
  <c r="ER37" i="116"/>
  <c r="DC37" i="116"/>
  <c r="DA37" i="116"/>
  <c r="CY37" i="116"/>
  <c r="CW37" i="116"/>
  <c r="CV37" i="116"/>
  <c r="CU37" i="116"/>
  <c r="CT37" i="116"/>
  <c r="CS37" i="116"/>
  <c r="CR37" i="116"/>
  <c r="CG37" i="116"/>
  <c r="CD37" i="116"/>
  <c r="CA37" i="116"/>
  <c r="BX37" i="116"/>
  <c r="BU37" i="116"/>
  <c r="BR37" i="116"/>
  <c r="BK37" i="116"/>
  <c r="BH37" i="116"/>
  <c r="BB37" i="116"/>
  <c r="AV37" i="116"/>
  <c r="AS37" i="116"/>
  <c r="AP37" i="116"/>
  <c r="AK37" i="116"/>
  <c r="AG37" i="116"/>
  <c r="AB37" i="116"/>
  <c r="AA37" i="116"/>
  <c r="X37" i="116"/>
  <c r="W37" i="116"/>
  <c r="S37" i="116"/>
  <c r="RQ36" i="116"/>
  <c r="RO36" i="116"/>
  <c r="RF36" i="116"/>
  <c r="RE36" i="116"/>
  <c r="RD36" i="116"/>
  <c r="RC36" i="116"/>
  <c r="RB36" i="116"/>
  <c r="RA36" i="116"/>
  <c r="QY36" i="116"/>
  <c r="QX36" i="116"/>
  <c r="QW36" i="116"/>
  <c r="QV36" i="116"/>
  <c r="QU36" i="116"/>
  <c r="QT36" i="116"/>
  <c r="QO36" i="116"/>
  <c r="RP36" i="116"/>
  <c r="PZ36" i="116"/>
  <c r="OZ36" i="116"/>
  <c r="MU36" i="116"/>
  <c r="LI36" i="116"/>
  <c r="LH36" i="116"/>
  <c r="U28" i="118" s="1"/>
  <c r="LG36" i="116"/>
  <c r="T28" i="118" s="1"/>
  <c r="HV36" i="116" a="1"/>
  <c r="HV36" i="116" s="1"/>
  <c r="HT36" i="116" a="1"/>
  <c r="HT36" i="116" s="1"/>
  <c r="GH36" i="116"/>
  <c r="FD36" i="116" s="1"/>
  <c r="FU36" i="116"/>
  <c r="FC36" i="116" s="1"/>
  <c r="FN36" i="116"/>
  <c r="FB36" i="116" s="1"/>
  <c r="EY36" i="116"/>
  <c r="ER36" i="116"/>
  <c r="DC36" i="116"/>
  <c r="DA36" i="116"/>
  <c r="CY36" i="116"/>
  <c r="CW36" i="116"/>
  <c r="CV36" i="116"/>
  <c r="CU36" i="116"/>
  <c r="CT36" i="116"/>
  <c r="CS36" i="116"/>
  <c r="CR36" i="116"/>
  <c r="CG36" i="116"/>
  <c r="CD36" i="116"/>
  <c r="CA36" i="116"/>
  <c r="BX36" i="116"/>
  <c r="BU36" i="116"/>
  <c r="BR36" i="116"/>
  <c r="BK36" i="116"/>
  <c r="BH36" i="116"/>
  <c r="BB36" i="116"/>
  <c r="AV36" i="116"/>
  <c r="AS36" i="116"/>
  <c r="AP36" i="116"/>
  <c r="AK36" i="116"/>
  <c r="AG36" i="116"/>
  <c r="AB36" i="116"/>
  <c r="AA36" i="116"/>
  <c r="X36" i="116"/>
  <c r="W36" i="116"/>
  <c r="S36" i="116"/>
  <c r="RQ35" i="116"/>
  <c r="RO35" i="116"/>
  <c r="RF35" i="116"/>
  <c r="RE35" i="116"/>
  <c r="RD35" i="116"/>
  <c r="RC35" i="116"/>
  <c r="RB35" i="116"/>
  <c r="RA35" i="116"/>
  <c r="QY35" i="116"/>
  <c r="QX35" i="116"/>
  <c r="QW35" i="116"/>
  <c r="QV35" i="116"/>
  <c r="QU35" i="116"/>
  <c r="QT35" i="116"/>
  <c r="QO35" i="116"/>
  <c r="PZ35" i="116"/>
  <c r="OZ35" i="116"/>
  <c r="MU35" i="116"/>
  <c r="LI35" i="116"/>
  <c r="LH35" i="116"/>
  <c r="U27" i="118" s="1"/>
  <c r="LG35" i="116"/>
  <c r="T27" i="118" s="1"/>
  <c r="HV35" i="116" a="1"/>
  <c r="HV35" i="116" s="1"/>
  <c r="HT35" i="116" a="1"/>
  <c r="HT35" i="116" s="1"/>
  <c r="GH35" i="116"/>
  <c r="FD35" i="116" s="1"/>
  <c r="FU35" i="116"/>
  <c r="FC35" i="116" s="1"/>
  <c r="FN35" i="116"/>
  <c r="FB35" i="116" s="1"/>
  <c r="EY35" i="116"/>
  <c r="ER35" i="116"/>
  <c r="DC35" i="116"/>
  <c r="DA35" i="116"/>
  <c r="CY35" i="116"/>
  <c r="CW35" i="116"/>
  <c r="CV35" i="116"/>
  <c r="CU35" i="116"/>
  <c r="CT35" i="116"/>
  <c r="CS35" i="116"/>
  <c r="CR35" i="116"/>
  <c r="CG35" i="116"/>
  <c r="CD35" i="116"/>
  <c r="CA35" i="116"/>
  <c r="BX35" i="116"/>
  <c r="BU35" i="116"/>
  <c r="BR35" i="116"/>
  <c r="BK35" i="116"/>
  <c r="BH35" i="116"/>
  <c r="BB35" i="116"/>
  <c r="AV35" i="116"/>
  <c r="AS35" i="116"/>
  <c r="AP35" i="116"/>
  <c r="AK35" i="116"/>
  <c r="AG35" i="116"/>
  <c r="AB35" i="116"/>
  <c r="AA35" i="116"/>
  <c r="X35" i="116"/>
  <c r="W35" i="116"/>
  <c r="S35" i="116"/>
  <c r="RQ34" i="116"/>
  <c r="RO34" i="116"/>
  <c r="RF34" i="116"/>
  <c r="RE34" i="116"/>
  <c r="RD34" i="116"/>
  <c r="RC34" i="116"/>
  <c r="RB34" i="116"/>
  <c r="RA34" i="116"/>
  <c r="QY34" i="116"/>
  <c r="QX34" i="116"/>
  <c r="QW34" i="116"/>
  <c r="QV34" i="116"/>
  <c r="QU34" i="116"/>
  <c r="QT34" i="116"/>
  <c r="QO34" i="116"/>
  <c r="PZ34" i="116"/>
  <c r="OZ34" i="116"/>
  <c r="MU34" i="116"/>
  <c r="LI34" i="116"/>
  <c r="LH34" i="116"/>
  <c r="U26" i="118" s="1"/>
  <c r="LG34" i="116"/>
  <c r="T26" i="118" s="1"/>
  <c r="HV34" i="116" a="1"/>
  <c r="HV34" i="116" s="1"/>
  <c r="HT34" i="116" a="1"/>
  <c r="HT34" i="116" s="1"/>
  <c r="GH34" i="116"/>
  <c r="FD34" i="116" s="1"/>
  <c r="FU34" i="116"/>
  <c r="FC34" i="116" s="1"/>
  <c r="FN34" i="116"/>
  <c r="FB34" i="116" s="1"/>
  <c r="EY34" i="116"/>
  <c r="ER34" i="116"/>
  <c r="DC34" i="116"/>
  <c r="DA34" i="116"/>
  <c r="CY34" i="116"/>
  <c r="CW34" i="116"/>
  <c r="CV34" i="116"/>
  <c r="CU34" i="116"/>
  <c r="CT34" i="116"/>
  <c r="CS34" i="116"/>
  <c r="CR34" i="116"/>
  <c r="CG34" i="116"/>
  <c r="CD34" i="116"/>
  <c r="CA34" i="116"/>
  <c r="BX34" i="116"/>
  <c r="BU34" i="116"/>
  <c r="BR34" i="116"/>
  <c r="BK34" i="116"/>
  <c r="BH34" i="116"/>
  <c r="BB34" i="116"/>
  <c r="AV34" i="116"/>
  <c r="AS34" i="116"/>
  <c r="AP34" i="116"/>
  <c r="AK34" i="116"/>
  <c r="AG34" i="116"/>
  <c r="AB34" i="116"/>
  <c r="AA34" i="116"/>
  <c r="X34" i="116"/>
  <c r="W34" i="116"/>
  <c r="S34" i="116"/>
  <c r="RQ33" i="116"/>
  <c r="RO33" i="116"/>
  <c r="RF33" i="116"/>
  <c r="RE33" i="116"/>
  <c r="RD33" i="116"/>
  <c r="RC33" i="116"/>
  <c r="RB33" i="116"/>
  <c r="RA33" i="116"/>
  <c r="QY33" i="116"/>
  <c r="QX33" i="116"/>
  <c r="QW33" i="116"/>
  <c r="QV33" i="116"/>
  <c r="QU33" i="116"/>
  <c r="QT33" i="116"/>
  <c r="QO33" i="116"/>
  <c r="PZ33" i="116"/>
  <c r="OZ33" i="116"/>
  <c r="MU33" i="116"/>
  <c r="LI33" i="116"/>
  <c r="LH33" i="116"/>
  <c r="U25" i="118" s="1"/>
  <c r="LG33" i="116"/>
  <c r="T25" i="118" s="1"/>
  <c r="HV33" i="116" a="1"/>
  <c r="HV33" i="116" s="1"/>
  <c r="HT33" i="116" a="1"/>
  <c r="HT33" i="116" s="1"/>
  <c r="GH33" i="116"/>
  <c r="FD33" i="116" s="1"/>
  <c r="FU33" i="116"/>
  <c r="FC33" i="116" s="1"/>
  <c r="FN33" i="116"/>
  <c r="FB33" i="116" s="1"/>
  <c r="EY33" i="116"/>
  <c r="ER33" i="116"/>
  <c r="DC33" i="116"/>
  <c r="DA33" i="116"/>
  <c r="CY33" i="116"/>
  <c r="CW33" i="116"/>
  <c r="CV33" i="116"/>
  <c r="CU33" i="116"/>
  <c r="CT33" i="116"/>
  <c r="CS33" i="116"/>
  <c r="CR33" i="116"/>
  <c r="CG33" i="116"/>
  <c r="CD33" i="116"/>
  <c r="CA33" i="116"/>
  <c r="BX33" i="116"/>
  <c r="BU33" i="116"/>
  <c r="BR33" i="116"/>
  <c r="BK33" i="116"/>
  <c r="BH33" i="116"/>
  <c r="BB33" i="116"/>
  <c r="AV33" i="116"/>
  <c r="AS33" i="116"/>
  <c r="AP33" i="116"/>
  <c r="AK33" i="116"/>
  <c r="AG33" i="116"/>
  <c r="AB33" i="116"/>
  <c r="AA33" i="116"/>
  <c r="X33" i="116"/>
  <c r="W33" i="116"/>
  <c r="S33" i="116"/>
  <c r="RQ32" i="116"/>
  <c r="RO32" i="116"/>
  <c r="RF32" i="116"/>
  <c r="RE32" i="116"/>
  <c r="RD32" i="116"/>
  <c r="RC32" i="116"/>
  <c r="RB32" i="116"/>
  <c r="RA32" i="116"/>
  <c r="QY32" i="116"/>
  <c r="QX32" i="116"/>
  <c r="QW32" i="116"/>
  <c r="QV32" i="116"/>
  <c r="QU32" i="116"/>
  <c r="QT32" i="116"/>
  <c r="QO32" i="116"/>
  <c r="RP32" i="116"/>
  <c r="PZ32" i="116"/>
  <c r="OZ32" i="116"/>
  <c r="MU32" i="116"/>
  <c r="LI32" i="116"/>
  <c r="LH32" i="116"/>
  <c r="U24" i="118" s="1"/>
  <c r="LG32" i="116"/>
  <c r="T24" i="118" s="1"/>
  <c r="HV32" i="116" a="1"/>
  <c r="HV32" i="116" s="1"/>
  <c r="HT32" i="116" a="1"/>
  <c r="HT32" i="116" s="1"/>
  <c r="GH32" i="116"/>
  <c r="FD32" i="116" s="1"/>
  <c r="FU32" i="116"/>
  <c r="FC32" i="116" s="1"/>
  <c r="FN32" i="116"/>
  <c r="FB32" i="116" s="1"/>
  <c r="EY32" i="116"/>
  <c r="ER32" i="116"/>
  <c r="DC32" i="116"/>
  <c r="DA32" i="116"/>
  <c r="CY32" i="116"/>
  <c r="CW32" i="116"/>
  <c r="CV32" i="116"/>
  <c r="CU32" i="116"/>
  <c r="CT32" i="116"/>
  <c r="CS32" i="116"/>
  <c r="CR32" i="116"/>
  <c r="CG32" i="116"/>
  <c r="CD32" i="116"/>
  <c r="CA32" i="116"/>
  <c r="BX32" i="116"/>
  <c r="BU32" i="116"/>
  <c r="BR32" i="116"/>
  <c r="BK32" i="116"/>
  <c r="BH32" i="116"/>
  <c r="BB32" i="116"/>
  <c r="AV32" i="116"/>
  <c r="AS32" i="116"/>
  <c r="AP32" i="116"/>
  <c r="AK32" i="116"/>
  <c r="AG32" i="116"/>
  <c r="AB32" i="116"/>
  <c r="AA32" i="116"/>
  <c r="X32" i="116"/>
  <c r="W32" i="116"/>
  <c r="S32" i="116"/>
  <c r="RQ31" i="116"/>
  <c r="RO31" i="116"/>
  <c r="RF31" i="116"/>
  <c r="RE31" i="116"/>
  <c r="RD31" i="116"/>
  <c r="RC31" i="116"/>
  <c r="RB31" i="116"/>
  <c r="RA31" i="116"/>
  <c r="QY31" i="116"/>
  <c r="QX31" i="116"/>
  <c r="QW31" i="116"/>
  <c r="QV31" i="116"/>
  <c r="QU31" i="116"/>
  <c r="QT31" i="116"/>
  <c r="QO31" i="116"/>
  <c r="RP31" i="116"/>
  <c r="PZ31" i="116"/>
  <c r="OZ31" i="116"/>
  <c r="NJ31" i="116"/>
  <c r="NJ32" i="116" s="1"/>
  <c r="NJ33" i="116" s="1"/>
  <c r="NJ34" i="116" s="1"/>
  <c r="NJ35" i="116" s="1"/>
  <c r="MU31" i="116"/>
  <c r="LI31" i="116"/>
  <c r="LH31" i="116"/>
  <c r="U23" i="118" s="1"/>
  <c r="LG31" i="116"/>
  <c r="T23" i="118" s="1"/>
  <c r="HV31" i="116" a="1"/>
  <c r="HV31" i="116" s="1"/>
  <c r="HT31" i="116" a="1"/>
  <c r="HT31" i="116" s="1"/>
  <c r="GH31" i="116"/>
  <c r="FD31" i="116" s="1"/>
  <c r="FU31" i="116"/>
  <c r="FC31" i="116" s="1"/>
  <c r="FN31" i="116"/>
  <c r="FB31" i="116" s="1"/>
  <c r="EY31" i="116"/>
  <c r="ER31" i="116"/>
  <c r="DC31" i="116"/>
  <c r="DA31" i="116"/>
  <c r="CY31" i="116"/>
  <c r="CW31" i="116"/>
  <c r="CV31" i="116"/>
  <c r="CU31" i="116"/>
  <c r="CT31" i="116"/>
  <c r="CS31" i="116"/>
  <c r="CR31" i="116"/>
  <c r="CG31" i="116"/>
  <c r="CD31" i="116"/>
  <c r="CA31" i="116"/>
  <c r="BX31" i="116"/>
  <c r="BU31" i="116"/>
  <c r="BR31" i="116"/>
  <c r="BK31" i="116"/>
  <c r="BH31" i="116"/>
  <c r="BB31" i="116"/>
  <c r="AV31" i="116"/>
  <c r="AS31" i="116"/>
  <c r="AP31" i="116"/>
  <c r="AK31" i="116"/>
  <c r="AG31" i="116"/>
  <c r="AB31" i="116"/>
  <c r="AA31" i="116"/>
  <c r="X31" i="116"/>
  <c r="W31" i="116"/>
  <c r="S31" i="116"/>
  <c r="RQ30" i="116"/>
  <c r="RO30" i="116"/>
  <c r="RF30" i="116"/>
  <c r="RE30" i="116"/>
  <c r="RD30" i="116"/>
  <c r="RC30" i="116"/>
  <c r="RB30" i="116"/>
  <c r="RA30" i="116"/>
  <c r="QY30" i="116"/>
  <c r="QX30" i="116"/>
  <c r="QW30" i="116"/>
  <c r="QV30" i="116"/>
  <c r="QU30" i="116"/>
  <c r="QT30" i="116"/>
  <c r="QO30" i="116"/>
  <c r="PZ30" i="116"/>
  <c r="OZ30" i="116"/>
  <c r="MU30" i="116"/>
  <c r="LI30" i="116"/>
  <c r="LH30" i="116"/>
  <c r="U22" i="118" s="1"/>
  <c r="LG30" i="116"/>
  <c r="T22" i="118" s="1"/>
  <c r="HV30" i="116" a="1"/>
  <c r="HV30" i="116" s="1"/>
  <c r="HT30" i="116" a="1"/>
  <c r="HT30" i="116" s="1"/>
  <c r="GH30" i="116"/>
  <c r="FD30" i="116" s="1"/>
  <c r="FU30" i="116"/>
  <c r="FC30" i="116" s="1"/>
  <c r="FN30" i="116"/>
  <c r="FB30" i="116" s="1"/>
  <c r="EY30" i="116"/>
  <c r="ER30" i="116"/>
  <c r="DC30" i="116"/>
  <c r="DA30" i="116"/>
  <c r="CY30" i="116"/>
  <c r="CW30" i="116"/>
  <c r="CV30" i="116"/>
  <c r="CU30" i="116"/>
  <c r="CT30" i="116"/>
  <c r="CS30" i="116"/>
  <c r="CR30" i="116"/>
  <c r="CG30" i="116"/>
  <c r="CD30" i="116"/>
  <c r="CA30" i="116"/>
  <c r="BX30" i="116"/>
  <c r="BU30" i="116"/>
  <c r="BR30" i="116"/>
  <c r="BK30" i="116"/>
  <c r="BH30" i="116"/>
  <c r="BB30" i="116"/>
  <c r="AV30" i="116"/>
  <c r="AS30" i="116"/>
  <c r="AP30" i="116"/>
  <c r="AK30" i="116"/>
  <c r="AG30" i="116"/>
  <c r="AB30" i="116"/>
  <c r="AA30" i="116"/>
  <c r="X30" i="116"/>
  <c r="W30" i="116"/>
  <c r="S30" i="116"/>
  <c r="RQ29" i="116"/>
  <c r="RO29" i="116"/>
  <c r="RF29" i="116"/>
  <c r="RE29" i="116"/>
  <c r="RD29" i="116"/>
  <c r="RC29" i="116"/>
  <c r="RB29" i="116"/>
  <c r="RA29" i="116"/>
  <c r="QY29" i="116"/>
  <c r="QX29" i="116"/>
  <c r="QW29" i="116"/>
  <c r="QV29" i="116"/>
  <c r="QU29" i="116"/>
  <c r="QT29" i="116"/>
  <c r="QO29" i="116"/>
  <c r="PZ29" i="116"/>
  <c r="OZ29" i="116"/>
  <c r="MU29" i="116"/>
  <c r="LI29" i="116"/>
  <c r="LH29" i="116"/>
  <c r="U21" i="118" s="1"/>
  <c r="LG29" i="116"/>
  <c r="T21" i="118" s="1"/>
  <c r="HV29" i="116" a="1"/>
  <c r="HV29" i="116" s="1"/>
  <c r="HT29" i="116" a="1"/>
  <c r="HT29" i="116" s="1"/>
  <c r="GH29" i="116"/>
  <c r="FD29" i="116" s="1"/>
  <c r="FU29" i="116"/>
  <c r="FC29" i="116" s="1"/>
  <c r="FN29" i="116"/>
  <c r="FB29" i="116" s="1"/>
  <c r="EY29" i="116"/>
  <c r="ER29" i="116"/>
  <c r="DC29" i="116"/>
  <c r="DA29" i="116"/>
  <c r="CY29" i="116"/>
  <c r="CW29" i="116"/>
  <c r="CV29" i="116"/>
  <c r="CU29" i="116"/>
  <c r="CT29" i="116"/>
  <c r="CS29" i="116"/>
  <c r="CR29" i="116"/>
  <c r="CG29" i="116"/>
  <c r="CD29" i="116"/>
  <c r="CA29" i="116"/>
  <c r="BX29" i="116"/>
  <c r="BU29" i="116"/>
  <c r="BR29" i="116"/>
  <c r="BK29" i="116"/>
  <c r="BH29" i="116"/>
  <c r="BB29" i="116"/>
  <c r="AV29" i="116"/>
  <c r="AS29" i="116"/>
  <c r="AP29" i="116"/>
  <c r="AK29" i="116"/>
  <c r="AG29" i="116"/>
  <c r="AB29" i="116"/>
  <c r="AA29" i="116"/>
  <c r="X29" i="116"/>
  <c r="W29" i="116"/>
  <c r="S29" i="116"/>
  <c r="RQ28" i="116"/>
  <c r="RO28" i="116"/>
  <c r="RF28" i="116"/>
  <c r="RE28" i="116"/>
  <c r="RD28" i="116"/>
  <c r="RC28" i="116"/>
  <c r="RB28" i="116"/>
  <c r="RA28" i="116"/>
  <c r="QY28" i="116"/>
  <c r="QX28" i="116"/>
  <c r="QW28" i="116"/>
  <c r="QV28" i="116"/>
  <c r="QU28" i="116"/>
  <c r="QT28" i="116"/>
  <c r="QO28" i="116"/>
  <c r="PZ28" i="116"/>
  <c r="OZ28" i="116"/>
  <c r="MU28" i="116"/>
  <c r="LI28" i="116"/>
  <c r="LH28" i="116"/>
  <c r="U20" i="118" s="1"/>
  <c r="LG28" i="116"/>
  <c r="T20" i="118" s="1"/>
  <c r="HV28" i="116" a="1"/>
  <c r="HV28" i="116" s="1"/>
  <c r="HT28" i="116" a="1"/>
  <c r="HT28" i="116" s="1"/>
  <c r="GH28" i="116"/>
  <c r="FD28" i="116" s="1"/>
  <c r="FU28" i="116"/>
  <c r="FC28" i="116" s="1"/>
  <c r="FN28" i="116"/>
  <c r="FB28" i="116" s="1"/>
  <c r="EY28" i="116"/>
  <c r="ER28" i="116"/>
  <c r="DC28" i="116"/>
  <c r="DA28" i="116"/>
  <c r="CY28" i="116"/>
  <c r="CW28" i="116"/>
  <c r="CV28" i="116"/>
  <c r="CU28" i="116"/>
  <c r="CT28" i="116"/>
  <c r="CS28" i="116"/>
  <c r="CR28" i="116"/>
  <c r="CG28" i="116"/>
  <c r="CD28" i="116"/>
  <c r="CA28" i="116"/>
  <c r="BX28" i="116"/>
  <c r="BU28" i="116"/>
  <c r="BR28" i="116"/>
  <c r="BK28" i="116"/>
  <c r="BH28" i="116"/>
  <c r="BB28" i="116"/>
  <c r="AV28" i="116"/>
  <c r="AS28" i="116"/>
  <c r="AP28" i="116"/>
  <c r="AK28" i="116"/>
  <c r="AG28" i="116"/>
  <c r="AB28" i="116"/>
  <c r="AA28" i="116"/>
  <c r="X28" i="116"/>
  <c r="W28" i="116"/>
  <c r="S28" i="116"/>
  <c r="RQ27" i="116"/>
  <c r="RO27" i="116"/>
  <c r="RF27" i="116"/>
  <c r="RE27" i="116"/>
  <c r="RD27" i="116"/>
  <c r="RC27" i="116"/>
  <c r="RB27" i="116"/>
  <c r="RA27" i="116"/>
  <c r="QY27" i="116"/>
  <c r="QX27" i="116"/>
  <c r="QW27" i="116"/>
  <c r="QV27" i="116"/>
  <c r="QU27" i="116"/>
  <c r="QT27" i="116"/>
  <c r="QO27" i="116"/>
  <c r="PZ27" i="116"/>
  <c r="OZ27" i="116"/>
  <c r="MU27" i="116"/>
  <c r="LI27" i="116"/>
  <c r="LH27" i="116"/>
  <c r="U19" i="118" s="1"/>
  <c r="LG27" i="116"/>
  <c r="T19" i="118" s="1"/>
  <c r="HV27" i="116" a="1"/>
  <c r="HV27" i="116" s="1"/>
  <c r="HT27" i="116" a="1"/>
  <c r="HT27" i="116" s="1"/>
  <c r="GH27" i="116"/>
  <c r="FD27" i="116" s="1"/>
  <c r="FU27" i="116"/>
  <c r="FC27" i="116" s="1"/>
  <c r="FN27" i="116"/>
  <c r="FB27" i="116" s="1"/>
  <c r="EY27" i="116"/>
  <c r="ER27" i="116"/>
  <c r="DC27" i="116"/>
  <c r="DA27" i="116"/>
  <c r="CY27" i="116"/>
  <c r="CW27" i="116"/>
  <c r="CV27" i="116"/>
  <c r="CU27" i="116"/>
  <c r="CT27" i="116"/>
  <c r="CS27" i="116"/>
  <c r="CR27" i="116"/>
  <c r="CG27" i="116"/>
  <c r="CD27" i="116"/>
  <c r="CA27" i="116"/>
  <c r="BX27" i="116"/>
  <c r="BU27" i="116"/>
  <c r="BR27" i="116"/>
  <c r="BK27" i="116"/>
  <c r="BH27" i="116"/>
  <c r="BB27" i="116"/>
  <c r="AV27" i="116"/>
  <c r="AS27" i="116"/>
  <c r="AP27" i="116"/>
  <c r="AK27" i="116"/>
  <c r="AG27" i="116"/>
  <c r="AB27" i="116"/>
  <c r="AA27" i="116"/>
  <c r="X27" i="116"/>
  <c r="W27" i="116"/>
  <c r="S27" i="116"/>
  <c r="RQ26" i="116"/>
  <c r="RO26" i="116"/>
  <c r="RF26" i="116"/>
  <c r="RE26" i="116"/>
  <c r="RD26" i="116"/>
  <c r="RC26" i="116"/>
  <c r="RB26" i="116"/>
  <c r="RA26" i="116"/>
  <c r="QY26" i="116"/>
  <c r="QX26" i="116"/>
  <c r="QW26" i="116"/>
  <c r="QV26" i="116"/>
  <c r="QU26" i="116"/>
  <c r="QT26" i="116"/>
  <c r="QO26" i="116"/>
  <c r="PZ26" i="116"/>
  <c r="OZ26" i="116"/>
  <c r="MU26" i="116"/>
  <c r="LI26" i="116"/>
  <c r="LH26" i="116"/>
  <c r="U18" i="118" s="1"/>
  <c r="LG26" i="116"/>
  <c r="T18" i="118" s="1"/>
  <c r="HV26" i="116" a="1"/>
  <c r="HV26" i="116" s="1"/>
  <c r="HT26" i="116" a="1"/>
  <c r="HT26" i="116" s="1"/>
  <c r="GH26" i="116"/>
  <c r="FD26" i="116" s="1"/>
  <c r="FU26" i="116"/>
  <c r="FC26" i="116" s="1"/>
  <c r="FN26" i="116"/>
  <c r="FB26" i="116" s="1"/>
  <c r="EY26" i="116"/>
  <c r="ER26" i="116"/>
  <c r="DC26" i="116"/>
  <c r="DA26" i="116"/>
  <c r="CY26" i="116"/>
  <c r="CW26" i="116"/>
  <c r="CV26" i="116"/>
  <c r="CU26" i="116"/>
  <c r="CT26" i="116"/>
  <c r="CS26" i="116"/>
  <c r="CR26" i="116"/>
  <c r="CG26" i="116"/>
  <c r="CD26" i="116"/>
  <c r="CA26" i="116"/>
  <c r="BX26" i="116"/>
  <c r="BU26" i="116"/>
  <c r="BR26" i="116"/>
  <c r="BK26" i="116"/>
  <c r="BH26" i="116"/>
  <c r="BB26" i="116"/>
  <c r="AV26" i="116"/>
  <c r="AS26" i="116"/>
  <c r="AP26" i="116"/>
  <c r="AK26" i="116"/>
  <c r="AG26" i="116"/>
  <c r="AB26" i="116"/>
  <c r="AA26" i="116"/>
  <c r="X26" i="116"/>
  <c r="W26" i="116"/>
  <c r="S26" i="116"/>
  <c r="RQ25" i="116"/>
  <c r="RO25" i="116"/>
  <c r="RF25" i="116"/>
  <c r="RE25" i="116"/>
  <c r="RD25" i="116"/>
  <c r="RC25" i="116"/>
  <c r="RB25" i="116"/>
  <c r="RA25" i="116"/>
  <c r="QY25" i="116"/>
  <c r="QX25" i="116"/>
  <c r="QW25" i="116"/>
  <c r="QV25" i="116"/>
  <c r="QU25" i="116"/>
  <c r="QT25" i="116"/>
  <c r="QO25" i="116"/>
  <c r="PZ25" i="116"/>
  <c r="OZ25" i="116"/>
  <c r="MU25" i="116"/>
  <c r="LI25" i="116"/>
  <c r="LH25" i="116"/>
  <c r="U17" i="118" s="1"/>
  <c r="LG25" i="116"/>
  <c r="T17" i="118" s="1"/>
  <c r="HV25" i="116" a="1"/>
  <c r="HV25" i="116" s="1"/>
  <c r="HT25" i="116" a="1"/>
  <c r="HT25" i="116" s="1"/>
  <c r="GH25" i="116"/>
  <c r="FD25" i="116" s="1"/>
  <c r="FU25" i="116"/>
  <c r="FC25" i="116" s="1"/>
  <c r="FN25" i="116"/>
  <c r="FB25" i="116" s="1"/>
  <c r="EY25" i="116"/>
  <c r="ER25" i="116"/>
  <c r="DC25" i="116"/>
  <c r="DA25" i="116"/>
  <c r="CY25" i="116"/>
  <c r="CW25" i="116"/>
  <c r="CV25" i="116"/>
  <c r="CU25" i="116"/>
  <c r="CT25" i="116"/>
  <c r="CS25" i="116"/>
  <c r="CR25" i="116"/>
  <c r="CG25" i="116"/>
  <c r="CD25" i="116"/>
  <c r="CA25" i="116"/>
  <c r="BX25" i="116"/>
  <c r="BU25" i="116"/>
  <c r="BR25" i="116"/>
  <c r="BK25" i="116"/>
  <c r="BH25" i="116"/>
  <c r="BB25" i="116"/>
  <c r="AV25" i="116"/>
  <c r="AS25" i="116"/>
  <c r="AP25" i="116"/>
  <c r="AK25" i="116"/>
  <c r="AG25" i="116"/>
  <c r="AB25" i="116"/>
  <c r="AA25" i="116"/>
  <c r="X25" i="116"/>
  <c r="W25" i="116"/>
  <c r="S25" i="116"/>
  <c r="RQ24" i="116"/>
  <c r="RO24" i="116"/>
  <c r="RF24" i="116"/>
  <c r="RE24" i="116"/>
  <c r="RD24" i="116"/>
  <c r="RC24" i="116"/>
  <c r="RB24" i="116"/>
  <c r="RA24" i="116"/>
  <c r="QY24" i="116"/>
  <c r="QX24" i="116"/>
  <c r="QW24" i="116"/>
  <c r="QV24" i="116"/>
  <c r="QU24" i="116"/>
  <c r="QT24" i="116"/>
  <c r="QO24" i="116"/>
  <c r="PZ24" i="116"/>
  <c r="OZ24" i="116"/>
  <c r="OI24" i="116"/>
  <c r="OI25" i="116" s="1"/>
  <c r="OI26" i="116" s="1"/>
  <c r="OI27" i="116" s="1"/>
  <c r="OI28" i="116" s="1"/>
  <c r="OI29" i="116" s="1"/>
  <c r="OI30" i="116" s="1"/>
  <c r="OI31" i="116" s="1"/>
  <c r="OI32" i="116" s="1"/>
  <c r="OI33" i="116" s="1"/>
  <c r="OI34" i="116" s="1"/>
  <c r="OI35" i="116" s="1"/>
  <c r="OI36" i="116" s="1"/>
  <c r="OI37" i="116" s="1"/>
  <c r="OI38" i="116" s="1"/>
  <c r="OI39" i="116" s="1"/>
  <c r="OI40" i="116" s="1"/>
  <c r="OI41" i="116" s="1"/>
  <c r="OI42" i="116" s="1"/>
  <c r="OI44" i="116" s="1"/>
  <c r="MU24" i="116"/>
  <c r="LI24" i="116"/>
  <c r="LH24" i="116"/>
  <c r="U16" i="118" s="1"/>
  <c r="LG24" i="116"/>
  <c r="T16" i="118" s="1"/>
  <c r="HV24" i="116" a="1"/>
  <c r="HV24" i="116" s="1"/>
  <c r="HT24" i="116" a="1"/>
  <c r="HT24" i="116" s="1"/>
  <c r="GH24" i="116"/>
  <c r="FD24" i="116" s="1"/>
  <c r="FU24" i="116"/>
  <c r="FC24" i="116" s="1"/>
  <c r="FN24" i="116"/>
  <c r="FB24" i="116" s="1"/>
  <c r="EY24" i="116"/>
  <c r="ER24" i="116"/>
  <c r="DC24" i="116"/>
  <c r="DA24" i="116"/>
  <c r="CY24" i="116"/>
  <c r="CW24" i="116"/>
  <c r="CV24" i="116"/>
  <c r="CU24" i="116"/>
  <c r="CT24" i="116"/>
  <c r="CS24" i="116"/>
  <c r="CR24" i="116"/>
  <c r="CG24" i="116"/>
  <c r="CD24" i="116"/>
  <c r="CA24" i="116"/>
  <c r="BX24" i="116"/>
  <c r="BU24" i="116"/>
  <c r="BR24" i="116"/>
  <c r="BK24" i="116"/>
  <c r="BH24" i="116"/>
  <c r="BB24" i="116"/>
  <c r="AV24" i="116"/>
  <c r="AS24" i="116"/>
  <c r="AP24" i="116"/>
  <c r="AK24" i="116"/>
  <c r="AG24" i="116"/>
  <c r="AB24" i="116"/>
  <c r="AA24" i="116"/>
  <c r="X24" i="116"/>
  <c r="W24" i="116"/>
  <c r="S24" i="116"/>
  <c r="RQ23" i="116"/>
  <c r="RO23" i="116"/>
  <c r="RF23" i="116"/>
  <c r="RE23" i="116"/>
  <c r="RD23" i="116"/>
  <c r="RC23" i="116"/>
  <c r="RB23" i="116"/>
  <c r="RA23" i="116"/>
  <c r="QY23" i="116"/>
  <c r="QX23" i="116"/>
  <c r="QW23" i="116"/>
  <c r="QV23" i="116"/>
  <c r="QU23" i="116"/>
  <c r="QT23" i="116"/>
  <c r="QO23" i="116"/>
  <c r="PZ23" i="116"/>
  <c r="OZ23" i="116"/>
  <c r="MU23" i="116"/>
  <c r="LI23" i="116"/>
  <c r="LH23" i="116"/>
  <c r="U15" i="118" s="1"/>
  <c r="LG23" i="116"/>
  <c r="T15" i="118" s="1"/>
  <c r="HV23" i="116" a="1"/>
  <c r="HV23" i="116" s="1"/>
  <c r="HT23" i="116" a="1"/>
  <c r="HT23" i="116" s="1"/>
  <c r="GH23" i="116"/>
  <c r="FD23" i="116" s="1"/>
  <c r="FU23" i="116"/>
  <c r="FC23" i="116" s="1"/>
  <c r="FN23" i="116"/>
  <c r="FB23" i="116" s="1"/>
  <c r="EY23" i="116"/>
  <c r="ER23" i="116"/>
  <c r="DC23" i="116"/>
  <c r="DA23" i="116"/>
  <c r="CY23" i="116"/>
  <c r="CW23" i="116"/>
  <c r="CV23" i="116"/>
  <c r="CU23" i="116"/>
  <c r="CT23" i="116"/>
  <c r="CS23" i="116"/>
  <c r="CR23" i="116"/>
  <c r="CG23" i="116"/>
  <c r="CD23" i="116"/>
  <c r="CA23" i="116"/>
  <c r="BX23" i="116"/>
  <c r="BU23" i="116"/>
  <c r="BR23" i="116"/>
  <c r="BK23" i="116"/>
  <c r="BH23" i="116"/>
  <c r="BB23" i="116"/>
  <c r="AV23" i="116"/>
  <c r="AS23" i="116"/>
  <c r="AP23" i="116"/>
  <c r="AK23" i="116"/>
  <c r="AG23" i="116"/>
  <c r="AB23" i="116"/>
  <c r="AA23" i="116"/>
  <c r="X23" i="116"/>
  <c r="W23" i="116"/>
  <c r="S23" i="116"/>
  <c r="RQ22" i="116"/>
  <c r="RO22" i="116"/>
  <c r="RF22" i="116"/>
  <c r="RE22" i="116"/>
  <c r="RD22" i="116"/>
  <c r="RC22" i="116"/>
  <c r="RB22" i="116"/>
  <c r="RA22" i="116"/>
  <c r="QY22" i="116"/>
  <c r="QX22" i="116"/>
  <c r="QW22" i="116"/>
  <c r="QV22" i="116"/>
  <c r="QU22" i="116"/>
  <c r="QT22" i="116"/>
  <c r="QO22" i="116"/>
  <c r="RP22" i="116"/>
  <c r="PZ22" i="116"/>
  <c r="OZ22" i="116"/>
  <c r="MU22" i="116"/>
  <c r="LI22" i="116"/>
  <c r="LH22" i="116"/>
  <c r="U14" i="118" s="1"/>
  <c r="LG22" i="116"/>
  <c r="T14" i="118" s="1"/>
  <c r="HV22" i="116" a="1"/>
  <c r="HV22" i="116" s="1"/>
  <c r="HT22" i="116" a="1"/>
  <c r="HT22" i="116" s="1"/>
  <c r="GH22" i="116"/>
  <c r="FD22" i="116" s="1"/>
  <c r="FU22" i="116"/>
  <c r="FC22" i="116" s="1"/>
  <c r="FN22" i="116"/>
  <c r="FB22" i="116" s="1"/>
  <c r="EY22" i="116"/>
  <c r="ER22" i="116"/>
  <c r="DC22" i="116"/>
  <c r="DA22" i="116"/>
  <c r="CY22" i="116"/>
  <c r="CW22" i="116"/>
  <c r="CV22" i="116"/>
  <c r="CU22" i="116"/>
  <c r="CT22" i="116"/>
  <c r="CS22" i="116"/>
  <c r="CR22" i="116"/>
  <c r="CG22" i="116"/>
  <c r="CD22" i="116"/>
  <c r="CA22" i="116"/>
  <c r="BX22" i="116"/>
  <c r="BU22" i="116"/>
  <c r="BR22" i="116"/>
  <c r="BK22" i="116"/>
  <c r="BH22" i="116"/>
  <c r="BB22" i="116"/>
  <c r="AV22" i="116"/>
  <c r="AS22" i="116"/>
  <c r="AP22" i="116"/>
  <c r="AK22" i="116"/>
  <c r="AG22" i="116"/>
  <c r="AB22" i="116"/>
  <c r="AA22" i="116"/>
  <c r="X22" i="116"/>
  <c r="W22" i="116"/>
  <c r="S22" i="116"/>
  <c r="RQ21" i="116"/>
  <c r="RO21" i="116"/>
  <c r="RF21" i="116"/>
  <c r="RE21" i="116"/>
  <c r="RD21" i="116"/>
  <c r="RC21" i="116"/>
  <c r="RB21" i="116"/>
  <c r="RA21" i="116"/>
  <c r="QY21" i="116"/>
  <c r="QX21" i="116"/>
  <c r="QW21" i="116"/>
  <c r="QV21" i="116"/>
  <c r="QU21" i="116"/>
  <c r="QT21" i="116"/>
  <c r="QO21" i="116"/>
  <c r="PY21" i="116"/>
  <c r="PZ21" i="116"/>
  <c r="OZ21" i="116"/>
  <c r="OI21" i="116"/>
  <c r="MU21" i="116"/>
  <c r="LI21" i="116"/>
  <c r="LH21" i="116"/>
  <c r="U13" i="118" s="1"/>
  <c r="LG21" i="116"/>
  <c r="T13" i="118" s="1"/>
  <c r="HV21" i="116" a="1"/>
  <c r="HV21" i="116" s="1"/>
  <c r="HT21" i="116" a="1"/>
  <c r="HT21" i="116" s="1"/>
  <c r="GH21" i="116"/>
  <c r="FD21" i="116" s="1"/>
  <c r="FU21" i="116"/>
  <c r="FC21" i="116" s="1"/>
  <c r="FN21" i="116"/>
  <c r="FB21" i="116" s="1"/>
  <c r="EY21" i="116"/>
  <c r="ER21" i="116"/>
  <c r="DC21" i="116"/>
  <c r="DA21" i="116"/>
  <c r="CY21" i="116"/>
  <c r="CW21" i="116"/>
  <c r="CV21" i="116"/>
  <c r="CU21" i="116"/>
  <c r="CT21" i="116"/>
  <c r="CS21" i="116"/>
  <c r="CR21" i="116"/>
  <c r="CG21" i="116"/>
  <c r="CD21" i="116"/>
  <c r="CA21" i="116"/>
  <c r="BX21" i="116"/>
  <c r="BU21" i="116"/>
  <c r="BR21" i="116"/>
  <c r="BK21" i="116"/>
  <c r="BH21" i="116"/>
  <c r="BB21" i="116"/>
  <c r="AV21" i="116"/>
  <c r="AS21" i="116"/>
  <c r="AP21" i="116"/>
  <c r="AK21" i="116"/>
  <c r="AG21" i="116"/>
  <c r="AB21" i="116"/>
  <c r="AA21" i="116"/>
  <c r="X21" i="116"/>
  <c r="W21" i="116"/>
  <c r="S21" i="116"/>
  <c r="RQ20" i="116"/>
  <c r="RO20" i="116"/>
  <c r="RF20" i="116"/>
  <c r="RE20" i="116"/>
  <c r="RD20" i="116"/>
  <c r="RC20" i="116"/>
  <c r="RB20" i="116"/>
  <c r="RA20" i="116"/>
  <c r="QY20" i="116"/>
  <c r="QX20" i="116"/>
  <c r="QW20" i="116"/>
  <c r="QV20" i="116"/>
  <c r="QU20" i="116"/>
  <c r="QT20" i="116"/>
  <c r="QO20" i="116"/>
  <c r="PY20" i="116"/>
  <c r="PZ20" i="116"/>
  <c r="OZ20" i="116"/>
  <c r="MU20" i="116"/>
  <c r="LI20" i="116"/>
  <c r="LH20" i="116"/>
  <c r="U12" i="118" s="1"/>
  <c r="LG20" i="116"/>
  <c r="T12" i="118" s="1"/>
  <c r="HV20" i="116" a="1"/>
  <c r="HV20" i="116" s="1"/>
  <c r="HT20" i="116" a="1"/>
  <c r="HT20" i="116" s="1"/>
  <c r="GH20" i="116"/>
  <c r="FD20" i="116" s="1"/>
  <c r="FU20" i="116"/>
  <c r="FC20" i="116" s="1"/>
  <c r="FN20" i="116"/>
  <c r="FB20" i="116" s="1"/>
  <c r="EY20" i="116"/>
  <c r="ER20" i="116"/>
  <c r="DC20" i="116"/>
  <c r="DA20" i="116"/>
  <c r="CY20" i="116"/>
  <c r="CW20" i="116"/>
  <c r="CV20" i="116"/>
  <c r="CU20" i="116"/>
  <c r="CT20" i="116"/>
  <c r="CS20" i="116"/>
  <c r="CR20" i="116"/>
  <c r="CG20" i="116"/>
  <c r="CD20" i="116"/>
  <c r="CA20" i="116"/>
  <c r="BX20" i="116"/>
  <c r="BU20" i="116"/>
  <c r="BR20" i="116"/>
  <c r="BK20" i="116"/>
  <c r="BH20" i="116"/>
  <c r="BB20" i="116"/>
  <c r="AV20" i="116"/>
  <c r="AS20" i="116"/>
  <c r="AP20" i="116"/>
  <c r="AK20" i="116"/>
  <c r="AG20" i="116"/>
  <c r="AB20" i="116"/>
  <c r="AA20" i="116"/>
  <c r="X20" i="116"/>
  <c r="W20" i="116"/>
  <c r="S20" i="116"/>
  <c r="RQ19" i="116"/>
  <c r="RO19" i="116"/>
  <c r="RF19" i="116"/>
  <c r="RE19" i="116"/>
  <c r="RD19" i="116"/>
  <c r="RC19" i="116"/>
  <c r="RB19" i="116"/>
  <c r="RA19" i="116"/>
  <c r="QY19" i="116"/>
  <c r="QX19" i="116"/>
  <c r="QW19" i="116"/>
  <c r="QV19" i="116"/>
  <c r="QU19" i="116"/>
  <c r="QT19" i="116"/>
  <c r="QO19" i="116"/>
  <c r="PZ19" i="116"/>
  <c r="OZ19" i="116"/>
  <c r="MU19" i="116"/>
  <c r="LI19" i="116"/>
  <c r="RL19" i="116" s="1"/>
  <c r="LH19" i="116"/>
  <c r="U11" i="118" s="1"/>
  <c r="LG19" i="116"/>
  <c r="T11" i="118" s="1"/>
  <c r="V11" i="118" s="1"/>
  <c r="HV19" i="116" a="1"/>
  <c r="HV19" i="116" s="1"/>
  <c r="HT19" i="116" a="1"/>
  <c r="HT19" i="116" s="1"/>
  <c r="GH19" i="116"/>
  <c r="FD19" i="116" s="1"/>
  <c r="FU19" i="116"/>
  <c r="FC19" i="116" s="1"/>
  <c r="FN19" i="116"/>
  <c r="FB19" i="116" s="1"/>
  <c r="EY19" i="116"/>
  <c r="ER19" i="116"/>
  <c r="DC19" i="116"/>
  <c r="DA19" i="116"/>
  <c r="CY19" i="116"/>
  <c r="CW19" i="116"/>
  <c r="CV19" i="116"/>
  <c r="CU19" i="116"/>
  <c r="CT19" i="116"/>
  <c r="CS19" i="116"/>
  <c r="CR19" i="116"/>
  <c r="CG19" i="116"/>
  <c r="CD19" i="116"/>
  <c r="CA19" i="116"/>
  <c r="BX19" i="116"/>
  <c r="BU19" i="116"/>
  <c r="BR19" i="116"/>
  <c r="BK19" i="116"/>
  <c r="BH19" i="116"/>
  <c r="BB19" i="116"/>
  <c r="AV19" i="116"/>
  <c r="AS19" i="116"/>
  <c r="AP19" i="116"/>
  <c r="AK19" i="116"/>
  <c r="AG19" i="116"/>
  <c r="AB19" i="116"/>
  <c r="AA19" i="116"/>
  <c r="X19" i="116"/>
  <c r="W19" i="116"/>
  <c r="S19" i="116"/>
  <c r="RQ18" i="116"/>
  <c r="RO18" i="116"/>
  <c r="RM18" i="116"/>
  <c r="RF18" i="116"/>
  <c r="RE18" i="116"/>
  <c r="RD18" i="116"/>
  <c r="RC18" i="116"/>
  <c r="RB18" i="116"/>
  <c r="RA18" i="116"/>
  <c r="QY18" i="116"/>
  <c r="QX18" i="116"/>
  <c r="QW18" i="116"/>
  <c r="QV18" i="116"/>
  <c r="QU18" i="116"/>
  <c r="QT18" i="116"/>
  <c r="QO18" i="116"/>
  <c r="PZ18" i="116"/>
  <c r="OZ18" i="116"/>
  <c r="MU18" i="116"/>
  <c r="LI18" i="116"/>
  <c r="LH18" i="116"/>
  <c r="U10" i="118" s="1"/>
  <c r="LG18" i="116"/>
  <c r="T10" i="118" s="1"/>
  <c r="HV18" i="116" a="1"/>
  <c r="HV18" i="116" s="1"/>
  <c r="HT18" i="116" a="1"/>
  <c r="HT18" i="116" s="1"/>
  <c r="GH18" i="116"/>
  <c r="FD18" i="116" s="1"/>
  <c r="FU18" i="116"/>
  <c r="FC18" i="116" s="1"/>
  <c r="FN18" i="116"/>
  <c r="FB18" i="116" s="1"/>
  <c r="EY18" i="116"/>
  <c r="ER18" i="116"/>
  <c r="DC18" i="116"/>
  <c r="DA18" i="116"/>
  <c r="CY18" i="116"/>
  <c r="CW18" i="116"/>
  <c r="CV18" i="116"/>
  <c r="CU18" i="116"/>
  <c r="CT18" i="116"/>
  <c r="CS18" i="116"/>
  <c r="CR18" i="116"/>
  <c r="CG18" i="116"/>
  <c r="CD18" i="116"/>
  <c r="CA18" i="116"/>
  <c r="BX18" i="116"/>
  <c r="BU18" i="116"/>
  <c r="BR18" i="116"/>
  <c r="BK18" i="116"/>
  <c r="BH18" i="116"/>
  <c r="BB18" i="116"/>
  <c r="AV18" i="116"/>
  <c r="AS18" i="116"/>
  <c r="AP18" i="116"/>
  <c r="AK18" i="116"/>
  <c r="AG18" i="116"/>
  <c r="AB18" i="116"/>
  <c r="AA18" i="116"/>
  <c r="X18" i="116"/>
  <c r="W18" i="116"/>
  <c r="S18" i="116"/>
  <c r="RQ17" i="116"/>
  <c r="RO17" i="116"/>
  <c r="RF17" i="116"/>
  <c r="RE17" i="116"/>
  <c r="RD17" i="116"/>
  <c r="RC17" i="116"/>
  <c r="RB17" i="116"/>
  <c r="RA17" i="116"/>
  <c r="QY17" i="116"/>
  <c r="QX17" i="116"/>
  <c r="QW17" i="116"/>
  <c r="QV17" i="116"/>
  <c r="QU17" i="116"/>
  <c r="QT17" i="116"/>
  <c r="QO17" i="116"/>
  <c r="PZ17" i="116"/>
  <c r="OZ17" i="116"/>
  <c r="MU17" i="116"/>
  <c r="LI17" i="116"/>
  <c r="LH17" i="116"/>
  <c r="U9" i="118" s="1"/>
  <c r="LG17" i="116"/>
  <c r="T9" i="118" s="1"/>
  <c r="HV17" i="116" a="1"/>
  <c r="HV17" i="116" s="1"/>
  <c r="HT17" i="116" a="1"/>
  <c r="HT17" i="116" s="1"/>
  <c r="GH17" i="116"/>
  <c r="FD17" i="116" s="1"/>
  <c r="FU17" i="116"/>
  <c r="FC17" i="116" s="1"/>
  <c r="FN17" i="116"/>
  <c r="FB17" i="116" s="1"/>
  <c r="EY17" i="116"/>
  <c r="DC17" i="116"/>
  <c r="DA17" i="116"/>
  <c r="CY17" i="116"/>
  <c r="CW17" i="116"/>
  <c r="CV17" i="116"/>
  <c r="CU17" i="116"/>
  <c r="CT17" i="116"/>
  <c r="CS17" i="116"/>
  <c r="CR17" i="116"/>
  <c r="CG17" i="116"/>
  <c r="CD17" i="116"/>
  <c r="CA17" i="116"/>
  <c r="BX17" i="116"/>
  <c r="BU17" i="116"/>
  <c r="BR17" i="116"/>
  <c r="BK17" i="116"/>
  <c r="BH17" i="116"/>
  <c r="BB17" i="116"/>
  <c r="AV17" i="116"/>
  <c r="AS17" i="116"/>
  <c r="AP17" i="116"/>
  <c r="AK17" i="116"/>
  <c r="AG17" i="116"/>
  <c r="AB17" i="116"/>
  <c r="AA17" i="116"/>
  <c r="X17" i="116"/>
  <c r="W17" i="116"/>
  <c r="S17" i="116"/>
  <c r="RQ16" i="116"/>
  <c r="RO16" i="116"/>
  <c r="RF16" i="116"/>
  <c r="RE16" i="116"/>
  <c r="RD16" i="116"/>
  <c r="RC16" i="116"/>
  <c r="RB16" i="116"/>
  <c r="RA16" i="116"/>
  <c r="QY16" i="116"/>
  <c r="QX16" i="116"/>
  <c r="QW16" i="116"/>
  <c r="QV16" i="116"/>
  <c r="QU16" i="116"/>
  <c r="QT16" i="116"/>
  <c r="QO16" i="116"/>
  <c r="PZ16" i="116"/>
  <c r="OZ16" i="116"/>
  <c r="MU16" i="116"/>
  <c r="LI16" i="116"/>
  <c r="LH16" i="116"/>
  <c r="U8" i="118" s="1"/>
  <c r="LG16" i="116"/>
  <c r="T8" i="118" s="1"/>
  <c r="HV16" i="116" a="1"/>
  <c r="HV16" i="116" s="1"/>
  <c r="HT16" i="116" a="1"/>
  <c r="HT16" i="116" s="1"/>
  <c r="GH16" i="116"/>
  <c r="FD16" i="116" s="1"/>
  <c r="FU16" i="116"/>
  <c r="FC16" i="116" s="1"/>
  <c r="FN16" i="116"/>
  <c r="FB16" i="116" s="1"/>
  <c r="EY16" i="116"/>
  <c r="DC16" i="116"/>
  <c r="DA16" i="116"/>
  <c r="CY16" i="116"/>
  <c r="CW16" i="116"/>
  <c r="CV16" i="116"/>
  <c r="CU16" i="116"/>
  <c r="CT16" i="116"/>
  <c r="CS16" i="116"/>
  <c r="CR16" i="116"/>
  <c r="CG16" i="116"/>
  <c r="CD16" i="116"/>
  <c r="CA16" i="116"/>
  <c r="BX16" i="116"/>
  <c r="BU16" i="116"/>
  <c r="BR16" i="116"/>
  <c r="BK16" i="116"/>
  <c r="BH16" i="116"/>
  <c r="BB16" i="116"/>
  <c r="AV16" i="116"/>
  <c r="AS16" i="116"/>
  <c r="AP16" i="116"/>
  <c r="AK16" i="116"/>
  <c r="AG16" i="116"/>
  <c r="AB16" i="116"/>
  <c r="AA16" i="116"/>
  <c r="X16" i="116"/>
  <c r="W16" i="116"/>
  <c r="S16" i="116"/>
  <c r="RQ15" i="116"/>
  <c r="RO15" i="116"/>
  <c r="RF15" i="116"/>
  <c r="RE15" i="116"/>
  <c r="RD15" i="116"/>
  <c r="RC15" i="116"/>
  <c r="RB15" i="116"/>
  <c r="RA15" i="116"/>
  <c r="QY15" i="116"/>
  <c r="QX15" i="116"/>
  <c r="QW15" i="116"/>
  <c r="QV15" i="116"/>
  <c r="QU15" i="116"/>
  <c r="QT15" i="116"/>
  <c r="QO15" i="116"/>
  <c r="PZ15" i="116"/>
  <c r="OZ15" i="116"/>
  <c r="MU15" i="116"/>
  <c r="LI15" i="116"/>
  <c r="LH15" i="116"/>
  <c r="U7" i="118" s="1"/>
  <c r="LG15" i="116"/>
  <c r="T7" i="118" s="1"/>
  <c r="HV15" i="116" a="1"/>
  <c r="HV15" i="116" s="1"/>
  <c r="HT15" i="116" a="1"/>
  <c r="HT15" i="116" s="1"/>
  <c r="GH15" i="116"/>
  <c r="FD15" i="116" s="1"/>
  <c r="FU15" i="116"/>
  <c r="FC15" i="116" s="1"/>
  <c r="FN15" i="116"/>
  <c r="FB15" i="116" s="1"/>
  <c r="EY15" i="116"/>
  <c r="ER15" i="116"/>
  <c r="DC15" i="116"/>
  <c r="DA15" i="116"/>
  <c r="CY15" i="116"/>
  <c r="CW15" i="116"/>
  <c r="CV15" i="116"/>
  <c r="CU15" i="116"/>
  <c r="CT15" i="116"/>
  <c r="CS15" i="116"/>
  <c r="CR15" i="116"/>
  <c r="CG15" i="116"/>
  <c r="CD15" i="116"/>
  <c r="CA15" i="116"/>
  <c r="BX15" i="116"/>
  <c r="BU15" i="116"/>
  <c r="BR15" i="116"/>
  <c r="BK15" i="116"/>
  <c r="BH15" i="116"/>
  <c r="BB15" i="116"/>
  <c r="AV15" i="116"/>
  <c r="AS15" i="116"/>
  <c r="AP15" i="116"/>
  <c r="AK15" i="116"/>
  <c r="AG15" i="116"/>
  <c r="AB15" i="116"/>
  <c r="AA15" i="116"/>
  <c r="X15" i="116"/>
  <c r="W15" i="116"/>
  <c r="S15" i="116"/>
  <c r="RQ14" i="116"/>
  <c r="RO14" i="116"/>
  <c r="RF14" i="116"/>
  <c r="RE14" i="116"/>
  <c r="RD14" i="116"/>
  <c r="RC14" i="116"/>
  <c r="RB14" i="116"/>
  <c r="RA14" i="116"/>
  <c r="QY14" i="116"/>
  <c r="QX14" i="116"/>
  <c r="QW14" i="116"/>
  <c r="QV14" i="116"/>
  <c r="QU14" i="116"/>
  <c r="QT14" i="116"/>
  <c r="QO14" i="116"/>
  <c r="PZ14" i="116"/>
  <c r="OZ14" i="116"/>
  <c r="MU14" i="116"/>
  <c r="LI14" i="116"/>
  <c r="LH14" i="116"/>
  <c r="U6" i="118" s="1"/>
  <c r="LG14" i="116"/>
  <c r="T6" i="118" s="1"/>
  <c r="HV14" i="116" a="1"/>
  <c r="HV14" i="116" s="1"/>
  <c r="HT14" i="116" a="1"/>
  <c r="HT14" i="116" s="1"/>
  <c r="GH14" i="116"/>
  <c r="FD14" i="116" s="1"/>
  <c r="FU14" i="116"/>
  <c r="FC14" i="116" s="1"/>
  <c r="FN14" i="116"/>
  <c r="FB14" i="116" s="1"/>
  <c r="EY14" i="116"/>
  <c r="ER14" i="116"/>
  <c r="DC14" i="116"/>
  <c r="DA14" i="116"/>
  <c r="CY14" i="116"/>
  <c r="CW14" i="116"/>
  <c r="CV14" i="116"/>
  <c r="CU14" i="116"/>
  <c r="CT14" i="116"/>
  <c r="CS14" i="116"/>
  <c r="CR14" i="116"/>
  <c r="CG14" i="116"/>
  <c r="CD14" i="116"/>
  <c r="CA14" i="116"/>
  <c r="BX14" i="116"/>
  <c r="BU14" i="116"/>
  <c r="BR14" i="116"/>
  <c r="BK14" i="116"/>
  <c r="BH14" i="116"/>
  <c r="BB14" i="116"/>
  <c r="AV14" i="116"/>
  <c r="AS14" i="116"/>
  <c r="AP14" i="116"/>
  <c r="AK14" i="116"/>
  <c r="AG14" i="116"/>
  <c r="AB14" i="116"/>
  <c r="AA14" i="116"/>
  <c r="X14" i="116"/>
  <c r="W14" i="116"/>
  <c r="S14" i="116"/>
  <c r="RQ13" i="116"/>
  <c r="RO13" i="116"/>
  <c r="RF13" i="116"/>
  <c r="RE13" i="116"/>
  <c r="RD13" i="116"/>
  <c r="RC13" i="116"/>
  <c r="RB13" i="116"/>
  <c r="RA13" i="116"/>
  <c r="QY13" i="116"/>
  <c r="QX13" i="116"/>
  <c r="QW13" i="116"/>
  <c r="QV13" i="116"/>
  <c r="QU13" i="116"/>
  <c r="QT13" i="116"/>
  <c r="QO13" i="116"/>
  <c r="PZ13" i="116"/>
  <c r="OZ13" i="116"/>
  <c r="MU13" i="116"/>
  <c r="LI13" i="116"/>
  <c r="LH13" i="116"/>
  <c r="U5" i="118" s="1"/>
  <c r="LG13" i="116"/>
  <c r="T5" i="118" s="1"/>
  <c r="HV13" i="116" a="1"/>
  <c r="HV13" i="116" s="1"/>
  <c r="HT13" i="116" a="1"/>
  <c r="HT13" i="116" s="1"/>
  <c r="GH13" i="116"/>
  <c r="FD13" i="116" s="1"/>
  <c r="FU13" i="116"/>
  <c r="FC13" i="116" s="1"/>
  <c r="FN13" i="116"/>
  <c r="FB13" i="116" s="1"/>
  <c r="EY13" i="116"/>
  <c r="ER13" i="116"/>
  <c r="DC13" i="116"/>
  <c r="DA13" i="116"/>
  <c r="CY13" i="116"/>
  <c r="CW13" i="116"/>
  <c r="CV13" i="116"/>
  <c r="CU13" i="116"/>
  <c r="CT13" i="116"/>
  <c r="CS13" i="116"/>
  <c r="CR13" i="116"/>
  <c r="CG13" i="116"/>
  <c r="CD13" i="116"/>
  <c r="CA13" i="116"/>
  <c r="BX13" i="116"/>
  <c r="BU13" i="116"/>
  <c r="BR13" i="116"/>
  <c r="BK13" i="116"/>
  <c r="BH13" i="116"/>
  <c r="BB13" i="116"/>
  <c r="AV13" i="116"/>
  <c r="AS13" i="116"/>
  <c r="AP13" i="116"/>
  <c r="AK13" i="116"/>
  <c r="AG13" i="116"/>
  <c r="AB13" i="116"/>
  <c r="AA13" i="116"/>
  <c r="X13" i="116"/>
  <c r="W13" i="116"/>
  <c r="S13" i="116"/>
  <c r="RQ12" i="116"/>
  <c r="RO12" i="116"/>
  <c r="RF12" i="116"/>
  <c r="RE12" i="116"/>
  <c r="RD12" i="116"/>
  <c r="RC12" i="116"/>
  <c r="RB12" i="116"/>
  <c r="RA12" i="116"/>
  <c r="QY12" i="116"/>
  <c r="QX12" i="116"/>
  <c r="QW12" i="116"/>
  <c r="QV12" i="116"/>
  <c r="QU12" i="116"/>
  <c r="QT12" i="116"/>
  <c r="QO12" i="116"/>
  <c r="RP12" i="116"/>
  <c r="PZ12" i="116"/>
  <c r="OZ12" i="116"/>
  <c r="MU12" i="116"/>
  <c r="LI12" i="116"/>
  <c r="LH12" i="116"/>
  <c r="U4" i="118" s="1"/>
  <c r="LG12" i="116"/>
  <c r="T4" i="118" s="1"/>
  <c r="HV12" i="116" a="1"/>
  <c r="HV12" i="116" s="1"/>
  <c r="HT12" i="116" a="1"/>
  <c r="HT12" i="116" s="1"/>
  <c r="GH12" i="116"/>
  <c r="FD12" i="116" s="1"/>
  <c r="FU12" i="116"/>
  <c r="FC12" i="116" s="1"/>
  <c r="FN12" i="116"/>
  <c r="FB12" i="116" s="1"/>
  <c r="EY12" i="116"/>
  <c r="ER12" i="116"/>
  <c r="DC12" i="116"/>
  <c r="DA12" i="116"/>
  <c r="CY12" i="116"/>
  <c r="CW12" i="116"/>
  <c r="CV12" i="116"/>
  <c r="CU12" i="116"/>
  <c r="CT12" i="116"/>
  <c r="CS12" i="116"/>
  <c r="CR12" i="116"/>
  <c r="CG12" i="116"/>
  <c r="CD12" i="116"/>
  <c r="CA12" i="116"/>
  <c r="BX12" i="116"/>
  <c r="BU12" i="116"/>
  <c r="BR12" i="116"/>
  <c r="BK12" i="116"/>
  <c r="BH12" i="116"/>
  <c r="BB12" i="116"/>
  <c r="AV12" i="116"/>
  <c r="AS12" i="116"/>
  <c r="AP12" i="116"/>
  <c r="AK12" i="116"/>
  <c r="AG12" i="116"/>
  <c r="AB12" i="116"/>
  <c r="AA12" i="116"/>
  <c r="X12" i="116"/>
  <c r="W12" i="116"/>
  <c r="S12" i="116"/>
  <c r="RQ11" i="116"/>
  <c r="RO11" i="116"/>
  <c r="RF11" i="116"/>
  <c r="RE11" i="116"/>
  <c r="RD11" i="116"/>
  <c r="RC11" i="116"/>
  <c r="RB11" i="116"/>
  <c r="RA11" i="116"/>
  <c r="QY11" i="116"/>
  <c r="QX11" i="116"/>
  <c r="QW11" i="116"/>
  <c r="QV11" i="116"/>
  <c r="QU11" i="116"/>
  <c r="QT11" i="116"/>
  <c r="QO11" i="116"/>
  <c r="PZ11" i="116"/>
  <c r="OZ11" i="116"/>
  <c r="MU11" i="116"/>
  <c r="LI11" i="116"/>
  <c r="LH11" i="116"/>
  <c r="U3" i="118" s="1"/>
  <c r="LG11" i="116"/>
  <c r="T3" i="118" s="1"/>
  <c r="HV11" i="116" a="1"/>
  <c r="HV11" i="116" s="1"/>
  <c r="HT11" i="116" a="1"/>
  <c r="HT11" i="116" s="1"/>
  <c r="GH11" i="116"/>
  <c r="FD11" i="116" s="1"/>
  <c r="FU11" i="116"/>
  <c r="FC11" i="116" s="1"/>
  <c r="FN11" i="116"/>
  <c r="FB11" i="116" s="1"/>
  <c r="EY11" i="116"/>
  <c r="ER11" i="116"/>
  <c r="DC11" i="116"/>
  <c r="DA11" i="116"/>
  <c r="CY11" i="116"/>
  <c r="CW11" i="116"/>
  <c r="CV11" i="116"/>
  <c r="CU11" i="116"/>
  <c r="CT11" i="116"/>
  <c r="CS11" i="116"/>
  <c r="CR11" i="116"/>
  <c r="CG11" i="116"/>
  <c r="CD11" i="116"/>
  <c r="CA11" i="116"/>
  <c r="BX11" i="116"/>
  <c r="BU11" i="116"/>
  <c r="BR11" i="116"/>
  <c r="BK11" i="116"/>
  <c r="BH11" i="116"/>
  <c r="BB11" i="116"/>
  <c r="AV11" i="116"/>
  <c r="AS11" i="116"/>
  <c r="AP11" i="116"/>
  <c r="AK11" i="116"/>
  <c r="AG11" i="116"/>
  <c r="AB11" i="116"/>
  <c r="AA11" i="116"/>
  <c r="X11" i="116"/>
  <c r="W11" i="116"/>
  <c r="S11" i="116"/>
  <c r="RQ10" i="116"/>
  <c r="RO10" i="116"/>
  <c r="RF10" i="116"/>
  <c r="RE10" i="116"/>
  <c r="RD10" i="116"/>
  <c r="RC10" i="116"/>
  <c r="RB10" i="116"/>
  <c r="RA10" i="116"/>
  <c r="QY10" i="116"/>
  <c r="QX10" i="116"/>
  <c r="QW10" i="116"/>
  <c r="QV10" i="116"/>
  <c r="QU10" i="116"/>
  <c r="QT10" i="116"/>
  <c r="QO10" i="116"/>
  <c r="QJ10" i="116"/>
  <c r="QJ11" i="116" s="1"/>
  <c r="QJ12" i="116" s="1"/>
  <c r="QJ13" i="116" s="1"/>
  <c r="QJ14" i="116" s="1"/>
  <c r="QJ15" i="116" s="1"/>
  <c r="QJ16" i="116" s="1"/>
  <c r="QJ17" i="116" s="1"/>
  <c r="QJ18" i="116" s="1"/>
  <c r="QJ19" i="116" s="1"/>
  <c r="QJ20" i="116" s="1"/>
  <c r="QJ21" i="116" s="1"/>
  <c r="QJ22" i="116" s="1"/>
  <c r="QJ23" i="116" s="1"/>
  <c r="QJ24" i="116" s="1"/>
  <c r="QJ25" i="116" s="1"/>
  <c r="QJ26" i="116" s="1"/>
  <c r="QJ27" i="116" s="1"/>
  <c r="QJ28" i="116" s="1"/>
  <c r="QJ29" i="116" s="1"/>
  <c r="QJ30" i="116" s="1"/>
  <c r="QJ31" i="116" s="1"/>
  <c r="QJ32" i="116" s="1"/>
  <c r="QJ33" i="116" s="1"/>
  <c r="QJ34" i="116" s="1"/>
  <c r="QJ35" i="116" s="1"/>
  <c r="QJ36" i="116" s="1"/>
  <c r="QJ37" i="116" s="1"/>
  <c r="QJ38" i="116" s="1"/>
  <c r="QJ39" i="116" s="1"/>
  <c r="QJ40" i="116" s="1"/>
  <c r="QJ41" i="116" s="1"/>
  <c r="QJ42" i="116" s="1"/>
  <c r="PY10" i="116"/>
  <c r="PF10" i="116"/>
  <c r="PF11" i="116" s="1"/>
  <c r="PF12" i="116" s="1"/>
  <c r="PF13" i="116" s="1"/>
  <c r="PF14" i="116" s="1"/>
  <c r="PF15" i="116" s="1"/>
  <c r="PF16" i="116" s="1"/>
  <c r="PF17" i="116" s="1"/>
  <c r="PF18" i="116" s="1"/>
  <c r="PF19" i="116" s="1"/>
  <c r="PF20" i="116" s="1"/>
  <c r="PF21" i="116" s="1"/>
  <c r="PF22" i="116" s="1"/>
  <c r="PF23" i="116" s="1"/>
  <c r="PF24" i="116" s="1"/>
  <c r="PF25" i="116" s="1"/>
  <c r="PF26" i="116" s="1"/>
  <c r="PF27" i="116" s="1"/>
  <c r="PF28" i="116" s="1"/>
  <c r="PF29" i="116" s="1"/>
  <c r="PF30" i="116" s="1"/>
  <c r="PF31" i="116" s="1"/>
  <c r="PF32" i="116" s="1"/>
  <c r="PF33" i="116" s="1"/>
  <c r="PF34" i="116" s="1"/>
  <c r="PF35" i="116" s="1"/>
  <c r="PF36" i="116" s="1"/>
  <c r="PF37" i="116" s="1"/>
  <c r="PF38" i="116" s="1"/>
  <c r="PF39" i="116" s="1"/>
  <c r="PF40" i="116" s="1"/>
  <c r="PF41" i="116" s="1"/>
  <c r="PF42" i="116" s="1"/>
  <c r="PF44" i="116" s="1"/>
  <c r="PE41" i="116"/>
  <c r="PE42" i="116" s="1"/>
  <c r="PE44" i="116" s="1"/>
  <c r="PD10" i="116"/>
  <c r="PD11" i="116" s="1"/>
  <c r="PD12" i="116" s="1"/>
  <c r="PD13" i="116" s="1"/>
  <c r="PD14" i="116" s="1"/>
  <c r="PD15" i="116" s="1"/>
  <c r="PD16" i="116" s="1"/>
  <c r="PD17" i="116" s="1"/>
  <c r="PD18" i="116" s="1"/>
  <c r="PD19" i="116" s="1"/>
  <c r="PD20" i="116" s="1"/>
  <c r="PD21" i="116" s="1"/>
  <c r="PD22" i="116" s="1"/>
  <c r="PD23" i="116" s="1"/>
  <c r="PD24" i="116" s="1"/>
  <c r="PD25" i="116" s="1"/>
  <c r="PD26" i="116" s="1"/>
  <c r="PD27" i="116" s="1"/>
  <c r="PD28" i="116" s="1"/>
  <c r="PD29" i="116" s="1"/>
  <c r="PD30" i="116" s="1"/>
  <c r="PD31" i="116" s="1"/>
  <c r="PD32" i="116" s="1"/>
  <c r="PD33" i="116" s="1"/>
  <c r="PD34" i="116" s="1"/>
  <c r="PD35" i="116" s="1"/>
  <c r="PD36" i="116" s="1"/>
  <c r="PD37" i="116" s="1"/>
  <c r="PD38" i="116" s="1"/>
  <c r="PD39" i="116" s="1"/>
  <c r="PD40" i="116" s="1"/>
  <c r="PD41" i="116" s="1"/>
  <c r="PD42" i="116" s="1"/>
  <c r="PD44" i="116" s="1"/>
  <c r="PC10" i="116"/>
  <c r="PB10" i="116"/>
  <c r="PB11" i="116" s="1"/>
  <c r="PB12" i="116" s="1"/>
  <c r="PB13" i="116" s="1"/>
  <c r="PB14" i="116" s="1"/>
  <c r="PB15" i="116" s="1"/>
  <c r="PB16" i="116" s="1"/>
  <c r="PB17" i="116" s="1"/>
  <c r="PB18" i="116" s="1"/>
  <c r="PB19" i="116" s="1"/>
  <c r="PB20" i="116" s="1"/>
  <c r="PB21" i="116" s="1"/>
  <c r="PB22" i="116" s="1"/>
  <c r="PB23" i="116" s="1"/>
  <c r="PB24" i="116" s="1"/>
  <c r="PB25" i="116" s="1"/>
  <c r="PB26" i="116" s="1"/>
  <c r="PB27" i="116" s="1"/>
  <c r="PB28" i="116" s="1"/>
  <c r="PB29" i="116" s="1"/>
  <c r="PB30" i="116" s="1"/>
  <c r="PB31" i="116" s="1"/>
  <c r="PB32" i="116" s="1"/>
  <c r="PB33" i="116" s="1"/>
  <c r="PB34" i="116" s="1"/>
  <c r="PB35" i="116" s="1"/>
  <c r="PB36" i="116" s="1"/>
  <c r="PB37" i="116" s="1"/>
  <c r="PB38" i="116" s="1"/>
  <c r="PB39" i="116" s="1"/>
  <c r="PB40" i="116" s="1"/>
  <c r="PB41" i="116" s="1"/>
  <c r="PB42" i="116" s="1"/>
  <c r="PB44" i="116" s="1"/>
  <c r="PA10" i="116"/>
  <c r="PA11" i="116" s="1"/>
  <c r="OZ10" i="116"/>
  <c r="OR10" i="116"/>
  <c r="OR11" i="116" s="1"/>
  <c r="OR12" i="116" s="1"/>
  <c r="OR13" i="116" s="1"/>
  <c r="OR14" i="116" s="1"/>
  <c r="OR15" i="116" s="1"/>
  <c r="OR16" i="116" s="1"/>
  <c r="OR17" i="116" s="1"/>
  <c r="OR18" i="116" s="1"/>
  <c r="OR19" i="116" s="1"/>
  <c r="OR20" i="116" s="1"/>
  <c r="OR21" i="116" s="1"/>
  <c r="OR22" i="116" s="1"/>
  <c r="OR23" i="116" s="1"/>
  <c r="OR24" i="116" s="1"/>
  <c r="OR25" i="116" s="1"/>
  <c r="OR26" i="116" s="1"/>
  <c r="OR27" i="116" s="1"/>
  <c r="OR28" i="116" s="1"/>
  <c r="OR29" i="116" s="1"/>
  <c r="OR30" i="116" s="1"/>
  <c r="OR31" i="116" s="1"/>
  <c r="OR32" i="116" s="1"/>
  <c r="OR33" i="116" s="1"/>
  <c r="OR34" i="116" s="1"/>
  <c r="OR35" i="116" s="1"/>
  <c r="OR36" i="116" s="1"/>
  <c r="OR37" i="116" s="1"/>
  <c r="OR38" i="116" s="1"/>
  <c r="OR39" i="116" s="1"/>
  <c r="OR40" i="116" s="1"/>
  <c r="OR41" i="116" s="1"/>
  <c r="OR42" i="116" s="1"/>
  <c r="ON10" i="116"/>
  <c r="ON11" i="116" s="1"/>
  <c r="ON12" i="116" s="1"/>
  <c r="ON13" i="116" s="1"/>
  <c r="ON14" i="116" s="1"/>
  <c r="ON15" i="116" s="1"/>
  <c r="ON16" i="116" s="1"/>
  <c r="ON17" i="116" s="1"/>
  <c r="ON18" i="116" s="1"/>
  <c r="ON19" i="116" s="1"/>
  <c r="ON20" i="116" s="1"/>
  <c r="ON21" i="116" s="1"/>
  <c r="ON22" i="116" s="1"/>
  <c r="ON23" i="116" s="1"/>
  <c r="ON24" i="116" s="1"/>
  <c r="ON25" i="116" s="1"/>
  <c r="ON26" i="116" s="1"/>
  <c r="ON27" i="116" s="1"/>
  <c r="ON28" i="116" s="1"/>
  <c r="ON29" i="116" s="1"/>
  <c r="ON30" i="116" s="1"/>
  <c r="ON31" i="116" s="1"/>
  <c r="ON32" i="116" s="1"/>
  <c r="ON33" i="116" s="1"/>
  <c r="ON34" i="116" s="1"/>
  <c r="ON35" i="116" s="1"/>
  <c r="ON36" i="116" s="1"/>
  <c r="ON37" i="116" s="1"/>
  <c r="ON38" i="116" s="1"/>
  <c r="ON39" i="116" s="1"/>
  <c r="ON40" i="116" s="1"/>
  <c r="ON41" i="116" s="1"/>
  <c r="ON42" i="116" s="1"/>
  <c r="OL10" i="116"/>
  <c r="OL11" i="116" s="1"/>
  <c r="OL12" i="116" s="1"/>
  <c r="OL13" i="116" s="1"/>
  <c r="OL14" i="116" s="1"/>
  <c r="OL15" i="116" s="1"/>
  <c r="OL16" i="116" s="1"/>
  <c r="OL17" i="116" s="1"/>
  <c r="OL18" i="116" s="1"/>
  <c r="OL19" i="116" s="1"/>
  <c r="OL20" i="116" s="1"/>
  <c r="OL21" i="116" s="1"/>
  <c r="OL22" i="116" s="1"/>
  <c r="OL23" i="116" s="1"/>
  <c r="OL24" i="116" s="1"/>
  <c r="OL25" i="116" s="1"/>
  <c r="OL26" i="116" s="1"/>
  <c r="OL27" i="116" s="1"/>
  <c r="OL28" i="116" s="1"/>
  <c r="OL29" i="116" s="1"/>
  <c r="OL30" i="116" s="1"/>
  <c r="OL31" i="116" s="1"/>
  <c r="OL32" i="116" s="1"/>
  <c r="OL33" i="116" s="1"/>
  <c r="OL34" i="116" s="1"/>
  <c r="OL35" i="116" s="1"/>
  <c r="OL36" i="116" s="1"/>
  <c r="OL37" i="116" s="1"/>
  <c r="OL38" i="116" s="1"/>
  <c r="OL39" i="116" s="1"/>
  <c r="OL40" i="116" s="1"/>
  <c r="OL41" i="116" s="1"/>
  <c r="OL42" i="116" s="1"/>
  <c r="OK10" i="116"/>
  <c r="OK11" i="116" s="1"/>
  <c r="OK12" i="116" s="1"/>
  <c r="OK13" i="116" s="1"/>
  <c r="OK14" i="116" s="1"/>
  <c r="OK15" i="116" s="1"/>
  <c r="OK16" i="116" s="1"/>
  <c r="OK17" i="116" s="1"/>
  <c r="OK18" i="116" s="1"/>
  <c r="OK19" i="116" s="1"/>
  <c r="OK20" i="116" s="1"/>
  <c r="OK21" i="116" s="1"/>
  <c r="OK22" i="116" s="1"/>
  <c r="OK23" i="116" s="1"/>
  <c r="OK24" i="116" s="1"/>
  <c r="OK25" i="116" s="1"/>
  <c r="OK26" i="116" s="1"/>
  <c r="OK27" i="116" s="1"/>
  <c r="OK28" i="116" s="1"/>
  <c r="OK29" i="116" s="1"/>
  <c r="OK30" i="116" s="1"/>
  <c r="OK31" i="116" s="1"/>
  <c r="OK32" i="116" s="1"/>
  <c r="OK33" i="116" s="1"/>
  <c r="OK34" i="116" s="1"/>
  <c r="OK35" i="116" s="1"/>
  <c r="OK36" i="116" s="1"/>
  <c r="OK37" i="116" s="1"/>
  <c r="OK38" i="116" s="1"/>
  <c r="OK39" i="116" s="1"/>
  <c r="OK40" i="116" s="1"/>
  <c r="OK41" i="116" s="1"/>
  <c r="OJ10" i="116"/>
  <c r="OJ11" i="116" s="1"/>
  <c r="OJ12" i="116" s="1"/>
  <c r="OJ13" i="116" s="1"/>
  <c r="OJ14" i="116" s="1"/>
  <c r="OJ15" i="116" s="1"/>
  <c r="OJ16" i="116" s="1"/>
  <c r="OJ17" i="116" s="1"/>
  <c r="OJ18" i="116" s="1"/>
  <c r="OJ19" i="116" s="1"/>
  <c r="OJ20" i="116" s="1"/>
  <c r="OJ21" i="116" s="1"/>
  <c r="OJ22" i="116" s="1"/>
  <c r="OJ23" i="116" s="1"/>
  <c r="OJ24" i="116" s="1"/>
  <c r="OJ25" i="116" s="1"/>
  <c r="OJ26" i="116" s="1"/>
  <c r="OJ27" i="116" s="1"/>
  <c r="OJ28" i="116" s="1"/>
  <c r="OJ29" i="116" s="1"/>
  <c r="OJ30" i="116" s="1"/>
  <c r="OJ31" i="116" s="1"/>
  <c r="OJ32" i="116" s="1"/>
  <c r="OJ33" i="116" s="1"/>
  <c r="OJ34" i="116" s="1"/>
  <c r="OJ35" i="116" s="1"/>
  <c r="OJ36" i="116" s="1"/>
  <c r="OJ37" i="116" s="1"/>
  <c r="OJ38" i="116" s="1"/>
  <c r="OJ39" i="116" s="1"/>
  <c r="OJ40" i="116" s="1"/>
  <c r="OJ41" i="116" s="1"/>
  <c r="OJ42" i="116" s="1"/>
  <c r="OI10" i="116"/>
  <c r="OI11" i="116" s="1"/>
  <c r="OI12" i="116" s="1"/>
  <c r="OI13" i="116" s="1"/>
  <c r="OI14" i="116" s="1"/>
  <c r="OI15" i="116" s="1"/>
  <c r="OI16" i="116" s="1"/>
  <c r="OI17" i="116" s="1"/>
  <c r="OI18" i="116" s="1"/>
  <c r="OI19" i="116" s="1"/>
  <c r="OH10" i="116"/>
  <c r="OH11" i="116" s="1"/>
  <c r="OH12" i="116" s="1"/>
  <c r="OH13" i="116" s="1"/>
  <c r="OH14" i="116" s="1"/>
  <c r="OH15" i="116" s="1"/>
  <c r="OH16" i="116" s="1"/>
  <c r="OH17" i="116" s="1"/>
  <c r="OH18" i="116" s="1"/>
  <c r="OH19" i="116" s="1"/>
  <c r="OH20" i="116" s="1"/>
  <c r="OH21" i="116" s="1"/>
  <c r="OH22" i="116" s="1"/>
  <c r="OH23" i="116" s="1"/>
  <c r="OH24" i="116" s="1"/>
  <c r="OH25" i="116" s="1"/>
  <c r="OH26" i="116" s="1"/>
  <c r="OH27" i="116" s="1"/>
  <c r="OH28" i="116" s="1"/>
  <c r="OH29" i="116" s="1"/>
  <c r="OH30" i="116" s="1"/>
  <c r="OH31" i="116" s="1"/>
  <c r="OH32" i="116" s="1"/>
  <c r="OH33" i="116" s="1"/>
  <c r="OH34" i="116" s="1"/>
  <c r="OH35" i="116" s="1"/>
  <c r="OH36" i="116" s="1"/>
  <c r="OH37" i="116" s="1"/>
  <c r="OH38" i="116" s="1"/>
  <c r="OH39" i="116" s="1"/>
  <c r="OH40" i="116" s="1"/>
  <c r="OH41" i="116" s="1"/>
  <c r="OH42" i="116" s="1"/>
  <c r="OG10" i="116"/>
  <c r="OG11" i="116" s="1"/>
  <c r="OE10" i="116"/>
  <c r="OE11" i="116" s="1"/>
  <c r="OE12" i="116" s="1"/>
  <c r="OE13" i="116" s="1"/>
  <c r="OE14" i="116" s="1"/>
  <c r="OE15" i="116" s="1"/>
  <c r="OE16" i="116" s="1"/>
  <c r="OE17" i="116" s="1"/>
  <c r="OE18" i="116" s="1"/>
  <c r="OE19" i="116" s="1"/>
  <c r="OE20" i="116" s="1"/>
  <c r="OE21" i="116" s="1"/>
  <c r="OE22" i="116" s="1"/>
  <c r="OE23" i="116" s="1"/>
  <c r="OE24" i="116" s="1"/>
  <c r="OE25" i="116" s="1"/>
  <c r="OE26" i="116" s="1"/>
  <c r="OE27" i="116" s="1"/>
  <c r="OE28" i="116" s="1"/>
  <c r="OE29" i="116" s="1"/>
  <c r="OE30" i="116" s="1"/>
  <c r="OE31" i="116" s="1"/>
  <c r="OE32" i="116" s="1"/>
  <c r="OE33" i="116" s="1"/>
  <c r="OE34" i="116" s="1"/>
  <c r="OE35" i="116" s="1"/>
  <c r="OE36" i="116" s="1"/>
  <c r="OE37" i="116" s="1"/>
  <c r="OE38" i="116" s="1"/>
  <c r="OE39" i="116" s="1"/>
  <c r="OE40" i="116" s="1"/>
  <c r="OE41" i="116" s="1"/>
  <c r="OE42" i="116" s="1"/>
  <c r="NY10" i="116"/>
  <c r="NY11" i="116" s="1"/>
  <c r="NY12" i="116" s="1"/>
  <c r="NY13" i="116" s="1"/>
  <c r="NY14" i="116" s="1"/>
  <c r="NY15" i="116" s="1"/>
  <c r="NY16" i="116" s="1"/>
  <c r="NY17" i="116" s="1"/>
  <c r="NY18" i="116" s="1"/>
  <c r="NY19" i="116" s="1"/>
  <c r="NY20" i="116" s="1"/>
  <c r="NY21" i="116" s="1"/>
  <c r="NY22" i="116" s="1"/>
  <c r="NY23" i="116" s="1"/>
  <c r="NY24" i="116" s="1"/>
  <c r="NY25" i="116" s="1"/>
  <c r="NY26" i="116" s="1"/>
  <c r="NY27" i="116" s="1"/>
  <c r="NY28" i="116" s="1"/>
  <c r="NY29" i="116" s="1"/>
  <c r="NY30" i="116" s="1"/>
  <c r="NY31" i="116" s="1"/>
  <c r="NY32" i="116" s="1"/>
  <c r="NY33" i="116" s="1"/>
  <c r="NY34" i="116" s="1"/>
  <c r="NY35" i="116" s="1"/>
  <c r="NY36" i="116" s="1"/>
  <c r="NY37" i="116" s="1"/>
  <c r="NY38" i="116" s="1"/>
  <c r="NY39" i="116" s="1"/>
  <c r="NY40" i="116" s="1"/>
  <c r="NY41" i="116" s="1"/>
  <c r="NY42" i="116" s="1"/>
  <c r="NX10" i="116"/>
  <c r="NX11" i="116" s="1"/>
  <c r="NX12" i="116" s="1"/>
  <c r="NX13" i="116" s="1"/>
  <c r="NX14" i="116" s="1"/>
  <c r="NX15" i="116" s="1"/>
  <c r="NX16" i="116" s="1"/>
  <c r="NX17" i="116" s="1"/>
  <c r="NX18" i="116" s="1"/>
  <c r="NX19" i="116" s="1"/>
  <c r="NX20" i="116" s="1"/>
  <c r="NX21" i="116" s="1"/>
  <c r="NX22" i="116" s="1"/>
  <c r="NX23" i="116" s="1"/>
  <c r="NX24" i="116" s="1"/>
  <c r="NX25" i="116" s="1"/>
  <c r="NX26" i="116" s="1"/>
  <c r="NX27" i="116" s="1"/>
  <c r="NX28" i="116" s="1"/>
  <c r="NX29" i="116" s="1"/>
  <c r="NX30" i="116" s="1"/>
  <c r="NX31" i="116" s="1"/>
  <c r="NX32" i="116" s="1"/>
  <c r="NX33" i="116" s="1"/>
  <c r="NX34" i="116" s="1"/>
  <c r="NX35" i="116" s="1"/>
  <c r="NX36" i="116" s="1"/>
  <c r="NX37" i="116" s="1"/>
  <c r="NX38" i="116" s="1"/>
  <c r="NX39" i="116" s="1"/>
  <c r="NX40" i="116" s="1"/>
  <c r="NX41" i="116" s="1"/>
  <c r="NX42" i="116" s="1"/>
  <c r="NX44" i="116" s="1"/>
  <c r="NW10" i="116"/>
  <c r="NW11" i="116" s="1"/>
  <c r="NW12" i="116" s="1"/>
  <c r="NW13" i="116" s="1"/>
  <c r="NW14" i="116" s="1"/>
  <c r="NW15" i="116" s="1"/>
  <c r="NW16" i="116" s="1"/>
  <c r="NW17" i="116" s="1"/>
  <c r="NW18" i="116" s="1"/>
  <c r="NW19" i="116" s="1"/>
  <c r="NW20" i="116" s="1"/>
  <c r="NW21" i="116" s="1"/>
  <c r="NW22" i="116" s="1"/>
  <c r="NW23" i="116" s="1"/>
  <c r="NW24" i="116" s="1"/>
  <c r="NW25" i="116" s="1"/>
  <c r="NW26" i="116" s="1"/>
  <c r="NW27" i="116" s="1"/>
  <c r="NW28" i="116" s="1"/>
  <c r="NW29" i="116" s="1"/>
  <c r="NW30" i="116" s="1"/>
  <c r="NW31" i="116" s="1"/>
  <c r="NW32" i="116" s="1"/>
  <c r="NW33" i="116" s="1"/>
  <c r="NW34" i="116" s="1"/>
  <c r="NW35" i="116" s="1"/>
  <c r="NW36" i="116" s="1"/>
  <c r="NW37" i="116" s="1"/>
  <c r="NW38" i="116" s="1"/>
  <c r="NW39" i="116" s="1"/>
  <c r="NW40" i="116" s="1"/>
  <c r="NW41" i="116" s="1"/>
  <c r="NW42" i="116" s="1"/>
  <c r="NV10" i="116"/>
  <c r="NV11" i="116" s="1"/>
  <c r="NV12" i="116" s="1"/>
  <c r="NV13" i="116" s="1"/>
  <c r="NV14" i="116" s="1"/>
  <c r="NV15" i="116" s="1"/>
  <c r="NV16" i="116" s="1"/>
  <c r="NV17" i="116" s="1"/>
  <c r="NV18" i="116" s="1"/>
  <c r="NV19" i="116" s="1"/>
  <c r="NV20" i="116" s="1"/>
  <c r="NV21" i="116" s="1"/>
  <c r="NV22" i="116" s="1"/>
  <c r="NV23" i="116" s="1"/>
  <c r="NV24" i="116" s="1"/>
  <c r="NV25" i="116" s="1"/>
  <c r="NV26" i="116" s="1"/>
  <c r="NV27" i="116" s="1"/>
  <c r="NV28" i="116" s="1"/>
  <c r="NV29" i="116" s="1"/>
  <c r="NV30" i="116" s="1"/>
  <c r="NV31" i="116" s="1"/>
  <c r="NV32" i="116" s="1"/>
  <c r="NV33" i="116" s="1"/>
  <c r="NV34" i="116" s="1"/>
  <c r="NV35" i="116" s="1"/>
  <c r="NV36" i="116" s="1"/>
  <c r="NV37" i="116" s="1"/>
  <c r="NV38" i="116" s="1"/>
  <c r="NV39" i="116" s="1"/>
  <c r="NV40" i="116" s="1"/>
  <c r="NV41" i="116" s="1"/>
  <c r="NV42" i="116" s="1"/>
  <c r="NV44" i="116" s="1"/>
  <c r="NU10" i="116"/>
  <c r="NU11" i="116" s="1"/>
  <c r="NU12" i="116" s="1"/>
  <c r="NU13" i="116" s="1"/>
  <c r="NU14" i="116" s="1"/>
  <c r="NU15" i="116" s="1"/>
  <c r="NU16" i="116" s="1"/>
  <c r="NU17" i="116" s="1"/>
  <c r="NU18" i="116" s="1"/>
  <c r="NU19" i="116" s="1"/>
  <c r="NU20" i="116" s="1"/>
  <c r="NU21" i="116" s="1"/>
  <c r="NU22" i="116" s="1"/>
  <c r="NU23" i="116" s="1"/>
  <c r="NU24" i="116" s="1"/>
  <c r="NU25" i="116" s="1"/>
  <c r="NU26" i="116" s="1"/>
  <c r="NU27" i="116" s="1"/>
  <c r="NU28" i="116" s="1"/>
  <c r="NU29" i="116" s="1"/>
  <c r="NU30" i="116" s="1"/>
  <c r="NU31" i="116" s="1"/>
  <c r="NU32" i="116" s="1"/>
  <c r="NU33" i="116" s="1"/>
  <c r="NU34" i="116" s="1"/>
  <c r="NU35" i="116" s="1"/>
  <c r="NU36" i="116" s="1"/>
  <c r="NU37" i="116" s="1"/>
  <c r="NU38" i="116" s="1"/>
  <c r="NU39" i="116" s="1"/>
  <c r="NU40" i="116" s="1"/>
  <c r="NU41" i="116" s="1"/>
  <c r="NU42" i="116" s="1"/>
  <c r="NT10" i="116"/>
  <c r="NT11" i="116" s="1"/>
  <c r="NN10" i="116"/>
  <c r="NN11" i="116" s="1"/>
  <c r="NN12" i="116" s="1"/>
  <c r="NN13" i="116" s="1"/>
  <c r="NN14" i="116" s="1"/>
  <c r="NN15" i="116" s="1"/>
  <c r="NN16" i="116" s="1"/>
  <c r="NN17" i="116" s="1"/>
  <c r="NN18" i="116" s="1"/>
  <c r="NN19" i="116" s="1"/>
  <c r="NN20" i="116" s="1"/>
  <c r="NN21" i="116" s="1"/>
  <c r="NN22" i="116" s="1"/>
  <c r="NN23" i="116" s="1"/>
  <c r="NN24" i="116" s="1"/>
  <c r="NN25" i="116" s="1"/>
  <c r="NN26" i="116" s="1"/>
  <c r="NN27" i="116" s="1"/>
  <c r="NN28" i="116" s="1"/>
  <c r="NN29" i="116" s="1"/>
  <c r="NN30" i="116" s="1"/>
  <c r="NN31" i="116" s="1"/>
  <c r="NN32" i="116" s="1"/>
  <c r="NN33" i="116" s="1"/>
  <c r="NN34" i="116" s="1"/>
  <c r="NN35" i="116" s="1"/>
  <c r="NM10" i="116"/>
  <c r="NM11" i="116" s="1"/>
  <c r="NM12" i="116" s="1"/>
  <c r="NM13" i="116" s="1"/>
  <c r="NM14" i="116" s="1"/>
  <c r="NM15" i="116" s="1"/>
  <c r="NM16" i="116" s="1"/>
  <c r="NM17" i="116" s="1"/>
  <c r="NM18" i="116" s="1"/>
  <c r="NM19" i="116" s="1"/>
  <c r="NM20" i="116" s="1"/>
  <c r="NM21" i="116" s="1"/>
  <c r="NM22" i="116" s="1"/>
  <c r="NM23" i="116" s="1"/>
  <c r="NM24" i="116" s="1"/>
  <c r="NM25" i="116" s="1"/>
  <c r="NM26" i="116" s="1"/>
  <c r="NM27" i="116" s="1"/>
  <c r="NM28" i="116" s="1"/>
  <c r="NM29" i="116" s="1"/>
  <c r="NM30" i="116" s="1"/>
  <c r="NM31" i="116" s="1"/>
  <c r="NM32" i="116" s="1"/>
  <c r="NM33" i="116" s="1"/>
  <c r="NM34" i="116" s="1"/>
  <c r="NM35" i="116" s="1"/>
  <c r="NL10" i="116"/>
  <c r="NL11" i="116" s="1"/>
  <c r="NL12" i="116" s="1"/>
  <c r="NL13" i="116" s="1"/>
  <c r="NL14" i="116" s="1"/>
  <c r="NL15" i="116" s="1"/>
  <c r="NL16" i="116" s="1"/>
  <c r="NL17" i="116" s="1"/>
  <c r="NL18" i="116" s="1"/>
  <c r="NL19" i="116" s="1"/>
  <c r="NL20" i="116" s="1"/>
  <c r="NL21" i="116" s="1"/>
  <c r="NL22" i="116" s="1"/>
  <c r="NL23" i="116" s="1"/>
  <c r="NL24" i="116" s="1"/>
  <c r="NL25" i="116" s="1"/>
  <c r="NL26" i="116" s="1"/>
  <c r="NL27" i="116" s="1"/>
  <c r="NL28" i="116" s="1"/>
  <c r="NL29" i="116" s="1"/>
  <c r="NL30" i="116" s="1"/>
  <c r="NL31" i="116" s="1"/>
  <c r="NL32" i="116" s="1"/>
  <c r="NL33" i="116" s="1"/>
  <c r="NL34" i="116" s="1"/>
  <c r="NL35" i="116" s="1"/>
  <c r="NK10" i="116"/>
  <c r="NK11" i="116" s="1"/>
  <c r="NK12" i="116" s="1"/>
  <c r="NK13" i="116" s="1"/>
  <c r="NK14" i="116" s="1"/>
  <c r="NK15" i="116" s="1"/>
  <c r="NK16" i="116" s="1"/>
  <c r="NK17" i="116" s="1"/>
  <c r="NK18" i="116" s="1"/>
  <c r="NK19" i="116" s="1"/>
  <c r="NK20" i="116" s="1"/>
  <c r="NK21" i="116" s="1"/>
  <c r="NK22" i="116" s="1"/>
  <c r="NK23" i="116" s="1"/>
  <c r="NK24" i="116" s="1"/>
  <c r="NK25" i="116" s="1"/>
  <c r="NK26" i="116" s="1"/>
  <c r="NK27" i="116" s="1"/>
  <c r="NK28" i="116" s="1"/>
  <c r="NK29" i="116" s="1"/>
  <c r="NK30" i="116" s="1"/>
  <c r="NK31" i="116" s="1"/>
  <c r="NK32" i="116" s="1"/>
  <c r="NK33" i="116" s="1"/>
  <c r="NK34" i="116" s="1"/>
  <c r="NK35" i="116" s="1"/>
  <c r="NJ10" i="116"/>
  <c r="NJ11" i="116" s="1"/>
  <c r="NJ12" i="116" s="1"/>
  <c r="NJ13" i="116" s="1"/>
  <c r="NJ14" i="116" s="1"/>
  <c r="NJ15" i="116" s="1"/>
  <c r="NJ16" i="116" s="1"/>
  <c r="NJ17" i="116" s="1"/>
  <c r="NJ18" i="116" s="1"/>
  <c r="NJ19" i="116" s="1"/>
  <c r="NJ20" i="116" s="1"/>
  <c r="NJ21" i="116" s="1"/>
  <c r="NJ22" i="116" s="1"/>
  <c r="NJ23" i="116" s="1"/>
  <c r="NJ24" i="116" s="1"/>
  <c r="NJ25" i="116" s="1"/>
  <c r="NJ26" i="116" s="1"/>
  <c r="NJ27" i="116" s="1"/>
  <c r="NJ28" i="116" s="1"/>
  <c r="NJ29" i="116" s="1"/>
  <c r="NI10" i="116"/>
  <c r="NI11" i="116" s="1"/>
  <c r="NI12" i="116" s="1"/>
  <c r="NI13" i="116" s="1"/>
  <c r="NI14" i="116" s="1"/>
  <c r="NI15" i="116" s="1"/>
  <c r="NI16" i="116" s="1"/>
  <c r="NI17" i="116" s="1"/>
  <c r="NI18" i="116" s="1"/>
  <c r="NI19" i="116" s="1"/>
  <c r="NI20" i="116" s="1"/>
  <c r="NI21" i="116" s="1"/>
  <c r="NI22" i="116" s="1"/>
  <c r="NI23" i="116" s="1"/>
  <c r="NI24" i="116" s="1"/>
  <c r="NI25" i="116" s="1"/>
  <c r="NI26" i="116" s="1"/>
  <c r="NI27" i="116" s="1"/>
  <c r="NI28" i="116" s="1"/>
  <c r="NI29" i="116" s="1"/>
  <c r="NI30" i="116" s="1"/>
  <c r="NI31" i="116" s="1"/>
  <c r="NI32" i="116" s="1"/>
  <c r="NI33" i="116" s="1"/>
  <c r="NI34" i="116" s="1"/>
  <c r="NI35" i="116" s="1"/>
  <c r="NH10" i="116"/>
  <c r="NH11" i="116" s="1"/>
  <c r="NH12" i="116" s="1"/>
  <c r="NH13" i="116" s="1"/>
  <c r="NH14" i="116" s="1"/>
  <c r="NH15" i="116" s="1"/>
  <c r="NH16" i="116" s="1"/>
  <c r="NH17" i="116" s="1"/>
  <c r="NH18" i="116" s="1"/>
  <c r="NH19" i="116" s="1"/>
  <c r="NH20" i="116" s="1"/>
  <c r="NH21" i="116" s="1"/>
  <c r="NH22" i="116" s="1"/>
  <c r="NH23" i="116" s="1"/>
  <c r="NH24" i="116" s="1"/>
  <c r="NH25" i="116" s="1"/>
  <c r="NH26" i="116" s="1"/>
  <c r="NH27" i="116" s="1"/>
  <c r="NH28" i="116" s="1"/>
  <c r="NH29" i="116" s="1"/>
  <c r="NH30" i="116" s="1"/>
  <c r="NH31" i="116" s="1"/>
  <c r="NH32" i="116" s="1"/>
  <c r="NH33" i="116" s="1"/>
  <c r="NH34" i="116" s="1"/>
  <c r="NH35" i="116" s="1"/>
  <c r="NG10" i="116"/>
  <c r="NG11" i="116" s="1"/>
  <c r="NE10" i="116"/>
  <c r="NE11" i="116" s="1"/>
  <c r="NE12" i="116" s="1"/>
  <c r="NE13" i="116" s="1"/>
  <c r="NE14" i="116" s="1"/>
  <c r="NE15" i="116" s="1"/>
  <c r="NE16" i="116" s="1"/>
  <c r="NE17" i="116" s="1"/>
  <c r="NE18" i="116" s="1"/>
  <c r="NE19" i="116" s="1"/>
  <c r="NE20" i="116" s="1"/>
  <c r="NE21" i="116" s="1"/>
  <c r="NE22" i="116" s="1"/>
  <c r="NE23" i="116" s="1"/>
  <c r="NE24" i="116" s="1"/>
  <c r="NE25" i="116" s="1"/>
  <c r="NE26" i="116" s="1"/>
  <c r="NE27" i="116" s="1"/>
  <c r="NE28" i="116" s="1"/>
  <c r="NE29" i="116" s="1"/>
  <c r="NE30" i="116" s="1"/>
  <c r="NE31" i="116" s="1"/>
  <c r="NE32" i="116" s="1"/>
  <c r="NE33" i="116" s="1"/>
  <c r="NE34" i="116" s="1"/>
  <c r="NE35" i="116" s="1"/>
  <c r="NE36" i="116" s="1"/>
  <c r="NE37" i="116" s="1"/>
  <c r="NE38" i="116" s="1"/>
  <c r="NE39" i="116" s="1"/>
  <c r="NE40" i="116" s="1"/>
  <c r="NE41" i="116" s="1"/>
  <c r="NE42" i="116" s="1"/>
  <c r="NE44" i="116" s="1"/>
  <c r="MU10" i="116"/>
  <c r="LI10" i="116"/>
  <c r="LH10" i="116"/>
  <c r="U2" i="118" s="1"/>
  <c r="LG10" i="116"/>
  <c r="T2" i="118" s="1"/>
  <c r="HV10" i="116" a="1"/>
  <c r="HV10" i="116" s="1"/>
  <c r="HT10" i="116" a="1"/>
  <c r="HT10" i="116" s="1"/>
  <c r="GH10" i="116"/>
  <c r="FU10" i="116"/>
  <c r="FC10" i="116" s="1"/>
  <c r="FN10" i="116"/>
  <c r="FB10" i="116" s="1"/>
  <c r="EY10" i="116"/>
  <c r="ER10" i="116"/>
  <c r="DC10" i="116"/>
  <c r="DA10" i="116"/>
  <c r="CY10" i="116"/>
  <c r="CW10" i="116"/>
  <c r="CV10" i="116"/>
  <c r="CU10" i="116"/>
  <c r="CT10" i="116"/>
  <c r="CS10" i="116"/>
  <c r="CR10" i="116"/>
  <c r="CG10" i="116"/>
  <c r="CD10" i="116"/>
  <c r="CA10" i="116"/>
  <c r="BX10" i="116"/>
  <c r="BU10" i="116"/>
  <c r="BR10" i="116"/>
  <c r="BK10" i="116"/>
  <c r="BH10" i="116"/>
  <c r="BB10" i="116"/>
  <c r="AV10" i="116"/>
  <c r="AS10" i="116"/>
  <c r="AP10" i="116"/>
  <c r="AK10" i="116"/>
  <c r="AG10" i="116"/>
  <c r="AB10" i="116"/>
  <c r="AA10" i="116"/>
  <c r="X10" i="116"/>
  <c r="W10" i="116"/>
  <c r="S10" i="116"/>
  <c r="RM9" i="116"/>
  <c r="QI9" i="116"/>
  <c r="QH9" i="116"/>
  <c r="QG9" i="116"/>
  <c r="QG10" i="116" s="1"/>
  <c r="QG11" i="116" s="1"/>
  <c r="PG9" i="116"/>
  <c r="PG8" i="116"/>
  <c r="OS8" i="116"/>
  <c r="OF8" i="116"/>
  <c r="NS8" i="116"/>
  <c r="KE6" i="116"/>
  <c r="JW6" i="116"/>
  <c r="JO6" i="116"/>
  <c r="CF3" i="116"/>
  <c r="CE3" i="116"/>
  <c r="CC3" i="116"/>
  <c r="CJ1" i="116"/>
  <c r="BO43" i="112"/>
  <c r="OF9" i="124" l="1"/>
  <c r="OF10" i="124" s="1"/>
  <c r="OF11" i="124" s="1"/>
  <c r="OF12" i="124" s="1"/>
  <c r="OF13" i="124" s="1"/>
  <c r="OF14" i="124" s="1"/>
  <c r="OF15" i="124" s="1"/>
  <c r="OF16" i="124" s="1"/>
  <c r="OF17" i="124" s="1"/>
  <c r="OF18" i="124" s="1"/>
  <c r="OF19" i="124" s="1"/>
  <c r="OF20" i="124" s="1"/>
  <c r="OF21" i="124" s="1"/>
  <c r="OF22" i="124" s="1"/>
  <c r="OF23" i="124" s="1"/>
  <c r="OF24" i="124" s="1"/>
  <c r="OF25" i="124" s="1"/>
  <c r="OF26" i="124" s="1"/>
  <c r="OF27" i="124" s="1"/>
  <c r="OF28" i="124" s="1"/>
  <c r="OF29" i="124" s="1"/>
  <c r="OF30" i="124" s="1"/>
  <c r="OF31" i="124" s="1"/>
  <c r="OF32" i="124" s="1"/>
  <c r="OF33" i="124" s="1"/>
  <c r="OF34" i="124" s="1"/>
  <c r="OF35" i="124" s="1"/>
  <c r="OF36" i="124" s="1"/>
  <c r="OF37" i="124" s="1"/>
  <c r="OF38" i="124" s="1"/>
  <c r="OF39" i="124" s="1"/>
  <c r="OF40" i="124" s="1"/>
  <c r="OF41" i="124" s="1"/>
  <c r="OF42" i="124" s="1"/>
  <c r="OF9" i="126"/>
  <c r="OF10" i="126" s="1"/>
  <c r="OF11" i="126" s="1"/>
  <c r="OF12" i="126" s="1"/>
  <c r="OF13" i="126" s="1"/>
  <c r="OF14" i="126" s="1"/>
  <c r="OF15" i="126" s="1"/>
  <c r="OF16" i="126" s="1"/>
  <c r="OF17" i="126" s="1"/>
  <c r="OF18" i="126" s="1"/>
  <c r="OF19" i="126" s="1"/>
  <c r="OF20" i="126" s="1"/>
  <c r="OF21" i="126" s="1"/>
  <c r="OF22" i="126" s="1"/>
  <c r="OF23" i="126" s="1"/>
  <c r="OF24" i="126" s="1"/>
  <c r="OF25" i="126" s="1"/>
  <c r="OF26" i="126" s="1"/>
  <c r="OF27" i="126" s="1"/>
  <c r="OF28" i="126" s="1"/>
  <c r="OF29" i="126" s="1"/>
  <c r="OF30" i="126" s="1"/>
  <c r="OF31" i="126" s="1"/>
  <c r="OF32" i="126" s="1"/>
  <c r="OF33" i="126" s="1"/>
  <c r="OF34" i="126" s="1"/>
  <c r="OF35" i="126" s="1"/>
  <c r="OF36" i="126" s="1"/>
  <c r="OF37" i="126" s="1"/>
  <c r="OF38" i="126" s="1"/>
  <c r="OF39" i="126" s="1"/>
  <c r="OF40" i="126" s="1"/>
  <c r="OF41" i="126" s="1"/>
  <c r="OF42" i="126" s="1"/>
  <c r="E138" i="2"/>
  <c r="E139" i="2"/>
  <c r="E137" i="2"/>
  <c r="H9" i="2"/>
  <c r="H6" i="2"/>
  <c r="H7" i="2"/>
  <c r="B58" i="98"/>
  <c r="B59" i="98"/>
  <c r="B56" i="98"/>
  <c r="B57" i="98"/>
  <c r="E119" i="2"/>
  <c r="E125" i="2"/>
  <c r="E122" i="2"/>
  <c r="E104" i="2"/>
  <c r="E105" i="2"/>
  <c r="E100" i="2"/>
  <c r="E102" i="2"/>
  <c r="E89" i="2"/>
  <c r="E91" i="2"/>
  <c r="E90" i="2"/>
  <c r="E85" i="2"/>
  <c r="E87" i="2"/>
  <c r="F87" i="2" s="1"/>
  <c r="E86" i="2"/>
  <c r="E83" i="2"/>
  <c r="F83" i="2" s="1"/>
  <c r="E82" i="2"/>
  <c r="E71" i="2"/>
  <c r="E79" i="2"/>
  <c r="E72" i="2"/>
  <c r="F106" i="106" s="1"/>
  <c r="E68" i="2"/>
  <c r="E70" i="2"/>
  <c r="E69" i="2"/>
  <c r="E64" i="2"/>
  <c r="E66" i="2"/>
  <c r="E65" i="2"/>
  <c r="E62" i="2"/>
  <c r="E61" i="2"/>
  <c r="E58" i="2"/>
  <c r="E60" i="2"/>
  <c r="E55" i="2"/>
  <c r="E57" i="2"/>
  <c r="E56" i="2"/>
  <c r="E52" i="2"/>
  <c r="E54" i="2"/>
  <c r="E53" i="2"/>
  <c r="E48" i="2"/>
  <c r="E51" i="2"/>
  <c r="E49" i="2"/>
  <c r="E46" i="2"/>
  <c r="E47" i="2"/>
  <c r="E42" i="2"/>
  <c r="E45" i="2"/>
  <c r="E44" i="2"/>
  <c r="E41" i="2"/>
  <c r="E40" i="2"/>
  <c r="E38" i="2"/>
  <c r="E39" i="2"/>
  <c r="E35" i="2"/>
  <c r="E37" i="2"/>
  <c r="E34" i="2" a="1"/>
  <c r="E34" i="2" s="1"/>
  <c r="E33" i="2"/>
  <c r="E31" i="2" a="1"/>
  <c r="E31" i="2" s="1"/>
  <c r="E32" i="2" a="1"/>
  <c r="E32" i="2" s="1"/>
  <c r="E21" i="2"/>
  <c r="E19" i="2"/>
  <c r="E17" i="2"/>
  <c r="E18" i="2"/>
  <c r="E13" i="2"/>
  <c r="E14" i="2"/>
  <c r="E11" i="2"/>
  <c r="E12" i="2"/>
  <c r="E7" i="2"/>
  <c r="E9" i="2"/>
  <c r="H119" i="2"/>
  <c r="E6" i="2"/>
  <c r="OE9" i="120"/>
  <c r="OE10" i="120" s="1"/>
  <c r="OE11" i="120" s="1"/>
  <c r="OE12" i="120" s="1"/>
  <c r="OE13" i="120" s="1"/>
  <c r="OE14" i="120" s="1"/>
  <c r="OE15" i="120" s="1"/>
  <c r="OE16" i="120" s="1"/>
  <c r="OE17" i="120" s="1"/>
  <c r="OE18" i="120" s="1"/>
  <c r="OE19" i="120" s="1"/>
  <c r="OE20" i="120" s="1"/>
  <c r="OE21" i="120" s="1"/>
  <c r="OE22" i="120" s="1"/>
  <c r="OE23" i="120" s="1"/>
  <c r="OE24" i="120" s="1"/>
  <c r="OE25" i="120" s="1"/>
  <c r="OE26" i="120" s="1"/>
  <c r="OE27" i="120" s="1"/>
  <c r="OE28" i="120" s="1"/>
  <c r="OE29" i="120" s="1"/>
  <c r="OE30" i="120" s="1"/>
  <c r="OE31" i="120" s="1"/>
  <c r="OE32" i="120" s="1"/>
  <c r="OE33" i="120" s="1"/>
  <c r="OE34" i="120" s="1"/>
  <c r="OE35" i="120" s="1"/>
  <c r="OE36" i="120" s="1"/>
  <c r="OE37" i="120" s="1"/>
  <c r="OE38" i="120" s="1"/>
  <c r="OE39" i="120" s="1"/>
  <c r="OE40" i="120" s="1"/>
  <c r="OE41" i="120" s="1"/>
  <c r="OE42" i="120" s="1"/>
  <c r="OE9" i="122"/>
  <c r="OE10" i="122" s="1"/>
  <c r="OE11" i="122" s="1"/>
  <c r="OE12" i="122" s="1"/>
  <c r="OE13" i="122" s="1"/>
  <c r="OE14" i="122" s="1"/>
  <c r="OE15" i="122" s="1"/>
  <c r="OE16" i="122" s="1"/>
  <c r="OE17" i="122" s="1"/>
  <c r="OE18" i="122" s="1"/>
  <c r="OE19" i="122" s="1"/>
  <c r="OE20" i="122" s="1"/>
  <c r="OE21" i="122" s="1"/>
  <c r="OE22" i="122" s="1"/>
  <c r="OE23" i="122" s="1"/>
  <c r="OE24" i="122" s="1"/>
  <c r="OE25" i="122" s="1"/>
  <c r="OE26" i="122" s="1"/>
  <c r="OE27" i="122" s="1"/>
  <c r="OE28" i="122" s="1"/>
  <c r="OE29" i="122" s="1"/>
  <c r="OE30" i="122" s="1"/>
  <c r="OE31" i="122" s="1"/>
  <c r="OE32" i="122" s="1"/>
  <c r="OE33" i="122" s="1"/>
  <c r="OE34" i="122" s="1"/>
  <c r="OE35" i="122" s="1"/>
  <c r="OE36" i="122" s="1"/>
  <c r="OE37" i="122" s="1"/>
  <c r="OE38" i="122" s="1"/>
  <c r="OE39" i="122" s="1"/>
  <c r="OE40" i="122" s="1"/>
  <c r="OE41" i="122" s="1"/>
  <c r="OE42" i="122" s="1"/>
  <c r="QH29" i="122"/>
  <c r="V15" i="118"/>
  <c r="NP31" i="120"/>
  <c r="R53" i="118"/>
  <c r="W61" i="118"/>
  <c r="NO30" i="120"/>
  <c r="AA52" i="118"/>
  <c r="ND39" i="120"/>
  <c r="X61" i="118"/>
  <c r="NF38" i="120"/>
  <c r="MX38" i="120" s="1"/>
  <c r="NZ30" i="120"/>
  <c r="AD52" i="118"/>
  <c r="P173" i="116"/>
  <c r="AL30" i="121"/>
  <c r="NA31" i="120"/>
  <c r="QG32" i="120"/>
  <c r="OG32" i="120"/>
  <c r="NG32" i="120"/>
  <c r="NT31" i="120"/>
  <c r="PO30" i="120"/>
  <c r="MZ29" i="120"/>
  <c r="PA32" i="120"/>
  <c r="PG31" i="120"/>
  <c r="RJ39" i="120"/>
  <c r="RM38" i="120"/>
  <c r="V14" i="118"/>
  <c r="V12" i="118"/>
  <c r="NR29" i="116"/>
  <c r="NR30" i="116" s="1"/>
  <c r="NR31" i="116" s="1"/>
  <c r="NR32" i="116" s="1"/>
  <c r="NR33" i="116" s="1"/>
  <c r="NR34" i="116" s="1"/>
  <c r="NR35" i="116" s="1"/>
  <c r="NR36" i="116" s="1"/>
  <c r="NR37" i="116" s="1"/>
  <c r="NR38" i="116" s="1"/>
  <c r="NR39" i="116" s="1"/>
  <c r="NR40" i="116" s="1"/>
  <c r="V6" i="118"/>
  <c r="V22" i="118"/>
  <c r="V5" i="118"/>
  <c r="OQ22" i="116"/>
  <c r="V7" i="118"/>
  <c r="V18" i="118"/>
  <c r="V28" i="118"/>
  <c r="V4" i="118"/>
  <c r="V26" i="118"/>
  <c r="V20" i="118"/>
  <c r="V3" i="118"/>
  <c r="V8" i="118"/>
  <c r="V25" i="118"/>
  <c r="V13" i="118"/>
  <c r="V31" i="118"/>
  <c r="V27" i="118"/>
  <c r="V2" i="118"/>
  <c r="V17" i="118"/>
  <c r="V19" i="118"/>
  <c r="V21" i="118"/>
  <c r="V23" i="118"/>
  <c r="V10" i="118"/>
  <c r="V29" i="118"/>
  <c r="V30" i="118"/>
  <c r="V16" i="118"/>
  <c r="V9" i="118"/>
  <c r="V24" i="118"/>
  <c r="D2" i="118"/>
  <c r="L2" i="118" s="1"/>
  <c r="D8" i="118"/>
  <c r="L8" i="118" s="1"/>
  <c r="D11" i="118"/>
  <c r="L11" i="118" s="1"/>
  <c r="D14" i="118"/>
  <c r="L14" i="118" s="1"/>
  <c r="D4" i="118"/>
  <c r="L4" i="118" s="1"/>
  <c r="D7" i="118"/>
  <c r="L7" i="118" s="1"/>
  <c r="D10" i="118"/>
  <c r="L10" i="118" s="1"/>
  <c r="D13" i="118"/>
  <c r="L13" i="118" s="1"/>
  <c r="D16" i="118"/>
  <c r="L16" i="118" s="1"/>
  <c r="D19" i="118"/>
  <c r="L19" i="118" s="1"/>
  <c r="D22" i="118"/>
  <c r="L22" i="118" s="1"/>
  <c r="CX33" i="116"/>
  <c r="D25" i="118"/>
  <c r="L25" i="118" s="1"/>
  <c r="D28" i="118"/>
  <c r="L28" i="118" s="1"/>
  <c r="D31" i="118"/>
  <c r="L31" i="118" s="1"/>
  <c r="CX13" i="116"/>
  <c r="D5" i="118"/>
  <c r="L5" i="118" s="1"/>
  <c r="CX25" i="116"/>
  <c r="D17" i="118"/>
  <c r="L17" i="118" s="1"/>
  <c r="D20" i="118"/>
  <c r="L20" i="118" s="1"/>
  <c r="D23" i="118"/>
  <c r="L23" i="118" s="1"/>
  <c r="D26" i="118"/>
  <c r="L26" i="118" s="1"/>
  <c r="D29" i="118"/>
  <c r="L29" i="118" s="1"/>
  <c r="CX40" i="116"/>
  <c r="D32" i="118"/>
  <c r="D3" i="118"/>
  <c r="L3" i="118" s="1"/>
  <c r="CX14" i="116"/>
  <c r="D6" i="118"/>
  <c r="L6" i="118" s="1"/>
  <c r="CX17" i="116"/>
  <c r="D9" i="118"/>
  <c r="L9" i="118" s="1"/>
  <c r="D12" i="118"/>
  <c r="L12" i="118" s="1"/>
  <c r="D15" i="118"/>
  <c r="L15" i="118" s="1"/>
  <c r="D18" i="118"/>
  <c r="L18" i="118" s="1"/>
  <c r="D21" i="118"/>
  <c r="L21" i="118" s="1"/>
  <c r="D24" i="118"/>
  <c r="L24" i="118" s="1"/>
  <c r="D27" i="118"/>
  <c r="L27" i="118" s="1"/>
  <c r="CX38" i="116"/>
  <c r="D30" i="118"/>
  <c r="L30" i="118" s="1"/>
  <c r="M7" i="118"/>
  <c r="M13" i="118"/>
  <c r="M19" i="118"/>
  <c r="M25" i="118"/>
  <c r="M31" i="118"/>
  <c r="N7" i="118"/>
  <c r="N13" i="118"/>
  <c r="N19" i="118"/>
  <c r="N25" i="118"/>
  <c r="N31" i="118"/>
  <c r="O2" i="118"/>
  <c r="M8" i="118"/>
  <c r="M14" i="118"/>
  <c r="M20" i="118"/>
  <c r="M26" i="118"/>
  <c r="N8" i="118"/>
  <c r="N14" i="118"/>
  <c r="N20" i="118"/>
  <c r="N26" i="118"/>
  <c r="M3" i="118"/>
  <c r="M9" i="118"/>
  <c r="M15" i="118"/>
  <c r="M21" i="118"/>
  <c r="M27" i="118"/>
  <c r="N3" i="118"/>
  <c r="N9" i="118"/>
  <c r="N15" i="118"/>
  <c r="N21" i="118"/>
  <c r="N27" i="118"/>
  <c r="M4" i="118"/>
  <c r="M10" i="118"/>
  <c r="M16" i="118"/>
  <c r="M22" i="118"/>
  <c r="M28" i="118"/>
  <c r="N4" i="118"/>
  <c r="N10" i="118"/>
  <c r="N16" i="118"/>
  <c r="N22" i="118"/>
  <c r="N28" i="118"/>
  <c r="M5" i="118"/>
  <c r="M11" i="118"/>
  <c r="M17" i="118"/>
  <c r="M23" i="118"/>
  <c r="M29" i="118"/>
  <c r="N5" i="118"/>
  <c r="N11" i="118"/>
  <c r="N17" i="118"/>
  <c r="N23" i="118"/>
  <c r="N29" i="118"/>
  <c r="M6" i="118"/>
  <c r="M12" i="118"/>
  <c r="M18" i="118"/>
  <c r="M24" i="118"/>
  <c r="M30" i="118"/>
  <c r="N6" i="118"/>
  <c r="N12" i="118"/>
  <c r="N18" i="118"/>
  <c r="N24" i="118"/>
  <c r="N30" i="118"/>
  <c r="DB22" i="116"/>
  <c r="AC10" i="116"/>
  <c r="AC13" i="116"/>
  <c r="C17" i="116"/>
  <c r="AP41" i="116"/>
  <c r="AP42" i="116" s="1"/>
  <c r="AP44" i="116" s="1"/>
  <c r="U32" i="116"/>
  <c r="U19" i="116"/>
  <c r="AC20" i="116"/>
  <c r="AC23" i="116"/>
  <c r="BR44" i="116"/>
  <c r="AC26" i="116"/>
  <c r="Y37" i="116"/>
  <c r="AC25" i="116"/>
  <c r="Y40" i="116"/>
  <c r="AC11" i="116"/>
  <c r="FE28" i="116"/>
  <c r="BK44" i="117"/>
  <c r="BK46" i="117" s="1"/>
  <c r="BK47" i="117" s="1"/>
  <c r="U15" i="116"/>
  <c r="U38" i="116"/>
  <c r="FE32" i="116"/>
  <c r="U21" i="116"/>
  <c r="AC24" i="116"/>
  <c r="U43" i="116"/>
  <c r="S90" i="116"/>
  <c r="C43" i="116"/>
  <c r="U27" i="116"/>
  <c r="T90" i="116"/>
  <c r="D43" i="116"/>
  <c r="U33" i="116"/>
  <c r="U39" i="116"/>
  <c r="U22" i="116"/>
  <c r="U28" i="116"/>
  <c r="U11" i="116"/>
  <c r="U34" i="116"/>
  <c r="AK43" i="116"/>
  <c r="AK44" i="116" s="1"/>
  <c r="D50" i="117"/>
  <c r="O173" i="116"/>
  <c r="U17" i="116"/>
  <c r="U40" i="116"/>
  <c r="AC17" i="116"/>
  <c r="U23" i="116"/>
  <c r="Y39" i="116"/>
  <c r="U29" i="116"/>
  <c r="U35" i="116"/>
  <c r="C15" i="116"/>
  <c r="AC16" i="116"/>
  <c r="U12" i="116"/>
  <c r="U24" i="116"/>
  <c r="AG34" i="117"/>
  <c r="U30" i="116"/>
  <c r="U36" i="116"/>
  <c r="AC12" i="116"/>
  <c r="AY127" i="2"/>
  <c r="U25" i="116"/>
  <c r="AG41" i="117"/>
  <c r="U37" i="116"/>
  <c r="AC28" i="116"/>
  <c r="U14" i="116"/>
  <c r="U20" i="116"/>
  <c r="AG41" i="116"/>
  <c r="KO41" i="116"/>
  <c r="KO42" i="116" s="1"/>
  <c r="AY145" i="2" s="1"/>
  <c r="KS41" i="116"/>
  <c r="KS42" i="116" s="1"/>
  <c r="KS44" i="116" s="1"/>
  <c r="KP41" i="116"/>
  <c r="KP42" i="116" s="1"/>
  <c r="AY146" i="2" s="1"/>
  <c r="KR41" i="116"/>
  <c r="KR42" i="116" s="1"/>
  <c r="KR44" i="116" s="1"/>
  <c r="KQ41" i="116"/>
  <c r="KQ42" i="116" s="1"/>
  <c r="AY147" i="2" s="1"/>
  <c r="KV41" i="116"/>
  <c r="KV42" i="116" s="1"/>
  <c r="KT41" i="116"/>
  <c r="KT42" i="116" s="1"/>
  <c r="KX41" i="116"/>
  <c r="KX42" i="116" s="1"/>
  <c r="KX44" i="116" s="1"/>
  <c r="KU41" i="116"/>
  <c r="KU42" i="116" s="1"/>
  <c r="KW41" i="116"/>
  <c r="KW42" i="116" s="1"/>
  <c r="KW44" i="116" s="1"/>
  <c r="C13" i="116"/>
  <c r="C14" i="116"/>
  <c r="BO16" i="116"/>
  <c r="U16" i="116"/>
  <c r="BO26" i="116"/>
  <c r="U26" i="116"/>
  <c r="BO31" i="116"/>
  <c r="U31" i="116"/>
  <c r="BO13" i="116"/>
  <c r="U13" i="116"/>
  <c r="BO18" i="116"/>
  <c r="U18" i="116"/>
  <c r="C12" i="116"/>
  <c r="C11" i="116"/>
  <c r="AB28" i="95"/>
  <c r="AY129" i="2"/>
  <c r="AY128" i="2"/>
  <c r="AY131" i="2"/>
  <c r="H44" i="117"/>
  <c r="G7" i="117" s="1"/>
  <c r="C10" i="116"/>
  <c r="EE14" i="116"/>
  <c r="QN39" i="116"/>
  <c r="DB32" i="116"/>
  <c r="EE32" i="116"/>
  <c r="EE12" i="116"/>
  <c r="AC34" i="116"/>
  <c r="MC41" i="116"/>
  <c r="MC42" i="116" s="1"/>
  <c r="MC44" i="116" s="1"/>
  <c r="BU44" i="116"/>
  <c r="AC37" i="116"/>
  <c r="AC18" i="116"/>
  <c r="FE16" i="116"/>
  <c r="CN44" i="116"/>
  <c r="CZ40" i="116"/>
  <c r="CG41" i="116"/>
  <c r="CG42" i="116" s="1"/>
  <c r="CG44" i="116" s="1"/>
  <c r="AY130" i="2"/>
  <c r="AC35" i="116"/>
  <c r="AY135" i="2"/>
  <c r="BX44" i="116"/>
  <c r="AC21" i="116"/>
  <c r="AB210" i="116"/>
  <c r="AY134" i="2"/>
  <c r="FE14" i="116"/>
  <c r="CZ11" i="116"/>
  <c r="AK41" i="116"/>
  <c r="AC22" i="116"/>
  <c r="FE24" i="116"/>
  <c r="AC15" i="116"/>
  <c r="Y18" i="116"/>
  <c r="AC36" i="116"/>
  <c r="AB41" i="116"/>
  <c r="AB300" i="116" s="1"/>
  <c r="AC19" i="116"/>
  <c r="AC31" i="116"/>
  <c r="AC40" i="116"/>
  <c r="FE39" i="116"/>
  <c r="Y15" i="116"/>
  <c r="EE17" i="116"/>
  <c r="Y32" i="116"/>
  <c r="AS41" i="116"/>
  <c r="IV44" i="116"/>
  <c r="FE26" i="116"/>
  <c r="IG44" i="116"/>
  <c r="C36" i="116"/>
  <c r="MU41" i="116"/>
  <c r="MU42" i="116" s="1"/>
  <c r="MU44" i="116" s="1"/>
  <c r="CV41" i="116"/>
  <c r="CV42" i="116" s="1"/>
  <c r="CV44" i="116" s="1"/>
  <c r="FE12" i="116"/>
  <c r="Y16" i="116"/>
  <c r="AC38" i="116"/>
  <c r="CA41" i="116"/>
  <c r="FE23" i="116"/>
  <c r="AC27" i="116"/>
  <c r="CD41" i="116"/>
  <c r="FE13" i="116"/>
  <c r="Y28" i="116"/>
  <c r="FE33" i="116"/>
  <c r="AG29" i="117"/>
  <c r="AA41" i="116"/>
  <c r="AA42" i="116" s="1"/>
  <c r="GH41" i="116"/>
  <c r="GH42" i="116" s="1"/>
  <c r="GH44" i="116" s="1"/>
  <c r="FE15" i="116"/>
  <c r="CR41" i="116"/>
  <c r="CR42" i="116" s="1"/>
  <c r="CR44" i="116" s="1"/>
  <c r="IB15" i="116"/>
  <c r="FE17" i="116"/>
  <c r="AC32" i="116"/>
  <c r="FE37" i="116"/>
  <c r="AE42" i="116"/>
  <c r="Y17" i="116"/>
  <c r="JF18" i="116"/>
  <c r="GM18" i="116" s="1"/>
  <c r="LJ21" i="116"/>
  <c r="FE25" i="116"/>
  <c r="Y33" i="116"/>
  <c r="AC39" i="116"/>
  <c r="AG27" i="117"/>
  <c r="AI44" i="116"/>
  <c r="FE34" i="116"/>
  <c r="PG10" i="116"/>
  <c r="Y13" i="116"/>
  <c r="CZ19" i="116"/>
  <c r="Y29" i="116"/>
  <c r="AC33" i="116"/>
  <c r="AQ43" i="117"/>
  <c r="AQ44" i="117" s="1"/>
  <c r="FE18" i="116"/>
  <c r="AQ42" i="116"/>
  <c r="AS42" i="116" s="1"/>
  <c r="AS44" i="116" s="1"/>
  <c r="FE30" i="116"/>
  <c r="EY41" i="116"/>
  <c r="EY42" i="116" s="1"/>
  <c r="EY44" i="116" s="1"/>
  <c r="Y14" i="116"/>
  <c r="AC29" i="116"/>
  <c r="Q43" i="116"/>
  <c r="FE31" i="116"/>
  <c r="FE35" i="116"/>
  <c r="AC14" i="116"/>
  <c r="Y26" i="116"/>
  <c r="Y30" i="116"/>
  <c r="LJ40" i="116"/>
  <c r="BK44" i="116"/>
  <c r="FN41" i="116"/>
  <c r="FN42" i="116" s="1"/>
  <c r="FN44" i="116" s="1"/>
  <c r="AC30" i="116"/>
  <c r="C31" i="116"/>
  <c r="IB39" i="116"/>
  <c r="BQ42" i="116"/>
  <c r="BQ44" i="116" s="1"/>
  <c r="AB44" i="116" s="1"/>
  <c r="C43" i="117"/>
  <c r="C44" i="117" s="1"/>
  <c r="AG18" i="117"/>
  <c r="LJ11" i="116"/>
  <c r="LJ37" i="116"/>
  <c r="LJ23" i="116"/>
  <c r="LJ12" i="116"/>
  <c r="LJ30" i="116"/>
  <c r="LJ15" i="116"/>
  <c r="LJ26" i="116"/>
  <c r="LJ24" i="116"/>
  <c r="LJ28" i="116"/>
  <c r="LJ39" i="116"/>
  <c r="RL20" i="116"/>
  <c r="RL21" i="116" s="1"/>
  <c r="RL22" i="116" s="1"/>
  <c r="RL23" i="116" s="1"/>
  <c r="RL24" i="116" s="1"/>
  <c r="RL25" i="116" s="1"/>
  <c r="RL26" i="116" s="1"/>
  <c r="RL27" i="116" s="1"/>
  <c r="RL28" i="116" s="1"/>
  <c r="RL29" i="116" s="1"/>
  <c r="RL30" i="116" s="1"/>
  <c r="RL31" i="116" s="1"/>
  <c r="RL32" i="116" s="1"/>
  <c r="RL33" i="116" s="1"/>
  <c r="RL34" i="116" s="1"/>
  <c r="RL35" i="116" s="1"/>
  <c r="RL36" i="116" s="1"/>
  <c r="RL37" i="116" s="1"/>
  <c r="RL38" i="116" s="1"/>
  <c r="RL39" i="116" s="1"/>
  <c r="RL40" i="116" s="1"/>
  <c r="LJ19" i="116"/>
  <c r="LJ35" i="116"/>
  <c r="LJ27" i="116"/>
  <c r="LJ16" i="116"/>
  <c r="LJ38" i="116"/>
  <c r="LI41" i="116"/>
  <c r="LI42" i="116" s="1"/>
  <c r="LJ36" i="116"/>
  <c r="LJ20" i="116"/>
  <c r="LJ29" i="116"/>
  <c r="LJ18" i="116"/>
  <c r="LG41" i="116"/>
  <c r="LG42" i="116" s="1"/>
  <c r="AY84" i="2" s="1"/>
  <c r="LJ22" i="116"/>
  <c r="LJ13" i="116"/>
  <c r="IB34" i="116"/>
  <c r="HM37" i="116"/>
  <c r="GK37" i="116" s="1"/>
  <c r="GW13" i="116"/>
  <c r="RX13" i="116" s="1"/>
  <c r="HM25" i="116"/>
  <c r="GK25" i="116" s="1"/>
  <c r="HM30" i="116"/>
  <c r="GK30" i="116" s="1"/>
  <c r="IB36" i="116"/>
  <c r="CZ20" i="116"/>
  <c r="RR13" i="116"/>
  <c r="CZ35" i="116"/>
  <c r="CZ21" i="116"/>
  <c r="EE28" i="116"/>
  <c r="EE19" i="116"/>
  <c r="P27" i="116"/>
  <c r="Q27" i="116" s="1"/>
  <c r="CZ36" i="116"/>
  <c r="CZ23" i="116"/>
  <c r="PY12" i="116"/>
  <c r="EE30" i="116"/>
  <c r="EE40" i="116"/>
  <c r="CZ15" i="116"/>
  <c r="EE38" i="116"/>
  <c r="BO33" i="116"/>
  <c r="EE16" i="116"/>
  <c r="P21" i="116"/>
  <c r="Q21" i="116" s="1"/>
  <c r="GW19" i="116"/>
  <c r="RX19" i="116" s="1"/>
  <c r="IB23" i="116"/>
  <c r="IQ40" i="116"/>
  <c r="GL40" i="116" s="1"/>
  <c r="GW38" i="116"/>
  <c r="RX38" i="116" s="1"/>
  <c r="IB25" i="116"/>
  <c r="HM28" i="116"/>
  <c r="GK28" i="116" s="1"/>
  <c r="HM35" i="116"/>
  <c r="GK35" i="116" s="1"/>
  <c r="HM12" i="116"/>
  <c r="GK12" i="116" s="1"/>
  <c r="JF13" i="116"/>
  <c r="GM13" i="116" s="1"/>
  <c r="HM29" i="116"/>
  <c r="GK29" i="116" s="1"/>
  <c r="JF33" i="116"/>
  <c r="GM33" i="116" s="1"/>
  <c r="HM34" i="116"/>
  <c r="GK34" i="116" s="1"/>
  <c r="HM21" i="116"/>
  <c r="GK21" i="116" s="1"/>
  <c r="HM20" i="116"/>
  <c r="GK20" i="116" s="1"/>
  <c r="IQ26" i="116"/>
  <c r="GL26" i="116" s="1"/>
  <c r="IB18" i="116"/>
  <c r="IB21" i="116"/>
  <c r="IB40" i="116"/>
  <c r="AG30" i="117"/>
  <c r="AG13" i="117"/>
  <c r="AG15" i="117"/>
  <c r="AG25" i="117"/>
  <c r="AG37" i="117"/>
  <c r="AG14" i="117"/>
  <c r="AG16" i="117"/>
  <c r="AG22" i="117"/>
  <c r="AG26" i="117"/>
  <c r="Q16" i="117"/>
  <c r="D16" i="117" s="1"/>
  <c r="CN16" i="117" s="1"/>
  <c r="Q32" i="117"/>
  <c r="D32" i="117" s="1"/>
  <c r="CN32" i="117" s="1"/>
  <c r="Y19" i="116"/>
  <c r="Y11" i="116"/>
  <c r="Y35" i="116"/>
  <c r="BW48" i="116"/>
  <c r="Y25" i="116"/>
  <c r="X41" i="116"/>
  <c r="Y27" i="116"/>
  <c r="Y12" i="116"/>
  <c r="Y31" i="116"/>
  <c r="Y36" i="116"/>
  <c r="Y23" i="116"/>
  <c r="Y38" i="116"/>
  <c r="Y21" i="116"/>
  <c r="Y24" i="116"/>
  <c r="Q26" i="117"/>
  <c r="R26" i="117" s="1"/>
  <c r="S26" i="117" s="1"/>
  <c r="E26" i="117" s="1"/>
  <c r="Q19" i="117"/>
  <c r="R19" i="117" s="1"/>
  <c r="S19" i="117" s="1"/>
  <c r="E19" i="117" s="1"/>
  <c r="Q28" i="117"/>
  <c r="R28" i="117" s="1"/>
  <c r="S28" i="117" s="1"/>
  <c r="E28" i="117" s="1"/>
  <c r="Q30" i="117"/>
  <c r="R30" i="117" s="1"/>
  <c r="S30" i="117" s="1"/>
  <c r="E30" i="117" s="1"/>
  <c r="Q14" i="117"/>
  <c r="R14" i="117" s="1"/>
  <c r="S14" i="117" s="1"/>
  <c r="E14" i="117" s="1"/>
  <c r="Q13" i="117"/>
  <c r="D13" i="117" s="1"/>
  <c r="CN13" i="117" s="1"/>
  <c r="Q25" i="117"/>
  <c r="R25" i="117" s="1"/>
  <c r="S25" i="117" s="1"/>
  <c r="E25" i="117" s="1"/>
  <c r="Q15" i="117"/>
  <c r="R15" i="117" s="1"/>
  <c r="S15" i="117" s="1"/>
  <c r="E15" i="117" s="1"/>
  <c r="Q31" i="117"/>
  <c r="R31" i="117" s="1"/>
  <c r="S31" i="117" s="1"/>
  <c r="E31" i="117" s="1"/>
  <c r="Q42" i="117"/>
  <c r="R42" i="117" s="1"/>
  <c r="S42" i="117" s="1"/>
  <c r="E42" i="117" s="1"/>
  <c r="AG39" i="117"/>
  <c r="AG32" i="117"/>
  <c r="AG24" i="117"/>
  <c r="AG31" i="117"/>
  <c r="AG38" i="117"/>
  <c r="AG40" i="117"/>
  <c r="AG36" i="117"/>
  <c r="AG23" i="117"/>
  <c r="AG28" i="117"/>
  <c r="AG33" i="117"/>
  <c r="AG35" i="117"/>
  <c r="AG20" i="117"/>
  <c r="IQ23" i="116"/>
  <c r="GL23" i="116" s="1"/>
  <c r="IQ39" i="116"/>
  <c r="GL39" i="116" s="1"/>
  <c r="JL11" i="116"/>
  <c r="QQ11" i="116" s="1"/>
  <c r="HM40" i="116"/>
  <c r="GK40" i="116" s="1"/>
  <c r="IB28" i="116"/>
  <c r="IB31" i="116"/>
  <c r="GW36" i="116"/>
  <c r="RX36" i="116" s="1"/>
  <c r="IB30" i="116"/>
  <c r="IM41" i="116"/>
  <c r="IM42" i="116" s="1"/>
  <c r="IQ24" i="116"/>
  <c r="GL24" i="116" s="1"/>
  <c r="IQ30" i="116"/>
  <c r="GL30" i="116" s="1"/>
  <c r="HM32" i="116"/>
  <c r="GK32" i="116" s="1"/>
  <c r="GW21" i="116"/>
  <c r="RX21" i="116" s="1"/>
  <c r="IB33" i="116"/>
  <c r="GW20" i="116"/>
  <c r="RX20" i="116" s="1"/>
  <c r="GW24" i="116"/>
  <c r="RX24" i="116" s="1"/>
  <c r="GW12" i="116"/>
  <c r="RX12" i="116" s="1"/>
  <c r="JF25" i="116"/>
  <c r="GM25" i="116" s="1"/>
  <c r="IB27" i="116"/>
  <c r="IQ28" i="116"/>
  <c r="GL28" i="116" s="1"/>
  <c r="IQ31" i="116"/>
  <c r="GL31" i="116" s="1"/>
  <c r="IB32" i="116"/>
  <c r="GV41" i="116"/>
  <c r="GV42" i="116" s="1"/>
  <c r="HM22" i="116"/>
  <c r="GK22" i="116" s="1"/>
  <c r="IB37" i="116"/>
  <c r="IB38" i="116"/>
  <c r="JF12" i="116"/>
  <c r="GM12" i="116" s="1"/>
  <c r="JB41" i="116"/>
  <c r="JB42" i="116" s="1"/>
  <c r="IB14" i="116"/>
  <c r="IQ32" i="116"/>
  <c r="GL32" i="116" s="1"/>
  <c r="IQ34" i="116"/>
  <c r="GL34" i="116" s="1"/>
  <c r="JF35" i="116"/>
  <c r="GM35" i="116" s="1"/>
  <c r="JF26" i="116"/>
  <c r="GM26" i="116" s="1"/>
  <c r="GW28" i="116"/>
  <c r="RX28" i="116" s="1"/>
  <c r="IQ38" i="116"/>
  <c r="GL38" i="116" s="1"/>
  <c r="IB13" i="116"/>
  <c r="JF19" i="116"/>
  <c r="GM19" i="116" s="1"/>
  <c r="GW26" i="116"/>
  <c r="RX26" i="116" s="1"/>
  <c r="JF30" i="116"/>
  <c r="GM30" i="116" s="1"/>
  <c r="IQ37" i="116"/>
  <c r="GL37" i="116" s="1"/>
  <c r="IQ29" i="116"/>
  <c r="GL29" i="116" s="1"/>
  <c r="GW31" i="116"/>
  <c r="RX31" i="116" s="1"/>
  <c r="JF31" i="116"/>
  <c r="GM31" i="116" s="1"/>
  <c r="GW15" i="116"/>
  <c r="RX15" i="116" s="1"/>
  <c r="JF23" i="116"/>
  <c r="GM23" i="116" s="1"/>
  <c r="HM24" i="116"/>
  <c r="GK24" i="116" s="1"/>
  <c r="JF32" i="116"/>
  <c r="GM32" i="116" s="1"/>
  <c r="IB16" i="116"/>
  <c r="HM26" i="116"/>
  <c r="GK26" i="116" s="1"/>
  <c r="GW30" i="116"/>
  <c r="RX30" i="116" s="1"/>
  <c r="GW32" i="116"/>
  <c r="RX32" i="116" s="1"/>
  <c r="JF38" i="116"/>
  <c r="GM38" i="116" s="1"/>
  <c r="JF34" i="116"/>
  <c r="GM34" i="116" s="1"/>
  <c r="JF14" i="116"/>
  <c r="GM14" i="116" s="1"/>
  <c r="IB12" i="116"/>
  <c r="GW27" i="116"/>
  <c r="RX27" i="116" s="1"/>
  <c r="HM39" i="116"/>
  <c r="GK39" i="116" s="1"/>
  <c r="GW40" i="116"/>
  <c r="RX40" i="116" s="1"/>
  <c r="JF40" i="116"/>
  <c r="GM40" i="116" s="1"/>
  <c r="IQ16" i="116"/>
  <c r="GL16" i="116" s="1"/>
  <c r="GW18" i="116"/>
  <c r="RX18" i="116" s="1"/>
  <c r="IB24" i="116"/>
  <c r="IQ36" i="116"/>
  <c r="GL36" i="116" s="1"/>
  <c r="GW14" i="116"/>
  <c r="RX14" i="116" s="1"/>
  <c r="HM15" i="116"/>
  <c r="GK15" i="116" s="1"/>
  <c r="GW29" i="116"/>
  <c r="RX29" i="116" s="1"/>
  <c r="HV41" i="116"/>
  <c r="HV42" i="116" s="1"/>
  <c r="IQ11" i="116"/>
  <c r="GL11" i="116" s="1"/>
  <c r="GW22" i="116"/>
  <c r="RX22" i="116" s="1"/>
  <c r="JF29" i="116"/>
  <c r="GM29" i="116" s="1"/>
  <c r="DR11" i="116"/>
  <c r="CX11" i="116"/>
  <c r="RP19" i="116"/>
  <c r="PY19" i="116"/>
  <c r="BO25" i="116"/>
  <c r="PY11" i="116"/>
  <c r="RP11" i="116"/>
  <c r="AY37" i="116"/>
  <c r="RR37" i="116"/>
  <c r="BO14" i="116"/>
  <c r="RP18" i="116"/>
  <c r="PY18" i="116"/>
  <c r="DR22" i="116"/>
  <c r="CX22" i="116"/>
  <c r="DR36" i="116"/>
  <c r="CX36" i="116"/>
  <c r="BO38" i="116"/>
  <c r="BO37" i="116"/>
  <c r="PY26" i="116"/>
  <c r="RP26" i="116"/>
  <c r="BO17" i="116"/>
  <c r="BO12" i="116"/>
  <c r="CZ28" i="116"/>
  <c r="CZ30" i="116"/>
  <c r="BO30" i="116"/>
  <c r="P23" i="116"/>
  <c r="Q23" i="116" s="1"/>
  <c r="DR33" i="116"/>
  <c r="EE33" i="116"/>
  <c r="PY32" i="116"/>
  <c r="PY36" i="116"/>
  <c r="CZ18" i="116"/>
  <c r="DR26" i="116"/>
  <c r="EE27" i="116"/>
  <c r="BO34" i="116"/>
  <c r="QI10" i="116"/>
  <c r="EE21" i="116"/>
  <c r="CZ31" i="116"/>
  <c r="EE34" i="116"/>
  <c r="DR14" i="116"/>
  <c r="EE15" i="116"/>
  <c r="CZ17" i="116"/>
  <c r="CZ22" i="116"/>
  <c r="EE25" i="116"/>
  <c r="RR32" i="116"/>
  <c r="DR19" i="116"/>
  <c r="EE31" i="116"/>
  <c r="CZ13" i="116"/>
  <c r="PY22" i="116"/>
  <c r="CZ32" i="116"/>
  <c r="P37" i="116"/>
  <c r="Q37" i="116" s="1"/>
  <c r="BE37" i="116"/>
  <c r="CZ24" i="116"/>
  <c r="DR35" i="116"/>
  <c r="BV48" i="116"/>
  <c r="BV44" i="116"/>
  <c r="W41" i="116"/>
  <c r="C32" i="116"/>
  <c r="C38" i="116"/>
  <c r="C34" i="116"/>
  <c r="S41" i="116"/>
  <c r="C33" i="116"/>
  <c r="C30" i="116"/>
  <c r="C16" i="116"/>
  <c r="C35" i="116"/>
  <c r="C39" i="116"/>
  <c r="BC48" i="116"/>
  <c r="BC44" i="116"/>
  <c r="O41" i="116"/>
  <c r="BP43" i="117"/>
  <c r="BP44" i="117" s="1"/>
  <c r="BP46" i="117" s="1"/>
  <c r="BP47" i="117" s="1"/>
  <c r="CR14" i="117"/>
  <c r="CR32" i="117"/>
  <c r="CR42" i="117"/>
  <c r="AU43" i="117"/>
  <c r="Q17" i="117"/>
  <c r="CR19" i="117"/>
  <c r="AG42" i="117"/>
  <c r="CR17" i="117"/>
  <c r="AG17" i="117"/>
  <c r="AG19" i="117"/>
  <c r="Q21" i="117"/>
  <c r="Q38" i="117"/>
  <c r="CR21" i="117"/>
  <c r="Q23" i="117"/>
  <c r="Q34" i="117"/>
  <c r="Q36" i="117"/>
  <c r="AG21" i="117"/>
  <c r="CR34" i="117"/>
  <c r="CR36" i="117"/>
  <c r="Q39" i="117"/>
  <c r="Q18" i="117"/>
  <c r="CR23" i="117"/>
  <c r="CR31" i="117"/>
  <c r="CR39" i="117"/>
  <c r="CR26" i="117"/>
  <c r="CR16" i="117"/>
  <c r="CR28" i="117"/>
  <c r="Q41" i="117"/>
  <c r="CR13" i="117"/>
  <c r="CR41" i="117"/>
  <c r="Q20" i="117"/>
  <c r="Q33" i="117"/>
  <c r="CR38" i="117"/>
  <c r="CR20" i="117"/>
  <c r="Q22" i="117"/>
  <c r="CR33" i="117"/>
  <c r="U43" i="117"/>
  <c r="U44" i="117" s="1"/>
  <c r="CR22" i="117"/>
  <c r="CR25" i="117"/>
  <c r="Q35" i="117"/>
  <c r="W43" i="117"/>
  <c r="W44" i="117" s="1"/>
  <c r="Q12" i="117"/>
  <c r="Q37" i="117"/>
  <c r="V43" i="117"/>
  <c r="V44" i="117" s="1"/>
  <c r="CR35" i="117"/>
  <c r="AA43" i="117"/>
  <c r="AA44" i="117" s="1"/>
  <c r="CR30" i="117"/>
  <c r="CR15" i="117"/>
  <c r="AE43" i="117"/>
  <c r="AE44" i="117" s="1"/>
  <c r="AG12" i="117"/>
  <c r="Q24" i="117"/>
  <c r="Q27" i="117"/>
  <c r="Q29" i="117"/>
  <c r="CR37" i="117"/>
  <c r="Q40" i="117"/>
  <c r="AF43" i="117"/>
  <c r="AF44" i="117" s="1"/>
  <c r="CR24" i="117"/>
  <c r="CR27" i="117"/>
  <c r="CR29" i="117"/>
  <c r="CR40" i="117"/>
  <c r="CR18" i="117"/>
  <c r="AC44" i="117"/>
  <c r="JL12" i="116"/>
  <c r="RR14" i="116"/>
  <c r="AY14" i="116"/>
  <c r="P14" i="116"/>
  <c r="IP41" i="116"/>
  <c r="IX41" i="116"/>
  <c r="IX42" i="116" s="1"/>
  <c r="IX44" i="116" s="1"/>
  <c r="OM10" i="116"/>
  <c r="OM11" i="116" s="1"/>
  <c r="OM12" i="116" s="1"/>
  <c r="OM13" i="116" s="1"/>
  <c r="OM14" i="116" s="1"/>
  <c r="JF10" i="116"/>
  <c r="QG12" i="116"/>
  <c r="JF11" i="116"/>
  <c r="GM11" i="116" s="1"/>
  <c r="BE41" i="116"/>
  <c r="BE42" i="116" s="1"/>
  <c r="BE44" i="116" s="1"/>
  <c r="BD41" i="116"/>
  <c r="BD42" i="116" s="1"/>
  <c r="BD44" i="116" s="1"/>
  <c r="BE10" i="116"/>
  <c r="OG12" i="116"/>
  <c r="CZ12" i="116"/>
  <c r="II41" i="116"/>
  <c r="II42" i="116" s="1"/>
  <c r="IQ10" i="116"/>
  <c r="BM41" i="116"/>
  <c r="BM42" i="116" s="1"/>
  <c r="BM44" i="116" s="1"/>
  <c r="BO41" i="116"/>
  <c r="BO42" i="116" s="1"/>
  <c r="BO44" i="116" s="1"/>
  <c r="BO10" i="116"/>
  <c r="HI41" i="116"/>
  <c r="HI42" i="116" s="1"/>
  <c r="EC41" i="116"/>
  <c r="EC42" i="116" s="1"/>
  <c r="EC44" i="116" s="1"/>
  <c r="DB10" i="116"/>
  <c r="P11" i="116"/>
  <c r="Q11" i="116" s="1"/>
  <c r="AY11" i="116"/>
  <c r="RR11" i="116"/>
  <c r="HT41" i="116"/>
  <c r="HT42" i="116" s="1"/>
  <c r="IB10" i="116"/>
  <c r="GS41" i="116"/>
  <c r="GS42" i="116" s="1"/>
  <c r="GW10" i="116"/>
  <c r="IQ13" i="116"/>
  <c r="GL13" i="116" s="1"/>
  <c r="DN41" i="116"/>
  <c r="DN42" i="116" s="1"/>
  <c r="DN44" i="116" s="1"/>
  <c r="CZ10" i="116"/>
  <c r="DR12" i="116"/>
  <c r="CX12" i="116"/>
  <c r="JI41" i="116"/>
  <c r="JL10" i="116"/>
  <c r="RJ10" i="116"/>
  <c r="JJ41" i="116"/>
  <c r="JJ42" i="116" s="1"/>
  <c r="AY66" i="2" s="1"/>
  <c r="RK10" i="116"/>
  <c r="RK11" i="116" s="1"/>
  <c r="RK12" i="116" s="1"/>
  <c r="RK13" i="116" s="1"/>
  <c r="RK14" i="116" s="1"/>
  <c r="RK15" i="116" s="1"/>
  <c r="RK16" i="116" s="1"/>
  <c r="RK17" i="116" s="1"/>
  <c r="NG12" i="116"/>
  <c r="GW11" i="116"/>
  <c r="RX11" i="116" s="1"/>
  <c r="DL41" i="116"/>
  <c r="DL42" i="116" s="1"/>
  <c r="DL44" i="116" s="1"/>
  <c r="CX10" i="116"/>
  <c r="DR10" i="116"/>
  <c r="PY13" i="116"/>
  <c r="RP13" i="116"/>
  <c r="HG41" i="116"/>
  <c r="HM10" i="116"/>
  <c r="GK10" i="116" s="1"/>
  <c r="HM11" i="116"/>
  <c r="GK11" i="116" s="1"/>
  <c r="AY41" i="116"/>
  <c r="AY42" i="116" s="1"/>
  <c r="AY44" i="116" s="1"/>
  <c r="AX41" i="116"/>
  <c r="AX42" i="116" s="1"/>
  <c r="AX44" i="116" s="1"/>
  <c r="RR10" i="116"/>
  <c r="P10" i="116"/>
  <c r="Q10" i="116" s="1"/>
  <c r="AY10" i="116"/>
  <c r="HK41" i="116"/>
  <c r="PA12" i="116"/>
  <c r="BO11" i="116"/>
  <c r="EE11" i="116"/>
  <c r="P12" i="116"/>
  <c r="RR12" i="116"/>
  <c r="AY12" i="116"/>
  <c r="PJ41" i="116"/>
  <c r="PJ42" i="116" s="1"/>
  <c r="PJ44" i="116" s="1"/>
  <c r="PZ10" i="116"/>
  <c r="PZ41" i="116" s="1"/>
  <c r="PZ42" i="116" s="1"/>
  <c r="PZ44" i="116" s="1"/>
  <c r="PN10" i="116"/>
  <c r="PN11" i="116" s="1"/>
  <c r="PN12" i="116" s="1"/>
  <c r="PN13" i="116" s="1"/>
  <c r="PN14" i="116" s="1"/>
  <c r="PN15" i="116" s="1"/>
  <c r="PN16" i="116" s="1"/>
  <c r="PN17" i="116" s="1"/>
  <c r="PN18" i="116" s="1"/>
  <c r="PN19" i="116" s="1"/>
  <c r="PN20" i="116" s="1"/>
  <c r="PN21" i="116" s="1"/>
  <c r="PN22" i="116" s="1"/>
  <c r="PN23" i="116" s="1"/>
  <c r="PN24" i="116" s="1"/>
  <c r="PN25" i="116" s="1"/>
  <c r="PN26" i="116" s="1"/>
  <c r="PN27" i="116" s="1"/>
  <c r="PN28" i="116" s="1"/>
  <c r="PN29" i="116" s="1"/>
  <c r="PN30" i="116" s="1"/>
  <c r="PN31" i="116" s="1"/>
  <c r="PN32" i="116" s="1"/>
  <c r="PN33" i="116" s="1"/>
  <c r="PN34" i="116" s="1"/>
  <c r="PN35" i="116" s="1"/>
  <c r="PN36" i="116" s="1"/>
  <c r="PN37" i="116" s="1"/>
  <c r="PN38" i="116" s="1"/>
  <c r="PN39" i="116" s="1"/>
  <c r="PN40" i="116" s="1"/>
  <c r="PN41" i="116" s="1"/>
  <c r="PN44" i="116" s="1"/>
  <c r="P13" i="116"/>
  <c r="Q13" i="116" s="1"/>
  <c r="CX16" i="116"/>
  <c r="DR16" i="116"/>
  <c r="DR18" i="116"/>
  <c r="CX18" i="116"/>
  <c r="IQ12" i="116"/>
  <c r="GL12" i="116" s="1"/>
  <c r="NT12" i="116"/>
  <c r="BO15" i="116"/>
  <c r="CZ16" i="116"/>
  <c r="IB11" i="116"/>
  <c r="HM17" i="116"/>
  <c r="GK17" i="116" s="1"/>
  <c r="GU41" i="116"/>
  <c r="GU42" i="116" s="1"/>
  <c r="RL10" i="116"/>
  <c r="RL11" i="116" s="1"/>
  <c r="RL12" i="116" s="1"/>
  <c r="RL13" i="116" s="1"/>
  <c r="RL14" i="116" s="1"/>
  <c r="RL15" i="116" s="1"/>
  <c r="RL16" i="116" s="1"/>
  <c r="RL17" i="116" s="1"/>
  <c r="RP14" i="116"/>
  <c r="PY14" i="116"/>
  <c r="DR13" i="116"/>
  <c r="CZ14" i="116"/>
  <c r="DR17" i="116"/>
  <c r="IB17" i="116"/>
  <c r="PC11" i="116"/>
  <c r="PC12" i="116" s="1"/>
  <c r="PC13" i="116" s="1"/>
  <c r="PC14" i="116" s="1"/>
  <c r="PC15" i="116" s="1"/>
  <c r="PC16" i="116" s="1"/>
  <c r="PC17" i="116" s="1"/>
  <c r="PC18" i="116" s="1"/>
  <c r="PC19" i="116" s="1"/>
  <c r="PC20" i="116" s="1"/>
  <c r="PC21" i="116" s="1"/>
  <c r="PC22" i="116" s="1"/>
  <c r="PC23" i="116" s="1"/>
  <c r="PC24" i="116" s="1"/>
  <c r="PC25" i="116" s="1"/>
  <c r="PC26" i="116" s="1"/>
  <c r="PC27" i="116" s="1"/>
  <c r="PC28" i="116" s="1"/>
  <c r="PC29" i="116" s="1"/>
  <c r="PC30" i="116" s="1"/>
  <c r="PC31" i="116" s="1"/>
  <c r="PC32" i="116" s="1"/>
  <c r="PC33" i="116" s="1"/>
  <c r="PC34" i="116" s="1"/>
  <c r="PC35" i="116" s="1"/>
  <c r="PC36" i="116" s="1"/>
  <c r="PC37" i="116" s="1"/>
  <c r="PC38" i="116" s="1"/>
  <c r="PC39" i="116" s="1"/>
  <c r="PC40" i="116" s="1"/>
  <c r="PC41" i="116" s="1"/>
  <c r="PC42" i="116" s="1"/>
  <c r="PC44" i="116" s="1"/>
  <c r="HM13" i="116"/>
  <c r="GK13" i="116" s="1"/>
  <c r="HM14" i="116"/>
  <c r="GK14" i="116" s="1"/>
  <c r="IQ18" i="116"/>
  <c r="GL18" i="116" s="1"/>
  <c r="PW41" i="116"/>
  <c r="PW42" i="116" s="1"/>
  <c r="Y10" i="116"/>
  <c r="RP10" i="116"/>
  <c r="RP16" i="116"/>
  <c r="PY16" i="116"/>
  <c r="IZ41" i="116"/>
  <c r="IZ42" i="116" s="1"/>
  <c r="GT41" i="116"/>
  <c r="GT42" i="116" s="1"/>
  <c r="EA41" i="116"/>
  <c r="EA42" i="116" s="1"/>
  <c r="EA44" i="116" s="1"/>
  <c r="IK41" i="116"/>
  <c r="IK42" i="116" s="1"/>
  <c r="EE13" i="116"/>
  <c r="LJ14" i="116"/>
  <c r="JF16" i="116"/>
  <c r="GM16" i="116" s="1"/>
  <c r="IQ17" i="116"/>
  <c r="GL17" i="116" s="1"/>
  <c r="PY17" i="116"/>
  <c r="RP17" i="116"/>
  <c r="IQ15" i="116"/>
  <c r="GL15" i="116" s="1"/>
  <c r="PY15" i="116"/>
  <c r="RP15" i="116"/>
  <c r="EE10" i="116"/>
  <c r="CT41" i="116"/>
  <c r="CT42" i="116" s="1"/>
  <c r="CT44" i="116" s="1"/>
  <c r="ER41" i="116"/>
  <c r="ER42" i="116" s="1"/>
  <c r="ER44" i="116" s="1"/>
  <c r="JF15" i="116"/>
  <c r="GM15" i="116" s="1"/>
  <c r="GW16" i="116"/>
  <c r="RX16" i="116" s="1"/>
  <c r="JL13" i="116"/>
  <c r="OM17" i="116"/>
  <c r="OM18" i="116" s="1"/>
  <c r="OM19" i="116" s="1"/>
  <c r="OM20" i="116" s="1"/>
  <c r="OM21" i="116" s="1"/>
  <c r="OM22" i="116" s="1"/>
  <c r="OM23" i="116" s="1"/>
  <c r="OM24" i="116" s="1"/>
  <c r="OM25" i="116" s="1"/>
  <c r="OM26" i="116" s="1"/>
  <c r="OM27" i="116" s="1"/>
  <c r="OM28" i="116" s="1"/>
  <c r="OM29" i="116" s="1"/>
  <c r="OM30" i="116" s="1"/>
  <c r="OM31" i="116" s="1"/>
  <c r="OM32" i="116" s="1"/>
  <c r="OM33" i="116" s="1"/>
  <c r="OM34" i="116" s="1"/>
  <c r="OM35" i="116" s="1"/>
  <c r="OM36" i="116" s="1"/>
  <c r="OM37" i="116" s="1"/>
  <c r="OM38" i="116" s="1"/>
  <c r="OM39" i="116" s="1"/>
  <c r="OM40" i="116" s="1"/>
  <c r="OM41" i="116" s="1"/>
  <c r="JF17" i="116"/>
  <c r="GM17" i="116" s="1"/>
  <c r="IQ14" i="116"/>
  <c r="GL14" i="116" s="1"/>
  <c r="JL18" i="116"/>
  <c r="FB41" i="116"/>
  <c r="FB42" i="116" s="1"/>
  <c r="FB44" i="116" s="1"/>
  <c r="FC41" i="116"/>
  <c r="FC42" i="116" s="1"/>
  <c r="FC44" i="116" s="1"/>
  <c r="FD10" i="116"/>
  <c r="FD41" i="116" s="1"/>
  <c r="FD42" i="116" s="1"/>
  <c r="FD44" i="116" s="1"/>
  <c r="LH41" i="116"/>
  <c r="LH42" i="116" s="1"/>
  <c r="FE11" i="116"/>
  <c r="AY13" i="116"/>
  <c r="RR15" i="116"/>
  <c r="P15" i="116"/>
  <c r="AY15" i="116"/>
  <c r="RR19" i="116"/>
  <c r="AY19" i="116"/>
  <c r="P19" i="116"/>
  <c r="P16" i="116"/>
  <c r="AY16" i="116"/>
  <c r="RR16" i="116"/>
  <c r="HM16" i="116"/>
  <c r="GK16" i="116" s="1"/>
  <c r="GW17" i="116"/>
  <c r="RX17" i="116" s="1"/>
  <c r="P17" i="116"/>
  <c r="AY17" i="116"/>
  <c r="RR17" i="116"/>
  <c r="P18" i="116"/>
  <c r="LJ10" i="116"/>
  <c r="FU41" i="116"/>
  <c r="FU42" i="116" s="1"/>
  <c r="FU44" i="116" s="1"/>
  <c r="LW41" i="116"/>
  <c r="LW42" i="116" s="1"/>
  <c r="LW44" i="116" s="1"/>
  <c r="DR15" i="116"/>
  <c r="HM18" i="116"/>
  <c r="GK18" i="116" s="1"/>
  <c r="HM19" i="116"/>
  <c r="GK19" i="116" s="1"/>
  <c r="JL21" i="116"/>
  <c r="AY25" i="116"/>
  <c r="RR25" i="116"/>
  <c r="P25" i="116"/>
  <c r="RR18" i="116"/>
  <c r="IB19" i="116"/>
  <c r="RK19" i="116"/>
  <c r="RK20" i="116" s="1"/>
  <c r="RK21" i="116" s="1"/>
  <c r="RK22" i="116" s="1"/>
  <c r="RK23" i="116" s="1"/>
  <c r="RK24" i="116" s="1"/>
  <c r="RK25" i="116" s="1"/>
  <c r="RK26" i="116" s="1"/>
  <c r="RK27" i="116" s="1"/>
  <c r="RK28" i="116" s="1"/>
  <c r="RK29" i="116" s="1"/>
  <c r="RK30" i="116" s="1"/>
  <c r="RK31" i="116" s="1"/>
  <c r="RK32" i="116" s="1"/>
  <c r="RK33" i="116" s="1"/>
  <c r="RK34" i="116" s="1"/>
  <c r="RK35" i="116" s="1"/>
  <c r="RK36" i="116" s="1"/>
  <c r="RK37" i="116" s="1"/>
  <c r="RK38" i="116" s="1"/>
  <c r="RK39" i="116" s="1"/>
  <c r="RK40" i="116" s="1"/>
  <c r="C22" i="116"/>
  <c r="Y22" i="116"/>
  <c r="IB22" i="116"/>
  <c r="DR23" i="116"/>
  <c r="CX23" i="116"/>
  <c r="JL14" i="116"/>
  <c r="CX15" i="116"/>
  <c r="JL16" i="116"/>
  <c r="JL20" i="116"/>
  <c r="DR21" i="116"/>
  <c r="CX21" i="116"/>
  <c r="FE19" i="116"/>
  <c r="CX20" i="116"/>
  <c r="DR20" i="116"/>
  <c r="RP20" i="116"/>
  <c r="BO21" i="116"/>
  <c r="IQ22" i="116"/>
  <c r="GL22" i="116" s="1"/>
  <c r="C18" i="116"/>
  <c r="AY18" i="116"/>
  <c r="C19" i="116"/>
  <c r="IQ19" i="116"/>
  <c r="GL19" i="116" s="1"/>
  <c r="BO23" i="116"/>
  <c r="EE23" i="116"/>
  <c r="RP23" i="116"/>
  <c r="PY23" i="116"/>
  <c r="EE20" i="116"/>
  <c r="C21" i="116"/>
  <c r="JL17" i="116"/>
  <c r="CX19" i="116"/>
  <c r="C20" i="116"/>
  <c r="BO20" i="116"/>
  <c r="IB20" i="116"/>
  <c r="FE22" i="116"/>
  <c r="JF22" i="116"/>
  <c r="GM22" i="116" s="1"/>
  <c r="JF24" i="116"/>
  <c r="GM24" i="116" s="1"/>
  <c r="CZ25" i="116"/>
  <c r="DR25" i="116"/>
  <c r="IQ25" i="116"/>
  <c r="GL25" i="116" s="1"/>
  <c r="Y20" i="116"/>
  <c r="PY24" i="116"/>
  <c r="RP24" i="116"/>
  <c r="RR22" i="116"/>
  <c r="P22" i="116"/>
  <c r="FE20" i="116"/>
  <c r="IQ20" i="116"/>
  <c r="GL20" i="116" s="1"/>
  <c r="FE21" i="116"/>
  <c r="IQ21" i="116"/>
  <c r="GL21" i="116" s="1"/>
  <c r="RR24" i="116"/>
  <c r="P24" i="116"/>
  <c r="AY24" i="116"/>
  <c r="RP25" i="116"/>
  <c r="PY25" i="116"/>
  <c r="BO19" i="116"/>
  <c r="JL15" i="116"/>
  <c r="GW23" i="116"/>
  <c r="RX23" i="116" s="1"/>
  <c r="DR24" i="116"/>
  <c r="CX24" i="116"/>
  <c r="LJ17" i="116"/>
  <c r="JF21" i="116"/>
  <c r="GM21" i="116" s="1"/>
  <c r="EE24" i="116"/>
  <c r="GW25" i="116"/>
  <c r="RX25" i="116" s="1"/>
  <c r="RJ19" i="116"/>
  <c r="JL19" i="116"/>
  <c r="BO22" i="116"/>
  <c r="QN23" i="116"/>
  <c r="JL23" i="116"/>
  <c r="BO24" i="116"/>
  <c r="EE18" i="116"/>
  <c r="RR20" i="116"/>
  <c r="P20" i="116"/>
  <c r="AY20" i="116"/>
  <c r="JF20" i="116"/>
  <c r="GM20" i="116" s="1"/>
  <c r="RR21" i="116"/>
  <c r="AY21" i="116"/>
  <c r="HM23" i="116"/>
  <c r="GK23" i="116" s="1"/>
  <c r="JL25" i="116"/>
  <c r="JF27" i="116"/>
  <c r="GM27" i="116" s="1"/>
  <c r="CX30" i="116"/>
  <c r="DR30" i="116"/>
  <c r="RR23" i="116"/>
  <c r="P26" i="116"/>
  <c r="JL29" i="116"/>
  <c r="JL30" i="116"/>
  <c r="C23" i="116"/>
  <c r="AY23" i="116"/>
  <c r="EE26" i="116"/>
  <c r="RR31" i="116"/>
  <c r="P31" i="116"/>
  <c r="Q31" i="116" s="1"/>
  <c r="AY31" i="116"/>
  <c r="RP21" i="116"/>
  <c r="C24" i="116"/>
  <c r="JL26" i="116"/>
  <c r="HM27" i="116"/>
  <c r="GK27" i="116" s="1"/>
  <c r="RR29" i="116"/>
  <c r="P29" i="116"/>
  <c r="Q29" i="116" s="1"/>
  <c r="AY29" i="116"/>
  <c r="PY29" i="116"/>
  <c r="RP29" i="116"/>
  <c r="JF28" i="116"/>
  <c r="GM28" i="116" s="1"/>
  <c r="IB29" i="116"/>
  <c r="HM31" i="116"/>
  <c r="GK31" i="116" s="1"/>
  <c r="JL22" i="116"/>
  <c r="DR29" i="116"/>
  <c r="CX29" i="116"/>
  <c r="DR27" i="116"/>
  <c r="CX27" i="116"/>
  <c r="RR28" i="116"/>
  <c r="P28" i="116"/>
  <c r="AY28" i="116"/>
  <c r="CZ29" i="116"/>
  <c r="RR26" i="116"/>
  <c r="EE29" i="116"/>
  <c r="IB26" i="116"/>
  <c r="BO27" i="116"/>
  <c r="CZ27" i="116"/>
  <c r="JL28" i="116"/>
  <c r="BO29" i="116"/>
  <c r="C27" i="116"/>
  <c r="CX28" i="116"/>
  <c r="DR28" i="116"/>
  <c r="EE22" i="116"/>
  <c r="IQ27" i="116"/>
  <c r="GL27" i="116" s="1"/>
  <c r="FE29" i="116"/>
  <c r="C25" i="116"/>
  <c r="P30" i="116"/>
  <c r="AY30" i="116"/>
  <c r="RR30" i="116"/>
  <c r="RP30" i="116"/>
  <c r="PY30" i="116"/>
  <c r="JL24" i="116"/>
  <c r="LJ25" i="116"/>
  <c r="CX26" i="116"/>
  <c r="RR27" i="116"/>
  <c r="CX32" i="116"/>
  <c r="DR32" i="116"/>
  <c r="FE27" i="116"/>
  <c r="C26" i="116"/>
  <c r="CZ26" i="116"/>
  <c r="RP28" i="116"/>
  <c r="PY28" i="116"/>
  <c r="PY27" i="116"/>
  <c r="RP27" i="116"/>
  <c r="BO32" i="116"/>
  <c r="BO36" i="116"/>
  <c r="JL37" i="116"/>
  <c r="AY27" i="116"/>
  <c r="BO28" i="116"/>
  <c r="C29" i="116"/>
  <c r="AY32" i="116"/>
  <c r="IB35" i="116"/>
  <c r="RP37" i="116"/>
  <c r="PY37" i="116"/>
  <c r="Y34" i="116"/>
  <c r="P39" i="116"/>
  <c r="DB31" i="116"/>
  <c r="JL31" i="116"/>
  <c r="JL32" i="116"/>
  <c r="HM33" i="116"/>
  <c r="GK33" i="116" s="1"/>
  <c r="IQ35" i="116"/>
  <c r="GL35" i="116" s="1"/>
  <c r="EE36" i="116"/>
  <c r="JL33" i="116"/>
  <c r="RP34" i="116"/>
  <c r="PY34" i="116"/>
  <c r="RP38" i="116"/>
  <c r="PY38" i="116"/>
  <c r="P32" i="116"/>
  <c r="PY35" i="116"/>
  <c r="RP35" i="116"/>
  <c r="FE38" i="116"/>
  <c r="RR40" i="116"/>
  <c r="P40" i="116"/>
  <c r="AY40" i="116"/>
  <c r="CX37" i="116"/>
  <c r="DR37" i="116"/>
  <c r="DR31" i="116"/>
  <c r="C37" i="116"/>
  <c r="GW39" i="116"/>
  <c r="RX39" i="116" s="1"/>
  <c r="JF39" i="116"/>
  <c r="GM39" i="116" s="1"/>
  <c r="PY31" i="116"/>
  <c r="GW35" i="116"/>
  <c r="RX35" i="116" s="1"/>
  <c r="FE36" i="116"/>
  <c r="EE37" i="116"/>
  <c r="CZ37" i="116"/>
  <c r="DR40" i="116"/>
  <c r="C28" i="116"/>
  <c r="GW34" i="116"/>
  <c r="RX34" i="116" s="1"/>
  <c r="BO40" i="116"/>
  <c r="P33" i="116"/>
  <c r="IQ33" i="116"/>
  <c r="GL33" i="116" s="1"/>
  <c r="RR34" i="116"/>
  <c r="AY34" i="116"/>
  <c r="JF36" i="116"/>
  <c r="GM36" i="116" s="1"/>
  <c r="JL39" i="116"/>
  <c r="LJ31" i="116"/>
  <c r="JL34" i="116"/>
  <c r="RR35" i="116"/>
  <c r="P35" i="116"/>
  <c r="AY35" i="116"/>
  <c r="RR38" i="116"/>
  <c r="P38" i="116"/>
  <c r="AY38" i="116"/>
  <c r="RR39" i="116"/>
  <c r="LJ34" i="116"/>
  <c r="LJ33" i="116"/>
  <c r="PY33" i="116"/>
  <c r="RP33" i="116"/>
  <c r="JL38" i="116"/>
  <c r="FE40" i="116"/>
  <c r="JL27" i="116"/>
  <c r="RR33" i="116"/>
  <c r="P36" i="116"/>
  <c r="AY36" i="116"/>
  <c r="RR36" i="116"/>
  <c r="DR39" i="116"/>
  <c r="CX39" i="116"/>
  <c r="RP39" i="116"/>
  <c r="PY39" i="116"/>
  <c r="CZ33" i="116"/>
  <c r="GW33" i="116"/>
  <c r="RX33" i="116" s="1"/>
  <c r="CX34" i="116"/>
  <c r="DR34" i="116"/>
  <c r="JF37" i="116"/>
  <c r="GM37" i="116" s="1"/>
  <c r="SG38" i="116"/>
  <c r="HM38" i="116"/>
  <c r="GK38" i="116" s="1"/>
  <c r="BO35" i="116"/>
  <c r="LJ32" i="116"/>
  <c r="P34" i="116"/>
  <c r="CZ34" i="116"/>
  <c r="HM36" i="116"/>
  <c r="GK36" i="116" s="1"/>
  <c r="GW37" i="116"/>
  <c r="RX37" i="116" s="1"/>
  <c r="BO39" i="116"/>
  <c r="EE39" i="116"/>
  <c r="CZ39" i="116"/>
  <c r="CX31" i="116"/>
  <c r="EE35" i="116"/>
  <c r="CZ38" i="116"/>
  <c r="DR38" i="116"/>
  <c r="BL48" i="116"/>
  <c r="BL44" i="116"/>
  <c r="C40" i="116"/>
  <c r="CX35" i="116"/>
  <c r="JL36" i="116"/>
  <c r="NG38" i="116"/>
  <c r="RP40" i="116"/>
  <c r="PY40" i="116"/>
  <c r="AT42" i="116"/>
  <c r="AT44" i="116" s="1"/>
  <c r="AV41" i="116"/>
  <c r="AV42" i="116" s="1"/>
  <c r="AV44" i="116" s="1"/>
  <c r="QN40" i="116"/>
  <c r="JL40" i="116"/>
  <c r="BY44" i="116"/>
  <c r="BY48" i="116"/>
  <c r="CA42" i="116"/>
  <c r="CA44" i="116" s="1"/>
  <c r="JL35" i="116"/>
  <c r="BF44" i="116"/>
  <c r="AY27" i="2"/>
  <c r="BG44" i="116"/>
  <c r="O42" i="116"/>
  <c r="GY42" i="116"/>
  <c r="CC42" i="116"/>
  <c r="IC44" i="116"/>
  <c r="AN42" i="116"/>
  <c r="AN44" i="116" s="1"/>
  <c r="Y43" i="116"/>
  <c r="CE42" i="116"/>
  <c r="AW48" i="116"/>
  <c r="P90" i="116"/>
  <c r="BS44" i="116"/>
  <c r="KT44" i="116" l="1"/>
  <c r="AY158" i="2"/>
  <c r="AA44" i="116"/>
  <c r="AY31" i="2"/>
  <c r="E30" i="2"/>
  <c r="E36" i="2"/>
  <c r="E43" i="2"/>
  <c r="AY23" i="2"/>
  <c r="C42" i="116"/>
  <c r="QH30" i="122"/>
  <c r="NP32" i="120"/>
  <c r="R54" i="118"/>
  <c r="NF39" i="120"/>
  <c r="MX39" i="120" s="1"/>
  <c r="NZ31" i="120"/>
  <c r="AD53" i="118"/>
  <c r="ND40" i="120"/>
  <c r="X62" i="118"/>
  <c r="NO31" i="120"/>
  <c r="AA53" i="118"/>
  <c r="NC40" i="120"/>
  <c r="W63" i="118" s="1"/>
  <c r="W62" i="118"/>
  <c r="AL31" i="121"/>
  <c r="RM39" i="120"/>
  <c r="RJ40" i="120"/>
  <c r="RM40" i="120" s="1"/>
  <c r="PG32" i="120"/>
  <c r="PA33" i="120"/>
  <c r="MZ30" i="120"/>
  <c r="PO31" i="120"/>
  <c r="NT32" i="120"/>
  <c r="NG33" i="120"/>
  <c r="OG33" i="120"/>
  <c r="QG33" i="120"/>
  <c r="NA32" i="120"/>
  <c r="QN35" i="116"/>
  <c r="QN34" i="116"/>
  <c r="DD25" i="116"/>
  <c r="QN33" i="116"/>
  <c r="O19" i="118"/>
  <c r="O17" i="118"/>
  <c r="DD13" i="116"/>
  <c r="DD17" i="116"/>
  <c r="DD38" i="116"/>
  <c r="DD14" i="116"/>
  <c r="O30" i="118"/>
  <c r="O4" i="118"/>
  <c r="O14" i="118"/>
  <c r="O13" i="118"/>
  <c r="O27" i="118"/>
  <c r="QN27" i="116"/>
  <c r="O26" i="118"/>
  <c r="DD40" i="116"/>
  <c r="DD33" i="116"/>
  <c r="O8" i="118"/>
  <c r="O12" i="118"/>
  <c r="O22" i="118"/>
  <c r="O9" i="118"/>
  <c r="O31" i="118"/>
  <c r="AB18" i="118"/>
  <c r="OQ23" i="116"/>
  <c r="AF14" i="118"/>
  <c r="O24" i="118"/>
  <c r="O11" i="118"/>
  <c r="O21" i="118"/>
  <c r="O25" i="118"/>
  <c r="O18" i="118"/>
  <c r="O5" i="118"/>
  <c r="O28" i="118"/>
  <c r="O15" i="118"/>
  <c r="O6" i="118"/>
  <c r="O29" i="118"/>
  <c r="O16" i="118"/>
  <c r="O3" i="118"/>
  <c r="O20" i="118"/>
  <c r="O7" i="118"/>
  <c r="O23" i="118"/>
  <c r="O10" i="118"/>
  <c r="QN24" i="116"/>
  <c r="QN25" i="116"/>
  <c r="D19" i="116"/>
  <c r="E19" i="116" s="1"/>
  <c r="QN10" i="116"/>
  <c r="AQ44" i="116"/>
  <c r="E43" i="116"/>
  <c r="D28" i="116"/>
  <c r="E28" i="116" s="1"/>
  <c r="U10" i="116"/>
  <c r="GS44" i="116"/>
  <c r="GT44" i="116"/>
  <c r="GV44" i="116"/>
  <c r="GU44" i="116"/>
  <c r="R32" i="117"/>
  <c r="S32" i="117" s="1"/>
  <c r="E32" i="117" s="1"/>
  <c r="QN13" i="116"/>
  <c r="DD20" i="116"/>
  <c r="AB5" i="95"/>
  <c r="R13" i="117"/>
  <c r="S13" i="117" s="1"/>
  <c r="E13" i="117" s="1"/>
  <c r="D25" i="117"/>
  <c r="CN25" i="117" s="1"/>
  <c r="DD36" i="116"/>
  <c r="DD12" i="116"/>
  <c r="DD18" i="116"/>
  <c r="Y41" i="116"/>
  <c r="DD32" i="116"/>
  <c r="IB41" i="116"/>
  <c r="SB25" i="116"/>
  <c r="DD11" i="116"/>
  <c r="GN24" i="116"/>
  <c r="GN25" i="116"/>
  <c r="GN35" i="116"/>
  <c r="GN34" i="116"/>
  <c r="JF42" i="116"/>
  <c r="JF44" i="116" s="1"/>
  <c r="GN29" i="116"/>
  <c r="IB42" i="116"/>
  <c r="GN23" i="116"/>
  <c r="KV44" i="116"/>
  <c r="AY160" i="2"/>
  <c r="O49" i="116"/>
  <c r="GN31" i="116"/>
  <c r="GN39" i="116"/>
  <c r="D32" i="116"/>
  <c r="E32" i="116" s="1"/>
  <c r="GN37" i="116"/>
  <c r="GN32" i="116"/>
  <c r="GN40" i="116"/>
  <c r="SB11" i="116"/>
  <c r="GN26" i="116"/>
  <c r="AY88" i="2"/>
  <c r="AB42" i="116"/>
  <c r="AY48" i="2" s="1"/>
  <c r="KU44" i="116"/>
  <c r="AY159" i="2"/>
  <c r="AC41" i="116"/>
  <c r="AC42" i="116" s="1"/>
  <c r="AB212" i="116"/>
  <c r="DD19" i="116"/>
  <c r="SB14" i="116"/>
  <c r="KO44" i="116"/>
  <c r="IM44" i="116"/>
  <c r="IZ44" i="116"/>
  <c r="AG42" i="116"/>
  <c r="AG44" i="116" s="1"/>
  <c r="AE44" i="116"/>
  <c r="HG42" i="116"/>
  <c r="HG44" i="116" s="1"/>
  <c r="DD23" i="116"/>
  <c r="QR11" i="116"/>
  <c r="HI44" i="116"/>
  <c r="PG11" i="116"/>
  <c r="SD11" i="116"/>
  <c r="IP42" i="116"/>
  <c r="IP44" i="116" s="1"/>
  <c r="SB37" i="116"/>
  <c r="HK42" i="116"/>
  <c r="HK44" i="116" s="1"/>
  <c r="D26" i="117"/>
  <c r="CN26" i="117" s="1"/>
  <c r="GN12" i="116"/>
  <c r="KQ44" i="116"/>
  <c r="II44" i="116"/>
  <c r="JB44" i="116"/>
  <c r="GN38" i="116"/>
  <c r="GY49" i="116" s="1"/>
  <c r="HM41" i="116"/>
  <c r="DD22" i="116"/>
  <c r="GN21" i="116"/>
  <c r="KP44" i="116"/>
  <c r="JJ44" i="116"/>
  <c r="IK44" i="116"/>
  <c r="GN22" i="116"/>
  <c r="GN18" i="116"/>
  <c r="GN30" i="116"/>
  <c r="SB35" i="116"/>
  <c r="DD15" i="116"/>
  <c r="DD35" i="116"/>
  <c r="DD26" i="116"/>
  <c r="D30" i="116"/>
  <c r="E30" i="116" s="1"/>
  <c r="DD21" i="116"/>
  <c r="SB34" i="116"/>
  <c r="D25" i="116"/>
  <c r="E25" i="116" s="1"/>
  <c r="SB15" i="116"/>
  <c r="D40" i="116"/>
  <c r="E40" i="116" s="1"/>
  <c r="DD39" i="116"/>
  <c r="SB36" i="116"/>
  <c r="QN38" i="116"/>
  <c r="QN19" i="116"/>
  <c r="QN36" i="116"/>
  <c r="QN16" i="116"/>
  <c r="QN32" i="116"/>
  <c r="QN30" i="116"/>
  <c r="QN17" i="116"/>
  <c r="QN14" i="116"/>
  <c r="QN28" i="116"/>
  <c r="QN11" i="116"/>
  <c r="QN20" i="116"/>
  <c r="QN26" i="116"/>
  <c r="QN18" i="116"/>
  <c r="QN12" i="116"/>
  <c r="QN29" i="116"/>
  <c r="QN15" i="116"/>
  <c r="QN37" i="116"/>
  <c r="GN28" i="116"/>
  <c r="GN36" i="116"/>
  <c r="QN31" i="116"/>
  <c r="QN21" i="116"/>
  <c r="D30" i="117"/>
  <c r="CN30" i="117" s="1"/>
  <c r="D28" i="117"/>
  <c r="CN28" i="117" s="1"/>
  <c r="R16" i="117"/>
  <c r="S16" i="117" s="1"/>
  <c r="E16" i="117" s="1"/>
  <c r="D19" i="117"/>
  <c r="CN19" i="117" s="1"/>
  <c r="D14" i="117"/>
  <c r="CN14" i="117" s="1"/>
  <c r="DD16" i="116"/>
  <c r="DD28" i="116"/>
  <c r="DD30" i="116"/>
  <c r="AY115" i="2"/>
  <c r="D31" i="117"/>
  <c r="CN31" i="117" s="1"/>
  <c r="D15" i="117"/>
  <c r="CN15" i="117" s="1"/>
  <c r="D42" i="117"/>
  <c r="CN42" i="117" s="1"/>
  <c r="GN15" i="116"/>
  <c r="GN20" i="116"/>
  <c r="JV41" i="116"/>
  <c r="JV42" i="116" s="1"/>
  <c r="JV44" i="116" s="1"/>
  <c r="GN16" i="116"/>
  <c r="DD37" i="116"/>
  <c r="DD24" i="116"/>
  <c r="Q32" i="116"/>
  <c r="Q25" i="116"/>
  <c r="D38" i="116"/>
  <c r="E38" i="116" s="1"/>
  <c r="SB26" i="116"/>
  <c r="D23" i="116"/>
  <c r="E23" i="116" s="1"/>
  <c r="D37" i="116"/>
  <c r="E37" i="116" s="1"/>
  <c r="PY41" i="116"/>
  <c r="SB33" i="116"/>
  <c r="D20" i="116"/>
  <c r="E20" i="116" s="1"/>
  <c r="DD31" i="116"/>
  <c r="DD27" i="116"/>
  <c r="SB22" i="116"/>
  <c r="D27" i="116"/>
  <c r="E27" i="116" s="1"/>
  <c r="D13" i="116"/>
  <c r="SB19" i="116"/>
  <c r="D18" i="116"/>
  <c r="E18" i="116" s="1"/>
  <c r="SB32" i="116"/>
  <c r="DD10" i="116"/>
  <c r="QI11" i="116"/>
  <c r="QI12" i="116" s="1"/>
  <c r="QI13" i="116" s="1"/>
  <c r="QI14" i="116" s="1"/>
  <c r="QI15" i="116" s="1"/>
  <c r="QI16" i="116" s="1"/>
  <c r="QI17" i="116" s="1"/>
  <c r="QI18" i="116" s="1"/>
  <c r="QI19" i="116" s="1"/>
  <c r="QI20" i="116" s="1"/>
  <c r="QI21" i="116" s="1"/>
  <c r="QI22" i="116" s="1"/>
  <c r="QI23" i="116" s="1"/>
  <c r="QI24" i="116" s="1"/>
  <c r="QI25" i="116" s="1"/>
  <c r="QI26" i="116" s="1"/>
  <c r="QI27" i="116" s="1"/>
  <c r="QI28" i="116" s="1"/>
  <c r="QI29" i="116" s="1"/>
  <c r="QI30" i="116" s="1"/>
  <c r="QI31" i="116" s="1"/>
  <c r="QI32" i="116" s="1"/>
  <c r="QI33" i="116" s="1"/>
  <c r="QI34" i="116" s="1"/>
  <c r="QI35" i="116" s="1"/>
  <c r="QI36" i="116" s="1"/>
  <c r="QI37" i="116" s="1"/>
  <c r="QI38" i="116" s="1"/>
  <c r="QI39" i="116" s="1"/>
  <c r="QI40" i="116" s="1"/>
  <c r="QI41" i="116" s="1"/>
  <c r="AY105" i="2"/>
  <c r="R33" i="117"/>
  <c r="S33" i="117" s="1"/>
  <c r="E33" i="117" s="1"/>
  <c r="D33" i="117"/>
  <c r="CN33" i="117" s="1"/>
  <c r="R35" i="117"/>
  <c r="S35" i="117" s="1"/>
  <c r="E35" i="117" s="1"/>
  <c r="D35" i="117"/>
  <c r="CN35" i="117" s="1"/>
  <c r="R38" i="117"/>
  <c r="S38" i="117" s="1"/>
  <c r="E38" i="117" s="1"/>
  <c r="D38" i="117"/>
  <c r="CN38" i="117" s="1"/>
  <c r="R21" i="117"/>
  <c r="S21" i="117" s="1"/>
  <c r="E21" i="117" s="1"/>
  <c r="D21" i="117"/>
  <c r="CN21" i="117" s="1"/>
  <c r="R34" i="117"/>
  <c r="S34" i="117" s="1"/>
  <c r="E34" i="117" s="1"/>
  <c r="D34" i="117"/>
  <c r="CN34" i="117" s="1"/>
  <c r="AG43" i="117"/>
  <c r="AG44" i="117" s="1"/>
  <c r="D20" i="117"/>
  <c r="CN20" i="117" s="1"/>
  <c r="R20" i="117"/>
  <c r="S20" i="117" s="1"/>
  <c r="E20" i="117" s="1"/>
  <c r="AB43" i="117"/>
  <c r="AB44" i="117" s="1"/>
  <c r="CR12" i="117"/>
  <c r="R36" i="117"/>
  <c r="S36" i="117" s="1"/>
  <c r="E36" i="117" s="1"/>
  <c r="D36" i="117"/>
  <c r="CN36" i="117" s="1"/>
  <c r="R18" i="117"/>
  <c r="S18" i="117" s="1"/>
  <c r="E18" i="117" s="1"/>
  <c r="D18" i="117"/>
  <c r="CN18" i="117" s="1"/>
  <c r="R39" i="117"/>
  <c r="S39" i="117" s="1"/>
  <c r="E39" i="117" s="1"/>
  <c r="D39" i="117"/>
  <c r="CN39" i="117" s="1"/>
  <c r="R22" i="117"/>
  <c r="S22" i="117" s="1"/>
  <c r="E22" i="117" s="1"/>
  <c r="D22" i="117"/>
  <c r="CN22" i="117" s="1"/>
  <c r="R17" i="117"/>
  <c r="S17" i="117" s="1"/>
  <c r="E17" i="117" s="1"/>
  <c r="D17" i="117"/>
  <c r="CN17" i="117" s="1"/>
  <c r="D37" i="117"/>
  <c r="CN37" i="117" s="1"/>
  <c r="R37" i="117"/>
  <c r="S37" i="117" s="1"/>
  <c r="E37" i="117" s="1"/>
  <c r="R12" i="117"/>
  <c r="Q43" i="117"/>
  <c r="D12" i="117"/>
  <c r="D40" i="117"/>
  <c r="CN40" i="117" s="1"/>
  <c r="R40" i="117"/>
  <c r="S40" i="117" s="1"/>
  <c r="E40" i="117" s="1"/>
  <c r="D23" i="117"/>
  <c r="CN23" i="117" s="1"/>
  <c r="R23" i="117"/>
  <c r="S23" i="117" s="1"/>
  <c r="E23" i="117" s="1"/>
  <c r="R29" i="117"/>
  <c r="S29" i="117" s="1"/>
  <c r="E29" i="117" s="1"/>
  <c r="D29" i="117"/>
  <c r="CN29" i="117" s="1"/>
  <c r="R27" i="117"/>
  <c r="S27" i="117" s="1"/>
  <c r="E27" i="117" s="1"/>
  <c r="D27" i="117"/>
  <c r="CN27" i="117" s="1"/>
  <c r="D41" i="117"/>
  <c r="CN41" i="117" s="1"/>
  <c r="R41" i="117"/>
  <c r="S41" i="117" s="1"/>
  <c r="E41" i="117" s="1"/>
  <c r="R24" i="117"/>
  <c r="S24" i="117" s="1"/>
  <c r="E24" i="117" s="1"/>
  <c r="D24" i="117"/>
  <c r="CN24" i="117" s="1"/>
  <c r="Q35" i="116"/>
  <c r="D35" i="116"/>
  <c r="E35" i="116" s="1"/>
  <c r="CC44" i="116"/>
  <c r="CD42" i="116"/>
  <c r="CD44" i="116" s="1"/>
  <c r="D15" i="116"/>
  <c r="Q15" i="116"/>
  <c r="Q18" i="116"/>
  <c r="GN17" i="116"/>
  <c r="JY41" i="116"/>
  <c r="JY42" i="116" s="1"/>
  <c r="JY44" i="116" s="1"/>
  <c r="FE10" i="116"/>
  <c r="FE41" i="116" s="1"/>
  <c r="FE42" i="116" s="1"/>
  <c r="FE44" i="116" s="1"/>
  <c r="RJ20" i="116"/>
  <c r="RM19" i="116"/>
  <c r="JZ41" i="116"/>
  <c r="JZ42" i="116" s="1"/>
  <c r="JZ44" i="116" s="1"/>
  <c r="O44" i="116"/>
  <c r="Q36" i="116"/>
  <c r="D36" i="116"/>
  <c r="E36" i="116" s="1"/>
  <c r="SD39" i="116"/>
  <c r="QQ39" i="116"/>
  <c r="QR39" i="116"/>
  <c r="SD33" i="116"/>
  <c r="QQ33" i="116"/>
  <c r="QR33" i="116"/>
  <c r="D39" i="116"/>
  <c r="E39" i="116" s="1"/>
  <c r="Q39" i="116"/>
  <c r="SD15" i="116"/>
  <c r="QR15" i="116"/>
  <c r="QQ15" i="116"/>
  <c r="GN11" i="116"/>
  <c r="KA41" i="116"/>
  <c r="KA42" i="116" s="1"/>
  <c r="KA44" i="116" s="1"/>
  <c r="CZ41" i="116"/>
  <c r="CZ42" i="116" s="1"/>
  <c r="CZ44" i="116" s="1"/>
  <c r="IQ41" i="116"/>
  <c r="GL41" i="116" s="1"/>
  <c r="GL10" i="116"/>
  <c r="Q38" i="116"/>
  <c r="SD16" i="116"/>
  <c r="QR16" i="116"/>
  <c r="QQ16" i="116"/>
  <c r="LJ41" i="116"/>
  <c r="LJ42" i="116" s="1"/>
  <c r="KB41" i="116"/>
  <c r="KB42" i="116" s="1"/>
  <c r="KB44" i="116" s="1"/>
  <c r="C41" i="116"/>
  <c r="KC41" i="116"/>
  <c r="KC42" i="116" s="1"/>
  <c r="KC44" i="116" s="1"/>
  <c r="D14" i="116"/>
  <c r="Q14" i="116"/>
  <c r="SD27" i="116"/>
  <c r="QQ27" i="116"/>
  <c r="QR27" i="116"/>
  <c r="SD25" i="116"/>
  <c r="QR25" i="116"/>
  <c r="QQ25" i="116"/>
  <c r="Q22" i="116"/>
  <c r="D22" i="116"/>
  <c r="E22" i="116" s="1"/>
  <c r="D16" i="116"/>
  <c r="SD13" i="116"/>
  <c r="QQ13" i="116"/>
  <c r="QR13" i="116"/>
  <c r="GK41" i="116"/>
  <c r="GK42" i="116" s="1"/>
  <c r="GK44" i="116" s="1"/>
  <c r="KD41" i="116"/>
  <c r="KD42" i="116" s="1"/>
  <c r="KD44" i="116" s="1"/>
  <c r="GW41" i="116"/>
  <c r="GW42" i="116" s="1"/>
  <c r="GW44" i="116" s="1"/>
  <c r="RX10" i="116"/>
  <c r="SD10" i="116" s="1"/>
  <c r="QQ37" i="116"/>
  <c r="SD37" i="116"/>
  <c r="QR37" i="116"/>
  <c r="SD28" i="116"/>
  <c r="QR28" i="116"/>
  <c r="QQ28" i="116"/>
  <c r="SD14" i="116"/>
  <c r="QR14" i="116"/>
  <c r="QQ14" i="116"/>
  <c r="GN14" i="116"/>
  <c r="NT13" i="116"/>
  <c r="Q12" i="116"/>
  <c r="D12" i="116"/>
  <c r="SD24" i="116"/>
  <c r="QR24" i="116"/>
  <c r="QQ24" i="116"/>
  <c r="SB20" i="116"/>
  <c r="GN13" i="116"/>
  <c r="RJ11" i="116"/>
  <c r="RM10" i="116"/>
  <c r="SD38" i="116"/>
  <c r="QR38" i="116"/>
  <c r="QQ38" i="116"/>
  <c r="D31" i="116"/>
  <c r="E31" i="116" s="1"/>
  <c r="OG13" i="116"/>
  <c r="JO41" i="116"/>
  <c r="JO42" i="116" s="1"/>
  <c r="JO44" i="116" s="1"/>
  <c r="SD40" i="116"/>
  <c r="QR40" i="116"/>
  <c r="QQ40" i="116"/>
  <c r="SB27" i="116"/>
  <c r="SD29" i="116"/>
  <c r="QR29" i="116"/>
  <c r="QQ29" i="116"/>
  <c r="SD23" i="116"/>
  <c r="QR23" i="116"/>
  <c r="QQ23" i="116"/>
  <c r="SB23" i="116"/>
  <c r="SD21" i="116"/>
  <c r="QR21" i="116"/>
  <c r="QQ21" i="116"/>
  <c r="JP41" i="116"/>
  <c r="JP42" i="116" s="1"/>
  <c r="JP44" i="116" s="1"/>
  <c r="SB17" i="116"/>
  <c r="PA13" i="116"/>
  <c r="PG12" i="116"/>
  <c r="DR41" i="116"/>
  <c r="DR42" i="116" s="1"/>
  <c r="DR44" i="116" s="1"/>
  <c r="SB10" i="116"/>
  <c r="JL41" i="116"/>
  <c r="QR10" i="116"/>
  <c r="QQ10" i="116"/>
  <c r="QN22" i="116"/>
  <c r="GN19" i="116"/>
  <c r="CX41" i="116"/>
  <c r="CX42" i="116" s="1"/>
  <c r="CX44" i="116" s="1"/>
  <c r="JR41" i="116"/>
  <c r="JR42" i="116" s="1"/>
  <c r="JR44" i="116" s="1"/>
  <c r="D11" i="116"/>
  <c r="NG39" i="116"/>
  <c r="SD35" i="116"/>
  <c r="QR35" i="116"/>
  <c r="QQ35" i="116"/>
  <c r="D33" i="116"/>
  <c r="E33" i="116" s="1"/>
  <c r="Q33" i="116"/>
  <c r="DD29" i="116"/>
  <c r="SB24" i="116"/>
  <c r="Q20" i="116"/>
  <c r="SB18" i="116"/>
  <c r="JS41" i="116"/>
  <c r="JS42" i="116" s="1"/>
  <c r="JS44" i="116" s="1"/>
  <c r="DB41" i="116"/>
  <c r="DB42" i="116" s="1"/>
  <c r="DB44" i="116" s="1"/>
  <c r="S44" i="116"/>
  <c r="Q34" i="116"/>
  <c r="D34" i="116"/>
  <c r="E34" i="116" s="1"/>
  <c r="DD34" i="116"/>
  <c r="SB29" i="116"/>
  <c r="D29" i="116"/>
  <c r="E29" i="116" s="1"/>
  <c r="D26" i="116"/>
  <c r="E26" i="116" s="1"/>
  <c r="Q26" i="116"/>
  <c r="SB21" i="116"/>
  <c r="SB16" i="116"/>
  <c r="PM41" i="116"/>
  <c r="PM42" i="116" s="1"/>
  <c r="PO10" i="116"/>
  <c r="SG10" i="116"/>
  <c r="JT41" i="116"/>
  <c r="JT42" i="116" s="1"/>
  <c r="JT44" i="116" s="1"/>
  <c r="QG13" i="116"/>
  <c r="CE48" i="116"/>
  <c r="CE44" i="116"/>
  <c r="SD36" i="116"/>
  <c r="QR36" i="116"/>
  <c r="QQ36" i="116"/>
  <c r="SB31" i="116"/>
  <c r="GN33" i="116"/>
  <c r="Q28" i="116"/>
  <c r="QR22" i="116"/>
  <c r="QQ22" i="116"/>
  <c r="SD22" i="116"/>
  <c r="SD30" i="116"/>
  <c r="QR30" i="116"/>
  <c r="QQ30" i="116"/>
  <c r="SD17" i="116"/>
  <c r="QR17" i="116"/>
  <c r="QQ17" i="116"/>
  <c r="Q17" i="116"/>
  <c r="D17" i="116"/>
  <c r="E17" i="116" s="1"/>
  <c r="SD18" i="116"/>
  <c r="QR18" i="116"/>
  <c r="QQ18" i="116"/>
  <c r="SB13" i="116"/>
  <c r="JU41" i="116"/>
  <c r="JU42" i="116" s="1"/>
  <c r="JU44" i="116" s="1"/>
  <c r="QH10" i="116"/>
  <c r="SD12" i="116"/>
  <c r="QQ12" i="116"/>
  <c r="QR12" i="116"/>
  <c r="SD34" i="116"/>
  <c r="QR34" i="116"/>
  <c r="QQ34" i="116"/>
  <c r="S49" i="116"/>
  <c r="GN27" i="116"/>
  <c r="SB30" i="116"/>
  <c r="SD20" i="116"/>
  <c r="QR20" i="116"/>
  <c r="QQ20" i="116"/>
  <c r="NG13" i="116"/>
  <c r="JQ41" i="116"/>
  <c r="JQ42" i="116" s="1"/>
  <c r="JQ44" i="116" s="1"/>
  <c r="SD32" i="116"/>
  <c r="QQ32" i="116"/>
  <c r="QR32" i="116"/>
  <c r="SD26" i="116"/>
  <c r="QR26" i="116"/>
  <c r="QQ26" i="116"/>
  <c r="P41" i="116"/>
  <c r="KF41" i="116"/>
  <c r="KF42" i="116" s="1"/>
  <c r="KF44" i="116" s="1"/>
  <c r="KE41" i="116"/>
  <c r="KE42" i="116" s="1"/>
  <c r="KE44" i="116" s="1"/>
  <c r="JW41" i="116"/>
  <c r="JW42" i="116" s="1"/>
  <c r="JW44" i="116" s="1"/>
  <c r="KL41" i="116"/>
  <c r="KL42" i="116" s="1"/>
  <c r="KL44" i="116" s="1"/>
  <c r="KK41" i="116"/>
  <c r="KK42" i="116" s="1"/>
  <c r="KK44" i="116" s="1"/>
  <c r="KJ41" i="116"/>
  <c r="KJ42" i="116" s="1"/>
  <c r="KJ44" i="116" s="1"/>
  <c r="KI41" i="116"/>
  <c r="KI42" i="116" s="1"/>
  <c r="KI44" i="116" s="1"/>
  <c r="KH41" i="116"/>
  <c r="KH42" i="116" s="1"/>
  <c r="KH44" i="116" s="1"/>
  <c r="KG41" i="116"/>
  <c r="KG42" i="116" s="1"/>
  <c r="KG44" i="116" s="1"/>
  <c r="JJ301" i="116"/>
  <c r="JI42" i="116"/>
  <c r="AY62" i="2" s="1"/>
  <c r="JF41" i="116"/>
  <c r="GM10" i="116"/>
  <c r="GM41" i="116" s="1"/>
  <c r="GM42" i="116" s="1"/>
  <c r="GM44" i="116" s="1"/>
  <c r="SB28" i="116"/>
  <c r="Q24" i="116"/>
  <c r="D24" i="116"/>
  <c r="E24" i="116" s="1"/>
  <c r="D21" i="116"/>
  <c r="E21" i="116" s="1"/>
  <c r="Q16" i="116"/>
  <c r="JX41" i="116"/>
  <c r="JX42" i="116" s="1"/>
  <c r="JX44" i="116" s="1"/>
  <c r="SB38" i="116"/>
  <c r="SB39" i="116"/>
  <c r="Q40" i="116"/>
  <c r="SB40" i="116"/>
  <c r="QR31" i="116"/>
  <c r="QQ31" i="116"/>
  <c r="SD31" i="116"/>
  <c r="Q30" i="116"/>
  <c r="SD19" i="116"/>
  <c r="QR19" i="116"/>
  <c r="QQ19" i="116"/>
  <c r="EE41" i="116"/>
  <c r="EE42" i="116" s="1"/>
  <c r="EE44" i="116" s="1"/>
  <c r="Q19" i="116"/>
  <c r="SB12" i="116"/>
  <c r="AW41" i="111"/>
  <c r="QH31" i="122" l="1"/>
  <c r="NP33" i="120"/>
  <c r="R55" i="118"/>
  <c r="NO32" i="120"/>
  <c r="AA54" i="118"/>
  <c r="ND41" i="120"/>
  <c r="ND9" i="122" s="1"/>
  <c r="X63" i="118"/>
  <c r="NC41" i="120"/>
  <c r="NF40" i="120"/>
  <c r="MX40" i="120" s="1"/>
  <c r="MX41" i="120" s="1"/>
  <c r="MX42" i="120" s="1"/>
  <c r="MX44" i="120" s="1"/>
  <c r="NZ32" i="120"/>
  <c r="AD54" i="118"/>
  <c r="AL32" i="121"/>
  <c r="QG34" i="120"/>
  <c r="NA33" i="120"/>
  <c r="OG34" i="120"/>
  <c r="NG34" i="120"/>
  <c r="NT33" i="120"/>
  <c r="MZ31" i="120"/>
  <c r="PO32" i="120"/>
  <c r="PA34" i="120"/>
  <c r="PG33" i="120"/>
  <c r="OQ24" i="116"/>
  <c r="AF15" i="118"/>
  <c r="AB19" i="118"/>
  <c r="T41" i="116"/>
  <c r="D10" i="116"/>
  <c r="D41" i="116" s="1"/>
  <c r="E41" i="116" s="1"/>
  <c r="IQ42" i="116"/>
  <c r="IQ44" i="116" s="1"/>
  <c r="C44" i="116"/>
  <c r="E14" i="116"/>
  <c r="E15" i="116"/>
  <c r="E11" i="116"/>
  <c r="E12" i="116"/>
  <c r="E16" i="116"/>
  <c r="AC43" i="116"/>
  <c r="AC44" i="116" s="1"/>
  <c r="E13" i="116"/>
  <c r="HM42" i="116"/>
  <c r="HM44" i="116" s="1"/>
  <c r="X49" i="116"/>
  <c r="JI44" i="116"/>
  <c r="Y42" i="116"/>
  <c r="Y44" i="116" s="1"/>
  <c r="GN10" i="116"/>
  <c r="X44" i="116"/>
  <c r="KE45" i="116"/>
  <c r="DD41" i="116"/>
  <c r="DD42" i="116" s="1"/>
  <c r="DD44" i="116" s="1"/>
  <c r="W44" i="116"/>
  <c r="D43" i="117"/>
  <c r="CN12" i="117"/>
  <c r="BA43" i="117" a="1"/>
  <c r="BA43" i="117" s="1"/>
  <c r="BA44" i="117" s="1"/>
  <c r="BD43" i="117" a="1"/>
  <c r="BD43" i="117" s="1"/>
  <c r="BD44" i="117" s="1"/>
  <c r="BC43" i="117" a="1"/>
  <c r="BC43" i="117" s="1"/>
  <c r="BC44" i="117" s="1"/>
  <c r="BB43" i="117" a="1"/>
  <c r="BB43" i="117" s="1"/>
  <c r="BB44" i="117" s="1"/>
  <c r="AZ43" i="117" a="1"/>
  <c r="AZ43" i="117" s="1"/>
  <c r="AZ44" i="117" s="1"/>
  <c r="AX43" i="117"/>
  <c r="AX44" i="117" s="1"/>
  <c r="Q44" i="117"/>
  <c r="S44" i="117" s="1"/>
  <c r="S43" i="117"/>
  <c r="S12" i="117"/>
  <c r="E12" i="117" s="1"/>
  <c r="R43" i="117"/>
  <c r="NG40" i="116"/>
  <c r="QH11" i="116"/>
  <c r="NA10" i="116"/>
  <c r="RM20" i="116"/>
  <c r="RJ21" i="116"/>
  <c r="OG14" i="116"/>
  <c r="P42" i="116"/>
  <c r="P49" i="116"/>
  <c r="Q41" i="116"/>
  <c r="AB52" i="116"/>
  <c r="AB54" i="116" s="1"/>
  <c r="GL42" i="116"/>
  <c r="GL44" i="116" s="1"/>
  <c r="GQ46" i="116"/>
  <c r="RJ12" i="116"/>
  <c r="RM11" i="116"/>
  <c r="QG14" i="116"/>
  <c r="MZ10" i="116"/>
  <c r="PO11" i="116"/>
  <c r="JO45" i="116"/>
  <c r="NG14" i="116"/>
  <c r="JL42" i="116"/>
  <c r="JL44" i="116" s="1"/>
  <c r="JL47" i="116"/>
  <c r="PA14" i="116"/>
  <c r="PG13" i="116"/>
  <c r="NT14" i="116"/>
  <c r="JW45" i="116"/>
  <c r="C59" i="114"/>
  <c r="E59" i="114"/>
  <c r="F59" i="114"/>
  <c r="G59" i="114"/>
  <c r="H59" i="114"/>
  <c r="I59" i="114"/>
  <c r="J59" i="114"/>
  <c r="K59" i="114"/>
  <c r="L59" i="114"/>
  <c r="M59" i="114"/>
  <c r="N59" i="114"/>
  <c r="O59" i="114"/>
  <c r="P59" i="114"/>
  <c r="Q59" i="114"/>
  <c r="R59" i="114"/>
  <c r="S59" i="114"/>
  <c r="T59" i="114"/>
  <c r="U59" i="114"/>
  <c r="O11" i="111"/>
  <c r="O12" i="111"/>
  <c r="O13" i="111"/>
  <c r="O14" i="111"/>
  <c r="O15" i="111"/>
  <c r="O16" i="111"/>
  <c r="O17" i="111"/>
  <c r="O18" i="111"/>
  <c r="O19" i="111"/>
  <c r="O20" i="111"/>
  <c r="O21" i="111"/>
  <c r="O22" i="111"/>
  <c r="O10" i="111"/>
  <c r="QH32" i="122" l="1"/>
  <c r="NC44" i="120"/>
  <c r="NC9" i="122"/>
  <c r="NC10" i="122" s="1"/>
  <c r="ND10" i="122"/>
  <c r="ND11" i="122" s="1"/>
  <c r="ND12" i="122" s="1"/>
  <c r="ND13" i="122" s="1"/>
  <c r="ND14" i="122" s="1"/>
  <c r="ND15" i="122" s="1"/>
  <c r="ND16" i="122" s="1"/>
  <c r="ND17" i="122" s="1"/>
  <c r="ND18" i="122" s="1"/>
  <c r="ND20" i="122" s="1"/>
  <c r="ND21" i="122" s="1"/>
  <c r="ND22" i="122" s="1"/>
  <c r="ND23" i="122" s="1"/>
  <c r="ND24" i="122" s="1"/>
  <c r="ND25" i="122" s="1"/>
  <c r="ND26" i="122" s="1"/>
  <c r="ND27" i="122" s="1"/>
  <c r="ND28" i="122" s="1"/>
  <c r="ND29" i="122" s="1"/>
  <c r="ND31" i="122" s="1"/>
  <c r="ND32" i="122" s="1"/>
  <c r="ND33" i="122" s="1"/>
  <c r="ND34" i="122" s="1"/>
  <c r="ND35" i="122" s="1"/>
  <c r="ND36" i="122" s="1"/>
  <c r="ND37" i="122" s="1"/>
  <c r="ND38" i="122" s="1"/>
  <c r="ND39" i="122" s="1"/>
  <c r="ND40" i="122" s="1"/>
  <c r="ND41" i="122" s="1"/>
  <c r="NE9" i="124" s="1"/>
  <c r="NP34" i="120"/>
  <c r="R56" i="118"/>
  <c r="NZ33" i="120"/>
  <c r="AD55" i="118"/>
  <c r="NF41" i="120"/>
  <c r="NF44" i="120" s="1"/>
  <c r="NO33" i="120"/>
  <c r="AA55" i="118"/>
  <c r="AL33" i="121"/>
  <c r="PA35" i="120"/>
  <c r="PG34" i="120"/>
  <c r="MZ32" i="120"/>
  <c r="PO33" i="120"/>
  <c r="NT34" i="120"/>
  <c r="NG35" i="120"/>
  <c r="OG35" i="120"/>
  <c r="QG35" i="120"/>
  <c r="NA34" i="120"/>
  <c r="AB20" i="118"/>
  <c r="OQ26" i="116"/>
  <c r="AF16" i="118"/>
  <c r="T49" i="116"/>
  <c r="T228" i="116"/>
  <c r="AA49" i="116"/>
  <c r="U41" i="116"/>
  <c r="E10" i="116"/>
  <c r="AX46" i="117"/>
  <c r="AX47" i="117" s="1"/>
  <c r="AB25" i="95"/>
  <c r="AB16" i="95" s="1"/>
  <c r="AY40" i="2"/>
  <c r="GN41" i="116"/>
  <c r="GN42" i="116" s="1"/>
  <c r="GN44" i="116" s="1"/>
  <c r="R44" i="117"/>
  <c r="R47" i="117"/>
  <c r="D44" i="117"/>
  <c r="E44" i="117" s="1"/>
  <c r="E43" i="117"/>
  <c r="PO12" i="116"/>
  <c r="MZ11" i="116"/>
  <c r="NG15" i="116"/>
  <c r="PG14" i="116"/>
  <c r="PA15" i="116"/>
  <c r="OG15" i="116"/>
  <c r="QH12" i="116"/>
  <c r="NA11" i="116"/>
  <c r="P44" i="116"/>
  <c r="Q42" i="116"/>
  <c r="Q44" i="116" s="1"/>
  <c r="RJ13" i="116"/>
  <c r="RM12" i="116"/>
  <c r="NG41" i="116"/>
  <c r="NG42" i="116" s="1"/>
  <c r="RJ22" i="116"/>
  <c r="RM21" i="116"/>
  <c r="QG15" i="116"/>
  <c r="NT15" i="116"/>
  <c r="EX16" i="111"/>
  <c r="EQ17" i="111"/>
  <c r="EX17" i="111"/>
  <c r="EQ18" i="111"/>
  <c r="EX18" i="111"/>
  <c r="EQ19" i="111"/>
  <c r="EX19" i="111"/>
  <c r="EQ20" i="111"/>
  <c r="EX20" i="111"/>
  <c r="EQ21" i="111"/>
  <c r="EX21" i="111"/>
  <c r="EQ22" i="111"/>
  <c r="EX22" i="111"/>
  <c r="EQ23" i="111"/>
  <c r="EX23" i="111"/>
  <c r="NG9" i="124" l="1"/>
  <c r="NE10" i="124"/>
  <c r="NF9" i="122"/>
  <c r="QH33" i="122"/>
  <c r="NC11" i="122"/>
  <c r="NC12" i="122" s="1"/>
  <c r="NC13" i="122" s="1"/>
  <c r="NC14" i="122" s="1"/>
  <c r="NC15" i="122" s="1"/>
  <c r="NC16" i="122" s="1"/>
  <c r="NC17" i="122" s="1"/>
  <c r="NC18" i="122" s="1"/>
  <c r="NF10" i="122"/>
  <c r="MX10" i="122" s="1"/>
  <c r="NP35" i="120"/>
  <c r="R57" i="118"/>
  <c r="NO34" i="120"/>
  <c r="AA56" i="118"/>
  <c r="NZ34" i="120"/>
  <c r="AD56" i="118"/>
  <c r="AL34" i="121"/>
  <c r="NA35" i="120"/>
  <c r="QG36" i="120"/>
  <c r="OG36" i="120"/>
  <c r="NT35" i="120"/>
  <c r="MZ33" i="120"/>
  <c r="PO34" i="120"/>
  <c r="PA36" i="120"/>
  <c r="PG35" i="120"/>
  <c r="OQ27" i="116"/>
  <c r="AF18" i="118"/>
  <c r="AB21" i="118"/>
  <c r="AY44" i="2"/>
  <c r="T44" i="116"/>
  <c r="U44" i="116" s="1"/>
  <c r="U42" i="116"/>
  <c r="D42" i="116"/>
  <c r="D44" i="116" s="1"/>
  <c r="AB10" i="95"/>
  <c r="OG16" i="116"/>
  <c r="NG16" i="116"/>
  <c r="NT16" i="116"/>
  <c r="PA16" i="116"/>
  <c r="PG15" i="116"/>
  <c r="RJ23" i="116"/>
  <c r="RM22" i="116"/>
  <c r="RJ14" i="116"/>
  <c r="RM13" i="116"/>
  <c r="QG16" i="116"/>
  <c r="NG44" i="116"/>
  <c r="PO13" i="116"/>
  <c r="MZ12" i="116"/>
  <c r="QH13" i="116"/>
  <c r="NA12" i="116"/>
  <c r="Y15" i="95"/>
  <c r="Z15" i="95"/>
  <c r="AA15" i="95"/>
  <c r="AB15" i="95"/>
  <c r="AC15" i="95"/>
  <c r="AD15" i="95"/>
  <c r="AE15" i="95"/>
  <c r="AF15" i="95"/>
  <c r="AG15" i="95"/>
  <c r="AH15" i="95"/>
  <c r="AI15" i="95"/>
  <c r="X15" i="95"/>
  <c r="NE11" i="124" l="1"/>
  <c r="NG10" i="124"/>
  <c r="MY10" i="124" s="1"/>
  <c r="NF18" i="122"/>
  <c r="MX18" i="122" s="1"/>
  <c r="QH34" i="122"/>
  <c r="NF11" i="122"/>
  <c r="MX11" i="122" s="1"/>
  <c r="NP36" i="120"/>
  <c r="R58" i="118"/>
  <c r="NZ35" i="120"/>
  <c r="AD57" i="118"/>
  <c r="NO35" i="120"/>
  <c r="AA57" i="118"/>
  <c r="AL35" i="121"/>
  <c r="PO35" i="120"/>
  <c r="MZ34" i="120"/>
  <c r="OG37" i="120"/>
  <c r="QG37" i="120"/>
  <c r="NA36" i="120"/>
  <c r="PG36" i="120"/>
  <c r="PA37" i="120"/>
  <c r="NT36" i="120"/>
  <c r="OQ28" i="116"/>
  <c r="AF19" i="118"/>
  <c r="E42" i="116"/>
  <c r="E44" i="116" s="1"/>
  <c r="RJ15" i="116"/>
  <c r="RM14" i="116"/>
  <c r="PG16" i="116"/>
  <c r="PA17" i="116"/>
  <c r="MZ13" i="116"/>
  <c r="PO14" i="116"/>
  <c r="RM23" i="116"/>
  <c r="RJ24" i="116"/>
  <c r="NT17" i="116"/>
  <c r="OG17" i="116"/>
  <c r="QG17" i="116"/>
  <c r="QH14" i="116"/>
  <c r="NA13" i="116"/>
  <c r="NG17" i="116"/>
  <c r="CM42" i="102"/>
  <c r="NE12" i="124" l="1"/>
  <c r="NG11" i="124"/>
  <c r="MY11" i="124" s="1"/>
  <c r="NC20" i="122"/>
  <c r="NF19" i="122"/>
  <c r="MX19" i="122" s="1"/>
  <c r="QH35" i="122"/>
  <c r="NF12" i="122"/>
  <c r="MX12" i="122" s="1"/>
  <c r="NP37" i="120"/>
  <c r="R59" i="118"/>
  <c r="NO36" i="120"/>
  <c r="AA58" i="118"/>
  <c r="NZ36" i="120"/>
  <c r="AD58" i="118"/>
  <c r="AL36" i="121"/>
  <c r="NT37" i="120"/>
  <c r="PA38" i="120"/>
  <c r="PG37" i="120"/>
  <c r="QG38" i="120"/>
  <c r="NA37" i="120"/>
  <c r="OG38" i="120"/>
  <c r="MZ35" i="120"/>
  <c r="PO36" i="120"/>
  <c r="OQ29" i="116"/>
  <c r="AF20" i="118"/>
  <c r="QH15" i="116"/>
  <c r="NA14" i="116"/>
  <c r="QG18" i="116"/>
  <c r="PO15" i="116"/>
  <c r="MZ14" i="116"/>
  <c r="NT18" i="116"/>
  <c r="PG17" i="116"/>
  <c r="PA18" i="116"/>
  <c r="OG18" i="116"/>
  <c r="RJ25" i="116"/>
  <c r="RM24" i="116"/>
  <c r="NG18" i="116"/>
  <c r="RM15" i="116"/>
  <c r="RJ16" i="116"/>
  <c r="NR42" i="102"/>
  <c r="LG13" i="111"/>
  <c r="B74" i="98"/>
  <c r="B73" i="98"/>
  <c r="IL40" i="111" a="1"/>
  <c r="IL40" i="111" s="1"/>
  <c r="IJ40" i="111" a="1"/>
  <c r="IJ40" i="111" s="1"/>
  <c r="IH40" i="111" a="1"/>
  <c r="IH40" i="111" s="1"/>
  <c r="W42" i="112" a="1"/>
  <c r="W42" i="112" s="1"/>
  <c r="V42" i="112" a="1"/>
  <c r="V42" i="112" s="1"/>
  <c r="U42" i="112" a="1"/>
  <c r="U42" i="112" s="1"/>
  <c r="BP13" i="112"/>
  <c r="BP14" i="112"/>
  <c r="BP15" i="112"/>
  <c r="BP16" i="112"/>
  <c r="BP17" i="112"/>
  <c r="BP18" i="112"/>
  <c r="BP19" i="112"/>
  <c r="BP20" i="112"/>
  <c r="BP21" i="112"/>
  <c r="BP22" i="112"/>
  <c r="BP23" i="112"/>
  <c r="BP24" i="112"/>
  <c r="BP25" i="112"/>
  <c r="BP26" i="112"/>
  <c r="BP27" i="112"/>
  <c r="BP28" i="112"/>
  <c r="BP29" i="112"/>
  <c r="BP30" i="112"/>
  <c r="BP31" i="112"/>
  <c r="BP32" i="112"/>
  <c r="BP33" i="112"/>
  <c r="BP34" i="112"/>
  <c r="BP35" i="112"/>
  <c r="BP36" i="112"/>
  <c r="BP37" i="112"/>
  <c r="BP38" i="112"/>
  <c r="BP39" i="112"/>
  <c r="BP40" i="112"/>
  <c r="BP41" i="112"/>
  <c r="BP42" i="112"/>
  <c r="BP12" i="112"/>
  <c r="AX20" i="103"/>
  <c r="NE13" i="124" l="1"/>
  <c r="NG12" i="124"/>
  <c r="MY12" i="124" s="1"/>
  <c r="NC21" i="122"/>
  <c r="NF20" i="122"/>
  <c r="MX20" i="122" s="1"/>
  <c r="QH36" i="122"/>
  <c r="NF13" i="122"/>
  <c r="MX13" i="122" s="1"/>
  <c r="NP38" i="120"/>
  <c r="R60" i="118"/>
  <c r="NZ37" i="120"/>
  <c r="AD59" i="118"/>
  <c r="NO37" i="120"/>
  <c r="AA59" i="118"/>
  <c r="AL37" i="121"/>
  <c r="PO37" i="120"/>
  <c r="MZ36" i="120"/>
  <c r="PG38" i="120"/>
  <c r="PA39" i="120"/>
  <c r="OG39" i="120"/>
  <c r="QG39" i="120"/>
  <c r="NA38" i="120"/>
  <c r="NT38" i="120"/>
  <c r="OQ30" i="116"/>
  <c r="AF21" i="118"/>
  <c r="RM25" i="116"/>
  <c r="RJ26" i="116"/>
  <c r="RJ17" i="116"/>
  <c r="RM17" i="116" s="1"/>
  <c r="RM16" i="116"/>
  <c r="PO16" i="116"/>
  <c r="MZ15" i="116"/>
  <c r="OG19" i="116"/>
  <c r="QG19" i="116"/>
  <c r="PA19" i="116"/>
  <c r="PG18" i="116"/>
  <c r="NT19" i="116"/>
  <c r="NG19" i="116"/>
  <c r="QH16" i="116"/>
  <c r="NA15" i="116"/>
  <c r="JA40" i="111" a="1"/>
  <c r="JA40" i="111" s="1"/>
  <c r="IY40" i="111" a="1"/>
  <c r="IY40" i="111" s="1"/>
  <c r="IW40" i="111" a="1"/>
  <c r="IW40" i="111" s="1"/>
  <c r="HJ40" i="111" a="1"/>
  <c r="HJ40" i="111" s="1"/>
  <c r="HH40" i="111" a="1"/>
  <c r="HH40" i="111" s="1"/>
  <c r="HF40" i="111" a="1"/>
  <c r="HF40" i="111" s="1"/>
  <c r="GU40" i="111" a="1"/>
  <c r="GU40" i="111" s="1"/>
  <c r="GT40" i="111" a="1"/>
  <c r="GT40" i="111" s="1"/>
  <c r="GS40" i="111" a="1"/>
  <c r="GS40" i="111" s="1"/>
  <c r="GR40" i="111" a="1"/>
  <c r="GR40" i="111" s="1"/>
  <c r="BM40" i="111" a="1"/>
  <c r="BM40" i="111" s="1"/>
  <c r="T11" i="111"/>
  <c r="BD40" i="111" a="1"/>
  <c r="BD40" i="111" s="1"/>
  <c r="AX40" i="111" a="1"/>
  <c r="AX40" i="111" s="1"/>
  <c r="NE14" i="124" l="1"/>
  <c r="NG13" i="124"/>
  <c r="MY13" i="124" s="1"/>
  <c r="NC22" i="122"/>
  <c r="NF21" i="122"/>
  <c r="MX21" i="122" s="1"/>
  <c r="QH37" i="122"/>
  <c r="NF14" i="122"/>
  <c r="MX14" i="122" s="1"/>
  <c r="NP39" i="120"/>
  <c r="R61" i="118"/>
  <c r="NO38" i="120"/>
  <c r="AA60" i="118"/>
  <c r="NZ38" i="120"/>
  <c r="AD60" i="118"/>
  <c r="AL38" i="121"/>
  <c r="NT39" i="120"/>
  <c r="NA39" i="120"/>
  <c r="QG40" i="120"/>
  <c r="OG40" i="120"/>
  <c r="PA40" i="120"/>
  <c r="PG39" i="120"/>
  <c r="PO38" i="120"/>
  <c r="MZ37" i="120"/>
  <c r="OQ31" i="116"/>
  <c r="AF22" i="118"/>
  <c r="QH17" i="116"/>
  <c r="NA16" i="116"/>
  <c r="NG20" i="116"/>
  <c r="PA20" i="116"/>
  <c r="PG19" i="116"/>
  <c r="QG20" i="116"/>
  <c r="OG20" i="116"/>
  <c r="PO17" i="116"/>
  <c r="MZ16" i="116"/>
  <c r="RJ27" i="116"/>
  <c r="RM26" i="116"/>
  <c r="NT20" i="116"/>
  <c r="NE15" i="124" l="1"/>
  <c r="NG14" i="124"/>
  <c r="MY14" i="124" s="1"/>
  <c r="NC23" i="122"/>
  <c r="NF22" i="122"/>
  <c r="MX22" i="122" s="1"/>
  <c r="QH38" i="122"/>
  <c r="NF15" i="122"/>
  <c r="MX15" i="122" s="1"/>
  <c r="NP40" i="120"/>
  <c r="R62" i="118"/>
  <c r="NZ39" i="120"/>
  <c r="AD61" i="118"/>
  <c r="NO39" i="120"/>
  <c r="AA61" i="118"/>
  <c r="AL39" i="121"/>
  <c r="PA41" i="120"/>
  <c r="PA42" i="120" s="1"/>
  <c r="PA44" i="120" s="1"/>
  <c r="PG40" i="120"/>
  <c r="PG41" i="120" s="1"/>
  <c r="PG42" i="120" s="1"/>
  <c r="PG44" i="120" s="1"/>
  <c r="OG41" i="120"/>
  <c r="NT40" i="120"/>
  <c r="PO39" i="120"/>
  <c r="MZ38" i="120"/>
  <c r="NA40" i="120"/>
  <c r="NA41" i="120" s="1"/>
  <c r="NA42" i="120" s="1"/>
  <c r="NA44" i="120" s="1"/>
  <c r="QG41" i="120"/>
  <c r="OQ32" i="116"/>
  <c r="AF23" i="118"/>
  <c r="NT21" i="116"/>
  <c r="RJ28" i="116"/>
  <c r="RM27" i="116"/>
  <c r="PO18" i="116"/>
  <c r="MZ17" i="116"/>
  <c r="PG20" i="116"/>
  <c r="PA21" i="116"/>
  <c r="OG21" i="116"/>
  <c r="NG21" i="116"/>
  <c r="QG21" i="116"/>
  <c r="QH18" i="116"/>
  <c r="NA17" i="116"/>
  <c r="P132" i="111"/>
  <c r="O132" i="111"/>
  <c r="T50" i="111"/>
  <c r="S50" i="111"/>
  <c r="X50" i="111"/>
  <c r="X51" i="111" s="1"/>
  <c r="P50" i="111"/>
  <c r="P51" i="111" s="1"/>
  <c r="O50" i="111"/>
  <c r="O51" i="111" s="1"/>
  <c r="NE16" i="124" l="1"/>
  <c r="NG15" i="124"/>
  <c r="MY15" i="124" s="1"/>
  <c r="NC24" i="122"/>
  <c r="NF23" i="122"/>
  <c r="MX23" i="122" s="1"/>
  <c r="QG44" i="120"/>
  <c r="QG9" i="122"/>
  <c r="QG10" i="122" s="1"/>
  <c r="QH39" i="122"/>
  <c r="NF17" i="122"/>
  <c r="NF16" i="122"/>
  <c r="MX16" i="122" s="1"/>
  <c r="NP41" i="120"/>
  <c r="NP9" i="122" s="1"/>
  <c r="NP10" i="122" s="1"/>
  <c r="NP11" i="122" s="1"/>
  <c r="NP12" i="122" s="1"/>
  <c r="NP13" i="122" s="1"/>
  <c r="R63" i="118"/>
  <c r="NO40" i="120"/>
  <c r="NO41" i="120" s="1"/>
  <c r="AA62" i="118"/>
  <c r="NZ40" i="120"/>
  <c r="AD62" i="118"/>
  <c r="AL40" i="121"/>
  <c r="AJ43" i="121"/>
  <c r="NT41" i="120"/>
  <c r="NT42" i="120" s="1"/>
  <c r="NT44" i="120" s="1"/>
  <c r="PO40" i="120"/>
  <c r="MZ39" i="120"/>
  <c r="OQ33" i="116"/>
  <c r="AF24" i="118"/>
  <c r="QH19" i="116"/>
  <c r="NA18" i="116"/>
  <c r="QG22" i="116"/>
  <c r="OG22" i="116"/>
  <c r="NG22" i="116"/>
  <c r="PG21" i="116"/>
  <c r="PA22" i="116"/>
  <c r="MZ18" i="116"/>
  <c r="PO19" i="116"/>
  <c r="RM28" i="116"/>
  <c r="RJ29" i="116"/>
  <c r="NT22" i="116"/>
  <c r="BE40" i="111"/>
  <c r="D130" i="112"/>
  <c r="C130" i="112"/>
  <c r="D129" i="112"/>
  <c r="C129" i="112"/>
  <c r="D128" i="112"/>
  <c r="C128" i="112"/>
  <c r="D127" i="112"/>
  <c r="C127" i="112"/>
  <c r="D126" i="112"/>
  <c r="C126" i="112"/>
  <c r="D125" i="112"/>
  <c r="C125" i="112"/>
  <c r="D124" i="112"/>
  <c r="C124" i="112"/>
  <c r="D123" i="112"/>
  <c r="C123" i="112"/>
  <c r="D122" i="112"/>
  <c r="C122" i="112"/>
  <c r="D121" i="112"/>
  <c r="C121" i="112"/>
  <c r="D120" i="112"/>
  <c r="C120" i="112"/>
  <c r="D119" i="112"/>
  <c r="C119" i="112"/>
  <c r="D118" i="112"/>
  <c r="C118" i="112"/>
  <c r="D117" i="112"/>
  <c r="C117" i="112"/>
  <c r="D116" i="112"/>
  <c r="C116" i="112"/>
  <c r="D115" i="112"/>
  <c r="C115" i="112"/>
  <c r="D114" i="112"/>
  <c r="C114" i="112"/>
  <c r="D113" i="112"/>
  <c r="C113" i="112"/>
  <c r="D112" i="112"/>
  <c r="C112" i="112"/>
  <c r="D111" i="112"/>
  <c r="C111" i="112"/>
  <c r="D110" i="112"/>
  <c r="C110" i="112"/>
  <c r="D109" i="112"/>
  <c r="C109" i="112"/>
  <c r="D108" i="112"/>
  <c r="C108" i="112"/>
  <c r="D107" i="112"/>
  <c r="C107" i="112"/>
  <c r="D106" i="112"/>
  <c r="C106" i="112"/>
  <c r="D105" i="112"/>
  <c r="C105" i="112"/>
  <c r="D104" i="112"/>
  <c r="C104" i="112"/>
  <c r="D103" i="112"/>
  <c r="C103" i="112"/>
  <c r="D102" i="112"/>
  <c r="C102" i="112"/>
  <c r="D101" i="112"/>
  <c r="C101" i="112"/>
  <c r="O100" i="112"/>
  <c r="O101" i="112" s="1"/>
  <c r="O102" i="112" s="1"/>
  <c r="O103" i="112" s="1"/>
  <c r="O104" i="112" s="1"/>
  <c r="O105" i="112" s="1"/>
  <c r="O106" i="112" s="1"/>
  <c r="O107" i="112" s="1"/>
  <c r="O108" i="112" s="1"/>
  <c r="O109" i="112" s="1"/>
  <c r="O110" i="112" s="1"/>
  <c r="O111" i="112" s="1"/>
  <c r="O112" i="112" s="1"/>
  <c r="O113" i="112" s="1"/>
  <c r="O114" i="112" s="1"/>
  <c r="O115" i="112" s="1"/>
  <c r="O116" i="112" s="1"/>
  <c r="O117" i="112" s="1"/>
  <c r="O118" i="112" s="1"/>
  <c r="O119" i="112" s="1"/>
  <c r="O120" i="112" s="1"/>
  <c r="O121" i="112" s="1"/>
  <c r="O122" i="112" s="1"/>
  <c r="O123" i="112" s="1"/>
  <c r="O124" i="112" s="1"/>
  <c r="O125" i="112" s="1"/>
  <c r="O126" i="112" s="1"/>
  <c r="O127" i="112" s="1"/>
  <c r="O128" i="112" s="1"/>
  <c r="O129" i="112" s="1"/>
  <c r="O130" i="112" s="1"/>
  <c r="D100" i="112"/>
  <c r="C100" i="112"/>
  <c r="S45" i="112"/>
  <c r="D45" i="112"/>
  <c r="C45" i="112"/>
  <c r="BQ43" i="112"/>
  <c r="BQ44" i="112" s="1"/>
  <c r="BQ46" i="112" s="1"/>
  <c r="BQ47" i="112" s="1"/>
  <c r="BN43" i="112"/>
  <c r="BN44" i="112" s="1"/>
  <c r="BN46" i="112" s="1"/>
  <c r="BN47" i="112" s="1"/>
  <c r="BM43" i="112"/>
  <c r="BM44" i="112" s="1"/>
  <c r="BL43" i="112"/>
  <c r="BL44" i="112" s="1"/>
  <c r="BK43" i="112"/>
  <c r="AU43" i="112"/>
  <c r="AU44" i="112" s="1"/>
  <c r="AP43" i="112"/>
  <c r="AP44" i="112" s="1"/>
  <c r="AO43" i="112"/>
  <c r="AO44" i="112" s="1"/>
  <c r="AI43" i="112"/>
  <c r="AI44" i="112" s="1"/>
  <c r="AD43" i="112"/>
  <c r="AD44" i="112" s="1"/>
  <c r="AC43" i="112"/>
  <c r="Z43" i="112"/>
  <c r="Z44" i="112" s="1"/>
  <c r="X43" i="112"/>
  <c r="X44" i="112" s="1"/>
  <c r="W43" i="112"/>
  <c r="W44" i="112" s="1"/>
  <c r="V43" i="112"/>
  <c r="V44" i="112" s="1"/>
  <c r="U43" i="112"/>
  <c r="U44" i="112" s="1"/>
  <c r="P43" i="112"/>
  <c r="P44" i="112" s="1"/>
  <c r="O43" i="112"/>
  <c r="I43" i="112"/>
  <c r="I44" i="112" s="1"/>
  <c r="H43" i="112"/>
  <c r="AQ42" i="112"/>
  <c r="Q42" i="112"/>
  <c r="C42" i="112"/>
  <c r="AQ41" i="112"/>
  <c r="Q41" i="112"/>
  <c r="C41" i="112"/>
  <c r="AQ40" i="112"/>
  <c r="Q40" i="112"/>
  <c r="C40" i="112"/>
  <c r="AQ39" i="112"/>
  <c r="Q39" i="112"/>
  <c r="C39" i="112"/>
  <c r="AQ38" i="112"/>
  <c r="Q38" i="112"/>
  <c r="C38" i="112"/>
  <c r="AQ37" i="112"/>
  <c r="Q37" i="112"/>
  <c r="C37" i="112"/>
  <c r="AQ36" i="112"/>
  <c r="Q36" i="112"/>
  <c r="C36" i="112"/>
  <c r="AQ35" i="112"/>
  <c r="Q35" i="112"/>
  <c r="R35" i="112" s="1"/>
  <c r="S35" i="112" s="1"/>
  <c r="E35" i="112" s="1"/>
  <c r="C35" i="112"/>
  <c r="AQ34" i="112"/>
  <c r="Q34" i="112"/>
  <c r="C34" i="112"/>
  <c r="AQ33" i="112"/>
  <c r="Q33" i="112"/>
  <c r="R33" i="112" s="1"/>
  <c r="S33" i="112" s="1"/>
  <c r="E33" i="112" s="1"/>
  <c r="C33" i="112"/>
  <c r="AQ32" i="112"/>
  <c r="Q32" i="112"/>
  <c r="C32" i="112"/>
  <c r="AQ31" i="112"/>
  <c r="Q31" i="112"/>
  <c r="C31" i="112"/>
  <c r="AQ30" i="112"/>
  <c r="Q30" i="112"/>
  <c r="C30" i="112"/>
  <c r="AQ29" i="112"/>
  <c r="Q29" i="112"/>
  <c r="R29" i="112" s="1"/>
  <c r="S29" i="112" s="1"/>
  <c r="E29" i="112" s="1"/>
  <c r="C29" i="112"/>
  <c r="AQ28" i="112"/>
  <c r="Q28" i="112"/>
  <c r="C28" i="112"/>
  <c r="AQ27" i="112"/>
  <c r="Q27" i="112"/>
  <c r="C27" i="112"/>
  <c r="AQ26" i="112"/>
  <c r="Q26" i="112"/>
  <c r="C26" i="112"/>
  <c r="AQ25" i="112"/>
  <c r="Q25" i="112"/>
  <c r="C25" i="112"/>
  <c r="AQ24" i="112"/>
  <c r="Q24" i="112"/>
  <c r="C24" i="112"/>
  <c r="AQ23" i="112"/>
  <c r="Q23" i="112"/>
  <c r="C23" i="112"/>
  <c r="AQ22" i="112"/>
  <c r="Q22" i="112"/>
  <c r="C22" i="112"/>
  <c r="AQ21" i="112"/>
  <c r="Q21" i="112"/>
  <c r="C21" i="112"/>
  <c r="AQ20" i="112"/>
  <c r="Q20" i="112"/>
  <c r="C20" i="112"/>
  <c r="AQ19" i="112"/>
  <c r="Q19" i="112"/>
  <c r="C19" i="112"/>
  <c r="AQ18" i="112"/>
  <c r="Q18" i="112"/>
  <c r="C18" i="112"/>
  <c r="AQ17" i="112"/>
  <c r="Q17" i="112"/>
  <c r="C17" i="112"/>
  <c r="AQ16" i="112"/>
  <c r="Q16" i="112"/>
  <c r="C16" i="112"/>
  <c r="AQ15" i="112"/>
  <c r="Q15" i="112"/>
  <c r="C15" i="112"/>
  <c r="AQ14" i="112"/>
  <c r="Q14" i="112"/>
  <c r="C14" i="112"/>
  <c r="AQ13" i="112"/>
  <c r="Q13" i="112"/>
  <c r="C13" i="112"/>
  <c r="BP43" i="112"/>
  <c r="BP44" i="112" s="1"/>
  <c r="BP46" i="112" s="1"/>
  <c r="BP47" i="112" s="1"/>
  <c r="AQ12" i="112"/>
  <c r="Q12" i="112"/>
  <c r="C12" i="112"/>
  <c r="JH224" i="111"/>
  <c r="BY211" i="111"/>
  <c r="BV210" i="111"/>
  <c r="BP210" i="111"/>
  <c r="BM210" i="111"/>
  <c r="P178" i="111"/>
  <c r="P179" i="111" s="1"/>
  <c r="P180" i="111" s="1"/>
  <c r="P181" i="111" s="1"/>
  <c r="P182" i="111" s="1"/>
  <c r="P183" i="111" s="1"/>
  <c r="P184" i="111" s="1"/>
  <c r="P185" i="111" s="1"/>
  <c r="P186" i="111" s="1"/>
  <c r="P187" i="111" s="1"/>
  <c r="P188" i="111" s="1"/>
  <c r="P189" i="111" s="1"/>
  <c r="P190" i="111" s="1"/>
  <c r="P191" i="111" s="1"/>
  <c r="P192" i="111" s="1"/>
  <c r="P193" i="111" s="1"/>
  <c r="P194" i="111" s="1"/>
  <c r="P195" i="111" s="1"/>
  <c r="P196" i="111" s="1"/>
  <c r="P197" i="111" s="1"/>
  <c r="P198" i="111" s="1"/>
  <c r="P199" i="111" s="1"/>
  <c r="P200" i="111" s="1"/>
  <c r="P201" i="111" s="1"/>
  <c r="P202" i="111" s="1"/>
  <c r="P203" i="111" s="1"/>
  <c r="P204" i="111" s="1"/>
  <c r="P205" i="111" s="1"/>
  <c r="P206" i="111" s="1"/>
  <c r="P207" i="111" s="1"/>
  <c r="P208" i="111" s="1"/>
  <c r="O178" i="111"/>
  <c r="O179" i="111" s="1"/>
  <c r="O180" i="111" s="1"/>
  <c r="O181" i="111" s="1"/>
  <c r="O182" i="111" s="1"/>
  <c r="O183" i="111" s="1"/>
  <c r="O184" i="111" s="1"/>
  <c r="O185" i="111" s="1"/>
  <c r="O186" i="111" s="1"/>
  <c r="O187" i="111" s="1"/>
  <c r="O188" i="111" s="1"/>
  <c r="O189" i="111" s="1"/>
  <c r="O190" i="111" s="1"/>
  <c r="O191" i="111" s="1"/>
  <c r="O192" i="111" s="1"/>
  <c r="O193" i="111" s="1"/>
  <c r="O194" i="111" s="1"/>
  <c r="O195" i="111" s="1"/>
  <c r="O196" i="111" s="1"/>
  <c r="O197" i="111" s="1"/>
  <c r="O198" i="111" s="1"/>
  <c r="O199" i="111" s="1"/>
  <c r="O200" i="111" s="1"/>
  <c r="O201" i="111" s="1"/>
  <c r="O202" i="111" s="1"/>
  <c r="O203" i="111" s="1"/>
  <c r="O204" i="111" s="1"/>
  <c r="O205" i="111" s="1"/>
  <c r="O206" i="111" s="1"/>
  <c r="O207" i="111" s="1"/>
  <c r="O208" i="111" s="1"/>
  <c r="Q177" i="111"/>
  <c r="T137" i="111"/>
  <c r="P136" i="111"/>
  <c r="P137" i="111" s="1"/>
  <c r="P138" i="111" s="1"/>
  <c r="P139" i="111" s="1"/>
  <c r="P140" i="111" s="1"/>
  <c r="P141" i="111" s="1"/>
  <c r="P142" i="111" s="1"/>
  <c r="P143" i="111" s="1"/>
  <c r="P144" i="111" s="1"/>
  <c r="P145" i="111" s="1"/>
  <c r="P146" i="111" s="1"/>
  <c r="P147" i="111" s="1"/>
  <c r="P148" i="111" s="1"/>
  <c r="P149" i="111" s="1"/>
  <c r="P150" i="111" s="1"/>
  <c r="P151" i="111" s="1"/>
  <c r="P152" i="111" s="1"/>
  <c r="P153" i="111" s="1"/>
  <c r="P154" i="111" s="1"/>
  <c r="P155" i="111" s="1"/>
  <c r="P156" i="111" s="1"/>
  <c r="P157" i="111" s="1"/>
  <c r="P158" i="111" s="1"/>
  <c r="P159" i="111" s="1"/>
  <c r="P160" i="111" s="1"/>
  <c r="P161" i="111" s="1"/>
  <c r="P162" i="111" s="1"/>
  <c r="P163" i="111" s="1"/>
  <c r="P164" i="111" s="1"/>
  <c r="P165" i="111" s="1"/>
  <c r="P166" i="111" s="1"/>
  <c r="O136" i="111"/>
  <c r="O137" i="111" s="1"/>
  <c r="O138" i="111" s="1"/>
  <c r="O139" i="111" s="1"/>
  <c r="O140" i="111" s="1"/>
  <c r="O141" i="111" s="1"/>
  <c r="O142" i="111" s="1"/>
  <c r="O143" i="111" s="1"/>
  <c r="O144" i="111" s="1"/>
  <c r="O145" i="111" s="1"/>
  <c r="O146" i="111" s="1"/>
  <c r="O147" i="111" s="1"/>
  <c r="O148" i="111" s="1"/>
  <c r="O149" i="111" s="1"/>
  <c r="O150" i="111" s="1"/>
  <c r="O151" i="111" s="1"/>
  <c r="O152" i="111" s="1"/>
  <c r="O153" i="111" s="1"/>
  <c r="O154" i="111" s="1"/>
  <c r="O155" i="111" s="1"/>
  <c r="O156" i="111" s="1"/>
  <c r="O157" i="111" s="1"/>
  <c r="O158" i="111" s="1"/>
  <c r="O159" i="111" s="1"/>
  <c r="O160" i="111" s="1"/>
  <c r="O161" i="111" s="1"/>
  <c r="O162" i="111" s="1"/>
  <c r="O163" i="111" s="1"/>
  <c r="O164" i="111" s="1"/>
  <c r="O165" i="111" s="1"/>
  <c r="O166" i="111" s="1"/>
  <c r="X95" i="111"/>
  <c r="X96" i="111" s="1"/>
  <c r="X97" i="111" s="1"/>
  <c r="X98" i="111" s="1"/>
  <c r="X99" i="111" s="1"/>
  <c r="X100" i="111" s="1"/>
  <c r="X101" i="111" s="1"/>
  <c r="X102" i="111" s="1"/>
  <c r="X103" i="111" s="1"/>
  <c r="X104" i="111" s="1"/>
  <c r="X105" i="111" s="1"/>
  <c r="X106" i="111" s="1"/>
  <c r="X107" i="111" s="1"/>
  <c r="X108" i="111" s="1"/>
  <c r="X109" i="111" s="1"/>
  <c r="X110" i="111" s="1"/>
  <c r="X111" i="111" s="1"/>
  <c r="X112" i="111" s="1"/>
  <c r="X113" i="111" s="1"/>
  <c r="X114" i="111" s="1"/>
  <c r="X115" i="111" s="1"/>
  <c r="X116" i="111" s="1"/>
  <c r="X117" i="111" s="1"/>
  <c r="X118" i="111" s="1"/>
  <c r="X119" i="111" s="1"/>
  <c r="X120" i="111" s="1"/>
  <c r="X121" i="111" s="1"/>
  <c r="X122" i="111" s="1"/>
  <c r="X123" i="111" s="1"/>
  <c r="X124" i="111" s="1"/>
  <c r="X125" i="111" s="1"/>
  <c r="W95" i="111"/>
  <c r="W96" i="111" s="1"/>
  <c r="W97" i="111" s="1"/>
  <c r="W98" i="111" s="1"/>
  <c r="W99" i="111" s="1"/>
  <c r="W100" i="111" s="1"/>
  <c r="W101" i="111" s="1"/>
  <c r="W102" i="111" s="1"/>
  <c r="W103" i="111" s="1"/>
  <c r="W104" i="111" s="1"/>
  <c r="W105" i="111" s="1"/>
  <c r="W106" i="111" s="1"/>
  <c r="W107" i="111" s="1"/>
  <c r="W108" i="111" s="1"/>
  <c r="W109" i="111" s="1"/>
  <c r="W110" i="111" s="1"/>
  <c r="W111" i="111" s="1"/>
  <c r="W112" i="111" s="1"/>
  <c r="W113" i="111" s="1"/>
  <c r="W114" i="111" s="1"/>
  <c r="W115" i="111" s="1"/>
  <c r="W116" i="111" s="1"/>
  <c r="W117" i="111" s="1"/>
  <c r="W118" i="111" s="1"/>
  <c r="W119" i="111" s="1"/>
  <c r="W120" i="111" s="1"/>
  <c r="W121" i="111" s="1"/>
  <c r="W122" i="111" s="1"/>
  <c r="W123" i="111" s="1"/>
  <c r="W124" i="111" s="1"/>
  <c r="W125" i="111" s="1"/>
  <c r="T95" i="111"/>
  <c r="T96" i="111" s="1"/>
  <c r="T97" i="111" s="1"/>
  <c r="T98" i="111" s="1"/>
  <c r="T99" i="111" s="1"/>
  <c r="T100" i="111" s="1"/>
  <c r="T101" i="111" s="1"/>
  <c r="T102" i="111" s="1"/>
  <c r="T103" i="111" s="1"/>
  <c r="T104" i="111" s="1"/>
  <c r="T105" i="111" s="1"/>
  <c r="T106" i="111" s="1"/>
  <c r="T107" i="111" s="1"/>
  <c r="T108" i="111" s="1"/>
  <c r="T109" i="111" s="1"/>
  <c r="T110" i="111" s="1"/>
  <c r="T111" i="111" s="1"/>
  <c r="T112" i="111" s="1"/>
  <c r="T113" i="111" s="1"/>
  <c r="T114" i="111" s="1"/>
  <c r="T115" i="111" s="1"/>
  <c r="T116" i="111" s="1"/>
  <c r="T117" i="111" s="1"/>
  <c r="T118" i="111" s="1"/>
  <c r="T119" i="111" s="1"/>
  <c r="T120" i="111" s="1"/>
  <c r="T121" i="111" s="1"/>
  <c r="T122" i="111" s="1"/>
  <c r="T123" i="111" s="1"/>
  <c r="T124" i="111" s="1"/>
  <c r="T125" i="111" s="1"/>
  <c r="S95" i="111"/>
  <c r="S96" i="111" s="1"/>
  <c r="S97" i="111" s="1"/>
  <c r="S98" i="111" s="1"/>
  <c r="S99" i="111" s="1"/>
  <c r="S100" i="111" s="1"/>
  <c r="S101" i="111" s="1"/>
  <c r="S102" i="111" s="1"/>
  <c r="S103" i="111" s="1"/>
  <c r="S104" i="111" s="1"/>
  <c r="S105" i="111" s="1"/>
  <c r="S106" i="111" s="1"/>
  <c r="S107" i="111" s="1"/>
  <c r="S108" i="111" s="1"/>
  <c r="S109" i="111" s="1"/>
  <c r="S110" i="111" s="1"/>
  <c r="S111" i="111" s="1"/>
  <c r="S112" i="111" s="1"/>
  <c r="S113" i="111" s="1"/>
  <c r="S114" i="111" s="1"/>
  <c r="S115" i="111" s="1"/>
  <c r="S116" i="111" s="1"/>
  <c r="S117" i="111" s="1"/>
  <c r="S118" i="111" s="1"/>
  <c r="S119" i="111" s="1"/>
  <c r="S120" i="111" s="1"/>
  <c r="S121" i="111" s="1"/>
  <c r="S122" i="111" s="1"/>
  <c r="S123" i="111" s="1"/>
  <c r="S124" i="111" s="1"/>
  <c r="S125" i="111" s="1"/>
  <c r="P95" i="111"/>
  <c r="P96" i="111" s="1"/>
  <c r="P97" i="111" s="1"/>
  <c r="P98" i="111" s="1"/>
  <c r="P99" i="111" s="1"/>
  <c r="P100" i="111" s="1"/>
  <c r="P101" i="111" s="1"/>
  <c r="P102" i="111" s="1"/>
  <c r="P103" i="111" s="1"/>
  <c r="P104" i="111" s="1"/>
  <c r="P105" i="111" s="1"/>
  <c r="P106" i="111" s="1"/>
  <c r="P107" i="111" s="1"/>
  <c r="P108" i="111" s="1"/>
  <c r="P109" i="111" s="1"/>
  <c r="P110" i="111" s="1"/>
  <c r="P111" i="111" s="1"/>
  <c r="P112" i="111" s="1"/>
  <c r="P113" i="111" s="1"/>
  <c r="P114" i="111" s="1"/>
  <c r="P115" i="111" s="1"/>
  <c r="P116" i="111" s="1"/>
  <c r="P117" i="111" s="1"/>
  <c r="P118" i="111" s="1"/>
  <c r="P119" i="111" s="1"/>
  <c r="P120" i="111" s="1"/>
  <c r="P121" i="111" s="1"/>
  <c r="P122" i="111" s="1"/>
  <c r="P123" i="111" s="1"/>
  <c r="P124" i="111" s="1"/>
  <c r="P125" i="111" s="1"/>
  <c r="O95" i="111"/>
  <c r="O96" i="111" s="1"/>
  <c r="O97" i="111" s="1"/>
  <c r="O98" i="111" s="1"/>
  <c r="O99" i="111" s="1"/>
  <c r="O100" i="111" s="1"/>
  <c r="O101" i="111" s="1"/>
  <c r="O102" i="111" s="1"/>
  <c r="O103" i="111" s="1"/>
  <c r="O104" i="111" s="1"/>
  <c r="O105" i="111" s="1"/>
  <c r="O106" i="111" s="1"/>
  <c r="O107" i="111" s="1"/>
  <c r="O108" i="111" s="1"/>
  <c r="O109" i="111" s="1"/>
  <c r="O110" i="111" s="1"/>
  <c r="O111" i="111" s="1"/>
  <c r="O112" i="111" s="1"/>
  <c r="O113" i="111" s="1"/>
  <c r="O114" i="111" s="1"/>
  <c r="O115" i="111" s="1"/>
  <c r="O116" i="111" s="1"/>
  <c r="O117" i="111" s="1"/>
  <c r="O118" i="111" s="1"/>
  <c r="O119" i="111" s="1"/>
  <c r="O120" i="111" s="1"/>
  <c r="O121" i="111" s="1"/>
  <c r="O122" i="111" s="1"/>
  <c r="O123" i="111" s="1"/>
  <c r="O124" i="111" s="1"/>
  <c r="O125" i="111" s="1"/>
  <c r="AB94" i="111"/>
  <c r="BF58" i="111"/>
  <c r="BF57" i="111"/>
  <c r="BF59" i="111" s="1"/>
  <c r="X53" i="111"/>
  <c r="X54" i="111" s="1"/>
  <c r="X55" i="111" s="1"/>
  <c r="X56" i="111" s="1"/>
  <c r="X57" i="111" s="1"/>
  <c r="X58" i="111" s="1"/>
  <c r="X59" i="111" s="1"/>
  <c r="X60" i="111" s="1"/>
  <c r="X61" i="111" s="1"/>
  <c r="X62" i="111" s="1"/>
  <c r="X63" i="111" s="1"/>
  <c r="X64" i="111" s="1"/>
  <c r="X65" i="111" s="1"/>
  <c r="X66" i="111" s="1"/>
  <c r="X67" i="111" s="1"/>
  <c r="X68" i="111" s="1"/>
  <c r="X69" i="111" s="1"/>
  <c r="X70" i="111" s="1"/>
  <c r="X71" i="111" s="1"/>
  <c r="X72" i="111" s="1"/>
  <c r="X73" i="111" s="1"/>
  <c r="X74" i="111" s="1"/>
  <c r="X75" i="111" s="1"/>
  <c r="X76" i="111" s="1"/>
  <c r="X77" i="111" s="1"/>
  <c r="X78" i="111" s="1"/>
  <c r="X79" i="111" s="1"/>
  <c r="X80" i="111" s="1"/>
  <c r="X81" i="111" s="1"/>
  <c r="X82" i="111" s="1"/>
  <c r="X83" i="111" s="1"/>
  <c r="W53" i="111"/>
  <c r="W54" i="111" s="1"/>
  <c r="W55" i="111" s="1"/>
  <c r="W56" i="111" s="1"/>
  <c r="W57" i="111" s="1"/>
  <c r="W58" i="111" s="1"/>
  <c r="W59" i="111" s="1"/>
  <c r="W60" i="111" s="1"/>
  <c r="W61" i="111" s="1"/>
  <c r="W62" i="111" s="1"/>
  <c r="W63" i="111" s="1"/>
  <c r="W64" i="111" s="1"/>
  <c r="W65" i="111" s="1"/>
  <c r="W66" i="111" s="1"/>
  <c r="W67" i="111" s="1"/>
  <c r="W68" i="111" s="1"/>
  <c r="W69" i="111" s="1"/>
  <c r="W70" i="111" s="1"/>
  <c r="W71" i="111" s="1"/>
  <c r="W72" i="111" s="1"/>
  <c r="W73" i="111" s="1"/>
  <c r="W74" i="111" s="1"/>
  <c r="W75" i="111" s="1"/>
  <c r="W76" i="111" s="1"/>
  <c r="W77" i="111" s="1"/>
  <c r="W78" i="111" s="1"/>
  <c r="W79" i="111" s="1"/>
  <c r="W80" i="111" s="1"/>
  <c r="W81" i="111" s="1"/>
  <c r="W82" i="111" s="1"/>
  <c r="W83" i="111" s="1"/>
  <c r="T53" i="111"/>
  <c r="T54" i="111" s="1"/>
  <c r="T55" i="111" s="1"/>
  <c r="T56" i="111" s="1"/>
  <c r="T57" i="111" s="1"/>
  <c r="T58" i="111" s="1"/>
  <c r="T59" i="111" s="1"/>
  <c r="T60" i="111" s="1"/>
  <c r="T61" i="111" s="1"/>
  <c r="T62" i="111" s="1"/>
  <c r="T63" i="111" s="1"/>
  <c r="T64" i="111" s="1"/>
  <c r="T65" i="111" s="1"/>
  <c r="T66" i="111" s="1"/>
  <c r="T67" i="111" s="1"/>
  <c r="T68" i="111" s="1"/>
  <c r="T69" i="111" s="1"/>
  <c r="T70" i="111" s="1"/>
  <c r="T71" i="111" s="1"/>
  <c r="T72" i="111" s="1"/>
  <c r="T73" i="111" s="1"/>
  <c r="T74" i="111" s="1"/>
  <c r="T75" i="111" s="1"/>
  <c r="T76" i="111" s="1"/>
  <c r="T77" i="111" s="1"/>
  <c r="T78" i="111" s="1"/>
  <c r="T79" i="111" s="1"/>
  <c r="T80" i="111" s="1"/>
  <c r="T81" i="111" s="1"/>
  <c r="T82" i="111" s="1"/>
  <c r="T83" i="111" s="1"/>
  <c r="S53" i="111"/>
  <c r="S54" i="111" s="1"/>
  <c r="S55" i="111" s="1"/>
  <c r="S56" i="111" s="1"/>
  <c r="S57" i="111" s="1"/>
  <c r="S58" i="111" s="1"/>
  <c r="S59" i="111" s="1"/>
  <c r="S60" i="111" s="1"/>
  <c r="S61" i="111" s="1"/>
  <c r="S62" i="111" s="1"/>
  <c r="S63" i="111" s="1"/>
  <c r="S64" i="111" s="1"/>
  <c r="S65" i="111" s="1"/>
  <c r="S66" i="111" s="1"/>
  <c r="S67" i="111" s="1"/>
  <c r="S68" i="111" s="1"/>
  <c r="S69" i="111" s="1"/>
  <c r="S70" i="111" s="1"/>
  <c r="S71" i="111" s="1"/>
  <c r="S72" i="111" s="1"/>
  <c r="S73" i="111" s="1"/>
  <c r="S74" i="111" s="1"/>
  <c r="S75" i="111" s="1"/>
  <c r="S76" i="111" s="1"/>
  <c r="S77" i="111" s="1"/>
  <c r="S78" i="111" s="1"/>
  <c r="S79" i="111" s="1"/>
  <c r="S80" i="111" s="1"/>
  <c r="S81" i="111" s="1"/>
  <c r="S82" i="111" s="1"/>
  <c r="S83" i="111" s="1"/>
  <c r="P53" i="111"/>
  <c r="P54" i="111" s="1"/>
  <c r="P55" i="111" s="1"/>
  <c r="P56" i="111" s="1"/>
  <c r="P57" i="111" s="1"/>
  <c r="P58" i="111" s="1"/>
  <c r="P59" i="111" s="1"/>
  <c r="P60" i="111" s="1"/>
  <c r="P61" i="111" s="1"/>
  <c r="P62" i="111" s="1"/>
  <c r="P63" i="111" s="1"/>
  <c r="P64" i="111" s="1"/>
  <c r="P65" i="111" s="1"/>
  <c r="P66" i="111" s="1"/>
  <c r="P67" i="111" s="1"/>
  <c r="P68" i="111" s="1"/>
  <c r="P69" i="111" s="1"/>
  <c r="P70" i="111" s="1"/>
  <c r="P71" i="111" s="1"/>
  <c r="P72" i="111" s="1"/>
  <c r="P73" i="111" s="1"/>
  <c r="P74" i="111" s="1"/>
  <c r="P75" i="111" s="1"/>
  <c r="P76" i="111" s="1"/>
  <c r="P77" i="111" s="1"/>
  <c r="P78" i="111" s="1"/>
  <c r="P79" i="111" s="1"/>
  <c r="P80" i="111" s="1"/>
  <c r="P81" i="111" s="1"/>
  <c r="P82" i="111" s="1"/>
  <c r="P83" i="111" s="1"/>
  <c r="O53" i="111"/>
  <c r="O54" i="111" s="1"/>
  <c r="O55" i="111" s="1"/>
  <c r="O56" i="111" s="1"/>
  <c r="O57" i="111" s="1"/>
  <c r="O58" i="111" s="1"/>
  <c r="O59" i="111" s="1"/>
  <c r="O60" i="111" s="1"/>
  <c r="O61" i="111" s="1"/>
  <c r="O62" i="111" s="1"/>
  <c r="O63" i="111" s="1"/>
  <c r="O64" i="111" s="1"/>
  <c r="O65" i="111" s="1"/>
  <c r="O66" i="111" s="1"/>
  <c r="O67" i="111" s="1"/>
  <c r="O68" i="111" s="1"/>
  <c r="O69" i="111" s="1"/>
  <c r="O70" i="111" s="1"/>
  <c r="O71" i="111" s="1"/>
  <c r="O72" i="111" s="1"/>
  <c r="O73" i="111" s="1"/>
  <c r="O74" i="111" s="1"/>
  <c r="O75" i="111" s="1"/>
  <c r="O76" i="111" s="1"/>
  <c r="O77" i="111" s="1"/>
  <c r="O78" i="111" s="1"/>
  <c r="O79" i="111" s="1"/>
  <c r="O80" i="111" s="1"/>
  <c r="O81" i="111" s="1"/>
  <c r="O82" i="111" s="1"/>
  <c r="O83" i="111" s="1"/>
  <c r="BC52" i="111"/>
  <c r="AX52" i="111"/>
  <c r="AW52" i="111"/>
  <c r="GR50" i="111"/>
  <c r="BV49" i="111"/>
  <c r="BM48" i="111"/>
  <c r="DW47" i="111"/>
  <c r="CF45" i="111"/>
  <c r="CE45" i="111"/>
  <c r="CD45" i="111"/>
  <c r="BW45" i="111"/>
  <c r="BV45" i="111"/>
  <c r="BU45" i="111"/>
  <c r="BT45" i="111"/>
  <c r="BS45" i="111"/>
  <c r="BR45" i="111"/>
  <c r="BQ45" i="111"/>
  <c r="BP45" i="111"/>
  <c r="BO45" i="111"/>
  <c r="BN45" i="111"/>
  <c r="BM45" i="111"/>
  <c r="BL45" i="111"/>
  <c r="BK45" i="111"/>
  <c r="BJ45" i="111"/>
  <c r="BI45" i="111"/>
  <c r="BH45" i="111"/>
  <c r="BG45" i="111"/>
  <c r="BF45" i="111"/>
  <c r="S45" i="111" s="1"/>
  <c r="BE45" i="111"/>
  <c r="BD45" i="111"/>
  <c r="BC45" i="111"/>
  <c r="BB45" i="111"/>
  <c r="BA45" i="111"/>
  <c r="AZ45" i="111"/>
  <c r="AY45" i="111"/>
  <c r="AX45" i="111"/>
  <c r="AW45" i="111"/>
  <c r="AV45" i="111"/>
  <c r="AU45" i="111"/>
  <c r="AT45" i="111"/>
  <c r="AS45" i="111"/>
  <c r="AR45" i="111"/>
  <c r="AQ45" i="111"/>
  <c r="AP45" i="111"/>
  <c r="AO45" i="111"/>
  <c r="AN45" i="111"/>
  <c r="AL45" i="111"/>
  <c r="AK45" i="111"/>
  <c r="AJ45" i="111"/>
  <c r="AI45" i="111"/>
  <c r="AH45" i="111"/>
  <c r="AG45" i="111"/>
  <c r="AF45" i="111"/>
  <c r="AE45" i="111"/>
  <c r="Z45" i="111"/>
  <c r="Y45" i="111"/>
  <c r="X45" i="111"/>
  <c r="W45" i="111"/>
  <c r="V45" i="111"/>
  <c r="U45" i="111"/>
  <c r="T45" i="111"/>
  <c r="R45" i="111"/>
  <c r="Q45" i="111"/>
  <c r="P45" i="111"/>
  <c r="O45" i="111"/>
  <c r="PZ44" i="111"/>
  <c r="OL44" i="111"/>
  <c r="OJ44" i="111"/>
  <c r="OF44" i="111"/>
  <c r="LC44" i="111"/>
  <c r="CO44" i="111"/>
  <c r="CA44" i="111"/>
  <c r="LI43" i="111"/>
  <c r="JK43" i="111"/>
  <c r="JE43" i="111"/>
  <c r="IP43" i="111"/>
  <c r="GV43" i="111"/>
  <c r="GM43" i="111"/>
  <c r="CM43" i="111"/>
  <c r="CF43" i="111"/>
  <c r="CC43" i="111"/>
  <c r="BZ43" i="111"/>
  <c r="BW43" i="111"/>
  <c r="BT43" i="111"/>
  <c r="BQ43" i="111"/>
  <c r="BN43" i="111"/>
  <c r="BK43" i="111"/>
  <c r="BE43" i="111"/>
  <c r="AY43" i="111"/>
  <c r="AP43" i="111"/>
  <c r="AJ43" i="111"/>
  <c r="AJ44" i="111" s="1"/>
  <c r="AI43" i="111"/>
  <c r="AB43" i="111"/>
  <c r="X43" i="111"/>
  <c r="X90" i="111" s="1"/>
  <c r="W43" i="111"/>
  <c r="W90" i="111" s="1"/>
  <c r="T43" i="111"/>
  <c r="T90" i="111" s="1"/>
  <c r="S43" i="111"/>
  <c r="S90" i="111" s="1"/>
  <c r="P43" i="111"/>
  <c r="P90" i="111" s="1"/>
  <c r="O43" i="111"/>
  <c r="O90" i="111" s="1"/>
  <c r="AK42" i="111"/>
  <c r="PZ41" i="111"/>
  <c r="PW41" i="111"/>
  <c r="PW42" i="111" s="1"/>
  <c r="PW44" i="111" s="1"/>
  <c r="PU41" i="111"/>
  <c r="PU42" i="111" s="1"/>
  <c r="PU44" i="111" s="1"/>
  <c r="PS41" i="111"/>
  <c r="PR41" i="111"/>
  <c r="PR42" i="111" s="1"/>
  <c r="PR44" i="111" s="1"/>
  <c r="PQ41" i="111"/>
  <c r="PQ42" i="111" s="1"/>
  <c r="PQ44" i="111" s="1"/>
  <c r="PP41" i="111"/>
  <c r="PP42" i="111" s="1"/>
  <c r="PP44" i="111" s="1"/>
  <c r="PO41" i="111"/>
  <c r="PO42" i="111" s="1"/>
  <c r="PO44" i="111" s="1"/>
  <c r="PK41" i="111"/>
  <c r="PK42" i="111" s="1"/>
  <c r="PJ41" i="111"/>
  <c r="PJ42" i="111" s="1"/>
  <c r="PJ44" i="111" s="1"/>
  <c r="PH41" i="111"/>
  <c r="PH42" i="111" s="1"/>
  <c r="PH44" i="111" s="1"/>
  <c r="PG41" i="111"/>
  <c r="PG42" i="111" s="1"/>
  <c r="PG44" i="111" s="1"/>
  <c r="OX41" i="111"/>
  <c r="OX42" i="111" s="1"/>
  <c r="OX44" i="111" s="1"/>
  <c r="OW41" i="111"/>
  <c r="OW42" i="111" s="1"/>
  <c r="OW44" i="111" s="1"/>
  <c r="OV41" i="111"/>
  <c r="OV42" i="111" s="1"/>
  <c r="OV44" i="111" s="1"/>
  <c r="OU41" i="111"/>
  <c r="OU42" i="111" s="1"/>
  <c r="OU44" i="111" s="1"/>
  <c r="OT41" i="111"/>
  <c r="OT42" i="111" s="1"/>
  <c r="OT44" i="111" s="1"/>
  <c r="OS41" i="111"/>
  <c r="OS42" i="111" s="1"/>
  <c r="OS44" i="111" s="1"/>
  <c r="OB41" i="111"/>
  <c r="OB42" i="111" s="1"/>
  <c r="OC9" i="116" s="1"/>
  <c r="NA41" i="111"/>
  <c r="NA42" i="111" s="1"/>
  <c r="NA44" i="111" s="1"/>
  <c r="MV41" i="111"/>
  <c r="MV42" i="111" s="1"/>
  <c r="MV44" i="111" s="1"/>
  <c r="MU41" i="111"/>
  <c r="MU42" i="111" s="1"/>
  <c r="MU44" i="111" s="1"/>
  <c r="MS41" i="111"/>
  <c r="MS42" i="111" s="1"/>
  <c r="MS44" i="111" s="1"/>
  <c r="MR41" i="111"/>
  <c r="MR42" i="111" s="1"/>
  <c r="MR44" i="111" s="1"/>
  <c r="MQ41" i="111"/>
  <c r="MQ42" i="111" s="1"/>
  <c r="MQ44" i="111" s="1"/>
  <c r="MO41" i="111"/>
  <c r="MO42" i="111" s="1"/>
  <c r="MO44" i="111" s="1"/>
  <c r="MN41" i="111"/>
  <c r="MN42" i="111" s="1"/>
  <c r="MN44" i="111" s="1"/>
  <c r="MM41" i="111"/>
  <c r="MM42" i="111" s="1"/>
  <c r="MM44" i="111" s="1"/>
  <c r="ML41" i="111"/>
  <c r="ML42" i="111" s="1"/>
  <c r="ML44" i="111" s="1"/>
  <c r="MK41" i="111"/>
  <c r="MK42" i="111" s="1"/>
  <c r="MK44" i="111" s="1"/>
  <c r="MI41" i="111"/>
  <c r="MI42" i="111" s="1"/>
  <c r="MI44" i="111" s="1"/>
  <c r="MH41" i="111"/>
  <c r="MH42" i="111" s="1"/>
  <c r="MH44" i="111" s="1"/>
  <c r="MG41" i="111"/>
  <c r="MG42" i="111" s="1"/>
  <c r="MG44" i="111" s="1"/>
  <c r="MF41" i="111"/>
  <c r="MF42" i="111" s="1"/>
  <c r="MF44" i="111" s="1"/>
  <c r="ME41" i="111"/>
  <c r="ME42" i="111" s="1"/>
  <c r="MD41" i="111"/>
  <c r="MD42" i="111" s="1"/>
  <c r="MC41" i="111"/>
  <c r="MC42" i="111" s="1"/>
  <c r="MC44" i="111" s="1"/>
  <c r="MA41" i="111"/>
  <c r="MA42" i="111" s="1"/>
  <c r="LZ41" i="111"/>
  <c r="LZ42" i="111" s="1"/>
  <c r="LZ44" i="111" s="1"/>
  <c r="LY41" i="111"/>
  <c r="LY42" i="111" s="1"/>
  <c r="LY44" i="111" s="1"/>
  <c r="LX41" i="111"/>
  <c r="LX42" i="111" s="1"/>
  <c r="LW41" i="111"/>
  <c r="LW42" i="111" s="1"/>
  <c r="LW44" i="111" s="1"/>
  <c r="LU41" i="111"/>
  <c r="LU42" i="111" s="1"/>
  <c r="LU44" i="111" s="1"/>
  <c r="LT41" i="111"/>
  <c r="LT42" i="111" s="1"/>
  <c r="LT44" i="111" s="1"/>
  <c r="LS41" i="111"/>
  <c r="LS42" i="111" s="1"/>
  <c r="LS44" i="111" s="1"/>
  <c r="LR41" i="111"/>
  <c r="LR42" i="111" s="1"/>
  <c r="LQ41" i="111"/>
  <c r="LQ42" i="111" s="1"/>
  <c r="LQ44" i="111" s="1"/>
  <c r="LP41" i="111"/>
  <c r="LP42" i="111" s="1"/>
  <c r="LP44" i="111" s="1"/>
  <c r="LO41" i="111"/>
  <c r="LO42" i="111" s="1"/>
  <c r="LO44" i="111" s="1"/>
  <c r="LN41" i="111"/>
  <c r="LN42" i="111" s="1"/>
  <c r="LN44" i="111" s="1"/>
  <c r="LM41" i="111"/>
  <c r="LM42" i="111" s="1"/>
  <c r="LM44" i="111" s="1"/>
  <c r="LL41" i="111"/>
  <c r="LL42" i="111" s="1"/>
  <c r="LL44" i="111" s="1"/>
  <c r="LK41" i="111"/>
  <c r="LK42" i="111" s="1"/>
  <c r="LJ41" i="111"/>
  <c r="LJ42" i="111" s="1"/>
  <c r="LE41" i="111"/>
  <c r="LE42" i="111" s="1"/>
  <c r="LE44" i="111" s="1"/>
  <c r="LD41" i="111"/>
  <c r="LD42" i="111" s="1"/>
  <c r="LD44" i="111" s="1"/>
  <c r="LB41" i="111"/>
  <c r="LB42" i="111" s="1"/>
  <c r="LB44" i="111" s="1"/>
  <c r="LA41" i="111"/>
  <c r="LA42" i="111" s="1"/>
  <c r="LA44" i="111" s="1"/>
  <c r="KZ41" i="111"/>
  <c r="KZ42" i="111" s="1"/>
  <c r="KZ44" i="111" s="1"/>
  <c r="KY41" i="111"/>
  <c r="KY42" i="111" s="1"/>
  <c r="KY44" i="111" s="1"/>
  <c r="KX41" i="111"/>
  <c r="KX42" i="111" s="1"/>
  <c r="KX44" i="111" s="1"/>
  <c r="KM41" i="111"/>
  <c r="KM42" i="111" s="1"/>
  <c r="KM44" i="111" s="1"/>
  <c r="KL41" i="111"/>
  <c r="KL42" i="111" s="1"/>
  <c r="KL44" i="111" s="1"/>
  <c r="JM41" i="111"/>
  <c r="JM42" i="111" s="1"/>
  <c r="JM44" i="111" s="1"/>
  <c r="JL41" i="111"/>
  <c r="JL42" i="111" s="1"/>
  <c r="JL44" i="111" s="1"/>
  <c r="JJ41" i="111"/>
  <c r="JJ42" i="111" s="1"/>
  <c r="JJ44" i="111" s="1"/>
  <c r="JG41" i="111"/>
  <c r="JG42" i="111" s="1"/>
  <c r="JG44" i="111" s="1"/>
  <c r="JF41" i="111"/>
  <c r="JF42" i="111" s="1"/>
  <c r="JF44" i="111" s="1"/>
  <c r="JD41" i="111"/>
  <c r="JD42" i="111" s="1"/>
  <c r="JD44" i="111" s="1"/>
  <c r="JC41" i="111"/>
  <c r="JC42" i="111" s="1"/>
  <c r="JC44" i="111" s="1"/>
  <c r="JB41" i="111"/>
  <c r="JB42" i="111" s="1"/>
  <c r="IZ41" i="111"/>
  <c r="IZ42" i="111" s="1"/>
  <c r="IX41" i="111"/>
  <c r="IX42" i="111" s="1"/>
  <c r="IV41" i="111"/>
  <c r="IV42" i="111" s="1"/>
  <c r="IU41" i="111"/>
  <c r="IU42" i="111" s="1"/>
  <c r="IT41" i="111"/>
  <c r="IT42" i="111" s="1"/>
  <c r="IS41" i="111"/>
  <c r="IS42" i="111" s="1"/>
  <c r="IR41" i="111"/>
  <c r="IR42" i="111" s="1"/>
  <c r="IQ41" i="111"/>
  <c r="IQ42" i="111" s="1"/>
  <c r="IN41" i="111"/>
  <c r="IN42" i="111" s="1"/>
  <c r="IN44" i="111" s="1"/>
  <c r="IM41" i="111"/>
  <c r="IM42" i="111" s="1"/>
  <c r="IK41" i="111"/>
  <c r="IK42" i="111" s="1"/>
  <c r="II41" i="111"/>
  <c r="II42" i="111" s="1"/>
  <c r="IG41" i="111"/>
  <c r="IG42" i="111" s="1"/>
  <c r="IF41" i="111"/>
  <c r="IF42" i="111" s="1"/>
  <c r="IE41" i="111"/>
  <c r="IE42" i="111" s="1"/>
  <c r="ID41" i="111"/>
  <c r="ID42" i="111" s="1"/>
  <c r="ID44" i="111" s="1"/>
  <c r="IC41" i="111"/>
  <c r="IC42" i="111" s="1"/>
  <c r="IB41" i="111"/>
  <c r="IB42" i="111" s="1"/>
  <c r="HZ41" i="111"/>
  <c r="HZ42" i="111" s="1"/>
  <c r="HY41" i="111"/>
  <c r="HY42" i="111" s="1"/>
  <c r="HX41" i="111"/>
  <c r="HX42" i="111" s="1"/>
  <c r="HW41" i="111"/>
  <c r="HW42" i="111" s="1"/>
  <c r="HV41" i="111"/>
  <c r="HV42" i="111" s="1"/>
  <c r="HT41" i="111"/>
  <c r="HT42" i="111" s="1"/>
  <c r="HR41" i="111"/>
  <c r="HR42" i="111" s="1"/>
  <c r="HQ41" i="111"/>
  <c r="HQ42" i="111" s="1"/>
  <c r="HP41" i="111"/>
  <c r="HP42" i="111" s="1"/>
  <c r="HO41" i="111"/>
  <c r="HO42" i="111" s="1"/>
  <c r="HN41" i="111"/>
  <c r="HN42" i="111" s="1"/>
  <c r="HM41" i="111"/>
  <c r="HK41" i="111"/>
  <c r="HK42" i="111" s="1"/>
  <c r="HK44" i="111" s="1"/>
  <c r="HI41" i="111"/>
  <c r="HI42" i="111" s="1"/>
  <c r="HG41" i="111"/>
  <c r="HG42" i="111" s="1"/>
  <c r="HE41" i="111"/>
  <c r="HE42" i="111" s="1"/>
  <c r="HD41" i="111"/>
  <c r="HD42" i="111" s="1"/>
  <c r="HD44" i="111" s="1"/>
  <c r="HC41" i="111"/>
  <c r="HC42" i="111" s="1"/>
  <c r="HB41" i="111"/>
  <c r="HB42" i="111" s="1"/>
  <c r="HB44" i="111" s="1"/>
  <c r="HA41" i="111"/>
  <c r="HA42" i="111" s="1"/>
  <c r="GZ41" i="111"/>
  <c r="GZ42" i="111" s="1"/>
  <c r="GZ44" i="111" s="1"/>
  <c r="GY41" i="111"/>
  <c r="GY42" i="111" s="1"/>
  <c r="GX41" i="111"/>
  <c r="GW41" i="111"/>
  <c r="GW42" i="111" s="1"/>
  <c r="GW44" i="111" s="1"/>
  <c r="GQ41" i="111"/>
  <c r="GQ42" i="111" s="1"/>
  <c r="GQ44" i="111" s="1"/>
  <c r="GP41" i="111"/>
  <c r="GP42" i="111" s="1"/>
  <c r="GP44" i="111" s="1"/>
  <c r="GO41" i="111"/>
  <c r="GO42" i="111" s="1"/>
  <c r="GO44" i="111" s="1"/>
  <c r="GN41" i="111"/>
  <c r="GN42" i="111" s="1"/>
  <c r="GN44" i="111" s="1"/>
  <c r="GI41" i="111"/>
  <c r="GI42" i="111" s="1"/>
  <c r="GI44" i="111" s="1"/>
  <c r="GH41" i="111"/>
  <c r="GH42" i="111" s="1"/>
  <c r="GH44" i="111" s="1"/>
  <c r="GE41" i="111"/>
  <c r="GE42" i="111" s="1"/>
  <c r="GE44" i="111" s="1"/>
  <c r="GC41" i="111"/>
  <c r="GC42" i="111" s="1"/>
  <c r="GC44" i="111" s="1"/>
  <c r="GA41" i="111"/>
  <c r="GA42" i="111" s="1"/>
  <c r="GA44" i="111" s="1"/>
  <c r="FY41" i="111"/>
  <c r="FY42" i="111" s="1"/>
  <c r="FY44" i="111" s="1"/>
  <c r="FW41" i="111"/>
  <c r="FW42" i="111" s="1"/>
  <c r="FW44" i="111" s="1"/>
  <c r="FU41" i="111"/>
  <c r="FU42" i="111" s="1"/>
  <c r="FU44" i="111" s="1"/>
  <c r="FS41" i="111"/>
  <c r="FS42" i="111" s="1"/>
  <c r="FS44" i="111" s="1"/>
  <c r="FR41" i="111"/>
  <c r="FR42" i="111" s="1"/>
  <c r="FR44" i="111" s="1"/>
  <c r="FQ41" i="111"/>
  <c r="FQ42" i="111" s="1"/>
  <c r="FQ44" i="111" s="1"/>
  <c r="FP41" i="111"/>
  <c r="FP42" i="111" s="1"/>
  <c r="FP44" i="111" s="1"/>
  <c r="FO41" i="111"/>
  <c r="FO42" i="111" s="1"/>
  <c r="FO44" i="111" s="1"/>
  <c r="FN41" i="111"/>
  <c r="FN42" i="111" s="1"/>
  <c r="FN44" i="111" s="1"/>
  <c r="FL41" i="111"/>
  <c r="FL42" i="111" s="1"/>
  <c r="FL44" i="111" s="1"/>
  <c r="FK41" i="111"/>
  <c r="FK42" i="111" s="1"/>
  <c r="FK44" i="111" s="1"/>
  <c r="FJ41" i="111"/>
  <c r="FJ42" i="111" s="1"/>
  <c r="FJ44" i="111" s="1"/>
  <c r="FI41" i="111"/>
  <c r="FI42" i="111" s="1"/>
  <c r="FI44" i="111" s="1"/>
  <c r="FH41" i="111"/>
  <c r="FH42" i="111" s="1"/>
  <c r="FH44" i="111" s="1"/>
  <c r="FG41" i="111"/>
  <c r="FG42" i="111" s="1"/>
  <c r="FG44" i="111" s="1"/>
  <c r="FF41" i="111"/>
  <c r="FF42" i="111" s="1"/>
  <c r="FF44" i="111" s="1"/>
  <c r="FE41" i="111"/>
  <c r="FE42" i="111" s="1"/>
  <c r="FE44" i="111" s="1"/>
  <c r="EZ41" i="111"/>
  <c r="EZ42" i="111" s="1"/>
  <c r="EZ44" i="111" s="1"/>
  <c r="EY41" i="111"/>
  <c r="EY42" i="111" s="1"/>
  <c r="EY44" i="111" s="1"/>
  <c r="EW41" i="111"/>
  <c r="EW42" i="111" s="1"/>
  <c r="EW44" i="111" s="1"/>
  <c r="EV41" i="111"/>
  <c r="EV42" i="111" s="1"/>
  <c r="EV44" i="111" s="1"/>
  <c r="EU41" i="111"/>
  <c r="EU42" i="111" s="1"/>
  <c r="EU44" i="111" s="1"/>
  <c r="ET41" i="111"/>
  <c r="ET42" i="111" s="1"/>
  <c r="ET44" i="111" s="1"/>
  <c r="ES41" i="111"/>
  <c r="ES42" i="111" s="1"/>
  <c r="ES44" i="111" s="1"/>
  <c r="ER41" i="111"/>
  <c r="ER42" i="111" s="1"/>
  <c r="ER44" i="111" s="1"/>
  <c r="EO41" i="111"/>
  <c r="EO42" i="111" s="1"/>
  <c r="EO44" i="111" s="1"/>
  <c r="EM42" i="111"/>
  <c r="EM44" i="111" s="1"/>
  <c r="EL41" i="111"/>
  <c r="EL42" i="111" s="1"/>
  <c r="EK41" i="111"/>
  <c r="EK42" i="111" s="1"/>
  <c r="EK44" i="111" s="1"/>
  <c r="EI41" i="111"/>
  <c r="EI42" i="111" s="1"/>
  <c r="EI44" i="111" s="1"/>
  <c r="EH41" i="111"/>
  <c r="EG41" i="111"/>
  <c r="EG42" i="111" s="1"/>
  <c r="EF41" i="111"/>
  <c r="EF42" i="111" s="1"/>
  <c r="EE41" i="111"/>
  <c r="EE42" i="111" s="1"/>
  <c r="EE44" i="111" s="1"/>
  <c r="DX41" i="111"/>
  <c r="DX42" i="111" s="1"/>
  <c r="DX44" i="111" s="1"/>
  <c r="DV41" i="111"/>
  <c r="DV42" i="111" s="1"/>
  <c r="DV44" i="111" s="1"/>
  <c r="DT41" i="111"/>
  <c r="DT42" i="111" s="1"/>
  <c r="DT44" i="111" s="1"/>
  <c r="DR41" i="111"/>
  <c r="DR42" i="111" s="1"/>
  <c r="DR44" i="111" s="1"/>
  <c r="DP41" i="111"/>
  <c r="DP42" i="111" s="1"/>
  <c r="DO41" i="111"/>
  <c r="DO42" i="111" s="1"/>
  <c r="DO44" i="111" s="1"/>
  <c r="DN41" i="111"/>
  <c r="DN42" i="111" s="1"/>
  <c r="DI41" i="111"/>
  <c r="DI42" i="111" s="1"/>
  <c r="DI44" i="111" s="1"/>
  <c r="DG41" i="111"/>
  <c r="DG42" i="111" s="1"/>
  <c r="DG44" i="111" s="1"/>
  <c r="DE41" i="111"/>
  <c r="DE42" i="111" s="1"/>
  <c r="DE44" i="111" s="1"/>
  <c r="DD41" i="111"/>
  <c r="DD42" i="111" s="1"/>
  <c r="DD44" i="111" s="1"/>
  <c r="CP41" i="111"/>
  <c r="CP42" i="111" s="1"/>
  <c r="CP44" i="111" s="1"/>
  <c r="CO41" i="111"/>
  <c r="CN41" i="111"/>
  <c r="CN42" i="111" s="1"/>
  <c r="CN44" i="111" s="1"/>
  <c r="CL41" i="111"/>
  <c r="CL42" i="111" s="1"/>
  <c r="CL44" i="111" s="1"/>
  <c r="CK41" i="111"/>
  <c r="CK42" i="111" s="1"/>
  <c r="CJ41" i="111"/>
  <c r="CI41" i="111"/>
  <c r="CH41" i="111"/>
  <c r="CG41" i="111"/>
  <c r="CG42" i="111" s="1"/>
  <c r="CG44" i="111" s="1"/>
  <c r="CE41" i="111"/>
  <c r="CE42" i="111" s="1"/>
  <c r="CE44" i="111" s="1"/>
  <c r="CD41" i="111"/>
  <c r="CB41" i="111"/>
  <c r="CB42" i="111" s="1"/>
  <c r="CA41" i="111"/>
  <c r="BY41" i="111"/>
  <c r="BY42" i="111" s="1"/>
  <c r="BY44" i="111" s="1"/>
  <c r="BX41" i="111"/>
  <c r="BW41" i="111"/>
  <c r="BW42" i="111" s="1"/>
  <c r="BV41" i="111"/>
  <c r="BU41" i="111"/>
  <c r="BT41" i="111"/>
  <c r="BT42" i="111" s="1"/>
  <c r="BS41" i="111"/>
  <c r="BS42" i="111" s="1"/>
  <c r="BS44" i="111" s="1"/>
  <c r="BR41" i="111"/>
  <c r="BR42" i="111" s="1"/>
  <c r="BQ41" i="111"/>
  <c r="BQ42" i="111" s="1"/>
  <c r="BP41" i="111"/>
  <c r="BO41" i="111"/>
  <c r="BO42" i="111" s="1"/>
  <c r="BO44" i="111" s="1"/>
  <c r="BL41" i="111"/>
  <c r="BK41" i="111"/>
  <c r="BK42" i="111" s="1"/>
  <c r="BJ41" i="111"/>
  <c r="BJ42" i="111" s="1"/>
  <c r="BJ44" i="111" s="1"/>
  <c r="BI41" i="111"/>
  <c r="BI42" i="111" s="1"/>
  <c r="BI44" i="111" s="1"/>
  <c r="BH41" i="111"/>
  <c r="BH42" i="111" s="1"/>
  <c r="BH44" i="111" s="1"/>
  <c r="BG41" i="111"/>
  <c r="BG42" i="111" s="1"/>
  <c r="BF41" i="111"/>
  <c r="BF42" i="111" s="1"/>
  <c r="BC41" i="111"/>
  <c r="BB41" i="111"/>
  <c r="BB42" i="111" s="1"/>
  <c r="BB44" i="111" s="1"/>
  <c r="BA41" i="111"/>
  <c r="BA42" i="111" s="1"/>
  <c r="BA44" i="111" s="1"/>
  <c r="AZ41" i="111"/>
  <c r="AZ42" i="111" s="1"/>
  <c r="AZ44" i="111" s="1"/>
  <c r="AU41" i="111"/>
  <c r="AU42" i="111" s="1"/>
  <c r="AU44" i="111" s="1"/>
  <c r="AT41" i="111"/>
  <c r="AR41" i="111"/>
  <c r="AR42" i="111" s="1"/>
  <c r="AR44" i="111" s="1"/>
  <c r="AQ41" i="111"/>
  <c r="AO41" i="111"/>
  <c r="AO42" i="111" s="1"/>
  <c r="AO44" i="111" s="1"/>
  <c r="AN41" i="111"/>
  <c r="AM41" i="111"/>
  <c r="AM42" i="111" s="1"/>
  <c r="AM44" i="111" s="1"/>
  <c r="AL41" i="111"/>
  <c r="AL42" i="111" s="1"/>
  <c r="AL44" i="111" s="1"/>
  <c r="AJ41" i="111"/>
  <c r="AI41" i="111"/>
  <c r="AH41" i="111"/>
  <c r="AH42" i="111" s="1"/>
  <c r="AH44" i="111" s="1"/>
  <c r="AF41" i="111"/>
  <c r="AF42" i="111" s="1"/>
  <c r="AF44" i="111" s="1"/>
  <c r="AE41" i="111"/>
  <c r="Z41" i="111"/>
  <c r="Z42" i="111" s="1"/>
  <c r="Z44" i="111" s="1"/>
  <c r="V41" i="111"/>
  <c r="V42" i="111" s="1"/>
  <c r="V44" i="111" s="1"/>
  <c r="R41" i="111"/>
  <c r="R42" i="111" s="1"/>
  <c r="R44" i="111" s="1"/>
  <c r="N41" i="111"/>
  <c r="N42" i="111" s="1"/>
  <c r="M41" i="111"/>
  <c r="M42" i="111" s="1"/>
  <c r="L41" i="111"/>
  <c r="L42" i="111" s="1"/>
  <c r="K41" i="111"/>
  <c r="K42" i="111" s="1"/>
  <c r="J41" i="111"/>
  <c r="J42" i="111" s="1"/>
  <c r="J44" i="111" s="1"/>
  <c r="I41" i="111"/>
  <c r="I42" i="111" s="1"/>
  <c r="H41" i="111"/>
  <c r="H42" i="111" s="1"/>
  <c r="RO40" i="111"/>
  <c r="RM40" i="111"/>
  <c r="RD40" i="111"/>
  <c r="RC40" i="111"/>
  <c r="RB40" i="111"/>
  <c r="RA40" i="111"/>
  <c r="QZ40" i="111"/>
  <c r="QY40" i="111"/>
  <c r="QW40" i="111"/>
  <c r="QV40" i="111"/>
  <c r="QU40" i="111"/>
  <c r="QT40" i="111"/>
  <c r="QS40" i="111"/>
  <c r="QR40" i="111"/>
  <c r="QM40" i="111"/>
  <c r="PY40" i="111"/>
  <c r="OY40" i="111"/>
  <c r="OY41" i="111" s="1"/>
  <c r="OY42" i="111" s="1"/>
  <c r="OY44" i="111" s="1"/>
  <c r="MT40" i="111"/>
  <c r="MB40" i="111"/>
  <c r="LV40" i="111"/>
  <c r="LH40" i="111"/>
  <c r="LG40" i="111"/>
  <c r="LF40" i="111"/>
  <c r="JE40" i="111"/>
  <c r="GL40" i="111" s="1"/>
  <c r="IO40" i="111" a="1"/>
  <c r="IO40" i="111" s="1"/>
  <c r="IP40" i="111" s="1"/>
  <c r="GK40" i="111" s="1"/>
  <c r="HU40" i="111" a="1"/>
  <c r="HU40" i="111" s="1"/>
  <c r="HS40" i="111" a="1"/>
  <c r="HS40" i="111" s="1"/>
  <c r="PL40" i="111"/>
  <c r="SE40" i="111" s="1"/>
  <c r="HL40" i="111"/>
  <c r="GJ40" i="111" s="1"/>
  <c r="GV40" i="111"/>
  <c r="RV40" i="111" s="1"/>
  <c r="GG40" i="111"/>
  <c r="FC40" i="111" s="1"/>
  <c r="FT40" i="111"/>
  <c r="FB40" i="111" s="1"/>
  <c r="FM40" i="111"/>
  <c r="FA40" i="111" s="1"/>
  <c r="EX40" i="111"/>
  <c r="EQ40" i="111"/>
  <c r="DA40" i="111"/>
  <c r="ED40" i="111"/>
  <c r="DB40" i="111"/>
  <c r="CZ40" i="111"/>
  <c r="CX40" i="111"/>
  <c r="CV40" i="111"/>
  <c r="CU40" i="111"/>
  <c r="CT40" i="111"/>
  <c r="CS40" i="111"/>
  <c r="CR40" i="111"/>
  <c r="CQ40" i="111"/>
  <c r="CM40" i="111"/>
  <c r="CF40" i="111"/>
  <c r="CC40" i="111"/>
  <c r="BZ40" i="111"/>
  <c r="BW40" i="111"/>
  <c r="BT40" i="111"/>
  <c r="BQ40" i="111"/>
  <c r="BK40" i="111"/>
  <c r="BH40" i="111"/>
  <c r="BB40" i="111"/>
  <c r="AV40" i="111"/>
  <c r="AS40" i="111"/>
  <c r="AP40" i="111"/>
  <c r="AK40" i="111"/>
  <c r="AG40" i="111"/>
  <c r="AB40" i="111"/>
  <c r="AA40" i="111"/>
  <c r="X40" i="111"/>
  <c r="W40" i="111"/>
  <c r="S40" i="111"/>
  <c r="O40" i="111"/>
  <c r="RO39" i="111"/>
  <c r="RM39" i="111"/>
  <c r="RD39" i="111"/>
  <c r="RC39" i="111"/>
  <c r="RB39" i="111"/>
  <c r="RA39" i="111"/>
  <c r="QZ39" i="111"/>
  <c r="QY39" i="111"/>
  <c r="QW39" i="111"/>
  <c r="QV39" i="111"/>
  <c r="QU39" i="111"/>
  <c r="QT39" i="111"/>
  <c r="QS39" i="111"/>
  <c r="QR39" i="111"/>
  <c r="QM39" i="111"/>
  <c r="PY39" i="111"/>
  <c r="OY39" i="111"/>
  <c r="MT39" i="111"/>
  <c r="MB39" i="111"/>
  <c r="LV39" i="111"/>
  <c r="LH39" i="111"/>
  <c r="LG39" i="111"/>
  <c r="LF39" i="111"/>
  <c r="JE39" i="111"/>
  <c r="GL39" i="111" s="1"/>
  <c r="IP39" i="111"/>
  <c r="GK39" i="111" s="1"/>
  <c r="HU39" i="111" a="1"/>
  <c r="HU39" i="111" s="1"/>
  <c r="HS39" i="111" a="1"/>
  <c r="HS39" i="111" s="1"/>
  <c r="PL39" i="111"/>
  <c r="SE39" i="111" s="1"/>
  <c r="HL39" i="111"/>
  <c r="GJ39" i="111" s="1"/>
  <c r="GV39" i="111"/>
  <c r="RV39" i="111" s="1"/>
  <c r="GG39" i="111"/>
  <c r="FC39" i="111" s="1"/>
  <c r="FT39" i="111"/>
  <c r="FB39" i="111" s="1"/>
  <c r="FM39" i="111"/>
  <c r="FA39" i="111" s="1"/>
  <c r="EX39" i="111"/>
  <c r="EQ39" i="111"/>
  <c r="DA39" i="111"/>
  <c r="ED39" i="111"/>
  <c r="CY39" i="111"/>
  <c r="DB39" i="111"/>
  <c r="CZ39" i="111"/>
  <c r="CX39" i="111"/>
  <c r="CV39" i="111"/>
  <c r="CU39" i="111"/>
  <c r="CT39" i="111"/>
  <c r="CS39" i="111"/>
  <c r="CR39" i="111"/>
  <c r="CQ39" i="111"/>
  <c r="CM39" i="111"/>
  <c r="CF39" i="111"/>
  <c r="CC39" i="111"/>
  <c r="BZ39" i="111"/>
  <c r="AV39" i="111"/>
  <c r="AS39" i="111"/>
  <c r="AP39" i="111"/>
  <c r="AK39" i="111"/>
  <c r="AG39" i="111"/>
  <c r="AB39" i="111"/>
  <c r="AA39" i="111"/>
  <c r="X39" i="111"/>
  <c r="W39" i="111"/>
  <c r="S39" i="111"/>
  <c r="O39" i="111"/>
  <c r="RO38" i="111"/>
  <c r="RM38" i="111"/>
  <c r="RD38" i="111"/>
  <c r="RC38" i="111"/>
  <c r="RB38" i="111"/>
  <c r="RA38" i="111"/>
  <c r="QZ38" i="111"/>
  <c r="QY38" i="111"/>
  <c r="QW38" i="111"/>
  <c r="QV38" i="111"/>
  <c r="QU38" i="111"/>
  <c r="QT38" i="111"/>
  <c r="QS38" i="111"/>
  <c r="QR38" i="111"/>
  <c r="QM38" i="111"/>
  <c r="PY38" i="111"/>
  <c r="OY38" i="111"/>
  <c r="MT38" i="111"/>
  <c r="MB38" i="111"/>
  <c r="LV38" i="111"/>
  <c r="LH38" i="111"/>
  <c r="LG38" i="111"/>
  <c r="LF38" i="111"/>
  <c r="JE38" i="111"/>
  <c r="GL38" i="111" s="1"/>
  <c r="IP38" i="111"/>
  <c r="GK38" i="111" s="1"/>
  <c r="HU38" i="111" a="1"/>
  <c r="HU38" i="111" s="1"/>
  <c r="HS38" i="111" a="1"/>
  <c r="HS38" i="111" s="1"/>
  <c r="PL38" i="111"/>
  <c r="SE38" i="111" s="1"/>
  <c r="GG38" i="111"/>
  <c r="FC38" i="111" s="1"/>
  <c r="FT38" i="111"/>
  <c r="FB38" i="111" s="1"/>
  <c r="FM38" i="111"/>
  <c r="FA38" i="111" s="1"/>
  <c r="EX38" i="111"/>
  <c r="EQ38" i="111"/>
  <c r="DA38" i="111"/>
  <c r="ED38" i="111"/>
  <c r="CY38" i="111"/>
  <c r="DB38" i="111"/>
  <c r="CZ38" i="111"/>
  <c r="CX38" i="111"/>
  <c r="CV38" i="111"/>
  <c r="CU38" i="111"/>
  <c r="CT38" i="111"/>
  <c r="CS38" i="111"/>
  <c r="CR38" i="111"/>
  <c r="CQ38" i="111"/>
  <c r="CM38" i="111"/>
  <c r="CF38" i="111"/>
  <c r="CC38" i="111"/>
  <c r="BZ38" i="111"/>
  <c r="AV38" i="111"/>
  <c r="AS38" i="111"/>
  <c r="AP38" i="111"/>
  <c r="AK38" i="111"/>
  <c r="AG38" i="111"/>
  <c r="AB38" i="111"/>
  <c r="AA38" i="111"/>
  <c r="X38" i="111"/>
  <c r="W38" i="111"/>
  <c r="S38" i="111"/>
  <c r="O38" i="111"/>
  <c r="RO37" i="111"/>
  <c r="RM37" i="111"/>
  <c r="RD37" i="111"/>
  <c r="RC37" i="111"/>
  <c r="RB37" i="111"/>
  <c r="RA37" i="111"/>
  <c r="QZ37" i="111"/>
  <c r="QY37" i="111"/>
  <c r="QW37" i="111"/>
  <c r="QV37" i="111"/>
  <c r="QU37" i="111"/>
  <c r="QT37" i="111"/>
  <c r="QS37" i="111"/>
  <c r="QR37" i="111"/>
  <c r="QM37" i="111"/>
  <c r="PY37" i="111"/>
  <c r="OY37" i="111"/>
  <c r="NM37" i="111"/>
  <c r="NM38" i="111" s="1"/>
  <c r="NM39" i="111" s="1"/>
  <c r="NM40" i="111" s="1"/>
  <c r="NM41" i="111" s="1"/>
  <c r="NM42" i="111" s="1"/>
  <c r="NL37" i="111"/>
  <c r="NL38" i="111" s="1"/>
  <c r="NL39" i="111" s="1"/>
  <c r="NL40" i="111" s="1"/>
  <c r="NL41" i="111" s="1"/>
  <c r="NL42" i="111" s="1"/>
  <c r="NL44" i="111" s="1"/>
  <c r="NK37" i="111"/>
  <c r="NK38" i="111" s="1"/>
  <c r="NK39" i="111" s="1"/>
  <c r="NK40" i="111" s="1"/>
  <c r="NK41" i="111" s="1"/>
  <c r="NK42" i="111" s="1"/>
  <c r="NJ37" i="111"/>
  <c r="NJ38" i="111" s="1"/>
  <c r="NJ39" i="111" s="1"/>
  <c r="NJ40" i="111" s="1"/>
  <c r="NJ41" i="111" s="1"/>
  <c r="NJ42" i="111" s="1"/>
  <c r="NJ44" i="111" s="1"/>
  <c r="NI37" i="111"/>
  <c r="NI38" i="111" s="1"/>
  <c r="NI39" i="111" s="1"/>
  <c r="NI40" i="111" s="1"/>
  <c r="NI41" i="111" s="1"/>
  <c r="NI42" i="111" s="1"/>
  <c r="NH37" i="111"/>
  <c r="NH38" i="111" s="1"/>
  <c r="NH39" i="111" s="1"/>
  <c r="NH40" i="111" s="1"/>
  <c r="NH41" i="111" s="1"/>
  <c r="NH42" i="111" s="1"/>
  <c r="NH44" i="111" s="1"/>
  <c r="NG37" i="111"/>
  <c r="NG38" i="111" s="1"/>
  <c r="NG39" i="111" s="1"/>
  <c r="NG40" i="111" s="1"/>
  <c r="NG41" i="111" s="1"/>
  <c r="NG42" i="111" s="1"/>
  <c r="NF37" i="111"/>
  <c r="MT37" i="111"/>
  <c r="MB37" i="111"/>
  <c r="LV37" i="111"/>
  <c r="LH37" i="111"/>
  <c r="LG37" i="111"/>
  <c r="LF37" i="111"/>
  <c r="JE37" i="111"/>
  <c r="GL37" i="111" s="1"/>
  <c r="IP37" i="111"/>
  <c r="GK37" i="111" s="1"/>
  <c r="HU37" i="111" a="1"/>
  <c r="HU37" i="111" s="1"/>
  <c r="HS37" i="111" a="1"/>
  <c r="HS37" i="111" s="1"/>
  <c r="PL37" i="111"/>
  <c r="SE37" i="111" s="1"/>
  <c r="GV37" i="111"/>
  <c r="RV37" i="111" s="1"/>
  <c r="GG37" i="111"/>
  <c r="FC37" i="111" s="1"/>
  <c r="FT37" i="111"/>
  <c r="FB37" i="111" s="1"/>
  <c r="FM37" i="111"/>
  <c r="FA37" i="111" s="1"/>
  <c r="EX37" i="111"/>
  <c r="EQ37" i="111"/>
  <c r="DA37" i="111"/>
  <c r="CY37" i="111"/>
  <c r="DB37" i="111"/>
  <c r="CZ37" i="111"/>
  <c r="CX37" i="111"/>
  <c r="CV37" i="111"/>
  <c r="CU37" i="111"/>
  <c r="CT37" i="111"/>
  <c r="CS37" i="111"/>
  <c r="CR37" i="111"/>
  <c r="CQ37" i="111"/>
  <c r="CM37" i="111"/>
  <c r="CF37" i="111"/>
  <c r="CC37" i="111"/>
  <c r="BZ37" i="111"/>
  <c r="AV37" i="111"/>
  <c r="AS37" i="111"/>
  <c r="AP37" i="111"/>
  <c r="AK37" i="111"/>
  <c r="AG37" i="111"/>
  <c r="AB37" i="111"/>
  <c r="AA37" i="111"/>
  <c r="X37" i="111"/>
  <c r="W37" i="111"/>
  <c r="S37" i="111"/>
  <c r="O37" i="111"/>
  <c r="RO36" i="111"/>
  <c r="RM36" i="111"/>
  <c r="RD36" i="111"/>
  <c r="RC36" i="111"/>
  <c r="RB36" i="111"/>
  <c r="RA36" i="111"/>
  <c r="QZ36" i="111"/>
  <c r="QY36" i="111"/>
  <c r="QW36" i="111"/>
  <c r="QV36" i="111"/>
  <c r="QU36" i="111"/>
  <c r="QT36" i="111"/>
  <c r="QS36" i="111"/>
  <c r="QR36" i="111"/>
  <c r="QM36" i="111"/>
  <c r="PY36" i="111"/>
  <c r="OY36" i="111"/>
  <c r="MT36" i="111"/>
  <c r="MB36" i="111"/>
  <c r="LV36" i="111"/>
  <c r="LH36" i="111"/>
  <c r="LG36" i="111"/>
  <c r="LF36" i="111"/>
  <c r="HU36" i="111" a="1"/>
  <c r="HU36" i="111" s="1"/>
  <c r="HS36" i="111" a="1"/>
  <c r="HS36" i="111" s="1"/>
  <c r="PL36" i="111"/>
  <c r="SE36" i="111" s="1"/>
  <c r="HL36" i="111"/>
  <c r="GJ36" i="111" s="1"/>
  <c r="GV36" i="111"/>
  <c r="RV36" i="111" s="1"/>
  <c r="GG36" i="111"/>
  <c r="FC36" i="111" s="1"/>
  <c r="FT36" i="111"/>
  <c r="FB36" i="111" s="1"/>
  <c r="FM36" i="111"/>
  <c r="FA36" i="111" s="1"/>
  <c r="EX36" i="111"/>
  <c r="EQ36" i="111"/>
  <c r="DA36" i="111"/>
  <c r="ED36" i="111"/>
  <c r="DB36" i="111"/>
  <c r="CZ36" i="111"/>
  <c r="CX36" i="111"/>
  <c r="CV36" i="111"/>
  <c r="CU36" i="111"/>
  <c r="CT36" i="111"/>
  <c r="CS36" i="111"/>
  <c r="CR36" i="111"/>
  <c r="CQ36" i="111"/>
  <c r="CM36" i="111"/>
  <c r="CF36" i="111"/>
  <c r="CC36" i="111"/>
  <c r="BZ36" i="111"/>
  <c r="AV36" i="111"/>
  <c r="AS36" i="111"/>
  <c r="AP36" i="111"/>
  <c r="AK36" i="111"/>
  <c r="AG36" i="111"/>
  <c r="AB36" i="111"/>
  <c r="AA36" i="111"/>
  <c r="X36" i="111"/>
  <c r="W36" i="111"/>
  <c r="S36" i="111"/>
  <c r="O36" i="111"/>
  <c r="RO35" i="111"/>
  <c r="RM35" i="111"/>
  <c r="RD35" i="111"/>
  <c r="RC35" i="111"/>
  <c r="RB35" i="111"/>
  <c r="RA35" i="111"/>
  <c r="QZ35" i="111"/>
  <c r="QY35" i="111"/>
  <c r="QW35" i="111"/>
  <c r="QV35" i="111"/>
  <c r="QU35" i="111"/>
  <c r="QT35" i="111"/>
  <c r="QS35" i="111"/>
  <c r="QR35" i="111"/>
  <c r="QM35" i="111"/>
  <c r="PY35" i="111"/>
  <c r="OY35" i="111"/>
  <c r="MT35" i="111"/>
  <c r="MB35" i="111"/>
  <c r="LV35" i="111"/>
  <c r="LH35" i="111"/>
  <c r="LG35" i="111"/>
  <c r="LF35" i="111"/>
  <c r="JE35" i="111"/>
  <c r="GL35" i="111" s="1"/>
  <c r="IP35" i="111"/>
  <c r="GK35" i="111" s="1"/>
  <c r="HU35" i="111" a="1"/>
  <c r="HU35" i="111" s="1"/>
  <c r="HS35" i="111" a="1"/>
  <c r="HS35" i="111" s="1"/>
  <c r="PL35" i="111"/>
  <c r="SE35" i="111" s="1"/>
  <c r="HL35" i="111"/>
  <c r="GJ35" i="111" s="1"/>
  <c r="GV35" i="111"/>
  <c r="RV35" i="111" s="1"/>
  <c r="GG35" i="111"/>
  <c r="FC35" i="111" s="1"/>
  <c r="FT35" i="111"/>
  <c r="FB35" i="111" s="1"/>
  <c r="FM35" i="111"/>
  <c r="FA35" i="111" s="1"/>
  <c r="EX35" i="111"/>
  <c r="EQ35" i="111"/>
  <c r="DA35" i="111"/>
  <c r="ED35" i="111"/>
  <c r="CY35" i="111"/>
  <c r="DB35" i="111"/>
  <c r="CZ35" i="111"/>
  <c r="CX35" i="111"/>
  <c r="CV35" i="111"/>
  <c r="CU35" i="111"/>
  <c r="CT35" i="111"/>
  <c r="CS35" i="111"/>
  <c r="CR35" i="111"/>
  <c r="CQ35" i="111"/>
  <c r="CM35" i="111"/>
  <c r="CF35" i="111"/>
  <c r="CC35" i="111"/>
  <c r="BZ35" i="111"/>
  <c r="AV35" i="111"/>
  <c r="AS35" i="111"/>
  <c r="AP35" i="111"/>
  <c r="AK35" i="111"/>
  <c r="AG35" i="111"/>
  <c r="AB35" i="111"/>
  <c r="AA35" i="111"/>
  <c r="X35" i="111"/>
  <c r="W35" i="111"/>
  <c r="S35" i="111"/>
  <c r="O35" i="111"/>
  <c r="RO34" i="111"/>
  <c r="RM34" i="111"/>
  <c r="RD34" i="111"/>
  <c r="RC34" i="111"/>
  <c r="RB34" i="111"/>
  <c r="RA34" i="111"/>
  <c r="QZ34" i="111"/>
  <c r="QY34" i="111"/>
  <c r="QW34" i="111"/>
  <c r="QV34" i="111"/>
  <c r="QU34" i="111"/>
  <c r="QT34" i="111"/>
  <c r="QS34" i="111"/>
  <c r="QR34" i="111"/>
  <c r="QM34" i="111"/>
  <c r="PY34" i="111"/>
  <c r="OY34" i="111"/>
  <c r="MT34" i="111"/>
  <c r="MB34" i="111"/>
  <c r="LV34" i="111"/>
  <c r="LH34" i="111"/>
  <c r="LG34" i="111"/>
  <c r="LF34" i="111"/>
  <c r="JE34" i="111"/>
  <c r="GL34" i="111" s="1"/>
  <c r="HU34" i="111" a="1"/>
  <c r="HU34" i="111" s="1"/>
  <c r="HS34" i="111" a="1"/>
  <c r="HS34" i="111" s="1"/>
  <c r="PL34" i="111"/>
  <c r="SE34" i="111" s="1"/>
  <c r="HL34" i="111"/>
  <c r="GJ34" i="111" s="1"/>
  <c r="GV34" i="111"/>
  <c r="RV34" i="111" s="1"/>
  <c r="GG34" i="111"/>
  <c r="FC34" i="111" s="1"/>
  <c r="FT34" i="111"/>
  <c r="FB34" i="111" s="1"/>
  <c r="FM34" i="111"/>
  <c r="FA34" i="111" s="1"/>
  <c r="EX34" i="111"/>
  <c r="EQ34" i="111"/>
  <c r="DA34" i="111"/>
  <c r="CY34" i="111"/>
  <c r="DB34" i="111"/>
  <c r="CZ34" i="111"/>
  <c r="CX34" i="111"/>
  <c r="CV34" i="111"/>
  <c r="CU34" i="111"/>
  <c r="CT34" i="111"/>
  <c r="CS34" i="111"/>
  <c r="CR34" i="111"/>
  <c r="CQ34" i="111"/>
  <c r="CM34" i="111"/>
  <c r="CF34" i="111"/>
  <c r="CC34" i="111"/>
  <c r="BZ34" i="111"/>
  <c r="AV34" i="111"/>
  <c r="AS34" i="111"/>
  <c r="AP34" i="111"/>
  <c r="AK34" i="111"/>
  <c r="AG34" i="111"/>
  <c r="AB34" i="111"/>
  <c r="AA34" i="111"/>
  <c r="X34" i="111"/>
  <c r="W34" i="111"/>
  <c r="S34" i="111"/>
  <c r="O34" i="111"/>
  <c r="RO33" i="111"/>
  <c r="RM33" i="111"/>
  <c r="RD33" i="111"/>
  <c r="RC33" i="111"/>
  <c r="RB33" i="111"/>
  <c r="RA33" i="111"/>
  <c r="QZ33" i="111"/>
  <c r="QY33" i="111"/>
  <c r="QW33" i="111"/>
  <c r="QV33" i="111"/>
  <c r="QU33" i="111"/>
  <c r="QT33" i="111"/>
  <c r="QS33" i="111"/>
  <c r="QR33" i="111"/>
  <c r="QM33" i="111"/>
  <c r="PY33" i="111"/>
  <c r="OY33" i="111"/>
  <c r="MT33" i="111"/>
  <c r="MB33" i="111"/>
  <c r="LV33" i="111"/>
  <c r="LH33" i="111"/>
  <c r="LG33" i="111"/>
  <c r="LF33" i="111"/>
  <c r="JE33" i="111"/>
  <c r="GL33" i="111" s="1"/>
  <c r="IP33" i="111"/>
  <c r="GK33" i="111" s="1"/>
  <c r="HU33" i="111" a="1"/>
  <c r="HU33" i="111" s="1"/>
  <c r="HS33" i="111" a="1"/>
  <c r="HS33" i="111" s="1"/>
  <c r="PL33" i="111"/>
  <c r="SE33" i="111" s="1"/>
  <c r="HL33" i="111"/>
  <c r="GJ33" i="111" s="1"/>
  <c r="GV33" i="111"/>
  <c r="RV33" i="111" s="1"/>
  <c r="GG33" i="111"/>
  <c r="FC33" i="111" s="1"/>
  <c r="FT33" i="111"/>
  <c r="FB33" i="111" s="1"/>
  <c r="FM33" i="111"/>
  <c r="FA33" i="111" s="1"/>
  <c r="EX33" i="111"/>
  <c r="EQ33" i="111"/>
  <c r="DA33" i="111"/>
  <c r="ED33" i="111"/>
  <c r="CY33" i="111"/>
  <c r="DB33" i="111"/>
  <c r="CZ33" i="111"/>
  <c r="CX33" i="111"/>
  <c r="CV33" i="111"/>
  <c r="CU33" i="111"/>
  <c r="CT33" i="111"/>
  <c r="CS33" i="111"/>
  <c r="CR33" i="111"/>
  <c r="CQ33" i="111"/>
  <c r="CM33" i="111"/>
  <c r="CF33" i="111"/>
  <c r="CC33" i="111"/>
  <c r="BZ33" i="111"/>
  <c r="AV33" i="111"/>
  <c r="AS33" i="111"/>
  <c r="AP33" i="111"/>
  <c r="AK33" i="111"/>
  <c r="AG33" i="111"/>
  <c r="AB33" i="111"/>
  <c r="AA33" i="111"/>
  <c r="X33" i="111"/>
  <c r="W33" i="111"/>
  <c r="S33" i="111"/>
  <c r="O33" i="111"/>
  <c r="RO32" i="111"/>
  <c r="RM32" i="111"/>
  <c r="RD32" i="111"/>
  <c r="RC32" i="111"/>
  <c r="RB32" i="111"/>
  <c r="RA32" i="111"/>
  <c r="QZ32" i="111"/>
  <c r="QY32" i="111"/>
  <c r="QW32" i="111"/>
  <c r="QV32" i="111"/>
  <c r="QU32" i="111"/>
  <c r="QT32" i="111"/>
  <c r="QS32" i="111"/>
  <c r="QR32" i="111"/>
  <c r="QM32" i="111"/>
  <c r="PY32" i="111"/>
  <c r="OY32" i="111"/>
  <c r="MT32" i="111"/>
  <c r="MB32" i="111"/>
  <c r="LV32" i="111"/>
  <c r="LH32" i="111"/>
  <c r="LG32" i="111"/>
  <c r="LF32" i="111"/>
  <c r="JE32" i="111"/>
  <c r="GL32" i="111" s="1"/>
  <c r="HU32" i="111" a="1"/>
  <c r="HU32" i="111" s="1"/>
  <c r="HS32" i="111" a="1"/>
  <c r="HS32" i="111" s="1"/>
  <c r="PL32" i="111"/>
  <c r="SE32" i="111" s="1"/>
  <c r="HL32" i="111"/>
  <c r="GJ32" i="111" s="1"/>
  <c r="GV32" i="111"/>
  <c r="RV32" i="111" s="1"/>
  <c r="GG32" i="111"/>
  <c r="FC32" i="111" s="1"/>
  <c r="FT32" i="111"/>
  <c r="FB32" i="111" s="1"/>
  <c r="FM32" i="111"/>
  <c r="FA32" i="111" s="1"/>
  <c r="EX32" i="111"/>
  <c r="EQ32" i="111"/>
  <c r="DA32" i="111"/>
  <c r="ED32" i="111"/>
  <c r="CY32" i="111"/>
  <c r="DB32" i="111"/>
  <c r="CZ32" i="111"/>
  <c r="CX32" i="111"/>
  <c r="CV32" i="111"/>
  <c r="CU32" i="111"/>
  <c r="CT32" i="111"/>
  <c r="CS32" i="111"/>
  <c r="CR32" i="111"/>
  <c r="CQ32" i="111"/>
  <c r="CM32" i="111"/>
  <c r="CF32" i="111"/>
  <c r="CC32" i="111"/>
  <c r="BZ32" i="111"/>
  <c r="AV32" i="111"/>
  <c r="AS32" i="111"/>
  <c r="AP32" i="111"/>
  <c r="AK32" i="111"/>
  <c r="AG32" i="111"/>
  <c r="AB32" i="111"/>
  <c r="AA32" i="111"/>
  <c r="X32" i="111"/>
  <c r="W32" i="111"/>
  <c r="S32" i="111"/>
  <c r="O32" i="111"/>
  <c r="RO31" i="111"/>
  <c r="RM31" i="111"/>
  <c r="RD31" i="111"/>
  <c r="RC31" i="111"/>
  <c r="RB31" i="111"/>
  <c r="RA31" i="111"/>
  <c r="QZ31" i="111"/>
  <c r="QY31" i="111"/>
  <c r="QW31" i="111"/>
  <c r="QV31" i="111"/>
  <c r="QU31" i="111"/>
  <c r="QT31" i="111"/>
  <c r="QS31" i="111"/>
  <c r="QR31" i="111"/>
  <c r="QM31" i="111"/>
  <c r="PY31" i="111"/>
  <c r="OY31" i="111"/>
  <c r="NI31" i="111"/>
  <c r="NI32" i="111" s="1"/>
  <c r="NI33" i="111" s="1"/>
  <c r="NI34" i="111" s="1"/>
  <c r="NI35" i="111" s="1"/>
  <c r="MT31" i="111"/>
  <c r="MB31" i="111"/>
  <c r="LV31" i="111"/>
  <c r="LH31" i="111"/>
  <c r="LG31" i="111"/>
  <c r="LF31" i="111"/>
  <c r="HU31" i="111" a="1"/>
  <c r="HU31" i="111" s="1"/>
  <c r="HS31" i="111" a="1"/>
  <c r="HS31" i="111" s="1"/>
  <c r="PL31" i="111"/>
  <c r="SE31" i="111" s="1"/>
  <c r="GV31" i="111"/>
  <c r="RV31" i="111" s="1"/>
  <c r="GG31" i="111"/>
  <c r="FC31" i="111" s="1"/>
  <c r="FT31" i="111"/>
  <c r="FB31" i="111" s="1"/>
  <c r="FM31" i="111"/>
  <c r="FA31" i="111" s="1"/>
  <c r="EX31" i="111"/>
  <c r="EQ31" i="111"/>
  <c r="DA31" i="111"/>
  <c r="ED31" i="111"/>
  <c r="CY31" i="111"/>
  <c r="DB31" i="111"/>
  <c r="CZ31" i="111"/>
  <c r="CX31" i="111"/>
  <c r="CV31" i="111"/>
  <c r="CU31" i="111"/>
  <c r="CT31" i="111"/>
  <c r="CS31" i="111"/>
  <c r="CR31" i="111"/>
  <c r="CQ31" i="111"/>
  <c r="CM31" i="111"/>
  <c r="CF31" i="111"/>
  <c r="CC31" i="111"/>
  <c r="BZ31" i="111"/>
  <c r="AV31" i="111"/>
  <c r="AS31" i="111"/>
  <c r="AP31" i="111"/>
  <c r="AK31" i="111"/>
  <c r="AG31" i="111"/>
  <c r="AB31" i="111"/>
  <c r="AA31" i="111"/>
  <c r="X31" i="111"/>
  <c r="W31" i="111"/>
  <c r="S31" i="111"/>
  <c r="O31" i="111"/>
  <c r="RO30" i="111"/>
  <c r="RM30" i="111"/>
  <c r="RD30" i="111"/>
  <c r="RC30" i="111"/>
  <c r="RB30" i="111"/>
  <c r="RA30" i="111"/>
  <c r="QZ30" i="111"/>
  <c r="QY30" i="111"/>
  <c r="QW30" i="111"/>
  <c r="QV30" i="111"/>
  <c r="QU30" i="111"/>
  <c r="QT30" i="111"/>
  <c r="QS30" i="111"/>
  <c r="QR30" i="111"/>
  <c r="QM30" i="111"/>
  <c r="PY30" i="111"/>
  <c r="OY30" i="111"/>
  <c r="MT30" i="111"/>
  <c r="MB30" i="111"/>
  <c r="LV30" i="111"/>
  <c r="LH30" i="111"/>
  <c r="LG30" i="111"/>
  <c r="LF30" i="111"/>
  <c r="HU30" i="111" a="1"/>
  <c r="HU30" i="111" s="1"/>
  <c r="HS30" i="111" a="1"/>
  <c r="HS30" i="111" s="1"/>
  <c r="PL30" i="111"/>
  <c r="SE30" i="111" s="1"/>
  <c r="HL30" i="111"/>
  <c r="GJ30" i="111" s="1"/>
  <c r="GV30" i="111"/>
  <c r="RV30" i="111" s="1"/>
  <c r="GG30" i="111"/>
  <c r="FC30" i="111" s="1"/>
  <c r="FT30" i="111"/>
  <c r="FB30" i="111" s="1"/>
  <c r="FM30" i="111"/>
  <c r="FA30" i="111" s="1"/>
  <c r="EX30" i="111"/>
  <c r="EQ30" i="111"/>
  <c r="DA30" i="111"/>
  <c r="ED30" i="111"/>
  <c r="CY30" i="111"/>
  <c r="DB30" i="111"/>
  <c r="CZ30" i="111"/>
  <c r="CX30" i="111"/>
  <c r="CV30" i="111"/>
  <c r="CU30" i="111"/>
  <c r="CT30" i="111"/>
  <c r="CS30" i="111"/>
  <c r="CR30" i="111"/>
  <c r="CQ30" i="111"/>
  <c r="CM30" i="111"/>
  <c r="CF30" i="111"/>
  <c r="CC30" i="111"/>
  <c r="BZ30" i="111"/>
  <c r="AV30" i="111"/>
  <c r="AS30" i="111"/>
  <c r="AP30" i="111"/>
  <c r="AK30" i="111"/>
  <c r="AG30" i="111"/>
  <c r="AB30" i="111"/>
  <c r="AA30" i="111"/>
  <c r="X30" i="111"/>
  <c r="W30" i="111"/>
  <c r="S30" i="111"/>
  <c r="O30" i="111"/>
  <c r="RO29" i="111"/>
  <c r="RM29" i="111"/>
  <c r="RD29" i="111"/>
  <c r="RC29" i="111"/>
  <c r="RB29" i="111"/>
  <c r="RA29" i="111"/>
  <c r="QZ29" i="111"/>
  <c r="QY29" i="111"/>
  <c r="QW29" i="111"/>
  <c r="QV29" i="111"/>
  <c r="QU29" i="111"/>
  <c r="QT29" i="111"/>
  <c r="QS29" i="111"/>
  <c r="QR29" i="111"/>
  <c r="QM29" i="111"/>
  <c r="PY29" i="111"/>
  <c r="OY29" i="111"/>
  <c r="MT29" i="111"/>
  <c r="MB29" i="111"/>
  <c r="LV29" i="111"/>
  <c r="LH29" i="111"/>
  <c r="LG29" i="111"/>
  <c r="LF29" i="111"/>
  <c r="JE29" i="111"/>
  <c r="GL29" i="111" s="1"/>
  <c r="HU29" i="111" a="1"/>
  <c r="HU29" i="111" s="1"/>
  <c r="HS29" i="111" a="1"/>
  <c r="HS29" i="111" s="1"/>
  <c r="PL29" i="111"/>
  <c r="SE29" i="111" s="1"/>
  <c r="HL29" i="111"/>
  <c r="GJ29" i="111" s="1"/>
  <c r="GV29" i="111"/>
  <c r="GG29" i="111"/>
  <c r="FC29" i="111" s="1"/>
  <c r="FT29" i="111"/>
  <c r="FB29" i="111" s="1"/>
  <c r="FM29" i="111"/>
  <c r="FA29" i="111" s="1"/>
  <c r="EX29" i="111"/>
  <c r="EQ29" i="111"/>
  <c r="DA29" i="111"/>
  <c r="ED29" i="111"/>
  <c r="CY29" i="111"/>
  <c r="DB29" i="111"/>
  <c r="CZ29" i="111"/>
  <c r="CX29" i="111"/>
  <c r="CV29" i="111"/>
  <c r="CU29" i="111"/>
  <c r="CT29" i="111"/>
  <c r="CS29" i="111"/>
  <c r="CR29" i="111"/>
  <c r="CQ29" i="111"/>
  <c r="CM29" i="111"/>
  <c r="CF29" i="111"/>
  <c r="CC29" i="111"/>
  <c r="BZ29" i="111"/>
  <c r="AV29" i="111"/>
  <c r="AS29" i="111"/>
  <c r="AP29" i="111"/>
  <c r="AK29" i="111"/>
  <c r="AG29" i="111"/>
  <c r="AB29" i="111"/>
  <c r="AA29" i="111"/>
  <c r="X29" i="111"/>
  <c r="W29" i="111"/>
  <c r="S29" i="111"/>
  <c r="O29" i="111"/>
  <c r="RO28" i="111"/>
  <c r="RM28" i="111"/>
  <c r="RD28" i="111"/>
  <c r="RC28" i="111"/>
  <c r="RB28" i="111"/>
  <c r="RA28" i="111"/>
  <c r="QZ28" i="111"/>
  <c r="QY28" i="111"/>
  <c r="QW28" i="111"/>
  <c r="QV28" i="111"/>
  <c r="QU28" i="111"/>
  <c r="QT28" i="111"/>
  <c r="QS28" i="111"/>
  <c r="QR28" i="111"/>
  <c r="QM28" i="111"/>
  <c r="PY28" i="111"/>
  <c r="OY28" i="111"/>
  <c r="MT28" i="111"/>
  <c r="MB28" i="111"/>
  <c r="LV28" i="111"/>
  <c r="LH28" i="111"/>
  <c r="LG28" i="111"/>
  <c r="LF28" i="111"/>
  <c r="JE28" i="111"/>
  <c r="GL28" i="111" s="1"/>
  <c r="IP28" i="111"/>
  <c r="GK28" i="111" s="1"/>
  <c r="HU28" i="111" a="1"/>
  <c r="HU28" i="111" s="1"/>
  <c r="HS28" i="111" a="1"/>
  <c r="HS28" i="111" s="1"/>
  <c r="PL28" i="111"/>
  <c r="SE28" i="111" s="1"/>
  <c r="HL28" i="111"/>
  <c r="GJ28" i="111" s="1"/>
  <c r="GG28" i="111"/>
  <c r="FC28" i="111" s="1"/>
  <c r="FT28" i="111"/>
  <c r="FB28" i="111" s="1"/>
  <c r="FM28" i="111"/>
  <c r="FA28" i="111" s="1"/>
  <c r="EX28" i="111"/>
  <c r="EQ28" i="111"/>
  <c r="DA28" i="111"/>
  <c r="ED28" i="111"/>
  <c r="CY28" i="111"/>
  <c r="DB28" i="111"/>
  <c r="CZ28" i="111"/>
  <c r="CX28" i="111"/>
  <c r="CV28" i="111"/>
  <c r="CU28" i="111"/>
  <c r="CT28" i="111"/>
  <c r="CS28" i="111"/>
  <c r="CR28" i="111"/>
  <c r="CQ28" i="111"/>
  <c r="CM28" i="111"/>
  <c r="CF28" i="111"/>
  <c r="CC28" i="111"/>
  <c r="BZ28" i="111"/>
  <c r="AV28" i="111"/>
  <c r="AS28" i="111"/>
  <c r="AP28" i="111"/>
  <c r="AK28" i="111"/>
  <c r="AG28" i="111"/>
  <c r="AB28" i="111"/>
  <c r="AA28" i="111"/>
  <c r="X28" i="111"/>
  <c r="W28" i="111"/>
  <c r="S28" i="111"/>
  <c r="O28" i="111"/>
  <c r="RO27" i="111"/>
  <c r="RM27" i="111"/>
  <c r="RD27" i="111"/>
  <c r="RC27" i="111"/>
  <c r="RB27" i="111"/>
  <c r="RA27" i="111"/>
  <c r="QZ27" i="111"/>
  <c r="QY27" i="111"/>
  <c r="QW27" i="111"/>
  <c r="QV27" i="111"/>
  <c r="QU27" i="111"/>
  <c r="QT27" i="111"/>
  <c r="QS27" i="111"/>
  <c r="QR27" i="111"/>
  <c r="QM27" i="111"/>
  <c r="PY27" i="111"/>
  <c r="OY27" i="111"/>
  <c r="MT27" i="111"/>
  <c r="MB27" i="111"/>
  <c r="LV27" i="111"/>
  <c r="LH27" i="111"/>
  <c r="LG27" i="111"/>
  <c r="LF27" i="111"/>
  <c r="IP27" i="111"/>
  <c r="GK27" i="111" s="1"/>
  <c r="HU27" i="111" a="1"/>
  <c r="HU27" i="111" s="1"/>
  <c r="HS27" i="111" a="1"/>
  <c r="HS27" i="111" s="1"/>
  <c r="PL27" i="111"/>
  <c r="SE27" i="111" s="1"/>
  <c r="HL27" i="111"/>
  <c r="GJ27" i="111" s="1"/>
  <c r="GG27" i="111"/>
  <c r="FC27" i="111" s="1"/>
  <c r="FT27" i="111"/>
  <c r="FB27" i="111" s="1"/>
  <c r="FM27" i="111"/>
  <c r="FA27" i="111" s="1"/>
  <c r="EX27" i="111"/>
  <c r="EQ27" i="111"/>
  <c r="DA27" i="111"/>
  <c r="ED27" i="111"/>
  <c r="CY27" i="111"/>
  <c r="DB27" i="111"/>
  <c r="CZ27" i="111"/>
  <c r="CX27" i="111"/>
  <c r="CV27" i="111"/>
  <c r="CU27" i="111"/>
  <c r="CT27" i="111"/>
  <c r="CS27" i="111"/>
  <c r="CR27" i="111"/>
  <c r="CQ27" i="111"/>
  <c r="CM27" i="111"/>
  <c r="CF27" i="111"/>
  <c r="CC27" i="111"/>
  <c r="BZ27" i="111"/>
  <c r="AV27" i="111"/>
  <c r="AS27" i="111"/>
  <c r="AP27" i="111"/>
  <c r="AK27" i="111"/>
  <c r="AG27" i="111"/>
  <c r="AB27" i="111"/>
  <c r="AA27" i="111"/>
  <c r="X27" i="111"/>
  <c r="W27" i="111"/>
  <c r="S27" i="111"/>
  <c r="O27" i="111"/>
  <c r="RO26" i="111"/>
  <c r="RM26" i="111"/>
  <c r="RD26" i="111"/>
  <c r="RC26" i="111"/>
  <c r="RB26" i="111"/>
  <c r="RA26" i="111"/>
  <c r="QZ26" i="111"/>
  <c r="QY26" i="111"/>
  <c r="QW26" i="111"/>
  <c r="QV26" i="111"/>
  <c r="QU26" i="111"/>
  <c r="QT26" i="111"/>
  <c r="QS26" i="111"/>
  <c r="QR26" i="111"/>
  <c r="QM26" i="111"/>
  <c r="PY26" i="111"/>
  <c r="OY26" i="111"/>
  <c r="MT26" i="111"/>
  <c r="MB26" i="111"/>
  <c r="LV26" i="111"/>
  <c r="LH26" i="111"/>
  <c r="LG26" i="111"/>
  <c r="LF26" i="111"/>
  <c r="JE26" i="111"/>
  <c r="GL26" i="111" s="1"/>
  <c r="IP26" i="111"/>
  <c r="GK26" i="111" s="1"/>
  <c r="HU26" i="111" a="1"/>
  <c r="HU26" i="111" s="1"/>
  <c r="HS26" i="111" a="1"/>
  <c r="HS26" i="111" s="1"/>
  <c r="PL26" i="111"/>
  <c r="SE26" i="111" s="1"/>
  <c r="HL26" i="111"/>
  <c r="GJ26" i="111" s="1"/>
  <c r="GV26" i="111"/>
  <c r="RV26" i="111" s="1"/>
  <c r="GG26" i="111"/>
  <c r="FC26" i="111" s="1"/>
  <c r="FT26" i="111"/>
  <c r="FB26" i="111" s="1"/>
  <c r="FM26" i="111"/>
  <c r="FA26" i="111" s="1"/>
  <c r="EX26" i="111"/>
  <c r="EQ26" i="111"/>
  <c r="DA26" i="111"/>
  <c r="ED26" i="111"/>
  <c r="CY26" i="111"/>
  <c r="DB26" i="111"/>
  <c r="CZ26" i="111"/>
  <c r="CX26" i="111"/>
  <c r="CV26" i="111"/>
  <c r="CU26" i="111"/>
  <c r="CT26" i="111"/>
  <c r="CS26" i="111"/>
  <c r="CR26" i="111"/>
  <c r="CQ26" i="111"/>
  <c r="CM26" i="111"/>
  <c r="CF26" i="111"/>
  <c r="CC26" i="111"/>
  <c r="BZ26" i="111"/>
  <c r="AV26" i="111"/>
  <c r="AS26" i="111"/>
  <c r="AP26" i="111"/>
  <c r="AK26" i="111"/>
  <c r="AG26" i="111"/>
  <c r="AB26" i="111"/>
  <c r="AA26" i="111"/>
  <c r="X26" i="111"/>
  <c r="W26" i="111"/>
  <c r="S26" i="111"/>
  <c r="O26" i="111"/>
  <c r="RO25" i="111"/>
  <c r="RM25" i="111"/>
  <c r="RD25" i="111"/>
  <c r="RC25" i="111"/>
  <c r="RB25" i="111"/>
  <c r="RA25" i="111"/>
  <c r="QZ25" i="111"/>
  <c r="QY25" i="111"/>
  <c r="QW25" i="111"/>
  <c r="QV25" i="111"/>
  <c r="QU25" i="111"/>
  <c r="QT25" i="111"/>
  <c r="QS25" i="111"/>
  <c r="QR25" i="111"/>
  <c r="QM25" i="111"/>
  <c r="PY25" i="111"/>
  <c r="OY25" i="111"/>
  <c r="MT25" i="111"/>
  <c r="MB25" i="111"/>
  <c r="LV25" i="111"/>
  <c r="LH25" i="111"/>
  <c r="LG25" i="111"/>
  <c r="LF25" i="111"/>
  <c r="HU25" i="111" a="1"/>
  <c r="HU25" i="111" s="1"/>
  <c r="HS25" i="111" a="1"/>
  <c r="HS25" i="111" s="1"/>
  <c r="PL25" i="111"/>
  <c r="SE25" i="111" s="1"/>
  <c r="HL25" i="111"/>
  <c r="GJ25" i="111" s="1"/>
  <c r="GV25" i="111"/>
  <c r="RV25" i="111" s="1"/>
  <c r="GG25" i="111"/>
  <c r="FC25" i="111" s="1"/>
  <c r="FT25" i="111"/>
  <c r="FB25" i="111" s="1"/>
  <c r="FM25" i="111"/>
  <c r="FA25" i="111" s="1"/>
  <c r="EX25" i="111"/>
  <c r="EQ25" i="111"/>
  <c r="DA25" i="111"/>
  <c r="ED25" i="111"/>
  <c r="CY25" i="111"/>
  <c r="DB25" i="111"/>
  <c r="CZ25" i="111"/>
  <c r="CX25" i="111"/>
  <c r="CV25" i="111"/>
  <c r="CU25" i="111"/>
  <c r="CT25" i="111"/>
  <c r="CS25" i="111"/>
  <c r="CR25" i="111"/>
  <c r="CQ25" i="111"/>
  <c r="CM25" i="111"/>
  <c r="CF25" i="111"/>
  <c r="CC25" i="111"/>
  <c r="BZ25" i="111"/>
  <c r="AV25" i="111"/>
  <c r="AS25" i="111"/>
  <c r="AP25" i="111"/>
  <c r="AK25" i="111"/>
  <c r="AG25" i="111"/>
  <c r="AB25" i="111"/>
  <c r="AA25" i="111"/>
  <c r="X25" i="111"/>
  <c r="W25" i="111"/>
  <c r="S25" i="111"/>
  <c r="O25" i="111"/>
  <c r="RO24" i="111"/>
  <c r="RM24" i="111"/>
  <c r="RD24" i="111"/>
  <c r="RC24" i="111"/>
  <c r="RB24" i="111"/>
  <c r="RA24" i="111"/>
  <c r="QZ24" i="111"/>
  <c r="QY24" i="111"/>
  <c r="QW24" i="111"/>
  <c r="QV24" i="111"/>
  <c r="QU24" i="111"/>
  <c r="QT24" i="111"/>
  <c r="QS24" i="111"/>
  <c r="QR24" i="111"/>
  <c r="QM24" i="111"/>
  <c r="PY24" i="111"/>
  <c r="OY24" i="111"/>
  <c r="OH24" i="111"/>
  <c r="OH25" i="111" s="1"/>
  <c r="OH26" i="111" s="1"/>
  <c r="OH27" i="111" s="1"/>
  <c r="OH28" i="111" s="1"/>
  <c r="OH29" i="111" s="1"/>
  <c r="OH30" i="111" s="1"/>
  <c r="OH31" i="111" s="1"/>
  <c r="OH32" i="111" s="1"/>
  <c r="OH33" i="111" s="1"/>
  <c r="OH34" i="111" s="1"/>
  <c r="OH35" i="111" s="1"/>
  <c r="OH36" i="111" s="1"/>
  <c r="OH37" i="111" s="1"/>
  <c r="OH38" i="111" s="1"/>
  <c r="OH39" i="111" s="1"/>
  <c r="OH40" i="111" s="1"/>
  <c r="OH41" i="111" s="1"/>
  <c r="OH42" i="111" s="1"/>
  <c r="OH44" i="111" s="1"/>
  <c r="MT24" i="111"/>
  <c r="MB24" i="111"/>
  <c r="LV24" i="111"/>
  <c r="LH24" i="111"/>
  <c r="LG24" i="111"/>
  <c r="LF24" i="111"/>
  <c r="HU24" i="111" a="1"/>
  <c r="HU24" i="111" s="1"/>
  <c r="HS24" i="111" a="1"/>
  <c r="HS24" i="111" s="1"/>
  <c r="PL24" i="111"/>
  <c r="SE24" i="111" s="1"/>
  <c r="HL24" i="111"/>
  <c r="GJ24" i="111" s="1"/>
  <c r="GV24" i="111"/>
  <c r="RV24" i="111" s="1"/>
  <c r="GG24" i="111"/>
  <c r="FC24" i="111" s="1"/>
  <c r="FT24" i="111"/>
  <c r="FB24" i="111" s="1"/>
  <c r="FM24" i="111"/>
  <c r="FA24" i="111" s="1"/>
  <c r="EX24" i="111"/>
  <c r="EQ24" i="111"/>
  <c r="DA24" i="111"/>
  <c r="ED24" i="111"/>
  <c r="CY24" i="111"/>
  <c r="DB24" i="111"/>
  <c r="CZ24" i="111"/>
  <c r="CX24" i="111"/>
  <c r="CV24" i="111"/>
  <c r="CU24" i="111"/>
  <c r="CT24" i="111"/>
  <c r="CS24" i="111"/>
  <c r="CR24" i="111"/>
  <c r="CQ24" i="111"/>
  <c r="CM24" i="111"/>
  <c r="CF24" i="111"/>
  <c r="CC24" i="111"/>
  <c r="BZ24" i="111"/>
  <c r="AV24" i="111"/>
  <c r="AS24" i="111"/>
  <c r="AP24" i="111"/>
  <c r="AK24" i="111"/>
  <c r="AG24" i="111"/>
  <c r="AB24" i="111"/>
  <c r="AA24" i="111"/>
  <c r="X24" i="111"/>
  <c r="W24" i="111"/>
  <c r="S24" i="111"/>
  <c r="O24" i="111"/>
  <c r="RO23" i="111"/>
  <c r="RM23" i="111"/>
  <c r="RD23" i="111"/>
  <c r="RC23" i="111"/>
  <c r="RB23" i="111"/>
  <c r="RA23" i="111"/>
  <c r="QZ23" i="111"/>
  <c r="QY23" i="111"/>
  <c r="QW23" i="111"/>
  <c r="QV23" i="111"/>
  <c r="QU23" i="111"/>
  <c r="QT23" i="111"/>
  <c r="QS23" i="111"/>
  <c r="QR23" i="111"/>
  <c r="QM23" i="111"/>
  <c r="PY23" i="111"/>
  <c r="OY23" i="111"/>
  <c r="MT23" i="111"/>
  <c r="MB23" i="111"/>
  <c r="LV23" i="111"/>
  <c r="LH23" i="111"/>
  <c r="LG23" i="111"/>
  <c r="LF23" i="111"/>
  <c r="JE23" i="111"/>
  <c r="GL23" i="111" s="1"/>
  <c r="IP23" i="111"/>
  <c r="GK23" i="111" s="1"/>
  <c r="HU23" i="111" a="1"/>
  <c r="HU23" i="111" s="1"/>
  <c r="HS23" i="111" a="1"/>
  <c r="HS23" i="111" s="1"/>
  <c r="PL23" i="111"/>
  <c r="SE23" i="111" s="1"/>
  <c r="HL23" i="111"/>
  <c r="GJ23" i="111" s="1"/>
  <c r="GG23" i="111"/>
  <c r="FC23" i="111" s="1"/>
  <c r="FT23" i="111"/>
  <c r="FB23" i="111" s="1"/>
  <c r="FM23" i="111"/>
  <c r="FA23" i="111" s="1"/>
  <c r="DA23" i="111"/>
  <c r="ED23" i="111"/>
  <c r="CY23" i="111"/>
  <c r="DB23" i="111"/>
  <c r="CZ23" i="111"/>
  <c r="CX23" i="111"/>
  <c r="CV23" i="111"/>
  <c r="CU23" i="111"/>
  <c r="CT23" i="111"/>
  <c r="CS23" i="111"/>
  <c r="CR23" i="111"/>
  <c r="CQ23" i="111"/>
  <c r="CM23" i="111"/>
  <c r="CF23" i="111"/>
  <c r="CC23" i="111"/>
  <c r="BZ23" i="111"/>
  <c r="AV23" i="111"/>
  <c r="AS23" i="111"/>
  <c r="AP23" i="111"/>
  <c r="AK23" i="111"/>
  <c r="AG23" i="111"/>
  <c r="AB23" i="111"/>
  <c r="AA23" i="111"/>
  <c r="X23" i="111"/>
  <c r="W23" i="111"/>
  <c r="S23" i="111"/>
  <c r="O23" i="111"/>
  <c r="RO22" i="111"/>
  <c r="RM22" i="111"/>
  <c r="RD22" i="111"/>
  <c r="RC22" i="111"/>
  <c r="RB22" i="111"/>
  <c r="RA22" i="111"/>
  <c r="QZ22" i="111"/>
  <c r="QY22" i="111"/>
  <c r="QW22" i="111"/>
  <c r="QV22" i="111"/>
  <c r="QU22" i="111"/>
  <c r="QT22" i="111"/>
  <c r="QS22" i="111"/>
  <c r="QR22" i="111"/>
  <c r="QM22" i="111"/>
  <c r="PY22" i="111"/>
  <c r="OY22" i="111"/>
  <c r="MT22" i="111"/>
  <c r="MB22" i="111"/>
  <c r="LV22" i="111"/>
  <c r="LH22" i="111"/>
  <c r="LG22" i="111"/>
  <c r="LF22" i="111"/>
  <c r="JE22" i="111"/>
  <c r="GL22" i="111" s="1"/>
  <c r="IP22" i="111"/>
  <c r="GK22" i="111" s="1"/>
  <c r="HU22" i="111" a="1"/>
  <c r="HU22" i="111" s="1"/>
  <c r="HS22" i="111" a="1"/>
  <c r="HS22" i="111" s="1"/>
  <c r="PL22" i="111"/>
  <c r="SE22" i="111" s="1"/>
  <c r="GV22" i="111"/>
  <c r="RV22" i="111" s="1"/>
  <c r="GG22" i="111"/>
  <c r="FC22" i="111" s="1"/>
  <c r="FT22" i="111"/>
  <c r="FB22" i="111" s="1"/>
  <c r="FM22" i="111"/>
  <c r="FA22" i="111" s="1"/>
  <c r="DA22" i="111"/>
  <c r="ED22" i="111"/>
  <c r="CY22" i="111"/>
  <c r="DB22" i="111"/>
  <c r="CZ22" i="111"/>
  <c r="CX22" i="111"/>
  <c r="CV22" i="111"/>
  <c r="CU22" i="111"/>
  <c r="CT22" i="111"/>
  <c r="CS22" i="111"/>
  <c r="CR22" i="111"/>
  <c r="CQ22" i="111"/>
  <c r="CM22" i="111"/>
  <c r="CF22" i="111"/>
  <c r="CC22" i="111"/>
  <c r="BZ22" i="111"/>
  <c r="AV22" i="111"/>
  <c r="AS22" i="111"/>
  <c r="AP22" i="111"/>
  <c r="AK22" i="111"/>
  <c r="AG22" i="111"/>
  <c r="AB22" i="111"/>
  <c r="AA22" i="111"/>
  <c r="X22" i="111"/>
  <c r="W22" i="111"/>
  <c r="S22" i="111"/>
  <c r="RO21" i="111"/>
  <c r="RM21" i="111"/>
  <c r="RD21" i="111"/>
  <c r="RC21" i="111"/>
  <c r="RB21" i="111"/>
  <c r="RA21" i="111"/>
  <c r="QZ21" i="111"/>
  <c r="QY21" i="111"/>
  <c r="QW21" i="111"/>
  <c r="QV21" i="111"/>
  <c r="QU21" i="111"/>
  <c r="QT21" i="111"/>
  <c r="QS21" i="111"/>
  <c r="QR21" i="111"/>
  <c r="QM21" i="111"/>
  <c r="PY21" i="111"/>
  <c r="OY21" i="111"/>
  <c r="OH21" i="111"/>
  <c r="MT21" i="111"/>
  <c r="MB21" i="111"/>
  <c r="LV21" i="111"/>
  <c r="LH21" i="111"/>
  <c r="LG21" i="111"/>
  <c r="LF21" i="111"/>
  <c r="JE21" i="111"/>
  <c r="GL21" i="111" s="1"/>
  <c r="IP21" i="111"/>
  <c r="GK21" i="111" s="1"/>
  <c r="HU21" i="111" a="1"/>
  <c r="HU21" i="111" s="1"/>
  <c r="HS21" i="111" a="1"/>
  <c r="HS21" i="111" s="1"/>
  <c r="PL21" i="111"/>
  <c r="SE21" i="111" s="1"/>
  <c r="HL21" i="111"/>
  <c r="GJ21" i="111" s="1"/>
  <c r="GV21" i="111"/>
  <c r="RV21" i="111" s="1"/>
  <c r="GG21" i="111"/>
  <c r="FC21" i="111" s="1"/>
  <c r="FT21" i="111"/>
  <c r="FB21" i="111" s="1"/>
  <c r="FM21" i="111"/>
  <c r="FA21" i="111" s="1"/>
  <c r="DA21" i="111"/>
  <c r="ED21" i="111"/>
  <c r="CY21" i="111"/>
  <c r="DB21" i="111"/>
  <c r="CZ21" i="111"/>
  <c r="CX21" i="111"/>
  <c r="CV21" i="111"/>
  <c r="CU21" i="111"/>
  <c r="CT21" i="111"/>
  <c r="CS21" i="111"/>
  <c r="CR21" i="111"/>
  <c r="CQ21" i="111"/>
  <c r="CM21" i="111"/>
  <c r="CF21" i="111"/>
  <c r="CC21" i="111"/>
  <c r="BZ21" i="111"/>
  <c r="AV21" i="111"/>
  <c r="AS21" i="111"/>
  <c r="AP21" i="111"/>
  <c r="AK21" i="111"/>
  <c r="AG21" i="111"/>
  <c r="AB21" i="111"/>
  <c r="AA21" i="111"/>
  <c r="X21" i="111"/>
  <c r="W21" i="111"/>
  <c r="S21" i="111"/>
  <c r="RO20" i="111"/>
  <c r="RM20" i="111"/>
  <c r="RD20" i="111"/>
  <c r="RC20" i="111"/>
  <c r="RB20" i="111"/>
  <c r="RA20" i="111"/>
  <c r="QZ20" i="111"/>
  <c r="QY20" i="111"/>
  <c r="QW20" i="111"/>
  <c r="QV20" i="111"/>
  <c r="QU20" i="111"/>
  <c r="QT20" i="111"/>
  <c r="QS20" i="111"/>
  <c r="QR20" i="111"/>
  <c r="QM20" i="111"/>
  <c r="PY20" i="111"/>
  <c r="OY20" i="111"/>
  <c r="MT20" i="111"/>
  <c r="MB20" i="111"/>
  <c r="LV20" i="111"/>
  <c r="LH20" i="111"/>
  <c r="LG20" i="111"/>
  <c r="LF20" i="111"/>
  <c r="JE20" i="111"/>
  <c r="GL20" i="111" s="1"/>
  <c r="HU20" i="111" a="1"/>
  <c r="HU20" i="111" s="1"/>
  <c r="HS20" i="111" a="1"/>
  <c r="HS20" i="111" s="1"/>
  <c r="PL20" i="111"/>
  <c r="SE20" i="111" s="1"/>
  <c r="GV20" i="111"/>
  <c r="RV20" i="111" s="1"/>
  <c r="GG20" i="111"/>
  <c r="FC20" i="111" s="1"/>
  <c r="FT20" i="111"/>
  <c r="FB20" i="111" s="1"/>
  <c r="FM20" i="111"/>
  <c r="FA20" i="111" s="1"/>
  <c r="DA20" i="111"/>
  <c r="ED20" i="111"/>
  <c r="CY20" i="111"/>
  <c r="DB20" i="111"/>
  <c r="CZ20" i="111"/>
  <c r="CX20" i="111"/>
  <c r="CV20" i="111"/>
  <c r="CU20" i="111"/>
  <c r="CT20" i="111"/>
  <c r="CS20" i="111"/>
  <c r="CR20" i="111"/>
  <c r="CQ20" i="111"/>
  <c r="CM20" i="111"/>
  <c r="CF20" i="111"/>
  <c r="CC20" i="111"/>
  <c r="BZ20" i="111"/>
  <c r="AV20" i="111"/>
  <c r="AS20" i="111"/>
  <c r="AP20" i="111"/>
  <c r="AK20" i="111"/>
  <c r="AG20" i="111"/>
  <c r="AB20" i="111"/>
  <c r="AA20" i="111"/>
  <c r="X20" i="111"/>
  <c r="W20" i="111"/>
  <c r="S20" i="111"/>
  <c r="RO19" i="111"/>
  <c r="RM19" i="111"/>
  <c r="RD19" i="111"/>
  <c r="RC19" i="111"/>
  <c r="RB19" i="111"/>
  <c r="RA19" i="111"/>
  <c r="QZ19" i="111"/>
  <c r="QY19" i="111"/>
  <c r="QW19" i="111"/>
  <c r="QV19" i="111"/>
  <c r="QU19" i="111"/>
  <c r="QT19" i="111"/>
  <c r="QS19" i="111"/>
  <c r="QR19" i="111"/>
  <c r="QM19" i="111"/>
  <c r="PY19" i="111"/>
  <c r="OY19" i="111"/>
  <c r="MT19" i="111"/>
  <c r="MB19" i="111"/>
  <c r="LV19" i="111"/>
  <c r="LH19" i="111"/>
  <c r="RJ19" i="111" s="1"/>
  <c r="LG19" i="111"/>
  <c r="LF19" i="111"/>
  <c r="JE19" i="111"/>
  <c r="GL19" i="111" s="1"/>
  <c r="HU19" i="111" a="1"/>
  <c r="HU19" i="111" s="1"/>
  <c r="HS19" i="111" a="1"/>
  <c r="HS19" i="111" s="1"/>
  <c r="PL19" i="111"/>
  <c r="SE19" i="111" s="1"/>
  <c r="HL19" i="111"/>
  <c r="GJ19" i="111" s="1"/>
  <c r="GG19" i="111"/>
  <c r="FC19" i="111" s="1"/>
  <c r="FT19" i="111"/>
  <c r="FB19" i="111" s="1"/>
  <c r="FM19" i="111"/>
  <c r="FA19" i="111" s="1"/>
  <c r="DA19" i="111"/>
  <c r="ED19" i="111"/>
  <c r="DB19" i="111"/>
  <c r="CZ19" i="111"/>
  <c r="CX19" i="111"/>
  <c r="CV19" i="111"/>
  <c r="CU19" i="111"/>
  <c r="CT19" i="111"/>
  <c r="CS19" i="111"/>
  <c r="CR19" i="111"/>
  <c r="CQ19" i="111"/>
  <c r="CM19" i="111"/>
  <c r="CF19" i="111"/>
  <c r="CC19" i="111"/>
  <c r="BZ19" i="111"/>
  <c r="AV19" i="111"/>
  <c r="AS19" i="111"/>
  <c r="AP19" i="111"/>
  <c r="AK19" i="111"/>
  <c r="AG19" i="111"/>
  <c r="AB19" i="111"/>
  <c r="AA19" i="111"/>
  <c r="X19" i="111"/>
  <c r="W19" i="111"/>
  <c r="S19" i="111"/>
  <c r="RO18" i="111"/>
  <c r="RM18" i="111"/>
  <c r="RK18" i="111"/>
  <c r="RD18" i="111"/>
  <c r="RC18" i="111"/>
  <c r="RB18" i="111"/>
  <c r="RA18" i="111"/>
  <c r="QZ18" i="111"/>
  <c r="QY18" i="111"/>
  <c r="QW18" i="111"/>
  <c r="QV18" i="111"/>
  <c r="QU18" i="111"/>
  <c r="QT18" i="111"/>
  <c r="QS18" i="111"/>
  <c r="QR18" i="111"/>
  <c r="QM18" i="111"/>
  <c r="PY18" i="111"/>
  <c r="OY18" i="111"/>
  <c r="MT18" i="111"/>
  <c r="MB18" i="111"/>
  <c r="LV18" i="111"/>
  <c r="LH18" i="111"/>
  <c r="LG18" i="111"/>
  <c r="LF18" i="111"/>
  <c r="JK18" i="111"/>
  <c r="JE18" i="111"/>
  <c r="GL18" i="111" s="1"/>
  <c r="IP18" i="111"/>
  <c r="GK18" i="111" s="1"/>
  <c r="HU18" i="111" a="1"/>
  <c r="HU18" i="111" s="1"/>
  <c r="HS18" i="111" a="1"/>
  <c r="HS18" i="111" s="1"/>
  <c r="PL18" i="111"/>
  <c r="SE18" i="111" s="1"/>
  <c r="HL18" i="111"/>
  <c r="GJ18" i="111" s="1"/>
  <c r="GV18" i="111"/>
  <c r="RV18" i="111" s="1"/>
  <c r="GG18" i="111"/>
  <c r="FC18" i="111" s="1"/>
  <c r="FT18" i="111"/>
  <c r="FB18" i="111" s="1"/>
  <c r="FM18" i="111"/>
  <c r="FA18" i="111" s="1"/>
  <c r="DA18" i="111"/>
  <c r="ED18" i="111"/>
  <c r="CY18" i="111"/>
  <c r="DB18" i="111"/>
  <c r="CZ18" i="111"/>
  <c r="CX18" i="111"/>
  <c r="CV18" i="111"/>
  <c r="CU18" i="111"/>
  <c r="CT18" i="111"/>
  <c r="CS18" i="111"/>
  <c r="CR18" i="111"/>
  <c r="CQ18" i="111"/>
  <c r="CM18" i="111"/>
  <c r="CF18" i="111"/>
  <c r="CC18" i="111"/>
  <c r="BZ18" i="111"/>
  <c r="AV18" i="111"/>
  <c r="AS18" i="111"/>
  <c r="AP18" i="111"/>
  <c r="AK18" i="111"/>
  <c r="AG18" i="111"/>
  <c r="AB18" i="111"/>
  <c r="AA18" i="111"/>
  <c r="X18" i="111"/>
  <c r="W18" i="111"/>
  <c r="S18" i="111"/>
  <c r="RO17" i="111"/>
  <c r="RM17" i="111"/>
  <c r="RD17" i="111"/>
  <c r="RC17" i="111"/>
  <c r="RB17" i="111"/>
  <c r="RA17" i="111"/>
  <c r="QZ17" i="111"/>
  <c r="QY17" i="111"/>
  <c r="QW17" i="111"/>
  <c r="QV17" i="111"/>
  <c r="QU17" i="111"/>
  <c r="QT17" i="111"/>
  <c r="QS17" i="111"/>
  <c r="QR17" i="111"/>
  <c r="QM17" i="111"/>
  <c r="PY17" i="111"/>
  <c r="OY17" i="111"/>
  <c r="MT17" i="111"/>
  <c r="MB17" i="111"/>
  <c r="LV17" i="111"/>
  <c r="LH17" i="111"/>
  <c r="LG17" i="111"/>
  <c r="LF17" i="111"/>
  <c r="HU17" i="111" a="1"/>
  <c r="HU17" i="111" s="1"/>
  <c r="HS17" i="111" a="1"/>
  <c r="HS17" i="111" s="1"/>
  <c r="PL17" i="111"/>
  <c r="SE17" i="111" s="1"/>
  <c r="GV17" i="111"/>
  <c r="RV17" i="111" s="1"/>
  <c r="GG17" i="111"/>
  <c r="FC17" i="111" s="1"/>
  <c r="FT17" i="111"/>
  <c r="FB17" i="111" s="1"/>
  <c r="FM17" i="111"/>
  <c r="FA17" i="111" s="1"/>
  <c r="DA17" i="111"/>
  <c r="CY17" i="111"/>
  <c r="DB17" i="111"/>
  <c r="CZ17" i="111"/>
  <c r="CX17" i="111"/>
  <c r="CV17" i="111"/>
  <c r="CU17" i="111"/>
  <c r="CT17" i="111"/>
  <c r="CS17" i="111"/>
  <c r="CR17" i="111"/>
  <c r="CQ17" i="111"/>
  <c r="CM17" i="111"/>
  <c r="CF17" i="111"/>
  <c r="CC17" i="111"/>
  <c r="BZ17" i="111"/>
  <c r="AV17" i="111"/>
  <c r="AS17" i="111"/>
  <c r="AP17" i="111"/>
  <c r="AK17" i="111"/>
  <c r="AG17" i="111"/>
  <c r="AB17" i="111"/>
  <c r="AA17" i="111"/>
  <c r="X17" i="111"/>
  <c r="W17" i="111"/>
  <c r="S17" i="111"/>
  <c r="RO16" i="111"/>
  <c r="RM16" i="111"/>
  <c r="RD16" i="111"/>
  <c r="RC16" i="111"/>
  <c r="RB16" i="111"/>
  <c r="RA16" i="111"/>
  <c r="QZ16" i="111"/>
  <c r="QY16" i="111"/>
  <c r="QW16" i="111"/>
  <c r="QV16" i="111"/>
  <c r="QU16" i="111"/>
  <c r="QT16" i="111"/>
  <c r="QS16" i="111"/>
  <c r="QR16" i="111"/>
  <c r="QM16" i="111"/>
  <c r="PY16" i="111"/>
  <c r="OY16" i="111"/>
  <c r="MT16" i="111"/>
  <c r="MB16" i="111"/>
  <c r="LV16" i="111"/>
  <c r="LH16" i="111"/>
  <c r="LG16" i="111"/>
  <c r="LF16" i="111"/>
  <c r="HU16" i="111" a="1"/>
  <c r="HU16" i="111" s="1"/>
  <c r="HS16" i="111" a="1"/>
  <c r="HS16" i="111" s="1"/>
  <c r="PL16" i="111"/>
  <c r="SE16" i="111" s="1"/>
  <c r="HL16" i="111"/>
  <c r="GJ16" i="111" s="1"/>
  <c r="GG16" i="111"/>
  <c r="FC16" i="111" s="1"/>
  <c r="FT16" i="111"/>
  <c r="FB16" i="111" s="1"/>
  <c r="FM16" i="111"/>
  <c r="FA16" i="111" s="1"/>
  <c r="DA16" i="111"/>
  <c r="ED16" i="111"/>
  <c r="CY16" i="111"/>
  <c r="DB16" i="111"/>
  <c r="CZ16" i="111"/>
  <c r="CX16" i="111"/>
  <c r="CV16" i="111"/>
  <c r="CU16" i="111"/>
  <c r="CT16" i="111"/>
  <c r="CS16" i="111"/>
  <c r="CR16" i="111"/>
  <c r="CQ16" i="111"/>
  <c r="CM16" i="111"/>
  <c r="CF16" i="111"/>
  <c r="CC16" i="111"/>
  <c r="BZ16" i="111"/>
  <c r="AV16" i="111"/>
  <c r="AS16" i="111"/>
  <c r="AP16" i="111"/>
  <c r="AK16" i="111"/>
  <c r="AG16" i="111"/>
  <c r="AB16" i="111"/>
  <c r="AA16" i="111"/>
  <c r="X16" i="111"/>
  <c r="W16" i="111"/>
  <c r="S16" i="111"/>
  <c r="RO15" i="111"/>
  <c r="RM15" i="111"/>
  <c r="RD15" i="111"/>
  <c r="RC15" i="111"/>
  <c r="RB15" i="111"/>
  <c r="RA15" i="111"/>
  <c r="QZ15" i="111"/>
  <c r="QY15" i="111"/>
  <c r="QW15" i="111"/>
  <c r="QV15" i="111"/>
  <c r="QU15" i="111"/>
  <c r="QT15" i="111"/>
  <c r="QS15" i="111"/>
  <c r="QR15" i="111"/>
  <c r="QM15" i="111"/>
  <c r="PY15" i="111"/>
  <c r="OY15" i="111"/>
  <c r="MT15" i="111"/>
  <c r="MB15" i="111"/>
  <c r="LV15" i="111"/>
  <c r="LH15" i="111"/>
  <c r="LG15" i="111"/>
  <c r="LF15" i="111"/>
  <c r="JE15" i="111"/>
  <c r="GL15" i="111" s="1"/>
  <c r="HU15" i="111" a="1"/>
  <c r="HU15" i="111" s="1"/>
  <c r="HS15" i="111" a="1"/>
  <c r="HS15" i="111" s="1"/>
  <c r="PL15" i="111"/>
  <c r="SE15" i="111" s="1"/>
  <c r="HL15" i="111"/>
  <c r="GJ15" i="111" s="1"/>
  <c r="GV15" i="111"/>
  <c r="RV15" i="111" s="1"/>
  <c r="GG15" i="111"/>
  <c r="FC15" i="111" s="1"/>
  <c r="FT15" i="111"/>
  <c r="FB15" i="111" s="1"/>
  <c r="FM15" i="111"/>
  <c r="FA15" i="111" s="1"/>
  <c r="EX15" i="111"/>
  <c r="EQ15" i="111"/>
  <c r="DA15" i="111"/>
  <c r="ED15" i="111"/>
  <c r="CY15" i="111"/>
  <c r="DB15" i="111"/>
  <c r="CZ15" i="111"/>
  <c r="CX15" i="111"/>
  <c r="CV15" i="111"/>
  <c r="CU15" i="111"/>
  <c r="CT15" i="111"/>
  <c r="CS15" i="111"/>
  <c r="CR15" i="111"/>
  <c r="CQ15" i="111"/>
  <c r="CM15" i="111"/>
  <c r="CF15" i="111"/>
  <c r="CC15" i="111"/>
  <c r="BZ15" i="111"/>
  <c r="AV15" i="111"/>
  <c r="AS15" i="111"/>
  <c r="AP15" i="111"/>
  <c r="AK15" i="111"/>
  <c r="AG15" i="111"/>
  <c r="AB15" i="111"/>
  <c r="AA15" i="111"/>
  <c r="X15" i="111"/>
  <c r="W15" i="111"/>
  <c r="S15" i="111"/>
  <c r="RO14" i="111"/>
  <c r="RM14" i="111"/>
  <c r="RD14" i="111"/>
  <c r="RC14" i="111"/>
  <c r="RB14" i="111"/>
  <c r="RA14" i="111"/>
  <c r="QZ14" i="111"/>
  <c r="QY14" i="111"/>
  <c r="QW14" i="111"/>
  <c r="QV14" i="111"/>
  <c r="QU14" i="111"/>
  <c r="QT14" i="111"/>
  <c r="QS14" i="111"/>
  <c r="QR14" i="111"/>
  <c r="QM14" i="111"/>
  <c r="PY14" i="111"/>
  <c r="OY14" i="111"/>
  <c r="MT14" i="111"/>
  <c r="MB14" i="111"/>
  <c r="LV14" i="111"/>
  <c r="LH14" i="111"/>
  <c r="LG14" i="111"/>
  <c r="LF14" i="111"/>
  <c r="IP14" i="111"/>
  <c r="GK14" i="111" s="1"/>
  <c r="HU14" i="111" a="1"/>
  <c r="HU14" i="111" s="1"/>
  <c r="HS14" i="111" a="1"/>
  <c r="HS14" i="111" s="1"/>
  <c r="PL14" i="111"/>
  <c r="SE14" i="111" s="1"/>
  <c r="GG14" i="111"/>
  <c r="FC14" i="111" s="1"/>
  <c r="FT14" i="111"/>
  <c r="FB14" i="111" s="1"/>
  <c r="FM14" i="111"/>
  <c r="FA14" i="111" s="1"/>
  <c r="EX14" i="111"/>
  <c r="EQ14" i="111"/>
  <c r="DA14" i="111"/>
  <c r="ED14" i="111"/>
  <c r="DB14" i="111"/>
  <c r="CZ14" i="111"/>
  <c r="CX14" i="111"/>
  <c r="CV14" i="111"/>
  <c r="CU14" i="111"/>
  <c r="CT14" i="111"/>
  <c r="CS14" i="111"/>
  <c r="CR14" i="111"/>
  <c r="CQ14" i="111"/>
  <c r="CM14" i="111"/>
  <c r="CF14" i="111"/>
  <c r="CC14" i="111"/>
  <c r="BZ14" i="111"/>
  <c r="AV14" i="111"/>
  <c r="AS14" i="111"/>
  <c r="AP14" i="111"/>
  <c r="AK14" i="111"/>
  <c r="AG14" i="111"/>
  <c r="AB14" i="111"/>
  <c r="AA14" i="111"/>
  <c r="X14" i="111"/>
  <c r="W14" i="111"/>
  <c r="S14" i="111"/>
  <c r="RO13" i="111"/>
  <c r="RM13" i="111"/>
  <c r="RD13" i="111"/>
  <c r="RC13" i="111"/>
  <c r="RB13" i="111"/>
  <c r="RA13" i="111"/>
  <c r="QZ13" i="111"/>
  <c r="QY13" i="111"/>
  <c r="QW13" i="111"/>
  <c r="QV13" i="111"/>
  <c r="QU13" i="111"/>
  <c r="QT13" i="111"/>
  <c r="QS13" i="111"/>
  <c r="QR13" i="111"/>
  <c r="QM13" i="111"/>
  <c r="PY13" i="111"/>
  <c r="OY13" i="111"/>
  <c r="MT13" i="111"/>
  <c r="MB13" i="111"/>
  <c r="LV13" i="111"/>
  <c r="LH13" i="111"/>
  <c r="LF13" i="111"/>
  <c r="JE13" i="111"/>
  <c r="GL13" i="111" s="1"/>
  <c r="IP13" i="111"/>
  <c r="GK13" i="111" s="1"/>
  <c r="HU13" i="111" a="1"/>
  <c r="HU13" i="111" s="1"/>
  <c r="HS13" i="111" a="1"/>
  <c r="HS13" i="111" s="1"/>
  <c r="PL13" i="111"/>
  <c r="SE13" i="111" s="1"/>
  <c r="HL13" i="111"/>
  <c r="GJ13" i="111" s="1"/>
  <c r="GG13" i="111"/>
  <c r="FC13" i="111" s="1"/>
  <c r="FT13" i="111"/>
  <c r="FB13" i="111" s="1"/>
  <c r="FM13" i="111"/>
  <c r="FA13" i="111" s="1"/>
  <c r="EX13" i="111"/>
  <c r="EQ13" i="111"/>
  <c r="DA13" i="111"/>
  <c r="CY13" i="111"/>
  <c r="DB13" i="111"/>
  <c r="CZ13" i="111"/>
  <c r="CX13" i="111"/>
  <c r="CV13" i="111"/>
  <c r="CU13" i="111"/>
  <c r="CT13" i="111"/>
  <c r="CS13" i="111"/>
  <c r="CR13" i="111"/>
  <c r="CQ13" i="111"/>
  <c r="CM13" i="111"/>
  <c r="CF13" i="111"/>
  <c r="CC13" i="111"/>
  <c r="BZ13" i="111"/>
  <c r="AV13" i="111"/>
  <c r="AS13" i="111"/>
  <c r="AP13" i="111"/>
  <c r="AK13" i="111"/>
  <c r="AG13" i="111"/>
  <c r="AB13" i="111"/>
  <c r="AA13" i="111"/>
  <c r="X13" i="111"/>
  <c r="W13" i="111"/>
  <c r="S13" i="111"/>
  <c r="RO12" i="111"/>
  <c r="RM12" i="111"/>
  <c r="RD12" i="111"/>
  <c r="RC12" i="111"/>
  <c r="RB12" i="111"/>
  <c r="RA12" i="111"/>
  <c r="QZ12" i="111"/>
  <c r="QY12" i="111"/>
  <c r="QW12" i="111"/>
  <c r="QV12" i="111"/>
  <c r="QU12" i="111"/>
  <c r="QT12" i="111"/>
  <c r="QS12" i="111"/>
  <c r="QR12" i="111"/>
  <c r="QM12" i="111"/>
  <c r="PY12" i="111"/>
  <c r="OY12" i="111"/>
  <c r="MT12" i="111"/>
  <c r="MB12" i="111"/>
  <c r="LV12" i="111"/>
  <c r="LH12" i="111"/>
  <c r="LG12" i="111"/>
  <c r="LF12" i="111"/>
  <c r="JE12" i="111"/>
  <c r="GL12" i="111" s="1"/>
  <c r="IP12" i="111"/>
  <c r="GK12" i="111" s="1"/>
  <c r="HU12" i="111" a="1"/>
  <c r="HU12" i="111" s="1"/>
  <c r="HS12" i="111" a="1"/>
  <c r="HS12" i="111" s="1"/>
  <c r="PL12" i="111"/>
  <c r="SE12" i="111" s="1"/>
  <c r="HL12" i="111"/>
  <c r="GJ12" i="111" s="1"/>
  <c r="GV12" i="111"/>
  <c r="RV12" i="111" s="1"/>
  <c r="GG12" i="111"/>
  <c r="FC12" i="111" s="1"/>
  <c r="FT12" i="111"/>
  <c r="FB12" i="111" s="1"/>
  <c r="FM12" i="111"/>
  <c r="FA12" i="111" s="1"/>
  <c r="EX12" i="111"/>
  <c r="EQ12" i="111"/>
  <c r="DA12" i="111"/>
  <c r="ED12" i="111"/>
  <c r="CY12" i="111"/>
  <c r="DB12" i="111"/>
  <c r="CZ12" i="111"/>
  <c r="CX12" i="111"/>
  <c r="CV12" i="111"/>
  <c r="CU12" i="111"/>
  <c r="CT12" i="111"/>
  <c r="CS12" i="111"/>
  <c r="CR12" i="111"/>
  <c r="CQ12" i="111"/>
  <c r="CM12" i="111"/>
  <c r="CF12" i="111"/>
  <c r="CC12" i="111"/>
  <c r="BZ12" i="111"/>
  <c r="AV12" i="111"/>
  <c r="AS12" i="111"/>
  <c r="AP12" i="111"/>
  <c r="AK12" i="111"/>
  <c r="AG12" i="111"/>
  <c r="AB12" i="111"/>
  <c r="AA12" i="111"/>
  <c r="X12" i="111"/>
  <c r="W12" i="111"/>
  <c r="S12" i="111"/>
  <c r="RO11" i="111"/>
  <c r="RM11" i="111"/>
  <c r="RD11" i="111"/>
  <c r="RC11" i="111"/>
  <c r="RB11" i="111"/>
  <c r="RA11" i="111"/>
  <c r="QZ11" i="111"/>
  <c r="QY11" i="111"/>
  <c r="QW11" i="111"/>
  <c r="QV11" i="111"/>
  <c r="QU11" i="111"/>
  <c r="QT11" i="111"/>
  <c r="QS11" i="111"/>
  <c r="QR11" i="111"/>
  <c r="QM11" i="111"/>
  <c r="PY11" i="111"/>
  <c r="OY11" i="111"/>
  <c r="MT11" i="111"/>
  <c r="MB11" i="111"/>
  <c r="LV11" i="111"/>
  <c r="LH11" i="111"/>
  <c r="LG11" i="111"/>
  <c r="LF11" i="111"/>
  <c r="JE11" i="111"/>
  <c r="GL11" i="111" s="1"/>
  <c r="IP11" i="111"/>
  <c r="GK11" i="111" s="1"/>
  <c r="HU11" i="111" a="1"/>
  <c r="HU11" i="111" s="1"/>
  <c r="HS11" i="111" a="1"/>
  <c r="HS11" i="111" s="1"/>
  <c r="PL11" i="111"/>
  <c r="SE11" i="111" s="1"/>
  <c r="GV11" i="111"/>
  <c r="RV11" i="111" s="1"/>
  <c r="GG11" i="111"/>
  <c r="FC11" i="111" s="1"/>
  <c r="FT11" i="111"/>
  <c r="FB11" i="111" s="1"/>
  <c r="FM11" i="111"/>
  <c r="FA11" i="111" s="1"/>
  <c r="EX11" i="111"/>
  <c r="EQ11" i="111"/>
  <c r="DA11" i="111"/>
  <c r="ED11" i="111"/>
  <c r="CY11" i="111"/>
  <c r="DB11" i="111"/>
  <c r="CZ11" i="111"/>
  <c r="CX11" i="111"/>
  <c r="CV11" i="111"/>
  <c r="CU11" i="111"/>
  <c r="CT11" i="111"/>
  <c r="CS11" i="111"/>
  <c r="CR11" i="111"/>
  <c r="CQ11" i="111"/>
  <c r="CM11" i="111"/>
  <c r="CF11" i="111"/>
  <c r="CC11" i="111"/>
  <c r="BZ11" i="111"/>
  <c r="AV11" i="111"/>
  <c r="AS11" i="111"/>
  <c r="AP11" i="111"/>
  <c r="AK11" i="111"/>
  <c r="AG11" i="111"/>
  <c r="AB11" i="111"/>
  <c r="AA11" i="111"/>
  <c r="X11" i="111"/>
  <c r="W11" i="111"/>
  <c r="S11" i="111"/>
  <c r="RO10" i="111"/>
  <c r="RM10" i="111"/>
  <c r="RD10" i="111"/>
  <c r="RC10" i="111"/>
  <c r="RB10" i="111"/>
  <c r="RA10" i="111"/>
  <c r="QZ10" i="111"/>
  <c r="QY10" i="111"/>
  <c r="QW10" i="111"/>
  <c r="QV10" i="111"/>
  <c r="QU10" i="111"/>
  <c r="QT10" i="111"/>
  <c r="QS10" i="111"/>
  <c r="QR10" i="111"/>
  <c r="QM10" i="111"/>
  <c r="QH10" i="111"/>
  <c r="QH11" i="111" s="1"/>
  <c r="QH12" i="111" s="1"/>
  <c r="QH13" i="111" s="1"/>
  <c r="QH14" i="111" s="1"/>
  <c r="QH15" i="111" s="1"/>
  <c r="QH16" i="111" s="1"/>
  <c r="QH17" i="111" s="1"/>
  <c r="QH18" i="111" s="1"/>
  <c r="QH19" i="111" s="1"/>
  <c r="QH20" i="111" s="1"/>
  <c r="QH21" i="111" s="1"/>
  <c r="QH22" i="111" s="1"/>
  <c r="QH23" i="111" s="1"/>
  <c r="QH24" i="111" s="1"/>
  <c r="QH25" i="111" s="1"/>
  <c r="QH26" i="111" s="1"/>
  <c r="QH27" i="111" s="1"/>
  <c r="QH28" i="111" s="1"/>
  <c r="QH29" i="111" s="1"/>
  <c r="QH30" i="111" s="1"/>
  <c r="QH31" i="111" s="1"/>
  <c r="QH32" i="111" s="1"/>
  <c r="QH33" i="111" s="1"/>
  <c r="QH34" i="111" s="1"/>
  <c r="QH35" i="111" s="1"/>
  <c r="QH36" i="111" s="1"/>
  <c r="QH37" i="111" s="1"/>
  <c r="QH38" i="111" s="1"/>
  <c r="QH39" i="111" s="1"/>
  <c r="QH40" i="111" s="1"/>
  <c r="QH41" i="111" s="1"/>
  <c r="QH42" i="111" s="1"/>
  <c r="PE10" i="111"/>
  <c r="PE11" i="111" s="1"/>
  <c r="PE12" i="111" s="1"/>
  <c r="PE13" i="111" s="1"/>
  <c r="PE14" i="111" s="1"/>
  <c r="PE15" i="111" s="1"/>
  <c r="PE16" i="111" s="1"/>
  <c r="PE17" i="111" s="1"/>
  <c r="PE18" i="111" s="1"/>
  <c r="PE19" i="111" s="1"/>
  <c r="PE20" i="111" s="1"/>
  <c r="PE21" i="111" s="1"/>
  <c r="PE22" i="111" s="1"/>
  <c r="PE23" i="111" s="1"/>
  <c r="PE24" i="111" s="1"/>
  <c r="PE25" i="111" s="1"/>
  <c r="PE26" i="111" s="1"/>
  <c r="PE27" i="111" s="1"/>
  <c r="PE28" i="111" s="1"/>
  <c r="PE29" i="111" s="1"/>
  <c r="PE30" i="111" s="1"/>
  <c r="PE31" i="111" s="1"/>
  <c r="PE32" i="111" s="1"/>
  <c r="PE33" i="111" s="1"/>
  <c r="PE34" i="111" s="1"/>
  <c r="PE35" i="111" s="1"/>
  <c r="PE36" i="111" s="1"/>
  <c r="PE37" i="111" s="1"/>
  <c r="PE38" i="111" s="1"/>
  <c r="PE39" i="111" s="1"/>
  <c r="PE40" i="111" s="1"/>
  <c r="PE41" i="111" s="1"/>
  <c r="PE42" i="111" s="1"/>
  <c r="PE44" i="111" s="1"/>
  <c r="PD10" i="111"/>
  <c r="PD11" i="111" s="1"/>
  <c r="PD12" i="111" s="1"/>
  <c r="PD13" i="111" s="1"/>
  <c r="PD14" i="111" s="1"/>
  <c r="PD15" i="111" s="1"/>
  <c r="PD16" i="111" s="1"/>
  <c r="PD17" i="111" s="1"/>
  <c r="PD18" i="111" s="1"/>
  <c r="PD19" i="111" s="1"/>
  <c r="PD20" i="111" s="1"/>
  <c r="PD21" i="111" s="1"/>
  <c r="PD22" i="111" s="1"/>
  <c r="PD23" i="111" s="1"/>
  <c r="PD24" i="111" s="1"/>
  <c r="PD25" i="111" s="1"/>
  <c r="PD26" i="111" s="1"/>
  <c r="PD27" i="111" s="1"/>
  <c r="PD28" i="111" s="1"/>
  <c r="PD29" i="111" s="1"/>
  <c r="PD30" i="111" s="1"/>
  <c r="PD31" i="111" s="1"/>
  <c r="PD32" i="111" s="1"/>
  <c r="PD33" i="111" s="1"/>
  <c r="PD34" i="111" s="1"/>
  <c r="PD35" i="111" s="1"/>
  <c r="PD36" i="111" s="1"/>
  <c r="PD37" i="111" s="1"/>
  <c r="PD38" i="111" s="1"/>
  <c r="PD39" i="111" s="1"/>
  <c r="PD40" i="111" s="1"/>
  <c r="PD41" i="111" s="1"/>
  <c r="PD42" i="111" s="1"/>
  <c r="PD44" i="111" s="1"/>
  <c r="PC10" i="111"/>
  <c r="PC11" i="111" s="1"/>
  <c r="PC12" i="111" s="1"/>
  <c r="PC13" i="111" s="1"/>
  <c r="PC14" i="111" s="1"/>
  <c r="PC15" i="111" s="1"/>
  <c r="PC16" i="111" s="1"/>
  <c r="PC17" i="111" s="1"/>
  <c r="PC18" i="111" s="1"/>
  <c r="PC19" i="111" s="1"/>
  <c r="PC20" i="111" s="1"/>
  <c r="PC21" i="111" s="1"/>
  <c r="PC22" i="111" s="1"/>
  <c r="PC23" i="111" s="1"/>
  <c r="PC24" i="111" s="1"/>
  <c r="PC25" i="111" s="1"/>
  <c r="PC26" i="111" s="1"/>
  <c r="PC27" i="111" s="1"/>
  <c r="PC28" i="111" s="1"/>
  <c r="PC29" i="111" s="1"/>
  <c r="PC30" i="111" s="1"/>
  <c r="PC31" i="111" s="1"/>
  <c r="PC32" i="111" s="1"/>
  <c r="PC33" i="111" s="1"/>
  <c r="PC34" i="111" s="1"/>
  <c r="PC35" i="111" s="1"/>
  <c r="PC36" i="111" s="1"/>
  <c r="PC37" i="111" s="1"/>
  <c r="PC38" i="111" s="1"/>
  <c r="PC39" i="111" s="1"/>
  <c r="PC40" i="111" s="1"/>
  <c r="PC41" i="111" s="1"/>
  <c r="PC42" i="111" s="1"/>
  <c r="PC44" i="111" s="1"/>
  <c r="PB10" i="111"/>
  <c r="PB11" i="111" s="1"/>
  <c r="PB12" i="111" s="1"/>
  <c r="PB13" i="111" s="1"/>
  <c r="PB14" i="111" s="1"/>
  <c r="PB15" i="111" s="1"/>
  <c r="PB16" i="111" s="1"/>
  <c r="PB17" i="111" s="1"/>
  <c r="PB18" i="111" s="1"/>
  <c r="PB19" i="111" s="1"/>
  <c r="PB20" i="111" s="1"/>
  <c r="PB21" i="111" s="1"/>
  <c r="PB22" i="111" s="1"/>
  <c r="PB23" i="111" s="1"/>
  <c r="PB24" i="111" s="1"/>
  <c r="PB25" i="111" s="1"/>
  <c r="PB26" i="111" s="1"/>
  <c r="PB27" i="111" s="1"/>
  <c r="PB28" i="111" s="1"/>
  <c r="PB29" i="111" s="1"/>
  <c r="PB30" i="111" s="1"/>
  <c r="PB31" i="111" s="1"/>
  <c r="PB32" i="111" s="1"/>
  <c r="PB33" i="111" s="1"/>
  <c r="PB34" i="111" s="1"/>
  <c r="PB35" i="111" s="1"/>
  <c r="PB36" i="111" s="1"/>
  <c r="PB37" i="111" s="1"/>
  <c r="PB38" i="111" s="1"/>
  <c r="PB39" i="111" s="1"/>
  <c r="PB40" i="111" s="1"/>
  <c r="PB41" i="111" s="1"/>
  <c r="PB42" i="111" s="1"/>
  <c r="PB44" i="111" s="1"/>
  <c r="PA10" i="111"/>
  <c r="PA11" i="111" s="1"/>
  <c r="PA12" i="111" s="1"/>
  <c r="PA13" i="111" s="1"/>
  <c r="PA14" i="111" s="1"/>
  <c r="PA15" i="111" s="1"/>
  <c r="PA16" i="111" s="1"/>
  <c r="PA17" i="111" s="1"/>
  <c r="PA18" i="111" s="1"/>
  <c r="PA19" i="111" s="1"/>
  <c r="PA20" i="111" s="1"/>
  <c r="PA21" i="111" s="1"/>
  <c r="PA22" i="111" s="1"/>
  <c r="PA23" i="111" s="1"/>
  <c r="PA24" i="111" s="1"/>
  <c r="PA25" i="111" s="1"/>
  <c r="PA26" i="111" s="1"/>
  <c r="PA27" i="111" s="1"/>
  <c r="PA28" i="111" s="1"/>
  <c r="PA29" i="111" s="1"/>
  <c r="PA30" i="111" s="1"/>
  <c r="PA31" i="111" s="1"/>
  <c r="PA32" i="111" s="1"/>
  <c r="PA33" i="111" s="1"/>
  <c r="PA34" i="111" s="1"/>
  <c r="PA35" i="111" s="1"/>
  <c r="PA36" i="111" s="1"/>
  <c r="PA37" i="111" s="1"/>
  <c r="PA38" i="111" s="1"/>
  <c r="PA39" i="111" s="1"/>
  <c r="PA40" i="111" s="1"/>
  <c r="PA41" i="111" s="1"/>
  <c r="PA42" i="111" s="1"/>
  <c r="PA44" i="111" s="1"/>
  <c r="OZ10" i="111"/>
  <c r="OY10" i="111"/>
  <c r="OQ10" i="111"/>
  <c r="OQ11" i="111" s="1"/>
  <c r="OQ12" i="111" s="1"/>
  <c r="OQ13" i="111" s="1"/>
  <c r="OQ14" i="111" s="1"/>
  <c r="OQ15" i="111" s="1"/>
  <c r="OQ16" i="111" s="1"/>
  <c r="OQ17" i="111" s="1"/>
  <c r="OQ18" i="111" s="1"/>
  <c r="OQ19" i="111" s="1"/>
  <c r="OQ20" i="111" s="1"/>
  <c r="OQ21" i="111" s="1"/>
  <c r="OQ22" i="111" s="1"/>
  <c r="OQ23" i="111" s="1"/>
  <c r="OQ24" i="111" s="1"/>
  <c r="OQ25" i="111" s="1"/>
  <c r="OQ26" i="111" s="1"/>
  <c r="OQ27" i="111" s="1"/>
  <c r="OQ28" i="111" s="1"/>
  <c r="OQ29" i="111" s="1"/>
  <c r="OQ30" i="111" s="1"/>
  <c r="OQ31" i="111" s="1"/>
  <c r="OQ32" i="111" s="1"/>
  <c r="OQ33" i="111" s="1"/>
  <c r="OQ34" i="111" s="1"/>
  <c r="OQ35" i="111" s="1"/>
  <c r="OQ36" i="111" s="1"/>
  <c r="OQ37" i="111" s="1"/>
  <c r="OQ38" i="111" s="1"/>
  <c r="OQ39" i="111" s="1"/>
  <c r="OQ40" i="111" s="1"/>
  <c r="OQ41" i="111" s="1"/>
  <c r="OQ42" i="111" s="1"/>
  <c r="OM10" i="111"/>
  <c r="OM11" i="111" s="1"/>
  <c r="OM12" i="111" s="1"/>
  <c r="OM13" i="111" s="1"/>
  <c r="OM14" i="111" s="1"/>
  <c r="OM15" i="111" s="1"/>
  <c r="OM16" i="111" s="1"/>
  <c r="OM17" i="111" s="1"/>
  <c r="OM18" i="111" s="1"/>
  <c r="OM19" i="111" s="1"/>
  <c r="OM20" i="111" s="1"/>
  <c r="OM21" i="111" s="1"/>
  <c r="OM22" i="111" s="1"/>
  <c r="OM23" i="111" s="1"/>
  <c r="OM24" i="111" s="1"/>
  <c r="OM25" i="111" s="1"/>
  <c r="OM26" i="111" s="1"/>
  <c r="OM27" i="111" s="1"/>
  <c r="OM28" i="111" s="1"/>
  <c r="OM29" i="111" s="1"/>
  <c r="OM30" i="111" s="1"/>
  <c r="OM31" i="111" s="1"/>
  <c r="OM32" i="111" s="1"/>
  <c r="OM33" i="111" s="1"/>
  <c r="OM34" i="111" s="1"/>
  <c r="OM35" i="111" s="1"/>
  <c r="OM36" i="111" s="1"/>
  <c r="OM37" i="111" s="1"/>
  <c r="OM38" i="111" s="1"/>
  <c r="OM39" i="111" s="1"/>
  <c r="OM40" i="111" s="1"/>
  <c r="OM41" i="111" s="1"/>
  <c r="OM42" i="111" s="1"/>
  <c r="OK10" i="111"/>
  <c r="OK11" i="111" s="1"/>
  <c r="OK12" i="111" s="1"/>
  <c r="OK13" i="111" s="1"/>
  <c r="OK14" i="111" s="1"/>
  <c r="OK15" i="111" s="1"/>
  <c r="OK16" i="111" s="1"/>
  <c r="OK17" i="111" s="1"/>
  <c r="OK18" i="111" s="1"/>
  <c r="OK19" i="111" s="1"/>
  <c r="OK20" i="111" s="1"/>
  <c r="OK21" i="111" s="1"/>
  <c r="OK22" i="111" s="1"/>
  <c r="OK23" i="111" s="1"/>
  <c r="OK24" i="111" s="1"/>
  <c r="OK25" i="111" s="1"/>
  <c r="OK26" i="111" s="1"/>
  <c r="OK27" i="111" s="1"/>
  <c r="OK28" i="111" s="1"/>
  <c r="OK29" i="111" s="1"/>
  <c r="OK30" i="111" s="1"/>
  <c r="OK31" i="111" s="1"/>
  <c r="OK32" i="111" s="1"/>
  <c r="OK33" i="111" s="1"/>
  <c r="OK34" i="111" s="1"/>
  <c r="OK35" i="111" s="1"/>
  <c r="OK36" i="111" s="1"/>
  <c r="OK37" i="111" s="1"/>
  <c r="OK38" i="111" s="1"/>
  <c r="OK39" i="111" s="1"/>
  <c r="OK40" i="111" s="1"/>
  <c r="OK41" i="111" s="1"/>
  <c r="OK42" i="111" s="1"/>
  <c r="OJ10" i="111"/>
  <c r="OJ11" i="111" s="1"/>
  <c r="OJ12" i="111" s="1"/>
  <c r="OJ13" i="111" s="1"/>
  <c r="OJ14" i="111" s="1"/>
  <c r="OJ15" i="111" s="1"/>
  <c r="OJ16" i="111" s="1"/>
  <c r="OJ17" i="111" s="1"/>
  <c r="OJ18" i="111" s="1"/>
  <c r="OJ19" i="111" s="1"/>
  <c r="OJ20" i="111" s="1"/>
  <c r="OJ21" i="111" s="1"/>
  <c r="OJ22" i="111" s="1"/>
  <c r="OJ23" i="111" s="1"/>
  <c r="OJ24" i="111" s="1"/>
  <c r="OJ25" i="111" s="1"/>
  <c r="OJ26" i="111" s="1"/>
  <c r="OJ27" i="111" s="1"/>
  <c r="OJ28" i="111" s="1"/>
  <c r="OJ29" i="111" s="1"/>
  <c r="OJ30" i="111" s="1"/>
  <c r="OJ31" i="111" s="1"/>
  <c r="OJ32" i="111" s="1"/>
  <c r="OJ33" i="111" s="1"/>
  <c r="OJ34" i="111" s="1"/>
  <c r="OJ35" i="111" s="1"/>
  <c r="OJ36" i="111" s="1"/>
  <c r="OJ37" i="111" s="1"/>
  <c r="OJ38" i="111" s="1"/>
  <c r="OJ39" i="111" s="1"/>
  <c r="OJ40" i="111" s="1"/>
  <c r="OJ41" i="111" s="1"/>
  <c r="OI10" i="111"/>
  <c r="OI11" i="111" s="1"/>
  <c r="OI12" i="111" s="1"/>
  <c r="OI13" i="111" s="1"/>
  <c r="OI14" i="111" s="1"/>
  <c r="OI15" i="111" s="1"/>
  <c r="OI16" i="111" s="1"/>
  <c r="OI17" i="111" s="1"/>
  <c r="OI18" i="111" s="1"/>
  <c r="OI19" i="111" s="1"/>
  <c r="OI20" i="111" s="1"/>
  <c r="OI21" i="111" s="1"/>
  <c r="OI22" i="111" s="1"/>
  <c r="OI23" i="111" s="1"/>
  <c r="OI24" i="111" s="1"/>
  <c r="OI25" i="111" s="1"/>
  <c r="OI26" i="111" s="1"/>
  <c r="OI27" i="111" s="1"/>
  <c r="OI28" i="111" s="1"/>
  <c r="OI29" i="111" s="1"/>
  <c r="OI30" i="111" s="1"/>
  <c r="OI31" i="111" s="1"/>
  <c r="OI32" i="111" s="1"/>
  <c r="OI33" i="111" s="1"/>
  <c r="OI34" i="111" s="1"/>
  <c r="OI35" i="111" s="1"/>
  <c r="OI36" i="111" s="1"/>
  <c r="OI37" i="111" s="1"/>
  <c r="OI38" i="111" s="1"/>
  <c r="OI39" i="111" s="1"/>
  <c r="OI40" i="111" s="1"/>
  <c r="OI41" i="111" s="1"/>
  <c r="OI42" i="111" s="1"/>
  <c r="OH10" i="111"/>
  <c r="OH11" i="111" s="1"/>
  <c r="OH12" i="111" s="1"/>
  <c r="OH13" i="111" s="1"/>
  <c r="OH14" i="111" s="1"/>
  <c r="OH15" i="111" s="1"/>
  <c r="OH16" i="111" s="1"/>
  <c r="OH17" i="111" s="1"/>
  <c r="OH18" i="111" s="1"/>
  <c r="OH19" i="111" s="1"/>
  <c r="OG10" i="111"/>
  <c r="OG11" i="111" s="1"/>
  <c r="OG12" i="111" s="1"/>
  <c r="OG13" i="111" s="1"/>
  <c r="OG14" i="111" s="1"/>
  <c r="OG15" i="111" s="1"/>
  <c r="OG16" i="111" s="1"/>
  <c r="OG17" i="111" s="1"/>
  <c r="OG18" i="111" s="1"/>
  <c r="OG19" i="111" s="1"/>
  <c r="OG20" i="111" s="1"/>
  <c r="OG21" i="111" s="1"/>
  <c r="OG22" i="111" s="1"/>
  <c r="OG23" i="111" s="1"/>
  <c r="OG24" i="111" s="1"/>
  <c r="OG25" i="111" s="1"/>
  <c r="OG26" i="111" s="1"/>
  <c r="OG27" i="111" s="1"/>
  <c r="OG28" i="111" s="1"/>
  <c r="OG29" i="111" s="1"/>
  <c r="OG30" i="111" s="1"/>
  <c r="OG31" i="111" s="1"/>
  <c r="OG32" i="111" s="1"/>
  <c r="OG33" i="111" s="1"/>
  <c r="OG34" i="111" s="1"/>
  <c r="OG35" i="111" s="1"/>
  <c r="OG36" i="111" s="1"/>
  <c r="OG37" i="111" s="1"/>
  <c r="OG38" i="111" s="1"/>
  <c r="OG39" i="111" s="1"/>
  <c r="OG40" i="111" s="1"/>
  <c r="OG41" i="111" s="1"/>
  <c r="OG42" i="111" s="1"/>
  <c r="OF10" i="111"/>
  <c r="OD10" i="111"/>
  <c r="OD11" i="111" s="1"/>
  <c r="OD12" i="111" s="1"/>
  <c r="OD13" i="111" s="1"/>
  <c r="OD14" i="111" s="1"/>
  <c r="OD15" i="111" s="1"/>
  <c r="OD16" i="111" s="1"/>
  <c r="OD17" i="111" s="1"/>
  <c r="OD18" i="111" s="1"/>
  <c r="OD19" i="111" s="1"/>
  <c r="OD20" i="111" s="1"/>
  <c r="OD21" i="111" s="1"/>
  <c r="OD22" i="111" s="1"/>
  <c r="OD23" i="111" s="1"/>
  <c r="OD24" i="111" s="1"/>
  <c r="OD25" i="111" s="1"/>
  <c r="OD26" i="111" s="1"/>
  <c r="OD27" i="111" s="1"/>
  <c r="OD28" i="111" s="1"/>
  <c r="OD29" i="111" s="1"/>
  <c r="OD30" i="111" s="1"/>
  <c r="OD31" i="111" s="1"/>
  <c r="OD32" i="111" s="1"/>
  <c r="OD33" i="111" s="1"/>
  <c r="OD34" i="111" s="1"/>
  <c r="OD35" i="111" s="1"/>
  <c r="OD36" i="111" s="1"/>
  <c r="OD37" i="111" s="1"/>
  <c r="OD38" i="111" s="1"/>
  <c r="OD39" i="111" s="1"/>
  <c r="OD40" i="111" s="1"/>
  <c r="OD41" i="111" s="1"/>
  <c r="OD42" i="111" s="1"/>
  <c r="NX10" i="111"/>
  <c r="NW10" i="111"/>
  <c r="NW11" i="111" s="1"/>
  <c r="NW12" i="111" s="1"/>
  <c r="NW13" i="111" s="1"/>
  <c r="NW14" i="111" s="1"/>
  <c r="NW15" i="111" s="1"/>
  <c r="NW16" i="111" s="1"/>
  <c r="NW17" i="111" s="1"/>
  <c r="NW18" i="111" s="1"/>
  <c r="NW19" i="111" s="1"/>
  <c r="NW20" i="111" s="1"/>
  <c r="NW21" i="111" s="1"/>
  <c r="NW22" i="111" s="1"/>
  <c r="NW23" i="111" s="1"/>
  <c r="NW24" i="111" s="1"/>
  <c r="NW25" i="111" s="1"/>
  <c r="NW26" i="111" s="1"/>
  <c r="NW27" i="111" s="1"/>
  <c r="NW28" i="111" s="1"/>
  <c r="NW29" i="111" s="1"/>
  <c r="NW30" i="111" s="1"/>
  <c r="NW31" i="111" s="1"/>
  <c r="NW32" i="111" s="1"/>
  <c r="NW33" i="111" s="1"/>
  <c r="NW34" i="111" s="1"/>
  <c r="NW35" i="111" s="1"/>
  <c r="NW36" i="111" s="1"/>
  <c r="NW37" i="111" s="1"/>
  <c r="NW38" i="111" s="1"/>
  <c r="NW39" i="111" s="1"/>
  <c r="NW40" i="111" s="1"/>
  <c r="NW41" i="111" s="1"/>
  <c r="NW42" i="111" s="1"/>
  <c r="NW44" i="111" s="1"/>
  <c r="NV10" i="111"/>
  <c r="NV11" i="111" s="1"/>
  <c r="NV12" i="111" s="1"/>
  <c r="NV13" i="111" s="1"/>
  <c r="NV14" i="111" s="1"/>
  <c r="NV15" i="111" s="1"/>
  <c r="NV16" i="111" s="1"/>
  <c r="NV17" i="111" s="1"/>
  <c r="NV18" i="111" s="1"/>
  <c r="NV19" i="111" s="1"/>
  <c r="NV20" i="111" s="1"/>
  <c r="NV21" i="111" s="1"/>
  <c r="NV22" i="111" s="1"/>
  <c r="NV23" i="111" s="1"/>
  <c r="NV24" i="111" s="1"/>
  <c r="NV25" i="111" s="1"/>
  <c r="NV26" i="111" s="1"/>
  <c r="NV27" i="111" s="1"/>
  <c r="NV28" i="111" s="1"/>
  <c r="NV29" i="111" s="1"/>
  <c r="NV30" i="111" s="1"/>
  <c r="NV31" i="111" s="1"/>
  <c r="NV32" i="111" s="1"/>
  <c r="NV33" i="111" s="1"/>
  <c r="NV34" i="111" s="1"/>
  <c r="NV35" i="111" s="1"/>
  <c r="NV36" i="111" s="1"/>
  <c r="NV37" i="111" s="1"/>
  <c r="NV38" i="111" s="1"/>
  <c r="NV39" i="111" s="1"/>
  <c r="NV40" i="111" s="1"/>
  <c r="NV41" i="111" s="1"/>
  <c r="NV42" i="111" s="1"/>
  <c r="NU10" i="111"/>
  <c r="NU11" i="111" s="1"/>
  <c r="NU12" i="111" s="1"/>
  <c r="NU13" i="111" s="1"/>
  <c r="NU14" i="111" s="1"/>
  <c r="NU15" i="111" s="1"/>
  <c r="NU16" i="111" s="1"/>
  <c r="NU17" i="111" s="1"/>
  <c r="NU18" i="111" s="1"/>
  <c r="NU19" i="111" s="1"/>
  <c r="NU20" i="111" s="1"/>
  <c r="NU21" i="111" s="1"/>
  <c r="NU22" i="111" s="1"/>
  <c r="NU23" i="111" s="1"/>
  <c r="NU24" i="111" s="1"/>
  <c r="NU25" i="111" s="1"/>
  <c r="NU26" i="111" s="1"/>
  <c r="NU27" i="111" s="1"/>
  <c r="NU28" i="111" s="1"/>
  <c r="NU29" i="111" s="1"/>
  <c r="NU30" i="111" s="1"/>
  <c r="NU31" i="111" s="1"/>
  <c r="NU32" i="111" s="1"/>
  <c r="NU33" i="111" s="1"/>
  <c r="NU34" i="111" s="1"/>
  <c r="NU35" i="111" s="1"/>
  <c r="NU36" i="111" s="1"/>
  <c r="NU37" i="111" s="1"/>
  <c r="NU38" i="111" s="1"/>
  <c r="NU39" i="111" s="1"/>
  <c r="NU40" i="111" s="1"/>
  <c r="NU41" i="111" s="1"/>
  <c r="NU42" i="111" s="1"/>
  <c r="NU44" i="111" s="1"/>
  <c r="NT10" i="111"/>
  <c r="NT11" i="111" s="1"/>
  <c r="NT12" i="111" s="1"/>
  <c r="NT13" i="111" s="1"/>
  <c r="NT14" i="111" s="1"/>
  <c r="NT15" i="111" s="1"/>
  <c r="NT16" i="111" s="1"/>
  <c r="NT17" i="111" s="1"/>
  <c r="NT18" i="111" s="1"/>
  <c r="NT19" i="111" s="1"/>
  <c r="NT20" i="111" s="1"/>
  <c r="NT21" i="111" s="1"/>
  <c r="NT22" i="111" s="1"/>
  <c r="NT23" i="111" s="1"/>
  <c r="NT24" i="111" s="1"/>
  <c r="NT25" i="111" s="1"/>
  <c r="NT26" i="111" s="1"/>
  <c r="NT27" i="111" s="1"/>
  <c r="NT28" i="111" s="1"/>
  <c r="NT29" i="111" s="1"/>
  <c r="NT30" i="111" s="1"/>
  <c r="NT31" i="111" s="1"/>
  <c r="NT32" i="111" s="1"/>
  <c r="NT33" i="111" s="1"/>
  <c r="NT34" i="111" s="1"/>
  <c r="NT35" i="111" s="1"/>
  <c r="NT36" i="111" s="1"/>
  <c r="NT37" i="111" s="1"/>
  <c r="NT38" i="111" s="1"/>
  <c r="NT39" i="111" s="1"/>
  <c r="NT40" i="111" s="1"/>
  <c r="NT41" i="111" s="1"/>
  <c r="NT42" i="111" s="1"/>
  <c r="NS10" i="111"/>
  <c r="NS11" i="111" s="1"/>
  <c r="NS12" i="111" s="1"/>
  <c r="NM10" i="111"/>
  <c r="NM11" i="111" s="1"/>
  <c r="NM12" i="111" s="1"/>
  <c r="NM13" i="111" s="1"/>
  <c r="NM14" i="111" s="1"/>
  <c r="NM15" i="111" s="1"/>
  <c r="NM16" i="111" s="1"/>
  <c r="NM17" i="111" s="1"/>
  <c r="NM18" i="111" s="1"/>
  <c r="NM19" i="111" s="1"/>
  <c r="NM20" i="111" s="1"/>
  <c r="NM21" i="111" s="1"/>
  <c r="NM22" i="111" s="1"/>
  <c r="NM23" i="111" s="1"/>
  <c r="NM24" i="111" s="1"/>
  <c r="NM25" i="111" s="1"/>
  <c r="NM26" i="111" s="1"/>
  <c r="NM27" i="111" s="1"/>
  <c r="NM28" i="111" s="1"/>
  <c r="NM29" i="111" s="1"/>
  <c r="NM30" i="111" s="1"/>
  <c r="NM31" i="111" s="1"/>
  <c r="NM32" i="111" s="1"/>
  <c r="NM33" i="111" s="1"/>
  <c r="NM34" i="111" s="1"/>
  <c r="NM35" i="111" s="1"/>
  <c r="NL10" i="111"/>
  <c r="NL11" i="111" s="1"/>
  <c r="NL12" i="111" s="1"/>
  <c r="NL13" i="111" s="1"/>
  <c r="NL14" i="111" s="1"/>
  <c r="NL15" i="111" s="1"/>
  <c r="NL16" i="111" s="1"/>
  <c r="NL17" i="111" s="1"/>
  <c r="NL18" i="111" s="1"/>
  <c r="NL19" i="111" s="1"/>
  <c r="NL20" i="111" s="1"/>
  <c r="NL21" i="111" s="1"/>
  <c r="NL22" i="111" s="1"/>
  <c r="NL23" i="111" s="1"/>
  <c r="NL24" i="111" s="1"/>
  <c r="NL25" i="111" s="1"/>
  <c r="NL26" i="111" s="1"/>
  <c r="NL27" i="111" s="1"/>
  <c r="NL28" i="111" s="1"/>
  <c r="NL29" i="111" s="1"/>
  <c r="NL30" i="111" s="1"/>
  <c r="NL31" i="111" s="1"/>
  <c r="NL32" i="111" s="1"/>
  <c r="NL33" i="111" s="1"/>
  <c r="NL34" i="111" s="1"/>
  <c r="NL35" i="111" s="1"/>
  <c r="NK10" i="111"/>
  <c r="NK11" i="111" s="1"/>
  <c r="NK12" i="111" s="1"/>
  <c r="NK13" i="111" s="1"/>
  <c r="NK14" i="111" s="1"/>
  <c r="NK15" i="111" s="1"/>
  <c r="NK16" i="111" s="1"/>
  <c r="NK17" i="111" s="1"/>
  <c r="NK18" i="111" s="1"/>
  <c r="NK19" i="111" s="1"/>
  <c r="NK20" i="111" s="1"/>
  <c r="NK21" i="111" s="1"/>
  <c r="NK22" i="111" s="1"/>
  <c r="NK23" i="111" s="1"/>
  <c r="NK24" i="111" s="1"/>
  <c r="NK25" i="111" s="1"/>
  <c r="NK26" i="111" s="1"/>
  <c r="NK27" i="111" s="1"/>
  <c r="NK28" i="111" s="1"/>
  <c r="NK29" i="111" s="1"/>
  <c r="NK30" i="111" s="1"/>
  <c r="NK31" i="111" s="1"/>
  <c r="NK32" i="111" s="1"/>
  <c r="NK33" i="111" s="1"/>
  <c r="NK34" i="111" s="1"/>
  <c r="NK35" i="111" s="1"/>
  <c r="NJ10" i="111"/>
  <c r="NJ11" i="111" s="1"/>
  <c r="NJ12" i="111" s="1"/>
  <c r="NJ13" i="111" s="1"/>
  <c r="NJ14" i="111" s="1"/>
  <c r="NJ15" i="111" s="1"/>
  <c r="NJ16" i="111" s="1"/>
  <c r="NJ17" i="111" s="1"/>
  <c r="NJ18" i="111" s="1"/>
  <c r="NJ19" i="111" s="1"/>
  <c r="NJ20" i="111" s="1"/>
  <c r="NJ21" i="111" s="1"/>
  <c r="NJ22" i="111" s="1"/>
  <c r="NJ23" i="111" s="1"/>
  <c r="NJ24" i="111" s="1"/>
  <c r="NJ25" i="111" s="1"/>
  <c r="NJ26" i="111" s="1"/>
  <c r="NJ27" i="111" s="1"/>
  <c r="NJ28" i="111" s="1"/>
  <c r="NJ29" i="111" s="1"/>
  <c r="NJ30" i="111" s="1"/>
  <c r="NJ31" i="111" s="1"/>
  <c r="NJ32" i="111" s="1"/>
  <c r="NJ33" i="111" s="1"/>
  <c r="NJ34" i="111" s="1"/>
  <c r="NJ35" i="111" s="1"/>
  <c r="NI10" i="111"/>
  <c r="NI11" i="111" s="1"/>
  <c r="NI12" i="111" s="1"/>
  <c r="NI13" i="111" s="1"/>
  <c r="NI14" i="111" s="1"/>
  <c r="NI15" i="111" s="1"/>
  <c r="NI16" i="111" s="1"/>
  <c r="NI17" i="111" s="1"/>
  <c r="NI18" i="111" s="1"/>
  <c r="NI19" i="111" s="1"/>
  <c r="NI20" i="111" s="1"/>
  <c r="NI21" i="111" s="1"/>
  <c r="NI22" i="111" s="1"/>
  <c r="NI23" i="111" s="1"/>
  <c r="NI24" i="111" s="1"/>
  <c r="NI25" i="111" s="1"/>
  <c r="NI26" i="111" s="1"/>
  <c r="NI27" i="111" s="1"/>
  <c r="NI28" i="111" s="1"/>
  <c r="NI29" i="111" s="1"/>
  <c r="NH10" i="111"/>
  <c r="NH11" i="111" s="1"/>
  <c r="NH12" i="111" s="1"/>
  <c r="NH13" i="111" s="1"/>
  <c r="NH14" i="111" s="1"/>
  <c r="NH15" i="111" s="1"/>
  <c r="NH16" i="111" s="1"/>
  <c r="NH17" i="111" s="1"/>
  <c r="NH18" i="111" s="1"/>
  <c r="NH19" i="111" s="1"/>
  <c r="NH20" i="111" s="1"/>
  <c r="NH21" i="111" s="1"/>
  <c r="NH22" i="111" s="1"/>
  <c r="NH23" i="111" s="1"/>
  <c r="NH24" i="111" s="1"/>
  <c r="NH25" i="111" s="1"/>
  <c r="NH26" i="111" s="1"/>
  <c r="NH27" i="111" s="1"/>
  <c r="NH28" i="111" s="1"/>
  <c r="NH29" i="111" s="1"/>
  <c r="NH30" i="111" s="1"/>
  <c r="NH31" i="111" s="1"/>
  <c r="NH32" i="111" s="1"/>
  <c r="NH33" i="111" s="1"/>
  <c r="NH34" i="111" s="1"/>
  <c r="NH35" i="111" s="1"/>
  <c r="NG10" i="111"/>
  <c r="NG11" i="111" s="1"/>
  <c r="NG12" i="111" s="1"/>
  <c r="NG13" i="111" s="1"/>
  <c r="NG14" i="111" s="1"/>
  <c r="NG15" i="111" s="1"/>
  <c r="NG16" i="111" s="1"/>
  <c r="NG17" i="111" s="1"/>
  <c r="NG18" i="111" s="1"/>
  <c r="NG19" i="111" s="1"/>
  <c r="NG20" i="111" s="1"/>
  <c r="NG21" i="111" s="1"/>
  <c r="NG22" i="111" s="1"/>
  <c r="NG23" i="111" s="1"/>
  <c r="NG24" i="111" s="1"/>
  <c r="NG25" i="111" s="1"/>
  <c r="NG26" i="111" s="1"/>
  <c r="NG27" i="111" s="1"/>
  <c r="NG28" i="111" s="1"/>
  <c r="NG29" i="111" s="1"/>
  <c r="NG30" i="111" s="1"/>
  <c r="NG31" i="111" s="1"/>
  <c r="NG32" i="111" s="1"/>
  <c r="NG33" i="111" s="1"/>
  <c r="NG34" i="111" s="1"/>
  <c r="NG35" i="111" s="1"/>
  <c r="NF10" i="111"/>
  <c r="NF11" i="111" s="1"/>
  <c r="ND10" i="111"/>
  <c r="ND11" i="111" s="1"/>
  <c r="ND12" i="111" s="1"/>
  <c r="ND13" i="111" s="1"/>
  <c r="ND14" i="111" s="1"/>
  <c r="ND15" i="111" s="1"/>
  <c r="ND16" i="111" s="1"/>
  <c r="ND17" i="111" s="1"/>
  <c r="ND18" i="111" s="1"/>
  <c r="ND19" i="111" s="1"/>
  <c r="ND20" i="111" s="1"/>
  <c r="ND21" i="111" s="1"/>
  <c r="ND22" i="111" s="1"/>
  <c r="ND23" i="111" s="1"/>
  <c r="ND24" i="111" s="1"/>
  <c r="ND25" i="111" s="1"/>
  <c r="ND26" i="111" s="1"/>
  <c r="ND27" i="111" s="1"/>
  <c r="ND28" i="111" s="1"/>
  <c r="ND29" i="111" s="1"/>
  <c r="ND30" i="111" s="1"/>
  <c r="ND31" i="111" s="1"/>
  <c r="ND32" i="111" s="1"/>
  <c r="ND33" i="111" s="1"/>
  <c r="ND34" i="111" s="1"/>
  <c r="ND35" i="111" s="1"/>
  <c r="ND36" i="111" s="1"/>
  <c r="ND37" i="111" s="1"/>
  <c r="ND38" i="111" s="1"/>
  <c r="ND39" i="111" s="1"/>
  <c r="ND40" i="111" s="1"/>
  <c r="ND41" i="111" s="1"/>
  <c r="ND42" i="111" s="1"/>
  <c r="ND44" i="111" s="1"/>
  <c r="MT10" i="111"/>
  <c r="MB10" i="111"/>
  <c r="LV10" i="111"/>
  <c r="LH10" i="111"/>
  <c r="RJ10" i="111" s="1"/>
  <c r="LG10" i="111"/>
  <c r="LF10" i="111"/>
  <c r="HU10" i="111" a="1"/>
  <c r="HU10" i="111" s="1"/>
  <c r="HS10" i="111" a="1"/>
  <c r="HS10" i="111" s="1"/>
  <c r="GG10" i="111"/>
  <c r="FC10" i="111" s="1"/>
  <c r="FT10" i="111"/>
  <c r="FB10" i="111" s="1"/>
  <c r="FM10" i="111"/>
  <c r="FA10" i="111" s="1"/>
  <c r="EX10" i="111"/>
  <c r="EQ10" i="111"/>
  <c r="DB10" i="111"/>
  <c r="CZ10" i="111"/>
  <c r="CX10" i="111"/>
  <c r="CV10" i="111"/>
  <c r="CU10" i="111"/>
  <c r="CT10" i="111"/>
  <c r="CS10" i="111"/>
  <c r="CR10" i="111"/>
  <c r="CQ10" i="111"/>
  <c r="CM10" i="111"/>
  <c r="CF10" i="111"/>
  <c r="CC10" i="111"/>
  <c r="BZ10" i="111"/>
  <c r="AV10" i="111"/>
  <c r="AS10" i="111"/>
  <c r="AP10" i="111"/>
  <c r="AK10" i="111"/>
  <c r="AG10" i="111"/>
  <c r="AB10" i="111"/>
  <c r="AA10" i="111"/>
  <c r="X10" i="111"/>
  <c r="W10" i="111"/>
  <c r="S10" i="111"/>
  <c r="RK9" i="111"/>
  <c r="QG9" i="111"/>
  <c r="QF9" i="111"/>
  <c r="QE9" i="111"/>
  <c r="QE10" i="111" s="1"/>
  <c r="PF9" i="111"/>
  <c r="PF8" i="111"/>
  <c r="OR8" i="111"/>
  <c r="OE8" i="111"/>
  <c r="NR8" i="111"/>
  <c r="KD6" i="111"/>
  <c r="JV6" i="111"/>
  <c r="JN6" i="111"/>
  <c r="CE3" i="111"/>
  <c r="CD3" i="111"/>
  <c r="CB3" i="111"/>
  <c r="CI1" i="111"/>
  <c r="NE17" i="124" l="1"/>
  <c r="NG16" i="124"/>
  <c r="MY16" i="124" s="1"/>
  <c r="NC25" i="122"/>
  <c r="NF24" i="122"/>
  <c r="MX24" i="122" s="1"/>
  <c r="NP14" i="122"/>
  <c r="NP15" i="122" s="1"/>
  <c r="NP16" i="122" s="1"/>
  <c r="NP17" i="122" s="1"/>
  <c r="NP18" i="122" s="1"/>
  <c r="NP19" i="122" s="1"/>
  <c r="NP20" i="122" s="1"/>
  <c r="NP21" i="122" s="1"/>
  <c r="NP22" i="122" s="1"/>
  <c r="NP23" i="122" s="1"/>
  <c r="NP24" i="122" s="1"/>
  <c r="NP25" i="122" s="1"/>
  <c r="NP26" i="122" s="1"/>
  <c r="NP27" i="122" s="1"/>
  <c r="NP28" i="122" s="1"/>
  <c r="NP29" i="122" s="1"/>
  <c r="NP30" i="122" s="1"/>
  <c r="NP31" i="122" s="1"/>
  <c r="NP32" i="122" s="1"/>
  <c r="NP33" i="122" s="1"/>
  <c r="NP34" i="122" s="1"/>
  <c r="NP35" i="122" s="1"/>
  <c r="NP36" i="122" s="1"/>
  <c r="NP37" i="122" s="1"/>
  <c r="NP38" i="122" s="1"/>
  <c r="NP39" i="122" s="1"/>
  <c r="NP40" i="122" s="1"/>
  <c r="NP41" i="122" s="1"/>
  <c r="QG11" i="122"/>
  <c r="NA10" i="122"/>
  <c r="QH40" i="122"/>
  <c r="MX17" i="122"/>
  <c r="NZ41" i="120"/>
  <c r="AD63" i="118"/>
  <c r="AA63" i="118"/>
  <c r="AL41" i="121"/>
  <c r="PO41" i="120"/>
  <c r="PO44" i="120" s="1"/>
  <c r="MZ40" i="120"/>
  <c r="MZ41" i="120" s="1"/>
  <c r="MZ42" i="120" s="1"/>
  <c r="MZ44" i="120" s="1"/>
  <c r="T42" i="111"/>
  <c r="OQ34" i="116"/>
  <c r="AF25" i="118"/>
  <c r="AX131" i="2"/>
  <c r="AX130" i="2"/>
  <c r="CC41" i="111"/>
  <c r="P173" i="111"/>
  <c r="NT23" i="116"/>
  <c r="RJ30" i="116"/>
  <c r="RM29" i="116"/>
  <c r="MZ19" i="116"/>
  <c r="PO20" i="116"/>
  <c r="PA23" i="116"/>
  <c r="PG22" i="116"/>
  <c r="NG23" i="116"/>
  <c r="OG23" i="116"/>
  <c r="QG23" i="116"/>
  <c r="QH20" i="116"/>
  <c r="NA19" i="116"/>
  <c r="Y39" i="111"/>
  <c r="RJ20" i="111"/>
  <c r="RJ21" i="111" s="1"/>
  <c r="RJ22" i="111" s="1"/>
  <c r="RJ23" i="111" s="1"/>
  <c r="RJ24" i="111" s="1"/>
  <c r="RJ25" i="111" s="1"/>
  <c r="RJ26" i="111" s="1"/>
  <c r="RJ27" i="111" s="1"/>
  <c r="RJ28" i="111" s="1"/>
  <c r="RJ29" i="111" s="1"/>
  <c r="RJ30" i="111" s="1"/>
  <c r="RJ31" i="111" s="1"/>
  <c r="RJ32" i="111" s="1"/>
  <c r="RJ33" i="111" s="1"/>
  <c r="RJ34" i="111" s="1"/>
  <c r="RJ35" i="111" s="1"/>
  <c r="RJ36" i="111" s="1"/>
  <c r="RJ37" i="111" s="1"/>
  <c r="RJ38" i="111" s="1"/>
  <c r="RJ39" i="111" s="1"/>
  <c r="RJ40" i="111" s="1"/>
  <c r="Y36" i="111"/>
  <c r="Y38" i="111"/>
  <c r="Y17" i="111"/>
  <c r="RV29" i="111"/>
  <c r="AC12" i="111"/>
  <c r="LI32" i="111"/>
  <c r="LI16" i="111"/>
  <c r="AC35" i="111"/>
  <c r="D42" i="112"/>
  <c r="CN42" i="112" s="1"/>
  <c r="Y23" i="111"/>
  <c r="AC11" i="111"/>
  <c r="LI11" i="111"/>
  <c r="LI12" i="111"/>
  <c r="FD18" i="111"/>
  <c r="Y19" i="111"/>
  <c r="AC23" i="111"/>
  <c r="AC28" i="111"/>
  <c r="LI13" i="111"/>
  <c r="FD17" i="111"/>
  <c r="LI17" i="111"/>
  <c r="LI22" i="111"/>
  <c r="FD23" i="111"/>
  <c r="AC24" i="111"/>
  <c r="AC25" i="111"/>
  <c r="LI33" i="111"/>
  <c r="AC40" i="111"/>
  <c r="Y26" i="111"/>
  <c r="C23" i="111"/>
  <c r="FD21" i="111"/>
  <c r="Y22" i="111"/>
  <c r="C28" i="111"/>
  <c r="LI28" i="111"/>
  <c r="Y20" i="111"/>
  <c r="C38" i="111"/>
  <c r="C29" i="111"/>
  <c r="C22" i="111"/>
  <c r="FD16" i="111"/>
  <c r="BP42" i="111"/>
  <c r="BP44" i="111" s="1"/>
  <c r="AB44" i="111" s="1"/>
  <c r="AB41" i="111"/>
  <c r="FD12" i="111"/>
  <c r="FD15" i="111"/>
  <c r="AC18" i="111"/>
  <c r="AC20" i="111"/>
  <c r="LI21" i="111"/>
  <c r="AC22" i="111"/>
  <c r="Y24" i="111"/>
  <c r="FD26" i="111"/>
  <c r="C30" i="111"/>
  <c r="AK41" i="111"/>
  <c r="D12" i="112"/>
  <c r="CN12" i="112" s="1"/>
  <c r="AC14" i="111"/>
  <c r="LI14" i="111"/>
  <c r="FD36" i="111"/>
  <c r="FD11" i="111"/>
  <c r="AC13" i="111"/>
  <c r="FD13" i="111"/>
  <c r="Y29" i="111"/>
  <c r="AC36" i="111"/>
  <c r="AC39" i="111"/>
  <c r="FD14" i="111"/>
  <c r="LI24" i="111"/>
  <c r="C26" i="111"/>
  <c r="AC31" i="111"/>
  <c r="C32" i="111"/>
  <c r="FD32" i="111"/>
  <c r="AC34" i="111"/>
  <c r="LI38" i="111"/>
  <c r="IA26" i="111"/>
  <c r="FD31" i="111"/>
  <c r="FD29" i="111"/>
  <c r="FD37" i="111"/>
  <c r="AC21" i="111"/>
  <c r="Y28" i="111"/>
  <c r="FD30" i="111"/>
  <c r="FD33" i="111"/>
  <c r="FD22" i="111"/>
  <c r="LI26" i="111"/>
  <c r="FD28" i="111"/>
  <c r="AC30" i="111"/>
  <c r="AC33" i="111"/>
  <c r="C36" i="111"/>
  <c r="C24" i="111"/>
  <c r="LI34" i="111"/>
  <c r="C34" i="111"/>
  <c r="LI37" i="111"/>
  <c r="AC15" i="111"/>
  <c r="AC26" i="111"/>
  <c r="LI29" i="111"/>
  <c r="FD34" i="111"/>
  <c r="FD38" i="111"/>
  <c r="C27" i="111"/>
  <c r="Y32" i="111"/>
  <c r="AC38" i="111"/>
  <c r="Y18" i="111"/>
  <c r="FD24" i="111"/>
  <c r="LI25" i="111"/>
  <c r="AC29" i="111"/>
  <c r="LI30" i="111"/>
  <c r="FD40" i="111"/>
  <c r="C25" i="111"/>
  <c r="Y27" i="111"/>
  <c r="AC32" i="111"/>
  <c r="AC37" i="111"/>
  <c r="FD25" i="111"/>
  <c r="FD19" i="111"/>
  <c r="C20" i="111"/>
  <c r="FD27" i="111"/>
  <c r="AC16" i="111"/>
  <c r="FD20" i="111"/>
  <c r="C21" i="111"/>
  <c r="LI23" i="111"/>
  <c r="Y25" i="111"/>
  <c r="AC27" i="111"/>
  <c r="FD39" i="111"/>
  <c r="LI31" i="111"/>
  <c r="FD35" i="111"/>
  <c r="AC19" i="111"/>
  <c r="Y30" i="111"/>
  <c r="Y16" i="111"/>
  <c r="C16" i="111"/>
  <c r="IA37" i="111"/>
  <c r="Y15" i="111"/>
  <c r="D43" i="111"/>
  <c r="C43" i="111"/>
  <c r="IA38" i="111"/>
  <c r="C11" i="111"/>
  <c r="IA14" i="111"/>
  <c r="IA15" i="111"/>
  <c r="IA28" i="111"/>
  <c r="IA13" i="111"/>
  <c r="IA36" i="111"/>
  <c r="D33" i="112"/>
  <c r="CN33" i="112" s="1"/>
  <c r="Y13" i="111"/>
  <c r="IA23" i="111"/>
  <c r="IA39" i="111"/>
  <c r="IA33" i="111"/>
  <c r="IA20" i="111"/>
  <c r="IA35" i="111"/>
  <c r="LI15" i="111"/>
  <c r="IA31" i="111"/>
  <c r="GM23" i="111"/>
  <c r="IA32" i="111"/>
  <c r="IA11" i="111"/>
  <c r="R16" i="112"/>
  <c r="S16" i="112" s="1"/>
  <c r="E16" i="112" s="1"/>
  <c r="D16" i="112"/>
  <c r="CN16" i="112" s="1"/>
  <c r="Y12" i="111"/>
  <c r="C12" i="111"/>
  <c r="Y11" i="111"/>
  <c r="IA21" i="111"/>
  <c r="GM40" i="111"/>
  <c r="IA40" i="111"/>
  <c r="GM35" i="111"/>
  <c r="IA34" i="111"/>
  <c r="IP32" i="111"/>
  <c r="GK32" i="111" s="1"/>
  <c r="GM32" i="111" s="1"/>
  <c r="IA24" i="111"/>
  <c r="R37" i="112"/>
  <c r="S37" i="112" s="1"/>
  <c r="E37" i="112" s="1"/>
  <c r="D37" i="112"/>
  <c r="CN37" i="112" s="1"/>
  <c r="R38" i="112"/>
  <c r="S38" i="112" s="1"/>
  <c r="E38" i="112" s="1"/>
  <c r="D38" i="112"/>
  <c r="CN38" i="112" s="1"/>
  <c r="R26" i="112"/>
  <c r="S26" i="112" s="1"/>
  <c r="E26" i="112" s="1"/>
  <c r="D26" i="112"/>
  <c r="CN26" i="112" s="1"/>
  <c r="R22" i="112"/>
  <c r="S22" i="112" s="1"/>
  <c r="E22" i="112" s="1"/>
  <c r="D22" i="112"/>
  <c r="CN22" i="112" s="1"/>
  <c r="R18" i="112"/>
  <c r="S18" i="112" s="1"/>
  <c r="E18" i="112" s="1"/>
  <c r="D18" i="112"/>
  <c r="CN18" i="112" s="1"/>
  <c r="R19" i="112"/>
  <c r="S19" i="112" s="1"/>
  <c r="E19" i="112" s="1"/>
  <c r="D19" i="112"/>
  <c r="CN19" i="112" s="1"/>
  <c r="GM26" i="111"/>
  <c r="IP20" i="111"/>
  <c r="GK20" i="111" s="1"/>
  <c r="GM39" i="111"/>
  <c r="LI39" i="111"/>
  <c r="IP29" i="111"/>
  <c r="GK29" i="111" s="1"/>
  <c r="GM29" i="111" s="1"/>
  <c r="GM21" i="111"/>
  <c r="IA18" i="111"/>
  <c r="GM28" i="111"/>
  <c r="IA29" i="111"/>
  <c r="GM18" i="111"/>
  <c r="IP15" i="111"/>
  <c r="GK15" i="111" s="1"/>
  <c r="GM15" i="111" s="1"/>
  <c r="D29" i="112"/>
  <c r="CN29" i="112" s="1"/>
  <c r="GM33" i="111"/>
  <c r="IA25" i="111"/>
  <c r="R31" i="112"/>
  <c r="S31" i="112" s="1"/>
  <c r="E31" i="112" s="1"/>
  <c r="D31" i="112"/>
  <c r="CN31" i="112" s="1"/>
  <c r="R27" i="112"/>
  <c r="S27" i="112" s="1"/>
  <c r="E27" i="112" s="1"/>
  <c r="D27" i="112"/>
  <c r="CN27" i="112" s="1"/>
  <c r="R20" i="112"/>
  <c r="S20" i="112" s="1"/>
  <c r="E20" i="112" s="1"/>
  <c r="D20" i="112"/>
  <c r="CN20" i="112" s="1"/>
  <c r="R15" i="112"/>
  <c r="S15" i="112" s="1"/>
  <c r="E15" i="112" s="1"/>
  <c r="D15" i="112"/>
  <c r="CN15" i="112" s="1"/>
  <c r="C10" i="111"/>
  <c r="SB18" i="111"/>
  <c r="AQ43" i="112"/>
  <c r="AQ44" i="112" s="1"/>
  <c r="BW44" i="111"/>
  <c r="BT44" i="111"/>
  <c r="BQ44" i="111"/>
  <c r="BK44" i="111"/>
  <c r="GV38" i="111"/>
  <c r="RV38" i="111" s="1"/>
  <c r="IP36" i="111"/>
  <c r="GK36" i="111" s="1"/>
  <c r="CY36" i="111"/>
  <c r="LI35" i="111"/>
  <c r="IA30" i="111"/>
  <c r="JE14" i="111"/>
  <c r="GL14" i="111" s="1"/>
  <c r="JE27" i="111"/>
  <c r="GL27" i="111" s="1"/>
  <c r="GM27" i="111" s="1"/>
  <c r="ED17" i="111"/>
  <c r="LI19" i="111"/>
  <c r="AC17" i="111"/>
  <c r="CY14" i="111"/>
  <c r="IA12" i="111"/>
  <c r="GM12" i="111"/>
  <c r="HL11" i="111"/>
  <c r="GJ11" i="111" s="1"/>
  <c r="GM11" i="111" s="1"/>
  <c r="D35" i="112"/>
  <c r="CN35" i="112" s="1"/>
  <c r="MT41" i="111"/>
  <c r="MT42" i="111" s="1"/>
  <c r="MT44" i="111" s="1"/>
  <c r="RJ11" i="111"/>
  <c r="RJ12" i="111" s="1"/>
  <c r="RJ13" i="111" s="1"/>
  <c r="RJ14" i="111" s="1"/>
  <c r="RJ15" i="111" s="1"/>
  <c r="RJ16" i="111" s="1"/>
  <c r="RJ17" i="111" s="1"/>
  <c r="GG41" i="111"/>
  <c r="GG42" i="111" s="1"/>
  <c r="GG44" i="111" s="1"/>
  <c r="FT41" i="111"/>
  <c r="FT42" i="111" s="1"/>
  <c r="FT44" i="111" s="1"/>
  <c r="FM41" i="111"/>
  <c r="FM42" i="111" s="1"/>
  <c r="FM44" i="111" s="1"/>
  <c r="FC41" i="111"/>
  <c r="FC42" i="111" s="1"/>
  <c r="FC44" i="111" s="1"/>
  <c r="FB41" i="111"/>
  <c r="FB42" i="111" s="1"/>
  <c r="FB44" i="111" s="1"/>
  <c r="EX41" i="111"/>
  <c r="EX42" i="111" s="1"/>
  <c r="EX44" i="111" s="1"/>
  <c r="CU41" i="111"/>
  <c r="CU42" i="111" s="1"/>
  <c r="CU44" i="111" s="1"/>
  <c r="CS41" i="111"/>
  <c r="CS42" i="111" s="1"/>
  <c r="CS44" i="111" s="1"/>
  <c r="D50" i="112"/>
  <c r="O173" i="111"/>
  <c r="BK44" i="112"/>
  <c r="AA28" i="95"/>
  <c r="R41" i="112"/>
  <c r="S41" i="112" s="1"/>
  <c r="E41" i="112" s="1"/>
  <c r="D41" i="112"/>
  <c r="CN41" i="112" s="1"/>
  <c r="D39" i="112"/>
  <c r="CN39" i="112" s="1"/>
  <c r="R39" i="112"/>
  <c r="S39" i="112" s="1"/>
  <c r="E39" i="112" s="1"/>
  <c r="R34" i="112"/>
  <c r="S34" i="112" s="1"/>
  <c r="E34" i="112" s="1"/>
  <c r="D34" i="112"/>
  <c r="CN34" i="112" s="1"/>
  <c r="IU44" i="111"/>
  <c r="IS44" i="111"/>
  <c r="IF44" i="111"/>
  <c r="CK44" i="111"/>
  <c r="CJ44" i="111"/>
  <c r="CI42" i="111"/>
  <c r="CI44" i="111" s="1"/>
  <c r="CH44" i="111"/>
  <c r="N44" i="111"/>
  <c r="M44" i="111"/>
  <c r="AX128" i="2"/>
  <c r="L44" i="111"/>
  <c r="AX134" i="2"/>
  <c r="K44" i="111"/>
  <c r="AX127" i="2"/>
  <c r="AX129" i="2"/>
  <c r="AX132" i="2"/>
  <c r="AX133" i="2"/>
  <c r="AX135" i="2"/>
  <c r="QO18" i="111"/>
  <c r="QP18" i="111"/>
  <c r="CR20" i="112"/>
  <c r="AX20" i="112"/>
  <c r="H44" i="112"/>
  <c r="G7" i="112" s="1"/>
  <c r="G6" i="112"/>
  <c r="R32" i="112"/>
  <c r="S32" i="112" s="1"/>
  <c r="E32" i="112" s="1"/>
  <c r="D32" i="112"/>
  <c r="CN32" i="112" s="1"/>
  <c r="R28" i="112"/>
  <c r="S28" i="112" s="1"/>
  <c r="E28" i="112" s="1"/>
  <c r="D28" i="112"/>
  <c r="CN28" i="112" s="1"/>
  <c r="R25" i="112"/>
  <c r="S25" i="112" s="1"/>
  <c r="E25" i="112" s="1"/>
  <c r="D25" i="112"/>
  <c r="CN25" i="112" s="1"/>
  <c r="R23" i="112"/>
  <c r="S23" i="112" s="1"/>
  <c r="E23" i="112" s="1"/>
  <c r="D23" i="112"/>
  <c r="CN23" i="112" s="1"/>
  <c r="R21" i="112"/>
  <c r="S21" i="112" s="1"/>
  <c r="E21" i="112" s="1"/>
  <c r="D21" i="112"/>
  <c r="CN21" i="112" s="1"/>
  <c r="R17" i="112"/>
  <c r="S17" i="112" s="1"/>
  <c r="E17" i="112" s="1"/>
  <c r="D17" i="112"/>
  <c r="CN17" i="112" s="1"/>
  <c r="R14" i="112"/>
  <c r="S14" i="112" s="1"/>
  <c r="E14" i="112" s="1"/>
  <c r="D14" i="112"/>
  <c r="CN14" i="112" s="1"/>
  <c r="R13" i="112"/>
  <c r="S13" i="112" s="1"/>
  <c r="E13" i="112" s="1"/>
  <c r="D13" i="112"/>
  <c r="CM41" i="111"/>
  <c r="CM42" i="111" s="1"/>
  <c r="CM44" i="111" s="1"/>
  <c r="C19" i="111"/>
  <c r="C39" i="111"/>
  <c r="C14" i="111"/>
  <c r="C13" i="111"/>
  <c r="C18" i="111"/>
  <c r="C17" i="111"/>
  <c r="C15" i="111"/>
  <c r="C35" i="111"/>
  <c r="C40" i="111"/>
  <c r="S41" i="111"/>
  <c r="Y37" i="111"/>
  <c r="C37" i="111"/>
  <c r="Y33" i="111"/>
  <c r="C33" i="111"/>
  <c r="Y31" i="111"/>
  <c r="C31" i="111"/>
  <c r="Y21" i="111"/>
  <c r="Y34" i="111"/>
  <c r="Y14" i="111"/>
  <c r="Y40" i="111"/>
  <c r="EQ41" i="111"/>
  <c r="EQ42" i="111" s="1"/>
  <c r="EQ44" i="111" s="1"/>
  <c r="LI27" i="111"/>
  <c r="LI20" i="111"/>
  <c r="MB41" i="111"/>
  <c r="MB42" i="111" s="1"/>
  <c r="MB44" i="111" s="1"/>
  <c r="LI40" i="111"/>
  <c r="LI18" i="111"/>
  <c r="LI36" i="111"/>
  <c r="LV41" i="111"/>
  <c r="LV42" i="111" s="1"/>
  <c r="LV44" i="111" s="1"/>
  <c r="LH41" i="111"/>
  <c r="LH42" i="111" s="1"/>
  <c r="LG41" i="111"/>
  <c r="LG42" i="111" s="1"/>
  <c r="JE36" i="111"/>
  <c r="GL36" i="111" s="1"/>
  <c r="IP34" i="111"/>
  <c r="GK34" i="111" s="1"/>
  <c r="GM34" i="111" s="1"/>
  <c r="IP17" i="111"/>
  <c r="GK17" i="111" s="1"/>
  <c r="JE16" i="111"/>
  <c r="GL16" i="111" s="1"/>
  <c r="HL14" i="111"/>
  <c r="GJ14" i="111" s="1"/>
  <c r="GV23" i="111"/>
  <c r="RV23" i="111" s="1"/>
  <c r="HL22" i="111"/>
  <c r="GJ22" i="111" s="1"/>
  <c r="GM22" i="111" s="1"/>
  <c r="GV19" i="111"/>
  <c r="RV19" i="111" s="1"/>
  <c r="HL38" i="111"/>
  <c r="GJ38" i="111" s="1"/>
  <c r="GM38" i="111" s="1"/>
  <c r="GV28" i="111"/>
  <c r="RV28" i="111" s="1"/>
  <c r="GV16" i="111"/>
  <c r="RV16" i="111" s="1"/>
  <c r="HL37" i="111"/>
  <c r="GJ37" i="111" s="1"/>
  <c r="GM37" i="111" s="1"/>
  <c r="HL31" i="111"/>
  <c r="GJ31" i="111" s="1"/>
  <c r="HL17" i="111"/>
  <c r="GJ17" i="111" s="1"/>
  <c r="IA16" i="111"/>
  <c r="GV14" i="111"/>
  <c r="RV14" i="111" s="1"/>
  <c r="JE31" i="111"/>
  <c r="GL31" i="111" s="1"/>
  <c r="IA19" i="111"/>
  <c r="IP19" i="111"/>
  <c r="GK19" i="111" s="1"/>
  <c r="GM19" i="111" s="1"/>
  <c r="GV27" i="111"/>
  <c r="RV27" i="111" s="1"/>
  <c r="IP24" i="111"/>
  <c r="GK24" i="111" s="1"/>
  <c r="IA22" i="111"/>
  <c r="HL20" i="111"/>
  <c r="GJ20" i="111" s="1"/>
  <c r="IA17" i="111"/>
  <c r="IP16" i="111"/>
  <c r="GK16" i="111" s="1"/>
  <c r="GV13" i="111"/>
  <c r="RV13" i="111" s="1"/>
  <c r="GM13" i="111"/>
  <c r="IP30" i="111"/>
  <c r="GK30" i="111" s="1"/>
  <c r="IP25" i="111"/>
  <c r="GK25" i="111" s="1"/>
  <c r="JE24" i="111"/>
  <c r="GL24" i="111" s="1"/>
  <c r="IP31" i="111"/>
  <c r="GK31" i="111" s="1"/>
  <c r="IA27" i="111"/>
  <c r="JE25" i="111"/>
  <c r="GL25" i="111" s="1"/>
  <c r="JE30" i="111"/>
  <c r="GL30" i="111" s="1"/>
  <c r="ED13" i="111"/>
  <c r="CY40" i="111"/>
  <c r="ED37" i="111"/>
  <c r="ED34" i="111"/>
  <c r="CY19" i="111"/>
  <c r="X41" i="111"/>
  <c r="Y35" i="111"/>
  <c r="AC44" i="112"/>
  <c r="C43" i="112"/>
  <c r="CR42" i="112"/>
  <c r="AX42" i="112"/>
  <c r="R42" i="112"/>
  <c r="S42" i="112" s="1"/>
  <c r="E42" i="112" s="1"/>
  <c r="CR41" i="112"/>
  <c r="AX41" i="112"/>
  <c r="AX40" i="112"/>
  <c r="CR40" i="112"/>
  <c r="D40" i="112"/>
  <c r="CN40" i="112" s="1"/>
  <c r="R40" i="112"/>
  <c r="S40" i="112" s="1"/>
  <c r="E40" i="112" s="1"/>
  <c r="CR39" i="112"/>
  <c r="AX39" i="112"/>
  <c r="AX38" i="112"/>
  <c r="CR38" i="112"/>
  <c r="AX37" i="112"/>
  <c r="CR37" i="112"/>
  <c r="AX36" i="112"/>
  <c r="CR36" i="112"/>
  <c r="R36" i="112"/>
  <c r="S36" i="112" s="1"/>
  <c r="E36" i="112" s="1"/>
  <c r="D36" i="112"/>
  <c r="CN36" i="112" s="1"/>
  <c r="AX35" i="112"/>
  <c r="CR35" i="112"/>
  <c r="AX34" i="112"/>
  <c r="CR34" i="112"/>
  <c r="AX33" i="112"/>
  <c r="CR33" i="112"/>
  <c r="AX32" i="112"/>
  <c r="CR32" i="112"/>
  <c r="AX31" i="112"/>
  <c r="CR31" i="112"/>
  <c r="AX30" i="112"/>
  <c r="CR30" i="112"/>
  <c r="R30" i="112"/>
  <c r="S30" i="112" s="1"/>
  <c r="E30" i="112" s="1"/>
  <c r="D30" i="112"/>
  <c r="CN30" i="112" s="1"/>
  <c r="AX29" i="112"/>
  <c r="CR29" i="112"/>
  <c r="AX28" i="112"/>
  <c r="CR28" i="112"/>
  <c r="AX27" i="112"/>
  <c r="CR27" i="112"/>
  <c r="AX26" i="112"/>
  <c r="CR26" i="112"/>
  <c r="AX25" i="112"/>
  <c r="CR25" i="112"/>
  <c r="AX24" i="112"/>
  <c r="CR24" i="112"/>
  <c r="D24" i="112"/>
  <c r="CN24" i="112" s="1"/>
  <c r="R24" i="112"/>
  <c r="S24" i="112" s="1"/>
  <c r="E24" i="112" s="1"/>
  <c r="AX23" i="112"/>
  <c r="CR23" i="112"/>
  <c r="AX22" i="112"/>
  <c r="CR22" i="112"/>
  <c r="AX21" i="112"/>
  <c r="CR21" i="112"/>
  <c r="AX19" i="112"/>
  <c r="CR19" i="112"/>
  <c r="AX18" i="112"/>
  <c r="CR18" i="112"/>
  <c r="AX17" i="112"/>
  <c r="CR17" i="112"/>
  <c r="AX16" i="112"/>
  <c r="CR16" i="112"/>
  <c r="AX15" i="112"/>
  <c r="CR15" i="112"/>
  <c r="AX14" i="112"/>
  <c r="CR14" i="112"/>
  <c r="AX13" i="112"/>
  <c r="CR13" i="112"/>
  <c r="AE43" i="112"/>
  <c r="AA43" i="112"/>
  <c r="AA44" i="112" s="1"/>
  <c r="Q43" i="112"/>
  <c r="R12" i="112"/>
  <c r="AF43" i="112"/>
  <c r="AF44" i="112" s="1"/>
  <c r="AI44" i="111"/>
  <c r="AK43" i="111"/>
  <c r="AK44" i="111" s="1"/>
  <c r="AB210" i="111"/>
  <c r="Y43" i="111"/>
  <c r="U43" i="111"/>
  <c r="Q43" i="111"/>
  <c r="IB44" i="111"/>
  <c r="HM42" i="111"/>
  <c r="GX42" i="111"/>
  <c r="CD42" i="111"/>
  <c r="CF41" i="111"/>
  <c r="CF42" i="111" s="1"/>
  <c r="CF44" i="111" s="1"/>
  <c r="CC42" i="111"/>
  <c r="CC44" i="111" s="1"/>
  <c r="CB44" i="111"/>
  <c r="BX42" i="111"/>
  <c r="BZ41" i="111"/>
  <c r="BV44" i="111"/>
  <c r="BV48" i="111"/>
  <c r="BU44" i="111"/>
  <c r="BU48" i="111"/>
  <c r="BR44" i="111"/>
  <c r="BR48" i="111"/>
  <c r="BG44" i="111"/>
  <c r="BF44" i="111"/>
  <c r="BC48" i="111"/>
  <c r="BC44" i="111"/>
  <c r="AW48" i="111"/>
  <c r="AW44" i="111"/>
  <c r="O42" i="111"/>
  <c r="AV41" i="111"/>
  <c r="AV42" i="111" s="1"/>
  <c r="AV44" i="111" s="1"/>
  <c r="AT42" i="111"/>
  <c r="AT44" i="111" s="1"/>
  <c r="AS41" i="111"/>
  <c r="AQ42" i="111"/>
  <c r="AN42" i="111"/>
  <c r="AN44" i="111" s="1"/>
  <c r="AP41" i="111"/>
  <c r="AP42" i="111" s="1"/>
  <c r="AP44" i="111" s="1"/>
  <c r="AE42" i="111"/>
  <c r="AG41" i="111"/>
  <c r="PX40" i="111"/>
  <c r="RN40" i="111"/>
  <c r="JK40" i="111"/>
  <c r="QL40" i="111"/>
  <c r="DQ40" i="111"/>
  <c r="CW40" i="111"/>
  <c r="BN40" i="111"/>
  <c r="T40" i="111"/>
  <c r="U40" i="111" s="1"/>
  <c r="AY40" i="111"/>
  <c r="P40" i="111"/>
  <c r="RP40" i="111"/>
  <c r="PX39" i="111"/>
  <c r="RN39" i="111"/>
  <c r="JK39" i="111"/>
  <c r="QL39" i="111"/>
  <c r="CW39" i="111"/>
  <c r="DC39" i="111" s="1"/>
  <c r="DQ39" i="111"/>
  <c r="T39" i="111"/>
  <c r="U39" i="111" s="1"/>
  <c r="P39" i="111"/>
  <c r="RP39" i="111"/>
  <c r="PX38" i="111"/>
  <c r="RN38" i="111"/>
  <c r="QL38" i="111"/>
  <c r="JK38" i="111"/>
  <c r="DQ38" i="111"/>
  <c r="CW38" i="111"/>
  <c r="DC38" i="111" s="1"/>
  <c r="T38" i="111"/>
  <c r="U38" i="111" s="1"/>
  <c r="RP38" i="111"/>
  <c r="P38" i="111"/>
  <c r="PX37" i="111"/>
  <c r="RN37" i="111"/>
  <c r="NF38" i="111"/>
  <c r="JK37" i="111"/>
  <c r="QL37" i="111"/>
  <c r="DQ37" i="111"/>
  <c r="CW37" i="111"/>
  <c r="DC37" i="111" s="1"/>
  <c r="T37" i="111"/>
  <c r="U37" i="111" s="1"/>
  <c r="RP37" i="111"/>
  <c r="P37" i="111"/>
  <c r="PX36" i="111"/>
  <c r="RN36" i="111"/>
  <c r="QL36" i="111"/>
  <c r="JK36" i="111"/>
  <c r="DQ36" i="111"/>
  <c r="CW36" i="111"/>
  <c r="T36" i="111"/>
  <c r="U36" i="111" s="1"/>
  <c r="RP36" i="111"/>
  <c r="P36" i="111"/>
  <c r="PX35" i="111"/>
  <c r="RN35" i="111"/>
  <c r="JK35" i="111"/>
  <c r="QL35" i="111"/>
  <c r="CW35" i="111"/>
  <c r="DC35" i="111" s="1"/>
  <c r="DQ35" i="111"/>
  <c r="T35" i="111"/>
  <c r="U35" i="111" s="1"/>
  <c r="RP35" i="111"/>
  <c r="P35" i="111"/>
  <c r="PX34" i="111"/>
  <c r="RN34" i="111"/>
  <c r="QL34" i="111"/>
  <c r="JK34" i="111"/>
  <c r="DQ34" i="111"/>
  <c r="CW34" i="111"/>
  <c r="DC34" i="111" s="1"/>
  <c r="T34" i="111"/>
  <c r="U34" i="111" s="1"/>
  <c r="RP34" i="111"/>
  <c r="P34" i="111"/>
  <c r="PX33" i="111"/>
  <c r="RN33" i="111"/>
  <c r="JK33" i="111"/>
  <c r="QL33" i="111"/>
  <c r="DQ33" i="111"/>
  <c r="CW33" i="111"/>
  <c r="DC33" i="111" s="1"/>
  <c r="T33" i="111"/>
  <c r="U33" i="111" s="1"/>
  <c r="RP33" i="111"/>
  <c r="P33" i="111"/>
  <c r="PX32" i="111"/>
  <c r="RN32" i="111"/>
  <c r="QL32" i="111"/>
  <c r="JK32" i="111"/>
  <c r="DQ32" i="111"/>
  <c r="CW32" i="111"/>
  <c r="DC32" i="111" s="1"/>
  <c r="T32" i="111"/>
  <c r="U32" i="111" s="1"/>
  <c r="RP32" i="111"/>
  <c r="P32" i="111"/>
  <c r="PX31" i="111"/>
  <c r="RN31" i="111"/>
  <c r="JK31" i="111"/>
  <c r="QL31" i="111"/>
  <c r="DQ31" i="111"/>
  <c r="CW31" i="111"/>
  <c r="DC31" i="111" s="1"/>
  <c r="T31" i="111"/>
  <c r="U31" i="111" s="1"/>
  <c r="RP31" i="111"/>
  <c r="P31" i="111"/>
  <c r="PX30" i="111"/>
  <c r="RN30" i="111"/>
  <c r="QL30" i="111"/>
  <c r="JK30" i="111"/>
  <c r="DQ30" i="111"/>
  <c r="CW30" i="111"/>
  <c r="DC30" i="111" s="1"/>
  <c r="T30" i="111"/>
  <c r="U30" i="111" s="1"/>
  <c r="RP30" i="111"/>
  <c r="P30" i="111"/>
  <c r="PX29" i="111"/>
  <c r="RN29" i="111"/>
  <c r="JK29" i="111"/>
  <c r="QL29" i="111"/>
  <c r="DQ29" i="111"/>
  <c r="CW29" i="111"/>
  <c r="DC29" i="111" s="1"/>
  <c r="T29" i="111"/>
  <c r="U29" i="111" s="1"/>
  <c r="P29" i="111"/>
  <c r="RP29" i="111"/>
  <c r="PX28" i="111"/>
  <c r="RN28" i="111"/>
  <c r="JK28" i="111"/>
  <c r="QL28" i="111"/>
  <c r="DQ28" i="111"/>
  <c r="CW28" i="111"/>
  <c r="DC28" i="111" s="1"/>
  <c r="T28" i="111"/>
  <c r="U28" i="111" s="1"/>
  <c r="RP28" i="111"/>
  <c r="P28" i="111"/>
  <c r="PX27" i="111"/>
  <c r="RN27" i="111"/>
  <c r="JK27" i="111"/>
  <c r="QL27" i="111"/>
  <c r="DQ27" i="111"/>
  <c r="CW27" i="111"/>
  <c r="DC27" i="111" s="1"/>
  <c r="T27" i="111"/>
  <c r="U27" i="111" s="1"/>
  <c r="RP27" i="111"/>
  <c r="P27" i="111"/>
  <c r="PX26" i="111"/>
  <c r="RN26" i="111"/>
  <c r="JK26" i="111"/>
  <c r="QL26" i="111"/>
  <c r="DQ26" i="111"/>
  <c r="CW26" i="111"/>
  <c r="DC26" i="111" s="1"/>
  <c r="T26" i="111"/>
  <c r="U26" i="111" s="1"/>
  <c r="RP26" i="111"/>
  <c r="P26" i="111"/>
  <c r="PX25" i="111"/>
  <c r="RN25" i="111"/>
  <c r="JK25" i="111"/>
  <c r="QL25" i="111"/>
  <c r="CW25" i="111"/>
  <c r="DC25" i="111" s="1"/>
  <c r="DQ25" i="111"/>
  <c r="T25" i="111"/>
  <c r="U25" i="111" s="1"/>
  <c r="RP25" i="111"/>
  <c r="P25" i="111"/>
  <c r="PX24" i="111"/>
  <c r="RN24" i="111"/>
  <c r="JK24" i="111"/>
  <c r="QL24" i="111"/>
  <c r="DQ24" i="111"/>
  <c r="CW24" i="111"/>
  <c r="DC24" i="111" s="1"/>
  <c r="T24" i="111"/>
  <c r="U24" i="111" s="1"/>
  <c r="RP24" i="111"/>
  <c r="P24" i="111"/>
  <c r="PX23" i="111"/>
  <c r="RN23" i="111"/>
  <c r="JK23" i="111"/>
  <c r="QL23" i="111"/>
  <c r="DQ23" i="111"/>
  <c r="CW23" i="111"/>
  <c r="DC23" i="111" s="1"/>
  <c r="T23" i="111"/>
  <c r="U23" i="111" s="1"/>
  <c r="P23" i="111"/>
  <c r="RP23" i="111"/>
  <c r="PX22" i="111"/>
  <c r="RN22" i="111"/>
  <c r="JK22" i="111"/>
  <c r="QL22" i="111"/>
  <c r="DQ22" i="111"/>
  <c r="CW22" i="111"/>
  <c r="DC22" i="111" s="1"/>
  <c r="T22" i="111"/>
  <c r="U22" i="111" s="1"/>
  <c r="RP22" i="111"/>
  <c r="P22" i="111"/>
  <c r="PX21" i="111"/>
  <c r="RN21" i="111"/>
  <c r="JK21" i="111"/>
  <c r="QL21" i="111"/>
  <c r="DQ21" i="111"/>
  <c r="CW21" i="111"/>
  <c r="DC21" i="111" s="1"/>
  <c r="T21" i="111"/>
  <c r="U21" i="111" s="1"/>
  <c r="RP21" i="111"/>
  <c r="P21" i="111"/>
  <c r="PX20" i="111"/>
  <c r="RN20" i="111"/>
  <c r="JK20" i="111"/>
  <c r="QL20" i="111"/>
  <c r="DQ20" i="111"/>
  <c r="CW20" i="111"/>
  <c r="DC20" i="111" s="1"/>
  <c r="T20" i="111"/>
  <c r="U20" i="111" s="1"/>
  <c r="RP20" i="111"/>
  <c r="P20" i="111"/>
  <c r="PX19" i="111"/>
  <c r="RN19" i="111"/>
  <c r="RI19" i="111"/>
  <c r="RI20" i="111" s="1"/>
  <c r="RI21" i="111" s="1"/>
  <c r="RI22" i="111" s="1"/>
  <c r="RI23" i="111" s="1"/>
  <c r="RI24" i="111" s="1"/>
  <c r="RI25" i="111" s="1"/>
  <c r="RI26" i="111" s="1"/>
  <c r="RI27" i="111" s="1"/>
  <c r="RI28" i="111" s="1"/>
  <c r="RI29" i="111" s="1"/>
  <c r="RI30" i="111" s="1"/>
  <c r="RI31" i="111" s="1"/>
  <c r="RI32" i="111" s="1"/>
  <c r="RI33" i="111" s="1"/>
  <c r="RI34" i="111" s="1"/>
  <c r="RI35" i="111" s="1"/>
  <c r="RI36" i="111" s="1"/>
  <c r="RI37" i="111" s="1"/>
  <c r="RI38" i="111" s="1"/>
  <c r="RI39" i="111" s="1"/>
  <c r="RI40" i="111" s="1"/>
  <c r="JK19" i="111"/>
  <c r="QL19" i="111"/>
  <c r="RH19" i="111"/>
  <c r="DQ19" i="111"/>
  <c r="CW19" i="111"/>
  <c r="T19" i="111"/>
  <c r="U19" i="111" s="1"/>
  <c r="RP19" i="111"/>
  <c r="P19" i="111"/>
  <c r="PX18" i="111"/>
  <c r="RN18" i="111"/>
  <c r="QL18" i="111"/>
  <c r="DQ18" i="111"/>
  <c r="CW18" i="111"/>
  <c r="DC18" i="111" s="1"/>
  <c r="T18" i="111"/>
  <c r="U18" i="111" s="1"/>
  <c r="RP18" i="111"/>
  <c r="P18" i="111"/>
  <c r="PX17" i="111"/>
  <c r="RN17" i="111"/>
  <c r="JK17" i="111"/>
  <c r="QL17" i="111"/>
  <c r="JE17" i="111"/>
  <c r="GL17" i="111" s="1"/>
  <c r="OL17" i="111"/>
  <c r="OL18" i="111" s="1"/>
  <c r="OL19" i="111" s="1"/>
  <c r="OL20" i="111" s="1"/>
  <c r="OL21" i="111" s="1"/>
  <c r="OL22" i="111" s="1"/>
  <c r="OL23" i="111" s="1"/>
  <c r="OL24" i="111" s="1"/>
  <c r="OL25" i="111" s="1"/>
  <c r="OL26" i="111" s="1"/>
  <c r="OL27" i="111" s="1"/>
  <c r="OL28" i="111" s="1"/>
  <c r="OL29" i="111" s="1"/>
  <c r="OL30" i="111" s="1"/>
  <c r="OL31" i="111" s="1"/>
  <c r="OL32" i="111" s="1"/>
  <c r="OL33" i="111" s="1"/>
  <c r="OL34" i="111" s="1"/>
  <c r="OL35" i="111" s="1"/>
  <c r="OL36" i="111" s="1"/>
  <c r="OL37" i="111" s="1"/>
  <c r="OL38" i="111" s="1"/>
  <c r="OL39" i="111" s="1"/>
  <c r="OL40" i="111" s="1"/>
  <c r="OL41" i="111" s="1"/>
  <c r="DQ17" i="111"/>
  <c r="CW17" i="111"/>
  <c r="DC17" i="111" s="1"/>
  <c r="T17" i="111"/>
  <c r="U17" i="111" s="1"/>
  <c r="P17" i="111"/>
  <c r="RP17" i="111"/>
  <c r="PX16" i="111"/>
  <c r="RN16" i="111"/>
  <c r="JK16" i="111"/>
  <c r="QL16" i="111"/>
  <c r="DQ16" i="111"/>
  <c r="CW16" i="111"/>
  <c r="DC16" i="111" s="1"/>
  <c r="T16" i="111"/>
  <c r="U16" i="111" s="1"/>
  <c r="RP16" i="111"/>
  <c r="P16" i="111"/>
  <c r="PX15" i="111"/>
  <c r="RN15" i="111"/>
  <c r="JK15" i="111"/>
  <c r="QL15" i="111"/>
  <c r="DQ15" i="111"/>
  <c r="CW15" i="111"/>
  <c r="DC15" i="111" s="1"/>
  <c r="T15" i="111"/>
  <c r="U15" i="111" s="1"/>
  <c r="RP15" i="111"/>
  <c r="P15" i="111"/>
  <c r="PX14" i="111"/>
  <c r="RN14" i="111"/>
  <c r="JK14" i="111"/>
  <c r="QL14" i="111"/>
  <c r="DQ14" i="111"/>
  <c r="CW14" i="111"/>
  <c r="T14" i="111"/>
  <c r="U14" i="111" s="1"/>
  <c r="RP14" i="111"/>
  <c r="P14" i="111"/>
  <c r="PX13" i="111"/>
  <c r="RN13" i="111"/>
  <c r="JK13" i="111"/>
  <c r="QL13" i="111"/>
  <c r="CW13" i="111"/>
  <c r="DC13" i="111" s="1"/>
  <c r="DQ13" i="111"/>
  <c r="T13" i="111"/>
  <c r="U13" i="111" s="1"/>
  <c r="RP13" i="111"/>
  <c r="P13" i="111"/>
  <c r="PX12" i="111"/>
  <c r="RN12" i="111"/>
  <c r="NS13" i="111"/>
  <c r="JK12" i="111"/>
  <c r="QL12" i="111"/>
  <c r="DQ12" i="111"/>
  <c r="CW12" i="111"/>
  <c r="DC12" i="111" s="1"/>
  <c r="T12" i="111"/>
  <c r="U12" i="111" s="1"/>
  <c r="RP12" i="111"/>
  <c r="P12" i="111"/>
  <c r="PX11" i="111"/>
  <c r="RN11" i="111"/>
  <c r="NF12" i="111"/>
  <c r="JK11" i="111"/>
  <c r="QL11" i="111"/>
  <c r="CW11" i="111"/>
  <c r="DC11" i="111" s="1"/>
  <c r="DQ11" i="111"/>
  <c r="U11" i="111"/>
  <c r="RP11" i="111"/>
  <c r="P11" i="111"/>
  <c r="QE11" i="111"/>
  <c r="PX10" i="111"/>
  <c r="RN10" i="111"/>
  <c r="PV41" i="111"/>
  <c r="PV42" i="111" s="1"/>
  <c r="PY10" i="111"/>
  <c r="PI41" i="111"/>
  <c r="PI42" i="111" s="1"/>
  <c r="PI44" i="111" s="1"/>
  <c r="PF10" i="111"/>
  <c r="OZ11" i="111"/>
  <c r="OF11" i="111"/>
  <c r="NX11" i="111"/>
  <c r="LI10" i="111"/>
  <c r="LF41" i="111"/>
  <c r="LF42" i="111" s="1"/>
  <c r="RI10" i="111"/>
  <c r="RI11" i="111" s="1"/>
  <c r="RI12" i="111" s="1"/>
  <c r="RI13" i="111" s="1"/>
  <c r="RI14" i="111" s="1"/>
  <c r="RI15" i="111" s="1"/>
  <c r="RI16" i="111" s="1"/>
  <c r="RI17" i="111" s="1"/>
  <c r="KS41" i="111"/>
  <c r="KS42" i="111" s="1"/>
  <c r="KU41" i="111"/>
  <c r="KU42" i="111" s="1"/>
  <c r="KV41" i="111"/>
  <c r="KV42" i="111" s="1"/>
  <c r="KV44" i="111" s="1"/>
  <c r="JI41" i="111"/>
  <c r="JI42" i="111" s="1"/>
  <c r="KT41" i="111"/>
  <c r="KT42" i="111" s="1"/>
  <c r="KW41" i="111"/>
  <c r="KW42" i="111" s="1"/>
  <c r="KW44" i="111" s="1"/>
  <c r="JK10" i="111"/>
  <c r="RH10" i="111"/>
  <c r="JH41" i="111"/>
  <c r="KO41" i="111"/>
  <c r="KO42" i="111" s="1"/>
  <c r="KQ41" i="111"/>
  <c r="KQ42" i="111" s="1"/>
  <c r="KQ44" i="111" s="1"/>
  <c r="KN41" i="111"/>
  <c r="KN42" i="111" s="1"/>
  <c r="KP41" i="111"/>
  <c r="KP42" i="111" s="1"/>
  <c r="KR41" i="111"/>
  <c r="KR42" i="111" s="1"/>
  <c r="KR44" i="111" s="1"/>
  <c r="JE10" i="111"/>
  <c r="IW41" i="111"/>
  <c r="IW42" i="111" s="1"/>
  <c r="OL10" i="111"/>
  <c r="OL11" i="111" s="1"/>
  <c r="OL12" i="111" s="1"/>
  <c r="OL13" i="111" s="1"/>
  <c r="OL14" i="111" s="1"/>
  <c r="IL41" i="111"/>
  <c r="IL42" i="111" s="1"/>
  <c r="IP10" i="111"/>
  <c r="IH41" i="111"/>
  <c r="IH42" i="111" s="1"/>
  <c r="IA10" i="111"/>
  <c r="HS41" i="111"/>
  <c r="PL10" i="111"/>
  <c r="HJ41" i="111"/>
  <c r="HL10" i="111"/>
  <c r="GJ10" i="111" s="1"/>
  <c r="HF41" i="111"/>
  <c r="GV10" i="111"/>
  <c r="GR41" i="111"/>
  <c r="GR42" i="111" s="1"/>
  <c r="FD10" i="111"/>
  <c r="FA41" i="111"/>
  <c r="FA42" i="111" s="1"/>
  <c r="FA44" i="111" s="1"/>
  <c r="EB41" i="111"/>
  <c r="EB42" i="111" s="1"/>
  <c r="EB44" i="111" s="1"/>
  <c r="DA10" i="111"/>
  <c r="DA41" i="111" s="1"/>
  <c r="DA42" i="111" s="1"/>
  <c r="DA44" i="111" s="1"/>
  <c r="ED10" i="111"/>
  <c r="DZ41" i="111"/>
  <c r="DZ42" i="111" s="1"/>
  <c r="DZ44" i="111" s="1"/>
  <c r="DM41" i="111"/>
  <c r="DM42" i="111" s="1"/>
  <c r="DM44" i="111" s="1"/>
  <c r="CY10" i="111"/>
  <c r="DQ10" i="111"/>
  <c r="DK41" i="111"/>
  <c r="DK42" i="111" s="1"/>
  <c r="DK44" i="111" s="1"/>
  <c r="CW10" i="111"/>
  <c r="CQ41" i="111"/>
  <c r="CQ42" i="111" s="1"/>
  <c r="CQ44" i="111" s="1"/>
  <c r="BN41" i="111"/>
  <c r="BN42" i="111" s="1"/>
  <c r="BN44" i="111" s="1"/>
  <c r="BM41" i="111"/>
  <c r="T10" i="111"/>
  <c r="BD41" i="111"/>
  <c r="BD42" i="111" s="1"/>
  <c r="BD44" i="111" s="1"/>
  <c r="BE41" i="111"/>
  <c r="BE42" i="111" s="1"/>
  <c r="BE44" i="111" s="1"/>
  <c r="RP10" i="111"/>
  <c r="AY41" i="111"/>
  <c r="AY42" i="111" s="1"/>
  <c r="AY44" i="111" s="1"/>
  <c r="AX41" i="111"/>
  <c r="AX42" i="111" s="1"/>
  <c r="AX44" i="111" s="1"/>
  <c r="P10" i="111"/>
  <c r="Q10" i="111" s="1"/>
  <c r="AA41" i="111"/>
  <c r="AC10" i="111"/>
  <c r="W41" i="111"/>
  <c r="Y10" i="111"/>
  <c r="O41" i="111"/>
  <c r="JA41" i="111"/>
  <c r="JA42" i="111" s="1"/>
  <c r="IY41" i="111"/>
  <c r="IY42" i="111" s="1"/>
  <c r="IO41" i="111"/>
  <c r="IJ41" i="111"/>
  <c r="IJ42" i="111" s="1"/>
  <c r="HU41" i="111"/>
  <c r="HU42" i="111" s="1"/>
  <c r="HH41" i="111"/>
  <c r="HH42" i="111" s="1"/>
  <c r="GU41" i="111"/>
  <c r="GU42" i="111" s="1"/>
  <c r="GT41" i="111"/>
  <c r="GT42" i="111" s="1"/>
  <c r="GS41" i="111"/>
  <c r="GS42" i="111" s="1"/>
  <c r="AW41" i="102"/>
  <c r="U12" i="106" a="1"/>
  <c r="KS44" i="111" l="1"/>
  <c r="AX158" i="2"/>
  <c r="NE18" i="124"/>
  <c r="NG17" i="124"/>
  <c r="MY17" i="124" s="1"/>
  <c r="NC26" i="122"/>
  <c r="NF25" i="122"/>
  <c r="MX25" i="122" s="1"/>
  <c r="NZ44" i="120"/>
  <c r="NZ9" i="122"/>
  <c r="QG12" i="122"/>
  <c r="NA11" i="122"/>
  <c r="QH41" i="122"/>
  <c r="AK43" i="121"/>
  <c r="AK11" i="123" s="1"/>
  <c r="AK12" i="123" s="1"/>
  <c r="AK13" i="123" s="1"/>
  <c r="AK14" i="123" s="1"/>
  <c r="AK15" i="123" s="1"/>
  <c r="AK16" i="123" s="1"/>
  <c r="AK17" i="123" s="1"/>
  <c r="AK18" i="123" s="1"/>
  <c r="AK19" i="123" s="1"/>
  <c r="AK20" i="123" s="1"/>
  <c r="AK21" i="123" s="1"/>
  <c r="AK22" i="123" s="1"/>
  <c r="AK23" i="123" s="1"/>
  <c r="AK24" i="123" s="1"/>
  <c r="AK25" i="123" s="1"/>
  <c r="AK26" i="123" s="1"/>
  <c r="AK27" i="123" s="1"/>
  <c r="AK28" i="123" s="1"/>
  <c r="AK29" i="123" s="1"/>
  <c r="AK30" i="123" s="1"/>
  <c r="AK31" i="123" s="1"/>
  <c r="AK32" i="123" s="1"/>
  <c r="AK33" i="123" s="1"/>
  <c r="AK34" i="123" s="1"/>
  <c r="AK35" i="123" s="1"/>
  <c r="AK36" i="123" s="1"/>
  <c r="AK37" i="123" s="1"/>
  <c r="AK38" i="123" s="1"/>
  <c r="AK39" i="123" s="1"/>
  <c r="AK40" i="123" s="1"/>
  <c r="AK41" i="123" s="1"/>
  <c r="AK42" i="123" s="1"/>
  <c r="AL42" i="121"/>
  <c r="AL43" i="121" s="1"/>
  <c r="OQ35" i="116"/>
  <c r="AF26" i="118"/>
  <c r="QH21" i="116"/>
  <c r="NA20" i="116"/>
  <c r="QG24" i="116"/>
  <c r="OG24" i="116"/>
  <c r="NG24" i="116"/>
  <c r="PA24" i="116"/>
  <c r="PG23" i="116"/>
  <c r="PO21" i="116"/>
  <c r="MZ20" i="116"/>
  <c r="RJ31" i="116"/>
  <c r="RM30" i="116"/>
  <c r="NT24" i="116"/>
  <c r="U12" i="106"/>
  <c r="AB42" i="111"/>
  <c r="AX48" i="2" s="1"/>
  <c r="AB300" i="111"/>
  <c r="E43" i="111"/>
  <c r="FD41" i="111"/>
  <c r="FD42" i="111" s="1"/>
  <c r="FD44" i="111" s="1"/>
  <c r="C41" i="111"/>
  <c r="GM20" i="111"/>
  <c r="DC10" i="111"/>
  <c r="GM17" i="111"/>
  <c r="DC36" i="111"/>
  <c r="DC14" i="111"/>
  <c r="BK46" i="112"/>
  <c r="BK47" i="112" s="1"/>
  <c r="GM36" i="111"/>
  <c r="GM14" i="111"/>
  <c r="GX49" i="111"/>
  <c r="GM24" i="111"/>
  <c r="ED41" i="111"/>
  <c r="ED42" i="111" s="1"/>
  <c r="ED44" i="111" s="1"/>
  <c r="CN13" i="112"/>
  <c r="D43" i="112"/>
  <c r="D44" i="112" s="1"/>
  <c r="BL44" i="111"/>
  <c r="BL48" i="111"/>
  <c r="S42" i="111"/>
  <c r="AX88" i="2"/>
  <c r="O49" i="111"/>
  <c r="AX23" i="2"/>
  <c r="AX84" i="2"/>
  <c r="JI44" i="111"/>
  <c r="AX66" i="2"/>
  <c r="IL44" i="111"/>
  <c r="HJ42" i="111"/>
  <c r="HJ44" i="111" s="1"/>
  <c r="GR44" i="111"/>
  <c r="JA44" i="111"/>
  <c r="IY44" i="111"/>
  <c r="IO42" i="111"/>
  <c r="IJ44" i="111"/>
  <c r="HH44" i="111"/>
  <c r="GU44" i="111"/>
  <c r="GT44" i="111"/>
  <c r="GS44" i="111"/>
  <c r="KU44" i="111"/>
  <c r="AX160" i="2"/>
  <c r="KT44" i="111"/>
  <c r="AX159" i="2"/>
  <c r="KO44" i="111"/>
  <c r="AX146" i="2"/>
  <c r="KN44" i="111"/>
  <c r="AX145" i="2"/>
  <c r="KP44" i="111"/>
  <c r="AX147" i="2"/>
  <c r="DC40" i="111"/>
  <c r="CY41" i="111"/>
  <c r="CY42" i="111" s="1"/>
  <c r="CY44" i="111" s="1"/>
  <c r="DC19" i="111"/>
  <c r="LI41" i="111"/>
  <c r="LI42" i="111" s="1"/>
  <c r="GM31" i="111"/>
  <c r="GM16" i="111"/>
  <c r="GM30" i="111"/>
  <c r="GM25" i="111"/>
  <c r="BM44" i="111"/>
  <c r="AB212" i="111"/>
  <c r="RZ31" i="111"/>
  <c r="RZ38" i="111"/>
  <c r="RZ24" i="111"/>
  <c r="C44" i="112"/>
  <c r="AX12" i="112"/>
  <c r="CR12" i="112"/>
  <c r="AB43" i="112"/>
  <c r="AB44" i="112" s="1"/>
  <c r="S12" i="112"/>
  <c r="E12" i="112" s="1"/>
  <c r="R43" i="112"/>
  <c r="AE44" i="112"/>
  <c r="AG43" i="112"/>
  <c r="AG44" i="112" s="1"/>
  <c r="Q44" i="112"/>
  <c r="S44" i="112" s="1"/>
  <c r="S43" i="112"/>
  <c r="CD44" i="111"/>
  <c r="CD48" i="111"/>
  <c r="BZ42" i="111"/>
  <c r="BZ44" i="111" s="1"/>
  <c r="BX44" i="111"/>
  <c r="BX48" i="111"/>
  <c r="O44" i="111"/>
  <c r="AS42" i="111"/>
  <c r="AS44" i="111" s="1"/>
  <c r="AQ44" i="111"/>
  <c r="AG42" i="111"/>
  <c r="AG44" i="111" s="1"/>
  <c r="AE44" i="111"/>
  <c r="QO40" i="111"/>
  <c r="QP40" i="111"/>
  <c r="SB40" i="111"/>
  <c r="Q40" i="111"/>
  <c r="D40" i="111"/>
  <c r="E40" i="111" s="1"/>
  <c r="QO39" i="111"/>
  <c r="QP39" i="111"/>
  <c r="SB39" i="111"/>
  <c r="Q39" i="111"/>
  <c r="D39" i="111"/>
  <c r="E39" i="111" s="1"/>
  <c r="QO38" i="111"/>
  <c r="QP38" i="111"/>
  <c r="SB38" i="111"/>
  <c r="Q38" i="111"/>
  <c r="D38" i="111"/>
  <c r="E38" i="111" s="1"/>
  <c r="NF39" i="111"/>
  <c r="QO37" i="111"/>
  <c r="QP37" i="111"/>
  <c r="SB37" i="111"/>
  <c r="Q37" i="111"/>
  <c r="D37" i="111"/>
  <c r="E37" i="111" s="1"/>
  <c r="QO36" i="111"/>
  <c r="QP36" i="111"/>
  <c r="SB36" i="111"/>
  <c r="Q36" i="111"/>
  <c r="D36" i="111"/>
  <c r="E36" i="111" s="1"/>
  <c r="QO35" i="111"/>
  <c r="QP35" i="111"/>
  <c r="SB35" i="111"/>
  <c r="Q35" i="111"/>
  <c r="D35" i="111"/>
  <c r="E35" i="111" s="1"/>
  <c r="QO34" i="111"/>
  <c r="QP34" i="111"/>
  <c r="SB34" i="111"/>
  <c r="Q34" i="111"/>
  <c r="D34" i="111"/>
  <c r="E34" i="111" s="1"/>
  <c r="QO33" i="111"/>
  <c r="QP33" i="111"/>
  <c r="SB33" i="111"/>
  <c r="Q33" i="111"/>
  <c r="D33" i="111"/>
  <c r="E33" i="111" s="1"/>
  <c r="QO32" i="111"/>
  <c r="QP32" i="111"/>
  <c r="SB32" i="111"/>
  <c r="Q32" i="111"/>
  <c r="D32" i="111"/>
  <c r="E32" i="111" s="1"/>
  <c r="QO31" i="111"/>
  <c r="QP31" i="111"/>
  <c r="SB31" i="111"/>
  <c r="Q31" i="111"/>
  <c r="D31" i="111"/>
  <c r="E31" i="111" s="1"/>
  <c r="QO30" i="111"/>
  <c r="QP30" i="111"/>
  <c r="SB30" i="111"/>
  <c r="Q30" i="111"/>
  <c r="D30" i="111"/>
  <c r="E30" i="111" s="1"/>
  <c r="QO29" i="111"/>
  <c r="QP29" i="111"/>
  <c r="SB29" i="111"/>
  <c r="Q29" i="111"/>
  <c r="D29" i="111"/>
  <c r="QP28" i="111"/>
  <c r="QO28" i="111"/>
  <c r="SB28" i="111"/>
  <c r="Q28" i="111"/>
  <c r="D28" i="111"/>
  <c r="E28" i="111" s="1"/>
  <c r="QO27" i="111"/>
  <c r="QP27" i="111"/>
  <c r="SB27" i="111"/>
  <c r="Q27" i="111"/>
  <c r="D27" i="111"/>
  <c r="E27" i="111" s="1"/>
  <c r="QO26" i="111"/>
  <c r="QP26" i="111"/>
  <c r="SB26" i="111"/>
  <c r="Q26" i="111"/>
  <c r="D26" i="111"/>
  <c r="E26" i="111" s="1"/>
  <c r="QO25" i="111"/>
  <c r="QP25" i="111"/>
  <c r="SB25" i="111"/>
  <c r="Q25" i="111"/>
  <c r="D25" i="111"/>
  <c r="E25" i="111" s="1"/>
  <c r="QO24" i="111"/>
  <c r="QP24" i="111"/>
  <c r="SB24" i="111"/>
  <c r="Q24" i="111"/>
  <c r="D24" i="111"/>
  <c r="E24" i="111" s="1"/>
  <c r="QO23" i="111"/>
  <c r="QP23" i="111"/>
  <c r="SB23" i="111"/>
  <c r="Q23" i="111"/>
  <c r="D23" i="111"/>
  <c r="E23" i="111" s="1"/>
  <c r="QO22" i="111"/>
  <c r="QP22" i="111"/>
  <c r="SB22" i="111"/>
  <c r="Q22" i="111"/>
  <c r="D22" i="111"/>
  <c r="E22" i="111" s="1"/>
  <c r="QO21" i="111"/>
  <c r="QP21" i="111"/>
  <c r="SB21" i="111"/>
  <c r="Q21" i="111"/>
  <c r="D21" i="111"/>
  <c r="E21" i="111" s="1"/>
  <c r="QO20" i="111"/>
  <c r="QP20" i="111"/>
  <c r="SB20" i="111"/>
  <c r="Q20" i="111"/>
  <c r="D20" i="111"/>
  <c r="E20" i="111" s="1"/>
  <c r="QO19" i="111"/>
  <c r="QP19" i="111"/>
  <c r="SB19" i="111"/>
  <c r="RK19" i="111"/>
  <c r="RH20" i="111"/>
  <c r="Q19" i="111"/>
  <c r="D19" i="111"/>
  <c r="E19" i="111" s="1"/>
  <c r="Q18" i="111"/>
  <c r="D18" i="111"/>
  <c r="E18" i="111" s="1"/>
  <c r="QO17" i="111"/>
  <c r="QP17" i="111"/>
  <c r="SB17" i="111"/>
  <c r="Q17" i="111"/>
  <c r="D17" i="111"/>
  <c r="E17" i="111" s="1"/>
  <c r="QO16" i="111"/>
  <c r="QP16" i="111"/>
  <c r="SB16" i="111"/>
  <c r="Q16" i="111"/>
  <c r="D16" i="111"/>
  <c r="E16" i="111" s="1"/>
  <c r="QO15" i="111"/>
  <c r="QP15" i="111"/>
  <c r="SB15" i="111"/>
  <c r="Q15" i="111"/>
  <c r="D15" i="111"/>
  <c r="E15" i="111" s="1"/>
  <c r="QO14" i="111"/>
  <c r="QP14" i="111"/>
  <c r="SB14" i="111"/>
  <c r="Q14" i="111"/>
  <c r="D14" i="111"/>
  <c r="E14" i="111" s="1"/>
  <c r="QO13" i="111"/>
  <c r="QP13" i="111"/>
  <c r="SB13" i="111"/>
  <c r="Q13" i="111"/>
  <c r="D13" i="111"/>
  <c r="E13" i="111" s="1"/>
  <c r="NS14" i="111"/>
  <c r="QO12" i="111"/>
  <c r="QP12" i="111"/>
  <c r="SB12" i="111"/>
  <c r="Q12" i="111"/>
  <c r="D12" i="111"/>
  <c r="E12" i="111" s="1"/>
  <c r="NF13" i="111"/>
  <c r="QO11" i="111"/>
  <c r="QP11" i="111"/>
  <c r="SB11" i="111"/>
  <c r="Q11" i="111"/>
  <c r="D11" i="111"/>
  <c r="E11" i="111" s="1"/>
  <c r="QE12" i="111"/>
  <c r="QG10" i="111"/>
  <c r="QG11" i="111" s="1"/>
  <c r="QG12" i="111" s="1"/>
  <c r="QG13" i="111" s="1"/>
  <c r="QG14" i="111" s="1"/>
  <c r="QG15" i="111" s="1"/>
  <c r="QG16" i="111" s="1"/>
  <c r="QG17" i="111" s="1"/>
  <c r="QG18" i="111" s="1"/>
  <c r="QG19" i="111" s="1"/>
  <c r="QG20" i="111" s="1"/>
  <c r="QG21" i="111" s="1"/>
  <c r="QG22" i="111" s="1"/>
  <c r="QG23" i="111" s="1"/>
  <c r="QG24" i="111" s="1"/>
  <c r="QG25" i="111" s="1"/>
  <c r="QG26" i="111" s="1"/>
  <c r="QG27" i="111" s="1"/>
  <c r="QG28" i="111" s="1"/>
  <c r="QG29" i="111" s="1"/>
  <c r="QG30" i="111" s="1"/>
  <c r="QG31" i="111" s="1"/>
  <c r="QG32" i="111" s="1"/>
  <c r="QG33" i="111" s="1"/>
  <c r="QG34" i="111" s="1"/>
  <c r="QG35" i="111" s="1"/>
  <c r="QG36" i="111" s="1"/>
  <c r="QG37" i="111" s="1"/>
  <c r="QG38" i="111" s="1"/>
  <c r="QG39" i="111" s="1"/>
  <c r="QG40" i="111" s="1"/>
  <c r="QG41" i="111" s="1"/>
  <c r="PX41" i="111"/>
  <c r="PF11" i="111"/>
  <c r="OZ12" i="111"/>
  <c r="OF12" i="111"/>
  <c r="NX12" i="111"/>
  <c r="JV41" i="111"/>
  <c r="JV42" i="111" s="1"/>
  <c r="JV44" i="111" s="1"/>
  <c r="KD41" i="111"/>
  <c r="KD42" i="111" s="1"/>
  <c r="KD44" i="111" s="1"/>
  <c r="KF41" i="111"/>
  <c r="KF42" i="111" s="1"/>
  <c r="KF44" i="111" s="1"/>
  <c r="KH41" i="111"/>
  <c r="KH42" i="111" s="1"/>
  <c r="KH44" i="111" s="1"/>
  <c r="KJ41" i="111"/>
  <c r="KJ42" i="111" s="1"/>
  <c r="KJ44" i="111" s="1"/>
  <c r="KE41" i="111"/>
  <c r="KE42" i="111" s="1"/>
  <c r="KE44" i="111" s="1"/>
  <c r="KG41" i="111"/>
  <c r="KG42" i="111" s="1"/>
  <c r="KG44" i="111" s="1"/>
  <c r="KI41" i="111"/>
  <c r="KI42" i="111" s="1"/>
  <c r="KI44" i="111" s="1"/>
  <c r="KK41" i="111"/>
  <c r="KK42" i="111" s="1"/>
  <c r="KK44" i="111" s="1"/>
  <c r="QO10" i="111"/>
  <c r="QP10" i="111"/>
  <c r="JK41" i="111"/>
  <c r="RK10" i="111"/>
  <c r="RH11" i="111"/>
  <c r="JH42" i="111"/>
  <c r="JI301" i="111"/>
  <c r="JE41" i="111"/>
  <c r="GL10" i="111"/>
  <c r="JE42" i="111"/>
  <c r="JE44" i="111" s="1"/>
  <c r="IW44" i="111"/>
  <c r="IP41" i="111"/>
  <c r="GK41" i="111" s="1"/>
  <c r="GK10" i="111"/>
  <c r="SE10" i="111"/>
  <c r="PL41" i="111"/>
  <c r="PL42" i="111" s="1"/>
  <c r="GJ41" i="111"/>
  <c r="GJ42" i="111" s="1"/>
  <c r="GJ44" i="111" s="1"/>
  <c r="RV10" i="111"/>
  <c r="SB10" i="111" s="1"/>
  <c r="GV41" i="111"/>
  <c r="GV42" i="111" s="1"/>
  <c r="GV44" i="111" s="1"/>
  <c r="RZ10" i="111"/>
  <c r="DQ41" i="111"/>
  <c r="DQ42" i="111" s="1"/>
  <c r="DQ44" i="111" s="1"/>
  <c r="U10" i="111"/>
  <c r="T41" i="111"/>
  <c r="P41" i="111"/>
  <c r="D10" i="111"/>
  <c r="AC41" i="111"/>
  <c r="AC42" i="111" s="1"/>
  <c r="AA42" i="111"/>
  <c r="Y41" i="111"/>
  <c r="RZ39" i="111"/>
  <c r="RZ34" i="111"/>
  <c r="RZ14" i="111"/>
  <c r="RZ40" i="111"/>
  <c r="RZ35" i="111"/>
  <c r="RZ32" i="111"/>
  <c r="RZ16" i="111"/>
  <c r="RZ33" i="111"/>
  <c r="RZ25" i="111"/>
  <c r="RZ28" i="111"/>
  <c r="RZ27" i="111"/>
  <c r="RZ26" i="111"/>
  <c r="RZ12" i="111"/>
  <c r="RZ23" i="111"/>
  <c r="RZ21" i="111"/>
  <c r="RZ20" i="111"/>
  <c r="RZ19" i="111"/>
  <c r="RZ17" i="111"/>
  <c r="RZ15" i="111"/>
  <c r="RZ13" i="111"/>
  <c r="RZ11" i="111"/>
  <c r="JY41" i="111"/>
  <c r="JY42" i="111" s="1"/>
  <c r="JY44" i="111" s="1"/>
  <c r="KA41" i="111"/>
  <c r="KA42" i="111" s="1"/>
  <c r="KA44" i="111" s="1"/>
  <c r="KC41" i="111"/>
  <c r="KC42" i="111" s="1"/>
  <c r="KC44" i="111" s="1"/>
  <c r="JO41" i="111"/>
  <c r="JO42" i="111" s="1"/>
  <c r="JO44" i="111" s="1"/>
  <c r="JQ41" i="111"/>
  <c r="JQ42" i="111" s="1"/>
  <c r="JQ44" i="111" s="1"/>
  <c r="JS41" i="111"/>
  <c r="JS42" i="111" s="1"/>
  <c r="JS44" i="111" s="1"/>
  <c r="RZ30" i="111"/>
  <c r="JW41" i="111"/>
  <c r="JW42" i="111" s="1"/>
  <c r="JW44" i="111" s="1"/>
  <c r="JX41" i="111"/>
  <c r="JX42" i="111" s="1"/>
  <c r="JX44" i="111" s="1"/>
  <c r="JZ41" i="111"/>
  <c r="JZ42" i="111" s="1"/>
  <c r="JZ44" i="111" s="1"/>
  <c r="KB41" i="111"/>
  <c r="KB42" i="111" s="1"/>
  <c r="KB44" i="111" s="1"/>
  <c r="JN41" i="111"/>
  <c r="JN42" i="111" s="1"/>
  <c r="JN44" i="111" s="1"/>
  <c r="JP41" i="111"/>
  <c r="JP42" i="111" s="1"/>
  <c r="JP44" i="111" s="1"/>
  <c r="JR41" i="111"/>
  <c r="JR42" i="111" s="1"/>
  <c r="JR44" i="111" s="1"/>
  <c r="JT41" i="111"/>
  <c r="JT42" i="111" s="1"/>
  <c r="JT44" i="111" s="1"/>
  <c r="RZ36" i="111"/>
  <c r="RZ37" i="111"/>
  <c r="RZ29" i="111"/>
  <c r="RZ22" i="111"/>
  <c r="RZ18" i="111"/>
  <c r="CW41" i="111"/>
  <c r="CW42" i="111" s="1"/>
  <c r="CW44" i="111" s="1"/>
  <c r="PY41" i="111"/>
  <c r="PY42" i="111" s="1"/>
  <c r="PY44" i="111" s="1"/>
  <c r="QF10" i="111"/>
  <c r="QL10" i="111"/>
  <c r="JU41" i="111"/>
  <c r="JU42" i="111" s="1"/>
  <c r="JU44" i="111" s="1"/>
  <c r="IH44" i="111"/>
  <c r="HS42" i="111"/>
  <c r="IA42" i="111" s="1"/>
  <c r="IA41" i="111"/>
  <c r="HF42" i="111"/>
  <c r="HL41" i="111"/>
  <c r="B72" i="98"/>
  <c r="OD10" i="102"/>
  <c r="OD11" i="102" s="1"/>
  <c r="OD12" i="102" s="1"/>
  <c r="OD13" i="102" s="1"/>
  <c r="OD14" i="102" s="1"/>
  <c r="OD15" i="102" s="1"/>
  <c r="OD16" i="102" s="1"/>
  <c r="OD17" i="102" s="1"/>
  <c r="OD18" i="102" s="1"/>
  <c r="OD19" i="102" s="1"/>
  <c r="OD20" i="102" s="1"/>
  <c r="OD21" i="102" s="1"/>
  <c r="OD22" i="102" s="1"/>
  <c r="OD23" i="102" s="1"/>
  <c r="OD24" i="102" s="1"/>
  <c r="OD25" i="102" s="1"/>
  <c r="OD26" i="102" s="1"/>
  <c r="OD27" i="102" s="1"/>
  <c r="OD28" i="102" s="1"/>
  <c r="OD29" i="102" s="1"/>
  <c r="OD30" i="102" s="1"/>
  <c r="OD31" i="102" s="1"/>
  <c r="OD32" i="102" s="1"/>
  <c r="OD33" i="102" s="1"/>
  <c r="OD34" i="102" s="1"/>
  <c r="OD35" i="102" s="1"/>
  <c r="OD36" i="102" s="1"/>
  <c r="OD37" i="102" s="1"/>
  <c r="OD38" i="102" s="1"/>
  <c r="OD39" i="102" s="1"/>
  <c r="OD40" i="102" s="1"/>
  <c r="F80" i="2"/>
  <c r="O11" i="102"/>
  <c r="O12" i="102"/>
  <c r="O13" i="102"/>
  <c r="O14" i="102"/>
  <c r="O15" i="102"/>
  <c r="O16" i="102"/>
  <c r="O17" i="102"/>
  <c r="O18" i="102"/>
  <c r="O19" i="102"/>
  <c r="O20" i="102"/>
  <c r="O21" i="102"/>
  <c r="O22" i="102"/>
  <c r="O23" i="102"/>
  <c r="O24" i="102"/>
  <c r="O25" i="102"/>
  <c r="O26" i="102"/>
  <c r="O27" i="102"/>
  <c r="O28" i="102"/>
  <c r="O29" i="102"/>
  <c r="O30" i="102"/>
  <c r="O31" i="102"/>
  <c r="O32" i="102"/>
  <c r="O33" i="102"/>
  <c r="O34" i="102"/>
  <c r="O35" i="102"/>
  <c r="O36" i="102"/>
  <c r="O37" i="102"/>
  <c r="O38" i="102"/>
  <c r="O39" i="102"/>
  <c r="O40" i="102"/>
  <c r="O10" i="102"/>
  <c r="U40" i="106" a="1"/>
  <c r="T40" i="106" a="1"/>
  <c r="J40" i="106" a="1"/>
  <c r="J12" i="106" a="1"/>
  <c r="NG18" i="124" l="1"/>
  <c r="MY18" i="124" s="1"/>
  <c r="AA44" i="111"/>
  <c r="AX31" i="2"/>
  <c r="NC27" i="122"/>
  <c r="NF26" i="122"/>
  <c r="MX26" i="122" s="1"/>
  <c r="AL12" i="123"/>
  <c r="QG13" i="122"/>
  <c r="NA12" i="122"/>
  <c r="NZ10" i="122"/>
  <c r="NO10" i="122"/>
  <c r="NO44" i="120"/>
  <c r="OQ36" i="116"/>
  <c r="AF27" i="118"/>
  <c r="J40" i="106"/>
  <c r="S44" i="111"/>
  <c r="NT25" i="116"/>
  <c r="RJ32" i="116"/>
  <c r="RM31" i="116"/>
  <c r="MZ21" i="116"/>
  <c r="PO22" i="116"/>
  <c r="PG24" i="116"/>
  <c r="PA25" i="116"/>
  <c r="OG25" i="116"/>
  <c r="QG25" i="116"/>
  <c r="NG25" i="116"/>
  <c r="QH22" i="116"/>
  <c r="NA21" i="116"/>
  <c r="J12" i="106"/>
  <c r="T40" i="106"/>
  <c r="U40" i="106"/>
  <c r="E29" i="111"/>
  <c r="O51" i="106"/>
  <c r="O54" i="106"/>
  <c r="O53" i="106"/>
  <c r="O52" i="106"/>
  <c r="IO44" i="111"/>
  <c r="IP42" i="111"/>
  <c r="IP44" i="111" s="1"/>
  <c r="DC41" i="111"/>
  <c r="DC42" i="111" s="1"/>
  <c r="DC44" i="111" s="1"/>
  <c r="E43" i="112"/>
  <c r="AX27" i="2"/>
  <c r="S49" i="111"/>
  <c r="C42" i="111"/>
  <c r="C44" i="111" s="1"/>
  <c r="AX44" i="2"/>
  <c r="AX115" i="2"/>
  <c r="E44" i="112"/>
  <c r="AA5" i="95"/>
  <c r="JH44" i="111"/>
  <c r="AX62" i="2"/>
  <c r="GL41" i="111"/>
  <c r="GM10" i="111"/>
  <c r="AX105" i="2"/>
  <c r="T44" i="111"/>
  <c r="U42" i="111"/>
  <c r="X49" i="111"/>
  <c r="X44" i="111"/>
  <c r="BA43" i="112" a="1"/>
  <c r="BA43" i="112" s="1"/>
  <c r="BA44" i="112" s="1"/>
  <c r="BD43" i="112" a="1"/>
  <c r="BD43" i="112" s="1"/>
  <c r="BD44" i="112" s="1"/>
  <c r="BC43" i="112" a="1"/>
  <c r="BC43" i="112" s="1"/>
  <c r="BC44" i="112" s="1"/>
  <c r="BB43" i="112" a="1"/>
  <c r="BB43" i="112" s="1"/>
  <c r="BB44" i="112" s="1"/>
  <c r="AZ43" i="112" a="1"/>
  <c r="AZ43" i="112" s="1"/>
  <c r="AZ44" i="112" s="1"/>
  <c r="AX43" i="112"/>
  <c r="AX44" i="112" s="1"/>
  <c r="R44" i="112"/>
  <c r="R47" i="112"/>
  <c r="NF40" i="111"/>
  <c r="RK20" i="111"/>
  <c r="RH21" i="111"/>
  <c r="NS15" i="111"/>
  <c r="NF14" i="111"/>
  <c r="QE13" i="111"/>
  <c r="PF12" i="111"/>
  <c r="OZ13" i="111"/>
  <c r="OF13" i="111"/>
  <c r="NX13" i="111"/>
  <c r="JK47" i="111"/>
  <c r="JK42" i="111"/>
  <c r="JK44" i="111" s="1"/>
  <c r="RK11" i="111"/>
  <c r="RH12" i="111"/>
  <c r="GK42" i="111"/>
  <c r="GK44" i="111" s="1"/>
  <c r="T49" i="111"/>
  <c r="U41" i="111"/>
  <c r="AB52" i="111"/>
  <c r="AB54" i="111" s="1"/>
  <c r="P49" i="111"/>
  <c r="Q41" i="111"/>
  <c r="P42" i="111"/>
  <c r="AA49" i="111"/>
  <c r="T228" i="111"/>
  <c r="E10" i="111"/>
  <c r="D41" i="111"/>
  <c r="E41" i="111" s="1"/>
  <c r="AC43" i="111"/>
  <c r="AC44" i="111" s="1"/>
  <c r="Y42" i="111"/>
  <c r="Y44" i="111" s="1"/>
  <c r="W44" i="111"/>
  <c r="MZ10" i="111"/>
  <c r="QF11" i="111"/>
  <c r="HL42" i="111"/>
  <c r="HL44" i="111" s="1"/>
  <c r="HF44" i="111"/>
  <c r="JV45" i="111"/>
  <c r="KD45" i="111"/>
  <c r="JN45" i="111"/>
  <c r="B40" i="106" a="1"/>
  <c r="B12" i="106" a="1"/>
  <c r="NE20" i="124" l="1"/>
  <c r="NG19" i="124"/>
  <c r="MY19" i="124" s="1"/>
  <c r="NC28" i="122"/>
  <c r="NF27" i="122"/>
  <c r="MX27" i="122" s="1"/>
  <c r="NO11" i="122"/>
  <c r="NZ11" i="122"/>
  <c r="QG14" i="122"/>
  <c r="NA13" i="122"/>
  <c r="AL13" i="123"/>
  <c r="OQ37" i="116"/>
  <c r="AF28" i="118"/>
  <c r="B40" i="106"/>
  <c r="U44" i="111"/>
  <c r="PA26" i="116"/>
  <c r="PG25" i="116"/>
  <c r="QH23" i="116"/>
  <c r="NA22" i="116"/>
  <c r="NG26" i="116"/>
  <c r="NT26" i="116"/>
  <c r="QG26" i="116"/>
  <c r="OG26" i="116"/>
  <c r="MZ22" i="116"/>
  <c r="PO23" i="116"/>
  <c r="RJ33" i="116"/>
  <c r="RM32" i="116"/>
  <c r="B12" i="106"/>
  <c r="GM41" i="111"/>
  <c r="GM42" i="111" s="1"/>
  <c r="GM44" i="111" s="1"/>
  <c r="GL42" i="111"/>
  <c r="GL44" i="111" s="1"/>
  <c r="GP46" i="111"/>
  <c r="AA10" i="95"/>
  <c r="AX40" i="2"/>
  <c r="AX46" i="112"/>
  <c r="AX47" i="112" s="1"/>
  <c r="AA25" i="95"/>
  <c r="AA16" i="95" s="1"/>
  <c r="NF41" i="111"/>
  <c r="NF42" i="111" s="1"/>
  <c r="RK21" i="111"/>
  <c r="RH22" i="111"/>
  <c r="NS16" i="111"/>
  <c r="NF15" i="111"/>
  <c r="QE14" i="111"/>
  <c r="PF13" i="111"/>
  <c r="OZ14" i="111"/>
  <c r="OF14" i="111"/>
  <c r="NX14" i="111"/>
  <c r="RK12" i="111"/>
  <c r="RH13" i="111"/>
  <c r="Q42" i="111"/>
  <c r="Q44" i="111" s="1"/>
  <c r="P44" i="111"/>
  <c r="D42" i="111"/>
  <c r="MZ11" i="111"/>
  <c r="QF12" i="111"/>
  <c r="B46" i="96"/>
  <c r="J110" i="107" s="1"/>
  <c r="B45" i="96"/>
  <c r="J109" i="107" s="1"/>
  <c r="B44" i="96"/>
  <c r="J108" i="107" s="1"/>
  <c r="B43" i="96"/>
  <c r="PX40" i="102"/>
  <c r="PY40" i="102"/>
  <c r="DA40" i="102"/>
  <c r="BN40" i="102"/>
  <c r="BE40" i="102"/>
  <c r="AY40" i="102"/>
  <c r="PX39" i="102"/>
  <c r="PY39" i="102"/>
  <c r="DA39" i="102"/>
  <c r="BN39" i="102"/>
  <c r="BE39" i="102"/>
  <c r="AY39" i="102"/>
  <c r="PX38" i="102"/>
  <c r="PY38" i="102"/>
  <c r="DA38" i="102"/>
  <c r="BN38" i="102"/>
  <c r="BE38" i="102"/>
  <c r="AY38" i="102"/>
  <c r="PX37" i="102"/>
  <c r="PY37" i="102"/>
  <c r="DA37" i="102"/>
  <c r="BN37" i="102"/>
  <c r="BE37" i="102"/>
  <c r="AY37" i="102"/>
  <c r="PX36" i="102"/>
  <c r="PY36" i="102"/>
  <c r="DA36" i="102"/>
  <c r="BN36" i="102"/>
  <c r="BE36" i="102"/>
  <c r="AY36" i="102"/>
  <c r="PX35" i="102"/>
  <c r="PY35" i="102"/>
  <c r="DA35" i="102"/>
  <c r="BN35" i="102"/>
  <c r="BE35" i="102"/>
  <c r="AY35" i="102"/>
  <c r="PX34" i="102"/>
  <c r="PY34" i="102"/>
  <c r="DA34" i="102"/>
  <c r="BN34" i="102"/>
  <c r="BE34" i="102"/>
  <c r="AY34" i="102"/>
  <c r="PX33" i="102"/>
  <c r="PY33" i="102"/>
  <c r="DA33" i="102"/>
  <c r="BN33" i="102"/>
  <c r="BE33" i="102"/>
  <c r="AY33" i="102"/>
  <c r="PX32" i="102"/>
  <c r="PY32" i="102"/>
  <c r="DA32" i="102"/>
  <c r="BN32" i="102"/>
  <c r="BE32" i="102"/>
  <c r="AY32" i="102"/>
  <c r="PX31" i="102"/>
  <c r="PY31" i="102"/>
  <c r="DA31" i="102"/>
  <c r="BN31" i="102"/>
  <c r="BE31" i="102"/>
  <c r="AY31" i="102"/>
  <c r="PX30" i="102"/>
  <c r="PY30" i="102"/>
  <c r="DA30" i="102"/>
  <c r="BN30" i="102"/>
  <c r="BE30" i="102"/>
  <c r="AY30" i="102"/>
  <c r="PX29" i="102"/>
  <c r="PY29" i="102"/>
  <c r="DA29" i="102"/>
  <c r="BN29" i="102"/>
  <c r="BE29" i="102"/>
  <c r="AY29" i="102"/>
  <c r="PX28" i="102"/>
  <c r="PY28" i="102"/>
  <c r="DA28" i="102"/>
  <c r="BN28" i="102"/>
  <c r="BE28" i="102"/>
  <c r="AY28" i="102"/>
  <c r="PX27" i="102"/>
  <c r="PY27" i="102"/>
  <c r="DA27" i="102"/>
  <c r="BN27" i="102"/>
  <c r="BE27" i="102"/>
  <c r="AY27" i="102"/>
  <c r="PX26" i="102"/>
  <c r="PY26" i="102"/>
  <c r="DA26" i="102"/>
  <c r="BN26" i="102"/>
  <c r="BE26" i="102"/>
  <c r="AY26" i="102"/>
  <c r="PX25" i="102"/>
  <c r="PY25" i="102"/>
  <c r="DA25" i="102"/>
  <c r="BN25" i="102"/>
  <c r="BE25" i="102"/>
  <c r="AY25" i="102"/>
  <c r="PX24" i="102"/>
  <c r="PY24" i="102"/>
  <c r="DA24" i="102"/>
  <c r="BN24" i="102"/>
  <c r="BE24" i="102"/>
  <c r="AY24" i="102"/>
  <c r="PX23" i="102"/>
  <c r="PY23" i="102"/>
  <c r="DA23" i="102"/>
  <c r="BN23" i="102"/>
  <c r="BE23" i="102"/>
  <c r="AY23" i="102"/>
  <c r="PX22" i="102"/>
  <c r="PY22" i="102"/>
  <c r="DA22" i="102"/>
  <c r="BN22" i="102"/>
  <c r="BE22" i="102"/>
  <c r="AY22" i="102"/>
  <c r="PX21" i="102"/>
  <c r="PY21" i="102"/>
  <c r="DA21" i="102"/>
  <c r="BN21" i="102"/>
  <c r="BE21" i="102"/>
  <c r="AY21" i="102"/>
  <c r="PX20" i="102"/>
  <c r="PY20" i="102"/>
  <c r="DA20" i="102"/>
  <c r="BN20" i="102"/>
  <c r="BE20" i="102"/>
  <c r="AY20" i="102"/>
  <c r="PX19" i="102"/>
  <c r="PY19" i="102"/>
  <c r="DA19" i="102"/>
  <c r="BN19" i="102"/>
  <c r="BE19" i="102"/>
  <c r="AY19" i="102"/>
  <c r="PX18" i="102"/>
  <c r="PY18" i="102"/>
  <c r="DA18" i="102"/>
  <c r="BN18" i="102"/>
  <c r="BE18" i="102"/>
  <c r="AY18" i="102"/>
  <c r="PX17" i="102"/>
  <c r="PY17" i="102"/>
  <c r="DA17" i="102"/>
  <c r="BN17" i="102"/>
  <c r="BE17" i="102"/>
  <c r="AY17" i="102"/>
  <c r="PX16" i="102"/>
  <c r="PY16" i="102"/>
  <c r="DA16" i="102"/>
  <c r="BN16" i="102"/>
  <c r="BE16" i="102"/>
  <c r="AY16" i="102"/>
  <c r="PX15" i="102"/>
  <c r="PY15" i="102"/>
  <c r="DA15" i="102"/>
  <c r="BN15" i="102"/>
  <c r="BE15" i="102"/>
  <c r="AY15" i="102"/>
  <c r="PX14" i="102"/>
  <c r="PY14" i="102"/>
  <c r="DA14" i="102"/>
  <c r="BN14" i="102"/>
  <c r="BE14" i="102"/>
  <c r="AY14" i="102"/>
  <c r="PX13" i="102"/>
  <c r="PY13" i="102"/>
  <c r="DA13" i="102"/>
  <c r="BN13" i="102"/>
  <c r="BE13" i="102"/>
  <c r="AY13" i="102"/>
  <c r="PX12" i="102"/>
  <c r="PY12" i="102"/>
  <c r="DA12" i="102"/>
  <c r="AY12" i="102"/>
  <c r="PX11" i="102"/>
  <c r="PY11" i="102"/>
  <c r="DA11" i="102"/>
  <c r="BN11" i="102"/>
  <c r="BE11" i="102"/>
  <c r="AY11" i="102"/>
  <c r="BN10" i="102"/>
  <c r="BE10" i="102"/>
  <c r="C118" i="103"/>
  <c r="D118" i="103"/>
  <c r="C119" i="103"/>
  <c r="D119" i="103"/>
  <c r="C120" i="103"/>
  <c r="D120" i="103"/>
  <c r="C121" i="103"/>
  <c r="D121" i="103"/>
  <c r="C122" i="103"/>
  <c r="D122" i="103"/>
  <c r="C123" i="103"/>
  <c r="D123" i="103"/>
  <c r="C124" i="103"/>
  <c r="D124" i="103"/>
  <c r="C125" i="103"/>
  <c r="D125" i="103"/>
  <c r="C126" i="103"/>
  <c r="D126" i="103"/>
  <c r="C127" i="103"/>
  <c r="D127" i="103"/>
  <c r="C128" i="103"/>
  <c r="D128" i="103"/>
  <c r="C129" i="103"/>
  <c r="D129" i="103"/>
  <c r="C130" i="103"/>
  <c r="D130" i="103"/>
  <c r="C102" i="103"/>
  <c r="D102" i="103"/>
  <c r="C103" i="103"/>
  <c r="D103" i="103"/>
  <c r="C104" i="103"/>
  <c r="D104" i="103"/>
  <c r="C105" i="103"/>
  <c r="D105" i="103"/>
  <c r="C106" i="103"/>
  <c r="D106" i="103"/>
  <c r="C107" i="103"/>
  <c r="D107" i="103"/>
  <c r="C108" i="103"/>
  <c r="D108" i="103"/>
  <c r="C109" i="103"/>
  <c r="D109" i="103"/>
  <c r="C110" i="103"/>
  <c r="D110" i="103"/>
  <c r="C111" i="103"/>
  <c r="D111" i="103"/>
  <c r="C112" i="103"/>
  <c r="D112" i="103"/>
  <c r="C113" i="103"/>
  <c r="D113" i="103"/>
  <c r="C114" i="103"/>
  <c r="D114" i="103"/>
  <c r="C115" i="103"/>
  <c r="D115" i="103"/>
  <c r="C116" i="103"/>
  <c r="D116" i="103"/>
  <c r="C117" i="103"/>
  <c r="D117" i="103"/>
  <c r="C100" i="103"/>
  <c r="D100" i="103"/>
  <c r="O100" i="103"/>
  <c r="O101" i="103" s="1"/>
  <c r="O102" i="103" s="1"/>
  <c r="O103" i="103" s="1"/>
  <c r="O104" i="103" s="1"/>
  <c r="O105" i="103" s="1"/>
  <c r="O106" i="103" s="1"/>
  <c r="O107" i="103" s="1"/>
  <c r="O108" i="103" s="1"/>
  <c r="O109" i="103" s="1"/>
  <c r="O110" i="103" s="1"/>
  <c r="O111" i="103" s="1"/>
  <c r="O112" i="103" s="1"/>
  <c r="O113" i="103" s="1"/>
  <c r="O114" i="103" s="1"/>
  <c r="O115" i="103" s="1"/>
  <c r="O116" i="103" s="1"/>
  <c r="O117" i="103" s="1"/>
  <c r="O118" i="103" s="1"/>
  <c r="O119" i="103" s="1"/>
  <c r="O120" i="103" s="1"/>
  <c r="O121" i="103" s="1"/>
  <c r="O122" i="103" s="1"/>
  <c r="O123" i="103" s="1"/>
  <c r="O124" i="103" s="1"/>
  <c r="O125" i="103" s="1"/>
  <c r="O126" i="103" s="1"/>
  <c r="O127" i="103" s="1"/>
  <c r="O128" i="103" s="1"/>
  <c r="O129" i="103" s="1"/>
  <c r="O130" i="103" s="1"/>
  <c r="C101" i="103"/>
  <c r="D101" i="103"/>
  <c r="C38" i="103"/>
  <c r="Q38" i="103"/>
  <c r="R38" i="103" s="1"/>
  <c r="S38" i="103" s="1"/>
  <c r="E38" i="103" s="1"/>
  <c r="AQ38" i="103"/>
  <c r="C39" i="103"/>
  <c r="Q39" i="103"/>
  <c r="R39" i="103" s="1"/>
  <c r="S39" i="103" s="1"/>
  <c r="E39" i="103" s="1"/>
  <c r="AB39" i="103"/>
  <c r="AX39" i="103" s="1"/>
  <c r="AQ39" i="103"/>
  <c r="C40" i="103"/>
  <c r="Q40" i="103"/>
  <c r="R40" i="103" s="1"/>
  <c r="S40" i="103" s="1"/>
  <c r="E40" i="103" s="1"/>
  <c r="AB40" i="103"/>
  <c r="AX40" i="103" s="1"/>
  <c r="AQ40" i="103"/>
  <c r="C41" i="103"/>
  <c r="Q41" i="103"/>
  <c r="R41" i="103" s="1"/>
  <c r="S41" i="103" s="1"/>
  <c r="E41" i="103" s="1"/>
  <c r="AB41" i="103"/>
  <c r="AX41" i="103" s="1"/>
  <c r="AQ41" i="103"/>
  <c r="C42" i="103"/>
  <c r="Q42" i="103"/>
  <c r="R42" i="103" s="1"/>
  <c r="S42" i="103" s="1"/>
  <c r="E42" i="103" s="1"/>
  <c r="AB42" i="103"/>
  <c r="AX42" i="103" s="1"/>
  <c r="AQ42" i="103"/>
  <c r="H43" i="103"/>
  <c r="H44" i="103" s="1"/>
  <c r="I43" i="103"/>
  <c r="I44" i="103" s="1"/>
  <c r="O43" i="103"/>
  <c r="P43" i="103"/>
  <c r="P44" i="103" s="1"/>
  <c r="U43" i="103"/>
  <c r="U44" i="103" s="1"/>
  <c r="V43" i="103"/>
  <c r="V44" i="103" s="1"/>
  <c r="W43" i="103"/>
  <c r="W44" i="103" s="1"/>
  <c r="X43" i="103"/>
  <c r="Z43" i="103"/>
  <c r="Z44" i="103" s="1"/>
  <c r="AC43" i="103"/>
  <c r="AC44" i="103" s="1"/>
  <c r="AD43" i="103"/>
  <c r="AD44" i="103" s="1"/>
  <c r="AI43" i="103"/>
  <c r="AI44" i="103" s="1"/>
  <c r="AO43" i="103"/>
  <c r="AO44" i="103" s="1"/>
  <c r="AP43" i="103"/>
  <c r="AP44" i="103" s="1"/>
  <c r="AU43" i="103"/>
  <c r="AU44" i="103" s="1"/>
  <c r="BK43" i="103"/>
  <c r="BL43" i="103"/>
  <c r="BL44" i="103" s="1"/>
  <c r="BM43" i="103"/>
  <c r="BM44" i="103" s="1"/>
  <c r="BN43" i="103"/>
  <c r="BN44" i="103" s="1"/>
  <c r="BN46" i="103" s="1"/>
  <c r="BN47" i="103" s="1"/>
  <c r="BO43" i="103"/>
  <c r="BO44" i="103" s="1"/>
  <c r="BO46" i="103" s="1"/>
  <c r="BO47" i="103" s="1"/>
  <c r="BQ43" i="103"/>
  <c r="BQ44" i="103" s="1"/>
  <c r="BQ46" i="103" s="1"/>
  <c r="BQ47" i="103" s="1"/>
  <c r="C45" i="103"/>
  <c r="D50" i="103" s="1"/>
  <c r="D45" i="103"/>
  <c r="S45" i="103"/>
  <c r="C22" i="103"/>
  <c r="Q22" i="103"/>
  <c r="R22" i="103" s="1"/>
  <c r="S22" i="103" s="1"/>
  <c r="E22" i="103" s="1"/>
  <c r="AQ22" i="103"/>
  <c r="C23" i="103"/>
  <c r="Q23" i="103"/>
  <c r="R23" i="103" s="1"/>
  <c r="S23" i="103" s="1"/>
  <c r="E23" i="103" s="1"/>
  <c r="AB23" i="103"/>
  <c r="AX23" i="103" s="1"/>
  <c r="AQ23" i="103"/>
  <c r="C24" i="103"/>
  <c r="Q24" i="103"/>
  <c r="R24" i="103" s="1"/>
  <c r="S24" i="103" s="1"/>
  <c r="E24" i="103" s="1"/>
  <c r="AB24" i="103"/>
  <c r="AX24" i="103" s="1"/>
  <c r="AQ24" i="103"/>
  <c r="C25" i="103"/>
  <c r="Q25" i="103"/>
  <c r="R25" i="103" s="1"/>
  <c r="S25" i="103" s="1"/>
  <c r="E25" i="103" s="1"/>
  <c r="AB25" i="103"/>
  <c r="AX25" i="103" s="1"/>
  <c r="AQ25" i="103"/>
  <c r="C26" i="103"/>
  <c r="Q26" i="103"/>
  <c r="R26" i="103" s="1"/>
  <c r="S26" i="103" s="1"/>
  <c r="E26" i="103" s="1"/>
  <c r="AB26" i="103"/>
  <c r="AX26" i="103" s="1"/>
  <c r="AQ26" i="103"/>
  <c r="C27" i="103"/>
  <c r="Q27" i="103"/>
  <c r="R27" i="103" s="1"/>
  <c r="S27" i="103" s="1"/>
  <c r="E27" i="103" s="1"/>
  <c r="AB27" i="103"/>
  <c r="AX27" i="103" s="1"/>
  <c r="AQ27" i="103"/>
  <c r="C28" i="103"/>
  <c r="Q28" i="103"/>
  <c r="R28" i="103" s="1"/>
  <c r="S28" i="103" s="1"/>
  <c r="E28" i="103" s="1"/>
  <c r="AB28" i="103"/>
  <c r="AX28" i="103" s="1"/>
  <c r="AQ28" i="103"/>
  <c r="C29" i="103"/>
  <c r="Q29" i="103"/>
  <c r="R29" i="103" s="1"/>
  <c r="S29" i="103" s="1"/>
  <c r="E29" i="103" s="1"/>
  <c r="AB29" i="103"/>
  <c r="AX29" i="103" s="1"/>
  <c r="AQ29" i="103"/>
  <c r="C30" i="103"/>
  <c r="Q30" i="103"/>
  <c r="R30" i="103" s="1"/>
  <c r="S30" i="103" s="1"/>
  <c r="E30" i="103" s="1"/>
  <c r="AB30" i="103"/>
  <c r="AX30" i="103" s="1"/>
  <c r="AQ30" i="103"/>
  <c r="C31" i="103"/>
  <c r="Q31" i="103"/>
  <c r="R31" i="103" s="1"/>
  <c r="S31" i="103" s="1"/>
  <c r="E31" i="103" s="1"/>
  <c r="AB31" i="103"/>
  <c r="AX31" i="103" s="1"/>
  <c r="AQ31" i="103"/>
  <c r="C32" i="103"/>
  <c r="Q32" i="103"/>
  <c r="R32" i="103" s="1"/>
  <c r="S32" i="103" s="1"/>
  <c r="E32" i="103" s="1"/>
  <c r="AB32" i="103"/>
  <c r="AX32" i="103" s="1"/>
  <c r="AQ32" i="103"/>
  <c r="C33" i="103"/>
  <c r="Q33" i="103"/>
  <c r="R33" i="103" s="1"/>
  <c r="S33" i="103" s="1"/>
  <c r="E33" i="103" s="1"/>
  <c r="AB33" i="103"/>
  <c r="AX33" i="103" s="1"/>
  <c r="AQ33" i="103"/>
  <c r="C34" i="103"/>
  <c r="Q34" i="103"/>
  <c r="R34" i="103" s="1"/>
  <c r="S34" i="103" s="1"/>
  <c r="E34" i="103" s="1"/>
  <c r="AB34" i="103"/>
  <c r="AX34" i="103" s="1"/>
  <c r="AQ34" i="103"/>
  <c r="C35" i="103"/>
  <c r="Q35" i="103"/>
  <c r="R35" i="103" s="1"/>
  <c r="S35" i="103" s="1"/>
  <c r="E35" i="103" s="1"/>
  <c r="AB35" i="103"/>
  <c r="AX35" i="103" s="1"/>
  <c r="AQ35" i="103"/>
  <c r="C36" i="103"/>
  <c r="Q36" i="103"/>
  <c r="R36" i="103" s="1"/>
  <c r="S36" i="103" s="1"/>
  <c r="E36" i="103" s="1"/>
  <c r="AB36" i="103"/>
  <c r="AX36" i="103" s="1"/>
  <c r="AQ36" i="103"/>
  <c r="C37" i="103"/>
  <c r="Q37" i="103"/>
  <c r="R37" i="103" s="1"/>
  <c r="S37" i="103" s="1"/>
  <c r="E37" i="103" s="1"/>
  <c r="AB37" i="103"/>
  <c r="AX37" i="103" s="1"/>
  <c r="AQ37" i="103"/>
  <c r="AI11" i="103"/>
  <c r="AJ11" i="103"/>
  <c r="AJ12" i="103" s="1"/>
  <c r="AJ13" i="103" s="1"/>
  <c r="AJ14" i="103" s="1"/>
  <c r="AJ15" i="103" s="1"/>
  <c r="AJ16" i="103" s="1"/>
  <c r="AJ17" i="103" s="1"/>
  <c r="AJ18" i="103" s="1"/>
  <c r="AJ19" i="103" s="1"/>
  <c r="AJ20" i="103" s="1"/>
  <c r="AJ21" i="103" s="1"/>
  <c r="AJ22" i="103" s="1"/>
  <c r="AJ23" i="103" s="1"/>
  <c r="AJ24" i="103" s="1"/>
  <c r="AJ25" i="103" s="1"/>
  <c r="AJ26" i="103" s="1"/>
  <c r="AJ27" i="103" s="1"/>
  <c r="AJ28" i="103" s="1"/>
  <c r="AJ29" i="103" s="1"/>
  <c r="AJ30" i="103" s="1"/>
  <c r="AJ31" i="103" s="1"/>
  <c r="AJ32" i="103" s="1"/>
  <c r="AJ33" i="103" s="1"/>
  <c r="AJ34" i="103" s="1"/>
  <c r="AJ35" i="103" s="1"/>
  <c r="AJ36" i="103" s="1"/>
  <c r="AJ37" i="103" s="1"/>
  <c r="AJ38" i="103" s="1"/>
  <c r="AJ39" i="103" s="1"/>
  <c r="AJ40" i="103" s="1"/>
  <c r="AJ41" i="103" s="1"/>
  <c r="AJ42" i="103" s="1"/>
  <c r="AJ43" i="103" s="1"/>
  <c r="AJ11" i="112" s="1"/>
  <c r="AJ12" i="112" s="1"/>
  <c r="AJ13" i="112" s="1"/>
  <c r="AJ14" i="112" s="1"/>
  <c r="AJ15" i="112" s="1"/>
  <c r="AJ16" i="112" s="1"/>
  <c r="AK11" i="103"/>
  <c r="AR11" i="103"/>
  <c r="AR12" i="103" s="1"/>
  <c r="AR13" i="103" s="1"/>
  <c r="AR14" i="103" s="1"/>
  <c r="AR15" i="103" s="1"/>
  <c r="AR16" i="103" s="1"/>
  <c r="AR17" i="103" s="1"/>
  <c r="AR18" i="103" s="1"/>
  <c r="AR19" i="103" s="1"/>
  <c r="AR20" i="103" s="1"/>
  <c r="AR21" i="103" s="1"/>
  <c r="AR22" i="103" s="1"/>
  <c r="AR23" i="103" s="1"/>
  <c r="AR24" i="103" s="1"/>
  <c r="AR25" i="103" s="1"/>
  <c r="AR26" i="103" s="1"/>
  <c r="AR27" i="103" s="1"/>
  <c r="AR28" i="103" s="1"/>
  <c r="AR29" i="103" s="1"/>
  <c r="AR30" i="103" s="1"/>
  <c r="AR31" i="103" s="1"/>
  <c r="AR32" i="103" s="1"/>
  <c r="AR33" i="103" s="1"/>
  <c r="AR34" i="103" s="1"/>
  <c r="AR35" i="103" s="1"/>
  <c r="AR36" i="103" s="1"/>
  <c r="AR37" i="103" s="1"/>
  <c r="AR38" i="103" s="1"/>
  <c r="AR39" i="103" s="1"/>
  <c r="AR40" i="103" s="1"/>
  <c r="AR41" i="103" s="1"/>
  <c r="AR42" i="103" s="1"/>
  <c r="AR43" i="103" s="1"/>
  <c r="AR11" i="112" s="1"/>
  <c r="AR12" i="112" s="1"/>
  <c r="AR13" i="112" s="1"/>
  <c r="AR14" i="112" s="1"/>
  <c r="AR15" i="112" s="1"/>
  <c r="AR16" i="112" s="1"/>
  <c r="AR17" i="112" s="1"/>
  <c r="AR18" i="112" s="1"/>
  <c r="AR19" i="112" s="1"/>
  <c r="AR20" i="112" s="1"/>
  <c r="AR21" i="112" s="1"/>
  <c r="AR22" i="112" s="1"/>
  <c r="AR23" i="112" s="1"/>
  <c r="AR24" i="112" s="1"/>
  <c r="AR25" i="112" s="1"/>
  <c r="AR26" i="112" s="1"/>
  <c r="AR27" i="112" s="1"/>
  <c r="AR28" i="112" s="1"/>
  <c r="AR29" i="112" s="1"/>
  <c r="AR30" i="112" s="1"/>
  <c r="AR31" i="112" s="1"/>
  <c r="AR32" i="112" s="1"/>
  <c r="AR33" i="112" s="1"/>
  <c r="AR34" i="112" s="1"/>
  <c r="AR35" i="112" s="1"/>
  <c r="AR36" i="112" s="1"/>
  <c r="AR37" i="112" s="1"/>
  <c r="AR38" i="112" s="1"/>
  <c r="AR39" i="112" s="1"/>
  <c r="AR40" i="112" s="1"/>
  <c r="AR41" i="112" s="1"/>
  <c r="AR42" i="112" s="1"/>
  <c r="AR43" i="112" s="1"/>
  <c r="AS11" i="103"/>
  <c r="AS12" i="103" s="1"/>
  <c r="AS13" i="103" s="1"/>
  <c r="AS14" i="103" s="1"/>
  <c r="AS15" i="103" s="1"/>
  <c r="AS16" i="103" s="1"/>
  <c r="AS17" i="103" s="1"/>
  <c r="AS18" i="103" s="1"/>
  <c r="AS19" i="103" s="1"/>
  <c r="AS20" i="103" s="1"/>
  <c r="AS21" i="103" s="1"/>
  <c r="AS22" i="103" s="1"/>
  <c r="AS23" i="103" s="1"/>
  <c r="AS24" i="103" s="1"/>
  <c r="AS25" i="103" s="1"/>
  <c r="AS26" i="103" s="1"/>
  <c r="AS27" i="103" s="1"/>
  <c r="AS28" i="103" s="1"/>
  <c r="AS29" i="103" s="1"/>
  <c r="AS30" i="103" s="1"/>
  <c r="AS31" i="103" s="1"/>
  <c r="AS32" i="103" s="1"/>
  <c r="AS33" i="103" s="1"/>
  <c r="AS34" i="103" s="1"/>
  <c r="AS35" i="103" s="1"/>
  <c r="AS36" i="103" s="1"/>
  <c r="AS37" i="103" s="1"/>
  <c r="AS38" i="103" s="1"/>
  <c r="AS39" i="103" s="1"/>
  <c r="AS40" i="103" s="1"/>
  <c r="AS41" i="103" s="1"/>
  <c r="AS42" i="103" s="1"/>
  <c r="AS43" i="103" s="1"/>
  <c r="AS11" i="112" s="1"/>
  <c r="AS12" i="112" s="1"/>
  <c r="AS13" i="112" s="1"/>
  <c r="AS14" i="112" s="1"/>
  <c r="AS15" i="112" s="1"/>
  <c r="AS16" i="112" s="1"/>
  <c r="AS17" i="112" s="1"/>
  <c r="AS18" i="112" s="1"/>
  <c r="AS19" i="112" s="1"/>
  <c r="AS20" i="112" s="1"/>
  <c r="AS21" i="112" s="1"/>
  <c r="AS22" i="112" s="1"/>
  <c r="AS23" i="112" s="1"/>
  <c r="AS24" i="112" s="1"/>
  <c r="AS25" i="112" s="1"/>
  <c r="AS26" i="112" s="1"/>
  <c r="AS27" i="112" s="1"/>
  <c r="AS28" i="112" s="1"/>
  <c r="AS29" i="112" s="1"/>
  <c r="AS30" i="112" s="1"/>
  <c r="AS31" i="112" s="1"/>
  <c r="AS32" i="112" s="1"/>
  <c r="AS33" i="112" s="1"/>
  <c r="AS34" i="112" s="1"/>
  <c r="AS35" i="112" s="1"/>
  <c r="AS36" i="112" s="1"/>
  <c r="AS37" i="112" s="1"/>
  <c r="AS38" i="112" s="1"/>
  <c r="AS39" i="112" s="1"/>
  <c r="AS40" i="112" s="1"/>
  <c r="AS41" i="112" s="1"/>
  <c r="AS42" i="112" s="1"/>
  <c r="AS43" i="112" s="1"/>
  <c r="BS11" i="103"/>
  <c r="C12" i="103"/>
  <c r="Q12" i="103"/>
  <c r="R12" i="103" s="1"/>
  <c r="S12" i="103" s="1"/>
  <c r="E12" i="103" s="1"/>
  <c r="AQ12" i="103"/>
  <c r="C13" i="103"/>
  <c r="Q13" i="103"/>
  <c r="R13" i="103" s="1"/>
  <c r="S13" i="103" s="1"/>
  <c r="E13" i="103" s="1"/>
  <c r="AQ13" i="103"/>
  <c r="C14" i="103"/>
  <c r="Q14" i="103"/>
  <c r="R14" i="103" s="1"/>
  <c r="S14" i="103" s="1"/>
  <c r="E14" i="103" s="1"/>
  <c r="AB14" i="103"/>
  <c r="AX14" i="103" s="1"/>
  <c r="AQ14" i="103"/>
  <c r="C15" i="103"/>
  <c r="Q15" i="103"/>
  <c r="R15" i="103" s="1"/>
  <c r="S15" i="103" s="1"/>
  <c r="E15" i="103" s="1"/>
  <c r="AB15" i="103"/>
  <c r="AX15" i="103" s="1"/>
  <c r="AQ15" i="103"/>
  <c r="C16" i="103"/>
  <c r="Q16" i="103"/>
  <c r="R16" i="103" s="1"/>
  <c r="S16" i="103" s="1"/>
  <c r="E16" i="103" s="1"/>
  <c r="AB16" i="103"/>
  <c r="AX16" i="103" s="1"/>
  <c r="AQ16" i="103"/>
  <c r="C17" i="103"/>
  <c r="Q17" i="103"/>
  <c r="R17" i="103" s="1"/>
  <c r="S17" i="103" s="1"/>
  <c r="E17" i="103" s="1"/>
  <c r="AB17" i="103"/>
  <c r="AX17" i="103" s="1"/>
  <c r="AQ17" i="103"/>
  <c r="C18" i="103"/>
  <c r="Q18" i="103"/>
  <c r="R18" i="103" s="1"/>
  <c r="S18" i="103" s="1"/>
  <c r="E18" i="103" s="1"/>
  <c r="AB18" i="103"/>
  <c r="AX18" i="103" s="1"/>
  <c r="AQ18" i="103"/>
  <c r="C19" i="103"/>
  <c r="Q19" i="103"/>
  <c r="R19" i="103" s="1"/>
  <c r="S19" i="103" s="1"/>
  <c r="E19" i="103" s="1"/>
  <c r="AB19" i="103"/>
  <c r="AX19" i="103" s="1"/>
  <c r="AQ19" i="103"/>
  <c r="C20" i="103"/>
  <c r="Q20" i="103"/>
  <c r="R20" i="103" s="1"/>
  <c r="S20" i="103" s="1"/>
  <c r="E20" i="103" s="1"/>
  <c r="AQ20" i="103"/>
  <c r="CR20" i="103"/>
  <c r="C21" i="103"/>
  <c r="Q21" i="103"/>
  <c r="AB21" i="103"/>
  <c r="AX21" i="103" s="1"/>
  <c r="AQ21" i="103"/>
  <c r="OY31" i="102"/>
  <c r="OY32" i="102"/>
  <c r="OY33" i="102"/>
  <c r="OY34" i="102"/>
  <c r="OY35" i="102"/>
  <c r="OY36" i="102"/>
  <c r="OY37" i="102"/>
  <c r="OY38" i="102"/>
  <c r="OY39" i="102"/>
  <c r="OY40" i="102"/>
  <c r="OY41" i="102" s="1"/>
  <c r="OY42" i="102" s="1"/>
  <c r="OY44" i="102" s="1"/>
  <c r="OS41" i="102"/>
  <c r="OS42" i="102" s="1"/>
  <c r="OS44" i="102" s="1"/>
  <c r="OT41" i="102"/>
  <c r="OT42" i="102" s="1"/>
  <c r="OT44" i="102" s="1"/>
  <c r="OU41" i="102"/>
  <c r="OU42" i="102" s="1"/>
  <c r="OU44" i="102" s="1"/>
  <c r="OV41" i="102"/>
  <c r="OV42" i="102" s="1"/>
  <c r="OV44" i="102" s="1"/>
  <c r="OW41" i="102"/>
  <c r="OW42" i="102" s="1"/>
  <c r="OW44" i="102" s="1"/>
  <c r="OX41" i="102"/>
  <c r="OX42" i="102" s="1"/>
  <c r="OX44" i="102" s="1"/>
  <c r="PG41" i="102"/>
  <c r="PG42" i="102" s="1"/>
  <c r="PG44" i="102" s="1"/>
  <c r="PH41" i="102"/>
  <c r="PH42" i="102" s="1"/>
  <c r="PH44" i="102" s="1"/>
  <c r="PJ41" i="102"/>
  <c r="PJ42" i="102" s="1"/>
  <c r="PJ44" i="102" s="1"/>
  <c r="PK41" i="102"/>
  <c r="PK42" i="102" s="1"/>
  <c r="PO41" i="102"/>
  <c r="PO42" i="102" s="1"/>
  <c r="PO44" i="102" s="1"/>
  <c r="PP41" i="102"/>
  <c r="PP42" i="102" s="1"/>
  <c r="PP44" i="102" s="1"/>
  <c r="PQ41" i="102"/>
  <c r="PQ42" i="102" s="1"/>
  <c r="PQ44" i="102" s="1"/>
  <c r="PR41" i="102"/>
  <c r="PR42" i="102" s="1"/>
  <c r="PR44" i="102" s="1"/>
  <c r="PS41" i="102"/>
  <c r="PU41" i="102"/>
  <c r="PU42" i="102" s="1"/>
  <c r="PU44" i="102" s="1"/>
  <c r="PW41" i="102"/>
  <c r="PW42" i="102" s="1"/>
  <c r="PW44" i="102" s="1"/>
  <c r="PZ41" i="102"/>
  <c r="OL44" i="102"/>
  <c r="PZ44" i="102"/>
  <c r="OR8" i="102"/>
  <c r="PF8" i="102"/>
  <c r="ON9" i="102"/>
  <c r="OP9" i="102"/>
  <c r="PF9" i="102"/>
  <c r="PM9" i="102"/>
  <c r="PN9" i="102"/>
  <c r="QE9" i="102"/>
  <c r="QE10" i="102" s="1"/>
  <c r="QE11" i="102" s="1"/>
  <c r="QE12" i="102" s="1"/>
  <c r="QE13" i="102" s="1"/>
  <c r="QE14" i="102" s="1"/>
  <c r="QE15" i="102" s="1"/>
  <c r="QE16" i="102" s="1"/>
  <c r="QE17" i="102" s="1"/>
  <c r="QE18" i="102" s="1"/>
  <c r="QE19" i="102" s="1"/>
  <c r="QE20" i="102" s="1"/>
  <c r="QE21" i="102" s="1"/>
  <c r="QE22" i="102" s="1"/>
  <c r="QE23" i="102" s="1"/>
  <c r="QE24" i="102" s="1"/>
  <c r="QE25" i="102" s="1"/>
  <c r="QE26" i="102" s="1"/>
  <c r="QE27" i="102" s="1"/>
  <c r="QE28" i="102" s="1"/>
  <c r="QE29" i="102" s="1"/>
  <c r="QE30" i="102" s="1"/>
  <c r="QE31" i="102" s="1"/>
  <c r="QE32" i="102" s="1"/>
  <c r="QE33" i="102" s="1"/>
  <c r="QE34" i="102" s="1"/>
  <c r="QE35" i="102" s="1"/>
  <c r="QE36" i="102" s="1"/>
  <c r="QE37" i="102" s="1"/>
  <c r="QE38" i="102" s="1"/>
  <c r="QE39" i="102" s="1"/>
  <c r="QE40" i="102" s="1"/>
  <c r="QE41" i="102" s="1"/>
  <c r="QE44" i="102" s="1"/>
  <c r="QF9" i="102"/>
  <c r="QG9" i="102"/>
  <c r="OK10" i="102"/>
  <c r="OK11" i="102" s="1"/>
  <c r="OK12" i="102" s="1"/>
  <c r="OK13" i="102" s="1"/>
  <c r="OK14" i="102" s="1"/>
  <c r="OK15" i="102" s="1"/>
  <c r="OK16" i="102" s="1"/>
  <c r="OK17" i="102" s="1"/>
  <c r="OK18" i="102" s="1"/>
  <c r="OK19" i="102" s="1"/>
  <c r="OK20" i="102" s="1"/>
  <c r="OK21" i="102" s="1"/>
  <c r="OK22" i="102" s="1"/>
  <c r="OK23" i="102" s="1"/>
  <c r="OK24" i="102" s="1"/>
  <c r="OK25" i="102" s="1"/>
  <c r="OK26" i="102" s="1"/>
  <c r="OK27" i="102" s="1"/>
  <c r="OK28" i="102" s="1"/>
  <c r="OK29" i="102" s="1"/>
  <c r="OK30" i="102" s="1"/>
  <c r="OK31" i="102" s="1"/>
  <c r="OK32" i="102" s="1"/>
  <c r="OK33" i="102" s="1"/>
  <c r="OK34" i="102" s="1"/>
  <c r="OK35" i="102" s="1"/>
  <c r="OK36" i="102" s="1"/>
  <c r="OK37" i="102" s="1"/>
  <c r="OK38" i="102" s="1"/>
  <c r="OK39" i="102" s="1"/>
  <c r="OK40" i="102" s="1"/>
  <c r="OK41" i="102" s="1"/>
  <c r="OK42" i="102" s="1"/>
  <c r="OM10" i="102"/>
  <c r="OM11" i="102" s="1"/>
  <c r="OM12" i="102" s="1"/>
  <c r="OM13" i="102" s="1"/>
  <c r="OM14" i="102" s="1"/>
  <c r="OM15" i="102" s="1"/>
  <c r="OM16" i="102" s="1"/>
  <c r="OM17" i="102" s="1"/>
  <c r="OM18" i="102" s="1"/>
  <c r="OM19" i="102" s="1"/>
  <c r="OM20" i="102" s="1"/>
  <c r="OM21" i="102" s="1"/>
  <c r="OM22" i="102" s="1"/>
  <c r="OM23" i="102" s="1"/>
  <c r="OM24" i="102" s="1"/>
  <c r="OM25" i="102" s="1"/>
  <c r="OM26" i="102" s="1"/>
  <c r="OM27" i="102" s="1"/>
  <c r="OM28" i="102" s="1"/>
  <c r="OM29" i="102" s="1"/>
  <c r="OM30" i="102" s="1"/>
  <c r="OM31" i="102" s="1"/>
  <c r="OM32" i="102" s="1"/>
  <c r="OM33" i="102" s="1"/>
  <c r="OM34" i="102" s="1"/>
  <c r="OM35" i="102" s="1"/>
  <c r="OM36" i="102" s="1"/>
  <c r="OM37" i="102" s="1"/>
  <c r="OM38" i="102" s="1"/>
  <c r="OM39" i="102" s="1"/>
  <c r="OM40" i="102" s="1"/>
  <c r="OM41" i="102" s="1"/>
  <c r="OM42" i="102" s="1"/>
  <c r="OO10" i="102"/>
  <c r="OO11" i="102" s="1"/>
  <c r="OO12" i="102" s="1"/>
  <c r="OO13" i="102" s="1"/>
  <c r="OO14" i="102" s="1"/>
  <c r="OO15" i="102" s="1"/>
  <c r="OO16" i="102" s="1"/>
  <c r="OO17" i="102" s="1"/>
  <c r="OO18" i="102" s="1"/>
  <c r="OO19" i="102" s="1"/>
  <c r="OO20" i="102" s="1"/>
  <c r="OO21" i="102" s="1"/>
  <c r="OO22" i="102" s="1"/>
  <c r="OO23" i="102" s="1"/>
  <c r="OO24" i="102" s="1"/>
  <c r="OO25" i="102" s="1"/>
  <c r="OO26" i="102" s="1"/>
  <c r="OO27" i="102" s="1"/>
  <c r="OO28" i="102" s="1"/>
  <c r="OO29" i="102" s="1"/>
  <c r="OO30" i="102" s="1"/>
  <c r="OO31" i="102" s="1"/>
  <c r="OO32" i="102" s="1"/>
  <c r="OO33" i="102" s="1"/>
  <c r="OO34" i="102" s="1"/>
  <c r="OO35" i="102" s="1"/>
  <c r="OO36" i="102" s="1"/>
  <c r="OO37" i="102" s="1"/>
  <c r="OO38" i="102" s="1"/>
  <c r="OO39" i="102" s="1"/>
  <c r="OO40" i="102" s="1"/>
  <c r="OO41" i="102" s="1"/>
  <c r="OO42" i="102" s="1"/>
  <c r="OQ10" i="102"/>
  <c r="OQ11" i="102" s="1"/>
  <c r="OQ12" i="102" s="1"/>
  <c r="OQ13" i="102" s="1"/>
  <c r="OQ14" i="102" s="1"/>
  <c r="OQ15" i="102" s="1"/>
  <c r="OQ16" i="102" s="1"/>
  <c r="OQ17" i="102" s="1"/>
  <c r="OQ18" i="102" s="1"/>
  <c r="OQ19" i="102" s="1"/>
  <c r="OQ20" i="102" s="1"/>
  <c r="OQ21" i="102" s="1"/>
  <c r="OQ22" i="102" s="1"/>
  <c r="OQ23" i="102" s="1"/>
  <c r="OQ24" i="102" s="1"/>
  <c r="OQ25" i="102" s="1"/>
  <c r="OQ26" i="102" s="1"/>
  <c r="OQ27" i="102" s="1"/>
  <c r="OQ28" i="102" s="1"/>
  <c r="OQ29" i="102" s="1"/>
  <c r="OQ30" i="102" s="1"/>
  <c r="OQ31" i="102" s="1"/>
  <c r="OQ32" i="102" s="1"/>
  <c r="OQ33" i="102" s="1"/>
  <c r="OQ34" i="102" s="1"/>
  <c r="OQ35" i="102" s="1"/>
  <c r="OQ36" i="102" s="1"/>
  <c r="OQ37" i="102" s="1"/>
  <c r="OQ38" i="102" s="1"/>
  <c r="OQ39" i="102" s="1"/>
  <c r="OQ40" i="102" s="1"/>
  <c r="OQ41" i="102" s="1"/>
  <c r="OQ42" i="102" s="1"/>
  <c r="OY10" i="102"/>
  <c r="OZ10" i="102"/>
  <c r="PA10" i="102"/>
  <c r="PA11" i="102" s="1"/>
  <c r="PA12" i="102" s="1"/>
  <c r="PA13" i="102" s="1"/>
  <c r="PA14" i="102" s="1"/>
  <c r="PA15" i="102" s="1"/>
  <c r="PA16" i="102" s="1"/>
  <c r="PA17" i="102" s="1"/>
  <c r="PA18" i="102" s="1"/>
  <c r="PA19" i="102" s="1"/>
  <c r="PA20" i="102" s="1"/>
  <c r="PA21" i="102" s="1"/>
  <c r="PA22" i="102" s="1"/>
  <c r="PA23" i="102" s="1"/>
  <c r="PA24" i="102" s="1"/>
  <c r="PA25" i="102" s="1"/>
  <c r="PA26" i="102" s="1"/>
  <c r="PA27" i="102" s="1"/>
  <c r="PA28" i="102" s="1"/>
  <c r="PA29" i="102" s="1"/>
  <c r="PA30" i="102" s="1"/>
  <c r="PA31" i="102" s="1"/>
  <c r="PA32" i="102" s="1"/>
  <c r="PA33" i="102" s="1"/>
  <c r="PA34" i="102" s="1"/>
  <c r="PA35" i="102" s="1"/>
  <c r="PA36" i="102" s="1"/>
  <c r="PA37" i="102" s="1"/>
  <c r="PA38" i="102" s="1"/>
  <c r="PA39" i="102" s="1"/>
  <c r="PA40" i="102" s="1"/>
  <c r="PA41" i="102" s="1"/>
  <c r="PA42" i="102" s="1"/>
  <c r="PA44" i="102" s="1"/>
  <c r="PB10" i="102"/>
  <c r="PB11" i="102" s="1"/>
  <c r="PB12" i="102" s="1"/>
  <c r="PB13" i="102" s="1"/>
  <c r="PB14" i="102" s="1"/>
  <c r="PB15" i="102" s="1"/>
  <c r="PB16" i="102" s="1"/>
  <c r="PB17" i="102" s="1"/>
  <c r="PB18" i="102" s="1"/>
  <c r="PB19" i="102" s="1"/>
  <c r="PB20" i="102" s="1"/>
  <c r="PB21" i="102" s="1"/>
  <c r="PB22" i="102" s="1"/>
  <c r="PB23" i="102" s="1"/>
  <c r="PB24" i="102" s="1"/>
  <c r="PB25" i="102" s="1"/>
  <c r="PB26" i="102" s="1"/>
  <c r="PB27" i="102" s="1"/>
  <c r="PB28" i="102" s="1"/>
  <c r="PB29" i="102" s="1"/>
  <c r="PB30" i="102" s="1"/>
  <c r="PB31" i="102" s="1"/>
  <c r="PB32" i="102" s="1"/>
  <c r="PB33" i="102" s="1"/>
  <c r="PB34" i="102" s="1"/>
  <c r="PB35" i="102" s="1"/>
  <c r="PB36" i="102" s="1"/>
  <c r="PB37" i="102" s="1"/>
  <c r="PB38" i="102" s="1"/>
  <c r="PB39" i="102" s="1"/>
  <c r="PB40" i="102" s="1"/>
  <c r="PB41" i="102" s="1"/>
  <c r="PB42" i="102" s="1"/>
  <c r="PB44" i="102" s="1"/>
  <c r="PC10" i="102"/>
  <c r="PC11" i="102" s="1"/>
  <c r="PC12" i="102" s="1"/>
  <c r="PC13" i="102" s="1"/>
  <c r="PC14" i="102" s="1"/>
  <c r="PC15" i="102" s="1"/>
  <c r="PC16" i="102" s="1"/>
  <c r="PC17" i="102" s="1"/>
  <c r="PC18" i="102" s="1"/>
  <c r="PC19" i="102" s="1"/>
  <c r="PC20" i="102" s="1"/>
  <c r="PC21" i="102" s="1"/>
  <c r="PC22" i="102" s="1"/>
  <c r="PC23" i="102" s="1"/>
  <c r="PC24" i="102" s="1"/>
  <c r="PC25" i="102" s="1"/>
  <c r="PC26" i="102" s="1"/>
  <c r="PC27" i="102" s="1"/>
  <c r="PC28" i="102" s="1"/>
  <c r="PC29" i="102" s="1"/>
  <c r="PC30" i="102" s="1"/>
  <c r="PC31" i="102" s="1"/>
  <c r="PC32" i="102" s="1"/>
  <c r="PC33" i="102" s="1"/>
  <c r="PC34" i="102" s="1"/>
  <c r="PC35" i="102" s="1"/>
  <c r="PC36" i="102" s="1"/>
  <c r="PC37" i="102" s="1"/>
  <c r="PC38" i="102" s="1"/>
  <c r="PC39" i="102" s="1"/>
  <c r="PC40" i="102" s="1"/>
  <c r="PC41" i="102" s="1"/>
  <c r="PC42" i="102" s="1"/>
  <c r="PC44" i="102" s="1"/>
  <c r="PD10" i="102"/>
  <c r="PD11" i="102" s="1"/>
  <c r="PD12" i="102" s="1"/>
  <c r="PD13" i="102" s="1"/>
  <c r="PD14" i="102" s="1"/>
  <c r="PD15" i="102" s="1"/>
  <c r="PD16" i="102" s="1"/>
  <c r="PD17" i="102" s="1"/>
  <c r="PD18" i="102" s="1"/>
  <c r="PD19" i="102" s="1"/>
  <c r="PD20" i="102" s="1"/>
  <c r="PD21" i="102" s="1"/>
  <c r="PD22" i="102" s="1"/>
  <c r="PD23" i="102" s="1"/>
  <c r="PD24" i="102" s="1"/>
  <c r="PD25" i="102" s="1"/>
  <c r="PD26" i="102" s="1"/>
  <c r="PD27" i="102" s="1"/>
  <c r="PD28" i="102" s="1"/>
  <c r="PD29" i="102" s="1"/>
  <c r="PD30" i="102" s="1"/>
  <c r="PD31" i="102" s="1"/>
  <c r="PD32" i="102" s="1"/>
  <c r="PD33" i="102" s="1"/>
  <c r="PD34" i="102" s="1"/>
  <c r="PD35" i="102" s="1"/>
  <c r="PD36" i="102" s="1"/>
  <c r="PD37" i="102" s="1"/>
  <c r="PD38" i="102" s="1"/>
  <c r="PD39" i="102" s="1"/>
  <c r="PD40" i="102" s="1"/>
  <c r="PD41" i="102" s="1"/>
  <c r="PD42" i="102" s="1"/>
  <c r="PD44" i="102" s="1"/>
  <c r="PE10" i="102"/>
  <c r="PE11" i="102" s="1"/>
  <c r="PE12" i="102" s="1"/>
  <c r="PE13" i="102" s="1"/>
  <c r="PE14" i="102" s="1"/>
  <c r="PE15" i="102" s="1"/>
  <c r="PE16" i="102" s="1"/>
  <c r="PE17" i="102" s="1"/>
  <c r="PE18" i="102" s="1"/>
  <c r="PE19" i="102" s="1"/>
  <c r="PE20" i="102" s="1"/>
  <c r="PE21" i="102" s="1"/>
  <c r="PE22" i="102" s="1"/>
  <c r="PE23" i="102" s="1"/>
  <c r="PE24" i="102" s="1"/>
  <c r="PE25" i="102" s="1"/>
  <c r="PE26" i="102" s="1"/>
  <c r="PE27" i="102" s="1"/>
  <c r="PE28" i="102" s="1"/>
  <c r="PE29" i="102" s="1"/>
  <c r="PE30" i="102" s="1"/>
  <c r="PE31" i="102" s="1"/>
  <c r="PE32" i="102" s="1"/>
  <c r="PE33" i="102" s="1"/>
  <c r="PE34" i="102" s="1"/>
  <c r="PE35" i="102" s="1"/>
  <c r="PE36" i="102" s="1"/>
  <c r="PE37" i="102" s="1"/>
  <c r="PE38" i="102" s="1"/>
  <c r="PE39" i="102" s="1"/>
  <c r="PE40" i="102" s="1"/>
  <c r="PE41" i="102" s="1"/>
  <c r="PE42" i="102" s="1"/>
  <c r="PE44" i="102" s="1"/>
  <c r="QH10" i="102"/>
  <c r="QH11" i="102" s="1"/>
  <c r="QH12" i="102" s="1"/>
  <c r="QH13" i="102" s="1"/>
  <c r="QH14" i="102" s="1"/>
  <c r="QH15" i="102" s="1"/>
  <c r="QH16" i="102" s="1"/>
  <c r="QH17" i="102" s="1"/>
  <c r="QH18" i="102" s="1"/>
  <c r="QH19" i="102" s="1"/>
  <c r="QH20" i="102" s="1"/>
  <c r="QH21" i="102" s="1"/>
  <c r="QH22" i="102" s="1"/>
  <c r="QH23" i="102" s="1"/>
  <c r="QH24" i="102" s="1"/>
  <c r="QH25" i="102" s="1"/>
  <c r="QH26" i="102" s="1"/>
  <c r="QH27" i="102" s="1"/>
  <c r="QH28" i="102" s="1"/>
  <c r="QH29" i="102" s="1"/>
  <c r="QH30" i="102" s="1"/>
  <c r="QH31" i="102" s="1"/>
  <c r="QH32" i="102" s="1"/>
  <c r="QH33" i="102" s="1"/>
  <c r="QH34" i="102" s="1"/>
  <c r="QH35" i="102" s="1"/>
  <c r="QH36" i="102" s="1"/>
  <c r="QH37" i="102" s="1"/>
  <c r="QH38" i="102" s="1"/>
  <c r="QH39" i="102" s="1"/>
  <c r="QH40" i="102" s="1"/>
  <c r="QH41" i="102" s="1"/>
  <c r="QH42" i="102" s="1"/>
  <c r="OY11" i="102"/>
  <c r="OY12" i="102"/>
  <c r="OY13" i="102"/>
  <c r="OY14" i="102"/>
  <c r="OY15" i="102"/>
  <c r="OY16" i="102"/>
  <c r="OY17" i="102"/>
  <c r="OY18" i="102"/>
  <c r="OY19" i="102"/>
  <c r="OY20" i="102"/>
  <c r="OY21" i="102"/>
  <c r="OY22" i="102"/>
  <c r="OY23" i="102"/>
  <c r="OY24" i="102"/>
  <c r="OY25" i="102"/>
  <c r="OY26" i="102"/>
  <c r="OY27" i="102"/>
  <c r="OY28" i="102"/>
  <c r="OY29" i="102"/>
  <c r="OY30" i="102"/>
  <c r="CX31" i="102"/>
  <c r="CZ31" i="102"/>
  <c r="DB31" i="102"/>
  <c r="EQ31" i="102"/>
  <c r="CX32" i="102"/>
  <c r="CZ32" i="102"/>
  <c r="DB32" i="102"/>
  <c r="EQ32" i="102"/>
  <c r="CX33" i="102"/>
  <c r="CZ33" i="102"/>
  <c r="DB33" i="102"/>
  <c r="EQ33" i="102"/>
  <c r="CX34" i="102"/>
  <c r="CZ34" i="102"/>
  <c r="DB34" i="102"/>
  <c r="EQ34" i="102"/>
  <c r="CX35" i="102"/>
  <c r="CZ35" i="102"/>
  <c r="DB35" i="102"/>
  <c r="EQ35" i="102"/>
  <c r="CX36" i="102"/>
  <c r="CZ36" i="102"/>
  <c r="DB36" i="102"/>
  <c r="EQ36" i="102"/>
  <c r="CX37" i="102"/>
  <c r="CZ37" i="102"/>
  <c r="DB37" i="102"/>
  <c r="EQ37" i="102"/>
  <c r="CX38" i="102"/>
  <c r="CZ38" i="102"/>
  <c r="DB38" i="102"/>
  <c r="EQ38" i="102"/>
  <c r="CX39" i="102"/>
  <c r="CZ39" i="102"/>
  <c r="DB39" i="102"/>
  <c r="EQ39" i="102"/>
  <c r="CX40" i="102"/>
  <c r="CZ40" i="102"/>
  <c r="DB40" i="102"/>
  <c r="EQ40" i="102"/>
  <c r="DD41" i="102"/>
  <c r="DD42" i="102" s="1"/>
  <c r="DD44" i="102" s="1"/>
  <c r="DE41" i="102"/>
  <c r="DE42" i="102" s="1"/>
  <c r="DE44" i="102" s="1"/>
  <c r="DG41" i="102"/>
  <c r="DG42" i="102" s="1"/>
  <c r="DG44" i="102" s="1"/>
  <c r="DI41" i="102"/>
  <c r="DI42" i="102" s="1"/>
  <c r="DI44" i="102" s="1"/>
  <c r="DN41" i="102"/>
  <c r="DN42" i="102" s="1"/>
  <c r="DO41" i="102"/>
  <c r="DO42" i="102" s="1"/>
  <c r="DO44" i="102" s="1"/>
  <c r="DP41" i="102"/>
  <c r="DP42" i="102" s="1"/>
  <c r="DR41" i="102"/>
  <c r="DR42" i="102" s="1"/>
  <c r="DR44" i="102" s="1"/>
  <c r="DT41" i="102"/>
  <c r="DT42" i="102" s="1"/>
  <c r="DT44" i="102" s="1"/>
  <c r="DV41" i="102"/>
  <c r="DV42" i="102" s="1"/>
  <c r="DV44" i="102" s="1"/>
  <c r="DX41" i="102"/>
  <c r="DX42" i="102" s="1"/>
  <c r="DX44" i="102" s="1"/>
  <c r="EE41" i="102"/>
  <c r="EE42" i="102" s="1"/>
  <c r="EE44" i="102" s="1"/>
  <c r="EF41" i="102"/>
  <c r="EF42" i="102" s="1"/>
  <c r="EG41" i="102"/>
  <c r="EG42" i="102" s="1"/>
  <c r="EH41" i="102"/>
  <c r="EI41" i="102"/>
  <c r="EI42" i="102" s="1"/>
  <c r="EI44" i="102" s="1"/>
  <c r="EK41" i="102"/>
  <c r="EK42" i="102" s="1"/>
  <c r="EK44" i="102" s="1"/>
  <c r="EL41" i="102"/>
  <c r="EL42" i="102" s="1"/>
  <c r="EM41" i="102"/>
  <c r="EM42" i="102" s="1"/>
  <c r="EM44" i="102" s="1"/>
  <c r="EO41" i="102"/>
  <c r="EO42" i="102" s="1"/>
  <c r="EO44" i="102" s="1"/>
  <c r="ER41" i="102"/>
  <c r="ER42" i="102" s="1"/>
  <c r="ER44" i="102" s="1"/>
  <c r="ES41" i="102"/>
  <c r="ES42" i="102" s="1"/>
  <c r="ES44" i="102" s="1"/>
  <c r="ET41" i="102"/>
  <c r="ET42" i="102" s="1"/>
  <c r="ET44" i="102" s="1"/>
  <c r="DW47" i="102"/>
  <c r="CX10" i="102"/>
  <c r="CZ10" i="102"/>
  <c r="DB10" i="102"/>
  <c r="EQ10" i="102"/>
  <c r="CX11" i="102"/>
  <c r="CZ11" i="102"/>
  <c r="DB11" i="102"/>
  <c r="EQ11" i="102"/>
  <c r="CX12" i="102"/>
  <c r="CZ12" i="102"/>
  <c r="DB12" i="102"/>
  <c r="EQ12" i="102"/>
  <c r="CX13" i="102"/>
  <c r="CZ13" i="102"/>
  <c r="DB13" i="102"/>
  <c r="EQ13" i="102"/>
  <c r="CX14" i="102"/>
  <c r="CZ14" i="102"/>
  <c r="DB14" i="102"/>
  <c r="EQ14" i="102"/>
  <c r="CX15" i="102"/>
  <c r="CZ15" i="102"/>
  <c r="DB15" i="102"/>
  <c r="EQ15" i="102"/>
  <c r="CX16" i="102"/>
  <c r="CZ16" i="102"/>
  <c r="DB16" i="102"/>
  <c r="EQ16" i="102"/>
  <c r="CX17" i="102"/>
  <c r="CZ17" i="102"/>
  <c r="DB17" i="102"/>
  <c r="EQ17" i="102"/>
  <c r="CX18" i="102"/>
  <c r="CZ18" i="102"/>
  <c r="DB18" i="102"/>
  <c r="EQ18" i="102"/>
  <c r="CX19" i="102"/>
  <c r="CZ19" i="102"/>
  <c r="DB19" i="102"/>
  <c r="EQ19" i="102"/>
  <c r="CX20" i="102"/>
  <c r="CZ20" i="102"/>
  <c r="DB20" i="102"/>
  <c r="EQ20" i="102"/>
  <c r="CX21" i="102"/>
  <c r="CZ21" i="102"/>
  <c r="DB21" i="102"/>
  <c r="EQ21" i="102"/>
  <c r="CX22" i="102"/>
  <c r="CZ22" i="102"/>
  <c r="DB22" i="102"/>
  <c r="EQ22" i="102"/>
  <c r="CX23" i="102"/>
  <c r="CZ23" i="102"/>
  <c r="DB23" i="102"/>
  <c r="EQ23" i="102"/>
  <c r="CX24" i="102"/>
  <c r="CZ24" i="102"/>
  <c r="DB24" i="102"/>
  <c r="EQ24" i="102"/>
  <c r="CX25" i="102"/>
  <c r="CZ25" i="102"/>
  <c r="DB25" i="102"/>
  <c r="EQ25" i="102"/>
  <c r="CX26" i="102"/>
  <c r="CZ26" i="102"/>
  <c r="DB26" i="102"/>
  <c r="EQ26" i="102"/>
  <c r="CX27" i="102"/>
  <c r="CZ27" i="102"/>
  <c r="DB27" i="102"/>
  <c r="EQ27" i="102"/>
  <c r="CX28" i="102"/>
  <c r="CZ28" i="102"/>
  <c r="DB28" i="102"/>
  <c r="EQ28" i="102"/>
  <c r="CX29" i="102"/>
  <c r="CZ29" i="102"/>
  <c r="DB29" i="102"/>
  <c r="EQ29" i="102"/>
  <c r="CX30" i="102"/>
  <c r="CZ30" i="102"/>
  <c r="DB30" i="102"/>
  <c r="EQ30" i="102"/>
  <c r="BY211" i="102"/>
  <c r="BM210" i="102"/>
  <c r="BP210" i="102"/>
  <c r="BV210" i="102"/>
  <c r="BB31" i="102"/>
  <c r="BH31" i="102"/>
  <c r="BK31" i="102"/>
  <c r="BQ31" i="102"/>
  <c r="BT31" i="102"/>
  <c r="BW31" i="102"/>
  <c r="BZ31" i="102"/>
  <c r="CC31" i="102"/>
  <c r="CF31" i="102"/>
  <c r="CM31" i="102"/>
  <c r="CQ31" i="102"/>
  <c r="CR31" i="102"/>
  <c r="CS31" i="102"/>
  <c r="CT31" i="102"/>
  <c r="CU31" i="102"/>
  <c r="CV31" i="102"/>
  <c r="BB32" i="102"/>
  <c r="BH32" i="102"/>
  <c r="BK32" i="102"/>
  <c r="BQ32" i="102"/>
  <c r="BT32" i="102"/>
  <c r="BW32" i="102"/>
  <c r="BZ32" i="102"/>
  <c r="CC32" i="102"/>
  <c r="CF32" i="102"/>
  <c r="CM32" i="102"/>
  <c r="CQ32" i="102"/>
  <c r="CR32" i="102"/>
  <c r="CS32" i="102"/>
  <c r="CT32" i="102"/>
  <c r="CU32" i="102"/>
  <c r="CV32" i="102"/>
  <c r="BB33" i="102"/>
  <c r="BH33" i="102"/>
  <c r="BK33" i="102"/>
  <c r="BQ33" i="102"/>
  <c r="BT33" i="102"/>
  <c r="BW33" i="102"/>
  <c r="BZ33" i="102"/>
  <c r="CC33" i="102"/>
  <c r="CF33" i="102"/>
  <c r="CM33" i="102"/>
  <c r="CQ33" i="102"/>
  <c r="CR33" i="102"/>
  <c r="CS33" i="102"/>
  <c r="CT33" i="102"/>
  <c r="CU33" i="102"/>
  <c r="CV33" i="102"/>
  <c r="BB34" i="102"/>
  <c r="BH34" i="102"/>
  <c r="BK34" i="102"/>
  <c r="BQ34" i="102"/>
  <c r="BT34" i="102"/>
  <c r="BW34" i="102"/>
  <c r="BZ34" i="102"/>
  <c r="CC34" i="102"/>
  <c r="CF34" i="102"/>
  <c r="CM34" i="102"/>
  <c r="CQ34" i="102"/>
  <c r="CR34" i="102"/>
  <c r="CS34" i="102"/>
  <c r="CT34" i="102"/>
  <c r="CU34" i="102"/>
  <c r="CV34" i="102"/>
  <c r="BB35" i="102"/>
  <c r="BH35" i="102"/>
  <c r="BK35" i="102"/>
  <c r="BQ35" i="102"/>
  <c r="BT35" i="102"/>
  <c r="BW35" i="102"/>
  <c r="BZ35" i="102"/>
  <c r="CC35" i="102"/>
  <c r="CF35" i="102"/>
  <c r="CM35" i="102"/>
  <c r="CQ35" i="102"/>
  <c r="CR35" i="102"/>
  <c r="CS35" i="102"/>
  <c r="CT35" i="102"/>
  <c r="CU35" i="102"/>
  <c r="CV35" i="102"/>
  <c r="BB36" i="102"/>
  <c r="BH36" i="102"/>
  <c r="BK36" i="102"/>
  <c r="BQ36" i="102"/>
  <c r="BT36" i="102"/>
  <c r="BW36" i="102"/>
  <c r="BZ36" i="102"/>
  <c r="CC36" i="102"/>
  <c r="CF36" i="102"/>
  <c r="CM36" i="102"/>
  <c r="CQ36" i="102"/>
  <c r="CR36" i="102"/>
  <c r="CS36" i="102"/>
  <c r="CT36" i="102"/>
  <c r="CU36" i="102"/>
  <c r="CV36" i="102"/>
  <c r="BB37" i="102"/>
  <c r="BH37" i="102"/>
  <c r="BK37" i="102"/>
  <c r="BQ37" i="102"/>
  <c r="BT37" i="102"/>
  <c r="BW37" i="102"/>
  <c r="BZ37" i="102"/>
  <c r="CC37" i="102"/>
  <c r="CF37" i="102"/>
  <c r="CM37" i="102"/>
  <c r="CQ37" i="102"/>
  <c r="CR37" i="102"/>
  <c r="CS37" i="102"/>
  <c r="CT37" i="102"/>
  <c r="CU37" i="102"/>
  <c r="CV37" i="102"/>
  <c r="BB38" i="102"/>
  <c r="BH38" i="102"/>
  <c r="BK38" i="102"/>
  <c r="BQ38" i="102"/>
  <c r="BT38" i="102"/>
  <c r="BW38" i="102"/>
  <c r="BZ38" i="102"/>
  <c r="CC38" i="102"/>
  <c r="CF38" i="102"/>
  <c r="CM38" i="102"/>
  <c r="CQ38" i="102"/>
  <c r="CR38" i="102"/>
  <c r="CS38" i="102"/>
  <c r="CT38" i="102"/>
  <c r="CU38" i="102"/>
  <c r="CV38" i="102"/>
  <c r="BB39" i="102"/>
  <c r="BH39" i="102"/>
  <c r="BK39" i="102"/>
  <c r="BQ39" i="102"/>
  <c r="BT39" i="102"/>
  <c r="BW39" i="102"/>
  <c r="BZ39" i="102"/>
  <c r="CC39" i="102"/>
  <c r="CF39" i="102"/>
  <c r="CM39" i="102"/>
  <c r="CQ39" i="102"/>
  <c r="CR39" i="102"/>
  <c r="CS39" i="102"/>
  <c r="CT39" i="102"/>
  <c r="CU39" i="102"/>
  <c r="CV39" i="102"/>
  <c r="BB40" i="102"/>
  <c r="BH40" i="102"/>
  <c r="BK40" i="102"/>
  <c r="BQ40" i="102"/>
  <c r="BT40" i="102"/>
  <c r="BW40" i="102"/>
  <c r="BZ40" i="102"/>
  <c r="CC40" i="102"/>
  <c r="CF40" i="102"/>
  <c r="CM40" i="102"/>
  <c r="CQ40" i="102"/>
  <c r="CR40" i="102"/>
  <c r="CS40" i="102"/>
  <c r="CT40" i="102"/>
  <c r="CU40" i="102"/>
  <c r="CV40" i="102"/>
  <c r="AZ41" i="102"/>
  <c r="AZ42" i="102" s="1"/>
  <c r="AZ44" i="102" s="1"/>
  <c r="BA41" i="102"/>
  <c r="BA42" i="102" s="1"/>
  <c r="BA44" i="102" s="1"/>
  <c r="BB41" i="102"/>
  <c r="BB42" i="102" s="1"/>
  <c r="BB44" i="102" s="1"/>
  <c r="BC41" i="102"/>
  <c r="BF41" i="102"/>
  <c r="BF42" i="102" s="1"/>
  <c r="BF44" i="102" s="1"/>
  <c r="BG41" i="102"/>
  <c r="BG42" i="102" s="1"/>
  <c r="BG44" i="102" s="1"/>
  <c r="BH41" i="102"/>
  <c r="BH42" i="102" s="1"/>
  <c r="BH44" i="102" s="1"/>
  <c r="BI41" i="102"/>
  <c r="BI42" i="102" s="1"/>
  <c r="BI44" i="102" s="1"/>
  <c r="BJ41" i="102"/>
  <c r="BJ42" i="102" s="1"/>
  <c r="BJ44" i="102" s="1"/>
  <c r="BK41" i="102"/>
  <c r="BK42" i="102" s="1"/>
  <c r="BL41" i="102"/>
  <c r="BO41" i="102"/>
  <c r="BO42" i="102" s="1"/>
  <c r="BO44" i="102" s="1"/>
  <c r="BP41" i="102"/>
  <c r="BP42" i="102" s="1"/>
  <c r="BP44" i="102" s="1"/>
  <c r="BQ41" i="102"/>
  <c r="BQ42" i="102" s="1"/>
  <c r="BR41" i="102"/>
  <c r="BR42" i="102" s="1"/>
  <c r="BS41" i="102"/>
  <c r="BS42" i="102" s="1"/>
  <c r="BS44" i="102" s="1"/>
  <c r="BT41" i="102"/>
  <c r="BT42" i="102" s="1"/>
  <c r="BU41" i="102"/>
  <c r="BV41" i="102"/>
  <c r="BW41" i="102"/>
  <c r="BW42" i="102" s="1"/>
  <c r="BX41" i="102"/>
  <c r="BX42" i="102" s="1"/>
  <c r="BY41" i="102"/>
  <c r="BY42" i="102" s="1"/>
  <c r="BY44" i="102" s="1"/>
  <c r="CA41" i="102"/>
  <c r="CB41" i="102"/>
  <c r="CD41" i="102"/>
  <c r="CE41" i="102"/>
  <c r="CE42" i="102" s="1"/>
  <c r="CE44" i="102" s="1"/>
  <c r="CG41" i="102"/>
  <c r="CG42" i="102" s="1"/>
  <c r="CG44" i="102" s="1"/>
  <c r="CH41" i="102"/>
  <c r="CH42" i="102" s="1"/>
  <c r="CH44" i="102" s="1"/>
  <c r="CI41" i="102"/>
  <c r="CI44" i="102" s="1"/>
  <c r="CJ41" i="102"/>
  <c r="CJ42" i="102" s="1"/>
  <c r="CJ44" i="102" s="1"/>
  <c r="CK41" i="102"/>
  <c r="CK44" i="102" s="1"/>
  <c r="CL41" i="102"/>
  <c r="CL42" i="102" s="1"/>
  <c r="CL44" i="102" s="1"/>
  <c r="CN41" i="102"/>
  <c r="CN42" i="102" s="1"/>
  <c r="CN44" i="102" s="1"/>
  <c r="CO41" i="102"/>
  <c r="CP41" i="102"/>
  <c r="CP42" i="102" s="1"/>
  <c r="CP44" i="102" s="1"/>
  <c r="AY43" i="102"/>
  <c r="BE43" i="102"/>
  <c r="BK43" i="102"/>
  <c r="BN43" i="102"/>
  <c r="BQ43" i="102"/>
  <c r="BT43" i="102"/>
  <c r="BW43" i="102"/>
  <c r="BZ43" i="102"/>
  <c r="CC43" i="102"/>
  <c r="CF43" i="102"/>
  <c r="CM43" i="102"/>
  <c r="CA44" i="102"/>
  <c r="CO44" i="102"/>
  <c r="AY45" i="102"/>
  <c r="AZ45" i="102"/>
  <c r="BA45" i="102"/>
  <c r="BB45" i="102"/>
  <c r="BC45" i="102"/>
  <c r="BD45" i="102"/>
  <c r="BE45" i="102"/>
  <c r="BF45" i="102"/>
  <c r="BG45" i="102"/>
  <c r="BH45" i="102"/>
  <c r="BI45" i="102"/>
  <c r="BJ45" i="102"/>
  <c r="BK45" i="102"/>
  <c r="BL45" i="102"/>
  <c r="BM45" i="102"/>
  <c r="BN45" i="102"/>
  <c r="BO45" i="102"/>
  <c r="BP45" i="102"/>
  <c r="BQ45" i="102"/>
  <c r="BR45" i="102"/>
  <c r="BS45" i="102"/>
  <c r="BT45" i="102"/>
  <c r="BU45" i="102"/>
  <c r="BV45" i="102"/>
  <c r="BW45" i="102"/>
  <c r="CD45" i="102"/>
  <c r="CE45" i="102"/>
  <c r="CF45" i="102"/>
  <c r="BM48" i="102"/>
  <c r="BV49" i="102"/>
  <c r="BC52" i="102"/>
  <c r="BF57" i="102"/>
  <c r="BF59" i="102" s="1"/>
  <c r="BF58" i="102"/>
  <c r="CI1" i="102"/>
  <c r="CB3" i="102"/>
  <c r="CD3" i="102"/>
  <c r="CE3" i="102"/>
  <c r="BB10" i="102"/>
  <c r="BH10" i="102"/>
  <c r="BK10" i="102"/>
  <c r="BQ10" i="102"/>
  <c r="BT10" i="102"/>
  <c r="BW10" i="102"/>
  <c r="BZ10" i="102"/>
  <c r="CC10" i="102"/>
  <c r="CF10" i="102"/>
  <c r="CM10" i="102"/>
  <c r="CQ10" i="102"/>
  <c r="CR10" i="102"/>
  <c r="CS10" i="102"/>
  <c r="CT10" i="102"/>
  <c r="CU10" i="102"/>
  <c r="CV10" i="102"/>
  <c r="BB11" i="102"/>
  <c r="BH11" i="102"/>
  <c r="BK11" i="102"/>
  <c r="BQ11" i="102"/>
  <c r="BT11" i="102"/>
  <c r="BW11" i="102"/>
  <c r="BZ11" i="102"/>
  <c r="CC11" i="102"/>
  <c r="CF11" i="102"/>
  <c r="CM11" i="102"/>
  <c r="CQ11" i="102"/>
  <c r="CR11" i="102"/>
  <c r="CS11" i="102"/>
  <c r="CT11" i="102"/>
  <c r="CU11" i="102"/>
  <c r="CV11" i="102"/>
  <c r="BB12" i="102"/>
  <c r="BH12" i="102"/>
  <c r="BK12" i="102"/>
  <c r="BQ12" i="102"/>
  <c r="BT12" i="102"/>
  <c r="BW12" i="102"/>
  <c r="BZ12" i="102"/>
  <c r="CC12" i="102"/>
  <c r="CF12" i="102"/>
  <c r="CM12" i="102"/>
  <c r="CQ12" i="102"/>
  <c r="CR12" i="102"/>
  <c r="CS12" i="102"/>
  <c r="CT12" i="102"/>
  <c r="CU12" i="102"/>
  <c r="CV12" i="102"/>
  <c r="BB13" i="102"/>
  <c r="BH13" i="102"/>
  <c r="BK13" i="102"/>
  <c r="BQ13" i="102"/>
  <c r="BT13" i="102"/>
  <c r="BW13" i="102"/>
  <c r="BZ13" i="102"/>
  <c r="CC13" i="102"/>
  <c r="CF13" i="102"/>
  <c r="CM13" i="102"/>
  <c r="CQ13" i="102"/>
  <c r="CR13" i="102"/>
  <c r="CS13" i="102"/>
  <c r="CT13" i="102"/>
  <c r="CU13" i="102"/>
  <c r="CV13" i="102"/>
  <c r="BB14" i="102"/>
  <c r="BH14" i="102"/>
  <c r="BK14" i="102"/>
  <c r="BQ14" i="102"/>
  <c r="BT14" i="102"/>
  <c r="BW14" i="102"/>
  <c r="BZ14" i="102"/>
  <c r="CC14" i="102"/>
  <c r="CF14" i="102"/>
  <c r="CM14" i="102"/>
  <c r="CQ14" i="102"/>
  <c r="CR14" i="102"/>
  <c r="CS14" i="102"/>
  <c r="CT14" i="102"/>
  <c r="CU14" i="102"/>
  <c r="CV14" i="102"/>
  <c r="BB15" i="102"/>
  <c r="BH15" i="102"/>
  <c r="BK15" i="102"/>
  <c r="BQ15" i="102"/>
  <c r="BT15" i="102"/>
  <c r="BW15" i="102"/>
  <c r="BZ15" i="102"/>
  <c r="CC15" i="102"/>
  <c r="CF15" i="102"/>
  <c r="CM15" i="102"/>
  <c r="CQ15" i="102"/>
  <c r="CR15" i="102"/>
  <c r="CS15" i="102"/>
  <c r="CT15" i="102"/>
  <c r="CU15" i="102"/>
  <c r="CV15" i="102"/>
  <c r="BB16" i="102"/>
  <c r="BH16" i="102"/>
  <c r="BK16" i="102"/>
  <c r="BQ16" i="102"/>
  <c r="BT16" i="102"/>
  <c r="BW16" i="102"/>
  <c r="BZ16" i="102"/>
  <c r="CC16" i="102"/>
  <c r="CF16" i="102"/>
  <c r="CM16" i="102"/>
  <c r="CQ16" i="102"/>
  <c r="CR16" i="102"/>
  <c r="CS16" i="102"/>
  <c r="CT16" i="102"/>
  <c r="CU16" i="102"/>
  <c r="CV16" i="102"/>
  <c r="BB17" i="102"/>
  <c r="BH17" i="102"/>
  <c r="BK17" i="102"/>
  <c r="BQ17" i="102"/>
  <c r="BT17" i="102"/>
  <c r="BW17" i="102"/>
  <c r="BZ17" i="102"/>
  <c r="CC17" i="102"/>
  <c r="CF17" i="102"/>
  <c r="CM17" i="102"/>
  <c r="CQ17" i="102"/>
  <c r="CR17" i="102"/>
  <c r="CS17" i="102"/>
  <c r="CT17" i="102"/>
  <c r="CU17" i="102"/>
  <c r="CV17" i="102"/>
  <c r="BB18" i="102"/>
  <c r="BH18" i="102"/>
  <c r="BK18" i="102"/>
  <c r="BQ18" i="102"/>
  <c r="BT18" i="102"/>
  <c r="BW18" i="102"/>
  <c r="BZ18" i="102"/>
  <c r="CC18" i="102"/>
  <c r="CF18" i="102"/>
  <c r="CM18" i="102"/>
  <c r="CQ18" i="102"/>
  <c r="CR18" i="102"/>
  <c r="CS18" i="102"/>
  <c r="CT18" i="102"/>
  <c r="CU18" i="102"/>
  <c r="CV18" i="102"/>
  <c r="BB19" i="102"/>
  <c r="BH19" i="102"/>
  <c r="BK19" i="102"/>
  <c r="BQ19" i="102"/>
  <c r="BT19" i="102"/>
  <c r="BW19" i="102"/>
  <c r="BZ19" i="102"/>
  <c r="CC19" i="102"/>
  <c r="CF19" i="102"/>
  <c r="CM19" i="102"/>
  <c r="CQ19" i="102"/>
  <c r="CR19" i="102"/>
  <c r="CS19" i="102"/>
  <c r="CT19" i="102"/>
  <c r="CU19" i="102"/>
  <c r="CV19" i="102"/>
  <c r="BB20" i="102"/>
  <c r="BH20" i="102"/>
  <c r="BK20" i="102"/>
  <c r="BQ20" i="102"/>
  <c r="BT20" i="102"/>
  <c r="BW20" i="102"/>
  <c r="BZ20" i="102"/>
  <c r="CC20" i="102"/>
  <c r="CF20" i="102"/>
  <c r="CM20" i="102"/>
  <c r="CQ20" i="102"/>
  <c r="CR20" i="102"/>
  <c r="CS20" i="102"/>
  <c r="CT20" i="102"/>
  <c r="CU20" i="102"/>
  <c r="CV20" i="102"/>
  <c r="BB21" i="102"/>
  <c r="BH21" i="102"/>
  <c r="BK21" i="102"/>
  <c r="BQ21" i="102"/>
  <c r="BT21" i="102"/>
  <c r="BW21" i="102"/>
  <c r="BZ21" i="102"/>
  <c r="CC21" i="102"/>
  <c r="CF21" i="102"/>
  <c r="CM21" i="102"/>
  <c r="CQ21" i="102"/>
  <c r="CR21" i="102"/>
  <c r="CS21" i="102"/>
  <c r="CT21" i="102"/>
  <c r="CU21" i="102"/>
  <c r="CV21" i="102"/>
  <c r="BB22" i="102"/>
  <c r="BH22" i="102"/>
  <c r="BK22" i="102"/>
  <c r="BQ22" i="102"/>
  <c r="BT22" i="102"/>
  <c r="BW22" i="102"/>
  <c r="BZ22" i="102"/>
  <c r="CC22" i="102"/>
  <c r="CF22" i="102"/>
  <c r="CM22" i="102"/>
  <c r="CQ22" i="102"/>
  <c r="CR22" i="102"/>
  <c r="CS22" i="102"/>
  <c r="CT22" i="102"/>
  <c r="CU22" i="102"/>
  <c r="CV22" i="102"/>
  <c r="BB23" i="102"/>
  <c r="BH23" i="102"/>
  <c r="BK23" i="102"/>
  <c r="BQ23" i="102"/>
  <c r="BT23" i="102"/>
  <c r="BW23" i="102"/>
  <c r="BZ23" i="102"/>
  <c r="CC23" i="102"/>
  <c r="CF23" i="102"/>
  <c r="CM23" i="102"/>
  <c r="CQ23" i="102"/>
  <c r="CR23" i="102"/>
  <c r="CS23" i="102"/>
  <c r="CT23" i="102"/>
  <c r="CU23" i="102"/>
  <c r="CV23" i="102"/>
  <c r="BB24" i="102"/>
  <c r="BH24" i="102"/>
  <c r="BK24" i="102"/>
  <c r="BQ24" i="102"/>
  <c r="BT24" i="102"/>
  <c r="BW24" i="102"/>
  <c r="BZ24" i="102"/>
  <c r="CC24" i="102"/>
  <c r="CF24" i="102"/>
  <c r="CM24" i="102"/>
  <c r="CQ24" i="102"/>
  <c r="CR24" i="102"/>
  <c r="CS24" i="102"/>
  <c r="CT24" i="102"/>
  <c r="CU24" i="102"/>
  <c r="CV24" i="102"/>
  <c r="BB25" i="102"/>
  <c r="BH25" i="102"/>
  <c r="BK25" i="102"/>
  <c r="BQ25" i="102"/>
  <c r="BT25" i="102"/>
  <c r="BW25" i="102"/>
  <c r="BZ25" i="102"/>
  <c r="CC25" i="102"/>
  <c r="CF25" i="102"/>
  <c r="CM25" i="102"/>
  <c r="CQ25" i="102"/>
  <c r="CR25" i="102"/>
  <c r="CS25" i="102"/>
  <c r="CT25" i="102"/>
  <c r="CU25" i="102"/>
  <c r="CV25" i="102"/>
  <c r="BB26" i="102"/>
  <c r="BH26" i="102"/>
  <c r="BK26" i="102"/>
  <c r="BQ26" i="102"/>
  <c r="BT26" i="102"/>
  <c r="BW26" i="102"/>
  <c r="BZ26" i="102"/>
  <c r="CC26" i="102"/>
  <c r="CF26" i="102"/>
  <c r="CM26" i="102"/>
  <c r="CQ26" i="102"/>
  <c r="CR26" i="102"/>
  <c r="CS26" i="102"/>
  <c r="CT26" i="102"/>
  <c r="CU26" i="102"/>
  <c r="CV26" i="102"/>
  <c r="BB27" i="102"/>
  <c r="BH27" i="102"/>
  <c r="BK27" i="102"/>
  <c r="BQ27" i="102"/>
  <c r="BT27" i="102"/>
  <c r="BW27" i="102"/>
  <c r="BZ27" i="102"/>
  <c r="CC27" i="102"/>
  <c r="CF27" i="102"/>
  <c r="CM27" i="102"/>
  <c r="CQ27" i="102"/>
  <c r="CR27" i="102"/>
  <c r="CS27" i="102"/>
  <c r="CT27" i="102"/>
  <c r="CU27" i="102"/>
  <c r="CV27" i="102"/>
  <c r="BB28" i="102"/>
  <c r="BH28" i="102"/>
  <c r="BK28" i="102"/>
  <c r="BQ28" i="102"/>
  <c r="BT28" i="102"/>
  <c r="BW28" i="102"/>
  <c r="BZ28" i="102"/>
  <c r="CC28" i="102"/>
  <c r="CF28" i="102"/>
  <c r="CM28" i="102"/>
  <c r="CQ28" i="102"/>
  <c r="CR28" i="102"/>
  <c r="CS28" i="102"/>
  <c r="CT28" i="102"/>
  <c r="CU28" i="102"/>
  <c r="CV28" i="102"/>
  <c r="BB29" i="102"/>
  <c r="BH29" i="102"/>
  <c r="BK29" i="102"/>
  <c r="BQ29" i="102"/>
  <c r="BT29" i="102"/>
  <c r="BW29" i="102"/>
  <c r="BZ29" i="102"/>
  <c r="CC29" i="102"/>
  <c r="CF29" i="102"/>
  <c r="CM29" i="102"/>
  <c r="CQ29" i="102"/>
  <c r="CR29" i="102"/>
  <c r="CS29" i="102"/>
  <c r="CT29" i="102"/>
  <c r="CU29" i="102"/>
  <c r="CV29" i="102"/>
  <c r="BB30" i="102"/>
  <c r="BH30" i="102"/>
  <c r="BK30" i="102"/>
  <c r="BQ30" i="102"/>
  <c r="BT30" i="102"/>
  <c r="BW30" i="102"/>
  <c r="BZ30" i="102"/>
  <c r="CC30" i="102"/>
  <c r="CF30" i="102"/>
  <c r="CM30" i="102"/>
  <c r="CQ30" i="102"/>
  <c r="CR30" i="102"/>
  <c r="CS30" i="102"/>
  <c r="CT30" i="102"/>
  <c r="CU30" i="102"/>
  <c r="CV30" i="102"/>
  <c r="PL10" i="102"/>
  <c r="PL11" i="102"/>
  <c r="PL12" i="102"/>
  <c r="PL13" i="102"/>
  <c r="PL14" i="102"/>
  <c r="PL15" i="102"/>
  <c r="PL16" i="102"/>
  <c r="PL17" i="102"/>
  <c r="PL18" i="102"/>
  <c r="PL19" i="102"/>
  <c r="PL20" i="102"/>
  <c r="PL21" i="102"/>
  <c r="PL22" i="102"/>
  <c r="PL23" i="102"/>
  <c r="PL24" i="102"/>
  <c r="PL25" i="102"/>
  <c r="PL26" i="102"/>
  <c r="PL27" i="102"/>
  <c r="PL28" i="102"/>
  <c r="PL29" i="102"/>
  <c r="PL30" i="102"/>
  <c r="PL31" i="102"/>
  <c r="PL32" i="102"/>
  <c r="PL33" i="102"/>
  <c r="PL34" i="102"/>
  <c r="PL35" i="102"/>
  <c r="PL36" i="102"/>
  <c r="PL37" i="102"/>
  <c r="PL38" i="102"/>
  <c r="PL39" i="102"/>
  <c r="PL40" i="102"/>
  <c r="OL10" i="102"/>
  <c r="OL17" i="102"/>
  <c r="HU10" i="102" a="1"/>
  <c r="HU10" i="102" s="1"/>
  <c r="HU11" i="102" a="1"/>
  <c r="HU11" i="102" s="1"/>
  <c r="HU12" i="102" a="1"/>
  <c r="HU12" i="102" s="1"/>
  <c r="HU13" i="102" a="1"/>
  <c r="HU13" i="102" s="1"/>
  <c r="HU14" i="102" a="1"/>
  <c r="HU14" i="102" s="1"/>
  <c r="HU15" i="102" a="1"/>
  <c r="HU15" i="102" s="1"/>
  <c r="HU16" i="102" a="1"/>
  <c r="HU16" i="102" s="1"/>
  <c r="HU17" i="102" a="1"/>
  <c r="HU17" i="102" s="1"/>
  <c r="HU18" i="102" a="1"/>
  <c r="HU18" i="102" s="1"/>
  <c r="HU19" i="102" a="1"/>
  <c r="HU19" i="102" s="1"/>
  <c r="HU20" i="102" a="1"/>
  <c r="HU20" i="102" s="1"/>
  <c r="HU21" i="102" a="1"/>
  <c r="HU21" i="102" s="1"/>
  <c r="HU22" i="102" a="1"/>
  <c r="HU22" i="102" s="1"/>
  <c r="HU23" i="102" a="1"/>
  <c r="HU23" i="102" s="1"/>
  <c r="HU24" i="102" a="1"/>
  <c r="HU24" i="102" s="1"/>
  <c r="HU25" i="102" a="1"/>
  <c r="HU25" i="102" s="1"/>
  <c r="HU26" i="102" a="1"/>
  <c r="HU26" i="102" s="1"/>
  <c r="HU27" i="102" a="1"/>
  <c r="HU27" i="102" s="1"/>
  <c r="HU28" i="102" a="1"/>
  <c r="HU28" i="102" s="1"/>
  <c r="HU29" i="102" a="1"/>
  <c r="HU29" i="102" s="1"/>
  <c r="HU30" i="102" a="1"/>
  <c r="HU30" i="102" s="1"/>
  <c r="HU31" i="102" a="1"/>
  <c r="HU31" i="102" s="1"/>
  <c r="HU32" i="102" a="1"/>
  <c r="HU32" i="102" s="1"/>
  <c r="HU33" i="102" a="1"/>
  <c r="HU33" i="102" s="1"/>
  <c r="HU34" i="102" a="1"/>
  <c r="HU34" i="102" s="1"/>
  <c r="HU35" i="102" a="1"/>
  <c r="HU35" i="102" s="1"/>
  <c r="HU36" i="102" a="1"/>
  <c r="HU36" i="102" s="1"/>
  <c r="HU37" i="102" a="1"/>
  <c r="HU37" i="102" s="1"/>
  <c r="HU38" i="102" a="1"/>
  <c r="HU38" i="102" s="1"/>
  <c r="HU39" i="102" a="1"/>
  <c r="HU39" i="102" s="1"/>
  <c r="HU40" i="102" a="1"/>
  <c r="HU40" i="102" s="1"/>
  <c r="HS10" i="102" a="1"/>
  <c r="HS10" i="102" s="1"/>
  <c r="HS11" i="102" a="1"/>
  <c r="HS11" i="102" s="1"/>
  <c r="HS12" i="102" a="1"/>
  <c r="HS12" i="102" s="1"/>
  <c r="HS13" i="102" a="1"/>
  <c r="HS13" i="102" s="1"/>
  <c r="HS14" i="102" a="1"/>
  <c r="HS14" i="102" s="1"/>
  <c r="HS15" i="102" a="1"/>
  <c r="HS15" i="102" s="1"/>
  <c r="HS16" i="102" a="1"/>
  <c r="HS16" i="102" s="1"/>
  <c r="HS17" i="102" a="1"/>
  <c r="HS17" i="102" s="1"/>
  <c r="HS18" i="102" a="1"/>
  <c r="HS18" i="102" s="1"/>
  <c r="HS19" i="102" a="1"/>
  <c r="HS19" i="102" s="1"/>
  <c r="HS20" i="102" a="1"/>
  <c r="HS20" i="102" s="1"/>
  <c r="HS21" i="102" a="1"/>
  <c r="HS21" i="102" s="1"/>
  <c r="HS22" i="102" a="1"/>
  <c r="HS22" i="102" s="1"/>
  <c r="HS23" i="102" a="1"/>
  <c r="HS23" i="102" s="1"/>
  <c r="HS24" i="102" a="1"/>
  <c r="HS24" i="102" s="1"/>
  <c r="HS25" i="102" a="1"/>
  <c r="HS25" i="102" s="1"/>
  <c r="HS26" i="102" a="1"/>
  <c r="HS26" i="102" s="1"/>
  <c r="HS27" i="102" a="1"/>
  <c r="HS27" i="102" s="1"/>
  <c r="HS28" i="102" a="1"/>
  <c r="HS28" i="102" s="1"/>
  <c r="HS29" i="102" a="1"/>
  <c r="HS29" i="102" s="1"/>
  <c r="HS30" i="102" a="1"/>
  <c r="HS30" i="102" s="1"/>
  <c r="HS31" i="102" a="1"/>
  <c r="HS31" i="102" s="1"/>
  <c r="HS32" i="102" a="1"/>
  <c r="HS32" i="102" s="1"/>
  <c r="HS33" i="102" a="1"/>
  <c r="HS33" i="102" s="1"/>
  <c r="HS34" i="102" a="1"/>
  <c r="HS34" i="102" s="1"/>
  <c r="HS35" i="102" a="1"/>
  <c r="HS35" i="102" s="1"/>
  <c r="HS36" i="102" a="1"/>
  <c r="HS36" i="102" s="1"/>
  <c r="HS37" i="102" a="1"/>
  <c r="HS37" i="102" s="1"/>
  <c r="HS38" i="102" a="1"/>
  <c r="HS38" i="102" s="1"/>
  <c r="HS39" i="102" a="1"/>
  <c r="HS39" i="102" s="1"/>
  <c r="HS40" i="102" a="1"/>
  <c r="HS40" i="102" s="1"/>
  <c r="NN10" i="102"/>
  <c r="AI11" i="125" l="1"/>
  <c r="AL11" i="125" s="1"/>
  <c r="AI11" i="127"/>
  <c r="AL11" i="127" s="1"/>
  <c r="NE21" i="124"/>
  <c r="NG20" i="124"/>
  <c r="MY20" i="124" s="1"/>
  <c r="NC29" i="122"/>
  <c r="NF28" i="122"/>
  <c r="MX28" i="122" s="1"/>
  <c r="AI11" i="121"/>
  <c r="AL11" i="121" s="1"/>
  <c r="AI11" i="123"/>
  <c r="AL11" i="123" s="1"/>
  <c r="AL14" i="123"/>
  <c r="QG15" i="122"/>
  <c r="NA14" i="122"/>
  <c r="NZ12" i="122"/>
  <c r="NO12" i="122"/>
  <c r="OQ38" i="116"/>
  <c r="AF29" i="118"/>
  <c r="AI11" i="112"/>
  <c r="AI11" i="117"/>
  <c r="AR11" i="117"/>
  <c r="AR12" i="117" s="1"/>
  <c r="AR13" i="117" s="1"/>
  <c r="AR14" i="117" s="1"/>
  <c r="AR15" i="117" s="1"/>
  <c r="AR16" i="117" s="1"/>
  <c r="AR17" i="117" s="1"/>
  <c r="AR18" i="117" s="1"/>
  <c r="AR19" i="117" s="1"/>
  <c r="AR20" i="117" s="1"/>
  <c r="AR21" i="117" s="1"/>
  <c r="AR22" i="117" s="1"/>
  <c r="AR23" i="117" s="1"/>
  <c r="AR24" i="117" s="1"/>
  <c r="AR25" i="117" s="1"/>
  <c r="AR26" i="117" s="1"/>
  <c r="AR27" i="117" s="1"/>
  <c r="AR28" i="117" s="1"/>
  <c r="AR29" i="117" s="1"/>
  <c r="AR30" i="117" s="1"/>
  <c r="AR31" i="117" s="1"/>
  <c r="AR32" i="117" s="1"/>
  <c r="AR33" i="117" s="1"/>
  <c r="AR34" i="117" s="1"/>
  <c r="AR35" i="117" s="1"/>
  <c r="AR36" i="117" s="1"/>
  <c r="AR37" i="117" s="1"/>
  <c r="AR38" i="117" s="1"/>
  <c r="AR39" i="117" s="1"/>
  <c r="AR40" i="117" s="1"/>
  <c r="AR41" i="117" s="1"/>
  <c r="AR42" i="117" s="1"/>
  <c r="AR43" i="117" s="1"/>
  <c r="AR44" i="117" s="1"/>
  <c r="RJ34" i="116"/>
  <c r="RM33" i="116"/>
  <c r="MZ23" i="116"/>
  <c r="PO24" i="116"/>
  <c r="OG27" i="116"/>
  <c r="QG27" i="116"/>
  <c r="NT27" i="116"/>
  <c r="NG27" i="116"/>
  <c r="QH24" i="116"/>
  <c r="NA23" i="116"/>
  <c r="PG26" i="116"/>
  <c r="PA27" i="116"/>
  <c r="AK12" i="103"/>
  <c r="AK13" i="103" s="1"/>
  <c r="AK14" i="103" s="1"/>
  <c r="AK15" i="103" s="1"/>
  <c r="AK16" i="103" s="1"/>
  <c r="AK17" i="103" s="1"/>
  <c r="AK18" i="103" s="1"/>
  <c r="AK19" i="103" s="1"/>
  <c r="AK20" i="103" s="1"/>
  <c r="AK21" i="103" s="1"/>
  <c r="AK22" i="103" s="1"/>
  <c r="AK23" i="103" s="1"/>
  <c r="AK24" i="103" s="1"/>
  <c r="AK25" i="103" s="1"/>
  <c r="AK26" i="103" s="1"/>
  <c r="AK27" i="103" s="1"/>
  <c r="AK28" i="103" s="1"/>
  <c r="AK29" i="103" s="1"/>
  <c r="AK30" i="103" s="1"/>
  <c r="AK31" i="103" s="1"/>
  <c r="AK32" i="103" s="1"/>
  <c r="AK33" i="103" s="1"/>
  <c r="AK34" i="103" s="1"/>
  <c r="AK35" i="103" s="1"/>
  <c r="AK36" i="103" s="1"/>
  <c r="AK37" i="103" s="1"/>
  <c r="AK38" i="103" s="1"/>
  <c r="AK39" i="103" s="1"/>
  <c r="AK40" i="103" s="1"/>
  <c r="AK41" i="103" s="1"/>
  <c r="AK42" i="103" s="1"/>
  <c r="OO9" i="111"/>
  <c r="OO10" i="111" s="1"/>
  <c r="OO11" i="111" s="1"/>
  <c r="OO12" i="111" s="1"/>
  <c r="OO13" i="111" s="1"/>
  <c r="OO14" i="111" s="1"/>
  <c r="OO15" i="111" s="1"/>
  <c r="OO16" i="111" s="1"/>
  <c r="OO17" i="111" s="1"/>
  <c r="OO18" i="111" s="1"/>
  <c r="OO19" i="111" s="1"/>
  <c r="OO20" i="111" s="1"/>
  <c r="OO21" i="111" s="1"/>
  <c r="OO22" i="111" s="1"/>
  <c r="OO23" i="111" s="1"/>
  <c r="OO24" i="111" s="1"/>
  <c r="OO25" i="111" s="1"/>
  <c r="OO26" i="111" s="1"/>
  <c r="OO27" i="111" s="1"/>
  <c r="OO28" i="111" s="1"/>
  <c r="OO29" i="111" s="1"/>
  <c r="OO30" i="111" s="1"/>
  <c r="OO31" i="111" s="1"/>
  <c r="OO32" i="111" s="1"/>
  <c r="OO33" i="111" s="1"/>
  <c r="OO34" i="111" s="1"/>
  <c r="OO35" i="111" s="1"/>
  <c r="OO36" i="111" s="1"/>
  <c r="OO37" i="111" s="1"/>
  <c r="OO38" i="111" s="1"/>
  <c r="OO39" i="111" s="1"/>
  <c r="OO40" i="111" s="1"/>
  <c r="OO41" i="111" s="1"/>
  <c r="OO42" i="111" s="1"/>
  <c r="OP9" i="116" s="1"/>
  <c r="OP10" i="116" s="1"/>
  <c r="OP11" i="116" s="1"/>
  <c r="OP12" i="116" s="1"/>
  <c r="OP13" i="116" s="1"/>
  <c r="OP14" i="116" s="1"/>
  <c r="OP15" i="116" s="1"/>
  <c r="OP16" i="116" s="1"/>
  <c r="OP17" i="116" s="1"/>
  <c r="OP18" i="116" s="1"/>
  <c r="OP19" i="116" s="1"/>
  <c r="OP20" i="116" s="1"/>
  <c r="OP21" i="116" s="1"/>
  <c r="OP22" i="116" s="1"/>
  <c r="OP23" i="116" s="1"/>
  <c r="OP24" i="116" s="1"/>
  <c r="OP25" i="116" s="1"/>
  <c r="OP26" i="116" s="1"/>
  <c r="OP27" i="116" s="1"/>
  <c r="OP28" i="116" s="1"/>
  <c r="OP29" i="116" s="1"/>
  <c r="OP30" i="116" s="1"/>
  <c r="OP31" i="116" s="1"/>
  <c r="OP32" i="116" s="1"/>
  <c r="OP33" i="116" s="1"/>
  <c r="OP34" i="116" s="1"/>
  <c r="OP35" i="116" s="1"/>
  <c r="OP36" i="116" s="1"/>
  <c r="OP37" i="116" s="1"/>
  <c r="OP38" i="116" s="1"/>
  <c r="OP39" i="116" s="1"/>
  <c r="OP40" i="116" s="1"/>
  <c r="OP41" i="116" s="1"/>
  <c r="OP42" i="116" s="1"/>
  <c r="OP9" i="120" s="1"/>
  <c r="OP10" i="120" s="1"/>
  <c r="OP11" i="120" s="1"/>
  <c r="OP12" i="120" s="1"/>
  <c r="OP13" i="120" s="1"/>
  <c r="OP14" i="120" s="1"/>
  <c r="OP15" i="120" s="1"/>
  <c r="OP16" i="120" s="1"/>
  <c r="OP17" i="120" s="1"/>
  <c r="OP18" i="120" s="1"/>
  <c r="OP19" i="120" s="1"/>
  <c r="OP20" i="120" s="1"/>
  <c r="OP21" i="120" s="1"/>
  <c r="OP22" i="120" s="1"/>
  <c r="OP23" i="120" s="1"/>
  <c r="OP24" i="120" s="1"/>
  <c r="OP25" i="120" s="1"/>
  <c r="OP26" i="120" s="1"/>
  <c r="OP27" i="120" s="1"/>
  <c r="OP28" i="120" s="1"/>
  <c r="OP29" i="120" s="1"/>
  <c r="OP30" i="120" s="1"/>
  <c r="OP31" i="120" s="1"/>
  <c r="OP32" i="120" s="1"/>
  <c r="OP33" i="120" s="1"/>
  <c r="OP34" i="120" s="1"/>
  <c r="OP35" i="120" s="1"/>
  <c r="OP36" i="120" s="1"/>
  <c r="OP37" i="120" s="1"/>
  <c r="OP38" i="120" s="1"/>
  <c r="OP39" i="120" s="1"/>
  <c r="OP40" i="120" s="1"/>
  <c r="OP41" i="120" s="1"/>
  <c r="OP42" i="120" s="1"/>
  <c r="OR42" i="102"/>
  <c r="BZ41" i="102"/>
  <c r="CB42" i="102"/>
  <c r="CB44" i="102" s="1"/>
  <c r="CC41" i="102"/>
  <c r="BK44" i="103"/>
  <c r="BK46" i="103" s="1"/>
  <c r="BK47" i="103" s="1"/>
  <c r="Z28" i="95"/>
  <c r="AJ17" i="112"/>
  <c r="NF44" i="111"/>
  <c r="RK22" i="111"/>
  <c r="RH23" i="111"/>
  <c r="NS17" i="111"/>
  <c r="NF16" i="111"/>
  <c r="QE15" i="111"/>
  <c r="PF14" i="111"/>
  <c r="OZ15" i="111"/>
  <c r="OF15" i="111"/>
  <c r="NX15" i="111"/>
  <c r="RK13" i="111"/>
  <c r="RH14" i="111"/>
  <c r="E42" i="111"/>
  <c r="E44" i="111" s="1"/>
  <c r="D44" i="111"/>
  <c r="MZ12" i="111"/>
  <c r="QF13" i="111"/>
  <c r="NN11" i="102"/>
  <c r="NN12" i="102" s="1"/>
  <c r="NN13" i="102" s="1"/>
  <c r="NN14" i="102" s="1"/>
  <c r="NN15" i="102" s="1"/>
  <c r="NN16" i="102" s="1"/>
  <c r="NN17" i="102" s="1"/>
  <c r="NN18" i="102" s="1"/>
  <c r="NN19" i="102" s="1"/>
  <c r="NN20" i="102" s="1"/>
  <c r="NN21" i="102" s="1"/>
  <c r="NN22" i="102" s="1"/>
  <c r="NN23" i="102" s="1"/>
  <c r="NN24" i="102" s="1"/>
  <c r="NN25" i="102" s="1"/>
  <c r="NN26" i="102" s="1"/>
  <c r="NN27" i="102" s="1"/>
  <c r="NN28" i="102" s="1"/>
  <c r="NN29" i="102" s="1"/>
  <c r="NN30" i="102" s="1"/>
  <c r="NN31" i="102" s="1"/>
  <c r="NN32" i="102" s="1"/>
  <c r="NN33" i="102" s="1"/>
  <c r="NN34" i="102" s="1"/>
  <c r="NN35" i="102" s="1"/>
  <c r="NN36" i="102" s="1"/>
  <c r="NN37" i="102" s="1"/>
  <c r="NN38" i="102" s="1"/>
  <c r="NN39" i="102" s="1"/>
  <c r="NN40" i="102" s="1"/>
  <c r="PF10" i="102"/>
  <c r="OZ11" i="102"/>
  <c r="OZ12" i="102" s="1"/>
  <c r="OZ13" i="102" s="1"/>
  <c r="CD42" i="102"/>
  <c r="CF41" i="102"/>
  <c r="CF42" i="102" s="1"/>
  <c r="CF44" i="102" s="1"/>
  <c r="AL11" i="103"/>
  <c r="Q43" i="103"/>
  <c r="AQ43" i="103"/>
  <c r="AQ44" i="103" s="1"/>
  <c r="BP43" i="103"/>
  <c r="BP44" i="103" s="1"/>
  <c r="BP46" i="103" s="1"/>
  <c r="BP47" i="103" s="1"/>
  <c r="D16" i="103"/>
  <c r="CN16" i="103" s="1"/>
  <c r="OR9" i="102"/>
  <c r="CS41" i="102"/>
  <c r="CS42" i="102" s="1"/>
  <c r="CS44" i="102" s="1"/>
  <c r="BK44" i="102"/>
  <c r="BQ44" i="102"/>
  <c r="BT44" i="102"/>
  <c r="BW44" i="102"/>
  <c r="CQ41" i="102"/>
  <c r="CQ42" i="102" s="1"/>
  <c r="CQ44" i="102" s="1"/>
  <c r="CU41" i="102"/>
  <c r="CU42" i="102" s="1"/>
  <c r="CU44" i="102" s="1"/>
  <c r="J107" i="107"/>
  <c r="CM41" i="102"/>
  <c r="CM44" i="102" s="1"/>
  <c r="C43" i="103"/>
  <c r="C44" i="103" s="1"/>
  <c r="Z5" i="95" s="1"/>
  <c r="OL11" i="102"/>
  <c r="OL12" i="102" s="1"/>
  <c r="OL13" i="102" s="1"/>
  <c r="OL14" i="102" s="1"/>
  <c r="D20" i="103"/>
  <c r="CN20" i="103" s="1"/>
  <c r="D23" i="103"/>
  <c r="CN23" i="103" s="1"/>
  <c r="D26" i="103"/>
  <c r="CN26" i="103" s="1"/>
  <c r="D31" i="103"/>
  <c r="CN31" i="103" s="1"/>
  <c r="D42" i="103"/>
  <c r="CN42" i="103" s="1"/>
  <c r="D36" i="103"/>
  <c r="CN36" i="103" s="1"/>
  <c r="D15" i="103"/>
  <c r="CN15" i="103" s="1"/>
  <c r="D39" i="103"/>
  <c r="CN39" i="103" s="1"/>
  <c r="D24" i="103"/>
  <c r="CN24" i="103" s="1"/>
  <c r="D29" i="103"/>
  <c r="CN29" i="103" s="1"/>
  <c r="D37" i="103"/>
  <c r="CN37" i="103" s="1"/>
  <c r="D32" i="103"/>
  <c r="CN32" i="103" s="1"/>
  <c r="D17" i="103"/>
  <c r="CN17" i="103" s="1"/>
  <c r="D18" i="103"/>
  <c r="CN18" i="103" s="1"/>
  <c r="D19" i="103"/>
  <c r="CN19" i="103" s="1"/>
  <c r="D22" i="103"/>
  <c r="CN22" i="103" s="1"/>
  <c r="D28" i="103"/>
  <c r="CN28" i="103" s="1"/>
  <c r="AR6" i="103"/>
  <c r="D12" i="103"/>
  <c r="CN12" i="103" s="1"/>
  <c r="D40" i="103"/>
  <c r="CN40" i="103" s="1"/>
  <c r="D33" i="103"/>
  <c r="CN33" i="103" s="1"/>
  <c r="D27" i="103"/>
  <c r="CN27" i="103" s="1"/>
  <c r="D34" i="103"/>
  <c r="CN34" i="103" s="1"/>
  <c r="D14" i="103"/>
  <c r="CN14" i="103" s="1"/>
  <c r="D38" i="103"/>
  <c r="CN38" i="103" s="1"/>
  <c r="D13" i="103"/>
  <c r="CN13" i="103" s="1"/>
  <c r="D35" i="103"/>
  <c r="CN35" i="103" s="1"/>
  <c r="D25" i="103"/>
  <c r="CN25" i="103" s="1"/>
  <c r="D30" i="103"/>
  <c r="CN30" i="103" s="1"/>
  <c r="D41" i="103"/>
  <c r="CN41" i="103" s="1"/>
  <c r="AY41" i="102"/>
  <c r="AY42" i="102" s="1"/>
  <c r="AY44" i="102" s="1"/>
  <c r="AY10" i="102"/>
  <c r="CR30" i="103"/>
  <c r="AB12" i="103"/>
  <c r="AX12" i="103" s="1"/>
  <c r="AA43" i="103"/>
  <c r="AA44" i="103" s="1"/>
  <c r="AB38" i="103"/>
  <c r="AX38" i="103" s="1"/>
  <c r="AE43" i="103"/>
  <c r="CR39" i="103"/>
  <c r="CR40" i="103"/>
  <c r="CR41" i="103"/>
  <c r="CR42" i="103"/>
  <c r="AF43" i="103"/>
  <c r="AF44" i="103" s="1"/>
  <c r="AB22" i="103"/>
  <c r="AX22" i="103" s="1"/>
  <c r="CR23" i="103"/>
  <c r="CR24" i="103"/>
  <c r="CR25" i="103"/>
  <c r="CR26" i="103"/>
  <c r="CR27" i="103"/>
  <c r="CR28" i="103"/>
  <c r="CR29" i="103"/>
  <c r="CR31" i="103"/>
  <c r="CR32" i="103"/>
  <c r="CR33" i="103"/>
  <c r="CR34" i="103"/>
  <c r="CR35" i="103"/>
  <c r="CR36" i="103"/>
  <c r="CR37" i="103"/>
  <c r="AB13" i="103"/>
  <c r="AX13" i="103" s="1"/>
  <c r="CR14" i="103"/>
  <c r="CR15" i="103"/>
  <c r="CR16" i="103"/>
  <c r="CR17" i="103"/>
  <c r="CR18" i="103"/>
  <c r="CR19" i="103"/>
  <c r="R21" i="103"/>
  <c r="D21" i="103"/>
  <c r="CR21" i="103"/>
  <c r="OL18" i="102"/>
  <c r="OL19" i="102" s="1"/>
  <c r="OL20" i="102" s="1"/>
  <c r="OL21" i="102" s="1"/>
  <c r="OL22" i="102" s="1"/>
  <c r="OL23" i="102" s="1"/>
  <c r="OL24" i="102" s="1"/>
  <c r="OL25" i="102" s="1"/>
  <c r="OL26" i="102" s="1"/>
  <c r="OL27" i="102" s="1"/>
  <c r="OL28" i="102" s="1"/>
  <c r="OL29" i="102" s="1"/>
  <c r="OL30" i="102" s="1"/>
  <c r="OL31" i="102" s="1"/>
  <c r="OL32" i="102" s="1"/>
  <c r="OL33" i="102" s="1"/>
  <c r="OL34" i="102" s="1"/>
  <c r="OL35" i="102" s="1"/>
  <c r="OL36" i="102" s="1"/>
  <c r="OL37" i="102" s="1"/>
  <c r="OL38" i="102" s="1"/>
  <c r="OL39" i="102" s="1"/>
  <c r="OL40" i="102" s="1"/>
  <c r="OL41" i="102" s="1"/>
  <c r="PN10" i="102"/>
  <c r="PN11" i="102" s="1"/>
  <c r="PN12" i="102" s="1"/>
  <c r="PN13" i="102" s="1"/>
  <c r="PN14" i="102" s="1"/>
  <c r="PN15" i="102" s="1"/>
  <c r="PN16" i="102" s="1"/>
  <c r="PN17" i="102" s="1"/>
  <c r="PN18" i="102" s="1"/>
  <c r="PN19" i="102" s="1"/>
  <c r="PN20" i="102" s="1"/>
  <c r="PN21" i="102" s="1"/>
  <c r="PN22" i="102" s="1"/>
  <c r="PN23" i="102" s="1"/>
  <c r="PN24" i="102" s="1"/>
  <c r="PN25" i="102" s="1"/>
  <c r="PN26" i="102" s="1"/>
  <c r="PN27" i="102" s="1"/>
  <c r="PN28" i="102" s="1"/>
  <c r="PN29" i="102" s="1"/>
  <c r="PN30" i="102" s="1"/>
  <c r="PN31" i="102" s="1"/>
  <c r="PN32" i="102" s="1"/>
  <c r="PN33" i="102" s="1"/>
  <c r="PN34" i="102" s="1"/>
  <c r="PN35" i="102" s="1"/>
  <c r="PN36" i="102" s="1"/>
  <c r="PN37" i="102" s="1"/>
  <c r="PN38" i="102" s="1"/>
  <c r="PN39" i="102" s="1"/>
  <c r="PN40" i="102" s="1"/>
  <c r="PN41" i="102" s="1"/>
  <c r="PL41" i="102"/>
  <c r="PL42" i="102" s="1"/>
  <c r="EQ41" i="102"/>
  <c r="EQ42" i="102" s="1"/>
  <c r="EQ44" i="102" s="1"/>
  <c r="PI41" i="102"/>
  <c r="PI42" i="102" s="1"/>
  <c r="PI44" i="102" s="1"/>
  <c r="PY10" i="102"/>
  <c r="PY41" i="102" s="1"/>
  <c r="PY42" i="102" s="1"/>
  <c r="PY44" i="102" s="1"/>
  <c r="PM10" i="102"/>
  <c r="PM11" i="102" s="1"/>
  <c r="PM12" i="102" s="1"/>
  <c r="PM13" i="102" s="1"/>
  <c r="PM14" i="102" s="1"/>
  <c r="PM15" i="102" s="1"/>
  <c r="PM16" i="102" s="1"/>
  <c r="PM17" i="102" s="1"/>
  <c r="PM18" i="102" s="1"/>
  <c r="PM19" i="102" s="1"/>
  <c r="PM20" i="102" s="1"/>
  <c r="PM21" i="102" s="1"/>
  <c r="PM22" i="102" s="1"/>
  <c r="PM23" i="102" s="1"/>
  <c r="PM24" i="102" s="1"/>
  <c r="PM25" i="102" s="1"/>
  <c r="PM26" i="102" s="1"/>
  <c r="PM27" i="102" s="1"/>
  <c r="PM28" i="102" s="1"/>
  <c r="PM29" i="102" s="1"/>
  <c r="PM30" i="102" s="1"/>
  <c r="PM31" i="102" s="1"/>
  <c r="PM32" i="102" s="1"/>
  <c r="PM33" i="102" s="1"/>
  <c r="PM34" i="102" s="1"/>
  <c r="PM35" i="102" s="1"/>
  <c r="PM36" i="102" s="1"/>
  <c r="PM37" i="102" s="1"/>
  <c r="PM38" i="102" s="1"/>
  <c r="PM39" i="102" s="1"/>
  <c r="PM40" i="102" s="1"/>
  <c r="PM41" i="102" s="1"/>
  <c r="PV41" i="102"/>
  <c r="PV42" i="102" s="1"/>
  <c r="PX10" i="102"/>
  <c r="DQ31" i="102"/>
  <c r="CW31" i="102"/>
  <c r="DQ32" i="102"/>
  <c r="CW32" i="102"/>
  <c r="CW33" i="102"/>
  <c r="DQ33" i="102"/>
  <c r="CW34" i="102"/>
  <c r="DQ34" i="102"/>
  <c r="DQ35" i="102"/>
  <c r="CW35" i="102"/>
  <c r="DQ36" i="102"/>
  <c r="CW36" i="102"/>
  <c r="CW37" i="102"/>
  <c r="DQ37" i="102"/>
  <c r="DQ38" i="102"/>
  <c r="CW38" i="102"/>
  <c r="DQ39" i="102"/>
  <c r="CW39" i="102"/>
  <c r="DQ40" i="102"/>
  <c r="CW40" i="102"/>
  <c r="CW10" i="102"/>
  <c r="DQ10" i="102"/>
  <c r="DK41" i="102"/>
  <c r="DK42" i="102" s="1"/>
  <c r="DK44" i="102" s="1"/>
  <c r="CY10" i="102"/>
  <c r="DM41" i="102"/>
  <c r="DM42" i="102" s="1"/>
  <c r="DM44" i="102" s="1"/>
  <c r="DZ41" i="102"/>
  <c r="DZ42" i="102" s="1"/>
  <c r="DZ44" i="102" s="1"/>
  <c r="ED10" i="102"/>
  <c r="ON10" i="102"/>
  <c r="ON11" i="102" s="1"/>
  <c r="ON12" i="102" s="1"/>
  <c r="ON13" i="102" s="1"/>
  <c r="ON14" i="102" s="1"/>
  <c r="ON15" i="102" s="1"/>
  <c r="ON16" i="102" s="1"/>
  <c r="ON17" i="102" s="1"/>
  <c r="ON18" i="102" s="1"/>
  <c r="ON19" i="102" s="1"/>
  <c r="ON20" i="102" s="1"/>
  <c r="ON21" i="102" s="1"/>
  <c r="ON22" i="102" s="1"/>
  <c r="ON23" i="102" s="1"/>
  <c r="ON24" i="102" s="1"/>
  <c r="ON25" i="102" s="1"/>
  <c r="ON26" i="102" s="1"/>
  <c r="ON27" i="102" s="1"/>
  <c r="ON28" i="102" s="1"/>
  <c r="ON29" i="102" s="1"/>
  <c r="ON30" i="102" s="1"/>
  <c r="ON31" i="102" s="1"/>
  <c r="ON32" i="102" s="1"/>
  <c r="ON33" i="102" s="1"/>
  <c r="ON34" i="102" s="1"/>
  <c r="ON35" i="102" s="1"/>
  <c r="ON36" i="102" s="1"/>
  <c r="ON37" i="102" s="1"/>
  <c r="ON38" i="102" s="1"/>
  <c r="ON39" i="102" s="1"/>
  <c r="ON40" i="102" s="1"/>
  <c r="ON41" i="102" s="1"/>
  <c r="OP10" i="102"/>
  <c r="OP11" i="102" s="1"/>
  <c r="OP12" i="102" s="1"/>
  <c r="OP13" i="102" s="1"/>
  <c r="OP14" i="102" s="1"/>
  <c r="OP15" i="102" s="1"/>
  <c r="OP16" i="102" s="1"/>
  <c r="OP17" i="102" s="1"/>
  <c r="OP18" i="102" s="1"/>
  <c r="OP19" i="102" s="1"/>
  <c r="OP20" i="102" s="1"/>
  <c r="OP21" i="102" s="1"/>
  <c r="OP22" i="102" s="1"/>
  <c r="OP23" i="102" s="1"/>
  <c r="OP24" i="102" s="1"/>
  <c r="OP25" i="102" s="1"/>
  <c r="OP26" i="102" s="1"/>
  <c r="OP27" i="102" s="1"/>
  <c r="OP28" i="102" s="1"/>
  <c r="OP29" i="102" s="1"/>
  <c r="OP30" i="102" s="1"/>
  <c r="OP31" i="102" s="1"/>
  <c r="OP32" i="102" s="1"/>
  <c r="OP33" i="102" s="1"/>
  <c r="OP34" i="102" s="1"/>
  <c r="OP35" i="102" s="1"/>
  <c r="OP36" i="102" s="1"/>
  <c r="OP37" i="102" s="1"/>
  <c r="OP38" i="102" s="1"/>
  <c r="OP39" i="102" s="1"/>
  <c r="OP40" i="102" s="1"/>
  <c r="OP41" i="102" s="1"/>
  <c r="DA10" i="102"/>
  <c r="DA41" i="102" s="1"/>
  <c r="DA42" i="102" s="1"/>
  <c r="DA44" i="102" s="1"/>
  <c r="EB41" i="102"/>
  <c r="EB42" i="102" s="1"/>
  <c r="EB44" i="102" s="1"/>
  <c r="CW11" i="102"/>
  <c r="DQ11" i="102"/>
  <c r="CW12" i="102"/>
  <c r="DQ12" i="102"/>
  <c r="CW13" i="102"/>
  <c r="DQ13" i="102"/>
  <c r="DQ14" i="102"/>
  <c r="CW14" i="102"/>
  <c r="CW15" i="102"/>
  <c r="DQ15" i="102"/>
  <c r="CW16" i="102"/>
  <c r="DQ16" i="102"/>
  <c r="CW17" i="102"/>
  <c r="DQ17" i="102"/>
  <c r="CW18" i="102"/>
  <c r="DQ18" i="102"/>
  <c r="CW19" i="102"/>
  <c r="DQ19" i="102"/>
  <c r="CW20" i="102"/>
  <c r="DQ20" i="102"/>
  <c r="DQ21" i="102"/>
  <c r="CW21" i="102"/>
  <c r="CW22" i="102"/>
  <c r="DQ22" i="102"/>
  <c r="CW23" i="102"/>
  <c r="DQ23" i="102"/>
  <c r="CW24" i="102"/>
  <c r="DQ24" i="102"/>
  <c r="DQ25" i="102"/>
  <c r="CW25" i="102"/>
  <c r="DQ26" i="102"/>
  <c r="CW26" i="102"/>
  <c r="CW27" i="102"/>
  <c r="DQ27" i="102"/>
  <c r="DQ28" i="102"/>
  <c r="CW28" i="102"/>
  <c r="DQ29" i="102"/>
  <c r="CW29" i="102"/>
  <c r="DQ30" i="102"/>
  <c r="CW30" i="102"/>
  <c r="BC48" i="102"/>
  <c r="BC44" i="102"/>
  <c r="BL48" i="102"/>
  <c r="BL44" i="102"/>
  <c r="BR48" i="102"/>
  <c r="BR44" i="102"/>
  <c r="BU48" i="102"/>
  <c r="BU44" i="102"/>
  <c r="BV44" i="102"/>
  <c r="BV48" i="102"/>
  <c r="BX48" i="102"/>
  <c r="BX44" i="102"/>
  <c r="BZ42" i="102"/>
  <c r="BZ44" i="102" s="1"/>
  <c r="BE41" i="102"/>
  <c r="BE42" i="102" s="1"/>
  <c r="BE44" i="102" s="1"/>
  <c r="BD41" i="102"/>
  <c r="BD42" i="102" s="1"/>
  <c r="BD44" i="102" s="1"/>
  <c r="BE12" i="102"/>
  <c r="BN41" i="102"/>
  <c r="BN42" i="102" s="1"/>
  <c r="BN44" i="102" s="1"/>
  <c r="BM41" i="102"/>
  <c r="BN12" i="102"/>
  <c r="CY31" i="102"/>
  <c r="ED31" i="102"/>
  <c r="CY32" i="102"/>
  <c r="ED32" i="102"/>
  <c r="CY33" i="102"/>
  <c r="ED33" i="102"/>
  <c r="CY34" i="102"/>
  <c r="ED34" i="102"/>
  <c r="CY35" i="102"/>
  <c r="ED35" i="102"/>
  <c r="CY36" i="102"/>
  <c r="ED36" i="102"/>
  <c r="CY37" i="102"/>
  <c r="ED37" i="102"/>
  <c r="CY38" i="102"/>
  <c r="ED38" i="102"/>
  <c r="CY39" i="102"/>
  <c r="ED39" i="102"/>
  <c r="CY40" i="102"/>
  <c r="ED40" i="102"/>
  <c r="CY11" i="102"/>
  <c r="ED11" i="102"/>
  <c r="CY12" i="102"/>
  <c r="ED12" i="102"/>
  <c r="CY13" i="102"/>
  <c r="ED13" i="102"/>
  <c r="CY14" i="102"/>
  <c r="ED14" i="102"/>
  <c r="CY15" i="102"/>
  <c r="ED15" i="102"/>
  <c r="CY16" i="102"/>
  <c r="ED16" i="102"/>
  <c r="CY17" i="102"/>
  <c r="ED17" i="102"/>
  <c r="CY18" i="102"/>
  <c r="ED18" i="102"/>
  <c r="CY19" i="102"/>
  <c r="ED19" i="102"/>
  <c r="CY20" i="102"/>
  <c r="ED20" i="102"/>
  <c r="CY21" i="102"/>
  <c r="ED21" i="102"/>
  <c r="CY22" i="102"/>
  <c r="ED22" i="102"/>
  <c r="CY23" i="102"/>
  <c r="ED23" i="102"/>
  <c r="CY24" i="102"/>
  <c r="ED24" i="102"/>
  <c r="CY25" i="102"/>
  <c r="ED25" i="102"/>
  <c r="CY26" i="102"/>
  <c r="ED26" i="102"/>
  <c r="CY27" i="102"/>
  <c r="ED27" i="102"/>
  <c r="CY28" i="102"/>
  <c r="ED28" i="102"/>
  <c r="CY29" i="102"/>
  <c r="ED29" i="102"/>
  <c r="CY30" i="102"/>
  <c r="ED30" i="102"/>
  <c r="AX41" i="102"/>
  <c r="AX42" i="102" s="1"/>
  <c r="OQ9" i="124" l="1"/>
  <c r="OQ9" i="126"/>
  <c r="OQ10" i="124"/>
  <c r="OT9" i="124"/>
  <c r="NE22" i="124"/>
  <c r="NG21" i="124"/>
  <c r="MY21" i="124" s="1"/>
  <c r="NF29" i="122"/>
  <c r="MX29" i="122" s="1"/>
  <c r="OP9" i="122"/>
  <c r="OP10" i="122" s="1"/>
  <c r="OP11" i="122" s="1"/>
  <c r="OP12" i="122" s="1"/>
  <c r="OP13" i="122" s="1"/>
  <c r="OP14" i="122" s="1"/>
  <c r="OP15" i="122" s="1"/>
  <c r="OP16" i="122" s="1"/>
  <c r="OP17" i="122" s="1"/>
  <c r="OP18" i="122" s="1"/>
  <c r="OP19" i="122" s="1"/>
  <c r="OP20" i="122" s="1"/>
  <c r="OP21" i="122" s="1"/>
  <c r="OP22" i="122" s="1"/>
  <c r="OP23" i="122" s="1"/>
  <c r="OP24" i="122" s="1"/>
  <c r="OP25" i="122" s="1"/>
  <c r="OP26" i="122" s="1"/>
  <c r="OP27" i="122" s="1"/>
  <c r="OP28" i="122" s="1"/>
  <c r="OP29" i="122" s="1"/>
  <c r="OP30" i="122" s="1"/>
  <c r="OP31" i="122" s="1"/>
  <c r="OP32" i="122" s="1"/>
  <c r="OP33" i="122" s="1"/>
  <c r="OP34" i="122" s="1"/>
  <c r="OP35" i="122" s="1"/>
  <c r="OP36" i="122" s="1"/>
  <c r="OP37" i="122" s="1"/>
  <c r="OP38" i="122" s="1"/>
  <c r="OP39" i="122" s="1"/>
  <c r="OP40" i="122" s="1"/>
  <c r="OP41" i="122" s="1"/>
  <c r="OP42" i="122" s="1"/>
  <c r="OS42" i="120"/>
  <c r="NO13" i="122"/>
  <c r="NZ13" i="122"/>
  <c r="QG16" i="122"/>
  <c r="NA15" i="122"/>
  <c r="AL15" i="123"/>
  <c r="OQ39" i="116"/>
  <c r="AF30" i="118"/>
  <c r="PF11" i="102"/>
  <c r="AS11" i="117"/>
  <c r="AS12" i="117" s="1"/>
  <c r="AS13" i="117" s="1"/>
  <c r="AS14" i="117" s="1"/>
  <c r="AS15" i="117" s="1"/>
  <c r="AS16" i="117" s="1"/>
  <c r="AS17" i="117" s="1"/>
  <c r="AS18" i="117" s="1"/>
  <c r="AS19" i="117" s="1"/>
  <c r="AS20" i="117" s="1"/>
  <c r="AS21" i="117" s="1"/>
  <c r="AS22" i="117" s="1"/>
  <c r="AS23" i="117" s="1"/>
  <c r="AS24" i="117" s="1"/>
  <c r="AS25" i="117" s="1"/>
  <c r="AS26" i="117" s="1"/>
  <c r="AS27" i="117" s="1"/>
  <c r="AS28" i="117" s="1"/>
  <c r="AS29" i="117" s="1"/>
  <c r="AS30" i="117" s="1"/>
  <c r="AS31" i="117" s="1"/>
  <c r="AS32" i="117" s="1"/>
  <c r="AS33" i="117" s="1"/>
  <c r="AS34" i="117" s="1"/>
  <c r="AS35" i="117" s="1"/>
  <c r="AS36" i="117" s="1"/>
  <c r="AS37" i="117" s="1"/>
  <c r="AS38" i="117" s="1"/>
  <c r="AS39" i="117" s="1"/>
  <c r="AS40" i="117" s="1"/>
  <c r="AS41" i="117" s="1"/>
  <c r="AS42" i="117" s="1"/>
  <c r="AS43" i="117" s="1"/>
  <c r="PA28" i="116"/>
  <c r="PG27" i="116"/>
  <c r="NG28" i="116"/>
  <c r="RJ35" i="116"/>
  <c r="RM34" i="116"/>
  <c r="QH25" i="116"/>
  <c r="NA24" i="116"/>
  <c r="NT28" i="116"/>
  <c r="QG28" i="116"/>
  <c r="OG28" i="116"/>
  <c r="PO25" i="116"/>
  <c r="MZ24" i="116"/>
  <c r="BM44" i="102"/>
  <c r="CC42" i="102"/>
  <c r="CC44" i="102" s="1"/>
  <c r="PF12" i="102"/>
  <c r="OZ14" i="102"/>
  <c r="PF13" i="102"/>
  <c r="PN44" i="102"/>
  <c r="PN9" i="111"/>
  <c r="PN10" i="111" s="1"/>
  <c r="PM44" i="102"/>
  <c r="PM9" i="111"/>
  <c r="PM10" i="111" s="1"/>
  <c r="PM11" i="111" s="1"/>
  <c r="PM12" i="111" s="1"/>
  <c r="PM13" i="111" s="1"/>
  <c r="PM14" i="111" s="1"/>
  <c r="PM15" i="111" s="1"/>
  <c r="PM16" i="111" s="1"/>
  <c r="PM17" i="111" s="1"/>
  <c r="PM18" i="111" s="1"/>
  <c r="PM19" i="111" s="1"/>
  <c r="PM20" i="111" s="1"/>
  <c r="PM21" i="111" s="1"/>
  <c r="PM22" i="111" s="1"/>
  <c r="PM23" i="111" s="1"/>
  <c r="PM24" i="111" s="1"/>
  <c r="PM25" i="111" s="1"/>
  <c r="PM26" i="111" s="1"/>
  <c r="PM27" i="111" s="1"/>
  <c r="PM28" i="111" s="1"/>
  <c r="PM29" i="111" s="1"/>
  <c r="PM30" i="111" s="1"/>
  <c r="PM31" i="111" s="1"/>
  <c r="PM32" i="111" s="1"/>
  <c r="PM33" i="111" s="1"/>
  <c r="PM34" i="111" s="1"/>
  <c r="PM35" i="111" s="1"/>
  <c r="PM36" i="111" s="1"/>
  <c r="PM37" i="111" s="1"/>
  <c r="PM38" i="111" s="1"/>
  <c r="PM39" i="111" s="1"/>
  <c r="PM40" i="111" s="1"/>
  <c r="PM41" i="111" s="1"/>
  <c r="PM44" i="111" s="1"/>
  <c r="ON44" i="102"/>
  <c r="ON9" i="111"/>
  <c r="ON10" i="111" s="1"/>
  <c r="OP44" i="102"/>
  <c r="OP9" i="111"/>
  <c r="OP10" i="111" s="1"/>
  <c r="OP11" i="111" s="1"/>
  <c r="OP12" i="111" s="1"/>
  <c r="OP13" i="111" s="1"/>
  <c r="OP14" i="111" s="1"/>
  <c r="OP15" i="111" s="1"/>
  <c r="OP16" i="111" s="1"/>
  <c r="OP17" i="111" s="1"/>
  <c r="OP18" i="111" s="1"/>
  <c r="OP19" i="111" s="1"/>
  <c r="OP20" i="111" s="1"/>
  <c r="OP21" i="111" s="1"/>
  <c r="OP22" i="111" s="1"/>
  <c r="OP23" i="111" s="1"/>
  <c r="OP24" i="111" s="1"/>
  <c r="OP25" i="111" s="1"/>
  <c r="OP26" i="111" s="1"/>
  <c r="OP27" i="111" s="1"/>
  <c r="OP28" i="111" s="1"/>
  <c r="OP29" i="111" s="1"/>
  <c r="OP30" i="111" s="1"/>
  <c r="OP31" i="111" s="1"/>
  <c r="OP32" i="111" s="1"/>
  <c r="OP33" i="111" s="1"/>
  <c r="OP34" i="111" s="1"/>
  <c r="OP35" i="111" s="1"/>
  <c r="OP36" i="111" s="1"/>
  <c r="OP37" i="111" s="1"/>
  <c r="OP38" i="111" s="1"/>
  <c r="OP39" i="111" s="1"/>
  <c r="OP40" i="111" s="1"/>
  <c r="OP41" i="111" s="1"/>
  <c r="AJ18" i="112"/>
  <c r="RK23" i="111"/>
  <c r="RH24" i="111"/>
  <c r="NS18" i="111"/>
  <c r="NF17" i="111"/>
  <c r="QE16" i="111"/>
  <c r="PF15" i="111"/>
  <c r="OZ16" i="111"/>
  <c r="OF16" i="111"/>
  <c r="NX16" i="111"/>
  <c r="RK14" i="111"/>
  <c r="RH15" i="111"/>
  <c r="MZ13" i="111"/>
  <c r="QF14" i="111"/>
  <c r="CD48" i="102"/>
  <c r="CD44" i="102"/>
  <c r="QF10" i="102"/>
  <c r="QF11" i="102" s="1"/>
  <c r="QF12" i="102" s="1"/>
  <c r="QF13" i="102" s="1"/>
  <c r="QF14" i="102" s="1"/>
  <c r="QF15" i="102" s="1"/>
  <c r="QF16" i="102" s="1"/>
  <c r="QF17" i="102" s="1"/>
  <c r="QF18" i="102" s="1"/>
  <c r="QF19" i="102" s="1"/>
  <c r="QF20" i="102" s="1"/>
  <c r="QF21" i="102" s="1"/>
  <c r="QF22" i="102" s="1"/>
  <c r="QF23" i="102" s="1"/>
  <c r="QF24" i="102" s="1"/>
  <c r="QF25" i="102" s="1"/>
  <c r="QF26" i="102" s="1"/>
  <c r="QF27" i="102" s="1"/>
  <c r="QF28" i="102" s="1"/>
  <c r="QF29" i="102" s="1"/>
  <c r="QF30" i="102" s="1"/>
  <c r="QF31" i="102" s="1"/>
  <c r="QF32" i="102" s="1"/>
  <c r="QF33" i="102" s="1"/>
  <c r="QF34" i="102" s="1"/>
  <c r="QF35" i="102" s="1"/>
  <c r="QF36" i="102" s="1"/>
  <c r="QF37" i="102" s="1"/>
  <c r="QF38" i="102" s="1"/>
  <c r="QF39" i="102" s="1"/>
  <c r="QF40" i="102" s="1"/>
  <c r="QF41" i="102" s="1"/>
  <c r="AL12" i="103"/>
  <c r="S43" i="103"/>
  <c r="Q44" i="103"/>
  <c r="S44" i="103" s="1"/>
  <c r="S21" i="103"/>
  <c r="E21" i="103" s="1"/>
  <c r="R43" i="103"/>
  <c r="CN21" i="103"/>
  <c r="D43" i="103"/>
  <c r="DQ41" i="102"/>
  <c r="DQ42" i="102" s="1"/>
  <c r="DQ44" i="102" s="1"/>
  <c r="CR12" i="103"/>
  <c r="BS12" i="103"/>
  <c r="BS13" i="103" s="1"/>
  <c r="BS14" i="103" s="1"/>
  <c r="BS15" i="103" s="1"/>
  <c r="BS16" i="103" s="1"/>
  <c r="BS17" i="103" s="1"/>
  <c r="BS18" i="103" s="1"/>
  <c r="BS19" i="103" s="1"/>
  <c r="BS20" i="103" s="1"/>
  <c r="BS21" i="103" s="1"/>
  <c r="BS22" i="103" s="1"/>
  <c r="BS23" i="103" s="1"/>
  <c r="BS24" i="103" s="1"/>
  <c r="BS25" i="103" s="1"/>
  <c r="BS26" i="103" s="1"/>
  <c r="BS27" i="103" s="1"/>
  <c r="BS28" i="103" s="1"/>
  <c r="BS29" i="103" s="1"/>
  <c r="BS30" i="103" s="1"/>
  <c r="BS31" i="103" s="1"/>
  <c r="BS32" i="103" s="1"/>
  <c r="BS33" i="103" s="1"/>
  <c r="BS34" i="103" s="1"/>
  <c r="BS35" i="103" s="1"/>
  <c r="BS36" i="103" s="1"/>
  <c r="BS37" i="103" s="1"/>
  <c r="BS38" i="103" s="1"/>
  <c r="BS39" i="103" s="1"/>
  <c r="BS40" i="103" s="1"/>
  <c r="BS41" i="103" s="1"/>
  <c r="BS42" i="103" s="1"/>
  <c r="BS43" i="103" s="1"/>
  <c r="CR38" i="103"/>
  <c r="AB43" i="103"/>
  <c r="AB44" i="103" s="1"/>
  <c r="AE44" i="103"/>
  <c r="AG43" i="103"/>
  <c r="AG44" i="103" s="1"/>
  <c r="CR22" i="103"/>
  <c r="CR13" i="103"/>
  <c r="PX41" i="102"/>
  <c r="QG10" i="102"/>
  <c r="QG11" i="102" s="1"/>
  <c r="QG12" i="102" s="1"/>
  <c r="QG13" i="102" s="1"/>
  <c r="QG14" i="102" s="1"/>
  <c r="QG15" i="102" s="1"/>
  <c r="QG16" i="102" s="1"/>
  <c r="QG17" i="102" s="1"/>
  <c r="QG18" i="102" s="1"/>
  <c r="QG19" i="102" s="1"/>
  <c r="QG20" i="102" s="1"/>
  <c r="QG21" i="102" s="1"/>
  <c r="QG22" i="102" s="1"/>
  <c r="QG23" i="102" s="1"/>
  <c r="QG24" i="102" s="1"/>
  <c r="QG25" i="102" s="1"/>
  <c r="QG26" i="102" s="1"/>
  <c r="QG27" i="102" s="1"/>
  <c r="QG28" i="102" s="1"/>
  <c r="QG29" i="102" s="1"/>
  <c r="QG30" i="102" s="1"/>
  <c r="QG31" i="102" s="1"/>
  <c r="QG32" i="102" s="1"/>
  <c r="QG33" i="102" s="1"/>
  <c r="QG34" i="102" s="1"/>
  <c r="QG35" i="102" s="1"/>
  <c r="QG36" i="102" s="1"/>
  <c r="QG37" i="102" s="1"/>
  <c r="QG38" i="102" s="1"/>
  <c r="QG39" i="102" s="1"/>
  <c r="QG40" i="102" s="1"/>
  <c r="QG41" i="102" s="1"/>
  <c r="CW41" i="102"/>
  <c r="CW42" i="102" s="1"/>
  <c r="CW44" i="102" s="1"/>
  <c r="DC10" i="102"/>
  <c r="DC11" i="102"/>
  <c r="DC12" i="102"/>
  <c r="DC13" i="102"/>
  <c r="DC14" i="102"/>
  <c r="DC15" i="102"/>
  <c r="DC16" i="102"/>
  <c r="DC17" i="102"/>
  <c r="DC18" i="102"/>
  <c r="DC19" i="102"/>
  <c r="DC20" i="102"/>
  <c r="DC21" i="102"/>
  <c r="DC22" i="102"/>
  <c r="DC23" i="102"/>
  <c r="DC24" i="102"/>
  <c r="DC25" i="102"/>
  <c r="DC26" i="102"/>
  <c r="DC27" i="102"/>
  <c r="DC28" i="102"/>
  <c r="DC29" i="102"/>
  <c r="DC30" i="102"/>
  <c r="DC37" i="102"/>
  <c r="DC35" i="102"/>
  <c r="ED41" i="102"/>
  <c r="ED42" i="102" s="1"/>
  <c r="ED44" i="102" s="1"/>
  <c r="DC34" i="102"/>
  <c r="DC32" i="102"/>
  <c r="DC33" i="102"/>
  <c r="DC39" i="102"/>
  <c r="CY41" i="102"/>
  <c r="CY42" i="102" s="1"/>
  <c r="CY44" i="102" s="1"/>
  <c r="DC31" i="102"/>
  <c r="DC36" i="102"/>
  <c r="DC40" i="102"/>
  <c r="DC38" i="102"/>
  <c r="X71" i="106"/>
  <c r="JE17" i="102"/>
  <c r="GL17" i="102" s="1"/>
  <c r="IP17" i="102"/>
  <c r="GK17" i="102" s="1"/>
  <c r="HL17" i="102"/>
  <c r="GJ17" i="102" s="1"/>
  <c r="OQ10" i="126" l="1"/>
  <c r="OT9" i="126"/>
  <c r="OQ11" i="124"/>
  <c r="OT10" i="124"/>
  <c r="NE23" i="124"/>
  <c r="NG22" i="124"/>
  <c r="MY22" i="124" s="1"/>
  <c r="NC31" i="122"/>
  <c r="NF30" i="122"/>
  <c r="MX30" i="122" s="1"/>
  <c r="AL16" i="123"/>
  <c r="QG17" i="122"/>
  <c r="NA16" i="122"/>
  <c r="NZ14" i="122"/>
  <c r="NO14" i="122"/>
  <c r="OQ40" i="116"/>
  <c r="AF32" i="118" s="1"/>
  <c r="AF31" i="118"/>
  <c r="OP44" i="111"/>
  <c r="OQ9" i="116"/>
  <c r="OQ10" i="116" s="1"/>
  <c r="AF2" i="118" s="1"/>
  <c r="PO26" i="116"/>
  <c r="MZ25" i="116"/>
  <c r="NT29" i="116"/>
  <c r="RJ36" i="116"/>
  <c r="RM35" i="116"/>
  <c r="QG29" i="116"/>
  <c r="OG29" i="116"/>
  <c r="QH26" i="116"/>
  <c r="NA25" i="116"/>
  <c r="NG29" i="116"/>
  <c r="PG28" i="116"/>
  <c r="PA29" i="116"/>
  <c r="OZ15" i="102"/>
  <c r="OZ16" i="102" s="1"/>
  <c r="PF14" i="102"/>
  <c r="PN11" i="111"/>
  <c r="MY10" i="111"/>
  <c r="OR9" i="111"/>
  <c r="AJ19" i="112"/>
  <c r="RK24" i="111"/>
  <c r="RH25" i="111"/>
  <c r="NS19" i="111"/>
  <c r="NF18" i="111"/>
  <c r="QE17" i="111"/>
  <c r="PF16" i="111"/>
  <c r="OZ17" i="111"/>
  <c r="OF17" i="111"/>
  <c r="NX17" i="111"/>
  <c r="RK15" i="111"/>
  <c r="RH16" i="111"/>
  <c r="MZ14" i="111"/>
  <c r="QF15" i="111"/>
  <c r="BS11" i="112"/>
  <c r="BS12" i="112" s="1"/>
  <c r="BS13" i="112" s="1"/>
  <c r="BS14" i="112" s="1"/>
  <c r="BS15" i="112" s="1"/>
  <c r="BS16" i="112" s="1"/>
  <c r="BS17" i="112" s="1"/>
  <c r="BS18" i="112" s="1"/>
  <c r="BS19" i="112" s="1"/>
  <c r="BS20" i="112" s="1"/>
  <c r="BS21" i="112" s="1"/>
  <c r="BS22" i="112" s="1"/>
  <c r="BS23" i="112" s="1"/>
  <c r="BS24" i="112" s="1"/>
  <c r="BS25" i="112" s="1"/>
  <c r="BS26" i="112" s="1"/>
  <c r="BS27" i="112" s="1"/>
  <c r="BS28" i="112" s="1"/>
  <c r="BS29" i="112" s="1"/>
  <c r="BS30" i="112" s="1"/>
  <c r="BS31" i="112" s="1"/>
  <c r="BS32" i="112" s="1"/>
  <c r="BS33" i="112" s="1"/>
  <c r="BS34" i="112" s="1"/>
  <c r="BS35" i="112" s="1"/>
  <c r="BS36" i="112" s="1"/>
  <c r="BS37" i="112" s="1"/>
  <c r="BS38" i="112" s="1"/>
  <c r="BS39" i="112" s="1"/>
  <c r="BS40" i="112" s="1"/>
  <c r="BS41" i="112" s="1"/>
  <c r="BS42" i="112" s="1"/>
  <c r="BS43" i="112" s="1"/>
  <c r="AL13" i="103"/>
  <c r="R47" i="103"/>
  <c r="R44" i="103"/>
  <c r="Z10" i="95" s="1"/>
  <c r="E43" i="103"/>
  <c r="D44" i="103"/>
  <c r="E44" i="103" s="1"/>
  <c r="BD43" i="103" a="1"/>
  <c r="BD43" i="103" s="1"/>
  <c r="BD44" i="103" s="1"/>
  <c r="BC43" i="103" a="1"/>
  <c r="BC43" i="103" s="1"/>
  <c r="BC44" i="103" s="1"/>
  <c r="BB43" i="103" a="1"/>
  <c r="BB43" i="103" s="1"/>
  <c r="BB44" i="103" s="1"/>
  <c r="BA43" i="103" a="1"/>
  <c r="BA43" i="103" s="1"/>
  <c r="BA44" i="103" s="1"/>
  <c r="AZ43" i="103" a="1"/>
  <c r="AZ43" i="103" s="1"/>
  <c r="AZ44" i="103" s="1"/>
  <c r="AX43" i="103"/>
  <c r="AX44" i="103" s="1"/>
  <c r="Z25" i="95" s="1"/>
  <c r="DC41" i="102"/>
  <c r="DC42" i="102" s="1"/>
  <c r="DC44" i="102" s="1"/>
  <c r="P173" i="102"/>
  <c r="S50" i="102"/>
  <c r="P50" i="102"/>
  <c r="P51" i="102" s="1"/>
  <c r="O50" i="102"/>
  <c r="O51" i="102" s="1"/>
  <c r="OQ11" i="126" l="1"/>
  <c r="OT10" i="126"/>
  <c r="OQ12" i="124"/>
  <c r="OT11" i="124"/>
  <c r="NE24" i="124"/>
  <c r="NG23" i="124"/>
  <c r="MY23" i="124" s="1"/>
  <c r="NC32" i="122"/>
  <c r="NF31" i="122"/>
  <c r="MX31" i="122" s="1"/>
  <c r="NO15" i="122"/>
  <c r="NZ15" i="122"/>
  <c r="QG18" i="122"/>
  <c r="NA17" i="122"/>
  <c r="AL17" i="123"/>
  <c r="OQ11" i="116"/>
  <c r="NG30" i="116"/>
  <c r="PA30" i="116"/>
  <c r="PG29" i="116"/>
  <c r="QG30" i="116"/>
  <c r="QH27" i="116"/>
  <c r="NA26" i="116"/>
  <c r="RJ37" i="116"/>
  <c r="RM36" i="116"/>
  <c r="PO27" i="116"/>
  <c r="MZ26" i="116"/>
  <c r="OG30" i="116"/>
  <c r="NT30" i="116"/>
  <c r="PF15" i="102"/>
  <c r="MY11" i="111"/>
  <c r="PN12" i="111"/>
  <c r="ON11" i="111"/>
  <c r="OR10" i="111"/>
  <c r="BS11" i="117"/>
  <c r="BS12" i="117" s="1"/>
  <c r="BS13" i="117" s="1"/>
  <c r="BS14" i="117" s="1"/>
  <c r="BS15" i="117" s="1"/>
  <c r="BS16" i="117" s="1"/>
  <c r="BS17" i="117" s="1"/>
  <c r="BS18" i="117" s="1"/>
  <c r="BS19" i="117" s="1"/>
  <c r="BS20" i="117" s="1"/>
  <c r="BS21" i="117" s="1"/>
  <c r="BS22" i="117" s="1"/>
  <c r="BS23" i="117" s="1"/>
  <c r="BS24" i="117" s="1"/>
  <c r="BS25" i="117" s="1"/>
  <c r="BS26" i="117" s="1"/>
  <c r="BS27" i="117" s="1"/>
  <c r="BS28" i="117" s="1"/>
  <c r="BS29" i="117" s="1"/>
  <c r="BS30" i="117" s="1"/>
  <c r="BS31" i="117" s="1"/>
  <c r="BS32" i="117" s="1"/>
  <c r="BS33" i="117" s="1"/>
  <c r="BS34" i="117" s="1"/>
  <c r="BS35" i="117" s="1"/>
  <c r="BS36" i="117" s="1"/>
  <c r="BS37" i="117" s="1"/>
  <c r="BS38" i="117" s="1"/>
  <c r="BS39" i="117" s="1"/>
  <c r="BS40" i="117" s="1"/>
  <c r="BS41" i="117" s="1"/>
  <c r="BS42" i="117" s="1"/>
  <c r="BS43" i="117" s="1"/>
  <c r="AJ20" i="112"/>
  <c r="RK25" i="111"/>
  <c r="RH26" i="111"/>
  <c r="NS20" i="111"/>
  <c r="NF19" i="111"/>
  <c r="QE18" i="111"/>
  <c r="PF17" i="111"/>
  <c r="OZ18" i="111"/>
  <c r="OF18" i="111"/>
  <c r="NX18" i="111"/>
  <c r="RK16" i="111"/>
  <c r="RH17" i="111"/>
  <c r="RK17" i="111" s="1"/>
  <c r="MZ15" i="111"/>
  <c r="QF16" i="111"/>
  <c r="AX46" i="103"/>
  <c r="AL14" i="103"/>
  <c r="OZ17" i="102"/>
  <c r="PF16" i="102"/>
  <c r="AL15" i="103"/>
  <c r="C44" i="100"/>
  <c r="OQ12" i="126" l="1"/>
  <c r="OT11" i="126"/>
  <c r="OQ13" i="124"/>
  <c r="OT12" i="124"/>
  <c r="NE25" i="124"/>
  <c r="NG24" i="124"/>
  <c r="MY24" i="124" s="1"/>
  <c r="NC33" i="122"/>
  <c r="NF32" i="122"/>
  <c r="MX32" i="122" s="1"/>
  <c r="AL18" i="123"/>
  <c r="QG19" i="122"/>
  <c r="NA18" i="122"/>
  <c r="NZ16" i="122"/>
  <c r="NO16" i="122"/>
  <c r="OQ12" i="116"/>
  <c r="AF3" i="118"/>
  <c r="RM37" i="116"/>
  <c r="RJ38" i="116"/>
  <c r="PA31" i="116"/>
  <c r="PG30" i="116"/>
  <c r="NT31" i="116"/>
  <c r="MZ27" i="116"/>
  <c r="PO28" i="116"/>
  <c r="QH28" i="116"/>
  <c r="NA27" i="116"/>
  <c r="QG31" i="116"/>
  <c r="NG31" i="116"/>
  <c r="OG31" i="116"/>
  <c r="PN13" i="111"/>
  <c r="MY12" i="111"/>
  <c r="OR11" i="111"/>
  <c r="ON12" i="111"/>
  <c r="AJ21" i="112"/>
  <c r="RK26" i="111"/>
  <c r="RH27" i="111"/>
  <c r="NS21" i="111"/>
  <c r="NF20" i="111"/>
  <c r="QE19" i="111"/>
  <c r="PF18" i="111"/>
  <c r="OZ19" i="111"/>
  <c r="OF19" i="111"/>
  <c r="NX19" i="111"/>
  <c r="MZ16" i="111"/>
  <c r="QF17" i="111"/>
  <c r="OZ18" i="102"/>
  <c r="PF17" i="102"/>
  <c r="AL16" i="103"/>
  <c r="AF44" i="100"/>
  <c r="OQ13" i="126" l="1"/>
  <c r="OT12" i="126"/>
  <c r="OQ14" i="124"/>
  <c r="OT13" i="124"/>
  <c r="NE26" i="124"/>
  <c r="NG25" i="124"/>
  <c r="MY25" i="124" s="1"/>
  <c r="NC34" i="122"/>
  <c r="NF33" i="122"/>
  <c r="MX33" i="122" s="1"/>
  <c r="NO17" i="122"/>
  <c r="NZ17" i="122"/>
  <c r="QG20" i="122"/>
  <c r="NA19" i="122"/>
  <c r="AL19" i="123"/>
  <c r="OQ13" i="116"/>
  <c r="AF4" i="118"/>
  <c r="OQ41" i="116"/>
  <c r="OQ42" i="116" s="1"/>
  <c r="OG32" i="116"/>
  <c r="NG32" i="116"/>
  <c r="QG32" i="116"/>
  <c r="NT32" i="116"/>
  <c r="PO29" i="116"/>
  <c r="MZ28" i="116"/>
  <c r="PA32" i="116"/>
  <c r="PG31" i="116"/>
  <c r="QH29" i="116"/>
  <c r="NA28" i="116"/>
  <c r="RJ39" i="116"/>
  <c r="RM38" i="116"/>
  <c r="MY13" i="111"/>
  <c r="PN14" i="111"/>
  <c r="OR12" i="111"/>
  <c r="ON13" i="111"/>
  <c r="AJ22" i="112"/>
  <c r="RK27" i="111"/>
  <c r="RH28" i="111"/>
  <c r="NS22" i="111"/>
  <c r="NF21" i="111"/>
  <c r="QE20" i="111"/>
  <c r="PF19" i="111"/>
  <c r="OZ20" i="111"/>
  <c r="OF20" i="111"/>
  <c r="NX20" i="111"/>
  <c r="MZ17" i="111"/>
  <c r="QF18" i="111"/>
  <c r="OZ19" i="102"/>
  <c r="PF18" i="102"/>
  <c r="AL17" i="103"/>
  <c r="NE42" i="99"/>
  <c r="OQ14" i="126" l="1"/>
  <c r="OT13" i="126"/>
  <c r="OQ15" i="124"/>
  <c r="OT14" i="124"/>
  <c r="NE27" i="124"/>
  <c r="NG26" i="124"/>
  <c r="MY26" i="124" s="1"/>
  <c r="NC35" i="122"/>
  <c r="NF34" i="122"/>
  <c r="MX34" i="122" s="1"/>
  <c r="AL20" i="123"/>
  <c r="QG21" i="122"/>
  <c r="NA20" i="122"/>
  <c r="NZ18" i="122"/>
  <c r="NO18" i="122"/>
  <c r="OQ44" i="116"/>
  <c r="OS42" i="116"/>
  <c r="OQ9" i="120"/>
  <c r="OQ10" i="120" s="1"/>
  <c r="OQ14" i="116"/>
  <c r="AF5" i="118"/>
  <c r="RJ40" i="116"/>
  <c r="RM40" i="116" s="1"/>
  <c r="RM39" i="116"/>
  <c r="NT33" i="116"/>
  <c r="PG32" i="116"/>
  <c r="PA33" i="116"/>
  <c r="NG33" i="116"/>
  <c r="QH30" i="116"/>
  <c r="NA29" i="116"/>
  <c r="PO30" i="116"/>
  <c r="MZ29" i="116"/>
  <c r="QG33" i="116"/>
  <c r="OG33" i="116"/>
  <c r="PN15" i="111"/>
  <c r="MY14" i="111"/>
  <c r="OR13" i="111"/>
  <c r="ON14" i="111"/>
  <c r="AJ23" i="112"/>
  <c r="RK28" i="111"/>
  <c r="RH29" i="111"/>
  <c r="NS23" i="111"/>
  <c r="NF22" i="111"/>
  <c r="QE21" i="111"/>
  <c r="PF20" i="111"/>
  <c r="OZ21" i="111"/>
  <c r="OF21" i="111"/>
  <c r="NX21" i="111"/>
  <c r="MZ18" i="111"/>
  <c r="QF19" i="111"/>
  <c r="OZ20" i="102"/>
  <c r="PF19" i="102"/>
  <c r="AL18" i="103"/>
  <c r="D54" i="107"/>
  <c r="OQ15" i="126" l="1"/>
  <c r="OT14" i="126"/>
  <c r="OQ16" i="124"/>
  <c r="OT15" i="124"/>
  <c r="NE28" i="124"/>
  <c r="NG27" i="124"/>
  <c r="MY27" i="124" s="1"/>
  <c r="NC36" i="122"/>
  <c r="NF35" i="122"/>
  <c r="MX35" i="122" s="1"/>
  <c r="QG22" i="122"/>
  <c r="NA21" i="122"/>
  <c r="NO19" i="122"/>
  <c r="NZ19" i="122"/>
  <c r="AL21" i="123"/>
  <c r="OQ11" i="120"/>
  <c r="AF33" i="118"/>
  <c r="OQ15" i="116"/>
  <c r="AF6" i="118"/>
  <c r="PA34" i="116"/>
  <c r="PG33" i="116"/>
  <c r="PO31" i="116"/>
  <c r="MZ30" i="116"/>
  <c r="QH31" i="116"/>
  <c r="NA30" i="116"/>
  <c r="NG34" i="116"/>
  <c r="OG34" i="116"/>
  <c r="QG34" i="116"/>
  <c r="NT34" i="116"/>
  <c r="MY15" i="111"/>
  <c r="PN16" i="111"/>
  <c r="OR14" i="111"/>
  <c r="ON15" i="111"/>
  <c r="AJ24" i="112"/>
  <c r="RK29" i="111"/>
  <c r="RH30" i="111"/>
  <c r="NS24" i="111"/>
  <c r="NF23" i="111"/>
  <c r="QE22" i="111"/>
  <c r="PF21" i="111"/>
  <c r="OZ22" i="111"/>
  <c r="OF22" i="111"/>
  <c r="NX22" i="111"/>
  <c r="MZ19" i="111"/>
  <c r="QF20" i="111"/>
  <c r="OZ21" i="102"/>
  <c r="PF20" i="102"/>
  <c r="AL19" i="103"/>
  <c r="D53" i="107"/>
  <c r="X42" i="99"/>
  <c r="W42" i="99"/>
  <c r="OQ16" i="126" l="1"/>
  <c r="OT15" i="126"/>
  <c r="OQ17" i="124"/>
  <c r="OT16" i="124"/>
  <c r="NG28" i="124"/>
  <c r="MY28" i="124" s="1"/>
  <c r="NC37" i="122"/>
  <c r="NF36" i="122"/>
  <c r="MX36" i="122" s="1"/>
  <c r="AL22" i="123"/>
  <c r="NZ20" i="122"/>
  <c r="NO20" i="122"/>
  <c r="QG23" i="122"/>
  <c r="NA22" i="122"/>
  <c r="OQ12" i="120"/>
  <c r="AF34" i="118"/>
  <c r="OQ16" i="116"/>
  <c r="AF7" i="118"/>
  <c r="QG35" i="116"/>
  <c r="NG35" i="116"/>
  <c r="NT35" i="116"/>
  <c r="OG35" i="116"/>
  <c r="QH32" i="116"/>
  <c r="NA31" i="116"/>
  <c r="PO32" i="116"/>
  <c r="MZ31" i="116"/>
  <c r="PG34" i="116"/>
  <c r="PA35" i="116"/>
  <c r="PN17" i="111"/>
  <c r="MY16" i="111"/>
  <c r="OR15" i="111"/>
  <c r="ON16" i="111"/>
  <c r="AJ25" i="112"/>
  <c r="RK30" i="111"/>
  <c r="RH31" i="111"/>
  <c r="NS25" i="111"/>
  <c r="NF24" i="111"/>
  <c r="QE23" i="111"/>
  <c r="PF22" i="111"/>
  <c r="OZ23" i="111"/>
  <c r="OF23" i="111"/>
  <c r="NX23" i="111"/>
  <c r="MZ20" i="111"/>
  <c r="QF21" i="111"/>
  <c r="OZ22" i="102"/>
  <c r="PF21" i="102"/>
  <c r="AL20" i="103"/>
  <c r="E54" i="107"/>
  <c r="E51" i="107"/>
  <c r="E52" i="107"/>
  <c r="C11" i="96"/>
  <c r="E53" i="107"/>
  <c r="D51" i="107"/>
  <c r="Q109" i="107"/>
  <c r="Q108" i="107"/>
  <c r="Q107" i="107"/>
  <c r="P92" i="107" a="1"/>
  <c r="P92" i="107" s="1"/>
  <c r="E110" i="107"/>
  <c r="D110" i="107"/>
  <c r="E109" i="107"/>
  <c r="E108" i="107"/>
  <c r="D108" i="107"/>
  <c r="C108" i="107"/>
  <c r="E107" i="107"/>
  <c r="S82" i="107"/>
  <c r="R82" i="107"/>
  <c r="Q82" i="107"/>
  <c r="S81" i="107"/>
  <c r="Q81" i="107"/>
  <c r="S80" i="107"/>
  <c r="Q80" i="107"/>
  <c r="S79" i="107"/>
  <c r="Q79" i="107"/>
  <c r="S71" i="107"/>
  <c r="S69" i="107"/>
  <c r="L81" i="107"/>
  <c r="K81" i="107"/>
  <c r="J81" i="107"/>
  <c r="B2" i="107"/>
  <c r="V105" i="106"/>
  <c r="V104" i="106"/>
  <c r="E104" i="106"/>
  <c r="E103" i="106"/>
  <c r="E102" i="106"/>
  <c r="X82" i="106"/>
  <c r="V82" i="106"/>
  <c r="V81" i="106"/>
  <c r="V80" i="106"/>
  <c r="V79" i="106"/>
  <c r="E81" i="106"/>
  <c r="D81" i="106"/>
  <c r="C81" i="106"/>
  <c r="E26" i="106"/>
  <c r="AX35" i="2"/>
  <c r="OQ17" i="126" l="1"/>
  <c r="OT16" i="126"/>
  <c r="OQ18" i="124"/>
  <c r="OT17" i="124"/>
  <c r="NE30" i="124"/>
  <c r="NG29" i="124"/>
  <c r="MY29" i="124" s="1"/>
  <c r="NC38" i="122"/>
  <c r="NF37" i="122"/>
  <c r="MX37" i="122" s="1"/>
  <c r="QG24" i="122"/>
  <c r="NA23" i="122"/>
  <c r="NO21" i="122"/>
  <c r="NZ21" i="122"/>
  <c r="AL23" i="123"/>
  <c r="OQ13" i="120"/>
  <c r="AF35" i="118"/>
  <c r="OQ17" i="116"/>
  <c r="AF8" i="118"/>
  <c r="PO33" i="116"/>
  <c r="MZ32" i="116"/>
  <c r="PG35" i="116"/>
  <c r="PA36" i="116"/>
  <c r="QH33" i="116"/>
  <c r="NA32" i="116"/>
  <c r="NT36" i="116"/>
  <c r="OG36" i="116"/>
  <c r="QG36" i="116"/>
  <c r="MY17" i="111"/>
  <c r="PN18" i="111"/>
  <c r="OR16" i="111"/>
  <c r="ON17" i="111"/>
  <c r="AJ26" i="112"/>
  <c r="RK31" i="111"/>
  <c r="RH32" i="111"/>
  <c r="NS26" i="111"/>
  <c r="NF25" i="111"/>
  <c r="QE24" i="111"/>
  <c r="PF23" i="111"/>
  <c r="OZ24" i="111"/>
  <c r="OF24" i="111"/>
  <c r="NX24" i="111"/>
  <c r="MZ21" i="111"/>
  <c r="QF22" i="111"/>
  <c r="OZ23" i="102"/>
  <c r="PF22" i="102"/>
  <c r="AL21" i="103"/>
  <c r="OQ18" i="126" l="1"/>
  <c r="OT17" i="126"/>
  <c r="OQ19" i="124"/>
  <c r="OT18" i="124"/>
  <c r="NE31" i="124"/>
  <c r="NG30" i="124"/>
  <c r="MY30" i="124" s="1"/>
  <c r="NC39" i="122"/>
  <c r="NF38" i="122"/>
  <c r="MX38" i="122" s="1"/>
  <c r="AL24" i="123"/>
  <c r="NO22" i="122"/>
  <c r="NZ22" i="122"/>
  <c r="QG25" i="122"/>
  <c r="NA24" i="122"/>
  <c r="OQ14" i="120"/>
  <c r="AF36" i="118"/>
  <c r="OQ18" i="116"/>
  <c r="AF9" i="118"/>
  <c r="NT37" i="116"/>
  <c r="QH34" i="116"/>
  <c r="NA33" i="116"/>
  <c r="QG37" i="116"/>
  <c r="OG37" i="116"/>
  <c r="PA37" i="116"/>
  <c r="PG36" i="116"/>
  <c r="MZ33" i="116"/>
  <c r="PO34" i="116"/>
  <c r="MY18" i="111"/>
  <c r="PN19" i="111"/>
  <c r="OR17" i="111"/>
  <c r="ON18" i="111"/>
  <c r="AJ27" i="112"/>
  <c r="RK32" i="111"/>
  <c r="RH33" i="111"/>
  <c r="NS27" i="111"/>
  <c r="NF26" i="111"/>
  <c r="QE25" i="111"/>
  <c r="PF24" i="111"/>
  <c r="OZ25" i="111"/>
  <c r="OF25" i="111"/>
  <c r="NX25" i="111"/>
  <c r="MZ22" i="111"/>
  <c r="QF23" i="111"/>
  <c r="OZ24" i="102"/>
  <c r="PF23" i="102"/>
  <c r="AL22" i="103"/>
  <c r="OQ19" i="126" l="1"/>
  <c r="OT18" i="126"/>
  <c r="OQ20" i="124"/>
  <c r="OT19" i="124"/>
  <c r="NE32" i="124"/>
  <c r="NG31" i="124"/>
  <c r="MY31" i="124" s="1"/>
  <c r="NC40" i="122"/>
  <c r="NF39" i="122"/>
  <c r="MX39" i="122" s="1"/>
  <c r="NZ23" i="122"/>
  <c r="NO23" i="122"/>
  <c r="QG26" i="122"/>
  <c r="NA25" i="122"/>
  <c r="AL25" i="123"/>
  <c r="AF37" i="118"/>
  <c r="OQ15" i="120"/>
  <c r="OQ19" i="116"/>
  <c r="AF10" i="118"/>
  <c r="OG38" i="116"/>
  <c r="PO35" i="116"/>
  <c r="MZ34" i="116"/>
  <c r="PA38" i="116"/>
  <c r="PG37" i="116"/>
  <c r="QG38" i="116"/>
  <c r="QH35" i="116"/>
  <c r="NA34" i="116"/>
  <c r="NT38" i="116"/>
  <c r="MY19" i="111"/>
  <c r="PN20" i="111"/>
  <c r="OR18" i="111"/>
  <c r="ON19" i="111"/>
  <c r="AJ28" i="112"/>
  <c r="RK33" i="111"/>
  <c r="RH34" i="111"/>
  <c r="NS28" i="111"/>
  <c r="NF27" i="111"/>
  <c r="QE26" i="111"/>
  <c r="PF25" i="111"/>
  <c r="OZ26" i="111"/>
  <c r="OF26" i="111"/>
  <c r="NX26" i="111"/>
  <c r="MZ23" i="111"/>
  <c r="QF24" i="111"/>
  <c r="OZ25" i="102"/>
  <c r="PF24" i="102"/>
  <c r="AL23" i="103"/>
  <c r="G6" i="103"/>
  <c r="JH224" i="102"/>
  <c r="T137" i="102"/>
  <c r="P136" i="102"/>
  <c r="O136" i="102"/>
  <c r="AX52" i="102"/>
  <c r="AW52" i="102"/>
  <c r="T53" i="102"/>
  <c r="T54" i="102" s="1"/>
  <c r="T55" i="102" s="1"/>
  <c r="T56" i="102" s="1"/>
  <c r="T57" i="102" s="1"/>
  <c r="T58" i="102" s="1"/>
  <c r="T59" i="102" s="1"/>
  <c r="T60" i="102" s="1"/>
  <c r="T61" i="102" s="1"/>
  <c r="T62" i="102" s="1"/>
  <c r="T63" i="102" s="1"/>
  <c r="T64" i="102" s="1"/>
  <c r="T65" i="102" s="1"/>
  <c r="T66" i="102" s="1"/>
  <c r="T67" i="102" s="1"/>
  <c r="T68" i="102" s="1"/>
  <c r="T69" i="102" s="1"/>
  <c r="T70" i="102" s="1"/>
  <c r="T71" i="102" s="1"/>
  <c r="T72" i="102" s="1"/>
  <c r="T73" i="102" s="1"/>
  <c r="T74" i="102" s="1"/>
  <c r="T75" i="102" s="1"/>
  <c r="T76" i="102" s="1"/>
  <c r="T77" i="102" s="1"/>
  <c r="T78" i="102" s="1"/>
  <c r="T79" i="102" s="1"/>
  <c r="T80" i="102" s="1"/>
  <c r="T81" i="102" s="1"/>
  <c r="T82" i="102" s="1"/>
  <c r="T83" i="102" s="1"/>
  <c r="S53" i="102"/>
  <c r="S54" i="102" s="1"/>
  <c r="S55" i="102" s="1"/>
  <c r="S56" i="102" s="1"/>
  <c r="S57" i="102" s="1"/>
  <c r="S58" i="102" s="1"/>
  <c r="S59" i="102" s="1"/>
  <c r="S60" i="102" s="1"/>
  <c r="S61" i="102" s="1"/>
  <c r="S62" i="102" s="1"/>
  <c r="S63" i="102" s="1"/>
  <c r="S64" i="102" s="1"/>
  <c r="S65" i="102" s="1"/>
  <c r="S66" i="102" s="1"/>
  <c r="S67" i="102" s="1"/>
  <c r="S68" i="102" s="1"/>
  <c r="S69" i="102" s="1"/>
  <c r="S70" i="102" s="1"/>
  <c r="S71" i="102" s="1"/>
  <c r="S72" i="102" s="1"/>
  <c r="S73" i="102" s="1"/>
  <c r="S74" i="102" s="1"/>
  <c r="S75" i="102" s="1"/>
  <c r="S76" i="102" s="1"/>
  <c r="S77" i="102" s="1"/>
  <c r="S78" i="102" s="1"/>
  <c r="S79" i="102" s="1"/>
  <c r="S80" i="102" s="1"/>
  <c r="S81" i="102" s="1"/>
  <c r="S82" i="102" s="1"/>
  <c r="S83" i="102" s="1"/>
  <c r="P53" i="102"/>
  <c r="O53" i="102"/>
  <c r="O54" i="102" s="1"/>
  <c r="GR50" i="102"/>
  <c r="X50" i="102"/>
  <c r="X53" i="102" s="1"/>
  <c r="X54" i="102" s="1"/>
  <c r="X55" i="102" s="1"/>
  <c r="X56" i="102" s="1"/>
  <c r="X57" i="102" s="1"/>
  <c r="X58" i="102" s="1"/>
  <c r="X59" i="102" s="1"/>
  <c r="X60" i="102" s="1"/>
  <c r="X61" i="102" s="1"/>
  <c r="X62" i="102" s="1"/>
  <c r="X63" i="102" s="1"/>
  <c r="X64" i="102" s="1"/>
  <c r="X65" i="102" s="1"/>
  <c r="X66" i="102" s="1"/>
  <c r="X67" i="102" s="1"/>
  <c r="X68" i="102" s="1"/>
  <c r="X69" i="102" s="1"/>
  <c r="X70" i="102" s="1"/>
  <c r="X71" i="102" s="1"/>
  <c r="X72" i="102" s="1"/>
  <c r="X73" i="102" s="1"/>
  <c r="X74" i="102" s="1"/>
  <c r="X75" i="102" s="1"/>
  <c r="X76" i="102" s="1"/>
  <c r="X77" i="102" s="1"/>
  <c r="X78" i="102" s="1"/>
  <c r="X79" i="102" s="1"/>
  <c r="X80" i="102" s="1"/>
  <c r="X81" i="102" s="1"/>
  <c r="X82" i="102" s="1"/>
  <c r="X83" i="102" s="1"/>
  <c r="S45" i="102"/>
  <c r="AX45" i="102"/>
  <c r="AW45" i="102"/>
  <c r="AV45" i="102"/>
  <c r="AU45" i="102"/>
  <c r="AT45" i="102"/>
  <c r="AS45" i="102"/>
  <c r="AR45" i="102"/>
  <c r="AQ45" i="102"/>
  <c r="AP45" i="102"/>
  <c r="AO45" i="102"/>
  <c r="AN45" i="102"/>
  <c r="AL45" i="102"/>
  <c r="AK45" i="102"/>
  <c r="AJ45" i="102"/>
  <c r="AI45" i="102"/>
  <c r="AH45" i="102"/>
  <c r="AG45" i="102"/>
  <c r="AF45" i="102"/>
  <c r="AE45" i="102"/>
  <c r="Z45" i="102"/>
  <c r="Y45" i="102"/>
  <c r="X45" i="102"/>
  <c r="W45" i="102"/>
  <c r="V45" i="102"/>
  <c r="U45" i="102"/>
  <c r="T45" i="102"/>
  <c r="R45" i="102"/>
  <c r="Q45" i="102"/>
  <c r="P45" i="102"/>
  <c r="O45" i="102"/>
  <c r="OJ44" i="102"/>
  <c r="OF44" i="102"/>
  <c r="LC44" i="102"/>
  <c r="LI43" i="102"/>
  <c r="JK43" i="102"/>
  <c r="JE43" i="102"/>
  <c r="IP43" i="102"/>
  <c r="GV43" i="102"/>
  <c r="GM43" i="102"/>
  <c r="AP43" i="102"/>
  <c r="AJ43" i="102"/>
  <c r="AJ44" i="102" s="1"/>
  <c r="AI43" i="102"/>
  <c r="AB43" i="102"/>
  <c r="X43" i="102"/>
  <c r="X90" i="102" s="1"/>
  <c r="W43" i="102"/>
  <c r="T43" i="102"/>
  <c r="S43" i="102"/>
  <c r="S90" i="102" s="1"/>
  <c r="P43" i="102"/>
  <c r="P90" i="102" s="1"/>
  <c r="O43" i="102"/>
  <c r="O90" i="102" s="1"/>
  <c r="AK42" i="102"/>
  <c r="OB41" i="102"/>
  <c r="NA41" i="102"/>
  <c r="NA42" i="102" s="1"/>
  <c r="NA44" i="102" s="1"/>
  <c r="MV41" i="102"/>
  <c r="MV42" i="102" s="1"/>
  <c r="MV44" i="102" s="1"/>
  <c r="MU41" i="102"/>
  <c r="MU42" i="102" s="1"/>
  <c r="MU44" i="102" s="1"/>
  <c r="MS41" i="102"/>
  <c r="MS42" i="102" s="1"/>
  <c r="MS44" i="102" s="1"/>
  <c r="MR41" i="102"/>
  <c r="MR42" i="102" s="1"/>
  <c r="MR44" i="102" s="1"/>
  <c r="MQ41" i="102"/>
  <c r="MQ42" i="102" s="1"/>
  <c r="MQ44" i="102" s="1"/>
  <c r="MO41" i="102"/>
  <c r="MO42" i="102" s="1"/>
  <c r="MO44" i="102" s="1"/>
  <c r="MN41" i="102"/>
  <c r="MN42" i="102" s="1"/>
  <c r="MN44" i="102" s="1"/>
  <c r="MM41" i="102"/>
  <c r="MM42" i="102" s="1"/>
  <c r="MM44" i="102" s="1"/>
  <c r="ML41" i="102"/>
  <c r="ML42" i="102" s="1"/>
  <c r="ML44" i="102" s="1"/>
  <c r="MK41" i="102"/>
  <c r="MK42" i="102" s="1"/>
  <c r="MK44" i="102" s="1"/>
  <c r="MI41" i="102"/>
  <c r="MI42" i="102" s="1"/>
  <c r="MI44" i="102" s="1"/>
  <c r="MH41" i="102"/>
  <c r="MH42" i="102" s="1"/>
  <c r="MH44" i="102" s="1"/>
  <c r="MG41" i="102"/>
  <c r="MG42" i="102" s="1"/>
  <c r="MG44" i="102" s="1"/>
  <c r="MF41" i="102"/>
  <c r="MF42" i="102" s="1"/>
  <c r="MF44" i="102" s="1"/>
  <c r="ME41" i="102"/>
  <c r="ME42" i="102" s="1"/>
  <c r="MD41" i="102"/>
  <c r="MD42" i="102" s="1"/>
  <c r="MC41" i="102"/>
  <c r="MC42" i="102" s="1"/>
  <c r="MC44" i="102" s="1"/>
  <c r="MA41" i="102"/>
  <c r="MA42" i="102" s="1"/>
  <c r="LZ41" i="102"/>
  <c r="LZ42" i="102" s="1"/>
  <c r="LZ44" i="102" s="1"/>
  <c r="LY41" i="102"/>
  <c r="LY42" i="102" s="1"/>
  <c r="LY44" i="102" s="1"/>
  <c r="LX41" i="102"/>
  <c r="LX42" i="102" s="1"/>
  <c r="LW41" i="102"/>
  <c r="LW42" i="102" s="1"/>
  <c r="LW44" i="102" s="1"/>
  <c r="LU41" i="102"/>
  <c r="LU42" i="102" s="1"/>
  <c r="LU44" i="102" s="1"/>
  <c r="LT41" i="102"/>
  <c r="LT42" i="102" s="1"/>
  <c r="LT44" i="102" s="1"/>
  <c r="LS41" i="102"/>
  <c r="LS42" i="102" s="1"/>
  <c r="LS44" i="102" s="1"/>
  <c r="LR41" i="102"/>
  <c r="LR42" i="102" s="1"/>
  <c r="LQ41" i="102"/>
  <c r="LQ42" i="102" s="1"/>
  <c r="LQ44" i="102" s="1"/>
  <c r="LP41" i="102"/>
  <c r="LP42" i="102" s="1"/>
  <c r="LP44" i="102" s="1"/>
  <c r="LO41" i="102"/>
  <c r="LO42" i="102" s="1"/>
  <c r="LO44" i="102" s="1"/>
  <c r="LN41" i="102"/>
  <c r="LN42" i="102" s="1"/>
  <c r="LN44" i="102" s="1"/>
  <c r="LM41" i="102"/>
  <c r="LM42" i="102" s="1"/>
  <c r="LM44" i="102" s="1"/>
  <c r="LL41" i="102"/>
  <c r="LL42" i="102" s="1"/>
  <c r="LL44" i="102" s="1"/>
  <c r="LK41" i="102"/>
  <c r="LK42" i="102" s="1"/>
  <c r="LJ41" i="102"/>
  <c r="LJ42" i="102" s="1"/>
  <c r="LE41" i="102"/>
  <c r="LE42" i="102" s="1"/>
  <c r="LE44" i="102" s="1"/>
  <c r="LD41" i="102"/>
  <c r="LD42" i="102" s="1"/>
  <c r="LD44" i="102" s="1"/>
  <c r="LB41" i="102"/>
  <c r="LB42" i="102" s="1"/>
  <c r="LB44" i="102" s="1"/>
  <c r="LA41" i="102"/>
  <c r="LA42" i="102" s="1"/>
  <c r="LA44" i="102" s="1"/>
  <c r="KZ41" i="102"/>
  <c r="KZ42" i="102" s="1"/>
  <c r="KZ44" i="102" s="1"/>
  <c r="KY41" i="102"/>
  <c r="KY42" i="102" s="1"/>
  <c r="KY44" i="102" s="1"/>
  <c r="KX41" i="102"/>
  <c r="KX42" i="102" s="1"/>
  <c r="KX44" i="102" s="1"/>
  <c r="KW41" i="102"/>
  <c r="KW42" i="102" s="1"/>
  <c r="KW44" i="102" s="1"/>
  <c r="KV41" i="102"/>
  <c r="KV42" i="102" s="1"/>
  <c r="KV44" i="102" s="1"/>
  <c r="KU41" i="102"/>
  <c r="KU42" i="102" s="1"/>
  <c r="KT41" i="102"/>
  <c r="KT42" i="102" s="1"/>
  <c r="KS41" i="102"/>
  <c r="KS42" i="102" s="1"/>
  <c r="KR41" i="102"/>
  <c r="KR42" i="102" s="1"/>
  <c r="KR44" i="102" s="1"/>
  <c r="KQ41" i="102"/>
  <c r="KQ42" i="102" s="1"/>
  <c r="KQ44" i="102" s="1"/>
  <c r="KP41" i="102"/>
  <c r="KP42" i="102" s="1"/>
  <c r="AW147" i="2" s="1"/>
  <c r="KO41" i="102"/>
  <c r="KO42" i="102" s="1"/>
  <c r="AW146" i="2" s="1"/>
  <c r="KN41" i="102"/>
  <c r="KN42" i="102" s="1"/>
  <c r="AW145" i="2" s="1"/>
  <c r="KM41" i="102"/>
  <c r="KM42" i="102" s="1"/>
  <c r="KM44" i="102" s="1"/>
  <c r="KL41" i="102"/>
  <c r="KL42" i="102" s="1"/>
  <c r="KL44" i="102" s="1"/>
  <c r="KK41" i="102"/>
  <c r="KK42" i="102" s="1"/>
  <c r="KK44" i="102" s="1"/>
  <c r="KJ41" i="102"/>
  <c r="KJ42" i="102" s="1"/>
  <c r="KJ44" i="102" s="1"/>
  <c r="KI41" i="102"/>
  <c r="KI42" i="102" s="1"/>
  <c r="KI44" i="102" s="1"/>
  <c r="KH41" i="102"/>
  <c r="KH42" i="102" s="1"/>
  <c r="KH44" i="102" s="1"/>
  <c r="KG41" i="102"/>
  <c r="KG42" i="102" s="1"/>
  <c r="KG44" i="102" s="1"/>
  <c r="KF41" i="102"/>
  <c r="KF42" i="102" s="1"/>
  <c r="KF44" i="102" s="1"/>
  <c r="KE41" i="102"/>
  <c r="KE42" i="102" s="1"/>
  <c r="KE44" i="102" s="1"/>
  <c r="KD41" i="102"/>
  <c r="KD42" i="102" s="1"/>
  <c r="KD44" i="102" s="1"/>
  <c r="KC41" i="102"/>
  <c r="KC42" i="102" s="1"/>
  <c r="KC44" i="102" s="1"/>
  <c r="KB41" i="102"/>
  <c r="KB42" i="102" s="1"/>
  <c r="KB44" i="102" s="1"/>
  <c r="KA41" i="102"/>
  <c r="KA42" i="102" s="1"/>
  <c r="KA44" i="102" s="1"/>
  <c r="JZ41" i="102"/>
  <c r="JZ42" i="102" s="1"/>
  <c r="JZ44" i="102" s="1"/>
  <c r="JY41" i="102"/>
  <c r="JY42" i="102" s="1"/>
  <c r="JY44" i="102" s="1"/>
  <c r="JX41" i="102"/>
  <c r="JX42" i="102" s="1"/>
  <c r="JX44" i="102" s="1"/>
  <c r="JW41" i="102"/>
  <c r="JW42" i="102" s="1"/>
  <c r="JW44" i="102" s="1"/>
  <c r="JV41" i="102"/>
  <c r="JV42" i="102" s="1"/>
  <c r="JV44" i="102" s="1"/>
  <c r="JU41" i="102"/>
  <c r="JU42" i="102" s="1"/>
  <c r="JU44" i="102" s="1"/>
  <c r="JT41" i="102"/>
  <c r="JT42" i="102" s="1"/>
  <c r="JT44" i="102" s="1"/>
  <c r="JS41" i="102"/>
  <c r="JS42" i="102" s="1"/>
  <c r="JS44" i="102" s="1"/>
  <c r="JR41" i="102"/>
  <c r="JR42" i="102" s="1"/>
  <c r="JR44" i="102" s="1"/>
  <c r="JQ41" i="102"/>
  <c r="JQ42" i="102" s="1"/>
  <c r="JQ44" i="102" s="1"/>
  <c r="JP41" i="102"/>
  <c r="JP42" i="102" s="1"/>
  <c r="JP44" i="102" s="1"/>
  <c r="JO41" i="102"/>
  <c r="JO42" i="102" s="1"/>
  <c r="JO44" i="102" s="1"/>
  <c r="JN41" i="102"/>
  <c r="JN42" i="102" s="1"/>
  <c r="JN44" i="102" s="1"/>
  <c r="JM41" i="102"/>
  <c r="JM42" i="102" s="1"/>
  <c r="JM44" i="102" s="1"/>
  <c r="JL41" i="102"/>
  <c r="JL42" i="102" s="1"/>
  <c r="JL44" i="102" s="1"/>
  <c r="JJ41" i="102"/>
  <c r="JJ42" i="102" s="1"/>
  <c r="JJ44" i="102" s="1"/>
  <c r="JI41" i="102"/>
  <c r="JH41" i="102"/>
  <c r="JG41" i="102"/>
  <c r="JG42" i="102" s="1"/>
  <c r="JG44" i="102" s="1"/>
  <c r="JF41" i="102"/>
  <c r="JF42" i="102" s="1"/>
  <c r="JF44" i="102" s="1"/>
  <c r="JD41" i="102"/>
  <c r="JD42" i="102" s="1"/>
  <c r="JD44" i="102" s="1"/>
  <c r="JC41" i="102"/>
  <c r="JC42" i="102" s="1"/>
  <c r="JC44" i="102" s="1"/>
  <c r="JB41" i="102"/>
  <c r="JB42" i="102" s="1"/>
  <c r="JA41" i="102"/>
  <c r="JA42" i="102" s="1"/>
  <c r="IZ41" i="102"/>
  <c r="IZ42" i="102" s="1"/>
  <c r="IY41" i="102"/>
  <c r="IY42" i="102" s="1"/>
  <c r="IX41" i="102"/>
  <c r="IX42" i="102" s="1"/>
  <c r="IW41" i="102"/>
  <c r="IW42" i="102" s="1"/>
  <c r="IW44" i="102" s="1"/>
  <c r="IV41" i="102"/>
  <c r="IV42" i="102" s="1"/>
  <c r="IU41" i="102"/>
  <c r="IU42" i="102" s="1"/>
  <c r="IT41" i="102"/>
  <c r="IT42" i="102" s="1"/>
  <c r="IS41" i="102"/>
  <c r="IS42" i="102" s="1"/>
  <c r="IR41" i="102"/>
  <c r="IR42" i="102" s="1"/>
  <c r="IQ41" i="102"/>
  <c r="IQ42" i="102" s="1"/>
  <c r="IO41" i="102"/>
  <c r="IN41" i="102"/>
  <c r="IN42" i="102" s="1"/>
  <c r="IN44" i="102" s="1"/>
  <c r="IM41" i="102"/>
  <c r="IM42" i="102" s="1"/>
  <c r="IL41" i="102"/>
  <c r="IL42" i="102" s="1"/>
  <c r="IK41" i="102"/>
  <c r="IK42" i="102" s="1"/>
  <c r="IJ41" i="102"/>
  <c r="IJ42" i="102" s="1"/>
  <c r="II41" i="102"/>
  <c r="II42" i="102" s="1"/>
  <c r="IH41" i="102"/>
  <c r="IH42" i="102" s="1"/>
  <c r="IG41" i="102"/>
  <c r="IG42" i="102" s="1"/>
  <c r="IF41" i="102"/>
  <c r="IF42" i="102" s="1"/>
  <c r="IE41" i="102"/>
  <c r="IE42" i="102" s="1"/>
  <c r="ID41" i="102"/>
  <c r="ID42" i="102" s="1"/>
  <c r="ID44" i="102" s="1"/>
  <c r="IC41" i="102"/>
  <c r="IC42" i="102" s="1"/>
  <c r="IB41" i="102"/>
  <c r="IB42" i="102" s="1"/>
  <c r="HZ41" i="102"/>
  <c r="HZ42" i="102" s="1"/>
  <c r="HY41" i="102"/>
  <c r="HY42" i="102" s="1"/>
  <c r="HX41" i="102"/>
  <c r="HX42" i="102" s="1"/>
  <c r="HW41" i="102"/>
  <c r="HW42" i="102" s="1"/>
  <c r="HV41" i="102"/>
  <c r="HV42" i="102" s="1"/>
  <c r="HU41" i="102"/>
  <c r="HU42" i="102" s="1"/>
  <c r="HT41" i="102"/>
  <c r="HT42" i="102" s="1"/>
  <c r="HS41" i="102"/>
  <c r="HS42" i="102" s="1"/>
  <c r="HR41" i="102"/>
  <c r="HR42" i="102" s="1"/>
  <c r="HQ41" i="102"/>
  <c r="HQ42" i="102" s="1"/>
  <c r="HP41" i="102"/>
  <c r="HP42" i="102" s="1"/>
  <c r="HO41" i="102"/>
  <c r="HO42" i="102" s="1"/>
  <c r="HN41" i="102"/>
  <c r="HN42" i="102" s="1"/>
  <c r="HM41" i="102"/>
  <c r="HM42" i="102" s="1"/>
  <c r="HK41" i="102"/>
  <c r="HK42" i="102" s="1"/>
  <c r="HK44" i="102" s="1"/>
  <c r="HJ41" i="102"/>
  <c r="HI41" i="102"/>
  <c r="HI42" i="102" s="1"/>
  <c r="HH41" i="102"/>
  <c r="HH42" i="102" s="1"/>
  <c r="HG41" i="102"/>
  <c r="HG42" i="102" s="1"/>
  <c r="HF41" i="102"/>
  <c r="HE41" i="102"/>
  <c r="HE42" i="102" s="1"/>
  <c r="HD41" i="102"/>
  <c r="HD42" i="102" s="1"/>
  <c r="HD44" i="102" s="1"/>
  <c r="HC41" i="102"/>
  <c r="HC42" i="102" s="1"/>
  <c r="HB41" i="102"/>
  <c r="HB42" i="102" s="1"/>
  <c r="HB44" i="102" s="1"/>
  <c r="HA41" i="102"/>
  <c r="HA42" i="102" s="1"/>
  <c r="GZ41" i="102"/>
  <c r="GY41" i="102"/>
  <c r="GY42" i="102" s="1"/>
  <c r="GX41" i="102"/>
  <c r="GX42" i="102" s="1"/>
  <c r="GW41" i="102"/>
  <c r="GW42" i="102" s="1"/>
  <c r="GW44" i="102" s="1"/>
  <c r="GU41" i="102"/>
  <c r="GU42" i="102" s="1"/>
  <c r="GT41" i="102"/>
  <c r="GT42" i="102" s="1"/>
  <c r="GS41" i="102"/>
  <c r="GS42" i="102" s="1"/>
  <c r="GR41" i="102"/>
  <c r="GR42" i="102" s="1"/>
  <c r="GQ41" i="102"/>
  <c r="GQ42" i="102" s="1"/>
  <c r="GQ44" i="102" s="1"/>
  <c r="GP41" i="102"/>
  <c r="GP42" i="102" s="1"/>
  <c r="GP44" i="102" s="1"/>
  <c r="GO41" i="102"/>
  <c r="GO42" i="102" s="1"/>
  <c r="GO44" i="102" s="1"/>
  <c r="GN41" i="102"/>
  <c r="GN42" i="102" s="1"/>
  <c r="GN44" i="102" s="1"/>
  <c r="GI41" i="102"/>
  <c r="GI42" i="102" s="1"/>
  <c r="GI44" i="102" s="1"/>
  <c r="GH41" i="102"/>
  <c r="GH42" i="102" s="1"/>
  <c r="GH44" i="102" s="1"/>
  <c r="GE41" i="102"/>
  <c r="GE42" i="102" s="1"/>
  <c r="GE44" i="102" s="1"/>
  <c r="GC41" i="102"/>
  <c r="GC42" i="102" s="1"/>
  <c r="GC44" i="102" s="1"/>
  <c r="GA41" i="102"/>
  <c r="GA42" i="102" s="1"/>
  <c r="GA44" i="102" s="1"/>
  <c r="FY41" i="102"/>
  <c r="FY42" i="102" s="1"/>
  <c r="FY44" i="102" s="1"/>
  <c r="FW41" i="102"/>
  <c r="FW42" i="102" s="1"/>
  <c r="FW44" i="102" s="1"/>
  <c r="FU41" i="102"/>
  <c r="FU42" i="102" s="1"/>
  <c r="FU44" i="102" s="1"/>
  <c r="FS41" i="102"/>
  <c r="FS42" i="102" s="1"/>
  <c r="FS44" i="102" s="1"/>
  <c r="FR41" i="102"/>
  <c r="FR42" i="102" s="1"/>
  <c r="FR44" i="102" s="1"/>
  <c r="FQ41" i="102"/>
  <c r="FQ42" i="102" s="1"/>
  <c r="FQ44" i="102" s="1"/>
  <c r="FP41" i="102"/>
  <c r="FP42" i="102" s="1"/>
  <c r="FP44" i="102" s="1"/>
  <c r="FO41" i="102"/>
  <c r="FO42" i="102" s="1"/>
  <c r="FO44" i="102" s="1"/>
  <c r="FN41" i="102"/>
  <c r="FN42" i="102" s="1"/>
  <c r="FN44" i="102" s="1"/>
  <c r="FL41" i="102"/>
  <c r="FL42" i="102" s="1"/>
  <c r="FL44" i="102" s="1"/>
  <c r="FK41" i="102"/>
  <c r="FK42" i="102" s="1"/>
  <c r="FK44" i="102" s="1"/>
  <c r="FJ41" i="102"/>
  <c r="FJ42" i="102" s="1"/>
  <c r="FJ44" i="102" s="1"/>
  <c r="FI41" i="102"/>
  <c r="FI42" i="102" s="1"/>
  <c r="FI44" i="102" s="1"/>
  <c r="FH41" i="102"/>
  <c r="FH42" i="102" s="1"/>
  <c r="FH44" i="102" s="1"/>
  <c r="FG41" i="102"/>
  <c r="FG42" i="102" s="1"/>
  <c r="FG44" i="102" s="1"/>
  <c r="FF41" i="102"/>
  <c r="FF42" i="102" s="1"/>
  <c r="FF44" i="102" s="1"/>
  <c r="FE41" i="102"/>
  <c r="FE42" i="102" s="1"/>
  <c r="FE44" i="102" s="1"/>
  <c r="EZ41" i="102"/>
  <c r="EZ42" i="102" s="1"/>
  <c r="EZ44" i="102" s="1"/>
  <c r="EY41" i="102"/>
  <c r="EY42" i="102" s="1"/>
  <c r="EY44" i="102" s="1"/>
  <c r="EW41" i="102"/>
  <c r="EW42" i="102" s="1"/>
  <c r="EW44" i="102" s="1"/>
  <c r="EV41" i="102"/>
  <c r="EV42" i="102" s="1"/>
  <c r="EV44" i="102" s="1"/>
  <c r="EU41" i="102"/>
  <c r="EU42" i="102" s="1"/>
  <c r="EU44" i="102" s="1"/>
  <c r="AB44" i="102"/>
  <c r="AX44" i="102"/>
  <c r="AU41" i="102"/>
  <c r="AU42" i="102" s="1"/>
  <c r="AU44" i="102" s="1"/>
  <c r="AT41" i="102"/>
  <c r="AR41" i="102"/>
  <c r="AR42" i="102" s="1"/>
  <c r="AR44" i="102" s="1"/>
  <c r="AQ41" i="102"/>
  <c r="AO41" i="102"/>
  <c r="AO42" i="102" s="1"/>
  <c r="AO44" i="102" s="1"/>
  <c r="AN41" i="102"/>
  <c r="AN42" i="102" s="1"/>
  <c r="AN44" i="102" s="1"/>
  <c r="AM41" i="102"/>
  <c r="AM42" i="102" s="1"/>
  <c r="AM44" i="102" s="1"/>
  <c r="AL41" i="102"/>
  <c r="AL42" i="102" s="1"/>
  <c r="AL44" i="102" s="1"/>
  <c r="AJ41" i="102"/>
  <c r="AI41" i="102"/>
  <c r="AH41" i="102"/>
  <c r="AH42" i="102" s="1"/>
  <c r="AH44" i="102" s="1"/>
  <c r="AF41" i="102"/>
  <c r="AF42" i="102" s="1"/>
  <c r="AF44" i="102" s="1"/>
  <c r="AE41" i="102"/>
  <c r="Z41" i="102"/>
  <c r="Z42" i="102" s="1"/>
  <c r="Z44" i="102" s="1"/>
  <c r="V41" i="102"/>
  <c r="V42" i="102" s="1"/>
  <c r="V44" i="102" s="1"/>
  <c r="R41" i="102"/>
  <c r="R42" i="102" s="1"/>
  <c r="R44" i="102" s="1"/>
  <c r="N41" i="102"/>
  <c r="N42" i="102" s="1"/>
  <c r="M41" i="102"/>
  <c r="M42" i="102" s="1"/>
  <c r="AW131" i="2" s="1"/>
  <c r="L41" i="102"/>
  <c r="L42" i="102" s="1"/>
  <c r="AW134" i="2" s="1"/>
  <c r="K41" i="102"/>
  <c r="K42" i="102" s="1"/>
  <c r="J41" i="102"/>
  <c r="J42" i="102" s="1"/>
  <c r="J44" i="102" s="1"/>
  <c r="I41" i="102"/>
  <c r="I42" i="102" s="1"/>
  <c r="AW132" i="2" s="1"/>
  <c r="H41" i="102"/>
  <c r="H42" i="102" s="1"/>
  <c r="RP40" i="102"/>
  <c r="RO40" i="102"/>
  <c r="RN40" i="102"/>
  <c r="RM40" i="102"/>
  <c r="RD40" i="102"/>
  <c r="RC40" i="102"/>
  <c r="RB40" i="102"/>
  <c r="RA40" i="102"/>
  <c r="QZ40" i="102"/>
  <c r="QY40" i="102"/>
  <c r="QW40" i="102"/>
  <c r="QV40" i="102"/>
  <c r="QU40" i="102"/>
  <c r="QT40" i="102"/>
  <c r="QS40" i="102"/>
  <c r="QR40" i="102"/>
  <c r="QM40" i="102"/>
  <c r="QL40" i="102"/>
  <c r="SE40" i="102"/>
  <c r="MT40" i="102"/>
  <c r="MB40" i="102"/>
  <c r="LV40" i="102"/>
  <c r="LH40" i="102"/>
  <c r="LG40" i="102"/>
  <c r="LF40" i="102"/>
  <c r="JK40" i="102"/>
  <c r="JE40" i="102"/>
  <c r="GL40" i="102" s="1"/>
  <c r="IP40" i="102"/>
  <c r="GK40" i="102" s="1"/>
  <c r="IA40" i="102"/>
  <c r="HL40" i="102"/>
  <c r="GJ40" i="102" s="1"/>
  <c r="GV40" i="102"/>
  <c r="RV40" i="102" s="1"/>
  <c r="GG40" i="102"/>
  <c r="FC40" i="102" s="1"/>
  <c r="FT40" i="102"/>
  <c r="FB40" i="102" s="1"/>
  <c r="FM40" i="102"/>
  <c r="FA40" i="102" s="1"/>
  <c r="EX40" i="102"/>
  <c r="AV40" i="102"/>
  <c r="AS40" i="102"/>
  <c r="AP40" i="102"/>
  <c r="AK40" i="102"/>
  <c r="AG40" i="102"/>
  <c r="AB40" i="102"/>
  <c r="AA40" i="102"/>
  <c r="X40" i="102"/>
  <c r="W40" i="102"/>
  <c r="T40" i="102"/>
  <c r="S40" i="102"/>
  <c r="P40" i="102"/>
  <c r="RP39" i="102"/>
  <c r="RO39" i="102"/>
  <c r="RN39" i="102"/>
  <c r="RM39" i="102"/>
  <c r="RD39" i="102"/>
  <c r="RC39" i="102"/>
  <c r="RB39" i="102"/>
  <c r="RA39" i="102"/>
  <c r="QZ39" i="102"/>
  <c r="QY39" i="102"/>
  <c r="QW39" i="102"/>
  <c r="QV39" i="102"/>
  <c r="QU39" i="102"/>
  <c r="QT39" i="102"/>
  <c r="QS39" i="102"/>
  <c r="QR39" i="102"/>
  <c r="QM39" i="102"/>
  <c r="QL39" i="102"/>
  <c r="SE39" i="102"/>
  <c r="MT39" i="102"/>
  <c r="MB39" i="102"/>
  <c r="LV39" i="102"/>
  <c r="LH39" i="102"/>
  <c r="LG39" i="102"/>
  <c r="LF39" i="102"/>
  <c r="JK39" i="102"/>
  <c r="JE39" i="102"/>
  <c r="GL39" i="102" s="1"/>
  <c r="IP39" i="102"/>
  <c r="GK39" i="102" s="1"/>
  <c r="IA39" i="102"/>
  <c r="HL39" i="102"/>
  <c r="GJ39" i="102" s="1"/>
  <c r="GV39" i="102"/>
  <c r="RV39" i="102" s="1"/>
  <c r="GG39" i="102"/>
  <c r="FC39" i="102" s="1"/>
  <c r="FT39" i="102"/>
  <c r="FB39" i="102" s="1"/>
  <c r="FM39" i="102"/>
  <c r="FA39" i="102" s="1"/>
  <c r="EX39" i="102"/>
  <c r="AV39" i="102"/>
  <c r="AS39" i="102"/>
  <c r="AP39" i="102"/>
  <c r="AK39" i="102"/>
  <c r="AG39" i="102"/>
  <c r="AB39" i="102"/>
  <c r="AA39" i="102"/>
  <c r="X39" i="102"/>
  <c r="W39" i="102"/>
  <c r="T39" i="102"/>
  <c r="S39" i="102"/>
  <c r="P39" i="102"/>
  <c r="RP38" i="102"/>
  <c r="RO38" i="102"/>
  <c r="RN38" i="102"/>
  <c r="RM38" i="102"/>
  <c r="RD38" i="102"/>
  <c r="RC38" i="102"/>
  <c r="RB38" i="102"/>
  <c r="RA38" i="102"/>
  <c r="QZ38" i="102"/>
  <c r="QY38" i="102"/>
  <c r="QW38" i="102"/>
  <c r="QV38" i="102"/>
  <c r="QU38" i="102"/>
  <c r="QT38" i="102"/>
  <c r="QS38" i="102"/>
  <c r="QR38" i="102"/>
  <c r="QM38" i="102"/>
  <c r="QL38" i="102"/>
  <c r="SE38" i="102"/>
  <c r="MT38" i="102"/>
  <c r="MB38" i="102"/>
  <c r="LV38" i="102"/>
  <c r="LH38" i="102"/>
  <c r="LG38" i="102"/>
  <c r="LF38" i="102"/>
  <c r="JK38" i="102"/>
  <c r="JE38" i="102"/>
  <c r="GL38" i="102" s="1"/>
  <c r="IP38" i="102"/>
  <c r="GK38" i="102" s="1"/>
  <c r="IA38" i="102"/>
  <c r="HL38" i="102"/>
  <c r="GJ38" i="102" s="1"/>
  <c r="GV38" i="102"/>
  <c r="GG38" i="102"/>
  <c r="FC38" i="102" s="1"/>
  <c r="FT38" i="102"/>
  <c r="FB38" i="102" s="1"/>
  <c r="FM38" i="102"/>
  <c r="FA38" i="102" s="1"/>
  <c r="EX38" i="102"/>
  <c r="AV38" i="102"/>
  <c r="AS38" i="102"/>
  <c r="AP38" i="102"/>
  <c r="AK38" i="102"/>
  <c r="AG38" i="102"/>
  <c r="AB38" i="102"/>
  <c r="AA38" i="102"/>
  <c r="X38" i="102"/>
  <c r="W38" i="102"/>
  <c r="T38" i="102"/>
  <c r="S38" i="102"/>
  <c r="P38" i="102"/>
  <c r="RP37" i="102"/>
  <c r="RO37" i="102"/>
  <c r="RN37" i="102"/>
  <c r="RM37" i="102"/>
  <c r="RD37" i="102"/>
  <c r="RC37" i="102"/>
  <c r="RB37" i="102"/>
  <c r="RA37" i="102"/>
  <c r="QZ37" i="102"/>
  <c r="QY37" i="102"/>
  <c r="QW37" i="102"/>
  <c r="QV37" i="102"/>
  <c r="QU37" i="102"/>
  <c r="QT37" i="102"/>
  <c r="QS37" i="102"/>
  <c r="QR37" i="102"/>
  <c r="QM37" i="102"/>
  <c r="QL37" i="102"/>
  <c r="SE37" i="102"/>
  <c r="NM37" i="102"/>
  <c r="NM38" i="102" s="1"/>
  <c r="NM39" i="102" s="1"/>
  <c r="NM40" i="102" s="1"/>
  <c r="NM41" i="102" s="1"/>
  <c r="NM42" i="102" s="1"/>
  <c r="NL37" i="102"/>
  <c r="NL38" i="102" s="1"/>
  <c r="NL39" i="102" s="1"/>
  <c r="NL40" i="102" s="1"/>
  <c r="NL41" i="102" s="1"/>
  <c r="NL42" i="102" s="1"/>
  <c r="NL44" i="102" s="1"/>
  <c r="NK37" i="102"/>
  <c r="NJ37" i="102"/>
  <c r="NJ38" i="102" s="1"/>
  <c r="NJ39" i="102" s="1"/>
  <c r="NJ40" i="102" s="1"/>
  <c r="NJ41" i="102" s="1"/>
  <c r="NJ42" i="102" s="1"/>
  <c r="NJ44" i="102" s="1"/>
  <c r="NI37" i="102"/>
  <c r="NI38" i="102" s="1"/>
  <c r="NI39" i="102" s="1"/>
  <c r="NI40" i="102" s="1"/>
  <c r="NI41" i="102" s="1"/>
  <c r="NI42" i="102" s="1"/>
  <c r="NH37" i="102"/>
  <c r="NH38" i="102" s="1"/>
  <c r="NH39" i="102" s="1"/>
  <c r="NH40" i="102" s="1"/>
  <c r="NH41" i="102" s="1"/>
  <c r="NH42" i="102" s="1"/>
  <c r="NH44" i="102" s="1"/>
  <c r="NG37" i="102"/>
  <c r="NG38" i="102" s="1"/>
  <c r="NG39" i="102" s="1"/>
  <c r="NG40" i="102" s="1"/>
  <c r="NG41" i="102" s="1"/>
  <c r="NG42" i="102" s="1"/>
  <c r="NF37" i="102"/>
  <c r="NF38" i="102" s="1"/>
  <c r="NF39" i="102" s="1"/>
  <c r="MT37" i="102"/>
  <c r="MB37" i="102"/>
  <c r="LV37" i="102"/>
  <c r="LH37" i="102"/>
  <c r="LG37" i="102"/>
  <c r="LF37" i="102"/>
  <c r="JK37" i="102"/>
  <c r="JE37" i="102"/>
  <c r="GL37" i="102" s="1"/>
  <c r="IP37" i="102"/>
  <c r="GK37" i="102" s="1"/>
  <c r="IA37" i="102"/>
  <c r="HL37" i="102"/>
  <c r="GJ37" i="102" s="1"/>
  <c r="GV37" i="102"/>
  <c r="RV37" i="102" s="1"/>
  <c r="GG37" i="102"/>
  <c r="FC37" i="102" s="1"/>
  <c r="FT37" i="102"/>
  <c r="FB37" i="102" s="1"/>
  <c r="FM37" i="102"/>
  <c r="FA37" i="102" s="1"/>
  <c r="EX37" i="102"/>
  <c r="AV37" i="102"/>
  <c r="AS37" i="102"/>
  <c r="AP37" i="102"/>
  <c r="AK37" i="102"/>
  <c r="AG37" i="102"/>
  <c r="AB37" i="102"/>
  <c r="AA37" i="102"/>
  <c r="X37" i="102"/>
  <c r="W37" i="102"/>
  <c r="T37" i="102"/>
  <c r="S37" i="102"/>
  <c r="P37" i="102"/>
  <c r="RP36" i="102"/>
  <c r="RO36" i="102"/>
  <c r="RN36" i="102"/>
  <c r="RM36" i="102"/>
  <c r="RD36" i="102"/>
  <c r="RC36" i="102"/>
  <c r="RB36" i="102"/>
  <c r="RA36" i="102"/>
  <c r="QZ36" i="102"/>
  <c r="QY36" i="102"/>
  <c r="QW36" i="102"/>
  <c r="QV36" i="102"/>
  <c r="QU36" i="102"/>
  <c r="QT36" i="102"/>
  <c r="QS36" i="102"/>
  <c r="QR36" i="102"/>
  <c r="QM36" i="102"/>
  <c r="QL36" i="102"/>
  <c r="SE36" i="102"/>
  <c r="MT36" i="102"/>
  <c r="MB36" i="102"/>
  <c r="LV36" i="102"/>
  <c r="LH36" i="102"/>
  <c r="LG36" i="102"/>
  <c r="LF36" i="102"/>
  <c r="JK36" i="102"/>
  <c r="JE36" i="102"/>
  <c r="GL36" i="102" s="1"/>
  <c r="IP36" i="102"/>
  <c r="GK36" i="102" s="1"/>
  <c r="IA36" i="102"/>
  <c r="HL36" i="102"/>
  <c r="GJ36" i="102" s="1"/>
  <c r="GV36" i="102"/>
  <c r="RV36" i="102" s="1"/>
  <c r="GG36" i="102"/>
  <c r="FC36" i="102" s="1"/>
  <c r="FT36" i="102"/>
  <c r="FB36" i="102" s="1"/>
  <c r="FM36" i="102"/>
  <c r="FA36" i="102" s="1"/>
  <c r="EX36" i="102"/>
  <c r="AV36" i="102"/>
  <c r="AS36" i="102"/>
  <c r="AP36" i="102"/>
  <c r="AK36" i="102"/>
  <c r="AG36" i="102"/>
  <c r="AB36" i="102"/>
  <c r="AA36" i="102"/>
  <c r="X36" i="102"/>
  <c r="W36" i="102"/>
  <c r="T36" i="102"/>
  <c r="S36" i="102"/>
  <c r="P36" i="102"/>
  <c r="RP35" i="102"/>
  <c r="RO35" i="102"/>
  <c r="RN35" i="102"/>
  <c r="RM35" i="102"/>
  <c r="RD35" i="102"/>
  <c r="RC35" i="102"/>
  <c r="RB35" i="102"/>
  <c r="RA35" i="102"/>
  <c r="QZ35" i="102"/>
  <c r="QY35" i="102"/>
  <c r="QW35" i="102"/>
  <c r="QV35" i="102"/>
  <c r="QU35" i="102"/>
  <c r="QT35" i="102"/>
  <c r="QS35" i="102"/>
  <c r="QR35" i="102"/>
  <c r="QM35" i="102"/>
  <c r="QL35" i="102"/>
  <c r="SE35" i="102"/>
  <c r="MT35" i="102"/>
  <c r="MB35" i="102"/>
  <c r="LV35" i="102"/>
  <c r="LH35" i="102"/>
  <c r="LG35" i="102"/>
  <c r="LF35" i="102"/>
  <c r="JK35" i="102"/>
  <c r="JE35" i="102"/>
  <c r="GL35" i="102" s="1"/>
  <c r="IP35" i="102"/>
  <c r="GK35" i="102" s="1"/>
  <c r="IA35" i="102"/>
  <c r="HL35" i="102"/>
  <c r="GJ35" i="102" s="1"/>
  <c r="GV35" i="102"/>
  <c r="RV35" i="102" s="1"/>
  <c r="GG35" i="102"/>
  <c r="FC35" i="102" s="1"/>
  <c r="FT35" i="102"/>
  <c r="FB35" i="102" s="1"/>
  <c r="FM35" i="102"/>
  <c r="FA35" i="102" s="1"/>
  <c r="EX35" i="102"/>
  <c r="AV35" i="102"/>
  <c r="AS35" i="102"/>
  <c r="AP35" i="102"/>
  <c r="AK35" i="102"/>
  <c r="AG35" i="102"/>
  <c r="AB35" i="102"/>
  <c r="AA35" i="102"/>
  <c r="X35" i="102"/>
  <c r="W35" i="102"/>
  <c r="T35" i="102"/>
  <c r="S35" i="102"/>
  <c r="P35" i="102"/>
  <c r="RP34" i="102"/>
  <c r="RO34" i="102"/>
  <c r="RN34" i="102"/>
  <c r="RM34" i="102"/>
  <c r="RD34" i="102"/>
  <c r="RC34" i="102"/>
  <c r="RB34" i="102"/>
  <c r="RA34" i="102"/>
  <c r="QZ34" i="102"/>
  <c r="QY34" i="102"/>
  <c r="QW34" i="102"/>
  <c r="QV34" i="102"/>
  <c r="QU34" i="102"/>
  <c r="QT34" i="102"/>
  <c r="QS34" i="102"/>
  <c r="QR34" i="102"/>
  <c r="QM34" i="102"/>
  <c r="QL34" i="102"/>
  <c r="SE34" i="102"/>
  <c r="MT34" i="102"/>
  <c r="MB34" i="102"/>
  <c r="LV34" i="102"/>
  <c r="LH34" i="102"/>
  <c r="LG34" i="102"/>
  <c r="LF34" i="102"/>
  <c r="JK34" i="102"/>
  <c r="JE34" i="102"/>
  <c r="GL34" i="102" s="1"/>
  <c r="IP34" i="102"/>
  <c r="GK34" i="102" s="1"/>
  <c r="IA34" i="102"/>
  <c r="HL34" i="102"/>
  <c r="GJ34" i="102" s="1"/>
  <c r="GV34" i="102"/>
  <c r="RV34" i="102" s="1"/>
  <c r="GG34" i="102"/>
  <c r="FC34" i="102" s="1"/>
  <c r="FT34" i="102"/>
  <c r="FB34" i="102" s="1"/>
  <c r="FM34" i="102"/>
  <c r="FA34" i="102" s="1"/>
  <c r="EX34" i="102"/>
  <c r="AV34" i="102"/>
  <c r="AS34" i="102"/>
  <c r="AP34" i="102"/>
  <c r="AK34" i="102"/>
  <c r="AG34" i="102"/>
  <c r="AB34" i="102"/>
  <c r="AA34" i="102"/>
  <c r="X34" i="102"/>
  <c r="W34" i="102"/>
  <c r="T34" i="102"/>
  <c r="S34" i="102"/>
  <c r="P34" i="102"/>
  <c r="RP33" i="102"/>
  <c r="RO33" i="102"/>
  <c r="RN33" i="102"/>
  <c r="RM33" i="102"/>
  <c r="RD33" i="102"/>
  <c r="RC33" i="102"/>
  <c r="RB33" i="102"/>
  <c r="RA33" i="102"/>
  <c r="QZ33" i="102"/>
  <c r="QY33" i="102"/>
  <c r="QW33" i="102"/>
  <c r="QV33" i="102"/>
  <c r="QU33" i="102"/>
  <c r="QT33" i="102"/>
  <c r="QS33" i="102"/>
  <c r="QR33" i="102"/>
  <c r="QM33" i="102"/>
  <c r="QL33" i="102"/>
  <c r="SE33" i="102"/>
  <c r="MT33" i="102"/>
  <c r="MB33" i="102"/>
  <c r="LV33" i="102"/>
  <c r="LH33" i="102"/>
  <c r="LG33" i="102"/>
  <c r="LF33" i="102"/>
  <c r="JK33" i="102"/>
  <c r="JE33" i="102"/>
  <c r="GL33" i="102" s="1"/>
  <c r="IP33" i="102"/>
  <c r="GK33" i="102" s="1"/>
  <c r="IA33" i="102"/>
  <c r="HL33" i="102"/>
  <c r="GJ33" i="102" s="1"/>
  <c r="GV33" i="102"/>
  <c r="RV33" i="102" s="1"/>
  <c r="GG33" i="102"/>
  <c r="FC33" i="102" s="1"/>
  <c r="FT33" i="102"/>
  <c r="FB33" i="102" s="1"/>
  <c r="FM33" i="102"/>
  <c r="FA33" i="102" s="1"/>
  <c r="EX33" i="102"/>
  <c r="AV33" i="102"/>
  <c r="AS33" i="102"/>
  <c r="AP33" i="102"/>
  <c r="AK33" i="102"/>
  <c r="AG33" i="102"/>
  <c r="AB33" i="102"/>
  <c r="AA33" i="102"/>
  <c r="X33" i="102"/>
  <c r="W33" i="102"/>
  <c r="T33" i="102"/>
  <c r="S33" i="102"/>
  <c r="P33" i="102"/>
  <c r="RP32" i="102"/>
  <c r="RO32" i="102"/>
  <c r="RN32" i="102"/>
  <c r="RM32" i="102"/>
  <c r="RD32" i="102"/>
  <c r="RC32" i="102"/>
  <c r="RB32" i="102"/>
  <c r="RA32" i="102"/>
  <c r="QZ32" i="102"/>
  <c r="QY32" i="102"/>
  <c r="QW32" i="102"/>
  <c r="QV32" i="102"/>
  <c r="QU32" i="102"/>
  <c r="QT32" i="102"/>
  <c r="QS32" i="102"/>
  <c r="QR32" i="102"/>
  <c r="QM32" i="102"/>
  <c r="QL32" i="102"/>
  <c r="SE32" i="102"/>
  <c r="MT32" i="102"/>
  <c r="MB32" i="102"/>
  <c r="LV32" i="102"/>
  <c r="LH32" i="102"/>
  <c r="LG32" i="102"/>
  <c r="LF32" i="102"/>
  <c r="JK32" i="102"/>
  <c r="JE32" i="102"/>
  <c r="GL32" i="102" s="1"/>
  <c r="IP32" i="102"/>
  <c r="GK32" i="102" s="1"/>
  <c r="IA32" i="102"/>
  <c r="HL32" i="102"/>
  <c r="GJ32" i="102" s="1"/>
  <c r="GV32" i="102"/>
  <c r="RV32" i="102" s="1"/>
  <c r="GG32" i="102"/>
  <c r="FC32" i="102" s="1"/>
  <c r="FT32" i="102"/>
  <c r="FB32" i="102" s="1"/>
  <c r="FM32" i="102"/>
  <c r="FA32" i="102" s="1"/>
  <c r="EX32" i="102"/>
  <c r="AV32" i="102"/>
  <c r="AS32" i="102"/>
  <c r="AP32" i="102"/>
  <c r="AK32" i="102"/>
  <c r="AG32" i="102"/>
  <c r="AB32" i="102"/>
  <c r="AA32" i="102"/>
  <c r="X32" i="102"/>
  <c r="W32" i="102"/>
  <c r="T32" i="102"/>
  <c r="S32" i="102"/>
  <c r="P32" i="102"/>
  <c r="RP31" i="102"/>
  <c r="RO31" i="102"/>
  <c r="RN31" i="102"/>
  <c r="RM31" i="102"/>
  <c r="RD31" i="102"/>
  <c r="RC31" i="102"/>
  <c r="RB31" i="102"/>
  <c r="RA31" i="102"/>
  <c r="QZ31" i="102"/>
  <c r="QY31" i="102"/>
  <c r="QW31" i="102"/>
  <c r="QV31" i="102"/>
  <c r="QU31" i="102"/>
  <c r="QT31" i="102"/>
  <c r="QS31" i="102"/>
  <c r="QR31" i="102"/>
  <c r="QM31" i="102"/>
  <c r="QL31" i="102"/>
  <c r="SE31" i="102"/>
  <c r="NI31" i="102"/>
  <c r="NI32" i="102" s="1"/>
  <c r="NI33" i="102" s="1"/>
  <c r="NI34" i="102" s="1"/>
  <c r="NI35" i="102" s="1"/>
  <c r="MT31" i="102"/>
  <c r="MB31" i="102"/>
  <c r="LV31" i="102"/>
  <c r="LH31" i="102"/>
  <c r="LG31" i="102"/>
  <c r="LF31" i="102"/>
  <c r="JK31" i="102"/>
  <c r="JE31" i="102"/>
  <c r="GL31" i="102" s="1"/>
  <c r="IP31" i="102"/>
  <c r="GK31" i="102" s="1"/>
  <c r="IA31" i="102"/>
  <c r="HL31" i="102"/>
  <c r="GJ31" i="102" s="1"/>
  <c r="GV31" i="102"/>
  <c r="RV31" i="102" s="1"/>
  <c r="GG31" i="102"/>
  <c r="FC31" i="102" s="1"/>
  <c r="FT31" i="102"/>
  <c r="FB31" i="102" s="1"/>
  <c r="FM31" i="102"/>
  <c r="FA31" i="102" s="1"/>
  <c r="EX31" i="102"/>
  <c r="AV31" i="102"/>
  <c r="AS31" i="102"/>
  <c r="AP31" i="102"/>
  <c r="AK31" i="102"/>
  <c r="AG31" i="102"/>
  <c r="AB31" i="102"/>
  <c r="AA31" i="102"/>
  <c r="X31" i="102"/>
  <c r="W31" i="102"/>
  <c r="T31" i="102"/>
  <c r="S31" i="102"/>
  <c r="P31" i="102"/>
  <c r="RP30" i="102"/>
  <c r="RO30" i="102"/>
  <c r="RN30" i="102"/>
  <c r="RM30" i="102"/>
  <c r="RD30" i="102"/>
  <c r="RC30" i="102"/>
  <c r="RB30" i="102"/>
  <c r="RA30" i="102"/>
  <c r="QZ30" i="102"/>
  <c r="QY30" i="102"/>
  <c r="QW30" i="102"/>
  <c r="QV30" i="102"/>
  <c r="QU30" i="102"/>
  <c r="QT30" i="102"/>
  <c r="QS30" i="102"/>
  <c r="QR30" i="102"/>
  <c r="QM30" i="102"/>
  <c r="QL30" i="102"/>
  <c r="SE30" i="102"/>
  <c r="MT30" i="102"/>
  <c r="MB30" i="102"/>
  <c r="LV30" i="102"/>
  <c r="LH30" i="102"/>
  <c r="LG30" i="102"/>
  <c r="LF30" i="102"/>
  <c r="JK30" i="102"/>
  <c r="JE30" i="102"/>
  <c r="GL30" i="102" s="1"/>
  <c r="IP30" i="102"/>
  <c r="GK30" i="102" s="1"/>
  <c r="IA30" i="102"/>
  <c r="HL30" i="102"/>
  <c r="GJ30" i="102" s="1"/>
  <c r="GV30" i="102"/>
  <c r="RV30" i="102" s="1"/>
  <c r="GG30" i="102"/>
  <c r="FC30" i="102" s="1"/>
  <c r="FT30" i="102"/>
  <c r="FB30" i="102" s="1"/>
  <c r="FM30" i="102"/>
  <c r="FA30" i="102" s="1"/>
  <c r="EX30" i="102"/>
  <c r="AV30" i="102"/>
  <c r="AS30" i="102"/>
  <c r="AP30" i="102"/>
  <c r="AK30" i="102"/>
  <c r="AG30" i="102"/>
  <c r="AB30" i="102"/>
  <c r="AA30" i="102"/>
  <c r="X30" i="102"/>
  <c r="W30" i="102"/>
  <c r="T30" i="102"/>
  <c r="S30" i="102"/>
  <c r="P30" i="102"/>
  <c r="RP29" i="102"/>
  <c r="RO29" i="102"/>
  <c r="RN29" i="102"/>
  <c r="RM29" i="102"/>
  <c r="RD29" i="102"/>
  <c r="RC29" i="102"/>
  <c r="RB29" i="102"/>
  <c r="RA29" i="102"/>
  <c r="QZ29" i="102"/>
  <c r="QY29" i="102"/>
  <c r="QW29" i="102"/>
  <c r="QV29" i="102"/>
  <c r="QU29" i="102"/>
  <c r="QT29" i="102"/>
  <c r="QS29" i="102"/>
  <c r="QR29" i="102"/>
  <c r="QM29" i="102"/>
  <c r="QL29" i="102"/>
  <c r="SE29" i="102"/>
  <c r="MT29" i="102"/>
  <c r="MB29" i="102"/>
  <c r="LV29" i="102"/>
  <c r="LH29" i="102"/>
  <c r="LG29" i="102"/>
  <c r="LF29" i="102"/>
  <c r="JK29" i="102"/>
  <c r="JE29" i="102"/>
  <c r="GL29" i="102" s="1"/>
  <c r="IP29" i="102"/>
  <c r="GK29" i="102" s="1"/>
  <c r="IA29" i="102"/>
  <c r="HL29" i="102"/>
  <c r="GJ29" i="102" s="1"/>
  <c r="GV29" i="102"/>
  <c r="RV29" i="102" s="1"/>
  <c r="GG29" i="102"/>
  <c r="FC29" i="102" s="1"/>
  <c r="FT29" i="102"/>
  <c r="FB29" i="102" s="1"/>
  <c r="FM29" i="102"/>
  <c r="FA29" i="102" s="1"/>
  <c r="EX29" i="102"/>
  <c r="AV29" i="102"/>
  <c r="AS29" i="102"/>
  <c r="AP29" i="102"/>
  <c r="AK29" i="102"/>
  <c r="AG29" i="102"/>
  <c r="AB29" i="102"/>
  <c r="AA29" i="102"/>
  <c r="X29" i="102"/>
  <c r="W29" i="102"/>
  <c r="T29" i="102"/>
  <c r="S29" i="102"/>
  <c r="P29" i="102"/>
  <c r="RP28" i="102"/>
  <c r="RO28" i="102"/>
  <c r="RN28" i="102"/>
  <c r="RM28" i="102"/>
  <c r="RD28" i="102"/>
  <c r="RC28" i="102"/>
  <c r="RB28" i="102"/>
  <c r="RA28" i="102"/>
  <c r="QZ28" i="102"/>
  <c r="QY28" i="102"/>
  <c r="QW28" i="102"/>
  <c r="QV28" i="102"/>
  <c r="QU28" i="102"/>
  <c r="QT28" i="102"/>
  <c r="QS28" i="102"/>
  <c r="QR28" i="102"/>
  <c r="QM28" i="102"/>
  <c r="QL28" i="102"/>
  <c r="SE28" i="102"/>
  <c r="MT28" i="102"/>
  <c r="MB28" i="102"/>
  <c r="LV28" i="102"/>
  <c r="LH28" i="102"/>
  <c r="LG28" i="102"/>
  <c r="LF28" i="102"/>
  <c r="JK28" i="102"/>
  <c r="JE28" i="102"/>
  <c r="GL28" i="102" s="1"/>
  <c r="IP28" i="102"/>
  <c r="GK28" i="102" s="1"/>
  <c r="IA28" i="102"/>
  <c r="HL28" i="102"/>
  <c r="GJ28" i="102" s="1"/>
  <c r="GV28" i="102"/>
  <c r="RV28" i="102" s="1"/>
  <c r="GG28" i="102"/>
  <c r="FC28" i="102" s="1"/>
  <c r="FT28" i="102"/>
  <c r="FB28" i="102" s="1"/>
  <c r="FM28" i="102"/>
  <c r="FA28" i="102" s="1"/>
  <c r="EX28" i="102"/>
  <c r="AV28" i="102"/>
  <c r="AS28" i="102"/>
  <c r="AP28" i="102"/>
  <c r="AK28" i="102"/>
  <c r="AG28" i="102"/>
  <c r="AB28" i="102"/>
  <c r="AA28" i="102"/>
  <c r="X28" i="102"/>
  <c r="W28" i="102"/>
  <c r="T28" i="102"/>
  <c r="S28" i="102"/>
  <c r="P28" i="102"/>
  <c r="RP27" i="102"/>
  <c r="RO27" i="102"/>
  <c r="RN27" i="102"/>
  <c r="RM27" i="102"/>
  <c r="RD27" i="102"/>
  <c r="RC27" i="102"/>
  <c r="RB27" i="102"/>
  <c r="RA27" i="102"/>
  <c r="QZ27" i="102"/>
  <c r="QY27" i="102"/>
  <c r="QW27" i="102"/>
  <c r="QV27" i="102"/>
  <c r="QU27" i="102"/>
  <c r="QT27" i="102"/>
  <c r="QS27" i="102"/>
  <c r="QR27" i="102"/>
  <c r="QM27" i="102"/>
  <c r="QL27" i="102"/>
  <c r="SE27" i="102"/>
  <c r="MT27" i="102"/>
  <c r="MB27" i="102"/>
  <c r="LV27" i="102"/>
  <c r="LH27" i="102"/>
  <c r="LG27" i="102"/>
  <c r="LF27" i="102"/>
  <c r="JK27" i="102"/>
  <c r="JE27" i="102"/>
  <c r="GL27" i="102" s="1"/>
  <c r="IP27" i="102"/>
  <c r="GK27" i="102" s="1"/>
  <c r="IA27" i="102"/>
  <c r="HL27" i="102"/>
  <c r="GJ27" i="102" s="1"/>
  <c r="GV27" i="102"/>
  <c r="RV27" i="102" s="1"/>
  <c r="GG27" i="102"/>
  <c r="FC27" i="102" s="1"/>
  <c r="FT27" i="102"/>
  <c r="FB27" i="102" s="1"/>
  <c r="FM27" i="102"/>
  <c r="FA27" i="102" s="1"/>
  <c r="EX27" i="102"/>
  <c r="AV27" i="102"/>
  <c r="AS27" i="102"/>
  <c r="AP27" i="102"/>
  <c r="AK27" i="102"/>
  <c r="AG27" i="102"/>
  <c r="AB27" i="102"/>
  <c r="AA27" i="102"/>
  <c r="X27" i="102"/>
  <c r="W27" i="102"/>
  <c r="T27" i="102"/>
  <c r="S27" i="102"/>
  <c r="P27" i="102"/>
  <c r="RP26" i="102"/>
  <c r="RO26" i="102"/>
  <c r="RN26" i="102"/>
  <c r="RM26" i="102"/>
  <c r="RD26" i="102"/>
  <c r="RC26" i="102"/>
  <c r="RB26" i="102"/>
  <c r="RA26" i="102"/>
  <c r="QZ26" i="102"/>
  <c r="QY26" i="102"/>
  <c r="QW26" i="102"/>
  <c r="QV26" i="102"/>
  <c r="QU26" i="102"/>
  <c r="QT26" i="102"/>
  <c r="QS26" i="102"/>
  <c r="QR26" i="102"/>
  <c r="QM26" i="102"/>
  <c r="QL26" i="102"/>
  <c r="SE26" i="102"/>
  <c r="MT26" i="102"/>
  <c r="MB26" i="102"/>
  <c r="LV26" i="102"/>
  <c r="LH26" i="102"/>
  <c r="LG26" i="102"/>
  <c r="LF26" i="102"/>
  <c r="JK26" i="102"/>
  <c r="JE26" i="102"/>
  <c r="GL26" i="102" s="1"/>
  <c r="IP26" i="102"/>
  <c r="GK26" i="102" s="1"/>
  <c r="IA26" i="102"/>
  <c r="HL26" i="102"/>
  <c r="GJ26" i="102" s="1"/>
  <c r="GV26" i="102"/>
  <c r="RV26" i="102" s="1"/>
  <c r="GG26" i="102"/>
  <c r="FC26" i="102" s="1"/>
  <c r="FT26" i="102"/>
  <c r="FB26" i="102" s="1"/>
  <c r="FM26" i="102"/>
  <c r="FA26" i="102" s="1"/>
  <c r="EX26" i="102"/>
  <c r="AV26" i="102"/>
  <c r="AS26" i="102"/>
  <c r="AP26" i="102"/>
  <c r="AK26" i="102"/>
  <c r="AG26" i="102"/>
  <c r="AB26" i="102"/>
  <c r="AA26" i="102"/>
  <c r="X26" i="102"/>
  <c r="W26" i="102"/>
  <c r="T26" i="102"/>
  <c r="S26" i="102"/>
  <c r="P26" i="102"/>
  <c r="RP25" i="102"/>
  <c r="RO25" i="102"/>
  <c r="RN25" i="102"/>
  <c r="RM25" i="102"/>
  <c r="RD25" i="102"/>
  <c r="RC25" i="102"/>
  <c r="RB25" i="102"/>
  <c r="RA25" i="102"/>
  <c r="QZ25" i="102"/>
  <c r="QY25" i="102"/>
  <c r="QW25" i="102"/>
  <c r="QV25" i="102"/>
  <c r="QU25" i="102"/>
  <c r="QT25" i="102"/>
  <c r="QS25" i="102"/>
  <c r="QR25" i="102"/>
  <c r="QM25" i="102"/>
  <c r="QL25" i="102"/>
  <c r="SE25" i="102"/>
  <c r="MT25" i="102"/>
  <c r="MB25" i="102"/>
  <c r="LV25" i="102"/>
  <c r="LH25" i="102"/>
  <c r="LG25" i="102"/>
  <c r="LF25" i="102"/>
  <c r="JK25" i="102"/>
  <c r="JE25" i="102"/>
  <c r="GL25" i="102" s="1"/>
  <c r="IP25" i="102"/>
  <c r="GK25" i="102" s="1"/>
  <c r="IA25" i="102"/>
  <c r="HL25" i="102"/>
  <c r="GJ25" i="102" s="1"/>
  <c r="GV25" i="102"/>
  <c r="RV25" i="102" s="1"/>
  <c r="GG25" i="102"/>
  <c r="FC25" i="102" s="1"/>
  <c r="FT25" i="102"/>
  <c r="FB25" i="102" s="1"/>
  <c r="FM25" i="102"/>
  <c r="FA25" i="102" s="1"/>
  <c r="EX25" i="102"/>
  <c r="AV25" i="102"/>
  <c r="AS25" i="102"/>
  <c r="AP25" i="102"/>
  <c r="AK25" i="102"/>
  <c r="AG25" i="102"/>
  <c r="AB25" i="102"/>
  <c r="AA25" i="102"/>
  <c r="X25" i="102"/>
  <c r="W25" i="102"/>
  <c r="T25" i="102"/>
  <c r="S25" i="102"/>
  <c r="P25" i="102"/>
  <c r="RP24" i="102"/>
  <c r="RO24" i="102"/>
  <c r="RN24" i="102"/>
  <c r="RM24" i="102"/>
  <c r="RD24" i="102"/>
  <c r="RC24" i="102"/>
  <c r="RB24" i="102"/>
  <c r="RA24" i="102"/>
  <c r="QZ24" i="102"/>
  <c r="QY24" i="102"/>
  <c r="QW24" i="102"/>
  <c r="QV24" i="102"/>
  <c r="QU24" i="102"/>
  <c r="QT24" i="102"/>
  <c r="QS24" i="102"/>
  <c r="QR24" i="102"/>
  <c r="QM24" i="102"/>
  <c r="QL24" i="102"/>
  <c r="SE24" i="102"/>
  <c r="OH24" i="102"/>
  <c r="OH25" i="102" s="1"/>
  <c r="OH26" i="102" s="1"/>
  <c r="OH27" i="102" s="1"/>
  <c r="OH28" i="102" s="1"/>
  <c r="OH29" i="102" s="1"/>
  <c r="OH30" i="102" s="1"/>
  <c r="OH31" i="102" s="1"/>
  <c r="OH32" i="102" s="1"/>
  <c r="OH33" i="102" s="1"/>
  <c r="OH34" i="102" s="1"/>
  <c r="OH35" i="102" s="1"/>
  <c r="OH36" i="102" s="1"/>
  <c r="OH37" i="102" s="1"/>
  <c r="OH38" i="102" s="1"/>
  <c r="OH39" i="102" s="1"/>
  <c r="OH40" i="102" s="1"/>
  <c r="OH41" i="102" s="1"/>
  <c r="OH42" i="102" s="1"/>
  <c r="OH44" i="102" s="1"/>
  <c r="MT24" i="102"/>
  <c r="MB24" i="102"/>
  <c r="LV24" i="102"/>
  <c r="LH24" i="102"/>
  <c r="LG24" i="102"/>
  <c r="LF24" i="102"/>
  <c r="JK24" i="102"/>
  <c r="JE24" i="102"/>
  <c r="GL24" i="102" s="1"/>
  <c r="IP24" i="102"/>
  <c r="GK24" i="102" s="1"/>
  <c r="IA24" i="102"/>
  <c r="HL24" i="102"/>
  <c r="GJ24" i="102" s="1"/>
  <c r="GV24" i="102"/>
  <c r="RV24" i="102" s="1"/>
  <c r="GG24" i="102"/>
  <c r="FC24" i="102" s="1"/>
  <c r="FT24" i="102"/>
  <c r="FB24" i="102" s="1"/>
  <c r="FM24" i="102"/>
  <c r="FA24" i="102" s="1"/>
  <c r="EX24" i="102"/>
  <c r="AV24" i="102"/>
  <c r="AS24" i="102"/>
  <c r="AP24" i="102"/>
  <c r="AK24" i="102"/>
  <c r="AG24" i="102"/>
  <c r="AB24" i="102"/>
  <c r="AA24" i="102"/>
  <c r="X24" i="102"/>
  <c r="W24" i="102"/>
  <c r="T24" i="102"/>
  <c r="S24" i="102"/>
  <c r="P24" i="102"/>
  <c r="RP23" i="102"/>
  <c r="RO23" i="102"/>
  <c r="RN23" i="102"/>
  <c r="RM23" i="102"/>
  <c r="RD23" i="102"/>
  <c r="RC23" i="102"/>
  <c r="RB23" i="102"/>
  <c r="RA23" i="102"/>
  <c r="QZ23" i="102"/>
  <c r="QY23" i="102"/>
  <c r="QW23" i="102"/>
  <c r="QV23" i="102"/>
  <c r="QU23" i="102"/>
  <c r="QT23" i="102"/>
  <c r="QS23" i="102"/>
  <c r="QR23" i="102"/>
  <c r="QM23" i="102"/>
  <c r="QL23" i="102"/>
  <c r="SE23" i="102"/>
  <c r="MT23" i="102"/>
  <c r="MB23" i="102"/>
  <c r="LV23" i="102"/>
  <c r="LH23" i="102"/>
  <c r="LG23" i="102"/>
  <c r="LF23" i="102"/>
  <c r="JK23" i="102"/>
  <c r="JE23" i="102"/>
  <c r="GL23" i="102" s="1"/>
  <c r="IP23" i="102"/>
  <c r="GK23" i="102" s="1"/>
  <c r="IA23" i="102"/>
  <c r="HL23" i="102"/>
  <c r="GJ23" i="102" s="1"/>
  <c r="GV23" i="102"/>
  <c r="RV23" i="102" s="1"/>
  <c r="GG23" i="102"/>
  <c r="FC23" i="102" s="1"/>
  <c r="FT23" i="102"/>
  <c r="FB23" i="102" s="1"/>
  <c r="FM23" i="102"/>
  <c r="FA23" i="102" s="1"/>
  <c r="EX23" i="102"/>
  <c r="AV23" i="102"/>
  <c r="AS23" i="102"/>
  <c r="AP23" i="102"/>
  <c r="AK23" i="102"/>
  <c r="AG23" i="102"/>
  <c r="AB23" i="102"/>
  <c r="AA23" i="102"/>
  <c r="X23" i="102"/>
  <c r="W23" i="102"/>
  <c r="T23" i="102"/>
  <c r="S23" i="102"/>
  <c r="P23" i="102"/>
  <c r="RP22" i="102"/>
  <c r="RO22" i="102"/>
  <c r="RN22" i="102"/>
  <c r="RM22" i="102"/>
  <c r="RD22" i="102"/>
  <c r="RC22" i="102"/>
  <c r="RB22" i="102"/>
  <c r="RA22" i="102"/>
  <c r="QZ22" i="102"/>
  <c r="QY22" i="102"/>
  <c r="QW22" i="102"/>
  <c r="QV22" i="102"/>
  <c r="QU22" i="102"/>
  <c r="QT22" i="102"/>
  <c r="QS22" i="102"/>
  <c r="QR22" i="102"/>
  <c r="QM22" i="102"/>
  <c r="QL22" i="102"/>
  <c r="SE22" i="102"/>
  <c r="MT22" i="102"/>
  <c r="MB22" i="102"/>
  <c r="LV22" i="102"/>
  <c r="LH22" i="102"/>
  <c r="LG22" i="102"/>
  <c r="LF22" i="102"/>
  <c r="JK22" i="102"/>
  <c r="JE22" i="102"/>
  <c r="GL22" i="102" s="1"/>
  <c r="IP22" i="102"/>
  <c r="GK22" i="102" s="1"/>
  <c r="IA22" i="102"/>
  <c r="HL22" i="102"/>
  <c r="GJ22" i="102" s="1"/>
  <c r="GV22" i="102"/>
  <c r="RV22" i="102" s="1"/>
  <c r="GG22" i="102"/>
  <c r="FC22" i="102" s="1"/>
  <c r="FT22" i="102"/>
  <c r="FB22" i="102" s="1"/>
  <c r="FM22" i="102"/>
  <c r="FA22" i="102" s="1"/>
  <c r="EX22" i="102"/>
  <c r="AV22" i="102"/>
  <c r="AS22" i="102"/>
  <c r="AP22" i="102"/>
  <c r="AK22" i="102"/>
  <c r="AG22" i="102"/>
  <c r="AB22" i="102"/>
  <c r="AA22" i="102"/>
  <c r="X22" i="102"/>
  <c r="W22" i="102"/>
  <c r="T22" i="102"/>
  <c r="S22" i="102"/>
  <c r="P22" i="102"/>
  <c r="RP21" i="102"/>
  <c r="RO21" i="102"/>
  <c r="RN21" i="102"/>
  <c r="RM21" i="102"/>
  <c r="RD21" i="102"/>
  <c r="RC21" i="102"/>
  <c r="RB21" i="102"/>
  <c r="RA21" i="102"/>
  <c r="QZ21" i="102"/>
  <c r="QY21" i="102"/>
  <c r="QW21" i="102"/>
  <c r="QV21" i="102"/>
  <c r="QU21" i="102"/>
  <c r="QT21" i="102"/>
  <c r="QS21" i="102"/>
  <c r="QR21" i="102"/>
  <c r="QM21" i="102"/>
  <c r="QL21" i="102"/>
  <c r="SE21" i="102"/>
  <c r="OH21" i="102"/>
  <c r="MT21" i="102"/>
  <c r="MB21" i="102"/>
  <c r="LV21" i="102"/>
  <c r="LH21" i="102"/>
  <c r="LG21" i="102"/>
  <c r="LF21" i="102"/>
  <c r="JK21" i="102"/>
  <c r="JE21" i="102"/>
  <c r="GL21" i="102" s="1"/>
  <c r="IP21" i="102"/>
  <c r="GK21" i="102" s="1"/>
  <c r="IA21" i="102"/>
  <c r="HL21" i="102"/>
  <c r="GJ21" i="102" s="1"/>
  <c r="GV21" i="102"/>
  <c r="RV21" i="102" s="1"/>
  <c r="GG21" i="102"/>
  <c r="FC21" i="102" s="1"/>
  <c r="FT21" i="102"/>
  <c r="FB21" i="102" s="1"/>
  <c r="FM21" i="102"/>
  <c r="FA21" i="102" s="1"/>
  <c r="EX21" i="102"/>
  <c r="AV21" i="102"/>
  <c r="AS21" i="102"/>
  <c r="AP21" i="102"/>
  <c r="AK21" i="102"/>
  <c r="AG21" i="102"/>
  <c r="AB21" i="102"/>
  <c r="AA21" i="102"/>
  <c r="X21" i="102"/>
  <c r="W21" i="102"/>
  <c r="T21" i="102"/>
  <c r="S21" i="102"/>
  <c r="P21" i="102"/>
  <c r="RP20" i="102"/>
  <c r="RO20" i="102"/>
  <c r="RN20" i="102"/>
  <c r="RM20" i="102"/>
  <c r="RD20" i="102"/>
  <c r="RC20" i="102"/>
  <c r="RB20" i="102"/>
  <c r="RA20" i="102"/>
  <c r="QZ20" i="102"/>
  <c r="QY20" i="102"/>
  <c r="QW20" i="102"/>
  <c r="QV20" i="102"/>
  <c r="QU20" i="102"/>
  <c r="QT20" i="102"/>
  <c r="QS20" i="102"/>
  <c r="QR20" i="102"/>
  <c r="QM20" i="102"/>
  <c r="QL20" i="102"/>
  <c r="SE20" i="102"/>
  <c r="MT20" i="102"/>
  <c r="MB20" i="102"/>
  <c r="LV20" i="102"/>
  <c r="LH20" i="102"/>
  <c r="LG20" i="102"/>
  <c r="LF20" i="102"/>
  <c r="JK20" i="102"/>
  <c r="JE20" i="102"/>
  <c r="GL20" i="102" s="1"/>
  <c r="IP20" i="102"/>
  <c r="GK20" i="102" s="1"/>
  <c r="IA20" i="102"/>
  <c r="HL20" i="102"/>
  <c r="GJ20" i="102" s="1"/>
  <c r="GV20" i="102"/>
  <c r="RV20" i="102" s="1"/>
  <c r="GG20" i="102"/>
  <c r="FC20" i="102" s="1"/>
  <c r="FT20" i="102"/>
  <c r="FB20" i="102" s="1"/>
  <c r="FM20" i="102"/>
  <c r="FA20" i="102" s="1"/>
  <c r="EX20" i="102"/>
  <c r="AV20" i="102"/>
  <c r="AS20" i="102"/>
  <c r="AP20" i="102"/>
  <c r="AK20" i="102"/>
  <c r="AG20" i="102"/>
  <c r="AB20" i="102"/>
  <c r="AA20" i="102"/>
  <c r="X20" i="102"/>
  <c r="W20" i="102"/>
  <c r="T20" i="102"/>
  <c r="S20" i="102"/>
  <c r="P20" i="102"/>
  <c r="RP19" i="102"/>
  <c r="RO19" i="102"/>
  <c r="RN19" i="102"/>
  <c r="RM19" i="102"/>
  <c r="RD19" i="102"/>
  <c r="RC19" i="102"/>
  <c r="RB19" i="102"/>
  <c r="RA19" i="102"/>
  <c r="QZ19" i="102"/>
  <c r="QY19" i="102"/>
  <c r="QW19" i="102"/>
  <c r="QV19" i="102"/>
  <c r="QU19" i="102"/>
  <c r="QT19" i="102"/>
  <c r="QS19" i="102"/>
  <c r="QR19" i="102"/>
  <c r="QM19" i="102"/>
  <c r="QL19" i="102"/>
  <c r="SE19" i="102"/>
  <c r="MT19" i="102"/>
  <c r="MB19" i="102"/>
  <c r="LV19" i="102"/>
  <c r="LH19" i="102"/>
  <c r="RJ19" i="102" s="1"/>
  <c r="LG19" i="102"/>
  <c r="RI19" i="102" s="1"/>
  <c r="LF19" i="102"/>
  <c r="RH19" i="102" s="1"/>
  <c r="JK19" i="102"/>
  <c r="JE19" i="102"/>
  <c r="GL19" i="102" s="1"/>
  <c r="IP19" i="102"/>
  <c r="GK19" i="102" s="1"/>
  <c r="IA19" i="102"/>
  <c r="HL19" i="102"/>
  <c r="GJ19" i="102" s="1"/>
  <c r="GV19" i="102"/>
  <c r="RV19" i="102" s="1"/>
  <c r="GG19" i="102"/>
  <c r="FC19" i="102" s="1"/>
  <c r="FT19" i="102"/>
  <c r="FB19" i="102" s="1"/>
  <c r="FM19" i="102"/>
  <c r="FA19" i="102" s="1"/>
  <c r="EX19" i="102"/>
  <c r="AV19" i="102"/>
  <c r="AS19" i="102"/>
  <c r="AP19" i="102"/>
  <c r="AK19" i="102"/>
  <c r="AG19" i="102"/>
  <c r="AB19" i="102"/>
  <c r="AA19" i="102"/>
  <c r="X19" i="102"/>
  <c r="W19" i="102"/>
  <c r="T19" i="102"/>
  <c r="S19" i="102"/>
  <c r="P19" i="102"/>
  <c r="RP18" i="102"/>
  <c r="RO18" i="102"/>
  <c r="RN18" i="102"/>
  <c r="RM18" i="102"/>
  <c r="RK18" i="102"/>
  <c r="RD18" i="102"/>
  <c r="RC18" i="102"/>
  <c r="RB18" i="102"/>
  <c r="RA18" i="102"/>
  <c r="QZ18" i="102"/>
  <c r="QY18" i="102"/>
  <c r="QW18" i="102"/>
  <c r="QV18" i="102"/>
  <c r="QU18" i="102"/>
  <c r="QT18" i="102"/>
  <c r="QS18" i="102"/>
  <c r="QR18" i="102"/>
  <c r="QM18" i="102"/>
  <c r="QL18" i="102"/>
  <c r="SE18" i="102"/>
  <c r="MT18" i="102"/>
  <c r="MB18" i="102"/>
  <c r="LV18" i="102"/>
  <c r="LH18" i="102"/>
  <c r="LG18" i="102"/>
  <c r="LF18" i="102"/>
  <c r="JE18" i="102"/>
  <c r="GL18" i="102" s="1"/>
  <c r="IP18" i="102"/>
  <c r="GK18" i="102" s="1"/>
  <c r="IA18" i="102"/>
  <c r="HL18" i="102"/>
  <c r="GJ18" i="102" s="1"/>
  <c r="GV18" i="102"/>
  <c r="RV18" i="102" s="1"/>
  <c r="GG18" i="102"/>
  <c r="FC18" i="102" s="1"/>
  <c r="FT18" i="102"/>
  <c r="FB18" i="102" s="1"/>
  <c r="FM18" i="102"/>
  <c r="FA18" i="102" s="1"/>
  <c r="EX18" i="102"/>
  <c r="AV18" i="102"/>
  <c r="AS18" i="102"/>
  <c r="AP18" i="102"/>
  <c r="AK18" i="102"/>
  <c r="AG18" i="102"/>
  <c r="AB18" i="102"/>
  <c r="AA18" i="102"/>
  <c r="X18" i="102"/>
  <c r="W18" i="102"/>
  <c r="T18" i="102"/>
  <c r="S18" i="102"/>
  <c r="P18" i="102"/>
  <c r="RP17" i="102"/>
  <c r="RO17" i="102"/>
  <c r="RN17" i="102"/>
  <c r="RM17" i="102"/>
  <c r="RD17" i="102"/>
  <c r="RC17" i="102"/>
  <c r="RB17" i="102"/>
  <c r="RA17" i="102"/>
  <c r="QZ17" i="102"/>
  <c r="QY17" i="102"/>
  <c r="QW17" i="102"/>
  <c r="QV17" i="102"/>
  <c r="QU17" i="102"/>
  <c r="QT17" i="102"/>
  <c r="QS17" i="102"/>
  <c r="QR17" i="102"/>
  <c r="QM17" i="102"/>
  <c r="QL17" i="102"/>
  <c r="SE17" i="102"/>
  <c r="MT17" i="102"/>
  <c r="MB17" i="102"/>
  <c r="LV17" i="102"/>
  <c r="LH17" i="102"/>
  <c r="LG17" i="102"/>
  <c r="LF17" i="102"/>
  <c r="JK17" i="102"/>
  <c r="IA17" i="102"/>
  <c r="GV17" i="102"/>
  <c r="RV17" i="102" s="1"/>
  <c r="GG17" i="102"/>
  <c r="FC17" i="102" s="1"/>
  <c r="FT17" i="102"/>
  <c r="FB17" i="102" s="1"/>
  <c r="FM17" i="102"/>
  <c r="FA17" i="102" s="1"/>
  <c r="EX17" i="102"/>
  <c r="AV17" i="102"/>
  <c r="AS17" i="102"/>
  <c r="AP17" i="102"/>
  <c r="AK17" i="102"/>
  <c r="AG17" i="102"/>
  <c r="AB17" i="102"/>
  <c r="AA17" i="102"/>
  <c r="X17" i="102"/>
  <c r="W17" i="102"/>
  <c r="T17" i="102"/>
  <c r="S17" i="102"/>
  <c r="P17" i="102"/>
  <c r="RP16" i="102"/>
  <c r="RO16" i="102"/>
  <c r="RN16" i="102"/>
  <c r="RM16" i="102"/>
  <c r="RD16" i="102"/>
  <c r="RC16" i="102"/>
  <c r="RB16" i="102"/>
  <c r="RA16" i="102"/>
  <c r="QZ16" i="102"/>
  <c r="QY16" i="102"/>
  <c r="QW16" i="102"/>
  <c r="QV16" i="102"/>
  <c r="QU16" i="102"/>
  <c r="QT16" i="102"/>
  <c r="QS16" i="102"/>
  <c r="QR16" i="102"/>
  <c r="QM16" i="102"/>
  <c r="QL16" i="102"/>
  <c r="SE16" i="102"/>
  <c r="MT16" i="102"/>
  <c r="MB16" i="102"/>
  <c r="LV16" i="102"/>
  <c r="LH16" i="102"/>
  <c r="LG16" i="102"/>
  <c r="LF16" i="102"/>
  <c r="JK16" i="102"/>
  <c r="JE16" i="102"/>
  <c r="GL16" i="102" s="1"/>
  <c r="IP16" i="102"/>
  <c r="GK16" i="102" s="1"/>
  <c r="IA16" i="102"/>
  <c r="HL16" i="102"/>
  <c r="GJ16" i="102" s="1"/>
  <c r="GV16" i="102"/>
  <c r="RV16" i="102" s="1"/>
  <c r="GG16" i="102"/>
  <c r="FC16" i="102" s="1"/>
  <c r="FT16" i="102"/>
  <c r="FB16" i="102" s="1"/>
  <c r="FM16" i="102"/>
  <c r="FA16" i="102" s="1"/>
  <c r="EX16" i="102"/>
  <c r="AV16" i="102"/>
  <c r="AS16" i="102"/>
  <c r="AP16" i="102"/>
  <c r="AK16" i="102"/>
  <c r="AG16" i="102"/>
  <c r="AB16" i="102"/>
  <c r="AA16" i="102"/>
  <c r="X16" i="102"/>
  <c r="W16" i="102"/>
  <c r="T16" i="102"/>
  <c r="S16" i="102"/>
  <c r="P16" i="102"/>
  <c r="RP15" i="102"/>
  <c r="RO15" i="102"/>
  <c r="RN15" i="102"/>
  <c r="RM15" i="102"/>
  <c r="RD15" i="102"/>
  <c r="RC15" i="102"/>
  <c r="RB15" i="102"/>
  <c r="RA15" i="102"/>
  <c r="QZ15" i="102"/>
  <c r="QY15" i="102"/>
  <c r="QW15" i="102"/>
  <c r="QV15" i="102"/>
  <c r="QU15" i="102"/>
  <c r="QT15" i="102"/>
  <c r="QS15" i="102"/>
  <c r="QR15" i="102"/>
  <c r="QM15" i="102"/>
  <c r="QL15" i="102"/>
  <c r="SE15" i="102"/>
  <c r="MT15" i="102"/>
  <c r="MB15" i="102"/>
  <c r="LV15" i="102"/>
  <c r="LH15" i="102"/>
  <c r="LG15" i="102"/>
  <c r="LF15" i="102"/>
  <c r="JK15" i="102"/>
  <c r="JE15" i="102"/>
  <c r="GL15" i="102" s="1"/>
  <c r="IP15" i="102"/>
  <c r="GK15" i="102" s="1"/>
  <c r="IA15" i="102"/>
  <c r="HL15" i="102"/>
  <c r="GJ15" i="102" s="1"/>
  <c r="GV15" i="102"/>
  <c r="RV15" i="102" s="1"/>
  <c r="GG15" i="102"/>
  <c r="FC15" i="102" s="1"/>
  <c r="FT15" i="102"/>
  <c r="FB15" i="102" s="1"/>
  <c r="FM15" i="102"/>
  <c r="FA15" i="102" s="1"/>
  <c r="EX15" i="102"/>
  <c r="AV15" i="102"/>
  <c r="AS15" i="102"/>
  <c r="AP15" i="102"/>
  <c r="AK15" i="102"/>
  <c r="AG15" i="102"/>
  <c r="AB15" i="102"/>
  <c r="AA15" i="102"/>
  <c r="X15" i="102"/>
  <c r="W15" i="102"/>
  <c r="T15" i="102"/>
  <c r="S15" i="102"/>
  <c r="P15" i="102"/>
  <c r="RP14" i="102"/>
  <c r="RO14" i="102"/>
  <c r="RN14" i="102"/>
  <c r="RM14" i="102"/>
  <c r="RD14" i="102"/>
  <c r="RC14" i="102"/>
  <c r="RB14" i="102"/>
  <c r="RA14" i="102"/>
  <c r="QZ14" i="102"/>
  <c r="QY14" i="102"/>
  <c r="QW14" i="102"/>
  <c r="QV14" i="102"/>
  <c r="QU14" i="102"/>
  <c r="QT14" i="102"/>
  <c r="QS14" i="102"/>
  <c r="QR14" i="102"/>
  <c r="QM14" i="102"/>
  <c r="QL14" i="102"/>
  <c r="SE14" i="102"/>
  <c r="MT14" i="102"/>
  <c r="MB14" i="102"/>
  <c r="LV14" i="102"/>
  <c r="LH14" i="102"/>
  <c r="LG14" i="102"/>
  <c r="LF14" i="102"/>
  <c r="JK14" i="102"/>
  <c r="JE14" i="102"/>
  <c r="GL14" i="102" s="1"/>
  <c r="IP14" i="102"/>
  <c r="GK14" i="102" s="1"/>
  <c r="IA14" i="102"/>
  <c r="HL14" i="102"/>
  <c r="GJ14" i="102" s="1"/>
  <c r="GV14" i="102"/>
  <c r="RV14" i="102" s="1"/>
  <c r="GG14" i="102"/>
  <c r="FC14" i="102" s="1"/>
  <c r="FT14" i="102"/>
  <c r="FB14" i="102" s="1"/>
  <c r="FM14" i="102"/>
  <c r="FA14" i="102" s="1"/>
  <c r="EX14" i="102"/>
  <c r="AV14" i="102"/>
  <c r="AS14" i="102"/>
  <c r="AP14" i="102"/>
  <c r="AK14" i="102"/>
  <c r="AG14" i="102"/>
  <c r="AB14" i="102"/>
  <c r="AA14" i="102"/>
  <c r="X14" i="102"/>
  <c r="W14" i="102"/>
  <c r="T14" i="102"/>
  <c r="S14" i="102"/>
  <c r="P14" i="102"/>
  <c r="RP13" i="102"/>
  <c r="RO13" i="102"/>
  <c r="RN13" i="102"/>
  <c r="RM13" i="102"/>
  <c r="RD13" i="102"/>
  <c r="RC13" i="102"/>
  <c r="RB13" i="102"/>
  <c r="RA13" i="102"/>
  <c r="QZ13" i="102"/>
  <c r="QY13" i="102"/>
  <c r="QW13" i="102"/>
  <c r="QV13" i="102"/>
  <c r="QU13" i="102"/>
  <c r="QT13" i="102"/>
  <c r="QS13" i="102"/>
  <c r="QR13" i="102"/>
  <c r="QM13" i="102"/>
  <c r="QL13" i="102"/>
  <c r="SE13" i="102"/>
  <c r="MT13" i="102"/>
  <c r="MB13" i="102"/>
  <c r="LV13" i="102"/>
  <c r="LH13" i="102"/>
  <c r="LG13" i="102"/>
  <c r="LF13" i="102"/>
  <c r="JK13" i="102"/>
  <c r="JE13" i="102"/>
  <c r="GL13" i="102" s="1"/>
  <c r="IP13" i="102"/>
  <c r="GK13" i="102" s="1"/>
  <c r="IA13" i="102"/>
  <c r="HL13" i="102"/>
  <c r="GJ13" i="102" s="1"/>
  <c r="GV13" i="102"/>
  <c r="RV13" i="102" s="1"/>
  <c r="GG13" i="102"/>
  <c r="FC13" i="102" s="1"/>
  <c r="FT13" i="102"/>
  <c r="FB13" i="102" s="1"/>
  <c r="FM13" i="102"/>
  <c r="FA13" i="102" s="1"/>
  <c r="EX13" i="102"/>
  <c r="AV13" i="102"/>
  <c r="AS13" i="102"/>
  <c r="AP13" i="102"/>
  <c r="AK13" i="102"/>
  <c r="AG13" i="102"/>
  <c r="AB13" i="102"/>
  <c r="AA13" i="102"/>
  <c r="X13" i="102"/>
  <c r="W13" i="102"/>
  <c r="T13" i="102"/>
  <c r="S13" i="102"/>
  <c r="P13" i="102"/>
  <c r="RP12" i="102"/>
  <c r="RO12" i="102"/>
  <c r="RN12" i="102"/>
  <c r="RM12" i="102"/>
  <c r="RD12" i="102"/>
  <c r="RC12" i="102"/>
  <c r="RB12" i="102"/>
  <c r="RA12" i="102"/>
  <c r="QZ12" i="102"/>
  <c r="QY12" i="102"/>
  <c r="QW12" i="102"/>
  <c r="QV12" i="102"/>
  <c r="QU12" i="102"/>
  <c r="QT12" i="102"/>
  <c r="QS12" i="102"/>
  <c r="QR12" i="102"/>
  <c r="QM12" i="102"/>
  <c r="QL12" i="102"/>
  <c r="SE12" i="102"/>
  <c r="MT12" i="102"/>
  <c r="MB12" i="102"/>
  <c r="LV12" i="102"/>
  <c r="LH12" i="102"/>
  <c r="LG12" i="102"/>
  <c r="LF12" i="102"/>
  <c r="JK12" i="102"/>
  <c r="JE12" i="102"/>
  <c r="GL12" i="102" s="1"/>
  <c r="IP12" i="102"/>
  <c r="GK12" i="102" s="1"/>
  <c r="IA12" i="102"/>
  <c r="HL12" i="102"/>
  <c r="GJ12" i="102" s="1"/>
  <c r="GV12" i="102"/>
  <c r="RV12" i="102" s="1"/>
  <c r="GG12" i="102"/>
  <c r="FC12" i="102" s="1"/>
  <c r="FT12" i="102"/>
  <c r="FB12" i="102" s="1"/>
  <c r="FM12" i="102"/>
  <c r="FA12" i="102" s="1"/>
  <c r="EX12" i="102"/>
  <c r="AV12" i="102"/>
  <c r="AS12" i="102"/>
  <c r="AP12" i="102"/>
  <c r="AK12" i="102"/>
  <c r="AG12" i="102"/>
  <c r="AB12" i="102"/>
  <c r="AA12" i="102"/>
  <c r="X12" i="102"/>
  <c r="W12" i="102"/>
  <c r="T12" i="102"/>
  <c r="S12" i="102"/>
  <c r="P12" i="102"/>
  <c r="Q12" i="102" s="1"/>
  <c r="RP11" i="102"/>
  <c r="RO11" i="102"/>
  <c r="RN11" i="102"/>
  <c r="RM11" i="102"/>
  <c r="RD11" i="102"/>
  <c r="RC11" i="102"/>
  <c r="RB11" i="102"/>
  <c r="RA11" i="102"/>
  <c r="QZ11" i="102"/>
  <c r="QY11" i="102"/>
  <c r="QW11" i="102"/>
  <c r="QV11" i="102"/>
  <c r="QU11" i="102"/>
  <c r="QT11" i="102"/>
  <c r="QS11" i="102"/>
  <c r="QR11" i="102"/>
  <c r="QM11" i="102"/>
  <c r="QL11" i="102"/>
  <c r="SE11" i="102"/>
  <c r="MT11" i="102"/>
  <c r="MB11" i="102"/>
  <c r="LV11" i="102"/>
  <c r="LH11" i="102"/>
  <c r="LG11" i="102"/>
  <c r="LF11" i="102"/>
  <c r="JK11" i="102"/>
  <c r="JE11" i="102"/>
  <c r="GL11" i="102" s="1"/>
  <c r="IP11" i="102"/>
  <c r="GK11" i="102" s="1"/>
  <c r="IA11" i="102"/>
  <c r="HL11" i="102"/>
  <c r="GJ11" i="102" s="1"/>
  <c r="GV11" i="102"/>
  <c r="RV11" i="102" s="1"/>
  <c r="GG11" i="102"/>
  <c r="FC11" i="102" s="1"/>
  <c r="FT11" i="102"/>
  <c r="FB11" i="102" s="1"/>
  <c r="FM11" i="102"/>
  <c r="FA11" i="102" s="1"/>
  <c r="EX11" i="102"/>
  <c r="AV11" i="102"/>
  <c r="AS11" i="102"/>
  <c r="AP11" i="102"/>
  <c r="AK11" i="102"/>
  <c r="AG11" i="102"/>
  <c r="AB11" i="102"/>
  <c r="AA11" i="102"/>
  <c r="X11" i="102"/>
  <c r="W11" i="102"/>
  <c r="T11" i="102"/>
  <c r="S11" i="102"/>
  <c r="P11" i="102"/>
  <c r="Q11" i="102" s="1"/>
  <c r="RP10" i="102"/>
  <c r="RO10" i="102"/>
  <c r="RN10" i="102"/>
  <c r="RM10" i="102"/>
  <c r="RD10" i="102"/>
  <c r="RC10" i="102"/>
  <c r="RB10" i="102"/>
  <c r="RA10" i="102"/>
  <c r="QZ10" i="102"/>
  <c r="QY10" i="102"/>
  <c r="QW10" i="102"/>
  <c r="QV10" i="102"/>
  <c r="QU10" i="102"/>
  <c r="QT10" i="102"/>
  <c r="QS10" i="102"/>
  <c r="QR10" i="102"/>
  <c r="QM10" i="102"/>
  <c r="QL10" i="102"/>
  <c r="SE10" i="102"/>
  <c r="OJ10" i="102"/>
  <c r="OJ11" i="102" s="1"/>
  <c r="OJ12" i="102" s="1"/>
  <c r="OJ13" i="102" s="1"/>
  <c r="OJ14" i="102" s="1"/>
  <c r="OJ15" i="102" s="1"/>
  <c r="OJ16" i="102" s="1"/>
  <c r="OJ17" i="102" s="1"/>
  <c r="OJ18" i="102" s="1"/>
  <c r="OJ19" i="102" s="1"/>
  <c r="OJ20" i="102" s="1"/>
  <c r="OJ21" i="102" s="1"/>
  <c r="OJ22" i="102" s="1"/>
  <c r="OJ23" i="102" s="1"/>
  <c r="OJ24" i="102" s="1"/>
  <c r="OJ25" i="102" s="1"/>
  <c r="OJ26" i="102" s="1"/>
  <c r="OJ27" i="102" s="1"/>
  <c r="OJ28" i="102" s="1"/>
  <c r="OJ29" i="102" s="1"/>
  <c r="OJ30" i="102" s="1"/>
  <c r="OJ31" i="102" s="1"/>
  <c r="OJ32" i="102" s="1"/>
  <c r="OJ33" i="102" s="1"/>
  <c r="OJ34" i="102" s="1"/>
  <c r="OJ35" i="102" s="1"/>
  <c r="OJ36" i="102" s="1"/>
  <c r="OJ37" i="102" s="1"/>
  <c r="OJ38" i="102" s="1"/>
  <c r="OJ39" i="102" s="1"/>
  <c r="OJ40" i="102" s="1"/>
  <c r="OJ41" i="102" s="1"/>
  <c r="OI10" i="102"/>
  <c r="OI11" i="102" s="1"/>
  <c r="OI12" i="102" s="1"/>
  <c r="OI13" i="102" s="1"/>
  <c r="OI14" i="102" s="1"/>
  <c r="OI15" i="102" s="1"/>
  <c r="OI16" i="102" s="1"/>
  <c r="OI17" i="102" s="1"/>
  <c r="OI18" i="102" s="1"/>
  <c r="OI19" i="102" s="1"/>
  <c r="OI20" i="102" s="1"/>
  <c r="OI21" i="102" s="1"/>
  <c r="OI22" i="102" s="1"/>
  <c r="OI23" i="102" s="1"/>
  <c r="OI24" i="102" s="1"/>
  <c r="OI25" i="102" s="1"/>
  <c r="OI26" i="102" s="1"/>
  <c r="OI27" i="102" s="1"/>
  <c r="OI28" i="102" s="1"/>
  <c r="OI29" i="102" s="1"/>
  <c r="OI30" i="102" s="1"/>
  <c r="OI31" i="102" s="1"/>
  <c r="OI32" i="102" s="1"/>
  <c r="OI33" i="102" s="1"/>
  <c r="OI34" i="102" s="1"/>
  <c r="OI35" i="102" s="1"/>
  <c r="OI36" i="102" s="1"/>
  <c r="OI37" i="102" s="1"/>
  <c r="OI38" i="102" s="1"/>
  <c r="OI39" i="102" s="1"/>
  <c r="OI40" i="102" s="1"/>
  <c r="OI41" i="102" s="1"/>
  <c r="OI42" i="102" s="1"/>
  <c r="OH10" i="102"/>
  <c r="OH11" i="102" s="1"/>
  <c r="OH12" i="102" s="1"/>
  <c r="OH13" i="102" s="1"/>
  <c r="OH14" i="102" s="1"/>
  <c r="OH15" i="102" s="1"/>
  <c r="OH16" i="102" s="1"/>
  <c r="OH17" i="102" s="1"/>
  <c r="OH18" i="102" s="1"/>
  <c r="OH19" i="102" s="1"/>
  <c r="OG10" i="102"/>
  <c r="OF10" i="102"/>
  <c r="OD41" i="102"/>
  <c r="OD42" i="102" s="1"/>
  <c r="NZ10" i="102"/>
  <c r="NZ11" i="102" s="1"/>
  <c r="NZ12" i="102" s="1"/>
  <c r="NZ13" i="102" s="1"/>
  <c r="NZ14" i="102" s="1"/>
  <c r="NZ15" i="102" s="1"/>
  <c r="NZ16" i="102" s="1"/>
  <c r="NZ17" i="102" s="1"/>
  <c r="NZ18" i="102" s="1"/>
  <c r="NZ19" i="102" s="1"/>
  <c r="NZ20" i="102" s="1"/>
  <c r="NZ21" i="102" s="1"/>
  <c r="NZ22" i="102" s="1"/>
  <c r="NZ23" i="102" s="1"/>
  <c r="NZ24" i="102" s="1"/>
  <c r="NZ25" i="102" s="1"/>
  <c r="NZ26" i="102" s="1"/>
  <c r="NZ27" i="102" s="1"/>
  <c r="NZ28" i="102" s="1"/>
  <c r="NZ29" i="102" s="1"/>
  <c r="NZ30" i="102" s="1"/>
  <c r="NZ31" i="102" s="1"/>
  <c r="NZ32" i="102" s="1"/>
  <c r="NZ33" i="102" s="1"/>
  <c r="NZ34" i="102" s="1"/>
  <c r="NZ35" i="102" s="1"/>
  <c r="NZ36" i="102" s="1"/>
  <c r="NZ37" i="102" s="1"/>
  <c r="NZ38" i="102" s="1"/>
  <c r="NZ39" i="102" s="1"/>
  <c r="NZ40" i="102" s="1"/>
  <c r="NZ41" i="102" s="1"/>
  <c r="NX10" i="102"/>
  <c r="NX11" i="102" s="1"/>
  <c r="NX12" i="102" s="1"/>
  <c r="NX13" i="102" s="1"/>
  <c r="NX14" i="102" s="1"/>
  <c r="NX15" i="102" s="1"/>
  <c r="NX16" i="102" s="1"/>
  <c r="NX17" i="102" s="1"/>
  <c r="NX18" i="102" s="1"/>
  <c r="NX19" i="102" s="1"/>
  <c r="NX20" i="102" s="1"/>
  <c r="NX21" i="102" s="1"/>
  <c r="NX22" i="102" s="1"/>
  <c r="NX23" i="102" s="1"/>
  <c r="NX24" i="102" s="1"/>
  <c r="NX25" i="102" s="1"/>
  <c r="NX26" i="102" s="1"/>
  <c r="NX27" i="102" s="1"/>
  <c r="NX28" i="102" s="1"/>
  <c r="NX29" i="102" s="1"/>
  <c r="NX30" i="102" s="1"/>
  <c r="NX31" i="102" s="1"/>
  <c r="NX32" i="102" s="1"/>
  <c r="NX33" i="102" s="1"/>
  <c r="NX34" i="102" s="1"/>
  <c r="NX35" i="102" s="1"/>
  <c r="NX36" i="102" s="1"/>
  <c r="NX37" i="102" s="1"/>
  <c r="NX38" i="102" s="1"/>
  <c r="NX39" i="102" s="1"/>
  <c r="NX40" i="102" s="1"/>
  <c r="NX41" i="102" s="1"/>
  <c r="NX42" i="102" s="1"/>
  <c r="NW10" i="102"/>
  <c r="NW11" i="102" s="1"/>
  <c r="NW12" i="102" s="1"/>
  <c r="NW13" i="102" s="1"/>
  <c r="NW14" i="102" s="1"/>
  <c r="NW15" i="102" s="1"/>
  <c r="NW16" i="102" s="1"/>
  <c r="NW17" i="102" s="1"/>
  <c r="NW18" i="102" s="1"/>
  <c r="NW19" i="102" s="1"/>
  <c r="NW20" i="102" s="1"/>
  <c r="NW21" i="102" s="1"/>
  <c r="NW22" i="102" s="1"/>
  <c r="NW23" i="102" s="1"/>
  <c r="NW24" i="102" s="1"/>
  <c r="NW25" i="102" s="1"/>
  <c r="NW26" i="102" s="1"/>
  <c r="NW27" i="102" s="1"/>
  <c r="NW28" i="102" s="1"/>
  <c r="NW29" i="102" s="1"/>
  <c r="NW30" i="102" s="1"/>
  <c r="NW31" i="102" s="1"/>
  <c r="NW32" i="102" s="1"/>
  <c r="NW33" i="102" s="1"/>
  <c r="NW34" i="102" s="1"/>
  <c r="NW35" i="102" s="1"/>
  <c r="NW36" i="102" s="1"/>
  <c r="NW37" i="102" s="1"/>
  <c r="NW38" i="102" s="1"/>
  <c r="NW39" i="102" s="1"/>
  <c r="NW40" i="102" s="1"/>
  <c r="NW41" i="102" s="1"/>
  <c r="NW42" i="102" s="1"/>
  <c r="NW44" i="102" s="1"/>
  <c r="NV10" i="102"/>
  <c r="NV11" i="102" s="1"/>
  <c r="NV12" i="102" s="1"/>
  <c r="NV13" i="102" s="1"/>
  <c r="NV14" i="102" s="1"/>
  <c r="NV15" i="102" s="1"/>
  <c r="NV16" i="102" s="1"/>
  <c r="NV17" i="102" s="1"/>
  <c r="NV18" i="102" s="1"/>
  <c r="NV19" i="102" s="1"/>
  <c r="NV20" i="102" s="1"/>
  <c r="NV21" i="102" s="1"/>
  <c r="NV22" i="102" s="1"/>
  <c r="NV23" i="102" s="1"/>
  <c r="NV24" i="102" s="1"/>
  <c r="NV25" i="102" s="1"/>
  <c r="NV26" i="102" s="1"/>
  <c r="NV27" i="102" s="1"/>
  <c r="NV28" i="102" s="1"/>
  <c r="NV29" i="102" s="1"/>
  <c r="NV30" i="102" s="1"/>
  <c r="NV31" i="102" s="1"/>
  <c r="NV32" i="102" s="1"/>
  <c r="NV33" i="102" s="1"/>
  <c r="NV34" i="102" s="1"/>
  <c r="NV35" i="102" s="1"/>
  <c r="NV36" i="102" s="1"/>
  <c r="NV37" i="102" s="1"/>
  <c r="NV38" i="102" s="1"/>
  <c r="NV39" i="102" s="1"/>
  <c r="NV40" i="102" s="1"/>
  <c r="NV41" i="102" s="1"/>
  <c r="NV42" i="102" s="1"/>
  <c r="NU10" i="102"/>
  <c r="NU11" i="102" s="1"/>
  <c r="NU12" i="102" s="1"/>
  <c r="NU13" i="102" s="1"/>
  <c r="NU14" i="102" s="1"/>
  <c r="NU15" i="102" s="1"/>
  <c r="NU16" i="102" s="1"/>
  <c r="NU17" i="102" s="1"/>
  <c r="NU18" i="102" s="1"/>
  <c r="NU19" i="102" s="1"/>
  <c r="NU20" i="102" s="1"/>
  <c r="NU21" i="102" s="1"/>
  <c r="NU22" i="102" s="1"/>
  <c r="NU23" i="102" s="1"/>
  <c r="NU24" i="102" s="1"/>
  <c r="NU25" i="102" s="1"/>
  <c r="NU26" i="102" s="1"/>
  <c r="NU27" i="102" s="1"/>
  <c r="NU28" i="102" s="1"/>
  <c r="NU29" i="102" s="1"/>
  <c r="NU30" i="102" s="1"/>
  <c r="NU31" i="102" s="1"/>
  <c r="NU32" i="102" s="1"/>
  <c r="NU33" i="102" s="1"/>
  <c r="NU34" i="102" s="1"/>
  <c r="NU35" i="102" s="1"/>
  <c r="NU36" i="102" s="1"/>
  <c r="NU37" i="102" s="1"/>
  <c r="NU38" i="102" s="1"/>
  <c r="NU39" i="102" s="1"/>
  <c r="NU40" i="102" s="1"/>
  <c r="NU41" i="102" s="1"/>
  <c r="NU42" i="102" s="1"/>
  <c r="NU44" i="102" s="1"/>
  <c r="NT10" i="102"/>
  <c r="NT11" i="102" s="1"/>
  <c r="NT12" i="102" s="1"/>
  <c r="NT13" i="102" s="1"/>
  <c r="NT14" i="102" s="1"/>
  <c r="NT15" i="102" s="1"/>
  <c r="NT16" i="102" s="1"/>
  <c r="NT17" i="102" s="1"/>
  <c r="NT18" i="102" s="1"/>
  <c r="NT19" i="102" s="1"/>
  <c r="NT20" i="102" s="1"/>
  <c r="NT21" i="102" s="1"/>
  <c r="NT22" i="102" s="1"/>
  <c r="NT23" i="102" s="1"/>
  <c r="NT24" i="102" s="1"/>
  <c r="NT25" i="102" s="1"/>
  <c r="NT26" i="102" s="1"/>
  <c r="NT27" i="102" s="1"/>
  <c r="NT28" i="102" s="1"/>
  <c r="NT29" i="102" s="1"/>
  <c r="NT30" i="102" s="1"/>
  <c r="NT31" i="102" s="1"/>
  <c r="NT32" i="102" s="1"/>
  <c r="NT33" i="102" s="1"/>
  <c r="NT34" i="102" s="1"/>
  <c r="NT35" i="102" s="1"/>
  <c r="NT36" i="102" s="1"/>
  <c r="NT37" i="102" s="1"/>
  <c r="NT38" i="102" s="1"/>
  <c r="NT39" i="102" s="1"/>
  <c r="NT40" i="102" s="1"/>
  <c r="NT41" i="102" s="1"/>
  <c r="NT42" i="102" s="1"/>
  <c r="NS10" i="102"/>
  <c r="NS11" i="102" s="1"/>
  <c r="NO10" i="102"/>
  <c r="NO11" i="102" s="1"/>
  <c r="NO12" i="102" s="1"/>
  <c r="NO13" i="102" s="1"/>
  <c r="NO14" i="102" s="1"/>
  <c r="NO15" i="102" s="1"/>
  <c r="NO16" i="102" s="1"/>
  <c r="NO17" i="102" s="1"/>
  <c r="NO18" i="102" s="1"/>
  <c r="NO19" i="102" s="1"/>
  <c r="NO20" i="102" s="1"/>
  <c r="NO21" i="102" s="1"/>
  <c r="NO22" i="102" s="1"/>
  <c r="NO23" i="102" s="1"/>
  <c r="NO24" i="102" s="1"/>
  <c r="NO25" i="102" s="1"/>
  <c r="NO26" i="102" s="1"/>
  <c r="NO27" i="102" s="1"/>
  <c r="NO28" i="102" s="1"/>
  <c r="NO29" i="102" s="1"/>
  <c r="NO30" i="102" s="1"/>
  <c r="NO31" i="102" s="1"/>
  <c r="NO32" i="102" s="1"/>
  <c r="NO33" i="102" s="1"/>
  <c r="NO34" i="102" s="1"/>
  <c r="NO35" i="102" s="1"/>
  <c r="NO36" i="102" s="1"/>
  <c r="NO37" i="102" s="1"/>
  <c r="NO38" i="102" s="1"/>
  <c r="NO39" i="102" s="1"/>
  <c r="NO40" i="102" s="1"/>
  <c r="NO41" i="102" s="1"/>
  <c r="NM10" i="102"/>
  <c r="NM11" i="102" s="1"/>
  <c r="NM12" i="102" s="1"/>
  <c r="NM13" i="102" s="1"/>
  <c r="NM14" i="102" s="1"/>
  <c r="NM15" i="102" s="1"/>
  <c r="NM16" i="102" s="1"/>
  <c r="NM17" i="102" s="1"/>
  <c r="NM18" i="102" s="1"/>
  <c r="NM19" i="102" s="1"/>
  <c r="NM20" i="102" s="1"/>
  <c r="NM21" i="102" s="1"/>
  <c r="NM22" i="102" s="1"/>
  <c r="NM23" i="102" s="1"/>
  <c r="NM24" i="102" s="1"/>
  <c r="NM25" i="102" s="1"/>
  <c r="NM26" i="102" s="1"/>
  <c r="NM27" i="102" s="1"/>
  <c r="NM28" i="102" s="1"/>
  <c r="NM29" i="102" s="1"/>
  <c r="NM30" i="102" s="1"/>
  <c r="NM31" i="102" s="1"/>
  <c r="NM32" i="102" s="1"/>
  <c r="NM33" i="102" s="1"/>
  <c r="NM34" i="102" s="1"/>
  <c r="NM35" i="102" s="1"/>
  <c r="NL10" i="102"/>
  <c r="NL11" i="102" s="1"/>
  <c r="NL12" i="102" s="1"/>
  <c r="NL13" i="102" s="1"/>
  <c r="NL14" i="102" s="1"/>
  <c r="NL15" i="102" s="1"/>
  <c r="NL16" i="102" s="1"/>
  <c r="NL17" i="102" s="1"/>
  <c r="NL18" i="102" s="1"/>
  <c r="NL19" i="102" s="1"/>
  <c r="NL20" i="102" s="1"/>
  <c r="NL21" i="102" s="1"/>
  <c r="NL22" i="102" s="1"/>
  <c r="NL23" i="102" s="1"/>
  <c r="NL24" i="102" s="1"/>
  <c r="NL25" i="102" s="1"/>
  <c r="NL26" i="102" s="1"/>
  <c r="NL27" i="102" s="1"/>
  <c r="NL28" i="102" s="1"/>
  <c r="NL29" i="102" s="1"/>
  <c r="NL30" i="102" s="1"/>
  <c r="NL31" i="102" s="1"/>
  <c r="NL32" i="102" s="1"/>
  <c r="NL33" i="102" s="1"/>
  <c r="NL34" i="102" s="1"/>
  <c r="NL35" i="102" s="1"/>
  <c r="NK10" i="102"/>
  <c r="NK11" i="102" s="1"/>
  <c r="NK12" i="102" s="1"/>
  <c r="NK13" i="102" s="1"/>
  <c r="NK14" i="102" s="1"/>
  <c r="NK15" i="102" s="1"/>
  <c r="NK16" i="102" s="1"/>
  <c r="NK17" i="102" s="1"/>
  <c r="NK18" i="102" s="1"/>
  <c r="NK19" i="102" s="1"/>
  <c r="NK20" i="102" s="1"/>
  <c r="NK21" i="102" s="1"/>
  <c r="NK22" i="102" s="1"/>
  <c r="NK23" i="102" s="1"/>
  <c r="NK24" i="102" s="1"/>
  <c r="NK25" i="102" s="1"/>
  <c r="NK26" i="102" s="1"/>
  <c r="NK27" i="102" s="1"/>
  <c r="NK28" i="102" s="1"/>
  <c r="NK29" i="102" s="1"/>
  <c r="NK30" i="102" s="1"/>
  <c r="NK31" i="102" s="1"/>
  <c r="NK32" i="102" s="1"/>
  <c r="NK33" i="102" s="1"/>
  <c r="NK34" i="102" s="1"/>
  <c r="NK35" i="102" s="1"/>
  <c r="NJ10" i="102"/>
  <c r="NJ11" i="102" s="1"/>
  <c r="NJ12" i="102" s="1"/>
  <c r="NJ13" i="102" s="1"/>
  <c r="NJ14" i="102" s="1"/>
  <c r="NJ15" i="102" s="1"/>
  <c r="NJ16" i="102" s="1"/>
  <c r="NJ17" i="102" s="1"/>
  <c r="NJ18" i="102" s="1"/>
  <c r="NJ19" i="102" s="1"/>
  <c r="NJ20" i="102" s="1"/>
  <c r="NJ21" i="102" s="1"/>
  <c r="NJ22" i="102" s="1"/>
  <c r="NJ23" i="102" s="1"/>
  <c r="NJ24" i="102" s="1"/>
  <c r="NJ25" i="102" s="1"/>
  <c r="NJ26" i="102" s="1"/>
  <c r="NJ27" i="102" s="1"/>
  <c r="NJ28" i="102" s="1"/>
  <c r="NJ29" i="102" s="1"/>
  <c r="NJ30" i="102" s="1"/>
  <c r="NJ31" i="102" s="1"/>
  <c r="NJ32" i="102" s="1"/>
  <c r="NJ33" i="102" s="1"/>
  <c r="NJ34" i="102" s="1"/>
  <c r="NJ35" i="102" s="1"/>
  <c r="NI10" i="102"/>
  <c r="NI11" i="102" s="1"/>
  <c r="NI12" i="102" s="1"/>
  <c r="NI13" i="102" s="1"/>
  <c r="NI14" i="102" s="1"/>
  <c r="NI15" i="102" s="1"/>
  <c r="NI16" i="102" s="1"/>
  <c r="NI17" i="102" s="1"/>
  <c r="NI18" i="102" s="1"/>
  <c r="NI19" i="102" s="1"/>
  <c r="NI20" i="102" s="1"/>
  <c r="NI21" i="102" s="1"/>
  <c r="NI22" i="102" s="1"/>
  <c r="NI23" i="102" s="1"/>
  <c r="NI24" i="102" s="1"/>
  <c r="NI25" i="102" s="1"/>
  <c r="NI26" i="102" s="1"/>
  <c r="NI27" i="102" s="1"/>
  <c r="NI28" i="102" s="1"/>
  <c r="NI29" i="102" s="1"/>
  <c r="NH10" i="102"/>
  <c r="NH11" i="102" s="1"/>
  <c r="NH12" i="102" s="1"/>
  <c r="NH13" i="102" s="1"/>
  <c r="NH14" i="102" s="1"/>
  <c r="NH15" i="102" s="1"/>
  <c r="NH16" i="102" s="1"/>
  <c r="NH17" i="102" s="1"/>
  <c r="NH18" i="102" s="1"/>
  <c r="NH19" i="102" s="1"/>
  <c r="NH20" i="102" s="1"/>
  <c r="NH21" i="102" s="1"/>
  <c r="NH22" i="102" s="1"/>
  <c r="NH23" i="102" s="1"/>
  <c r="NH24" i="102" s="1"/>
  <c r="NH25" i="102" s="1"/>
  <c r="NH26" i="102" s="1"/>
  <c r="NH27" i="102" s="1"/>
  <c r="NH28" i="102" s="1"/>
  <c r="NH29" i="102" s="1"/>
  <c r="NH30" i="102" s="1"/>
  <c r="NH31" i="102" s="1"/>
  <c r="NH32" i="102" s="1"/>
  <c r="NH33" i="102" s="1"/>
  <c r="NH34" i="102" s="1"/>
  <c r="NH35" i="102" s="1"/>
  <c r="NG10" i="102"/>
  <c r="NG11" i="102" s="1"/>
  <c r="NG12" i="102" s="1"/>
  <c r="NG13" i="102" s="1"/>
  <c r="NG14" i="102" s="1"/>
  <c r="NG15" i="102" s="1"/>
  <c r="NG16" i="102" s="1"/>
  <c r="NG17" i="102" s="1"/>
  <c r="NG18" i="102" s="1"/>
  <c r="NG19" i="102" s="1"/>
  <c r="NG20" i="102" s="1"/>
  <c r="NG21" i="102" s="1"/>
  <c r="NG22" i="102" s="1"/>
  <c r="NG23" i="102" s="1"/>
  <c r="NG24" i="102" s="1"/>
  <c r="NG25" i="102" s="1"/>
  <c r="NG26" i="102" s="1"/>
  <c r="NG27" i="102" s="1"/>
  <c r="NG28" i="102" s="1"/>
  <c r="NG29" i="102" s="1"/>
  <c r="NG30" i="102" s="1"/>
  <c r="NG31" i="102" s="1"/>
  <c r="NG32" i="102" s="1"/>
  <c r="NG33" i="102" s="1"/>
  <c r="NG34" i="102" s="1"/>
  <c r="NG35" i="102" s="1"/>
  <c r="NF10" i="102"/>
  <c r="ND10" i="102"/>
  <c r="ND11" i="102" s="1"/>
  <c r="ND12" i="102" s="1"/>
  <c r="ND13" i="102" s="1"/>
  <c r="ND14" i="102" s="1"/>
  <c r="ND15" i="102" s="1"/>
  <c r="ND16" i="102" s="1"/>
  <c r="ND17" i="102" s="1"/>
  <c r="ND18" i="102" s="1"/>
  <c r="ND19" i="102" s="1"/>
  <c r="MT10" i="102"/>
  <c r="MB10" i="102"/>
  <c r="LV10" i="102"/>
  <c r="LH10" i="102"/>
  <c r="RJ10" i="102" s="1"/>
  <c r="LG10" i="102"/>
  <c r="LF10" i="102"/>
  <c r="JK10" i="102"/>
  <c r="JE10" i="102"/>
  <c r="GL10" i="102" s="1"/>
  <c r="IP10" i="102"/>
  <c r="GK10" i="102" s="1"/>
  <c r="IA10" i="102"/>
  <c r="HL10" i="102"/>
  <c r="GJ10" i="102" s="1"/>
  <c r="GV10" i="102"/>
  <c r="GG10" i="102"/>
  <c r="FT10" i="102"/>
  <c r="FB10" i="102" s="1"/>
  <c r="FM10" i="102"/>
  <c r="EX10" i="102"/>
  <c r="AV10" i="102"/>
  <c r="AS10" i="102"/>
  <c r="AP10" i="102"/>
  <c r="AK10" i="102"/>
  <c r="AG10" i="102"/>
  <c r="AB10" i="102"/>
  <c r="AA10" i="102"/>
  <c r="X10" i="102"/>
  <c r="W10" i="102"/>
  <c r="T10" i="102"/>
  <c r="S10" i="102"/>
  <c r="P10" i="102"/>
  <c r="RK9" i="102"/>
  <c r="OE8" i="102"/>
  <c r="NR8" i="102"/>
  <c r="KD6" i="102"/>
  <c r="JV6" i="102"/>
  <c r="JN6" i="102"/>
  <c r="OQ20" i="126" l="1"/>
  <c r="OT19" i="126"/>
  <c r="KS44" i="102"/>
  <c r="AW158" i="2"/>
  <c r="OQ21" i="124"/>
  <c r="OT20" i="124"/>
  <c r="NE33" i="124"/>
  <c r="NG32" i="124"/>
  <c r="MY32" i="124" s="1"/>
  <c r="NC41" i="122"/>
  <c r="NC44" i="122" s="1"/>
  <c r="NF40" i="122"/>
  <c r="AL26" i="123"/>
  <c r="QG27" i="122"/>
  <c r="NA26" i="122"/>
  <c r="NO24" i="122"/>
  <c r="NZ24" i="122"/>
  <c r="OQ16" i="120"/>
  <c r="AF38" i="118"/>
  <c r="OQ20" i="116"/>
  <c r="AF12" i="118" s="1"/>
  <c r="AF11" i="118"/>
  <c r="N44" i="102"/>
  <c r="AW130" i="2"/>
  <c r="AW135" i="2"/>
  <c r="AW133" i="2"/>
  <c r="NT39" i="116"/>
  <c r="QH36" i="116"/>
  <c r="NA35" i="116"/>
  <c r="QG39" i="116"/>
  <c r="PA39" i="116"/>
  <c r="PG38" i="116"/>
  <c r="MZ35" i="116"/>
  <c r="PO36" i="116"/>
  <c r="OG39" i="116"/>
  <c r="LI39" i="102"/>
  <c r="AC11" i="102"/>
  <c r="AC26" i="102"/>
  <c r="AC28" i="102"/>
  <c r="LI34" i="102"/>
  <c r="LI11" i="102"/>
  <c r="AC19" i="102"/>
  <c r="LI23" i="102"/>
  <c r="AC36" i="102"/>
  <c r="AC29" i="102"/>
  <c r="FD36" i="102"/>
  <c r="IH45" i="102"/>
  <c r="LI12" i="102"/>
  <c r="LI15" i="102"/>
  <c r="LI33" i="102"/>
  <c r="Y39" i="102"/>
  <c r="FD17" i="102"/>
  <c r="Y23" i="102"/>
  <c r="Y18" i="102"/>
  <c r="Y20" i="102"/>
  <c r="AC21" i="102"/>
  <c r="AC22" i="102"/>
  <c r="AC25" i="102"/>
  <c r="AC20" i="102"/>
  <c r="FD26" i="102"/>
  <c r="AC14" i="102"/>
  <c r="LI17" i="102"/>
  <c r="LI26" i="102"/>
  <c r="AC30" i="102"/>
  <c r="Y36" i="102"/>
  <c r="AK41" i="102"/>
  <c r="AC16" i="102"/>
  <c r="AC32" i="102"/>
  <c r="AC33" i="102"/>
  <c r="AC34" i="102"/>
  <c r="Y16" i="102"/>
  <c r="MY20" i="111"/>
  <c r="PN21" i="111"/>
  <c r="OR19" i="111"/>
  <c r="ON20" i="111"/>
  <c r="OB42" i="102"/>
  <c r="OB9" i="111"/>
  <c r="KU44" i="102"/>
  <c r="AW160" i="2"/>
  <c r="KT44" i="102"/>
  <c r="AW159" i="2"/>
  <c r="NZ42" i="102"/>
  <c r="NZ9" i="111"/>
  <c r="NZ10" i="111" s="1"/>
  <c r="NZ11" i="111" s="1"/>
  <c r="NZ12" i="111" s="1"/>
  <c r="NZ13" i="111" s="1"/>
  <c r="NZ14" i="111" s="1"/>
  <c r="NZ15" i="111" s="1"/>
  <c r="NZ16" i="111" s="1"/>
  <c r="NZ17" i="111" s="1"/>
  <c r="NZ18" i="111" s="1"/>
  <c r="NZ19" i="111" s="1"/>
  <c r="NZ20" i="111" s="1"/>
  <c r="NZ21" i="111" s="1"/>
  <c r="NZ22" i="111" s="1"/>
  <c r="NZ23" i="111" s="1"/>
  <c r="NZ24" i="111" s="1"/>
  <c r="NZ25" i="111" s="1"/>
  <c r="NZ26" i="111" s="1"/>
  <c r="NZ27" i="111" s="1"/>
  <c r="NZ28" i="111" s="1"/>
  <c r="NZ29" i="111" s="1"/>
  <c r="NZ30" i="111" s="1"/>
  <c r="NZ31" i="111" s="1"/>
  <c r="NZ32" i="111" s="1"/>
  <c r="NZ33" i="111" s="1"/>
  <c r="NZ34" i="111" s="1"/>
  <c r="NZ35" i="111" s="1"/>
  <c r="NZ36" i="111" s="1"/>
  <c r="NZ37" i="111" s="1"/>
  <c r="NZ38" i="111" s="1"/>
  <c r="NZ39" i="111" s="1"/>
  <c r="NZ40" i="111" s="1"/>
  <c r="NZ41" i="111" s="1"/>
  <c r="NZ42" i="111" s="1"/>
  <c r="OA9" i="116" s="1"/>
  <c r="OA10" i="116" s="1"/>
  <c r="OA11" i="116" s="1"/>
  <c r="OA12" i="116" s="1"/>
  <c r="OA13" i="116" s="1"/>
  <c r="OA14" i="116" s="1"/>
  <c r="OA15" i="116" s="1"/>
  <c r="OA16" i="116" s="1"/>
  <c r="OA17" i="116" s="1"/>
  <c r="OA18" i="116" s="1"/>
  <c r="OA19" i="116" s="1"/>
  <c r="OA20" i="116" s="1"/>
  <c r="OA21" i="116" s="1"/>
  <c r="OA22" i="116" s="1"/>
  <c r="OA23" i="116" s="1"/>
  <c r="OA24" i="116" s="1"/>
  <c r="OA25" i="116" s="1"/>
  <c r="OA26" i="116" s="1"/>
  <c r="OA27" i="116" s="1"/>
  <c r="OA28" i="116" s="1"/>
  <c r="OA29" i="116" s="1"/>
  <c r="OA30" i="116" s="1"/>
  <c r="OA31" i="116" s="1"/>
  <c r="OA32" i="116" s="1"/>
  <c r="OA33" i="116" s="1"/>
  <c r="OA34" i="116" s="1"/>
  <c r="OA35" i="116" s="1"/>
  <c r="OA36" i="116" s="1"/>
  <c r="OA37" i="116" s="1"/>
  <c r="OA38" i="116" s="1"/>
  <c r="OA39" i="116" s="1"/>
  <c r="OA40" i="116" s="1"/>
  <c r="OA41" i="116" s="1"/>
  <c r="OA42" i="116" s="1"/>
  <c r="OA9" i="120" s="1"/>
  <c r="NO9" i="111"/>
  <c r="NO10" i="111" s="1"/>
  <c r="NO11" i="111" s="1"/>
  <c r="NO12" i="111" s="1"/>
  <c r="NO13" i="111" s="1"/>
  <c r="NO14" i="111" s="1"/>
  <c r="NO15" i="111" s="1"/>
  <c r="NO16" i="111" s="1"/>
  <c r="NO17" i="111" s="1"/>
  <c r="NO18" i="111" s="1"/>
  <c r="NO19" i="111" s="1"/>
  <c r="NO20" i="111" s="1"/>
  <c r="NO21" i="111" s="1"/>
  <c r="NO22" i="111" s="1"/>
  <c r="NO23" i="111" s="1"/>
  <c r="NO24" i="111" s="1"/>
  <c r="NO25" i="111" s="1"/>
  <c r="NO26" i="111" s="1"/>
  <c r="NO27" i="111" s="1"/>
  <c r="NO28" i="111" s="1"/>
  <c r="NO29" i="111" s="1"/>
  <c r="NO30" i="111" s="1"/>
  <c r="NO31" i="111" s="1"/>
  <c r="NO32" i="111" s="1"/>
  <c r="NO33" i="111" s="1"/>
  <c r="NO34" i="111" s="1"/>
  <c r="NO35" i="111" s="1"/>
  <c r="NO36" i="111" s="1"/>
  <c r="NO37" i="111" s="1"/>
  <c r="NO38" i="111" s="1"/>
  <c r="NO39" i="111" s="1"/>
  <c r="NO40" i="111" s="1"/>
  <c r="NO41" i="111" s="1"/>
  <c r="NP9" i="116" s="1"/>
  <c r="NP10" i="116" s="1"/>
  <c r="R2" i="118" s="1"/>
  <c r="AC17" i="102"/>
  <c r="AJ29" i="112"/>
  <c r="RK34" i="111"/>
  <c r="RH35" i="111"/>
  <c r="NS29" i="111"/>
  <c r="NF28" i="111"/>
  <c r="QE27" i="111"/>
  <c r="PF26" i="111"/>
  <c r="OZ27" i="111"/>
  <c r="OF27" i="111"/>
  <c r="NX27" i="111"/>
  <c r="MZ24" i="111"/>
  <c r="QF25" i="111"/>
  <c r="AC38" i="102"/>
  <c r="FD29" i="102"/>
  <c r="SB28" i="102"/>
  <c r="Y19" i="102"/>
  <c r="Y37" i="102"/>
  <c r="QO37" i="102"/>
  <c r="QO35" i="102"/>
  <c r="QP34" i="102"/>
  <c r="AC31" i="102"/>
  <c r="Y30" i="102"/>
  <c r="D16" i="102"/>
  <c r="QP28" i="102"/>
  <c r="AC18" i="102"/>
  <c r="SB24" i="102"/>
  <c r="GM35" i="102"/>
  <c r="LI40" i="102"/>
  <c r="FD22" i="102"/>
  <c r="OZ26" i="102"/>
  <c r="PF25" i="102"/>
  <c r="Y25" i="102"/>
  <c r="RZ37" i="102"/>
  <c r="Y29" i="102"/>
  <c r="D26" i="102"/>
  <c r="SB36" i="102"/>
  <c r="SB21" i="102"/>
  <c r="SB32" i="102"/>
  <c r="SB39" i="102"/>
  <c r="GM38" i="102"/>
  <c r="GX49" i="102" s="1"/>
  <c r="C24" i="102"/>
  <c r="U22" i="102"/>
  <c r="U18" i="102"/>
  <c r="U17" i="102"/>
  <c r="AL24" i="103"/>
  <c r="C22" i="102"/>
  <c r="Y40" i="102"/>
  <c r="U19" i="102"/>
  <c r="Y34" i="102"/>
  <c r="Y32" i="102"/>
  <c r="OF11" i="102"/>
  <c r="OF12" i="102" s="1"/>
  <c r="OR10" i="102"/>
  <c r="Q20" i="102"/>
  <c r="Q18" i="102"/>
  <c r="Q19" i="102"/>
  <c r="U33" i="102"/>
  <c r="U31" i="102"/>
  <c r="U29" i="102"/>
  <c r="Q37" i="102"/>
  <c r="U36" i="102"/>
  <c r="U35" i="102"/>
  <c r="U39" i="102"/>
  <c r="Q16" i="102"/>
  <c r="Q14" i="102"/>
  <c r="Q17" i="102"/>
  <c r="U11" i="102"/>
  <c r="Y21" i="102"/>
  <c r="U32" i="102"/>
  <c r="Q28" i="102"/>
  <c r="Q27" i="102"/>
  <c r="U28" i="102"/>
  <c r="U26" i="102"/>
  <c r="U23" i="102"/>
  <c r="Q26" i="102"/>
  <c r="FD12" i="102"/>
  <c r="U20" i="102"/>
  <c r="AC13" i="102"/>
  <c r="GM29" i="102"/>
  <c r="C21" i="102"/>
  <c r="AC12" i="102"/>
  <c r="C31" i="102"/>
  <c r="Q15" i="102"/>
  <c r="Q13" i="102"/>
  <c r="U27" i="102"/>
  <c r="GM12" i="102"/>
  <c r="D36" i="102"/>
  <c r="GM28" i="102"/>
  <c r="FD39" i="102"/>
  <c r="FD33" i="102"/>
  <c r="FD31" i="102"/>
  <c r="U37" i="102"/>
  <c r="FD38" i="102"/>
  <c r="FD32" i="102"/>
  <c r="FD20" i="102"/>
  <c r="QO19" i="102"/>
  <c r="C19" i="102"/>
  <c r="C20" i="102"/>
  <c r="D19" i="102"/>
  <c r="C30" i="102"/>
  <c r="FD35" i="102"/>
  <c r="RH20" i="102"/>
  <c r="RH21" i="102" s="1"/>
  <c r="O173" i="102"/>
  <c r="W95" i="102"/>
  <c r="W96" i="102" s="1"/>
  <c r="W97" i="102" s="1"/>
  <c r="W98" i="102" s="1"/>
  <c r="W99" i="102" s="1"/>
  <c r="W100" i="102" s="1"/>
  <c r="W101" i="102" s="1"/>
  <c r="W102" i="102" s="1"/>
  <c r="W103" i="102" s="1"/>
  <c r="W104" i="102" s="1"/>
  <c r="W105" i="102" s="1"/>
  <c r="W106" i="102" s="1"/>
  <c r="W107" i="102" s="1"/>
  <c r="W108" i="102" s="1"/>
  <c r="W109" i="102" s="1"/>
  <c r="W110" i="102" s="1"/>
  <c r="W111" i="102" s="1"/>
  <c r="W112" i="102" s="1"/>
  <c r="W113" i="102" s="1"/>
  <c r="W114" i="102" s="1"/>
  <c r="W115" i="102" s="1"/>
  <c r="W116" i="102" s="1"/>
  <c r="W117" i="102" s="1"/>
  <c r="W118" i="102" s="1"/>
  <c r="W119" i="102" s="1"/>
  <c r="W120" i="102" s="1"/>
  <c r="W121" i="102" s="1"/>
  <c r="W122" i="102" s="1"/>
  <c r="W123" i="102" s="1"/>
  <c r="W124" i="102" s="1"/>
  <c r="W125" i="102" s="1"/>
  <c r="W90" i="102"/>
  <c r="T95" i="102"/>
  <c r="T96" i="102" s="1"/>
  <c r="T97" i="102" s="1"/>
  <c r="T98" i="102" s="1"/>
  <c r="T99" i="102" s="1"/>
  <c r="T100" i="102" s="1"/>
  <c r="T101" i="102" s="1"/>
  <c r="T102" i="102" s="1"/>
  <c r="T103" i="102" s="1"/>
  <c r="T104" i="102" s="1"/>
  <c r="T105" i="102" s="1"/>
  <c r="T106" i="102" s="1"/>
  <c r="T107" i="102" s="1"/>
  <c r="T108" i="102" s="1"/>
  <c r="T109" i="102" s="1"/>
  <c r="T110" i="102" s="1"/>
  <c r="T111" i="102" s="1"/>
  <c r="T112" i="102" s="1"/>
  <c r="T113" i="102" s="1"/>
  <c r="T114" i="102" s="1"/>
  <c r="T115" i="102" s="1"/>
  <c r="T116" i="102" s="1"/>
  <c r="T117" i="102" s="1"/>
  <c r="T118" i="102" s="1"/>
  <c r="T119" i="102" s="1"/>
  <c r="T120" i="102" s="1"/>
  <c r="T121" i="102" s="1"/>
  <c r="T122" i="102" s="1"/>
  <c r="T123" i="102" s="1"/>
  <c r="T124" i="102" s="1"/>
  <c r="T125" i="102" s="1"/>
  <c r="T90" i="102"/>
  <c r="U16" i="102"/>
  <c r="D11" i="102"/>
  <c r="QP14" i="102"/>
  <c r="Y11" i="102"/>
  <c r="Y13" i="102"/>
  <c r="GM13" i="102"/>
  <c r="QP11" i="102"/>
  <c r="FD18" i="102"/>
  <c r="Q39" i="102"/>
  <c r="AC35" i="102"/>
  <c r="FD37" i="102"/>
  <c r="SB30" i="102"/>
  <c r="LI25" i="102"/>
  <c r="FD25" i="102"/>
  <c r="AC24" i="102"/>
  <c r="FD19" i="102"/>
  <c r="SB11" i="102"/>
  <c r="AB41" i="102"/>
  <c r="AC39" i="102"/>
  <c r="C39" i="102"/>
  <c r="Y12" i="102"/>
  <c r="U12" i="102"/>
  <c r="GU44" i="102"/>
  <c r="L54" i="106"/>
  <c r="GT44" i="102"/>
  <c r="L53" i="106"/>
  <c r="GS44" i="102"/>
  <c r="L52" i="106"/>
  <c r="GR44" i="102"/>
  <c r="AC40" i="102"/>
  <c r="U40" i="102"/>
  <c r="U24" i="102"/>
  <c r="QP17" i="102"/>
  <c r="GM39" i="102"/>
  <c r="D39" i="102"/>
  <c r="RZ38" i="102"/>
  <c r="Q38" i="102"/>
  <c r="D35" i="102"/>
  <c r="RZ34" i="102"/>
  <c r="QP35" i="102"/>
  <c r="RZ23" i="102"/>
  <c r="QP31" i="102"/>
  <c r="QP19" i="102"/>
  <c r="Y31" i="102"/>
  <c r="QP29" i="102"/>
  <c r="FD28" i="102"/>
  <c r="FD27" i="102"/>
  <c r="RZ26" i="102"/>
  <c r="QO21" i="102"/>
  <c r="RZ20" i="102"/>
  <c r="FD16" i="102"/>
  <c r="FD15" i="102"/>
  <c r="AC15" i="102"/>
  <c r="FD14" i="102"/>
  <c r="SB13" i="102"/>
  <c r="U13" i="102"/>
  <c r="C13" i="102"/>
  <c r="EX41" i="102"/>
  <c r="EX42" i="102" s="1"/>
  <c r="EX44" i="102" s="1"/>
  <c r="FB41" i="102"/>
  <c r="FB42" i="102" s="1"/>
  <c r="FB44" i="102" s="1"/>
  <c r="P137" i="102"/>
  <c r="O137" i="102"/>
  <c r="S95" i="102"/>
  <c r="S96" i="102" s="1"/>
  <c r="S97" i="102" s="1"/>
  <c r="S98" i="102" s="1"/>
  <c r="S99" i="102" s="1"/>
  <c r="S100" i="102" s="1"/>
  <c r="S101" i="102" s="1"/>
  <c r="S102" i="102" s="1"/>
  <c r="S103" i="102" s="1"/>
  <c r="S104" i="102" s="1"/>
  <c r="S105" i="102" s="1"/>
  <c r="S106" i="102" s="1"/>
  <c r="S107" i="102" s="1"/>
  <c r="S108" i="102" s="1"/>
  <c r="S109" i="102" s="1"/>
  <c r="S110" i="102" s="1"/>
  <c r="S111" i="102" s="1"/>
  <c r="S112" i="102" s="1"/>
  <c r="S113" i="102" s="1"/>
  <c r="S114" i="102" s="1"/>
  <c r="S115" i="102" s="1"/>
  <c r="S116" i="102" s="1"/>
  <c r="S117" i="102" s="1"/>
  <c r="S118" i="102" s="1"/>
  <c r="S119" i="102" s="1"/>
  <c r="S120" i="102" s="1"/>
  <c r="S121" i="102" s="1"/>
  <c r="S122" i="102" s="1"/>
  <c r="S123" i="102" s="1"/>
  <c r="S124" i="102" s="1"/>
  <c r="S125" i="102" s="1"/>
  <c r="U43" i="102"/>
  <c r="Q43" i="102"/>
  <c r="C43" i="102"/>
  <c r="KP44" i="102"/>
  <c r="KO44" i="102"/>
  <c r="KN44" i="102"/>
  <c r="JA44" i="102"/>
  <c r="IY44" i="102"/>
  <c r="IU44" i="102"/>
  <c r="IS44" i="102"/>
  <c r="IO42" i="102"/>
  <c r="IL44" i="102"/>
  <c r="IJ44" i="102"/>
  <c r="IH44" i="102"/>
  <c r="IF44" i="102"/>
  <c r="HJ42" i="102"/>
  <c r="HJ44" i="102" s="1"/>
  <c r="HH44" i="102"/>
  <c r="HF42" i="102"/>
  <c r="HF44" i="102" s="1"/>
  <c r="M44" i="102"/>
  <c r="AW128" i="2"/>
  <c r="L44" i="102"/>
  <c r="K44" i="102"/>
  <c r="AW127" i="2"/>
  <c r="AW129" i="2"/>
  <c r="QP40" i="102"/>
  <c r="QO40" i="102"/>
  <c r="QP38" i="102"/>
  <c r="QO38" i="102"/>
  <c r="QP33" i="102"/>
  <c r="QO33" i="102"/>
  <c r="QO32" i="102"/>
  <c r="QP32" i="102"/>
  <c r="Y10" i="102"/>
  <c r="U10" i="102"/>
  <c r="JI42" i="102"/>
  <c r="RJ11" i="102"/>
  <c r="RJ12" i="102" s="1"/>
  <c r="RJ13" i="102" s="1"/>
  <c r="RJ14" i="102" s="1"/>
  <c r="RJ15" i="102" s="1"/>
  <c r="RJ16" i="102" s="1"/>
  <c r="RJ17" i="102" s="1"/>
  <c r="LI36" i="102"/>
  <c r="LI37" i="102"/>
  <c r="LI22" i="102"/>
  <c r="LI28" i="102"/>
  <c r="RI20" i="102"/>
  <c r="RI21" i="102" s="1"/>
  <c r="RI22" i="102" s="1"/>
  <c r="RI23" i="102" s="1"/>
  <c r="RI24" i="102" s="1"/>
  <c r="RI25" i="102" s="1"/>
  <c r="RI26" i="102" s="1"/>
  <c r="RI27" i="102" s="1"/>
  <c r="RI28" i="102" s="1"/>
  <c r="RI29" i="102" s="1"/>
  <c r="RI30" i="102" s="1"/>
  <c r="RI31" i="102" s="1"/>
  <c r="RI32" i="102" s="1"/>
  <c r="RI33" i="102" s="1"/>
  <c r="RI34" i="102" s="1"/>
  <c r="RI35" i="102" s="1"/>
  <c r="RI36" i="102" s="1"/>
  <c r="RI37" i="102" s="1"/>
  <c r="RI38" i="102" s="1"/>
  <c r="RI39" i="102" s="1"/>
  <c r="RI40" i="102" s="1"/>
  <c r="LI16" i="102"/>
  <c r="LI18" i="102"/>
  <c r="LI29" i="102"/>
  <c r="RJ20" i="102"/>
  <c r="RJ21" i="102" s="1"/>
  <c r="RJ22" i="102" s="1"/>
  <c r="RJ23" i="102" s="1"/>
  <c r="RJ24" i="102" s="1"/>
  <c r="RJ25" i="102" s="1"/>
  <c r="RJ26" i="102" s="1"/>
  <c r="RJ27" i="102" s="1"/>
  <c r="RJ28" i="102" s="1"/>
  <c r="RJ29" i="102" s="1"/>
  <c r="RJ30" i="102" s="1"/>
  <c r="RJ31" i="102" s="1"/>
  <c r="RJ32" i="102" s="1"/>
  <c r="RJ33" i="102" s="1"/>
  <c r="RJ34" i="102" s="1"/>
  <c r="RJ35" i="102" s="1"/>
  <c r="RJ36" i="102" s="1"/>
  <c r="RJ37" i="102" s="1"/>
  <c r="RJ38" i="102" s="1"/>
  <c r="RJ39" i="102" s="1"/>
  <c r="RJ40" i="102" s="1"/>
  <c r="LI24" i="102"/>
  <c r="KD45" i="102"/>
  <c r="GM23" i="102"/>
  <c r="GM14" i="102"/>
  <c r="GM27" i="102"/>
  <c r="GM11" i="102"/>
  <c r="GM18" i="102"/>
  <c r="GM24" i="102"/>
  <c r="GM30" i="102"/>
  <c r="SB25" i="102"/>
  <c r="SB37" i="102"/>
  <c r="SB16" i="102"/>
  <c r="SB29" i="102"/>
  <c r="RZ12" i="102"/>
  <c r="RZ14" i="102"/>
  <c r="RZ31" i="102"/>
  <c r="D31" i="102"/>
  <c r="D20" i="102"/>
  <c r="D37" i="102"/>
  <c r="Y17" i="102"/>
  <c r="C37" i="102"/>
  <c r="Y15" i="102"/>
  <c r="D12" i="102"/>
  <c r="D34" i="102"/>
  <c r="U14" i="102"/>
  <c r="U21" i="102"/>
  <c r="D29" i="102"/>
  <c r="U34" i="102"/>
  <c r="D13" i="102"/>
  <c r="U30" i="102"/>
  <c r="U25" i="102"/>
  <c r="U15" i="102"/>
  <c r="C23" i="102"/>
  <c r="D33" i="102"/>
  <c r="D21" i="102"/>
  <c r="D28" i="102"/>
  <c r="C16" i="102"/>
  <c r="RZ16" i="102"/>
  <c r="RZ25" i="102"/>
  <c r="RZ11" i="102"/>
  <c r="D17" i="102"/>
  <c r="RZ22" i="102"/>
  <c r="RZ29" i="102"/>
  <c r="RZ36" i="102"/>
  <c r="D18" i="102"/>
  <c r="Q25" i="102"/>
  <c r="D22" i="102"/>
  <c r="D23" i="102"/>
  <c r="RZ15" i="102"/>
  <c r="RZ13" i="102"/>
  <c r="Q35" i="102"/>
  <c r="RZ27" i="102"/>
  <c r="RZ28" i="102"/>
  <c r="Q31" i="102"/>
  <c r="C35" i="102"/>
  <c r="QO36" i="102"/>
  <c r="SB14" i="102"/>
  <c r="QO11" i="102"/>
  <c r="QP36" i="102"/>
  <c r="SB15" i="102"/>
  <c r="QO34" i="102"/>
  <c r="SB34" i="102"/>
  <c r="QO20" i="102"/>
  <c r="SB20" i="102"/>
  <c r="SB33" i="102"/>
  <c r="QP37" i="102"/>
  <c r="SB12" i="102"/>
  <c r="GM17" i="102"/>
  <c r="QO15" i="102"/>
  <c r="GM34" i="102"/>
  <c r="GM22" i="102"/>
  <c r="QP15" i="102"/>
  <c r="GM36" i="102"/>
  <c r="GM21" i="102"/>
  <c r="QO29" i="102"/>
  <c r="GM16" i="102"/>
  <c r="G7" i="103"/>
  <c r="C17" i="102"/>
  <c r="RZ21" i="102"/>
  <c r="LI21" i="102"/>
  <c r="FD11" i="102"/>
  <c r="JE41" i="102"/>
  <c r="GL41" i="102"/>
  <c r="GL42" i="102" s="1"/>
  <c r="GL44" i="102" s="1"/>
  <c r="Y26" i="102"/>
  <c r="C26" i="102"/>
  <c r="ND20" i="102"/>
  <c r="ND21" i="102" s="1"/>
  <c r="ND22" i="102" s="1"/>
  <c r="ND23" i="102" s="1"/>
  <c r="ND24" i="102" s="1"/>
  <c r="ND25" i="102" s="1"/>
  <c r="ND26" i="102" s="1"/>
  <c r="ND27" i="102" s="1"/>
  <c r="ND28" i="102" s="1"/>
  <c r="OG11" i="102"/>
  <c r="OG12" i="102" s="1"/>
  <c r="OG13" i="102" s="1"/>
  <c r="OG14" i="102" s="1"/>
  <c r="OG15" i="102" s="1"/>
  <c r="OG16" i="102" s="1"/>
  <c r="OG17" i="102" s="1"/>
  <c r="OG18" i="102" s="1"/>
  <c r="OG19" i="102" s="1"/>
  <c r="OG20" i="102" s="1"/>
  <c r="OG21" i="102" s="1"/>
  <c r="OG22" i="102" s="1"/>
  <c r="OG23" i="102" s="1"/>
  <c r="OG24" i="102" s="1"/>
  <c r="OG25" i="102" s="1"/>
  <c r="OG26" i="102" s="1"/>
  <c r="OG27" i="102" s="1"/>
  <c r="OG28" i="102" s="1"/>
  <c r="OG29" i="102" s="1"/>
  <c r="OG30" i="102" s="1"/>
  <c r="OG31" i="102" s="1"/>
  <c r="OG32" i="102" s="1"/>
  <c r="OG33" i="102" s="1"/>
  <c r="OG34" i="102" s="1"/>
  <c r="OG35" i="102" s="1"/>
  <c r="OG36" i="102" s="1"/>
  <c r="OG37" i="102" s="1"/>
  <c r="OG38" i="102" s="1"/>
  <c r="OG39" i="102" s="1"/>
  <c r="OG40" i="102" s="1"/>
  <c r="OG41" i="102" s="1"/>
  <c r="OG42" i="102" s="1"/>
  <c r="JK41" i="102"/>
  <c r="JK47" i="102" s="1"/>
  <c r="QP10" i="102"/>
  <c r="QO10" i="102"/>
  <c r="LF41" i="102"/>
  <c r="LI10" i="102"/>
  <c r="RH10" i="102"/>
  <c r="Y22" i="102"/>
  <c r="AA41" i="102"/>
  <c r="C10" i="102"/>
  <c r="AC10" i="102"/>
  <c r="NS12" i="102"/>
  <c r="AS41" i="102"/>
  <c r="AQ42" i="102"/>
  <c r="C11" i="102"/>
  <c r="RZ19" i="102"/>
  <c r="QO25" i="102"/>
  <c r="RZ10" i="102"/>
  <c r="FD13" i="102"/>
  <c r="QO23" i="102"/>
  <c r="SB23" i="102"/>
  <c r="QP25" i="102"/>
  <c r="LV41" i="102"/>
  <c r="LV42" i="102" s="1"/>
  <c r="LV44" i="102" s="1"/>
  <c r="QO16" i="102"/>
  <c r="QP18" i="102"/>
  <c r="QO18" i="102"/>
  <c r="SB18" i="102"/>
  <c r="SB19" i="102"/>
  <c r="C27" i="102"/>
  <c r="RZ32" i="102"/>
  <c r="Y35" i="102"/>
  <c r="GJ41" i="102"/>
  <c r="GJ42" i="102" s="1"/>
  <c r="GJ44" i="102" s="1"/>
  <c r="MB41" i="102"/>
  <c r="MB42" i="102" s="1"/>
  <c r="MB44" i="102" s="1"/>
  <c r="D14" i="102"/>
  <c r="QP16" i="102"/>
  <c r="MT41" i="102"/>
  <c r="MT42" i="102" s="1"/>
  <c r="MT44" i="102" s="1"/>
  <c r="C15" i="102"/>
  <c r="RZ17" i="102"/>
  <c r="QO17" i="102"/>
  <c r="SB17" i="102"/>
  <c r="GM20" i="102"/>
  <c r="QO22" i="102"/>
  <c r="FD23" i="102"/>
  <c r="QP23" i="102"/>
  <c r="RZ24" i="102"/>
  <c r="Y28" i="102"/>
  <c r="C28" i="102"/>
  <c r="RZ30" i="102"/>
  <c r="NK38" i="102"/>
  <c r="AW48" i="102"/>
  <c r="AW44" i="102"/>
  <c r="D15" i="102"/>
  <c r="Q33" i="102"/>
  <c r="C33" i="102"/>
  <c r="FM41" i="102"/>
  <c r="FM42" i="102" s="1"/>
  <c r="FM44" i="102" s="1"/>
  <c r="FA10" i="102"/>
  <c r="RV38" i="102"/>
  <c r="SB38" i="102" s="1"/>
  <c r="FT41" i="102"/>
  <c r="FT42" i="102" s="1"/>
  <c r="FT44" i="102" s="1"/>
  <c r="GG41" i="102"/>
  <c r="GG42" i="102" s="1"/>
  <c r="GG44" i="102" s="1"/>
  <c r="FC10" i="102"/>
  <c r="FC41" i="102" s="1"/>
  <c r="FC42" i="102" s="1"/>
  <c r="FC44" i="102" s="1"/>
  <c r="Q23" i="102"/>
  <c r="QP24" i="102"/>
  <c r="C32" i="102"/>
  <c r="Q32" i="102"/>
  <c r="T42" i="102"/>
  <c r="AW44" i="2" s="1"/>
  <c r="LI19" i="102"/>
  <c r="C14" i="102"/>
  <c r="Y14" i="102"/>
  <c r="D10" i="102"/>
  <c r="P41" i="102"/>
  <c r="QO12" i="102"/>
  <c r="QP12" i="102"/>
  <c r="QO13" i="102"/>
  <c r="QP13" i="102"/>
  <c r="GM15" i="102"/>
  <c r="QP22" i="102"/>
  <c r="GM25" i="102"/>
  <c r="GM26" i="102"/>
  <c r="QO27" i="102"/>
  <c r="SB27" i="102"/>
  <c r="QP27" i="102"/>
  <c r="GM32" i="102"/>
  <c r="AK43" i="102"/>
  <c r="AK44" i="102" s="1"/>
  <c r="AI44" i="102"/>
  <c r="C18" i="102"/>
  <c r="D25" i="102"/>
  <c r="U38" i="102"/>
  <c r="D38" i="102"/>
  <c r="JI301" i="102"/>
  <c r="JH42" i="102"/>
  <c r="Q22" i="102"/>
  <c r="GM33" i="102"/>
  <c r="IA41" i="102"/>
  <c r="GV41" i="102"/>
  <c r="GV42" i="102" s="1"/>
  <c r="GV44" i="102" s="1"/>
  <c r="RV10" i="102"/>
  <c r="SB10" i="102" s="1"/>
  <c r="NF11" i="102"/>
  <c r="T41" i="102"/>
  <c r="T49" i="102" s="1"/>
  <c r="T50" i="102" s="1"/>
  <c r="IP41" i="102"/>
  <c r="GK41" i="102" s="1"/>
  <c r="LI13" i="102"/>
  <c r="RK19" i="102"/>
  <c r="Q24" i="102"/>
  <c r="Q30" i="102"/>
  <c r="S41" i="102"/>
  <c r="JN45" i="102"/>
  <c r="FD21" i="102"/>
  <c r="Q40" i="102"/>
  <c r="C40" i="102"/>
  <c r="LG41" i="102"/>
  <c r="RI10" i="102"/>
  <c r="RI11" i="102" s="1"/>
  <c r="RI12" i="102" s="1"/>
  <c r="RI13" i="102" s="1"/>
  <c r="RI14" i="102" s="1"/>
  <c r="RI15" i="102" s="1"/>
  <c r="RI16" i="102" s="1"/>
  <c r="RI17" i="102" s="1"/>
  <c r="Y24" i="102"/>
  <c r="Y27" i="102"/>
  <c r="Q29" i="102"/>
  <c r="Q34" i="102"/>
  <c r="C36" i="102"/>
  <c r="RZ39" i="102"/>
  <c r="GZ42" i="102"/>
  <c r="GZ44" i="102" s="1"/>
  <c r="HL41" i="102"/>
  <c r="D27" i="102"/>
  <c r="O41" i="102"/>
  <c r="Q10" i="102"/>
  <c r="Q21" i="102"/>
  <c r="AC27" i="102"/>
  <c r="GM31" i="102"/>
  <c r="RZ33" i="102"/>
  <c r="Q36" i="102"/>
  <c r="AE42" i="102"/>
  <c r="AG41" i="102"/>
  <c r="RZ18" i="102"/>
  <c r="QP20" i="102"/>
  <c r="QO24" i="102"/>
  <c r="LI27" i="102"/>
  <c r="FD30" i="102"/>
  <c r="RZ35" i="102"/>
  <c r="AC37" i="102"/>
  <c r="Y38" i="102"/>
  <c r="NF40" i="102"/>
  <c r="QO14" i="102"/>
  <c r="LI20" i="102"/>
  <c r="QO26" i="102"/>
  <c r="LI31" i="102"/>
  <c r="RZ40" i="102"/>
  <c r="W41" i="102"/>
  <c r="C12" i="102"/>
  <c r="LI14" i="102"/>
  <c r="QP21" i="102"/>
  <c r="FD24" i="102"/>
  <c r="D24" i="102"/>
  <c r="D30" i="102"/>
  <c r="AT42" i="102"/>
  <c r="AT44" i="102" s="1"/>
  <c r="AV41" i="102"/>
  <c r="AV42" i="102" s="1"/>
  <c r="AV44" i="102" s="1"/>
  <c r="IB44" i="102"/>
  <c r="LH41" i="102"/>
  <c r="LH42" i="102" s="1"/>
  <c r="GM19" i="102"/>
  <c r="QO28" i="102"/>
  <c r="D40" i="102"/>
  <c r="D43" i="102"/>
  <c r="X95" i="102"/>
  <c r="X96" i="102" s="1"/>
  <c r="X97" i="102" s="1"/>
  <c r="X98" i="102" s="1"/>
  <c r="X99" i="102" s="1"/>
  <c r="X100" i="102" s="1"/>
  <c r="X101" i="102" s="1"/>
  <c r="X102" i="102" s="1"/>
  <c r="X103" i="102" s="1"/>
  <c r="X104" i="102" s="1"/>
  <c r="X105" i="102" s="1"/>
  <c r="X106" i="102" s="1"/>
  <c r="X107" i="102" s="1"/>
  <c r="X108" i="102" s="1"/>
  <c r="X109" i="102" s="1"/>
  <c r="X110" i="102" s="1"/>
  <c r="X111" i="102" s="1"/>
  <c r="X112" i="102" s="1"/>
  <c r="X113" i="102" s="1"/>
  <c r="X114" i="102" s="1"/>
  <c r="X115" i="102" s="1"/>
  <c r="X116" i="102" s="1"/>
  <c r="X117" i="102" s="1"/>
  <c r="X118" i="102" s="1"/>
  <c r="X119" i="102" s="1"/>
  <c r="X120" i="102" s="1"/>
  <c r="X121" i="102" s="1"/>
  <c r="X122" i="102" s="1"/>
  <c r="X123" i="102" s="1"/>
  <c r="X124" i="102" s="1"/>
  <c r="X125" i="102" s="1"/>
  <c r="X41" i="102"/>
  <c r="Y43" i="102"/>
  <c r="AC23" i="102"/>
  <c r="C29" i="102"/>
  <c r="LI30" i="102"/>
  <c r="SB31" i="102"/>
  <c r="QO31" i="102"/>
  <c r="AB210" i="102"/>
  <c r="C25" i="102"/>
  <c r="QP30" i="102"/>
  <c r="QO30" i="102"/>
  <c r="SB35" i="102"/>
  <c r="LI38" i="102"/>
  <c r="JV45" i="102"/>
  <c r="SB22" i="102"/>
  <c r="QP26" i="102"/>
  <c r="SB26" i="102"/>
  <c r="LI32" i="102"/>
  <c r="Y33" i="102"/>
  <c r="FD34" i="102"/>
  <c r="GM37" i="102"/>
  <c r="SB40" i="102"/>
  <c r="D32" i="102"/>
  <c r="FD40" i="102"/>
  <c r="O55" i="102"/>
  <c r="LI35" i="102"/>
  <c r="C38" i="102"/>
  <c r="GM40" i="102"/>
  <c r="JE42" i="102"/>
  <c r="JE44" i="102" s="1"/>
  <c r="P54" i="102"/>
  <c r="C34" i="102"/>
  <c r="IA42" i="102"/>
  <c r="AB94" i="102"/>
  <c r="P95" i="102"/>
  <c r="QP39" i="102"/>
  <c r="QO39" i="102"/>
  <c r="O42" i="102"/>
  <c r="AP41" i="102"/>
  <c r="AP42" i="102" s="1"/>
  <c r="AP44" i="102" s="1"/>
  <c r="O95" i="102"/>
  <c r="OQ21" i="126" l="1"/>
  <c r="OT20" i="126"/>
  <c r="OQ22" i="124"/>
  <c r="OT21" i="124"/>
  <c r="NE34" i="124"/>
  <c r="NG33" i="124"/>
  <c r="MY33" i="124" s="1"/>
  <c r="MX40" i="122"/>
  <c r="MX41" i="122" s="1"/>
  <c r="MX42" i="122" s="1"/>
  <c r="MX44" i="122" s="1"/>
  <c r="NF41" i="122"/>
  <c r="NF44" i="122" s="1"/>
  <c r="NZ25" i="122"/>
  <c r="NO25" i="122"/>
  <c r="QG28" i="122"/>
  <c r="NA27" i="122"/>
  <c r="AL27" i="123"/>
  <c r="OQ17" i="120"/>
  <c r="AF39" i="118"/>
  <c r="OA10" i="120"/>
  <c r="OF9" i="120"/>
  <c r="NP11" i="116"/>
  <c r="OG40" i="116"/>
  <c r="MZ36" i="116"/>
  <c r="PO37" i="116"/>
  <c r="QG40" i="116"/>
  <c r="QH37" i="116"/>
  <c r="NA36" i="116"/>
  <c r="PA40" i="116"/>
  <c r="PG39" i="116"/>
  <c r="NT40" i="116"/>
  <c r="OE42" i="102"/>
  <c r="MX42" i="102" s="1"/>
  <c r="MY21" i="111"/>
  <c r="PN22" i="111"/>
  <c r="OR20" i="111"/>
  <c r="ON21" i="111"/>
  <c r="AJ30" i="112"/>
  <c r="RK35" i="111"/>
  <c r="RH36" i="111"/>
  <c r="NS30" i="111"/>
  <c r="NF29" i="111"/>
  <c r="QE28" i="111"/>
  <c r="PF27" i="111"/>
  <c r="OZ28" i="111"/>
  <c r="OF28" i="111"/>
  <c r="NX28" i="111"/>
  <c r="MZ25" i="111"/>
  <c r="QF26" i="111"/>
  <c r="OR12" i="102"/>
  <c r="OZ27" i="102"/>
  <c r="PF26" i="102"/>
  <c r="E37" i="102"/>
  <c r="E26" i="102"/>
  <c r="E24" i="102"/>
  <c r="AL25" i="103"/>
  <c r="E19" i="102"/>
  <c r="OR11" i="102"/>
  <c r="E31" i="102"/>
  <c r="E23" i="102"/>
  <c r="E36" i="102"/>
  <c r="S42" i="102"/>
  <c r="E20" i="102"/>
  <c r="E35" i="102"/>
  <c r="E16" i="102"/>
  <c r="E30" i="102"/>
  <c r="E11" i="102"/>
  <c r="E13" i="102"/>
  <c r="E12" i="102"/>
  <c r="E25" i="102"/>
  <c r="AB42" i="102"/>
  <c r="AB300" i="102"/>
  <c r="IO44" i="102"/>
  <c r="IP42" i="102"/>
  <c r="IP44" i="102" s="1"/>
  <c r="E39" i="102"/>
  <c r="O138" i="102"/>
  <c r="U41" i="102"/>
  <c r="C55" i="98"/>
  <c r="L51" i="106"/>
  <c r="P138" i="102"/>
  <c r="E38" i="102"/>
  <c r="JI44" i="102"/>
  <c r="AW66" i="2"/>
  <c r="NK39" i="102"/>
  <c r="NK40" i="102" s="1"/>
  <c r="NK41" i="102" s="1"/>
  <c r="NK42" i="102" s="1"/>
  <c r="JH44" i="102"/>
  <c r="AW62" i="2"/>
  <c r="AW23" i="2"/>
  <c r="T44" i="102"/>
  <c r="RK20" i="102"/>
  <c r="E34" i="102"/>
  <c r="E14" i="102"/>
  <c r="E29" i="102"/>
  <c r="E17" i="102"/>
  <c r="E28" i="102"/>
  <c r="E33" i="102"/>
  <c r="E21" i="102"/>
  <c r="E22" i="102"/>
  <c r="E18" i="102"/>
  <c r="NS13" i="102"/>
  <c r="O56" i="102"/>
  <c r="C41" i="102"/>
  <c r="E10" i="102"/>
  <c r="RH22" i="102"/>
  <c r="RK21" i="102"/>
  <c r="NF12" i="102"/>
  <c r="T228" i="102"/>
  <c r="AB52" i="102"/>
  <c r="AB54" i="102" s="1"/>
  <c r="AA49" i="102"/>
  <c r="P42" i="102"/>
  <c r="OF13" i="102"/>
  <c r="OR13" i="102" s="1"/>
  <c r="RH11" i="102"/>
  <c r="RK10" i="102"/>
  <c r="LI41" i="102"/>
  <c r="LI42" i="102" s="1"/>
  <c r="HL42" i="102"/>
  <c r="HL44" i="102" s="1"/>
  <c r="AA42" i="102"/>
  <c r="AW31" i="2" s="1"/>
  <c r="AC41" i="102"/>
  <c r="AC42" i="102" s="1"/>
  <c r="AB212" i="102"/>
  <c r="AW115" i="2"/>
  <c r="O44" i="102"/>
  <c r="NF41" i="102"/>
  <c r="NF42" i="102" s="1"/>
  <c r="P96" i="102"/>
  <c r="E27" i="102"/>
  <c r="JK42" i="102"/>
  <c r="JK44" i="102" s="1"/>
  <c r="O96" i="102"/>
  <c r="AS42" i="102"/>
  <c r="AS44" i="102" s="1"/>
  <c r="AQ44" i="102"/>
  <c r="D41" i="102"/>
  <c r="LF42" i="102"/>
  <c r="GP46" i="102"/>
  <c r="GK42" i="102"/>
  <c r="GK44" i="102" s="1"/>
  <c r="E43" i="102"/>
  <c r="E32" i="102"/>
  <c r="GM10" i="102"/>
  <c r="FD10" i="102"/>
  <c r="FD41" i="102" s="1"/>
  <c r="FD42" i="102" s="1"/>
  <c r="FD44" i="102" s="1"/>
  <c r="FA41" i="102"/>
  <c r="FA42" i="102" s="1"/>
  <c r="FA44" i="102" s="1"/>
  <c r="E15" i="102"/>
  <c r="Y41" i="102"/>
  <c r="P49" i="102"/>
  <c r="Q41" i="102"/>
  <c r="O49" i="102"/>
  <c r="LG42" i="102"/>
  <c r="E40" i="102"/>
  <c r="P55" i="102"/>
  <c r="AE44" i="102"/>
  <c r="AG42" i="102"/>
  <c r="AG44" i="102" s="1"/>
  <c r="ND29" i="102"/>
  <c r="JK35" i="99"/>
  <c r="JK36" i="99"/>
  <c r="JK37" i="99"/>
  <c r="OQ22" i="126" l="1"/>
  <c r="OT21" i="126"/>
  <c r="OQ23" i="124"/>
  <c r="OT22" i="124"/>
  <c r="NE35" i="124"/>
  <c r="NG34" i="124"/>
  <c r="MY34" i="124" s="1"/>
  <c r="AL28" i="123"/>
  <c r="QG29" i="122"/>
  <c r="NA28" i="122"/>
  <c r="NO26" i="122"/>
  <c r="NZ26" i="122"/>
  <c r="OQ18" i="120"/>
  <c r="AF40" i="118"/>
  <c r="OA11" i="120"/>
  <c r="OF10" i="120"/>
  <c r="NP12" i="116"/>
  <c r="R3" i="118"/>
  <c r="QH38" i="116"/>
  <c r="NA37" i="116"/>
  <c r="QG41" i="116"/>
  <c r="QG42" i="116" s="1"/>
  <c r="QG44" i="116" s="1"/>
  <c r="OG41" i="116"/>
  <c r="PG40" i="116"/>
  <c r="PG41" i="116" s="1"/>
  <c r="PG42" i="116" s="1"/>
  <c r="PG44" i="116" s="1"/>
  <c r="PA41" i="116"/>
  <c r="PA42" i="116" s="1"/>
  <c r="PA44" i="116" s="1"/>
  <c r="NT41" i="116"/>
  <c r="NT42" i="116" s="1"/>
  <c r="NT44" i="116" s="1"/>
  <c r="PO38" i="116"/>
  <c r="MZ37" i="116"/>
  <c r="MY22" i="111"/>
  <c r="PN23" i="111"/>
  <c r="OR21" i="111"/>
  <c r="ON22" i="111"/>
  <c r="AJ31" i="112"/>
  <c r="RK36" i="111"/>
  <c r="RH37" i="111"/>
  <c r="NS31" i="111"/>
  <c r="NF30" i="111"/>
  <c r="QE29" i="111"/>
  <c r="PF28" i="111"/>
  <c r="OZ29" i="111"/>
  <c r="OF29" i="111"/>
  <c r="NX29" i="111"/>
  <c r="MZ26" i="111"/>
  <c r="QF27" i="111"/>
  <c r="OZ28" i="102"/>
  <c r="PF27" i="102"/>
  <c r="E41" i="102"/>
  <c r="AL26" i="103"/>
  <c r="AW27" i="2"/>
  <c r="U42" i="102"/>
  <c r="S44" i="102"/>
  <c r="U44" i="102" s="1"/>
  <c r="S49" i="102"/>
  <c r="GM41" i="102"/>
  <c r="GM42" i="102" s="1"/>
  <c r="GM44" i="102" s="1"/>
  <c r="AW48" i="2"/>
  <c r="O139" i="102"/>
  <c r="O140" i="102" s="1"/>
  <c r="P139" i="102"/>
  <c r="Z16" i="95"/>
  <c r="AW40" i="2"/>
  <c r="AA44" i="102"/>
  <c r="AW84" i="2"/>
  <c r="C42" i="102"/>
  <c r="AW105" i="2"/>
  <c r="AW88" i="2"/>
  <c r="Q42" i="102"/>
  <c r="Q44" i="102" s="1"/>
  <c r="NF13" i="102"/>
  <c r="NF44" i="102"/>
  <c r="O97" i="102"/>
  <c r="RK22" i="102"/>
  <c r="RH23" i="102"/>
  <c r="ND30" i="102"/>
  <c r="W44" i="102"/>
  <c r="Y42" i="102"/>
  <c r="Y44" i="102" s="1"/>
  <c r="RK11" i="102"/>
  <c r="RH12" i="102"/>
  <c r="X44" i="102"/>
  <c r="X49" i="102"/>
  <c r="O57" i="102"/>
  <c r="NS14" i="102"/>
  <c r="OF14" i="102"/>
  <c r="OR14" i="102" s="1"/>
  <c r="P56" i="102"/>
  <c r="AC43" i="102"/>
  <c r="AC44" i="102" s="1"/>
  <c r="D42" i="102"/>
  <c r="P44" i="102"/>
  <c r="P97" i="102"/>
  <c r="RP11" i="94"/>
  <c r="RP12" i="94"/>
  <c r="RP13" i="94"/>
  <c r="RP14" i="94"/>
  <c r="RP15" i="94"/>
  <c r="RP16" i="94"/>
  <c r="RP17" i="94"/>
  <c r="RP18" i="94"/>
  <c r="RP19" i="94"/>
  <c r="RP20" i="94"/>
  <c r="RP21" i="94"/>
  <c r="RP22" i="94"/>
  <c r="RP23" i="94"/>
  <c r="RP24" i="94"/>
  <c r="RP25" i="94"/>
  <c r="RP26" i="94"/>
  <c r="RP27" i="94"/>
  <c r="RP28" i="94"/>
  <c r="RP29" i="94"/>
  <c r="RP30" i="94"/>
  <c r="RP31" i="94"/>
  <c r="RP32" i="94"/>
  <c r="RP33" i="94"/>
  <c r="RP34" i="94"/>
  <c r="RP35" i="94"/>
  <c r="RP36" i="94"/>
  <c r="RP37" i="94"/>
  <c r="RP38" i="94"/>
  <c r="RP39" i="94"/>
  <c r="RP40" i="94"/>
  <c r="RP10" i="94"/>
  <c r="OQ23" i="126" l="1"/>
  <c r="OT22" i="126"/>
  <c r="OQ24" i="124"/>
  <c r="OT23" i="124"/>
  <c r="NE36" i="124"/>
  <c r="NG35" i="124"/>
  <c r="MY35" i="124" s="1"/>
  <c r="NZ27" i="122"/>
  <c r="NO27" i="122"/>
  <c r="QG30" i="122"/>
  <c r="NA29" i="122"/>
  <c r="AL29" i="123"/>
  <c r="OQ19" i="120"/>
  <c r="AF41" i="118"/>
  <c r="OA12" i="120"/>
  <c r="OF11" i="120"/>
  <c r="NP13" i="116"/>
  <c r="R4" i="118"/>
  <c r="PO39" i="116"/>
  <c r="MZ38" i="116"/>
  <c r="QH39" i="116"/>
  <c r="NA38" i="116"/>
  <c r="PN24" i="111"/>
  <c r="MY23" i="111"/>
  <c r="OR22" i="111"/>
  <c r="ON23" i="111"/>
  <c r="AJ32" i="112"/>
  <c r="RK37" i="111"/>
  <c r="RH38" i="111"/>
  <c r="NS32" i="111"/>
  <c r="NF31" i="111"/>
  <c r="QE30" i="111"/>
  <c r="PF29" i="111"/>
  <c r="OZ30" i="111"/>
  <c r="OF30" i="111"/>
  <c r="NX30" i="111"/>
  <c r="MZ27" i="111"/>
  <c r="QF28" i="111"/>
  <c r="OZ29" i="102"/>
  <c r="PF28" i="102"/>
  <c r="D44" i="102"/>
  <c r="E42" i="102"/>
  <c r="E44" i="102" s="1"/>
  <c r="AL27" i="103"/>
  <c r="C44" i="102"/>
  <c r="P140" i="102"/>
  <c r="P57" i="102"/>
  <c r="RH24" i="102"/>
  <c r="RK23" i="102"/>
  <c r="OF15" i="102"/>
  <c r="OR15" i="102" s="1"/>
  <c r="O141" i="102"/>
  <c r="ND31" i="102"/>
  <c r="RK12" i="102"/>
  <c r="RH13" i="102"/>
  <c r="NS15" i="102"/>
  <c r="P98" i="102"/>
  <c r="O58" i="102"/>
  <c r="O98" i="102"/>
  <c r="NF14" i="102"/>
  <c r="RP43" i="94"/>
  <c r="OQ24" i="126" l="1"/>
  <c r="OT23" i="126"/>
  <c r="OQ25" i="124"/>
  <c r="OT24" i="124"/>
  <c r="NE37" i="124"/>
  <c r="NG36" i="124"/>
  <c r="MY36" i="124" s="1"/>
  <c r="QG31" i="122"/>
  <c r="NA30" i="122"/>
  <c r="AL30" i="123"/>
  <c r="NO28" i="122"/>
  <c r="NZ28" i="122"/>
  <c r="OQ20" i="120"/>
  <c r="AF42" i="118"/>
  <c r="OA13" i="120"/>
  <c r="OF12" i="120"/>
  <c r="NP14" i="116"/>
  <c r="R5" i="118"/>
  <c r="QH40" i="116"/>
  <c r="NA39" i="116"/>
  <c r="PO40" i="116"/>
  <c r="MZ39" i="116"/>
  <c r="PN25" i="111"/>
  <c r="MY24" i="111"/>
  <c r="OR23" i="111"/>
  <c r="ON24" i="111"/>
  <c r="AJ33" i="112"/>
  <c r="RK38" i="111"/>
  <c r="RH39" i="111"/>
  <c r="NS33" i="111"/>
  <c r="NF32" i="111"/>
  <c r="QE31" i="111"/>
  <c r="PF30" i="111"/>
  <c r="OZ31" i="111"/>
  <c r="OF31" i="111"/>
  <c r="NX31" i="111"/>
  <c r="MZ28" i="111"/>
  <c r="QF29" i="111"/>
  <c r="OZ30" i="102"/>
  <c r="PF29" i="102"/>
  <c r="AL28" i="103"/>
  <c r="P141" i="102"/>
  <c r="ND32" i="102"/>
  <c r="O99" i="102"/>
  <c r="O59" i="102"/>
  <c r="O142" i="102"/>
  <c r="NF15" i="102"/>
  <c r="OF16" i="102"/>
  <c r="OR16" i="102" s="1"/>
  <c r="P99" i="102"/>
  <c r="RK24" i="102"/>
  <c r="RH25" i="102"/>
  <c r="NS16" i="102"/>
  <c r="RH14" i="102"/>
  <c r="RK13" i="102"/>
  <c r="P58" i="102"/>
  <c r="AF44" i="93"/>
  <c r="OQ25" i="126" l="1"/>
  <c r="OT24" i="126"/>
  <c r="OQ26" i="124"/>
  <c r="OT25" i="124"/>
  <c r="NE38" i="124"/>
  <c r="NG37" i="124"/>
  <c r="MY37" i="124" s="1"/>
  <c r="NZ29" i="122"/>
  <c r="NO29" i="122"/>
  <c r="AL31" i="123"/>
  <c r="QG32" i="122"/>
  <c r="NA31" i="122"/>
  <c r="OQ21" i="120"/>
  <c r="AF43" i="118"/>
  <c r="OA14" i="120"/>
  <c r="OF13" i="120"/>
  <c r="NP15" i="116"/>
  <c r="R6" i="118"/>
  <c r="PO41" i="116"/>
  <c r="PO44" i="116" s="1"/>
  <c r="MZ40" i="116"/>
  <c r="MZ41" i="116" s="1"/>
  <c r="MZ42" i="116" s="1"/>
  <c r="MZ44" i="116" s="1"/>
  <c r="QH41" i="116"/>
  <c r="NA40" i="116"/>
  <c r="NA41" i="116" s="1"/>
  <c r="NA42" i="116" s="1"/>
  <c r="NA44" i="116" s="1"/>
  <c r="MY25" i="111"/>
  <c r="PN26" i="111"/>
  <c r="OR24" i="111"/>
  <c r="ON25" i="111"/>
  <c r="AJ34" i="112"/>
  <c r="RK39" i="111"/>
  <c r="RH40" i="111"/>
  <c r="RK40" i="111" s="1"/>
  <c r="NS34" i="111"/>
  <c r="NF33" i="111"/>
  <c r="QE32" i="111"/>
  <c r="PF31" i="111"/>
  <c r="OZ32" i="111"/>
  <c r="OF32" i="111"/>
  <c r="NX32" i="111"/>
  <c r="MZ29" i="111"/>
  <c r="QF30" i="111"/>
  <c r="PF30" i="102"/>
  <c r="OZ31" i="102"/>
  <c r="AL29" i="103"/>
  <c r="P142" i="102"/>
  <c r="NS17" i="102"/>
  <c r="RH26" i="102"/>
  <c r="RK25" i="102"/>
  <c r="O60" i="102"/>
  <c r="P59" i="102"/>
  <c r="OF17" i="102"/>
  <c r="OR17" i="102" s="1"/>
  <c r="O100" i="102"/>
  <c r="RK14" i="102"/>
  <c r="RH15" i="102"/>
  <c r="ND33" i="102"/>
  <c r="O143" i="102"/>
  <c r="P100" i="102"/>
  <c r="NF16" i="102"/>
  <c r="OR42" i="94"/>
  <c r="OE42" i="94"/>
  <c r="NR42" i="94"/>
  <c r="NE42" i="94"/>
  <c r="OQ26" i="126" l="1"/>
  <c r="OT25" i="126"/>
  <c r="OQ27" i="124"/>
  <c r="OT26" i="124"/>
  <c r="NE39" i="124"/>
  <c r="NG38" i="124"/>
  <c r="MY38" i="124" s="1"/>
  <c r="QG33" i="122"/>
  <c r="NA32" i="122"/>
  <c r="AL32" i="123"/>
  <c r="NO30" i="122"/>
  <c r="NZ30" i="122"/>
  <c r="OQ22" i="120"/>
  <c r="AF44" i="118"/>
  <c r="OA15" i="120"/>
  <c r="OF14" i="120"/>
  <c r="NP16" i="116"/>
  <c r="R7" i="118"/>
  <c r="MY26" i="111"/>
  <c r="PN27" i="111"/>
  <c r="OR25" i="111"/>
  <c r="ON26" i="111"/>
  <c r="AJ35" i="112"/>
  <c r="NS35" i="111"/>
  <c r="NF34" i="111"/>
  <c r="QE33" i="111"/>
  <c r="PF32" i="111"/>
  <c r="OZ33" i="111"/>
  <c r="OF33" i="111"/>
  <c r="NX33" i="111"/>
  <c r="MZ30" i="111"/>
  <c r="QF31" i="111"/>
  <c r="PF31" i="102"/>
  <c r="OZ32" i="102"/>
  <c r="AL30" i="103"/>
  <c r="P143" i="102"/>
  <c r="O101" i="102"/>
  <c r="P101" i="102"/>
  <c r="OF18" i="102"/>
  <c r="OR18" i="102" s="1"/>
  <c r="P60" i="102"/>
  <c r="O144" i="102"/>
  <c r="O61" i="102"/>
  <c r="NF17" i="102"/>
  <c r="RK26" i="102"/>
  <c r="RH27" i="102"/>
  <c r="ND34" i="102"/>
  <c r="RH16" i="102"/>
  <c r="RK15" i="102"/>
  <c r="NS18" i="102"/>
  <c r="W42" i="94"/>
  <c r="X42" i="94"/>
  <c r="O42" i="94"/>
  <c r="OQ27" i="126" l="1"/>
  <c r="OT26" i="126"/>
  <c r="OQ28" i="124"/>
  <c r="OT27" i="124"/>
  <c r="NE40" i="124"/>
  <c r="NG39" i="124"/>
  <c r="MY39" i="124" s="1"/>
  <c r="NZ31" i="122"/>
  <c r="NO31" i="122"/>
  <c r="AL33" i="123"/>
  <c r="QG34" i="122"/>
  <c r="NA33" i="122"/>
  <c r="OQ23" i="120"/>
  <c r="AF45" i="118"/>
  <c r="OA16" i="120"/>
  <c r="OF15" i="120"/>
  <c r="NP17" i="116"/>
  <c r="R8" i="118"/>
  <c r="MY27" i="111"/>
  <c r="PN28" i="111"/>
  <c r="OR26" i="111"/>
  <c r="ON27" i="111"/>
  <c r="AJ36" i="112"/>
  <c r="NS36" i="111"/>
  <c r="NF35" i="111"/>
  <c r="QE34" i="111"/>
  <c r="PF33" i="111"/>
  <c r="OZ34" i="111"/>
  <c r="OF34" i="111"/>
  <c r="NX34" i="111"/>
  <c r="MZ31" i="111"/>
  <c r="QF32" i="111"/>
  <c r="OZ33" i="102"/>
  <c r="PF32" i="102"/>
  <c r="AL31" i="103"/>
  <c r="P144" i="102"/>
  <c r="RH28" i="102"/>
  <c r="RK27" i="102"/>
  <c r="O145" i="102"/>
  <c r="P61" i="102"/>
  <c r="OF19" i="102"/>
  <c r="OR19" i="102" s="1"/>
  <c r="NF18" i="102"/>
  <c r="P102" i="102"/>
  <c r="NS19" i="102"/>
  <c r="RH17" i="102"/>
  <c r="RK17" i="102" s="1"/>
  <c r="RK16" i="102"/>
  <c r="O62" i="102"/>
  <c r="O102" i="102"/>
  <c r="ND35" i="102"/>
  <c r="P135" i="99"/>
  <c r="O135" i="99"/>
  <c r="X50" i="99"/>
  <c r="X52" i="99" s="1"/>
  <c r="T52" i="99"/>
  <c r="O52" i="99"/>
  <c r="P52" i="99"/>
  <c r="S52" i="99"/>
  <c r="OQ28" i="126" l="1"/>
  <c r="OT27" i="126"/>
  <c r="OQ29" i="124"/>
  <c r="OT28" i="124"/>
  <c r="NG40" i="124"/>
  <c r="NE41" i="124"/>
  <c r="NE9" i="126" s="1"/>
  <c r="AL34" i="123"/>
  <c r="NO32" i="122"/>
  <c r="QG35" i="122"/>
  <c r="NA34" i="122"/>
  <c r="NZ32" i="122"/>
  <c r="OQ24" i="120"/>
  <c r="AF46" i="118"/>
  <c r="OA17" i="120"/>
  <c r="OF16" i="120"/>
  <c r="NP18" i="116"/>
  <c r="R9" i="118"/>
  <c r="MY28" i="111"/>
  <c r="PN29" i="111"/>
  <c r="OR27" i="111"/>
  <c r="ON28" i="111"/>
  <c r="AJ37" i="112"/>
  <c r="NS37" i="111"/>
  <c r="QE35" i="111"/>
  <c r="PF34" i="111"/>
  <c r="OZ35" i="111"/>
  <c r="OF35" i="111"/>
  <c r="NX35" i="111"/>
  <c r="MZ32" i="111"/>
  <c r="QF33" i="111"/>
  <c r="PF33" i="102"/>
  <c r="OZ34" i="102"/>
  <c r="AL32" i="103"/>
  <c r="P145" i="102"/>
  <c r="O63" i="102"/>
  <c r="NF19" i="102"/>
  <c r="P103" i="102"/>
  <c r="ND36" i="102"/>
  <c r="O146" i="102"/>
  <c r="O103" i="102"/>
  <c r="NS20" i="102"/>
  <c r="OF20" i="102"/>
  <c r="OR20" i="102" s="1"/>
  <c r="P62" i="102"/>
  <c r="RH29" i="102"/>
  <c r="RK28" i="102"/>
  <c r="NQ10" i="94"/>
  <c r="NQ11" i="94" s="1"/>
  <c r="NQ12" i="94" s="1"/>
  <c r="NQ13" i="94" s="1"/>
  <c r="NQ14" i="94" s="1"/>
  <c r="NQ15" i="94" s="1"/>
  <c r="NQ16" i="94" s="1"/>
  <c r="NQ17" i="94" s="1"/>
  <c r="NQ18" i="94" s="1"/>
  <c r="NQ19" i="94" s="1"/>
  <c r="NQ20" i="94" s="1"/>
  <c r="NQ21" i="94" s="1"/>
  <c r="NQ22" i="94" s="1"/>
  <c r="NQ23" i="94" s="1"/>
  <c r="NQ24" i="94" s="1"/>
  <c r="NQ25" i="94" s="1"/>
  <c r="NQ26" i="94" s="1"/>
  <c r="NQ27" i="94" s="1"/>
  <c r="NQ28" i="94" s="1"/>
  <c r="NQ29" i="94" s="1"/>
  <c r="NQ30" i="94" s="1"/>
  <c r="NQ31" i="94" s="1"/>
  <c r="NQ32" i="94" s="1"/>
  <c r="NQ33" i="94" s="1"/>
  <c r="NQ34" i="94" s="1"/>
  <c r="NQ35" i="94" s="1"/>
  <c r="NQ36" i="94" s="1"/>
  <c r="NQ37" i="94" s="1"/>
  <c r="NQ38" i="94" s="1"/>
  <c r="NQ39" i="94" s="1"/>
  <c r="NQ40" i="94" s="1"/>
  <c r="NP10" i="94"/>
  <c r="NP11" i="94" s="1"/>
  <c r="NP12" i="94" s="1"/>
  <c r="NP13" i="94" s="1"/>
  <c r="NP14" i="94" s="1"/>
  <c r="NP15" i="94" s="1"/>
  <c r="NP16" i="94" s="1"/>
  <c r="NP17" i="94" s="1"/>
  <c r="NP18" i="94" s="1"/>
  <c r="NP19" i="94" s="1"/>
  <c r="NP20" i="94" s="1"/>
  <c r="NP21" i="94" s="1"/>
  <c r="NP22" i="94" s="1"/>
  <c r="NP23" i="94" s="1"/>
  <c r="NP24" i="94" s="1"/>
  <c r="NP25" i="94" s="1"/>
  <c r="NP26" i="94" s="1"/>
  <c r="NP27" i="94" s="1"/>
  <c r="NP28" i="94" s="1"/>
  <c r="NP29" i="94" s="1"/>
  <c r="NP30" i="94" s="1"/>
  <c r="NP31" i="94" s="1"/>
  <c r="NP32" i="94" s="1"/>
  <c r="NP33" i="94" s="1"/>
  <c r="NP34" i="94" s="1"/>
  <c r="NP35" i="94" s="1"/>
  <c r="NP36" i="94" s="1"/>
  <c r="NP37" i="94" s="1"/>
  <c r="NP38" i="94" s="1"/>
  <c r="NP39" i="94" s="1"/>
  <c r="OQ29" i="126" l="1"/>
  <c r="OT28" i="126"/>
  <c r="NE10" i="126"/>
  <c r="NE11" i="126" s="1"/>
  <c r="NE12" i="126" s="1"/>
  <c r="NE13" i="126" s="1"/>
  <c r="NE14" i="126" s="1"/>
  <c r="NE15" i="126" s="1"/>
  <c r="NE16" i="126" s="1"/>
  <c r="NE17" i="126" s="1"/>
  <c r="NE18" i="126" s="1"/>
  <c r="NE19" i="126" s="1"/>
  <c r="NG9" i="126"/>
  <c r="OQ30" i="124"/>
  <c r="OT29" i="124"/>
  <c r="MY40" i="124"/>
  <c r="MY41" i="124" s="1"/>
  <c r="MY42" i="124" s="1"/>
  <c r="MY44" i="124" s="1"/>
  <c r="NG41" i="124"/>
  <c r="NG42" i="124" s="1"/>
  <c r="NG44" i="124" s="1"/>
  <c r="NZ33" i="122"/>
  <c r="NO33" i="122"/>
  <c r="QG36" i="122"/>
  <c r="NA35" i="122"/>
  <c r="AL35" i="123"/>
  <c r="OQ25" i="120"/>
  <c r="AF47" i="118"/>
  <c r="OA18" i="120"/>
  <c r="OF17" i="120"/>
  <c r="NP19" i="116"/>
  <c r="R10" i="118"/>
  <c r="MY29" i="111"/>
  <c r="PN30" i="111"/>
  <c r="OR28" i="111"/>
  <c r="ON29" i="111"/>
  <c r="AJ38" i="112"/>
  <c r="NS38" i="111"/>
  <c r="QE36" i="111"/>
  <c r="PF35" i="111"/>
  <c r="OZ36" i="111"/>
  <c r="OF36" i="111"/>
  <c r="NX36" i="111"/>
  <c r="MZ33" i="111"/>
  <c r="QF34" i="111"/>
  <c r="OZ35" i="102"/>
  <c r="PF34" i="102"/>
  <c r="AL33" i="103"/>
  <c r="P146" i="102"/>
  <c r="O147" i="102"/>
  <c r="NS21" i="102"/>
  <c r="O104" i="102"/>
  <c r="P104" i="102"/>
  <c r="P63" i="102"/>
  <c r="OF21" i="102"/>
  <c r="OR21" i="102" s="1"/>
  <c r="ND37" i="102"/>
  <c r="RK29" i="102"/>
  <c r="RH30" i="102"/>
  <c r="NF20" i="102"/>
  <c r="O64" i="102"/>
  <c r="OQ30" i="126" l="1"/>
  <c r="OT29" i="126"/>
  <c r="NE20" i="126"/>
  <c r="NG19" i="126"/>
  <c r="MY19" i="126" s="1"/>
  <c r="NG10" i="126"/>
  <c r="MY10" i="126" s="1"/>
  <c r="OQ31" i="124"/>
  <c r="OT30" i="124"/>
  <c r="QG37" i="122"/>
  <c r="NA36" i="122"/>
  <c r="AL36" i="123"/>
  <c r="NO34" i="122"/>
  <c r="NZ34" i="122"/>
  <c r="OQ26" i="120"/>
  <c r="AF48" i="118"/>
  <c r="OA19" i="120"/>
  <c r="OF18" i="120"/>
  <c r="NP20" i="116"/>
  <c r="R11" i="118"/>
  <c r="MY30" i="111"/>
  <c r="PN31" i="111"/>
  <c r="OR29" i="111"/>
  <c r="ON30" i="111"/>
  <c r="AJ39" i="112"/>
  <c r="NS39" i="111"/>
  <c r="QE37" i="111"/>
  <c r="PF36" i="111"/>
  <c r="OZ37" i="111"/>
  <c r="OF37" i="111"/>
  <c r="NX37" i="111"/>
  <c r="MZ34" i="111"/>
  <c r="QF35" i="111"/>
  <c r="OZ36" i="102"/>
  <c r="PF35" i="102"/>
  <c r="AL34" i="103"/>
  <c r="P147" i="102"/>
  <c r="O65" i="102"/>
  <c r="P64" i="102"/>
  <c r="P105" i="102"/>
  <c r="NF21" i="102"/>
  <c r="O105" i="102"/>
  <c r="RK30" i="102"/>
  <c r="RH31" i="102"/>
  <c r="NS22" i="102"/>
  <c r="ND38" i="102"/>
  <c r="O148" i="102"/>
  <c r="OF22" i="102"/>
  <c r="OR22" i="102" s="1"/>
  <c r="AE11" i="100"/>
  <c r="AD11" i="100"/>
  <c r="AD12" i="100" s="1"/>
  <c r="AD13" i="100" s="1"/>
  <c r="BM11" i="100"/>
  <c r="BJ12" i="100"/>
  <c r="BJ14" i="100"/>
  <c r="BJ15" i="100"/>
  <c r="BJ16" i="100"/>
  <c r="BJ17" i="100"/>
  <c r="BJ18" i="100"/>
  <c r="BJ19" i="100"/>
  <c r="BJ20" i="100"/>
  <c r="BJ21" i="100"/>
  <c r="BJ22" i="100"/>
  <c r="BJ23" i="100"/>
  <c r="BJ24" i="100"/>
  <c r="BJ25" i="100"/>
  <c r="BJ26" i="100"/>
  <c r="BJ27" i="100"/>
  <c r="BJ28" i="100"/>
  <c r="BJ29" i="100"/>
  <c r="BJ30" i="100"/>
  <c r="BJ31" i="100"/>
  <c r="BJ32" i="100"/>
  <c r="BJ33" i="100"/>
  <c r="BJ34" i="100"/>
  <c r="BJ35" i="100"/>
  <c r="BJ36" i="100"/>
  <c r="BJ37" i="100"/>
  <c r="BJ38" i="100"/>
  <c r="BJ40" i="100"/>
  <c r="BJ41" i="100"/>
  <c r="BJ42" i="100"/>
  <c r="BJ13" i="100"/>
  <c r="AL11" i="100"/>
  <c r="AL12" i="100" s="1"/>
  <c r="AL13" i="100" s="1"/>
  <c r="AL14" i="100" s="1"/>
  <c r="AL15" i="100" s="1"/>
  <c r="AL16" i="100" s="1"/>
  <c r="AL17" i="100" s="1"/>
  <c r="AL18" i="100" s="1"/>
  <c r="AL19" i="100" s="1"/>
  <c r="AL20" i="100" s="1"/>
  <c r="AL21" i="100" s="1"/>
  <c r="AL22" i="100" s="1"/>
  <c r="AL23" i="100" s="1"/>
  <c r="AL24" i="100" s="1"/>
  <c r="AL25" i="100" s="1"/>
  <c r="AL26" i="100" s="1"/>
  <c r="AL27" i="100" s="1"/>
  <c r="AL28" i="100" s="1"/>
  <c r="AL29" i="100" s="1"/>
  <c r="AL30" i="100" s="1"/>
  <c r="AL31" i="100" s="1"/>
  <c r="AL32" i="100" s="1"/>
  <c r="AL33" i="100" s="1"/>
  <c r="AL34" i="100" s="1"/>
  <c r="AL35" i="100" s="1"/>
  <c r="AL36" i="100" s="1"/>
  <c r="AL37" i="100" s="1"/>
  <c r="AL38" i="100" s="1"/>
  <c r="AL39" i="100" s="1"/>
  <c r="AL40" i="100" s="1"/>
  <c r="AL41" i="100" s="1"/>
  <c r="AL42" i="100" s="1"/>
  <c r="AL43" i="100" s="1"/>
  <c r="QG9" i="99"/>
  <c r="QF9" i="99"/>
  <c r="QE9" i="99"/>
  <c r="QE10" i="99" s="1"/>
  <c r="QE11" i="99" s="1"/>
  <c r="OC9" i="99"/>
  <c r="OC10" i="99" s="1"/>
  <c r="OC11" i="99" s="1"/>
  <c r="OC12" i="99" s="1"/>
  <c r="OC13" i="99" s="1"/>
  <c r="OC14" i="99" s="1"/>
  <c r="OC15" i="99" s="1"/>
  <c r="OC16" i="99" s="1"/>
  <c r="OC17" i="99" s="1"/>
  <c r="OC18" i="99" s="1"/>
  <c r="OC19" i="99" s="1"/>
  <c r="OC20" i="99" s="1"/>
  <c r="OC21" i="99" s="1"/>
  <c r="OC22" i="99" s="1"/>
  <c r="OC23" i="99" s="1"/>
  <c r="OC24" i="99" s="1"/>
  <c r="OC25" i="99" s="1"/>
  <c r="OC26" i="99" s="1"/>
  <c r="OC27" i="99" s="1"/>
  <c r="OC28" i="99" s="1"/>
  <c r="OC29" i="99" s="1"/>
  <c r="OC30" i="99" s="1"/>
  <c r="OC31" i="99" s="1"/>
  <c r="OC32" i="99" s="1"/>
  <c r="OC33" i="99" s="1"/>
  <c r="OC34" i="99" s="1"/>
  <c r="OC35" i="99" s="1"/>
  <c r="OC36" i="99" s="1"/>
  <c r="OC37" i="99" s="1"/>
  <c r="OC38" i="99" s="1"/>
  <c r="OC39" i="99" s="1"/>
  <c r="OC40" i="99" s="1"/>
  <c r="OC41" i="99" s="1"/>
  <c r="OA9" i="99"/>
  <c r="OA10" i="99" s="1"/>
  <c r="OA11" i="99" s="1"/>
  <c r="OA12" i="99" s="1"/>
  <c r="OA13" i="99" s="1"/>
  <c r="OA14" i="99" s="1"/>
  <c r="OA15" i="99" s="1"/>
  <c r="OA16" i="99" s="1"/>
  <c r="OA17" i="99" s="1"/>
  <c r="OA18" i="99" s="1"/>
  <c r="OA19" i="99" s="1"/>
  <c r="OA20" i="99" s="1"/>
  <c r="OA21" i="99" s="1"/>
  <c r="OA22" i="99" s="1"/>
  <c r="OA23" i="99" s="1"/>
  <c r="OA24" i="99" s="1"/>
  <c r="NY9" i="99"/>
  <c r="NC9" i="99"/>
  <c r="NB9" i="99"/>
  <c r="D130" i="100"/>
  <c r="C130" i="100"/>
  <c r="D129" i="100"/>
  <c r="C129" i="100"/>
  <c r="D128" i="100"/>
  <c r="C128" i="100"/>
  <c r="D127" i="100"/>
  <c r="C127" i="100"/>
  <c r="D126" i="100"/>
  <c r="C126" i="100"/>
  <c r="D125" i="100"/>
  <c r="C125" i="100"/>
  <c r="D124" i="100"/>
  <c r="C124" i="100"/>
  <c r="D123" i="100"/>
  <c r="C123" i="100"/>
  <c r="D122" i="100"/>
  <c r="C122" i="100"/>
  <c r="D121" i="100"/>
  <c r="C121" i="100"/>
  <c r="D120" i="100"/>
  <c r="C120" i="100"/>
  <c r="D119" i="100"/>
  <c r="C119" i="100"/>
  <c r="D118" i="100"/>
  <c r="C118" i="100"/>
  <c r="D117" i="100"/>
  <c r="C117" i="100"/>
  <c r="D116" i="100"/>
  <c r="C116" i="100"/>
  <c r="D115" i="100"/>
  <c r="C115" i="100"/>
  <c r="D114" i="100"/>
  <c r="C114" i="100"/>
  <c r="D113" i="100"/>
  <c r="C113" i="100"/>
  <c r="D112" i="100"/>
  <c r="C112" i="100"/>
  <c r="D111" i="100"/>
  <c r="C111" i="100"/>
  <c r="D110" i="100"/>
  <c r="C110" i="100"/>
  <c r="D109" i="100"/>
  <c r="C109" i="100"/>
  <c r="D108" i="100"/>
  <c r="C108" i="100"/>
  <c r="D107" i="100"/>
  <c r="C107" i="100"/>
  <c r="D106" i="100"/>
  <c r="C106" i="100"/>
  <c r="D105" i="100"/>
  <c r="C105" i="100"/>
  <c r="D104" i="100"/>
  <c r="C104" i="100"/>
  <c r="D103" i="100"/>
  <c r="C103" i="100"/>
  <c r="D102" i="100"/>
  <c r="C102" i="100"/>
  <c r="D101" i="100"/>
  <c r="C101" i="100"/>
  <c r="O100" i="100"/>
  <c r="O101" i="100" s="1"/>
  <c r="O102" i="100" s="1"/>
  <c r="O103" i="100" s="1"/>
  <c r="O104" i="100" s="1"/>
  <c r="O105" i="100" s="1"/>
  <c r="O106" i="100" s="1"/>
  <c r="O107" i="100" s="1"/>
  <c r="O108" i="100" s="1"/>
  <c r="O109" i="100" s="1"/>
  <c r="O110" i="100" s="1"/>
  <c r="O111" i="100" s="1"/>
  <c r="O112" i="100" s="1"/>
  <c r="O113" i="100" s="1"/>
  <c r="O114" i="100" s="1"/>
  <c r="O115" i="100" s="1"/>
  <c r="O116" i="100" s="1"/>
  <c r="O117" i="100" s="1"/>
  <c r="O118" i="100" s="1"/>
  <c r="O119" i="100" s="1"/>
  <c r="O120" i="100" s="1"/>
  <c r="O121" i="100" s="1"/>
  <c r="O122" i="100" s="1"/>
  <c r="O123" i="100" s="1"/>
  <c r="O124" i="100" s="1"/>
  <c r="O125" i="100" s="1"/>
  <c r="O126" i="100" s="1"/>
  <c r="O127" i="100" s="1"/>
  <c r="O128" i="100" s="1"/>
  <c r="O129" i="100" s="1"/>
  <c r="O130" i="100" s="1"/>
  <c r="D100" i="100"/>
  <c r="C100" i="100"/>
  <c r="S45" i="100"/>
  <c r="D45" i="100"/>
  <c r="C45" i="100"/>
  <c r="O178" i="102" s="1"/>
  <c r="BK43" i="100"/>
  <c r="BI43" i="100"/>
  <c r="BI44" i="100" s="1"/>
  <c r="BI46" i="100" s="1"/>
  <c r="BI47" i="100" s="1"/>
  <c r="BH43" i="100"/>
  <c r="BH44" i="100" s="1"/>
  <c r="BH46" i="100" s="1"/>
  <c r="BH47" i="100" s="1"/>
  <c r="BG43" i="100"/>
  <c r="BG44" i="100" s="1"/>
  <c r="BF43" i="100"/>
  <c r="BF44" i="100" s="1"/>
  <c r="BE43" i="100"/>
  <c r="AO43" i="100"/>
  <c r="AO44" i="100" s="1"/>
  <c r="AJ43" i="100"/>
  <c r="AJ44" i="100" s="1"/>
  <c r="AI43" i="100"/>
  <c r="AI44" i="100" s="1"/>
  <c r="AC43" i="100"/>
  <c r="AC44" i="100" s="1"/>
  <c r="AA43" i="100"/>
  <c r="AA44" i="100" s="1"/>
  <c r="Z43" i="100"/>
  <c r="Z44" i="100" s="1"/>
  <c r="X43" i="100"/>
  <c r="W43" i="100"/>
  <c r="W44" i="100" s="1"/>
  <c r="V43" i="100"/>
  <c r="V44" i="100" s="1"/>
  <c r="U43" i="100"/>
  <c r="U44" i="100" s="1"/>
  <c r="P43" i="100"/>
  <c r="P44" i="100" s="1"/>
  <c r="O43" i="100"/>
  <c r="I43" i="100"/>
  <c r="I44" i="100" s="1"/>
  <c r="H43" i="100"/>
  <c r="H44" i="100" s="1"/>
  <c r="G7" i="100" s="1"/>
  <c r="AK42" i="100"/>
  <c r="AB42" i="100"/>
  <c r="Q42" i="100"/>
  <c r="C42" i="100"/>
  <c r="AK41" i="100"/>
  <c r="AB41" i="100"/>
  <c r="Q41" i="100"/>
  <c r="C41" i="100"/>
  <c r="AK40" i="100"/>
  <c r="AB40" i="100"/>
  <c r="Q40" i="100"/>
  <c r="C40" i="100"/>
  <c r="AK39" i="100"/>
  <c r="AB39" i="100"/>
  <c r="Q39" i="100"/>
  <c r="C39" i="100"/>
  <c r="AK38" i="100"/>
  <c r="AB38" i="100"/>
  <c r="CL38" i="100" s="1"/>
  <c r="Q38" i="100"/>
  <c r="AK37" i="100"/>
  <c r="AB37" i="100"/>
  <c r="CL37" i="100" s="1"/>
  <c r="Q37" i="100"/>
  <c r="C37" i="100"/>
  <c r="AK36" i="100"/>
  <c r="AB36" i="100"/>
  <c r="Q36" i="100"/>
  <c r="C36" i="100"/>
  <c r="AK35" i="100"/>
  <c r="AB35" i="100"/>
  <c r="Q35" i="100"/>
  <c r="C35" i="100"/>
  <c r="AK34" i="100"/>
  <c r="AB34" i="100"/>
  <c r="Q34" i="100"/>
  <c r="C34" i="100"/>
  <c r="AK33" i="100"/>
  <c r="AB33" i="100"/>
  <c r="Q33" i="100"/>
  <c r="C33" i="100"/>
  <c r="AK32" i="100"/>
  <c r="AB32" i="100"/>
  <c r="Q32" i="100"/>
  <c r="C32" i="100"/>
  <c r="AK31" i="100"/>
  <c r="AB31" i="100"/>
  <c r="CL31" i="100" s="1"/>
  <c r="Q31" i="100"/>
  <c r="C31" i="100"/>
  <c r="AK30" i="100"/>
  <c r="AB30" i="100"/>
  <c r="Q30" i="100"/>
  <c r="R30" i="100" s="1"/>
  <c r="S30" i="100" s="1"/>
  <c r="E30" i="100" s="1"/>
  <c r="C30" i="100"/>
  <c r="AK29" i="100"/>
  <c r="AB29" i="100"/>
  <c r="CL29" i="100" s="1"/>
  <c r="Q29" i="100"/>
  <c r="C29" i="100"/>
  <c r="AK28" i="100"/>
  <c r="AB28" i="100"/>
  <c r="Q28" i="100"/>
  <c r="C28" i="100"/>
  <c r="AK27" i="100"/>
  <c r="AB27" i="100"/>
  <c r="Q27" i="100"/>
  <c r="C27" i="100"/>
  <c r="AK26" i="100"/>
  <c r="AB26" i="100"/>
  <c r="Q26" i="100"/>
  <c r="C26" i="100"/>
  <c r="AK25" i="100"/>
  <c r="AB25" i="100"/>
  <c r="Q25" i="100"/>
  <c r="C25" i="100"/>
  <c r="AK24" i="100"/>
  <c r="AB24" i="100"/>
  <c r="Q24" i="100"/>
  <c r="C24" i="100"/>
  <c r="AK23" i="100"/>
  <c r="AB23" i="100"/>
  <c r="CL23" i="100" s="1"/>
  <c r="Q23" i="100"/>
  <c r="C23" i="100"/>
  <c r="AK22" i="100"/>
  <c r="AB22" i="100"/>
  <c r="Q22" i="100"/>
  <c r="C22" i="100"/>
  <c r="AK21" i="100"/>
  <c r="AB21" i="100"/>
  <c r="CL21" i="100" s="1"/>
  <c r="Q21" i="100"/>
  <c r="C21" i="100"/>
  <c r="AK20" i="100"/>
  <c r="AB20" i="100"/>
  <c r="CL20" i="100" s="1"/>
  <c r="Q20" i="100"/>
  <c r="C20" i="100"/>
  <c r="AK19" i="100"/>
  <c r="AB19" i="100"/>
  <c r="Q19" i="100"/>
  <c r="C19" i="100"/>
  <c r="AK18" i="100"/>
  <c r="AB18" i="100"/>
  <c r="Q18" i="100"/>
  <c r="C18" i="100"/>
  <c r="AK17" i="100"/>
  <c r="AB17" i="100"/>
  <c r="Q17" i="100"/>
  <c r="C17" i="100"/>
  <c r="AK16" i="100"/>
  <c r="AB16" i="100"/>
  <c r="Q16" i="100"/>
  <c r="C16" i="100"/>
  <c r="AK15" i="100"/>
  <c r="AB15" i="100"/>
  <c r="Q15" i="100"/>
  <c r="C15" i="100"/>
  <c r="AK14" i="100"/>
  <c r="AB14" i="100"/>
  <c r="Q14" i="100"/>
  <c r="C14" i="100"/>
  <c r="AK13" i="100"/>
  <c r="AB13" i="100"/>
  <c r="CL13" i="100" s="1"/>
  <c r="Q13" i="100"/>
  <c r="C13" i="100"/>
  <c r="AK12" i="100"/>
  <c r="AB12" i="100"/>
  <c r="CL12" i="100" s="1"/>
  <c r="Q12" i="100"/>
  <c r="C12" i="100"/>
  <c r="AC11" i="100"/>
  <c r="JH224" i="99"/>
  <c r="P214" i="99"/>
  <c r="BY211" i="99"/>
  <c r="BV210" i="99"/>
  <c r="BP210" i="99"/>
  <c r="BM210" i="99"/>
  <c r="T137" i="99"/>
  <c r="P136" i="99"/>
  <c r="D136" i="99" s="1"/>
  <c r="O136" i="99"/>
  <c r="O137" i="99" s="1"/>
  <c r="BF58" i="99"/>
  <c r="BF57" i="99"/>
  <c r="BF59" i="99" s="1"/>
  <c r="JJ54" i="99"/>
  <c r="X53" i="99"/>
  <c r="X54" i="99" s="1"/>
  <c r="X55" i="99" s="1"/>
  <c r="X56" i="99" s="1"/>
  <c r="X57" i="99" s="1"/>
  <c r="X58" i="99" s="1"/>
  <c r="X59" i="99" s="1"/>
  <c r="X60" i="99" s="1"/>
  <c r="X61" i="99" s="1"/>
  <c r="X62" i="99" s="1"/>
  <c r="X63" i="99" s="1"/>
  <c r="X64" i="99" s="1"/>
  <c r="X65" i="99" s="1"/>
  <c r="X66" i="99" s="1"/>
  <c r="X67" i="99" s="1"/>
  <c r="X68" i="99" s="1"/>
  <c r="X69" i="99" s="1"/>
  <c r="X70" i="99" s="1"/>
  <c r="X71" i="99" s="1"/>
  <c r="X72" i="99" s="1"/>
  <c r="X73" i="99" s="1"/>
  <c r="X74" i="99" s="1"/>
  <c r="X75" i="99" s="1"/>
  <c r="X76" i="99" s="1"/>
  <c r="X77" i="99" s="1"/>
  <c r="X78" i="99" s="1"/>
  <c r="X79" i="99" s="1"/>
  <c r="X80" i="99" s="1"/>
  <c r="X81" i="99" s="1"/>
  <c r="X82" i="99" s="1"/>
  <c r="X83" i="99" s="1"/>
  <c r="T53" i="99"/>
  <c r="T54" i="99" s="1"/>
  <c r="T55" i="99" s="1"/>
  <c r="T56" i="99" s="1"/>
  <c r="T57" i="99" s="1"/>
  <c r="T58" i="99" s="1"/>
  <c r="T59" i="99" s="1"/>
  <c r="T60" i="99" s="1"/>
  <c r="T61" i="99" s="1"/>
  <c r="T62" i="99" s="1"/>
  <c r="T63" i="99" s="1"/>
  <c r="T64" i="99" s="1"/>
  <c r="T65" i="99" s="1"/>
  <c r="T66" i="99" s="1"/>
  <c r="T67" i="99" s="1"/>
  <c r="T68" i="99" s="1"/>
  <c r="T69" i="99" s="1"/>
  <c r="T70" i="99" s="1"/>
  <c r="T71" i="99" s="1"/>
  <c r="T72" i="99" s="1"/>
  <c r="T73" i="99" s="1"/>
  <c r="T74" i="99" s="1"/>
  <c r="T75" i="99" s="1"/>
  <c r="T76" i="99" s="1"/>
  <c r="T77" i="99" s="1"/>
  <c r="T78" i="99" s="1"/>
  <c r="T79" i="99" s="1"/>
  <c r="T80" i="99" s="1"/>
  <c r="T81" i="99" s="1"/>
  <c r="T82" i="99" s="1"/>
  <c r="T83" i="99" s="1"/>
  <c r="S53" i="99"/>
  <c r="S54" i="99" s="1"/>
  <c r="S55" i="99" s="1"/>
  <c r="S56" i="99" s="1"/>
  <c r="S57" i="99" s="1"/>
  <c r="S58" i="99" s="1"/>
  <c r="S59" i="99" s="1"/>
  <c r="S60" i="99" s="1"/>
  <c r="S61" i="99" s="1"/>
  <c r="S62" i="99" s="1"/>
  <c r="S63" i="99" s="1"/>
  <c r="S64" i="99" s="1"/>
  <c r="S65" i="99" s="1"/>
  <c r="S66" i="99" s="1"/>
  <c r="S67" i="99" s="1"/>
  <c r="S68" i="99" s="1"/>
  <c r="S69" i="99" s="1"/>
  <c r="S70" i="99" s="1"/>
  <c r="S71" i="99" s="1"/>
  <c r="S72" i="99" s="1"/>
  <c r="S73" i="99" s="1"/>
  <c r="S74" i="99" s="1"/>
  <c r="S75" i="99" s="1"/>
  <c r="S76" i="99" s="1"/>
  <c r="S77" i="99" s="1"/>
  <c r="S78" i="99" s="1"/>
  <c r="S79" i="99" s="1"/>
  <c r="S80" i="99" s="1"/>
  <c r="S81" i="99" s="1"/>
  <c r="S82" i="99" s="1"/>
  <c r="S83" i="99" s="1"/>
  <c r="P53" i="99"/>
  <c r="P54" i="99" s="1"/>
  <c r="O53" i="99"/>
  <c r="O54" i="99" s="1"/>
  <c r="BC52" i="99"/>
  <c r="AX52" i="99"/>
  <c r="AW52" i="99"/>
  <c r="GR50" i="99"/>
  <c r="MK49" i="99"/>
  <c r="JP49" i="99"/>
  <c r="BV49" i="99"/>
  <c r="IL48" i="99"/>
  <c r="BM48" i="99"/>
  <c r="JK47" i="99"/>
  <c r="DW47" i="99"/>
  <c r="CF45" i="99"/>
  <c r="CE45" i="99"/>
  <c r="CD45" i="99"/>
  <c r="BW45" i="99"/>
  <c r="BV45" i="99"/>
  <c r="BU45" i="99"/>
  <c r="BT45" i="99"/>
  <c r="BS45" i="99"/>
  <c r="BR45" i="99"/>
  <c r="BQ45" i="99"/>
  <c r="BP45" i="99"/>
  <c r="BO45" i="99"/>
  <c r="BN45" i="99"/>
  <c r="BM45" i="99"/>
  <c r="BL45" i="99"/>
  <c r="BK45" i="99"/>
  <c r="BJ45" i="99"/>
  <c r="BI45" i="99"/>
  <c r="BH45" i="99"/>
  <c r="BG45" i="99"/>
  <c r="BF45" i="99"/>
  <c r="S45" i="99" s="1"/>
  <c r="BE45" i="99"/>
  <c r="BD45" i="99"/>
  <c r="BC45" i="99"/>
  <c r="BB45" i="99"/>
  <c r="BA45" i="99"/>
  <c r="AZ45" i="99"/>
  <c r="AY45" i="99"/>
  <c r="AX45" i="99"/>
  <c r="AW45" i="99"/>
  <c r="AV45" i="99"/>
  <c r="AU45" i="99"/>
  <c r="AT45" i="99"/>
  <c r="AS45" i="99"/>
  <c r="AR45" i="99"/>
  <c r="AQ45" i="99"/>
  <c r="AP45" i="99"/>
  <c r="AO45" i="99"/>
  <c r="AN45" i="99"/>
  <c r="AL45" i="99"/>
  <c r="AK45" i="99"/>
  <c r="AJ45" i="99"/>
  <c r="AI45" i="99"/>
  <c r="AH45" i="99"/>
  <c r="AG45" i="99"/>
  <c r="AF45" i="99"/>
  <c r="AE45" i="99"/>
  <c r="Z45" i="99"/>
  <c r="Y45" i="99"/>
  <c r="X45" i="99"/>
  <c r="W45" i="99"/>
  <c r="V45" i="99"/>
  <c r="U45" i="99"/>
  <c r="T45" i="99"/>
  <c r="R45" i="99"/>
  <c r="Q45" i="99"/>
  <c r="P45" i="99"/>
  <c r="O45" i="99"/>
  <c r="PZ44" i="99"/>
  <c r="OL44" i="99"/>
  <c r="OJ44" i="99"/>
  <c r="OF44" i="99"/>
  <c r="LC44" i="99"/>
  <c r="CO44" i="99"/>
  <c r="CA44" i="99"/>
  <c r="LI43" i="99"/>
  <c r="JK43" i="99"/>
  <c r="JE43" i="99"/>
  <c r="IP43" i="99"/>
  <c r="GV43" i="99"/>
  <c r="GM43" i="99"/>
  <c r="CM43" i="99"/>
  <c r="CF43" i="99"/>
  <c r="CC43" i="99"/>
  <c r="BZ43" i="99"/>
  <c r="BW43" i="99"/>
  <c r="BT43" i="99"/>
  <c r="BQ43" i="99"/>
  <c r="BN43" i="99"/>
  <c r="BK43" i="99"/>
  <c r="BE43" i="99"/>
  <c r="AY43" i="99"/>
  <c r="AP43" i="99"/>
  <c r="AJ43" i="99"/>
  <c r="AJ44" i="99" s="1"/>
  <c r="AI43" i="99"/>
  <c r="AB43" i="99"/>
  <c r="X43" i="99"/>
  <c r="X94" i="99" s="1"/>
  <c r="X95" i="99" s="1"/>
  <c r="X96" i="99" s="1"/>
  <c r="X97" i="99" s="1"/>
  <c r="X98" i="99" s="1"/>
  <c r="X99" i="99" s="1"/>
  <c r="X100" i="99" s="1"/>
  <c r="X101" i="99" s="1"/>
  <c r="X102" i="99" s="1"/>
  <c r="X103" i="99" s="1"/>
  <c r="X104" i="99" s="1"/>
  <c r="X105" i="99" s="1"/>
  <c r="X106" i="99" s="1"/>
  <c r="X107" i="99" s="1"/>
  <c r="X108" i="99" s="1"/>
  <c r="X109" i="99" s="1"/>
  <c r="X110" i="99" s="1"/>
  <c r="X111" i="99" s="1"/>
  <c r="X112" i="99" s="1"/>
  <c r="X113" i="99" s="1"/>
  <c r="X114" i="99" s="1"/>
  <c r="X115" i="99" s="1"/>
  <c r="X116" i="99" s="1"/>
  <c r="X117" i="99" s="1"/>
  <c r="X118" i="99" s="1"/>
  <c r="X119" i="99" s="1"/>
  <c r="X120" i="99" s="1"/>
  <c r="X121" i="99" s="1"/>
  <c r="X122" i="99" s="1"/>
  <c r="X123" i="99" s="1"/>
  <c r="X124" i="99" s="1"/>
  <c r="X125" i="99" s="1"/>
  <c r="W43" i="99"/>
  <c r="T43" i="99"/>
  <c r="T94" i="99" s="1"/>
  <c r="T95" i="99" s="1"/>
  <c r="T96" i="99" s="1"/>
  <c r="T97" i="99" s="1"/>
  <c r="T98" i="99" s="1"/>
  <c r="T99" i="99" s="1"/>
  <c r="T100" i="99" s="1"/>
  <c r="T101" i="99" s="1"/>
  <c r="T102" i="99" s="1"/>
  <c r="T103" i="99" s="1"/>
  <c r="T104" i="99" s="1"/>
  <c r="T105" i="99" s="1"/>
  <c r="T106" i="99" s="1"/>
  <c r="T107" i="99" s="1"/>
  <c r="T108" i="99" s="1"/>
  <c r="T109" i="99" s="1"/>
  <c r="T110" i="99" s="1"/>
  <c r="T111" i="99" s="1"/>
  <c r="T112" i="99" s="1"/>
  <c r="T113" i="99" s="1"/>
  <c r="T114" i="99" s="1"/>
  <c r="T115" i="99" s="1"/>
  <c r="T116" i="99" s="1"/>
  <c r="T117" i="99" s="1"/>
  <c r="T118" i="99" s="1"/>
  <c r="T119" i="99" s="1"/>
  <c r="T120" i="99" s="1"/>
  <c r="T121" i="99" s="1"/>
  <c r="T122" i="99" s="1"/>
  <c r="T123" i="99" s="1"/>
  <c r="T124" i="99" s="1"/>
  <c r="T125" i="99" s="1"/>
  <c r="S43" i="99"/>
  <c r="S94" i="99" s="1"/>
  <c r="S95" i="99" s="1"/>
  <c r="S96" i="99" s="1"/>
  <c r="S97" i="99" s="1"/>
  <c r="S98" i="99" s="1"/>
  <c r="S99" i="99" s="1"/>
  <c r="S100" i="99" s="1"/>
  <c r="S101" i="99" s="1"/>
  <c r="S102" i="99" s="1"/>
  <c r="S103" i="99" s="1"/>
  <c r="S104" i="99" s="1"/>
  <c r="S105" i="99" s="1"/>
  <c r="S106" i="99" s="1"/>
  <c r="S107" i="99" s="1"/>
  <c r="S108" i="99" s="1"/>
  <c r="S109" i="99" s="1"/>
  <c r="S110" i="99" s="1"/>
  <c r="S111" i="99" s="1"/>
  <c r="S112" i="99" s="1"/>
  <c r="S113" i="99" s="1"/>
  <c r="S114" i="99" s="1"/>
  <c r="S115" i="99" s="1"/>
  <c r="S116" i="99" s="1"/>
  <c r="S117" i="99" s="1"/>
  <c r="S118" i="99" s="1"/>
  <c r="S119" i="99" s="1"/>
  <c r="S120" i="99" s="1"/>
  <c r="S121" i="99" s="1"/>
  <c r="S122" i="99" s="1"/>
  <c r="S123" i="99" s="1"/>
  <c r="S124" i="99" s="1"/>
  <c r="S125" i="99" s="1"/>
  <c r="P43" i="99"/>
  <c r="O43" i="99"/>
  <c r="AK42" i="99"/>
  <c r="PZ41" i="99"/>
  <c r="PW41" i="99"/>
  <c r="PW42" i="99" s="1"/>
  <c r="PW44" i="99" s="1"/>
  <c r="PV41" i="99"/>
  <c r="PV42" i="99" s="1"/>
  <c r="PU41" i="99"/>
  <c r="PU42" i="99" s="1"/>
  <c r="PU44" i="99" s="1"/>
  <c r="PS41" i="99"/>
  <c r="PR41" i="99"/>
  <c r="PR42" i="99" s="1"/>
  <c r="PR44" i="99" s="1"/>
  <c r="PQ41" i="99"/>
  <c r="PQ42" i="99" s="1"/>
  <c r="PQ44" i="99" s="1"/>
  <c r="PP41" i="99"/>
  <c r="PP42" i="99" s="1"/>
  <c r="PP44" i="99" s="1"/>
  <c r="PO41" i="99"/>
  <c r="PO42" i="99" s="1"/>
  <c r="PO44" i="99" s="1"/>
  <c r="PK41" i="99"/>
  <c r="PK42" i="99" s="1"/>
  <c r="PJ41" i="99"/>
  <c r="PJ42" i="99" s="1"/>
  <c r="PJ44" i="99" s="1"/>
  <c r="PI41" i="99"/>
  <c r="PI42" i="99" s="1"/>
  <c r="PI44" i="99" s="1"/>
  <c r="PH41" i="99"/>
  <c r="PH42" i="99" s="1"/>
  <c r="PH44" i="99" s="1"/>
  <c r="PG41" i="99"/>
  <c r="PG42" i="99" s="1"/>
  <c r="PG44" i="99" s="1"/>
  <c r="OX41" i="99"/>
  <c r="OX42" i="99" s="1"/>
  <c r="OX44" i="99" s="1"/>
  <c r="OW41" i="99"/>
  <c r="OW42" i="99" s="1"/>
  <c r="OW44" i="99" s="1"/>
  <c r="OV41" i="99"/>
  <c r="OV42" i="99" s="1"/>
  <c r="OV44" i="99" s="1"/>
  <c r="OU41" i="99"/>
  <c r="OU42" i="99" s="1"/>
  <c r="OU44" i="99" s="1"/>
  <c r="OT41" i="99"/>
  <c r="OT42" i="99" s="1"/>
  <c r="OT44" i="99" s="1"/>
  <c r="OS41" i="99"/>
  <c r="OS42" i="99" s="1"/>
  <c r="OS44" i="99" s="1"/>
  <c r="OB41" i="99"/>
  <c r="OB42" i="99" s="1"/>
  <c r="NA41" i="99"/>
  <c r="NA42" i="99" s="1"/>
  <c r="NA44" i="99" s="1"/>
  <c r="MV41" i="99"/>
  <c r="MV42" i="99" s="1"/>
  <c r="MV44" i="99" s="1"/>
  <c r="MU41" i="99"/>
  <c r="MU42" i="99" s="1"/>
  <c r="MU44" i="99" s="1"/>
  <c r="MS41" i="99"/>
  <c r="MS42" i="99" s="1"/>
  <c r="MS44" i="99" s="1"/>
  <c r="MR41" i="99"/>
  <c r="MR42" i="99" s="1"/>
  <c r="MR44" i="99" s="1"/>
  <c r="MQ41" i="99"/>
  <c r="MQ42" i="99" s="1"/>
  <c r="MQ44" i="99" s="1"/>
  <c r="MO41" i="99"/>
  <c r="MO42" i="99" s="1"/>
  <c r="MO44" i="99" s="1"/>
  <c r="MN41" i="99"/>
  <c r="MN42" i="99" s="1"/>
  <c r="MN44" i="99" s="1"/>
  <c r="MM41" i="99"/>
  <c r="MM42" i="99" s="1"/>
  <c r="MM44" i="99" s="1"/>
  <c r="ML41" i="99"/>
  <c r="ML42" i="99" s="1"/>
  <c r="ML44" i="99" s="1"/>
  <c r="MK41" i="99"/>
  <c r="MK42" i="99" s="1"/>
  <c r="MK44" i="99" s="1"/>
  <c r="MI41" i="99"/>
  <c r="MI42" i="99" s="1"/>
  <c r="MI44" i="99" s="1"/>
  <c r="MH41" i="99"/>
  <c r="MH42" i="99" s="1"/>
  <c r="MH44" i="99" s="1"/>
  <c r="MG41" i="99"/>
  <c r="MG42" i="99" s="1"/>
  <c r="MG44" i="99" s="1"/>
  <c r="MF41" i="99"/>
  <c r="MF42" i="99" s="1"/>
  <c r="MF44" i="99" s="1"/>
  <c r="ME41" i="99"/>
  <c r="ME42" i="99" s="1"/>
  <c r="MD41" i="99"/>
  <c r="MD42" i="99" s="1"/>
  <c r="MC41" i="99"/>
  <c r="MC42" i="99" s="1"/>
  <c r="MC44" i="99" s="1"/>
  <c r="MA41" i="99"/>
  <c r="MA42" i="99" s="1"/>
  <c r="LZ41" i="99"/>
  <c r="LZ42" i="99" s="1"/>
  <c r="LZ44" i="99" s="1"/>
  <c r="LY41" i="99"/>
  <c r="LY42" i="99" s="1"/>
  <c r="LY44" i="99" s="1"/>
  <c r="LX41" i="99"/>
  <c r="LX42" i="99" s="1"/>
  <c r="LW41" i="99"/>
  <c r="LW42" i="99" s="1"/>
  <c r="LW44" i="99" s="1"/>
  <c r="LU41" i="99"/>
  <c r="LU42" i="99" s="1"/>
  <c r="LU44" i="99" s="1"/>
  <c r="LT41" i="99"/>
  <c r="LT42" i="99" s="1"/>
  <c r="LT44" i="99" s="1"/>
  <c r="LS41" i="99"/>
  <c r="LS42" i="99" s="1"/>
  <c r="LS44" i="99" s="1"/>
  <c r="LR41" i="99"/>
  <c r="LR42" i="99" s="1"/>
  <c r="LQ41" i="99"/>
  <c r="LQ42" i="99" s="1"/>
  <c r="LQ44" i="99" s="1"/>
  <c r="LP41" i="99"/>
  <c r="LP42" i="99" s="1"/>
  <c r="LP44" i="99" s="1"/>
  <c r="LO41" i="99"/>
  <c r="LO42" i="99" s="1"/>
  <c r="LO44" i="99" s="1"/>
  <c r="LN41" i="99"/>
  <c r="LN42" i="99" s="1"/>
  <c r="LN44" i="99" s="1"/>
  <c r="LM41" i="99"/>
  <c r="LM42" i="99" s="1"/>
  <c r="LM44" i="99" s="1"/>
  <c r="LL41" i="99"/>
  <c r="LL42" i="99" s="1"/>
  <c r="LL44" i="99" s="1"/>
  <c r="LK41" i="99"/>
  <c r="LK42" i="99" s="1"/>
  <c r="LJ41" i="99"/>
  <c r="LJ42" i="99" s="1"/>
  <c r="LE41" i="99"/>
  <c r="LE42" i="99" s="1"/>
  <c r="LE44" i="99" s="1"/>
  <c r="LD41" i="99"/>
  <c r="LD42" i="99" s="1"/>
  <c r="LD44" i="99" s="1"/>
  <c r="LB41" i="99"/>
  <c r="LB42" i="99" s="1"/>
  <c r="LB44" i="99" s="1"/>
  <c r="LA41" i="99"/>
  <c r="LA42" i="99" s="1"/>
  <c r="LA44" i="99" s="1"/>
  <c r="KZ41" i="99"/>
  <c r="KZ42" i="99" s="1"/>
  <c r="KZ44" i="99" s="1"/>
  <c r="KY41" i="99"/>
  <c r="KY42" i="99" s="1"/>
  <c r="KY44" i="99" s="1"/>
  <c r="KX41" i="99"/>
  <c r="KX42" i="99" s="1"/>
  <c r="KX44" i="99" s="1"/>
  <c r="KW41" i="99"/>
  <c r="KW42" i="99" s="1"/>
  <c r="KW44" i="99" s="1"/>
  <c r="KV41" i="99"/>
  <c r="KV42" i="99" s="1"/>
  <c r="KV44" i="99" s="1"/>
  <c r="KU41" i="99"/>
  <c r="KU42" i="99" s="1"/>
  <c r="KT41" i="99"/>
  <c r="KT42" i="99" s="1"/>
  <c r="KS41" i="99"/>
  <c r="KS42" i="99" s="1"/>
  <c r="KR41" i="99"/>
  <c r="KR42" i="99" s="1"/>
  <c r="KR44" i="99" s="1"/>
  <c r="KQ41" i="99"/>
  <c r="KQ42" i="99" s="1"/>
  <c r="KQ44" i="99" s="1"/>
  <c r="KP41" i="99"/>
  <c r="KP42" i="99" s="1"/>
  <c r="AV147" i="2" s="1"/>
  <c r="KO41" i="99"/>
  <c r="KO42" i="99" s="1"/>
  <c r="AV146" i="2" s="1"/>
  <c r="KN41" i="99"/>
  <c r="KN42" i="99" s="1"/>
  <c r="AV145" i="2" s="1"/>
  <c r="KM41" i="99"/>
  <c r="KM42" i="99" s="1"/>
  <c r="KM44" i="99" s="1"/>
  <c r="KL41" i="99"/>
  <c r="KL42" i="99" s="1"/>
  <c r="KL44" i="99" s="1"/>
  <c r="KK41" i="99"/>
  <c r="KK42" i="99" s="1"/>
  <c r="KK44" i="99" s="1"/>
  <c r="KJ41" i="99"/>
  <c r="KJ42" i="99" s="1"/>
  <c r="KJ44" i="99" s="1"/>
  <c r="KI41" i="99"/>
  <c r="KI42" i="99" s="1"/>
  <c r="KI44" i="99" s="1"/>
  <c r="KH41" i="99"/>
  <c r="KH42" i="99" s="1"/>
  <c r="KH44" i="99" s="1"/>
  <c r="KG41" i="99"/>
  <c r="KG42" i="99" s="1"/>
  <c r="KG44" i="99" s="1"/>
  <c r="KF41" i="99"/>
  <c r="KF42" i="99" s="1"/>
  <c r="KF44" i="99" s="1"/>
  <c r="KE41" i="99"/>
  <c r="KE42" i="99" s="1"/>
  <c r="KE44" i="99" s="1"/>
  <c r="KD41" i="99"/>
  <c r="KD42" i="99" s="1"/>
  <c r="KD44" i="99" s="1"/>
  <c r="KC41" i="99"/>
  <c r="KC42" i="99" s="1"/>
  <c r="KC44" i="99" s="1"/>
  <c r="KB41" i="99"/>
  <c r="KB42" i="99" s="1"/>
  <c r="KB44" i="99" s="1"/>
  <c r="KA41" i="99"/>
  <c r="KA42" i="99" s="1"/>
  <c r="KA44" i="99" s="1"/>
  <c r="JZ41" i="99"/>
  <c r="JZ42" i="99" s="1"/>
  <c r="JZ44" i="99" s="1"/>
  <c r="JY41" i="99"/>
  <c r="JY42" i="99" s="1"/>
  <c r="JY44" i="99" s="1"/>
  <c r="JX41" i="99"/>
  <c r="JX42" i="99" s="1"/>
  <c r="JX44" i="99" s="1"/>
  <c r="JW41" i="99"/>
  <c r="JW42" i="99" s="1"/>
  <c r="JW44" i="99" s="1"/>
  <c r="JV41" i="99"/>
  <c r="JV42" i="99" s="1"/>
  <c r="JV44" i="99" s="1"/>
  <c r="JU41" i="99"/>
  <c r="JU42" i="99" s="1"/>
  <c r="JU44" i="99" s="1"/>
  <c r="JT41" i="99"/>
  <c r="JT42" i="99" s="1"/>
  <c r="JT44" i="99" s="1"/>
  <c r="JS41" i="99"/>
  <c r="JS42" i="99" s="1"/>
  <c r="JS44" i="99" s="1"/>
  <c r="JR41" i="99"/>
  <c r="JR42" i="99" s="1"/>
  <c r="JR44" i="99" s="1"/>
  <c r="JQ41" i="99"/>
  <c r="JQ42" i="99" s="1"/>
  <c r="JQ44" i="99" s="1"/>
  <c r="JP41" i="99"/>
  <c r="JP42" i="99" s="1"/>
  <c r="JP44" i="99" s="1"/>
  <c r="JO41" i="99"/>
  <c r="JO42" i="99" s="1"/>
  <c r="JO44" i="99" s="1"/>
  <c r="JN41" i="99"/>
  <c r="JN42" i="99" s="1"/>
  <c r="JN44" i="99" s="1"/>
  <c r="JM41" i="99"/>
  <c r="JM42" i="99" s="1"/>
  <c r="JM44" i="99" s="1"/>
  <c r="JL41" i="99"/>
  <c r="JL42" i="99" s="1"/>
  <c r="JL44" i="99" s="1"/>
  <c r="JJ41" i="99"/>
  <c r="JJ42" i="99" s="1"/>
  <c r="JJ44" i="99" s="1"/>
  <c r="JI41" i="99"/>
  <c r="JH41" i="99"/>
  <c r="JG41" i="99"/>
  <c r="JG42" i="99" s="1"/>
  <c r="JG44" i="99" s="1"/>
  <c r="JF41" i="99"/>
  <c r="JF42" i="99" s="1"/>
  <c r="JF44" i="99" s="1"/>
  <c r="JD41" i="99"/>
  <c r="JD42" i="99" s="1"/>
  <c r="JD44" i="99" s="1"/>
  <c r="JC41" i="99"/>
  <c r="JC42" i="99" s="1"/>
  <c r="JC44" i="99" s="1"/>
  <c r="JB41" i="99"/>
  <c r="JB42" i="99" s="1"/>
  <c r="JA41" i="99"/>
  <c r="JA42" i="99" s="1"/>
  <c r="IZ41" i="99"/>
  <c r="IZ42" i="99" s="1"/>
  <c r="IY41" i="99"/>
  <c r="IY42" i="99" s="1"/>
  <c r="IX41" i="99"/>
  <c r="IX42" i="99" s="1"/>
  <c r="IW41" i="99"/>
  <c r="IW42" i="99" s="1"/>
  <c r="IW44" i="99" s="1"/>
  <c r="IV41" i="99"/>
  <c r="IV42" i="99" s="1"/>
  <c r="IU41" i="99"/>
  <c r="IU42" i="99" s="1"/>
  <c r="IT41" i="99"/>
  <c r="IT42" i="99" s="1"/>
  <c r="IS41" i="99"/>
  <c r="IS42" i="99" s="1"/>
  <c r="IR41" i="99"/>
  <c r="IR42" i="99" s="1"/>
  <c r="IQ41" i="99"/>
  <c r="IQ42" i="99" s="1"/>
  <c r="IO41" i="99"/>
  <c r="IN41" i="99"/>
  <c r="IN42" i="99" s="1"/>
  <c r="IN44" i="99" s="1"/>
  <c r="IM41" i="99"/>
  <c r="IM42" i="99" s="1"/>
  <c r="IL41" i="99"/>
  <c r="IL42" i="99" s="1"/>
  <c r="IK41" i="99"/>
  <c r="IK42" i="99" s="1"/>
  <c r="IJ41" i="99"/>
  <c r="IJ42" i="99" s="1"/>
  <c r="II41" i="99"/>
  <c r="II42" i="99" s="1"/>
  <c r="IH41" i="99"/>
  <c r="IH42" i="99" s="1"/>
  <c r="IG41" i="99"/>
  <c r="IG42" i="99" s="1"/>
  <c r="IF41" i="99"/>
  <c r="IF42" i="99" s="1"/>
  <c r="IE41" i="99"/>
  <c r="IE42" i="99" s="1"/>
  <c r="ID41" i="99"/>
  <c r="ID42" i="99" s="1"/>
  <c r="ID44" i="99" s="1"/>
  <c r="IC41" i="99"/>
  <c r="IC42" i="99" s="1"/>
  <c r="IB41" i="99"/>
  <c r="IB42" i="99" s="1"/>
  <c r="HZ41" i="99"/>
  <c r="HZ42" i="99" s="1"/>
  <c r="HY41" i="99"/>
  <c r="HY42" i="99" s="1"/>
  <c r="HX41" i="99"/>
  <c r="HX42" i="99" s="1"/>
  <c r="HW41" i="99"/>
  <c r="HW42" i="99" s="1"/>
  <c r="HV41" i="99"/>
  <c r="HV42" i="99" s="1"/>
  <c r="HU41" i="99"/>
  <c r="HU42" i="99" s="1"/>
  <c r="HT41" i="99"/>
  <c r="HT42" i="99" s="1"/>
  <c r="HS41" i="99"/>
  <c r="HS42" i="99" s="1"/>
  <c r="HR41" i="99"/>
  <c r="HR42" i="99" s="1"/>
  <c r="HQ41" i="99"/>
  <c r="HQ42" i="99" s="1"/>
  <c r="HP41" i="99"/>
  <c r="HP42" i="99" s="1"/>
  <c r="HO41" i="99"/>
  <c r="HO42" i="99" s="1"/>
  <c r="HN41" i="99"/>
  <c r="HN42" i="99" s="1"/>
  <c r="HM41" i="99"/>
  <c r="HK41" i="99"/>
  <c r="HK42" i="99" s="1"/>
  <c r="HK44" i="99" s="1"/>
  <c r="HJ41" i="99"/>
  <c r="HI41" i="99"/>
  <c r="HI42" i="99" s="1"/>
  <c r="HH41" i="99"/>
  <c r="HH42" i="99" s="1"/>
  <c r="HG41" i="99"/>
  <c r="HG42" i="99" s="1"/>
  <c r="HF41" i="99"/>
  <c r="HE41" i="99"/>
  <c r="HE42" i="99" s="1"/>
  <c r="HD41" i="99"/>
  <c r="HD42" i="99" s="1"/>
  <c r="HD44" i="99" s="1"/>
  <c r="HC41" i="99"/>
  <c r="HC42" i="99" s="1"/>
  <c r="HB41" i="99"/>
  <c r="HB42" i="99" s="1"/>
  <c r="HB44" i="99" s="1"/>
  <c r="HA41" i="99"/>
  <c r="HA42" i="99" s="1"/>
  <c r="GZ41" i="99"/>
  <c r="GZ42" i="99" s="1"/>
  <c r="GZ44" i="99" s="1"/>
  <c r="GY41" i="99"/>
  <c r="GY42" i="99" s="1"/>
  <c r="GX41" i="99"/>
  <c r="GX42" i="99" s="1"/>
  <c r="GW41" i="99"/>
  <c r="GW42" i="99" s="1"/>
  <c r="GW44" i="99" s="1"/>
  <c r="GU41" i="99"/>
  <c r="GU42" i="99" s="1"/>
  <c r="GU44" i="99" s="1"/>
  <c r="GT41" i="99"/>
  <c r="GT42" i="99" s="1"/>
  <c r="GT44" i="99" s="1"/>
  <c r="GS41" i="99"/>
  <c r="GS42" i="99" s="1"/>
  <c r="GS44" i="99" s="1"/>
  <c r="GR41" i="99"/>
  <c r="GR42" i="99" s="1"/>
  <c r="GR44" i="99" s="1"/>
  <c r="GQ41" i="99"/>
  <c r="GQ42" i="99" s="1"/>
  <c r="GQ44" i="99" s="1"/>
  <c r="GP41" i="99"/>
  <c r="GP42" i="99" s="1"/>
  <c r="GP44" i="99" s="1"/>
  <c r="GO41" i="99"/>
  <c r="GO42" i="99" s="1"/>
  <c r="GO44" i="99" s="1"/>
  <c r="GN41" i="99"/>
  <c r="GN42" i="99" s="1"/>
  <c r="GN44" i="99" s="1"/>
  <c r="GI41" i="99"/>
  <c r="GI42" i="99" s="1"/>
  <c r="GI44" i="99" s="1"/>
  <c r="GH41" i="99"/>
  <c r="GH42" i="99" s="1"/>
  <c r="GH44" i="99" s="1"/>
  <c r="GE41" i="99"/>
  <c r="GE42" i="99" s="1"/>
  <c r="GE44" i="99" s="1"/>
  <c r="GC41" i="99"/>
  <c r="GC42" i="99" s="1"/>
  <c r="GC44" i="99" s="1"/>
  <c r="GA41" i="99"/>
  <c r="GA42" i="99" s="1"/>
  <c r="GA44" i="99" s="1"/>
  <c r="FY41" i="99"/>
  <c r="FY42" i="99" s="1"/>
  <c r="FY44" i="99" s="1"/>
  <c r="FW41" i="99"/>
  <c r="FW42" i="99" s="1"/>
  <c r="FW44" i="99" s="1"/>
  <c r="FU41" i="99"/>
  <c r="FU42" i="99" s="1"/>
  <c r="FU44" i="99" s="1"/>
  <c r="FS41" i="99"/>
  <c r="FS42" i="99" s="1"/>
  <c r="FS44" i="99" s="1"/>
  <c r="FR41" i="99"/>
  <c r="FR42" i="99" s="1"/>
  <c r="FR44" i="99" s="1"/>
  <c r="FQ41" i="99"/>
  <c r="FQ42" i="99" s="1"/>
  <c r="FQ44" i="99" s="1"/>
  <c r="FP41" i="99"/>
  <c r="FP42" i="99" s="1"/>
  <c r="FP44" i="99" s="1"/>
  <c r="FO41" i="99"/>
  <c r="FO42" i="99" s="1"/>
  <c r="FO44" i="99" s="1"/>
  <c r="FN41" i="99"/>
  <c r="FN42" i="99" s="1"/>
  <c r="FN44" i="99" s="1"/>
  <c r="FL41" i="99"/>
  <c r="FL42" i="99" s="1"/>
  <c r="FL44" i="99" s="1"/>
  <c r="FK41" i="99"/>
  <c r="FK42" i="99" s="1"/>
  <c r="FK44" i="99" s="1"/>
  <c r="FJ41" i="99"/>
  <c r="FJ42" i="99" s="1"/>
  <c r="FJ44" i="99" s="1"/>
  <c r="FI41" i="99"/>
  <c r="FI42" i="99" s="1"/>
  <c r="FI44" i="99" s="1"/>
  <c r="FH41" i="99"/>
  <c r="FH42" i="99" s="1"/>
  <c r="FH44" i="99" s="1"/>
  <c r="FG41" i="99"/>
  <c r="FG42" i="99" s="1"/>
  <c r="FG44" i="99" s="1"/>
  <c r="FF41" i="99"/>
  <c r="FF42" i="99" s="1"/>
  <c r="FF44" i="99" s="1"/>
  <c r="FE41" i="99"/>
  <c r="FE42" i="99" s="1"/>
  <c r="FE44" i="99" s="1"/>
  <c r="EZ41" i="99"/>
  <c r="EZ42" i="99" s="1"/>
  <c r="EZ44" i="99" s="1"/>
  <c r="EY41" i="99"/>
  <c r="EY42" i="99" s="1"/>
  <c r="EY44" i="99" s="1"/>
  <c r="EW41" i="99"/>
  <c r="EW42" i="99" s="1"/>
  <c r="EW44" i="99" s="1"/>
  <c r="EV41" i="99"/>
  <c r="EV42" i="99" s="1"/>
  <c r="EV44" i="99" s="1"/>
  <c r="EU41" i="99"/>
  <c r="EU42" i="99" s="1"/>
  <c r="EU44" i="99" s="1"/>
  <c r="ET41" i="99"/>
  <c r="ET42" i="99" s="1"/>
  <c r="ET44" i="99" s="1"/>
  <c r="ES41" i="99"/>
  <c r="ES42" i="99" s="1"/>
  <c r="ES44" i="99" s="1"/>
  <c r="ER41" i="99"/>
  <c r="ER42" i="99" s="1"/>
  <c r="ER44" i="99" s="1"/>
  <c r="EO41" i="99"/>
  <c r="EO42" i="99" s="1"/>
  <c r="EO44" i="99" s="1"/>
  <c r="EM41" i="99"/>
  <c r="EM42" i="99" s="1"/>
  <c r="EM44" i="99" s="1"/>
  <c r="EL41" i="99"/>
  <c r="EL42" i="99" s="1"/>
  <c r="EK41" i="99"/>
  <c r="EK42" i="99" s="1"/>
  <c r="EK44" i="99" s="1"/>
  <c r="EI41" i="99"/>
  <c r="EI42" i="99" s="1"/>
  <c r="EI44" i="99" s="1"/>
  <c r="EH41" i="99"/>
  <c r="EG41" i="99"/>
  <c r="EG42" i="99" s="1"/>
  <c r="EF41" i="99"/>
  <c r="EF42" i="99" s="1"/>
  <c r="EE41" i="99"/>
  <c r="EE42" i="99" s="1"/>
  <c r="EE44" i="99" s="1"/>
  <c r="EB41" i="99"/>
  <c r="EB42" i="99" s="1"/>
  <c r="EB44" i="99" s="1"/>
  <c r="DZ41" i="99"/>
  <c r="DZ42" i="99" s="1"/>
  <c r="DZ44" i="99" s="1"/>
  <c r="DX41" i="99"/>
  <c r="DX42" i="99" s="1"/>
  <c r="DX44" i="99" s="1"/>
  <c r="DV41" i="99"/>
  <c r="DV42" i="99" s="1"/>
  <c r="DV44" i="99" s="1"/>
  <c r="DT41" i="99"/>
  <c r="DT42" i="99" s="1"/>
  <c r="DT44" i="99" s="1"/>
  <c r="DR41" i="99"/>
  <c r="DR42" i="99" s="1"/>
  <c r="DR44" i="99" s="1"/>
  <c r="DP41" i="99"/>
  <c r="DP42" i="99" s="1"/>
  <c r="DO41" i="99"/>
  <c r="DO42" i="99" s="1"/>
  <c r="DO44" i="99" s="1"/>
  <c r="DN41" i="99"/>
  <c r="DN42" i="99" s="1"/>
  <c r="DM41" i="99"/>
  <c r="DM42" i="99" s="1"/>
  <c r="DM44" i="99" s="1"/>
  <c r="DK41" i="99"/>
  <c r="DK42" i="99" s="1"/>
  <c r="DK44" i="99" s="1"/>
  <c r="DI41" i="99"/>
  <c r="DI42" i="99" s="1"/>
  <c r="DI44" i="99" s="1"/>
  <c r="DG41" i="99"/>
  <c r="DG42" i="99" s="1"/>
  <c r="DG44" i="99" s="1"/>
  <c r="DE41" i="99"/>
  <c r="DE42" i="99" s="1"/>
  <c r="DE44" i="99" s="1"/>
  <c r="DD41" i="99"/>
  <c r="DD42" i="99" s="1"/>
  <c r="DD44" i="99" s="1"/>
  <c r="CP41" i="99"/>
  <c r="CP42" i="99" s="1"/>
  <c r="CP44" i="99" s="1"/>
  <c r="CO41" i="99"/>
  <c r="CN41" i="99"/>
  <c r="CN42" i="99" s="1"/>
  <c r="CN44" i="99" s="1"/>
  <c r="CL41" i="99"/>
  <c r="CL42" i="99" s="1"/>
  <c r="CL44" i="99" s="1"/>
  <c r="CK41" i="99"/>
  <c r="CJ41" i="99"/>
  <c r="CJ42" i="99" s="1"/>
  <c r="CI41" i="99"/>
  <c r="CH41" i="99"/>
  <c r="CG41" i="99"/>
  <c r="CG42" i="99" s="1"/>
  <c r="CG44" i="99" s="1"/>
  <c r="CE41" i="99"/>
  <c r="CE42" i="99" s="1"/>
  <c r="CE44" i="99" s="1"/>
  <c r="CD41" i="99"/>
  <c r="CB41" i="99"/>
  <c r="CA41" i="99"/>
  <c r="BY41" i="99"/>
  <c r="BY42" i="99" s="1"/>
  <c r="BY44" i="99" s="1"/>
  <c r="BX41" i="99"/>
  <c r="BV41" i="99"/>
  <c r="BV48" i="99" s="1"/>
  <c r="BU41" i="99"/>
  <c r="BS41" i="99"/>
  <c r="BS42" i="99" s="1"/>
  <c r="BS44" i="99" s="1"/>
  <c r="BR41" i="99"/>
  <c r="BP41" i="99"/>
  <c r="BO41" i="99"/>
  <c r="BO42" i="99" s="1"/>
  <c r="BM41" i="99"/>
  <c r="BM42" i="99" s="1"/>
  <c r="BM44" i="99" s="1"/>
  <c r="BL41" i="99"/>
  <c r="BJ41" i="99"/>
  <c r="BJ42" i="99" s="1"/>
  <c r="BJ44" i="99" s="1"/>
  <c r="BI41" i="99"/>
  <c r="BG41" i="99"/>
  <c r="BG42" i="99" s="1"/>
  <c r="BF41" i="99"/>
  <c r="BD41" i="99"/>
  <c r="BD42" i="99" s="1"/>
  <c r="BD44" i="99" s="1"/>
  <c r="BC41" i="99"/>
  <c r="BA41" i="99"/>
  <c r="BA42" i="99" s="1"/>
  <c r="BA44" i="99" s="1"/>
  <c r="AZ41" i="99"/>
  <c r="AZ42" i="99" s="1"/>
  <c r="AZ44" i="99" s="1"/>
  <c r="AX41" i="99"/>
  <c r="AW41" i="99"/>
  <c r="AW48" i="99" s="1"/>
  <c r="AU41" i="99"/>
  <c r="AU42" i="99" s="1"/>
  <c r="AU44" i="99" s="1"/>
  <c r="AT41" i="99"/>
  <c r="AR41" i="99"/>
  <c r="AR42" i="99" s="1"/>
  <c r="AR44" i="99" s="1"/>
  <c r="AQ41" i="99"/>
  <c r="AO41" i="99"/>
  <c r="AO42" i="99" s="1"/>
  <c r="AO44" i="99" s="1"/>
  <c r="AN41" i="99"/>
  <c r="AM41" i="99"/>
  <c r="AM42" i="99" s="1"/>
  <c r="AM44" i="99" s="1"/>
  <c r="AL41" i="99"/>
  <c r="AL42" i="99" s="1"/>
  <c r="AL44" i="99" s="1"/>
  <c r="AJ41" i="99"/>
  <c r="AI41" i="99"/>
  <c r="AH41" i="99"/>
  <c r="AH42" i="99" s="1"/>
  <c r="AH44" i="99" s="1"/>
  <c r="AF41" i="99"/>
  <c r="AF42" i="99" s="1"/>
  <c r="AF44" i="99" s="1"/>
  <c r="AE41" i="99"/>
  <c r="AE42" i="99" s="1"/>
  <c r="Z41" i="99"/>
  <c r="Z42" i="99" s="1"/>
  <c r="Z44" i="99" s="1"/>
  <c r="V41" i="99"/>
  <c r="V42" i="99" s="1"/>
  <c r="V44" i="99" s="1"/>
  <c r="R41" i="99"/>
  <c r="R42" i="99" s="1"/>
  <c r="R44" i="99" s="1"/>
  <c r="N41" i="99"/>
  <c r="N42" i="99" s="1"/>
  <c r="M41" i="99"/>
  <c r="M42" i="99" s="1"/>
  <c r="AV131" i="2" s="1"/>
  <c r="L41" i="99"/>
  <c r="L42" i="99" s="1"/>
  <c r="AV134" i="2" s="1"/>
  <c r="K41" i="99"/>
  <c r="K42" i="99" s="1"/>
  <c r="J41" i="99"/>
  <c r="J42" i="99" s="1"/>
  <c r="J44" i="99" s="1"/>
  <c r="I41" i="99"/>
  <c r="I42" i="99" s="1"/>
  <c r="AV132" i="2" s="1"/>
  <c r="H41" i="99"/>
  <c r="H42" i="99" s="1"/>
  <c r="RP40" i="99"/>
  <c r="RO40" i="99"/>
  <c r="RN40" i="99"/>
  <c r="RM40" i="99"/>
  <c r="RD40" i="99"/>
  <c r="RC40" i="99"/>
  <c r="RB40" i="99"/>
  <c r="RA40" i="99"/>
  <c r="QZ40" i="99"/>
  <c r="QY40" i="99"/>
  <c r="QW40" i="99"/>
  <c r="QV40" i="99"/>
  <c r="QU40" i="99"/>
  <c r="QT40" i="99"/>
  <c r="QS40" i="99"/>
  <c r="QR40" i="99"/>
  <c r="QM40" i="99"/>
  <c r="QL40" i="99"/>
  <c r="PY40" i="99"/>
  <c r="PX40" i="99"/>
  <c r="PL40" i="99"/>
  <c r="SE40" i="99" s="1"/>
  <c r="OY40" i="99"/>
  <c r="OY41" i="99" s="1"/>
  <c r="OY42" i="99" s="1"/>
  <c r="OY44" i="99" s="1"/>
  <c r="MT40" i="99"/>
  <c r="MB40" i="99"/>
  <c r="LV40" i="99"/>
  <c r="LH40" i="99"/>
  <c r="LG40" i="99"/>
  <c r="LF40" i="99"/>
  <c r="JK40" i="99"/>
  <c r="JE40" i="99"/>
  <c r="GL40" i="99" s="1"/>
  <c r="IP40" i="99"/>
  <c r="GK40" i="99" s="1"/>
  <c r="IA40" i="99"/>
  <c r="HL40" i="99"/>
  <c r="GJ40" i="99" s="1"/>
  <c r="GV40" i="99"/>
  <c r="RV40" i="99" s="1"/>
  <c r="GG40" i="99"/>
  <c r="FC40" i="99" s="1"/>
  <c r="FT40" i="99"/>
  <c r="FB40" i="99" s="1"/>
  <c r="FM40" i="99"/>
  <c r="FA40" i="99" s="1"/>
  <c r="EX40" i="99"/>
  <c r="EQ40" i="99"/>
  <c r="ED40" i="99"/>
  <c r="DQ40" i="99"/>
  <c r="DB40" i="99"/>
  <c r="DA40" i="99"/>
  <c r="CZ40" i="99"/>
  <c r="CY40" i="99"/>
  <c r="CX40" i="99"/>
  <c r="CW40" i="99"/>
  <c r="CV40" i="99"/>
  <c r="CU40" i="99"/>
  <c r="CT40" i="99"/>
  <c r="CS40" i="99"/>
  <c r="CR40" i="99"/>
  <c r="CQ40" i="99"/>
  <c r="CM40" i="99"/>
  <c r="CF40" i="99"/>
  <c r="CC40" i="99"/>
  <c r="BZ40" i="99"/>
  <c r="BW40" i="99"/>
  <c r="BT40" i="99"/>
  <c r="BQ40" i="99"/>
  <c r="BN40" i="99"/>
  <c r="BK40" i="99"/>
  <c r="BH40" i="99"/>
  <c r="BE40" i="99"/>
  <c r="BB40" i="99"/>
  <c r="AY40" i="99"/>
  <c r="AV40" i="99"/>
  <c r="AS40" i="99"/>
  <c r="AP40" i="99"/>
  <c r="AK40" i="99"/>
  <c r="AG40" i="99"/>
  <c r="AB40" i="99"/>
  <c r="AA40" i="99"/>
  <c r="X40" i="99"/>
  <c r="W40" i="99"/>
  <c r="T40" i="99"/>
  <c r="S40" i="99"/>
  <c r="P40" i="99"/>
  <c r="O40" i="99"/>
  <c r="RP39" i="99"/>
  <c r="RO39" i="99"/>
  <c r="RN39" i="99"/>
  <c r="RM39" i="99"/>
  <c r="RD39" i="99"/>
  <c r="RC39" i="99"/>
  <c r="RB39" i="99"/>
  <c r="RA39" i="99"/>
  <c r="QZ39" i="99"/>
  <c r="QY39" i="99"/>
  <c r="QW39" i="99"/>
  <c r="QV39" i="99"/>
  <c r="QU39" i="99"/>
  <c r="QT39" i="99"/>
  <c r="QS39" i="99"/>
  <c r="QR39" i="99"/>
  <c r="QM39" i="99"/>
  <c r="QL39" i="99"/>
  <c r="PY39" i="99"/>
  <c r="PX39" i="99"/>
  <c r="PL39" i="99"/>
  <c r="SE39" i="99" s="1"/>
  <c r="OY39" i="99"/>
  <c r="MT39" i="99"/>
  <c r="MB39" i="99"/>
  <c r="LV39" i="99"/>
  <c r="LH39" i="99"/>
  <c r="LG39" i="99"/>
  <c r="LF39" i="99"/>
  <c r="JK39" i="99"/>
  <c r="JE39" i="99"/>
  <c r="GL39" i="99" s="1"/>
  <c r="IP39" i="99"/>
  <c r="GK39" i="99" s="1"/>
  <c r="IA39" i="99"/>
  <c r="HL39" i="99"/>
  <c r="GJ39" i="99" s="1"/>
  <c r="GV39" i="99"/>
  <c r="RV39" i="99" s="1"/>
  <c r="GG39" i="99"/>
  <c r="FC39" i="99" s="1"/>
  <c r="FT39" i="99"/>
  <c r="FB39" i="99" s="1"/>
  <c r="FM39" i="99"/>
  <c r="FA39" i="99" s="1"/>
  <c r="EX39" i="99"/>
  <c r="EQ39" i="99"/>
  <c r="ED39" i="99"/>
  <c r="DQ39" i="99"/>
  <c r="DB39" i="99"/>
  <c r="DA39" i="99"/>
  <c r="CZ39" i="99"/>
  <c r="CY39" i="99"/>
  <c r="CX39" i="99"/>
  <c r="CW39" i="99"/>
  <c r="CV39" i="99"/>
  <c r="CU39" i="99"/>
  <c r="CT39" i="99"/>
  <c r="CS39" i="99"/>
  <c r="CR39" i="99"/>
  <c r="CQ39" i="99"/>
  <c r="CM39" i="99"/>
  <c r="CF39" i="99"/>
  <c r="CC39" i="99"/>
  <c r="BZ39" i="99"/>
  <c r="BW39" i="99"/>
  <c r="BT39" i="99"/>
  <c r="BQ39" i="99"/>
  <c r="BN39" i="99"/>
  <c r="BK39" i="99"/>
  <c r="BH39" i="99"/>
  <c r="BE39" i="99"/>
  <c r="BB39" i="99"/>
  <c r="AY39" i="99"/>
  <c r="AV39" i="99"/>
  <c r="AS39" i="99"/>
  <c r="AP39" i="99"/>
  <c r="AK39" i="99"/>
  <c r="AG39" i="99"/>
  <c r="AB39" i="99"/>
  <c r="AA39" i="99"/>
  <c r="X39" i="99"/>
  <c r="W39" i="99"/>
  <c r="T39" i="99"/>
  <c r="S39" i="99"/>
  <c r="P39" i="99"/>
  <c r="O39" i="99"/>
  <c r="RP38" i="99"/>
  <c r="RO38" i="99"/>
  <c r="RN38" i="99"/>
  <c r="RM38" i="99"/>
  <c r="RD38" i="99"/>
  <c r="RC38" i="99"/>
  <c r="RB38" i="99"/>
  <c r="RA38" i="99"/>
  <c r="QZ38" i="99"/>
  <c r="QY38" i="99"/>
  <c r="QW38" i="99"/>
  <c r="QV38" i="99"/>
  <c r="QU38" i="99"/>
  <c r="QT38" i="99"/>
  <c r="QS38" i="99"/>
  <c r="QR38" i="99"/>
  <c r="QM38" i="99"/>
  <c r="QL38" i="99"/>
  <c r="PY38" i="99"/>
  <c r="PX38" i="99"/>
  <c r="PL38" i="99"/>
  <c r="SE38" i="99" s="1"/>
  <c r="OY38" i="99"/>
  <c r="MT38" i="99"/>
  <c r="MB38" i="99"/>
  <c r="LV38" i="99"/>
  <c r="LH38" i="99"/>
  <c r="LG38" i="99"/>
  <c r="LF38" i="99"/>
  <c r="JK38" i="99"/>
  <c r="QO38" i="99" s="1"/>
  <c r="JE38" i="99"/>
  <c r="GL38" i="99" s="1"/>
  <c r="IP38" i="99"/>
  <c r="GK38" i="99" s="1"/>
  <c r="IA38" i="99"/>
  <c r="HL38" i="99"/>
  <c r="GJ38" i="99" s="1"/>
  <c r="GV38" i="99"/>
  <c r="RV38" i="99" s="1"/>
  <c r="GG38" i="99"/>
  <c r="FC38" i="99" s="1"/>
  <c r="FT38" i="99"/>
  <c r="FB38" i="99" s="1"/>
  <c r="FM38" i="99"/>
  <c r="FA38" i="99" s="1"/>
  <c r="EX38" i="99"/>
  <c r="EQ38" i="99"/>
  <c r="ED38" i="99"/>
  <c r="DQ38" i="99"/>
  <c r="DB38" i="99"/>
  <c r="DA38" i="99"/>
  <c r="CZ38" i="99"/>
  <c r="CY38" i="99"/>
  <c r="CX38" i="99"/>
  <c r="CW38" i="99"/>
  <c r="CV38" i="99"/>
  <c r="CU38" i="99"/>
  <c r="CT38" i="99"/>
  <c r="CS38" i="99"/>
  <c r="CR38" i="99"/>
  <c r="CQ38" i="99"/>
  <c r="CM38" i="99"/>
  <c r="CF38" i="99"/>
  <c r="CC38" i="99"/>
  <c r="BZ38" i="99"/>
  <c r="BW38" i="99"/>
  <c r="BT38" i="99"/>
  <c r="BQ38" i="99"/>
  <c r="BN38" i="99"/>
  <c r="BH38" i="99"/>
  <c r="BE38" i="99"/>
  <c r="BB38" i="99"/>
  <c r="AY38" i="99"/>
  <c r="AV38" i="99"/>
  <c r="AS38" i="99"/>
  <c r="AP38" i="99"/>
  <c r="AK38" i="99"/>
  <c r="AG38" i="99"/>
  <c r="AB38" i="99"/>
  <c r="AA38" i="99"/>
  <c r="X38" i="99"/>
  <c r="W38" i="99"/>
  <c r="T38" i="99"/>
  <c r="S38" i="99"/>
  <c r="P38" i="99"/>
  <c r="O38" i="99"/>
  <c r="RP37" i="99"/>
  <c r="RO37" i="99"/>
  <c r="RN37" i="99"/>
  <c r="RM37" i="99"/>
  <c r="RD37" i="99"/>
  <c r="RC37" i="99"/>
  <c r="RB37" i="99"/>
  <c r="RA37" i="99"/>
  <c r="QZ37" i="99"/>
  <c r="QY37" i="99"/>
  <c r="QW37" i="99"/>
  <c r="QV37" i="99"/>
  <c r="QU37" i="99"/>
  <c r="QT37" i="99"/>
  <c r="QS37" i="99"/>
  <c r="QR37" i="99"/>
  <c r="QM37" i="99"/>
  <c r="QL37" i="99"/>
  <c r="PY37" i="99"/>
  <c r="PX37" i="99"/>
  <c r="PL37" i="99"/>
  <c r="SE37" i="99" s="1"/>
  <c r="OY37" i="99"/>
  <c r="MT37" i="99"/>
  <c r="MB37" i="99"/>
  <c r="LV37" i="99"/>
  <c r="LH37" i="99"/>
  <c r="LG37" i="99"/>
  <c r="LF37" i="99"/>
  <c r="JE37" i="99"/>
  <c r="GL37" i="99" s="1"/>
  <c r="IP37" i="99"/>
  <c r="GK37" i="99" s="1"/>
  <c r="IA37" i="99"/>
  <c r="HL37" i="99"/>
  <c r="GJ37" i="99" s="1"/>
  <c r="GV37" i="99"/>
  <c r="RV37" i="99" s="1"/>
  <c r="SB37" i="99" s="1"/>
  <c r="GG37" i="99"/>
  <c r="FC37" i="99" s="1"/>
  <c r="FT37" i="99"/>
  <c r="FB37" i="99" s="1"/>
  <c r="FM37" i="99"/>
  <c r="FA37" i="99" s="1"/>
  <c r="EX37" i="99"/>
  <c r="EQ37" i="99"/>
  <c r="ED37" i="99"/>
  <c r="DQ37" i="99"/>
  <c r="DB37" i="99"/>
  <c r="DA37" i="99"/>
  <c r="CZ37" i="99"/>
  <c r="CY37" i="99"/>
  <c r="CX37" i="99"/>
  <c r="CW37" i="99"/>
  <c r="CV37" i="99"/>
  <c r="CU37" i="99"/>
  <c r="CT37" i="99"/>
  <c r="CS37" i="99"/>
  <c r="CR37" i="99"/>
  <c r="CQ37" i="99"/>
  <c r="CM37" i="99"/>
  <c r="CF37" i="99"/>
  <c r="CC37" i="99"/>
  <c r="BZ37" i="99"/>
  <c r="BW37" i="99"/>
  <c r="BT37" i="99"/>
  <c r="BQ37" i="99"/>
  <c r="BN37" i="99"/>
  <c r="BK37" i="99"/>
  <c r="BH37" i="99"/>
  <c r="BE37" i="99"/>
  <c r="BB37" i="99"/>
  <c r="AY37" i="99"/>
  <c r="AV37" i="99"/>
  <c r="AS37" i="99"/>
  <c r="AP37" i="99"/>
  <c r="AK37" i="99"/>
  <c r="AG37" i="99"/>
  <c r="AB37" i="99"/>
  <c r="AA37" i="99"/>
  <c r="X37" i="99"/>
  <c r="W37" i="99"/>
  <c r="T37" i="99"/>
  <c r="S37" i="99"/>
  <c r="P37" i="99"/>
  <c r="O37" i="99"/>
  <c r="RP36" i="99"/>
  <c r="RO36" i="99"/>
  <c r="RN36" i="99"/>
  <c r="RM36" i="99"/>
  <c r="RD36" i="99"/>
  <c r="RC36" i="99"/>
  <c r="RB36" i="99"/>
  <c r="RA36" i="99"/>
  <c r="QZ36" i="99"/>
  <c r="QY36" i="99"/>
  <c r="QW36" i="99"/>
  <c r="QV36" i="99"/>
  <c r="QU36" i="99"/>
  <c r="QT36" i="99"/>
  <c r="QS36" i="99"/>
  <c r="QR36" i="99"/>
  <c r="QM36" i="99"/>
  <c r="QL36" i="99"/>
  <c r="PY36" i="99"/>
  <c r="PX36" i="99"/>
  <c r="PL36" i="99"/>
  <c r="SE36" i="99" s="1"/>
  <c r="OY36" i="99"/>
  <c r="MT36" i="99"/>
  <c r="MB36" i="99"/>
  <c r="LV36" i="99"/>
  <c r="LH36" i="99"/>
  <c r="LG36" i="99"/>
  <c r="LF36" i="99"/>
  <c r="JE36" i="99"/>
  <c r="GL36" i="99" s="1"/>
  <c r="IP36" i="99"/>
  <c r="GK36" i="99" s="1"/>
  <c r="IA36" i="99"/>
  <c r="HL36" i="99"/>
  <c r="GJ36" i="99" s="1"/>
  <c r="GV36" i="99"/>
  <c r="RV36" i="99" s="1"/>
  <c r="GG36" i="99"/>
  <c r="FC36" i="99" s="1"/>
  <c r="FT36" i="99"/>
  <c r="FB36" i="99" s="1"/>
  <c r="FM36" i="99"/>
  <c r="FA36" i="99" s="1"/>
  <c r="EX36" i="99"/>
  <c r="EQ36" i="99"/>
  <c r="ED36" i="99"/>
  <c r="DQ36" i="99"/>
  <c r="DB36" i="99"/>
  <c r="DA36" i="99"/>
  <c r="CZ36" i="99"/>
  <c r="CY36" i="99"/>
  <c r="CX36" i="99"/>
  <c r="CW36" i="99"/>
  <c r="CV36" i="99"/>
  <c r="CU36" i="99"/>
  <c r="CT36" i="99"/>
  <c r="CS36" i="99"/>
  <c r="CR36" i="99"/>
  <c r="CQ36" i="99"/>
  <c r="CM36" i="99"/>
  <c r="CF36" i="99"/>
  <c r="CC36" i="99"/>
  <c r="BZ36" i="99"/>
  <c r="BW36" i="99"/>
  <c r="BT36" i="99"/>
  <c r="BQ36" i="99"/>
  <c r="BN36" i="99"/>
  <c r="BK36" i="99"/>
  <c r="BH36" i="99"/>
  <c r="BE36" i="99"/>
  <c r="BB36" i="99"/>
  <c r="AY36" i="99"/>
  <c r="AV36" i="99"/>
  <c r="AS36" i="99"/>
  <c r="AP36" i="99"/>
  <c r="AK36" i="99"/>
  <c r="AG36" i="99"/>
  <c r="AB36" i="99"/>
  <c r="AA36" i="99"/>
  <c r="X36" i="99"/>
  <c r="W36" i="99"/>
  <c r="T36" i="99"/>
  <c r="S36" i="99"/>
  <c r="P36" i="99"/>
  <c r="O36" i="99"/>
  <c r="RP35" i="99"/>
  <c r="RO35" i="99"/>
  <c r="RN35" i="99"/>
  <c r="RM35" i="99"/>
  <c r="RD35" i="99"/>
  <c r="RC35" i="99"/>
  <c r="RB35" i="99"/>
  <c r="RA35" i="99"/>
  <c r="QZ35" i="99"/>
  <c r="QY35" i="99"/>
  <c r="QW35" i="99"/>
  <c r="QV35" i="99"/>
  <c r="QU35" i="99"/>
  <c r="QT35" i="99"/>
  <c r="QS35" i="99"/>
  <c r="QR35" i="99"/>
  <c r="QM35" i="99"/>
  <c r="QL35" i="99"/>
  <c r="PY35" i="99"/>
  <c r="PX35" i="99"/>
  <c r="PL35" i="99"/>
  <c r="SE35" i="99" s="1"/>
  <c r="OY35" i="99"/>
  <c r="MT35" i="99"/>
  <c r="MB35" i="99"/>
  <c r="LV35" i="99"/>
  <c r="LH35" i="99"/>
  <c r="LG35" i="99"/>
  <c r="LF35" i="99"/>
  <c r="JE35" i="99"/>
  <c r="GL35" i="99" s="1"/>
  <c r="IP35" i="99"/>
  <c r="GK35" i="99" s="1"/>
  <c r="IA35" i="99"/>
  <c r="HL35" i="99"/>
  <c r="GJ35" i="99" s="1"/>
  <c r="GV35" i="99"/>
  <c r="RV35" i="99" s="1"/>
  <c r="GG35" i="99"/>
  <c r="FC35" i="99" s="1"/>
  <c r="FT35" i="99"/>
  <c r="FB35" i="99" s="1"/>
  <c r="FM35" i="99"/>
  <c r="FA35" i="99" s="1"/>
  <c r="EX35" i="99"/>
  <c r="EQ35" i="99"/>
  <c r="ED35" i="99"/>
  <c r="DQ35" i="99"/>
  <c r="DB35" i="99"/>
  <c r="DA35" i="99"/>
  <c r="CZ35" i="99"/>
  <c r="CY35" i="99"/>
  <c r="CX35" i="99"/>
  <c r="CW35" i="99"/>
  <c r="CV35" i="99"/>
  <c r="CU35" i="99"/>
  <c r="CT35" i="99"/>
  <c r="CS35" i="99"/>
  <c r="CR35" i="99"/>
  <c r="CQ35" i="99"/>
  <c r="CM35" i="99"/>
  <c r="CF35" i="99"/>
  <c r="CC35" i="99"/>
  <c r="BZ35" i="99"/>
  <c r="BW35" i="99"/>
  <c r="BT35" i="99"/>
  <c r="BQ35" i="99"/>
  <c r="BN35" i="99"/>
  <c r="BK35" i="99"/>
  <c r="BH35" i="99"/>
  <c r="BE35" i="99"/>
  <c r="BB35" i="99"/>
  <c r="AY35" i="99"/>
  <c r="AV35" i="99"/>
  <c r="AS35" i="99"/>
  <c r="AP35" i="99"/>
  <c r="AK35" i="99"/>
  <c r="AG35" i="99"/>
  <c r="AB35" i="99"/>
  <c r="AA35" i="99"/>
  <c r="X35" i="99"/>
  <c r="W35" i="99"/>
  <c r="T35" i="99"/>
  <c r="S35" i="99"/>
  <c r="P35" i="99"/>
  <c r="O35" i="99"/>
  <c r="RP34" i="99"/>
  <c r="RO34" i="99"/>
  <c r="RN34" i="99"/>
  <c r="RM34" i="99"/>
  <c r="RD34" i="99"/>
  <c r="RC34" i="99"/>
  <c r="RB34" i="99"/>
  <c r="RA34" i="99"/>
  <c r="QZ34" i="99"/>
  <c r="QY34" i="99"/>
  <c r="QW34" i="99"/>
  <c r="QV34" i="99"/>
  <c r="QU34" i="99"/>
  <c r="QT34" i="99"/>
  <c r="QS34" i="99"/>
  <c r="QR34" i="99"/>
  <c r="QM34" i="99"/>
  <c r="QL34" i="99"/>
  <c r="PY34" i="99"/>
  <c r="PX34" i="99"/>
  <c r="PL34" i="99"/>
  <c r="SE34" i="99" s="1"/>
  <c r="OY34" i="99"/>
  <c r="MT34" i="99"/>
  <c r="MB34" i="99"/>
  <c r="LV34" i="99"/>
  <c r="LH34" i="99"/>
  <c r="LG34" i="99"/>
  <c r="LF34" i="99"/>
  <c r="JK34" i="99"/>
  <c r="JE34" i="99"/>
  <c r="GL34" i="99" s="1"/>
  <c r="IP34" i="99"/>
  <c r="GK34" i="99" s="1"/>
  <c r="IA34" i="99"/>
  <c r="HL34" i="99"/>
  <c r="GJ34" i="99" s="1"/>
  <c r="GV34" i="99"/>
  <c r="RV34" i="99" s="1"/>
  <c r="GG34" i="99"/>
  <c r="FC34" i="99" s="1"/>
  <c r="FT34" i="99"/>
  <c r="FB34" i="99" s="1"/>
  <c r="FM34" i="99"/>
  <c r="FA34" i="99" s="1"/>
  <c r="EX34" i="99"/>
  <c r="EQ34" i="99"/>
  <c r="ED34" i="99"/>
  <c r="DQ34" i="99"/>
  <c r="DB34" i="99"/>
  <c r="DA34" i="99"/>
  <c r="CZ34" i="99"/>
  <c r="CY34" i="99"/>
  <c r="CX34" i="99"/>
  <c r="CW34" i="99"/>
  <c r="CV34" i="99"/>
  <c r="CU34" i="99"/>
  <c r="CT34" i="99"/>
  <c r="CS34" i="99"/>
  <c r="CR34" i="99"/>
  <c r="CQ34" i="99"/>
  <c r="CM34" i="99"/>
  <c r="CF34" i="99"/>
  <c r="CC34" i="99"/>
  <c r="BZ34" i="99"/>
  <c r="BW34" i="99"/>
  <c r="BT34" i="99"/>
  <c r="BQ34" i="99"/>
  <c r="BN34" i="99"/>
  <c r="BK34" i="99"/>
  <c r="BH34" i="99"/>
  <c r="BE34" i="99"/>
  <c r="BB34" i="99"/>
  <c r="AY34" i="99"/>
  <c r="AV34" i="99"/>
  <c r="AS34" i="99"/>
  <c r="AP34" i="99"/>
  <c r="AK34" i="99"/>
  <c r="AG34" i="99"/>
  <c r="AB34" i="99"/>
  <c r="AA34" i="99"/>
  <c r="X34" i="99"/>
  <c r="W34" i="99"/>
  <c r="T34" i="99"/>
  <c r="S34" i="99"/>
  <c r="P34" i="99"/>
  <c r="O34" i="99"/>
  <c r="RP33" i="99"/>
  <c r="RO33" i="99"/>
  <c r="RN33" i="99"/>
  <c r="RM33" i="99"/>
  <c r="RD33" i="99"/>
  <c r="RC33" i="99"/>
  <c r="RB33" i="99"/>
  <c r="RA33" i="99"/>
  <c r="QZ33" i="99"/>
  <c r="QY33" i="99"/>
  <c r="QW33" i="99"/>
  <c r="QV33" i="99"/>
  <c r="QU33" i="99"/>
  <c r="QT33" i="99"/>
  <c r="QS33" i="99"/>
  <c r="QR33" i="99"/>
  <c r="QM33" i="99"/>
  <c r="QL33" i="99"/>
  <c r="PY33" i="99"/>
  <c r="PX33" i="99"/>
  <c r="PL33" i="99"/>
  <c r="SE33" i="99" s="1"/>
  <c r="OY33" i="99"/>
  <c r="MT33" i="99"/>
  <c r="MB33" i="99"/>
  <c r="LV33" i="99"/>
  <c r="LH33" i="99"/>
  <c r="LG33" i="99"/>
  <c r="LF33" i="99"/>
  <c r="JK33" i="99"/>
  <c r="JE33" i="99"/>
  <c r="GL33" i="99" s="1"/>
  <c r="IP33" i="99"/>
  <c r="GK33" i="99" s="1"/>
  <c r="IA33" i="99"/>
  <c r="HL33" i="99"/>
  <c r="GJ33" i="99" s="1"/>
  <c r="GV33" i="99"/>
  <c r="RV33" i="99" s="1"/>
  <c r="GG33" i="99"/>
  <c r="FC33" i="99" s="1"/>
  <c r="FT33" i="99"/>
  <c r="FB33" i="99" s="1"/>
  <c r="FM33" i="99"/>
  <c r="FA33" i="99" s="1"/>
  <c r="EX33" i="99"/>
  <c r="EQ33" i="99"/>
  <c r="ED33" i="99"/>
  <c r="DQ33" i="99"/>
  <c r="DB33" i="99"/>
  <c r="DA33" i="99"/>
  <c r="CZ33" i="99"/>
  <c r="CY33" i="99"/>
  <c r="CX33" i="99"/>
  <c r="CW33" i="99"/>
  <c r="CV33" i="99"/>
  <c r="CU33" i="99"/>
  <c r="CT33" i="99"/>
  <c r="CS33" i="99"/>
  <c r="CR33" i="99"/>
  <c r="CQ33" i="99"/>
  <c r="CM33" i="99"/>
  <c r="CF33" i="99"/>
  <c r="CC33" i="99"/>
  <c r="BZ33" i="99"/>
  <c r="BW33" i="99"/>
  <c r="BT33" i="99"/>
  <c r="BQ33" i="99"/>
  <c r="BN33" i="99"/>
  <c r="BK33" i="99"/>
  <c r="BH33" i="99"/>
  <c r="BE33" i="99"/>
  <c r="BB33" i="99"/>
  <c r="AY33" i="99"/>
  <c r="AV33" i="99"/>
  <c r="AS33" i="99"/>
  <c r="AP33" i="99"/>
  <c r="AK33" i="99"/>
  <c r="AG33" i="99"/>
  <c r="AB33" i="99"/>
  <c r="AA33" i="99"/>
  <c r="X33" i="99"/>
  <c r="W33" i="99"/>
  <c r="T33" i="99"/>
  <c r="S33" i="99"/>
  <c r="P33" i="99"/>
  <c r="O33" i="99"/>
  <c r="RP32" i="99"/>
  <c r="RO32" i="99"/>
  <c r="RN32" i="99"/>
  <c r="RM32" i="99"/>
  <c r="RD32" i="99"/>
  <c r="RC32" i="99"/>
  <c r="RB32" i="99"/>
  <c r="RA32" i="99"/>
  <c r="QZ32" i="99"/>
  <c r="QY32" i="99"/>
  <c r="QW32" i="99"/>
  <c r="QV32" i="99"/>
  <c r="QU32" i="99"/>
  <c r="QT32" i="99"/>
  <c r="QS32" i="99"/>
  <c r="QR32" i="99"/>
  <c r="QM32" i="99"/>
  <c r="QL32" i="99"/>
  <c r="PY32" i="99"/>
  <c r="PX32" i="99"/>
  <c r="PL32" i="99"/>
  <c r="SE32" i="99" s="1"/>
  <c r="OY32" i="99"/>
  <c r="MT32" i="99"/>
  <c r="MB32" i="99"/>
  <c r="LV32" i="99"/>
  <c r="LH32" i="99"/>
  <c r="LG32" i="99"/>
  <c r="LF32" i="99"/>
  <c r="JK32" i="99"/>
  <c r="JE32" i="99"/>
  <c r="GL32" i="99" s="1"/>
  <c r="IP32" i="99"/>
  <c r="GK32" i="99" s="1"/>
  <c r="IA32" i="99"/>
  <c r="HL32" i="99"/>
  <c r="GJ32" i="99" s="1"/>
  <c r="GV32" i="99"/>
  <c r="RV32" i="99" s="1"/>
  <c r="GG32" i="99"/>
  <c r="FC32" i="99" s="1"/>
  <c r="FT32" i="99"/>
  <c r="FB32" i="99" s="1"/>
  <c r="FM32" i="99"/>
  <c r="FA32" i="99" s="1"/>
  <c r="EX32" i="99"/>
  <c r="EQ32" i="99"/>
  <c r="ED32" i="99"/>
  <c r="DQ32" i="99"/>
  <c r="DB32" i="99"/>
  <c r="DA32" i="99"/>
  <c r="CZ32" i="99"/>
  <c r="CY32" i="99"/>
  <c r="CX32" i="99"/>
  <c r="CW32" i="99"/>
  <c r="CV32" i="99"/>
  <c r="CU32" i="99"/>
  <c r="CT32" i="99"/>
  <c r="CS32" i="99"/>
  <c r="CR32" i="99"/>
  <c r="CQ32" i="99"/>
  <c r="CM32" i="99"/>
  <c r="CF32" i="99"/>
  <c r="CC32" i="99"/>
  <c r="BZ32" i="99"/>
  <c r="BW32" i="99"/>
  <c r="BT32" i="99"/>
  <c r="BQ32" i="99"/>
  <c r="BN32" i="99"/>
  <c r="BK32" i="99"/>
  <c r="BH32" i="99"/>
  <c r="BE32" i="99"/>
  <c r="BB32" i="99"/>
  <c r="AY32" i="99"/>
  <c r="AV32" i="99"/>
  <c r="AS32" i="99"/>
  <c r="AP32" i="99"/>
  <c r="AK32" i="99"/>
  <c r="AG32" i="99"/>
  <c r="AB32" i="99"/>
  <c r="AA32" i="99"/>
  <c r="X32" i="99"/>
  <c r="W32" i="99"/>
  <c r="T32" i="99"/>
  <c r="S32" i="99"/>
  <c r="P32" i="99"/>
  <c r="O32" i="99"/>
  <c r="RP31" i="99"/>
  <c r="RO31" i="99"/>
  <c r="RN31" i="99"/>
  <c r="RM31" i="99"/>
  <c r="RD31" i="99"/>
  <c r="RC31" i="99"/>
  <c r="RB31" i="99"/>
  <c r="RA31" i="99"/>
  <c r="QZ31" i="99"/>
  <c r="QY31" i="99"/>
  <c r="QW31" i="99"/>
  <c r="QV31" i="99"/>
  <c r="QU31" i="99"/>
  <c r="QT31" i="99"/>
  <c r="QS31" i="99"/>
  <c r="QR31" i="99"/>
  <c r="QM31" i="99"/>
  <c r="QL31" i="99"/>
  <c r="PY31" i="99"/>
  <c r="PX31" i="99"/>
  <c r="PL31" i="99"/>
  <c r="SE31" i="99" s="1"/>
  <c r="OY31" i="99"/>
  <c r="NI31" i="99"/>
  <c r="NI32" i="99" s="1"/>
  <c r="NI33" i="99" s="1"/>
  <c r="NI34" i="99" s="1"/>
  <c r="NI35" i="99" s="1"/>
  <c r="NI37" i="99" s="1"/>
  <c r="NI38" i="99" s="1"/>
  <c r="NI39" i="99" s="1"/>
  <c r="NI40" i="99" s="1"/>
  <c r="NI41" i="99" s="1"/>
  <c r="NI42" i="99" s="1"/>
  <c r="MT31" i="99"/>
  <c r="MB31" i="99"/>
  <c r="LV31" i="99"/>
  <c r="LH31" i="99"/>
  <c r="LG31" i="99"/>
  <c r="LF31" i="99"/>
  <c r="JK31" i="99"/>
  <c r="JE31" i="99"/>
  <c r="GL31" i="99" s="1"/>
  <c r="IP31" i="99"/>
  <c r="GK31" i="99" s="1"/>
  <c r="IA31" i="99"/>
  <c r="HL31" i="99"/>
  <c r="GJ31" i="99" s="1"/>
  <c r="GV31" i="99"/>
  <c r="RV31" i="99" s="1"/>
  <c r="GG31" i="99"/>
  <c r="FC31" i="99" s="1"/>
  <c r="FT31" i="99"/>
  <c r="FB31" i="99" s="1"/>
  <c r="FM31" i="99"/>
  <c r="FA31" i="99" s="1"/>
  <c r="EX31" i="99"/>
  <c r="EQ31" i="99"/>
  <c r="ED31" i="99"/>
  <c r="DQ31" i="99"/>
  <c r="DB31" i="99"/>
  <c r="DA31" i="99"/>
  <c r="CZ31" i="99"/>
  <c r="CY31" i="99"/>
  <c r="CX31" i="99"/>
  <c r="CW31" i="99"/>
  <c r="CV31" i="99"/>
  <c r="CU31" i="99"/>
  <c r="CT31" i="99"/>
  <c r="CS31" i="99"/>
  <c r="CR31" i="99"/>
  <c r="CQ31" i="99"/>
  <c r="CM31" i="99"/>
  <c r="CF31" i="99"/>
  <c r="CC31" i="99"/>
  <c r="BZ31" i="99"/>
  <c r="BW31" i="99"/>
  <c r="BT31" i="99"/>
  <c r="BQ31" i="99"/>
  <c r="BN31" i="99"/>
  <c r="BK31" i="99"/>
  <c r="BH31" i="99"/>
  <c r="BE31" i="99"/>
  <c r="BB31" i="99"/>
  <c r="AY31" i="99"/>
  <c r="AV31" i="99"/>
  <c r="AS31" i="99"/>
  <c r="AP31" i="99"/>
  <c r="AK31" i="99"/>
  <c r="AG31" i="99"/>
  <c r="AB31" i="99"/>
  <c r="AA31" i="99"/>
  <c r="X31" i="99"/>
  <c r="W31" i="99"/>
  <c r="T31" i="99"/>
  <c r="S31" i="99"/>
  <c r="P31" i="99"/>
  <c r="O31" i="99"/>
  <c r="RP30" i="99"/>
  <c r="RO30" i="99"/>
  <c r="RN30" i="99"/>
  <c r="RM30" i="99"/>
  <c r="RD30" i="99"/>
  <c r="RC30" i="99"/>
  <c r="RB30" i="99"/>
  <c r="RA30" i="99"/>
  <c r="QZ30" i="99"/>
  <c r="QY30" i="99"/>
  <c r="QW30" i="99"/>
  <c r="QV30" i="99"/>
  <c r="QU30" i="99"/>
  <c r="QT30" i="99"/>
  <c r="QS30" i="99"/>
  <c r="QR30" i="99"/>
  <c r="QM30" i="99"/>
  <c r="QL30" i="99"/>
  <c r="PY30" i="99"/>
  <c r="PX30" i="99"/>
  <c r="PL30" i="99"/>
  <c r="SE30" i="99" s="1"/>
  <c r="OY30" i="99"/>
  <c r="MT30" i="99"/>
  <c r="MB30" i="99"/>
  <c r="LV30" i="99"/>
  <c r="LH30" i="99"/>
  <c r="LG30" i="99"/>
  <c r="LF30" i="99"/>
  <c r="JK30" i="99"/>
  <c r="JE30" i="99"/>
  <c r="GL30" i="99" s="1"/>
  <c r="IP30" i="99"/>
  <c r="GK30" i="99" s="1"/>
  <c r="IA30" i="99"/>
  <c r="HL30" i="99"/>
  <c r="GJ30" i="99" s="1"/>
  <c r="GV30" i="99"/>
  <c r="RV30" i="99" s="1"/>
  <c r="GG30" i="99"/>
  <c r="FC30" i="99" s="1"/>
  <c r="FT30" i="99"/>
  <c r="FB30" i="99" s="1"/>
  <c r="FM30" i="99"/>
  <c r="FA30" i="99" s="1"/>
  <c r="EX30" i="99"/>
  <c r="EQ30" i="99"/>
  <c r="ED30" i="99"/>
  <c r="DQ30" i="99"/>
  <c r="DB30" i="99"/>
  <c r="DA30" i="99"/>
  <c r="CZ30" i="99"/>
  <c r="CY30" i="99"/>
  <c r="CX30" i="99"/>
  <c r="CW30" i="99"/>
  <c r="CV30" i="99"/>
  <c r="CU30" i="99"/>
  <c r="CT30" i="99"/>
  <c r="CS30" i="99"/>
  <c r="CR30" i="99"/>
  <c r="CQ30" i="99"/>
  <c r="CM30" i="99"/>
  <c r="CF30" i="99"/>
  <c r="CC30" i="99"/>
  <c r="BZ30" i="99"/>
  <c r="BW30" i="99"/>
  <c r="BT30" i="99"/>
  <c r="BQ30" i="99"/>
  <c r="BN30" i="99"/>
  <c r="BK30" i="99"/>
  <c r="BH30" i="99"/>
  <c r="BE30" i="99"/>
  <c r="BB30" i="99"/>
  <c r="AY30" i="99"/>
  <c r="AV30" i="99"/>
  <c r="AS30" i="99"/>
  <c r="AP30" i="99"/>
  <c r="AK30" i="99"/>
  <c r="AG30" i="99"/>
  <c r="AB30" i="99"/>
  <c r="AA30" i="99"/>
  <c r="X30" i="99"/>
  <c r="W30" i="99"/>
  <c r="T30" i="99"/>
  <c r="S30" i="99"/>
  <c r="P30" i="99"/>
  <c r="O30" i="99"/>
  <c r="RP29" i="99"/>
  <c r="RO29" i="99"/>
  <c r="RN29" i="99"/>
  <c r="RM29" i="99"/>
  <c r="RD29" i="99"/>
  <c r="RC29" i="99"/>
  <c r="RB29" i="99"/>
  <c r="RA29" i="99"/>
  <c r="QZ29" i="99"/>
  <c r="QY29" i="99"/>
  <c r="QW29" i="99"/>
  <c r="QV29" i="99"/>
  <c r="QU29" i="99"/>
  <c r="QT29" i="99"/>
  <c r="QS29" i="99"/>
  <c r="QR29" i="99"/>
  <c r="QM29" i="99"/>
  <c r="QL29" i="99"/>
  <c r="PY29" i="99"/>
  <c r="PX29" i="99"/>
  <c r="PL29" i="99"/>
  <c r="SE29" i="99" s="1"/>
  <c r="OY29" i="99"/>
  <c r="MT29" i="99"/>
  <c r="MB29" i="99"/>
  <c r="LV29" i="99"/>
  <c r="LH29" i="99"/>
  <c r="LG29" i="99"/>
  <c r="NC29" i="99" s="1"/>
  <c r="LF29" i="99"/>
  <c r="JK29" i="99"/>
  <c r="JE29" i="99"/>
  <c r="GL29" i="99" s="1"/>
  <c r="IP29" i="99"/>
  <c r="GK29" i="99" s="1"/>
  <c r="IA29" i="99"/>
  <c r="HL29" i="99"/>
  <c r="GJ29" i="99" s="1"/>
  <c r="GV29" i="99"/>
  <c r="RV29" i="99" s="1"/>
  <c r="GG29" i="99"/>
  <c r="FC29" i="99" s="1"/>
  <c r="FT29" i="99"/>
  <c r="FB29" i="99" s="1"/>
  <c r="FM29" i="99"/>
  <c r="FA29" i="99" s="1"/>
  <c r="EX29" i="99"/>
  <c r="EQ29" i="99"/>
  <c r="ED29" i="99"/>
  <c r="DQ29" i="99"/>
  <c r="DB29" i="99"/>
  <c r="DA29" i="99"/>
  <c r="CZ29" i="99"/>
  <c r="CY29" i="99"/>
  <c r="CX29" i="99"/>
  <c r="CW29" i="99"/>
  <c r="CV29" i="99"/>
  <c r="CU29" i="99"/>
  <c r="CT29" i="99"/>
  <c r="CS29" i="99"/>
  <c r="CR29" i="99"/>
  <c r="CQ29" i="99"/>
  <c r="CM29" i="99"/>
  <c r="CF29" i="99"/>
  <c r="CC29" i="99"/>
  <c r="BZ29" i="99"/>
  <c r="BW29" i="99"/>
  <c r="BT29" i="99"/>
  <c r="BQ29" i="99"/>
  <c r="BN29" i="99"/>
  <c r="BK29" i="99"/>
  <c r="BH29" i="99"/>
  <c r="BE29" i="99"/>
  <c r="BB29" i="99"/>
  <c r="AY29" i="99"/>
  <c r="AV29" i="99"/>
  <c r="AS29" i="99"/>
  <c r="AP29" i="99"/>
  <c r="AK29" i="99"/>
  <c r="AG29" i="99"/>
  <c r="AB29" i="99"/>
  <c r="AA29" i="99"/>
  <c r="X29" i="99"/>
  <c r="W29" i="99"/>
  <c r="T29" i="99"/>
  <c r="S29" i="99"/>
  <c r="P29" i="99"/>
  <c r="O29" i="99"/>
  <c r="RP28" i="99"/>
  <c r="RO28" i="99"/>
  <c r="RN28" i="99"/>
  <c r="RM28" i="99"/>
  <c r="RD28" i="99"/>
  <c r="RC28" i="99"/>
  <c r="RB28" i="99"/>
  <c r="RA28" i="99"/>
  <c r="QZ28" i="99"/>
  <c r="QY28" i="99"/>
  <c r="QW28" i="99"/>
  <c r="QV28" i="99"/>
  <c r="QU28" i="99"/>
  <c r="QT28" i="99"/>
  <c r="QS28" i="99"/>
  <c r="QR28" i="99"/>
  <c r="QM28" i="99"/>
  <c r="QL28" i="99"/>
  <c r="PY28" i="99"/>
  <c r="PX28" i="99"/>
  <c r="PL28" i="99"/>
  <c r="SE28" i="99" s="1"/>
  <c r="OY28" i="99"/>
  <c r="MT28" i="99"/>
  <c r="MB28" i="99"/>
  <c r="LV28" i="99"/>
  <c r="LH28" i="99"/>
  <c r="LG28" i="99"/>
  <c r="LF28" i="99"/>
  <c r="JK28" i="99"/>
  <c r="JE28" i="99"/>
  <c r="GL28" i="99" s="1"/>
  <c r="IP28" i="99"/>
  <c r="GK28" i="99" s="1"/>
  <c r="IA28" i="99"/>
  <c r="HL28" i="99"/>
  <c r="GJ28" i="99" s="1"/>
  <c r="GV28" i="99"/>
  <c r="RV28" i="99" s="1"/>
  <c r="GG28" i="99"/>
  <c r="FC28" i="99" s="1"/>
  <c r="FT28" i="99"/>
  <c r="FB28" i="99" s="1"/>
  <c r="FM28" i="99"/>
  <c r="FA28" i="99" s="1"/>
  <c r="EX28" i="99"/>
  <c r="EQ28" i="99"/>
  <c r="ED28" i="99"/>
  <c r="DQ28" i="99"/>
  <c r="DB28" i="99"/>
  <c r="DA28" i="99"/>
  <c r="CZ28" i="99"/>
  <c r="CY28" i="99"/>
  <c r="CX28" i="99"/>
  <c r="CW28" i="99"/>
  <c r="CV28" i="99"/>
  <c r="CU28" i="99"/>
  <c r="CT28" i="99"/>
  <c r="CS28" i="99"/>
  <c r="CR28" i="99"/>
  <c r="CQ28" i="99"/>
  <c r="CM28" i="99"/>
  <c r="CF28" i="99"/>
  <c r="CC28" i="99"/>
  <c r="BZ28" i="99"/>
  <c r="BW28" i="99"/>
  <c r="BT28" i="99"/>
  <c r="BQ28" i="99"/>
  <c r="BN28" i="99"/>
  <c r="BK28" i="99"/>
  <c r="BH28" i="99"/>
  <c r="BE28" i="99"/>
  <c r="BB28" i="99"/>
  <c r="AY28" i="99"/>
  <c r="AV28" i="99"/>
  <c r="AS28" i="99"/>
  <c r="AP28" i="99"/>
  <c r="AK28" i="99"/>
  <c r="AG28" i="99"/>
  <c r="AB28" i="99"/>
  <c r="AA28" i="99"/>
  <c r="X28" i="99"/>
  <c r="W28" i="99"/>
  <c r="T28" i="99"/>
  <c r="S28" i="99"/>
  <c r="P28" i="99"/>
  <c r="O28" i="99"/>
  <c r="RP27" i="99"/>
  <c r="RO27" i="99"/>
  <c r="RN27" i="99"/>
  <c r="RM27" i="99"/>
  <c r="RD27" i="99"/>
  <c r="RC27" i="99"/>
  <c r="RB27" i="99"/>
  <c r="RA27" i="99"/>
  <c r="QZ27" i="99"/>
  <c r="QY27" i="99"/>
  <c r="QW27" i="99"/>
  <c r="QV27" i="99"/>
  <c r="QU27" i="99"/>
  <c r="QT27" i="99"/>
  <c r="QS27" i="99"/>
  <c r="QR27" i="99"/>
  <c r="QM27" i="99"/>
  <c r="QL27" i="99"/>
  <c r="PY27" i="99"/>
  <c r="PX27" i="99"/>
  <c r="PL27" i="99"/>
  <c r="SE27" i="99" s="1"/>
  <c r="OY27" i="99"/>
  <c r="MT27" i="99"/>
  <c r="MB27" i="99"/>
  <c r="LV27" i="99"/>
  <c r="LH27" i="99"/>
  <c r="LG27" i="99"/>
  <c r="LF27" i="99"/>
  <c r="JK27" i="99"/>
  <c r="JE27" i="99"/>
  <c r="GL27" i="99" s="1"/>
  <c r="IP27" i="99"/>
  <c r="GK27" i="99" s="1"/>
  <c r="IA27" i="99"/>
  <c r="HL27" i="99"/>
  <c r="GJ27" i="99" s="1"/>
  <c r="GV27" i="99"/>
  <c r="RV27" i="99" s="1"/>
  <c r="GG27" i="99"/>
  <c r="FC27" i="99" s="1"/>
  <c r="FT27" i="99"/>
  <c r="FB27" i="99" s="1"/>
  <c r="FM27" i="99"/>
  <c r="FA27" i="99" s="1"/>
  <c r="EX27" i="99"/>
  <c r="EQ27" i="99"/>
  <c r="ED27" i="99"/>
  <c r="DQ27" i="99"/>
  <c r="DB27" i="99"/>
  <c r="DA27" i="99"/>
  <c r="CZ27" i="99"/>
  <c r="CY27" i="99"/>
  <c r="CX27" i="99"/>
  <c r="CW27" i="99"/>
  <c r="CV27" i="99"/>
  <c r="CU27" i="99"/>
  <c r="CT27" i="99"/>
  <c r="CS27" i="99"/>
  <c r="CR27" i="99"/>
  <c r="CQ27" i="99"/>
  <c r="CM27" i="99"/>
  <c r="CF27" i="99"/>
  <c r="CC27" i="99"/>
  <c r="BZ27" i="99"/>
  <c r="BW27" i="99"/>
  <c r="BT27" i="99"/>
  <c r="BQ27" i="99"/>
  <c r="BN27" i="99"/>
  <c r="BK27" i="99"/>
  <c r="BH27" i="99"/>
  <c r="BE27" i="99"/>
  <c r="BB27" i="99"/>
  <c r="AY27" i="99"/>
  <c r="AV27" i="99"/>
  <c r="AS27" i="99"/>
  <c r="AP27" i="99"/>
  <c r="AK27" i="99"/>
  <c r="AG27" i="99"/>
  <c r="AB27" i="99"/>
  <c r="AA27" i="99"/>
  <c r="X27" i="99"/>
  <c r="W27" i="99"/>
  <c r="T27" i="99"/>
  <c r="S27" i="99"/>
  <c r="P27" i="99"/>
  <c r="O27" i="99"/>
  <c r="RP26" i="99"/>
  <c r="RO26" i="99"/>
  <c r="RN26" i="99"/>
  <c r="RM26" i="99"/>
  <c r="RD26" i="99"/>
  <c r="RC26" i="99"/>
  <c r="RB26" i="99"/>
  <c r="RA26" i="99"/>
  <c r="QZ26" i="99"/>
  <c r="QY26" i="99"/>
  <c r="QW26" i="99"/>
  <c r="QV26" i="99"/>
  <c r="QU26" i="99"/>
  <c r="QT26" i="99"/>
  <c r="QS26" i="99"/>
  <c r="QR26" i="99"/>
  <c r="QM26" i="99"/>
  <c r="QL26" i="99"/>
  <c r="PY26" i="99"/>
  <c r="PX26" i="99"/>
  <c r="PL26" i="99"/>
  <c r="SE26" i="99" s="1"/>
  <c r="OY26" i="99"/>
  <c r="MT26" i="99"/>
  <c r="MB26" i="99"/>
  <c r="LV26" i="99"/>
  <c r="LH26" i="99"/>
  <c r="LG26" i="99"/>
  <c r="LF26" i="99"/>
  <c r="JK26" i="99"/>
  <c r="JE26" i="99"/>
  <c r="GL26" i="99" s="1"/>
  <c r="IP26" i="99"/>
  <c r="GK26" i="99" s="1"/>
  <c r="IA26" i="99"/>
  <c r="HL26" i="99"/>
  <c r="GJ26" i="99" s="1"/>
  <c r="GV26" i="99"/>
  <c r="RV26" i="99" s="1"/>
  <c r="GG26" i="99"/>
  <c r="FC26" i="99" s="1"/>
  <c r="FT26" i="99"/>
  <c r="FB26" i="99" s="1"/>
  <c r="FM26" i="99"/>
  <c r="FA26" i="99" s="1"/>
  <c r="EX26" i="99"/>
  <c r="EQ26" i="99"/>
  <c r="ED26" i="99"/>
  <c r="DQ26" i="99"/>
  <c r="DB26" i="99"/>
  <c r="DA26" i="99"/>
  <c r="CZ26" i="99"/>
  <c r="CY26" i="99"/>
  <c r="CX26" i="99"/>
  <c r="CW26" i="99"/>
  <c r="CV26" i="99"/>
  <c r="CU26" i="99"/>
  <c r="CT26" i="99"/>
  <c r="CS26" i="99"/>
  <c r="CR26" i="99"/>
  <c r="CQ26" i="99"/>
  <c r="CM26" i="99"/>
  <c r="CF26" i="99"/>
  <c r="CC26" i="99"/>
  <c r="BZ26" i="99"/>
  <c r="BW26" i="99"/>
  <c r="BT26" i="99"/>
  <c r="BQ26" i="99"/>
  <c r="BN26" i="99"/>
  <c r="BK26" i="99"/>
  <c r="BH26" i="99"/>
  <c r="BE26" i="99"/>
  <c r="BB26" i="99"/>
  <c r="AY26" i="99"/>
  <c r="AV26" i="99"/>
  <c r="AS26" i="99"/>
  <c r="AP26" i="99"/>
  <c r="AK26" i="99"/>
  <c r="AG26" i="99"/>
  <c r="AB26" i="99"/>
  <c r="AA26" i="99"/>
  <c r="X26" i="99"/>
  <c r="W26" i="99"/>
  <c r="T26" i="99"/>
  <c r="S26" i="99"/>
  <c r="P26" i="99"/>
  <c r="O26" i="99"/>
  <c r="RP25" i="99"/>
  <c r="RO25" i="99"/>
  <c r="RN25" i="99"/>
  <c r="RM25" i="99"/>
  <c r="RD25" i="99"/>
  <c r="RC25" i="99"/>
  <c r="RB25" i="99"/>
  <c r="RA25" i="99"/>
  <c r="QZ25" i="99"/>
  <c r="QY25" i="99"/>
  <c r="QW25" i="99"/>
  <c r="QV25" i="99"/>
  <c r="QU25" i="99"/>
  <c r="QT25" i="99"/>
  <c r="QS25" i="99"/>
  <c r="QR25" i="99"/>
  <c r="QM25" i="99"/>
  <c r="QL25" i="99"/>
  <c r="PY25" i="99"/>
  <c r="PX25" i="99"/>
  <c r="PL25" i="99"/>
  <c r="SE25" i="99" s="1"/>
  <c r="OY25" i="99"/>
  <c r="MT25" i="99"/>
  <c r="MB25" i="99"/>
  <c r="LV25" i="99"/>
  <c r="LH25" i="99"/>
  <c r="LG25" i="99"/>
  <c r="LF25" i="99"/>
  <c r="JK25" i="99"/>
  <c r="JE25" i="99"/>
  <c r="GL25" i="99" s="1"/>
  <c r="IP25" i="99"/>
  <c r="GK25" i="99" s="1"/>
  <c r="IA25" i="99"/>
  <c r="HL25" i="99"/>
  <c r="GJ25" i="99" s="1"/>
  <c r="GV25" i="99"/>
  <c r="RV25" i="99" s="1"/>
  <c r="GG25" i="99"/>
  <c r="FC25" i="99" s="1"/>
  <c r="FT25" i="99"/>
  <c r="FB25" i="99" s="1"/>
  <c r="FM25" i="99"/>
  <c r="FA25" i="99" s="1"/>
  <c r="EX25" i="99"/>
  <c r="EQ25" i="99"/>
  <c r="ED25" i="99"/>
  <c r="DQ25" i="99"/>
  <c r="DB25" i="99"/>
  <c r="DA25" i="99"/>
  <c r="CZ25" i="99"/>
  <c r="CY25" i="99"/>
  <c r="CX25" i="99"/>
  <c r="CW25" i="99"/>
  <c r="CV25" i="99"/>
  <c r="CU25" i="99"/>
  <c r="CT25" i="99"/>
  <c r="CS25" i="99"/>
  <c r="CR25" i="99"/>
  <c r="CQ25" i="99"/>
  <c r="CM25" i="99"/>
  <c r="CF25" i="99"/>
  <c r="CC25" i="99"/>
  <c r="BZ25" i="99"/>
  <c r="BW25" i="99"/>
  <c r="BT25" i="99"/>
  <c r="BQ25" i="99"/>
  <c r="BN25" i="99"/>
  <c r="BK25" i="99"/>
  <c r="BH25" i="99"/>
  <c r="BE25" i="99"/>
  <c r="BB25" i="99"/>
  <c r="AY25" i="99"/>
  <c r="AV25" i="99"/>
  <c r="AS25" i="99"/>
  <c r="AP25" i="99"/>
  <c r="AK25" i="99"/>
  <c r="AG25" i="99"/>
  <c r="AB25" i="99"/>
  <c r="AA25" i="99"/>
  <c r="X25" i="99"/>
  <c r="W25" i="99"/>
  <c r="T25" i="99"/>
  <c r="S25" i="99"/>
  <c r="P25" i="99"/>
  <c r="O25" i="99"/>
  <c r="RP24" i="99"/>
  <c r="RO24" i="99"/>
  <c r="RN24" i="99"/>
  <c r="RM24" i="99"/>
  <c r="RD24" i="99"/>
  <c r="RC24" i="99"/>
  <c r="RB24" i="99"/>
  <c r="RA24" i="99"/>
  <c r="QZ24" i="99"/>
  <c r="QY24" i="99"/>
  <c r="QW24" i="99"/>
  <c r="QV24" i="99"/>
  <c r="QU24" i="99"/>
  <c r="QT24" i="99"/>
  <c r="QS24" i="99"/>
  <c r="QR24" i="99"/>
  <c r="QM24" i="99"/>
  <c r="QL24" i="99"/>
  <c r="PY24" i="99"/>
  <c r="PX24" i="99"/>
  <c r="PL24" i="99"/>
  <c r="SE24" i="99" s="1"/>
  <c r="OY24" i="99"/>
  <c r="OH24" i="99"/>
  <c r="OH25" i="99" s="1"/>
  <c r="OH26" i="99" s="1"/>
  <c r="OH27" i="99" s="1"/>
  <c r="OH28" i="99" s="1"/>
  <c r="OH29" i="99" s="1"/>
  <c r="OH30" i="99" s="1"/>
  <c r="OH31" i="99" s="1"/>
  <c r="OH32" i="99" s="1"/>
  <c r="OH33" i="99" s="1"/>
  <c r="OH34" i="99" s="1"/>
  <c r="OH35" i="99" s="1"/>
  <c r="OH36" i="99" s="1"/>
  <c r="OH37" i="99" s="1"/>
  <c r="OH38" i="99" s="1"/>
  <c r="OH39" i="99" s="1"/>
  <c r="OH40" i="99" s="1"/>
  <c r="OH41" i="99" s="1"/>
  <c r="OH42" i="99" s="1"/>
  <c r="OH44" i="99" s="1"/>
  <c r="MT24" i="99"/>
  <c r="MB24" i="99"/>
  <c r="LV24" i="99"/>
  <c r="LH24" i="99"/>
  <c r="LG24" i="99"/>
  <c r="LF24" i="99"/>
  <c r="JK24" i="99"/>
  <c r="JE24" i="99"/>
  <c r="GL24" i="99" s="1"/>
  <c r="IP24" i="99"/>
  <c r="GK24" i="99" s="1"/>
  <c r="IA24" i="99"/>
  <c r="HL24" i="99"/>
  <c r="GJ24" i="99" s="1"/>
  <c r="GV24" i="99"/>
  <c r="RV24" i="99" s="1"/>
  <c r="GG24" i="99"/>
  <c r="FC24" i="99" s="1"/>
  <c r="FT24" i="99"/>
  <c r="FB24" i="99" s="1"/>
  <c r="FM24" i="99"/>
  <c r="FA24" i="99" s="1"/>
  <c r="EX24" i="99"/>
  <c r="EQ24" i="99"/>
  <c r="ED24" i="99"/>
  <c r="DQ24" i="99"/>
  <c r="DB24" i="99"/>
  <c r="DA24" i="99"/>
  <c r="CZ24" i="99"/>
  <c r="CY24" i="99"/>
  <c r="CX24" i="99"/>
  <c r="CW24" i="99"/>
  <c r="CV24" i="99"/>
  <c r="CU24" i="99"/>
  <c r="CT24" i="99"/>
  <c r="CS24" i="99"/>
  <c r="CR24" i="99"/>
  <c r="CQ24" i="99"/>
  <c r="CM24" i="99"/>
  <c r="CF24" i="99"/>
  <c r="CC24" i="99"/>
  <c r="BZ24" i="99"/>
  <c r="BW24" i="99"/>
  <c r="BT24" i="99"/>
  <c r="BQ24" i="99"/>
  <c r="BN24" i="99"/>
  <c r="BK24" i="99"/>
  <c r="BH24" i="99"/>
  <c r="BE24" i="99"/>
  <c r="BB24" i="99"/>
  <c r="AY24" i="99"/>
  <c r="AV24" i="99"/>
  <c r="AS24" i="99"/>
  <c r="AP24" i="99"/>
  <c r="AK24" i="99"/>
  <c r="AG24" i="99"/>
  <c r="AB24" i="99"/>
  <c r="AA24" i="99"/>
  <c r="X24" i="99"/>
  <c r="W24" i="99"/>
  <c r="T24" i="99"/>
  <c r="S24" i="99"/>
  <c r="P24" i="99"/>
  <c r="O24" i="99"/>
  <c r="RP23" i="99"/>
  <c r="RO23" i="99"/>
  <c r="RN23" i="99"/>
  <c r="RM23" i="99"/>
  <c r="RD23" i="99"/>
  <c r="RC23" i="99"/>
  <c r="RB23" i="99"/>
  <c r="RA23" i="99"/>
  <c r="QZ23" i="99"/>
  <c r="QY23" i="99"/>
  <c r="QW23" i="99"/>
  <c r="QV23" i="99"/>
  <c r="QU23" i="99"/>
  <c r="QT23" i="99"/>
  <c r="QS23" i="99"/>
  <c r="QR23" i="99"/>
  <c r="QM23" i="99"/>
  <c r="QL23" i="99"/>
  <c r="PY23" i="99"/>
  <c r="PX23" i="99"/>
  <c r="PL23" i="99"/>
  <c r="SE23" i="99" s="1"/>
  <c r="OY23" i="99"/>
  <c r="MT23" i="99"/>
  <c r="MB23" i="99"/>
  <c r="LV23" i="99"/>
  <c r="LH23" i="99"/>
  <c r="LG23" i="99"/>
  <c r="LF23" i="99"/>
  <c r="JK23" i="99"/>
  <c r="JE23" i="99"/>
  <c r="GL23" i="99" s="1"/>
  <c r="IP23" i="99"/>
  <c r="GK23" i="99" s="1"/>
  <c r="IA23" i="99"/>
  <c r="HL23" i="99"/>
  <c r="GJ23" i="99" s="1"/>
  <c r="GV23" i="99"/>
  <c r="RV23" i="99" s="1"/>
  <c r="GG23" i="99"/>
  <c r="FC23" i="99" s="1"/>
  <c r="FT23" i="99"/>
  <c r="FB23" i="99" s="1"/>
  <c r="FM23" i="99"/>
  <c r="FA23" i="99" s="1"/>
  <c r="EX23" i="99"/>
  <c r="EQ23" i="99"/>
  <c r="ED23" i="99"/>
  <c r="DQ23" i="99"/>
  <c r="DB23" i="99"/>
  <c r="DA23" i="99"/>
  <c r="CZ23" i="99"/>
  <c r="CY23" i="99"/>
  <c r="CX23" i="99"/>
  <c r="CW23" i="99"/>
  <c r="CV23" i="99"/>
  <c r="CU23" i="99"/>
  <c r="CT23" i="99"/>
  <c r="CS23" i="99"/>
  <c r="CR23" i="99"/>
  <c r="CQ23" i="99"/>
  <c r="CM23" i="99"/>
  <c r="CF23" i="99"/>
  <c r="CC23" i="99"/>
  <c r="BZ23" i="99"/>
  <c r="BW23" i="99"/>
  <c r="BT23" i="99"/>
  <c r="BQ23" i="99"/>
  <c r="BN23" i="99"/>
  <c r="BK23" i="99"/>
  <c r="BH23" i="99"/>
  <c r="BE23" i="99"/>
  <c r="BB23" i="99"/>
  <c r="AY23" i="99"/>
  <c r="AV23" i="99"/>
  <c r="AS23" i="99"/>
  <c r="AP23" i="99"/>
  <c r="AK23" i="99"/>
  <c r="AG23" i="99"/>
  <c r="AB23" i="99"/>
  <c r="AA23" i="99"/>
  <c r="X23" i="99"/>
  <c r="W23" i="99"/>
  <c r="T23" i="99"/>
  <c r="S23" i="99"/>
  <c r="P23" i="99"/>
  <c r="O23" i="99"/>
  <c r="RP22" i="99"/>
  <c r="RO22" i="99"/>
  <c r="RN22" i="99"/>
  <c r="RM22" i="99"/>
  <c r="RD22" i="99"/>
  <c r="RC22" i="99"/>
  <c r="RB22" i="99"/>
  <c r="RA22" i="99"/>
  <c r="QZ22" i="99"/>
  <c r="QY22" i="99"/>
  <c r="QW22" i="99"/>
  <c r="QV22" i="99"/>
  <c r="QU22" i="99"/>
  <c r="QT22" i="99"/>
  <c r="QS22" i="99"/>
  <c r="QR22" i="99"/>
  <c r="QM22" i="99"/>
  <c r="QL22" i="99"/>
  <c r="PY22" i="99"/>
  <c r="PX22" i="99"/>
  <c r="PL22" i="99"/>
  <c r="SE22" i="99" s="1"/>
  <c r="OY22" i="99"/>
  <c r="MT22" i="99"/>
  <c r="MB22" i="99"/>
  <c r="LV22" i="99"/>
  <c r="LH22" i="99"/>
  <c r="LG22" i="99"/>
  <c r="LF22" i="99"/>
  <c r="JK22" i="99"/>
  <c r="JE22" i="99"/>
  <c r="GL22" i="99" s="1"/>
  <c r="IP22" i="99"/>
  <c r="GK22" i="99" s="1"/>
  <c r="IA22" i="99"/>
  <c r="HL22" i="99"/>
  <c r="GJ22" i="99" s="1"/>
  <c r="GV22" i="99"/>
  <c r="RV22" i="99" s="1"/>
  <c r="GG22" i="99"/>
  <c r="FC22" i="99" s="1"/>
  <c r="FT22" i="99"/>
  <c r="FB22" i="99" s="1"/>
  <c r="FM22" i="99"/>
  <c r="FA22" i="99" s="1"/>
  <c r="EX22" i="99"/>
  <c r="EQ22" i="99"/>
  <c r="ED22" i="99"/>
  <c r="DQ22" i="99"/>
  <c r="DB22" i="99"/>
  <c r="DA22" i="99"/>
  <c r="CZ22" i="99"/>
  <c r="CY22" i="99"/>
  <c r="CX22" i="99"/>
  <c r="CW22" i="99"/>
  <c r="CV22" i="99"/>
  <c r="CU22" i="99"/>
  <c r="CT22" i="99"/>
  <c r="CS22" i="99"/>
  <c r="CR22" i="99"/>
  <c r="CQ22" i="99"/>
  <c r="CM22" i="99"/>
  <c r="CF22" i="99"/>
  <c r="CC22" i="99"/>
  <c r="BZ22" i="99"/>
  <c r="BW22" i="99"/>
  <c r="BT22" i="99"/>
  <c r="BQ22" i="99"/>
  <c r="BN22" i="99"/>
  <c r="BK22" i="99"/>
  <c r="BH22" i="99"/>
  <c r="BE22" i="99"/>
  <c r="BB22" i="99"/>
  <c r="AY22" i="99"/>
  <c r="AV22" i="99"/>
  <c r="AS22" i="99"/>
  <c r="AP22" i="99"/>
  <c r="AK22" i="99"/>
  <c r="AG22" i="99"/>
  <c r="AB22" i="99"/>
  <c r="AA22" i="99"/>
  <c r="X22" i="99"/>
  <c r="W22" i="99"/>
  <c r="T22" i="99"/>
  <c r="S22" i="99"/>
  <c r="P22" i="99"/>
  <c r="O22" i="99"/>
  <c r="RP21" i="99"/>
  <c r="RO21" i="99"/>
  <c r="RN21" i="99"/>
  <c r="RM21" i="99"/>
  <c r="RD21" i="99"/>
  <c r="RC21" i="99"/>
  <c r="RB21" i="99"/>
  <c r="RA21" i="99"/>
  <c r="QZ21" i="99"/>
  <c r="QY21" i="99"/>
  <c r="QW21" i="99"/>
  <c r="QV21" i="99"/>
  <c r="QU21" i="99"/>
  <c r="QT21" i="99"/>
  <c r="QS21" i="99"/>
  <c r="QR21" i="99"/>
  <c r="QM21" i="99"/>
  <c r="QL21" i="99"/>
  <c r="PY21" i="99"/>
  <c r="PX21" i="99"/>
  <c r="PL21" i="99"/>
  <c r="SE21" i="99" s="1"/>
  <c r="OY21" i="99"/>
  <c r="OH21" i="99"/>
  <c r="MT21" i="99"/>
  <c r="MB21" i="99"/>
  <c r="LV21" i="99"/>
  <c r="LH21" i="99"/>
  <c r="LG21" i="99"/>
  <c r="LF21" i="99"/>
  <c r="JK21" i="99"/>
  <c r="JE21" i="99"/>
  <c r="GL21" i="99" s="1"/>
  <c r="IP21" i="99"/>
  <c r="GK21" i="99" s="1"/>
  <c r="IA21" i="99"/>
  <c r="HL21" i="99"/>
  <c r="GJ21" i="99" s="1"/>
  <c r="GV21" i="99"/>
  <c r="RV21" i="99" s="1"/>
  <c r="GG21" i="99"/>
  <c r="FC21" i="99" s="1"/>
  <c r="FT21" i="99"/>
  <c r="FB21" i="99" s="1"/>
  <c r="FM21" i="99"/>
  <c r="FA21" i="99" s="1"/>
  <c r="EX21" i="99"/>
  <c r="EQ21" i="99"/>
  <c r="ED21" i="99"/>
  <c r="DQ21" i="99"/>
  <c r="DB21" i="99"/>
  <c r="DA21" i="99"/>
  <c r="CZ21" i="99"/>
  <c r="CY21" i="99"/>
  <c r="CX21" i="99"/>
  <c r="CW21" i="99"/>
  <c r="CV21" i="99"/>
  <c r="CU21" i="99"/>
  <c r="CT21" i="99"/>
  <c r="CS21" i="99"/>
  <c r="CR21" i="99"/>
  <c r="CQ21" i="99"/>
  <c r="CM21" i="99"/>
  <c r="CF21" i="99"/>
  <c r="CC21" i="99"/>
  <c r="BZ21" i="99"/>
  <c r="BW21" i="99"/>
  <c r="BT21" i="99"/>
  <c r="BQ21" i="99"/>
  <c r="BN21" i="99"/>
  <c r="BK21" i="99"/>
  <c r="BH21" i="99"/>
  <c r="BE21" i="99"/>
  <c r="BB21" i="99"/>
  <c r="AY21" i="99"/>
  <c r="AV21" i="99"/>
  <c r="AS21" i="99"/>
  <c r="AP21" i="99"/>
  <c r="AK21" i="99"/>
  <c r="AG21" i="99"/>
  <c r="AB21" i="99"/>
  <c r="AA21" i="99"/>
  <c r="X21" i="99"/>
  <c r="W21" i="99"/>
  <c r="T21" i="99"/>
  <c r="S21" i="99"/>
  <c r="P21" i="99"/>
  <c r="O21" i="99"/>
  <c r="RP20" i="99"/>
  <c r="RO20" i="99"/>
  <c r="RN20" i="99"/>
  <c r="RM20" i="99"/>
  <c r="RD20" i="99"/>
  <c r="RC20" i="99"/>
  <c r="RB20" i="99"/>
  <c r="RA20" i="99"/>
  <c r="QZ20" i="99"/>
  <c r="QY20" i="99"/>
  <c r="QW20" i="99"/>
  <c r="QV20" i="99"/>
  <c r="QU20" i="99"/>
  <c r="QT20" i="99"/>
  <c r="QS20" i="99"/>
  <c r="QR20" i="99"/>
  <c r="QM20" i="99"/>
  <c r="QL20" i="99"/>
  <c r="PY20" i="99"/>
  <c r="PX20" i="99"/>
  <c r="PL20" i="99"/>
  <c r="SE20" i="99" s="1"/>
  <c r="OY20" i="99"/>
  <c r="MT20" i="99"/>
  <c r="MB20" i="99"/>
  <c r="LV20" i="99"/>
  <c r="LH20" i="99"/>
  <c r="LG20" i="99"/>
  <c r="LF20" i="99"/>
  <c r="JK20" i="99"/>
  <c r="JE20" i="99"/>
  <c r="GL20" i="99" s="1"/>
  <c r="IP20" i="99"/>
  <c r="GK20" i="99" s="1"/>
  <c r="IA20" i="99"/>
  <c r="HL20" i="99"/>
  <c r="GJ20" i="99" s="1"/>
  <c r="GV20" i="99"/>
  <c r="RV20" i="99" s="1"/>
  <c r="GG20" i="99"/>
  <c r="FC20" i="99" s="1"/>
  <c r="FT20" i="99"/>
  <c r="FB20" i="99" s="1"/>
  <c r="FM20" i="99"/>
  <c r="FA20" i="99" s="1"/>
  <c r="EX20" i="99"/>
  <c r="EQ20" i="99"/>
  <c r="ED20" i="99"/>
  <c r="DQ20" i="99"/>
  <c r="DB20" i="99"/>
  <c r="DA20" i="99"/>
  <c r="CZ20" i="99"/>
  <c r="CY20" i="99"/>
  <c r="CX20" i="99"/>
  <c r="CW20" i="99"/>
  <c r="CV20" i="99"/>
  <c r="CU20" i="99"/>
  <c r="CT20" i="99"/>
  <c r="CS20" i="99"/>
  <c r="CR20" i="99"/>
  <c r="CQ20" i="99"/>
  <c r="CM20" i="99"/>
  <c r="CF20" i="99"/>
  <c r="CC20" i="99"/>
  <c r="BZ20" i="99"/>
  <c r="BW20" i="99"/>
  <c r="BT20" i="99"/>
  <c r="BQ20" i="99"/>
  <c r="BN20" i="99"/>
  <c r="BK20" i="99"/>
  <c r="BH20" i="99"/>
  <c r="BE20" i="99"/>
  <c r="BB20" i="99"/>
  <c r="AY20" i="99"/>
  <c r="AV20" i="99"/>
  <c r="AS20" i="99"/>
  <c r="AP20" i="99"/>
  <c r="AK20" i="99"/>
  <c r="AG20" i="99"/>
  <c r="AB20" i="99"/>
  <c r="AA20" i="99"/>
  <c r="X20" i="99"/>
  <c r="W20" i="99"/>
  <c r="T20" i="99"/>
  <c r="S20" i="99"/>
  <c r="P20" i="99"/>
  <c r="O20" i="99"/>
  <c r="RP19" i="99"/>
  <c r="RO19" i="99"/>
  <c r="RN19" i="99"/>
  <c r="RM19" i="99"/>
  <c r="RD19" i="99"/>
  <c r="RC19" i="99"/>
  <c r="RB19" i="99"/>
  <c r="RA19" i="99"/>
  <c r="QZ19" i="99"/>
  <c r="QY19" i="99"/>
  <c r="QW19" i="99"/>
  <c r="QV19" i="99"/>
  <c r="QU19" i="99"/>
  <c r="QT19" i="99"/>
  <c r="QS19" i="99"/>
  <c r="QR19" i="99"/>
  <c r="QM19" i="99"/>
  <c r="QL19" i="99"/>
  <c r="PY19" i="99"/>
  <c r="PX19" i="99"/>
  <c r="PL19" i="99"/>
  <c r="SE19" i="99" s="1"/>
  <c r="OY19" i="99"/>
  <c r="MT19" i="99"/>
  <c r="MB19" i="99"/>
  <c r="LV19" i="99"/>
  <c r="LH19" i="99"/>
  <c r="RJ19" i="99" s="1"/>
  <c r="LG19" i="99"/>
  <c r="RI19" i="99" s="1"/>
  <c r="LF19" i="99"/>
  <c r="JK19" i="99"/>
  <c r="JE19" i="99"/>
  <c r="GL19" i="99" s="1"/>
  <c r="IP19" i="99"/>
  <c r="GK19" i="99" s="1"/>
  <c r="IA19" i="99"/>
  <c r="HL19" i="99"/>
  <c r="GJ19" i="99" s="1"/>
  <c r="GV19" i="99"/>
  <c r="RV19" i="99" s="1"/>
  <c r="GG19" i="99"/>
  <c r="FC19" i="99" s="1"/>
  <c r="FT19" i="99"/>
  <c r="FB19" i="99" s="1"/>
  <c r="FM19" i="99"/>
  <c r="FA19" i="99" s="1"/>
  <c r="EX19" i="99"/>
  <c r="EQ19" i="99"/>
  <c r="ED19" i="99"/>
  <c r="DQ19" i="99"/>
  <c r="DB19" i="99"/>
  <c r="DA19" i="99"/>
  <c r="CZ19" i="99"/>
  <c r="CY19" i="99"/>
  <c r="CX19" i="99"/>
  <c r="CW19" i="99"/>
  <c r="CV19" i="99"/>
  <c r="CU19" i="99"/>
  <c r="CT19" i="99"/>
  <c r="CS19" i="99"/>
  <c r="CR19" i="99"/>
  <c r="CQ19" i="99"/>
  <c r="CM19" i="99"/>
  <c r="CF19" i="99"/>
  <c r="CC19" i="99"/>
  <c r="BZ19" i="99"/>
  <c r="BW19" i="99"/>
  <c r="BT19" i="99"/>
  <c r="BQ19" i="99"/>
  <c r="BN19" i="99"/>
  <c r="BK19" i="99"/>
  <c r="BH19" i="99"/>
  <c r="BE19" i="99"/>
  <c r="BB19" i="99"/>
  <c r="AY19" i="99"/>
  <c r="AV19" i="99"/>
  <c r="AS19" i="99"/>
  <c r="AP19" i="99"/>
  <c r="AK19" i="99"/>
  <c r="AG19" i="99"/>
  <c r="AB19" i="99"/>
  <c r="AA19" i="99"/>
  <c r="X19" i="99"/>
  <c r="W19" i="99"/>
  <c r="T19" i="99"/>
  <c r="S19" i="99"/>
  <c r="P19" i="99"/>
  <c r="O19" i="99"/>
  <c r="RP18" i="99"/>
  <c r="RO18" i="99"/>
  <c r="RN18" i="99"/>
  <c r="RM18" i="99"/>
  <c r="RK18" i="99"/>
  <c r="RD18" i="99"/>
  <c r="RC18" i="99"/>
  <c r="RB18" i="99"/>
  <c r="RA18" i="99"/>
  <c r="QZ18" i="99"/>
  <c r="QY18" i="99"/>
  <c r="QW18" i="99"/>
  <c r="QV18" i="99"/>
  <c r="QU18" i="99"/>
  <c r="QT18" i="99"/>
  <c r="QS18" i="99"/>
  <c r="QR18" i="99"/>
  <c r="QM18" i="99"/>
  <c r="QL18" i="99"/>
  <c r="PY18" i="99"/>
  <c r="PX18" i="99"/>
  <c r="PL18" i="99"/>
  <c r="SE18" i="99" s="1"/>
  <c r="OY18" i="99"/>
  <c r="MT18" i="99"/>
  <c r="MB18" i="99"/>
  <c r="LV18" i="99"/>
  <c r="LH18" i="99"/>
  <c r="LG18" i="99"/>
  <c r="LF18" i="99"/>
  <c r="JK18" i="99"/>
  <c r="JE18" i="99"/>
  <c r="GL18" i="99" s="1"/>
  <c r="IP18" i="99"/>
  <c r="GK18" i="99" s="1"/>
  <c r="IA18" i="99"/>
  <c r="HL18" i="99"/>
  <c r="GJ18" i="99" s="1"/>
  <c r="GV18" i="99"/>
  <c r="RV18" i="99" s="1"/>
  <c r="GG18" i="99"/>
  <c r="FC18" i="99" s="1"/>
  <c r="FT18" i="99"/>
  <c r="FB18" i="99" s="1"/>
  <c r="FM18" i="99"/>
  <c r="FA18" i="99" s="1"/>
  <c r="EX18" i="99"/>
  <c r="EQ18" i="99"/>
  <c r="ED18" i="99"/>
  <c r="DQ18" i="99"/>
  <c r="DB18" i="99"/>
  <c r="DA18" i="99"/>
  <c r="CZ18" i="99"/>
  <c r="CY18" i="99"/>
  <c r="CX18" i="99"/>
  <c r="CW18" i="99"/>
  <c r="CV18" i="99"/>
  <c r="CU18" i="99"/>
  <c r="CT18" i="99"/>
  <c r="CS18" i="99"/>
  <c r="CR18" i="99"/>
  <c r="CQ18" i="99"/>
  <c r="CM18" i="99"/>
  <c r="CF18" i="99"/>
  <c r="CC18" i="99"/>
  <c r="BZ18" i="99"/>
  <c r="BW18" i="99"/>
  <c r="BT18" i="99"/>
  <c r="BQ18" i="99"/>
  <c r="BN18" i="99"/>
  <c r="BK18" i="99"/>
  <c r="BH18" i="99"/>
  <c r="BE18" i="99"/>
  <c r="BB18" i="99"/>
  <c r="AY18" i="99"/>
  <c r="AV18" i="99"/>
  <c r="AS18" i="99"/>
  <c r="AP18" i="99"/>
  <c r="AK18" i="99"/>
  <c r="AG18" i="99"/>
  <c r="AB18" i="99"/>
  <c r="AA18" i="99"/>
  <c r="X18" i="99"/>
  <c r="W18" i="99"/>
  <c r="T18" i="99"/>
  <c r="S18" i="99"/>
  <c r="P18" i="99"/>
  <c r="O18" i="99"/>
  <c r="RP17" i="99"/>
  <c r="RO17" i="99"/>
  <c r="RN17" i="99"/>
  <c r="RM17" i="99"/>
  <c r="RD17" i="99"/>
  <c r="RC17" i="99"/>
  <c r="RB17" i="99"/>
  <c r="RA17" i="99"/>
  <c r="QZ17" i="99"/>
  <c r="QY17" i="99"/>
  <c r="QW17" i="99"/>
  <c r="QV17" i="99"/>
  <c r="QU17" i="99"/>
  <c r="QT17" i="99"/>
  <c r="QS17" i="99"/>
  <c r="QR17" i="99"/>
  <c r="QM17" i="99"/>
  <c r="QL17" i="99"/>
  <c r="PY17" i="99"/>
  <c r="PX17" i="99"/>
  <c r="PL17" i="99"/>
  <c r="SE17" i="99" s="1"/>
  <c r="OY17" i="99"/>
  <c r="OL17" i="99"/>
  <c r="OL18" i="99" s="1"/>
  <c r="OL19" i="99" s="1"/>
  <c r="OL20" i="99" s="1"/>
  <c r="OL21" i="99" s="1"/>
  <c r="OL22" i="99" s="1"/>
  <c r="OL23" i="99" s="1"/>
  <c r="OL24" i="99" s="1"/>
  <c r="OL25" i="99" s="1"/>
  <c r="OL26" i="99" s="1"/>
  <c r="OL27" i="99" s="1"/>
  <c r="OL28" i="99" s="1"/>
  <c r="OL29" i="99" s="1"/>
  <c r="OL30" i="99" s="1"/>
  <c r="OL31" i="99" s="1"/>
  <c r="OL32" i="99" s="1"/>
  <c r="OL33" i="99" s="1"/>
  <c r="OL34" i="99" s="1"/>
  <c r="OL35" i="99" s="1"/>
  <c r="OL36" i="99" s="1"/>
  <c r="OL37" i="99" s="1"/>
  <c r="OL38" i="99" s="1"/>
  <c r="OL39" i="99" s="1"/>
  <c r="OL40" i="99" s="1"/>
  <c r="OL41" i="99" s="1"/>
  <c r="MT17" i="99"/>
  <c r="MB17" i="99"/>
  <c r="LV17" i="99"/>
  <c r="LH17" i="99"/>
  <c r="LG17" i="99"/>
  <c r="LF17" i="99"/>
  <c r="JK17" i="99"/>
  <c r="JE17" i="99"/>
  <c r="GL17" i="99" s="1"/>
  <c r="IP17" i="99"/>
  <c r="GK17" i="99" s="1"/>
  <c r="IA17" i="99"/>
  <c r="HL17" i="99"/>
  <c r="GJ17" i="99" s="1"/>
  <c r="GV17" i="99"/>
  <c r="RV17" i="99" s="1"/>
  <c r="GG17" i="99"/>
  <c r="FC17" i="99" s="1"/>
  <c r="FT17" i="99"/>
  <c r="FB17" i="99" s="1"/>
  <c r="FM17" i="99"/>
  <c r="FA17" i="99" s="1"/>
  <c r="EX17" i="99"/>
  <c r="EQ17" i="99"/>
  <c r="ED17" i="99"/>
  <c r="DQ17" i="99"/>
  <c r="DB17" i="99"/>
  <c r="DA17" i="99"/>
  <c r="CZ17" i="99"/>
  <c r="CY17" i="99"/>
  <c r="CX17" i="99"/>
  <c r="CW17" i="99"/>
  <c r="CV17" i="99"/>
  <c r="CU17" i="99"/>
  <c r="CT17" i="99"/>
  <c r="CS17" i="99"/>
  <c r="CR17" i="99"/>
  <c r="CQ17" i="99"/>
  <c r="CM17" i="99"/>
  <c r="CF17" i="99"/>
  <c r="CC17" i="99"/>
  <c r="BZ17" i="99"/>
  <c r="BW17" i="99"/>
  <c r="BT17" i="99"/>
  <c r="BQ17" i="99"/>
  <c r="BN17" i="99"/>
  <c r="BK17" i="99"/>
  <c r="BH17" i="99"/>
  <c r="BE17" i="99"/>
  <c r="BB17" i="99"/>
  <c r="AY17" i="99"/>
  <c r="AV17" i="99"/>
  <c r="AS17" i="99"/>
  <c r="AP17" i="99"/>
  <c r="AK17" i="99"/>
  <c r="AG17" i="99"/>
  <c r="AB17" i="99"/>
  <c r="AA17" i="99"/>
  <c r="X17" i="99"/>
  <c r="W17" i="99"/>
  <c r="T17" i="99"/>
  <c r="S17" i="99"/>
  <c r="P17" i="99"/>
  <c r="O17" i="99"/>
  <c r="RP16" i="99"/>
  <c r="RO16" i="99"/>
  <c r="RN16" i="99"/>
  <c r="RM16" i="99"/>
  <c r="RD16" i="99"/>
  <c r="RC16" i="99"/>
  <c r="RB16" i="99"/>
  <c r="RA16" i="99"/>
  <c r="QZ16" i="99"/>
  <c r="QY16" i="99"/>
  <c r="QW16" i="99"/>
  <c r="QV16" i="99"/>
  <c r="QU16" i="99"/>
  <c r="QT16" i="99"/>
  <c r="QS16" i="99"/>
  <c r="QR16" i="99"/>
  <c r="QM16" i="99"/>
  <c r="QL16" i="99"/>
  <c r="PY16" i="99"/>
  <c r="PX16" i="99"/>
  <c r="PL16" i="99"/>
  <c r="SE16" i="99" s="1"/>
  <c r="OY16" i="99"/>
  <c r="MT16" i="99"/>
  <c r="MB16" i="99"/>
  <c r="LV16" i="99"/>
  <c r="LH16" i="99"/>
  <c r="LG16" i="99"/>
  <c r="LF16" i="99"/>
  <c r="JK16" i="99"/>
  <c r="JE16" i="99"/>
  <c r="GL16" i="99" s="1"/>
  <c r="IP16" i="99"/>
  <c r="GK16" i="99" s="1"/>
  <c r="IA16" i="99"/>
  <c r="HL16" i="99"/>
  <c r="GJ16" i="99" s="1"/>
  <c r="GV16" i="99"/>
  <c r="RV16" i="99" s="1"/>
  <c r="GG16" i="99"/>
  <c r="FC16" i="99" s="1"/>
  <c r="FT16" i="99"/>
  <c r="FB16" i="99" s="1"/>
  <c r="FM16" i="99"/>
  <c r="FA16" i="99" s="1"/>
  <c r="EX16" i="99"/>
  <c r="EQ16" i="99"/>
  <c r="ED16" i="99"/>
  <c r="DQ16" i="99"/>
  <c r="DB16" i="99"/>
  <c r="DA16" i="99"/>
  <c r="CZ16" i="99"/>
  <c r="CY16" i="99"/>
  <c r="CX16" i="99"/>
  <c r="CW16" i="99"/>
  <c r="CV16" i="99"/>
  <c r="CU16" i="99"/>
  <c r="CT16" i="99"/>
  <c r="CS16" i="99"/>
  <c r="CR16" i="99"/>
  <c r="CQ16" i="99"/>
  <c r="CM16" i="99"/>
  <c r="CF16" i="99"/>
  <c r="CC16" i="99"/>
  <c r="BZ16" i="99"/>
  <c r="BW16" i="99"/>
  <c r="BT16" i="99"/>
  <c r="BQ16" i="99"/>
  <c r="BN16" i="99"/>
  <c r="BK16" i="99"/>
  <c r="BH16" i="99"/>
  <c r="BE16" i="99"/>
  <c r="BB16" i="99"/>
  <c r="AY16" i="99"/>
  <c r="AV16" i="99"/>
  <c r="AS16" i="99"/>
  <c r="AP16" i="99"/>
  <c r="AK16" i="99"/>
  <c r="AG16" i="99"/>
  <c r="AB16" i="99"/>
  <c r="AA16" i="99"/>
  <c r="X16" i="99"/>
  <c r="W16" i="99"/>
  <c r="T16" i="99"/>
  <c r="S16" i="99"/>
  <c r="P16" i="99"/>
  <c r="O16" i="99"/>
  <c r="RP15" i="99"/>
  <c r="RO15" i="99"/>
  <c r="RN15" i="99"/>
  <c r="RM15" i="99"/>
  <c r="RD15" i="99"/>
  <c r="RC15" i="99"/>
  <c r="RB15" i="99"/>
  <c r="RA15" i="99"/>
  <c r="QZ15" i="99"/>
  <c r="QY15" i="99"/>
  <c r="QW15" i="99"/>
  <c r="QV15" i="99"/>
  <c r="QU15" i="99"/>
  <c r="QT15" i="99"/>
  <c r="QS15" i="99"/>
  <c r="QR15" i="99"/>
  <c r="QM15" i="99"/>
  <c r="QL15" i="99"/>
  <c r="PY15" i="99"/>
  <c r="PX15" i="99"/>
  <c r="PL15" i="99"/>
  <c r="SE15" i="99" s="1"/>
  <c r="OY15" i="99"/>
  <c r="MT15" i="99"/>
  <c r="MB15" i="99"/>
  <c r="LV15" i="99"/>
  <c r="LH15" i="99"/>
  <c r="LG15" i="99"/>
  <c r="LF15" i="99"/>
  <c r="JK15" i="99"/>
  <c r="JE15" i="99"/>
  <c r="GL15" i="99" s="1"/>
  <c r="IP15" i="99"/>
  <c r="GK15" i="99" s="1"/>
  <c r="IA15" i="99"/>
  <c r="HL15" i="99"/>
  <c r="GJ15" i="99" s="1"/>
  <c r="GV15" i="99"/>
  <c r="RV15" i="99" s="1"/>
  <c r="GG15" i="99"/>
  <c r="FC15" i="99" s="1"/>
  <c r="FT15" i="99"/>
  <c r="FB15" i="99" s="1"/>
  <c r="FM15" i="99"/>
  <c r="FA15" i="99" s="1"/>
  <c r="EX15" i="99"/>
  <c r="EQ15" i="99"/>
  <c r="ED15" i="99"/>
  <c r="DQ15" i="99"/>
  <c r="DB15" i="99"/>
  <c r="DA15" i="99"/>
  <c r="CZ15" i="99"/>
  <c r="CY15" i="99"/>
  <c r="CX15" i="99"/>
  <c r="CW15" i="99"/>
  <c r="CV15" i="99"/>
  <c r="CU15" i="99"/>
  <c r="CT15" i="99"/>
  <c r="CS15" i="99"/>
  <c r="CR15" i="99"/>
  <c r="CQ15" i="99"/>
  <c r="CM15" i="99"/>
  <c r="CF15" i="99"/>
  <c r="CC15" i="99"/>
  <c r="BZ15" i="99"/>
  <c r="BW15" i="99"/>
  <c r="BT15" i="99"/>
  <c r="BQ15" i="99"/>
  <c r="BN15" i="99"/>
  <c r="BK15" i="99"/>
  <c r="BH15" i="99"/>
  <c r="BE15" i="99"/>
  <c r="BB15" i="99"/>
  <c r="AY15" i="99"/>
  <c r="AV15" i="99"/>
  <c r="AS15" i="99"/>
  <c r="AP15" i="99"/>
  <c r="AK15" i="99"/>
  <c r="AG15" i="99"/>
  <c r="AB15" i="99"/>
  <c r="AA15" i="99"/>
  <c r="X15" i="99"/>
  <c r="W15" i="99"/>
  <c r="T15" i="99"/>
  <c r="S15" i="99"/>
  <c r="P15" i="99"/>
  <c r="O15" i="99"/>
  <c r="RP14" i="99"/>
  <c r="RO14" i="99"/>
  <c r="RN14" i="99"/>
  <c r="RM14" i="99"/>
  <c r="RD14" i="99"/>
  <c r="RC14" i="99"/>
  <c r="RB14" i="99"/>
  <c r="RA14" i="99"/>
  <c r="QZ14" i="99"/>
  <c r="QY14" i="99"/>
  <c r="QW14" i="99"/>
  <c r="QV14" i="99"/>
  <c r="QU14" i="99"/>
  <c r="QT14" i="99"/>
  <c r="QS14" i="99"/>
  <c r="QR14" i="99"/>
  <c r="QM14" i="99"/>
  <c r="QL14" i="99"/>
  <c r="PY14" i="99"/>
  <c r="PX14" i="99"/>
  <c r="PL14" i="99"/>
  <c r="SE14" i="99" s="1"/>
  <c r="OY14" i="99"/>
  <c r="MT14" i="99"/>
  <c r="MB14" i="99"/>
  <c r="LV14" i="99"/>
  <c r="LH14" i="99"/>
  <c r="LG14" i="99"/>
  <c r="LF14" i="99"/>
  <c r="JK14" i="99"/>
  <c r="JE14" i="99"/>
  <c r="GL14" i="99" s="1"/>
  <c r="IP14" i="99"/>
  <c r="GK14" i="99" s="1"/>
  <c r="IA14" i="99"/>
  <c r="HL14" i="99"/>
  <c r="GJ14" i="99" s="1"/>
  <c r="GV14" i="99"/>
  <c r="RV14" i="99" s="1"/>
  <c r="GG14" i="99"/>
  <c r="FC14" i="99" s="1"/>
  <c r="FT14" i="99"/>
  <c r="FB14" i="99" s="1"/>
  <c r="FM14" i="99"/>
  <c r="FA14" i="99" s="1"/>
  <c r="EX14" i="99"/>
  <c r="EQ14" i="99"/>
  <c r="ED14" i="99"/>
  <c r="DQ14" i="99"/>
  <c r="DB14" i="99"/>
  <c r="DA14" i="99"/>
  <c r="CZ14" i="99"/>
  <c r="CY14" i="99"/>
  <c r="CX14" i="99"/>
  <c r="CW14" i="99"/>
  <c r="CV14" i="99"/>
  <c r="CU14" i="99"/>
  <c r="CT14" i="99"/>
  <c r="CS14" i="99"/>
  <c r="CR14" i="99"/>
  <c r="CQ14" i="99"/>
  <c r="CM14" i="99"/>
  <c r="CF14" i="99"/>
  <c r="CC14" i="99"/>
  <c r="BZ14" i="99"/>
  <c r="BW14" i="99"/>
  <c r="BT14" i="99"/>
  <c r="BQ14" i="99"/>
  <c r="BN14" i="99"/>
  <c r="BK14" i="99"/>
  <c r="BH14" i="99"/>
  <c r="BE14" i="99"/>
  <c r="BB14" i="99"/>
  <c r="AY14" i="99"/>
  <c r="AV14" i="99"/>
  <c r="AS14" i="99"/>
  <c r="AP14" i="99"/>
  <c r="AK14" i="99"/>
  <c r="AG14" i="99"/>
  <c r="AB14" i="99"/>
  <c r="AA14" i="99"/>
  <c r="X14" i="99"/>
  <c r="W14" i="99"/>
  <c r="T14" i="99"/>
  <c r="S14" i="99"/>
  <c r="P14" i="99"/>
  <c r="O14" i="99"/>
  <c r="RP13" i="99"/>
  <c r="RO13" i="99"/>
  <c r="RN13" i="99"/>
  <c r="RM13" i="99"/>
  <c r="RD13" i="99"/>
  <c r="RC13" i="99"/>
  <c r="RB13" i="99"/>
  <c r="RA13" i="99"/>
  <c r="QZ13" i="99"/>
  <c r="QY13" i="99"/>
  <c r="QW13" i="99"/>
  <c r="QV13" i="99"/>
  <c r="QU13" i="99"/>
  <c r="QT13" i="99"/>
  <c r="QS13" i="99"/>
  <c r="QR13" i="99"/>
  <c r="QM13" i="99"/>
  <c r="QL13" i="99"/>
  <c r="PY13" i="99"/>
  <c r="PX13" i="99"/>
  <c r="PL13" i="99"/>
  <c r="SE13" i="99" s="1"/>
  <c r="OY13" i="99"/>
  <c r="MT13" i="99"/>
  <c r="MB13" i="99"/>
  <c r="LV13" i="99"/>
  <c r="LH13" i="99"/>
  <c r="LG13" i="99"/>
  <c r="LF13" i="99"/>
  <c r="JK13" i="99"/>
  <c r="JE13" i="99"/>
  <c r="GL13" i="99" s="1"/>
  <c r="IP13" i="99"/>
  <c r="GK13" i="99" s="1"/>
  <c r="IA13" i="99"/>
  <c r="HL13" i="99"/>
  <c r="GJ13" i="99" s="1"/>
  <c r="GV13" i="99"/>
  <c r="RV13" i="99" s="1"/>
  <c r="GG13" i="99"/>
  <c r="FC13" i="99" s="1"/>
  <c r="FT13" i="99"/>
  <c r="FB13" i="99" s="1"/>
  <c r="FM13" i="99"/>
  <c r="FA13" i="99" s="1"/>
  <c r="EX13" i="99"/>
  <c r="EQ13" i="99"/>
  <c r="ED13" i="99"/>
  <c r="DQ13" i="99"/>
  <c r="DB13" i="99"/>
  <c r="DA13" i="99"/>
  <c r="CZ13" i="99"/>
  <c r="CY13" i="99"/>
  <c r="CX13" i="99"/>
  <c r="CW13" i="99"/>
  <c r="CV13" i="99"/>
  <c r="CU13" i="99"/>
  <c r="CT13" i="99"/>
  <c r="CS13" i="99"/>
  <c r="CR13" i="99"/>
  <c r="CQ13" i="99"/>
  <c r="CM13" i="99"/>
  <c r="CF13" i="99"/>
  <c r="CC13" i="99"/>
  <c r="BZ13" i="99"/>
  <c r="BW13" i="99"/>
  <c r="BT13" i="99"/>
  <c r="BQ13" i="99"/>
  <c r="BN13" i="99"/>
  <c r="BK13" i="99"/>
  <c r="BH13" i="99"/>
  <c r="BE13" i="99"/>
  <c r="BB13" i="99"/>
  <c r="AY13" i="99"/>
  <c r="AV13" i="99"/>
  <c r="AS13" i="99"/>
  <c r="AP13" i="99"/>
  <c r="AK13" i="99"/>
  <c r="AG13" i="99"/>
  <c r="AB13" i="99"/>
  <c r="AA13" i="99"/>
  <c r="X13" i="99"/>
  <c r="W13" i="99"/>
  <c r="T13" i="99"/>
  <c r="S13" i="99"/>
  <c r="P13" i="99"/>
  <c r="O13" i="99"/>
  <c r="RP12" i="99"/>
  <c r="RO12" i="99"/>
  <c r="RN12" i="99"/>
  <c r="RM12" i="99"/>
  <c r="RD12" i="99"/>
  <c r="RC12" i="99"/>
  <c r="RB12" i="99"/>
  <c r="RA12" i="99"/>
  <c r="QZ12" i="99"/>
  <c r="QY12" i="99"/>
  <c r="QW12" i="99"/>
  <c r="QV12" i="99"/>
  <c r="QU12" i="99"/>
  <c r="QT12" i="99"/>
  <c r="QS12" i="99"/>
  <c r="QR12" i="99"/>
  <c r="QM12" i="99"/>
  <c r="QL12" i="99"/>
  <c r="PY12" i="99"/>
  <c r="PX12" i="99"/>
  <c r="PL12" i="99"/>
  <c r="SE12" i="99" s="1"/>
  <c r="OY12" i="99"/>
  <c r="MT12" i="99"/>
  <c r="MB12" i="99"/>
  <c r="LV12" i="99"/>
  <c r="LH12" i="99"/>
  <c r="LG12" i="99"/>
  <c r="LF12" i="99"/>
  <c r="JK12" i="99"/>
  <c r="JE12" i="99"/>
  <c r="GL12" i="99" s="1"/>
  <c r="IP12" i="99"/>
  <c r="GK12" i="99" s="1"/>
  <c r="IA12" i="99"/>
  <c r="HL12" i="99"/>
  <c r="GJ12" i="99" s="1"/>
  <c r="GV12" i="99"/>
  <c r="RV12" i="99" s="1"/>
  <c r="GG12" i="99"/>
  <c r="FC12" i="99" s="1"/>
  <c r="FT12" i="99"/>
  <c r="FB12" i="99" s="1"/>
  <c r="FM12" i="99"/>
  <c r="FA12" i="99" s="1"/>
  <c r="EX12" i="99"/>
  <c r="EQ12" i="99"/>
  <c r="ED12" i="99"/>
  <c r="DQ12" i="99"/>
  <c r="DB12" i="99"/>
  <c r="DA12" i="99"/>
  <c r="CZ12" i="99"/>
  <c r="CY12" i="99"/>
  <c r="CX12" i="99"/>
  <c r="CW12" i="99"/>
  <c r="CV12" i="99"/>
  <c r="CU12" i="99"/>
  <c r="CT12" i="99"/>
  <c r="CS12" i="99"/>
  <c r="CR12" i="99"/>
  <c r="CQ12" i="99"/>
  <c r="CM12" i="99"/>
  <c r="CF12" i="99"/>
  <c r="CC12" i="99"/>
  <c r="BZ12" i="99"/>
  <c r="BW12" i="99"/>
  <c r="BT12" i="99"/>
  <c r="BQ12" i="99"/>
  <c r="BN12" i="99"/>
  <c r="BK12" i="99"/>
  <c r="BH12" i="99"/>
  <c r="BE12" i="99"/>
  <c r="BB12" i="99"/>
  <c r="AY12" i="99"/>
  <c r="AV12" i="99"/>
  <c r="AS12" i="99"/>
  <c r="AP12" i="99"/>
  <c r="AK12" i="99"/>
  <c r="AG12" i="99"/>
  <c r="AB12" i="99"/>
  <c r="AA12" i="99"/>
  <c r="X12" i="99"/>
  <c r="W12" i="99"/>
  <c r="T12" i="99"/>
  <c r="S12" i="99"/>
  <c r="P12" i="99"/>
  <c r="O12" i="99"/>
  <c r="RP11" i="99"/>
  <c r="RO11" i="99"/>
  <c r="RN11" i="99"/>
  <c r="RM11" i="99"/>
  <c r="RD11" i="99"/>
  <c r="RC11" i="99"/>
  <c r="RB11" i="99"/>
  <c r="RA11" i="99"/>
  <c r="QZ11" i="99"/>
  <c r="QY11" i="99"/>
  <c r="QW11" i="99"/>
  <c r="QV11" i="99"/>
  <c r="QU11" i="99"/>
  <c r="QT11" i="99"/>
  <c r="QS11" i="99"/>
  <c r="QR11" i="99"/>
  <c r="QM11" i="99"/>
  <c r="QL11" i="99"/>
  <c r="PY11" i="99"/>
  <c r="PX11" i="99"/>
  <c r="PL11" i="99"/>
  <c r="SE11" i="99" s="1"/>
  <c r="OY11" i="99"/>
  <c r="MT11" i="99"/>
  <c r="MB11" i="99"/>
  <c r="LV11" i="99"/>
  <c r="LH11" i="99"/>
  <c r="LG11" i="99"/>
  <c r="LF11" i="99"/>
  <c r="JK11" i="99"/>
  <c r="JE11" i="99"/>
  <c r="GL11" i="99" s="1"/>
  <c r="IP11" i="99"/>
  <c r="GK11" i="99" s="1"/>
  <c r="IA11" i="99"/>
  <c r="HL11" i="99"/>
  <c r="GJ11" i="99" s="1"/>
  <c r="GV11" i="99"/>
  <c r="RV11" i="99" s="1"/>
  <c r="GG11" i="99"/>
  <c r="FC11" i="99" s="1"/>
  <c r="FT11" i="99"/>
  <c r="FB11" i="99" s="1"/>
  <c r="FM11" i="99"/>
  <c r="FA11" i="99" s="1"/>
  <c r="EX11" i="99"/>
  <c r="EQ11" i="99"/>
  <c r="ED11" i="99"/>
  <c r="DQ11" i="99"/>
  <c r="DB11" i="99"/>
  <c r="DA11" i="99"/>
  <c r="CZ11" i="99"/>
  <c r="CY11" i="99"/>
  <c r="CX11" i="99"/>
  <c r="CW11" i="99"/>
  <c r="CV11" i="99"/>
  <c r="CU11" i="99"/>
  <c r="CT11" i="99"/>
  <c r="CS11" i="99"/>
  <c r="CR11" i="99"/>
  <c r="CQ11" i="99"/>
  <c r="CM11" i="99"/>
  <c r="CF11" i="99"/>
  <c r="CC11" i="99"/>
  <c r="BZ11" i="99"/>
  <c r="BW11" i="99"/>
  <c r="BT11" i="99"/>
  <c r="BQ11" i="99"/>
  <c r="BN11" i="99"/>
  <c r="BK11" i="99"/>
  <c r="BH11" i="99"/>
  <c r="BE11" i="99"/>
  <c r="BB11" i="99"/>
  <c r="AY11" i="99"/>
  <c r="AV11" i="99"/>
  <c r="AS11" i="99"/>
  <c r="AP11" i="99"/>
  <c r="AK11" i="99"/>
  <c r="AG11" i="99"/>
  <c r="AB11" i="99"/>
  <c r="AA11" i="99"/>
  <c r="X11" i="99"/>
  <c r="W11" i="99"/>
  <c r="T11" i="99"/>
  <c r="S11" i="99"/>
  <c r="P11" i="99"/>
  <c r="O11" i="99"/>
  <c r="RP10" i="99"/>
  <c r="RO10" i="99"/>
  <c r="RN10" i="99"/>
  <c r="RM10" i="99"/>
  <c r="RD10" i="99"/>
  <c r="RC10" i="99"/>
  <c r="RB10" i="99"/>
  <c r="RA10" i="99"/>
  <c r="QZ10" i="99"/>
  <c r="QY10" i="99"/>
  <c r="QW10" i="99"/>
  <c r="QV10" i="99"/>
  <c r="QU10" i="99"/>
  <c r="QT10" i="99"/>
  <c r="QS10" i="99"/>
  <c r="QR10" i="99"/>
  <c r="QM10" i="99"/>
  <c r="QL10" i="99"/>
  <c r="QH10" i="99"/>
  <c r="QH11" i="99" s="1"/>
  <c r="QH12" i="99" s="1"/>
  <c r="QH13" i="99" s="1"/>
  <c r="QH14" i="99" s="1"/>
  <c r="QH15" i="99" s="1"/>
  <c r="QH16" i="99" s="1"/>
  <c r="QH17" i="99" s="1"/>
  <c r="QH18" i="99" s="1"/>
  <c r="QH19" i="99" s="1"/>
  <c r="QH20" i="99" s="1"/>
  <c r="QH21" i="99" s="1"/>
  <c r="QH22" i="99" s="1"/>
  <c r="QH23" i="99" s="1"/>
  <c r="QH24" i="99" s="1"/>
  <c r="QH25" i="99" s="1"/>
  <c r="QH26" i="99" s="1"/>
  <c r="QH27" i="99" s="1"/>
  <c r="QH28" i="99" s="1"/>
  <c r="QH29" i="99" s="1"/>
  <c r="QH30" i="99" s="1"/>
  <c r="QH31" i="99" s="1"/>
  <c r="QH32" i="99" s="1"/>
  <c r="QH33" i="99" s="1"/>
  <c r="QH34" i="99" s="1"/>
  <c r="QH35" i="99" s="1"/>
  <c r="QH36" i="99" s="1"/>
  <c r="QH37" i="99" s="1"/>
  <c r="QH38" i="99" s="1"/>
  <c r="QH39" i="99" s="1"/>
  <c r="QH40" i="99" s="1"/>
  <c r="QH41" i="99" s="1"/>
  <c r="QH42" i="99" s="1"/>
  <c r="PY10" i="99"/>
  <c r="PX10" i="99"/>
  <c r="PL10" i="99"/>
  <c r="SE10" i="99" s="1"/>
  <c r="PE10" i="99"/>
  <c r="PE11" i="99" s="1"/>
  <c r="PE12" i="99" s="1"/>
  <c r="PE13" i="99" s="1"/>
  <c r="PE14" i="99" s="1"/>
  <c r="PE15" i="99" s="1"/>
  <c r="PE16" i="99" s="1"/>
  <c r="PE17" i="99" s="1"/>
  <c r="PE18" i="99" s="1"/>
  <c r="PE19" i="99" s="1"/>
  <c r="PE20" i="99" s="1"/>
  <c r="PE21" i="99" s="1"/>
  <c r="PE22" i="99" s="1"/>
  <c r="PE23" i="99" s="1"/>
  <c r="PE24" i="99" s="1"/>
  <c r="PE25" i="99" s="1"/>
  <c r="PE26" i="99" s="1"/>
  <c r="PE27" i="99" s="1"/>
  <c r="PE28" i="99" s="1"/>
  <c r="PE29" i="99" s="1"/>
  <c r="PE30" i="99" s="1"/>
  <c r="PE31" i="99" s="1"/>
  <c r="PE32" i="99" s="1"/>
  <c r="PE33" i="99" s="1"/>
  <c r="PE34" i="99" s="1"/>
  <c r="PE35" i="99" s="1"/>
  <c r="PE36" i="99" s="1"/>
  <c r="PE37" i="99" s="1"/>
  <c r="PE38" i="99" s="1"/>
  <c r="PE39" i="99" s="1"/>
  <c r="PE40" i="99" s="1"/>
  <c r="PE41" i="99" s="1"/>
  <c r="PE42" i="99" s="1"/>
  <c r="PE44" i="99" s="1"/>
  <c r="PD10" i="99"/>
  <c r="PD11" i="99" s="1"/>
  <c r="PD12" i="99" s="1"/>
  <c r="PD13" i="99" s="1"/>
  <c r="PD14" i="99" s="1"/>
  <c r="PD15" i="99" s="1"/>
  <c r="PD16" i="99" s="1"/>
  <c r="PD17" i="99" s="1"/>
  <c r="PD18" i="99" s="1"/>
  <c r="PD19" i="99" s="1"/>
  <c r="PD20" i="99" s="1"/>
  <c r="PD21" i="99" s="1"/>
  <c r="PD22" i="99" s="1"/>
  <c r="PD23" i="99" s="1"/>
  <c r="PD24" i="99" s="1"/>
  <c r="PD25" i="99" s="1"/>
  <c r="PD26" i="99" s="1"/>
  <c r="PD27" i="99" s="1"/>
  <c r="PD28" i="99" s="1"/>
  <c r="PD29" i="99" s="1"/>
  <c r="PD30" i="99" s="1"/>
  <c r="PD31" i="99" s="1"/>
  <c r="PD32" i="99" s="1"/>
  <c r="PD33" i="99" s="1"/>
  <c r="PD34" i="99" s="1"/>
  <c r="PD35" i="99" s="1"/>
  <c r="PD36" i="99" s="1"/>
  <c r="PD37" i="99" s="1"/>
  <c r="PD38" i="99" s="1"/>
  <c r="PD39" i="99" s="1"/>
  <c r="PD40" i="99" s="1"/>
  <c r="PD41" i="99" s="1"/>
  <c r="PD42" i="99" s="1"/>
  <c r="PD44" i="99" s="1"/>
  <c r="PC10" i="99"/>
  <c r="PC11" i="99" s="1"/>
  <c r="PC12" i="99" s="1"/>
  <c r="PC13" i="99" s="1"/>
  <c r="PC14" i="99" s="1"/>
  <c r="PC15" i="99" s="1"/>
  <c r="PC16" i="99" s="1"/>
  <c r="PC17" i="99" s="1"/>
  <c r="PC18" i="99" s="1"/>
  <c r="PC19" i="99" s="1"/>
  <c r="PC20" i="99" s="1"/>
  <c r="PC21" i="99" s="1"/>
  <c r="PC22" i="99" s="1"/>
  <c r="PC23" i="99" s="1"/>
  <c r="PC24" i="99" s="1"/>
  <c r="PC25" i="99" s="1"/>
  <c r="PC26" i="99" s="1"/>
  <c r="PC27" i="99" s="1"/>
  <c r="PC28" i="99" s="1"/>
  <c r="PC29" i="99" s="1"/>
  <c r="PC30" i="99" s="1"/>
  <c r="PC31" i="99" s="1"/>
  <c r="PC32" i="99" s="1"/>
  <c r="PC33" i="99" s="1"/>
  <c r="PC34" i="99" s="1"/>
  <c r="PC35" i="99" s="1"/>
  <c r="PC36" i="99" s="1"/>
  <c r="PC37" i="99" s="1"/>
  <c r="PC38" i="99" s="1"/>
  <c r="PC39" i="99" s="1"/>
  <c r="PC40" i="99" s="1"/>
  <c r="PC41" i="99" s="1"/>
  <c r="PC42" i="99" s="1"/>
  <c r="PC44" i="99" s="1"/>
  <c r="PB10" i="99"/>
  <c r="PB11" i="99" s="1"/>
  <c r="PA10" i="99"/>
  <c r="PA11" i="99" s="1"/>
  <c r="PA12" i="99" s="1"/>
  <c r="PA13" i="99" s="1"/>
  <c r="PA14" i="99" s="1"/>
  <c r="PA15" i="99" s="1"/>
  <c r="PA16" i="99" s="1"/>
  <c r="PA17" i="99" s="1"/>
  <c r="PA18" i="99" s="1"/>
  <c r="PA19" i="99" s="1"/>
  <c r="PA20" i="99" s="1"/>
  <c r="PA21" i="99" s="1"/>
  <c r="PA22" i="99" s="1"/>
  <c r="PA23" i="99" s="1"/>
  <c r="PA24" i="99" s="1"/>
  <c r="PA25" i="99" s="1"/>
  <c r="PA26" i="99" s="1"/>
  <c r="PA27" i="99" s="1"/>
  <c r="PA28" i="99" s="1"/>
  <c r="PA29" i="99" s="1"/>
  <c r="PA30" i="99" s="1"/>
  <c r="PA31" i="99" s="1"/>
  <c r="PA32" i="99" s="1"/>
  <c r="PA33" i="99" s="1"/>
  <c r="PA34" i="99" s="1"/>
  <c r="PA35" i="99" s="1"/>
  <c r="PA36" i="99" s="1"/>
  <c r="PA37" i="99" s="1"/>
  <c r="PA38" i="99" s="1"/>
  <c r="PA39" i="99" s="1"/>
  <c r="PA40" i="99" s="1"/>
  <c r="PA41" i="99" s="1"/>
  <c r="PA42" i="99" s="1"/>
  <c r="PA44" i="99" s="1"/>
  <c r="OZ10" i="99"/>
  <c r="OY10" i="99"/>
  <c r="OQ10" i="99"/>
  <c r="OQ11" i="99" s="1"/>
  <c r="OQ12" i="99" s="1"/>
  <c r="OQ13" i="99" s="1"/>
  <c r="OQ14" i="99" s="1"/>
  <c r="OQ15" i="99" s="1"/>
  <c r="OQ16" i="99" s="1"/>
  <c r="OQ17" i="99" s="1"/>
  <c r="OQ18" i="99" s="1"/>
  <c r="OQ19" i="99" s="1"/>
  <c r="OQ20" i="99" s="1"/>
  <c r="OQ21" i="99" s="1"/>
  <c r="OQ22" i="99" s="1"/>
  <c r="OQ23" i="99" s="1"/>
  <c r="OQ24" i="99" s="1"/>
  <c r="OQ25" i="99" s="1"/>
  <c r="OQ26" i="99" s="1"/>
  <c r="OQ27" i="99" s="1"/>
  <c r="OQ28" i="99" s="1"/>
  <c r="OQ29" i="99" s="1"/>
  <c r="OQ30" i="99" s="1"/>
  <c r="OQ31" i="99" s="1"/>
  <c r="OQ32" i="99" s="1"/>
  <c r="OQ33" i="99" s="1"/>
  <c r="OQ34" i="99" s="1"/>
  <c r="OQ35" i="99" s="1"/>
  <c r="OQ36" i="99" s="1"/>
  <c r="OQ37" i="99" s="1"/>
  <c r="OQ38" i="99" s="1"/>
  <c r="OQ39" i="99" s="1"/>
  <c r="OQ40" i="99" s="1"/>
  <c r="OQ41" i="99" s="1"/>
  <c r="OQ42" i="99" s="1"/>
  <c r="OO10" i="99"/>
  <c r="OO11" i="99" s="1"/>
  <c r="OO12" i="99" s="1"/>
  <c r="OO13" i="99" s="1"/>
  <c r="OO14" i="99" s="1"/>
  <c r="OO15" i="99" s="1"/>
  <c r="OO16" i="99" s="1"/>
  <c r="OO17" i="99" s="1"/>
  <c r="OO18" i="99" s="1"/>
  <c r="OO19" i="99" s="1"/>
  <c r="OO20" i="99" s="1"/>
  <c r="OO21" i="99" s="1"/>
  <c r="OO22" i="99" s="1"/>
  <c r="OO23" i="99" s="1"/>
  <c r="OO24" i="99" s="1"/>
  <c r="OO25" i="99" s="1"/>
  <c r="OO26" i="99" s="1"/>
  <c r="OO27" i="99" s="1"/>
  <c r="OO28" i="99" s="1"/>
  <c r="OO29" i="99" s="1"/>
  <c r="OO30" i="99" s="1"/>
  <c r="OO31" i="99" s="1"/>
  <c r="OO32" i="99" s="1"/>
  <c r="OO33" i="99" s="1"/>
  <c r="OO34" i="99" s="1"/>
  <c r="OO35" i="99" s="1"/>
  <c r="OO36" i="99" s="1"/>
  <c r="OO37" i="99" s="1"/>
  <c r="OO38" i="99" s="1"/>
  <c r="OO39" i="99" s="1"/>
  <c r="OO40" i="99" s="1"/>
  <c r="OO41" i="99" s="1"/>
  <c r="OO42" i="99" s="1"/>
  <c r="OR42" i="99" s="1"/>
  <c r="OM10" i="99"/>
  <c r="OM11" i="99" s="1"/>
  <c r="OM12" i="99" s="1"/>
  <c r="OM13" i="99" s="1"/>
  <c r="OM14" i="99" s="1"/>
  <c r="OM15" i="99" s="1"/>
  <c r="OM16" i="99" s="1"/>
  <c r="OM17" i="99" s="1"/>
  <c r="OM18" i="99" s="1"/>
  <c r="OM19" i="99" s="1"/>
  <c r="OM20" i="99" s="1"/>
  <c r="OM21" i="99" s="1"/>
  <c r="OM22" i="99" s="1"/>
  <c r="OM23" i="99" s="1"/>
  <c r="OM24" i="99" s="1"/>
  <c r="OM25" i="99" s="1"/>
  <c r="OM26" i="99" s="1"/>
  <c r="OM27" i="99" s="1"/>
  <c r="OM28" i="99" s="1"/>
  <c r="OM29" i="99" s="1"/>
  <c r="OM30" i="99" s="1"/>
  <c r="OM31" i="99" s="1"/>
  <c r="OM32" i="99" s="1"/>
  <c r="OM33" i="99" s="1"/>
  <c r="OM34" i="99" s="1"/>
  <c r="OM35" i="99" s="1"/>
  <c r="OM36" i="99" s="1"/>
  <c r="OM37" i="99" s="1"/>
  <c r="OM38" i="99" s="1"/>
  <c r="OM39" i="99" s="1"/>
  <c r="OM40" i="99" s="1"/>
  <c r="OM41" i="99" s="1"/>
  <c r="OM42" i="99" s="1"/>
  <c r="OL10" i="99"/>
  <c r="OL11" i="99" s="1"/>
  <c r="OL12" i="99" s="1"/>
  <c r="OL13" i="99" s="1"/>
  <c r="OL14" i="99" s="1"/>
  <c r="OK10" i="99"/>
  <c r="OK11" i="99" s="1"/>
  <c r="OK12" i="99" s="1"/>
  <c r="OK13" i="99" s="1"/>
  <c r="OK14" i="99" s="1"/>
  <c r="OK15" i="99" s="1"/>
  <c r="OK16" i="99" s="1"/>
  <c r="OK17" i="99" s="1"/>
  <c r="OK18" i="99" s="1"/>
  <c r="OK19" i="99" s="1"/>
  <c r="OK20" i="99" s="1"/>
  <c r="OK21" i="99" s="1"/>
  <c r="OK22" i="99" s="1"/>
  <c r="OK23" i="99" s="1"/>
  <c r="OK24" i="99" s="1"/>
  <c r="OK25" i="99" s="1"/>
  <c r="OK26" i="99" s="1"/>
  <c r="OK27" i="99" s="1"/>
  <c r="OK28" i="99" s="1"/>
  <c r="OK29" i="99" s="1"/>
  <c r="OK30" i="99" s="1"/>
  <c r="OK31" i="99" s="1"/>
  <c r="OK32" i="99" s="1"/>
  <c r="OK33" i="99" s="1"/>
  <c r="OK34" i="99" s="1"/>
  <c r="OK35" i="99" s="1"/>
  <c r="OK36" i="99" s="1"/>
  <c r="OK37" i="99" s="1"/>
  <c r="OK38" i="99" s="1"/>
  <c r="OK39" i="99" s="1"/>
  <c r="OK40" i="99" s="1"/>
  <c r="OK41" i="99" s="1"/>
  <c r="OK42" i="99" s="1"/>
  <c r="OJ10" i="99"/>
  <c r="OJ11" i="99" s="1"/>
  <c r="OJ12" i="99" s="1"/>
  <c r="OJ13" i="99" s="1"/>
  <c r="OJ14" i="99" s="1"/>
  <c r="OJ15" i="99" s="1"/>
  <c r="OJ16" i="99" s="1"/>
  <c r="OJ17" i="99" s="1"/>
  <c r="OJ18" i="99" s="1"/>
  <c r="OJ19" i="99" s="1"/>
  <c r="OJ20" i="99" s="1"/>
  <c r="OJ21" i="99" s="1"/>
  <c r="OJ22" i="99" s="1"/>
  <c r="OJ23" i="99" s="1"/>
  <c r="OJ24" i="99" s="1"/>
  <c r="OJ25" i="99" s="1"/>
  <c r="OJ26" i="99" s="1"/>
  <c r="OJ27" i="99" s="1"/>
  <c r="OJ28" i="99" s="1"/>
  <c r="OJ29" i="99" s="1"/>
  <c r="OJ30" i="99" s="1"/>
  <c r="OJ31" i="99" s="1"/>
  <c r="OJ32" i="99" s="1"/>
  <c r="OJ33" i="99" s="1"/>
  <c r="OJ34" i="99" s="1"/>
  <c r="OJ35" i="99" s="1"/>
  <c r="OJ36" i="99" s="1"/>
  <c r="OJ37" i="99" s="1"/>
  <c r="OJ38" i="99" s="1"/>
  <c r="OJ39" i="99" s="1"/>
  <c r="OJ40" i="99" s="1"/>
  <c r="OJ41" i="99" s="1"/>
  <c r="OI10" i="99"/>
  <c r="OI11" i="99" s="1"/>
  <c r="OI12" i="99" s="1"/>
  <c r="OI13" i="99" s="1"/>
  <c r="OI14" i="99" s="1"/>
  <c r="OI15" i="99" s="1"/>
  <c r="OI16" i="99" s="1"/>
  <c r="OI17" i="99" s="1"/>
  <c r="OI18" i="99" s="1"/>
  <c r="OI19" i="99" s="1"/>
  <c r="OI20" i="99" s="1"/>
  <c r="OI21" i="99" s="1"/>
  <c r="OI22" i="99" s="1"/>
  <c r="OI23" i="99" s="1"/>
  <c r="OI24" i="99" s="1"/>
  <c r="OI25" i="99" s="1"/>
  <c r="OI26" i="99" s="1"/>
  <c r="OI27" i="99" s="1"/>
  <c r="OI28" i="99" s="1"/>
  <c r="OI29" i="99" s="1"/>
  <c r="OI30" i="99" s="1"/>
  <c r="OI31" i="99" s="1"/>
  <c r="OI32" i="99" s="1"/>
  <c r="OI33" i="99" s="1"/>
  <c r="OI34" i="99" s="1"/>
  <c r="OI35" i="99" s="1"/>
  <c r="OI36" i="99" s="1"/>
  <c r="OI37" i="99" s="1"/>
  <c r="OI38" i="99" s="1"/>
  <c r="OI39" i="99" s="1"/>
  <c r="OI40" i="99" s="1"/>
  <c r="OI41" i="99" s="1"/>
  <c r="OI42" i="99" s="1"/>
  <c r="OH10" i="99"/>
  <c r="OH11" i="99" s="1"/>
  <c r="OH12" i="99" s="1"/>
  <c r="OH13" i="99" s="1"/>
  <c r="OH14" i="99" s="1"/>
  <c r="OH15" i="99" s="1"/>
  <c r="OH16" i="99" s="1"/>
  <c r="OH17" i="99" s="1"/>
  <c r="OH18" i="99" s="1"/>
  <c r="OH19" i="99" s="1"/>
  <c r="OG10" i="99"/>
  <c r="OG11" i="99" s="1"/>
  <c r="OG12" i="99" s="1"/>
  <c r="OG13" i="99" s="1"/>
  <c r="OG14" i="99" s="1"/>
  <c r="OG15" i="99" s="1"/>
  <c r="OG16" i="99" s="1"/>
  <c r="OG17" i="99" s="1"/>
  <c r="OG18" i="99" s="1"/>
  <c r="OG19" i="99" s="1"/>
  <c r="OG20" i="99" s="1"/>
  <c r="OG21" i="99" s="1"/>
  <c r="OG22" i="99" s="1"/>
  <c r="OG23" i="99" s="1"/>
  <c r="OG24" i="99" s="1"/>
  <c r="OG25" i="99" s="1"/>
  <c r="OG26" i="99" s="1"/>
  <c r="OG27" i="99" s="1"/>
  <c r="OG28" i="99" s="1"/>
  <c r="OG29" i="99" s="1"/>
  <c r="OG30" i="99" s="1"/>
  <c r="OG31" i="99" s="1"/>
  <c r="OG32" i="99" s="1"/>
  <c r="OG33" i="99" s="1"/>
  <c r="OG34" i="99" s="1"/>
  <c r="OG35" i="99" s="1"/>
  <c r="OG36" i="99" s="1"/>
  <c r="OG37" i="99" s="1"/>
  <c r="OG38" i="99" s="1"/>
  <c r="OG39" i="99" s="1"/>
  <c r="OG40" i="99" s="1"/>
  <c r="OG41" i="99" s="1"/>
  <c r="OG42" i="99" s="1"/>
  <c r="OF10" i="99"/>
  <c r="OD10" i="99"/>
  <c r="OD11" i="99" s="1"/>
  <c r="OD12" i="99" s="1"/>
  <c r="OD13" i="99" s="1"/>
  <c r="OD14" i="99" s="1"/>
  <c r="OD15" i="99" s="1"/>
  <c r="OD16" i="99" s="1"/>
  <c r="OD17" i="99" s="1"/>
  <c r="OD18" i="99" s="1"/>
  <c r="OD19" i="99" s="1"/>
  <c r="OD20" i="99" s="1"/>
  <c r="OD21" i="99" s="1"/>
  <c r="OD22" i="99" s="1"/>
  <c r="OD23" i="99" s="1"/>
  <c r="OD24" i="99" s="1"/>
  <c r="OD25" i="99" s="1"/>
  <c r="OD26" i="99" s="1"/>
  <c r="OD27" i="99" s="1"/>
  <c r="OD28" i="99" s="1"/>
  <c r="OD29" i="99" s="1"/>
  <c r="OD30" i="99" s="1"/>
  <c r="OD31" i="99" s="1"/>
  <c r="OD32" i="99" s="1"/>
  <c r="OD33" i="99" s="1"/>
  <c r="OD34" i="99" s="1"/>
  <c r="OD35" i="99" s="1"/>
  <c r="OD36" i="99" s="1"/>
  <c r="OD37" i="99" s="1"/>
  <c r="OD38" i="99" s="1"/>
  <c r="OD39" i="99" s="1"/>
  <c r="OD40" i="99" s="1"/>
  <c r="OD41" i="99" s="1"/>
  <c r="OD42" i="99" s="1"/>
  <c r="NZ10" i="99"/>
  <c r="NZ11" i="99" s="1"/>
  <c r="NZ12" i="99" s="1"/>
  <c r="NZ13" i="99" s="1"/>
  <c r="NZ14" i="99" s="1"/>
  <c r="NZ15" i="99" s="1"/>
  <c r="NZ16" i="99" s="1"/>
  <c r="NZ17" i="99" s="1"/>
  <c r="NZ18" i="99" s="1"/>
  <c r="NZ19" i="99" s="1"/>
  <c r="NZ20" i="99" s="1"/>
  <c r="NZ21" i="99" s="1"/>
  <c r="NZ22" i="99" s="1"/>
  <c r="NZ23" i="99" s="1"/>
  <c r="NZ24" i="99" s="1"/>
  <c r="NZ25" i="99" s="1"/>
  <c r="NZ26" i="99" s="1"/>
  <c r="NZ27" i="99" s="1"/>
  <c r="NZ28" i="99" s="1"/>
  <c r="NZ29" i="99" s="1"/>
  <c r="NZ30" i="99" s="1"/>
  <c r="NZ31" i="99" s="1"/>
  <c r="NZ32" i="99" s="1"/>
  <c r="NZ33" i="99" s="1"/>
  <c r="NZ34" i="99" s="1"/>
  <c r="NZ35" i="99" s="1"/>
  <c r="NZ36" i="99" s="1"/>
  <c r="NZ37" i="99" s="1"/>
  <c r="NZ38" i="99" s="1"/>
  <c r="NZ39" i="99" s="1"/>
  <c r="NZ40" i="99" s="1"/>
  <c r="NZ41" i="99" s="1"/>
  <c r="NZ42" i="99" s="1"/>
  <c r="NX10" i="99"/>
  <c r="NX11" i="99" s="1"/>
  <c r="NX12" i="99" s="1"/>
  <c r="NX13" i="99" s="1"/>
  <c r="NX14" i="99" s="1"/>
  <c r="NX15" i="99" s="1"/>
  <c r="NX16" i="99" s="1"/>
  <c r="NX17" i="99" s="1"/>
  <c r="NX18" i="99" s="1"/>
  <c r="NX19" i="99" s="1"/>
  <c r="NX20" i="99" s="1"/>
  <c r="NX21" i="99" s="1"/>
  <c r="NX22" i="99" s="1"/>
  <c r="NX23" i="99" s="1"/>
  <c r="NX24" i="99" s="1"/>
  <c r="NX25" i="99" s="1"/>
  <c r="NX26" i="99" s="1"/>
  <c r="NX27" i="99" s="1"/>
  <c r="NX28" i="99" s="1"/>
  <c r="NX29" i="99" s="1"/>
  <c r="NX30" i="99" s="1"/>
  <c r="NX31" i="99" s="1"/>
  <c r="NX32" i="99" s="1"/>
  <c r="NX33" i="99" s="1"/>
  <c r="NX34" i="99" s="1"/>
  <c r="NX35" i="99" s="1"/>
  <c r="NX36" i="99" s="1"/>
  <c r="NX37" i="99" s="1"/>
  <c r="NX38" i="99" s="1"/>
  <c r="NX39" i="99" s="1"/>
  <c r="NX40" i="99" s="1"/>
  <c r="NX41" i="99" s="1"/>
  <c r="NX42" i="99" s="1"/>
  <c r="NW10" i="99"/>
  <c r="NW11" i="99" s="1"/>
  <c r="NW12" i="99" s="1"/>
  <c r="NW13" i="99" s="1"/>
  <c r="NW14" i="99" s="1"/>
  <c r="NW15" i="99" s="1"/>
  <c r="NW16" i="99" s="1"/>
  <c r="NW17" i="99" s="1"/>
  <c r="NW18" i="99" s="1"/>
  <c r="NW19" i="99" s="1"/>
  <c r="NW20" i="99" s="1"/>
  <c r="NW21" i="99" s="1"/>
  <c r="NW22" i="99" s="1"/>
  <c r="NW23" i="99" s="1"/>
  <c r="NW24" i="99" s="1"/>
  <c r="NW25" i="99" s="1"/>
  <c r="NW26" i="99" s="1"/>
  <c r="NW27" i="99" s="1"/>
  <c r="NW28" i="99" s="1"/>
  <c r="NW29" i="99" s="1"/>
  <c r="NW30" i="99" s="1"/>
  <c r="NW31" i="99" s="1"/>
  <c r="NW32" i="99" s="1"/>
  <c r="NW33" i="99" s="1"/>
  <c r="NW34" i="99" s="1"/>
  <c r="NW35" i="99" s="1"/>
  <c r="NW36" i="99" s="1"/>
  <c r="NW37" i="99" s="1"/>
  <c r="NW38" i="99" s="1"/>
  <c r="NW39" i="99" s="1"/>
  <c r="NW40" i="99" s="1"/>
  <c r="NW41" i="99" s="1"/>
  <c r="NW42" i="99" s="1"/>
  <c r="NW44" i="99" s="1"/>
  <c r="NV10" i="99"/>
  <c r="NV11" i="99" s="1"/>
  <c r="NV12" i="99" s="1"/>
  <c r="NV13" i="99" s="1"/>
  <c r="NV14" i="99" s="1"/>
  <c r="NV15" i="99" s="1"/>
  <c r="NV16" i="99" s="1"/>
  <c r="NV17" i="99" s="1"/>
  <c r="NV18" i="99" s="1"/>
  <c r="NV19" i="99" s="1"/>
  <c r="NV20" i="99" s="1"/>
  <c r="NV21" i="99" s="1"/>
  <c r="NV22" i="99" s="1"/>
  <c r="NV23" i="99" s="1"/>
  <c r="NV24" i="99" s="1"/>
  <c r="NV25" i="99" s="1"/>
  <c r="NV26" i="99" s="1"/>
  <c r="NV27" i="99" s="1"/>
  <c r="NV28" i="99" s="1"/>
  <c r="NV29" i="99" s="1"/>
  <c r="NV30" i="99" s="1"/>
  <c r="NV31" i="99" s="1"/>
  <c r="NV32" i="99" s="1"/>
  <c r="NV33" i="99" s="1"/>
  <c r="NV34" i="99" s="1"/>
  <c r="NV35" i="99" s="1"/>
  <c r="NV36" i="99" s="1"/>
  <c r="NV37" i="99" s="1"/>
  <c r="NV38" i="99" s="1"/>
  <c r="NV39" i="99" s="1"/>
  <c r="NV40" i="99" s="1"/>
  <c r="NV41" i="99" s="1"/>
  <c r="NV42" i="99" s="1"/>
  <c r="NU10" i="99"/>
  <c r="NU11" i="99" s="1"/>
  <c r="NU12" i="99" s="1"/>
  <c r="NU13" i="99" s="1"/>
  <c r="NU14" i="99" s="1"/>
  <c r="NU15" i="99" s="1"/>
  <c r="NU16" i="99" s="1"/>
  <c r="NU17" i="99" s="1"/>
  <c r="NU18" i="99" s="1"/>
  <c r="NU19" i="99" s="1"/>
  <c r="NU20" i="99" s="1"/>
  <c r="NU21" i="99" s="1"/>
  <c r="NU22" i="99" s="1"/>
  <c r="NU23" i="99" s="1"/>
  <c r="NU24" i="99" s="1"/>
  <c r="NU25" i="99" s="1"/>
  <c r="NU26" i="99" s="1"/>
  <c r="NU27" i="99" s="1"/>
  <c r="NU28" i="99" s="1"/>
  <c r="NU29" i="99" s="1"/>
  <c r="NU30" i="99" s="1"/>
  <c r="NU31" i="99" s="1"/>
  <c r="NU32" i="99" s="1"/>
  <c r="NU33" i="99" s="1"/>
  <c r="NU34" i="99" s="1"/>
  <c r="NU35" i="99" s="1"/>
  <c r="NU36" i="99" s="1"/>
  <c r="NU37" i="99" s="1"/>
  <c r="NU38" i="99" s="1"/>
  <c r="NU39" i="99" s="1"/>
  <c r="NU40" i="99" s="1"/>
  <c r="NU41" i="99" s="1"/>
  <c r="NU42" i="99" s="1"/>
  <c r="NU44" i="99" s="1"/>
  <c r="NT10" i="99"/>
  <c r="NT11" i="99" s="1"/>
  <c r="NT12" i="99" s="1"/>
  <c r="NT13" i="99" s="1"/>
  <c r="NT14" i="99" s="1"/>
  <c r="NT15" i="99" s="1"/>
  <c r="NT16" i="99" s="1"/>
  <c r="NT17" i="99" s="1"/>
  <c r="NT18" i="99" s="1"/>
  <c r="NT19" i="99" s="1"/>
  <c r="NT20" i="99" s="1"/>
  <c r="NT21" i="99" s="1"/>
  <c r="NT22" i="99" s="1"/>
  <c r="NT23" i="99" s="1"/>
  <c r="NT24" i="99" s="1"/>
  <c r="NT25" i="99" s="1"/>
  <c r="NT26" i="99" s="1"/>
  <c r="NT27" i="99" s="1"/>
  <c r="NT28" i="99" s="1"/>
  <c r="NT29" i="99" s="1"/>
  <c r="NT30" i="99" s="1"/>
  <c r="NT31" i="99" s="1"/>
  <c r="NT32" i="99" s="1"/>
  <c r="NT33" i="99" s="1"/>
  <c r="NT34" i="99" s="1"/>
  <c r="NT35" i="99" s="1"/>
  <c r="NT36" i="99" s="1"/>
  <c r="NT37" i="99" s="1"/>
  <c r="NT38" i="99" s="1"/>
  <c r="NT39" i="99" s="1"/>
  <c r="NT40" i="99" s="1"/>
  <c r="NT41" i="99" s="1"/>
  <c r="NT42" i="99" s="1"/>
  <c r="NS10" i="99"/>
  <c r="NS11" i="99" s="1"/>
  <c r="NS12" i="99" s="1"/>
  <c r="NO10" i="99"/>
  <c r="NO11" i="99" s="1"/>
  <c r="NO12" i="99" s="1"/>
  <c r="NO13" i="99" s="1"/>
  <c r="NO14" i="99" s="1"/>
  <c r="NO15" i="99" s="1"/>
  <c r="NO16" i="99" s="1"/>
  <c r="NO17" i="99" s="1"/>
  <c r="NO18" i="99" s="1"/>
  <c r="NO19" i="99" s="1"/>
  <c r="NO20" i="99" s="1"/>
  <c r="NO21" i="99" s="1"/>
  <c r="NO22" i="99" s="1"/>
  <c r="NO23" i="99" s="1"/>
  <c r="NO24" i="99" s="1"/>
  <c r="NO25" i="99" s="1"/>
  <c r="NO26" i="99" s="1"/>
  <c r="NO27" i="99" s="1"/>
  <c r="NO28" i="99" s="1"/>
  <c r="NO29" i="99" s="1"/>
  <c r="NO30" i="99" s="1"/>
  <c r="NO31" i="99" s="1"/>
  <c r="NO32" i="99" s="1"/>
  <c r="NO33" i="99" s="1"/>
  <c r="NO34" i="99" s="1"/>
  <c r="NO35" i="99" s="1"/>
  <c r="NO37" i="99" s="1"/>
  <c r="NO38" i="99" s="1"/>
  <c r="NO39" i="99" s="1"/>
  <c r="NO40" i="99" s="1"/>
  <c r="NO41" i="99" s="1"/>
  <c r="NO42" i="99" s="1"/>
  <c r="NM10" i="99"/>
  <c r="NM11" i="99" s="1"/>
  <c r="NM12" i="99" s="1"/>
  <c r="NM13" i="99" s="1"/>
  <c r="NM14" i="99" s="1"/>
  <c r="NM15" i="99" s="1"/>
  <c r="NM16" i="99" s="1"/>
  <c r="NM17" i="99" s="1"/>
  <c r="NM18" i="99" s="1"/>
  <c r="NM19" i="99" s="1"/>
  <c r="NM20" i="99" s="1"/>
  <c r="NM21" i="99" s="1"/>
  <c r="NM22" i="99" s="1"/>
  <c r="NM23" i="99" s="1"/>
  <c r="NM24" i="99" s="1"/>
  <c r="NM25" i="99" s="1"/>
  <c r="NM26" i="99" s="1"/>
  <c r="NM27" i="99" s="1"/>
  <c r="NM28" i="99" s="1"/>
  <c r="NM29" i="99" s="1"/>
  <c r="NM30" i="99" s="1"/>
  <c r="NM31" i="99" s="1"/>
  <c r="NM32" i="99" s="1"/>
  <c r="NM33" i="99" s="1"/>
  <c r="NM34" i="99" s="1"/>
  <c r="NM35" i="99" s="1"/>
  <c r="NM37" i="99" s="1"/>
  <c r="NM38" i="99" s="1"/>
  <c r="NM39" i="99" s="1"/>
  <c r="NM40" i="99" s="1"/>
  <c r="NM41" i="99" s="1"/>
  <c r="NM42" i="99" s="1"/>
  <c r="NL10" i="99"/>
  <c r="NL11" i="99" s="1"/>
  <c r="NL12" i="99" s="1"/>
  <c r="NL13" i="99" s="1"/>
  <c r="NL14" i="99" s="1"/>
  <c r="NL15" i="99" s="1"/>
  <c r="NL16" i="99" s="1"/>
  <c r="NL17" i="99" s="1"/>
  <c r="NL18" i="99" s="1"/>
  <c r="NL19" i="99" s="1"/>
  <c r="NL20" i="99" s="1"/>
  <c r="NL21" i="99" s="1"/>
  <c r="NL22" i="99" s="1"/>
  <c r="NL23" i="99" s="1"/>
  <c r="NL24" i="99" s="1"/>
  <c r="NL25" i="99" s="1"/>
  <c r="NL26" i="99" s="1"/>
  <c r="NL27" i="99" s="1"/>
  <c r="NL28" i="99" s="1"/>
  <c r="NL29" i="99" s="1"/>
  <c r="NL30" i="99" s="1"/>
  <c r="NL31" i="99" s="1"/>
  <c r="NL32" i="99" s="1"/>
  <c r="NL33" i="99" s="1"/>
  <c r="NL34" i="99" s="1"/>
  <c r="NL35" i="99" s="1"/>
  <c r="NL37" i="99" s="1"/>
  <c r="NL38" i="99" s="1"/>
  <c r="NL39" i="99" s="1"/>
  <c r="NL40" i="99" s="1"/>
  <c r="NL41" i="99" s="1"/>
  <c r="NL42" i="99" s="1"/>
  <c r="NL44" i="99" s="1"/>
  <c r="NK10" i="99"/>
  <c r="NK11" i="99" s="1"/>
  <c r="NK12" i="99" s="1"/>
  <c r="NK13" i="99" s="1"/>
  <c r="NK14" i="99" s="1"/>
  <c r="NK15" i="99" s="1"/>
  <c r="NK16" i="99" s="1"/>
  <c r="NK17" i="99" s="1"/>
  <c r="NK18" i="99" s="1"/>
  <c r="NK19" i="99" s="1"/>
  <c r="NK20" i="99" s="1"/>
  <c r="NK21" i="99" s="1"/>
  <c r="NK22" i="99" s="1"/>
  <c r="NK23" i="99" s="1"/>
  <c r="NK24" i="99" s="1"/>
  <c r="NK25" i="99" s="1"/>
  <c r="NK26" i="99" s="1"/>
  <c r="NK27" i="99" s="1"/>
  <c r="NK28" i="99" s="1"/>
  <c r="NK29" i="99" s="1"/>
  <c r="NK30" i="99" s="1"/>
  <c r="NK31" i="99" s="1"/>
  <c r="NK32" i="99" s="1"/>
  <c r="NK33" i="99" s="1"/>
  <c r="NK34" i="99" s="1"/>
  <c r="NK35" i="99" s="1"/>
  <c r="NK37" i="99" s="1"/>
  <c r="NK38" i="99" s="1"/>
  <c r="NK39" i="99" s="1"/>
  <c r="NK40" i="99" s="1"/>
  <c r="NK41" i="99" s="1"/>
  <c r="NK42" i="99" s="1"/>
  <c r="NJ10" i="99"/>
  <c r="NJ11" i="99" s="1"/>
  <c r="NJ12" i="99" s="1"/>
  <c r="NJ13" i="99" s="1"/>
  <c r="NJ14" i="99" s="1"/>
  <c r="NJ15" i="99" s="1"/>
  <c r="NJ16" i="99" s="1"/>
  <c r="NJ17" i="99" s="1"/>
  <c r="NJ18" i="99" s="1"/>
  <c r="NJ19" i="99" s="1"/>
  <c r="NJ20" i="99" s="1"/>
  <c r="NJ21" i="99" s="1"/>
  <c r="NJ22" i="99" s="1"/>
  <c r="NJ23" i="99" s="1"/>
  <c r="NJ24" i="99" s="1"/>
  <c r="NJ25" i="99" s="1"/>
  <c r="NJ26" i="99" s="1"/>
  <c r="NJ27" i="99" s="1"/>
  <c r="NJ28" i="99" s="1"/>
  <c r="NJ29" i="99" s="1"/>
  <c r="NJ30" i="99" s="1"/>
  <c r="NJ31" i="99" s="1"/>
  <c r="NJ32" i="99" s="1"/>
  <c r="NJ33" i="99" s="1"/>
  <c r="NJ34" i="99" s="1"/>
  <c r="NJ35" i="99" s="1"/>
  <c r="NJ37" i="99" s="1"/>
  <c r="NJ38" i="99" s="1"/>
  <c r="NJ39" i="99" s="1"/>
  <c r="NJ40" i="99" s="1"/>
  <c r="NJ41" i="99" s="1"/>
  <c r="NJ42" i="99" s="1"/>
  <c r="NJ44" i="99" s="1"/>
  <c r="NI10" i="99"/>
  <c r="NI11" i="99" s="1"/>
  <c r="NI12" i="99" s="1"/>
  <c r="NI13" i="99" s="1"/>
  <c r="NI14" i="99" s="1"/>
  <c r="NI15" i="99" s="1"/>
  <c r="NI16" i="99" s="1"/>
  <c r="NI17" i="99" s="1"/>
  <c r="NI18" i="99" s="1"/>
  <c r="NI19" i="99" s="1"/>
  <c r="NI20" i="99" s="1"/>
  <c r="NI21" i="99" s="1"/>
  <c r="NI22" i="99" s="1"/>
  <c r="NI23" i="99" s="1"/>
  <c r="NI24" i="99" s="1"/>
  <c r="NI25" i="99" s="1"/>
  <c r="NI26" i="99" s="1"/>
  <c r="NI27" i="99" s="1"/>
  <c r="NI28" i="99" s="1"/>
  <c r="NI29" i="99" s="1"/>
  <c r="NH10" i="99"/>
  <c r="NH11" i="99" s="1"/>
  <c r="NH12" i="99" s="1"/>
  <c r="NH13" i="99" s="1"/>
  <c r="NH14" i="99" s="1"/>
  <c r="NH15" i="99" s="1"/>
  <c r="NH16" i="99" s="1"/>
  <c r="NH17" i="99" s="1"/>
  <c r="NH18" i="99" s="1"/>
  <c r="NH19" i="99" s="1"/>
  <c r="NH20" i="99" s="1"/>
  <c r="NH21" i="99" s="1"/>
  <c r="NH22" i="99" s="1"/>
  <c r="NH23" i="99" s="1"/>
  <c r="NH24" i="99" s="1"/>
  <c r="NH25" i="99" s="1"/>
  <c r="NH26" i="99" s="1"/>
  <c r="NH27" i="99" s="1"/>
  <c r="NH28" i="99" s="1"/>
  <c r="NH29" i="99" s="1"/>
  <c r="NH30" i="99" s="1"/>
  <c r="NH31" i="99" s="1"/>
  <c r="NH32" i="99" s="1"/>
  <c r="NH33" i="99" s="1"/>
  <c r="NH34" i="99" s="1"/>
  <c r="NH35" i="99" s="1"/>
  <c r="NH37" i="99" s="1"/>
  <c r="NH38" i="99" s="1"/>
  <c r="NH39" i="99" s="1"/>
  <c r="NH40" i="99" s="1"/>
  <c r="NH41" i="99" s="1"/>
  <c r="NH42" i="99" s="1"/>
  <c r="NH44" i="99" s="1"/>
  <c r="NG10" i="99"/>
  <c r="NG11" i="99" s="1"/>
  <c r="NG12" i="99" s="1"/>
  <c r="NG13" i="99" s="1"/>
  <c r="NG14" i="99" s="1"/>
  <c r="NG15" i="99" s="1"/>
  <c r="NG16" i="99" s="1"/>
  <c r="NG17" i="99" s="1"/>
  <c r="NG18" i="99" s="1"/>
  <c r="NG19" i="99" s="1"/>
  <c r="NG20" i="99" s="1"/>
  <c r="NG21" i="99" s="1"/>
  <c r="NG22" i="99" s="1"/>
  <c r="NG23" i="99" s="1"/>
  <c r="NG24" i="99" s="1"/>
  <c r="NG25" i="99" s="1"/>
  <c r="NG26" i="99" s="1"/>
  <c r="NG27" i="99" s="1"/>
  <c r="NG28" i="99" s="1"/>
  <c r="NG29" i="99" s="1"/>
  <c r="NG30" i="99" s="1"/>
  <c r="NG31" i="99" s="1"/>
  <c r="NG32" i="99" s="1"/>
  <c r="NG33" i="99" s="1"/>
  <c r="NG34" i="99" s="1"/>
  <c r="NG35" i="99" s="1"/>
  <c r="NG37" i="99" s="1"/>
  <c r="NG38" i="99" s="1"/>
  <c r="NG39" i="99" s="1"/>
  <c r="NG40" i="99" s="1"/>
  <c r="NG41" i="99" s="1"/>
  <c r="NG42" i="99" s="1"/>
  <c r="NF10" i="99"/>
  <c r="NF11" i="99" s="1"/>
  <c r="NF12" i="99" s="1"/>
  <c r="ND10" i="99"/>
  <c r="ND11" i="99" s="1"/>
  <c r="ND12" i="99" s="1"/>
  <c r="ND13" i="99" s="1"/>
  <c r="ND14" i="99" s="1"/>
  <c r="ND15" i="99" s="1"/>
  <c r="ND16" i="99" s="1"/>
  <c r="ND17" i="99" s="1"/>
  <c r="ND18" i="99" s="1"/>
  <c r="ND19" i="99" s="1"/>
  <c r="ND20" i="99" s="1"/>
  <c r="MT10" i="99"/>
  <c r="MB10" i="99"/>
  <c r="LV10" i="99"/>
  <c r="LH10" i="99"/>
  <c r="LG10" i="99"/>
  <c r="LF10" i="99"/>
  <c r="JK10" i="99"/>
  <c r="JE10" i="99"/>
  <c r="GL10" i="99" s="1"/>
  <c r="IP10" i="99"/>
  <c r="IA10" i="99"/>
  <c r="HL10" i="99"/>
  <c r="GJ10" i="99" s="1"/>
  <c r="GV10" i="99"/>
  <c r="GG10" i="99"/>
  <c r="FC10" i="99" s="1"/>
  <c r="FT10" i="99"/>
  <c r="FB10" i="99" s="1"/>
  <c r="FM10" i="99"/>
  <c r="EX10" i="99"/>
  <c r="EQ10" i="99"/>
  <c r="ED10" i="99"/>
  <c r="DQ10" i="99"/>
  <c r="DB10" i="99"/>
  <c r="DA10" i="99"/>
  <c r="CZ10" i="99"/>
  <c r="CY10" i="99"/>
  <c r="CX10" i="99"/>
  <c r="CW10" i="99"/>
  <c r="CV10" i="99"/>
  <c r="CU10" i="99"/>
  <c r="CT10" i="99"/>
  <c r="CS10" i="99"/>
  <c r="CR10" i="99"/>
  <c r="CQ10" i="99"/>
  <c r="CM10" i="99"/>
  <c r="CF10" i="99"/>
  <c r="CC10" i="99"/>
  <c r="BZ10" i="99"/>
  <c r="BW10" i="99"/>
  <c r="BT10" i="99"/>
  <c r="BQ10" i="99"/>
  <c r="BN10" i="99"/>
  <c r="BK10" i="99"/>
  <c r="BH10" i="99"/>
  <c r="BE10" i="99"/>
  <c r="BB10" i="99"/>
  <c r="AY10" i="99"/>
  <c r="AV10" i="99"/>
  <c r="AS10" i="99"/>
  <c r="AP10" i="99"/>
  <c r="AK10" i="99"/>
  <c r="AG10" i="99"/>
  <c r="AB10" i="99"/>
  <c r="AA10" i="99"/>
  <c r="X10" i="99"/>
  <c r="W10" i="99"/>
  <c r="T10" i="99"/>
  <c r="S10" i="99"/>
  <c r="P10" i="99"/>
  <c r="O10" i="99"/>
  <c r="RK9" i="99"/>
  <c r="PF9" i="99"/>
  <c r="PF8" i="99"/>
  <c r="OR8" i="99"/>
  <c r="OE8" i="99"/>
  <c r="NR8" i="99"/>
  <c r="KD6" i="99"/>
  <c r="JV6" i="99"/>
  <c r="JN6" i="99"/>
  <c r="CE3" i="99"/>
  <c r="CD3" i="99"/>
  <c r="CB3" i="99"/>
  <c r="NN2" i="99"/>
  <c r="CI1" i="99"/>
  <c r="OQ31" i="126" l="1"/>
  <c r="OT30" i="126"/>
  <c r="NE21" i="126"/>
  <c r="NG20" i="126"/>
  <c r="MY20" i="126" s="1"/>
  <c r="NG11" i="126"/>
  <c r="MY11" i="126" s="1"/>
  <c r="OQ32" i="124"/>
  <c r="OT31" i="124"/>
  <c r="NZ35" i="122"/>
  <c r="NO35" i="122"/>
  <c r="AL37" i="123"/>
  <c r="QG38" i="122"/>
  <c r="NA37" i="122"/>
  <c r="OQ27" i="120"/>
  <c r="AF49" i="118"/>
  <c r="OA20" i="120"/>
  <c r="OF19" i="120"/>
  <c r="NP21" i="116"/>
  <c r="R12" i="118"/>
  <c r="AC32" i="99"/>
  <c r="N44" i="99"/>
  <c r="AV130" i="2"/>
  <c r="AV135" i="2"/>
  <c r="AV133" i="2"/>
  <c r="AC26" i="99"/>
  <c r="FD20" i="99"/>
  <c r="D13" i="100"/>
  <c r="CH13" i="100" s="1"/>
  <c r="D18" i="100"/>
  <c r="CH18" i="100" s="1"/>
  <c r="D33" i="100"/>
  <c r="CH33" i="100" s="1"/>
  <c r="D35" i="100"/>
  <c r="CH35" i="100" s="1"/>
  <c r="AC36" i="99"/>
  <c r="AC16" i="99"/>
  <c r="Y13" i="99"/>
  <c r="AC24" i="99"/>
  <c r="AC17" i="99"/>
  <c r="D22" i="100"/>
  <c r="CH22" i="100" s="1"/>
  <c r="AC20" i="99"/>
  <c r="SB33" i="99"/>
  <c r="SB30" i="99"/>
  <c r="U17" i="99"/>
  <c r="D16" i="100"/>
  <c r="CH16" i="100" s="1"/>
  <c r="D21" i="100"/>
  <c r="CH21" i="100" s="1"/>
  <c r="U20" i="99"/>
  <c r="AC27" i="99"/>
  <c r="LI37" i="99"/>
  <c r="Q38" i="99"/>
  <c r="U38" i="99"/>
  <c r="AC10" i="99"/>
  <c r="AE12" i="100"/>
  <c r="AE13" i="100" s="1"/>
  <c r="AE14" i="100" s="1"/>
  <c r="AE15" i="100" s="1"/>
  <c r="AE16" i="100" s="1"/>
  <c r="AE17" i="100" s="1"/>
  <c r="AE18" i="100" s="1"/>
  <c r="AE19" i="100" s="1"/>
  <c r="AE20" i="100" s="1"/>
  <c r="AE21" i="100" s="1"/>
  <c r="AE22" i="100" s="1"/>
  <c r="AE23" i="100" s="1"/>
  <c r="AE24" i="100" s="1"/>
  <c r="AE25" i="100" s="1"/>
  <c r="AE26" i="100" s="1"/>
  <c r="AE27" i="100" s="1"/>
  <c r="AE28" i="100" s="1"/>
  <c r="AE29" i="100" s="1"/>
  <c r="AE30" i="100" s="1"/>
  <c r="AE31" i="100" s="1"/>
  <c r="AE32" i="100" s="1"/>
  <c r="AE33" i="100" s="1"/>
  <c r="AE34" i="100" s="1"/>
  <c r="AE35" i="100" s="1"/>
  <c r="AE36" i="100" s="1"/>
  <c r="AE37" i="100" s="1"/>
  <c r="AE38" i="100" s="1"/>
  <c r="AE39" i="100" s="1"/>
  <c r="AE40" i="100" s="1"/>
  <c r="AE41" i="100" s="1"/>
  <c r="AE42" i="100" s="1"/>
  <c r="NE9" i="99"/>
  <c r="AC12" i="99"/>
  <c r="AC25" i="99"/>
  <c r="Q27" i="99"/>
  <c r="FD30" i="99"/>
  <c r="AC38" i="99"/>
  <c r="D39" i="100"/>
  <c r="CH39" i="100" s="1"/>
  <c r="U11" i="99"/>
  <c r="NB20" i="99"/>
  <c r="NB21" i="99" s="1"/>
  <c r="NB22" i="99" s="1"/>
  <c r="NB23" i="99" s="1"/>
  <c r="NB24" i="99" s="1"/>
  <c r="NB25" i="99" s="1"/>
  <c r="NB26" i="99" s="1"/>
  <c r="NB27" i="99" s="1"/>
  <c r="NB29" i="99" s="1"/>
  <c r="NB30" i="99" s="1"/>
  <c r="NB31" i="99" s="1"/>
  <c r="NB32" i="99" s="1"/>
  <c r="NB33" i="99" s="1"/>
  <c r="NB34" i="99" s="1"/>
  <c r="NB35" i="99" s="1"/>
  <c r="NB36" i="99" s="1"/>
  <c r="NB37" i="99" s="1"/>
  <c r="NB38" i="99" s="1"/>
  <c r="NB39" i="99" s="1"/>
  <c r="NB40" i="99" s="1"/>
  <c r="Y21" i="99"/>
  <c r="AC22" i="99"/>
  <c r="Y31" i="99"/>
  <c r="Y32" i="99"/>
  <c r="Y34" i="99"/>
  <c r="FD37" i="99"/>
  <c r="AC11" i="99"/>
  <c r="AC14" i="99"/>
  <c r="AC18" i="99"/>
  <c r="U21" i="99"/>
  <c r="SB32" i="99"/>
  <c r="U24" i="99"/>
  <c r="Q32" i="99"/>
  <c r="Y27" i="99"/>
  <c r="U32" i="99"/>
  <c r="AC21" i="99"/>
  <c r="LI22" i="99"/>
  <c r="LI28" i="99"/>
  <c r="Y29" i="99"/>
  <c r="LI31" i="99"/>
  <c r="Y33" i="99"/>
  <c r="Y39" i="99"/>
  <c r="Q17" i="99"/>
  <c r="AC33" i="99"/>
  <c r="FD27" i="99"/>
  <c r="AC34" i="99"/>
  <c r="FD31" i="99"/>
  <c r="FD39" i="99"/>
  <c r="D41" i="100"/>
  <c r="CH41" i="100" s="1"/>
  <c r="Y15" i="99"/>
  <c r="SB26" i="99"/>
  <c r="MY31" i="111"/>
  <c r="PN32" i="111"/>
  <c r="OR30" i="111"/>
  <c r="ON31" i="111"/>
  <c r="Y40" i="99"/>
  <c r="BK44" i="100"/>
  <c r="BK46" i="100" s="1"/>
  <c r="BK47" i="100" s="1"/>
  <c r="Y28" i="95"/>
  <c r="AJ40" i="112"/>
  <c r="NS40" i="111"/>
  <c r="QE38" i="111"/>
  <c r="PF37" i="111"/>
  <c r="OZ38" i="111"/>
  <c r="OF38" i="111"/>
  <c r="NX38" i="111"/>
  <c r="MZ35" i="111"/>
  <c r="QF36" i="111"/>
  <c r="OZ37" i="102"/>
  <c r="PF36" i="102"/>
  <c r="AL35" i="103"/>
  <c r="FD25" i="99"/>
  <c r="FD28" i="99"/>
  <c r="U36" i="99"/>
  <c r="Y17" i="99"/>
  <c r="U33" i="99"/>
  <c r="OE42" i="99"/>
  <c r="NY10" i="99"/>
  <c r="OE9" i="99"/>
  <c r="P148" i="102"/>
  <c r="Y24" i="99"/>
  <c r="FD23" i="99"/>
  <c r="NY44" i="99"/>
  <c r="NY9" i="102"/>
  <c r="P177" i="99"/>
  <c r="O179" i="102"/>
  <c r="OC44" i="99"/>
  <c r="OC9" i="102"/>
  <c r="OC10" i="102" s="1"/>
  <c r="OC11" i="102" s="1"/>
  <c r="OC12" i="102" s="1"/>
  <c r="OC13" i="102" s="1"/>
  <c r="OC14" i="102" s="1"/>
  <c r="OC15" i="102" s="1"/>
  <c r="OC16" i="102" s="1"/>
  <c r="OC17" i="102" s="1"/>
  <c r="OC18" i="102" s="1"/>
  <c r="OC19" i="102" s="1"/>
  <c r="OC20" i="102" s="1"/>
  <c r="OC21" i="102" s="1"/>
  <c r="OC22" i="102" s="1"/>
  <c r="OC23" i="102" s="1"/>
  <c r="OC24" i="102" s="1"/>
  <c r="OC25" i="102" s="1"/>
  <c r="OC26" i="102" s="1"/>
  <c r="OC27" i="102" s="1"/>
  <c r="OC28" i="102" s="1"/>
  <c r="OC29" i="102" s="1"/>
  <c r="OC30" i="102" s="1"/>
  <c r="OC31" i="102" s="1"/>
  <c r="OC32" i="102" s="1"/>
  <c r="OC33" i="102" s="1"/>
  <c r="OC34" i="102" s="1"/>
  <c r="OC35" i="102" s="1"/>
  <c r="OC36" i="102" s="1"/>
  <c r="OC37" i="102" s="1"/>
  <c r="OC38" i="102" s="1"/>
  <c r="OC39" i="102" s="1"/>
  <c r="OC40" i="102" s="1"/>
  <c r="OC41" i="102" s="1"/>
  <c r="NF22" i="102"/>
  <c r="NS23" i="102"/>
  <c r="P65" i="102"/>
  <c r="O106" i="102"/>
  <c r="O149" i="102"/>
  <c r="P106" i="102"/>
  <c r="ND39" i="102"/>
  <c r="OF23" i="102"/>
  <c r="OR23" i="102" s="1"/>
  <c r="RH32" i="102"/>
  <c r="RK31" i="102"/>
  <c r="O66" i="102"/>
  <c r="RZ37" i="99"/>
  <c r="Q36" i="99"/>
  <c r="AF11" i="100"/>
  <c r="CC41" i="99"/>
  <c r="FD29" i="99"/>
  <c r="FD24" i="99"/>
  <c r="AC19" i="99"/>
  <c r="FD17" i="99"/>
  <c r="Y35" i="99"/>
  <c r="QP31" i="99"/>
  <c r="U34" i="99"/>
  <c r="C30" i="99"/>
  <c r="RZ32" i="99"/>
  <c r="D29" i="99"/>
  <c r="U29" i="99"/>
  <c r="QG10" i="99"/>
  <c r="QG11" i="99" s="1"/>
  <c r="QG12" i="99" s="1"/>
  <c r="QG13" i="99" s="1"/>
  <c r="QG14" i="99" s="1"/>
  <c r="QG15" i="99" s="1"/>
  <c r="QG16" i="99" s="1"/>
  <c r="QG17" i="99" s="1"/>
  <c r="QG18" i="99" s="1"/>
  <c r="QG19" i="99" s="1"/>
  <c r="QG20" i="99" s="1"/>
  <c r="QG21" i="99" s="1"/>
  <c r="QG22" i="99" s="1"/>
  <c r="QG23" i="99" s="1"/>
  <c r="QG24" i="99" s="1"/>
  <c r="QG25" i="99" s="1"/>
  <c r="QG26" i="99" s="1"/>
  <c r="QG27" i="99" s="1"/>
  <c r="QG28" i="99" s="1"/>
  <c r="QG29" i="99" s="1"/>
  <c r="QG30" i="99" s="1"/>
  <c r="QG31" i="99" s="1"/>
  <c r="QG32" i="99" s="1"/>
  <c r="QG33" i="99" s="1"/>
  <c r="QG34" i="99" s="1"/>
  <c r="QG35" i="99" s="1"/>
  <c r="QG36" i="99" s="1"/>
  <c r="QG37" i="99" s="1"/>
  <c r="QG38" i="99" s="1"/>
  <c r="QG39" i="99" s="1"/>
  <c r="QG40" i="99" s="1"/>
  <c r="QG41" i="99" s="1"/>
  <c r="SB23" i="99"/>
  <c r="U39" i="99"/>
  <c r="Q39" i="99"/>
  <c r="FD38" i="99"/>
  <c r="Y38" i="99"/>
  <c r="AC37" i="99"/>
  <c r="C37" i="99"/>
  <c r="SB36" i="99"/>
  <c r="FD36" i="99"/>
  <c r="U35" i="99"/>
  <c r="LI34" i="99"/>
  <c r="D34" i="99"/>
  <c r="FD33" i="99"/>
  <c r="FD32" i="99"/>
  <c r="DC31" i="99"/>
  <c r="AC31" i="99"/>
  <c r="U30" i="99"/>
  <c r="AC29" i="99"/>
  <c r="FD26" i="99"/>
  <c r="FD16" i="99"/>
  <c r="FD15" i="99"/>
  <c r="AC15" i="99"/>
  <c r="S41" i="99"/>
  <c r="FD13" i="99"/>
  <c r="AC13" i="99"/>
  <c r="FD12" i="99"/>
  <c r="FM41" i="99"/>
  <c r="FM42" i="99" s="1"/>
  <c r="FM44" i="99" s="1"/>
  <c r="CU41" i="99"/>
  <c r="CU42" i="99" s="1"/>
  <c r="CU44" i="99" s="1"/>
  <c r="CS41" i="99"/>
  <c r="CS42" i="99" s="1"/>
  <c r="CS44" i="99" s="1"/>
  <c r="AK41" i="99"/>
  <c r="AG41" i="99"/>
  <c r="BE44" i="100"/>
  <c r="BE46" i="100" s="1"/>
  <c r="BE47" i="100" s="1"/>
  <c r="AR42" i="100"/>
  <c r="CL42" i="100"/>
  <c r="D42" i="100"/>
  <c r="CH42" i="100" s="1"/>
  <c r="R42" i="100"/>
  <c r="S42" i="100" s="1"/>
  <c r="E42" i="100" s="1"/>
  <c r="AR41" i="100"/>
  <c r="CL41" i="100"/>
  <c r="CL40" i="100"/>
  <c r="AR40" i="100"/>
  <c r="R40" i="100"/>
  <c r="S40" i="100" s="1"/>
  <c r="E40" i="100" s="1"/>
  <c r="D40" i="100"/>
  <c r="CH40" i="100" s="1"/>
  <c r="CL39" i="100"/>
  <c r="AR39" i="100"/>
  <c r="R38" i="100"/>
  <c r="S38" i="100" s="1"/>
  <c r="E38" i="100" s="1"/>
  <c r="D38" i="100"/>
  <c r="CH38" i="100" s="1"/>
  <c r="R37" i="100"/>
  <c r="S37" i="100" s="1"/>
  <c r="E37" i="100" s="1"/>
  <c r="D37" i="100"/>
  <c r="CH37" i="100" s="1"/>
  <c r="CL36" i="100"/>
  <c r="AR36" i="100"/>
  <c r="R36" i="100"/>
  <c r="S36" i="100" s="1"/>
  <c r="E36" i="100" s="1"/>
  <c r="D36" i="100"/>
  <c r="CH36" i="100" s="1"/>
  <c r="CL35" i="100"/>
  <c r="AR35" i="100"/>
  <c r="AR34" i="100"/>
  <c r="CL34" i="100"/>
  <c r="R34" i="100"/>
  <c r="S34" i="100" s="1"/>
  <c r="E34" i="100" s="1"/>
  <c r="D34" i="100"/>
  <c r="CH34" i="100" s="1"/>
  <c r="AR33" i="100"/>
  <c r="CL33" i="100"/>
  <c r="AR32" i="100"/>
  <c r="CL32" i="100"/>
  <c r="R32" i="100"/>
  <c r="S32" i="100" s="1"/>
  <c r="E32" i="100" s="1"/>
  <c r="D32" i="100"/>
  <c r="CH32" i="100" s="1"/>
  <c r="R31" i="100"/>
  <c r="S31" i="100" s="1"/>
  <c r="E31" i="100" s="1"/>
  <c r="D31" i="100"/>
  <c r="CH31" i="100" s="1"/>
  <c r="AR30" i="100"/>
  <c r="CL30" i="100"/>
  <c r="R29" i="100"/>
  <c r="S29" i="100" s="1"/>
  <c r="E29" i="100" s="1"/>
  <c r="D29" i="100"/>
  <c r="CH29" i="100" s="1"/>
  <c r="AR28" i="100"/>
  <c r="CL28" i="100"/>
  <c r="R28" i="100"/>
  <c r="S28" i="100" s="1"/>
  <c r="E28" i="100" s="1"/>
  <c r="D28" i="100"/>
  <c r="CH28" i="100" s="1"/>
  <c r="CL27" i="100"/>
  <c r="AR27" i="100"/>
  <c r="R27" i="100"/>
  <c r="S27" i="100" s="1"/>
  <c r="E27" i="100" s="1"/>
  <c r="D27" i="100"/>
  <c r="CH27" i="100" s="1"/>
  <c r="CL26" i="100"/>
  <c r="AR26" i="100"/>
  <c r="R26" i="100"/>
  <c r="S26" i="100" s="1"/>
  <c r="E26" i="100" s="1"/>
  <c r="D26" i="100"/>
  <c r="CH26" i="100" s="1"/>
  <c r="AR25" i="100"/>
  <c r="CL25" i="100"/>
  <c r="R25" i="100"/>
  <c r="S25" i="100" s="1"/>
  <c r="E25" i="100" s="1"/>
  <c r="D25" i="100"/>
  <c r="CH25" i="100" s="1"/>
  <c r="AR24" i="100"/>
  <c r="CL24" i="100"/>
  <c r="R24" i="100"/>
  <c r="S24" i="100" s="1"/>
  <c r="E24" i="100" s="1"/>
  <c r="D24" i="100"/>
  <c r="CH24" i="100" s="1"/>
  <c r="R23" i="100"/>
  <c r="S23" i="100" s="1"/>
  <c r="E23" i="100" s="1"/>
  <c r="D23" i="100"/>
  <c r="CH23" i="100" s="1"/>
  <c r="CL22" i="100"/>
  <c r="AR22" i="100"/>
  <c r="R20" i="100"/>
  <c r="S20" i="100" s="1"/>
  <c r="E20" i="100" s="1"/>
  <c r="D20" i="100"/>
  <c r="CH20" i="100" s="1"/>
  <c r="CL19" i="100"/>
  <c r="AR19" i="100"/>
  <c r="R19" i="100"/>
  <c r="S19" i="100" s="1"/>
  <c r="E19" i="100" s="1"/>
  <c r="D19" i="100"/>
  <c r="CH19" i="100" s="1"/>
  <c r="CL18" i="100"/>
  <c r="AR18" i="100"/>
  <c r="AR17" i="100"/>
  <c r="CL17" i="100"/>
  <c r="R17" i="100"/>
  <c r="S17" i="100" s="1"/>
  <c r="E17" i="100" s="1"/>
  <c r="D17" i="100"/>
  <c r="CH17" i="100" s="1"/>
  <c r="CL16" i="100"/>
  <c r="AR16" i="100"/>
  <c r="CL15" i="100"/>
  <c r="AR15" i="100"/>
  <c r="R15" i="100"/>
  <c r="S15" i="100" s="1"/>
  <c r="E15" i="100" s="1"/>
  <c r="D15" i="100"/>
  <c r="CH15" i="100" s="1"/>
  <c r="CL14" i="100"/>
  <c r="AR14" i="100"/>
  <c r="R14" i="100"/>
  <c r="S14" i="100" s="1"/>
  <c r="E14" i="100" s="1"/>
  <c r="D14" i="100"/>
  <c r="CH14" i="100" s="1"/>
  <c r="R12" i="100"/>
  <c r="S12" i="100" s="1"/>
  <c r="E12" i="100" s="1"/>
  <c r="D12" i="100"/>
  <c r="CH12" i="100" s="1"/>
  <c r="AK43" i="99"/>
  <c r="AK44" i="99" s="1"/>
  <c r="AI44" i="99"/>
  <c r="P94" i="99"/>
  <c r="D43" i="99"/>
  <c r="H47" i="99" s="1"/>
  <c r="O94" i="99"/>
  <c r="O95" i="99" s="1"/>
  <c r="O96" i="99" s="1"/>
  <c r="O97" i="99" s="1"/>
  <c r="C43" i="99"/>
  <c r="IU44" i="99"/>
  <c r="IS44" i="99"/>
  <c r="IO42" i="99"/>
  <c r="IL44" i="99"/>
  <c r="IF44" i="99"/>
  <c r="CJ44" i="99"/>
  <c r="CI42" i="99"/>
  <c r="CI44" i="99" s="1"/>
  <c r="CF41" i="99"/>
  <c r="CF42" i="99" s="1"/>
  <c r="CF44" i="99" s="1"/>
  <c r="CD42" i="99"/>
  <c r="BX42" i="99"/>
  <c r="BZ41" i="99"/>
  <c r="BR42" i="99"/>
  <c r="BT41" i="99"/>
  <c r="BT42" i="99" s="1"/>
  <c r="BT44" i="99" s="1"/>
  <c r="BK41" i="99"/>
  <c r="BI42" i="99"/>
  <c r="BF42" i="99"/>
  <c r="BH41" i="99"/>
  <c r="AE44" i="99"/>
  <c r="K44" i="99"/>
  <c r="AV127" i="2"/>
  <c r="PF10" i="99"/>
  <c r="OZ11" i="99"/>
  <c r="OA27" i="99"/>
  <c r="OA28" i="99" s="1"/>
  <c r="OA29" i="99" s="1"/>
  <c r="OA30" i="99" s="1"/>
  <c r="OA31" i="99" s="1"/>
  <c r="OA32" i="99" s="1"/>
  <c r="OA33" i="99" s="1"/>
  <c r="OA34" i="99" s="1"/>
  <c r="OA35" i="99" s="1"/>
  <c r="OA36" i="99" s="1"/>
  <c r="OA37" i="99" s="1"/>
  <c r="OA38" i="99" s="1"/>
  <c r="OA39" i="99" s="1"/>
  <c r="OA40" i="99" s="1"/>
  <c r="OA41" i="99" s="1"/>
  <c r="OA25" i="99"/>
  <c r="D30" i="100"/>
  <c r="Y14" i="99"/>
  <c r="DC22" i="99"/>
  <c r="Q26" i="99"/>
  <c r="AK43" i="100"/>
  <c r="AK44" i="100" s="1"/>
  <c r="Y26" i="99"/>
  <c r="RZ26" i="99"/>
  <c r="Q25" i="99"/>
  <c r="LI23" i="99"/>
  <c r="Y23" i="99"/>
  <c r="U23" i="99"/>
  <c r="Y20" i="99"/>
  <c r="SB19" i="99"/>
  <c r="Y19" i="99"/>
  <c r="C16" i="99"/>
  <c r="U19" i="99"/>
  <c r="R21" i="100"/>
  <c r="S21" i="100" s="1"/>
  <c r="E21" i="100" s="1"/>
  <c r="Y18" i="99"/>
  <c r="U18" i="99"/>
  <c r="SB18" i="99"/>
  <c r="RZ17" i="99"/>
  <c r="Y16" i="99"/>
  <c r="U16" i="99"/>
  <c r="D50" i="100"/>
  <c r="O177" i="99"/>
  <c r="O178" i="99" s="1"/>
  <c r="SB15" i="99"/>
  <c r="KS44" i="99"/>
  <c r="AV158" i="2"/>
  <c r="KT44" i="99"/>
  <c r="AV159" i="2"/>
  <c r="KU44" i="99"/>
  <c r="AV160" i="2"/>
  <c r="U15" i="99"/>
  <c r="RZ15" i="99"/>
  <c r="Y43" i="99"/>
  <c r="W94" i="99"/>
  <c r="W95" i="99" s="1"/>
  <c r="U13" i="99"/>
  <c r="BW41" i="99"/>
  <c r="SB14" i="99"/>
  <c r="Q14" i="99"/>
  <c r="U14" i="99"/>
  <c r="SB13" i="99"/>
  <c r="HH44" i="99"/>
  <c r="JA44" i="99"/>
  <c r="IH44" i="99"/>
  <c r="C136" i="99"/>
  <c r="CH44" i="99"/>
  <c r="SB12" i="99"/>
  <c r="LI11" i="99"/>
  <c r="D11" i="99"/>
  <c r="AY41" i="99"/>
  <c r="R13" i="100"/>
  <c r="S13" i="100" s="1"/>
  <c r="E13" i="100" s="1"/>
  <c r="HJ42" i="99"/>
  <c r="HJ44" i="99" s="1"/>
  <c r="AV129" i="2"/>
  <c r="M44" i="99"/>
  <c r="AV128" i="2"/>
  <c r="L44" i="99"/>
  <c r="BV44" i="99"/>
  <c r="CK44" i="99"/>
  <c r="KO44" i="99"/>
  <c r="KN44" i="99"/>
  <c r="KP44" i="99"/>
  <c r="HF42" i="99"/>
  <c r="HF44" i="99" s="1"/>
  <c r="IY44" i="99"/>
  <c r="IJ44" i="99"/>
  <c r="BJ43" i="100"/>
  <c r="BJ44" i="100" s="1"/>
  <c r="BJ46" i="100" s="1"/>
  <c r="BJ47" i="100" s="1"/>
  <c r="R39" i="100"/>
  <c r="S39" i="100" s="1"/>
  <c r="E39" i="100" s="1"/>
  <c r="R22" i="100"/>
  <c r="S22" i="100" s="1"/>
  <c r="E22" i="100" s="1"/>
  <c r="Q43" i="100"/>
  <c r="Q44" i="100" s="1"/>
  <c r="S44" i="100" s="1"/>
  <c r="R18" i="100"/>
  <c r="S18" i="100" s="1"/>
  <c r="E18" i="100" s="1"/>
  <c r="R35" i="100"/>
  <c r="S35" i="100" s="1"/>
  <c r="E35" i="100" s="1"/>
  <c r="G6" i="100"/>
  <c r="DC38" i="99"/>
  <c r="DC29" i="99"/>
  <c r="DC20" i="99"/>
  <c r="DC12" i="99"/>
  <c r="DC37" i="99"/>
  <c r="DA41" i="99"/>
  <c r="DA42" i="99" s="1"/>
  <c r="DA44" i="99" s="1"/>
  <c r="RZ16" i="99"/>
  <c r="DC14" i="99"/>
  <c r="RZ39" i="99"/>
  <c r="DC19" i="99"/>
  <c r="DC32" i="99"/>
  <c r="DC13" i="99"/>
  <c r="DC11" i="99"/>
  <c r="DC15" i="99"/>
  <c r="DC34" i="99"/>
  <c r="DC40" i="99"/>
  <c r="DC26" i="99"/>
  <c r="DC36" i="99"/>
  <c r="DC17" i="99"/>
  <c r="DC28" i="99"/>
  <c r="DC30" i="99"/>
  <c r="Y22" i="99"/>
  <c r="Y30" i="99"/>
  <c r="Y11" i="99"/>
  <c r="Y37" i="99"/>
  <c r="D38" i="99"/>
  <c r="Y28" i="99"/>
  <c r="Y12" i="99"/>
  <c r="AC35" i="99"/>
  <c r="RZ23" i="99"/>
  <c r="AC23" i="99"/>
  <c r="RZ29" i="99"/>
  <c r="AC39" i="99"/>
  <c r="RZ40" i="99"/>
  <c r="D15" i="99"/>
  <c r="RZ19" i="99"/>
  <c r="AC28" i="99"/>
  <c r="RZ34" i="99"/>
  <c r="D14" i="99"/>
  <c r="C28" i="99"/>
  <c r="D33" i="99"/>
  <c r="D10" i="99"/>
  <c r="D28" i="99"/>
  <c r="U37" i="99"/>
  <c r="U10" i="99"/>
  <c r="U28" i="99"/>
  <c r="C12" i="99"/>
  <c r="D16" i="99"/>
  <c r="D12" i="99"/>
  <c r="RZ11" i="99"/>
  <c r="U12" i="99"/>
  <c r="C20" i="99"/>
  <c r="D30" i="99"/>
  <c r="C40" i="99"/>
  <c r="D17" i="99"/>
  <c r="C39" i="99"/>
  <c r="D31" i="99"/>
  <c r="D36" i="99"/>
  <c r="D13" i="99"/>
  <c r="D20" i="99"/>
  <c r="U31" i="99"/>
  <c r="D18" i="99"/>
  <c r="C11" i="99"/>
  <c r="D21" i="99"/>
  <c r="D26" i="99"/>
  <c r="D32" i="99"/>
  <c r="D37" i="99"/>
  <c r="BN41" i="99"/>
  <c r="BN42" i="99" s="1"/>
  <c r="BN44" i="99" s="1"/>
  <c r="RZ25" i="99"/>
  <c r="RZ21" i="99"/>
  <c r="Q29" i="99"/>
  <c r="C36" i="99"/>
  <c r="RZ14" i="99"/>
  <c r="RZ36" i="99"/>
  <c r="Q13" i="99"/>
  <c r="RZ35" i="99"/>
  <c r="Q30" i="99"/>
  <c r="Q11" i="99"/>
  <c r="Q31" i="99"/>
  <c r="C27" i="99"/>
  <c r="RZ13" i="99"/>
  <c r="RZ12" i="99"/>
  <c r="RZ18" i="99"/>
  <c r="D19" i="99"/>
  <c r="Q22" i="99"/>
  <c r="RZ28" i="99"/>
  <c r="RZ33" i="99"/>
  <c r="AX42" i="99"/>
  <c r="AX44" i="99" s="1"/>
  <c r="D22" i="99"/>
  <c r="D23" i="99"/>
  <c r="C29" i="99"/>
  <c r="RZ30" i="99"/>
  <c r="RZ38" i="99"/>
  <c r="Q40" i="99"/>
  <c r="D27" i="99"/>
  <c r="Q28" i="99"/>
  <c r="Q20" i="99"/>
  <c r="Q24" i="99"/>
  <c r="O41" i="99"/>
  <c r="C13" i="99"/>
  <c r="D24" i="99"/>
  <c r="Q37" i="99"/>
  <c r="C25" i="99"/>
  <c r="Q34" i="99"/>
  <c r="RZ20" i="99"/>
  <c r="D25" i="99"/>
  <c r="PY41" i="99"/>
  <c r="PY42" i="99" s="1"/>
  <c r="PY44" i="99" s="1"/>
  <c r="LI16" i="99"/>
  <c r="LI38" i="99"/>
  <c r="LI17" i="99"/>
  <c r="LI24" i="99"/>
  <c r="LI32" i="99"/>
  <c r="LI25" i="99"/>
  <c r="LI33" i="99"/>
  <c r="LI13" i="99"/>
  <c r="LI14" i="99"/>
  <c r="LI39" i="99"/>
  <c r="LH41" i="99"/>
  <c r="LH42" i="99" s="1"/>
  <c r="RI20" i="99"/>
  <c r="RI21" i="99" s="1"/>
  <c r="RI22" i="99" s="1"/>
  <c r="RI23" i="99" s="1"/>
  <c r="RI24" i="99" s="1"/>
  <c r="RI25" i="99" s="1"/>
  <c r="RI26" i="99" s="1"/>
  <c r="RI27" i="99" s="1"/>
  <c r="RI28" i="99" s="1"/>
  <c r="RI29" i="99" s="1"/>
  <c r="RI30" i="99" s="1"/>
  <c r="RI31" i="99" s="1"/>
  <c r="RI32" i="99" s="1"/>
  <c r="RI33" i="99" s="1"/>
  <c r="RI34" i="99" s="1"/>
  <c r="RI35" i="99" s="1"/>
  <c r="RI36" i="99" s="1"/>
  <c r="RI37" i="99" s="1"/>
  <c r="RI38" i="99" s="1"/>
  <c r="RI39" i="99" s="1"/>
  <c r="RI40" i="99" s="1"/>
  <c r="LI18" i="99"/>
  <c r="LI15" i="99"/>
  <c r="LI20" i="99"/>
  <c r="LI12" i="99"/>
  <c r="LI36" i="99"/>
  <c r="LI40" i="99"/>
  <c r="LF41" i="99"/>
  <c r="LF42" i="99" s="1"/>
  <c r="LI27" i="99"/>
  <c r="LG41" i="99"/>
  <c r="LH49" i="99" s="1"/>
  <c r="QO33" i="99"/>
  <c r="QP18" i="99"/>
  <c r="QO21" i="99"/>
  <c r="SB17" i="99"/>
  <c r="QP21" i="99"/>
  <c r="QO13" i="99"/>
  <c r="QP12" i="99"/>
  <c r="QP13" i="99"/>
  <c r="SB21" i="99"/>
  <c r="QP35" i="99"/>
  <c r="QP36" i="99"/>
  <c r="GM38" i="99"/>
  <c r="GX49" i="99" s="1"/>
  <c r="GM16" i="99"/>
  <c r="QO23" i="99"/>
  <c r="QP26" i="99"/>
  <c r="QP14" i="99"/>
  <c r="QO12" i="99"/>
  <c r="GM39" i="99"/>
  <c r="QO18" i="99"/>
  <c r="QO15" i="99"/>
  <c r="QO24" i="99"/>
  <c r="GM29" i="99"/>
  <c r="GM35" i="99"/>
  <c r="QO16" i="99"/>
  <c r="GM17" i="99"/>
  <c r="QO35" i="99"/>
  <c r="QP15" i="99"/>
  <c r="QO19" i="99"/>
  <c r="GM12" i="99"/>
  <c r="QP33" i="99"/>
  <c r="QP20" i="99"/>
  <c r="GM20" i="99"/>
  <c r="GM36" i="99"/>
  <c r="GM32" i="99"/>
  <c r="GM13" i="99"/>
  <c r="QO26" i="99"/>
  <c r="QO36" i="99"/>
  <c r="GM33" i="99"/>
  <c r="QP34" i="99"/>
  <c r="QP38" i="99"/>
  <c r="GM34" i="99"/>
  <c r="GM24" i="99"/>
  <c r="GM28" i="99"/>
  <c r="QP32" i="99"/>
  <c r="QO30" i="99"/>
  <c r="GM21" i="99"/>
  <c r="GM18" i="99"/>
  <c r="GM40" i="99"/>
  <c r="SB39" i="99"/>
  <c r="SB11" i="99"/>
  <c r="SB24" i="99"/>
  <c r="SB35" i="99"/>
  <c r="AD14" i="100"/>
  <c r="R16" i="100"/>
  <c r="S16" i="100" s="1"/>
  <c r="E16" i="100" s="1"/>
  <c r="R33" i="100"/>
  <c r="S33" i="100" s="1"/>
  <c r="E33" i="100" s="1"/>
  <c r="R41" i="100"/>
  <c r="S41" i="100" s="1"/>
  <c r="E41" i="100" s="1"/>
  <c r="C43" i="100"/>
  <c r="AB43" i="100"/>
  <c r="AB44" i="100" s="1"/>
  <c r="AR12" i="100"/>
  <c r="AR20" i="100"/>
  <c r="AR37" i="100"/>
  <c r="AR29" i="100"/>
  <c r="BM12" i="100"/>
  <c r="BM13" i="100" s="1"/>
  <c r="BM14" i="100" s="1"/>
  <c r="BM15" i="100" s="1"/>
  <c r="BM16" i="100" s="1"/>
  <c r="BM17" i="100" s="1"/>
  <c r="BM18" i="100" s="1"/>
  <c r="BM19" i="100" s="1"/>
  <c r="BM21" i="100" s="1"/>
  <c r="BM22" i="100" s="1"/>
  <c r="BM23" i="100" s="1"/>
  <c r="BM24" i="100" s="1"/>
  <c r="BM25" i="100" s="1"/>
  <c r="BM26" i="100" s="1"/>
  <c r="BM27" i="100" s="1"/>
  <c r="BM28" i="100" s="1"/>
  <c r="BM29" i="100" s="1"/>
  <c r="BM31" i="100" s="1"/>
  <c r="BM32" i="100" s="1"/>
  <c r="BM33" i="100" s="1"/>
  <c r="BM34" i="100" s="1"/>
  <c r="BM35" i="100" s="1"/>
  <c r="BM36" i="100" s="1"/>
  <c r="BM37" i="100" s="1"/>
  <c r="BM38" i="100" s="1"/>
  <c r="BM39" i="100" s="1"/>
  <c r="BM40" i="100" s="1"/>
  <c r="BM41" i="100" s="1"/>
  <c r="BM42" i="100" s="1"/>
  <c r="BM43" i="100" s="1"/>
  <c r="AR13" i="100"/>
  <c r="AR21" i="100"/>
  <c r="AR38" i="100"/>
  <c r="AR23" i="100"/>
  <c r="AR31" i="100"/>
  <c r="GM15" i="99"/>
  <c r="PB12" i="99"/>
  <c r="PB13" i="99" s="1"/>
  <c r="PB14" i="99" s="1"/>
  <c r="PB15" i="99" s="1"/>
  <c r="PB16" i="99" s="1"/>
  <c r="PB17" i="99" s="1"/>
  <c r="PB18" i="99" s="1"/>
  <c r="PB19" i="99" s="1"/>
  <c r="PB20" i="99" s="1"/>
  <c r="PB21" i="99" s="1"/>
  <c r="PB22" i="99" s="1"/>
  <c r="PB23" i="99" s="1"/>
  <c r="PB24" i="99" s="1"/>
  <c r="PB25" i="99" s="1"/>
  <c r="PB26" i="99" s="1"/>
  <c r="PB27" i="99" s="1"/>
  <c r="PB28" i="99" s="1"/>
  <c r="PB29" i="99" s="1"/>
  <c r="PB30" i="99" s="1"/>
  <c r="PB31" i="99" s="1"/>
  <c r="PB32" i="99" s="1"/>
  <c r="PB33" i="99" s="1"/>
  <c r="PB34" i="99" s="1"/>
  <c r="PB35" i="99" s="1"/>
  <c r="PB36" i="99" s="1"/>
  <c r="PB37" i="99" s="1"/>
  <c r="PB38" i="99" s="1"/>
  <c r="PB39" i="99" s="1"/>
  <c r="PB40" i="99" s="1"/>
  <c r="PB41" i="99" s="1"/>
  <c r="PB42" i="99" s="1"/>
  <c r="PB44" i="99" s="1"/>
  <c r="FD14" i="99"/>
  <c r="QE12" i="99"/>
  <c r="FD11" i="99"/>
  <c r="ND21" i="99"/>
  <c r="ND22" i="99" s="1"/>
  <c r="ND23" i="99" s="1"/>
  <c r="ND24" i="99" s="1"/>
  <c r="ND25" i="99" s="1"/>
  <c r="ND26" i="99" s="1"/>
  <c r="ND27" i="99" s="1"/>
  <c r="ND28" i="99" s="1"/>
  <c r="ND29" i="99" s="1"/>
  <c r="NF13" i="99"/>
  <c r="NS13" i="99"/>
  <c r="GM11" i="99"/>
  <c r="GV41" i="99"/>
  <c r="GV42" i="99" s="1"/>
  <c r="GV44" i="99" s="1"/>
  <c r="C14" i="99"/>
  <c r="QO14" i="99"/>
  <c r="QP16" i="99"/>
  <c r="C17" i="99"/>
  <c r="C21" i="99"/>
  <c r="Q21" i="99"/>
  <c r="QP22" i="99"/>
  <c r="GM25" i="99"/>
  <c r="DQ41" i="99"/>
  <c r="DQ42" i="99" s="1"/>
  <c r="DQ44" i="99" s="1"/>
  <c r="NB10" i="99"/>
  <c r="Q12" i="99"/>
  <c r="QO20" i="99"/>
  <c r="GM23" i="99"/>
  <c r="QP23" i="99"/>
  <c r="DC24" i="99"/>
  <c r="FB41" i="99"/>
  <c r="FB42" i="99" s="1"/>
  <c r="FB44" i="99" s="1"/>
  <c r="ED41" i="99"/>
  <c r="ED42" i="99" s="1"/>
  <c r="ED44" i="99" s="1"/>
  <c r="NC10" i="99"/>
  <c r="NC11" i="99" s="1"/>
  <c r="NC12" i="99" s="1"/>
  <c r="NC13" i="99" s="1"/>
  <c r="NC14" i="99" s="1"/>
  <c r="NC15" i="99" s="1"/>
  <c r="NC16" i="99" s="1"/>
  <c r="NC17" i="99" s="1"/>
  <c r="OF11" i="99"/>
  <c r="QO11" i="99"/>
  <c r="DC16" i="99"/>
  <c r="RJ20" i="99"/>
  <c r="RJ21" i="99" s="1"/>
  <c r="RJ22" i="99" s="1"/>
  <c r="RJ23" i="99" s="1"/>
  <c r="RJ24" i="99" s="1"/>
  <c r="RJ25" i="99" s="1"/>
  <c r="RJ26" i="99" s="1"/>
  <c r="RJ27" i="99" s="1"/>
  <c r="RJ28" i="99" s="1"/>
  <c r="RJ29" i="99" s="1"/>
  <c r="RJ30" i="99" s="1"/>
  <c r="RJ31" i="99" s="1"/>
  <c r="RJ32" i="99" s="1"/>
  <c r="RJ33" i="99" s="1"/>
  <c r="RJ34" i="99" s="1"/>
  <c r="RJ35" i="99" s="1"/>
  <c r="RJ36" i="99" s="1"/>
  <c r="RJ37" i="99" s="1"/>
  <c r="RJ38" i="99" s="1"/>
  <c r="RJ39" i="99" s="1"/>
  <c r="RJ40" i="99" s="1"/>
  <c r="RZ22" i="99"/>
  <c r="GM26" i="99"/>
  <c r="GM27" i="99"/>
  <c r="GM14" i="99"/>
  <c r="AA41" i="99"/>
  <c r="DC10" i="99"/>
  <c r="CM41" i="99"/>
  <c r="CM42" i="99" s="1"/>
  <c r="CM44" i="99" s="1"/>
  <c r="IP41" i="99"/>
  <c r="QP11" i="99"/>
  <c r="DC18" i="99"/>
  <c r="GM19" i="99"/>
  <c r="SB20" i="99"/>
  <c r="Q10" i="99"/>
  <c r="RH19" i="99"/>
  <c r="LI19" i="99"/>
  <c r="C10" i="99"/>
  <c r="EQ41" i="99"/>
  <c r="EQ42" i="99" s="1"/>
  <c r="EQ44" i="99" s="1"/>
  <c r="PL41" i="99"/>
  <c r="PL42" i="99" s="1"/>
  <c r="RV10" i="99"/>
  <c r="SB10" i="99" s="1"/>
  <c r="CQ41" i="99"/>
  <c r="CQ42" i="99" s="1"/>
  <c r="CQ44" i="99" s="1"/>
  <c r="EX41" i="99"/>
  <c r="EX42" i="99" s="1"/>
  <c r="EX44" i="99" s="1"/>
  <c r="JE41" i="99"/>
  <c r="RZ10" i="99"/>
  <c r="Y25" i="99"/>
  <c r="FA10" i="99"/>
  <c r="JK41" i="99"/>
  <c r="PX41" i="99"/>
  <c r="Q16" i="99"/>
  <c r="QO17" i="99"/>
  <c r="FD18" i="99"/>
  <c r="QO27" i="99"/>
  <c r="SB27" i="99"/>
  <c r="QP27" i="99"/>
  <c r="P41" i="99"/>
  <c r="FC41" i="99"/>
  <c r="FC42" i="99" s="1"/>
  <c r="FC44" i="99" s="1"/>
  <c r="Q18" i="99"/>
  <c r="C18" i="99"/>
  <c r="QP19" i="99"/>
  <c r="FD22" i="99"/>
  <c r="QO25" i="99"/>
  <c r="SB25" i="99"/>
  <c r="QP25" i="99"/>
  <c r="RZ27" i="99"/>
  <c r="LI21" i="99"/>
  <c r="T41" i="99"/>
  <c r="T49" i="99" s="1"/>
  <c r="T50" i="99" s="1"/>
  <c r="CW41" i="99"/>
  <c r="CW42" i="99" s="1"/>
  <c r="CW44" i="99" s="1"/>
  <c r="FT41" i="99"/>
  <c r="FT42" i="99" s="1"/>
  <c r="FT44" i="99" s="1"/>
  <c r="LV41" i="99"/>
  <c r="LV42" i="99" s="1"/>
  <c r="LV44" i="99" s="1"/>
  <c r="DC23" i="99"/>
  <c r="DC25" i="99"/>
  <c r="GG41" i="99"/>
  <c r="GG42" i="99" s="1"/>
  <c r="GG44" i="99" s="1"/>
  <c r="MB41" i="99"/>
  <c r="MB42" i="99" s="1"/>
  <c r="MB44" i="99" s="1"/>
  <c r="RH10" i="99"/>
  <c r="QP17" i="99"/>
  <c r="FD19" i="99"/>
  <c r="DC21" i="99"/>
  <c r="LI10" i="99"/>
  <c r="CY41" i="99"/>
  <c r="CY42" i="99" s="1"/>
  <c r="CY44" i="99" s="1"/>
  <c r="MT41" i="99"/>
  <c r="MT42" i="99" s="1"/>
  <c r="MT44" i="99" s="1"/>
  <c r="RI10" i="99"/>
  <c r="RI11" i="99" s="1"/>
  <c r="RI12" i="99" s="1"/>
  <c r="RI13" i="99" s="1"/>
  <c r="RI14" i="99" s="1"/>
  <c r="RI15" i="99" s="1"/>
  <c r="RI16" i="99" s="1"/>
  <c r="RI17" i="99" s="1"/>
  <c r="GM22" i="99"/>
  <c r="QF10" i="99"/>
  <c r="QF11" i="99" s="1"/>
  <c r="QF12" i="99" s="1"/>
  <c r="QF13" i="99" s="1"/>
  <c r="QF14" i="99" s="1"/>
  <c r="QF15" i="99" s="1"/>
  <c r="QF16" i="99" s="1"/>
  <c r="QF17" i="99" s="1"/>
  <c r="QF18" i="99" s="1"/>
  <c r="QF19" i="99" s="1"/>
  <c r="QF20" i="99" s="1"/>
  <c r="QF21" i="99" s="1"/>
  <c r="QF22" i="99" s="1"/>
  <c r="QF23" i="99" s="1"/>
  <c r="QF24" i="99" s="1"/>
  <c r="QF25" i="99" s="1"/>
  <c r="QF26" i="99" s="1"/>
  <c r="QF27" i="99" s="1"/>
  <c r="QF28" i="99" s="1"/>
  <c r="QF29" i="99" s="1"/>
  <c r="QF30" i="99" s="1"/>
  <c r="QF31" i="99" s="1"/>
  <c r="QF32" i="99" s="1"/>
  <c r="QF33" i="99" s="1"/>
  <c r="QF34" i="99" s="1"/>
  <c r="QF35" i="99" s="1"/>
  <c r="QF36" i="99" s="1"/>
  <c r="QF37" i="99" s="1"/>
  <c r="QF38" i="99" s="1"/>
  <c r="QF39" i="99" s="1"/>
  <c r="QF40" i="99" s="1"/>
  <c r="QF41" i="99" s="1"/>
  <c r="C15" i="99"/>
  <c r="X41" i="99"/>
  <c r="GK10" i="99"/>
  <c r="QO10" i="99"/>
  <c r="RJ10" i="99"/>
  <c r="RJ11" i="99" s="1"/>
  <c r="RJ12" i="99" s="1"/>
  <c r="RJ13" i="99" s="1"/>
  <c r="RJ14" i="99" s="1"/>
  <c r="RJ15" i="99" s="1"/>
  <c r="RJ16" i="99" s="1"/>
  <c r="RJ17" i="99" s="1"/>
  <c r="FD21" i="99"/>
  <c r="U22" i="99"/>
  <c r="Q23" i="99"/>
  <c r="C23" i="99"/>
  <c r="RZ24" i="99"/>
  <c r="W41" i="99"/>
  <c r="GJ41" i="99"/>
  <c r="GJ42" i="99" s="1"/>
  <c r="GJ44" i="99" s="1"/>
  <c r="Y10" i="99"/>
  <c r="GL41" i="99"/>
  <c r="GL42" i="99" s="1"/>
  <c r="GL44" i="99" s="1"/>
  <c r="QP10" i="99"/>
  <c r="Q15" i="99"/>
  <c r="SB16" i="99"/>
  <c r="Q19" i="99"/>
  <c r="C19" i="99"/>
  <c r="C22" i="99"/>
  <c r="U26" i="99"/>
  <c r="C31" i="99"/>
  <c r="SB28" i="99"/>
  <c r="QP28" i="99"/>
  <c r="SB22" i="99"/>
  <c r="U27" i="99"/>
  <c r="QO31" i="99"/>
  <c r="C33" i="99"/>
  <c r="Q33" i="99"/>
  <c r="GM31" i="99"/>
  <c r="QP24" i="99"/>
  <c r="U25" i="99"/>
  <c r="QO34" i="99"/>
  <c r="C24" i="99"/>
  <c r="LI26" i="99"/>
  <c r="GM30" i="99"/>
  <c r="FD40" i="99"/>
  <c r="QO28" i="99"/>
  <c r="QO32" i="99"/>
  <c r="FD35" i="99"/>
  <c r="QO22" i="99"/>
  <c r="DC27" i="99"/>
  <c r="RZ31" i="99"/>
  <c r="SB29" i="99"/>
  <c r="QP29" i="99"/>
  <c r="QO29" i="99"/>
  <c r="AC30" i="99"/>
  <c r="QP30" i="99"/>
  <c r="FD34" i="99"/>
  <c r="DC35" i="99"/>
  <c r="C26" i="99"/>
  <c r="LI29" i="99"/>
  <c r="DC33" i="99"/>
  <c r="Q35" i="99"/>
  <c r="C35" i="99"/>
  <c r="C34" i="99"/>
  <c r="DC39" i="99"/>
  <c r="QP40" i="99"/>
  <c r="QO40" i="99"/>
  <c r="BG44" i="99"/>
  <c r="T42" i="99"/>
  <c r="SB34" i="99"/>
  <c r="AN42" i="99"/>
  <c r="AN44" i="99" s="1"/>
  <c r="AP41" i="99"/>
  <c r="AP42" i="99" s="1"/>
  <c r="AP44" i="99" s="1"/>
  <c r="LI30" i="99"/>
  <c r="SB31" i="99"/>
  <c r="AS41" i="99"/>
  <c r="AQ42" i="99"/>
  <c r="D35" i="99"/>
  <c r="GM37" i="99"/>
  <c r="C38" i="99"/>
  <c r="SB40" i="99"/>
  <c r="C32" i="99"/>
  <c r="LI35" i="99"/>
  <c r="D40" i="99"/>
  <c r="AV41" i="99"/>
  <c r="AV42" i="99" s="1"/>
  <c r="AV44" i="99" s="1"/>
  <c r="AT42" i="99"/>
  <c r="AT44" i="99" s="1"/>
  <c r="BO44" i="99"/>
  <c r="D39" i="99"/>
  <c r="U40" i="99"/>
  <c r="BP42" i="99"/>
  <c r="BP44" i="99" s="1"/>
  <c r="AB44" i="99" s="1"/>
  <c r="AB41" i="99"/>
  <c r="AB42" i="99" s="1"/>
  <c r="JE42" i="99"/>
  <c r="JE44" i="99" s="1"/>
  <c r="JI301" i="99"/>
  <c r="JH47" i="99"/>
  <c r="JH48" i="99" s="1"/>
  <c r="JH42" i="99"/>
  <c r="Y36" i="99"/>
  <c r="BQ41" i="99"/>
  <c r="JI47" i="99"/>
  <c r="JI48" i="99" s="1"/>
  <c r="JI42" i="99"/>
  <c r="IB44" i="99"/>
  <c r="HL41" i="99"/>
  <c r="I46" i="99"/>
  <c r="C137" i="99"/>
  <c r="O138" i="99"/>
  <c r="QO39" i="99"/>
  <c r="IA41" i="99"/>
  <c r="JN45" i="99"/>
  <c r="QP37" i="99"/>
  <c r="QO37" i="99"/>
  <c r="QP39" i="99"/>
  <c r="AC40" i="99"/>
  <c r="BB41" i="99"/>
  <c r="BB42" i="99" s="1"/>
  <c r="BB44" i="99" s="1"/>
  <c r="O42" i="99"/>
  <c r="BE41" i="99"/>
  <c r="BE42" i="99" s="1"/>
  <c r="BE44" i="99" s="1"/>
  <c r="KD45" i="99"/>
  <c r="P211" i="99"/>
  <c r="HM42" i="99"/>
  <c r="IA42" i="99" s="1"/>
  <c r="Q43" i="99"/>
  <c r="CB42" i="99"/>
  <c r="AW44" i="99"/>
  <c r="SB38" i="99"/>
  <c r="U43" i="99"/>
  <c r="JV45" i="99"/>
  <c r="AG42" i="99"/>
  <c r="AG44" i="99" s="1"/>
  <c r="AB210" i="99"/>
  <c r="O55" i="99"/>
  <c r="D54" i="99"/>
  <c r="P55" i="99"/>
  <c r="P137" i="99"/>
  <c r="D53" i="99"/>
  <c r="OQ32" i="126" l="1"/>
  <c r="OT31" i="126"/>
  <c r="NE22" i="126"/>
  <c r="NG21" i="126"/>
  <c r="MY21" i="126" s="1"/>
  <c r="NG12" i="126"/>
  <c r="MY12" i="126" s="1"/>
  <c r="OQ33" i="124"/>
  <c r="OT32" i="124"/>
  <c r="QG39" i="122"/>
  <c r="NA38" i="122"/>
  <c r="AL38" i="123"/>
  <c r="NO36" i="122"/>
  <c r="NZ36" i="122"/>
  <c r="OQ28" i="120"/>
  <c r="AF50" i="118"/>
  <c r="OA21" i="120"/>
  <c r="OF20" i="120"/>
  <c r="NP22" i="116"/>
  <c r="R13" i="118"/>
  <c r="MY32" i="111"/>
  <c r="PN33" i="111"/>
  <c r="OR31" i="111"/>
  <c r="ON32" i="111"/>
  <c r="OC44" i="102"/>
  <c r="OC9" i="111"/>
  <c r="OC10" i="111" s="1"/>
  <c r="OC11" i="111" s="1"/>
  <c r="OC12" i="111" s="1"/>
  <c r="OC13" i="111" s="1"/>
  <c r="OC14" i="111" s="1"/>
  <c r="OC15" i="111" s="1"/>
  <c r="OC16" i="111" s="1"/>
  <c r="OC17" i="111" s="1"/>
  <c r="OC18" i="111" s="1"/>
  <c r="OC19" i="111" s="1"/>
  <c r="OC20" i="111" s="1"/>
  <c r="OC21" i="111" s="1"/>
  <c r="OC22" i="111" s="1"/>
  <c r="OC23" i="111" s="1"/>
  <c r="OC24" i="111" s="1"/>
  <c r="OC25" i="111" s="1"/>
  <c r="OC26" i="111" s="1"/>
  <c r="OC27" i="111" s="1"/>
  <c r="OC28" i="111" s="1"/>
  <c r="OC29" i="111" s="1"/>
  <c r="OC30" i="111" s="1"/>
  <c r="OC31" i="111" s="1"/>
  <c r="OC32" i="111" s="1"/>
  <c r="OC33" i="111" s="1"/>
  <c r="OC34" i="111" s="1"/>
  <c r="OC35" i="111" s="1"/>
  <c r="OC36" i="111" s="1"/>
  <c r="OC37" i="111" s="1"/>
  <c r="OC38" i="111" s="1"/>
  <c r="OC39" i="111" s="1"/>
  <c r="OC40" i="111" s="1"/>
  <c r="OC41" i="111" s="1"/>
  <c r="AJ41" i="112"/>
  <c r="NS41" i="111"/>
  <c r="NS42" i="111" s="1"/>
  <c r="NS44" i="111" s="1"/>
  <c r="QE39" i="111"/>
  <c r="PF38" i="111"/>
  <c r="OZ39" i="111"/>
  <c r="OF39" i="111"/>
  <c r="NX39" i="111"/>
  <c r="MZ36" i="111"/>
  <c r="QF37" i="111"/>
  <c r="PF37" i="102"/>
  <c r="OZ38" i="102"/>
  <c r="AL36" i="103"/>
  <c r="NY11" i="99"/>
  <c r="NY12" i="99" s="1"/>
  <c r="OE10" i="99"/>
  <c r="AF12" i="100"/>
  <c r="OZ12" i="99"/>
  <c r="PF11" i="99"/>
  <c r="Q177" i="99"/>
  <c r="P178" i="99"/>
  <c r="P149" i="102"/>
  <c r="NY10" i="102"/>
  <c r="P178" i="102"/>
  <c r="Q177" i="102"/>
  <c r="O180" i="102"/>
  <c r="P95" i="99"/>
  <c r="AB94" i="99"/>
  <c r="IO44" i="99"/>
  <c r="IP42" i="99"/>
  <c r="IP44" i="99" s="1"/>
  <c r="BX48" i="99"/>
  <c r="BX44" i="99"/>
  <c r="BZ42" i="99"/>
  <c r="BZ44" i="99" s="1"/>
  <c r="BR44" i="99"/>
  <c r="BR48" i="99"/>
  <c r="BH42" i="99"/>
  <c r="BH44" i="99" s="1"/>
  <c r="BF44" i="99"/>
  <c r="OA44" i="99"/>
  <c r="OA9" i="102"/>
  <c r="P66" i="102"/>
  <c r="NS24" i="102"/>
  <c r="RH33" i="102"/>
  <c r="RK32" i="102"/>
  <c r="P107" i="102"/>
  <c r="OF24" i="102"/>
  <c r="OR24" i="102" s="1"/>
  <c r="ND40" i="102"/>
  <c r="O150" i="102"/>
  <c r="O67" i="102"/>
  <c r="O107" i="102"/>
  <c r="NF23" i="102"/>
  <c r="E30" i="99"/>
  <c r="E37" i="99"/>
  <c r="BK42" i="99"/>
  <c r="BK44" i="99" s="1"/>
  <c r="BI44" i="99"/>
  <c r="O179" i="99"/>
  <c r="C178" i="99"/>
  <c r="W96" i="99"/>
  <c r="C95" i="99"/>
  <c r="E29" i="99"/>
  <c r="CD44" i="99"/>
  <c r="CD48" i="99"/>
  <c r="D43" i="100"/>
  <c r="D44" i="100" s="1"/>
  <c r="E34" i="99"/>
  <c r="E40" i="99"/>
  <c r="E39" i="99"/>
  <c r="NC20" i="99"/>
  <c r="NC21" i="99" s="1"/>
  <c r="NC22" i="99" s="1"/>
  <c r="NC23" i="99" s="1"/>
  <c r="NC24" i="99" s="1"/>
  <c r="NC25" i="99" s="1"/>
  <c r="NC26" i="99" s="1"/>
  <c r="NC27" i="99" s="1"/>
  <c r="NC30" i="99" s="1"/>
  <c r="NC31" i="99" s="1"/>
  <c r="NC32" i="99" s="1"/>
  <c r="NC33" i="99" s="1"/>
  <c r="NC34" i="99" s="1"/>
  <c r="NC35" i="99" s="1"/>
  <c r="NC36" i="99" s="1"/>
  <c r="NC37" i="99" s="1"/>
  <c r="NC38" i="99" s="1"/>
  <c r="NC39" i="99" s="1"/>
  <c r="NC40" i="99" s="1"/>
  <c r="NC41" i="99" s="1"/>
  <c r="NC9" i="102" s="1"/>
  <c r="NC10" i="102" s="1"/>
  <c r="NC11" i="102" s="1"/>
  <c r="NC12" i="102" s="1"/>
  <c r="NC13" i="102" s="1"/>
  <c r="NC14" i="102" s="1"/>
  <c r="NC15" i="102" s="1"/>
  <c r="NC16" i="102" s="1"/>
  <c r="NC17" i="102" s="1"/>
  <c r="NC18" i="102" s="1"/>
  <c r="NC19" i="102" s="1"/>
  <c r="NC20" i="102" s="1"/>
  <c r="NC21" i="102" s="1"/>
  <c r="NC22" i="102" s="1"/>
  <c r="NC23" i="102" s="1"/>
  <c r="NC24" i="102" s="1"/>
  <c r="NC25" i="102" s="1"/>
  <c r="NC26" i="102" s="1"/>
  <c r="NC27" i="102" s="1"/>
  <c r="NC28" i="102" s="1"/>
  <c r="NC29" i="102" s="1"/>
  <c r="NC30" i="102" s="1"/>
  <c r="NC31" i="102" s="1"/>
  <c r="NC32" i="102" s="1"/>
  <c r="NC33" i="102" s="1"/>
  <c r="NC34" i="102" s="1"/>
  <c r="NC35" i="102" s="1"/>
  <c r="NC36" i="102" s="1"/>
  <c r="NC37" i="102" s="1"/>
  <c r="NC38" i="102" s="1"/>
  <c r="NC39" i="102" s="1"/>
  <c r="NC40" i="102" s="1"/>
  <c r="NC41" i="102" s="1"/>
  <c r="NC9" i="111" s="1"/>
  <c r="NC10" i="111" s="1"/>
  <c r="NC11" i="111" s="1"/>
  <c r="NC12" i="111" s="1"/>
  <c r="NC13" i="111" s="1"/>
  <c r="NC14" i="111" s="1"/>
  <c r="NC15" i="111" s="1"/>
  <c r="NC16" i="111" s="1"/>
  <c r="NC17" i="111" s="1"/>
  <c r="NC18" i="111" s="1"/>
  <c r="NC19" i="111" s="1"/>
  <c r="NC20" i="111" s="1"/>
  <c r="NC21" i="111" s="1"/>
  <c r="NC22" i="111" s="1"/>
  <c r="NC23" i="111" s="1"/>
  <c r="NC24" i="111" s="1"/>
  <c r="NC25" i="111" s="1"/>
  <c r="NC26" i="111" s="1"/>
  <c r="NC27" i="111" s="1"/>
  <c r="NC28" i="111" s="1"/>
  <c r="NC29" i="111" s="1"/>
  <c r="NC30" i="111" s="1"/>
  <c r="NC31" i="111" s="1"/>
  <c r="NC32" i="111" s="1"/>
  <c r="NC33" i="111" s="1"/>
  <c r="NC34" i="111" s="1"/>
  <c r="NC35" i="111" s="1"/>
  <c r="NC36" i="111" s="1"/>
  <c r="NC37" i="111" s="1"/>
  <c r="NC38" i="111" s="1"/>
  <c r="NC39" i="111" s="1"/>
  <c r="NC40" i="111" s="1"/>
  <c r="NC41" i="111" s="1"/>
  <c r="ND9" i="116" s="1"/>
  <c r="ND10" i="116" s="1"/>
  <c r="X2" i="118" s="1"/>
  <c r="NC18" i="99"/>
  <c r="AV48" i="2"/>
  <c r="CH30" i="100"/>
  <c r="JL48" i="99"/>
  <c r="JN48" i="99" s="1"/>
  <c r="BU48" i="99"/>
  <c r="BU44" i="99"/>
  <c r="E23" i="99"/>
  <c r="BW42" i="99"/>
  <c r="BW44" i="99" s="1"/>
  <c r="E16" i="99"/>
  <c r="E15" i="99"/>
  <c r="JI44" i="99"/>
  <c r="AV66" i="2"/>
  <c r="LG42" i="99"/>
  <c r="LG49" i="99"/>
  <c r="LH47" i="99"/>
  <c r="HL42" i="99"/>
  <c r="HL44" i="99" s="1"/>
  <c r="E11" i="99"/>
  <c r="AY42" i="99"/>
  <c r="AY44" i="99" s="1"/>
  <c r="S43" i="100"/>
  <c r="T44" i="99"/>
  <c r="AV44" i="2"/>
  <c r="O49" i="99"/>
  <c r="AV23" i="2"/>
  <c r="AV84" i="2"/>
  <c r="LK47" i="99"/>
  <c r="JH44" i="99"/>
  <c r="AV62" i="2"/>
  <c r="E33" i="99"/>
  <c r="E32" i="99"/>
  <c r="E12" i="99"/>
  <c r="E38" i="99"/>
  <c r="E28" i="99"/>
  <c r="E31" i="99"/>
  <c r="E18" i="99"/>
  <c r="E22" i="99"/>
  <c r="E13" i="99"/>
  <c r="E21" i="99"/>
  <c r="E20" i="99"/>
  <c r="E26" i="99"/>
  <c r="E17" i="99"/>
  <c r="E14" i="99"/>
  <c r="E36" i="99"/>
  <c r="E27" i="99"/>
  <c r="D41" i="99"/>
  <c r="D47" i="99" s="1"/>
  <c r="E24" i="99"/>
  <c r="E25" i="99"/>
  <c r="E19" i="99"/>
  <c r="AD15" i="100"/>
  <c r="AV43" i="100"/>
  <c r="AV44" i="100" s="1"/>
  <c r="AU43" i="100"/>
  <c r="AU44" i="100" s="1"/>
  <c r="AT43" i="100"/>
  <c r="AT44" i="100" s="1"/>
  <c r="AR43" i="100"/>
  <c r="AR44" i="100" s="1"/>
  <c r="AW43" i="100"/>
  <c r="AW44" i="100" s="1"/>
  <c r="AX43" i="100"/>
  <c r="AX44" i="100" s="1"/>
  <c r="R43" i="100"/>
  <c r="U41" i="99"/>
  <c r="AA42" i="99"/>
  <c r="AC41" i="99"/>
  <c r="AC42" i="99" s="1"/>
  <c r="BL48" i="99"/>
  <c r="BL44" i="99"/>
  <c r="NF14" i="99"/>
  <c r="AS42" i="99"/>
  <c r="AS44" i="99" s="1"/>
  <c r="AQ44" i="99"/>
  <c r="LI41" i="99"/>
  <c r="LI42" i="99" s="1"/>
  <c r="C41" i="99"/>
  <c r="E10" i="99"/>
  <c r="E43" i="99"/>
  <c r="O139" i="99"/>
  <c r="C138" i="99"/>
  <c r="D55" i="99"/>
  <c r="P56" i="99"/>
  <c r="Y41" i="99"/>
  <c r="BC48" i="99"/>
  <c r="BC44" i="99"/>
  <c r="T228" i="99"/>
  <c r="AA49" i="99"/>
  <c r="P42" i="99"/>
  <c r="O56" i="99"/>
  <c r="ND30" i="99"/>
  <c r="ND31" i="99" s="1"/>
  <c r="ND32" i="99" s="1"/>
  <c r="ND33" i="99" s="1"/>
  <c r="ND34" i="99" s="1"/>
  <c r="ND35" i="99" s="1"/>
  <c r="ND36" i="99" s="1"/>
  <c r="ND37" i="99" s="1"/>
  <c r="ND38" i="99" s="1"/>
  <c r="ND39" i="99" s="1"/>
  <c r="ND40" i="99" s="1"/>
  <c r="ND41" i="99" s="1"/>
  <c r="ND42" i="99" s="1"/>
  <c r="ND44" i="99" s="1"/>
  <c r="CB44" i="99"/>
  <c r="CC42" i="99"/>
  <c r="CC44" i="99" s="1"/>
  <c r="P49" i="99"/>
  <c r="P50" i="99" s="1"/>
  <c r="O98" i="99"/>
  <c r="AB212" i="99"/>
  <c r="H123" i="2"/>
  <c r="JP50" i="99"/>
  <c r="JK48" i="99"/>
  <c r="JK42" i="99"/>
  <c r="JK44" i="99" s="1"/>
  <c r="Q41" i="99"/>
  <c r="S42" i="99"/>
  <c r="FA41" i="99"/>
  <c r="FA42" i="99" s="1"/>
  <c r="FA44" i="99" s="1"/>
  <c r="FD10" i="99"/>
  <c r="FD41" i="99" s="1"/>
  <c r="FD42" i="99" s="1"/>
  <c r="FD44" i="99" s="1"/>
  <c r="MZ12" i="99"/>
  <c r="QE13" i="99"/>
  <c r="D137" i="99"/>
  <c r="P138" i="99"/>
  <c r="NB11" i="99"/>
  <c r="NE10" i="99"/>
  <c r="MW10" i="99" s="1"/>
  <c r="BQ42" i="99"/>
  <c r="BQ44" i="99" s="1"/>
  <c r="GK41" i="99"/>
  <c r="GM10" i="99"/>
  <c r="AB52" i="99"/>
  <c r="AB54" i="99" s="1"/>
  <c r="MZ10" i="99"/>
  <c r="MZ11" i="99"/>
  <c r="O44" i="99"/>
  <c r="AB300" i="99"/>
  <c r="RK10" i="99"/>
  <c r="RH11" i="99"/>
  <c r="RK19" i="99"/>
  <c r="RH20" i="99"/>
  <c r="OF12" i="99"/>
  <c r="E35" i="99"/>
  <c r="DC41" i="99"/>
  <c r="DC42" i="99" s="1"/>
  <c r="DC44" i="99" s="1"/>
  <c r="NS14" i="99"/>
  <c r="OQ33" i="126" l="1"/>
  <c r="OT32" i="126"/>
  <c r="NE23" i="126"/>
  <c r="NG22" i="126"/>
  <c r="MY22" i="126" s="1"/>
  <c r="NG13" i="126"/>
  <c r="MY13" i="126" s="1"/>
  <c r="OQ34" i="124"/>
  <c r="OT33" i="124"/>
  <c r="NZ37" i="122"/>
  <c r="NO37" i="122"/>
  <c r="AL39" i="123"/>
  <c r="QG40" i="122"/>
  <c r="NA39" i="122"/>
  <c r="OQ29" i="120"/>
  <c r="AF51" i="118"/>
  <c r="OA22" i="120"/>
  <c r="OF21" i="120"/>
  <c r="NP23" i="116"/>
  <c r="R14" i="118"/>
  <c r="ND11" i="116"/>
  <c r="OC44" i="111"/>
  <c r="OD9" i="116"/>
  <c r="OD10" i="116" s="1"/>
  <c r="OE11" i="99"/>
  <c r="MY33" i="111"/>
  <c r="PN34" i="111"/>
  <c r="OR32" i="111"/>
  <c r="ON33" i="111"/>
  <c r="AJ42" i="112"/>
  <c r="QE40" i="111"/>
  <c r="PF39" i="111"/>
  <c r="OZ40" i="111"/>
  <c r="OF40" i="111"/>
  <c r="NX40" i="111"/>
  <c r="MZ37" i="111"/>
  <c r="QF38" i="111"/>
  <c r="PF38" i="102"/>
  <c r="OZ39" i="102"/>
  <c r="AL37" i="103"/>
  <c r="AF13" i="100"/>
  <c r="OE12" i="99"/>
  <c r="NY13" i="99"/>
  <c r="OZ13" i="99"/>
  <c r="PF12" i="99"/>
  <c r="D178" i="99"/>
  <c r="P179" i="99"/>
  <c r="OA10" i="102"/>
  <c r="OE9" i="102"/>
  <c r="P96" i="99"/>
  <c r="D95" i="99"/>
  <c r="P150" i="102"/>
  <c r="NY11" i="102"/>
  <c r="P179" i="102"/>
  <c r="O181" i="102"/>
  <c r="W97" i="99"/>
  <c r="C96" i="99"/>
  <c r="P108" i="102"/>
  <c r="RK33" i="102"/>
  <c r="RH34" i="102"/>
  <c r="OF25" i="102"/>
  <c r="OR25" i="102" s="1"/>
  <c r="O108" i="102"/>
  <c r="NF24" i="102"/>
  <c r="O151" i="102"/>
  <c r="NS25" i="102"/>
  <c r="O68" i="102"/>
  <c r="ND41" i="102"/>
  <c r="ND42" i="102" s="1"/>
  <c r="P67" i="102"/>
  <c r="O180" i="99"/>
  <c r="C179" i="99"/>
  <c r="AR46" i="100"/>
  <c r="AR47" i="100" s="1"/>
  <c r="Y25" i="95"/>
  <c r="Y16" i="95" s="1"/>
  <c r="AA44" i="99"/>
  <c r="AV31" i="2"/>
  <c r="C42" i="99"/>
  <c r="C44" i="99" s="1"/>
  <c r="AV88" i="2"/>
  <c r="E43" i="100"/>
  <c r="AV40" i="2"/>
  <c r="AV115" i="2"/>
  <c r="Y5" i="95"/>
  <c r="AV105" i="2"/>
  <c r="AV27" i="2"/>
  <c r="GM41" i="99"/>
  <c r="GM42" i="99" s="1"/>
  <c r="GM44" i="99" s="1"/>
  <c r="E44" i="100"/>
  <c r="E41" i="99"/>
  <c r="E42" i="99" s="1"/>
  <c r="E44" i="99" s="1"/>
  <c r="AD16" i="100"/>
  <c r="R47" i="100"/>
  <c r="R44" i="100"/>
  <c r="X44" i="99"/>
  <c r="X49" i="99"/>
  <c r="NB12" i="99"/>
  <c r="NE11" i="99"/>
  <c r="MW11" i="99" s="1"/>
  <c r="O57" i="99"/>
  <c r="RH12" i="99"/>
  <c r="RK11" i="99"/>
  <c r="RH21" i="99"/>
  <c r="RK20" i="99"/>
  <c r="O99" i="99"/>
  <c r="P139" i="99"/>
  <c r="D138" i="99"/>
  <c r="P44" i="99"/>
  <c r="D42" i="99"/>
  <c r="D44" i="99" s="1"/>
  <c r="QE14" i="99"/>
  <c r="MZ13" i="99"/>
  <c r="Q42" i="99"/>
  <c r="Q44" i="99" s="1"/>
  <c r="NF15" i="99"/>
  <c r="GP46" i="99"/>
  <c r="GK42" i="99"/>
  <c r="GK44" i="99" s="1"/>
  <c r="OF13" i="99"/>
  <c r="O140" i="99"/>
  <c r="C139" i="99"/>
  <c r="U42" i="99"/>
  <c r="S44" i="99"/>
  <c r="U44" i="99" s="1"/>
  <c r="S49" i="99"/>
  <c r="W44" i="99"/>
  <c r="Y42" i="99"/>
  <c r="Y44" i="99" s="1"/>
  <c r="NS15" i="99"/>
  <c r="D56" i="99"/>
  <c r="P57" i="99"/>
  <c r="AC43" i="99"/>
  <c r="AC44" i="99" s="1"/>
  <c r="OQ34" i="126" l="1"/>
  <c r="OT33" i="126"/>
  <c r="NE24" i="126"/>
  <c r="NG23" i="126"/>
  <c r="MY23" i="126" s="1"/>
  <c r="NG14" i="126"/>
  <c r="MY14" i="126" s="1"/>
  <c r="OQ35" i="124"/>
  <c r="OT34" i="124"/>
  <c r="QG41" i="122"/>
  <c r="QG44" i="122" s="1"/>
  <c r="NA40" i="122"/>
  <c r="NA41" i="122" s="1"/>
  <c r="NA42" i="122" s="1"/>
  <c r="NA44" i="122" s="1"/>
  <c r="AL40" i="123"/>
  <c r="NO38" i="122"/>
  <c r="AJ43" i="123"/>
  <c r="NZ38" i="122"/>
  <c r="OQ30" i="120"/>
  <c r="AF52" i="118"/>
  <c r="OA23" i="120"/>
  <c r="OF22" i="120"/>
  <c r="NP24" i="116"/>
  <c r="R15" i="118"/>
  <c r="ND12" i="116"/>
  <c r="X3" i="118"/>
  <c r="OD11" i="116"/>
  <c r="OD12" i="116" s="1"/>
  <c r="OD13" i="116" s="1"/>
  <c r="OD14" i="116" s="1"/>
  <c r="OD15" i="116" s="1"/>
  <c r="OD16" i="116" s="1"/>
  <c r="ND44" i="102"/>
  <c r="NE42" i="102"/>
  <c r="MW42" i="102" s="1"/>
  <c r="MY34" i="111"/>
  <c r="PN35" i="111"/>
  <c r="OR33" i="111"/>
  <c r="ON34" i="111"/>
  <c r="AJ43" i="112"/>
  <c r="AJ11" i="117" s="1"/>
  <c r="QE41" i="111"/>
  <c r="QE44" i="111" s="1"/>
  <c r="PF40" i="111"/>
  <c r="PF41" i="111" s="1"/>
  <c r="PF42" i="111" s="1"/>
  <c r="PF44" i="111" s="1"/>
  <c r="OZ41" i="111"/>
  <c r="OZ42" i="111" s="1"/>
  <c r="OZ44" i="111" s="1"/>
  <c r="OF41" i="111"/>
  <c r="NX41" i="111"/>
  <c r="NX42" i="111" s="1"/>
  <c r="MZ38" i="111"/>
  <c r="QF39" i="111"/>
  <c r="PF39" i="102"/>
  <c r="OZ40" i="102"/>
  <c r="AL38" i="103"/>
  <c r="AF14" i="100"/>
  <c r="NY14" i="99"/>
  <c r="OE13" i="99"/>
  <c r="OZ14" i="99"/>
  <c r="PF13" i="99"/>
  <c r="OA11" i="102"/>
  <c r="OE10" i="102"/>
  <c r="D179" i="99"/>
  <c r="P180" i="99"/>
  <c r="P97" i="99"/>
  <c r="D96" i="99"/>
  <c r="P151" i="102"/>
  <c r="NY12" i="102"/>
  <c r="P180" i="102"/>
  <c r="O182" i="102"/>
  <c r="C97" i="99"/>
  <c r="W98" i="99"/>
  <c r="OF26" i="102"/>
  <c r="OR26" i="102" s="1"/>
  <c r="NS26" i="102"/>
  <c r="RH35" i="102"/>
  <c r="RK34" i="102"/>
  <c r="P68" i="102"/>
  <c r="O152" i="102"/>
  <c r="P109" i="102"/>
  <c r="O109" i="102"/>
  <c r="O69" i="102"/>
  <c r="NF25" i="102"/>
  <c r="C180" i="99"/>
  <c r="O181" i="99"/>
  <c r="C47" i="99"/>
  <c r="Y10" i="95"/>
  <c r="AD17" i="100"/>
  <c r="NF16" i="99"/>
  <c r="MZ14" i="99"/>
  <c r="QE15" i="99"/>
  <c r="RH13" i="99"/>
  <c r="RK12" i="99"/>
  <c r="O58" i="99"/>
  <c r="P140" i="99"/>
  <c r="D139" i="99"/>
  <c r="C140" i="99"/>
  <c r="O141" i="99"/>
  <c r="NS16" i="99"/>
  <c r="NE12" i="99"/>
  <c r="MW12" i="99" s="1"/>
  <c r="NB13" i="99"/>
  <c r="O100" i="99"/>
  <c r="D57" i="99"/>
  <c r="P58" i="99"/>
  <c r="OF14" i="99"/>
  <c r="RH22" i="99"/>
  <c r="RK21" i="99"/>
  <c r="JK47" i="94"/>
  <c r="OQ35" i="126" l="1"/>
  <c r="OT34" i="126"/>
  <c r="NE25" i="126"/>
  <c r="NG24" i="126"/>
  <c r="MY24" i="126" s="1"/>
  <c r="NG15" i="126"/>
  <c r="MY15" i="126" s="1"/>
  <c r="OQ36" i="124"/>
  <c r="OT35" i="124"/>
  <c r="NZ39" i="122"/>
  <c r="NO39" i="122"/>
  <c r="AL41" i="123"/>
  <c r="OQ31" i="120"/>
  <c r="AF53" i="118"/>
  <c r="OA24" i="120"/>
  <c r="OF23" i="120"/>
  <c r="NP25" i="116"/>
  <c r="R16" i="118"/>
  <c r="ND13" i="116"/>
  <c r="X4" i="118"/>
  <c r="OD17" i="116"/>
  <c r="OD18" i="116" s="1"/>
  <c r="OD19" i="116" s="1"/>
  <c r="OD20" i="116" s="1"/>
  <c r="AJ12" i="117"/>
  <c r="AF15" i="100"/>
  <c r="MY35" i="111"/>
  <c r="PN36" i="111"/>
  <c r="OR34" i="111"/>
  <c r="ON35" i="111"/>
  <c r="MZ39" i="111"/>
  <c r="QF40" i="111"/>
  <c r="PF40" i="102"/>
  <c r="PF41" i="102" s="1"/>
  <c r="PF42" i="102" s="1"/>
  <c r="PF44" i="102" s="1"/>
  <c r="OZ41" i="102"/>
  <c r="OZ42" i="102" s="1"/>
  <c r="OZ44" i="102" s="1"/>
  <c r="AL39" i="103"/>
  <c r="AF16" i="100"/>
  <c r="OA12" i="102"/>
  <c r="OE11" i="102"/>
  <c r="NY15" i="99"/>
  <c r="OE14" i="99"/>
  <c r="OZ15" i="99"/>
  <c r="PF14" i="99"/>
  <c r="D180" i="99"/>
  <c r="P181" i="99"/>
  <c r="D97" i="99"/>
  <c r="P98" i="99"/>
  <c r="P152" i="102"/>
  <c r="NY13" i="102"/>
  <c r="P181" i="102"/>
  <c r="O183" i="102"/>
  <c r="C98" i="99"/>
  <c r="W99" i="99"/>
  <c r="P69" i="102"/>
  <c r="O110" i="102"/>
  <c r="NF26" i="102"/>
  <c r="O70" i="102"/>
  <c r="RH36" i="102"/>
  <c r="RK35" i="102"/>
  <c r="P110" i="102"/>
  <c r="NS27" i="102"/>
  <c r="OF27" i="102"/>
  <c r="OR27" i="102" s="1"/>
  <c r="O153" i="102"/>
  <c r="O182" i="99"/>
  <c r="C181" i="99"/>
  <c r="AD18" i="100"/>
  <c r="RH23" i="99"/>
  <c r="RK22" i="99"/>
  <c r="C141" i="99"/>
  <c r="O142" i="99"/>
  <c r="O101" i="99"/>
  <c r="NE13" i="99"/>
  <c r="MW13" i="99" s="1"/>
  <c r="NB14" i="99"/>
  <c r="NB15" i="99" s="1"/>
  <c r="NB16" i="99" s="1"/>
  <c r="NB17" i="99" s="1"/>
  <c r="NB18" i="99" s="1"/>
  <c r="RH14" i="99"/>
  <c r="RK13" i="99"/>
  <c r="MZ15" i="99"/>
  <c r="QE16" i="99"/>
  <c r="NS17" i="99"/>
  <c r="OF15" i="99"/>
  <c r="NF17" i="99"/>
  <c r="D140" i="99"/>
  <c r="P141" i="99"/>
  <c r="P59" i="99"/>
  <c r="D58" i="99"/>
  <c r="O59" i="99"/>
  <c r="PM19" i="94"/>
  <c r="PM20" i="94" s="1"/>
  <c r="PM21" i="94" s="1"/>
  <c r="PM22" i="94" s="1"/>
  <c r="PM23" i="94" s="1"/>
  <c r="PM24" i="94" s="1"/>
  <c r="PM25" i="94" s="1"/>
  <c r="PM26" i="94" s="1"/>
  <c r="PM27" i="94" s="1"/>
  <c r="PM28" i="94" s="1"/>
  <c r="OQ36" i="126" l="1"/>
  <c r="OT35" i="126"/>
  <c r="NE26" i="126"/>
  <c r="NG25" i="126"/>
  <c r="MY25" i="126" s="1"/>
  <c r="NG16" i="126"/>
  <c r="MY16" i="126" s="1"/>
  <c r="OQ37" i="124"/>
  <c r="OT36" i="124"/>
  <c r="NO40" i="122"/>
  <c r="NO41" i="122" s="1"/>
  <c r="NP9" i="124" s="1"/>
  <c r="AK43" i="123"/>
  <c r="AL42" i="123"/>
  <c r="AL43" i="123" s="1"/>
  <c r="AL44" i="123" s="1"/>
  <c r="NZ40" i="122"/>
  <c r="OQ32" i="120"/>
  <c r="AF54" i="118"/>
  <c r="OD21" i="116"/>
  <c r="OD22" i="116" s="1"/>
  <c r="OD23" i="116" s="1"/>
  <c r="OD24" i="116" s="1"/>
  <c r="OD25" i="116" s="1"/>
  <c r="OD26" i="116" s="1"/>
  <c r="OD27" i="116" s="1"/>
  <c r="OD28" i="116" s="1"/>
  <c r="OD29" i="116" s="1"/>
  <c r="OD30" i="116" s="1"/>
  <c r="OD31" i="116" s="1"/>
  <c r="OD32" i="116" s="1"/>
  <c r="OD33" i="116" s="1"/>
  <c r="OD34" i="116" s="1"/>
  <c r="OD35" i="116" s="1"/>
  <c r="OD36" i="116" s="1"/>
  <c r="OD37" i="116" s="1"/>
  <c r="OD38" i="116" s="1"/>
  <c r="OD39" i="116" s="1"/>
  <c r="OD40" i="116" s="1"/>
  <c r="OD41" i="116" s="1"/>
  <c r="OD44" i="116" s="1"/>
  <c r="OA25" i="120"/>
  <c r="OF24" i="120"/>
  <c r="NP26" i="116"/>
  <c r="R17" i="118"/>
  <c r="ND14" i="116"/>
  <c r="X5" i="118"/>
  <c r="AJ13" i="117"/>
  <c r="MY36" i="111"/>
  <c r="PN37" i="111"/>
  <c r="OR35" i="111"/>
  <c r="ON36" i="111"/>
  <c r="MZ40" i="111"/>
  <c r="MZ41" i="111" s="1"/>
  <c r="MZ42" i="111" s="1"/>
  <c r="MZ44" i="111" s="1"/>
  <c r="QF41" i="111"/>
  <c r="AL40" i="103"/>
  <c r="AF17" i="100"/>
  <c r="D181" i="99"/>
  <c r="P182" i="99"/>
  <c r="OE12" i="102"/>
  <c r="OA13" i="102"/>
  <c r="OE15" i="99"/>
  <c r="NY16" i="99"/>
  <c r="PF15" i="99"/>
  <c r="OZ16" i="99"/>
  <c r="P99" i="99"/>
  <c r="D98" i="99"/>
  <c r="P153" i="102"/>
  <c r="NY14" i="102"/>
  <c r="P182" i="102"/>
  <c r="O184" i="102"/>
  <c r="C99" i="99"/>
  <c r="W100" i="99"/>
  <c r="O71" i="102"/>
  <c r="O154" i="102"/>
  <c r="NF27" i="102"/>
  <c r="OF28" i="102"/>
  <c r="OR28" i="102" s="1"/>
  <c r="NS28" i="102"/>
  <c r="P111" i="102"/>
  <c r="O111" i="102"/>
  <c r="P70" i="102"/>
  <c r="RK36" i="102"/>
  <c r="RH37" i="102"/>
  <c r="C182" i="99"/>
  <c r="O183" i="99"/>
  <c r="AD19" i="100"/>
  <c r="P142" i="99"/>
  <c r="D141" i="99"/>
  <c r="NE14" i="99"/>
  <c r="MW14" i="99" s="1"/>
  <c r="MZ16" i="99"/>
  <c r="QE17" i="99"/>
  <c r="NF18" i="99"/>
  <c r="OF16" i="99"/>
  <c r="D59" i="99"/>
  <c r="P60" i="99"/>
  <c r="RH15" i="99"/>
  <c r="RK14" i="99"/>
  <c r="NS18" i="99"/>
  <c r="O102" i="99"/>
  <c r="O143" i="99"/>
  <c r="C142" i="99"/>
  <c r="O60" i="99"/>
  <c r="RH24" i="99"/>
  <c r="RK23" i="99"/>
  <c r="H43" i="93"/>
  <c r="H44" i="93" s="1"/>
  <c r="OQ37" i="126" l="1"/>
  <c r="OT36" i="126"/>
  <c r="NE27" i="126"/>
  <c r="NG26" i="126"/>
  <c r="MY26" i="126" s="1"/>
  <c r="NG18" i="126"/>
  <c r="NG17" i="126"/>
  <c r="MY17" i="126" s="1"/>
  <c r="OQ38" i="124"/>
  <c r="OT37" i="124"/>
  <c r="NT9" i="124"/>
  <c r="NP10" i="124"/>
  <c r="NZ41" i="122"/>
  <c r="NZ44" i="122" s="1"/>
  <c r="OQ33" i="120"/>
  <c r="AF55" i="118"/>
  <c r="OA26" i="120"/>
  <c r="OF25" i="120"/>
  <c r="NP27" i="116"/>
  <c r="R18" i="118"/>
  <c r="ND15" i="116"/>
  <c r="X6" i="118"/>
  <c r="AJ14" i="117"/>
  <c r="MY37" i="111"/>
  <c r="PN38" i="111"/>
  <c r="OR36" i="111"/>
  <c r="ON37" i="111"/>
  <c r="AL41" i="103"/>
  <c r="AF18" i="100"/>
  <c r="P183" i="99"/>
  <c r="D182" i="99"/>
  <c r="OA14" i="102"/>
  <c r="OE13" i="102"/>
  <c r="NY17" i="99"/>
  <c r="OE16" i="99"/>
  <c r="OZ17" i="99"/>
  <c r="PF16" i="99"/>
  <c r="D99" i="99"/>
  <c r="P100" i="99"/>
  <c r="P154" i="102"/>
  <c r="NY15" i="102"/>
  <c r="P183" i="102"/>
  <c r="O185" i="102"/>
  <c r="C100" i="99"/>
  <c r="W101" i="99"/>
  <c r="OF29" i="102"/>
  <c r="OR29" i="102" s="1"/>
  <c r="P71" i="102"/>
  <c r="RH38" i="102"/>
  <c r="RK37" i="102"/>
  <c r="O112" i="102"/>
  <c r="P112" i="102"/>
  <c r="NF28" i="102"/>
  <c r="O155" i="102"/>
  <c r="NS29" i="102"/>
  <c r="O72" i="102"/>
  <c r="O184" i="99"/>
  <c r="C183" i="99"/>
  <c r="AD20" i="100"/>
  <c r="O61" i="99"/>
  <c r="OF17" i="99"/>
  <c r="O103" i="99"/>
  <c r="P61" i="99"/>
  <c r="D60" i="99"/>
  <c r="NE15" i="99"/>
  <c r="MW15" i="99" s="1"/>
  <c r="P143" i="99"/>
  <c r="D142" i="99"/>
  <c r="NS19" i="99"/>
  <c r="RK15" i="99"/>
  <c r="RH16" i="99"/>
  <c r="O144" i="99"/>
  <c r="C143" i="99"/>
  <c r="NF19" i="99"/>
  <c r="MZ17" i="99"/>
  <c r="QE18" i="99"/>
  <c r="RK24" i="99"/>
  <c r="RH25" i="99"/>
  <c r="JP49" i="94"/>
  <c r="OQ38" i="126" l="1"/>
  <c r="OT37" i="126"/>
  <c r="NE28" i="126"/>
  <c r="NG27" i="126"/>
  <c r="MY27" i="126" s="1"/>
  <c r="MY18" i="126"/>
  <c r="OQ39" i="124"/>
  <c r="OT38" i="124"/>
  <c r="NP11" i="124"/>
  <c r="NT10" i="124"/>
  <c r="NO44" i="122"/>
  <c r="OQ34" i="120"/>
  <c r="AF56" i="118"/>
  <c r="OA27" i="120"/>
  <c r="OF26" i="120"/>
  <c r="NP28" i="116"/>
  <c r="R19" i="118"/>
  <c r="ND16" i="116"/>
  <c r="X7" i="118"/>
  <c r="AJ15" i="117"/>
  <c r="PN39" i="111"/>
  <c r="MY38" i="111"/>
  <c r="OR37" i="111"/>
  <c r="ON38" i="111"/>
  <c r="AL42" i="103"/>
  <c r="AL43" i="103" s="1"/>
  <c r="AL44" i="103" s="1"/>
  <c r="AK43" i="103"/>
  <c r="AK11" i="112" s="1"/>
  <c r="AK12" i="112" s="1"/>
  <c r="AK13" i="112" s="1"/>
  <c r="AK14" i="112" s="1"/>
  <c r="AK15" i="112" s="1"/>
  <c r="AK16" i="112" s="1"/>
  <c r="AK17" i="112" s="1"/>
  <c r="AK18" i="112" s="1"/>
  <c r="AK19" i="112" s="1"/>
  <c r="AK20" i="112" s="1"/>
  <c r="AK21" i="112" s="1"/>
  <c r="AK22" i="112" s="1"/>
  <c r="AK23" i="112" s="1"/>
  <c r="AK24" i="112" s="1"/>
  <c r="AK25" i="112" s="1"/>
  <c r="AK26" i="112" s="1"/>
  <c r="AK27" i="112" s="1"/>
  <c r="AK28" i="112" s="1"/>
  <c r="AK29" i="112" s="1"/>
  <c r="AK30" i="112" s="1"/>
  <c r="AK31" i="112" s="1"/>
  <c r="AK32" i="112" s="1"/>
  <c r="AK33" i="112" s="1"/>
  <c r="AK34" i="112" s="1"/>
  <c r="AK35" i="112" s="1"/>
  <c r="AK36" i="112" s="1"/>
  <c r="AK37" i="112" s="1"/>
  <c r="AK38" i="112" s="1"/>
  <c r="AK39" i="112" s="1"/>
  <c r="AK40" i="112" s="1"/>
  <c r="AK41" i="112" s="1"/>
  <c r="AK42" i="112" s="1"/>
  <c r="AF19" i="100"/>
  <c r="P184" i="99"/>
  <c r="D183" i="99"/>
  <c r="OA15" i="102"/>
  <c r="OE14" i="102"/>
  <c r="OE17" i="99"/>
  <c r="NY18" i="99"/>
  <c r="OZ18" i="99"/>
  <c r="PF17" i="99"/>
  <c r="D100" i="99"/>
  <c r="P101" i="99"/>
  <c r="P155" i="102"/>
  <c r="NY16" i="102"/>
  <c r="P184" i="102"/>
  <c r="O186" i="102"/>
  <c r="C101" i="99"/>
  <c r="W102" i="99"/>
  <c r="RH39" i="102"/>
  <c r="RK38" i="102"/>
  <c r="NF29" i="102"/>
  <c r="P113" i="102"/>
  <c r="O113" i="102"/>
  <c r="O73" i="102"/>
  <c r="NS30" i="102"/>
  <c r="O156" i="102"/>
  <c r="P72" i="102"/>
  <c r="OF30" i="102"/>
  <c r="OR30" i="102" s="1"/>
  <c r="O185" i="99"/>
  <c r="C184" i="99"/>
  <c r="AD21" i="100"/>
  <c r="D61" i="99"/>
  <c r="P62" i="99"/>
  <c r="RH26" i="99"/>
  <c r="RK25" i="99"/>
  <c r="NE16" i="99"/>
  <c r="MW16" i="99" s="1"/>
  <c r="C144" i="99"/>
  <c r="O145" i="99"/>
  <c r="O104" i="99"/>
  <c r="OF18" i="99"/>
  <c r="P144" i="99"/>
  <c r="D143" i="99"/>
  <c r="QE19" i="99"/>
  <c r="MZ18" i="99"/>
  <c r="NF20" i="99"/>
  <c r="RK16" i="99"/>
  <c r="RH17" i="99"/>
  <c r="RK17" i="99" s="1"/>
  <c r="NS20" i="99"/>
  <c r="O62" i="99"/>
  <c r="P214" i="94"/>
  <c r="OQ39" i="126" l="1"/>
  <c r="OT38" i="126"/>
  <c r="NE29" i="126"/>
  <c r="NG28" i="126"/>
  <c r="MY28" i="126" s="1"/>
  <c r="OQ40" i="124"/>
  <c r="OT39" i="124"/>
  <c r="NP12" i="124"/>
  <c r="NT11" i="124"/>
  <c r="OQ35" i="120"/>
  <c r="AF57" i="118"/>
  <c r="OA28" i="120"/>
  <c r="OF27" i="120"/>
  <c r="NP29" i="116"/>
  <c r="R20" i="118"/>
  <c r="ND17" i="116"/>
  <c r="X8" i="118"/>
  <c r="AJ16" i="117"/>
  <c r="PN40" i="111"/>
  <c r="MY39" i="111"/>
  <c r="OR38" i="111"/>
  <c r="ON39" i="111"/>
  <c r="AL11" i="112"/>
  <c r="AF20" i="100"/>
  <c r="D184" i="99"/>
  <c r="P185" i="99"/>
  <c r="OA16" i="102"/>
  <c r="OE15" i="102"/>
  <c r="NY19" i="99"/>
  <c r="OE18" i="99"/>
  <c r="OZ19" i="99"/>
  <c r="PF18" i="99"/>
  <c r="D101" i="99"/>
  <c r="P102" i="99"/>
  <c r="P156" i="102"/>
  <c r="NY17" i="102"/>
  <c r="P185" i="102"/>
  <c r="O187" i="102"/>
  <c r="C102" i="99"/>
  <c r="W103" i="99"/>
  <c r="NF30" i="102"/>
  <c r="O114" i="102"/>
  <c r="P114" i="102"/>
  <c r="P73" i="102"/>
  <c r="O157" i="102"/>
  <c r="NS31" i="102"/>
  <c r="RK39" i="102"/>
  <c r="RH40" i="102"/>
  <c r="RK40" i="102" s="1"/>
  <c r="O74" i="102"/>
  <c r="OF31" i="102"/>
  <c r="OR31" i="102" s="1"/>
  <c r="O186" i="99"/>
  <c r="C185" i="99"/>
  <c r="AD22" i="100"/>
  <c r="NS21" i="99"/>
  <c r="QE20" i="99"/>
  <c r="MZ19" i="99"/>
  <c r="NF21" i="99"/>
  <c r="D144" i="99"/>
  <c r="P145" i="99"/>
  <c r="O105" i="99"/>
  <c r="C145" i="99"/>
  <c r="O146" i="99"/>
  <c r="NE17" i="99"/>
  <c r="MW17" i="99" s="1"/>
  <c r="RH27" i="99"/>
  <c r="RK26" i="99"/>
  <c r="OF19" i="99"/>
  <c r="P63" i="99"/>
  <c r="D62" i="99"/>
  <c r="O63" i="99"/>
  <c r="BV49" i="94"/>
  <c r="OQ40" i="126" l="1"/>
  <c r="OT39" i="126"/>
  <c r="NE30" i="126"/>
  <c r="NG29" i="126"/>
  <c r="MY29" i="126" s="1"/>
  <c r="OQ41" i="124"/>
  <c r="OQ42" i="124" s="1"/>
  <c r="OT40" i="124"/>
  <c r="OT41" i="124" s="1"/>
  <c r="OT42" i="124" s="1"/>
  <c r="OT44" i="124" s="1"/>
  <c r="NP13" i="124"/>
  <c r="NT12" i="124"/>
  <c r="OQ36" i="120"/>
  <c r="AF58" i="118"/>
  <c r="OA29" i="120"/>
  <c r="OF28" i="120"/>
  <c r="NP30" i="116"/>
  <c r="R21" i="118"/>
  <c r="ND19" i="116"/>
  <c r="ND20" i="116" s="1"/>
  <c r="ND21" i="116" s="1"/>
  <c r="ND22" i="116" s="1"/>
  <c r="ND23" i="116" s="1"/>
  <c r="ND24" i="116" s="1"/>
  <c r="ND25" i="116" s="1"/>
  <c r="ND26" i="116" s="1"/>
  <c r="ND27" i="116" s="1"/>
  <c r="ND29" i="116" s="1"/>
  <c r="ND30" i="116" s="1"/>
  <c r="ND31" i="116" s="1"/>
  <c r="ND32" i="116" s="1"/>
  <c r="ND33" i="116" s="1"/>
  <c r="ND34" i="116" s="1"/>
  <c r="ND35" i="116" s="1"/>
  <c r="ND36" i="116" s="1"/>
  <c r="ND37" i="116" s="1"/>
  <c r="ND38" i="116" s="1"/>
  <c r="X9" i="118"/>
  <c r="AJ17" i="117"/>
  <c r="MY40" i="111"/>
  <c r="MY41" i="111" s="1"/>
  <c r="MY42" i="111" s="1"/>
  <c r="MY44" i="111" s="1"/>
  <c r="PN41" i="111"/>
  <c r="PN44" i="111" s="1"/>
  <c r="OR39" i="111"/>
  <c r="ON40" i="111"/>
  <c r="AL12" i="112"/>
  <c r="AF21" i="100"/>
  <c r="D185" i="99"/>
  <c r="P186" i="99"/>
  <c r="OA17" i="102"/>
  <c r="OE16" i="102"/>
  <c r="OE19" i="99"/>
  <c r="NY20" i="99"/>
  <c r="OZ20" i="99"/>
  <c r="PF19" i="99"/>
  <c r="P103" i="99"/>
  <c r="D102" i="99"/>
  <c r="P157" i="102"/>
  <c r="NY18" i="102"/>
  <c r="P186" i="102"/>
  <c r="O188" i="102"/>
  <c r="C103" i="99"/>
  <c r="W104" i="99"/>
  <c r="OF32" i="102"/>
  <c r="OR32" i="102" s="1"/>
  <c r="O75" i="102"/>
  <c r="P115" i="102"/>
  <c r="O115" i="102"/>
  <c r="NF31" i="102"/>
  <c r="P74" i="102"/>
  <c r="NS32" i="102"/>
  <c r="O158" i="102"/>
  <c r="C186" i="99"/>
  <c r="O187" i="99"/>
  <c r="AD23" i="100"/>
  <c r="P146" i="99"/>
  <c r="D145" i="99"/>
  <c r="D63" i="99"/>
  <c r="P64" i="99"/>
  <c r="NF22" i="99"/>
  <c r="QE21" i="99"/>
  <c r="MZ20" i="99"/>
  <c r="NE18" i="99"/>
  <c r="MW18" i="99" s="1"/>
  <c r="OF20" i="99"/>
  <c r="RK27" i="99"/>
  <c r="RH28" i="99"/>
  <c r="O147" i="99"/>
  <c r="C146" i="99"/>
  <c r="NS22" i="99"/>
  <c r="O64" i="99"/>
  <c r="O106" i="99"/>
  <c r="PL18" i="94"/>
  <c r="OQ41" i="126" l="1"/>
  <c r="OQ42" i="126" s="1"/>
  <c r="OT40" i="126"/>
  <c r="OT41" i="126" s="1"/>
  <c r="OT42" i="126" s="1"/>
  <c r="OT44" i="126" s="1"/>
  <c r="NE31" i="126"/>
  <c r="NG30" i="126"/>
  <c r="MY30" i="126" s="1"/>
  <c r="NP14" i="124"/>
  <c r="NT13" i="124"/>
  <c r="OQ37" i="120"/>
  <c r="AF59" i="118"/>
  <c r="OA30" i="120"/>
  <c r="OF29" i="120"/>
  <c r="NP31" i="116"/>
  <c r="R22" i="118"/>
  <c r="X11" i="118"/>
  <c r="AJ18" i="117"/>
  <c r="OR40" i="111"/>
  <c r="OR41" i="111" s="1"/>
  <c r="OR44" i="111" s="1"/>
  <c r="ON41" i="111"/>
  <c r="AL13" i="112"/>
  <c r="AF22" i="100"/>
  <c r="P187" i="99"/>
  <c r="D186" i="99"/>
  <c r="OA18" i="102"/>
  <c r="OE17" i="102"/>
  <c r="NY21" i="99"/>
  <c r="OE20" i="99"/>
  <c r="OZ21" i="99"/>
  <c r="PF20" i="99"/>
  <c r="D103" i="99"/>
  <c r="P104" i="99"/>
  <c r="P158" i="102"/>
  <c r="NY19" i="102"/>
  <c r="P187" i="102"/>
  <c r="O189" i="102"/>
  <c r="C104" i="99"/>
  <c r="W105" i="99"/>
  <c r="NF32" i="102"/>
  <c r="O159" i="102"/>
  <c r="O116" i="102"/>
  <c r="NS33" i="102"/>
  <c r="P116" i="102"/>
  <c r="O76" i="102"/>
  <c r="P75" i="102"/>
  <c r="OF33" i="102"/>
  <c r="OR33" i="102" s="1"/>
  <c r="C187" i="99"/>
  <c r="O188" i="99"/>
  <c r="NE19" i="99"/>
  <c r="MW19" i="99" s="1"/>
  <c r="AD24" i="100"/>
  <c r="O65" i="99"/>
  <c r="NS23" i="99"/>
  <c r="MZ21" i="99"/>
  <c r="QE22" i="99"/>
  <c r="O107" i="99"/>
  <c r="OF21" i="99"/>
  <c r="P65" i="99"/>
  <c r="D64" i="99"/>
  <c r="O148" i="99"/>
  <c r="C147" i="99"/>
  <c r="NF23" i="99"/>
  <c r="RH29" i="99"/>
  <c r="RK28" i="99"/>
  <c r="P147" i="99"/>
  <c r="D146" i="99"/>
  <c r="S26" i="95"/>
  <c r="BM48" i="94"/>
  <c r="NE32" i="126" l="1"/>
  <c r="NG31" i="126"/>
  <c r="MY31" i="126" s="1"/>
  <c r="NP15" i="124"/>
  <c r="NT14" i="124"/>
  <c r="OQ38" i="120"/>
  <c r="AF60" i="118"/>
  <c r="OA31" i="120"/>
  <c r="OF30" i="120"/>
  <c r="NP32" i="116"/>
  <c r="R23" i="118"/>
  <c r="X12" i="118"/>
  <c r="ON44" i="111"/>
  <c r="OO9" i="116"/>
  <c r="OO10" i="116" s="1"/>
  <c r="AJ19" i="117"/>
  <c r="AL14" i="112"/>
  <c r="AF23" i="100"/>
  <c r="OA19" i="102"/>
  <c r="OE18" i="102"/>
  <c r="D187" i="99"/>
  <c r="P188" i="99"/>
  <c r="NY22" i="99"/>
  <c r="OE21" i="99"/>
  <c r="OZ22" i="99"/>
  <c r="PF21" i="99"/>
  <c r="P105" i="99"/>
  <c r="D104" i="99"/>
  <c r="P159" i="102"/>
  <c r="NY20" i="102"/>
  <c r="P188" i="102"/>
  <c r="O190" i="102"/>
  <c r="C105" i="99"/>
  <c r="W106" i="99"/>
  <c r="P117" i="102"/>
  <c r="NS34" i="102"/>
  <c r="O117" i="102"/>
  <c r="OF34" i="102"/>
  <c r="OR34" i="102" s="1"/>
  <c r="O77" i="102"/>
  <c r="O160" i="102"/>
  <c r="P76" i="102"/>
  <c r="NF33" i="102"/>
  <c r="C188" i="99"/>
  <c r="O189" i="99"/>
  <c r="NE20" i="99"/>
  <c r="MW20" i="99" s="1"/>
  <c r="AD25" i="100"/>
  <c r="D65" i="99"/>
  <c r="P66" i="99"/>
  <c r="O108" i="99"/>
  <c r="P148" i="99"/>
  <c r="D147" i="99"/>
  <c r="RH30" i="99"/>
  <c r="RK29" i="99"/>
  <c r="NF24" i="99"/>
  <c r="C148" i="99"/>
  <c r="O149" i="99"/>
  <c r="OF22" i="99"/>
  <c r="MZ22" i="99"/>
  <c r="QE23" i="99"/>
  <c r="NS24" i="99"/>
  <c r="O66" i="99"/>
  <c r="PM17" i="94"/>
  <c r="NE33" i="126" l="1"/>
  <c r="NG32" i="126"/>
  <c r="MY32" i="126" s="1"/>
  <c r="NP16" i="124"/>
  <c r="NT15" i="124"/>
  <c r="OQ39" i="120"/>
  <c r="AF61" i="118"/>
  <c r="OA32" i="120"/>
  <c r="OF31" i="120"/>
  <c r="NP33" i="116"/>
  <c r="R24" i="118"/>
  <c r="OO11" i="116"/>
  <c r="AE2" i="118"/>
  <c r="X13" i="118"/>
  <c r="AJ20" i="117"/>
  <c r="OS9" i="116"/>
  <c r="AL15" i="112"/>
  <c r="AF24" i="100"/>
  <c r="D188" i="99"/>
  <c r="P189" i="99"/>
  <c r="OA20" i="102"/>
  <c r="OE19" i="102"/>
  <c r="OE22" i="99"/>
  <c r="NY23" i="99"/>
  <c r="PF22" i="99"/>
  <c r="OZ23" i="99"/>
  <c r="D105" i="99"/>
  <c r="P106" i="99"/>
  <c r="P160" i="102"/>
  <c r="NY21" i="102"/>
  <c r="P189" i="102"/>
  <c r="O191" i="102"/>
  <c r="C106" i="99"/>
  <c r="W107" i="99"/>
  <c r="O161" i="102"/>
  <c r="P77" i="102"/>
  <c r="OF35" i="102"/>
  <c r="OR35" i="102" s="1"/>
  <c r="NF34" i="102"/>
  <c r="O118" i="102"/>
  <c r="NS35" i="102"/>
  <c r="P118" i="102"/>
  <c r="O78" i="102"/>
  <c r="C189" i="99"/>
  <c r="O190" i="99"/>
  <c r="NE21" i="99"/>
  <c r="MW21" i="99" s="1"/>
  <c r="AD26" i="100"/>
  <c r="NS25" i="99"/>
  <c r="QE24" i="99"/>
  <c r="MZ23" i="99"/>
  <c r="RH31" i="99"/>
  <c r="RK30" i="99"/>
  <c r="D148" i="99"/>
  <c r="P149" i="99"/>
  <c r="O109" i="99"/>
  <c r="OF23" i="99"/>
  <c r="P67" i="99"/>
  <c r="D66" i="99"/>
  <c r="NF25" i="99"/>
  <c r="O67" i="99"/>
  <c r="C149" i="99"/>
  <c r="O150" i="99"/>
  <c r="D45" i="93"/>
  <c r="C45" i="93"/>
  <c r="NE34" i="126" l="1"/>
  <c r="NG33" i="126"/>
  <c r="MY33" i="126" s="1"/>
  <c r="NP17" i="124"/>
  <c r="NT16" i="124"/>
  <c r="OQ40" i="120"/>
  <c r="AF62" i="118"/>
  <c r="OA33" i="120"/>
  <c r="OF32" i="120"/>
  <c r="NP34" i="116"/>
  <c r="R25" i="118"/>
  <c r="X14" i="118"/>
  <c r="OO12" i="116"/>
  <c r="AE3" i="118"/>
  <c r="OS10" i="116"/>
  <c r="AJ21" i="117"/>
  <c r="AL16" i="112"/>
  <c r="AF25" i="100"/>
  <c r="OA21" i="102"/>
  <c r="OE20" i="102"/>
  <c r="P190" i="99"/>
  <c r="D189" i="99"/>
  <c r="NY24" i="99"/>
  <c r="OE23" i="99"/>
  <c r="OZ24" i="99"/>
  <c r="PF23" i="99"/>
  <c r="D106" i="99"/>
  <c r="P107" i="99"/>
  <c r="P161" i="102"/>
  <c r="NY22" i="102"/>
  <c r="P190" i="102"/>
  <c r="O192" i="102"/>
  <c r="C107" i="99"/>
  <c r="W108" i="99"/>
  <c r="O119" i="102"/>
  <c r="NF35" i="102"/>
  <c r="O79" i="102"/>
  <c r="OF36" i="102"/>
  <c r="OR36" i="102" s="1"/>
  <c r="P119" i="102"/>
  <c r="P78" i="102"/>
  <c r="NS36" i="102"/>
  <c r="O162" i="102"/>
  <c r="C190" i="99"/>
  <c r="O191" i="99"/>
  <c r="NE22" i="99"/>
  <c r="MW22" i="99" s="1"/>
  <c r="AD27" i="100"/>
  <c r="O68" i="99"/>
  <c r="P150" i="99"/>
  <c r="D149" i="99"/>
  <c r="RH32" i="99"/>
  <c r="RK31" i="99"/>
  <c r="D67" i="99"/>
  <c r="P68" i="99"/>
  <c r="OF24" i="99"/>
  <c r="NF26" i="99"/>
  <c r="QE25" i="99"/>
  <c r="MZ24" i="99"/>
  <c r="NS26" i="99"/>
  <c r="O151" i="99"/>
  <c r="C150" i="99"/>
  <c r="O110" i="99"/>
  <c r="CM43" i="94"/>
  <c r="NE35" i="126" l="1"/>
  <c r="NG34" i="126"/>
  <c r="MY34" i="126" s="1"/>
  <c r="NP18" i="124"/>
  <c r="NT17" i="124"/>
  <c r="OQ41" i="120"/>
  <c r="AF63" i="118"/>
  <c r="OA34" i="120"/>
  <c r="OF33" i="120"/>
  <c r="NP35" i="116"/>
  <c r="R26" i="118"/>
  <c r="AE4" i="118"/>
  <c r="OO13" i="116"/>
  <c r="X15" i="118"/>
  <c r="OS11" i="116"/>
  <c r="AJ22" i="117"/>
  <c r="AL17" i="112"/>
  <c r="AF26" i="100"/>
  <c r="OA22" i="102"/>
  <c r="OE21" i="102"/>
  <c r="P191" i="99"/>
  <c r="D190" i="99"/>
  <c r="OE24" i="99"/>
  <c r="NY25" i="99"/>
  <c r="PF24" i="99"/>
  <c r="OZ25" i="99"/>
  <c r="D107" i="99"/>
  <c r="P108" i="99"/>
  <c r="P162" i="102"/>
  <c r="NY23" i="102"/>
  <c r="P191" i="102"/>
  <c r="O193" i="102"/>
  <c r="C108" i="99"/>
  <c r="W109" i="99"/>
  <c r="P120" i="102"/>
  <c r="O163" i="102"/>
  <c r="OF37" i="102"/>
  <c r="OR37" i="102" s="1"/>
  <c r="O80" i="102"/>
  <c r="NS37" i="102"/>
  <c r="O120" i="102"/>
  <c r="P79" i="102"/>
  <c r="C191" i="99"/>
  <c r="O192" i="99"/>
  <c r="NE23" i="99"/>
  <c r="MW23" i="99" s="1"/>
  <c r="AD28" i="100"/>
  <c r="P69" i="99"/>
  <c r="D68" i="99"/>
  <c r="O152" i="99"/>
  <c r="C151" i="99"/>
  <c r="P151" i="99"/>
  <c r="D150" i="99"/>
  <c r="O111" i="99"/>
  <c r="OF25" i="99"/>
  <c r="RH33" i="99"/>
  <c r="RK32" i="99"/>
  <c r="NS27" i="99"/>
  <c r="MZ25" i="99"/>
  <c r="QE26" i="99"/>
  <c r="NF27" i="99"/>
  <c r="O69" i="99"/>
  <c r="PL11" i="94"/>
  <c r="PL12" i="94"/>
  <c r="PL13" i="94"/>
  <c r="PL14" i="94"/>
  <c r="PL15" i="94"/>
  <c r="PL16" i="94"/>
  <c r="PL17" i="94"/>
  <c r="PL19" i="94"/>
  <c r="PL20" i="94"/>
  <c r="PL21" i="94"/>
  <c r="PL22" i="94"/>
  <c r="PL23" i="94"/>
  <c r="PL24" i="94"/>
  <c r="PL25" i="94"/>
  <c r="PL26" i="94"/>
  <c r="PL27" i="94"/>
  <c r="PL28" i="94"/>
  <c r="PL29" i="94"/>
  <c r="PL30" i="94"/>
  <c r="PL31" i="94"/>
  <c r="PL32" i="94"/>
  <c r="PL33" i="94"/>
  <c r="PL34" i="94"/>
  <c r="PL35" i="94"/>
  <c r="PL36" i="94"/>
  <c r="PL37" i="94"/>
  <c r="PL38" i="94"/>
  <c r="PL39" i="94"/>
  <c r="PL40" i="94"/>
  <c r="PL10" i="94"/>
  <c r="PN10" i="94" s="1"/>
  <c r="NE36" i="126" l="1"/>
  <c r="NG35" i="126"/>
  <c r="MY35" i="126" s="1"/>
  <c r="NP19" i="124"/>
  <c r="NT18" i="124"/>
  <c r="OQ44" i="120"/>
  <c r="OQ9" i="122"/>
  <c r="OQ10" i="122" s="1"/>
  <c r="OQ11" i="122" s="1"/>
  <c r="OQ12" i="122" s="1"/>
  <c r="OQ13" i="122" s="1"/>
  <c r="OA35" i="120"/>
  <c r="OF34" i="120"/>
  <c r="NP36" i="116"/>
  <c r="R27" i="118"/>
  <c r="X16" i="118"/>
  <c r="OO14" i="116"/>
  <c r="AE5" i="118"/>
  <c r="AJ23" i="117"/>
  <c r="OS12" i="116"/>
  <c r="AF27" i="100"/>
  <c r="D191" i="99"/>
  <c r="P192" i="99"/>
  <c r="AL18" i="112"/>
  <c r="OA23" i="102"/>
  <c r="OE22" i="102"/>
  <c r="NY26" i="99"/>
  <c r="OE25" i="99"/>
  <c r="PF25" i="99"/>
  <c r="OZ26" i="99"/>
  <c r="P109" i="99"/>
  <c r="D108" i="99"/>
  <c r="P163" i="102"/>
  <c r="NY24" i="102"/>
  <c r="P192" i="102"/>
  <c r="O194" i="102"/>
  <c r="C109" i="99"/>
  <c r="W110" i="99"/>
  <c r="NS38" i="102"/>
  <c r="O81" i="102"/>
  <c r="P80" i="102"/>
  <c r="OF38" i="102"/>
  <c r="OR38" i="102" s="1"/>
  <c r="O164" i="102"/>
  <c r="P121" i="102"/>
  <c r="O121" i="102"/>
  <c r="O193" i="99"/>
  <c r="C192" i="99"/>
  <c r="NE24" i="99"/>
  <c r="MW24" i="99" s="1"/>
  <c r="AD29" i="100"/>
  <c r="OF26" i="99"/>
  <c r="O112" i="99"/>
  <c r="NS28" i="99"/>
  <c r="C152" i="99"/>
  <c r="O153" i="99"/>
  <c r="P152" i="99"/>
  <c r="D151" i="99"/>
  <c r="RH34" i="99"/>
  <c r="RK33" i="99"/>
  <c r="O70" i="99"/>
  <c r="NF28" i="99"/>
  <c r="QE27" i="99"/>
  <c r="MZ26" i="99"/>
  <c r="D69" i="99"/>
  <c r="P70" i="99"/>
  <c r="JE11" i="94"/>
  <c r="NE37" i="126" l="1"/>
  <c r="NG36" i="126"/>
  <c r="MY36" i="126" s="1"/>
  <c r="NP20" i="124"/>
  <c r="NT19" i="124"/>
  <c r="OQ14" i="122"/>
  <c r="OQ15" i="122" s="1"/>
  <c r="OQ16" i="122" s="1"/>
  <c r="OQ17" i="122" s="1"/>
  <c r="OQ18" i="122" s="1"/>
  <c r="OQ19" i="122" s="1"/>
  <c r="OQ20" i="122" s="1"/>
  <c r="OQ21" i="122" s="1"/>
  <c r="OQ22" i="122" s="1"/>
  <c r="OQ23" i="122" s="1"/>
  <c r="OQ24" i="122" s="1"/>
  <c r="OQ25" i="122" s="1"/>
  <c r="OQ26" i="122" s="1"/>
  <c r="OQ27" i="122" s="1"/>
  <c r="OQ28" i="122" s="1"/>
  <c r="OQ29" i="122" s="1"/>
  <c r="OQ30" i="122" s="1"/>
  <c r="OQ31" i="122" s="1"/>
  <c r="OQ32" i="122" s="1"/>
  <c r="OQ33" i="122" s="1"/>
  <c r="OQ34" i="122" s="1"/>
  <c r="OQ35" i="122" s="1"/>
  <c r="OQ36" i="122" s="1"/>
  <c r="OQ37" i="122" s="1"/>
  <c r="OQ38" i="122" s="1"/>
  <c r="OQ39" i="122" s="1"/>
  <c r="OQ40" i="122" s="1"/>
  <c r="OQ41" i="122" s="1"/>
  <c r="OQ44" i="122" s="1"/>
  <c r="OA36" i="120"/>
  <c r="OF35" i="120"/>
  <c r="NP37" i="116"/>
  <c r="R28" i="118"/>
  <c r="OO15" i="116"/>
  <c r="AE6" i="118"/>
  <c r="X17" i="118"/>
  <c r="AJ24" i="117"/>
  <c r="OS13" i="116"/>
  <c r="AE43" i="100"/>
  <c r="AF28" i="100"/>
  <c r="D192" i="99"/>
  <c r="P193" i="99"/>
  <c r="AL19" i="112"/>
  <c r="OA24" i="102"/>
  <c r="OE23" i="102"/>
  <c r="OE26" i="99"/>
  <c r="NY27" i="99"/>
  <c r="PF26" i="99"/>
  <c r="OZ27" i="99"/>
  <c r="D109" i="99"/>
  <c r="P110" i="99"/>
  <c r="P164" i="102"/>
  <c r="NY25" i="102"/>
  <c r="P193" i="102"/>
  <c r="O195" i="102"/>
  <c r="C110" i="99"/>
  <c r="W111" i="99"/>
  <c r="OF39" i="102"/>
  <c r="OR39" i="102" s="1"/>
  <c r="P81" i="102"/>
  <c r="O82" i="102"/>
  <c r="O122" i="102"/>
  <c r="NS39" i="102"/>
  <c r="P122" i="102"/>
  <c r="O165" i="102"/>
  <c r="O194" i="99"/>
  <c r="C193" i="99"/>
  <c r="NE25" i="99"/>
  <c r="MW25" i="99" s="1"/>
  <c r="AD30" i="100"/>
  <c r="NS29" i="99"/>
  <c r="MZ27" i="99"/>
  <c r="QE28" i="99"/>
  <c r="NF29" i="99"/>
  <c r="O71" i="99"/>
  <c r="C153" i="99"/>
  <c r="O154" i="99"/>
  <c r="OF27" i="99"/>
  <c r="P71" i="99"/>
  <c r="D70" i="99"/>
  <c r="O113" i="99"/>
  <c r="RH35" i="99"/>
  <c r="RK34" i="99"/>
  <c r="D152" i="99"/>
  <c r="P153" i="99"/>
  <c r="PK41" i="94"/>
  <c r="PK42" i="94" s="1"/>
  <c r="NE38" i="126" l="1"/>
  <c r="NG37" i="126"/>
  <c r="MY37" i="126" s="1"/>
  <c r="NP21" i="124"/>
  <c r="NT20" i="124"/>
  <c r="B42" i="98"/>
  <c r="OA37" i="120"/>
  <c r="OF36" i="120"/>
  <c r="NP38" i="116"/>
  <c r="R29" i="118"/>
  <c r="X18" i="118"/>
  <c r="OO16" i="116"/>
  <c r="AE7" i="118"/>
  <c r="OS14" i="116"/>
  <c r="AJ25" i="117"/>
  <c r="AF29" i="100"/>
  <c r="D193" i="99"/>
  <c r="P194" i="99"/>
  <c r="AL20" i="112"/>
  <c r="OA25" i="102"/>
  <c r="OE24" i="102"/>
  <c r="NY28" i="99"/>
  <c r="OE27" i="99"/>
  <c r="PF27" i="99"/>
  <c r="OZ28" i="99"/>
  <c r="P111" i="99"/>
  <c r="D110" i="99"/>
  <c r="P165" i="102"/>
  <c r="NY26" i="102"/>
  <c r="P194" i="102"/>
  <c r="O196" i="102"/>
  <c r="C111" i="99"/>
  <c r="W112" i="99"/>
  <c r="O123" i="102"/>
  <c r="O83" i="102"/>
  <c r="O166" i="102"/>
  <c r="P82" i="102"/>
  <c r="P123" i="102"/>
  <c r="NS40" i="102"/>
  <c r="OF40" i="102"/>
  <c r="OR40" i="102" s="1"/>
  <c r="OR41" i="102" s="1"/>
  <c r="OR44" i="102" s="1"/>
  <c r="C194" i="99"/>
  <c r="O195" i="99"/>
  <c r="NE26" i="99"/>
  <c r="MW26" i="99" s="1"/>
  <c r="AD31" i="100"/>
  <c r="AF30" i="100"/>
  <c r="O155" i="99"/>
  <c r="C154" i="99"/>
  <c r="NF30" i="99"/>
  <c r="QE29" i="99"/>
  <c r="MZ28" i="99"/>
  <c r="P154" i="99"/>
  <c r="D153" i="99"/>
  <c r="O72" i="99"/>
  <c r="OF28" i="99"/>
  <c r="RH36" i="99"/>
  <c r="RK35" i="99"/>
  <c r="O114" i="99"/>
  <c r="NS30" i="99"/>
  <c r="D71" i="99"/>
  <c r="P72" i="99"/>
  <c r="C49" i="98"/>
  <c r="Q42" i="93"/>
  <c r="Q41" i="93"/>
  <c r="Q40" i="93"/>
  <c r="Q39" i="93"/>
  <c r="Q38" i="93"/>
  <c r="Q37" i="93"/>
  <c r="Q36" i="93"/>
  <c r="Q35" i="93"/>
  <c r="Q34" i="93"/>
  <c r="Q33" i="93"/>
  <c r="Q32" i="93"/>
  <c r="Q31" i="93"/>
  <c r="Q30" i="93"/>
  <c r="Q29" i="93"/>
  <c r="Q28" i="93"/>
  <c r="Q27" i="93"/>
  <c r="Q26" i="93"/>
  <c r="Q25" i="93"/>
  <c r="Q24" i="93"/>
  <c r="Q23" i="93"/>
  <c r="Q22" i="93"/>
  <c r="Q21" i="93"/>
  <c r="Q20" i="93"/>
  <c r="Q19" i="93"/>
  <c r="Q18" i="93"/>
  <c r="Q17" i="93"/>
  <c r="Q16" i="93"/>
  <c r="Q15" i="93"/>
  <c r="Q14" i="93"/>
  <c r="Q12" i="93"/>
  <c r="Q13" i="93"/>
  <c r="NE39" i="126" l="1"/>
  <c r="NG38" i="126"/>
  <c r="MY38" i="126" s="1"/>
  <c r="NP22" i="124"/>
  <c r="NT21" i="124"/>
  <c r="OA38" i="120"/>
  <c r="OF37" i="120"/>
  <c r="NP39" i="116"/>
  <c r="R30" i="118"/>
  <c r="OO17" i="116"/>
  <c r="AE8" i="118"/>
  <c r="X19" i="118"/>
  <c r="AJ26" i="117"/>
  <c r="OS15" i="116"/>
  <c r="D12" i="93"/>
  <c r="AE12" i="93"/>
  <c r="AE13" i="93" s="1"/>
  <c r="AE14" i="93" s="1"/>
  <c r="AE15" i="93" s="1"/>
  <c r="AE16" i="93" s="1"/>
  <c r="AE17" i="93" s="1"/>
  <c r="AE18" i="93" s="1"/>
  <c r="AE19" i="93" s="1"/>
  <c r="AE20" i="93" s="1"/>
  <c r="AE21" i="93" s="1"/>
  <c r="AE22" i="93" s="1"/>
  <c r="AE23" i="93" s="1"/>
  <c r="AE24" i="93" s="1"/>
  <c r="AE25" i="93" s="1"/>
  <c r="AE26" i="93" s="1"/>
  <c r="AE27" i="93" s="1"/>
  <c r="AE28" i="93" s="1"/>
  <c r="AE29" i="93" s="1"/>
  <c r="AE30" i="93" s="1"/>
  <c r="AE31" i="93" s="1"/>
  <c r="AE32" i="93" s="1"/>
  <c r="AE33" i="93" s="1"/>
  <c r="AE34" i="93" s="1"/>
  <c r="AE35" i="93" s="1"/>
  <c r="AE36" i="93" s="1"/>
  <c r="AE37" i="93" s="1"/>
  <c r="AE38" i="93" s="1"/>
  <c r="AE39" i="93" s="1"/>
  <c r="AE40" i="93" s="1"/>
  <c r="AE41" i="93" s="1"/>
  <c r="AE42" i="93" s="1"/>
  <c r="P195" i="99"/>
  <c r="D195" i="99" s="1"/>
  <c r="D194" i="99"/>
  <c r="AL21" i="112"/>
  <c r="OA26" i="102"/>
  <c r="OE25" i="102"/>
  <c r="OE28" i="99"/>
  <c r="NY29" i="99"/>
  <c r="OZ29" i="99"/>
  <c r="PF28" i="99"/>
  <c r="P112" i="99"/>
  <c r="D111" i="99"/>
  <c r="P166" i="102"/>
  <c r="NY27" i="102"/>
  <c r="P195" i="102"/>
  <c r="O197" i="102"/>
  <c r="C112" i="99"/>
  <c r="W113" i="99"/>
  <c r="P83" i="102"/>
  <c r="P124" i="102"/>
  <c r="NS41" i="102"/>
  <c r="NS42" i="102" s="1"/>
  <c r="NS44" i="102" s="1"/>
  <c r="O124" i="102"/>
  <c r="OF41" i="102"/>
  <c r="C195" i="99"/>
  <c r="O196" i="99"/>
  <c r="NE27" i="99"/>
  <c r="MW27" i="99" s="1"/>
  <c r="AF31" i="100"/>
  <c r="AD32" i="100"/>
  <c r="O115" i="99"/>
  <c r="O73" i="99"/>
  <c r="NS31" i="99"/>
  <c r="P155" i="99"/>
  <c r="D154" i="99"/>
  <c r="P73" i="99"/>
  <c r="D72" i="99"/>
  <c r="RH37" i="99"/>
  <c r="RK36" i="99"/>
  <c r="QE30" i="99"/>
  <c r="MZ29" i="99"/>
  <c r="NF31" i="99"/>
  <c r="OF29" i="99"/>
  <c r="O156" i="99"/>
  <c r="C155" i="99"/>
  <c r="M141" i="2"/>
  <c r="N144" i="2" s="1"/>
  <c r="Z141" i="2"/>
  <c r="Z147" i="2" s="1"/>
  <c r="Z148" i="2" s="1"/>
  <c r="AA141" i="2"/>
  <c r="P143" i="2"/>
  <c r="M144" i="2"/>
  <c r="N145" i="2"/>
  <c r="Y151" i="2"/>
  <c r="Z156" i="2"/>
  <c r="Z161" i="2"/>
  <c r="V15" i="95"/>
  <c r="U15" i="95"/>
  <c r="T15" i="95"/>
  <c r="S15" i="95"/>
  <c r="X13" i="95"/>
  <c r="Y13" i="95"/>
  <c r="Z13" i="95"/>
  <c r="AA13" i="95"/>
  <c r="AB13" i="95"/>
  <c r="AC13" i="95"/>
  <c r="AD13" i="95"/>
  <c r="AE13" i="95"/>
  <c r="AF13" i="95"/>
  <c r="AG13" i="95"/>
  <c r="AH13" i="95"/>
  <c r="AI13" i="95"/>
  <c r="AV109" i="2"/>
  <c r="AW109" i="2"/>
  <c r="AX109" i="2"/>
  <c r="AY109" i="2"/>
  <c r="AZ109" i="2"/>
  <c r="BB109" i="2"/>
  <c r="BC109" i="2"/>
  <c r="BD109" i="2"/>
  <c r="BE109" i="2"/>
  <c r="BF109" i="2"/>
  <c r="AU109" i="2"/>
  <c r="PN11" i="94"/>
  <c r="PN12" i="94" s="1"/>
  <c r="PN13" i="94" s="1"/>
  <c r="PN14" i="94" s="1"/>
  <c r="PN15" i="94" s="1"/>
  <c r="PN16" i="94" s="1"/>
  <c r="PN17" i="94" s="1"/>
  <c r="PN18" i="94" s="1"/>
  <c r="PN19" i="94" s="1"/>
  <c r="PN20" i="94" s="1"/>
  <c r="PN21" i="94" s="1"/>
  <c r="PN22" i="94" s="1"/>
  <c r="PN23" i="94" s="1"/>
  <c r="PN24" i="94" s="1"/>
  <c r="PN25" i="94" s="1"/>
  <c r="PN26" i="94" s="1"/>
  <c r="PN27" i="94" s="1"/>
  <c r="PN28" i="94" s="1"/>
  <c r="PN29" i="94" s="1"/>
  <c r="PN30" i="94" s="1"/>
  <c r="PN31" i="94" s="1"/>
  <c r="PN32" i="94" s="1"/>
  <c r="PN33" i="94" s="1"/>
  <c r="PN34" i="94" s="1"/>
  <c r="PN35" i="94" s="1"/>
  <c r="PN36" i="94" s="1"/>
  <c r="PN37" i="94" s="1"/>
  <c r="PN38" i="94" s="1"/>
  <c r="PN39" i="94" s="1"/>
  <c r="PN40" i="94" s="1"/>
  <c r="PM11" i="94"/>
  <c r="PM12" i="94" s="1"/>
  <c r="PM13" i="94" s="1"/>
  <c r="PM29" i="94" s="1"/>
  <c r="PM30" i="94" s="1"/>
  <c r="PM31" i="94" s="1"/>
  <c r="PM32" i="94" s="1"/>
  <c r="PM33" i="94" s="1"/>
  <c r="PM34" i="94" s="1"/>
  <c r="PM35" i="94" s="1"/>
  <c r="PM36" i="94" s="1"/>
  <c r="PM37" i="94" s="1"/>
  <c r="PM38" i="94" s="1"/>
  <c r="PM39" i="94" s="1"/>
  <c r="PM40" i="94" s="1"/>
  <c r="AO43" i="93"/>
  <c r="AJ43" i="93"/>
  <c r="AJ44" i="93" s="1"/>
  <c r="AI43" i="93"/>
  <c r="AI44" i="93" s="1"/>
  <c r="AK42" i="93"/>
  <c r="AK41" i="93"/>
  <c r="AK40" i="93"/>
  <c r="AK39" i="93"/>
  <c r="AK38" i="93"/>
  <c r="AK37" i="93"/>
  <c r="AK36" i="93"/>
  <c r="AK35" i="93"/>
  <c r="AK34" i="93"/>
  <c r="AK33" i="93"/>
  <c r="AK32" i="93"/>
  <c r="AK31" i="93"/>
  <c r="AK30" i="93"/>
  <c r="AK29" i="93"/>
  <c r="AK28" i="93"/>
  <c r="AK27" i="93"/>
  <c r="AK26" i="93"/>
  <c r="AK25" i="93"/>
  <c r="AK24" i="93"/>
  <c r="AK23" i="93"/>
  <c r="AK22" i="93"/>
  <c r="AK21" i="93"/>
  <c r="AK20" i="93"/>
  <c r="AK19" i="93"/>
  <c r="AK18" i="93"/>
  <c r="AK17" i="93"/>
  <c r="AK16" i="93"/>
  <c r="AK15" i="93"/>
  <c r="AK14" i="93"/>
  <c r="AK13" i="93"/>
  <c r="AK12" i="93"/>
  <c r="AM12" i="93"/>
  <c r="AM13" i="93" s="1"/>
  <c r="AL12" i="93"/>
  <c r="AL13" i="93" s="1"/>
  <c r="AL14" i="93" s="1"/>
  <c r="AL15" i="93" s="1"/>
  <c r="AL16" i="93" s="1"/>
  <c r="AL17" i="93" s="1"/>
  <c r="AL18" i="93" s="1"/>
  <c r="AL19" i="93" s="1"/>
  <c r="AL20" i="93" s="1"/>
  <c r="AL21" i="93" s="1"/>
  <c r="AL22" i="93" s="1"/>
  <c r="AL23" i="93" s="1"/>
  <c r="AL24" i="93" s="1"/>
  <c r="AL25" i="93" s="1"/>
  <c r="AL26" i="93" s="1"/>
  <c r="AL27" i="93" s="1"/>
  <c r="AL28" i="93" s="1"/>
  <c r="AL29" i="93" s="1"/>
  <c r="AL30" i="93" s="1"/>
  <c r="AL31" i="93" s="1"/>
  <c r="AL32" i="93" s="1"/>
  <c r="AL33" i="93" s="1"/>
  <c r="AL34" i="93" s="1"/>
  <c r="AL35" i="93" s="1"/>
  <c r="AL36" i="93" s="1"/>
  <c r="AL37" i="93" s="1"/>
  <c r="AL38" i="93" s="1"/>
  <c r="AL39" i="93" s="1"/>
  <c r="AL40" i="93" s="1"/>
  <c r="AL41" i="93" s="1"/>
  <c r="AL42" i="93" s="1"/>
  <c r="AL43" i="93" s="1"/>
  <c r="AU120" i="2"/>
  <c r="AV120" i="2"/>
  <c r="AW120" i="2"/>
  <c r="AX120" i="2"/>
  <c r="AY120" i="2"/>
  <c r="AZ120" i="2"/>
  <c r="BB120" i="2"/>
  <c r="BC120" i="2"/>
  <c r="BD120" i="2"/>
  <c r="BE120" i="2"/>
  <c r="BF120" i="2"/>
  <c r="BG109" i="2" l="1"/>
  <c r="BI109" i="2" s="1"/>
  <c r="W143" i="2"/>
  <c r="V143" i="2"/>
  <c r="U143" i="2"/>
  <c r="Q143" i="2"/>
  <c r="R143" i="2"/>
  <c r="T143" i="2"/>
  <c r="NE40" i="126"/>
  <c r="NG39" i="126"/>
  <c r="MY39" i="126" s="1"/>
  <c r="NP23" i="124"/>
  <c r="NT22" i="124"/>
  <c r="OA39" i="120"/>
  <c r="OF38" i="120"/>
  <c r="P196" i="99"/>
  <c r="D196" i="99" s="1"/>
  <c r="NP40" i="116"/>
  <c r="NP41" i="116" s="1"/>
  <c r="R31" i="118"/>
  <c r="X20" i="118"/>
  <c r="OO18" i="116"/>
  <c r="AE9" i="118"/>
  <c r="OS16" i="116"/>
  <c r="AJ27" i="117"/>
  <c r="P144" i="2"/>
  <c r="AL22" i="112"/>
  <c r="OA27" i="102"/>
  <c r="OE26" i="102"/>
  <c r="N146" i="2" a="1"/>
  <c r="N146" i="2" s="1"/>
  <c r="M146" i="2" s="1"/>
  <c r="NY30" i="99"/>
  <c r="OE29" i="99"/>
  <c r="PF29" i="99"/>
  <c r="OZ30" i="99"/>
  <c r="P113" i="99"/>
  <c r="D112" i="99"/>
  <c r="NY28" i="102"/>
  <c r="P196" i="102"/>
  <c r="O198" i="102"/>
  <c r="C113" i="99"/>
  <c r="W114" i="99"/>
  <c r="O125" i="102"/>
  <c r="P125" i="102"/>
  <c r="O197" i="99"/>
  <c r="C196" i="99"/>
  <c r="NE28" i="99"/>
  <c r="MW28" i="99" s="1"/>
  <c r="AO44" i="93"/>
  <c r="AD33" i="100"/>
  <c r="AF32" i="100"/>
  <c r="P156" i="99"/>
  <c r="D155" i="99"/>
  <c r="C156" i="99"/>
  <c r="O157" i="99"/>
  <c r="NS32" i="99"/>
  <c r="RH38" i="99"/>
  <c r="RK37" i="99"/>
  <c r="O116" i="99"/>
  <c r="NF32" i="99"/>
  <c r="O74" i="99"/>
  <c r="D73" i="99"/>
  <c r="P74" i="99"/>
  <c r="OF30" i="99"/>
  <c r="MZ30" i="99"/>
  <c r="QE31" i="99"/>
  <c r="Z159" i="2"/>
  <c r="AA159" i="2"/>
  <c r="AM14" i="93"/>
  <c r="AM15" i="93" s="1"/>
  <c r="AM16" i="93" s="1"/>
  <c r="AM17" i="93" s="1"/>
  <c r="AM18" i="93" s="1"/>
  <c r="AM19" i="93" s="1"/>
  <c r="AM20" i="93" s="1"/>
  <c r="AM21" i="93" s="1"/>
  <c r="AM22" i="93" s="1"/>
  <c r="AM23" i="93" s="1"/>
  <c r="AM24" i="93" s="1"/>
  <c r="AM25" i="93" s="1"/>
  <c r="AM26" i="93" s="1"/>
  <c r="AM27" i="93" s="1"/>
  <c r="AM28" i="93" s="1"/>
  <c r="AM29" i="93" s="1"/>
  <c r="AM30" i="93" s="1"/>
  <c r="AM31" i="93" s="1"/>
  <c r="AM32" i="93" s="1"/>
  <c r="AM33" i="93" s="1"/>
  <c r="AM34" i="93" s="1"/>
  <c r="AM35" i="93" s="1"/>
  <c r="AM36" i="93" s="1"/>
  <c r="AM37" i="93" s="1"/>
  <c r="AM38" i="93" s="1"/>
  <c r="AM39" i="93" s="1"/>
  <c r="AM40" i="93" s="1"/>
  <c r="AM41" i="93" s="1"/>
  <c r="AM42" i="93" s="1"/>
  <c r="AM43" i="93" s="1"/>
  <c r="AM11" i="100" s="1"/>
  <c r="AK43" i="93"/>
  <c r="AL6" i="93"/>
  <c r="P141" i="2"/>
  <c r="P142" i="2"/>
  <c r="AA158" i="2"/>
  <c r="Z157" i="2"/>
  <c r="Z158" i="2"/>
  <c r="AA157" i="2"/>
  <c r="D19" i="93"/>
  <c r="D20" i="93"/>
  <c r="D21" i="93"/>
  <c r="D22" i="93"/>
  <c r="D23" i="93"/>
  <c r="D24" i="93"/>
  <c r="D25" i="93"/>
  <c r="D26" i="93"/>
  <c r="D27" i="93"/>
  <c r="D28" i="93"/>
  <c r="D29" i="93"/>
  <c r="D30" i="93"/>
  <c r="D31" i="93"/>
  <c r="D32" i="93"/>
  <c r="D33" i="93"/>
  <c r="D34" i="93"/>
  <c r="D35" i="93"/>
  <c r="D36" i="93"/>
  <c r="D37" i="93"/>
  <c r="D38" i="93"/>
  <c r="D39" i="93"/>
  <c r="D40" i="93"/>
  <c r="D41" i="93"/>
  <c r="D42" i="93"/>
  <c r="W144" i="2" l="1"/>
  <c r="V144" i="2"/>
  <c r="U144" i="2"/>
  <c r="Q144" i="2"/>
  <c r="T144" i="2"/>
  <c r="R144" i="2"/>
  <c r="NE41" i="126"/>
  <c r="NE42" i="126" s="1"/>
  <c r="NG40" i="126"/>
  <c r="E101" i="2"/>
  <c r="NP24" i="124"/>
  <c r="NT23" i="124"/>
  <c r="P197" i="99"/>
  <c r="D197" i="99" s="1"/>
  <c r="OA40" i="120"/>
  <c r="OF39" i="120"/>
  <c r="OO19" i="116"/>
  <c r="AE10" i="118"/>
  <c r="X21" i="118"/>
  <c r="N147" i="2" a="1"/>
  <c r="N147" i="2" s="1"/>
  <c r="AJ28" i="117"/>
  <c r="OS17" i="116"/>
  <c r="P145" i="2"/>
  <c r="AL23" i="112"/>
  <c r="OA28" i="102"/>
  <c r="OA29" i="102" s="1"/>
  <c r="OA30" i="102" s="1"/>
  <c r="OA31" i="102" s="1"/>
  <c r="OA32" i="102" s="1"/>
  <c r="OA33" i="102" s="1"/>
  <c r="OA34" i="102" s="1"/>
  <c r="OA35" i="102" s="1"/>
  <c r="OA36" i="102" s="1"/>
  <c r="OA37" i="102" s="1"/>
  <c r="OA38" i="102" s="1"/>
  <c r="OA39" i="102" s="1"/>
  <c r="OA40" i="102" s="1"/>
  <c r="OA41" i="102" s="1"/>
  <c r="OE27" i="102"/>
  <c r="NY31" i="99"/>
  <c r="OE30" i="99"/>
  <c r="OZ31" i="99"/>
  <c r="PF30" i="99"/>
  <c r="D113" i="99"/>
  <c r="P114" i="99"/>
  <c r="NY29" i="102"/>
  <c r="P197" i="102"/>
  <c r="O199" i="102"/>
  <c r="C114" i="99"/>
  <c r="W115" i="99"/>
  <c r="O198" i="99"/>
  <c r="C197" i="99"/>
  <c r="NE29" i="99"/>
  <c r="MW29" i="99" s="1"/>
  <c r="AM12" i="100"/>
  <c r="AM13" i="100" s="1"/>
  <c r="AM14" i="100" s="1"/>
  <c r="AM15" i="100" s="1"/>
  <c r="AM16" i="100" s="1"/>
  <c r="AM17" i="100" s="1"/>
  <c r="AM18" i="100" s="1"/>
  <c r="AM19" i="100" s="1"/>
  <c r="AM20" i="100" s="1"/>
  <c r="AM21" i="100" s="1"/>
  <c r="AM22" i="100" s="1"/>
  <c r="AM23" i="100" s="1"/>
  <c r="AM24" i="100" s="1"/>
  <c r="AM25" i="100" s="1"/>
  <c r="AM26" i="100" s="1"/>
  <c r="AM27" i="100" s="1"/>
  <c r="AM28" i="100" s="1"/>
  <c r="AM29" i="100" s="1"/>
  <c r="AM30" i="100" s="1"/>
  <c r="AM31" i="100" s="1"/>
  <c r="AM32" i="100" s="1"/>
  <c r="AM33" i="100" s="1"/>
  <c r="AM34" i="100" s="1"/>
  <c r="AM35" i="100" s="1"/>
  <c r="AM36" i="100" s="1"/>
  <c r="AM37" i="100" s="1"/>
  <c r="AM38" i="100" s="1"/>
  <c r="AM39" i="100" s="1"/>
  <c r="AM40" i="100" s="1"/>
  <c r="AM41" i="100" s="1"/>
  <c r="AM42" i="100" s="1"/>
  <c r="AM43" i="100" s="1"/>
  <c r="AL6" i="100"/>
  <c r="AD34" i="100"/>
  <c r="AF33" i="100"/>
  <c r="NF33" i="99"/>
  <c r="OF31" i="99"/>
  <c r="O117" i="99"/>
  <c r="RK38" i="99"/>
  <c r="RH39" i="99"/>
  <c r="C157" i="99"/>
  <c r="O158" i="99"/>
  <c r="P75" i="99"/>
  <c r="D74" i="99"/>
  <c r="NS33" i="99"/>
  <c r="O75" i="99"/>
  <c r="QE32" i="99"/>
  <c r="MZ31" i="99"/>
  <c r="D156" i="99"/>
  <c r="P157" i="99"/>
  <c r="AK44" i="93"/>
  <c r="C34" i="96"/>
  <c r="AI29" i="95"/>
  <c r="W145" i="2" l="1"/>
  <c r="V145" i="2"/>
  <c r="U145" i="2"/>
  <c r="Q145" i="2"/>
  <c r="R145" i="2"/>
  <c r="T145" i="2"/>
  <c r="NG41" i="126"/>
  <c r="NG42" i="126" s="1"/>
  <c r="NG44" i="126" s="1"/>
  <c r="MY40" i="126"/>
  <c r="MY41" i="126" s="1"/>
  <c r="MY42" i="126" s="1"/>
  <c r="MY44" i="126" s="1"/>
  <c r="NP25" i="124"/>
  <c r="NT24" i="124"/>
  <c r="P198" i="99"/>
  <c r="OA41" i="120"/>
  <c r="OA42" i="120" s="1"/>
  <c r="OF40" i="120"/>
  <c r="OF41" i="120" s="1"/>
  <c r="X22" i="118"/>
  <c r="OO20" i="116"/>
  <c r="AE11" i="118"/>
  <c r="N148" i="2" a="1"/>
  <c r="N148" i="2" s="1"/>
  <c r="AJ29" i="117"/>
  <c r="OS18" i="116"/>
  <c r="P146" i="2"/>
  <c r="OA44" i="102"/>
  <c r="OA9" i="111"/>
  <c r="OA10" i="111" s="1"/>
  <c r="OA11" i="111" s="1"/>
  <c r="OA12" i="111" s="1"/>
  <c r="OA13" i="111" s="1"/>
  <c r="OA14" i="111" s="1"/>
  <c r="OA15" i="111" s="1"/>
  <c r="OA16" i="111" s="1"/>
  <c r="OA17" i="111" s="1"/>
  <c r="OA18" i="111" s="1"/>
  <c r="OA19" i="111" s="1"/>
  <c r="OA20" i="111" s="1"/>
  <c r="OA21" i="111" s="1"/>
  <c r="OA22" i="111" s="1"/>
  <c r="OA23" i="111" s="1"/>
  <c r="OA24" i="111" s="1"/>
  <c r="OA25" i="111" s="1"/>
  <c r="OA26" i="111" s="1"/>
  <c r="OA27" i="111" s="1"/>
  <c r="OA28" i="111" s="1"/>
  <c r="OA29" i="111" s="1"/>
  <c r="OA30" i="111" s="1"/>
  <c r="OA31" i="111" s="1"/>
  <c r="OA32" i="111" s="1"/>
  <c r="OA33" i="111" s="1"/>
  <c r="OA34" i="111" s="1"/>
  <c r="OA35" i="111" s="1"/>
  <c r="OA36" i="111" s="1"/>
  <c r="OA37" i="111" s="1"/>
  <c r="OA38" i="111" s="1"/>
  <c r="OA39" i="111" s="1"/>
  <c r="OA40" i="111" s="1"/>
  <c r="OA41" i="111" s="1"/>
  <c r="AL24" i="112"/>
  <c r="OE28" i="102"/>
  <c r="NY32" i="99"/>
  <c r="OE31" i="99"/>
  <c r="PF31" i="99"/>
  <c r="OZ32" i="99"/>
  <c r="P115" i="99"/>
  <c r="D114" i="99"/>
  <c r="OE29" i="102"/>
  <c r="NY30" i="102"/>
  <c r="P198" i="102"/>
  <c r="O200" i="102"/>
  <c r="C115" i="99"/>
  <c r="W116" i="99"/>
  <c r="O199" i="99"/>
  <c r="C198" i="99"/>
  <c r="D198" i="99"/>
  <c r="P199" i="99"/>
  <c r="NE30" i="99"/>
  <c r="MW30" i="99" s="1"/>
  <c r="AD35" i="100"/>
  <c r="AF34" i="100"/>
  <c r="MZ32" i="99"/>
  <c r="QE33" i="99"/>
  <c r="O118" i="99"/>
  <c r="P158" i="99"/>
  <c r="D157" i="99"/>
  <c r="O76" i="99"/>
  <c r="OF32" i="99"/>
  <c r="NS34" i="99"/>
  <c r="O159" i="99"/>
  <c r="C158" i="99"/>
  <c r="RH40" i="99"/>
  <c r="RK40" i="99" s="1"/>
  <c r="RK39" i="99"/>
  <c r="D75" i="99"/>
  <c r="P76" i="99"/>
  <c r="NF34" i="99"/>
  <c r="R47" i="95"/>
  <c r="W146" i="2" l="1"/>
  <c r="V146" i="2"/>
  <c r="U146" i="2"/>
  <c r="Q146" i="2"/>
  <c r="T146" i="2"/>
  <c r="R146" i="2"/>
  <c r="NP26" i="124"/>
  <c r="NT25" i="124"/>
  <c r="OA9" i="122"/>
  <c r="OF42" i="120"/>
  <c r="OF44" i="120" s="1"/>
  <c r="OA10" i="122"/>
  <c r="OF9" i="122"/>
  <c r="OO21" i="116"/>
  <c r="AE12" i="118"/>
  <c r="X23" i="118"/>
  <c r="N149" i="2" a="1"/>
  <c r="N149" i="2" s="1"/>
  <c r="OA44" i="111"/>
  <c r="OB9" i="116"/>
  <c r="OB10" i="116" s="1"/>
  <c r="AJ30" i="117"/>
  <c r="OS19" i="116"/>
  <c r="P147" i="2"/>
  <c r="AL25" i="112"/>
  <c r="OE32" i="99"/>
  <c r="NY33" i="99"/>
  <c r="OZ33" i="99"/>
  <c r="PF32" i="99"/>
  <c r="B38" i="96"/>
  <c r="D115" i="99"/>
  <c r="P116" i="99"/>
  <c r="OE30" i="102"/>
  <c r="NY31" i="102"/>
  <c r="P199" i="102"/>
  <c r="O201" i="102"/>
  <c r="C116" i="99"/>
  <c r="W117" i="99"/>
  <c r="C199" i="99"/>
  <c r="O200" i="99"/>
  <c r="P200" i="99"/>
  <c r="D199" i="99"/>
  <c r="NE31" i="99"/>
  <c r="MW31" i="99" s="1"/>
  <c r="AD36" i="100"/>
  <c r="AF35" i="100"/>
  <c r="NS35" i="99"/>
  <c r="OF33" i="99"/>
  <c r="O77" i="99"/>
  <c r="NF35" i="99"/>
  <c r="MZ33" i="99"/>
  <c r="QE34" i="99"/>
  <c r="P77" i="99"/>
  <c r="D76" i="99"/>
  <c r="P159" i="99"/>
  <c r="D158" i="99"/>
  <c r="O160" i="99"/>
  <c r="C159" i="99"/>
  <c r="O119" i="99"/>
  <c r="W147" i="2" l="1"/>
  <c r="V147" i="2"/>
  <c r="Q147" i="2"/>
  <c r="U147" i="2"/>
  <c r="R147" i="2"/>
  <c r="T147" i="2"/>
  <c r="NP27" i="124"/>
  <c r="NT26" i="124"/>
  <c r="OA11" i="122"/>
  <c r="OF10" i="122"/>
  <c r="X24" i="118"/>
  <c r="OO22" i="116"/>
  <c r="AE13" i="118"/>
  <c r="N150" i="2" a="1"/>
  <c r="N150" i="2" s="1"/>
  <c r="OS20" i="116"/>
  <c r="AJ31" i="117"/>
  <c r="OB11" i="116"/>
  <c r="OB12" i="116" s="1"/>
  <c r="OB13" i="116" s="1"/>
  <c r="OB14" i="116" s="1"/>
  <c r="OB15" i="116" s="1"/>
  <c r="OB16" i="116" s="1"/>
  <c r="OB17" i="116" s="1"/>
  <c r="OB18" i="116" s="1"/>
  <c r="OB19" i="116" s="1"/>
  <c r="OB20" i="116" s="1"/>
  <c r="OB21" i="116" s="1"/>
  <c r="OB22" i="116" s="1"/>
  <c r="OB23" i="116" s="1"/>
  <c r="OB24" i="116" s="1"/>
  <c r="OB25" i="116" s="1"/>
  <c r="OB26" i="116" s="1"/>
  <c r="OB27" i="116" s="1"/>
  <c r="OB28" i="116" s="1"/>
  <c r="OB29" i="116" s="1"/>
  <c r="OB30" i="116" s="1"/>
  <c r="OB31" i="116" s="1"/>
  <c r="OB32" i="116" s="1"/>
  <c r="OB33" i="116" s="1"/>
  <c r="OB34" i="116" s="1"/>
  <c r="OB35" i="116" s="1"/>
  <c r="OB36" i="116" s="1"/>
  <c r="OB37" i="116" s="1"/>
  <c r="OB38" i="116" s="1"/>
  <c r="OB39" i="116" s="1"/>
  <c r="OB40" i="116" s="1"/>
  <c r="OB41" i="116" s="1"/>
  <c r="OB44" i="116" s="1"/>
  <c r="P148" i="2"/>
  <c r="AL26" i="112"/>
  <c r="NY34" i="99"/>
  <c r="OE33" i="99"/>
  <c r="OZ34" i="99"/>
  <c r="PF33" i="99"/>
  <c r="P117" i="99"/>
  <c r="D116" i="99"/>
  <c r="OE31" i="102"/>
  <c r="NY32" i="102"/>
  <c r="P200" i="102"/>
  <c r="O202" i="102"/>
  <c r="C117" i="99"/>
  <c r="W118" i="99"/>
  <c r="O201" i="99"/>
  <c r="C200" i="99"/>
  <c r="D200" i="99"/>
  <c r="P201" i="99"/>
  <c r="NE32" i="99"/>
  <c r="MW32" i="99" s="1"/>
  <c r="AD37" i="100"/>
  <c r="AF36" i="100"/>
  <c r="MZ34" i="99"/>
  <c r="QE35" i="99"/>
  <c r="O120" i="99"/>
  <c r="C160" i="99"/>
  <c r="O161" i="99"/>
  <c r="O78" i="99"/>
  <c r="P160" i="99"/>
  <c r="D159" i="99"/>
  <c r="D77" i="99"/>
  <c r="P78" i="99"/>
  <c r="OF34" i="99"/>
  <c r="NS36" i="99"/>
  <c r="AH29" i="95"/>
  <c r="W148" i="2" l="1"/>
  <c r="V148" i="2"/>
  <c r="Q148" i="2"/>
  <c r="R148" i="2"/>
  <c r="U148" i="2"/>
  <c r="T148" i="2"/>
  <c r="NP28" i="124"/>
  <c r="NT27" i="124"/>
  <c r="OA12" i="122"/>
  <c r="OF11" i="122"/>
  <c r="OO23" i="116"/>
  <c r="AE14" i="118"/>
  <c r="X25" i="118"/>
  <c r="N151" i="2" a="1"/>
  <c r="N151" i="2" s="1"/>
  <c r="AJ32" i="117"/>
  <c r="OS21" i="116"/>
  <c r="P149" i="2"/>
  <c r="AL27" i="112"/>
  <c r="NY35" i="99"/>
  <c r="OE34" i="99"/>
  <c r="PF34" i="99"/>
  <c r="OZ35" i="99"/>
  <c r="D117" i="99"/>
  <c r="P118" i="99"/>
  <c r="OE32" i="102"/>
  <c r="NY33" i="102"/>
  <c r="P201" i="102"/>
  <c r="O203" i="102"/>
  <c r="C118" i="99"/>
  <c r="W119" i="99"/>
  <c r="O202" i="99"/>
  <c r="C201" i="99"/>
  <c r="P202" i="99"/>
  <c r="D201" i="99"/>
  <c r="NE33" i="99"/>
  <c r="MW33" i="99" s="1"/>
  <c r="AD38" i="100"/>
  <c r="AF37" i="100"/>
  <c r="D160" i="99"/>
  <c r="P161" i="99"/>
  <c r="NS37" i="99"/>
  <c r="C161" i="99"/>
  <c r="O162" i="99"/>
  <c r="MZ35" i="99"/>
  <c r="QE36" i="99"/>
  <c r="O79" i="99"/>
  <c r="NF37" i="99"/>
  <c r="OF35" i="99"/>
  <c r="O121" i="99"/>
  <c r="P79" i="99"/>
  <c r="D78" i="99"/>
  <c r="B65" i="88"/>
  <c r="W149" i="2" l="1"/>
  <c r="V149" i="2"/>
  <c r="U149" i="2"/>
  <c r="Q149" i="2"/>
  <c r="R149" i="2"/>
  <c r="T149" i="2"/>
  <c r="NP29" i="124"/>
  <c r="NT28" i="124"/>
  <c r="OA13" i="122"/>
  <c r="OF12" i="122"/>
  <c r="X26" i="118"/>
  <c r="OO24" i="116"/>
  <c r="AE15" i="118"/>
  <c r="N152" i="2" a="1"/>
  <c r="N152" i="2" s="1"/>
  <c r="AJ33" i="117"/>
  <c r="OS22" i="116"/>
  <c r="W150" i="2"/>
  <c r="V150" i="2"/>
  <c r="AL28" i="112"/>
  <c r="NY36" i="99"/>
  <c r="OE35" i="99"/>
  <c r="OZ36" i="99"/>
  <c r="PF35" i="99"/>
  <c r="P119" i="99"/>
  <c r="D118" i="99"/>
  <c r="K102" i="106"/>
  <c r="OE33" i="102"/>
  <c r="NY34" i="102"/>
  <c r="P202" i="102"/>
  <c r="O204" i="102"/>
  <c r="C119" i="99"/>
  <c r="W120" i="99"/>
  <c r="O203" i="99"/>
  <c r="C202" i="99"/>
  <c r="P203" i="99"/>
  <c r="D202" i="99"/>
  <c r="NE34" i="99"/>
  <c r="MW34" i="99" s="1"/>
  <c r="AF38" i="100"/>
  <c r="AD39" i="100"/>
  <c r="O80" i="99"/>
  <c r="QE37" i="99"/>
  <c r="MZ36" i="99"/>
  <c r="D79" i="99"/>
  <c r="P80" i="99"/>
  <c r="O122" i="99"/>
  <c r="NF38" i="99"/>
  <c r="P162" i="99"/>
  <c r="D161" i="99"/>
  <c r="O163" i="99"/>
  <c r="C162" i="99"/>
  <c r="NS38" i="99"/>
  <c r="OF36" i="99"/>
  <c r="BF57" i="2"/>
  <c r="BE57" i="2"/>
  <c r="NP30" i="124" l="1"/>
  <c r="NT29" i="124"/>
  <c r="OA14" i="122"/>
  <c r="OF13" i="122"/>
  <c r="OO25" i="116"/>
  <c r="AE16" i="118"/>
  <c r="X27" i="118"/>
  <c r="OS23" i="116"/>
  <c r="AJ34" i="117"/>
  <c r="AL29" i="112"/>
  <c r="NY37" i="99"/>
  <c r="OE36" i="99"/>
  <c r="OZ37" i="99"/>
  <c r="PF36" i="99"/>
  <c r="D119" i="99"/>
  <c r="P120" i="99"/>
  <c r="OE34" i="102"/>
  <c r="NY35" i="102"/>
  <c r="P203" i="102"/>
  <c r="O205" i="102"/>
  <c r="C120" i="99"/>
  <c r="W121" i="99"/>
  <c r="C203" i="99"/>
  <c r="O204" i="99"/>
  <c r="P204" i="99"/>
  <c r="D203" i="99"/>
  <c r="NE35" i="99"/>
  <c r="MW35" i="99" s="1"/>
  <c r="AD40" i="100"/>
  <c r="AF39" i="100"/>
  <c r="NF39" i="99"/>
  <c r="P81" i="99"/>
  <c r="D80" i="99"/>
  <c r="P163" i="99"/>
  <c r="D162" i="99"/>
  <c r="O123" i="99"/>
  <c r="OF37" i="99"/>
  <c r="NS39" i="99"/>
  <c r="O81" i="99"/>
  <c r="O164" i="99"/>
  <c r="C163" i="99"/>
  <c r="MZ37" i="99"/>
  <c r="QE38" i="99"/>
  <c r="AG29" i="95"/>
  <c r="NP31" i="124" l="1"/>
  <c r="NT30" i="124"/>
  <c r="OA15" i="122"/>
  <c r="OF14" i="122"/>
  <c r="X28" i="118"/>
  <c r="OO26" i="116"/>
  <c r="AE17" i="118"/>
  <c r="OS24" i="116"/>
  <c r="AJ35" i="117"/>
  <c r="AL30" i="112"/>
  <c r="OE37" i="99"/>
  <c r="NY38" i="99"/>
  <c r="PF37" i="99"/>
  <c r="OZ38" i="99"/>
  <c r="P121" i="99"/>
  <c r="D120" i="99"/>
  <c r="OE35" i="102"/>
  <c r="NY36" i="102"/>
  <c r="P204" i="102"/>
  <c r="O206" i="102"/>
  <c r="C121" i="99"/>
  <c r="W122" i="99"/>
  <c r="O205" i="99"/>
  <c r="C204" i="99"/>
  <c r="D204" i="99"/>
  <c r="P205" i="99"/>
  <c r="NE36" i="99"/>
  <c r="MW36" i="99" s="1"/>
  <c r="AD41" i="100"/>
  <c r="AF40" i="100"/>
  <c r="NS40" i="99"/>
  <c r="OF38" i="99"/>
  <c r="O124" i="99"/>
  <c r="C164" i="99"/>
  <c r="O165" i="99"/>
  <c r="QE39" i="99"/>
  <c r="MZ38" i="99"/>
  <c r="P164" i="99"/>
  <c r="D163" i="99"/>
  <c r="D81" i="99"/>
  <c r="P82" i="99"/>
  <c r="O82" i="99"/>
  <c r="NF40" i="99"/>
  <c r="BD57" i="2"/>
  <c r="NP32" i="124" l="1"/>
  <c r="NT31" i="124"/>
  <c r="OA16" i="122"/>
  <c r="OF15" i="122"/>
  <c r="OO27" i="116"/>
  <c r="AE18" i="118"/>
  <c r="X29" i="118"/>
  <c r="AJ36" i="117"/>
  <c r="OS25" i="116"/>
  <c r="AL31" i="112"/>
  <c r="NY39" i="99"/>
  <c r="OE38" i="99"/>
  <c r="OZ39" i="99"/>
  <c r="PF38" i="99"/>
  <c r="D121" i="99"/>
  <c r="P122" i="99"/>
  <c r="OE36" i="102"/>
  <c r="NY37" i="102"/>
  <c r="P205" i="102"/>
  <c r="O207" i="102"/>
  <c r="C122" i="99"/>
  <c r="W123" i="99"/>
  <c r="O206" i="99"/>
  <c r="C205" i="99"/>
  <c r="D205" i="99"/>
  <c r="P206" i="99"/>
  <c r="NE37" i="99"/>
  <c r="MW37" i="99" s="1"/>
  <c r="AD42" i="100"/>
  <c r="AF41" i="100"/>
  <c r="C165" i="99"/>
  <c r="O166" i="99"/>
  <c r="C166" i="99" s="1"/>
  <c r="O125" i="99"/>
  <c r="D164" i="99"/>
  <c r="P165" i="99"/>
  <c r="MZ39" i="99"/>
  <c r="QE40" i="99"/>
  <c r="NF41" i="99"/>
  <c r="NF42" i="99" s="1"/>
  <c r="O83" i="99"/>
  <c r="OF39" i="99"/>
  <c r="P83" i="99"/>
  <c r="D83" i="99" s="1"/>
  <c r="D82" i="99"/>
  <c r="NS41" i="99"/>
  <c r="NS42" i="99" s="1"/>
  <c r="NS44" i="99" s="1"/>
  <c r="AF29" i="95"/>
  <c r="NP33" i="124" l="1"/>
  <c r="NT32" i="124"/>
  <c r="OA17" i="122"/>
  <c r="OF16" i="122"/>
  <c r="ND39" i="116"/>
  <c r="X30" i="118"/>
  <c r="OO28" i="116"/>
  <c r="AE19" i="118"/>
  <c r="OS26" i="116"/>
  <c r="AJ37" i="117"/>
  <c r="AL32" i="112"/>
  <c r="NY40" i="99"/>
  <c r="OE39" i="99"/>
  <c r="PF39" i="99"/>
  <c r="OZ40" i="99"/>
  <c r="P123" i="99"/>
  <c r="D122" i="99"/>
  <c r="OE37" i="102"/>
  <c r="NY38" i="102"/>
  <c r="P206" i="102"/>
  <c r="O208" i="102"/>
  <c r="C123" i="99"/>
  <c r="W124" i="99"/>
  <c r="O207" i="99"/>
  <c r="C206" i="99"/>
  <c r="D206" i="99"/>
  <c r="P207" i="99"/>
  <c r="NE38" i="99"/>
  <c r="MW38" i="99" s="1"/>
  <c r="AF42" i="100"/>
  <c r="AF43" i="100" s="1"/>
  <c r="AD43" i="100"/>
  <c r="NF44" i="99"/>
  <c r="QE41" i="99"/>
  <c r="MZ40" i="99"/>
  <c r="MZ41" i="99" s="1"/>
  <c r="MZ42" i="99" s="1"/>
  <c r="MZ44" i="99" s="1"/>
  <c r="P166" i="99"/>
  <c r="D166" i="99" s="1"/>
  <c r="D165" i="99"/>
  <c r="OF40" i="99"/>
  <c r="BC57" i="2"/>
  <c r="NP34" i="124" l="1"/>
  <c r="NT33" i="124"/>
  <c r="OA18" i="122"/>
  <c r="OF17" i="122"/>
  <c r="OO29" i="116"/>
  <c r="AE20" i="118"/>
  <c r="ND40" i="116"/>
  <c r="ND41" i="116" s="1"/>
  <c r="ND9" i="120" s="1"/>
  <c r="ND10" i="120" s="1"/>
  <c r="X33" i="118" s="1"/>
  <c r="X31" i="118"/>
  <c r="AJ38" i="117"/>
  <c r="OS27" i="116"/>
  <c r="AL33" i="112"/>
  <c r="OE40" i="99"/>
  <c r="OE41" i="99" s="1"/>
  <c r="OE44" i="99" s="1"/>
  <c r="NY41" i="99"/>
  <c r="OZ41" i="99"/>
  <c r="OZ42" i="99" s="1"/>
  <c r="OZ44" i="99" s="1"/>
  <c r="PF40" i="99"/>
  <c r="PF41" i="99" s="1"/>
  <c r="PF42" i="99" s="1"/>
  <c r="PF44" i="99" s="1"/>
  <c r="P124" i="99"/>
  <c r="D123" i="99"/>
  <c r="OE38" i="102"/>
  <c r="NY39" i="102"/>
  <c r="P207" i="102"/>
  <c r="C124" i="99"/>
  <c r="W125" i="99"/>
  <c r="C125" i="99" s="1"/>
  <c r="QE44" i="99"/>
  <c r="C207" i="99"/>
  <c r="O208" i="99"/>
  <c r="C208" i="99" s="1"/>
  <c r="P208" i="99"/>
  <c r="D208" i="99" s="1"/>
  <c r="D207" i="99"/>
  <c r="NE39" i="99"/>
  <c r="MW39" i="99" s="1"/>
  <c r="OF41" i="99"/>
  <c r="K104" i="106"/>
  <c r="NP35" i="124" l="1"/>
  <c r="NT34" i="124"/>
  <c r="OA19" i="122"/>
  <c r="OF18" i="122"/>
  <c r="ND11" i="120"/>
  <c r="OO30" i="116"/>
  <c r="AE21" i="118"/>
  <c r="AJ39" i="117"/>
  <c r="OS28" i="116"/>
  <c r="AL34" i="112"/>
  <c r="P125" i="99"/>
  <c r="D125" i="99" s="1"/>
  <c r="D124" i="99"/>
  <c r="K103" i="106"/>
  <c r="OE39" i="102"/>
  <c r="NY40" i="102"/>
  <c r="P208" i="102"/>
  <c r="MZ10" i="102"/>
  <c r="NB41" i="99"/>
  <c r="NE40" i="99"/>
  <c r="BB34" i="2"/>
  <c r="BC34" i="2"/>
  <c r="BD34" i="2"/>
  <c r="BE34" i="2"/>
  <c r="BF34" i="2"/>
  <c r="NP36" i="124" l="1"/>
  <c r="NT35" i="124"/>
  <c r="OA20" i="122"/>
  <c r="OF19" i="122"/>
  <c r="ND12" i="120"/>
  <c r="X34" i="118"/>
  <c r="OO31" i="116"/>
  <c r="AE22" i="118"/>
  <c r="AJ40" i="117"/>
  <c r="OS29" i="116"/>
  <c r="AL35" i="112"/>
  <c r="OE40" i="102"/>
  <c r="OE41" i="102" s="1"/>
  <c r="OE44" i="102" s="1"/>
  <c r="NY41" i="102"/>
  <c r="MZ11" i="102"/>
  <c r="NB44" i="99"/>
  <c r="NB9" i="102"/>
  <c r="MW40" i="99"/>
  <c r="MW41" i="99" s="1"/>
  <c r="MW42" i="99" s="1"/>
  <c r="MW44" i="99" s="1"/>
  <c r="NE41" i="99"/>
  <c r="NE44" i="99" s="1"/>
  <c r="AE29" i="95"/>
  <c r="S29" i="95" s="1"/>
  <c r="NT36" i="124" l="1"/>
  <c r="NP37" i="124"/>
  <c r="OA21" i="122"/>
  <c r="OF20" i="122"/>
  <c r="ND13" i="120"/>
  <c r="X35" i="118"/>
  <c r="OO32" i="116"/>
  <c r="AE23" i="118"/>
  <c r="AJ41" i="117"/>
  <c r="OS30" i="116"/>
  <c r="NY44" i="102"/>
  <c r="NY9" i="111"/>
  <c r="AL36" i="112"/>
  <c r="MZ12" i="102"/>
  <c r="NB10" i="102"/>
  <c r="NE9" i="102"/>
  <c r="BB57" i="2"/>
  <c r="NT37" i="124" l="1"/>
  <c r="NP38" i="124"/>
  <c r="OA22" i="122"/>
  <c r="OF21" i="122"/>
  <c r="ND14" i="120"/>
  <c r="X36" i="118"/>
  <c r="OO33" i="116"/>
  <c r="AE24" i="118"/>
  <c r="OS31" i="116"/>
  <c r="AJ42" i="117"/>
  <c r="NY10" i="111"/>
  <c r="OE9" i="111"/>
  <c r="AL37" i="112"/>
  <c r="MZ13" i="102"/>
  <c r="NE10" i="102"/>
  <c r="MW10" i="102" s="1"/>
  <c r="NB11" i="102"/>
  <c r="K2" i="2"/>
  <c r="NT38" i="124" l="1"/>
  <c r="NP39" i="124"/>
  <c r="OA23" i="122"/>
  <c r="OF22" i="122"/>
  <c r="ND15" i="120"/>
  <c r="X37" i="118"/>
  <c r="OO34" i="116"/>
  <c r="AE25" i="118"/>
  <c r="AJ43" i="117"/>
  <c r="OS32" i="116"/>
  <c r="NY11" i="111"/>
  <c r="OE10" i="111"/>
  <c r="AL38" i="112"/>
  <c r="MZ14" i="102"/>
  <c r="NB12" i="102"/>
  <c r="NE11" i="102"/>
  <c r="MW11" i="102" s="1"/>
  <c r="AD29" i="95"/>
  <c r="NP40" i="124" l="1"/>
  <c r="NT39" i="124"/>
  <c r="OA24" i="122"/>
  <c r="OF23" i="122"/>
  <c r="ND16" i="120"/>
  <c r="X38" i="118"/>
  <c r="OO35" i="116"/>
  <c r="AE26" i="118"/>
  <c r="OS33" i="116"/>
  <c r="OE11" i="111"/>
  <c r="NY12" i="111"/>
  <c r="AL39" i="112"/>
  <c r="MZ15" i="102"/>
  <c r="NE12" i="102"/>
  <c r="MW12" i="102" s="1"/>
  <c r="NB13" i="102"/>
  <c r="NP41" i="124" l="1"/>
  <c r="NP9" i="126" s="1"/>
  <c r="NT40" i="124"/>
  <c r="OA25" i="122"/>
  <c r="OF24" i="122"/>
  <c r="ND17" i="120"/>
  <c r="X39" i="118"/>
  <c r="OO36" i="116"/>
  <c r="AE27" i="118"/>
  <c r="OS34" i="116"/>
  <c r="OE12" i="111"/>
  <c r="NY13" i="111"/>
  <c r="AL40" i="112"/>
  <c r="MZ16" i="102"/>
  <c r="NE13" i="102"/>
  <c r="MW13" i="102" s="1"/>
  <c r="NB14" i="102"/>
  <c r="AV100" i="2"/>
  <c r="AW100" i="2"/>
  <c r="AX100" i="2"/>
  <c r="AY100" i="2"/>
  <c r="AZ100" i="2"/>
  <c r="BB100" i="2"/>
  <c r="BC100" i="2"/>
  <c r="BD100" i="2"/>
  <c r="BE100" i="2"/>
  <c r="BF100" i="2"/>
  <c r="NP10" i="126" l="1"/>
  <c r="NT9" i="126"/>
  <c r="NT41" i="124"/>
  <c r="NP44" i="124"/>
  <c r="NT42" i="124"/>
  <c r="NT44" i="124" s="1"/>
  <c r="OA26" i="122"/>
  <c r="OF25" i="122"/>
  <c r="X40" i="118"/>
  <c r="OO37" i="116"/>
  <c r="AE28" i="118"/>
  <c r="OS35" i="116"/>
  <c r="OE13" i="111"/>
  <c r="NY14" i="111"/>
  <c r="AL41" i="112"/>
  <c r="MZ17" i="102"/>
  <c r="NB15" i="102"/>
  <c r="NE14" i="102"/>
  <c r="MW14" i="102" s="1"/>
  <c r="AC29" i="95"/>
  <c r="NP11" i="126" l="1"/>
  <c r="NT10" i="126"/>
  <c r="OA27" i="122"/>
  <c r="OF26" i="122"/>
  <c r="OO38" i="116"/>
  <c r="AE29" i="118"/>
  <c r="OS36" i="116"/>
  <c r="OE14" i="111"/>
  <c r="NY15" i="111"/>
  <c r="AK43" i="112"/>
  <c r="AK11" i="117" s="1"/>
  <c r="AL42" i="112"/>
  <c r="AL43" i="112" s="1"/>
  <c r="MZ18" i="102"/>
  <c r="NE15" i="102"/>
  <c r="MW15" i="102" s="1"/>
  <c r="NB16" i="102"/>
  <c r="AZ57" i="2"/>
  <c r="NP12" i="126" l="1"/>
  <c r="NT11" i="126"/>
  <c r="OA28" i="122"/>
  <c r="OF27" i="122"/>
  <c r="OO39" i="116"/>
  <c r="AE30" i="118"/>
  <c r="AK12" i="117"/>
  <c r="AL11" i="117"/>
  <c r="OS37" i="116"/>
  <c r="OE15" i="111"/>
  <c r="NY16" i="111"/>
  <c r="MZ19" i="102"/>
  <c r="NB17" i="102"/>
  <c r="NB18" i="102" s="1"/>
  <c r="NB19" i="102" s="1"/>
  <c r="NE16" i="102"/>
  <c r="MW16" i="102" s="1"/>
  <c r="B39" i="96"/>
  <c r="C35" i="96"/>
  <c r="NT12" i="126" l="1"/>
  <c r="NP13" i="126"/>
  <c r="OA29" i="122"/>
  <c r="OF28" i="122"/>
  <c r="OO40" i="116"/>
  <c r="AE32" i="118" s="1"/>
  <c r="AE31" i="118"/>
  <c r="OS38" i="116"/>
  <c r="AK13" i="117"/>
  <c r="AL12" i="117"/>
  <c r="OE16" i="111"/>
  <c r="NY17" i="111"/>
  <c r="NB20" i="102"/>
  <c r="NE19" i="102"/>
  <c r="MW19" i="102" s="1"/>
  <c r="MZ20" i="102"/>
  <c r="NE18" i="102"/>
  <c r="MW18" i="102" s="1"/>
  <c r="NE17" i="102"/>
  <c r="MW17" i="102" s="1"/>
  <c r="W31" i="95"/>
  <c r="V31" i="95"/>
  <c r="NP14" i="126" l="1"/>
  <c r="NT13" i="126"/>
  <c r="OA30" i="122"/>
  <c r="OF29" i="122"/>
  <c r="AK14" i="117"/>
  <c r="AL13" i="117"/>
  <c r="OS39" i="116"/>
  <c r="OE17" i="111"/>
  <c r="NY18" i="111"/>
  <c r="NB21" i="102"/>
  <c r="NE20" i="102"/>
  <c r="MW20" i="102" s="1"/>
  <c r="MZ21" i="102"/>
  <c r="D29" i="98"/>
  <c r="D28" i="98"/>
  <c r="D27" i="98"/>
  <c r="D26" i="98"/>
  <c r="NT14" i="126" l="1"/>
  <c r="NP15" i="126"/>
  <c r="OA31" i="122"/>
  <c r="OF30" i="122"/>
  <c r="OO41" i="116"/>
  <c r="OS40" i="116"/>
  <c r="OS41" i="116" s="1"/>
  <c r="OS44" i="116" s="1"/>
  <c r="AK15" i="117"/>
  <c r="AL14" i="117"/>
  <c r="OE18" i="111"/>
  <c r="NY19" i="111"/>
  <c r="NB22" i="102"/>
  <c r="NE21" i="102"/>
  <c r="MW21" i="102" s="1"/>
  <c r="MZ22" i="102"/>
  <c r="AB29" i="95"/>
  <c r="G136" i="2"/>
  <c r="NP16" i="126" l="1"/>
  <c r="E81" i="2" s="1"/>
  <c r="NT15" i="126"/>
  <c r="OA32" i="122"/>
  <c r="OF31" i="122"/>
  <c r="OO44" i="116"/>
  <c r="OO9" i="120"/>
  <c r="AK16" i="117"/>
  <c r="AL15" i="117"/>
  <c r="OE19" i="111"/>
  <c r="NY20" i="111"/>
  <c r="NB23" i="102"/>
  <c r="NE22" i="102"/>
  <c r="MW22" i="102" s="1"/>
  <c r="MZ23" i="102"/>
  <c r="AY57" i="2"/>
  <c r="U31" i="95"/>
  <c r="B69" i="98"/>
  <c r="W81" i="106" s="1"/>
  <c r="NT16" i="126" l="1"/>
  <c r="NP17" i="126"/>
  <c r="OA33" i="122"/>
  <c r="OF32" i="122"/>
  <c r="OS9" i="120"/>
  <c r="OO10" i="120"/>
  <c r="AK17" i="117"/>
  <c r="AL16" i="117"/>
  <c r="OE20" i="111"/>
  <c r="NY21" i="111"/>
  <c r="NB24" i="102"/>
  <c r="NE23" i="102"/>
  <c r="MW23" i="102" s="1"/>
  <c r="MZ24" i="102"/>
  <c r="AI11" i="95"/>
  <c r="NP18" i="126" l="1"/>
  <c r="NT17" i="126"/>
  <c r="OA34" i="122"/>
  <c r="OF33" i="122"/>
  <c r="AE33" i="118"/>
  <c r="P33" i="118"/>
  <c r="OO11" i="120"/>
  <c r="OS10" i="120"/>
  <c r="AK18" i="117"/>
  <c r="AL17" i="117"/>
  <c r="OE21" i="111"/>
  <c r="NY22" i="111"/>
  <c r="NB25" i="102"/>
  <c r="NE24" i="102"/>
  <c r="MW24" i="102" s="1"/>
  <c r="MZ25" i="102"/>
  <c r="S31" i="95"/>
  <c r="NP19" i="126" l="1"/>
  <c r="NT18" i="126"/>
  <c r="OA35" i="122"/>
  <c r="OF34" i="122"/>
  <c r="AE34" i="118"/>
  <c r="P34" i="118"/>
  <c r="OO12" i="120"/>
  <c r="OS11" i="120"/>
  <c r="AK19" i="117"/>
  <c r="AL18" i="117"/>
  <c r="OE22" i="111"/>
  <c r="NY23" i="111"/>
  <c r="NB26" i="102"/>
  <c r="NE25" i="102"/>
  <c r="MW25" i="102" s="1"/>
  <c r="MZ26" i="102"/>
  <c r="T31" i="95"/>
  <c r="L14" i="95" s="1"/>
  <c r="P39" i="88" s="1"/>
  <c r="S30" i="95"/>
  <c r="E18" i="19"/>
  <c r="NT19" i="126" l="1"/>
  <c r="NP20" i="126"/>
  <c r="OA36" i="122"/>
  <c r="OF35" i="122"/>
  <c r="AE35" i="118"/>
  <c r="P35" i="118"/>
  <c r="OO13" i="120"/>
  <c r="OS12" i="120"/>
  <c r="AK20" i="117"/>
  <c r="AL19" i="117"/>
  <c r="D103" i="106"/>
  <c r="C102" i="106"/>
  <c r="D102" i="106"/>
  <c r="K52" i="106"/>
  <c r="K53" i="106"/>
  <c r="OE23" i="111"/>
  <c r="NY24" i="111"/>
  <c r="K54" i="106"/>
  <c r="B28" i="98"/>
  <c r="V25" i="106" s="1"/>
  <c r="B48" i="98"/>
  <c r="B47" i="98"/>
  <c r="B52" i="98"/>
  <c r="B29" i="98"/>
  <c r="V26" i="106" s="1"/>
  <c r="B53" i="98"/>
  <c r="NB27" i="102"/>
  <c r="NE26" i="102"/>
  <c r="MW26" i="102" s="1"/>
  <c r="MZ27" i="102"/>
  <c r="F68" i="19"/>
  <c r="F69" i="19"/>
  <c r="B4" i="95"/>
  <c r="D46" i="95" s="1"/>
  <c r="NP21" i="126" l="1"/>
  <c r="NT20" i="126"/>
  <c r="B14" i="96"/>
  <c r="C54" i="107" s="1"/>
  <c r="B18" i="96"/>
  <c r="B12" i="96"/>
  <c r="C51" i="107" s="1"/>
  <c r="B13" i="96"/>
  <c r="C53" i="107" s="1"/>
  <c r="D26" i="95"/>
  <c r="D31" i="95"/>
  <c r="D18" i="95"/>
  <c r="D17" i="95" s="1"/>
  <c r="D22" i="95"/>
  <c r="D37" i="95"/>
  <c r="D13" i="95"/>
  <c r="D11" i="95"/>
  <c r="D35" i="95"/>
  <c r="D36" i="95"/>
  <c r="D33" i="95"/>
  <c r="D34" i="95"/>
  <c r="D6" i="95"/>
  <c r="C107" i="107" s="1"/>
  <c r="G6" i="95"/>
  <c r="D45" i="95"/>
  <c r="D20" i="95"/>
  <c r="OA37" i="122"/>
  <c r="OF36" i="122"/>
  <c r="AE36" i="118"/>
  <c r="P36" i="118"/>
  <c r="OO14" i="120"/>
  <c r="OS13" i="120"/>
  <c r="AK21" i="117"/>
  <c r="AL20" i="117"/>
  <c r="B51" i="98"/>
  <c r="B55" i="98"/>
  <c r="K51" i="106"/>
  <c r="C52" i="106"/>
  <c r="F85" i="2"/>
  <c r="OE24" i="111"/>
  <c r="NY25" i="111"/>
  <c r="K82" i="106"/>
  <c r="M82" i="106" s="1"/>
  <c r="C51" i="106"/>
  <c r="C80" i="107"/>
  <c r="D105" i="106"/>
  <c r="B92" i="106"/>
  <c r="NB28" i="102"/>
  <c r="NE27" i="102"/>
  <c r="MW27" i="102" s="1"/>
  <c r="B7" i="98"/>
  <c r="C105" i="106"/>
  <c r="B5" i="98"/>
  <c r="C103" i="106"/>
  <c r="D8" i="98"/>
  <c r="MZ28" i="102"/>
  <c r="B26" i="98"/>
  <c r="B27" i="98"/>
  <c r="V24" i="106" s="1"/>
  <c r="E136" i="2"/>
  <c r="NT21" i="126" l="1"/>
  <c r="NP22" i="126"/>
  <c r="OA38" i="122"/>
  <c r="OF37" i="122"/>
  <c r="AE37" i="118"/>
  <c r="P37" i="118"/>
  <c r="V23" i="106"/>
  <c r="OO15" i="120"/>
  <c r="OS14" i="120"/>
  <c r="AK22" i="117"/>
  <c r="AL21" i="117"/>
  <c r="OE25" i="111"/>
  <c r="NY26" i="111"/>
  <c r="J36" i="106"/>
  <c r="NB29" i="102"/>
  <c r="NE28" i="102"/>
  <c r="MW28" i="102" s="1"/>
  <c r="B11" i="96"/>
  <c r="B36" i="107" s="1"/>
  <c r="B98" i="107"/>
  <c r="D107" i="107"/>
  <c r="MZ29" i="102"/>
  <c r="D47" i="95"/>
  <c r="R80" i="107" s="1"/>
  <c r="E7" i="88"/>
  <c r="NP23" i="126" l="1"/>
  <c r="NT22" i="126"/>
  <c r="OA39" i="122"/>
  <c r="OF38" i="122"/>
  <c r="AE38" i="118"/>
  <c r="P38" i="118"/>
  <c r="OO16" i="120"/>
  <c r="OS15" i="120"/>
  <c r="AK23" i="117"/>
  <c r="AL22" i="117"/>
  <c r="OE26" i="111"/>
  <c r="NY27" i="111"/>
  <c r="NB30" i="102"/>
  <c r="NE29" i="102"/>
  <c r="MW29" i="102" s="1"/>
  <c r="MZ30" i="102"/>
  <c r="S75" i="19"/>
  <c r="NP24" i="126" l="1"/>
  <c r="NT23" i="126"/>
  <c r="OA40" i="122"/>
  <c r="OF39" i="122"/>
  <c r="AE39" i="118"/>
  <c r="P39" i="118"/>
  <c r="OO17" i="120"/>
  <c r="OS16" i="120"/>
  <c r="AK24" i="117"/>
  <c r="AL23" i="117"/>
  <c r="OE27" i="111"/>
  <c r="NY28" i="111"/>
  <c r="NB31" i="102"/>
  <c r="NE30" i="102"/>
  <c r="MW30" i="102" s="1"/>
  <c r="MZ31" i="102"/>
  <c r="AY35" i="2"/>
  <c r="AZ35" i="2"/>
  <c r="BB35" i="2"/>
  <c r="BC35" i="2"/>
  <c r="BD35" i="2"/>
  <c r="BE35" i="2"/>
  <c r="BF35" i="2"/>
  <c r="NP25" i="126" l="1"/>
  <c r="NT24" i="126"/>
  <c r="OA41" i="122"/>
  <c r="OA42" i="122" s="1"/>
  <c r="OF40" i="122"/>
  <c r="OF41" i="122" s="1"/>
  <c r="OF44" i="122" s="1"/>
  <c r="AE40" i="118"/>
  <c r="P40" i="118"/>
  <c r="OO18" i="120"/>
  <c r="OS17" i="120"/>
  <c r="AK25" i="117"/>
  <c r="AL24" i="117"/>
  <c r="OE28" i="111"/>
  <c r="NY29" i="111"/>
  <c r="NB32" i="102"/>
  <c r="NE31" i="102"/>
  <c r="MW31" i="102" s="1"/>
  <c r="MZ32" i="102"/>
  <c r="AT52" i="2"/>
  <c r="AS52" i="2"/>
  <c r="OB9" i="124" l="1"/>
  <c r="OB9" i="126"/>
  <c r="NP26" i="126"/>
  <c r="NT25" i="126"/>
  <c r="OB10" i="124"/>
  <c r="OG9" i="124"/>
  <c r="AE41" i="118"/>
  <c r="P41" i="118"/>
  <c r="OO19" i="120"/>
  <c r="OS18" i="120"/>
  <c r="AK26" i="117"/>
  <c r="AL25" i="117"/>
  <c r="OE29" i="111"/>
  <c r="NY30" i="111"/>
  <c r="NB33" i="102"/>
  <c r="NE32" i="102"/>
  <c r="MW32" i="102" s="1"/>
  <c r="MZ33" i="102"/>
  <c r="OB10" i="126" l="1"/>
  <c r="OG9" i="126"/>
  <c r="NT26" i="126"/>
  <c r="NP27" i="126"/>
  <c r="OB11" i="124"/>
  <c r="OG10" i="124"/>
  <c r="MZ10" i="124" s="1"/>
  <c r="AE42" i="118"/>
  <c r="P42" i="118"/>
  <c r="OO20" i="120"/>
  <c r="OS19" i="120"/>
  <c r="AK27" i="117"/>
  <c r="AL26" i="117"/>
  <c r="OE30" i="111"/>
  <c r="NY31" i="111"/>
  <c r="NB34" i="102"/>
  <c r="NE33" i="102"/>
  <c r="MW33" i="102" s="1"/>
  <c r="MZ34" i="102"/>
  <c r="T75" i="19"/>
  <c r="T74" i="19"/>
  <c r="T35" i="19"/>
  <c r="OB11" i="126" l="1"/>
  <c r="OG10" i="126"/>
  <c r="MZ10" i="126" s="1"/>
  <c r="NP28" i="126"/>
  <c r="NT27" i="126"/>
  <c r="OB12" i="124"/>
  <c r="OG11" i="124"/>
  <c r="MZ11" i="124" s="1"/>
  <c r="AE43" i="118"/>
  <c r="P43" i="118"/>
  <c r="OO21" i="120"/>
  <c r="OS20" i="120"/>
  <c r="AK28" i="117"/>
  <c r="AL27" i="117"/>
  <c r="OE31" i="111"/>
  <c r="NY32" i="111"/>
  <c r="NB35" i="102"/>
  <c r="NE34" i="102"/>
  <c r="MW34" i="102" s="1"/>
  <c r="MZ35" i="102"/>
  <c r="T72" i="19"/>
  <c r="OB12" i="126" l="1"/>
  <c r="OG11" i="126"/>
  <c r="MZ11" i="126" s="1"/>
  <c r="NP29" i="126"/>
  <c r="NT28" i="126"/>
  <c r="OB13" i="124"/>
  <c r="OG12" i="124"/>
  <c r="MZ12" i="124" s="1"/>
  <c r="AE44" i="118"/>
  <c r="P44" i="118"/>
  <c r="OO22" i="120"/>
  <c r="OS21" i="120"/>
  <c r="AK29" i="117"/>
  <c r="AL28" i="117"/>
  <c r="OE32" i="111"/>
  <c r="NY33" i="111"/>
  <c r="NB36" i="102"/>
  <c r="NE35" i="102"/>
  <c r="MW35" i="102" s="1"/>
  <c r="MZ36" i="102"/>
  <c r="AR52" i="2"/>
  <c r="AA29" i="95"/>
  <c r="OB13" i="126" l="1"/>
  <c r="OG12" i="126"/>
  <c r="MZ12" i="126" s="1"/>
  <c r="NP30" i="126"/>
  <c r="NT29" i="126"/>
  <c r="OB14" i="124"/>
  <c r="OG13" i="124"/>
  <c r="MZ13" i="124" s="1"/>
  <c r="AE45" i="118"/>
  <c r="P45" i="118"/>
  <c r="OO23" i="120"/>
  <c r="OS22" i="120"/>
  <c r="AK30" i="117"/>
  <c r="AL29" i="117"/>
  <c r="OE33" i="111"/>
  <c r="NY34" i="111"/>
  <c r="NB37" i="102"/>
  <c r="NE36" i="102"/>
  <c r="MW36" i="102" s="1"/>
  <c r="MZ37" i="102"/>
  <c r="U10" i="95"/>
  <c r="AX57" i="2"/>
  <c r="OB14" i="126" l="1"/>
  <c r="OG13" i="126"/>
  <c r="MZ13" i="126" s="1"/>
  <c r="NP31" i="126"/>
  <c r="NT30" i="126"/>
  <c r="OB15" i="124"/>
  <c r="OG14" i="124"/>
  <c r="MZ14" i="124" s="1"/>
  <c r="AE46" i="118"/>
  <c r="P46" i="118"/>
  <c r="OO24" i="120"/>
  <c r="OS23" i="120"/>
  <c r="AK31" i="117"/>
  <c r="AL30" i="117"/>
  <c r="OE34" i="111"/>
  <c r="NY35" i="111"/>
  <c r="NB38" i="102"/>
  <c r="NE37" i="102"/>
  <c r="MW37" i="102" s="1"/>
  <c r="MZ38" i="102"/>
  <c r="D19" i="96"/>
  <c r="OB15" i="126" l="1"/>
  <c r="OG14" i="126"/>
  <c r="MZ14" i="126" s="1"/>
  <c r="NP32" i="126"/>
  <c r="NT31" i="126"/>
  <c r="OB16" i="124"/>
  <c r="OG15" i="124"/>
  <c r="MZ15" i="124" s="1"/>
  <c r="AE47" i="118"/>
  <c r="P47" i="118"/>
  <c r="OO25" i="120"/>
  <c r="OS24" i="120"/>
  <c r="AK32" i="117"/>
  <c r="AL31" i="117"/>
  <c r="OE35" i="111"/>
  <c r="NY36" i="111"/>
  <c r="NB39" i="102"/>
  <c r="NE38" i="102"/>
  <c r="MW38" i="102" s="1"/>
  <c r="MZ39" i="102"/>
  <c r="OB16" i="126" l="1"/>
  <c r="OG15" i="126"/>
  <c r="MZ15" i="126" s="1"/>
  <c r="NP33" i="126"/>
  <c r="NT32" i="126"/>
  <c r="OB17" i="124"/>
  <c r="OG16" i="124"/>
  <c r="MZ16" i="124" s="1"/>
  <c r="AE48" i="118"/>
  <c r="P48" i="118"/>
  <c r="OO26" i="120"/>
  <c r="OS25" i="120"/>
  <c r="AK33" i="117"/>
  <c r="AL32" i="117"/>
  <c r="OE36" i="111"/>
  <c r="NY37" i="111"/>
  <c r="NB40" i="102"/>
  <c r="NE39" i="102"/>
  <c r="MW39" i="102" s="1"/>
  <c r="D80" i="107"/>
  <c r="MZ40" i="102"/>
  <c r="MZ41" i="102" s="1"/>
  <c r="F108" i="2"/>
  <c r="G108" i="2"/>
  <c r="H108" i="2"/>
  <c r="I108" i="2"/>
  <c r="J108" i="2"/>
  <c r="L108" i="2"/>
  <c r="M108" i="2"/>
  <c r="F109" i="2"/>
  <c r="G109" i="2"/>
  <c r="H109" i="2"/>
  <c r="I109" i="2"/>
  <c r="J109" i="2"/>
  <c r="F110" i="2"/>
  <c r="G110" i="2"/>
  <c r="H110" i="2"/>
  <c r="I110" i="2"/>
  <c r="J110" i="2"/>
  <c r="L110" i="2"/>
  <c r="M110" i="2"/>
  <c r="F111" i="2"/>
  <c r="G111" i="2"/>
  <c r="H111" i="2"/>
  <c r="I111" i="2"/>
  <c r="J111" i="2"/>
  <c r="L111" i="2"/>
  <c r="F112" i="2"/>
  <c r="G112" i="2"/>
  <c r="H112" i="2"/>
  <c r="I112" i="2"/>
  <c r="J112" i="2"/>
  <c r="L112" i="2"/>
  <c r="F113" i="2"/>
  <c r="G113" i="2"/>
  <c r="H113" i="2"/>
  <c r="I113" i="2"/>
  <c r="F115" i="2"/>
  <c r="K115" i="2"/>
  <c r="I121" i="2"/>
  <c r="J121" i="2"/>
  <c r="N121" i="2"/>
  <c r="K122" i="2"/>
  <c r="K120" i="2" s="1"/>
  <c r="K125" i="2"/>
  <c r="K123" i="2" s="1"/>
  <c r="F127" i="2"/>
  <c r="G127" i="2"/>
  <c r="H127" i="2"/>
  <c r="K127" i="2"/>
  <c r="L127" i="2"/>
  <c r="M127" i="2"/>
  <c r="F136" i="2"/>
  <c r="OB17" i="126" l="1"/>
  <c r="OG16" i="126"/>
  <c r="MZ16" i="126" s="1"/>
  <c r="NT33" i="126"/>
  <c r="NP34" i="126"/>
  <c r="OB18" i="124"/>
  <c r="OG17" i="124"/>
  <c r="MZ17" i="124" s="1"/>
  <c r="AE49" i="118"/>
  <c r="P49" i="118"/>
  <c r="OO27" i="120"/>
  <c r="OS26" i="120"/>
  <c r="AK34" i="117"/>
  <c r="AL33" i="117"/>
  <c r="MZ42" i="102"/>
  <c r="MZ44" i="102" s="1"/>
  <c r="OE37" i="111"/>
  <c r="NY38" i="111"/>
  <c r="NB41" i="102"/>
  <c r="NE40" i="102"/>
  <c r="K126" i="2"/>
  <c r="K128" i="2"/>
  <c r="OB18" i="126" l="1"/>
  <c r="OG17" i="126"/>
  <c r="MZ17" i="126" s="1"/>
  <c r="NT34" i="126"/>
  <c r="NP35" i="126"/>
  <c r="OB19" i="124"/>
  <c r="OG18" i="124"/>
  <c r="MZ18" i="124" s="1"/>
  <c r="AE50" i="118"/>
  <c r="P50" i="118"/>
  <c r="OO28" i="120"/>
  <c r="OS27" i="120"/>
  <c r="AK35" i="117"/>
  <c r="AL34" i="117"/>
  <c r="OE38" i="111"/>
  <c r="NY39" i="111"/>
  <c r="NB44" i="102"/>
  <c r="NB9" i="111"/>
  <c r="NE41" i="102"/>
  <c r="NE44" i="102" s="1"/>
  <c r="MW40" i="102"/>
  <c r="MW41" i="102" s="1"/>
  <c r="MW44" i="102" s="1"/>
  <c r="J26" i="95"/>
  <c r="J22" i="95"/>
  <c r="V25" i="95"/>
  <c r="U25" i="95"/>
  <c r="W24" i="95"/>
  <c r="V24" i="95"/>
  <c r="U24" i="95"/>
  <c r="T24" i="95"/>
  <c r="V23" i="95"/>
  <c r="U23" i="95"/>
  <c r="T23" i="95"/>
  <c r="T26" i="95"/>
  <c r="U26" i="95"/>
  <c r="V26" i="95"/>
  <c r="W26" i="95"/>
  <c r="V21" i="95"/>
  <c r="U21" i="95"/>
  <c r="V20" i="95"/>
  <c r="U20" i="95"/>
  <c r="T20" i="95"/>
  <c r="V19" i="95"/>
  <c r="U19" i="95"/>
  <c r="T19" i="95"/>
  <c r="AD17" i="95"/>
  <c r="OB19" i="126" l="1"/>
  <c r="OG18" i="126"/>
  <c r="MZ18" i="126" s="1"/>
  <c r="NP36" i="126"/>
  <c r="NT35" i="126"/>
  <c r="OB20" i="124"/>
  <c r="OG19" i="124"/>
  <c r="MZ19" i="124" s="1"/>
  <c r="AE51" i="118"/>
  <c r="P51" i="118"/>
  <c r="OO29" i="120"/>
  <c r="OS28" i="120"/>
  <c r="AK36" i="117"/>
  <c r="AL35" i="117"/>
  <c r="OE39" i="111"/>
  <c r="NY40" i="111"/>
  <c r="NB10" i="111"/>
  <c r="NE9" i="111"/>
  <c r="V16" i="95"/>
  <c r="S19" i="95"/>
  <c r="AB17" i="95"/>
  <c r="AE17" i="95"/>
  <c r="AC17" i="95"/>
  <c r="U16" i="95"/>
  <c r="AA17" i="95"/>
  <c r="S23" i="95"/>
  <c r="V13" i="95"/>
  <c r="AI17" i="95" s="1"/>
  <c r="U13" i="95"/>
  <c r="AH17" i="95" s="1"/>
  <c r="OB20" i="126" l="1"/>
  <c r="OG19" i="126"/>
  <c r="MZ19" i="126" s="1"/>
  <c r="NT36" i="126"/>
  <c r="NP37" i="126"/>
  <c r="OB21" i="124"/>
  <c r="OG20" i="124"/>
  <c r="MZ20" i="124" s="1"/>
  <c r="AE52" i="118"/>
  <c r="P52" i="118"/>
  <c r="OO30" i="120"/>
  <c r="OS29" i="120"/>
  <c r="AK37" i="117"/>
  <c r="AL36" i="117"/>
  <c r="OE40" i="111"/>
  <c r="OE41" i="111" s="1"/>
  <c r="OE44" i="111" s="1"/>
  <c r="NY41" i="111"/>
  <c r="NE10" i="111"/>
  <c r="MW10" i="111" s="1"/>
  <c r="NB11" i="111"/>
  <c r="W50" i="19"/>
  <c r="X50" i="19"/>
  <c r="V50" i="19"/>
  <c r="W42" i="19"/>
  <c r="X42" i="19"/>
  <c r="V42" i="19"/>
  <c r="W70" i="19"/>
  <c r="X70" i="19"/>
  <c r="V70" i="19"/>
  <c r="W62" i="19"/>
  <c r="X62" i="19"/>
  <c r="V62" i="19"/>
  <c r="X38" i="19"/>
  <c r="W38" i="19"/>
  <c r="OB21" i="126" l="1"/>
  <c r="OG20" i="126"/>
  <c r="MZ20" i="126" s="1"/>
  <c r="NT37" i="126"/>
  <c r="NP38" i="126"/>
  <c r="OB22" i="124"/>
  <c r="OG21" i="124"/>
  <c r="MZ21" i="124" s="1"/>
  <c r="AE53" i="118"/>
  <c r="P53" i="118"/>
  <c r="OO31" i="120"/>
  <c r="OS30" i="120"/>
  <c r="NY44" i="111"/>
  <c r="NZ9" i="116"/>
  <c r="AK38" i="117"/>
  <c r="AL37" i="117"/>
  <c r="NE11" i="111"/>
  <c r="MW11" i="111" s="1"/>
  <c r="NB12" i="111"/>
  <c r="X35" i="19"/>
  <c r="W35" i="19"/>
  <c r="V35" i="19"/>
  <c r="OB22" i="126" l="1"/>
  <c r="OG21" i="126"/>
  <c r="MZ21" i="126" s="1"/>
  <c r="NT38" i="126"/>
  <c r="NP39" i="126"/>
  <c r="OB23" i="124"/>
  <c r="OG22" i="124"/>
  <c r="MZ22" i="124" s="1"/>
  <c r="AE54" i="118"/>
  <c r="P54" i="118"/>
  <c r="OO32" i="120"/>
  <c r="OS31" i="120"/>
  <c r="OF9" i="116"/>
  <c r="NZ10" i="116"/>
  <c r="AD2" i="118" s="1"/>
  <c r="AK39" i="117"/>
  <c r="AL38" i="117"/>
  <c r="NE12" i="111"/>
  <c r="MW12" i="111" s="1"/>
  <c r="NB13" i="111"/>
  <c r="Q35" i="19"/>
  <c r="V38" i="19"/>
  <c r="Q36" i="19"/>
  <c r="Q37" i="19"/>
  <c r="R37" i="19"/>
  <c r="V37" i="19"/>
  <c r="W37" i="19"/>
  <c r="X37" i="19"/>
  <c r="OB23" i="126" l="1"/>
  <c r="OG22" i="126"/>
  <c r="MZ22" i="126" s="1"/>
  <c r="NP40" i="126"/>
  <c r="NT39" i="126"/>
  <c r="OB24" i="124"/>
  <c r="OG23" i="124"/>
  <c r="MZ23" i="124" s="1"/>
  <c r="AE55" i="118"/>
  <c r="P55" i="118"/>
  <c r="OO33" i="120"/>
  <c r="OS32" i="120"/>
  <c r="NZ11" i="116"/>
  <c r="AD3" i="118" s="1"/>
  <c r="OF10" i="116"/>
  <c r="AK40" i="117"/>
  <c r="AL39" i="117"/>
  <c r="NE13" i="111"/>
  <c r="MW13" i="111" s="1"/>
  <c r="NB14" i="111"/>
  <c r="OL17" i="94"/>
  <c r="OL18" i="94" s="1"/>
  <c r="OL19" i="94" s="1"/>
  <c r="OL20" i="94" s="1"/>
  <c r="OB24" i="126" l="1"/>
  <c r="OG23" i="126"/>
  <c r="MZ23" i="126" s="1"/>
  <c r="NT40" i="126"/>
  <c r="NP41" i="126"/>
  <c r="NP42" i="126" s="1"/>
  <c r="OB25" i="124"/>
  <c r="OG24" i="124"/>
  <c r="MZ24" i="124" s="1"/>
  <c r="AE56" i="118"/>
  <c r="P56" i="118"/>
  <c r="OO34" i="120"/>
  <c r="OS33" i="120"/>
  <c r="AK41" i="117"/>
  <c r="AL40" i="117"/>
  <c r="NZ12" i="116"/>
  <c r="AD4" i="118" s="1"/>
  <c r="OF11" i="116"/>
  <c r="NE14" i="111"/>
  <c r="MW14" i="111" s="1"/>
  <c r="NB15" i="111"/>
  <c r="S102" i="19"/>
  <c r="Q102" i="19"/>
  <c r="S101" i="19"/>
  <c r="Q101" i="19"/>
  <c r="T18" i="19"/>
  <c r="OB25" i="126" l="1"/>
  <c r="OG24" i="126"/>
  <c r="MZ24" i="126" s="1"/>
  <c r="NP44" i="126"/>
  <c r="NT42" i="126"/>
  <c r="NT44" i="126" s="1"/>
  <c r="NT41" i="126"/>
  <c r="OB26" i="124"/>
  <c r="OG25" i="124"/>
  <c r="MZ25" i="124" s="1"/>
  <c r="AE57" i="118"/>
  <c r="P57" i="118"/>
  <c r="OO35" i="120"/>
  <c r="OS34" i="120"/>
  <c r="AK42" i="117"/>
  <c r="AL41" i="117"/>
  <c r="NZ13" i="116"/>
  <c r="AD5" i="118" s="1"/>
  <c r="OF12" i="116"/>
  <c r="NE15" i="111"/>
  <c r="MW15" i="111" s="1"/>
  <c r="NB16" i="111"/>
  <c r="AQ52" i="2"/>
  <c r="AP52" i="2" s="1"/>
  <c r="M20" i="2"/>
  <c r="Z29" i="95"/>
  <c r="OB26" i="126" l="1"/>
  <c r="OG25" i="126"/>
  <c r="MZ25" i="126" s="1"/>
  <c r="OB27" i="124"/>
  <c r="OG26" i="124"/>
  <c r="MZ26" i="124" s="1"/>
  <c r="AE58" i="118"/>
  <c r="P58" i="118"/>
  <c r="OO36" i="120"/>
  <c r="OS35" i="120"/>
  <c r="NZ14" i="116"/>
  <c r="AD6" i="118" s="1"/>
  <c r="OF13" i="116"/>
  <c r="AK43" i="117"/>
  <c r="AL42" i="117"/>
  <c r="AL43" i="117" s="1"/>
  <c r="NE16" i="111"/>
  <c r="MW16" i="111" s="1"/>
  <c r="NB17" i="111"/>
  <c r="AW56" i="2"/>
  <c r="AX56" i="2"/>
  <c r="BD56" i="2"/>
  <c r="BE56" i="2"/>
  <c r="BF56" i="2"/>
  <c r="OB27" i="126" l="1"/>
  <c r="OG26" i="126"/>
  <c r="MZ26" i="126" s="1"/>
  <c r="OB28" i="124"/>
  <c r="OG27" i="124"/>
  <c r="MZ27" i="124" s="1"/>
  <c r="AE59" i="118"/>
  <c r="P59" i="118"/>
  <c r="OO37" i="120"/>
  <c r="OS36" i="120"/>
  <c r="NZ15" i="116"/>
  <c r="AD7" i="118" s="1"/>
  <c r="OF14" i="116"/>
  <c r="NE17" i="111"/>
  <c r="MW17" i="111" s="1"/>
  <c r="NB18" i="111"/>
  <c r="AW35" i="2"/>
  <c r="AW57" i="2"/>
  <c r="OB28" i="126" l="1"/>
  <c r="OG27" i="126"/>
  <c r="MZ27" i="126" s="1"/>
  <c r="OB29" i="124"/>
  <c r="OG28" i="124"/>
  <c r="MZ28" i="124" s="1"/>
  <c r="AE60" i="118"/>
  <c r="P60" i="118"/>
  <c r="OO38" i="120"/>
  <c r="OS37" i="120"/>
  <c r="NZ16" i="116"/>
  <c r="AD8" i="118" s="1"/>
  <c r="OF15" i="116"/>
  <c r="NE18" i="111"/>
  <c r="MW18" i="111" s="1"/>
  <c r="NB19" i="111"/>
  <c r="AQ113" i="2"/>
  <c r="AR113" i="2"/>
  <c r="AS113" i="2"/>
  <c r="AT113" i="2"/>
  <c r="AW111" i="2"/>
  <c r="AX111" i="2"/>
  <c r="AY111" i="2"/>
  <c r="AZ111" i="2"/>
  <c r="BB111" i="2"/>
  <c r="BC111" i="2"/>
  <c r="BD111" i="2"/>
  <c r="BE111" i="2"/>
  <c r="BF111" i="2"/>
  <c r="AQ109" i="2"/>
  <c r="AR109" i="2"/>
  <c r="AS109" i="2"/>
  <c r="AT109" i="2"/>
  <c r="AR105" i="2"/>
  <c r="AS105" i="2"/>
  <c r="AT105" i="2"/>
  <c r="AQ103" i="2"/>
  <c r="AR103" i="2"/>
  <c r="AS103" i="2"/>
  <c r="AT103" i="2"/>
  <c r="OB29" i="126" l="1"/>
  <c r="OG28" i="126"/>
  <c r="MZ28" i="126" s="1"/>
  <c r="OB30" i="124"/>
  <c r="OG29" i="124"/>
  <c r="MZ29" i="124" s="1"/>
  <c r="AE61" i="118"/>
  <c r="P61" i="118"/>
  <c r="OO39" i="120"/>
  <c r="OS38" i="120"/>
  <c r="NZ17" i="116"/>
  <c r="AD9" i="118" s="1"/>
  <c r="OF16" i="116"/>
  <c r="NE19" i="111"/>
  <c r="MW19" i="111" s="1"/>
  <c r="NB20" i="111"/>
  <c r="AP103" i="2"/>
  <c r="AT111" i="2"/>
  <c r="AS111" i="2"/>
  <c r="K65" i="19" s="1"/>
  <c r="AR111" i="2"/>
  <c r="AP113" i="2"/>
  <c r="AP109" i="2"/>
  <c r="OB30" i="126" l="1"/>
  <c r="OG29" i="126"/>
  <c r="MZ29" i="126" s="1"/>
  <c r="OB31" i="124"/>
  <c r="OG30" i="124"/>
  <c r="MZ30" i="124" s="1"/>
  <c r="AE62" i="118"/>
  <c r="P62" i="118"/>
  <c r="OO40" i="120"/>
  <c r="OS39" i="120"/>
  <c r="NZ18" i="116"/>
  <c r="AD10" i="118" s="1"/>
  <c r="OF17" i="116"/>
  <c r="NE20" i="111"/>
  <c r="MW20" i="111" s="1"/>
  <c r="NB21" i="111"/>
  <c r="Q38" i="19"/>
  <c r="OB31" i="126" l="1"/>
  <c r="OG30" i="126"/>
  <c r="MZ30" i="126" s="1"/>
  <c r="OB32" i="124"/>
  <c r="OG31" i="124"/>
  <c r="MZ31" i="124" s="1"/>
  <c r="AE63" i="118"/>
  <c r="P63" i="118"/>
  <c r="OO41" i="120"/>
  <c r="OS40" i="120"/>
  <c r="NZ19" i="116"/>
  <c r="AD11" i="118" s="1"/>
  <c r="OF18" i="116"/>
  <c r="NE21" i="111"/>
  <c r="MW21" i="111" s="1"/>
  <c r="NB22" i="111"/>
  <c r="E43" i="95"/>
  <c r="OB32" i="126" l="1"/>
  <c r="OG31" i="126"/>
  <c r="MZ31" i="126" s="1"/>
  <c r="OB33" i="124"/>
  <c r="OG32" i="124"/>
  <c r="MZ32" i="124" s="1"/>
  <c r="OO44" i="120"/>
  <c r="OO9" i="122"/>
  <c r="OS41" i="120"/>
  <c r="OS44" i="120" s="1"/>
  <c r="NZ20" i="116"/>
  <c r="AD12" i="118" s="1"/>
  <c r="OF19" i="116"/>
  <c r="NE22" i="111"/>
  <c r="MW22" i="111" s="1"/>
  <c r="NB23" i="111"/>
  <c r="RM20" i="94"/>
  <c r="RM21" i="94"/>
  <c r="RM22" i="94"/>
  <c r="RM23" i="94"/>
  <c r="RM24" i="94"/>
  <c r="RM25" i="94"/>
  <c r="RM26" i="94"/>
  <c r="RM27" i="94"/>
  <c r="RM28" i="94"/>
  <c r="RM29" i="94"/>
  <c r="RM30" i="94"/>
  <c r="RM31" i="94"/>
  <c r="RM32" i="94"/>
  <c r="RM33" i="94"/>
  <c r="RM34" i="94"/>
  <c r="RM35" i="94"/>
  <c r="RM36" i="94"/>
  <c r="RM37" i="94"/>
  <c r="RM38" i="94"/>
  <c r="RM39" i="94"/>
  <c r="RM40" i="94"/>
  <c r="OB33" i="126" l="1"/>
  <c r="OG32" i="126"/>
  <c r="MZ32" i="126" s="1"/>
  <c r="OB34" i="124"/>
  <c r="OG33" i="124"/>
  <c r="MZ33" i="124" s="1"/>
  <c r="OS9" i="122"/>
  <c r="OO10" i="122"/>
  <c r="NZ21" i="116"/>
  <c r="AD13" i="118" s="1"/>
  <c r="OF20" i="116"/>
  <c r="NE23" i="111"/>
  <c r="MW23" i="111" s="1"/>
  <c r="NB24" i="111"/>
  <c r="RM43" i="94"/>
  <c r="RR43" i="94" s="1"/>
  <c r="W10" i="94"/>
  <c r="W11" i="94"/>
  <c r="W12" i="94"/>
  <c r="W13" i="94"/>
  <c r="W14" i="94"/>
  <c r="W15" i="94"/>
  <c r="W16" i="94"/>
  <c r="W17" i="94"/>
  <c r="W18" i="94"/>
  <c r="W19" i="94"/>
  <c r="W20" i="94"/>
  <c r="W21" i="94"/>
  <c r="W22" i="94"/>
  <c r="W23" i="94"/>
  <c r="W24" i="94"/>
  <c r="W25" i="94"/>
  <c r="W26" i="94"/>
  <c r="W27" i="94"/>
  <c r="W28" i="94"/>
  <c r="W29" i="94"/>
  <c r="W30" i="94"/>
  <c r="W31" i="94"/>
  <c r="W32" i="94"/>
  <c r="W33" i="94"/>
  <c r="W34" i="94"/>
  <c r="W35" i="94"/>
  <c r="W36" i="94"/>
  <c r="W37" i="94"/>
  <c r="W38" i="94"/>
  <c r="W39" i="94"/>
  <c r="W40" i="94"/>
  <c r="OB34" i="126" l="1"/>
  <c r="OG33" i="126"/>
  <c r="MZ33" i="126" s="1"/>
  <c r="OB35" i="124"/>
  <c r="OG34" i="124"/>
  <c r="MZ34" i="124" s="1"/>
  <c r="OS10" i="122"/>
  <c r="OO11" i="122"/>
  <c r="NZ22" i="116"/>
  <c r="AD14" i="118" s="1"/>
  <c r="OF21" i="116"/>
  <c r="NE24" i="111"/>
  <c r="MW24" i="111" s="1"/>
  <c r="NB25" i="111"/>
  <c r="X135" i="2"/>
  <c r="Y135" i="2"/>
  <c r="OB35" i="126" l="1"/>
  <c r="OG34" i="126"/>
  <c r="MZ34" i="126" s="1"/>
  <c r="OB36" i="124"/>
  <c r="OG35" i="124"/>
  <c r="MZ35" i="124" s="1"/>
  <c r="OS11" i="122"/>
  <c r="OO12" i="122"/>
  <c r="NZ23" i="116"/>
  <c r="AD15" i="118" s="1"/>
  <c r="OF22" i="116"/>
  <c r="NE25" i="111"/>
  <c r="MW25" i="111" s="1"/>
  <c r="NB26" i="111"/>
  <c r="NL10" i="94"/>
  <c r="NL11" i="94" s="1"/>
  <c r="NL12" i="94" s="1"/>
  <c r="NL13" i="94" s="1"/>
  <c r="NL14" i="94" s="1"/>
  <c r="NL15" i="94" s="1"/>
  <c r="NL16" i="94" s="1"/>
  <c r="NL17" i="94" s="1"/>
  <c r="NL18" i="94" s="1"/>
  <c r="NL19" i="94" s="1"/>
  <c r="NL20" i="94" s="1"/>
  <c r="NL21" i="94" s="1"/>
  <c r="NL22" i="94" s="1"/>
  <c r="NL23" i="94" s="1"/>
  <c r="NL24" i="94" s="1"/>
  <c r="NL25" i="94" s="1"/>
  <c r="NL26" i="94" s="1"/>
  <c r="NL27" i="94" s="1"/>
  <c r="NL28" i="94" s="1"/>
  <c r="NL29" i="94" s="1"/>
  <c r="NL30" i="94" s="1"/>
  <c r="NL31" i="94" s="1"/>
  <c r="NL32" i="94" s="1"/>
  <c r="NL33" i="94" s="1"/>
  <c r="NL34" i="94" s="1"/>
  <c r="NL35" i="94" s="1"/>
  <c r="NL36" i="94" s="1"/>
  <c r="NL37" i="94" s="1"/>
  <c r="NL38" i="94" s="1"/>
  <c r="NL39" i="94" s="1"/>
  <c r="NL40" i="94" s="1"/>
  <c r="NM10" i="94"/>
  <c r="OB36" i="126" l="1"/>
  <c r="OG35" i="126"/>
  <c r="MZ35" i="126" s="1"/>
  <c r="OB37" i="124"/>
  <c r="OG36" i="124"/>
  <c r="MZ36" i="124" s="1"/>
  <c r="OO13" i="122"/>
  <c r="OS12" i="122"/>
  <c r="NZ24" i="116"/>
  <c r="OF23" i="116"/>
  <c r="NE26" i="111"/>
  <c r="MW26" i="111" s="1"/>
  <c r="NB27" i="111"/>
  <c r="Y29" i="95"/>
  <c r="OB37" i="126" l="1"/>
  <c r="OG36" i="126"/>
  <c r="MZ36" i="126" s="1"/>
  <c r="OB38" i="124"/>
  <c r="OG37" i="124"/>
  <c r="MZ37" i="124" s="1"/>
  <c r="OS13" i="122"/>
  <c r="OO14" i="122"/>
  <c r="Q16" i="118"/>
  <c r="AD16" i="118"/>
  <c r="NZ25" i="116"/>
  <c r="OF24" i="116"/>
  <c r="NE27" i="111"/>
  <c r="MW27" i="111" s="1"/>
  <c r="NB28" i="111"/>
  <c r="S20" i="95"/>
  <c r="OL21" i="94"/>
  <c r="OL22" i="94" s="1"/>
  <c r="OL23" i="94" s="1"/>
  <c r="OL24" i="94" s="1"/>
  <c r="OL25" i="94" s="1"/>
  <c r="OL26" i="94" s="1"/>
  <c r="OL27" i="94" s="1"/>
  <c r="OL28" i="94" s="1"/>
  <c r="OL29" i="94" s="1"/>
  <c r="OL30" i="94" s="1"/>
  <c r="OL31" i="94" s="1"/>
  <c r="OL32" i="94" s="1"/>
  <c r="OB38" i="126" l="1"/>
  <c r="OG37" i="126"/>
  <c r="MZ37" i="126" s="1"/>
  <c r="OB39" i="124"/>
  <c r="OG38" i="124"/>
  <c r="MZ38" i="124" s="1"/>
  <c r="OO15" i="122"/>
  <c r="OS14" i="122"/>
  <c r="Q17" i="118"/>
  <c r="AD17" i="118"/>
  <c r="NZ26" i="116"/>
  <c r="OF25" i="116"/>
  <c r="NE28" i="111"/>
  <c r="MW28" i="111" s="1"/>
  <c r="NB29" i="111"/>
  <c r="Y17" i="95"/>
  <c r="T21" i="95"/>
  <c r="K26" i="95"/>
  <c r="AV57" i="2"/>
  <c r="AV111" i="2"/>
  <c r="AV101" i="2"/>
  <c r="OB39" i="126" l="1"/>
  <c r="OG38" i="126"/>
  <c r="MZ38" i="126" s="1"/>
  <c r="OB40" i="124"/>
  <c r="OG39" i="124"/>
  <c r="MZ39" i="124" s="1"/>
  <c r="S21" i="95"/>
  <c r="L26" i="95" s="1"/>
  <c r="OO16" i="122"/>
  <c r="OS15" i="122"/>
  <c r="AD18" i="118"/>
  <c r="Q18" i="118"/>
  <c r="NZ27" i="116"/>
  <c r="OF26" i="116"/>
  <c r="NE29" i="111"/>
  <c r="MW29" i="111" s="1"/>
  <c r="NB30" i="111"/>
  <c r="CJ41" i="94"/>
  <c r="OB40" i="126" l="1"/>
  <c r="OG39" i="126"/>
  <c r="MZ39" i="126" s="1"/>
  <c r="OB41" i="124"/>
  <c r="OB42" i="124" s="1"/>
  <c r="OG40" i="124"/>
  <c r="OO17" i="122"/>
  <c r="OS16" i="122"/>
  <c r="AD19" i="118"/>
  <c r="Q19" i="118"/>
  <c r="NZ28" i="116"/>
  <c r="OF27" i="116"/>
  <c r="NE30" i="111"/>
  <c r="MW30" i="111" s="1"/>
  <c r="NB31" i="111"/>
  <c r="CM11" i="94"/>
  <c r="CM12" i="94"/>
  <c r="CM13" i="94"/>
  <c r="CM14" i="94"/>
  <c r="CM15" i="94"/>
  <c r="CM16" i="94"/>
  <c r="CM17" i="94"/>
  <c r="CM18" i="94"/>
  <c r="CM19" i="94"/>
  <c r="CM20" i="94"/>
  <c r="CM21" i="94"/>
  <c r="CM22" i="94"/>
  <c r="CM23" i="94"/>
  <c r="CM24" i="94"/>
  <c r="CM25" i="94"/>
  <c r="CM26" i="94"/>
  <c r="CM27" i="94"/>
  <c r="CM28" i="94"/>
  <c r="CM29" i="94"/>
  <c r="CM30" i="94"/>
  <c r="CM31" i="94"/>
  <c r="CM32" i="94"/>
  <c r="CM33" i="94"/>
  <c r="CM34" i="94"/>
  <c r="CM35" i="94"/>
  <c r="CM36" i="94"/>
  <c r="CM37" i="94"/>
  <c r="CM38" i="94"/>
  <c r="CM39" i="94"/>
  <c r="CM40" i="94"/>
  <c r="CM10" i="94"/>
  <c r="OB41" i="126" l="1"/>
  <c r="OB42" i="126" s="1"/>
  <c r="OG40" i="126"/>
  <c r="B9" i="124"/>
  <c r="OG41" i="124"/>
  <c r="OG42" i="124" s="1"/>
  <c r="OG44" i="124" s="1"/>
  <c r="MZ40" i="124"/>
  <c r="MZ41" i="124" s="1"/>
  <c r="MZ42" i="124" s="1"/>
  <c r="MZ44" i="124" s="1"/>
  <c r="OO18" i="122"/>
  <c r="OS17" i="122"/>
  <c r="AD20" i="118"/>
  <c r="Q20" i="118"/>
  <c r="NZ29" i="116"/>
  <c r="OF28" i="116"/>
  <c r="NE31" i="111"/>
  <c r="MW31" i="111" s="1"/>
  <c r="NB32" i="111"/>
  <c r="RN19" i="94"/>
  <c r="RN20" i="94"/>
  <c r="RN21" i="94"/>
  <c r="RN22" i="94"/>
  <c r="RN23" i="94"/>
  <c r="RN24" i="94"/>
  <c r="RN25" i="94"/>
  <c r="RN26" i="94"/>
  <c r="RN27" i="94"/>
  <c r="RN28" i="94"/>
  <c r="RN29" i="94"/>
  <c r="RN30" i="94"/>
  <c r="OG41" i="126" l="1"/>
  <c r="OG42" i="126" s="1"/>
  <c r="OG44" i="126" s="1"/>
  <c r="MZ40" i="126"/>
  <c r="MZ41" i="126" s="1"/>
  <c r="MZ42" i="126" s="1"/>
  <c r="MZ44" i="126" s="1"/>
  <c r="B9" i="126"/>
  <c r="OO19" i="122"/>
  <c r="OS18" i="122"/>
  <c r="AD21" i="118"/>
  <c r="Q21" i="118"/>
  <c r="NZ30" i="116"/>
  <c r="AD22" i="118" s="1"/>
  <c r="OF29" i="116"/>
  <c r="NE32" i="111"/>
  <c r="MW32" i="111" s="1"/>
  <c r="NB33" i="111"/>
  <c r="IP21" i="94"/>
  <c r="OO20" i="122" l="1"/>
  <c r="OS19" i="122"/>
  <c r="NZ31" i="116"/>
  <c r="AD23" i="118" s="1"/>
  <c r="OF30" i="116"/>
  <c r="NE33" i="111"/>
  <c r="MW33" i="111" s="1"/>
  <c r="NB34" i="111"/>
  <c r="AU16" i="2"/>
  <c r="AU100" i="2"/>
  <c r="OO21" i="122" l="1"/>
  <c r="OS20" i="122"/>
  <c r="NZ32" i="116"/>
  <c r="AD24" i="118" s="1"/>
  <c r="OF31" i="116"/>
  <c r="NE34" i="111"/>
  <c r="MW34" i="111" s="1"/>
  <c r="NB35" i="111"/>
  <c r="T10" i="94"/>
  <c r="OS21" i="122" l="1"/>
  <c r="OO22" i="122"/>
  <c r="NZ33" i="116"/>
  <c r="AD25" i="118" s="1"/>
  <c r="OF32" i="116"/>
  <c r="NE35" i="111"/>
  <c r="MW35" i="111" s="1"/>
  <c r="NB36" i="111"/>
  <c r="AB12" i="93"/>
  <c r="OO23" i="122" l="1"/>
  <c r="OS22" i="122"/>
  <c r="NZ34" i="116"/>
  <c r="AD26" i="118" s="1"/>
  <c r="OF33" i="116"/>
  <c r="NE36" i="111"/>
  <c r="MW36" i="111" s="1"/>
  <c r="NB37" i="111"/>
  <c r="AB20" i="93"/>
  <c r="AB19" i="93"/>
  <c r="AB18" i="93"/>
  <c r="AB17" i="93"/>
  <c r="AB16" i="93"/>
  <c r="AB15" i="93"/>
  <c r="AB14" i="93"/>
  <c r="AB13" i="93"/>
  <c r="OO24" i="122" l="1"/>
  <c r="OS23" i="122"/>
  <c r="NZ35" i="116"/>
  <c r="AD27" i="118" s="1"/>
  <c r="OF34" i="116"/>
  <c r="NE37" i="111"/>
  <c r="MW37" i="111" s="1"/>
  <c r="NB38" i="111"/>
  <c r="P43" i="93"/>
  <c r="OO25" i="122" l="1"/>
  <c r="OS24" i="122"/>
  <c r="NZ36" i="116"/>
  <c r="AD28" i="118" s="1"/>
  <c r="OF35" i="116"/>
  <c r="NE38" i="111"/>
  <c r="MW38" i="111" s="1"/>
  <c r="NB39" i="111"/>
  <c r="DA14" i="94"/>
  <c r="OO26" i="122" l="1"/>
  <c r="OS25" i="122"/>
  <c r="NZ37" i="116"/>
  <c r="AD29" i="118" s="1"/>
  <c r="OF36" i="116"/>
  <c r="NE39" i="111"/>
  <c r="MW39" i="111" s="1"/>
  <c r="NB40" i="111"/>
  <c r="JH41" i="94"/>
  <c r="OO27" i="122" l="1"/>
  <c r="OS26" i="122"/>
  <c r="NZ38" i="116"/>
  <c r="AD30" i="118" s="1"/>
  <c r="OF37" i="116"/>
  <c r="NB41" i="111"/>
  <c r="NE40" i="111"/>
  <c r="E32" i="88"/>
  <c r="OO28" i="122" l="1"/>
  <c r="OS27" i="122"/>
  <c r="NB44" i="111"/>
  <c r="NC9" i="116"/>
  <c r="NZ39" i="116"/>
  <c r="AD31" i="118" s="1"/>
  <c r="OF38" i="116"/>
  <c r="MW40" i="111"/>
  <c r="MW41" i="111" s="1"/>
  <c r="MW42" i="111" s="1"/>
  <c r="MW44" i="111" s="1"/>
  <c r="NE41" i="111"/>
  <c r="NE44" i="111" s="1"/>
  <c r="D13" i="93"/>
  <c r="D14" i="93"/>
  <c r="D15" i="93"/>
  <c r="D16" i="93"/>
  <c r="D17" i="93"/>
  <c r="OO29" i="122" l="1"/>
  <c r="OS28" i="122"/>
  <c r="NZ40" i="116"/>
  <c r="AD32" i="118" s="1"/>
  <c r="OF39" i="116"/>
  <c r="NF9" i="116"/>
  <c r="NC10" i="116"/>
  <c r="W2" i="118" s="1"/>
  <c r="R18" i="93"/>
  <c r="D18" i="93"/>
  <c r="Q43" i="93"/>
  <c r="OO30" i="122" l="1"/>
  <c r="OS29" i="122"/>
  <c r="NC11" i="116"/>
  <c r="W3" i="118" s="1"/>
  <c r="NF10" i="116"/>
  <c r="MX10" i="116" s="1"/>
  <c r="NZ41" i="116"/>
  <c r="NZ44" i="116" s="1"/>
  <c r="OF40" i="116"/>
  <c r="OF41" i="116" s="1"/>
  <c r="C79" i="107"/>
  <c r="D21" i="95"/>
  <c r="B3" i="96"/>
  <c r="A1" i="96"/>
  <c r="B36" i="96" l="1"/>
  <c r="B34" i="96"/>
  <c r="OS30" i="122"/>
  <c r="OO31" i="122"/>
  <c r="OF44" i="116"/>
  <c r="F86" i="2"/>
  <c r="NC12" i="116"/>
  <c r="W4" i="118" s="1"/>
  <c r="NF11" i="116"/>
  <c r="MX11" i="116" s="1"/>
  <c r="B35" i="96"/>
  <c r="D9" i="95"/>
  <c r="E8" i="2"/>
  <c r="OO32" i="122" l="1"/>
  <c r="OS31" i="122"/>
  <c r="NC13" i="116"/>
  <c r="W5" i="118" s="1"/>
  <c r="NF12" i="116"/>
  <c r="MX12" i="116" s="1"/>
  <c r="B92" i="107"/>
  <c r="C110" i="107"/>
  <c r="B6" i="98"/>
  <c r="C104" i="106"/>
  <c r="G47" i="95"/>
  <c r="E50" i="2"/>
  <c r="E29" i="2" l="1"/>
  <c r="OO33" i="122"/>
  <c r="OS32" i="122"/>
  <c r="NC14" i="116"/>
  <c r="W6" i="118" s="1"/>
  <c r="NF13" i="116"/>
  <c r="MX13" i="116" s="1"/>
  <c r="B36" i="106"/>
  <c r="B9" i="96"/>
  <c r="J51" i="107" s="1"/>
  <c r="OO34" i="122" l="1"/>
  <c r="OS33" i="122"/>
  <c r="NC15" i="116"/>
  <c r="W7" i="118" s="1"/>
  <c r="NF14" i="116"/>
  <c r="MX14" i="116" s="1"/>
  <c r="Q23" i="107"/>
  <c r="J31" i="95"/>
  <c r="J30" i="95" s="1"/>
  <c r="I25" i="95"/>
  <c r="H25" i="95"/>
  <c r="I24" i="95"/>
  <c r="H24" i="95"/>
  <c r="I23" i="95"/>
  <c r="H23" i="95"/>
  <c r="W28" i="95"/>
  <c r="V28" i="95"/>
  <c r="U28" i="95"/>
  <c r="J21" i="95"/>
  <c r="W27" i="95"/>
  <c r="V27" i="95"/>
  <c r="U27" i="95"/>
  <c r="T27" i="95"/>
  <c r="T30" i="95" s="1"/>
  <c r="J13" i="95"/>
  <c r="J12" i="95" s="1"/>
  <c r="AA11" i="95"/>
  <c r="Z11" i="95"/>
  <c r="Y11" i="95"/>
  <c r="J11" i="95"/>
  <c r="J10" i="95" s="1"/>
  <c r="AH11" i="95"/>
  <c r="AF11" i="95"/>
  <c r="AE11" i="95"/>
  <c r="V10" i="95"/>
  <c r="AC11" i="95"/>
  <c r="V9" i="95"/>
  <c r="U9" i="95"/>
  <c r="T9" i="95"/>
  <c r="V8" i="95"/>
  <c r="U8" i="95"/>
  <c r="T8" i="95"/>
  <c r="G8" i="95"/>
  <c r="D109" i="107" s="1"/>
  <c r="D8" i="95"/>
  <c r="C109" i="107" s="1"/>
  <c r="AI6" i="95"/>
  <c r="AH6" i="95"/>
  <c r="AG6" i="95"/>
  <c r="AF6" i="95"/>
  <c r="AA6" i="95"/>
  <c r="AE6" i="95"/>
  <c r="V5" i="95"/>
  <c r="AC6" i="95"/>
  <c r="AB6" i="95"/>
  <c r="Z6" i="95"/>
  <c r="Y6" i="95"/>
  <c r="V4" i="95"/>
  <c r="U4" i="95"/>
  <c r="T4" i="95"/>
  <c r="V3" i="95"/>
  <c r="U3" i="95"/>
  <c r="T3" i="95"/>
  <c r="J1" i="95"/>
  <c r="S1" i="95" s="1"/>
  <c r="E1" i="95"/>
  <c r="F31" i="95" s="1"/>
  <c r="OO35" i="122" l="1"/>
  <c r="OS34" i="122"/>
  <c r="NC16" i="116"/>
  <c r="W8" i="118" s="1"/>
  <c r="NF15" i="116"/>
  <c r="MX15" i="116" s="1"/>
  <c r="T12" i="95"/>
  <c r="D17" i="96"/>
  <c r="D18" i="96"/>
  <c r="T7" i="95"/>
  <c r="F11" i="95"/>
  <c r="S8" i="95"/>
  <c r="S3" i="95"/>
  <c r="J15" i="95"/>
  <c r="F18" i="95"/>
  <c r="F22" i="95" s="1"/>
  <c r="AB11" i="95"/>
  <c r="F13" i="95"/>
  <c r="F12" i="95" s="1"/>
  <c r="AD6" i="95"/>
  <c r="J16" i="95"/>
  <c r="E13" i="95"/>
  <c r="E12" i="95" s="1"/>
  <c r="E11" i="95"/>
  <c r="B8" i="96"/>
  <c r="I36" i="107" s="1"/>
  <c r="E31" i="95"/>
  <c r="U5" i="95"/>
  <c r="F30" i="95"/>
  <c r="AD11" i="95"/>
  <c r="AG11" i="95"/>
  <c r="D30" i="95"/>
  <c r="B17" i="96" s="1"/>
  <c r="B64" i="107" s="1"/>
  <c r="OO36" i="122" l="1"/>
  <c r="OS35" i="122"/>
  <c r="NC17" i="116"/>
  <c r="W9" i="118" s="1"/>
  <c r="NF16" i="116"/>
  <c r="MX16" i="116" s="1"/>
  <c r="P8" i="107"/>
  <c r="F10" i="95"/>
  <c r="D21" i="96" s="1"/>
  <c r="D9" i="96"/>
  <c r="F21" i="95"/>
  <c r="D6" i="96"/>
  <c r="F17" i="95"/>
  <c r="D11" i="96" s="1"/>
  <c r="E30" i="95"/>
  <c r="E16" i="95"/>
  <c r="E10" i="95"/>
  <c r="F16" i="95"/>
  <c r="D22" i="96" s="1"/>
  <c r="OO37" i="122" l="1"/>
  <c r="OS36" i="122"/>
  <c r="NF17" i="116"/>
  <c r="MX17" i="116" s="1"/>
  <c r="E11" i="96"/>
  <c r="B42" i="107"/>
  <c r="L79" i="107"/>
  <c r="F15" i="95"/>
  <c r="D8" i="96"/>
  <c r="E15" i="95"/>
  <c r="OS37" i="122" l="1"/>
  <c r="OO38" i="122"/>
  <c r="NF18" i="116"/>
  <c r="MX18" i="116" s="1"/>
  <c r="NC19" i="116"/>
  <c r="W11" i="118" s="1"/>
  <c r="E41" i="107"/>
  <c r="E43" i="107"/>
  <c r="D23" i="96"/>
  <c r="L80" i="107" s="1"/>
  <c r="OO39" i="122" l="1"/>
  <c r="OS38" i="122"/>
  <c r="NC20" i="116"/>
  <c r="W12" i="118" s="1"/>
  <c r="NF19" i="116"/>
  <c r="MX19" i="116" s="1"/>
  <c r="AW101" i="2"/>
  <c r="AX101" i="2"/>
  <c r="AY101" i="2"/>
  <c r="AZ101" i="2"/>
  <c r="BB101" i="2"/>
  <c r="BC101" i="2"/>
  <c r="BD101" i="2"/>
  <c r="BE101" i="2"/>
  <c r="BF101" i="2"/>
  <c r="AV99" i="2"/>
  <c r="AW99" i="2"/>
  <c r="AX99" i="2"/>
  <c r="AY99" i="2"/>
  <c r="AZ99" i="2"/>
  <c r="BB99" i="2"/>
  <c r="BC99" i="2"/>
  <c r="BD99" i="2"/>
  <c r="BE99" i="2"/>
  <c r="BF99" i="2"/>
  <c r="W50" i="124" l="1"/>
  <c r="W51" i="124" s="1"/>
  <c r="W50" i="126"/>
  <c r="W51" i="126" s="1"/>
  <c r="W50" i="120"/>
  <c r="W51" i="120" s="1"/>
  <c r="W50" i="122"/>
  <c r="W51" i="122" s="1"/>
  <c r="OO40" i="122"/>
  <c r="B41" i="98" s="1"/>
  <c r="OS39" i="122"/>
  <c r="W50" i="111"/>
  <c r="W51" i="111" s="1"/>
  <c r="NF20" i="116"/>
  <c r="MX20" i="116" s="1"/>
  <c r="NC21" i="116"/>
  <c r="W13" i="118" s="1"/>
  <c r="W50" i="99"/>
  <c r="W52" i="99" s="1"/>
  <c r="W53" i="99" s="1"/>
  <c r="W54" i="99" s="1"/>
  <c r="W50" i="102"/>
  <c r="W53" i="102" s="1"/>
  <c r="E113" i="2"/>
  <c r="E112" i="2"/>
  <c r="E111" i="2"/>
  <c r="E110" i="2"/>
  <c r="E109" i="2"/>
  <c r="E108" i="2"/>
  <c r="H68" i="2"/>
  <c r="H66" i="2"/>
  <c r="H62" i="2"/>
  <c r="H61" i="2"/>
  <c r="H60" i="2"/>
  <c r="H32" i="2"/>
  <c r="CI1" i="94"/>
  <c r="NN2" i="94"/>
  <c r="CB3" i="94"/>
  <c r="CD3" i="94"/>
  <c r="CE3" i="94"/>
  <c r="JN6" i="94"/>
  <c r="JV6" i="94"/>
  <c r="KD6" i="94"/>
  <c r="NR8" i="94"/>
  <c r="OE8" i="94"/>
  <c r="OR8" i="94"/>
  <c r="PF8" i="94"/>
  <c r="ND10" i="94"/>
  <c r="ND11" i="94" s="1"/>
  <c r="ND12" i="94" s="1"/>
  <c r="ND13" i="94" s="1"/>
  <c r="ND14" i="94" s="1"/>
  <c r="ND15" i="94" s="1"/>
  <c r="ND16" i="94" s="1"/>
  <c r="NG10" i="94"/>
  <c r="NG11" i="94" s="1"/>
  <c r="NG12" i="94" s="1"/>
  <c r="NG13" i="94" s="1"/>
  <c r="NG14" i="94" s="1"/>
  <c r="NG15" i="94" s="1"/>
  <c r="NG16" i="94" s="1"/>
  <c r="NG17" i="94" s="1"/>
  <c r="NG18" i="94" s="1"/>
  <c r="NG19" i="94" s="1"/>
  <c r="NG20" i="94" s="1"/>
  <c r="NG21" i="94" s="1"/>
  <c r="NG22" i="94" s="1"/>
  <c r="NG23" i="94" s="1"/>
  <c r="NG24" i="94" s="1"/>
  <c r="NG25" i="94" s="1"/>
  <c r="NG26" i="94" s="1"/>
  <c r="NG27" i="94" s="1"/>
  <c r="NG28" i="94" s="1"/>
  <c r="NG29" i="94" s="1"/>
  <c r="NG30" i="94" s="1"/>
  <c r="NG31" i="94" s="1"/>
  <c r="NG32" i="94" s="1"/>
  <c r="NG33" i="94" s="1"/>
  <c r="NG34" i="94" s="1"/>
  <c r="NG35" i="94" s="1"/>
  <c r="NG36" i="94" s="1"/>
  <c r="NG37" i="94" s="1"/>
  <c r="NG38" i="94" s="1"/>
  <c r="NG39" i="94" s="1"/>
  <c r="NG40" i="94" s="1"/>
  <c r="NG41" i="94" s="1"/>
  <c r="NG42" i="94" s="1"/>
  <c r="NH10" i="94"/>
  <c r="NH11" i="94" s="1"/>
  <c r="NH12" i="94" s="1"/>
  <c r="NH13" i="94" s="1"/>
  <c r="NH14" i="94" s="1"/>
  <c r="NH15" i="94" s="1"/>
  <c r="NH16" i="94" s="1"/>
  <c r="NH17" i="94" s="1"/>
  <c r="NH18" i="94" s="1"/>
  <c r="NH19" i="94" s="1"/>
  <c r="NH20" i="94" s="1"/>
  <c r="NH21" i="94" s="1"/>
  <c r="NH22" i="94" s="1"/>
  <c r="NH23" i="94" s="1"/>
  <c r="NH24" i="94" s="1"/>
  <c r="NH25" i="94" s="1"/>
  <c r="NH26" i="94" s="1"/>
  <c r="NH27" i="94" s="1"/>
  <c r="NH28" i="94" s="1"/>
  <c r="NH29" i="94" s="1"/>
  <c r="NH30" i="94" s="1"/>
  <c r="NH31" i="94" s="1"/>
  <c r="NH32" i="94" s="1"/>
  <c r="NH33" i="94" s="1"/>
  <c r="NH34" i="94" s="1"/>
  <c r="NH35" i="94" s="1"/>
  <c r="NH36" i="94" s="1"/>
  <c r="NH37" i="94" s="1"/>
  <c r="NH38" i="94" s="1"/>
  <c r="NH39" i="94" s="1"/>
  <c r="NH40" i="94" s="1"/>
  <c r="NH41" i="94" s="1"/>
  <c r="NH42" i="94" s="1"/>
  <c r="NH44" i="94" s="1"/>
  <c r="NJ10" i="94"/>
  <c r="NJ11" i="94" s="1"/>
  <c r="NT10" i="94"/>
  <c r="NT11" i="94" s="1"/>
  <c r="NT12" i="94" s="1"/>
  <c r="NT13" i="94" s="1"/>
  <c r="NT14" i="94" s="1"/>
  <c r="NT15" i="94" s="1"/>
  <c r="NT16" i="94" s="1"/>
  <c r="NT17" i="94" s="1"/>
  <c r="NT18" i="94" s="1"/>
  <c r="NT19" i="94" s="1"/>
  <c r="NT20" i="94" s="1"/>
  <c r="NT21" i="94" s="1"/>
  <c r="NT22" i="94" s="1"/>
  <c r="NT23" i="94" s="1"/>
  <c r="NT24" i="94" s="1"/>
  <c r="NT25" i="94" s="1"/>
  <c r="NT26" i="94" s="1"/>
  <c r="NT27" i="94" s="1"/>
  <c r="NT28" i="94" s="1"/>
  <c r="NT29" i="94" s="1"/>
  <c r="NT30" i="94" s="1"/>
  <c r="NT31" i="94" s="1"/>
  <c r="NT32" i="94" s="1"/>
  <c r="NT33" i="94" s="1"/>
  <c r="NT34" i="94" s="1"/>
  <c r="NT35" i="94" s="1"/>
  <c r="NT36" i="94" s="1"/>
  <c r="NT37" i="94" s="1"/>
  <c r="NT38" i="94" s="1"/>
  <c r="NT39" i="94" s="1"/>
  <c r="NT40" i="94" s="1"/>
  <c r="NT41" i="94" s="1"/>
  <c r="NT42" i="94" s="1"/>
  <c r="NU10" i="94"/>
  <c r="NU11" i="94" s="1"/>
  <c r="NU12" i="94" s="1"/>
  <c r="NU13" i="94" s="1"/>
  <c r="NU14" i="94" s="1"/>
  <c r="NU15" i="94" s="1"/>
  <c r="NU16" i="94" s="1"/>
  <c r="NU17" i="94" s="1"/>
  <c r="NU18" i="94" s="1"/>
  <c r="NU19" i="94" s="1"/>
  <c r="NU20" i="94" s="1"/>
  <c r="NU21" i="94" s="1"/>
  <c r="NU22" i="94" s="1"/>
  <c r="NU23" i="94" s="1"/>
  <c r="NU24" i="94" s="1"/>
  <c r="NU25" i="94" s="1"/>
  <c r="NU26" i="94" s="1"/>
  <c r="NU27" i="94" s="1"/>
  <c r="NU28" i="94" s="1"/>
  <c r="NU29" i="94" s="1"/>
  <c r="NU30" i="94" s="1"/>
  <c r="NU31" i="94" s="1"/>
  <c r="NU32" i="94" s="1"/>
  <c r="NU33" i="94" s="1"/>
  <c r="NU34" i="94" s="1"/>
  <c r="NU35" i="94" s="1"/>
  <c r="NU36" i="94" s="1"/>
  <c r="NU37" i="94" s="1"/>
  <c r="NU38" i="94" s="1"/>
  <c r="NU39" i="94" s="1"/>
  <c r="NU40" i="94" s="1"/>
  <c r="NU41" i="94" s="1"/>
  <c r="NU42" i="94" s="1"/>
  <c r="NV10" i="94"/>
  <c r="NV11" i="94" s="1"/>
  <c r="NV12" i="94" s="1"/>
  <c r="NV13" i="94" s="1"/>
  <c r="NV14" i="94" s="1"/>
  <c r="NV15" i="94" s="1"/>
  <c r="NV16" i="94" s="1"/>
  <c r="NV17" i="94" s="1"/>
  <c r="NV18" i="94" s="1"/>
  <c r="NV19" i="94" s="1"/>
  <c r="NV20" i="94" s="1"/>
  <c r="NV21" i="94" s="1"/>
  <c r="NV22" i="94" s="1"/>
  <c r="NV23" i="94" s="1"/>
  <c r="NV24" i="94" s="1"/>
  <c r="NV25" i="94" s="1"/>
  <c r="NV26" i="94" s="1"/>
  <c r="NV27" i="94" s="1"/>
  <c r="NV28" i="94" s="1"/>
  <c r="NV29" i="94" s="1"/>
  <c r="NV30" i="94" s="1"/>
  <c r="NV31" i="94" s="1"/>
  <c r="NV32" i="94" s="1"/>
  <c r="NV33" i="94" s="1"/>
  <c r="NV34" i="94" s="1"/>
  <c r="NV35" i="94" s="1"/>
  <c r="NV36" i="94" s="1"/>
  <c r="NV37" i="94" s="1"/>
  <c r="NV38" i="94" s="1"/>
  <c r="NV39" i="94" s="1"/>
  <c r="NV40" i="94" s="1"/>
  <c r="NV41" i="94" s="1"/>
  <c r="NV42" i="94" s="1"/>
  <c r="NW10" i="94"/>
  <c r="NX10" i="94"/>
  <c r="NX11" i="94" s="1"/>
  <c r="NX12" i="94" s="1"/>
  <c r="NX13" i="94" s="1"/>
  <c r="NX14" i="94" s="1"/>
  <c r="NX15" i="94" s="1"/>
  <c r="NX16" i="94" s="1"/>
  <c r="NX17" i="94" s="1"/>
  <c r="NX18" i="94" s="1"/>
  <c r="NX19" i="94" s="1"/>
  <c r="NX20" i="94" s="1"/>
  <c r="NX21" i="94" s="1"/>
  <c r="NX22" i="94" s="1"/>
  <c r="NX23" i="94" s="1"/>
  <c r="NX24" i="94" s="1"/>
  <c r="NX25" i="94" s="1"/>
  <c r="NX26" i="94" s="1"/>
  <c r="NX27" i="94" s="1"/>
  <c r="NX28" i="94" s="1"/>
  <c r="NX29" i="94" s="1"/>
  <c r="NX30" i="94" s="1"/>
  <c r="NX31" i="94" s="1"/>
  <c r="NX32" i="94" s="1"/>
  <c r="NX33" i="94" s="1"/>
  <c r="NX34" i="94" s="1"/>
  <c r="NX35" i="94" s="1"/>
  <c r="NX36" i="94" s="1"/>
  <c r="NX37" i="94" s="1"/>
  <c r="NX38" i="94" s="1"/>
  <c r="NX39" i="94" s="1"/>
  <c r="NX40" i="94" s="1"/>
  <c r="NX41" i="94" s="1"/>
  <c r="NX42" i="94" s="1"/>
  <c r="NY10" i="94"/>
  <c r="NZ10" i="94"/>
  <c r="NZ11" i="94" s="1"/>
  <c r="NZ12" i="94" s="1"/>
  <c r="NZ13" i="94" s="1"/>
  <c r="NZ14" i="94" s="1"/>
  <c r="NZ15" i="94" s="1"/>
  <c r="NZ16" i="94" s="1"/>
  <c r="NZ17" i="94" s="1"/>
  <c r="NZ18" i="94" s="1"/>
  <c r="NZ19" i="94" s="1"/>
  <c r="NZ20" i="94" s="1"/>
  <c r="NZ21" i="94" s="1"/>
  <c r="NZ22" i="94" s="1"/>
  <c r="NZ23" i="94" s="1"/>
  <c r="NZ24" i="94" s="1"/>
  <c r="NZ25" i="94" s="1"/>
  <c r="NZ26" i="94" s="1"/>
  <c r="NZ27" i="94" s="1"/>
  <c r="NZ28" i="94" s="1"/>
  <c r="NZ29" i="94" s="1"/>
  <c r="NZ30" i="94" s="1"/>
  <c r="NZ31" i="94" s="1"/>
  <c r="NZ32" i="94" s="1"/>
  <c r="NZ33" i="94" s="1"/>
  <c r="NZ34" i="94" s="1"/>
  <c r="NZ35" i="94" s="1"/>
  <c r="NZ36" i="94" s="1"/>
  <c r="NZ37" i="94" s="1"/>
  <c r="NZ38" i="94" s="1"/>
  <c r="NZ39" i="94" s="1"/>
  <c r="NZ40" i="94" s="1"/>
  <c r="NZ41" i="94" s="1"/>
  <c r="NZ42" i="94" s="1"/>
  <c r="OA10" i="94"/>
  <c r="OA11" i="94" s="1"/>
  <c r="OA12" i="94" s="1"/>
  <c r="OD10" i="94"/>
  <c r="OD11" i="94" s="1"/>
  <c r="OD12" i="94" s="1"/>
  <c r="OD13" i="94" s="1"/>
  <c r="OD14" i="94" s="1"/>
  <c r="OD15" i="94" s="1"/>
  <c r="OD16" i="94" s="1"/>
  <c r="OD17" i="94" s="1"/>
  <c r="OD18" i="94" s="1"/>
  <c r="OD19" i="94" s="1"/>
  <c r="OD20" i="94" s="1"/>
  <c r="OD21" i="94" s="1"/>
  <c r="OD22" i="94" s="1"/>
  <c r="OD23" i="94" s="1"/>
  <c r="OD24" i="94" s="1"/>
  <c r="OD25" i="94" s="1"/>
  <c r="OD26" i="94" s="1"/>
  <c r="OD27" i="94" s="1"/>
  <c r="OD28" i="94" s="1"/>
  <c r="OD29" i="94" s="1"/>
  <c r="OD30" i="94" s="1"/>
  <c r="OD31" i="94" s="1"/>
  <c r="OD32" i="94" s="1"/>
  <c r="OD33" i="94" s="1"/>
  <c r="OD34" i="94" s="1"/>
  <c r="OD35" i="94" s="1"/>
  <c r="OD36" i="94" s="1"/>
  <c r="OD37" i="94" s="1"/>
  <c r="OD38" i="94" s="1"/>
  <c r="OD39" i="94" s="1"/>
  <c r="OD40" i="94" s="1"/>
  <c r="OD41" i="94" s="1"/>
  <c r="OD42" i="94" s="1"/>
  <c r="OL10" i="94"/>
  <c r="OM10" i="94"/>
  <c r="OM11" i="94" s="1"/>
  <c r="OM12" i="94" s="1"/>
  <c r="OM13" i="94" s="1"/>
  <c r="OM14" i="94" s="1"/>
  <c r="OO10" i="94"/>
  <c r="OO11" i="94" s="1"/>
  <c r="OO12" i="94" s="1"/>
  <c r="OO13" i="94" s="1"/>
  <c r="OO14" i="94" s="1"/>
  <c r="OO15" i="94" s="1"/>
  <c r="OO16" i="94" s="1"/>
  <c r="OO17" i="94" s="1"/>
  <c r="OO18" i="94" s="1"/>
  <c r="OO19" i="94" s="1"/>
  <c r="OO20" i="94" s="1"/>
  <c r="OO21" i="94" s="1"/>
  <c r="OO22" i="94" s="1"/>
  <c r="OO23" i="94" s="1"/>
  <c r="OO24" i="94" s="1"/>
  <c r="OO25" i="94" s="1"/>
  <c r="OO26" i="94" s="1"/>
  <c r="OO27" i="94" s="1"/>
  <c r="OO28" i="94" s="1"/>
  <c r="OO29" i="94" s="1"/>
  <c r="OO30" i="94" s="1"/>
  <c r="OO31" i="94" s="1"/>
  <c r="OO32" i="94" s="1"/>
  <c r="OO33" i="94" s="1"/>
  <c r="OO34" i="94" s="1"/>
  <c r="OO35" i="94" s="1"/>
  <c r="OO36" i="94" s="1"/>
  <c r="OO37" i="94" s="1"/>
  <c r="OO38" i="94" s="1"/>
  <c r="OO39" i="94" s="1"/>
  <c r="OO40" i="94" s="1"/>
  <c r="OO41" i="94" s="1"/>
  <c r="OO42" i="94" s="1"/>
  <c r="OP10" i="94"/>
  <c r="OQ10" i="94"/>
  <c r="OQ11" i="94" s="1"/>
  <c r="OQ12" i="94" s="1"/>
  <c r="OR9" i="94"/>
  <c r="PF9" i="94"/>
  <c r="QE10" i="94"/>
  <c r="RK9" i="94"/>
  <c r="O10" i="94"/>
  <c r="P10" i="94"/>
  <c r="S10" i="94"/>
  <c r="X10" i="94"/>
  <c r="AA10" i="94"/>
  <c r="AB10" i="94"/>
  <c r="AG10" i="94"/>
  <c r="AK10" i="94"/>
  <c r="AP10" i="94"/>
  <c r="AS10" i="94"/>
  <c r="AV10" i="94"/>
  <c r="AY10" i="94"/>
  <c r="BB10" i="94"/>
  <c r="BE10" i="94"/>
  <c r="BH10" i="94"/>
  <c r="BK10" i="94"/>
  <c r="BN10" i="94"/>
  <c r="BQ10" i="94"/>
  <c r="BT10" i="94"/>
  <c r="BW10" i="94"/>
  <c r="BZ10" i="94"/>
  <c r="CC10" i="94"/>
  <c r="CF10" i="94"/>
  <c r="CQ10" i="94"/>
  <c r="CR10" i="94"/>
  <c r="CS10" i="94"/>
  <c r="CT10" i="94"/>
  <c r="CU10" i="94"/>
  <c r="CV10" i="94"/>
  <c r="CW10" i="94"/>
  <c r="CX10" i="94"/>
  <c r="CY10" i="94"/>
  <c r="CZ10" i="94"/>
  <c r="DA10" i="94"/>
  <c r="DB10" i="94"/>
  <c r="DQ10" i="94"/>
  <c r="ED10" i="94"/>
  <c r="EQ10" i="94"/>
  <c r="EX10" i="94"/>
  <c r="FM10" i="94"/>
  <c r="FA10" i="94" s="1"/>
  <c r="FT10" i="94"/>
  <c r="FB10" i="94" s="1"/>
  <c r="GG10" i="94"/>
  <c r="FC10" i="94" s="1"/>
  <c r="GV10" i="94"/>
  <c r="RV10" i="94" s="1"/>
  <c r="HL10" i="94"/>
  <c r="GJ10" i="94" s="1"/>
  <c r="IA10" i="94"/>
  <c r="IP10" i="94"/>
  <c r="GK10" i="94" s="1"/>
  <c r="JE10" i="94"/>
  <c r="GL10" i="94" s="1"/>
  <c r="JK10" i="94"/>
  <c r="LF10" i="94"/>
  <c r="LG10" i="94"/>
  <c r="RI10" i="94" s="1"/>
  <c r="LH10" i="94"/>
  <c r="RJ10" i="94" s="1"/>
  <c r="LV10" i="94"/>
  <c r="MB10" i="94"/>
  <c r="MT10" i="94"/>
  <c r="NI10" i="94"/>
  <c r="NI11" i="94" s="1"/>
  <c r="NI12" i="94" s="1"/>
  <c r="NI13" i="94" s="1"/>
  <c r="NI14" i="94" s="1"/>
  <c r="NI15" i="94" s="1"/>
  <c r="NI16" i="94" s="1"/>
  <c r="NI17" i="94" s="1"/>
  <c r="NI18" i="94" s="1"/>
  <c r="NI19" i="94" s="1"/>
  <c r="NI20" i="94" s="1"/>
  <c r="NI21" i="94" s="1"/>
  <c r="NI22" i="94" s="1"/>
  <c r="NI23" i="94" s="1"/>
  <c r="NI24" i="94" s="1"/>
  <c r="NI25" i="94" s="1"/>
  <c r="NI26" i="94" s="1"/>
  <c r="NI27" i="94" s="1"/>
  <c r="NI28" i="94" s="1"/>
  <c r="NI29" i="94" s="1"/>
  <c r="NK10" i="94"/>
  <c r="NK11" i="94" s="1"/>
  <c r="NK12" i="94" s="1"/>
  <c r="NK13" i="94" s="1"/>
  <c r="NK14" i="94" s="1"/>
  <c r="NK15" i="94" s="1"/>
  <c r="NK16" i="94" s="1"/>
  <c r="NK17" i="94" s="1"/>
  <c r="NK18" i="94" s="1"/>
  <c r="NK19" i="94" s="1"/>
  <c r="NK20" i="94" s="1"/>
  <c r="NK21" i="94" s="1"/>
  <c r="NK22" i="94" s="1"/>
  <c r="NK23" i="94" s="1"/>
  <c r="NK24" i="94" s="1"/>
  <c r="NK25" i="94" s="1"/>
  <c r="NK26" i="94" s="1"/>
  <c r="NK27" i="94" s="1"/>
  <c r="NK28" i="94" s="1"/>
  <c r="NK29" i="94" s="1"/>
  <c r="NK30" i="94" s="1"/>
  <c r="NK31" i="94" s="1"/>
  <c r="NK32" i="94" s="1"/>
  <c r="NK33" i="94" s="1"/>
  <c r="NK34" i="94" s="1"/>
  <c r="NK35" i="94" s="1"/>
  <c r="NK36" i="94" s="1"/>
  <c r="NK37" i="94" s="1"/>
  <c r="NK38" i="94" s="1"/>
  <c r="NK39" i="94" s="1"/>
  <c r="NK40" i="94" s="1"/>
  <c r="NK41" i="94" s="1"/>
  <c r="NK42" i="94" s="1"/>
  <c r="NM11" i="94"/>
  <c r="NM12" i="94" s="1"/>
  <c r="NM13" i="94" s="1"/>
  <c r="NM14" i="94" s="1"/>
  <c r="NM15" i="94" s="1"/>
  <c r="NM16" i="94" s="1"/>
  <c r="NM17" i="94" s="1"/>
  <c r="NM18" i="94" s="1"/>
  <c r="NM19" i="94" s="1"/>
  <c r="NM20" i="94" s="1"/>
  <c r="NM21" i="94" s="1"/>
  <c r="NM22" i="94" s="1"/>
  <c r="NM23" i="94" s="1"/>
  <c r="NM24" i="94" s="1"/>
  <c r="NM25" i="94" s="1"/>
  <c r="NM26" i="94" s="1"/>
  <c r="NM27" i="94" s="1"/>
  <c r="NM28" i="94" s="1"/>
  <c r="NM29" i="94" s="1"/>
  <c r="NM30" i="94" s="1"/>
  <c r="NM31" i="94" s="1"/>
  <c r="NM32" i="94" s="1"/>
  <c r="NM33" i="94" s="1"/>
  <c r="NM34" i="94" s="1"/>
  <c r="NM35" i="94" s="1"/>
  <c r="NM36" i="94" s="1"/>
  <c r="NM37" i="94" s="1"/>
  <c r="NM38" i="94" s="1"/>
  <c r="NM39" i="94" s="1"/>
  <c r="NM40" i="94" s="1"/>
  <c r="NM41" i="94" s="1"/>
  <c r="NM42" i="94" s="1"/>
  <c r="NN10" i="94"/>
  <c r="NO10" i="94"/>
  <c r="NO11" i="94" s="1"/>
  <c r="NO12" i="94" s="1"/>
  <c r="NO13" i="94" s="1"/>
  <c r="NO14" i="94" s="1"/>
  <c r="NO15" i="94" s="1"/>
  <c r="NO16" i="94" s="1"/>
  <c r="NO17" i="94" s="1"/>
  <c r="NO18" i="94" s="1"/>
  <c r="NO19" i="94" s="1"/>
  <c r="NO20" i="94" s="1"/>
  <c r="NO21" i="94" s="1"/>
  <c r="NO22" i="94" s="1"/>
  <c r="NO23" i="94" s="1"/>
  <c r="NO24" i="94" s="1"/>
  <c r="NO25" i="94" s="1"/>
  <c r="NO26" i="94" s="1"/>
  <c r="NO27" i="94" s="1"/>
  <c r="NO28" i="94" s="1"/>
  <c r="NO29" i="94" s="1"/>
  <c r="NO30" i="94" s="1"/>
  <c r="NO31" i="94" s="1"/>
  <c r="NO32" i="94" s="1"/>
  <c r="NO33" i="94" s="1"/>
  <c r="NO34" i="94" s="1"/>
  <c r="NO35" i="94" s="1"/>
  <c r="NO36" i="94" s="1"/>
  <c r="NO37" i="94" s="1"/>
  <c r="NO38" i="94" s="1"/>
  <c r="NO39" i="94" s="1"/>
  <c r="NO40" i="94" s="1"/>
  <c r="NO41" i="94" s="1"/>
  <c r="NO42" i="94" s="1"/>
  <c r="NS10" i="94"/>
  <c r="OC10" i="94"/>
  <c r="OF10" i="94"/>
  <c r="OG10" i="94"/>
  <c r="OG11" i="94" s="1"/>
  <c r="OG12" i="94" s="1"/>
  <c r="OG13" i="94" s="1"/>
  <c r="OG14" i="94" s="1"/>
  <c r="OG15" i="94" s="1"/>
  <c r="OG16" i="94" s="1"/>
  <c r="OG17" i="94" s="1"/>
  <c r="OG18" i="94" s="1"/>
  <c r="OG19" i="94" s="1"/>
  <c r="OG20" i="94" s="1"/>
  <c r="OG21" i="94" s="1"/>
  <c r="OG22" i="94" s="1"/>
  <c r="OG23" i="94" s="1"/>
  <c r="OG24" i="94" s="1"/>
  <c r="OG25" i="94" s="1"/>
  <c r="OG26" i="94" s="1"/>
  <c r="OG27" i="94" s="1"/>
  <c r="OG28" i="94" s="1"/>
  <c r="OG29" i="94" s="1"/>
  <c r="OG30" i="94" s="1"/>
  <c r="OG31" i="94" s="1"/>
  <c r="OG32" i="94" s="1"/>
  <c r="OG33" i="94" s="1"/>
  <c r="OG34" i="94" s="1"/>
  <c r="OG35" i="94" s="1"/>
  <c r="OG36" i="94" s="1"/>
  <c r="OG37" i="94" s="1"/>
  <c r="OG38" i="94" s="1"/>
  <c r="OG39" i="94" s="1"/>
  <c r="OG40" i="94" s="1"/>
  <c r="OG41" i="94" s="1"/>
  <c r="OG42" i="94" s="1"/>
  <c r="OH10" i="94"/>
  <c r="OH11" i="94" s="1"/>
  <c r="OH12" i="94" s="1"/>
  <c r="OH13" i="94" s="1"/>
  <c r="OH14" i="94" s="1"/>
  <c r="OH15" i="94" s="1"/>
  <c r="OH16" i="94" s="1"/>
  <c r="OH17" i="94" s="1"/>
  <c r="OH18" i="94" s="1"/>
  <c r="OH19" i="94" s="1"/>
  <c r="OI10" i="94"/>
  <c r="OI11" i="94" s="1"/>
  <c r="OI12" i="94" s="1"/>
  <c r="OI13" i="94" s="1"/>
  <c r="OI14" i="94" s="1"/>
  <c r="OI15" i="94" s="1"/>
  <c r="OI16" i="94" s="1"/>
  <c r="OI17" i="94" s="1"/>
  <c r="OI18" i="94" s="1"/>
  <c r="OI19" i="94" s="1"/>
  <c r="OI20" i="94" s="1"/>
  <c r="OI21" i="94" s="1"/>
  <c r="OI22" i="94" s="1"/>
  <c r="OI23" i="94" s="1"/>
  <c r="OI24" i="94" s="1"/>
  <c r="OI25" i="94" s="1"/>
  <c r="OI26" i="94" s="1"/>
  <c r="OI27" i="94" s="1"/>
  <c r="OI28" i="94" s="1"/>
  <c r="OI29" i="94" s="1"/>
  <c r="OI30" i="94" s="1"/>
  <c r="OI31" i="94" s="1"/>
  <c r="OI32" i="94" s="1"/>
  <c r="OI33" i="94" s="1"/>
  <c r="OI34" i="94" s="1"/>
  <c r="OI35" i="94" s="1"/>
  <c r="OI36" i="94" s="1"/>
  <c r="OI37" i="94" s="1"/>
  <c r="OI38" i="94" s="1"/>
  <c r="OI39" i="94" s="1"/>
  <c r="OI40" i="94" s="1"/>
  <c r="OI41" i="94" s="1"/>
  <c r="OI42" i="94" s="1"/>
  <c r="OJ10" i="94"/>
  <c r="OJ11" i="94" s="1"/>
  <c r="OJ12" i="94" s="1"/>
  <c r="OJ13" i="94" s="1"/>
  <c r="OJ14" i="94" s="1"/>
  <c r="OJ15" i="94" s="1"/>
  <c r="OJ16" i="94" s="1"/>
  <c r="OJ17" i="94" s="1"/>
  <c r="OJ18" i="94" s="1"/>
  <c r="OJ19" i="94" s="1"/>
  <c r="OJ20" i="94" s="1"/>
  <c r="OJ21" i="94" s="1"/>
  <c r="OJ22" i="94" s="1"/>
  <c r="OJ23" i="94" s="1"/>
  <c r="OJ24" i="94" s="1"/>
  <c r="OJ25" i="94" s="1"/>
  <c r="OJ26" i="94" s="1"/>
  <c r="OJ27" i="94" s="1"/>
  <c r="OJ28" i="94" s="1"/>
  <c r="OJ29" i="94" s="1"/>
  <c r="OJ30" i="94" s="1"/>
  <c r="OJ31" i="94" s="1"/>
  <c r="OJ32" i="94" s="1"/>
  <c r="OJ33" i="94" s="1"/>
  <c r="OJ34" i="94" s="1"/>
  <c r="OJ35" i="94" s="1"/>
  <c r="OJ36" i="94" s="1"/>
  <c r="OJ37" i="94" s="1"/>
  <c r="OJ38" i="94" s="1"/>
  <c r="OJ39" i="94" s="1"/>
  <c r="OK10" i="94"/>
  <c r="OK11" i="94" s="1"/>
  <c r="OK12" i="94" s="1"/>
  <c r="OK13" i="94" s="1"/>
  <c r="OK14" i="94" s="1"/>
  <c r="OK15" i="94" s="1"/>
  <c r="OK16" i="94" s="1"/>
  <c r="OK17" i="94" s="1"/>
  <c r="OK18" i="94" s="1"/>
  <c r="OK19" i="94" s="1"/>
  <c r="OK20" i="94" s="1"/>
  <c r="OK21" i="94" s="1"/>
  <c r="OK22" i="94" s="1"/>
  <c r="OK23" i="94" s="1"/>
  <c r="OK24" i="94" s="1"/>
  <c r="OK25" i="94" s="1"/>
  <c r="OK26" i="94" s="1"/>
  <c r="OK27" i="94" s="1"/>
  <c r="OK28" i="94" s="1"/>
  <c r="OK29" i="94" s="1"/>
  <c r="OK30" i="94" s="1"/>
  <c r="OK31" i="94" s="1"/>
  <c r="OK32" i="94" s="1"/>
  <c r="OK33" i="94" s="1"/>
  <c r="OK34" i="94" s="1"/>
  <c r="OK35" i="94" s="1"/>
  <c r="OK36" i="94" s="1"/>
  <c r="OK37" i="94" s="1"/>
  <c r="OK38" i="94" s="1"/>
  <c r="OK39" i="94" s="1"/>
  <c r="OK40" i="94" s="1"/>
  <c r="OK41" i="94" s="1"/>
  <c r="OK42" i="94" s="1"/>
  <c r="ON10" i="94"/>
  <c r="OY10" i="94"/>
  <c r="OZ10" i="94"/>
  <c r="OZ11" i="94" s="1"/>
  <c r="PA10" i="94"/>
  <c r="PA11" i="94" s="1"/>
  <c r="PA12" i="94" s="1"/>
  <c r="PA13" i="94" s="1"/>
  <c r="PA14" i="94" s="1"/>
  <c r="PA15" i="94" s="1"/>
  <c r="PA16" i="94" s="1"/>
  <c r="PA17" i="94" s="1"/>
  <c r="PA18" i="94" s="1"/>
  <c r="PA19" i="94" s="1"/>
  <c r="PA20" i="94" s="1"/>
  <c r="PA21" i="94" s="1"/>
  <c r="PA22" i="94" s="1"/>
  <c r="PA23" i="94" s="1"/>
  <c r="PA24" i="94" s="1"/>
  <c r="PA25" i="94" s="1"/>
  <c r="PA26" i="94" s="1"/>
  <c r="PA27" i="94" s="1"/>
  <c r="PA28" i="94" s="1"/>
  <c r="PA29" i="94" s="1"/>
  <c r="PA30" i="94" s="1"/>
  <c r="PA31" i="94" s="1"/>
  <c r="PA32" i="94" s="1"/>
  <c r="PA33" i="94" s="1"/>
  <c r="PA34" i="94" s="1"/>
  <c r="PA35" i="94" s="1"/>
  <c r="PA36" i="94" s="1"/>
  <c r="PA37" i="94" s="1"/>
  <c r="PA38" i="94" s="1"/>
  <c r="PA39" i="94" s="1"/>
  <c r="PA40" i="94" s="1"/>
  <c r="PA41" i="94" s="1"/>
  <c r="PA42" i="94" s="1"/>
  <c r="PA44" i="94" s="1"/>
  <c r="PB10" i="94"/>
  <c r="PB11" i="94" s="1"/>
  <c r="PB12" i="94" s="1"/>
  <c r="PB13" i="94" s="1"/>
  <c r="PB14" i="94" s="1"/>
  <c r="PB15" i="94" s="1"/>
  <c r="PB16" i="94" s="1"/>
  <c r="PB17" i="94" s="1"/>
  <c r="PB18" i="94" s="1"/>
  <c r="PB19" i="94" s="1"/>
  <c r="PB20" i="94" s="1"/>
  <c r="PB21" i="94" s="1"/>
  <c r="PB22" i="94" s="1"/>
  <c r="PB23" i="94" s="1"/>
  <c r="PB24" i="94" s="1"/>
  <c r="PB25" i="94" s="1"/>
  <c r="PB26" i="94" s="1"/>
  <c r="PB27" i="94" s="1"/>
  <c r="PB28" i="94" s="1"/>
  <c r="PB29" i="94" s="1"/>
  <c r="PB30" i="94" s="1"/>
  <c r="PB31" i="94" s="1"/>
  <c r="PB32" i="94" s="1"/>
  <c r="PB33" i="94" s="1"/>
  <c r="PB34" i="94" s="1"/>
  <c r="PB35" i="94" s="1"/>
  <c r="PB36" i="94" s="1"/>
  <c r="PB37" i="94" s="1"/>
  <c r="PB38" i="94" s="1"/>
  <c r="PB39" i="94" s="1"/>
  <c r="PB40" i="94" s="1"/>
  <c r="PB41" i="94" s="1"/>
  <c r="PB42" i="94" s="1"/>
  <c r="PB44" i="94" s="1"/>
  <c r="PC10" i="94"/>
  <c r="PC11" i="94" s="1"/>
  <c r="PC12" i="94" s="1"/>
  <c r="PC13" i="94" s="1"/>
  <c r="PC14" i="94" s="1"/>
  <c r="PC15" i="94" s="1"/>
  <c r="PC16" i="94" s="1"/>
  <c r="PC17" i="94" s="1"/>
  <c r="PC18" i="94" s="1"/>
  <c r="PC19" i="94" s="1"/>
  <c r="PC20" i="94" s="1"/>
  <c r="PC21" i="94" s="1"/>
  <c r="PC22" i="94" s="1"/>
  <c r="PC23" i="94" s="1"/>
  <c r="PC24" i="94" s="1"/>
  <c r="PC25" i="94" s="1"/>
  <c r="PC26" i="94" s="1"/>
  <c r="PC27" i="94" s="1"/>
  <c r="PC28" i="94" s="1"/>
  <c r="PC29" i="94" s="1"/>
  <c r="PC30" i="94" s="1"/>
  <c r="PC31" i="94" s="1"/>
  <c r="PC32" i="94" s="1"/>
  <c r="PC33" i="94" s="1"/>
  <c r="PC34" i="94" s="1"/>
  <c r="PC35" i="94" s="1"/>
  <c r="PC36" i="94" s="1"/>
  <c r="PC37" i="94" s="1"/>
  <c r="PC38" i="94" s="1"/>
  <c r="PC39" i="94" s="1"/>
  <c r="PC40" i="94" s="1"/>
  <c r="PC41" i="94" s="1"/>
  <c r="PC42" i="94" s="1"/>
  <c r="PC44" i="94" s="1"/>
  <c r="PD10" i="94"/>
  <c r="PD11" i="94" s="1"/>
  <c r="PD12" i="94" s="1"/>
  <c r="PD13" i="94" s="1"/>
  <c r="PD14" i="94" s="1"/>
  <c r="PD15" i="94" s="1"/>
  <c r="PD16" i="94" s="1"/>
  <c r="PD17" i="94" s="1"/>
  <c r="PD18" i="94" s="1"/>
  <c r="PD19" i="94" s="1"/>
  <c r="PD20" i="94" s="1"/>
  <c r="PD21" i="94" s="1"/>
  <c r="PD22" i="94" s="1"/>
  <c r="PD23" i="94" s="1"/>
  <c r="PD24" i="94" s="1"/>
  <c r="PD25" i="94" s="1"/>
  <c r="PD26" i="94" s="1"/>
  <c r="PD27" i="94" s="1"/>
  <c r="PD28" i="94" s="1"/>
  <c r="PD29" i="94" s="1"/>
  <c r="PD30" i="94" s="1"/>
  <c r="PD31" i="94" s="1"/>
  <c r="PD32" i="94" s="1"/>
  <c r="PD33" i="94" s="1"/>
  <c r="PD34" i="94" s="1"/>
  <c r="PD35" i="94" s="1"/>
  <c r="PD36" i="94" s="1"/>
  <c r="PD37" i="94" s="1"/>
  <c r="PD38" i="94" s="1"/>
  <c r="PD39" i="94" s="1"/>
  <c r="PD40" i="94" s="1"/>
  <c r="PD41" i="94" s="1"/>
  <c r="PD42" i="94" s="1"/>
  <c r="PD44" i="94" s="1"/>
  <c r="PE10" i="94"/>
  <c r="PE11" i="94" s="1"/>
  <c r="PE12" i="94" s="1"/>
  <c r="PE13" i="94" s="1"/>
  <c r="PE14" i="94" s="1"/>
  <c r="PE15" i="94" s="1"/>
  <c r="PE16" i="94" s="1"/>
  <c r="PE17" i="94" s="1"/>
  <c r="PE18" i="94" s="1"/>
  <c r="PE19" i="94" s="1"/>
  <c r="PE20" i="94" s="1"/>
  <c r="PE21" i="94" s="1"/>
  <c r="PE22" i="94" s="1"/>
  <c r="PE23" i="94" s="1"/>
  <c r="PE24" i="94" s="1"/>
  <c r="PE25" i="94" s="1"/>
  <c r="PE26" i="94" s="1"/>
  <c r="PE27" i="94" s="1"/>
  <c r="PE28" i="94" s="1"/>
  <c r="PE29" i="94" s="1"/>
  <c r="PE30" i="94" s="1"/>
  <c r="PE31" i="94" s="1"/>
  <c r="PE32" i="94" s="1"/>
  <c r="PE33" i="94" s="1"/>
  <c r="PE34" i="94" s="1"/>
  <c r="PE35" i="94" s="1"/>
  <c r="PE36" i="94" s="1"/>
  <c r="PE37" i="94" s="1"/>
  <c r="PE38" i="94" s="1"/>
  <c r="PE39" i="94" s="1"/>
  <c r="PE40" i="94" s="1"/>
  <c r="PE41" i="94" s="1"/>
  <c r="PE42" i="94" s="1"/>
  <c r="PE44" i="94" s="1"/>
  <c r="PX10" i="94"/>
  <c r="QG10" i="94" s="1"/>
  <c r="PY10" i="94"/>
  <c r="QF10" i="94" s="1"/>
  <c r="QH10" i="94"/>
  <c r="QH11" i="94" s="1"/>
  <c r="QH12" i="94" s="1"/>
  <c r="QH13" i="94" s="1"/>
  <c r="QH14" i="94" s="1"/>
  <c r="QH15" i="94" s="1"/>
  <c r="QH16" i="94" s="1"/>
  <c r="QH17" i="94" s="1"/>
  <c r="QH18" i="94" s="1"/>
  <c r="QH19" i="94" s="1"/>
  <c r="QH20" i="94" s="1"/>
  <c r="QH21" i="94" s="1"/>
  <c r="QH22" i="94" s="1"/>
  <c r="QH23" i="94" s="1"/>
  <c r="QH24" i="94" s="1"/>
  <c r="QH25" i="94" s="1"/>
  <c r="QH26" i="94" s="1"/>
  <c r="QH27" i="94" s="1"/>
  <c r="QH28" i="94" s="1"/>
  <c r="QH29" i="94" s="1"/>
  <c r="QH30" i="94" s="1"/>
  <c r="QH31" i="94" s="1"/>
  <c r="QH32" i="94" s="1"/>
  <c r="QH33" i="94" s="1"/>
  <c r="QH34" i="94" s="1"/>
  <c r="QH35" i="94" s="1"/>
  <c r="QH36" i="94" s="1"/>
  <c r="QH37" i="94" s="1"/>
  <c r="QH38" i="94" s="1"/>
  <c r="QH39" i="94" s="1"/>
  <c r="QH40" i="94" s="1"/>
  <c r="QH41" i="94" s="1"/>
  <c r="QH42" i="94" s="1"/>
  <c r="QL10" i="94"/>
  <c r="QM10" i="94"/>
  <c r="QR10" i="94"/>
  <c r="QS10" i="94"/>
  <c r="QT10" i="94"/>
  <c r="QU10" i="94"/>
  <c r="QV10" i="94"/>
  <c r="QW10" i="94"/>
  <c r="QY10" i="94"/>
  <c r="QZ10" i="94"/>
  <c r="RA10" i="94"/>
  <c r="RB10" i="94"/>
  <c r="RC10" i="94"/>
  <c r="RD10" i="94"/>
  <c r="RN10" i="94"/>
  <c r="RO10" i="94"/>
  <c r="SE10" i="94"/>
  <c r="O11" i="94"/>
  <c r="P11" i="94"/>
  <c r="S11" i="94"/>
  <c r="T11" i="94"/>
  <c r="X11" i="94"/>
  <c r="AA11" i="94"/>
  <c r="AB11" i="94"/>
  <c r="AG11" i="94"/>
  <c r="AK11" i="94"/>
  <c r="AP11" i="94"/>
  <c r="AS11" i="94"/>
  <c r="AV11" i="94"/>
  <c r="AY11" i="94"/>
  <c r="BB11" i="94"/>
  <c r="BE11" i="94"/>
  <c r="BH11" i="94"/>
  <c r="BK11" i="94"/>
  <c r="BN11" i="94"/>
  <c r="BQ11" i="94"/>
  <c r="BT11" i="94"/>
  <c r="BW11" i="94"/>
  <c r="BZ11" i="94"/>
  <c r="CC11" i="94"/>
  <c r="CF11" i="94"/>
  <c r="CQ11" i="94"/>
  <c r="CR11" i="94"/>
  <c r="CS11" i="94"/>
  <c r="CT11" i="94"/>
  <c r="CU11" i="94"/>
  <c r="CV11" i="94"/>
  <c r="CW11" i="94"/>
  <c r="CX11" i="94"/>
  <c r="CY11" i="94"/>
  <c r="CZ11" i="94"/>
  <c r="DA11" i="94"/>
  <c r="DB11" i="94"/>
  <c r="DQ11" i="94"/>
  <c r="ED11" i="94"/>
  <c r="EQ11" i="94"/>
  <c r="EX11" i="94"/>
  <c r="FM11" i="94"/>
  <c r="FA11" i="94" s="1"/>
  <c r="FT11" i="94"/>
  <c r="FB11" i="94" s="1"/>
  <c r="GG11" i="94"/>
  <c r="FC11" i="94" s="1"/>
  <c r="GV11" i="94"/>
  <c r="RV11" i="94" s="1"/>
  <c r="HL11" i="94"/>
  <c r="GJ11" i="94" s="1"/>
  <c r="IA11" i="94"/>
  <c r="IP11" i="94"/>
  <c r="GK11" i="94" s="1"/>
  <c r="GL11" i="94"/>
  <c r="JK11" i="94"/>
  <c r="LF11" i="94"/>
  <c r="LG11" i="94"/>
  <c r="LH11" i="94"/>
  <c r="LV11" i="94"/>
  <c r="MB11" i="94"/>
  <c r="MT11" i="94"/>
  <c r="OY11" i="94"/>
  <c r="SE11" i="94"/>
  <c r="PX11" i="94"/>
  <c r="PY11" i="94"/>
  <c r="QL11" i="94"/>
  <c r="QM11" i="94"/>
  <c r="QR11" i="94"/>
  <c r="QS11" i="94"/>
  <c r="QT11" i="94"/>
  <c r="QU11" i="94"/>
  <c r="QV11" i="94"/>
  <c r="QW11" i="94"/>
  <c r="QY11" i="94"/>
  <c r="QZ11" i="94"/>
  <c r="RA11" i="94"/>
  <c r="RB11" i="94"/>
  <c r="RC11" i="94"/>
  <c r="RD11" i="94"/>
  <c r="RN11" i="94"/>
  <c r="RO11" i="94"/>
  <c r="O12" i="94"/>
  <c r="P12" i="94"/>
  <c r="S12" i="94"/>
  <c r="T12" i="94"/>
  <c r="X12" i="94"/>
  <c r="AA12" i="94"/>
  <c r="AB12" i="94"/>
  <c r="AG12" i="94"/>
  <c r="AK12" i="94"/>
  <c r="AP12" i="94"/>
  <c r="AS12" i="94"/>
  <c r="AV12" i="94"/>
  <c r="AY12" i="94"/>
  <c r="BB12" i="94"/>
  <c r="BE12" i="94"/>
  <c r="BH12" i="94"/>
  <c r="BK12" i="94"/>
  <c r="BN12" i="94"/>
  <c r="BQ12" i="94"/>
  <c r="BT12" i="94"/>
  <c r="BW12" i="94"/>
  <c r="BZ12" i="94"/>
  <c r="CC12" i="94"/>
  <c r="CF12" i="94"/>
  <c r="CQ12" i="94"/>
  <c r="CR12" i="94"/>
  <c r="CS12" i="94"/>
  <c r="CT12" i="94"/>
  <c r="CU12" i="94"/>
  <c r="CV12" i="94"/>
  <c r="CW12" i="94"/>
  <c r="CX12" i="94"/>
  <c r="CY12" i="94"/>
  <c r="CZ12" i="94"/>
  <c r="DA12" i="94"/>
  <c r="DB12" i="94"/>
  <c r="DQ12" i="94"/>
  <c r="ED12" i="94"/>
  <c r="EQ12" i="94"/>
  <c r="EX12" i="94"/>
  <c r="FM12" i="94"/>
  <c r="FA12" i="94" s="1"/>
  <c r="FT12" i="94"/>
  <c r="GG12" i="94"/>
  <c r="FC12" i="94" s="1"/>
  <c r="GV12" i="94"/>
  <c r="RV12" i="94" s="1"/>
  <c r="HL12" i="94"/>
  <c r="GJ12" i="94" s="1"/>
  <c r="IA12" i="94"/>
  <c r="IP12" i="94"/>
  <c r="GK12" i="94" s="1"/>
  <c r="JE12" i="94"/>
  <c r="GL12" i="94" s="1"/>
  <c r="JK12" i="94"/>
  <c r="LF12" i="94"/>
  <c r="LG12" i="94"/>
  <c r="LH12" i="94"/>
  <c r="LV12" i="94"/>
  <c r="MB12" i="94"/>
  <c r="MT12" i="94"/>
  <c r="OY12" i="94"/>
  <c r="PX12" i="94"/>
  <c r="PY12" i="94"/>
  <c r="QL12" i="94"/>
  <c r="QM12" i="94"/>
  <c r="QR12" i="94"/>
  <c r="QS12" i="94"/>
  <c r="QT12" i="94"/>
  <c r="QU12" i="94"/>
  <c r="QV12" i="94"/>
  <c r="QW12" i="94"/>
  <c r="QY12" i="94"/>
  <c r="QZ12" i="94"/>
  <c r="RA12" i="94"/>
  <c r="RB12" i="94"/>
  <c r="RC12" i="94"/>
  <c r="RD12" i="94"/>
  <c r="RN12" i="94"/>
  <c r="RO12" i="94"/>
  <c r="SE12" i="94"/>
  <c r="O13" i="94"/>
  <c r="P13" i="94"/>
  <c r="S13" i="94"/>
  <c r="T13" i="94"/>
  <c r="X13" i="94"/>
  <c r="AA13" i="94"/>
  <c r="AB13" i="94"/>
  <c r="AG13" i="94"/>
  <c r="AK13" i="94"/>
  <c r="AP13" i="94"/>
  <c r="AS13" i="94"/>
  <c r="AV13" i="94"/>
  <c r="AY13" i="94"/>
  <c r="BB13" i="94"/>
  <c r="BE13" i="94"/>
  <c r="BH13" i="94"/>
  <c r="BK13" i="94"/>
  <c r="BN13" i="94"/>
  <c r="BQ13" i="94"/>
  <c r="BT13" i="94"/>
  <c r="BW13" i="94"/>
  <c r="BZ13" i="94"/>
  <c r="CC13" i="94"/>
  <c r="CF13" i="94"/>
  <c r="CQ13" i="94"/>
  <c r="CR13" i="94"/>
  <c r="CS13" i="94"/>
  <c r="CT13" i="94"/>
  <c r="CU13" i="94"/>
  <c r="CV13" i="94"/>
  <c r="CW13" i="94"/>
  <c r="CX13" i="94"/>
  <c r="CY13" i="94"/>
  <c r="CZ13" i="94"/>
  <c r="DA13" i="94"/>
  <c r="DB13" i="94"/>
  <c r="DQ13" i="94"/>
  <c r="ED13" i="94"/>
  <c r="EQ13" i="94"/>
  <c r="EX13" i="94"/>
  <c r="FM13" i="94"/>
  <c r="FA13" i="94" s="1"/>
  <c r="FT13" i="94"/>
  <c r="FB13" i="94" s="1"/>
  <c r="GG13" i="94"/>
  <c r="FC13" i="94" s="1"/>
  <c r="GV13" i="94"/>
  <c r="RV13" i="94" s="1"/>
  <c r="HL13" i="94"/>
  <c r="GJ13" i="94" s="1"/>
  <c r="IA13" i="94"/>
  <c r="IP13" i="94"/>
  <c r="GK13" i="94" s="1"/>
  <c r="JE13" i="94"/>
  <c r="JK13" i="94"/>
  <c r="LF13" i="94"/>
  <c r="LG13" i="94"/>
  <c r="LH13" i="94"/>
  <c r="LV13" i="94"/>
  <c r="MB13" i="94"/>
  <c r="MT13" i="94"/>
  <c r="OY13" i="94"/>
  <c r="SE13" i="94"/>
  <c r="PX13" i="94"/>
  <c r="PY13" i="94"/>
  <c r="QL13" i="94"/>
  <c r="QM13" i="94"/>
  <c r="QR13" i="94"/>
  <c r="QS13" i="94"/>
  <c r="QT13" i="94"/>
  <c r="QU13" i="94"/>
  <c r="QV13" i="94"/>
  <c r="QW13" i="94"/>
  <c r="QY13" i="94"/>
  <c r="QZ13" i="94"/>
  <c r="RA13" i="94"/>
  <c r="RB13" i="94"/>
  <c r="RC13" i="94"/>
  <c r="RD13" i="94"/>
  <c r="RN13" i="94"/>
  <c r="RO13" i="94"/>
  <c r="O14" i="94"/>
  <c r="P14" i="94"/>
  <c r="S14" i="94"/>
  <c r="T14" i="94"/>
  <c r="X14" i="94"/>
  <c r="AA14" i="94"/>
  <c r="AB14" i="94"/>
  <c r="AG14" i="94"/>
  <c r="AK14" i="94"/>
  <c r="AP14" i="94"/>
  <c r="AS14" i="94"/>
  <c r="AV14" i="94"/>
  <c r="AY14" i="94"/>
  <c r="BB14" i="94"/>
  <c r="BE14" i="94"/>
  <c r="BH14" i="94"/>
  <c r="BK14" i="94"/>
  <c r="BN14" i="94"/>
  <c r="BQ14" i="94"/>
  <c r="BT14" i="94"/>
  <c r="BW14" i="94"/>
  <c r="BZ14" i="94"/>
  <c r="CC14" i="94"/>
  <c r="CF14" i="94"/>
  <c r="CQ14" i="94"/>
  <c r="CR14" i="94"/>
  <c r="CS14" i="94"/>
  <c r="CT14" i="94"/>
  <c r="CU14" i="94"/>
  <c r="CV14" i="94"/>
  <c r="CW14" i="94"/>
  <c r="CX14" i="94"/>
  <c r="CY14" i="94"/>
  <c r="CZ14" i="94"/>
  <c r="DB14" i="94"/>
  <c r="DQ14" i="94"/>
  <c r="ED14" i="94"/>
  <c r="EQ14" i="94"/>
  <c r="EX14" i="94"/>
  <c r="FM14" i="94"/>
  <c r="FT14" i="94"/>
  <c r="FB14" i="94" s="1"/>
  <c r="GG14" i="94"/>
  <c r="FC14" i="94" s="1"/>
  <c r="GV14" i="94"/>
  <c r="RV14" i="94" s="1"/>
  <c r="HL14" i="94"/>
  <c r="GJ14" i="94" s="1"/>
  <c r="IA14" i="94"/>
  <c r="IP14" i="94"/>
  <c r="GK14" i="94" s="1"/>
  <c r="JE14" i="94"/>
  <c r="GL14" i="94" s="1"/>
  <c r="JK14" i="94"/>
  <c r="LF14" i="94"/>
  <c r="LG14" i="94"/>
  <c r="LH14" i="94"/>
  <c r="LV14" i="94"/>
  <c r="MB14" i="94"/>
  <c r="MT14" i="94"/>
  <c r="OY14" i="94"/>
  <c r="SE14" i="94"/>
  <c r="PX14" i="94"/>
  <c r="PY14" i="94"/>
  <c r="QL14" i="94"/>
  <c r="QM14" i="94"/>
  <c r="QR14" i="94"/>
  <c r="QS14" i="94"/>
  <c r="QT14" i="94"/>
  <c r="QU14" i="94"/>
  <c r="QV14" i="94"/>
  <c r="QW14" i="94"/>
  <c r="QY14" i="94"/>
  <c r="QZ14" i="94"/>
  <c r="RA14" i="94"/>
  <c r="RB14" i="94"/>
  <c r="RC14" i="94"/>
  <c r="RD14" i="94"/>
  <c r="RN14" i="94"/>
  <c r="RO14" i="94"/>
  <c r="O15" i="94"/>
  <c r="P15" i="94"/>
  <c r="S15" i="94"/>
  <c r="T15" i="94"/>
  <c r="X15" i="94"/>
  <c r="AA15" i="94"/>
  <c r="AB15" i="94"/>
  <c r="AG15" i="94"/>
  <c r="AK15" i="94"/>
  <c r="AP15" i="94"/>
  <c r="AS15" i="94"/>
  <c r="AV15" i="94"/>
  <c r="AY15" i="94"/>
  <c r="BB15" i="94"/>
  <c r="BE15" i="94"/>
  <c r="BH15" i="94"/>
  <c r="BK15" i="94"/>
  <c r="BN15" i="94"/>
  <c r="BQ15" i="94"/>
  <c r="BT15" i="94"/>
  <c r="BW15" i="94"/>
  <c r="BZ15" i="94"/>
  <c r="CC15" i="94"/>
  <c r="CF15" i="94"/>
  <c r="CQ15" i="94"/>
  <c r="CR15" i="94"/>
  <c r="CS15" i="94"/>
  <c r="CT15" i="94"/>
  <c r="CU15" i="94"/>
  <c r="CV15" i="94"/>
  <c r="CW15" i="94"/>
  <c r="CX15" i="94"/>
  <c r="CY15" i="94"/>
  <c r="CZ15" i="94"/>
  <c r="DA15" i="94"/>
  <c r="DB15" i="94"/>
  <c r="DQ15" i="94"/>
  <c r="ED15" i="94"/>
  <c r="EQ15" i="94"/>
  <c r="EX15" i="94"/>
  <c r="FM15" i="94"/>
  <c r="FA15" i="94" s="1"/>
  <c r="FT15" i="94"/>
  <c r="FB15" i="94" s="1"/>
  <c r="GG15" i="94"/>
  <c r="FC15" i="94" s="1"/>
  <c r="GV15" i="94"/>
  <c r="RV15" i="94" s="1"/>
  <c r="HL15" i="94"/>
  <c r="GJ15" i="94" s="1"/>
  <c r="IA15" i="94"/>
  <c r="IP15" i="94"/>
  <c r="GK15" i="94" s="1"/>
  <c r="JE15" i="94"/>
  <c r="GL15" i="94" s="1"/>
  <c r="JK15" i="94"/>
  <c r="LF15" i="94"/>
  <c r="LG15" i="94"/>
  <c r="LH15" i="94"/>
  <c r="LV15" i="94"/>
  <c r="MB15" i="94"/>
  <c r="MT15" i="94"/>
  <c r="OY15" i="94"/>
  <c r="PX15" i="94"/>
  <c r="PY15" i="94"/>
  <c r="QL15" i="94"/>
  <c r="QM15" i="94"/>
  <c r="QR15" i="94"/>
  <c r="QS15" i="94"/>
  <c r="QT15" i="94"/>
  <c r="QU15" i="94"/>
  <c r="QV15" i="94"/>
  <c r="QW15" i="94"/>
  <c r="QY15" i="94"/>
  <c r="QZ15" i="94"/>
  <c r="RA15" i="94"/>
  <c r="RB15" i="94"/>
  <c r="RC15" i="94"/>
  <c r="RD15" i="94"/>
  <c r="RN15" i="94"/>
  <c r="RO15" i="94"/>
  <c r="SE15" i="94"/>
  <c r="O16" i="94"/>
  <c r="P16" i="94"/>
  <c r="S16" i="94"/>
  <c r="T16" i="94"/>
  <c r="X16" i="94"/>
  <c r="AA16" i="94"/>
  <c r="AB16" i="94"/>
  <c r="AG16" i="94"/>
  <c r="AK16" i="94"/>
  <c r="AP16" i="94"/>
  <c r="AS16" i="94"/>
  <c r="AV16" i="94"/>
  <c r="AY16" i="94"/>
  <c r="BB16" i="94"/>
  <c r="BE16" i="94"/>
  <c r="BH16" i="94"/>
  <c r="BK16" i="94"/>
  <c r="BN16" i="94"/>
  <c r="BQ16" i="94"/>
  <c r="BT16" i="94"/>
  <c r="BW16" i="94"/>
  <c r="BZ16" i="94"/>
  <c r="CC16" i="94"/>
  <c r="CF16" i="94"/>
  <c r="CQ16" i="94"/>
  <c r="CR16" i="94"/>
  <c r="CS16" i="94"/>
  <c r="CT16" i="94"/>
  <c r="CU16" i="94"/>
  <c r="CV16" i="94"/>
  <c r="CW16" i="94"/>
  <c r="CX16" i="94"/>
  <c r="CY16" i="94"/>
  <c r="CZ16" i="94"/>
  <c r="DA16" i="94"/>
  <c r="DB16" i="94"/>
  <c r="DQ16" i="94"/>
  <c r="ED16" i="94"/>
  <c r="EQ16" i="94"/>
  <c r="EX16" i="94"/>
  <c r="FM16" i="94"/>
  <c r="FA16" i="94" s="1"/>
  <c r="FT16" i="94"/>
  <c r="FB16" i="94" s="1"/>
  <c r="GG16" i="94"/>
  <c r="FC16" i="94" s="1"/>
  <c r="GV16" i="94"/>
  <c r="RV16" i="94" s="1"/>
  <c r="HL16" i="94"/>
  <c r="GJ16" i="94" s="1"/>
  <c r="IA16" i="94"/>
  <c r="IP16" i="94"/>
  <c r="GK16" i="94" s="1"/>
  <c r="JE16" i="94"/>
  <c r="GL16" i="94" s="1"/>
  <c r="JK16" i="94"/>
  <c r="LF16" i="94"/>
  <c r="LG16" i="94"/>
  <c r="LH16" i="94"/>
  <c r="LV16" i="94"/>
  <c r="MB16" i="94"/>
  <c r="MT16" i="94"/>
  <c r="OY16" i="94"/>
  <c r="PX16" i="94"/>
  <c r="PY16" i="94"/>
  <c r="QL16" i="94"/>
  <c r="QM16" i="94"/>
  <c r="QR16" i="94"/>
  <c r="QS16" i="94"/>
  <c r="QT16" i="94"/>
  <c r="QU16" i="94"/>
  <c r="QV16" i="94"/>
  <c r="QW16" i="94"/>
  <c r="QY16" i="94"/>
  <c r="QZ16" i="94"/>
  <c r="RA16" i="94"/>
  <c r="RB16" i="94"/>
  <c r="RC16" i="94"/>
  <c r="RD16" i="94"/>
  <c r="RN16" i="94"/>
  <c r="RO16" i="94"/>
  <c r="SE16" i="94"/>
  <c r="O17" i="94"/>
  <c r="P17" i="94"/>
  <c r="S17" i="94"/>
  <c r="T17" i="94"/>
  <c r="X17" i="94"/>
  <c r="AA17" i="94"/>
  <c r="AB17" i="94"/>
  <c r="AG17" i="94"/>
  <c r="AK17" i="94"/>
  <c r="AP17" i="94"/>
  <c r="AS17" i="94"/>
  <c r="AV17" i="94"/>
  <c r="AY17" i="94"/>
  <c r="BB17" i="94"/>
  <c r="BE17" i="94"/>
  <c r="BH17" i="94"/>
  <c r="BK17" i="94"/>
  <c r="BN17" i="94"/>
  <c r="BQ17" i="94"/>
  <c r="BT17" i="94"/>
  <c r="BW17" i="94"/>
  <c r="BZ17" i="94"/>
  <c r="CC17" i="94"/>
  <c r="CF17" i="94"/>
  <c r="CQ17" i="94"/>
  <c r="CR17" i="94"/>
  <c r="CS17" i="94"/>
  <c r="CT17" i="94"/>
  <c r="CU17" i="94"/>
  <c r="CV17" i="94"/>
  <c r="CW17" i="94"/>
  <c r="CX17" i="94"/>
  <c r="CY17" i="94"/>
  <c r="CZ17" i="94"/>
  <c r="DA17" i="94"/>
  <c r="DB17" i="94"/>
  <c r="DQ17" i="94"/>
  <c r="ED17" i="94"/>
  <c r="EQ17" i="94"/>
  <c r="EX17" i="94"/>
  <c r="FM17" i="94"/>
  <c r="FA17" i="94" s="1"/>
  <c r="FT17" i="94"/>
  <c r="FB17" i="94" s="1"/>
  <c r="GG17" i="94"/>
  <c r="FC17" i="94" s="1"/>
  <c r="GV17" i="94"/>
  <c r="RV17" i="94" s="1"/>
  <c r="HL17" i="94"/>
  <c r="GJ17" i="94" s="1"/>
  <c r="IA17" i="94"/>
  <c r="IP17" i="94"/>
  <c r="GK17" i="94" s="1"/>
  <c r="JE17" i="94"/>
  <c r="GL17" i="94" s="1"/>
  <c r="JK17" i="94"/>
  <c r="LF17" i="94"/>
  <c r="LG17" i="94"/>
  <c r="LH17" i="94"/>
  <c r="LV17" i="94"/>
  <c r="MB17" i="94"/>
  <c r="MT17" i="94"/>
  <c r="OY17" i="94"/>
  <c r="PX17" i="94"/>
  <c r="PY17" i="94"/>
  <c r="QL17" i="94"/>
  <c r="QM17" i="94"/>
  <c r="QR17" i="94"/>
  <c r="QS17" i="94"/>
  <c r="QT17" i="94"/>
  <c r="QU17" i="94"/>
  <c r="QV17" i="94"/>
  <c r="QW17" i="94"/>
  <c r="QY17" i="94"/>
  <c r="QZ17" i="94"/>
  <c r="RA17" i="94"/>
  <c r="RB17" i="94"/>
  <c r="RC17" i="94"/>
  <c r="RD17" i="94"/>
  <c r="RN17" i="94"/>
  <c r="RO17" i="94"/>
  <c r="SE17" i="94"/>
  <c r="O18" i="94"/>
  <c r="P18" i="94"/>
  <c r="S18" i="94"/>
  <c r="T18" i="94"/>
  <c r="X18" i="94"/>
  <c r="AA18" i="94"/>
  <c r="AB18" i="94"/>
  <c r="AG18" i="94"/>
  <c r="AK18" i="94"/>
  <c r="AP18" i="94"/>
  <c r="AS18" i="94"/>
  <c r="AV18" i="94"/>
  <c r="AY18" i="94"/>
  <c r="BB18" i="94"/>
  <c r="BE18" i="94"/>
  <c r="BH18" i="94"/>
  <c r="BK18" i="94"/>
  <c r="BN18" i="94"/>
  <c r="BQ18" i="94"/>
  <c r="BT18" i="94"/>
  <c r="BW18" i="94"/>
  <c r="BZ18" i="94"/>
  <c r="CC18" i="94"/>
  <c r="CF18" i="94"/>
  <c r="CQ18" i="94"/>
  <c r="CR18" i="94"/>
  <c r="CS18" i="94"/>
  <c r="CT18" i="94"/>
  <c r="CU18" i="94"/>
  <c r="CV18" i="94"/>
  <c r="CW18" i="94"/>
  <c r="CX18" i="94"/>
  <c r="CY18" i="94"/>
  <c r="CZ18" i="94"/>
  <c r="DA18" i="94"/>
  <c r="DB18" i="94"/>
  <c r="DQ18" i="94"/>
  <c r="ED18" i="94"/>
  <c r="EQ18" i="94"/>
  <c r="EX18" i="94"/>
  <c r="FM18" i="94"/>
  <c r="FA18" i="94" s="1"/>
  <c r="FT18" i="94"/>
  <c r="FB18" i="94" s="1"/>
  <c r="GG18" i="94"/>
  <c r="FC18" i="94" s="1"/>
  <c r="GV18" i="94"/>
  <c r="RV18" i="94" s="1"/>
  <c r="HL18" i="94"/>
  <c r="GJ18" i="94" s="1"/>
  <c r="IA18" i="94"/>
  <c r="IP18" i="94"/>
  <c r="GK18" i="94" s="1"/>
  <c r="JE18" i="94"/>
  <c r="GL18" i="94" s="1"/>
  <c r="JK18" i="94"/>
  <c r="LF18" i="94"/>
  <c r="LG18" i="94"/>
  <c r="LH18" i="94"/>
  <c r="LV18" i="94"/>
  <c r="MB18" i="94"/>
  <c r="MT18" i="94"/>
  <c r="OY18" i="94"/>
  <c r="PX18" i="94"/>
  <c r="PY18" i="94"/>
  <c r="QL18" i="94"/>
  <c r="QM18" i="94"/>
  <c r="QR18" i="94"/>
  <c r="QS18" i="94"/>
  <c r="QT18" i="94"/>
  <c r="QU18" i="94"/>
  <c r="QV18" i="94"/>
  <c r="QW18" i="94"/>
  <c r="QY18" i="94"/>
  <c r="QZ18" i="94"/>
  <c r="RA18" i="94"/>
  <c r="RB18" i="94"/>
  <c r="RC18" i="94"/>
  <c r="RD18" i="94"/>
  <c r="RK18" i="94"/>
  <c r="RN18" i="94"/>
  <c r="RO18" i="94"/>
  <c r="SE18" i="94"/>
  <c r="O19" i="94"/>
  <c r="P19" i="94"/>
  <c r="S19" i="94"/>
  <c r="T19" i="94"/>
  <c r="X19" i="94"/>
  <c r="AA19" i="94"/>
  <c r="AB19" i="94"/>
  <c r="AG19" i="94"/>
  <c r="AK19" i="94"/>
  <c r="AP19" i="94"/>
  <c r="AS19" i="94"/>
  <c r="AV19" i="94"/>
  <c r="AY19" i="94"/>
  <c r="BB19" i="94"/>
  <c r="BE19" i="94"/>
  <c r="BH19" i="94"/>
  <c r="BK19" i="94"/>
  <c r="BN19" i="94"/>
  <c r="BQ19" i="94"/>
  <c r="BT19" i="94"/>
  <c r="BW19" i="94"/>
  <c r="BZ19" i="94"/>
  <c r="CC19" i="94"/>
  <c r="CF19" i="94"/>
  <c r="CQ19" i="94"/>
  <c r="CR19" i="94"/>
  <c r="CS19" i="94"/>
  <c r="CT19" i="94"/>
  <c r="CU19" i="94"/>
  <c r="CV19" i="94"/>
  <c r="CW19" i="94"/>
  <c r="CX19" i="94"/>
  <c r="CY19" i="94"/>
  <c r="CZ19" i="94"/>
  <c r="DA19" i="94"/>
  <c r="DB19" i="94"/>
  <c r="DQ19" i="94"/>
  <c r="ED19" i="94"/>
  <c r="EQ19" i="94"/>
  <c r="EX19" i="94"/>
  <c r="FM19" i="94"/>
  <c r="FA19" i="94" s="1"/>
  <c r="FT19" i="94"/>
  <c r="FB19" i="94" s="1"/>
  <c r="GG19" i="94"/>
  <c r="FC19" i="94" s="1"/>
  <c r="GV19" i="94"/>
  <c r="RV19" i="94" s="1"/>
  <c r="HL19" i="94"/>
  <c r="GJ19" i="94" s="1"/>
  <c r="IA19" i="94"/>
  <c r="IP19" i="94"/>
  <c r="GK19" i="94" s="1"/>
  <c r="JE19" i="94"/>
  <c r="GL19" i="94" s="1"/>
  <c r="JK19" i="94"/>
  <c r="LF19" i="94"/>
  <c r="RH19" i="94" s="1"/>
  <c r="LG19" i="94"/>
  <c r="RI19" i="94" s="1"/>
  <c r="LH19" i="94"/>
  <c r="RJ19" i="94" s="1"/>
  <c r="LV19" i="94"/>
  <c r="MB19" i="94"/>
  <c r="MT19" i="94"/>
  <c r="OY19" i="94"/>
  <c r="PX19" i="94"/>
  <c r="PY19" i="94"/>
  <c r="QL19" i="94"/>
  <c r="QM19" i="94"/>
  <c r="QR19" i="94"/>
  <c r="QS19" i="94"/>
  <c r="QT19" i="94"/>
  <c r="QU19" i="94"/>
  <c r="QV19" i="94"/>
  <c r="QW19" i="94"/>
  <c r="QY19" i="94"/>
  <c r="QZ19" i="94"/>
  <c r="RA19" i="94"/>
  <c r="RB19" i="94"/>
  <c r="RC19" i="94"/>
  <c r="RD19" i="94"/>
  <c r="RO19" i="94"/>
  <c r="SE19" i="94"/>
  <c r="O20" i="94"/>
  <c r="P20" i="94"/>
  <c r="S20" i="94"/>
  <c r="T20" i="94"/>
  <c r="X20" i="94"/>
  <c r="AA20" i="94"/>
  <c r="AB20" i="94"/>
  <c r="AG20" i="94"/>
  <c r="AK20" i="94"/>
  <c r="AP20" i="94"/>
  <c r="AS20" i="94"/>
  <c r="AV20" i="94"/>
  <c r="AY20" i="94"/>
  <c r="BB20" i="94"/>
  <c r="BE20" i="94"/>
  <c r="BH20" i="94"/>
  <c r="BK20" i="94"/>
  <c r="BN20" i="94"/>
  <c r="BQ20" i="94"/>
  <c r="BT20" i="94"/>
  <c r="BW20" i="94"/>
  <c r="BZ20" i="94"/>
  <c r="CC20" i="94"/>
  <c r="CF20" i="94"/>
  <c r="CQ20" i="94"/>
  <c r="CR20" i="94"/>
  <c r="CS20" i="94"/>
  <c r="CT20" i="94"/>
  <c r="CU20" i="94"/>
  <c r="CV20" i="94"/>
  <c r="CW20" i="94"/>
  <c r="CX20" i="94"/>
  <c r="CY20" i="94"/>
  <c r="CZ20" i="94"/>
  <c r="DA20" i="94"/>
  <c r="DB20" i="94"/>
  <c r="DQ20" i="94"/>
  <c r="ED20" i="94"/>
  <c r="EQ20" i="94"/>
  <c r="EX20" i="94"/>
  <c r="FM20" i="94"/>
  <c r="FA20" i="94" s="1"/>
  <c r="FT20" i="94"/>
  <c r="FB20" i="94" s="1"/>
  <c r="GG20" i="94"/>
  <c r="FC20" i="94" s="1"/>
  <c r="GV20" i="94"/>
  <c r="RV20" i="94" s="1"/>
  <c r="HL20" i="94"/>
  <c r="GJ20" i="94" s="1"/>
  <c r="IA20" i="94"/>
  <c r="IP20" i="94"/>
  <c r="GK20" i="94" s="1"/>
  <c r="JE20" i="94"/>
  <c r="GL20" i="94" s="1"/>
  <c r="JK20" i="94"/>
  <c r="LF20" i="94"/>
  <c r="LG20" i="94"/>
  <c r="LH20" i="94"/>
  <c r="LV20" i="94"/>
  <c r="MB20" i="94"/>
  <c r="MT20" i="94"/>
  <c r="OY20" i="94"/>
  <c r="SE20" i="94"/>
  <c r="PX20" i="94"/>
  <c r="PY20" i="94"/>
  <c r="QL20" i="94"/>
  <c r="QM20" i="94"/>
  <c r="QR20" i="94"/>
  <c r="QS20" i="94"/>
  <c r="QT20" i="94"/>
  <c r="QU20" i="94"/>
  <c r="QV20" i="94"/>
  <c r="QW20" i="94"/>
  <c r="QY20" i="94"/>
  <c r="QZ20" i="94"/>
  <c r="RA20" i="94"/>
  <c r="RB20" i="94"/>
  <c r="RC20" i="94"/>
  <c r="RD20" i="94"/>
  <c r="RO20" i="94"/>
  <c r="O21" i="94"/>
  <c r="P21" i="94"/>
  <c r="S21" i="94"/>
  <c r="T21" i="94"/>
  <c r="X21" i="94"/>
  <c r="AA21" i="94"/>
  <c r="AB21" i="94"/>
  <c r="AG21" i="94"/>
  <c r="AK21" i="94"/>
  <c r="AP21" i="94"/>
  <c r="AS21" i="94"/>
  <c r="AV21" i="94"/>
  <c r="AY21" i="94"/>
  <c r="BB21" i="94"/>
  <c r="BE21" i="94"/>
  <c r="BH21" i="94"/>
  <c r="BK21" i="94"/>
  <c r="BN21" i="94"/>
  <c r="BQ21" i="94"/>
  <c r="BT21" i="94"/>
  <c r="BW21" i="94"/>
  <c r="BZ21" i="94"/>
  <c r="CC21" i="94"/>
  <c r="CF21" i="94"/>
  <c r="CQ21" i="94"/>
  <c r="CR21" i="94"/>
  <c r="CS21" i="94"/>
  <c r="CT21" i="94"/>
  <c r="CU21" i="94"/>
  <c r="CV21" i="94"/>
  <c r="CW21" i="94"/>
  <c r="CX21" i="94"/>
  <c r="CY21" i="94"/>
  <c r="CZ21" i="94"/>
  <c r="DA21" i="94"/>
  <c r="DB21" i="94"/>
  <c r="DQ21" i="94"/>
  <c r="ED21" i="94"/>
  <c r="EQ21" i="94"/>
  <c r="EX21" i="94"/>
  <c r="FM21" i="94"/>
  <c r="FA21" i="94" s="1"/>
  <c r="FT21" i="94"/>
  <c r="FB21" i="94" s="1"/>
  <c r="GG21" i="94"/>
  <c r="FC21" i="94" s="1"/>
  <c r="GV21" i="94"/>
  <c r="RV21" i="94" s="1"/>
  <c r="HL21" i="94"/>
  <c r="GJ21" i="94" s="1"/>
  <c r="IA21" i="94"/>
  <c r="GK21" i="94"/>
  <c r="JE21" i="94"/>
  <c r="GL21" i="94" s="1"/>
  <c r="JK21" i="94"/>
  <c r="LF21" i="94"/>
  <c r="LG21" i="94"/>
  <c r="LH21" i="94"/>
  <c r="LV21" i="94"/>
  <c r="MB21" i="94"/>
  <c r="MT21" i="94"/>
  <c r="OH21" i="94"/>
  <c r="OY21" i="94"/>
  <c r="SE21" i="94"/>
  <c r="PX21" i="94"/>
  <c r="PY21" i="94"/>
  <c r="QL21" i="94"/>
  <c r="QM21" i="94"/>
  <c r="QR21" i="94"/>
  <c r="QS21" i="94"/>
  <c r="QT21" i="94"/>
  <c r="QU21" i="94"/>
  <c r="QV21" i="94"/>
  <c r="QW21" i="94"/>
  <c r="QY21" i="94"/>
  <c r="QZ21" i="94"/>
  <c r="RA21" i="94"/>
  <c r="RB21" i="94"/>
  <c r="RC21" i="94"/>
  <c r="RD21" i="94"/>
  <c r="RO21" i="94"/>
  <c r="O22" i="94"/>
  <c r="P22" i="94"/>
  <c r="S22" i="94"/>
  <c r="T22" i="94"/>
  <c r="X22" i="94"/>
  <c r="AA22" i="94"/>
  <c r="AB22" i="94"/>
  <c r="AG22" i="94"/>
  <c r="AK22" i="94"/>
  <c r="AP22" i="94"/>
  <c r="AS22" i="94"/>
  <c r="AV22" i="94"/>
  <c r="AY22" i="94"/>
  <c r="BB22" i="94"/>
  <c r="BE22" i="94"/>
  <c r="BH22" i="94"/>
  <c r="BK22" i="94"/>
  <c r="BN22" i="94"/>
  <c r="BQ22" i="94"/>
  <c r="BT22" i="94"/>
  <c r="BW22" i="94"/>
  <c r="BZ22" i="94"/>
  <c r="CC22" i="94"/>
  <c r="CF22" i="94"/>
  <c r="CQ22" i="94"/>
  <c r="CR22" i="94"/>
  <c r="CS22" i="94"/>
  <c r="CT22" i="94"/>
  <c r="CU22" i="94"/>
  <c r="CV22" i="94"/>
  <c r="CW22" i="94"/>
  <c r="CX22" i="94"/>
  <c r="CY22" i="94"/>
  <c r="CZ22" i="94"/>
  <c r="DA22" i="94"/>
  <c r="DB22" i="94"/>
  <c r="DQ22" i="94"/>
  <c r="ED22" i="94"/>
  <c r="EQ22" i="94"/>
  <c r="EX22" i="94"/>
  <c r="FM22" i="94"/>
  <c r="FA22" i="94" s="1"/>
  <c r="FT22" i="94"/>
  <c r="FB22" i="94" s="1"/>
  <c r="GG22" i="94"/>
  <c r="FC22" i="94" s="1"/>
  <c r="GV22" i="94"/>
  <c r="RV22" i="94" s="1"/>
  <c r="HL22" i="94"/>
  <c r="GJ22" i="94" s="1"/>
  <c r="IA22" i="94"/>
  <c r="IP22" i="94"/>
  <c r="GK22" i="94" s="1"/>
  <c r="JE22" i="94"/>
  <c r="GL22" i="94" s="1"/>
  <c r="JK22" i="94"/>
  <c r="LF22" i="94"/>
  <c r="LG22" i="94"/>
  <c r="LH22" i="94"/>
  <c r="LV22" i="94"/>
  <c r="MB22" i="94"/>
  <c r="MT22" i="94"/>
  <c r="OY22" i="94"/>
  <c r="PX22" i="94"/>
  <c r="PY22" i="94"/>
  <c r="QL22" i="94"/>
  <c r="QM22" i="94"/>
  <c r="QR22" i="94"/>
  <c r="QS22" i="94"/>
  <c r="QT22" i="94"/>
  <c r="QU22" i="94"/>
  <c r="QV22" i="94"/>
  <c r="QW22" i="94"/>
  <c r="QY22" i="94"/>
  <c r="QZ22" i="94"/>
  <c r="RA22" i="94"/>
  <c r="RB22" i="94"/>
  <c r="RC22" i="94"/>
  <c r="RD22" i="94"/>
  <c r="RO22" i="94"/>
  <c r="SE22" i="94"/>
  <c r="O23" i="94"/>
  <c r="P23" i="94"/>
  <c r="S23" i="94"/>
  <c r="T23" i="94"/>
  <c r="X23" i="94"/>
  <c r="AA23" i="94"/>
  <c r="AB23" i="94"/>
  <c r="AG23" i="94"/>
  <c r="AK23" i="94"/>
  <c r="AP23" i="94"/>
  <c r="AS23" i="94"/>
  <c r="AV23" i="94"/>
  <c r="AY23" i="94"/>
  <c r="BB23" i="94"/>
  <c r="BE23" i="94"/>
  <c r="BH23" i="94"/>
  <c r="BK23" i="94"/>
  <c r="BN23" i="94"/>
  <c r="BQ23" i="94"/>
  <c r="BT23" i="94"/>
  <c r="BW23" i="94"/>
  <c r="BZ23" i="94"/>
  <c r="CC23" i="94"/>
  <c r="CF23" i="94"/>
  <c r="CQ23" i="94"/>
  <c r="CR23" i="94"/>
  <c r="CS23" i="94"/>
  <c r="CT23" i="94"/>
  <c r="CU23" i="94"/>
  <c r="CV23" i="94"/>
  <c r="CW23" i="94"/>
  <c r="CX23" i="94"/>
  <c r="CY23" i="94"/>
  <c r="CZ23" i="94"/>
  <c r="DA23" i="94"/>
  <c r="DB23" i="94"/>
  <c r="DQ23" i="94"/>
  <c r="ED23" i="94"/>
  <c r="EQ23" i="94"/>
  <c r="EX23" i="94"/>
  <c r="FM23" i="94"/>
  <c r="FA23" i="94" s="1"/>
  <c r="FT23" i="94"/>
  <c r="FB23" i="94" s="1"/>
  <c r="GG23" i="94"/>
  <c r="FC23" i="94" s="1"/>
  <c r="GV23" i="94"/>
  <c r="RV23" i="94" s="1"/>
  <c r="HL23" i="94"/>
  <c r="GJ23" i="94" s="1"/>
  <c r="IA23" i="94"/>
  <c r="IP23" i="94"/>
  <c r="GK23" i="94" s="1"/>
  <c r="JE23" i="94"/>
  <c r="GL23" i="94" s="1"/>
  <c r="JK23" i="94"/>
  <c r="LF23" i="94"/>
  <c r="LG23" i="94"/>
  <c r="LH23" i="94"/>
  <c r="LV23" i="94"/>
  <c r="MB23" i="94"/>
  <c r="MT23" i="94"/>
  <c r="OY23" i="94"/>
  <c r="PX23" i="94"/>
  <c r="PY23" i="94"/>
  <c r="QL23" i="94"/>
  <c r="QM23" i="94"/>
  <c r="QR23" i="94"/>
  <c r="QS23" i="94"/>
  <c r="QT23" i="94"/>
  <c r="QU23" i="94"/>
  <c r="QV23" i="94"/>
  <c r="QW23" i="94"/>
  <c r="QY23" i="94"/>
  <c r="QZ23" i="94"/>
  <c r="RA23" i="94"/>
  <c r="RB23" i="94"/>
  <c r="RC23" i="94"/>
  <c r="RD23" i="94"/>
  <c r="RO23" i="94"/>
  <c r="O24" i="94"/>
  <c r="P24" i="94"/>
  <c r="S24" i="94"/>
  <c r="T24" i="94"/>
  <c r="X24" i="94"/>
  <c r="AA24" i="94"/>
  <c r="AB24" i="94"/>
  <c r="AG24" i="94"/>
  <c r="AK24" i="94"/>
  <c r="AP24" i="94"/>
  <c r="AS24" i="94"/>
  <c r="AV24" i="94"/>
  <c r="AY24" i="94"/>
  <c r="BB24" i="94"/>
  <c r="BE24" i="94"/>
  <c r="BH24" i="94"/>
  <c r="BK24" i="94"/>
  <c r="BN24" i="94"/>
  <c r="BQ24" i="94"/>
  <c r="BT24" i="94"/>
  <c r="BW24" i="94"/>
  <c r="BZ24" i="94"/>
  <c r="CC24" i="94"/>
  <c r="CF24" i="94"/>
  <c r="CQ24" i="94"/>
  <c r="CR24" i="94"/>
  <c r="CS24" i="94"/>
  <c r="CT24" i="94"/>
  <c r="CU24" i="94"/>
  <c r="CV24" i="94"/>
  <c r="CW24" i="94"/>
  <c r="CX24" i="94"/>
  <c r="CY24" i="94"/>
  <c r="CZ24" i="94"/>
  <c r="DA24" i="94"/>
  <c r="DB24" i="94"/>
  <c r="DQ24" i="94"/>
  <c r="ED24" i="94"/>
  <c r="EQ24" i="94"/>
  <c r="EX24" i="94"/>
  <c r="FM24" i="94"/>
  <c r="FA24" i="94" s="1"/>
  <c r="FT24" i="94"/>
  <c r="FB24" i="94" s="1"/>
  <c r="GG24" i="94"/>
  <c r="FC24" i="94" s="1"/>
  <c r="GV24" i="94"/>
  <c r="RV24" i="94" s="1"/>
  <c r="HL24" i="94"/>
  <c r="GJ24" i="94" s="1"/>
  <c r="IA24" i="94"/>
  <c r="IP24" i="94"/>
  <c r="GK24" i="94" s="1"/>
  <c r="JE24" i="94"/>
  <c r="GL24" i="94" s="1"/>
  <c r="JK24" i="94"/>
  <c r="LF24" i="94"/>
  <c r="LG24" i="94"/>
  <c r="LH24" i="94"/>
  <c r="LV24" i="94"/>
  <c r="MB24" i="94"/>
  <c r="MT24" i="94"/>
  <c r="OH24" i="94"/>
  <c r="OH25" i="94" s="1"/>
  <c r="OH26" i="94" s="1"/>
  <c r="OH27" i="94" s="1"/>
  <c r="OH28" i="94" s="1"/>
  <c r="OH29" i="94" s="1"/>
  <c r="OH30" i="94" s="1"/>
  <c r="OH31" i="94" s="1"/>
  <c r="OH32" i="94" s="1"/>
  <c r="OH33" i="94" s="1"/>
  <c r="OH34" i="94" s="1"/>
  <c r="OH35" i="94" s="1"/>
  <c r="OH36" i="94" s="1"/>
  <c r="OH37" i="94" s="1"/>
  <c r="OH38" i="94" s="1"/>
  <c r="OH39" i="94" s="1"/>
  <c r="OH40" i="94" s="1"/>
  <c r="OH41" i="94" s="1"/>
  <c r="OH42" i="94" s="1"/>
  <c r="OY24" i="94"/>
  <c r="SE24" i="94"/>
  <c r="PX24" i="94"/>
  <c r="PY24" i="94"/>
  <c r="QL24" i="94"/>
  <c r="QM24" i="94"/>
  <c r="QR24" i="94"/>
  <c r="QS24" i="94"/>
  <c r="QT24" i="94"/>
  <c r="QU24" i="94"/>
  <c r="QV24" i="94"/>
  <c r="QW24" i="94"/>
  <c r="QY24" i="94"/>
  <c r="QZ24" i="94"/>
  <c r="RA24" i="94"/>
  <c r="RB24" i="94"/>
  <c r="RC24" i="94"/>
  <c r="RD24" i="94"/>
  <c r="RO24" i="94"/>
  <c r="O25" i="94"/>
  <c r="P25" i="94"/>
  <c r="S25" i="94"/>
  <c r="T25" i="94"/>
  <c r="X25" i="94"/>
  <c r="AA25" i="94"/>
  <c r="AB25" i="94"/>
  <c r="AG25" i="94"/>
  <c r="AK25" i="94"/>
  <c r="AP25" i="94"/>
  <c r="AS25" i="94"/>
  <c r="AV25" i="94"/>
  <c r="AY25" i="94"/>
  <c r="BB25" i="94"/>
  <c r="BE25" i="94"/>
  <c r="BH25" i="94"/>
  <c r="BK25" i="94"/>
  <c r="BN25" i="94"/>
  <c r="BQ25" i="94"/>
  <c r="BT25" i="94"/>
  <c r="BW25" i="94"/>
  <c r="BZ25" i="94"/>
  <c r="CC25" i="94"/>
  <c r="CF25" i="94"/>
  <c r="CQ25" i="94"/>
  <c r="CR25" i="94"/>
  <c r="CS25" i="94"/>
  <c r="CT25" i="94"/>
  <c r="CU25" i="94"/>
  <c r="CV25" i="94"/>
  <c r="CW25" i="94"/>
  <c r="CX25" i="94"/>
  <c r="CY25" i="94"/>
  <c r="CZ25" i="94"/>
  <c r="DA25" i="94"/>
  <c r="DB25" i="94"/>
  <c r="DQ25" i="94"/>
  <c r="ED25" i="94"/>
  <c r="EQ25" i="94"/>
  <c r="EX25" i="94"/>
  <c r="FM25" i="94"/>
  <c r="FA25" i="94" s="1"/>
  <c r="FT25" i="94"/>
  <c r="FB25" i="94" s="1"/>
  <c r="GG25" i="94"/>
  <c r="FC25" i="94" s="1"/>
  <c r="GV25" i="94"/>
  <c r="HL25" i="94"/>
  <c r="GJ25" i="94" s="1"/>
  <c r="IA25" i="94"/>
  <c r="IP25" i="94"/>
  <c r="GK25" i="94" s="1"/>
  <c r="JE25" i="94"/>
  <c r="GL25" i="94" s="1"/>
  <c r="JK25" i="94"/>
  <c r="LF25" i="94"/>
  <c r="LG25" i="94"/>
  <c r="LH25" i="94"/>
  <c r="LV25" i="94"/>
  <c r="MB25" i="94"/>
  <c r="MT25" i="94"/>
  <c r="OY25" i="94"/>
  <c r="PX25" i="94"/>
  <c r="PY25" i="94"/>
  <c r="QL25" i="94"/>
  <c r="QM25" i="94"/>
  <c r="QR25" i="94"/>
  <c r="QS25" i="94"/>
  <c r="QT25" i="94"/>
  <c r="QU25" i="94"/>
  <c r="QV25" i="94"/>
  <c r="QW25" i="94"/>
  <c r="QY25" i="94"/>
  <c r="QZ25" i="94"/>
  <c r="RA25" i="94"/>
  <c r="RB25" i="94"/>
  <c r="RC25" i="94"/>
  <c r="RD25" i="94"/>
  <c r="RO25" i="94"/>
  <c r="SE25" i="94"/>
  <c r="O26" i="94"/>
  <c r="P26" i="94"/>
  <c r="S26" i="94"/>
  <c r="T26" i="94"/>
  <c r="X26" i="94"/>
  <c r="AA26" i="94"/>
  <c r="AB26" i="94"/>
  <c r="AG26" i="94"/>
  <c r="AK26" i="94"/>
  <c r="AP26" i="94"/>
  <c r="AS26" i="94"/>
  <c r="AV26" i="94"/>
  <c r="AY26" i="94"/>
  <c r="BB26" i="94"/>
  <c r="BE26" i="94"/>
  <c r="BH26" i="94"/>
  <c r="BK26" i="94"/>
  <c r="BN26" i="94"/>
  <c r="BQ26" i="94"/>
  <c r="BT26" i="94"/>
  <c r="BW26" i="94"/>
  <c r="BZ26" i="94"/>
  <c r="CC26" i="94"/>
  <c r="CF26" i="94"/>
  <c r="CQ26" i="94"/>
  <c r="CR26" i="94"/>
  <c r="CS26" i="94"/>
  <c r="CT26" i="94"/>
  <c r="CU26" i="94"/>
  <c r="CV26" i="94"/>
  <c r="CW26" i="94"/>
  <c r="CX26" i="94"/>
  <c r="CY26" i="94"/>
  <c r="CZ26" i="94"/>
  <c r="DA26" i="94"/>
  <c r="DB26" i="94"/>
  <c r="DQ26" i="94"/>
  <c r="ED26" i="94"/>
  <c r="EQ26" i="94"/>
  <c r="EX26" i="94"/>
  <c r="FM26" i="94"/>
  <c r="FA26" i="94" s="1"/>
  <c r="FT26" i="94"/>
  <c r="FB26" i="94" s="1"/>
  <c r="GG26" i="94"/>
  <c r="FC26" i="94" s="1"/>
  <c r="GV26" i="94"/>
  <c r="RV26" i="94" s="1"/>
  <c r="HL26" i="94"/>
  <c r="GJ26" i="94" s="1"/>
  <c r="IA26" i="94"/>
  <c r="IP26" i="94"/>
  <c r="GK26" i="94" s="1"/>
  <c r="JE26" i="94"/>
  <c r="GL26" i="94" s="1"/>
  <c r="JK26" i="94"/>
  <c r="LF26" i="94"/>
  <c r="LG26" i="94"/>
  <c r="LH26" i="94"/>
  <c r="LV26" i="94"/>
  <c r="MB26" i="94"/>
  <c r="MT26" i="94"/>
  <c r="OY26" i="94"/>
  <c r="PX26" i="94"/>
  <c r="PY26" i="94"/>
  <c r="QL26" i="94"/>
  <c r="QM26" i="94"/>
  <c r="QR26" i="94"/>
  <c r="QS26" i="94"/>
  <c r="QT26" i="94"/>
  <c r="QU26" i="94"/>
  <c r="QV26" i="94"/>
  <c r="QW26" i="94"/>
  <c r="QY26" i="94"/>
  <c r="QZ26" i="94"/>
  <c r="RA26" i="94"/>
  <c r="RB26" i="94"/>
  <c r="RC26" i="94"/>
  <c r="RD26" i="94"/>
  <c r="RO26" i="94"/>
  <c r="SE26" i="94"/>
  <c r="O27" i="94"/>
  <c r="P27" i="94"/>
  <c r="S27" i="94"/>
  <c r="T27" i="94"/>
  <c r="X27" i="94"/>
  <c r="AA27" i="94"/>
  <c r="AB27" i="94"/>
  <c r="AG27" i="94"/>
  <c r="AK27" i="94"/>
  <c r="AP27" i="94"/>
  <c r="AS27" i="94"/>
  <c r="AV27" i="94"/>
  <c r="AY27" i="94"/>
  <c r="BB27" i="94"/>
  <c r="BE27" i="94"/>
  <c r="BH27" i="94"/>
  <c r="BK27" i="94"/>
  <c r="BN27" i="94"/>
  <c r="BQ27" i="94"/>
  <c r="BT27" i="94"/>
  <c r="BW27" i="94"/>
  <c r="BZ27" i="94"/>
  <c r="CC27" i="94"/>
  <c r="CF27" i="94"/>
  <c r="CQ27" i="94"/>
  <c r="CR27" i="94"/>
  <c r="CS27" i="94"/>
  <c r="CT27" i="94"/>
  <c r="CU27" i="94"/>
  <c r="CV27" i="94"/>
  <c r="CW27" i="94"/>
  <c r="CX27" i="94"/>
  <c r="CY27" i="94"/>
  <c r="CZ27" i="94"/>
  <c r="DA27" i="94"/>
  <c r="DB27" i="94"/>
  <c r="DQ27" i="94"/>
  <c r="ED27" i="94"/>
  <c r="EQ27" i="94"/>
  <c r="EX27" i="94"/>
  <c r="FM27" i="94"/>
  <c r="FA27" i="94" s="1"/>
  <c r="FT27" i="94"/>
  <c r="FB27" i="94" s="1"/>
  <c r="GG27" i="94"/>
  <c r="FC27" i="94" s="1"/>
  <c r="GV27" i="94"/>
  <c r="RV27" i="94" s="1"/>
  <c r="HL27" i="94"/>
  <c r="GJ27" i="94" s="1"/>
  <c r="IA27" i="94"/>
  <c r="IP27" i="94"/>
  <c r="GK27" i="94" s="1"/>
  <c r="JE27" i="94"/>
  <c r="GL27" i="94" s="1"/>
  <c r="JK27" i="94"/>
  <c r="LF27" i="94"/>
  <c r="LG27" i="94"/>
  <c r="LH27" i="94"/>
  <c r="LV27" i="94"/>
  <c r="MB27" i="94"/>
  <c r="MT27" i="94"/>
  <c r="OY27" i="94"/>
  <c r="PX27" i="94"/>
  <c r="PY27" i="94"/>
  <c r="QL27" i="94"/>
  <c r="QM27" i="94"/>
  <c r="QR27" i="94"/>
  <c r="QS27" i="94"/>
  <c r="QT27" i="94"/>
  <c r="QU27" i="94"/>
  <c r="QV27" i="94"/>
  <c r="QW27" i="94"/>
  <c r="QY27" i="94"/>
  <c r="QZ27" i="94"/>
  <c r="RA27" i="94"/>
  <c r="RB27" i="94"/>
  <c r="RC27" i="94"/>
  <c r="RD27" i="94"/>
  <c r="RO27" i="94"/>
  <c r="SE27" i="94"/>
  <c r="O28" i="94"/>
  <c r="P28" i="94"/>
  <c r="S28" i="94"/>
  <c r="T28" i="94"/>
  <c r="X28" i="94"/>
  <c r="AA28" i="94"/>
  <c r="AB28" i="94"/>
  <c r="AG28" i="94"/>
  <c r="AK28" i="94"/>
  <c r="AP28" i="94"/>
  <c r="AS28" i="94"/>
  <c r="AV28" i="94"/>
  <c r="AY28" i="94"/>
  <c r="BB28" i="94"/>
  <c r="BE28" i="94"/>
  <c r="BH28" i="94"/>
  <c r="BK28" i="94"/>
  <c r="BN28" i="94"/>
  <c r="BQ28" i="94"/>
  <c r="BT28" i="94"/>
  <c r="BW28" i="94"/>
  <c r="BZ28" i="94"/>
  <c r="CC28" i="94"/>
  <c r="CF28" i="94"/>
  <c r="CQ28" i="94"/>
  <c r="CR28" i="94"/>
  <c r="CS28" i="94"/>
  <c r="CT28" i="94"/>
  <c r="CU28" i="94"/>
  <c r="CV28" i="94"/>
  <c r="CW28" i="94"/>
  <c r="CX28" i="94"/>
  <c r="CY28" i="94"/>
  <c r="CZ28" i="94"/>
  <c r="DA28" i="94"/>
  <c r="DB28" i="94"/>
  <c r="DQ28" i="94"/>
  <c r="ED28" i="94"/>
  <c r="EQ28" i="94"/>
  <c r="EX28" i="94"/>
  <c r="FM28" i="94"/>
  <c r="FA28" i="94" s="1"/>
  <c r="FT28" i="94"/>
  <c r="FB28" i="94" s="1"/>
  <c r="GG28" i="94"/>
  <c r="FC28" i="94" s="1"/>
  <c r="GV28" i="94"/>
  <c r="RV28" i="94" s="1"/>
  <c r="HL28" i="94"/>
  <c r="GJ28" i="94" s="1"/>
  <c r="IA28" i="94"/>
  <c r="IP28" i="94"/>
  <c r="GK28" i="94" s="1"/>
  <c r="JE28" i="94"/>
  <c r="GL28" i="94" s="1"/>
  <c r="JK28" i="94"/>
  <c r="LF28" i="94"/>
  <c r="LG28" i="94"/>
  <c r="LH28" i="94"/>
  <c r="LV28" i="94"/>
  <c r="MB28" i="94"/>
  <c r="MT28" i="94"/>
  <c r="OY28" i="94"/>
  <c r="PX28" i="94"/>
  <c r="PY28" i="94"/>
  <c r="QL28" i="94"/>
  <c r="QM28" i="94"/>
  <c r="QR28" i="94"/>
  <c r="QS28" i="94"/>
  <c r="QT28" i="94"/>
  <c r="QU28" i="94"/>
  <c r="QV28" i="94"/>
  <c r="QW28" i="94"/>
  <c r="QY28" i="94"/>
  <c r="QZ28" i="94"/>
  <c r="RA28" i="94"/>
  <c r="RB28" i="94"/>
  <c r="RC28" i="94"/>
  <c r="RD28" i="94"/>
  <c r="RO28" i="94"/>
  <c r="SE28" i="94"/>
  <c r="O29" i="94"/>
  <c r="P29" i="94"/>
  <c r="S29" i="94"/>
  <c r="T29" i="94"/>
  <c r="X29" i="94"/>
  <c r="AA29" i="94"/>
  <c r="AB29" i="94"/>
  <c r="AG29" i="94"/>
  <c r="AK29" i="94"/>
  <c r="AP29" i="94"/>
  <c r="AS29" i="94"/>
  <c r="AV29" i="94"/>
  <c r="AY29" i="94"/>
  <c r="BB29" i="94"/>
  <c r="BE29" i="94"/>
  <c r="BH29" i="94"/>
  <c r="BK29" i="94"/>
  <c r="BN29" i="94"/>
  <c r="BQ29" i="94"/>
  <c r="BT29" i="94"/>
  <c r="BW29" i="94"/>
  <c r="BZ29" i="94"/>
  <c r="CC29" i="94"/>
  <c r="CF29" i="94"/>
  <c r="CQ29" i="94"/>
  <c r="CR29" i="94"/>
  <c r="CS29" i="94"/>
  <c r="CT29" i="94"/>
  <c r="CU29" i="94"/>
  <c r="CV29" i="94"/>
  <c r="CW29" i="94"/>
  <c r="CX29" i="94"/>
  <c r="CY29" i="94"/>
  <c r="CZ29" i="94"/>
  <c r="DA29" i="94"/>
  <c r="DB29" i="94"/>
  <c r="DQ29" i="94"/>
  <c r="ED29" i="94"/>
  <c r="EQ29" i="94"/>
  <c r="EX29" i="94"/>
  <c r="FM29" i="94"/>
  <c r="FA29" i="94" s="1"/>
  <c r="FT29" i="94"/>
  <c r="FB29" i="94" s="1"/>
  <c r="GG29" i="94"/>
  <c r="FC29" i="94" s="1"/>
  <c r="GV29" i="94"/>
  <c r="RV29" i="94" s="1"/>
  <c r="HL29" i="94"/>
  <c r="GJ29" i="94" s="1"/>
  <c r="IA29" i="94"/>
  <c r="IP29" i="94"/>
  <c r="GK29" i="94" s="1"/>
  <c r="JE29" i="94"/>
  <c r="GL29" i="94" s="1"/>
  <c r="JK29" i="94"/>
  <c r="LF29" i="94"/>
  <c r="LG29" i="94"/>
  <c r="LH29" i="94"/>
  <c r="LV29" i="94"/>
  <c r="MB29" i="94"/>
  <c r="MT29" i="94"/>
  <c r="OY29" i="94"/>
  <c r="PX29" i="94"/>
  <c r="PY29" i="94"/>
  <c r="QL29" i="94"/>
  <c r="QM29" i="94"/>
  <c r="QR29" i="94"/>
  <c r="QS29" i="94"/>
  <c r="QT29" i="94"/>
  <c r="QU29" i="94"/>
  <c r="QV29" i="94"/>
  <c r="QW29" i="94"/>
  <c r="QY29" i="94"/>
  <c r="QZ29" i="94"/>
  <c r="RA29" i="94"/>
  <c r="RB29" i="94"/>
  <c r="RC29" i="94"/>
  <c r="RD29" i="94"/>
  <c r="RO29" i="94"/>
  <c r="SE29" i="94"/>
  <c r="O30" i="94"/>
  <c r="P30" i="94"/>
  <c r="S30" i="94"/>
  <c r="T30" i="94"/>
  <c r="X30" i="94"/>
  <c r="AA30" i="94"/>
  <c r="AB30" i="94"/>
  <c r="AG30" i="94"/>
  <c r="AK30" i="94"/>
  <c r="AP30" i="94"/>
  <c r="AS30" i="94"/>
  <c r="AV30" i="94"/>
  <c r="AY30" i="94"/>
  <c r="BB30" i="94"/>
  <c r="BE30" i="94"/>
  <c r="BH30" i="94"/>
  <c r="BK30" i="94"/>
  <c r="BN30" i="94"/>
  <c r="BQ30" i="94"/>
  <c r="BT30" i="94"/>
  <c r="BW30" i="94"/>
  <c r="BZ30" i="94"/>
  <c r="CC30" i="94"/>
  <c r="CF30" i="94"/>
  <c r="CQ30" i="94"/>
  <c r="CR30" i="94"/>
  <c r="CS30" i="94"/>
  <c r="CT30" i="94"/>
  <c r="CU30" i="94"/>
  <c r="CV30" i="94"/>
  <c r="CW30" i="94"/>
  <c r="CX30" i="94"/>
  <c r="CY30" i="94"/>
  <c r="CZ30" i="94"/>
  <c r="DA30" i="94"/>
  <c r="DB30" i="94"/>
  <c r="DQ30" i="94"/>
  <c r="ED30" i="94"/>
  <c r="EQ30" i="94"/>
  <c r="EX30" i="94"/>
  <c r="FM30" i="94"/>
  <c r="FA30" i="94" s="1"/>
  <c r="FT30" i="94"/>
  <c r="FB30" i="94" s="1"/>
  <c r="GG30" i="94"/>
  <c r="FC30" i="94" s="1"/>
  <c r="GV30" i="94"/>
  <c r="RV30" i="94" s="1"/>
  <c r="HL30" i="94"/>
  <c r="GJ30" i="94" s="1"/>
  <c r="IA30" i="94"/>
  <c r="IP30" i="94"/>
  <c r="GK30" i="94" s="1"/>
  <c r="JE30" i="94"/>
  <c r="GL30" i="94" s="1"/>
  <c r="JK30" i="94"/>
  <c r="LF30" i="94"/>
  <c r="LG30" i="94"/>
  <c r="LH30" i="94"/>
  <c r="LV30" i="94"/>
  <c r="MB30" i="94"/>
  <c r="MT30" i="94"/>
  <c r="OY30" i="94"/>
  <c r="PX30" i="94"/>
  <c r="PY30" i="94"/>
  <c r="QL30" i="94"/>
  <c r="QM30" i="94"/>
  <c r="QR30" i="94"/>
  <c r="QS30" i="94"/>
  <c r="QT30" i="94"/>
  <c r="QU30" i="94"/>
  <c r="QV30" i="94"/>
  <c r="QW30" i="94"/>
  <c r="QY30" i="94"/>
  <c r="QZ30" i="94"/>
  <c r="RA30" i="94"/>
  <c r="RB30" i="94"/>
  <c r="RC30" i="94"/>
  <c r="RD30" i="94"/>
  <c r="RO30" i="94"/>
  <c r="SE30" i="94"/>
  <c r="O31" i="94"/>
  <c r="P31" i="94"/>
  <c r="S31" i="94"/>
  <c r="T31" i="94"/>
  <c r="X31" i="94"/>
  <c r="AA31" i="94"/>
  <c r="AB31" i="94"/>
  <c r="AG31" i="94"/>
  <c r="AK31" i="94"/>
  <c r="AP31" i="94"/>
  <c r="AS31" i="94"/>
  <c r="AV31" i="94"/>
  <c r="AY31" i="94"/>
  <c r="BB31" i="94"/>
  <c r="BE31" i="94"/>
  <c r="BH31" i="94"/>
  <c r="BK31" i="94"/>
  <c r="BN31" i="94"/>
  <c r="BQ31" i="94"/>
  <c r="BT31" i="94"/>
  <c r="BW31" i="94"/>
  <c r="BZ31" i="94"/>
  <c r="CC31" i="94"/>
  <c r="CF31" i="94"/>
  <c r="CQ31" i="94"/>
  <c r="CR31" i="94"/>
  <c r="CS31" i="94"/>
  <c r="CT31" i="94"/>
  <c r="CU31" i="94"/>
  <c r="CV31" i="94"/>
  <c r="CW31" i="94"/>
  <c r="CX31" i="94"/>
  <c r="CY31" i="94"/>
  <c r="CZ31" i="94"/>
  <c r="DA31" i="94"/>
  <c r="DB31" i="94"/>
  <c r="DQ31" i="94"/>
  <c r="ED31" i="94"/>
  <c r="EQ31" i="94"/>
  <c r="EX31" i="94"/>
  <c r="FM31" i="94"/>
  <c r="FA31" i="94" s="1"/>
  <c r="FT31" i="94"/>
  <c r="FB31" i="94" s="1"/>
  <c r="GG31" i="94"/>
  <c r="FC31" i="94" s="1"/>
  <c r="GV31" i="94"/>
  <c r="RV31" i="94" s="1"/>
  <c r="HL31" i="94"/>
  <c r="GJ31" i="94" s="1"/>
  <c r="IA31" i="94"/>
  <c r="IP31" i="94"/>
  <c r="GK31" i="94" s="1"/>
  <c r="JE31" i="94"/>
  <c r="GL31" i="94" s="1"/>
  <c r="JK31" i="94"/>
  <c r="LF31" i="94"/>
  <c r="LG31" i="94"/>
  <c r="LH31" i="94"/>
  <c r="LV31" i="94"/>
  <c r="MB31" i="94"/>
  <c r="MT31" i="94"/>
  <c r="NI31" i="94"/>
  <c r="NI32" i="94" s="1"/>
  <c r="NI33" i="94" s="1"/>
  <c r="NI34" i="94" s="1"/>
  <c r="NI35" i="94" s="1"/>
  <c r="NI36" i="94" s="1"/>
  <c r="NI37" i="94" s="1"/>
  <c r="NI38" i="94" s="1"/>
  <c r="NI39" i="94" s="1"/>
  <c r="NI40" i="94" s="1"/>
  <c r="NI41" i="94" s="1"/>
  <c r="NI42" i="94" s="1"/>
  <c r="OY31" i="94"/>
  <c r="PX31" i="94"/>
  <c r="PY31" i="94"/>
  <c r="QL31" i="94"/>
  <c r="QM31" i="94"/>
  <c r="QR31" i="94"/>
  <c r="QS31" i="94"/>
  <c r="QT31" i="94"/>
  <c r="QU31" i="94"/>
  <c r="QV31" i="94"/>
  <c r="QW31" i="94"/>
  <c r="QY31" i="94"/>
  <c r="QZ31" i="94"/>
  <c r="RA31" i="94"/>
  <c r="RB31" i="94"/>
  <c r="RC31" i="94"/>
  <c r="RD31" i="94"/>
  <c r="RN31" i="94"/>
  <c r="RO31" i="94"/>
  <c r="SE31" i="94"/>
  <c r="O32" i="94"/>
  <c r="P32" i="94"/>
  <c r="S32" i="94"/>
  <c r="T32" i="94"/>
  <c r="X32" i="94"/>
  <c r="AA32" i="94"/>
  <c r="AB32" i="94"/>
  <c r="AG32" i="94"/>
  <c r="AK32" i="94"/>
  <c r="AP32" i="94"/>
  <c r="AS32" i="94"/>
  <c r="AV32" i="94"/>
  <c r="AY32" i="94"/>
  <c r="BB32" i="94"/>
  <c r="BE32" i="94"/>
  <c r="BH32" i="94"/>
  <c r="BK32" i="94"/>
  <c r="BN32" i="94"/>
  <c r="BQ32" i="94"/>
  <c r="BT32" i="94"/>
  <c r="BW32" i="94"/>
  <c r="BZ32" i="94"/>
  <c r="CC32" i="94"/>
  <c r="CF32" i="94"/>
  <c r="CQ32" i="94"/>
  <c r="CR32" i="94"/>
  <c r="CS32" i="94"/>
  <c r="CT32" i="94"/>
  <c r="CU32" i="94"/>
  <c r="CV32" i="94"/>
  <c r="CW32" i="94"/>
  <c r="CX32" i="94"/>
  <c r="CY32" i="94"/>
  <c r="CZ32" i="94"/>
  <c r="DA32" i="94"/>
  <c r="DB32" i="94"/>
  <c r="DQ32" i="94"/>
  <c r="ED32" i="94"/>
  <c r="EQ32" i="94"/>
  <c r="EX32" i="94"/>
  <c r="FM32" i="94"/>
  <c r="FA32" i="94" s="1"/>
  <c r="FT32" i="94"/>
  <c r="FB32" i="94" s="1"/>
  <c r="GG32" i="94"/>
  <c r="FC32" i="94" s="1"/>
  <c r="GV32" i="94"/>
  <c r="RV32" i="94" s="1"/>
  <c r="HL32" i="94"/>
  <c r="GJ32" i="94" s="1"/>
  <c r="IA32" i="94"/>
  <c r="IP32" i="94"/>
  <c r="GK32" i="94" s="1"/>
  <c r="JE32" i="94"/>
  <c r="GL32" i="94" s="1"/>
  <c r="JK32" i="94"/>
  <c r="LF32" i="94"/>
  <c r="LG32" i="94"/>
  <c r="LH32" i="94"/>
  <c r="LV32" i="94"/>
  <c r="MB32" i="94"/>
  <c r="MT32" i="94"/>
  <c r="OY32" i="94"/>
  <c r="PX32" i="94"/>
  <c r="PY32" i="94"/>
  <c r="QL32" i="94"/>
  <c r="QM32" i="94"/>
  <c r="QR32" i="94"/>
  <c r="QS32" i="94"/>
  <c r="QT32" i="94"/>
  <c r="QU32" i="94"/>
  <c r="QV32" i="94"/>
  <c r="QW32" i="94"/>
  <c r="QY32" i="94"/>
  <c r="QZ32" i="94"/>
  <c r="RA32" i="94"/>
  <c r="RB32" i="94"/>
  <c r="RC32" i="94"/>
  <c r="RD32" i="94"/>
  <c r="RN32" i="94"/>
  <c r="RO32" i="94"/>
  <c r="SE32" i="94"/>
  <c r="O33" i="94"/>
  <c r="P33" i="94"/>
  <c r="S33" i="94"/>
  <c r="T33" i="94"/>
  <c r="X33" i="94"/>
  <c r="AA33" i="94"/>
  <c r="AB33" i="94"/>
  <c r="AG33" i="94"/>
  <c r="AK33" i="94"/>
  <c r="AP33" i="94"/>
  <c r="AS33" i="94"/>
  <c r="AV33" i="94"/>
  <c r="AY33" i="94"/>
  <c r="BB33" i="94"/>
  <c r="BE33" i="94"/>
  <c r="BH33" i="94"/>
  <c r="BK33" i="94"/>
  <c r="BN33" i="94"/>
  <c r="BQ33" i="94"/>
  <c r="BT33" i="94"/>
  <c r="BW33" i="94"/>
  <c r="BZ33" i="94"/>
  <c r="CC33" i="94"/>
  <c r="CF33" i="94"/>
  <c r="CQ33" i="94"/>
  <c r="CR33" i="94"/>
  <c r="CS33" i="94"/>
  <c r="CT33" i="94"/>
  <c r="CU33" i="94"/>
  <c r="CV33" i="94"/>
  <c r="CW33" i="94"/>
  <c r="CX33" i="94"/>
  <c r="CY33" i="94"/>
  <c r="CZ33" i="94"/>
  <c r="DA33" i="94"/>
  <c r="DB33" i="94"/>
  <c r="DQ33" i="94"/>
  <c r="ED33" i="94"/>
  <c r="EQ33" i="94"/>
  <c r="EX33" i="94"/>
  <c r="FM33" i="94"/>
  <c r="FA33" i="94" s="1"/>
  <c r="FT33" i="94"/>
  <c r="FB33" i="94" s="1"/>
  <c r="GG33" i="94"/>
  <c r="FC33" i="94" s="1"/>
  <c r="GV33" i="94"/>
  <c r="RV33" i="94" s="1"/>
  <c r="HL33" i="94"/>
  <c r="GJ33" i="94" s="1"/>
  <c r="IA33" i="94"/>
  <c r="IP33" i="94"/>
  <c r="GK33" i="94" s="1"/>
  <c r="JE33" i="94"/>
  <c r="GL33" i="94" s="1"/>
  <c r="JK33" i="94"/>
  <c r="LF33" i="94"/>
  <c r="LG33" i="94"/>
  <c r="LH33" i="94"/>
  <c r="LV33" i="94"/>
  <c r="MB33" i="94"/>
  <c r="MT33" i="94"/>
  <c r="OY33" i="94"/>
  <c r="PX33" i="94"/>
  <c r="PY33" i="94"/>
  <c r="QL33" i="94"/>
  <c r="QM33" i="94"/>
  <c r="QR33" i="94"/>
  <c r="QS33" i="94"/>
  <c r="QT33" i="94"/>
  <c r="QU33" i="94"/>
  <c r="QV33" i="94"/>
  <c r="QW33" i="94"/>
  <c r="QY33" i="94"/>
  <c r="QZ33" i="94"/>
  <c r="RA33" i="94"/>
  <c r="RB33" i="94"/>
  <c r="RC33" i="94"/>
  <c r="RD33" i="94"/>
  <c r="RN33" i="94"/>
  <c r="RO33" i="94"/>
  <c r="SE33" i="94"/>
  <c r="O34" i="94"/>
  <c r="P34" i="94"/>
  <c r="S34" i="94"/>
  <c r="T34" i="94"/>
  <c r="X34" i="94"/>
  <c r="AA34" i="94"/>
  <c r="AB34" i="94"/>
  <c r="AG34" i="94"/>
  <c r="AK34" i="94"/>
  <c r="AP34" i="94"/>
  <c r="AS34" i="94"/>
  <c r="AV34" i="94"/>
  <c r="AY34" i="94"/>
  <c r="BB34" i="94"/>
  <c r="BE34" i="94"/>
  <c r="BH34" i="94"/>
  <c r="BK34" i="94"/>
  <c r="BN34" i="94"/>
  <c r="BQ34" i="94"/>
  <c r="BT34" i="94"/>
  <c r="BW34" i="94"/>
  <c r="BZ34" i="94"/>
  <c r="CC34" i="94"/>
  <c r="CF34" i="94"/>
  <c r="CQ34" i="94"/>
  <c r="CR34" i="94"/>
  <c r="CS34" i="94"/>
  <c r="CT34" i="94"/>
  <c r="CU34" i="94"/>
  <c r="CV34" i="94"/>
  <c r="CW34" i="94"/>
  <c r="CX34" i="94"/>
  <c r="CY34" i="94"/>
  <c r="CZ34" i="94"/>
  <c r="DA34" i="94"/>
  <c r="DB34" i="94"/>
  <c r="DQ34" i="94"/>
  <c r="ED34" i="94"/>
  <c r="EQ34" i="94"/>
  <c r="EX34" i="94"/>
  <c r="FM34" i="94"/>
  <c r="FA34" i="94" s="1"/>
  <c r="FT34" i="94"/>
  <c r="FB34" i="94" s="1"/>
  <c r="GG34" i="94"/>
  <c r="FC34" i="94" s="1"/>
  <c r="GV34" i="94"/>
  <c r="RV34" i="94" s="1"/>
  <c r="HL34" i="94"/>
  <c r="GJ34" i="94" s="1"/>
  <c r="IA34" i="94"/>
  <c r="IP34" i="94"/>
  <c r="GK34" i="94" s="1"/>
  <c r="JE34" i="94"/>
  <c r="GL34" i="94" s="1"/>
  <c r="JK34" i="94"/>
  <c r="LF34" i="94"/>
  <c r="LG34" i="94"/>
  <c r="LH34" i="94"/>
  <c r="LV34" i="94"/>
  <c r="MB34" i="94"/>
  <c r="MT34" i="94"/>
  <c r="OY34" i="94"/>
  <c r="PX34" i="94"/>
  <c r="PY34" i="94"/>
  <c r="QL34" i="94"/>
  <c r="QM34" i="94"/>
  <c r="QR34" i="94"/>
  <c r="QS34" i="94"/>
  <c r="QT34" i="94"/>
  <c r="QU34" i="94"/>
  <c r="QV34" i="94"/>
  <c r="QW34" i="94"/>
  <c r="QY34" i="94"/>
  <c r="QZ34" i="94"/>
  <c r="RA34" i="94"/>
  <c r="RB34" i="94"/>
  <c r="RC34" i="94"/>
  <c r="RD34" i="94"/>
  <c r="RN34" i="94"/>
  <c r="RO34" i="94"/>
  <c r="SE34" i="94"/>
  <c r="O35" i="94"/>
  <c r="P35" i="94"/>
  <c r="S35" i="94"/>
  <c r="T35" i="94"/>
  <c r="X35" i="94"/>
  <c r="AA35" i="94"/>
  <c r="AB35" i="94"/>
  <c r="AG35" i="94"/>
  <c r="AK35" i="94"/>
  <c r="AP35" i="94"/>
  <c r="AS35" i="94"/>
  <c r="AV35" i="94"/>
  <c r="AY35" i="94"/>
  <c r="BB35" i="94"/>
  <c r="BE35" i="94"/>
  <c r="BH35" i="94"/>
  <c r="BK35" i="94"/>
  <c r="BN35" i="94"/>
  <c r="BQ35" i="94"/>
  <c r="BT35" i="94"/>
  <c r="BW35" i="94"/>
  <c r="BZ35" i="94"/>
  <c r="CC35" i="94"/>
  <c r="CF35" i="94"/>
  <c r="CQ35" i="94"/>
  <c r="CR35" i="94"/>
  <c r="CS35" i="94"/>
  <c r="CT35" i="94"/>
  <c r="CU35" i="94"/>
  <c r="CV35" i="94"/>
  <c r="CW35" i="94"/>
  <c r="CX35" i="94"/>
  <c r="CY35" i="94"/>
  <c r="CZ35" i="94"/>
  <c r="DA35" i="94"/>
  <c r="DB35" i="94"/>
  <c r="DQ35" i="94"/>
  <c r="ED35" i="94"/>
  <c r="EQ35" i="94"/>
  <c r="EX35" i="94"/>
  <c r="FM35" i="94"/>
  <c r="FA35" i="94" s="1"/>
  <c r="FT35" i="94"/>
  <c r="FB35" i="94" s="1"/>
  <c r="GG35" i="94"/>
  <c r="FC35" i="94" s="1"/>
  <c r="GV35" i="94"/>
  <c r="RV35" i="94" s="1"/>
  <c r="HL35" i="94"/>
  <c r="GJ35" i="94" s="1"/>
  <c r="IA35" i="94"/>
  <c r="IP35" i="94"/>
  <c r="GK35" i="94" s="1"/>
  <c r="JE35" i="94"/>
  <c r="GL35" i="94" s="1"/>
  <c r="JK35" i="94"/>
  <c r="LF35" i="94"/>
  <c r="LG35" i="94"/>
  <c r="LH35" i="94"/>
  <c r="LV35" i="94"/>
  <c r="MB35" i="94"/>
  <c r="MT35" i="94"/>
  <c r="OY35" i="94"/>
  <c r="PX35" i="94"/>
  <c r="PY35" i="94"/>
  <c r="QL35" i="94"/>
  <c r="QM35" i="94"/>
  <c r="QR35" i="94"/>
  <c r="QS35" i="94"/>
  <c r="QT35" i="94"/>
  <c r="QU35" i="94"/>
  <c r="QV35" i="94"/>
  <c r="QW35" i="94"/>
  <c r="QY35" i="94"/>
  <c r="QZ35" i="94"/>
  <c r="RA35" i="94"/>
  <c r="RB35" i="94"/>
  <c r="RC35" i="94"/>
  <c r="RD35" i="94"/>
  <c r="RN35" i="94"/>
  <c r="RO35" i="94"/>
  <c r="SE35" i="94"/>
  <c r="O36" i="94"/>
  <c r="P36" i="94"/>
  <c r="S36" i="94"/>
  <c r="T36" i="94"/>
  <c r="X36" i="94"/>
  <c r="AA36" i="94"/>
  <c r="AB36" i="94"/>
  <c r="AG36" i="94"/>
  <c r="AK36" i="94"/>
  <c r="AP36" i="94"/>
  <c r="AS36" i="94"/>
  <c r="AV36" i="94"/>
  <c r="AY36" i="94"/>
  <c r="BB36" i="94"/>
  <c r="BE36" i="94"/>
  <c r="BH36" i="94"/>
  <c r="BK36" i="94"/>
  <c r="BN36" i="94"/>
  <c r="BQ36" i="94"/>
  <c r="BT36" i="94"/>
  <c r="BW36" i="94"/>
  <c r="BZ36" i="94"/>
  <c r="CC36" i="94"/>
  <c r="CF36" i="94"/>
  <c r="CQ36" i="94"/>
  <c r="CR36" i="94"/>
  <c r="CS36" i="94"/>
  <c r="CT36" i="94"/>
  <c r="CU36" i="94"/>
  <c r="CV36" i="94"/>
  <c r="CW36" i="94"/>
  <c r="CX36" i="94"/>
  <c r="CY36" i="94"/>
  <c r="CZ36" i="94"/>
  <c r="DA36" i="94"/>
  <c r="DB36" i="94"/>
  <c r="DQ36" i="94"/>
  <c r="ED36" i="94"/>
  <c r="EQ36" i="94"/>
  <c r="EX36" i="94"/>
  <c r="FM36" i="94"/>
  <c r="FA36" i="94" s="1"/>
  <c r="FT36" i="94"/>
  <c r="FB36" i="94" s="1"/>
  <c r="GG36" i="94"/>
  <c r="FC36" i="94" s="1"/>
  <c r="GV36" i="94"/>
  <c r="RV36" i="94" s="1"/>
  <c r="HL36" i="94"/>
  <c r="GJ36" i="94" s="1"/>
  <c r="IA36" i="94"/>
  <c r="IP36" i="94"/>
  <c r="GK36" i="94" s="1"/>
  <c r="JE36" i="94"/>
  <c r="GL36" i="94" s="1"/>
  <c r="JK36" i="94"/>
  <c r="LF36" i="94"/>
  <c r="LG36" i="94"/>
  <c r="LH36" i="94"/>
  <c r="LV36" i="94"/>
  <c r="MB36" i="94"/>
  <c r="MT36" i="94"/>
  <c r="OY36" i="94"/>
  <c r="SE36" i="94"/>
  <c r="PX36" i="94"/>
  <c r="PY36" i="94"/>
  <c r="QL36" i="94"/>
  <c r="QM36" i="94"/>
  <c r="QR36" i="94"/>
  <c r="QS36" i="94"/>
  <c r="QT36" i="94"/>
  <c r="QU36" i="94"/>
  <c r="QV36" i="94"/>
  <c r="QW36" i="94"/>
  <c r="QY36" i="94"/>
  <c r="QZ36" i="94"/>
  <c r="RA36" i="94"/>
  <c r="RB36" i="94"/>
  <c r="RC36" i="94"/>
  <c r="RD36" i="94"/>
  <c r="RN36" i="94"/>
  <c r="RO36" i="94"/>
  <c r="O37" i="94"/>
  <c r="P37" i="94"/>
  <c r="S37" i="94"/>
  <c r="T37" i="94"/>
  <c r="X37" i="94"/>
  <c r="Y37" i="94" s="1"/>
  <c r="AA37" i="94"/>
  <c r="AB37" i="94"/>
  <c r="AG37" i="94"/>
  <c r="AK37" i="94"/>
  <c r="AP37" i="94"/>
  <c r="AS37" i="94"/>
  <c r="AV37" i="94"/>
  <c r="AY37" i="94"/>
  <c r="BB37" i="94"/>
  <c r="BE37" i="94"/>
  <c r="BH37" i="94"/>
  <c r="BK37" i="94"/>
  <c r="BN37" i="94"/>
  <c r="BQ37" i="94"/>
  <c r="BT37" i="94"/>
  <c r="BW37" i="94"/>
  <c r="BZ37" i="94"/>
  <c r="CC37" i="94"/>
  <c r="CF37" i="94"/>
  <c r="CQ37" i="94"/>
  <c r="CR37" i="94"/>
  <c r="CS37" i="94"/>
  <c r="CT37" i="94"/>
  <c r="CU37" i="94"/>
  <c r="CV37" i="94"/>
  <c r="CW37" i="94"/>
  <c r="CX37" i="94"/>
  <c r="CY37" i="94"/>
  <c r="CZ37" i="94"/>
  <c r="DA37" i="94"/>
  <c r="DB37" i="94"/>
  <c r="DQ37" i="94"/>
  <c r="ED37" i="94"/>
  <c r="EQ37" i="94"/>
  <c r="EX37" i="94"/>
  <c r="FM37" i="94"/>
  <c r="FA37" i="94" s="1"/>
  <c r="FT37" i="94"/>
  <c r="FB37" i="94" s="1"/>
  <c r="GG37" i="94"/>
  <c r="FC37" i="94" s="1"/>
  <c r="GV37" i="94"/>
  <c r="RV37" i="94" s="1"/>
  <c r="HL37" i="94"/>
  <c r="GJ37" i="94" s="1"/>
  <c r="IA37" i="94"/>
  <c r="IP37" i="94"/>
  <c r="GK37" i="94" s="1"/>
  <c r="JE37" i="94"/>
  <c r="GL37" i="94" s="1"/>
  <c r="JK37" i="94"/>
  <c r="LF37" i="94"/>
  <c r="LG37" i="94"/>
  <c r="LH37" i="94"/>
  <c r="LV37" i="94"/>
  <c r="MB37" i="94"/>
  <c r="MT37" i="94"/>
  <c r="OY37" i="94"/>
  <c r="PX37" i="94"/>
  <c r="PY37" i="94"/>
  <c r="QL37" i="94"/>
  <c r="QM37" i="94"/>
  <c r="QR37" i="94"/>
  <c r="QS37" i="94"/>
  <c r="QT37" i="94"/>
  <c r="QU37" i="94"/>
  <c r="QV37" i="94"/>
  <c r="QW37" i="94"/>
  <c r="QY37" i="94"/>
  <c r="QZ37" i="94"/>
  <c r="RA37" i="94"/>
  <c r="RB37" i="94"/>
  <c r="RC37" i="94"/>
  <c r="RD37" i="94"/>
  <c r="RN37" i="94"/>
  <c r="RO37" i="94"/>
  <c r="SE37" i="94"/>
  <c r="O38" i="94"/>
  <c r="P38" i="94"/>
  <c r="S38" i="94"/>
  <c r="T38" i="94"/>
  <c r="X38" i="94"/>
  <c r="AA38" i="94"/>
  <c r="AB38" i="94"/>
  <c r="AG38" i="94"/>
  <c r="AK38" i="94"/>
  <c r="AP38" i="94"/>
  <c r="AS38" i="94"/>
  <c r="AV38" i="94"/>
  <c r="AY38" i="94"/>
  <c r="BB38" i="94"/>
  <c r="BE38" i="94"/>
  <c r="BH38" i="94"/>
  <c r="BN38" i="94"/>
  <c r="BQ38" i="94"/>
  <c r="BT38" i="94"/>
  <c r="BW38" i="94"/>
  <c r="BZ38" i="94"/>
  <c r="CC38" i="94"/>
  <c r="CF38" i="94"/>
  <c r="CQ38" i="94"/>
  <c r="CR38" i="94"/>
  <c r="CS38" i="94"/>
  <c r="CT38" i="94"/>
  <c r="CU38" i="94"/>
  <c r="CV38" i="94"/>
  <c r="CW38" i="94"/>
  <c r="CX38" i="94"/>
  <c r="CY38" i="94"/>
  <c r="CZ38" i="94"/>
  <c r="DA38" i="94"/>
  <c r="DB38" i="94"/>
  <c r="DQ38" i="94"/>
  <c r="ED38" i="94"/>
  <c r="EQ38" i="94"/>
  <c r="EX38" i="94"/>
  <c r="FM38" i="94"/>
  <c r="FA38" i="94" s="1"/>
  <c r="FT38" i="94"/>
  <c r="FB38" i="94" s="1"/>
  <c r="GG38" i="94"/>
  <c r="FC38" i="94" s="1"/>
  <c r="GV38" i="94"/>
  <c r="RV38" i="94" s="1"/>
  <c r="HL38" i="94"/>
  <c r="GJ38" i="94" s="1"/>
  <c r="IA38" i="94"/>
  <c r="IP38" i="94"/>
  <c r="GK38" i="94" s="1"/>
  <c r="JE38" i="94"/>
  <c r="GL38" i="94" s="1"/>
  <c r="JK38" i="94"/>
  <c r="LF38" i="94"/>
  <c r="LG38" i="94"/>
  <c r="LH38" i="94"/>
  <c r="LV38" i="94"/>
  <c r="MB38" i="94"/>
  <c r="MT38" i="94"/>
  <c r="OY38" i="94"/>
  <c r="SE38" i="94"/>
  <c r="PX38" i="94"/>
  <c r="PY38" i="94"/>
  <c r="QL38" i="94"/>
  <c r="QM38" i="94"/>
  <c r="QR38" i="94"/>
  <c r="QS38" i="94"/>
  <c r="QT38" i="94"/>
  <c r="QU38" i="94"/>
  <c r="QV38" i="94"/>
  <c r="QW38" i="94"/>
  <c r="QY38" i="94"/>
  <c r="QZ38" i="94"/>
  <c r="RA38" i="94"/>
  <c r="RB38" i="94"/>
  <c r="RC38" i="94"/>
  <c r="RD38" i="94"/>
  <c r="RN38" i="94"/>
  <c r="RO38" i="94"/>
  <c r="O39" i="94"/>
  <c r="P39" i="94"/>
  <c r="S39" i="94"/>
  <c r="T39" i="94"/>
  <c r="X39" i="94"/>
  <c r="AA39" i="94"/>
  <c r="AB39" i="94"/>
  <c r="AG39" i="94"/>
  <c r="AK39" i="94"/>
  <c r="AP39" i="94"/>
  <c r="AS39" i="94"/>
  <c r="AV39" i="94"/>
  <c r="AY39" i="94"/>
  <c r="BB39" i="94"/>
  <c r="BE39" i="94"/>
  <c r="BH39" i="94"/>
  <c r="BK39" i="94"/>
  <c r="BN39" i="94"/>
  <c r="BQ39" i="94"/>
  <c r="BT39" i="94"/>
  <c r="BW39" i="94"/>
  <c r="BZ39" i="94"/>
  <c r="CC39" i="94"/>
  <c r="CF39" i="94"/>
  <c r="CQ39" i="94"/>
  <c r="CR39" i="94"/>
  <c r="CS39" i="94"/>
  <c r="CT39" i="94"/>
  <c r="CU39" i="94"/>
  <c r="CV39" i="94"/>
  <c r="CW39" i="94"/>
  <c r="CX39" i="94"/>
  <c r="CY39" i="94"/>
  <c r="CZ39" i="94"/>
  <c r="DA39" i="94"/>
  <c r="DB39" i="94"/>
  <c r="DQ39" i="94"/>
  <c r="ED39" i="94"/>
  <c r="EQ39" i="94"/>
  <c r="EX39" i="94"/>
  <c r="FM39" i="94"/>
  <c r="FA39" i="94" s="1"/>
  <c r="FT39" i="94"/>
  <c r="FB39" i="94" s="1"/>
  <c r="GG39" i="94"/>
  <c r="FC39" i="94" s="1"/>
  <c r="GV39" i="94"/>
  <c r="RV39" i="94" s="1"/>
  <c r="HL39" i="94"/>
  <c r="GJ39" i="94" s="1"/>
  <c r="IA39" i="94"/>
  <c r="IP39" i="94"/>
  <c r="GK39" i="94" s="1"/>
  <c r="JE39" i="94"/>
  <c r="GL39" i="94" s="1"/>
  <c r="JK39" i="94"/>
  <c r="LF39" i="94"/>
  <c r="LG39" i="94"/>
  <c r="LH39" i="94"/>
  <c r="LV39" i="94"/>
  <c r="MB39" i="94"/>
  <c r="MT39" i="94"/>
  <c r="OY39" i="94"/>
  <c r="SE39" i="94"/>
  <c r="PX39" i="94"/>
  <c r="PY39" i="94"/>
  <c r="QL39" i="94"/>
  <c r="QM39" i="94"/>
  <c r="QR39" i="94"/>
  <c r="QS39" i="94"/>
  <c r="QT39" i="94"/>
  <c r="QU39" i="94"/>
  <c r="QV39" i="94"/>
  <c r="QW39" i="94"/>
  <c r="QY39" i="94"/>
  <c r="QZ39" i="94"/>
  <c r="RA39" i="94"/>
  <c r="RB39" i="94"/>
  <c r="RC39" i="94"/>
  <c r="RD39" i="94"/>
  <c r="RN39" i="94"/>
  <c r="RO39" i="94"/>
  <c r="O40" i="94"/>
  <c r="P40" i="94"/>
  <c r="S40" i="94"/>
  <c r="T40" i="94"/>
  <c r="X40" i="94"/>
  <c r="Y40" i="94" s="1"/>
  <c r="AA40" i="94"/>
  <c r="AB40" i="94"/>
  <c r="AG40" i="94"/>
  <c r="AK40" i="94"/>
  <c r="AP40" i="94"/>
  <c r="AS40" i="94"/>
  <c r="AV40" i="94"/>
  <c r="AY40" i="94"/>
  <c r="BB40" i="94"/>
  <c r="BE40" i="94"/>
  <c r="BH40" i="94"/>
  <c r="BK40" i="94"/>
  <c r="BN40" i="94"/>
  <c r="BQ40" i="94"/>
  <c r="BT40" i="94"/>
  <c r="BW40" i="94"/>
  <c r="BZ40" i="94"/>
  <c r="CC40" i="94"/>
  <c r="CF40" i="94"/>
  <c r="CQ40" i="94"/>
  <c r="CR40" i="94"/>
  <c r="CS40" i="94"/>
  <c r="CT40" i="94"/>
  <c r="CU40" i="94"/>
  <c r="CV40" i="94"/>
  <c r="CW40" i="94"/>
  <c r="CX40" i="94"/>
  <c r="CY40" i="94"/>
  <c r="CZ40" i="94"/>
  <c r="DA40" i="94"/>
  <c r="DB40" i="94"/>
  <c r="DQ40" i="94"/>
  <c r="ED40" i="94"/>
  <c r="EQ40" i="94"/>
  <c r="EX40" i="94"/>
  <c r="FM40" i="94"/>
  <c r="FA40" i="94" s="1"/>
  <c r="FT40" i="94"/>
  <c r="FB40" i="94" s="1"/>
  <c r="GG40" i="94"/>
  <c r="FC40" i="94" s="1"/>
  <c r="GV40" i="94"/>
  <c r="RV40" i="94" s="1"/>
  <c r="HL40" i="94"/>
  <c r="GJ40" i="94" s="1"/>
  <c r="IA40" i="94"/>
  <c r="IP40" i="94"/>
  <c r="GK40" i="94" s="1"/>
  <c r="JE40" i="94"/>
  <c r="GL40" i="94" s="1"/>
  <c r="JK40" i="94"/>
  <c r="LF40" i="94"/>
  <c r="LG40" i="94"/>
  <c r="LH40" i="94"/>
  <c r="LV40" i="94"/>
  <c r="MB40" i="94"/>
  <c r="MT40" i="94"/>
  <c r="OY40" i="94"/>
  <c r="OY41" i="94" s="1"/>
  <c r="OY42" i="94" s="1"/>
  <c r="OY44" i="94" s="1"/>
  <c r="PX40" i="94"/>
  <c r="PY40" i="94"/>
  <c r="QL40" i="94"/>
  <c r="QM40" i="94"/>
  <c r="QR40" i="94"/>
  <c r="QS40" i="94"/>
  <c r="QT40" i="94"/>
  <c r="QU40" i="94"/>
  <c r="QV40" i="94"/>
  <c r="QW40" i="94"/>
  <c r="QY40" i="94"/>
  <c r="QZ40" i="94"/>
  <c r="RA40" i="94"/>
  <c r="RB40" i="94"/>
  <c r="RC40" i="94"/>
  <c r="RD40" i="94"/>
  <c r="RN40" i="94"/>
  <c r="RO40" i="94"/>
  <c r="SE40" i="94"/>
  <c r="H41" i="94"/>
  <c r="H42" i="94" s="1"/>
  <c r="I41" i="94"/>
  <c r="I42" i="94" s="1"/>
  <c r="AU132" i="2" s="1"/>
  <c r="J41" i="94"/>
  <c r="J42" i="94" s="1"/>
  <c r="K41" i="94"/>
  <c r="K42" i="94" s="1"/>
  <c r="L41" i="94"/>
  <c r="L42" i="94" s="1"/>
  <c r="AU134" i="2" s="1"/>
  <c r="M41" i="94"/>
  <c r="M42" i="94" s="1"/>
  <c r="N41" i="94"/>
  <c r="N42" i="94" s="1"/>
  <c r="R41" i="94"/>
  <c r="R42" i="94" s="1"/>
  <c r="R44" i="94" s="1"/>
  <c r="V41" i="94"/>
  <c r="V42" i="94" s="1"/>
  <c r="V44" i="94" s="1"/>
  <c r="Z41" i="94"/>
  <c r="Z42" i="94" s="1"/>
  <c r="Z44" i="94" s="1"/>
  <c r="AE41" i="94"/>
  <c r="AE42" i="94" s="1"/>
  <c r="AF41" i="94"/>
  <c r="AF42" i="94" s="1"/>
  <c r="AH41" i="94"/>
  <c r="AH42" i="94" s="1"/>
  <c r="AH44" i="94" s="1"/>
  <c r="AI41" i="94"/>
  <c r="AJ41" i="94"/>
  <c r="AL41" i="94"/>
  <c r="AL42" i="94" s="1"/>
  <c r="AL44" i="94" s="1"/>
  <c r="AM41" i="94"/>
  <c r="AM42" i="94" s="1"/>
  <c r="AM44" i="94" s="1"/>
  <c r="AN41" i="94"/>
  <c r="AO41" i="94"/>
  <c r="AO42" i="94" s="1"/>
  <c r="AO44" i="94" s="1"/>
  <c r="AQ41" i="94"/>
  <c r="AR41" i="94"/>
  <c r="AR42" i="94" s="1"/>
  <c r="AR44" i="94" s="1"/>
  <c r="AT41" i="94"/>
  <c r="AT42" i="94" s="1"/>
  <c r="AT44" i="94" s="1"/>
  <c r="AU41" i="94"/>
  <c r="AW41" i="94"/>
  <c r="AX41" i="94"/>
  <c r="AX42" i="94" s="1"/>
  <c r="AZ41" i="94"/>
  <c r="BA41" i="94"/>
  <c r="BA42" i="94" s="1"/>
  <c r="BA44" i="94" s="1"/>
  <c r="BC41" i="94"/>
  <c r="BC44" i="94" s="1"/>
  <c r="BD41" i="94"/>
  <c r="BD42" i="94" s="1"/>
  <c r="BD44" i="94" s="1"/>
  <c r="BF41" i="94"/>
  <c r="BF42" i="94" s="1"/>
  <c r="BG41" i="94"/>
  <c r="BG42" i="94" s="1"/>
  <c r="BI41" i="94"/>
  <c r="BI42" i="94" s="1"/>
  <c r="BI44" i="94" s="1"/>
  <c r="BJ41" i="94"/>
  <c r="BJ42" i="94" s="1"/>
  <c r="BJ44" i="94" s="1"/>
  <c r="BL41" i="94"/>
  <c r="BM41" i="94"/>
  <c r="BO41" i="94"/>
  <c r="BP41" i="94"/>
  <c r="BR41" i="94"/>
  <c r="BR42" i="94" s="1"/>
  <c r="BR44" i="94" s="1"/>
  <c r="BS41" i="94"/>
  <c r="BS42" i="94" s="1"/>
  <c r="BS44" i="94" s="1"/>
  <c r="BU41" i="94"/>
  <c r="BV41" i="94"/>
  <c r="BX41" i="94"/>
  <c r="BX42" i="94" s="1"/>
  <c r="BX48" i="94" s="1"/>
  <c r="BY41" i="94"/>
  <c r="BY42" i="94" s="1"/>
  <c r="BY44" i="94" s="1"/>
  <c r="CA41" i="94"/>
  <c r="CB41" i="94"/>
  <c r="CB42" i="94" s="1"/>
  <c r="CD41" i="94"/>
  <c r="CE41" i="94"/>
  <c r="CE42" i="94" s="1"/>
  <c r="CE44" i="94" s="1"/>
  <c r="CG41" i="94"/>
  <c r="CG42" i="94" s="1"/>
  <c r="CG44" i="94" s="1"/>
  <c r="CH41" i="94"/>
  <c r="CI41" i="94"/>
  <c r="CJ42" i="94"/>
  <c r="CK41" i="94"/>
  <c r="CL41" i="94"/>
  <c r="CL42" i="94" s="1"/>
  <c r="CL44" i="94" s="1"/>
  <c r="CM41" i="94"/>
  <c r="CN41" i="94"/>
  <c r="CN42" i="94" s="1"/>
  <c r="CN44" i="94" s="1"/>
  <c r="CO41" i="94"/>
  <c r="CP41" i="94"/>
  <c r="CP42" i="94" s="1"/>
  <c r="CP44" i="94" s="1"/>
  <c r="DD41" i="94"/>
  <c r="DD42" i="94" s="1"/>
  <c r="DD44" i="94" s="1"/>
  <c r="DE41" i="94"/>
  <c r="DE42" i="94" s="1"/>
  <c r="DE44" i="94" s="1"/>
  <c r="DG41" i="94"/>
  <c r="DG42" i="94" s="1"/>
  <c r="DG44" i="94" s="1"/>
  <c r="DI41" i="94"/>
  <c r="DI42" i="94" s="1"/>
  <c r="DI44" i="94" s="1"/>
  <c r="DK41" i="94"/>
  <c r="DK42" i="94" s="1"/>
  <c r="DK44" i="94" s="1"/>
  <c r="DM41" i="94"/>
  <c r="DM42" i="94" s="1"/>
  <c r="DM44" i="94" s="1"/>
  <c r="DN41" i="94"/>
  <c r="DN42" i="94" s="1"/>
  <c r="DO41" i="94"/>
  <c r="DO42" i="94" s="1"/>
  <c r="DO44" i="94" s="1"/>
  <c r="DP41" i="94"/>
  <c r="DP42" i="94" s="1"/>
  <c r="DR41" i="94"/>
  <c r="DR42" i="94" s="1"/>
  <c r="DR44" i="94" s="1"/>
  <c r="DT41" i="94"/>
  <c r="DT42" i="94" s="1"/>
  <c r="DT44" i="94" s="1"/>
  <c r="DV41" i="94"/>
  <c r="DV42" i="94" s="1"/>
  <c r="DV44" i="94" s="1"/>
  <c r="DX41" i="94"/>
  <c r="DX42" i="94" s="1"/>
  <c r="DX44" i="94" s="1"/>
  <c r="DZ41" i="94"/>
  <c r="DZ42" i="94" s="1"/>
  <c r="DZ44" i="94" s="1"/>
  <c r="EB41" i="94"/>
  <c r="EB42" i="94" s="1"/>
  <c r="EB44" i="94" s="1"/>
  <c r="EE41" i="94"/>
  <c r="EF41" i="94"/>
  <c r="EF42" i="94" s="1"/>
  <c r="EG41" i="94"/>
  <c r="EG42" i="94" s="1"/>
  <c r="EH41" i="94"/>
  <c r="EI41" i="94"/>
  <c r="EI42" i="94" s="1"/>
  <c r="EI44" i="94" s="1"/>
  <c r="EK41" i="94"/>
  <c r="EK42" i="94" s="1"/>
  <c r="EK44" i="94" s="1"/>
  <c r="EL41" i="94"/>
  <c r="EL42" i="94" s="1"/>
  <c r="EM41" i="94"/>
  <c r="EM42" i="94" s="1"/>
  <c r="EM44" i="94" s="1"/>
  <c r="EO41" i="94"/>
  <c r="EO42" i="94" s="1"/>
  <c r="EO44" i="94" s="1"/>
  <c r="ER41" i="94"/>
  <c r="ER42" i="94" s="1"/>
  <c r="ER44" i="94" s="1"/>
  <c r="ES41" i="94"/>
  <c r="ES42" i="94" s="1"/>
  <c r="ES44" i="94" s="1"/>
  <c r="ET41" i="94"/>
  <c r="ET42" i="94" s="1"/>
  <c r="ET44" i="94" s="1"/>
  <c r="EU41" i="94"/>
  <c r="EU42" i="94" s="1"/>
  <c r="EU44" i="94" s="1"/>
  <c r="EV41" i="94"/>
  <c r="EV42" i="94" s="1"/>
  <c r="EV44" i="94" s="1"/>
  <c r="EW41" i="94"/>
  <c r="EW42" i="94" s="1"/>
  <c r="EW44" i="94" s="1"/>
  <c r="EY41" i="94"/>
  <c r="EY42" i="94" s="1"/>
  <c r="EY44" i="94" s="1"/>
  <c r="EZ41" i="94"/>
  <c r="EZ42" i="94" s="1"/>
  <c r="EZ44" i="94" s="1"/>
  <c r="FE41" i="94"/>
  <c r="FE42" i="94" s="1"/>
  <c r="FE44" i="94" s="1"/>
  <c r="FF41" i="94"/>
  <c r="FF42" i="94" s="1"/>
  <c r="FF44" i="94" s="1"/>
  <c r="FG41" i="94"/>
  <c r="FG42" i="94" s="1"/>
  <c r="FG44" i="94" s="1"/>
  <c r="FH41" i="94"/>
  <c r="FH42" i="94" s="1"/>
  <c r="FH44" i="94" s="1"/>
  <c r="FI41" i="94"/>
  <c r="FI42" i="94" s="1"/>
  <c r="FI44" i="94" s="1"/>
  <c r="FJ41" i="94"/>
  <c r="FJ42" i="94" s="1"/>
  <c r="FJ44" i="94" s="1"/>
  <c r="FK41" i="94"/>
  <c r="FK42" i="94" s="1"/>
  <c r="FK44" i="94" s="1"/>
  <c r="FL41" i="94"/>
  <c r="FL42" i="94" s="1"/>
  <c r="FL44" i="94" s="1"/>
  <c r="FN41" i="94"/>
  <c r="FN42" i="94" s="1"/>
  <c r="FN44" i="94" s="1"/>
  <c r="FO41" i="94"/>
  <c r="FO42" i="94" s="1"/>
  <c r="FO44" i="94" s="1"/>
  <c r="FP41" i="94"/>
  <c r="FP42" i="94" s="1"/>
  <c r="FP44" i="94" s="1"/>
  <c r="FQ41" i="94"/>
  <c r="FQ42" i="94" s="1"/>
  <c r="FQ44" i="94" s="1"/>
  <c r="FR41" i="94"/>
  <c r="FR42" i="94" s="1"/>
  <c r="FR44" i="94" s="1"/>
  <c r="FS41" i="94"/>
  <c r="FS42" i="94" s="1"/>
  <c r="FS44" i="94" s="1"/>
  <c r="FU41" i="94"/>
  <c r="FU42" i="94" s="1"/>
  <c r="FU44" i="94" s="1"/>
  <c r="FW41" i="94"/>
  <c r="FW42" i="94" s="1"/>
  <c r="FW44" i="94" s="1"/>
  <c r="FY41" i="94"/>
  <c r="FY42" i="94" s="1"/>
  <c r="FY44" i="94" s="1"/>
  <c r="GA41" i="94"/>
  <c r="GA42" i="94" s="1"/>
  <c r="GA44" i="94" s="1"/>
  <c r="GC41" i="94"/>
  <c r="GC42" i="94" s="1"/>
  <c r="GC44" i="94" s="1"/>
  <c r="GE41" i="94"/>
  <c r="GE42" i="94" s="1"/>
  <c r="GE44" i="94" s="1"/>
  <c r="GH41" i="94"/>
  <c r="GH42" i="94" s="1"/>
  <c r="GH44" i="94" s="1"/>
  <c r="GI41" i="94"/>
  <c r="GI42" i="94" s="1"/>
  <c r="GI44" i="94" s="1"/>
  <c r="GN41" i="94"/>
  <c r="GN42" i="94" s="1"/>
  <c r="GN44" i="94" s="1"/>
  <c r="GO41" i="94"/>
  <c r="GO42" i="94" s="1"/>
  <c r="GO44" i="94" s="1"/>
  <c r="GP41" i="94"/>
  <c r="GP42" i="94" s="1"/>
  <c r="GP44" i="94" s="1"/>
  <c r="GQ41" i="94"/>
  <c r="GQ42" i="94" s="1"/>
  <c r="GQ44" i="94" s="1"/>
  <c r="GR41" i="94"/>
  <c r="GR42" i="94" s="1"/>
  <c r="GR44" i="94" s="1"/>
  <c r="GS41" i="94"/>
  <c r="GS42" i="94" s="1"/>
  <c r="GS44" i="94" s="1"/>
  <c r="GT41" i="94"/>
  <c r="GT42" i="94" s="1"/>
  <c r="GT44" i="94" s="1"/>
  <c r="GU41" i="94"/>
  <c r="GU42" i="94" s="1"/>
  <c r="GU44" i="94" s="1"/>
  <c r="GW41" i="94"/>
  <c r="GW42" i="94" s="1"/>
  <c r="GW44" i="94" s="1"/>
  <c r="GX41" i="94"/>
  <c r="GX42" i="94" s="1"/>
  <c r="GY41" i="94"/>
  <c r="GY42" i="94" s="1"/>
  <c r="GZ41" i="94"/>
  <c r="GZ42" i="94" s="1"/>
  <c r="HA41" i="94"/>
  <c r="HA42" i="94" s="1"/>
  <c r="HB41" i="94"/>
  <c r="HB42" i="94" s="1"/>
  <c r="HB44" i="94" s="1"/>
  <c r="HC41" i="94"/>
  <c r="HC42" i="94" s="1"/>
  <c r="HD41" i="94"/>
  <c r="HD42" i="94" s="1"/>
  <c r="HD44" i="94" s="1"/>
  <c r="HE41" i="94"/>
  <c r="HE42" i="94" s="1"/>
  <c r="HF41" i="94"/>
  <c r="HG41" i="94"/>
  <c r="HG42" i="94" s="1"/>
  <c r="HH41" i="94"/>
  <c r="HH42" i="94" s="1"/>
  <c r="HI41" i="94"/>
  <c r="HI42" i="94" s="1"/>
  <c r="HJ41" i="94"/>
  <c r="HK41" i="94"/>
  <c r="HK42" i="94" s="1"/>
  <c r="HK44" i="94" s="1"/>
  <c r="HM41" i="94"/>
  <c r="HM42" i="94" s="1"/>
  <c r="HN41" i="94"/>
  <c r="HN42" i="94" s="1"/>
  <c r="HO41" i="94"/>
  <c r="HO42" i="94" s="1"/>
  <c r="HP41" i="94"/>
  <c r="HP42" i="94" s="1"/>
  <c r="HQ41" i="94"/>
  <c r="HQ42" i="94" s="1"/>
  <c r="HR41" i="94"/>
  <c r="HR42" i="94" s="1"/>
  <c r="HS41" i="94"/>
  <c r="HS42" i="94" s="1"/>
  <c r="HT41" i="94"/>
  <c r="HT42" i="94" s="1"/>
  <c r="HU41" i="94"/>
  <c r="HU42" i="94" s="1"/>
  <c r="HV41" i="94"/>
  <c r="HV42" i="94" s="1"/>
  <c r="HW41" i="94"/>
  <c r="HW42" i="94" s="1"/>
  <c r="HX41" i="94"/>
  <c r="HX42" i="94" s="1"/>
  <c r="HY41" i="94"/>
  <c r="HY42" i="94" s="1"/>
  <c r="HZ41" i="94"/>
  <c r="HZ42" i="94" s="1"/>
  <c r="IB41" i="94"/>
  <c r="IB42" i="94" s="1"/>
  <c r="IC41" i="94"/>
  <c r="IC42" i="94" s="1"/>
  <c r="ID41" i="94"/>
  <c r="ID42" i="94" s="1"/>
  <c r="ID44" i="94" s="1"/>
  <c r="IE41" i="94"/>
  <c r="IE42" i="94" s="1"/>
  <c r="IF41" i="94"/>
  <c r="IF42" i="94" s="1"/>
  <c r="IG41" i="94"/>
  <c r="IG42" i="94" s="1"/>
  <c r="IH41" i="94"/>
  <c r="IH42" i="94" s="1"/>
  <c r="II41" i="94"/>
  <c r="II42" i="94" s="1"/>
  <c r="IJ41" i="94"/>
  <c r="IJ42" i="94" s="1"/>
  <c r="IK41" i="94"/>
  <c r="IK42" i="94" s="1"/>
  <c r="IL41" i="94"/>
  <c r="IL42" i="94" s="1"/>
  <c r="IM41" i="94"/>
  <c r="IM42" i="94" s="1"/>
  <c r="IN41" i="94"/>
  <c r="IN42" i="94" s="1"/>
  <c r="IN44" i="94" s="1"/>
  <c r="IO41" i="94"/>
  <c r="IQ41" i="94"/>
  <c r="IQ42" i="94" s="1"/>
  <c r="IR41" i="94"/>
  <c r="IR42" i="94" s="1"/>
  <c r="IS41" i="94"/>
  <c r="IS42" i="94" s="1"/>
  <c r="IT41" i="94"/>
  <c r="IT42" i="94" s="1"/>
  <c r="IU41" i="94"/>
  <c r="IU42" i="94" s="1"/>
  <c r="IV41" i="94"/>
  <c r="IV42" i="94" s="1"/>
  <c r="IW41" i="94"/>
  <c r="IW42" i="94" s="1"/>
  <c r="IX41" i="94"/>
  <c r="IX42" i="94" s="1"/>
  <c r="IY41" i="94"/>
  <c r="IY42" i="94" s="1"/>
  <c r="IZ41" i="94"/>
  <c r="IZ42" i="94" s="1"/>
  <c r="JA41" i="94"/>
  <c r="JA42" i="94" s="1"/>
  <c r="JB41" i="94"/>
  <c r="JB42" i="94" s="1"/>
  <c r="JC41" i="94"/>
  <c r="JC42" i="94" s="1"/>
  <c r="JC44" i="94" s="1"/>
  <c r="JD41" i="94"/>
  <c r="JD42" i="94" s="1"/>
  <c r="JD44" i="94" s="1"/>
  <c r="JF41" i="94"/>
  <c r="JF42" i="94" s="1"/>
  <c r="JF44" i="94" s="1"/>
  <c r="JG41" i="94"/>
  <c r="JG42" i="94" s="1"/>
  <c r="JG44" i="94" s="1"/>
  <c r="JI41" i="94"/>
  <c r="JI301" i="94" s="1"/>
  <c r="JJ41" i="94"/>
  <c r="JJ42" i="94" s="1"/>
  <c r="AU70" i="2" s="1"/>
  <c r="JL41" i="94"/>
  <c r="JL42" i="94" s="1"/>
  <c r="JL44" i="94" s="1"/>
  <c r="JM41" i="94"/>
  <c r="JM42" i="94" s="1"/>
  <c r="JM44" i="94" s="1"/>
  <c r="JN41" i="94"/>
  <c r="JN42" i="94" s="1"/>
  <c r="JN44" i="94" s="1"/>
  <c r="JO41" i="94"/>
  <c r="JO42" i="94" s="1"/>
  <c r="JO44" i="94" s="1"/>
  <c r="JP41" i="94"/>
  <c r="JP42" i="94" s="1"/>
  <c r="JP44" i="94" s="1"/>
  <c r="JQ41" i="94"/>
  <c r="JQ42" i="94" s="1"/>
  <c r="JQ44" i="94" s="1"/>
  <c r="JR41" i="94"/>
  <c r="JR42" i="94" s="1"/>
  <c r="JR44" i="94" s="1"/>
  <c r="JS41" i="94"/>
  <c r="JS42" i="94" s="1"/>
  <c r="JS44" i="94" s="1"/>
  <c r="JT41" i="94"/>
  <c r="JT42" i="94" s="1"/>
  <c r="JT44" i="94" s="1"/>
  <c r="JU41" i="94"/>
  <c r="JU42" i="94" s="1"/>
  <c r="JU44" i="94" s="1"/>
  <c r="JV41" i="94"/>
  <c r="JV42" i="94" s="1"/>
  <c r="JV44" i="94" s="1"/>
  <c r="JW41" i="94"/>
  <c r="JW42" i="94" s="1"/>
  <c r="JW44" i="94" s="1"/>
  <c r="JX41" i="94"/>
  <c r="JX42" i="94" s="1"/>
  <c r="JX44" i="94" s="1"/>
  <c r="JY41" i="94"/>
  <c r="JY42" i="94" s="1"/>
  <c r="JY44" i="94" s="1"/>
  <c r="JZ41" i="94"/>
  <c r="JZ42" i="94" s="1"/>
  <c r="JZ44" i="94" s="1"/>
  <c r="KA41" i="94"/>
  <c r="KA42" i="94" s="1"/>
  <c r="KA44" i="94" s="1"/>
  <c r="KB41" i="94"/>
  <c r="KB42" i="94" s="1"/>
  <c r="KB44" i="94" s="1"/>
  <c r="KC41" i="94"/>
  <c r="KC42" i="94" s="1"/>
  <c r="KC44" i="94" s="1"/>
  <c r="KD41" i="94"/>
  <c r="KD42" i="94" s="1"/>
  <c r="KD44" i="94" s="1"/>
  <c r="KE41" i="94"/>
  <c r="KE42" i="94" s="1"/>
  <c r="KE44" i="94" s="1"/>
  <c r="KF41" i="94"/>
  <c r="KF42" i="94" s="1"/>
  <c r="KF44" i="94" s="1"/>
  <c r="KG41" i="94"/>
  <c r="KG42" i="94" s="1"/>
  <c r="KG44" i="94" s="1"/>
  <c r="KH41" i="94"/>
  <c r="KH42" i="94" s="1"/>
  <c r="KH44" i="94" s="1"/>
  <c r="KI41" i="94"/>
  <c r="KI42" i="94" s="1"/>
  <c r="KI44" i="94" s="1"/>
  <c r="KJ41" i="94"/>
  <c r="KJ42" i="94" s="1"/>
  <c r="KJ44" i="94" s="1"/>
  <c r="KK41" i="94"/>
  <c r="KK42" i="94" s="1"/>
  <c r="KK44" i="94" s="1"/>
  <c r="KL41" i="94"/>
  <c r="KL42" i="94" s="1"/>
  <c r="KL44" i="94" s="1"/>
  <c r="KM41" i="94"/>
  <c r="KM42" i="94" s="1"/>
  <c r="KM44" i="94" s="1"/>
  <c r="KN41" i="94"/>
  <c r="KN42" i="94" s="1"/>
  <c r="KO41" i="94"/>
  <c r="KO42" i="94" s="1"/>
  <c r="KP41" i="94"/>
  <c r="KP42" i="94" s="1"/>
  <c r="KQ41" i="94"/>
  <c r="KQ42" i="94" s="1"/>
  <c r="KQ44" i="94" s="1"/>
  <c r="KR41" i="94"/>
  <c r="KR42" i="94" s="1"/>
  <c r="KR44" i="94" s="1"/>
  <c r="KS41" i="94"/>
  <c r="KS42" i="94" s="1"/>
  <c r="KT41" i="94"/>
  <c r="KT42" i="94" s="1"/>
  <c r="AU159" i="2" s="1"/>
  <c r="KU41" i="94"/>
  <c r="KU42" i="94" s="1"/>
  <c r="AU160" i="2" s="1"/>
  <c r="KV41" i="94"/>
  <c r="KV42" i="94" s="1"/>
  <c r="KW41" i="94"/>
  <c r="KW42" i="94" s="1"/>
  <c r="KX41" i="94"/>
  <c r="KX42" i="94" s="1"/>
  <c r="KY41" i="94"/>
  <c r="KY42" i="94" s="1"/>
  <c r="KZ41" i="94"/>
  <c r="KZ42" i="94" s="1"/>
  <c r="LA41" i="94"/>
  <c r="LA42" i="94" s="1"/>
  <c r="LA44" i="94" s="1"/>
  <c r="LB41" i="94"/>
  <c r="LB42" i="94" s="1"/>
  <c r="LB44" i="94" s="1"/>
  <c r="LD41" i="94"/>
  <c r="LD42" i="94" s="1"/>
  <c r="LD44" i="94" s="1"/>
  <c r="LE41" i="94"/>
  <c r="LE42" i="94" s="1"/>
  <c r="LE44" i="94" s="1"/>
  <c r="LJ41" i="94"/>
  <c r="LJ42" i="94" s="1"/>
  <c r="LK41" i="94"/>
  <c r="LK42" i="94" s="1"/>
  <c r="LL41" i="94"/>
  <c r="LL42" i="94" s="1"/>
  <c r="LL44" i="94" s="1"/>
  <c r="LM41" i="94"/>
  <c r="LM42" i="94" s="1"/>
  <c r="LM44" i="94" s="1"/>
  <c r="LN41" i="94"/>
  <c r="LN42" i="94" s="1"/>
  <c r="LN44" i="94" s="1"/>
  <c r="LO41" i="94"/>
  <c r="LO42" i="94" s="1"/>
  <c r="LO44" i="94" s="1"/>
  <c r="LP41" i="94"/>
  <c r="LP42" i="94" s="1"/>
  <c r="LP44" i="94" s="1"/>
  <c r="LQ41" i="94"/>
  <c r="LQ42" i="94" s="1"/>
  <c r="LQ44" i="94" s="1"/>
  <c r="LR41" i="94"/>
  <c r="LR42" i="94" s="1"/>
  <c r="LS41" i="94"/>
  <c r="LS42" i="94" s="1"/>
  <c r="LS44" i="94" s="1"/>
  <c r="LT41" i="94"/>
  <c r="LT42" i="94" s="1"/>
  <c r="LT44" i="94" s="1"/>
  <c r="LU41" i="94"/>
  <c r="LU42" i="94" s="1"/>
  <c r="LU44" i="94" s="1"/>
  <c r="LW41" i="94"/>
  <c r="LW42" i="94" s="1"/>
  <c r="LW44" i="94" s="1"/>
  <c r="LX41" i="94"/>
  <c r="LX42" i="94" s="1"/>
  <c r="LY41" i="94"/>
  <c r="LY42" i="94" s="1"/>
  <c r="LY44" i="94" s="1"/>
  <c r="LZ41" i="94"/>
  <c r="LZ42" i="94" s="1"/>
  <c r="LZ44" i="94" s="1"/>
  <c r="MA41" i="94"/>
  <c r="MA42" i="94" s="1"/>
  <c r="MC41" i="94"/>
  <c r="MC42" i="94" s="1"/>
  <c r="MC44" i="94" s="1"/>
  <c r="MD41" i="94"/>
  <c r="MD42" i="94" s="1"/>
  <c r="ME41" i="94"/>
  <c r="ME42" i="94" s="1"/>
  <c r="MF41" i="94"/>
  <c r="MF42" i="94" s="1"/>
  <c r="MF44" i="94" s="1"/>
  <c r="MG41" i="94"/>
  <c r="MG42" i="94" s="1"/>
  <c r="MG44" i="94" s="1"/>
  <c r="MH41" i="94"/>
  <c r="MH42" i="94" s="1"/>
  <c r="MH44" i="94" s="1"/>
  <c r="MI41" i="94"/>
  <c r="MI42" i="94" s="1"/>
  <c r="MI44" i="94" s="1"/>
  <c r="MK41" i="94"/>
  <c r="MK42" i="94" s="1"/>
  <c r="MK44" i="94" s="1"/>
  <c r="ML41" i="94"/>
  <c r="ML42" i="94" s="1"/>
  <c r="ML44" i="94" s="1"/>
  <c r="MM41" i="94"/>
  <c r="MM42" i="94" s="1"/>
  <c r="MM44" i="94" s="1"/>
  <c r="MN41" i="94"/>
  <c r="MN42" i="94" s="1"/>
  <c r="MN44" i="94" s="1"/>
  <c r="MO41" i="94"/>
  <c r="MO42" i="94" s="1"/>
  <c r="MO44" i="94" s="1"/>
  <c r="MQ41" i="94"/>
  <c r="MQ42" i="94" s="1"/>
  <c r="MQ44" i="94" s="1"/>
  <c r="MR41" i="94"/>
  <c r="MR42" i="94" s="1"/>
  <c r="MR44" i="94" s="1"/>
  <c r="MS41" i="94"/>
  <c r="MS42" i="94" s="1"/>
  <c r="MS44" i="94" s="1"/>
  <c r="MU41" i="94"/>
  <c r="MU42" i="94" s="1"/>
  <c r="MU44" i="94" s="1"/>
  <c r="MV41" i="94"/>
  <c r="MV42" i="94" s="1"/>
  <c r="MV44" i="94" s="1"/>
  <c r="NA41" i="94"/>
  <c r="NA42" i="94" s="1"/>
  <c r="NA44" i="94" s="1"/>
  <c r="NL41" i="94"/>
  <c r="OB41" i="94"/>
  <c r="OB42" i="94" s="1"/>
  <c r="OS41" i="94"/>
  <c r="OS42" i="94" s="1"/>
  <c r="OS44" i="94" s="1"/>
  <c r="OT41" i="94"/>
  <c r="OT42" i="94" s="1"/>
  <c r="OT44" i="94" s="1"/>
  <c r="OU41" i="94"/>
  <c r="OU42" i="94" s="1"/>
  <c r="OU44" i="94" s="1"/>
  <c r="OV41" i="94"/>
  <c r="OV42" i="94" s="1"/>
  <c r="OV44" i="94" s="1"/>
  <c r="OW41" i="94"/>
  <c r="OW42" i="94" s="1"/>
  <c r="OW44" i="94" s="1"/>
  <c r="OX41" i="94"/>
  <c r="OX42" i="94" s="1"/>
  <c r="OX44" i="94" s="1"/>
  <c r="PG41" i="94"/>
  <c r="PG42" i="94" s="1"/>
  <c r="PG44" i="94" s="1"/>
  <c r="PH41" i="94"/>
  <c r="PH42" i="94" s="1"/>
  <c r="PH44" i="94" s="1"/>
  <c r="PI41" i="94"/>
  <c r="PI42" i="94" s="1"/>
  <c r="PI44" i="94" s="1"/>
  <c r="PJ41" i="94"/>
  <c r="PJ42" i="94" s="1"/>
  <c r="PJ44" i="94" s="1"/>
  <c r="PO41" i="94"/>
  <c r="PO42" i="94" s="1"/>
  <c r="PO44" i="94" s="1"/>
  <c r="PP41" i="94"/>
  <c r="PP42" i="94" s="1"/>
  <c r="PP44" i="94" s="1"/>
  <c r="PQ41" i="94"/>
  <c r="PQ42" i="94" s="1"/>
  <c r="PQ44" i="94" s="1"/>
  <c r="PR41" i="94"/>
  <c r="PR42" i="94" s="1"/>
  <c r="PR44" i="94" s="1"/>
  <c r="PS41" i="94"/>
  <c r="PU41" i="94"/>
  <c r="PU42" i="94" s="1"/>
  <c r="PU44" i="94" s="1"/>
  <c r="PV41" i="94"/>
  <c r="PV42" i="94" s="1"/>
  <c r="PW41" i="94"/>
  <c r="PW42" i="94" s="1"/>
  <c r="PW44" i="94" s="1"/>
  <c r="PZ41" i="94"/>
  <c r="AK42" i="94"/>
  <c r="JH42" i="94"/>
  <c r="O43" i="94"/>
  <c r="P43" i="94"/>
  <c r="P211" i="94" s="1"/>
  <c r="S43" i="94"/>
  <c r="T43" i="94"/>
  <c r="W43" i="94"/>
  <c r="X43" i="94"/>
  <c r="AB43" i="94"/>
  <c r="AI43" i="94"/>
  <c r="AI44" i="94" s="1"/>
  <c r="AJ43" i="94"/>
  <c r="AP43" i="94"/>
  <c r="AY43" i="94"/>
  <c r="BE43" i="94"/>
  <c r="BK43" i="94"/>
  <c r="BN43" i="94"/>
  <c r="BQ43" i="94"/>
  <c r="BT43" i="94"/>
  <c r="BW43" i="94"/>
  <c r="BZ43" i="94"/>
  <c r="CC43" i="94"/>
  <c r="CF43" i="94"/>
  <c r="GM43" i="94"/>
  <c r="GV43" i="94"/>
  <c r="IP43" i="94"/>
  <c r="JE43" i="94"/>
  <c r="JK43" i="94"/>
  <c r="LI43" i="94"/>
  <c r="CA44" i="94"/>
  <c r="CO44" i="94"/>
  <c r="LC44" i="94"/>
  <c r="PZ44" i="94"/>
  <c r="O45" i="94"/>
  <c r="P45" i="94"/>
  <c r="Q45" i="94"/>
  <c r="R45" i="94"/>
  <c r="T45" i="94"/>
  <c r="U45" i="94"/>
  <c r="V45" i="94"/>
  <c r="W45" i="94"/>
  <c r="X45" i="94"/>
  <c r="Y45" i="94"/>
  <c r="Z45" i="94"/>
  <c r="AE45" i="94"/>
  <c r="AF45" i="94"/>
  <c r="AG45" i="94"/>
  <c r="AH45" i="94"/>
  <c r="AI45" i="94"/>
  <c r="AJ45" i="94"/>
  <c r="AK45" i="94"/>
  <c r="AL45" i="94"/>
  <c r="AN45" i="94"/>
  <c r="AO45" i="94"/>
  <c r="AP45" i="94"/>
  <c r="AQ45" i="94"/>
  <c r="AR45" i="94"/>
  <c r="AS45" i="94"/>
  <c r="AT45" i="94"/>
  <c r="AU45" i="94"/>
  <c r="AV45" i="94"/>
  <c r="AW45" i="94"/>
  <c r="AX45" i="94"/>
  <c r="AY45" i="94"/>
  <c r="AZ45" i="94"/>
  <c r="BA45" i="94"/>
  <c r="BB45" i="94"/>
  <c r="BC45" i="94"/>
  <c r="BD45" i="94"/>
  <c r="BE45" i="94"/>
  <c r="BF45" i="94"/>
  <c r="S45" i="94" s="1"/>
  <c r="BG45" i="94"/>
  <c r="BH45" i="94"/>
  <c r="BI45" i="94"/>
  <c r="BJ45" i="94"/>
  <c r="BK45" i="94"/>
  <c r="BL45" i="94"/>
  <c r="BM45" i="94"/>
  <c r="BN45" i="94"/>
  <c r="BO45" i="94"/>
  <c r="BP45" i="94"/>
  <c r="BQ45" i="94"/>
  <c r="BR45" i="94"/>
  <c r="BS45" i="94"/>
  <c r="BT45" i="94"/>
  <c r="BU45" i="94"/>
  <c r="BV45" i="94"/>
  <c r="BW45" i="94"/>
  <c r="CD45" i="94"/>
  <c r="CE45" i="94"/>
  <c r="CF45" i="94"/>
  <c r="DW47" i="94"/>
  <c r="IL48" i="94"/>
  <c r="JN48" i="94"/>
  <c r="MK49" i="94"/>
  <c r="GR50" i="94"/>
  <c r="AW52" i="94"/>
  <c r="AX52" i="94"/>
  <c r="BC52" i="94"/>
  <c r="O53" i="94"/>
  <c r="O54" i="94" s="1"/>
  <c r="P53" i="94"/>
  <c r="P54" i="94" s="1"/>
  <c r="S53" i="94"/>
  <c r="S54" i="94" s="1"/>
  <c r="S55" i="94" s="1"/>
  <c r="S56" i="94" s="1"/>
  <c r="S57" i="94" s="1"/>
  <c r="S58" i="94" s="1"/>
  <c r="S59" i="94" s="1"/>
  <c r="S60" i="94" s="1"/>
  <c r="S61" i="94" s="1"/>
  <c r="S62" i="94" s="1"/>
  <c r="S63" i="94" s="1"/>
  <c r="S64" i="94" s="1"/>
  <c r="S65" i="94" s="1"/>
  <c r="S66" i="94" s="1"/>
  <c r="S67" i="94" s="1"/>
  <c r="S68" i="94" s="1"/>
  <c r="S69" i="94" s="1"/>
  <c r="S70" i="94" s="1"/>
  <c r="S71" i="94" s="1"/>
  <c r="S72" i="94" s="1"/>
  <c r="S73" i="94" s="1"/>
  <c r="S74" i="94" s="1"/>
  <c r="S75" i="94" s="1"/>
  <c r="S76" i="94" s="1"/>
  <c r="S77" i="94" s="1"/>
  <c r="S78" i="94" s="1"/>
  <c r="S79" i="94" s="1"/>
  <c r="S80" i="94" s="1"/>
  <c r="S81" i="94" s="1"/>
  <c r="S82" i="94" s="1"/>
  <c r="S83" i="94" s="1"/>
  <c r="T53" i="94"/>
  <c r="T54" i="94" s="1"/>
  <c r="T55" i="94" s="1"/>
  <c r="T56" i="94" s="1"/>
  <c r="T57" i="94" s="1"/>
  <c r="T58" i="94" s="1"/>
  <c r="T59" i="94" s="1"/>
  <c r="T60" i="94" s="1"/>
  <c r="T61" i="94" s="1"/>
  <c r="T62" i="94" s="1"/>
  <c r="T63" i="94" s="1"/>
  <c r="T64" i="94" s="1"/>
  <c r="T65" i="94" s="1"/>
  <c r="T66" i="94" s="1"/>
  <c r="T67" i="94" s="1"/>
  <c r="T68" i="94" s="1"/>
  <c r="T69" i="94" s="1"/>
  <c r="T70" i="94" s="1"/>
  <c r="T71" i="94" s="1"/>
  <c r="T72" i="94" s="1"/>
  <c r="T73" i="94" s="1"/>
  <c r="T74" i="94" s="1"/>
  <c r="T75" i="94" s="1"/>
  <c r="T76" i="94" s="1"/>
  <c r="T77" i="94" s="1"/>
  <c r="T78" i="94" s="1"/>
  <c r="T79" i="94" s="1"/>
  <c r="T80" i="94" s="1"/>
  <c r="T81" i="94" s="1"/>
  <c r="T82" i="94" s="1"/>
  <c r="T83" i="94" s="1"/>
  <c r="W53" i="94"/>
  <c r="W54" i="94" s="1"/>
  <c r="W55" i="94" s="1"/>
  <c r="W56" i="94" s="1"/>
  <c r="W57" i="94" s="1"/>
  <c r="W58" i="94" s="1"/>
  <c r="W59" i="94" s="1"/>
  <c r="W60" i="94" s="1"/>
  <c r="W61" i="94" s="1"/>
  <c r="W62" i="94" s="1"/>
  <c r="W63" i="94" s="1"/>
  <c r="W64" i="94" s="1"/>
  <c r="W65" i="94" s="1"/>
  <c r="W66" i="94" s="1"/>
  <c r="W67" i="94" s="1"/>
  <c r="W68" i="94" s="1"/>
  <c r="W69" i="94" s="1"/>
  <c r="W70" i="94" s="1"/>
  <c r="W71" i="94" s="1"/>
  <c r="W72" i="94" s="1"/>
  <c r="W73" i="94" s="1"/>
  <c r="W74" i="94" s="1"/>
  <c r="W75" i="94" s="1"/>
  <c r="W76" i="94" s="1"/>
  <c r="W77" i="94" s="1"/>
  <c r="W78" i="94" s="1"/>
  <c r="W79" i="94" s="1"/>
  <c r="W80" i="94" s="1"/>
  <c r="W81" i="94" s="1"/>
  <c r="W82" i="94" s="1"/>
  <c r="W83" i="94" s="1"/>
  <c r="X53" i="94"/>
  <c r="X54" i="94" s="1"/>
  <c r="X55" i="94" s="1"/>
  <c r="X56" i="94" s="1"/>
  <c r="X57" i="94" s="1"/>
  <c r="X58" i="94" s="1"/>
  <c r="X59" i="94" s="1"/>
  <c r="X60" i="94" s="1"/>
  <c r="X61" i="94" s="1"/>
  <c r="X62" i="94" s="1"/>
  <c r="X63" i="94" s="1"/>
  <c r="X64" i="94" s="1"/>
  <c r="X65" i="94" s="1"/>
  <c r="X66" i="94" s="1"/>
  <c r="X67" i="94" s="1"/>
  <c r="X68" i="94" s="1"/>
  <c r="X69" i="94" s="1"/>
  <c r="X70" i="94" s="1"/>
  <c r="X71" i="94" s="1"/>
  <c r="X72" i="94" s="1"/>
  <c r="X73" i="94" s="1"/>
  <c r="X74" i="94" s="1"/>
  <c r="X75" i="94" s="1"/>
  <c r="X76" i="94" s="1"/>
  <c r="X77" i="94" s="1"/>
  <c r="X78" i="94" s="1"/>
  <c r="X79" i="94" s="1"/>
  <c r="X80" i="94" s="1"/>
  <c r="X81" i="94" s="1"/>
  <c r="X82" i="94" s="1"/>
  <c r="X83" i="94" s="1"/>
  <c r="JJ54" i="94"/>
  <c r="BF57" i="94"/>
  <c r="BF59" i="94" s="1"/>
  <c r="BF58" i="94"/>
  <c r="AB94" i="94"/>
  <c r="O95" i="94"/>
  <c r="O96" i="94" s="1"/>
  <c r="P95" i="94"/>
  <c r="S95" i="94"/>
  <c r="S96" i="94" s="1"/>
  <c r="S97" i="94" s="1"/>
  <c r="S98" i="94" s="1"/>
  <c r="S99" i="94" s="1"/>
  <c r="S100" i="94" s="1"/>
  <c r="S101" i="94" s="1"/>
  <c r="S102" i="94" s="1"/>
  <c r="S103" i="94" s="1"/>
  <c r="S104" i="94" s="1"/>
  <c r="S105" i="94" s="1"/>
  <c r="S106" i="94" s="1"/>
  <c r="S107" i="94" s="1"/>
  <c r="S108" i="94" s="1"/>
  <c r="S109" i="94" s="1"/>
  <c r="S110" i="94" s="1"/>
  <c r="S111" i="94" s="1"/>
  <c r="S112" i="94" s="1"/>
  <c r="S113" i="94" s="1"/>
  <c r="S114" i="94" s="1"/>
  <c r="S115" i="94" s="1"/>
  <c r="S116" i="94" s="1"/>
  <c r="S117" i="94" s="1"/>
  <c r="S118" i="94" s="1"/>
  <c r="S119" i="94" s="1"/>
  <c r="S120" i="94" s="1"/>
  <c r="S121" i="94" s="1"/>
  <c r="S122" i="94" s="1"/>
  <c r="S123" i="94" s="1"/>
  <c r="S124" i="94" s="1"/>
  <c r="S125" i="94" s="1"/>
  <c r="T95" i="94"/>
  <c r="T96" i="94" s="1"/>
  <c r="T97" i="94" s="1"/>
  <c r="T98" i="94" s="1"/>
  <c r="T99" i="94" s="1"/>
  <c r="T100" i="94" s="1"/>
  <c r="T101" i="94" s="1"/>
  <c r="T102" i="94" s="1"/>
  <c r="T103" i="94" s="1"/>
  <c r="T104" i="94" s="1"/>
  <c r="T105" i="94" s="1"/>
  <c r="T106" i="94" s="1"/>
  <c r="T107" i="94" s="1"/>
  <c r="T108" i="94" s="1"/>
  <c r="T109" i="94" s="1"/>
  <c r="T110" i="94" s="1"/>
  <c r="T111" i="94" s="1"/>
  <c r="T112" i="94" s="1"/>
  <c r="T113" i="94" s="1"/>
  <c r="T114" i="94" s="1"/>
  <c r="T115" i="94" s="1"/>
  <c r="T116" i="94" s="1"/>
  <c r="T117" i="94" s="1"/>
  <c r="T118" i="94" s="1"/>
  <c r="T119" i="94" s="1"/>
  <c r="T120" i="94" s="1"/>
  <c r="T121" i="94" s="1"/>
  <c r="T122" i="94" s="1"/>
  <c r="T123" i="94" s="1"/>
  <c r="T124" i="94" s="1"/>
  <c r="T125" i="94" s="1"/>
  <c r="W95" i="94"/>
  <c r="W96" i="94" s="1"/>
  <c r="W97" i="94" s="1"/>
  <c r="W98" i="94" s="1"/>
  <c r="W99" i="94" s="1"/>
  <c r="W100" i="94" s="1"/>
  <c r="W101" i="94" s="1"/>
  <c r="W102" i="94" s="1"/>
  <c r="W103" i="94" s="1"/>
  <c r="W104" i="94" s="1"/>
  <c r="W105" i="94" s="1"/>
  <c r="W106" i="94" s="1"/>
  <c r="W107" i="94" s="1"/>
  <c r="W108" i="94" s="1"/>
  <c r="W109" i="94" s="1"/>
  <c r="W110" i="94" s="1"/>
  <c r="W111" i="94" s="1"/>
  <c r="W112" i="94" s="1"/>
  <c r="W113" i="94" s="1"/>
  <c r="W114" i="94" s="1"/>
  <c r="W115" i="94" s="1"/>
  <c r="W116" i="94" s="1"/>
  <c r="W117" i="94" s="1"/>
  <c r="W118" i="94" s="1"/>
  <c r="W119" i="94" s="1"/>
  <c r="W120" i="94" s="1"/>
  <c r="W121" i="94" s="1"/>
  <c r="W122" i="94" s="1"/>
  <c r="W123" i="94" s="1"/>
  <c r="W124" i="94" s="1"/>
  <c r="W125" i="94" s="1"/>
  <c r="X95" i="94"/>
  <c r="X96" i="94" s="1"/>
  <c r="X97" i="94" s="1"/>
  <c r="X98" i="94" s="1"/>
  <c r="X99" i="94" s="1"/>
  <c r="X100" i="94" s="1"/>
  <c r="X101" i="94" s="1"/>
  <c r="X102" i="94" s="1"/>
  <c r="X103" i="94" s="1"/>
  <c r="X104" i="94" s="1"/>
  <c r="X105" i="94" s="1"/>
  <c r="X106" i="94" s="1"/>
  <c r="X107" i="94" s="1"/>
  <c r="X108" i="94" s="1"/>
  <c r="X109" i="94" s="1"/>
  <c r="X110" i="94" s="1"/>
  <c r="X111" i="94" s="1"/>
  <c r="X112" i="94" s="1"/>
  <c r="X113" i="94" s="1"/>
  <c r="X114" i="94" s="1"/>
  <c r="X115" i="94" s="1"/>
  <c r="X116" i="94" s="1"/>
  <c r="X117" i="94" s="1"/>
  <c r="X118" i="94" s="1"/>
  <c r="X119" i="94" s="1"/>
  <c r="X120" i="94" s="1"/>
  <c r="X121" i="94" s="1"/>
  <c r="X122" i="94" s="1"/>
  <c r="X123" i="94" s="1"/>
  <c r="X124" i="94" s="1"/>
  <c r="X125" i="94" s="1"/>
  <c r="O136" i="94"/>
  <c r="C136" i="94" s="1"/>
  <c r="P136" i="94"/>
  <c r="D136" i="94" s="1"/>
  <c r="T137" i="94"/>
  <c r="Q177" i="94"/>
  <c r="O178" i="94"/>
  <c r="P178" i="94"/>
  <c r="P179" i="94" s="1"/>
  <c r="P180" i="94" s="1"/>
  <c r="BM210" i="94"/>
  <c r="BP210" i="94"/>
  <c r="BV210" i="94"/>
  <c r="BY211" i="94"/>
  <c r="JH224" i="94"/>
  <c r="D130" i="93"/>
  <c r="C130" i="93"/>
  <c r="D129" i="93"/>
  <c r="C129" i="93"/>
  <c r="D128" i="93"/>
  <c r="C128" i="93"/>
  <c r="D127" i="93"/>
  <c r="C127" i="93"/>
  <c r="D126" i="93"/>
  <c r="C126" i="93"/>
  <c r="D125" i="93"/>
  <c r="C125" i="93"/>
  <c r="D124" i="93"/>
  <c r="C124" i="93"/>
  <c r="D123" i="93"/>
  <c r="C123" i="93"/>
  <c r="D122" i="93"/>
  <c r="C122" i="93"/>
  <c r="D121" i="93"/>
  <c r="C121" i="93"/>
  <c r="D120" i="93"/>
  <c r="C120" i="93"/>
  <c r="D119" i="93"/>
  <c r="C119" i="93"/>
  <c r="D118" i="93"/>
  <c r="C118" i="93"/>
  <c r="D117" i="93"/>
  <c r="C117" i="93"/>
  <c r="D116" i="93"/>
  <c r="C116" i="93"/>
  <c r="D115" i="93"/>
  <c r="C115" i="93"/>
  <c r="D114" i="93"/>
  <c r="C114" i="93"/>
  <c r="D113" i="93"/>
  <c r="C113" i="93"/>
  <c r="D112" i="93"/>
  <c r="C112" i="93"/>
  <c r="D111" i="93"/>
  <c r="C111" i="93"/>
  <c r="D110" i="93"/>
  <c r="C110" i="93"/>
  <c r="D109" i="93"/>
  <c r="C109" i="93"/>
  <c r="D108" i="93"/>
  <c r="C108" i="93"/>
  <c r="D107" i="93"/>
  <c r="C107" i="93"/>
  <c r="D106" i="93"/>
  <c r="C106" i="93"/>
  <c r="D105" i="93"/>
  <c r="C105" i="93"/>
  <c r="D104" i="93"/>
  <c r="C104" i="93"/>
  <c r="D103" i="93"/>
  <c r="C103" i="93"/>
  <c r="D102" i="93"/>
  <c r="C102" i="93"/>
  <c r="D101" i="93"/>
  <c r="C101" i="93"/>
  <c r="O100" i="93"/>
  <c r="O101" i="93" s="1"/>
  <c r="O102" i="93" s="1"/>
  <c r="O103" i="93" s="1"/>
  <c r="O104" i="93" s="1"/>
  <c r="O105" i="93" s="1"/>
  <c r="O106" i="93" s="1"/>
  <c r="O107" i="93" s="1"/>
  <c r="O108" i="93" s="1"/>
  <c r="O109" i="93" s="1"/>
  <c r="O110" i="93" s="1"/>
  <c r="O111" i="93" s="1"/>
  <c r="O112" i="93" s="1"/>
  <c r="O113" i="93" s="1"/>
  <c r="O114" i="93" s="1"/>
  <c r="O115" i="93" s="1"/>
  <c r="O116" i="93" s="1"/>
  <c r="O117" i="93" s="1"/>
  <c r="O118" i="93" s="1"/>
  <c r="O119" i="93" s="1"/>
  <c r="O120" i="93" s="1"/>
  <c r="O121" i="93" s="1"/>
  <c r="O122" i="93" s="1"/>
  <c r="O123" i="93" s="1"/>
  <c r="O124" i="93" s="1"/>
  <c r="O125" i="93" s="1"/>
  <c r="O126" i="93" s="1"/>
  <c r="O127" i="93" s="1"/>
  <c r="O128" i="93" s="1"/>
  <c r="O129" i="93" s="1"/>
  <c r="O130" i="93" s="1"/>
  <c r="D100" i="93"/>
  <c r="C100" i="93"/>
  <c r="S45" i="93"/>
  <c r="BK43" i="93"/>
  <c r="BI43" i="93"/>
  <c r="BI44" i="93" s="1"/>
  <c r="BI46" i="93" s="1"/>
  <c r="BI47" i="93" s="1"/>
  <c r="BH43" i="93"/>
  <c r="BH44" i="93" s="1"/>
  <c r="BH46" i="93" s="1"/>
  <c r="BH47" i="93" s="1"/>
  <c r="BG43" i="93"/>
  <c r="BG44" i="93" s="1"/>
  <c r="BF43" i="93"/>
  <c r="BE43" i="93"/>
  <c r="AA43" i="93"/>
  <c r="AA44" i="93" s="1"/>
  <c r="Z43" i="93"/>
  <c r="Z44" i="93" s="1"/>
  <c r="X43" i="93"/>
  <c r="X44" i="93" s="1"/>
  <c r="W43" i="93"/>
  <c r="W44" i="93" s="1"/>
  <c r="V43" i="93"/>
  <c r="V44" i="93" s="1"/>
  <c r="U43" i="93"/>
  <c r="U44" i="93" s="1"/>
  <c r="O43" i="93"/>
  <c r="I43" i="93"/>
  <c r="I44" i="93" s="1"/>
  <c r="BJ42" i="93"/>
  <c r="AB42" i="93"/>
  <c r="CL42" i="93" s="1"/>
  <c r="R42" i="93"/>
  <c r="S42" i="93" s="1"/>
  <c r="E42" i="93" s="1"/>
  <c r="CH42" i="93"/>
  <c r="C42" i="93"/>
  <c r="BJ41" i="93"/>
  <c r="AB41" i="93"/>
  <c r="CL41" i="93" s="1"/>
  <c r="R41" i="93"/>
  <c r="S41" i="93" s="1"/>
  <c r="E41" i="93" s="1"/>
  <c r="CH41" i="93"/>
  <c r="C41" i="93"/>
  <c r="BJ40" i="93"/>
  <c r="AB40" i="93"/>
  <c r="CL40" i="93" s="1"/>
  <c r="R40" i="93"/>
  <c r="S40" i="93" s="1"/>
  <c r="E40" i="93" s="1"/>
  <c r="CH40" i="93"/>
  <c r="C40" i="93"/>
  <c r="BJ39" i="93"/>
  <c r="AB39" i="93"/>
  <c r="CL39" i="93" s="1"/>
  <c r="R39" i="93"/>
  <c r="S39" i="93" s="1"/>
  <c r="E39" i="93" s="1"/>
  <c r="CH39" i="93"/>
  <c r="C39" i="93"/>
  <c r="BJ38" i="93"/>
  <c r="AB38" i="93"/>
  <c r="AR38" i="93" s="1"/>
  <c r="R38" i="93"/>
  <c r="S38" i="93" s="1"/>
  <c r="E38" i="93" s="1"/>
  <c r="CH38" i="93"/>
  <c r="C38" i="93"/>
  <c r="BJ37" i="93"/>
  <c r="AB37" i="93"/>
  <c r="CL37" i="93" s="1"/>
  <c r="R37" i="93"/>
  <c r="S37" i="93" s="1"/>
  <c r="E37" i="93" s="1"/>
  <c r="CH37" i="93"/>
  <c r="C37" i="93"/>
  <c r="BJ36" i="93"/>
  <c r="AB36" i="93"/>
  <c r="CL36" i="93" s="1"/>
  <c r="R36" i="93"/>
  <c r="S36" i="93" s="1"/>
  <c r="E36" i="93" s="1"/>
  <c r="CH36" i="93"/>
  <c r="C36" i="93"/>
  <c r="BJ35" i="93"/>
  <c r="AB35" i="93"/>
  <c r="AR35" i="93" s="1"/>
  <c r="R35" i="93"/>
  <c r="S35" i="93" s="1"/>
  <c r="E35" i="93" s="1"/>
  <c r="CH35" i="93"/>
  <c r="C35" i="93"/>
  <c r="BJ34" i="93"/>
  <c r="AB34" i="93"/>
  <c r="CL34" i="93" s="1"/>
  <c r="R34" i="93"/>
  <c r="S34" i="93" s="1"/>
  <c r="E34" i="93" s="1"/>
  <c r="CH34" i="93"/>
  <c r="C34" i="93"/>
  <c r="BJ33" i="93"/>
  <c r="AB33" i="93"/>
  <c r="AR33" i="93" s="1"/>
  <c r="R33" i="93"/>
  <c r="S33" i="93" s="1"/>
  <c r="E33" i="93" s="1"/>
  <c r="CH33" i="93"/>
  <c r="C33" i="93"/>
  <c r="BJ32" i="93"/>
  <c r="AB32" i="93"/>
  <c r="CL32" i="93" s="1"/>
  <c r="R32" i="93"/>
  <c r="S32" i="93" s="1"/>
  <c r="E32" i="93" s="1"/>
  <c r="CH32" i="93"/>
  <c r="C32" i="93"/>
  <c r="BJ31" i="93"/>
  <c r="AB31" i="93"/>
  <c r="CL31" i="93" s="1"/>
  <c r="R31" i="93"/>
  <c r="S31" i="93" s="1"/>
  <c r="E31" i="93" s="1"/>
  <c r="CH31" i="93"/>
  <c r="C31" i="93"/>
  <c r="BJ30" i="93"/>
  <c r="AB30" i="93"/>
  <c r="CL30" i="93" s="1"/>
  <c r="R30" i="93"/>
  <c r="S30" i="93" s="1"/>
  <c r="E30" i="93" s="1"/>
  <c r="CH30" i="93"/>
  <c r="C30" i="93"/>
  <c r="BJ29" i="93"/>
  <c r="AB29" i="93"/>
  <c r="AR29" i="93" s="1"/>
  <c r="R29" i="93"/>
  <c r="S29" i="93" s="1"/>
  <c r="E29" i="93" s="1"/>
  <c r="CH29" i="93"/>
  <c r="C29" i="93"/>
  <c r="BJ28" i="93"/>
  <c r="AB28" i="93"/>
  <c r="AR28" i="93" s="1"/>
  <c r="R28" i="93"/>
  <c r="S28" i="93" s="1"/>
  <c r="E28" i="93" s="1"/>
  <c r="CH28" i="93"/>
  <c r="C28" i="93"/>
  <c r="BJ27" i="93"/>
  <c r="AB27" i="93"/>
  <c r="CL27" i="93" s="1"/>
  <c r="R27" i="93"/>
  <c r="S27" i="93" s="1"/>
  <c r="E27" i="93" s="1"/>
  <c r="CH27" i="93"/>
  <c r="C27" i="93"/>
  <c r="BJ26" i="93"/>
  <c r="AB26" i="93"/>
  <c r="CL26" i="93" s="1"/>
  <c r="R26" i="93"/>
  <c r="S26" i="93" s="1"/>
  <c r="E26" i="93" s="1"/>
  <c r="CH26" i="93"/>
  <c r="C26" i="93"/>
  <c r="BJ25" i="93"/>
  <c r="AB25" i="93"/>
  <c r="CL25" i="93" s="1"/>
  <c r="R25" i="93"/>
  <c r="S25" i="93" s="1"/>
  <c r="E25" i="93" s="1"/>
  <c r="CH25" i="93"/>
  <c r="C25" i="93"/>
  <c r="BJ24" i="93"/>
  <c r="AB24" i="93"/>
  <c r="AR24" i="93" s="1"/>
  <c r="R24" i="93"/>
  <c r="S24" i="93" s="1"/>
  <c r="E24" i="93" s="1"/>
  <c r="CH24" i="93"/>
  <c r="C24" i="93"/>
  <c r="BJ23" i="93"/>
  <c r="AB23" i="93"/>
  <c r="CL23" i="93" s="1"/>
  <c r="R23" i="93"/>
  <c r="S23" i="93" s="1"/>
  <c r="E23" i="93" s="1"/>
  <c r="CH23" i="93"/>
  <c r="C23" i="93"/>
  <c r="BJ22" i="93"/>
  <c r="AB22" i="93"/>
  <c r="AR22" i="93" s="1"/>
  <c r="R22" i="93"/>
  <c r="S22" i="93" s="1"/>
  <c r="E22" i="93" s="1"/>
  <c r="CH22" i="93"/>
  <c r="C22" i="93"/>
  <c r="BJ21" i="93"/>
  <c r="AB21" i="93"/>
  <c r="CL21" i="93" s="1"/>
  <c r="R21" i="93"/>
  <c r="S21" i="93" s="1"/>
  <c r="E21" i="93" s="1"/>
  <c r="CH21" i="93"/>
  <c r="C21" i="93"/>
  <c r="CL20" i="93"/>
  <c r="BJ20" i="93"/>
  <c r="AR20" i="93"/>
  <c r="R20" i="93"/>
  <c r="S20" i="93" s="1"/>
  <c r="E20" i="93" s="1"/>
  <c r="CH20" i="93"/>
  <c r="C20" i="93"/>
  <c r="CL19" i="93"/>
  <c r="BJ19" i="93"/>
  <c r="AR19" i="93"/>
  <c r="R19" i="93"/>
  <c r="S19" i="93" s="1"/>
  <c r="E19" i="93" s="1"/>
  <c r="CH19" i="93"/>
  <c r="C19" i="93"/>
  <c r="CL18" i="93"/>
  <c r="BJ18" i="93"/>
  <c r="AR18" i="93"/>
  <c r="S18" i="93"/>
  <c r="E18" i="93" s="1"/>
  <c r="CH18" i="93"/>
  <c r="C18" i="93"/>
  <c r="CL17" i="93"/>
  <c r="BJ17" i="93"/>
  <c r="AR17" i="93"/>
  <c r="R17" i="93"/>
  <c r="S17" i="93" s="1"/>
  <c r="E17" i="93" s="1"/>
  <c r="CH17" i="93"/>
  <c r="C17" i="93"/>
  <c r="CL16" i="93"/>
  <c r="BJ16" i="93"/>
  <c r="AR16" i="93"/>
  <c r="R16" i="93"/>
  <c r="S16" i="93" s="1"/>
  <c r="E16" i="93" s="1"/>
  <c r="CH16" i="93"/>
  <c r="C16" i="93"/>
  <c r="CL15" i="93"/>
  <c r="BJ15" i="93"/>
  <c r="AR15" i="93"/>
  <c r="R15" i="93"/>
  <c r="S15" i="93" s="1"/>
  <c r="E15" i="93" s="1"/>
  <c r="CH15" i="93"/>
  <c r="C15" i="93"/>
  <c r="CL14" i="93"/>
  <c r="BJ14" i="93"/>
  <c r="AR14" i="93"/>
  <c r="R14" i="93"/>
  <c r="S14" i="93" s="1"/>
  <c r="E14" i="93" s="1"/>
  <c r="CH14" i="93"/>
  <c r="C14" i="93"/>
  <c r="CL13" i="93"/>
  <c r="BJ13" i="93"/>
  <c r="AR13" i="93"/>
  <c r="R13" i="93"/>
  <c r="C13" i="93"/>
  <c r="CL12" i="93"/>
  <c r="BM12" i="93"/>
  <c r="BM13" i="93" s="1"/>
  <c r="BM14" i="93" s="1"/>
  <c r="BM15" i="93" s="1"/>
  <c r="BM16" i="93" s="1"/>
  <c r="BM17" i="93" s="1"/>
  <c r="BM18" i="93" s="1"/>
  <c r="BM19" i="93" s="1"/>
  <c r="BM20" i="93" s="1"/>
  <c r="BJ12" i="93"/>
  <c r="AR12" i="93"/>
  <c r="AD12" i="93"/>
  <c r="AD13" i="93" s="1"/>
  <c r="R12" i="93"/>
  <c r="S12" i="93" s="1"/>
  <c r="E12" i="93" s="1"/>
  <c r="CH12" i="93"/>
  <c r="C12" i="93"/>
  <c r="AC11" i="93"/>
  <c r="OO41" i="122" l="1"/>
  <c r="OO44" i="122" s="1"/>
  <c r="OS40" i="122"/>
  <c r="OS41" i="122" s="1"/>
  <c r="OS44" i="122" s="1"/>
  <c r="AU128" i="2"/>
  <c r="AU131" i="2"/>
  <c r="N44" i="94"/>
  <c r="AU130" i="2"/>
  <c r="AU135" i="2"/>
  <c r="AU133" i="2"/>
  <c r="NF21" i="116"/>
  <c r="MX21" i="116" s="1"/>
  <c r="NC22" i="116"/>
  <c r="W14" i="118" s="1"/>
  <c r="C53" i="99"/>
  <c r="BK44" i="93"/>
  <c r="BK46" i="93" s="1"/>
  <c r="BK47" i="93" s="1"/>
  <c r="X28" i="95"/>
  <c r="AV41" i="94"/>
  <c r="AV42" i="94" s="1"/>
  <c r="AV44" i="94" s="1"/>
  <c r="C17" i="96"/>
  <c r="E79" i="107" s="1"/>
  <c r="D79" i="107"/>
  <c r="W54" i="102"/>
  <c r="C54" i="99"/>
  <c r="W55" i="99"/>
  <c r="EE42" i="94"/>
  <c r="EE44" i="94" s="1"/>
  <c r="NP40" i="94"/>
  <c r="NP41" i="94" s="1"/>
  <c r="HF42" i="94"/>
  <c r="HF44" i="94" s="1"/>
  <c r="AC38" i="94"/>
  <c r="C5" i="98"/>
  <c r="AA148" i="2"/>
  <c r="B19" i="98"/>
  <c r="K25" i="106" s="1"/>
  <c r="B17" i="98"/>
  <c r="K23" i="106" s="1"/>
  <c r="B63" i="98"/>
  <c r="V52" i="106" s="1"/>
  <c r="ND17" i="94"/>
  <c r="ND18" i="94" s="1"/>
  <c r="ND19" i="94" s="1"/>
  <c r="ND20" i="94" s="1"/>
  <c r="ND21" i="94" s="1"/>
  <c r="ND22" i="94" s="1"/>
  <c r="ND23" i="94" s="1"/>
  <c r="AF44" i="94"/>
  <c r="I140" i="2"/>
  <c r="CK44" i="94"/>
  <c r="C29" i="98"/>
  <c r="CI42" i="94"/>
  <c r="KW44" i="94"/>
  <c r="KV44" i="94"/>
  <c r="B62" i="98"/>
  <c r="V51" i="106" s="1"/>
  <c r="B14" i="98"/>
  <c r="C26" i="106" s="1"/>
  <c r="H8" i="2"/>
  <c r="CH44" i="94"/>
  <c r="B12" i="98"/>
  <c r="C24" i="106" s="1"/>
  <c r="JA44" i="94"/>
  <c r="OQ13" i="94"/>
  <c r="OQ14" i="94" s="1"/>
  <c r="OQ15" i="94" s="1"/>
  <c r="OQ16" i="94" s="1"/>
  <c r="OQ17" i="94" s="1"/>
  <c r="OQ18" i="94" s="1"/>
  <c r="IU44" i="94"/>
  <c r="IS44" i="94"/>
  <c r="IO42" i="94"/>
  <c r="IF44" i="94"/>
  <c r="HH44" i="94"/>
  <c r="NL42" i="94"/>
  <c r="NL44" i="94" s="1"/>
  <c r="C28" i="98"/>
  <c r="I139" i="2"/>
  <c r="J139" i="2"/>
  <c r="B18" i="98"/>
  <c r="K24" i="106" s="1"/>
  <c r="S13" i="93"/>
  <c r="E13" i="93" s="1"/>
  <c r="F38" i="88"/>
  <c r="C3" i="96"/>
  <c r="D10" i="95"/>
  <c r="AE43" i="93"/>
  <c r="AD14" i="93"/>
  <c r="AD15" i="93" s="1"/>
  <c r="AD16" i="93" s="1"/>
  <c r="AD17" i="93" s="1"/>
  <c r="AD18" i="93" s="1"/>
  <c r="AW44" i="94"/>
  <c r="JH44" i="94"/>
  <c r="IH44" i="94"/>
  <c r="OP11" i="94"/>
  <c r="OP12" i="94" s="1"/>
  <c r="OP13" i="94" s="1"/>
  <c r="OP14" i="94" s="1"/>
  <c r="OP15" i="94" s="1"/>
  <c r="OP16" i="94" s="1"/>
  <c r="OP17" i="94" s="1"/>
  <c r="OP18" i="94" s="1"/>
  <c r="OP19" i="94" s="1"/>
  <c r="OP20" i="94" s="1"/>
  <c r="OP21" i="94" s="1"/>
  <c r="OP22" i="94" s="1"/>
  <c r="OP23" i="94" s="1"/>
  <c r="OP24" i="94" s="1"/>
  <c r="OP25" i="94" s="1"/>
  <c r="OP26" i="94" s="1"/>
  <c r="OP27" i="94" s="1"/>
  <c r="OP28" i="94" s="1"/>
  <c r="OP29" i="94" s="1"/>
  <c r="OP30" i="94" s="1"/>
  <c r="OP31" i="94" s="1"/>
  <c r="OP32" i="94" s="1"/>
  <c r="OP33" i="94" s="1"/>
  <c r="OP34" i="94" s="1"/>
  <c r="OP35" i="94" s="1"/>
  <c r="OP36" i="94" s="1"/>
  <c r="OP37" i="94" s="1"/>
  <c r="OP38" i="94" s="1"/>
  <c r="OP39" i="94" s="1"/>
  <c r="OP40" i="94" s="1"/>
  <c r="OP41" i="94" s="1"/>
  <c r="OP44" i="94" s="1"/>
  <c r="ON11" i="94"/>
  <c r="ON12" i="94" s="1"/>
  <c r="ON13" i="94" s="1"/>
  <c r="ON14" i="94" s="1"/>
  <c r="ON15" i="94" s="1"/>
  <c r="ON16" i="94" s="1"/>
  <c r="ON17" i="94" s="1"/>
  <c r="ON18" i="94" s="1"/>
  <c r="ON19" i="94" s="1"/>
  <c r="ON20" i="94" s="1"/>
  <c r="ON21" i="94" s="1"/>
  <c r="ON22" i="94" s="1"/>
  <c r="ON23" i="94" s="1"/>
  <c r="ON24" i="94" s="1"/>
  <c r="ON25" i="94" s="1"/>
  <c r="ON26" i="94" s="1"/>
  <c r="ON27" i="94" s="1"/>
  <c r="ON28" i="94" s="1"/>
  <c r="ON29" i="94" s="1"/>
  <c r="ON30" i="94" s="1"/>
  <c r="ON31" i="94" s="1"/>
  <c r="ON32" i="94" s="1"/>
  <c r="ON33" i="94" s="1"/>
  <c r="ON34" i="94" s="1"/>
  <c r="ON35" i="94" s="1"/>
  <c r="ON36" i="94" s="1"/>
  <c r="ON37" i="94" s="1"/>
  <c r="ON38" i="94" s="1"/>
  <c r="ON39" i="94" s="1"/>
  <c r="ON40" i="94" s="1"/>
  <c r="ON41" i="94" s="1"/>
  <c r="ON9" i="99" s="1"/>
  <c r="NY11" i="94"/>
  <c r="NY12" i="94" s="1"/>
  <c r="NY13" i="94" s="1"/>
  <c r="NY14" i="94" s="1"/>
  <c r="NY15" i="94" s="1"/>
  <c r="NY16" i="94" s="1"/>
  <c r="NY17" i="94" s="1"/>
  <c r="NY18" i="94" s="1"/>
  <c r="NY19" i="94" s="1"/>
  <c r="NY20" i="94" s="1"/>
  <c r="NY21" i="94" s="1"/>
  <c r="NY22" i="94" s="1"/>
  <c r="NY23" i="94" s="1"/>
  <c r="NY24" i="94" s="1"/>
  <c r="NY25" i="94" s="1"/>
  <c r="NY26" i="94" s="1"/>
  <c r="NY27" i="94" s="1"/>
  <c r="NY28" i="94" s="1"/>
  <c r="NY29" i="94" s="1"/>
  <c r="NY30" i="94" s="1"/>
  <c r="NY31" i="94" s="1"/>
  <c r="NY32" i="94" s="1"/>
  <c r="NY33" i="94" s="1"/>
  <c r="NY34" i="94" s="1"/>
  <c r="NY35" i="94" s="1"/>
  <c r="NY36" i="94" s="1"/>
  <c r="NY37" i="94" s="1"/>
  <c r="NY38" i="94" s="1"/>
  <c r="NY39" i="94" s="1"/>
  <c r="NY40" i="94" s="1"/>
  <c r="NY41" i="94" s="1"/>
  <c r="NY44" i="94" s="1"/>
  <c r="OC11" i="94"/>
  <c r="OC12" i="94" s="1"/>
  <c r="OC13" i="94" s="1"/>
  <c r="OC14" i="94" s="1"/>
  <c r="OC15" i="94" s="1"/>
  <c r="OC16" i="94" s="1"/>
  <c r="NW11" i="94"/>
  <c r="NW12" i="94" s="1"/>
  <c r="NW13" i="94" s="1"/>
  <c r="NW14" i="94" s="1"/>
  <c r="NW15" i="94" s="1"/>
  <c r="NW16" i="94" s="1"/>
  <c r="NW17" i="94" s="1"/>
  <c r="NW18" i="94" s="1"/>
  <c r="NW19" i="94" s="1"/>
  <c r="NW20" i="94" s="1"/>
  <c r="NW21" i="94" s="1"/>
  <c r="NW22" i="94" s="1"/>
  <c r="NW23" i="94" s="1"/>
  <c r="NW24" i="94" s="1"/>
  <c r="NW25" i="94" s="1"/>
  <c r="NW26" i="94" s="1"/>
  <c r="NW27" i="94" s="1"/>
  <c r="NW28" i="94" s="1"/>
  <c r="NW29" i="94" s="1"/>
  <c r="NW30" i="94" s="1"/>
  <c r="NW31" i="94" s="1"/>
  <c r="NW32" i="94" s="1"/>
  <c r="NW33" i="94" s="1"/>
  <c r="NW34" i="94" s="1"/>
  <c r="NW35" i="94" s="1"/>
  <c r="NW36" i="94" s="1"/>
  <c r="NW37" i="94" s="1"/>
  <c r="NW38" i="94" s="1"/>
  <c r="NW39" i="94" s="1"/>
  <c r="NW40" i="94" s="1"/>
  <c r="NW41" i="94" s="1"/>
  <c r="NW42" i="94" s="1"/>
  <c r="NW44" i="94" s="1"/>
  <c r="NQ41" i="94"/>
  <c r="NQ9" i="99" s="1"/>
  <c r="NN11" i="94"/>
  <c r="NN12" i="94" s="1"/>
  <c r="NN13" i="94" s="1"/>
  <c r="NN14" i="94" s="1"/>
  <c r="NN15" i="94" s="1"/>
  <c r="NN16" i="94" s="1"/>
  <c r="NN17" i="94" s="1"/>
  <c r="NN18" i="94" s="1"/>
  <c r="NN19" i="94" s="1"/>
  <c r="NN20" i="94" s="1"/>
  <c r="NN21" i="94" s="1"/>
  <c r="NN22" i="94" s="1"/>
  <c r="NN23" i="94" s="1"/>
  <c r="NN24" i="94" s="1"/>
  <c r="NN25" i="94" s="1"/>
  <c r="NN26" i="94" s="1"/>
  <c r="NN27" i="94" s="1"/>
  <c r="NN28" i="94" s="1"/>
  <c r="NN29" i="94" s="1"/>
  <c r="NN30" i="94" s="1"/>
  <c r="NN31" i="94" s="1"/>
  <c r="NN32" i="94" s="1"/>
  <c r="NN33" i="94" s="1"/>
  <c r="NN34" i="94" s="1"/>
  <c r="NN35" i="94" s="1"/>
  <c r="NN36" i="94" s="1"/>
  <c r="NN37" i="94" s="1"/>
  <c r="NN38" i="94" s="1"/>
  <c r="NN39" i="94" s="1"/>
  <c r="NN40" i="94" s="1"/>
  <c r="NN41" i="94" s="1"/>
  <c r="AB210" i="94"/>
  <c r="AG41" i="94"/>
  <c r="LI18" i="94"/>
  <c r="AC18" i="94"/>
  <c r="AK41" i="94"/>
  <c r="AC31" i="94"/>
  <c r="RZ22" i="94"/>
  <c r="AC29" i="94"/>
  <c r="AR42" i="93"/>
  <c r="AC27" i="94"/>
  <c r="AS41" i="94"/>
  <c r="AQ42" i="94"/>
  <c r="AS42" i="94" s="1"/>
  <c r="AS44" i="94" s="1"/>
  <c r="AU42" i="94"/>
  <c r="AU44" i="94" s="1"/>
  <c r="CL24" i="93"/>
  <c r="BK41" i="94"/>
  <c r="RZ24" i="94"/>
  <c r="LI16" i="94"/>
  <c r="LI12" i="94"/>
  <c r="AC39" i="94"/>
  <c r="AC35" i="94"/>
  <c r="AC25" i="94"/>
  <c r="BM21" i="93"/>
  <c r="BM23" i="93" s="1"/>
  <c r="BM24" i="93" s="1"/>
  <c r="BM25" i="93" s="1"/>
  <c r="BM26" i="93" s="1"/>
  <c r="BM27" i="93" s="1"/>
  <c r="BM28" i="93" s="1"/>
  <c r="BM29" i="93" s="1"/>
  <c r="BM30" i="93" s="1"/>
  <c r="BM32" i="93" s="1"/>
  <c r="LI22" i="94"/>
  <c r="FD20" i="94"/>
  <c r="FD37" i="94"/>
  <c r="AR26" i="93"/>
  <c r="CL28" i="93"/>
  <c r="AR40" i="93"/>
  <c r="FD29" i="94"/>
  <c r="LI28" i="94"/>
  <c r="RZ23" i="94"/>
  <c r="AC14" i="94"/>
  <c r="LI13" i="94"/>
  <c r="AC34" i="94"/>
  <c r="AC23" i="94"/>
  <c r="CL35" i="93"/>
  <c r="AR41" i="93"/>
  <c r="AR27" i="93"/>
  <c r="LI14" i="94"/>
  <c r="AR25" i="93"/>
  <c r="AR30" i="93"/>
  <c r="AB41" i="94"/>
  <c r="FD36" i="94"/>
  <c r="CL33" i="93"/>
  <c r="JJ44" i="94"/>
  <c r="FD21" i="94"/>
  <c r="FD11" i="94"/>
  <c r="FD34" i="94"/>
  <c r="KX44" i="94"/>
  <c r="AU170" i="2"/>
  <c r="AB159" i="2" s="1"/>
  <c r="FD16" i="94"/>
  <c r="BE44" i="93"/>
  <c r="BE46" i="93" s="1"/>
  <c r="BE47" i="93" s="1"/>
  <c r="FD31" i="94"/>
  <c r="AC30" i="94"/>
  <c r="AC11" i="94"/>
  <c r="OH44" i="94"/>
  <c r="NC10" i="94"/>
  <c r="AK43" i="94"/>
  <c r="AK44" i="94" s="1"/>
  <c r="J39" i="88" s="1"/>
  <c r="BK42" i="94"/>
  <c r="BK44" i="94" s="1"/>
  <c r="FD40" i="94"/>
  <c r="KZ44" i="94"/>
  <c r="AU172" i="2"/>
  <c r="NU44" i="94"/>
  <c r="CL22" i="93"/>
  <c r="AR36" i="93"/>
  <c r="CL38" i="93"/>
  <c r="KY44" i="94"/>
  <c r="AU171" i="2"/>
  <c r="FD27" i="94"/>
  <c r="SB17" i="94"/>
  <c r="FD13" i="94"/>
  <c r="CL29" i="93"/>
  <c r="AR34" i="93"/>
  <c r="LI34" i="94"/>
  <c r="FD15" i="94"/>
  <c r="FD38" i="94"/>
  <c r="FD22" i="94"/>
  <c r="AR31" i="93"/>
  <c r="AR32" i="93"/>
  <c r="AR23" i="93"/>
  <c r="AR39" i="93"/>
  <c r="K44" i="94"/>
  <c r="AU127" i="2"/>
  <c r="AA147" i="2" s="1"/>
  <c r="FD18" i="94"/>
  <c r="AC12" i="94"/>
  <c r="J44" i="94"/>
  <c r="GM37" i="94"/>
  <c r="FD17" i="94"/>
  <c r="AR21" i="93"/>
  <c r="AR37" i="93"/>
  <c r="AB43" i="93"/>
  <c r="AB44" i="93" s="1"/>
  <c r="AU129" i="2"/>
  <c r="FD30" i="94"/>
  <c r="AC20" i="94"/>
  <c r="RJ20" i="94"/>
  <c r="RJ21" i="94" s="1"/>
  <c r="RJ22" i="94" s="1"/>
  <c r="RJ23" i="94" s="1"/>
  <c r="RJ24" i="94" s="1"/>
  <c r="RJ25" i="94" s="1"/>
  <c r="RJ26" i="94" s="1"/>
  <c r="RJ27" i="94" s="1"/>
  <c r="RJ28" i="94" s="1"/>
  <c r="RJ29" i="94" s="1"/>
  <c r="RJ30" i="94" s="1"/>
  <c r="RJ31" i="94" s="1"/>
  <c r="RJ32" i="94" s="1"/>
  <c r="RJ33" i="94" s="1"/>
  <c r="RJ34" i="94" s="1"/>
  <c r="RJ35" i="94" s="1"/>
  <c r="RJ36" i="94" s="1"/>
  <c r="RJ37" i="94" s="1"/>
  <c r="RJ38" i="94" s="1"/>
  <c r="RJ39" i="94" s="1"/>
  <c r="RJ40" i="94" s="1"/>
  <c r="AJ44" i="94"/>
  <c r="AC28" i="94"/>
  <c r="AC22" i="94"/>
  <c r="RI20" i="94"/>
  <c r="RI21" i="94" s="1"/>
  <c r="RI22" i="94" s="1"/>
  <c r="RI23" i="94" s="1"/>
  <c r="RI24" i="94" s="1"/>
  <c r="RI25" i="94" s="1"/>
  <c r="RI26" i="94" s="1"/>
  <c r="RI27" i="94" s="1"/>
  <c r="RI28" i="94" s="1"/>
  <c r="RI29" i="94" s="1"/>
  <c r="RI30" i="94" s="1"/>
  <c r="RI31" i="94" s="1"/>
  <c r="RI32" i="94" s="1"/>
  <c r="RI33" i="94" s="1"/>
  <c r="RI34" i="94" s="1"/>
  <c r="RI35" i="94" s="1"/>
  <c r="RI36" i="94" s="1"/>
  <c r="RI37" i="94" s="1"/>
  <c r="RI38" i="94" s="1"/>
  <c r="RI39" i="94" s="1"/>
  <c r="RI40" i="94" s="1"/>
  <c r="AC17" i="94"/>
  <c r="CC41" i="94"/>
  <c r="D16" i="94"/>
  <c r="D13" i="94"/>
  <c r="D12" i="94"/>
  <c r="D19" i="94"/>
  <c r="BP42" i="94"/>
  <c r="BP44" i="94" s="1"/>
  <c r="AB44" i="94" s="1"/>
  <c r="BQ41" i="94"/>
  <c r="LI40" i="94"/>
  <c r="QO37" i="94"/>
  <c r="U40" i="94"/>
  <c r="RZ40" i="94"/>
  <c r="QP40" i="94"/>
  <c r="Y39" i="94"/>
  <c r="QP39" i="94"/>
  <c r="GM39" i="94"/>
  <c r="D39" i="94"/>
  <c r="D38" i="94"/>
  <c r="QP38" i="94"/>
  <c r="Q37" i="94"/>
  <c r="D37" i="94"/>
  <c r="Q36" i="94"/>
  <c r="D36" i="94"/>
  <c r="U36" i="94"/>
  <c r="GM36" i="94"/>
  <c r="D35" i="94"/>
  <c r="QO35" i="94"/>
  <c r="Q35" i="94"/>
  <c r="GM35" i="94"/>
  <c r="Q34" i="94"/>
  <c r="D34" i="94"/>
  <c r="QO34" i="94"/>
  <c r="QP31" i="94"/>
  <c r="QP33" i="94"/>
  <c r="Y33" i="94"/>
  <c r="Y32" i="94"/>
  <c r="D33" i="94"/>
  <c r="U33" i="94"/>
  <c r="CJ44" i="94"/>
  <c r="I46" i="94"/>
  <c r="D32" i="94"/>
  <c r="U32" i="94"/>
  <c r="QO40" i="94"/>
  <c r="QP35" i="94"/>
  <c r="QO39" i="94"/>
  <c r="QP37" i="94"/>
  <c r="SB34" i="94"/>
  <c r="SB37" i="94"/>
  <c r="SB35" i="94"/>
  <c r="QP34" i="94"/>
  <c r="QO33" i="94"/>
  <c r="D31" i="94"/>
  <c r="QO31" i="94"/>
  <c r="BW42" i="94"/>
  <c r="BW44" i="94" s="1"/>
  <c r="BV48" i="94"/>
  <c r="D30" i="94"/>
  <c r="D14" i="94"/>
  <c r="PY41" i="94"/>
  <c r="PY42" i="94" s="1"/>
  <c r="PY44" i="94" s="1"/>
  <c r="Q29" i="94"/>
  <c r="RZ29" i="94"/>
  <c r="D29" i="94"/>
  <c r="SB29" i="94"/>
  <c r="D28" i="94"/>
  <c r="U28" i="94"/>
  <c r="RZ28" i="94"/>
  <c r="D27" i="94"/>
  <c r="RZ27" i="94"/>
  <c r="Q25" i="94"/>
  <c r="Q26" i="94"/>
  <c r="RZ26" i="94"/>
  <c r="D22" i="94"/>
  <c r="D21" i="94"/>
  <c r="D20" i="94"/>
  <c r="D18" i="94"/>
  <c r="D17" i="94"/>
  <c r="D11" i="94"/>
  <c r="D26" i="94"/>
  <c r="U26" i="94"/>
  <c r="D25" i="94"/>
  <c r="RZ25" i="94"/>
  <c r="Q24" i="94"/>
  <c r="D10" i="94"/>
  <c r="D24" i="94"/>
  <c r="U24" i="94"/>
  <c r="HJ42" i="94"/>
  <c r="HJ44" i="94" s="1"/>
  <c r="D15" i="94"/>
  <c r="G7" i="93"/>
  <c r="Q23" i="94"/>
  <c r="D23" i="94"/>
  <c r="OL11" i="94"/>
  <c r="OL12" i="94" s="1"/>
  <c r="OL13" i="94" s="1"/>
  <c r="OL14" i="94" s="1"/>
  <c r="NE9" i="94"/>
  <c r="Y22" i="94"/>
  <c r="U22" i="94"/>
  <c r="Q22" i="94"/>
  <c r="C43" i="93"/>
  <c r="Y16" i="94"/>
  <c r="D179" i="94"/>
  <c r="U19" i="94"/>
  <c r="U20" i="94"/>
  <c r="RZ10" i="94"/>
  <c r="Q19" i="94"/>
  <c r="Y18" i="94"/>
  <c r="U18" i="94"/>
  <c r="BF44" i="93"/>
  <c r="Y43" i="94"/>
  <c r="C96" i="94"/>
  <c r="P137" i="94"/>
  <c r="D137" i="94" s="1"/>
  <c r="Q17" i="94"/>
  <c r="OJ40" i="94"/>
  <c r="OJ41" i="94" s="1"/>
  <c r="OJ44" i="94" s="1"/>
  <c r="Y13" i="94"/>
  <c r="Q13" i="94"/>
  <c r="OM15" i="94"/>
  <c r="OM16" i="94" s="1"/>
  <c r="OM17" i="94" s="1"/>
  <c r="OM18" i="94" s="1"/>
  <c r="OM19" i="94" s="1"/>
  <c r="OM20" i="94" s="1"/>
  <c r="OM21" i="94" s="1"/>
  <c r="OM22" i="94" s="1"/>
  <c r="OM23" i="94" s="1"/>
  <c r="OM24" i="94" s="1"/>
  <c r="OM25" i="94" s="1"/>
  <c r="OM26" i="94" s="1"/>
  <c r="OM27" i="94" s="1"/>
  <c r="OM28" i="94" s="1"/>
  <c r="OM29" i="94" s="1"/>
  <c r="OM30" i="94" s="1"/>
  <c r="OM31" i="94" s="1"/>
  <c r="OM32" i="94" s="1"/>
  <c r="OM33" i="94" s="1"/>
  <c r="OM34" i="94" s="1"/>
  <c r="OM35" i="94" s="1"/>
  <c r="OM36" i="94" s="1"/>
  <c r="OM37" i="94" s="1"/>
  <c r="OM38" i="94" s="1"/>
  <c r="OM39" i="94" s="1"/>
  <c r="OM40" i="94" s="1"/>
  <c r="OM41" i="94" s="1"/>
  <c r="OM42" i="94" s="1"/>
  <c r="IL44" i="94"/>
  <c r="IJ44" i="94"/>
  <c r="IW44" i="94"/>
  <c r="IY44" i="94"/>
  <c r="RZ13" i="94"/>
  <c r="OA13" i="94"/>
  <c r="OA14" i="94" s="1"/>
  <c r="OA15" i="94" s="1"/>
  <c r="OA16" i="94" s="1"/>
  <c r="OA17" i="94" s="1"/>
  <c r="OA18" i="94" s="1"/>
  <c r="OA19" i="94" s="1"/>
  <c r="OA20" i="94" s="1"/>
  <c r="OA21" i="94" s="1"/>
  <c r="OA22" i="94" s="1"/>
  <c r="OA23" i="94" s="1"/>
  <c r="OA24" i="94" s="1"/>
  <c r="OA25" i="94" s="1"/>
  <c r="OA26" i="94" s="1"/>
  <c r="OA27" i="94" s="1"/>
  <c r="OA28" i="94" s="1"/>
  <c r="OA29" i="94" s="1"/>
  <c r="OA30" i="94" s="1"/>
  <c r="OA31" i="94" s="1"/>
  <c r="OA32" i="94" s="1"/>
  <c r="OA33" i="94" s="1"/>
  <c r="OA34" i="94" s="1"/>
  <c r="OA35" i="94" s="1"/>
  <c r="OA36" i="94" s="1"/>
  <c r="OA37" i="94" s="1"/>
  <c r="OA38" i="94" s="1"/>
  <c r="OA39" i="94" s="1"/>
  <c r="OA40" i="94" s="1"/>
  <c r="OA41" i="94" s="1"/>
  <c r="OA44" i="94" s="1"/>
  <c r="QO12" i="94"/>
  <c r="KU44" i="94"/>
  <c r="QP12" i="94"/>
  <c r="KT44" i="94"/>
  <c r="KS44" i="94"/>
  <c r="AU158" i="2"/>
  <c r="AB158" i="2" s="1"/>
  <c r="M44" i="94"/>
  <c r="L44" i="94"/>
  <c r="G6" i="93"/>
  <c r="U12" i="94"/>
  <c r="QP10" i="94"/>
  <c r="AU62" i="2"/>
  <c r="AY42" i="94"/>
  <c r="AY44" i="94" s="1"/>
  <c r="NJ12" i="94"/>
  <c r="NJ13" i="94" s="1"/>
  <c r="NJ14" i="94" s="1"/>
  <c r="NJ15" i="94" s="1"/>
  <c r="NJ16" i="94" s="1"/>
  <c r="NJ17" i="94" s="1"/>
  <c r="NJ18" i="94" s="1"/>
  <c r="Y10" i="94"/>
  <c r="Y11" i="94"/>
  <c r="KP44" i="94"/>
  <c r="AU147" i="2"/>
  <c r="KO44" i="94"/>
  <c r="AU146" i="2"/>
  <c r="KN44" i="94"/>
  <c r="AU145" i="2"/>
  <c r="AB157" i="2" s="1"/>
  <c r="D43" i="93"/>
  <c r="D44" i="93" s="1"/>
  <c r="BZ41" i="94"/>
  <c r="BE41" i="94"/>
  <c r="BE42" i="94" s="1"/>
  <c r="BE44" i="94" s="1"/>
  <c r="QG11" i="94"/>
  <c r="QG12" i="94" s="1"/>
  <c r="QG13" i="94" s="1"/>
  <c r="QG14" i="94" s="1"/>
  <c r="QG15" i="94" s="1"/>
  <c r="QG16" i="94" s="1"/>
  <c r="QG17" i="94" s="1"/>
  <c r="QG18" i="94" s="1"/>
  <c r="QG19" i="94" s="1"/>
  <c r="QG20" i="94" s="1"/>
  <c r="QG21" i="94" s="1"/>
  <c r="QG22" i="94" s="1"/>
  <c r="QG23" i="94" s="1"/>
  <c r="QG24" i="94" s="1"/>
  <c r="QG25" i="94" s="1"/>
  <c r="QG26" i="94" s="1"/>
  <c r="QG27" i="94" s="1"/>
  <c r="QG28" i="94" s="1"/>
  <c r="QG29" i="94" s="1"/>
  <c r="QG30" i="94" s="1"/>
  <c r="QG31" i="94" s="1"/>
  <c r="QG32" i="94" s="1"/>
  <c r="QG33" i="94" s="1"/>
  <c r="QG34" i="94" s="1"/>
  <c r="QG35" i="94" s="1"/>
  <c r="QG36" i="94" s="1"/>
  <c r="QG37" i="94" s="1"/>
  <c r="QG38" i="94" s="1"/>
  <c r="QG39" i="94" s="1"/>
  <c r="QG40" i="94" s="1"/>
  <c r="QG41" i="94" s="1"/>
  <c r="AX44" i="94"/>
  <c r="AY41" i="94"/>
  <c r="CH13" i="93"/>
  <c r="AF12" i="93"/>
  <c r="S43" i="93"/>
  <c r="O44" i="93"/>
  <c r="BN41" i="94"/>
  <c r="BN42" i="94" s="1"/>
  <c r="BN44" i="94" s="1"/>
  <c r="U10" i="94"/>
  <c r="Q10" i="94"/>
  <c r="O137" i="94"/>
  <c r="C137" i="94" s="1"/>
  <c r="D95" i="94"/>
  <c r="D53" i="94"/>
  <c r="C53" i="94"/>
  <c r="D178" i="94"/>
  <c r="C95" i="94"/>
  <c r="Q43" i="94"/>
  <c r="AF11" i="93"/>
  <c r="AF13" i="93"/>
  <c r="QF11" i="94"/>
  <c r="QF12" i="94" s="1"/>
  <c r="QF13" i="94" s="1"/>
  <c r="QF14" i="94" s="1"/>
  <c r="QF15" i="94" s="1"/>
  <c r="QF16" i="94" s="1"/>
  <c r="QF17" i="94" s="1"/>
  <c r="QF18" i="94" s="1"/>
  <c r="QF19" i="94" s="1"/>
  <c r="QF20" i="94" s="1"/>
  <c r="QF21" i="94" s="1"/>
  <c r="QF22" i="94" s="1"/>
  <c r="QF23" i="94" s="1"/>
  <c r="QF24" i="94" s="1"/>
  <c r="QF25" i="94" s="1"/>
  <c r="QF26" i="94" s="1"/>
  <c r="QF27" i="94" s="1"/>
  <c r="QF28" i="94" s="1"/>
  <c r="QF29" i="94" s="1"/>
  <c r="QF30" i="94" s="1"/>
  <c r="QF31" i="94" s="1"/>
  <c r="QF32" i="94" s="1"/>
  <c r="QF33" i="94" s="1"/>
  <c r="QF34" i="94" s="1"/>
  <c r="QF35" i="94" s="1"/>
  <c r="QF36" i="94" s="1"/>
  <c r="QF37" i="94" s="1"/>
  <c r="QF38" i="94" s="1"/>
  <c r="QF39" i="94" s="1"/>
  <c r="QF40" i="94" s="1"/>
  <c r="QF41" i="94" s="1"/>
  <c r="LI38" i="94"/>
  <c r="LI26" i="94"/>
  <c r="LI20" i="94"/>
  <c r="LI29" i="94"/>
  <c r="MB41" i="94"/>
  <c r="MB42" i="94" s="1"/>
  <c r="MB44" i="94" s="1"/>
  <c r="LI36" i="94"/>
  <c r="LI21" i="94"/>
  <c r="LI19" i="94"/>
  <c r="LV41" i="94"/>
  <c r="LV42" i="94" s="1"/>
  <c r="LV44" i="94" s="1"/>
  <c r="NB10" i="94"/>
  <c r="LH41" i="94"/>
  <c r="LH42" i="94" s="1"/>
  <c r="AU92" i="2" s="1"/>
  <c r="LG41" i="94"/>
  <c r="LG42" i="94" s="1"/>
  <c r="C63" i="98" s="1"/>
  <c r="W52" i="106" s="1"/>
  <c r="LI32" i="94"/>
  <c r="LI17" i="94"/>
  <c r="LI11" i="94"/>
  <c r="LI15" i="94"/>
  <c r="LI24" i="94"/>
  <c r="LI10" i="94"/>
  <c r="LI23" i="94"/>
  <c r="SB13" i="94"/>
  <c r="SB31" i="94"/>
  <c r="SB24" i="94"/>
  <c r="SB22" i="94"/>
  <c r="SB28" i="94"/>
  <c r="SB14" i="94"/>
  <c r="SB26" i="94"/>
  <c r="SB12" i="94"/>
  <c r="QO10" i="94"/>
  <c r="SB21" i="94"/>
  <c r="SB15" i="94"/>
  <c r="SB20" i="94"/>
  <c r="GM27" i="94"/>
  <c r="GM29" i="94"/>
  <c r="GM32" i="94"/>
  <c r="GM12" i="94"/>
  <c r="QP24" i="94"/>
  <c r="GM14" i="94"/>
  <c r="GM20" i="94"/>
  <c r="QP16" i="94"/>
  <c r="GM24" i="94"/>
  <c r="GM15" i="94"/>
  <c r="GM31" i="94"/>
  <c r="GM21" i="94"/>
  <c r="GM33" i="94"/>
  <c r="GM16" i="94"/>
  <c r="GM23" i="94"/>
  <c r="GM22" i="94"/>
  <c r="EQ41" i="94"/>
  <c r="EQ42" i="94" s="1"/>
  <c r="EQ44" i="94" s="1"/>
  <c r="DC34" i="94"/>
  <c r="QP18" i="94"/>
  <c r="RZ11" i="94"/>
  <c r="DC19" i="94"/>
  <c r="QO14" i="94"/>
  <c r="QP20" i="94"/>
  <c r="QP26" i="94"/>
  <c r="QP14" i="94"/>
  <c r="DC33" i="94"/>
  <c r="RZ15" i="94"/>
  <c r="QO26" i="94"/>
  <c r="RZ19" i="94"/>
  <c r="QO24" i="94"/>
  <c r="QO22" i="94"/>
  <c r="DC31" i="94"/>
  <c r="DC30" i="94"/>
  <c r="DC38" i="94"/>
  <c r="QP28" i="94"/>
  <c r="QO21" i="94"/>
  <c r="DC15" i="94"/>
  <c r="QO16" i="94"/>
  <c r="DC37" i="94"/>
  <c r="DC28" i="94"/>
  <c r="QP22" i="94"/>
  <c r="QP17" i="94"/>
  <c r="DC14" i="94"/>
  <c r="DA41" i="94"/>
  <c r="DA42" i="94" s="1"/>
  <c r="DA44" i="94" s="1"/>
  <c r="DC26" i="94"/>
  <c r="QO15" i="94"/>
  <c r="CS41" i="94"/>
  <c r="CS42" i="94" s="1"/>
  <c r="CS44" i="94" s="1"/>
  <c r="C38" i="94"/>
  <c r="Y25" i="94"/>
  <c r="Y12" i="94"/>
  <c r="AC26" i="94"/>
  <c r="AC36" i="94"/>
  <c r="AC15" i="94"/>
  <c r="AC13" i="94"/>
  <c r="AC37" i="94"/>
  <c r="AC19" i="94"/>
  <c r="AC40" i="94"/>
  <c r="U34" i="94"/>
  <c r="RZ37" i="94"/>
  <c r="U17" i="94"/>
  <c r="BU48" i="94"/>
  <c r="BW41" i="94"/>
  <c r="Y14" i="94"/>
  <c r="Y15" i="94"/>
  <c r="Y28" i="94"/>
  <c r="Y30" i="94"/>
  <c r="Y36" i="94"/>
  <c r="Y35" i="94"/>
  <c r="Y29" i="94"/>
  <c r="Y23" i="94"/>
  <c r="BR48" i="94"/>
  <c r="Y24" i="94"/>
  <c r="BT41" i="94"/>
  <c r="BT42" i="94" s="1"/>
  <c r="BT44" i="94" s="1"/>
  <c r="Y17" i="94"/>
  <c r="Y21" i="94"/>
  <c r="C25" i="94"/>
  <c r="Y20" i="94"/>
  <c r="Y27" i="94"/>
  <c r="BL44" i="94"/>
  <c r="BL48" i="94"/>
  <c r="D40" i="94"/>
  <c r="C28" i="94"/>
  <c r="U13" i="94"/>
  <c r="U30" i="94"/>
  <c r="U29" i="94"/>
  <c r="C13" i="94"/>
  <c r="T41" i="94"/>
  <c r="U16" i="94"/>
  <c r="BM42" i="94"/>
  <c r="U38" i="94"/>
  <c r="C30" i="94"/>
  <c r="U37" i="94"/>
  <c r="C27" i="94"/>
  <c r="C39" i="94"/>
  <c r="U23" i="94"/>
  <c r="U14" i="94"/>
  <c r="U27" i="94"/>
  <c r="S41" i="94"/>
  <c r="C29" i="94"/>
  <c r="U35" i="94"/>
  <c r="U25" i="94"/>
  <c r="Q18" i="94"/>
  <c r="Q28" i="94"/>
  <c r="RZ34" i="94"/>
  <c r="BC48" i="94"/>
  <c r="RZ20" i="94"/>
  <c r="RZ21" i="94"/>
  <c r="RZ38" i="94"/>
  <c r="C18" i="94"/>
  <c r="Q15" i="94"/>
  <c r="Q21" i="94"/>
  <c r="Q16" i="94"/>
  <c r="Q27" i="94"/>
  <c r="Q38" i="94"/>
  <c r="Q32" i="94"/>
  <c r="RZ12" i="94"/>
  <c r="Q11" i="94"/>
  <c r="Q39" i="94"/>
  <c r="KD45" i="94"/>
  <c r="O97" i="94"/>
  <c r="BX44" i="94"/>
  <c r="BZ42" i="94"/>
  <c r="BZ44" i="94" s="1"/>
  <c r="Q31" i="94"/>
  <c r="C31" i="94"/>
  <c r="AC32" i="94"/>
  <c r="MT41" i="94"/>
  <c r="MT42" i="94" s="1"/>
  <c r="MT44" i="94" s="1"/>
  <c r="JN45" i="94"/>
  <c r="GZ44" i="94"/>
  <c r="GM25" i="94"/>
  <c r="GJ41" i="94"/>
  <c r="GJ42" i="94" s="1"/>
  <c r="GJ44" i="94" s="1"/>
  <c r="RV25" i="94"/>
  <c r="SB25" i="94" s="1"/>
  <c r="GV41" i="94"/>
  <c r="GV42" i="94" s="1"/>
  <c r="GV44" i="94" s="1"/>
  <c r="QE11" i="94"/>
  <c r="MZ10" i="94"/>
  <c r="D180" i="94"/>
  <c r="P181" i="94"/>
  <c r="AW48" i="94"/>
  <c r="U43" i="94"/>
  <c r="X41" i="94"/>
  <c r="Y19" i="94"/>
  <c r="C19" i="94"/>
  <c r="W41" i="94"/>
  <c r="NF10" i="94"/>
  <c r="NR9" i="94"/>
  <c r="FD19" i="94"/>
  <c r="BG44" i="94"/>
  <c r="LI37" i="94"/>
  <c r="LF41" i="94"/>
  <c r="BJ43" i="93"/>
  <c r="BJ44" i="93" s="1"/>
  <c r="BJ46" i="93" s="1"/>
  <c r="BJ47" i="93" s="1"/>
  <c r="C178" i="94"/>
  <c r="O179" i="94"/>
  <c r="BH42" i="94"/>
  <c r="BH44" i="94" s="1"/>
  <c r="BF44" i="94"/>
  <c r="S42" i="94"/>
  <c r="D54" i="94"/>
  <c r="P55" i="94"/>
  <c r="D43" i="94"/>
  <c r="IA42" i="94"/>
  <c r="JV45" i="94"/>
  <c r="JE42" i="94"/>
  <c r="JE44" i="94" s="1"/>
  <c r="Y34" i="94"/>
  <c r="C34" i="94"/>
  <c r="C54" i="94"/>
  <c r="O55" i="94"/>
  <c r="GM28" i="94"/>
  <c r="FC41" i="94"/>
  <c r="FC42" i="94" s="1"/>
  <c r="FC44" i="94" s="1"/>
  <c r="GM38" i="94"/>
  <c r="GX49" i="94" s="1"/>
  <c r="P96" i="94"/>
  <c r="C43" i="94"/>
  <c r="IB44" i="94"/>
  <c r="DC39" i="94"/>
  <c r="FA14" i="94"/>
  <c r="FM41" i="94"/>
  <c r="FM42" i="94" s="1"/>
  <c r="FM44" i="94" s="1"/>
  <c r="P41" i="94"/>
  <c r="DC11" i="94"/>
  <c r="AC10" i="94"/>
  <c r="AA41" i="94"/>
  <c r="RZ30" i="94"/>
  <c r="DQ41" i="94"/>
  <c r="DQ42" i="94" s="1"/>
  <c r="DQ44" i="94" s="1"/>
  <c r="QP11" i="94"/>
  <c r="SB11" i="94"/>
  <c r="QO11" i="94"/>
  <c r="JK41" i="94"/>
  <c r="JK48" i="94" s="1"/>
  <c r="DC10" i="94"/>
  <c r="CQ41" i="94"/>
  <c r="CQ42" i="94" s="1"/>
  <c r="CQ44" i="94" s="1"/>
  <c r="FD39" i="94"/>
  <c r="PX41" i="94"/>
  <c r="HL41" i="94"/>
  <c r="BH41" i="94"/>
  <c r="GL13" i="94"/>
  <c r="GL41" i="94" s="1"/>
  <c r="GL42" i="94" s="1"/>
  <c r="GL44" i="94" s="1"/>
  <c r="JE41" i="94"/>
  <c r="CF41" i="94"/>
  <c r="CF42" i="94" s="1"/>
  <c r="CF44" i="94" s="1"/>
  <c r="CD42" i="94"/>
  <c r="DC27" i="94"/>
  <c r="GM26" i="94"/>
  <c r="DC40" i="94"/>
  <c r="EX41" i="94"/>
  <c r="EX42" i="94" s="1"/>
  <c r="EX44" i="94" s="1"/>
  <c r="CC42" i="94"/>
  <c r="CC44" i="94" s="1"/>
  <c r="CB44" i="94"/>
  <c r="QO30" i="94"/>
  <c r="SB30" i="94"/>
  <c r="QP30" i="94"/>
  <c r="BB41" i="94"/>
  <c r="BB42" i="94" s="1"/>
  <c r="BB44" i="94" s="1"/>
  <c r="AG42" i="94"/>
  <c r="AG44" i="94" s="1"/>
  <c r="QO36" i="94"/>
  <c r="QP36" i="94"/>
  <c r="CU41" i="94"/>
  <c r="CU42" i="94" s="1"/>
  <c r="CU44" i="94" s="1"/>
  <c r="BO44" i="94"/>
  <c r="U39" i="94"/>
  <c r="DC35" i="94"/>
  <c r="DC29" i="94"/>
  <c r="CY41" i="94"/>
  <c r="CY42" i="94" s="1"/>
  <c r="CY44" i="94" s="1"/>
  <c r="AZ42" i="94"/>
  <c r="AZ44" i="94" s="1"/>
  <c r="SB40" i="94"/>
  <c r="FD33" i="94"/>
  <c r="JI42" i="94"/>
  <c r="C53" i="98" s="1"/>
  <c r="D52" i="106" s="1"/>
  <c r="C40" i="94"/>
  <c r="Q40" i="94"/>
  <c r="SB38" i="94"/>
  <c r="QO38" i="94"/>
  <c r="FD35" i="94"/>
  <c r="Q33" i="94"/>
  <c r="DC32" i="94"/>
  <c r="SE23" i="94"/>
  <c r="PL41" i="94"/>
  <c r="PL42" i="94" s="1"/>
  <c r="QP13" i="94"/>
  <c r="PF11" i="94"/>
  <c r="OZ12" i="94"/>
  <c r="C37" i="94"/>
  <c r="GM34" i="94"/>
  <c r="RZ33" i="94"/>
  <c r="Y26" i="94"/>
  <c r="SB36" i="94"/>
  <c r="FD26" i="94"/>
  <c r="AE44" i="94"/>
  <c r="C33" i="94"/>
  <c r="ED41" i="94"/>
  <c r="ED42" i="94" s="1"/>
  <c r="ED44" i="94" s="1"/>
  <c r="DC17" i="94"/>
  <c r="GK41" i="94"/>
  <c r="O41" i="94"/>
  <c r="GM17" i="94"/>
  <c r="DC36" i="94"/>
  <c r="Q30" i="94"/>
  <c r="QO25" i="94"/>
  <c r="CW41" i="94"/>
  <c r="CW42" i="94" s="1"/>
  <c r="CW44" i="94" s="1"/>
  <c r="IA41" i="94"/>
  <c r="AN42" i="94"/>
  <c r="AN44" i="94" s="1"/>
  <c r="AP41" i="94"/>
  <c r="AP42" i="94" s="1"/>
  <c r="AP44" i="94" s="1"/>
  <c r="GM40" i="94"/>
  <c r="LI30" i="94"/>
  <c r="U31" i="94"/>
  <c r="DC25" i="94"/>
  <c r="QO23" i="94"/>
  <c r="QP23" i="94"/>
  <c r="SB23" i="94"/>
  <c r="RZ31" i="94"/>
  <c r="AC24" i="94"/>
  <c r="GM10" i="94"/>
  <c r="RZ35" i="94"/>
  <c r="C35" i="94"/>
  <c r="FD25" i="94"/>
  <c r="DC24" i="94"/>
  <c r="C21" i="94"/>
  <c r="AC21" i="94"/>
  <c r="FB12" i="94"/>
  <c r="FB41" i="94" s="1"/>
  <c r="FB42" i="94" s="1"/>
  <c r="FB44" i="94" s="1"/>
  <c r="FT41" i="94"/>
  <c r="FT42" i="94" s="1"/>
  <c r="FT44" i="94" s="1"/>
  <c r="RZ39" i="94"/>
  <c r="RZ32" i="94"/>
  <c r="QO28" i="94"/>
  <c r="DC23" i="94"/>
  <c r="DC21" i="94"/>
  <c r="QO18" i="94"/>
  <c r="SB18" i="94"/>
  <c r="AC16" i="94"/>
  <c r="C16" i="94"/>
  <c r="Y38" i="94"/>
  <c r="SB33" i="94"/>
  <c r="C32" i="94"/>
  <c r="DC16" i="94"/>
  <c r="SB39" i="94"/>
  <c r="LI39" i="94"/>
  <c r="LI35" i="94"/>
  <c r="AC33" i="94"/>
  <c r="LI31" i="94"/>
  <c r="FD24" i="94"/>
  <c r="DC20" i="94"/>
  <c r="GM30" i="94"/>
  <c r="Q12" i="94"/>
  <c r="C12" i="94"/>
  <c r="RZ36" i="94"/>
  <c r="QO32" i="94"/>
  <c r="QP32" i="94"/>
  <c r="SB32" i="94"/>
  <c r="QP29" i="94"/>
  <c r="QO29" i="94"/>
  <c r="GM18" i="94"/>
  <c r="RZ14" i="94"/>
  <c r="IP41" i="94"/>
  <c r="GG41" i="94"/>
  <c r="GG42" i="94" s="1"/>
  <c r="GG44" i="94" s="1"/>
  <c r="C36" i="94"/>
  <c r="LI33" i="94"/>
  <c r="DC22" i="94"/>
  <c r="MY10" i="94"/>
  <c r="FD32" i="94"/>
  <c r="C26" i="94"/>
  <c r="QP21" i="94"/>
  <c r="RK19" i="94"/>
  <c r="RH20" i="94"/>
  <c r="C24" i="94"/>
  <c r="FD23" i="94"/>
  <c r="QO19" i="94"/>
  <c r="SB19" i="94"/>
  <c r="FD10" i="94"/>
  <c r="Q20" i="94"/>
  <c r="U11" i="94"/>
  <c r="PF10" i="94"/>
  <c r="FD28" i="94"/>
  <c r="C20" i="94"/>
  <c r="C11" i="94"/>
  <c r="Y31" i="94"/>
  <c r="QP27" i="94"/>
  <c r="QO27" i="94"/>
  <c r="SB27" i="94"/>
  <c r="QO20" i="94"/>
  <c r="QP19" i="94"/>
  <c r="QO17" i="94"/>
  <c r="C14" i="94"/>
  <c r="Q14" i="94"/>
  <c r="C22" i="94"/>
  <c r="U15" i="94"/>
  <c r="OF11" i="94"/>
  <c r="OR10" i="94"/>
  <c r="DC18" i="94"/>
  <c r="DC13" i="94"/>
  <c r="QO13" i="94"/>
  <c r="GM11" i="94"/>
  <c r="U21" i="94"/>
  <c r="GM19" i="94"/>
  <c r="RI11" i="94"/>
  <c r="RI12" i="94" s="1"/>
  <c r="RI13" i="94" s="1"/>
  <c r="RI14" i="94" s="1"/>
  <c r="RI15" i="94" s="1"/>
  <c r="RI16" i="94" s="1"/>
  <c r="RI17" i="94" s="1"/>
  <c r="DC12" i="94"/>
  <c r="QP25" i="94"/>
  <c r="LI25" i="94"/>
  <c r="RZ16" i="94"/>
  <c r="SB16" i="94"/>
  <c r="NS11" i="94"/>
  <c r="OE10" i="94"/>
  <c r="LI27" i="94"/>
  <c r="RZ17" i="94"/>
  <c r="QP15" i="94"/>
  <c r="C15" i="94"/>
  <c r="RH10" i="94"/>
  <c r="C23" i="94"/>
  <c r="C17" i="94"/>
  <c r="OE9" i="94"/>
  <c r="RZ18" i="94"/>
  <c r="RJ11" i="94"/>
  <c r="RJ12" i="94" s="1"/>
  <c r="RJ13" i="94" s="1"/>
  <c r="RJ14" i="94" s="1"/>
  <c r="RJ15" i="94" s="1"/>
  <c r="RJ16" i="94" s="1"/>
  <c r="RJ17" i="94" s="1"/>
  <c r="C10" i="94"/>
  <c r="SB10" i="94"/>
  <c r="Q44" i="93"/>
  <c r="P44" i="93"/>
  <c r="R43" i="93"/>
  <c r="S27" i="95" l="1"/>
  <c r="S28" i="95"/>
  <c r="NC23" i="116"/>
  <c r="W15" i="118" s="1"/>
  <c r="NF22" i="116"/>
  <c r="MX22" i="116" s="1"/>
  <c r="NQ10" i="99"/>
  <c r="NQ11" i="99" s="1"/>
  <c r="NQ12" i="99" s="1"/>
  <c r="NQ13" i="99" s="1"/>
  <c r="NQ14" i="99" s="1"/>
  <c r="NQ15" i="99" s="1"/>
  <c r="NQ16" i="99" s="1"/>
  <c r="NQ17" i="99" s="1"/>
  <c r="NQ18" i="99" s="1"/>
  <c r="NQ19" i="99" s="1"/>
  <c r="NQ20" i="99" s="1"/>
  <c r="NQ21" i="99" s="1"/>
  <c r="NQ22" i="99" s="1"/>
  <c r="NQ23" i="99" s="1"/>
  <c r="NQ24" i="99" s="1"/>
  <c r="NQ25" i="99" s="1"/>
  <c r="NQ26" i="99" s="1"/>
  <c r="NQ27" i="99" s="1"/>
  <c r="NQ28" i="99" s="1"/>
  <c r="NQ29" i="99" s="1"/>
  <c r="NQ30" i="99" s="1"/>
  <c r="NQ31" i="99" s="1"/>
  <c r="NQ32" i="99" s="1"/>
  <c r="NQ33" i="99" s="1"/>
  <c r="NQ34" i="99" s="1"/>
  <c r="NQ35" i="99" s="1"/>
  <c r="NQ36" i="99" s="1"/>
  <c r="NQ37" i="99" s="1"/>
  <c r="NQ38" i="99" s="1"/>
  <c r="NQ39" i="99" s="1"/>
  <c r="NQ40" i="99" s="1"/>
  <c r="IZ219" i="99" s="1"/>
  <c r="NR210" i="99"/>
  <c r="B70" i="107"/>
  <c r="E80" i="107"/>
  <c r="E17" i="96"/>
  <c r="E28" i="98"/>
  <c r="X25" i="106" s="1"/>
  <c r="W25" i="106"/>
  <c r="E29" i="98"/>
  <c r="X26" i="106" s="1"/>
  <c r="W26" i="106"/>
  <c r="D104" i="106"/>
  <c r="E105" i="106"/>
  <c r="W55" i="102"/>
  <c r="C55" i="99"/>
  <c r="W56" i="99"/>
  <c r="CI44" i="94"/>
  <c r="CM42" i="94"/>
  <c r="CM44" i="94" s="1"/>
  <c r="P49" i="94"/>
  <c r="P50" i="94" s="1"/>
  <c r="T228" i="94"/>
  <c r="R44" i="93"/>
  <c r="X10" i="95" s="1"/>
  <c r="AJ10" i="95" s="1"/>
  <c r="R47" i="93"/>
  <c r="OP9" i="99"/>
  <c r="OP10" i="99" s="1"/>
  <c r="OP11" i="99" s="1"/>
  <c r="ON10" i="99"/>
  <c r="NP44" i="94"/>
  <c r="NP9" i="99"/>
  <c r="NP10" i="99" s="1"/>
  <c r="NP11" i="99" s="1"/>
  <c r="NP12" i="99" s="1"/>
  <c r="NP13" i="99" s="1"/>
  <c r="NP14" i="99" s="1"/>
  <c r="NP15" i="99" s="1"/>
  <c r="NP16" i="99" s="1"/>
  <c r="NP17" i="99" s="1"/>
  <c r="NP18" i="99" s="1"/>
  <c r="NP19" i="99" s="1"/>
  <c r="NP20" i="99" s="1"/>
  <c r="NP21" i="99" s="1"/>
  <c r="NP22" i="99" s="1"/>
  <c r="NP23" i="99" s="1"/>
  <c r="NP24" i="99" s="1"/>
  <c r="NP25" i="99" s="1"/>
  <c r="NP26" i="99" s="1"/>
  <c r="NP27" i="99" s="1"/>
  <c r="NP28" i="99" s="1"/>
  <c r="NP29" i="99" s="1"/>
  <c r="NP30" i="99" s="1"/>
  <c r="NP31" i="99" s="1"/>
  <c r="NP32" i="99" s="1"/>
  <c r="NP33" i="99" s="1"/>
  <c r="NP34" i="99" s="1"/>
  <c r="NP35" i="99" s="1"/>
  <c r="NP36" i="99" s="1"/>
  <c r="NP37" i="99" s="1"/>
  <c r="NP38" i="99" s="1"/>
  <c r="NP39" i="99" s="1"/>
  <c r="NP40" i="99" s="1"/>
  <c r="NP41" i="99" s="1"/>
  <c r="NN44" i="94"/>
  <c r="NN9" i="99"/>
  <c r="J140" i="2"/>
  <c r="BM33" i="93"/>
  <c r="BM34" i="93" s="1"/>
  <c r="BM35" i="93" s="1"/>
  <c r="BM36" i="93" s="1"/>
  <c r="BM37" i="93" s="1"/>
  <c r="BM38" i="93" s="1"/>
  <c r="BM39" i="93" s="1"/>
  <c r="BM40" i="93" s="1"/>
  <c r="BM41" i="93" s="1"/>
  <c r="BM42" i="93" s="1"/>
  <c r="BM43" i="93" s="1"/>
  <c r="LF42" i="94"/>
  <c r="AU84" i="2" s="1"/>
  <c r="LK47" i="94"/>
  <c r="JP50" i="94"/>
  <c r="C18" i="98"/>
  <c r="L24" i="106" s="1"/>
  <c r="H10" i="2"/>
  <c r="ND24" i="94"/>
  <c r="ND25" i="94" s="1"/>
  <c r="ND26" i="94" s="1"/>
  <c r="ND27" i="94" s="1"/>
  <c r="ND28" i="94" s="1"/>
  <c r="ND29" i="94" s="1"/>
  <c r="ND30" i="94" s="1"/>
  <c r="ND31" i="94" s="1"/>
  <c r="ND32" i="94" s="1"/>
  <c r="ND33" i="94" s="1"/>
  <c r="ND34" i="94" s="1"/>
  <c r="ND35" i="94" s="1"/>
  <c r="E26" i="2"/>
  <c r="B13" i="98"/>
  <c r="C25" i="106" s="1"/>
  <c r="H136" i="2"/>
  <c r="J136" i="2" s="1"/>
  <c r="OQ19" i="94"/>
  <c r="OQ20" i="94" s="1"/>
  <c r="OQ21" i="94" s="1"/>
  <c r="OQ22" i="94" s="1"/>
  <c r="OQ23" i="94" s="1"/>
  <c r="OQ24" i="94" s="1"/>
  <c r="OQ25" i="94" s="1"/>
  <c r="OQ26" i="94" s="1"/>
  <c r="OQ27" i="94" s="1"/>
  <c r="OQ28" i="94" s="1"/>
  <c r="OQ29" i="94" s="1"/>
  <c r="OQ30" i="94" s="1"/>
  <c r="OQ31" i="94" s="1"/>
  <c r="OQ32" i="94" s="1"/>
  <c r="OQ33" i="94" s="1"/>
  <c r="OQ34" i="94" s="1"/>
  <c r="OQ35" i="94" s="1"/>
  <c r="OQ36" i="94" s="1"/>
  <c r="OQ37" i="94" s="1"/>
  <c r="OQ38" i="94" s="1"/>
  <c r="OQ39" i="94" s="1"/>
  <c r="OQ40" i="94" s="1"/>
  <c r="OQ41" i="94" s="1"/>
  <c r="OQ42" i="94" s="1"/>
  <c r="S149" i="2"/>
  <c r="S147" i="2"/>
  <c r="U150" i="2"/>
  <c r="IO44" i="94"/>
  <c r="IP42" i="94"/>
  <c r="IP44" i="94" s="1"/>
  <c r="AD19" i="93"/>
  <c r="AD20" i="93" s="1"/>
  <c r="AD21" i="93" s="1"/>
  <c r="AD22" i="93" s="1"/>
  <c r="AD23" i="93" s="1"/>
  <c r="AD24" i="93" s="1"/>
  <c r="AD25" i="93" s="1"/>
  <c r="AD26" i="93" s="1"/>
  <c r="AD27" i="93" s="1"/>
  <c r="AD28" i="93" s="1"/>
  <c r="AD29" i="93" s="1"/>
  <c r="AD30" i="93" s="1"/>
  <c r="AD31" i="93" s="1"/>
  <c r="AD32" i="93" s="1"/>
  <c r="AD33" i="93" s="1"/>
  <c r="AD34" i="93" s="1"/>
  <c r="AD35" i="93" s="1"/>
  <c r="AD36" i="93" s="1"/>
  <c r="AD37" i="93" s="1"/>
  <c r="AD38" i="93" s="1"/>
  <c r="AD39" i="93" s="1"/>
  <c r="AD40" i="93" s="1"/>
  <c r="AD41" i="93" s="1"/>
  <c r="AD42" i="93" s="1"/>
  <c r="AD43" i="93" s="1"/>
  <c r="OC17" i="94"/>
  <c r="OC18" i="94" s="1"/>
  <c r="OC19" i="94" s="1"/>
  <c r="OC20" i="94" s="1"/>
  <c r="OC21" i="94" s="1"/>
  <c r="OC22" i="94" s="1"/>
  <c r="OC23" i="94" s="1"/>
  <c r="AD160" i="2"/>
  <c r="AC160" i="2"/>
  <c r="AB161" i="2"/>
  <c r="AA161" i="2"/>
  <c r="C7" i="98"/>
  <c r="C27" i="98"/>
  <c r="I138" i="2"/>
  <c r="J138" i="2"/>
  <c r="S148" i="2"/>
  <c r="F72" i="19"/>
  <c r="F17" i="88"/>
  <c r="H43" i="2"/>
  <c r="G46" i="95"/>
  <c r="S146" i="2"/>
  <c r="C19" i="98"/>
  <c r="L25" i="106" s="1"/>
  <c r="AU105" i="2"/>
  <c r="C26" i="98"/>
  <c r="I137" i="2"/>
  <c r="J137" i="2"/>
  <c r="S145" i="2"/>
  <c r="Q150" i="2"/>
  <c r="E16" i="2"/>
  <c r="B11" i="98"/>
  <c r="C23" i="106" s="1"/>
  <c r="C62" i="98"/>
  <c r="W51" i="106" s="1"/>
  <c r="E10" i="2"/>
  <c r="S143" i="2"/>
  <c r="AB300" i="94"/>
  <c r="AB42" i="94"/>
  <c r="AA160" i="2"/>
  <c r="AB160" i="2"/>
  <c r="J37" i="88"/>
  <c r="G12" i="95"/>
  <c r="C6" i="96" s="1"/>
  <c r="R150" i="2"/>
  <c r="S144" i="2"/>
  <c r="J10" i="88"/>
  <c r="C17" i="98"/>
  <c r="L23" i="106" s="1"/>
  <c r="H50" i="2"/>
  <c r="C52" i="98"/>
  <c r="D51" i="106" s="1"/>
  <c r="NC11" i="94"/>
  <c r="NC12" i="94" s="1"/>
  <c r="NC13" i="94" s="1"/>
  <c r="NC14" i="94" s="1"/>
  <c r="NB11" i="94"/>
  <c r="X5" i="95"/>
  <c r="AJ5" i="95" s="1"/>
  <c r="AV43" i="93"/>
  <c r="AV44" i="93" s="1"/>
  <c r="AQ44" i="94"/>
  <c r="BQ42" i="94"/>
  <c r="BQ44" i="94" s="1"/>
  <c r="AR43" i="93"/>
  <c r="AR44" i="93" s="1"/>
  <c r="E38" i="94"/>
  <c r="AU43" i="93"/>
  <c r="AU44" i="93" s="1"/>
  <c r="AW43" i="93"/>
  <c r="AW44" i="93" s="1"/>
  <c r="AX43" i="93"/>
  <c r="AX44" i="93" s="1"/>
  <c r="X29" i="95"/>
  <c r="T28" i="95"/>
  <c r="K31" i="95"/>
  <c r="K30" i="95" s="1"/>
  <c r="AT43" i="93"/>
  <c r="AT44" i="93" s="1"/>
  <c r="K137" i="2"/>
  <c r="L137" i="2"/>
  <c r="L138" i="2"/>
  <c r="K138" i="2"/>
  <c r="M138" i="2"/>
  <c r="L139" i="2"/>
  <c r="M139" i="2"/>
  <c r="M137" i="2"/>
  <c r="K139" i="2"/>
  <c r="L140" i="2"/>
  <c r="M140" i="2"/>
  <c r="K140" i="2"/>
  <c r="PM41" i="94"/>
  <c r="P138" i="94"/>
  <c r="D138" i="94" s="1"/>
  <c r="T49" i="94"/>
  <c r="T50" i="94" s="1"/>
  <c r="AA49" i="94"/>
  <c r="ON44" i="94"/>
  <c r="F35" i="88"/>
  <c r="B21" i="96"/>
  <c r="BM44" i="94"/>
  <c r="P42" i="94"/>
  <c r="E63" i="2"/>
  <c r="OL33" i="94"/>
  <c r="OL34" i="94" s="1"/>
  <c r="OL35" i="94" s="1"/>
  <c r="OL36" i="94" s="1"/>
  <c r="OL37" i="94" s="1"/>
  <c r="OL38" i="94" s="1"/>
  <c r="OL39" i="94" s="1"/>
  <c r="OL40" i="94" s="1"/>
  <c r="OL41" i="94" s="1"/>
  <c r="OL44" i="94" s="1"/>
  <c r="JK42" i="94"/>
  <c r="JK44" i="94" s="1"/>
  <c r="AU88" i="2"/>
  <c r="HL42" i="94"/>
  <c r="HL44" i="94" s="1"/>
  <c r="NJ19" i="94"/>
  <c r="NJ20" i="94" s="1"/>
  <c r="NJ21" i="94" s="1"/>
  <c r="NJ22" i="94" s="1"/>
  <c r="NJ23" i="94" s="1"/>
  <c r="NJ24" i="94" s="1"/>
  <c r="NJ25" i="94" s="1"/>
  <c r="NJ26" i="94" s="1"/>
  <c r="NJ27" i="94" s="1"/>
  <c r="NJ28" i="94" s="1"/>
  <c r="NJ29" i="94" s="1"/>
  <c r="NJ30" i="94" s="1"/>
  <c r="NJ31" i="94" s="1"/>
  <c r="NJ32" i="94" s="1"/>
  <c r="NJ33" i="94" s="1"/>
  <c r="NJ34" i="94" s="1"/>
  <c r="NJ35" i="94" s="1"/>
  <c r="NJ36" i="94" s="1"/>
  <c r="NJ37" i="94" s="1"/>
  <c r="NJ38" i="94" s="1"/>
  <c r="NJ39" i="94" s="1"/>
  <c r="NJ40" i="94" s="1"/>
  <c r="NJ41" i="94" s="1"/>
  <c r="E25" i="2"/>
  <c r="G30" i="95"/>
  <c r="I31" i="95"/>
  <c r="H31" i="95"/>
  <c r="GM13" i="94"/>
  <c r="E43" i="93"/>
  <c r="E44" i="93"/>
  <c r="S44" i="93"/>
  <c r="JI44" i="94"/>
  <c r="AU66" i="2"/>
  <c r="E27" i="2"/>
  <c r="U41" i="94"/>
  <c r="D16" i="95"/>
  <c r="T42" i="94"/>
  <c r="S49" i="94"/>
  <c r="AU27" i="2"/>
  <c r="BG27" i="2" s="1"/>
  <c r="E24" i="2"/>
  <c r="O138" i="94"/>
  <c r="O139" i="94" s="1"/>
  <c r="NE10" i="94"/>
  <c r="MW10" i="94" s="1"/>
  <c r="LG49" i="94"/>
  <c r="LH49" i="94"/>
  <c r="LH47" i="94"/>
  <c r="E16" i="94"/>
  <c r="E25" i="94"/>
  <c r="E30" i="94"/>
  <c r="E37" i="94"/>
  <c r="E20" i="94"/>
  <c r="E18" i="94"/>
  <c r="E29" i="94"/>
  <c r="E12" i="94"/>
  <c r="E39" i="94"/>
  <c r="E27" i="94"/>
  <c r="E21" i="94"/>
  <c r="E23" i="94"/>
  <c r="E11" i="94"/>
  <c r="E31" i="94"/>
  <c r="E28" i="94"/>
  <c r="E33" i="94"/>
  <c r="E40" i="94"/>
  <c r="E13" i="94"/>
  <c r="E26" i="94"/>
  <c r="E32" i="94"/>
  <c r="E22" i="94"/>
  <c r="E17" i="94"/>
  <c r="E34" i="94"/>
  <c r="E15" i="94"/>
  <c r="E36" i="94"/>
  <c r="E35" i="94"/>
  <c r="E19" i="94"/>
  <c r="D41" i="94"/>
  <c r="D47" i="94" s="1"/>
  <c r="O180" i="94"/>
  <c r="C179" i="94"/>
  <c r="MY11" i="94"/>
  <c r="OZ13" i="94"/>
  <c r="PF12" i="94"/>
  <c r="AC41" i="94"/>
  <c r="AC42" i="94" s="1"/>
  <c r="RH11" i="94"/>
  <c r="RK10" i="94"/>
  <c r="CD44" i="94"/>
  <c r="CD48" i="94"/>
  <c r="C55" i="94"/>
  <c r="O56" i="94"/>
  <c r="OF12" i="94"/>
  <c r="OR11" i="94"/>
  <c r="FD12" i="94"/>
  <c r="MZ11" i="94"/>
  <c r="QE12" i="94"/>
  <c r="NF11" i="94"/>
  <c r="NR10" i="94"/>
  <c r="MX10" i="94" s="1"/>
  <c r="AB52" i="94"/>
  <c r="AB54" i="94" s="1"/>
  <c r="X49" i="94"/>
  <c r="X50" i="94" s="1"/>
  <c r="AB212" i="94"/>
  <c r="E10" i="94"/>
  <c r="C41" i="94"/>
  <c r="FD14" i="94"/>
  <c r="FA41" i="94"/>
  <c r="FA42" i="94" s="1"/>
  <c r="FA44" i="94" s="1"/>
  <c r="P182" i="94"/>
  <c r="D181" i="94"/>
  <c r="Q41" i="94"/>
  <c r="O49" i="94"/>
  <c r="Y41" i="94"/>
  <c r="NS12" i="94"/>
  <c r="OE11" i="94"/>
  <c r="GP46" i="94"/>
  <c r="GK42" i="94"/>
  <c r="GK44" i="94" s="1"/>
  <c r="E14" i="94"/>
  <c r="LI41" i="94"/>
  <c r="LI42" i="94" s="1"/>
  <c r="DC41" i="94"/>
  <c r="DC42" i="94" s="1"/>
  <c r="DC44" i="94" s="1"/>
  <c r="E43" i="94"/>
  <c r="P56" i="94"/>
  <c r="D55" i="94"/>
  <c r="E24" i="94"/>
  <c r="P97" i="94"/>
  <c r="D96" i="94"/>
  <c r="O98" i="94"/>
  <c r="C97" i="94"/>
  <c r="RH21" i="94"/>
  <c r="RK20" i="94"/>
  <c r="S44" i="94"/>
  <c r="S9" i="95" l="1"/>
  <c r="S12" i="95" s="1"/>
  <c r="X35" i="95"/>
  <c r="NF23" i="116"/>
  <c r="MX23" i="116" s="1"/>
  <c r="NC24" i="116"/>
  <c r="W16" i="118" s="1"/>
  <c r="OR9" i="99"/>
  <c r="E69" i="107"/>
  <c r="E71" i="107"/>
  <c r="E27" i="98"/>
  <c r="X24" i="106" s="1"/>
  <c r="W24" i="106"/>
  <c r="E26" i="98"/>
  <c r="X23" i="106" s="1"/>
  <c r="W23" i="106"/>
  <c r="D23" i="107"/>
  <c r="B14" i="107"/>
  <c r="I8" i="107"/>
  <c r="J23" i="107"/>
  <c r="B23" i="96"/>
  <c r="J80" i="107" s="1"/>
  <c r="W56" i="102"/>
  <c r="C56" i="99"/>
  <c r="W57" i="99"/>
  <c r="T10" i="95"/>
  <c r="S10" i="95" s="1"/>
  <c r="L13" i="95" s="1"/>
  <c r="K13" i="95"/>
  <c r="K12" i="95" s="1"/>
  <c r="PM44" i="94"/>
  <c r="PM10" i="99"/>
  <c r="PM11" i="99" s="1"/>
  <c r="PM12" i="99" s="1"/>
  <c r="PM13" i="99" s="1"/>
  <c r="PM14" i="99" s="1"/>
  <c r="PM15" i="99" s="1"/>
  <c r="PM16" i="99" s="1"/>
  <c r="PM17" i="99" s="1"/>
  <c r="PM18" i="99" s="1"/>
  <c r="PM19" i="99" s="1"/>
  <c r="PM20" i="99" s="1"/>
  <c r="PM21" i="99" s="1"/>
  <c r="PM22" i="99" s="1"/>
  <c r="PM23" i="99" s="1"/>
  <c r="PM24" i="99" s="1"/>
  <c r="PM26" i="99" s="1"/>
  <c r="PM27" i="99" s="1"/>
  <c r="PM28" i="99" s="1"/>
  <c r="PM29" i="99" s="1"/>
  <c r="AU31" i="2"/>
  <c r="BG31" i="2" s="1"/>
  <c r="C42" i="94"/>
  <c r="L122" i="2"/>
  <c r="L120" i="2" s="1"/>
  <c r="OP12" i="99"/>
  <c r="OP13" i="99" s="1"/>
  <c r="OP14" i="99" s="1"/>
  <c r="OP15" i="99" s="1"/>
  <c r="OP16" i="99" s="1"/>
  <c r="OP17" i="99" s="1"/>
  <c r="OP18" i="99" s="1"/>
  <c r="OP19" i="99" s="1"/>
  <c r="OP20" i="99" s="1"/>
  <c r="OP21" i="99" s="1"/>
  <c r="OP22" i="99" s="1"/>
  <c r="OP23" i="99" s="1"/>
  <c r="OP24" i="99" s="1"/>
  <c r="OP25" i="99" s="1"/>
  <c r="OP26" i="99" s="1"/>
  <c r="OP27" i="99" s="1"/>
  <c r="OP28" i="99" s="1"/>
  <c r="OP29" i="99" s="1"/>
  <c r="OP30" i="99" s="1"/>
  <c r="OP31" i="99" s="1"/>
  <c r="OP32" i="99" s="1"/>
  <c r="OP33" i="99" s="1"/>
  <c r="OP34" i="99" s="1"/>
  <c r="OP35" i="99" s="1"/>
  <c r="OP36" i="99" s="1"/>
  <c r="OP37" i="99" s="1"/>
  <c r="OP38" i="99" s="1"/>
  <c r="OP39" i="99" s="1"/>
  <c r="OP40" i="99" s="1"/>
  <c r="OP41" i="99" s="1"/>
  <c r="ON11" i="99"/>
  <c r="OR10" i="99"/>
  <c r="NN10" i="99"/>
  <c r="NR9" i="99"/>
  <c r="S4" i="95"/>
  <c r="S7" i="95" s="1"/>
  <c r="K11" i="95"/>
  <c r="K10" i="95" s="1"/>
  <c r="ND36" i="94"/>
  <c r="ND37" i="94" s="1"/>
  <c r="ND38" i="94" s="1"/>
  <c r="ND39" i="94" s="1"/>
  <c r="ND40" i="94" s="1"/>
  <c r="ND41" i="94" s="1"/>
  <c r="ND42" i="94" s="1"/>
  <c r="ND44" i="94" s="1"/>
  <c r="C25" i="98"/>
  <c r="I136" i="2"/>
  <c r="OC24" i="94"/>
  <c r="OC25" i="94" s="1"/>
  <c r="OC26" i="94" s="1"/>
  <c r="OC27" i="94" s="1"/>
  <c r="OC28" i="94" s="1"/>
  <c r="OC29" i="94" s="1"/>
  <c r="OC30" i="94" s="1"/>
  <c r="OC31" i="94" s="1"/>
  <c r="OC32" i="94" s="1"/>
  <c r="OC33" i="94" s="1"/>
  <c r="OC34" i="94" s="1"/>
  <c r="OC35" i="94" s="1"/>
  <c r="G45" i="95"/>
  <c r="NC15" i="94"/>
  <c r="NC16" i="94" s="1"/>
  <c r="NC17" i="94" s="1"/>
  <c r="NC18" i="94" s="1"/>
  <c r="GM41" i="94"/>
  <c r="GM42" i="94" s="1"/>
  <c r="GM44" i="94" s="1"/>
  <c r="T150" i="2"/>
  <c r="AQ105" i="2"/>
  <c r="AP105" i="2" s="1"/>
  <c r="M122" i="2"/>
  <c r="M120" i="2" s="1"/>
  <c r="N120" i="2" s="1"/>
  <c r="H128" i="2"/>
  <c r="H120" i="2"/>
  <c r="H126" i="2" s="1"/>
  <c r="S150" i="2"/>
  <c r="NJ42" i="94"/>
  <c r="NJ44" i="94" s="1"/>
  <c r="C61" i="98"/>
  <c r="H13" i="95"/>
  <c r="I13" i="95"/>
  <c r="AU48" i="2"/>
  <c r="BG48" i="2" s="1"/>
  <c r="G21" i="95"/>
  <c r="NE11" i="94"/>
  <c r="MW11" i="94" s="1"/>
  <c r="NB12" i="94"/>
  <c r="NE12" i="94" s="1"/>
  <c r="MW12" i="94" s="1"/>
  <c r="AU44" i="2"/>
  <c r="BG44" i="2" s="1"/>
  <c r="E18" i="95"/>
  <c r="E22" i="95" s="1"/>
  <c r="J18" i="95"/>
  <c r="J17" i="95" s="1"/>
  <c r="X6" i="95"/>
  <c r="T5" i="95"/>
  <c r="G10" i="95"/>
  <c r="G16" i="95"/>
  <c r="I11" i="95"/>
  <c r="H11" i="95"/>
  <c r="X25" i="95"/>
  <c r="S24" i="95" s="1"/>
  <c r="AR46" i="93"/>
  <c r="AR47" i="93" s="1"/>
  <c r="FD41" i="94"/>
  <c r="FD42" i="94" s="1"/>
  <c r="FD44" i="94" s="1"/>
  <c r="AA44" i="94"/>
  <c r="T29" i="95"/>
  <c r="P139" i="94"/>
  <c r="D139" i="94" s="1"/>
  <c r="B61" i="98"/>
  <c r="N139" i="2"/>
  <c r="N138" i="2"/>
  <c r="N140" i="2"/>
  <c r="N137" i="2"/>
  <c r="M136" i="2"/>
  <c r="L136" i="2"/>
  <c r="K136" i="2"/>
  <c r="C11" i="98"/>
  <c r="D23" i="106" s="1"/>
  <c r="AU40" i="2"/>
  <c r="BG40" i="2" s="1"/>
  <c r="H12" i="95"/>
  <c r="E6" i="96"/>
  <c r="E23" i="107" s="1"/>
  <c r="P44" i="94"/>
  <c r="C51" i="98"/>
  <c r="X11" i="95"/>
  <c r="E23" i="2"/>
  <c r="I12" i="95"/>
  <c r="I30" i="95"/>
  <c r="H30" i="95"/>
  <c r="I22" i="95"/>
  <c r="C138" i="94"/>
  <c r="AU101" i="2"/>
  <c r="BG101" i="2" s="1"/>
  <c r="BI101" i="2" s="1"/>
  <c r="AU23" i="2"/>
  <c r="BG23" i="2" s="1"/>
  <c r="C13" i="98"/>
  <c r="D25" i="106" s="1"/>
  <c r="AU115" i="2"/>
  <c r="T44" i="94"/>
  <c r="U44" i="94" s="1"/>
  <c r="U42" i="94"/>
  <c r="AF14" i="93"/>
  <c r="E41" i="94"/>
  <c r="E42" i="94" s="1"/>
  <c r="E44" i="94" s="1"/>
  <c r="O99" i="94"/>
  <c r="C98" i="94"/>
  <c r="OF13" i="94"/>
  <c r="OR12" i="94"/>
  <c r="P98" i="94"/>
  <c r="D97" i="94"/>
  <c r="D56" i="94"/>
  <c r="P57" i="94"/>
  <c r="AC43" i="94"/>
  <c r="AC44" i="94" s="1"/>
  <c r="D182" i="94"/>
  <c r="P183" i="94"/>
  <c r="O57" i="94"/>
  <c r="C56" i="94"/>
  <c r="O181" i="94"/>
  <c r="C180" i="94"/>
  <c r="RH12" i="94"/>
  <c r="RK11" i="94"/>
  <c r="X44" i="94"/>
  <c r="PF13" i="94"/>
  <c r="OZ14" i="94"/>
  <c r="MY12" i="94"/>
  <c r="NF12" i="94"/>
  <c r="NR11" i="94"/>
  <c r="MX11" i="94" s="1"/>
  <c r="D42" i="94"/>
  <c r="OE12" i="94"/>
  <c r="NS13" i="94"/>
  <c r="C139" i="94"/>
  <c r="O140" i="94"/>
  <c r="QE13" i="94"/>
  <c r="MZ12" i="94"/>
  <c r="W44" i="94"/>
  <c r="Y42" i="94"/>
  <c r="Y44" i="94" s="1"/>
  <c r="RH22" i="94"/>
  <c r="RK21" i="94"/>
  <c r="Q42" i="94"/>
  <c r="Q44" i="94" s="1"/>
  <c r="O44" i="94"/>
  <c r="NC25" i="116" l="1"/>
  <c r="W17" i="118" s="1"/>
  <c r="NF24" i="116"/>
  <c r="MX24" i="116" s="1"/>
  <c r="M18" i="2"/>
  <c r="K22" i="95"/>
  <c r="K21" i="95" s="1"/>
  <c r="X16" i="95"/>
  <c r="X17" i="95" s="1"/>
  <c r="C9" i="96"/>
  <c r="R23" i="107" s="1"/>
  <c r="C8" i="96"/>
  <c r="I42" i="107" s="1"/>
  <c r="U36" i="106"/>
  <c r="E13" i="107"/>
  <c r="E15" i="107"/>
  <c r="W57" i="102"/>
  <c r="NP44" i="99"/>
  <c r="NP9" i="102"/>
  <c r="NP10" i="102" s="1"/>
  <c r="NP11" i="102" s="1"/>
  <c r="NP12" i="102" s="1"/>
  <c r="NP13" i="102" s="1"/>
  <c r="NP14" i="102" s="1"/>
  <c r="NP15" i="102" s="1"/>
  <c r="NP16" i="102" s="1"/>
  <c r="NP17" i="102" s="1"/>
  <c r="NP18" i="102" s="1"/>
  <c r="NP19" i="102" s="1"/>
  <c r="NP20" i="102" s="1"/>
  <c r="NP21" i="102" s="1"/>
  <c r="NP22" i="102" s="1"/>
  <c r="NP23" i="102" s="1"/>
  <c r="NP24" i="102" s="1"/>
  <c r="NP25" i="102" s="1"/>
  <c r="NP26" i="102" s="1"/>
  <c r="NP27" i="102" s="1"/>
  <c r="NP28" i="102" s="1"/>
  <c r="NP29" i="102" s="1"/>
  <c r="NP30" i="102" s="1"/>
  <c r="NP31" i="102" s="1"/>
  <c r="NP32" i="102" s="1"/>
  <c r="NP33" i="102" s="1"/>
  <c r="NP34" i="102" s="1"/>
  <c r="NP35" i="102" s="1"/>
  <c r="NP36" i="102" s="1"/>
  <c r="NP37" i="102" s="1"/>
  <c r="NP38" i="102" s="1"/>
  <c r="NP39" i="102" s="1"/>
  <c r="NP40" i="102" s="1"/>
  <c r="OP44" i="99"/>
  <c r="NQ41" i="99"/>
  <c r="NQ9" i="102" s="1"/>
  <c r="NQ10" i="102" s="1"/>
  <c r="NQ11" i="102" s="1"/>
  <c r="NQ12" i="102" s="1"/>
  <c r="NQ13" i="102" s="1"/>
  <c r="NQ14" i="102" s="1"/>
  <c r="NQ15" i="102" s="1"/>
  <c r="NQ16" i="102" s="1"/>
  <c r="NQ17" i="102" s="1"/>
  <c r="NQ18" i="102" s="1"/>
  <c r="NQ19" i="102" s="1"/>
  <c r="NQ20" i="102" s="1"/>
  <c r="NQ21" i="102" s="1"/>
  <c r="NQ22" i="102" s="1"/>
  <c r="NQ23" i="102" s="1"/>
  <c r="NQ24" i="102" s="1"/>
  <c r="NQ25" i="102" s="1"/>
  <c r="NQ26" i="102" s="1"/>
  <c r="NQ27" i="102" s="1"/>
  <c r="NQ28" i="102" s="1"/>
  <c r="NQ29" i="102" s="1"/>
  <c r="NQ30" i="102" s="1"/>
  <c r="NQ31" i="102" s="1"/>
  <c r="NQ32" i="102" s="1"/>
  <c r="NQ33" i="102" s="1"/>
  <c r="NQ34" i="102" s="1"/>
  <c r="NQ35" i="102" s="1"/>
  <c r="NQ36" i="102" s="1"/>
  <c r="NQ37" i="102" s="1"/>
  <c r="NQ38" i="102" s="1"/>
  <c r="NQ39" i="102" s="1"/>
  <c r="NQ40" i="102" s="1"/>
  <c r="L12" i="95"/>
  <c r="P38" i="88"/>
  <c r="P37" i="88" s="1"/>
  <c r="C57" i="99"/>
  <c r="W58" i="99"/>
  <c r="PM30" i="99"/>
  <c r="PM31" i="99" s="1"/>
  <c r="PM32" i="99" s="1"/>
  <c r="PM33" i="99" s="1"/>
  <c r="PM34" i="99" s="1"/>
  <c r="PM35" i="99" s="1"/>
  <c r="PM36" i="99" s="1"/>
  <c r="AU111" i="2"/>
  <c r="ON12" i="99"/>
  <c r="OR11" i="99"/>
  <c r="NN11" i="99"/>
  <c r="NR10" i="99"/>
  <c r="MX10" i="99" s="1"/>
  <c r="K16" i="95"/>
  <c r="K15" i="95"/>
  <c r="H102" i="2"/>
  <c r="OC36" i="94"/>
  <c r="OC37" i="94" s="1"/>
  <c r="OC38" i="94" s="1"/>
  <c r="OC39" i="94" s="1"/>
  <c r="OC40" i="94" s="1"/>
  <c r="OC41" i="94" s="1"/>
  <c r="OC44" i="94" s="1"/>
  <c r="T25" i="95"/>
  <c r="S25" i="95" s="1"/>
  <c r="L22" i="95" s="1"/>
  <c r="NC19" i="94"/>
  <c r="D43" i="95"/>
  <c r="NB13" i="94"/>
  <c r="NB14" i="94" s="1"/>
  <c r="J20" i="2"/>
  <c r="J17" i="88"/>
  <c r="L17" i="88" s="1"/>
  <c r="C14" i="98"/>
  <c r="D26" i="106" s="1"/>
  <c r="I20" i="2"/>
  <c r="H16" i="2"/>
  <c r="H22" i="2" s="1"/>
  <c r="C12" i="98"/>
  <c r="D24" i="106" s="1"/>
  <c r="E21" i="95"/>
  <c r="H22" i="95"/>
  <c r="S5" i="95"/>
  <c r="S6" i="95" s="1"/>
  <c r="T6" i="95"/>
  <c r="J35" i="88"/>
  <c r="C21" i="96"/>
  <c r="H10" i="95"/>
  <c r="I10" i="95"/>
  <c r="G15" i="95"/>
  <c r="I16" i="95"/>
  <c r="H16" i="95"/>
  <c r="AU35" i="2"/>
  <c r="L31" i="95"/>
  <c r="P140" i="94"/>
  <c r="D140" i="94" s="1"/>
  <c r="L125" i="2"/>
  <c r="M125" i="2"/>
  <c r="N136" i="2"/>
  <c r="T11" i="95"/>
  <c r="I21" i="95"/>
  <c r="AF15" i="93"/>
  <c r="QE14" i="94"/>
  <c r="MZ13" i="94"/>
  <c r="C140" i="94"/>
  <c r="O141" i="94"/>
  <c r="OE13" i="94"/>
  <c r="NS14" i="94"/>
  <c r="RH13" i="94"/>
  <c r="RK12" i="94"/>
  <c r="D44" i="94"/>
  <c r="NF13" i="94"/>
  <c r="NR12" i="94"/>
  <c r="MX12" i="94" s="1"/>
  <c r="C181" i="94"/>
  <c r="O182" i="94"/>
  <c r="C57" i="94"/>
  <c r="O58" i="94"/>
  <c r="D183" i="94"/>
  <c r="P184" i="94"/>
  <c r="D57" i="94"/>
  <c r="P58" i="94"/>
  <c r="MY13" i="94"/>
  <c r="D98" i="94"/>
  <c r="P99" i="94"/>
  <c r="C44" i="94"/>
  <c r="C47" i="94"/>
  <c r="PF14" i="94"/>
  <c r="OZ15" i="94"/>
  <c r="OF14" i="94"/>
  <c r="OR13" i="94"/>
  <c r="O100" i="94"/>
  <c r="C99" i="94"/>
  <c r="RK22" i="94"/>
  <c r="RH23" i="94"/>
  <c r="AQ111" i="2" l="1"/>
  <c r="BG111" i="2"/>
  <c r="BI111" i="2" s="1"/>
  <c r="AU2" i="2"/>
  <c r="NC26" i="116"/>
  <c r="W18" i="118" s="1"/>
  <c r="NF25" i="116"/>
  <c r="MX25" i="116" s="1"/>
  <c r="R72" i="19"/>
  <c r="B28" i="96"/>
  <c r="B29" i="96" s="1"/>
  <c r="E9" i="96"/>
  <c r="S23" i="107" s="1"/>
  <c r="L51" i="107"/>
  <c r="K51" i="107"/>
  <c r="E21" i="96"/>
  <c r="K23" i="107"/>
  <c r="I14" i="107"/>
  <c r="W58" i="102"/>
  <c r="PM37" i="99"/>
  <c r="PM38" i="99" s="1"/>
  <c r="PM39" i="99" s="1"/>
  <c r="PM40" i="99" s="1"/>
  <c r="PM41" i="99" s="1"/>
  <c r="C58" i="99"/>
  <c r="W59" i="99"/>
  <c r="T16" i="95"/>
  <c r="S16" i="95" s="1"/>
  <c r="L18" i="95" s="1"/>
  <c r="K18" i="95"/>
  <c r="K17" i="95" s="1"/>
  <c r="ON13" i="99"/>
  <c r="OR12" i="99"/>
  <c r="NN12" i="99"/>
  <c r="NN13" i="99" s="1"/>
  <c r="NN14" i="99" s="1"/>
  <c r="NN15" i="99" s="1"/>
  <c r="NN16" i="99" s="1"/>
  <c r="NN17" i="99" s="1"/>
  <c r="NN18" i="99" s="1"/>
  <c r="NN19" i="99" s="1"/>
  <c r="NN20" i="99" s="1"/>
  <c r="NN21" i="99" s="1"/>
  <c r="NN22" i="99" s="1"/>
  <c r="NN23" i="99" s="1"/>
  <c r="NN24" i="99" s="1"/>
  <c r="NN25" i="99" s="1"/>
  <c r="NN26" i="99" s="1"/>
  <c r="NN27" i="99" s="1"/>
  <c r="NN28" i="99" s="1"/>
  <c r="NN29" i="99" s="1"/>
  <c r="NN30" i="99" s="1"/>
  <c r="NN31" i="99" s="1"/>
  <c r="NN32" i="99" s="1"/>
  <c r="NN33" i="99" s="1"/>
  <c r="NN34" i="99" s="1"/>
  <c r="NN35" i="99" s="1"/>
  <c r="NN36" i="99" s="1"/>
  <c r="NN37" i="99" s="1"/>
  <c r="NN38" i="99" s="1"/>
  <c r="NN39" i="99" s="1"/>
  <c r="NN40" i="99" s="1"/>
  <c r="NR11" i="99"/>
  <c r="MX11" i="99" s="1"/>
  <c r="F102" i="2"/>
  <c r="L21" i="95"/>
  <c r="M21" i="95" s="1"/>
  <c r="M22" i="95"/>
  <c r="L11" i="95"/>
  <c r="M11" i="95" s="1"/>
  <c r="NC21" i="94"/>
  <c r="NC22" i="94" s="1"/>
  <c r="NC23" i="94" s="1"/>
  <c r="NC24" i="94" s="1"/>
  <c r="NC25" i="94" s="1"/>
  <c r="NC26" i="94" s="1"/>
  <c r="NC27" i="94" s="1"/>
  <c r="NC28" i="94" s="1"/>
  <c r="NC30" i="94" s="1"/>
  <c r="NC31" i="94" s="1"/>
  <c r="NC32" i="94" s="1"/>
  <c r="NC33" i="94" s="1"/>
  <c r="NC34" i="94" s="1"/>
  <c r="NC35" i="94" s="1"/>
  <c r="NC36" i="94" s="1"/>
  <c r="NC37" i="94" s="1"/>
  <c r="NC38" i="94" s="1"/>
  <c r="NC39" i="94" s="1"/>
  <c r="NC40" i="94" s="1"/>
  <c r="NC41" i="94" s="1"/>
  <c r="S74" i="19"/>
  <c r="S72" i="19" s="1"/>
  <c r="U72" i="19" s="1"/>
  <c r="NE13" i="94"/>
  <c r="MW13" i="94" s="1"/>
  <c r="E17" i="95"/>
  <c r="H21" i="95"/>
  <c r="I15" i="95"/>
  <c r="C22" i="96"/>
  <c r="H15" i="95"/>
  <c r="P141" i="94"/>
  <c r="M31" i="95"/>
  <c r="L30" i="95"/>
  <c r="M30" i="95" s="1"/>
  <c r="AP111" i="2"/>
  <c r="M123" i="2"/>
  <c r="N125" i="2"/>
  <c r="M128" i="2"/>
  <c r="L123" i="2"/>
  <c r="L126" i="2" s="1"/>
  <c r="L128" i="2"/>
  <c r="S11" i="95"/>
  <c r="M13" i="95"/>
  <c r="AF16" i="93"/>
  <c r="RH24" i="94"/>
  <c r="RK23" i="94"/>
  <c r="C100" i="94"/>
  <c r="O101" i="94"/>
  <c r="OF15" i="94"/>
  <c r="OR14" i="94"/>
  <c r="PF15" i="94"/>
  <c r="OZ16" i="94"/>
  <c r="D58" i="94"/>
  <c r="P59" i="94"/>
  <c r="QE15" i="94"/>
  <c r="MZ14" i="94"/>
  <c r="C182" i="94"/>
  <c r="O183" i="94"/>
  <c r="NF14" i="94"/>
  <c r="NR13" i="94"/>
  <c r="MX13" i="94" s="1"/>
  <c r="RH14" i="94"/>
  <c r="RK13" i="94"/>
  <c r="D99" i="94"/>
  <c r="P100" i="94"/>
  <c r="NS15" i="94"/>
  <c r="OE14" i="94"/>
  <c r="MY14" i="94"/>
  <c r="O142" i="94"/>
  <c r="C141" i="94"/>
  <c r="D184" i="94"/>
  <c r="P185" i="94"/>
  <c r="NE14" i="94"/>
  <c r="MW14" i="94" s="1"/>
  <c r="NB15" i="94"/>
  <c r="C58" i="94"/>
  <c r="O59" i="94"/>
  <c r="NC27" i="116" l="1"/>
  <c r="W19" i="118" s="1"/>
  <c r="NF26" i="116"/>
  <c r="MX26" i="116" s="1"/>
  <c r="NQ41" i="102"/>
  <c r="L23" i="107"/>
  <c r="L13" i="107"/>
  <c r="L15" i="107"/>
  <c r="K79" i="107"/>
  <c r="L71" i="107"/>
  <c r="L69" i="107"/>
  <c r="I70" i="107"/>
  <c r="W59" i="102"/>
  <c r="PM44" i="99"/>
  <c r="C59" i="99"/>
  <c r="W60" i="99"/>
  <c r="ON14" i="99"/>
  <c r="OR13" i="99"/>
  <c r="NR12" i="99"/>
  <c r="MX12" i="99" s="1"/>
  <c r="L16" i="95"/>
  <c r="L10" i="95"/>
  <c r="P35" i="88" s="1"/>
  <c r="B68" i="98"/>
  <c r="T13" i="95"/>
  <c r="Z17" i="95"/>
  <c r="P142" i="94"/>
  <c r="D141" i="94"/>
  <c r="M18" i="95"/>
  <c r="L17" i="95"/>
  <c r="M17" i="95" s="1"/>
  <c r="N123" i="2"/>
  <c r="M126" i="2"/>
  <c r="M12" i="95"/>
  <c r="AF17" i="93"/>
  <c r="RH15" i="94"/>
  <c r="RK14" i="94"/>
  <c r="NR14" i="94"/>
  <c r="MX14" i="94" s="1"/>
  <c r="NF15" i="94"/>
  <c r="C59" i="94"/>
  <c r="O60" i="94"/>
  <c r="C183" i="94"/>
  <c r="O184" i="94"/>
  <c r="NB16" i="94"/>
  <c r="NE15" i="94"/>
  <c r="MW15" i="94" s="1"/>
  <c r="QE16" i="94"/>
  <c r="MZ15" i="94"/>
  <c r="D185" i="94"/>
  <c r="P186" i="94"/>
  <c r="P60" i="94"/>
  <c r="D59" i="94"/>
  <c r="PF16" i="94"/>
  <c r="OZ17" i="94"/>
  <c r="C142" i="94"/>
  <c r="O143" i="94"/>
  <c r="MY15" i="94"/>
  <c r="OF16" i="94"/>
  <c r="OR15" i="94"/>
  <c r="C101" i="94"/>
  <c r="O102" i="94"/>
  <c r="OE15" i="94"/>
  <c r="NS16" i="94"/>
  <c r="D100" i="94"/>
  <c r="P101" i="94"/>
  <c r="RH25" i="94"/>
  <c r="RK24" i="94"/>
  <c r="NF27" i="116" l="1"/>
  <c r="MX27" i="116" s="1"/>
  <c r="NQ9" i="111"/>
  <c r="NQ10" i="111" s="1"/>
  <c r="W80" i="106"/>
  <c r="W60" i="102"/>
  <c r="C60" i="99"/>
  <c r="W61" i="99"/>
  <c r="ON15" i="99"/>
  <c r="OR14" i="99"/>
  <c r="NR13" i="99"/>
  <c r="MX13" i="99" s="1"/>
  <c r="L15" i="95"/>
  <c r="M10" i="95"/>
  <c r="P143" i="94"/>
  <c r="D142" i="94"/>
  <c r="T17" i="95"/>
  <c r="T18" i="95"/>
  <c r="AF18" i="93"/>
  <c r="PF17" i="94"/>
  <c r="OZ18" i="94"/>
  <c r="NB17" i="94"/>
  <c r="NE16" i="94"/>
  <c r="MW16" i="94" s="1"/>
  <c r="P187" i="94"/>
  <c r="D186" i="94"/>
  <c r="D101" i="94"/>
  <c r="P102" i="94"/>
  <c r="C184" i="94"/>
  <c r="O185" i="94"/>
  <c r="O61" i="94"/>
  <c r="C60" i="94"/>
  <c r="QE17" i="94"/>
  <c r="MZ16" i="94"/>
  <c r="C102" i="94"/>
  <c r="O103" i="94"/>
  <c r="MY16" i="94"/>
  <c r="NR15" i="94"/>
  <c r="MX15" i="94" s="1"/>
  <c r="NF16" i="94"/>
  <c r="D60" i="94"/>
  <c r="P61" i="94"/>
  <c r="RH26" i="94"/>
  <c r="RK25" i="94"/>
  <c r="NS17" i="94"/>
  <c r="OE16" i="94"/>
  <c r="OF17" i="94"/>
  <c r="OR16" i="94"/>
  <c r="C143" i="94"/>
  <c r="O144" i="94"/>
  <c r="RH16" i="94"/>
  <c r="RK15" i="94"/>
  <c r="W20" i="118" l="1"/>
  <c r="NF28" i="116"/>
  <c r="MX28" i="116" s="1"/>
  <c r="NC29" i="116"/>
  <c r="W21" i="118" s="1"/>
  <c r="NQ11" i="111"/>
  <c r="S82" i="19"/>
  <c r="W61" i="102"/>
  <c r="C61" i="99"/>
  <c r="W62" i="99"/>
  <c r="ON16" i="99"/>
  <c r="OR15" i="99"/>
  <c r="NR14" i="99"/>
  <c r="MX14" i="99" s="1"/>
  <c r="P144" i="94"/>
  <c r="D143" i="94"/>
  <c r="S13" i="95"/>
  <c r="AG17" i="95"/>
  <c r="AF17" i="95"/>
  <c r="AF19" i="93"/>
  <c r="MY17" i="94"/>
  <c r="C103" i="94"/>
  <c r="O104" i="94"/>
  <c r="C144" i="94"/>
  <c r="O145" i="94"/>
  <c r="QE18" i="94"/>
  <c r="MZ17" i="94"/>
  <c r="RH17" i="94"/>
  <c r="RK17" i="94" s="1"/>
  <c r="RK16" i="94"/>
  <c r="C61" i="94"/>
  <c r="O62" i="94"/>
  <c r="C185" i="94"/>
  <c r="O186" i="94"/>
  <c r="OF18" i="94"/>
  <c r="OR17" i="94"/>
  <c r="D102" i="94"/>
  <c r="P103" i="94"/>
  <c r="NS18" i="94"/>
  <c r="OE17" i="94"/>
  <c r="RH27" i="94"/>
  <c r="RK26" i="94"/>
  <c r="D187" i="94"/>
  <c r="P188" i="94"/>
  <c r="D61" i="94"/>
  <c r="P62" i="94"/>
  <c r="NE17" i="94"/>
  <c r="MW17" i="94" s="1"/>
  <c r="NB18" i="94"/>
  <c r="NF17" i="94"/>
  <c r="NR16" i="94"/>
  <c r="MX16" i="94" s="1"/>
  <c r="PF18" i="94"/>
  <c r="OZ19" i="94"/>
  <c r="NC30" i="116" l="1"/>
  <c r="W22" i="118" s="1"/>
  <c r="NF29" i="116"/>
  <c r="MX29" i="116" s="1"/>
  <c r="NQ12" i="111"/>
  <c r="NQ13" i="111" s="1"/>
  <c r="W62" i="102"/>
  <c r="D144" i="94"/>
  <c r="P145" i="94"/>
  <c r="C62" i="99"/>
  <c r="W63" i="99"/>
  <c r="ON17" i="99"/>
  <c r="OR16" i="99"/>
  <c r="NR15" i="99"/>
  <c r="MX15" i="99" s="1"/>
  <c r="S18" i="95"/>
  <c r="S17" i="95"/>
  <c r="AF20" i="93"/>
  <c r="D103" i="94"/>
  <c r="P104" i="94"/>
  <c r="OR18" i="94"/>
  <c r="OF19" i="94"/>
  <c r="O187" i="94"/>
  <c r="C186" i="94"/>
  <c r="PF19" i="94"/>
  <c r="OZ20" i="94"/>
  <c r="O63" i="94"/>
  <c r="C62" i="94"/>
  <c r="NF18" i="94"/>
  <c r="NR17" i="94"/>
  <c r="MX17" i="94" s="1"/>
  <c r="NE18" i="94"/>
  <c r="MW18" i="94" s="1"/>
  <c r="NB19" i="94"/>
  <c r="D62" i="94"/>
  <c r="P63" i="94"/>
  <c r="MZ18" i="94"/>
  <c r="QE19" i="94"/>
  <c r="D188" i="94"/>
  <c r="P189" i="94"/>
  <c r="C145" i="94"/>
  <c r="O146" i="94"/>
  <c r="O105" i="94"/>
  <c r="C104" i="94"/>
  <c r="RH28" i="94"/>
  <c r="RK27" i="94"/>
  <c r="OE18" i="94"/>
  <c r="NS19" i="94"/>
  <c r="MY18" i="94"/>
  <c r="NF30" i="116" l="1"/>
  <c r="MX30" i="116" s="1"/>
  <c r="NC31" i="116"/>
  <c r="W23" i="118" s="1"/>
  <c r="NQ14" i="111"/>
  <c r="NQ15" i="111" s="1"/>
  <c r="NQ16" i="111" s="1"/>
  <c r="NQ17" i="111" s="1"/>
  <c r="NQ18" i="111" s="1"/>
  <c r="NQ19" i="111" s="1"/>
  <c r="NQ20" i="111" s="1"/>
  <c r="NQ21" i="111" s="1"/>
  <c r="NQ22" i="111" s="1"/>
  <c r="NQ23" i="111" s="1"/>
  <c r="NQ24" i="111" s="1"/>
  <c r="NQ25" i="111" s="1"/>
  <c r="NQ26" i="111" s="1"/>
  <c r="NQ27" i="111" s="1"/>
  <c r="NQ28" i="111" s="1"/>
  <c r="NQ29" i="111" s="1"/>
  <c r="NQ30" i="111" s="1"/>
  <c r="NQ31" i="111" s="1"/>
  <c r="NQ32" i="111" s="1"/>
  <c r="NQ33" i="111" s="1"/>
  <c r="NQ34" i="111" s="1"/>
  <c r="NQ35" i="111" s="1"/>
  <c r="NQ36" i="111" s="1"/>
  <c r="NQ37" i="111" s="1"/>
  <c r="NQ38" i="111" s="1"/>
  <c r="NQ39" i="111" s="1"/>
  <c r="NQ40" i="111" s="1"/>
  <c r="NQ41" i="111" s="1"/>
  <c r="NR9" i="116" s="1"/>
  <c r="NR10" i="116" s="1"/>
  <c r="P146" i="94"/>
  <c r="D145" i="94"/>
  <c r="W63" i="102"/>
  <c r="NP41" i="102"/>
  <c r="C63" i="99"/>
  <c r="W64" i="99"/>
  <c r="ON18" i="99"/>
  <c r="OR17" i="99"/>
  <c r="NR16" i="99"/>
  <c r="MX16" i="99" s="1"/>
  <c r="AF21" i="93"/>
  <c r="MZ19" i="94"/>
  <c r="QE20" i="94"/>
  <c r="P64" i="94"/>
  <c r="D63" i="94"/>
  <c r="MY19" i="94"/>
  <c r="NE19" i="94"/>
  <c r="MW19" i="94" s="1"/>
  <c r="NF19" i="94"/>
  <c r="NR18" i="94"/>
  <c r="MX18" i="94" s="1"/>
  <c r="NS20" i="94"/>
  <c r="OE19" i="94"/>
  <c r="O64" i="94"/>
  <c r="C63" i="94"/>
  <c r="PF20" i="94"/>
  <c r="OZ21" i="94"/>
  <c r="RH29" i="94"/>
  <c r="RK28" i="94"/>
  <c r="C105" i="94"/>
  <c r="O106" i="94"/>
  <c r="C187" i="94"/>
  <c r="O188" i="94"/>
  <c r="C146" i="94"/>
  <c r="O147" i="94"/>
  <c r="OR19" i="94"/>
  <c r="OF20" i="94"/>
  <c r="P190" i="94"/>
  <c r="D189" i="94"/>
  <c r="D104" i="94"/>
  <c r="P105" i="94"/>
  <c r="AB2" i="118" l="1"/>
  <c r="Q2" i="118"/>
  <c r="NR11" i="116"/>
  <c r="NC32" i="116"/>
  <c r="W24" i="118" s="1"/>
  <c r="NF31" i="116"/>
  <c r="MX31" i="116" s="1"/>
  <c r="NP44" i="102"/>
  <c r="NP9" i="111"/>
  <c r="NP10" i="111" s="1"/>
  <c r="D146" i="94"/>
  <c r="P147" i="94"/>
  <c r="W64" i="102"/>
  <c r="C64" i="99"/>
  <c r="W65" i="99"/>
  <c r="ON19" i="99"/>
  <c r="OR18" i="99"/>
  <c r="NR17" i="99"/>
  <c r="MX17" i="99" s="1"/>
  <c r="AF22" i="93"/>
  <c r="PF21" i="94"/>
  <c r="OZ22" i="94"/>
  <c r="NS21" i="94"/>
  <c r="OE20" i="94"/>
  <c r="RH30" i="94"/>
  <c r="RK29" i="94"/>
  <c r="O65" i="94"/>
  <c r="C64" i="94"/>
  <c r="D105" i="94"/>
  <c r="P106" i="94"/>
  <c r="NR19" i="94"/>
  <c r="MX19" i="94" s="1"/>
  <c r="NF20" i="94"/>
  <c r="NB21" i="94"/>
  <c r="NE20" i="94"/>
  <c r="MW20" i="94" s="1"/>
  <c r="D190" i="94"/>
  <c r="P191" i="94"/>
  <c r="OF21" i="94"/>
  <c r="OR20" i="94"/>
  <c r="MY20" i="94"/>
  <c r="C147" i="94"/>
  <c r="O148" i="94"/>
  <c r="C188" i="94"/>
  <c r="O189" i="94"/>
  <c r="P65" i="94"/>
  <c r="D64" i="94"/>
  <c r="C106" i="94"/>
  <c r="O107" i="94"/>
  <c r="QE21" i="94"/>
  <c r="MZ20" i="94"/>
  <c r="NR12" i="116" l="1"/>
  <c r="Q3" i="118"/>
  <c r="AB3" i="118"/>
  <c r="NC33" i="116"/>
  <c r="W25" i="118" s="1"/>
  <c r="NF32" i="116"/>
  <c r="MX32" i="116" s="1"/>
  <c r="NP11" i="111"/>
  <c r="NP12" i="111" s="1"/>
  <c r="NP13" i="111" s="1"/>
  <c r="NP14" i="111" s="1"/>
  <c r="NP15" i="111" s="1"/>
  <c r="NP16" i="111" s="1"/>
  <c r="NP17" i="111" s="1"/>
  <c r="NP18" i="111" s="1"/>
  <c r="NP19" i="111" s="1"/>
  <c r="NP20" i="111" s="1"/>
  <c r="NP21" i="111" s="1"/>
  <c r="NP22" i="111" s="1"/>
  <c r="NP23" i="111" s="1"/>
  <c r="NP24" i="111" s="1"/>
  <c r="NP25" i="111" s="1"/>
  <c r="NP26" i="111" s="1"/>
  <c r="NP27" i="111" s="1"/>
  <c r="NP28" i="111" s="1"/>
  <c r="NP29" i="111" s="1"/>
  <c r="NP30" i="111" s="1"/>
  <c r="NP31" i="111" s="1"/>
  <c r="NP32" i="111" s="1"/>
  <c r="NP33" i="111" s="1"/>
  <c r="NP34" i="111" s="1"/>
  <c r="NP35" i="111" s="1"/>
  <c r="NP36" i="111" s="1"/>
  <c r="NP37" i="111" s="1"/>
  <c r="NP38" i="111" s="1"/>
  <c r="NP39" i="111" s="1"/>
  <c r="NP40" i="111" s="1"/>
  <c r="NP41" i="111" s="1"/>
  <c r="P148" i="94"/>
  <c r="D147" i="94"/>
  <c r="W65" i="102"/>
  <c r="C65" i="99"/>
  <c r="W66" i="99"/>
  <c r="ON20" i="99"/>
  <c r="OR19" i="99"/>
  <c r="NR18" i="99"/>
  <c r="MX18" i="99" s="1"/>
  <c r="AF23" i="93"/>
  <c r="NE21" i="94"/>
  <c r="MW21" i="94" s="1"/>
  <c r="NB22" i="94"/>
  <c r="MY21" i="94"/>
  <c r="OR21" i="94"/>
  <c r="OF22" i="94"/>
  <c r="P192" i="94"/>
  <c r="D191" i="94"/>
  <c r="NR20" i="94"/>
  <c r="MX20" i="94" s="1"/>
  <c r="NF21" i="94"/>
  <c r="QE22" i="94"/>
  <c r="MZ21" i="94"/>
  <c r="O108" i="94"/>
  <c r="C107" i="94"/>
  <c r="D106" i="94"/>
  <c r="P107" i="94"/>
  <c r="D65" i="94"/>
  <c r="P66" i="94"/>
  <c r="C65" i="94"/>
  <c r="O66" i="94"/>
  <c r="O190" i="94"/>
  <c r="C189" i="94"/>
  <c r="RK30" i="94"/>
  <c r="RH31" i="94"/>
  <c r="OE21" i="94"/>
  <c r="NS22" i="94"/>
  <c r="O149" i="94"/>
  <c r="C148" i="94"/>
  <c r="PF22" i="94"/>
  <c r="OZ23" i="94"/>
  <c r="NR13" i="116" l="1"/>
  <c r="Q4" i="118"/>
  <c r="AB4" i="118"/>
  <c r="AB22" i="118"/>
  <c r="NP44" i="111"/>
  <c r="NQ9" i="116"/>
  <c r="NC34" i="116"/>
  <c r="W26" i="118" s="1"/>
  <c r="NF33" i="116"/>
  <c r="MX33" i="116" s="1"/>
  <c r="D148" i="94"/>
  <c r="P149" i="94"/>
  <c r="W66" i="102"/>
  <c r="C66" i="99"/>
  <c r="W67" i="99"/>
  <c r="ON21" i="99"/>
  <c r="OR20" i="99"/>
  <c r="NR19" i="99"/>
  <c r="MX19" i="99" s="1"/>
  <c r="AF24" i="93"/>
  <c r="P67" i="94"/>
  <c r="D66" i="94"/>
  <c r="D107" i="94"/>
  <c r="P108" i="94"/>
  <c r="O67" i="94"/>
  <c r="C66" i="94"/>
  <c r="O109" i="94"/>
  <c r="C108" i="94"/>
  <c r="OZ24" i="94"/>
  <c r="PF23" i="94"/>
  <c r="MZ22" i="94"/>
  <c r="QE23" i="94"/>
  <c r="NF22" i="94"/>
  <c r="NR21" i="94"/>
  <c r="MX21" i="94" s="1"/>
  <c r="O150" i="94"/>
  <c r="C149" i="94"/>
  <c r="OE22" i="94"/>
  <c r="NS23" i="94"/>
  <c r="P193" i="94"/>
  <c r="D192" i="94"/>
  <c r="OF23" i="94"/>
  <c r="OR22" i="94"/>
  <c r="RH32" i="94"/>
  <c r="RK31" i="94"/>
  <c r="MY22" i="94"/>
  <c r="NE22" i="94"/>
  <c r="MW22" i="94" s="1"/>
  <c r="NB23" i="94"/>
  <c r="C190" i="94"/>
  <c r="O191" i="94"/>
  <c r="Q22" i="118" l="1"/>
  <c r="NR14" i="116"/>
  <c r="Q5" i="118"/>
  <c r="AB5" i="118"/>
  <c r="NF34" i="116"/>
  <c r="MX34" i="116" s="1"/>
  <c r="NC35" i="116"/>
  <c r="W27" i="118" s="1"/>
  <c r="NQ10" i="116"/>
  <c r="P150" i="94"/>
  <c r="D149" i="94"/>
  <c r="W67" i="102"/>
  <c r="C67" i="99"/>
  <c r="W68" i="99"/>
  <c r="ON22" i="99"/>
  <c r="OR21" i="99"/>
  <c r="NR20" i="99"/>
  <c r="MX20" i="99" s="1"/>
  <c r="AF25" i="93"/>
  <c r="NS24" i="94"/>
  <c r="OE23" i="94"/>
  <c r="D193" i="94"/>
  <c r="P194" i="94"/>
  <c r="C150" i="94"/>
  <c r="O151" i="94"/>
  <c r="NR22" i="94"/>
  <c r="MX22" i="94" s="1"/>
  <c r="NF23" i="94"/>
  <c r="O192" i="94"/>
  <c r="C191" i="94"/>
  <c r="QE24" i="94"/>
  <c r="MZ23" i="94"/>
  <c r="NE23" i="94"/>
  <c r="MW23" i="94" s="1"/>
  <c r="NB24" i="94"/>
  <c r="PF24" i="94"/>
  <c r="OZ25" i="94"/>
  <c r="MY23" i="94"/>
  <c r="C109" i="94"/>
  <c r="O110" i="94"/>
  <c r="RK32" i="94"/>
  <c r="RH33" i="94"/>
  <c r="O68" i="94"/>
  <c r="C67" i="94"/>
  <c r="P109" i="94"/>
  <c r="D108" i="94"/>
  <c r="OR23" i="94"/>
  <c r="OF24" i="94"/>
  <c r="D67" i="94"/>
  <c r="P68" i="94"/>
  <c r="NR15" i="116" l="1"/>
  <c r="AB6" i="118"/>
  <c r="Q6" i="118"/>
  <c r="AB23" i="118"/>
  <c r="Q23" i="118"/>
  <c r="NQ11" i="116"/>
  <c r="NQ12" i="116" s="1"/>
  <c r="NQ13" i="116" s="1"/>
  <c r="NQ14" i="116" s="1"/>
  <c r="NQ15" i="116" s="1"/>
  <c r="NQ16" i="116" s="1"/>
  <c r="NQ17" i="116" s="1"/>
  <c r="NQ18" i="116" s="1"/>
  <c r="NQ19" i="116" s="1"/>
  <c r="NQ20" i="116" s="1"/>
  <c r="NQ21" i="116" s="1"/>
  <c r="NQ22" i="116" s="1"/>
  <c r="NQ23" i="116" s="1"/>
  <c r="NQ24" i="116" s="1"/>
  <c r="NQ25" i="116" s="1"/>
  <c r="NQ26" i="116" s="1"/>
  <c r="NQ27" i="116" s="1"/>
  <c r="NQ28" i="116" s="1"/>
  <c r="NQ29" i="116" s="1"/>
  <c r="NQ30" i="116" s="1"/>
  <c r="NQ31" i="116" s="1"/>
  <c r="NQ32" i="116" s="1"/>
  <c r="NQ33" i="116" s="1"/>
  <c r="NQ34" i="116" s="1"/>
  <c r="NQ35" i="116" s="1"/>
  <c r="NQ36" i="116" s="1"/>
  <c r="NQ37" i="116" s="1"/>
  <c r="NQ38" i="116" s="1"/>
  <c r="NQ39" i="116" s="1"/>
  <c r="NQ40" i="116" s="1"/>
  <c r="NQ41" i="116" s="1"/>
  <c r="NQ44" i="116" s="1"/>
  <c r="NF35" i="116"/>
  <c r="MX35" i="116" s="1"/>
  <c r="NC36" i="116"/>
  <c r="W28" i="118" s="1"/>
  <c r="D150" i="94"/>
  <c r="P151" i="94"/>
  <c r="W68" i="102"/>
  <c r="C68" i="99"/>
  <c r="W69" i="99"/>
  <c r="ON23" i="99"/>
  <c r="OR22" i="99"/>
  <c r="NR21" i="99"/>
  <c r="MX21" i="99" s="1"/>
  <c r="AF26" i="93"/>
  <c r="O111" i="94"/>
  <c r="C110" i="94"/>
  <c r="NE24" i="94"/>
  <c r="MW24" i="94" s="1"/>
  <c r="NB25" i="94"/>
  <c r="OF25" i="94"/>
  <c r="OR24" i="94"/>
  <c r="MY24" i="94"/>
  <c r="OZ26" i="94"/>
  <c r="PF25" i="94"/>
  <c r="D68" i="94"/>
  <c r="P69" i="94"/>
  <c r="QE25" i="94"/>
  <c r="MZ24" i="94"/>
  <c r="O193" i="94"/>
  <c r="C192" i="94"/>
  <c r="NR23" i="94"/>
  <c r="MX23" i="94" s="1"/>
  <c r="NF24" i="94"/>
  <c r="O152" i="94"/>
  <c r="C151" i="94"/>
  <c r="D109" i="94"/>
  <c r="P110" i="94"/>
  <c r="D194" i="94"/>
  <c r="P195" i="94"/>
  <c r="C68" i="94"/>
  <c r="O69" i="94"/>
  <c r="RK33" i="94"/>
  <c r="RH34" i="94"/>
  <c r="OE24" i="94"/>
  <c r="NS25" i="94"/>
  <c r="F79" i="2" l="1"/>
  <c r="AB24" i="118"/>
  <c r="Q24" i="118"/>
  <c r="NR16" i="116"/>
  <c r="AB7" i="118"/>
  <c r="Q7" i="118"/>
  <c r="NC37" i="116"/>
  <c r="W29" i="118" s="1"/>
  <c r="NF36" i="116"/>
  <c r="MX36" i="116" s="1"/>
  <c r="P152" i="94"/>
  <c r="D151" i="94"/>
  <c r="W69" i="102"/>
  <c r="C69" i="99"/>
  <c r="W70" i="99"/>
  <c r="ON24" i="99"/>
  <c r="OR23" i="99"/>
  <c r="NR22" i="99"/>
  <c r="MX22" i="99" s="1"/>
  <c r="AF27" i="93"/>
  <c r="P70" i="94"/>
  <c r="D69" i="94"/>
  <c r="RH35" i="94"/>
  <c r="RK34" i="94"/>
  <c r="NR24" i="94"/>
  <c r="MX24" i="94" s="1"/>
  <c r="NF25" i="94"/>
  <c r="O194" i="94"/>
  <c r="C193" i="94"/>
  <c r="MZ25" i="94"/>
  <c r="QE26" i="94"/>
  <c r="NS26" i="94"/>
  <c r="OE25" i="94"/>
  <c r="OZ27" i="94"/>
  <c r="PF26" i="94"/>
  <c r="C69" i="94"/>
  <c r="O70" i="94"/>
  <c r="MY25" i="94"/>
  <c r="D195" i="94"/>
  <c r="P196" i="94"/>
  <c r="OR25" i="94"/>
  <c r="OF26" i="94"/>
  <c r="D110" i="94"/>
  <c r="P111" i="94"/>
  <c r="NE25" i="94"/>
  <c r="MW25" i="94" s="1"/>
  <c r="NB26" i="94"/>
  <c r="C152" i="94"/>
  <c r="O153" i="94"/>
  <c r="O112" i="94"/>
  <c r="C111" i="94"/>
  <c r="H79" i="2" l="1"/>
  <c r="U35" i="19" s="1"/>
  <c r="R35" i="19"/>
  <c r="NR17" i="116"/>
  <c r="AB8" i="118"/>
  <c r="Q8" i="118"/>
  <c r="AB25" i="118"/>
  <c r="Q25" i="118"/>
  <c r="S35" i="19"/>
  <c r="NC38" i="116"/>
  <c r="W30" i="118" s="1"/>
  <c r="NF37" i="116"/>
  <c r="MX37" i="116" s="1"/>
  <c r="L80" i="106"/>
  <c r="F90" i="2"/>
  <c r="L83" i="106" s="1"/>
  <c r="D152" i="94"/>
  <c r="P153" i="94"/>
  <c r="W70" i="102"/>
  <c r="C70" i="99"/>
  <c r="W71" i="99"/>
  <c r="ON25" i="99"/>
  <c r="OR24" i="99"/>
  <c r="NR23" i="99"/>
  <c r="MX23" i="99" s="1"/>
  <c r="AF28" i="93"/>
  <c r="C153" i="94"/>
  <c r="O154" i="94"/>
  <c r="NE26" i="94"/>
  <c r="MW26" i="94" s="1"/>
  <c r="NB27" i="94"/>
  <c r="P112" i="94"/>
  <c r="D111" i="94"/>
  <c r="NF26" i="94"/>
  <c r="NR25" i="94"/>
  <c r="MX25" i="94" s="1"/>
  <c r="P197" i="94"/>
  <c r="D196" i="94"/>
  <c r="MY26" i="94"/>
  <c r="C70" i="94"/>
  <c r="O71" i="94"/>
  <c r="OZ28" i="94"/>
  <c r="PF27" i="94"/>
  <c r="OE26" i="94"/>
  <c r="NS27" i="94"/>
  <c r="QE27" i="94"/>
  <c r="MZ26" i="94"/>
  <c r="C112" i="94"/>
  <c r="O113" i="94"/>
  <c r="O195" i="94"/>
  <c r="C194" i="94"/>
  <c r="OR26" i="94"/>
  <c r="OF27" i="94"/>
  <c r="RK35" i="94"/>
  <c r="RH36" i="94"/>
  <c r="P71" i="94"/>
  <c r="D70" i="94"/>
  <c r="AB26" i="118" l="1"/>
  <c r="Q26" i="118"/>
  <c r="NR18" i="116"/>
  <c r="AB9" i="118"/>
  <c r="Q9" i="118"/>
  <c r="NC39" i="116"/>
  <c r="W31" i="118" s="1"/>
  <c r="NF38" i="116"/>
  <c r="MX38" i="116" s="1"/>
  <c r="P80" i="106"/>
  <c r="D153" i="94"/>
  <c r="P154" i="94"/>
  <c r="W71" i="102"/>
  <c r="C71" i="99"/>
  <c r="W72" i="99"/>
  <c r="ON26" i="99"/>
  <c r="OR25" i="99"/>
  <c r="NR24" i="99"/>
  <c r="MX24" i="99" s="1"/>
  <c r="AF29" i="93"/>
  <c r="QE28" i="94"/>
  <c r="MZ27" i="94"/>
  <c r="RH37" i="94"/>
  <c r="RK36" i="94"/>
  <c r="NS28" i="94"/>
  <c r="OE27" i="94"/>
  <c r="D71" i="94"/>
  <c r="P72" i="94"/>
  <c r="PF28" i="94"/>
  <c r="OZ29" i="94"/>
  <c r="C71" i="94"/>
  <c r="O72" i="94"/>
  <c r="MY27" i="94"/>
  <c r="P198" i="94"/>
  <c r="D197" i="94"/>
  <c r="OR27" i="94"/>
  <c r="OF28" i="94"/>
  <c r="NR26" i="94"/>
  <c r="MX26" i="94" s="1"/>
  <c r="NF27" i="94"/>
  <c r="D112" i="94"/>
  <c r="P113" i="94"/>
  <c r="NB28" i="94"/>
  <c r="NE27" i="94"/>
  <c r="MW27" i="94" s="1"/>
  <c r="C195" i="94"/>
  <c r="O196" i="94"/>
  <c r="C113" i="94"/>
  <c r="O114" i="94"/>
  <c r="O155" i="94"/>
  <c r="C154" i="94"/>
  <c r="NR19" i="116" l="1"/>
  <c r="AB10" i="118"/>
  <c r="Q10" i="118"/>
  <c r="Q27" i="118"/>
  <c r="AB27" i="118"/>
  <c r="NC40" i="116"/>
  <c r="NF39" i="116"/>
  <c r="MX39" i="116" s="1"/>
  <c r="P155" i="94"/>
  <c r="D154" i="94"/>
  <c r="W72" i="102"/>
  <c r="C72" i="99"/>
  <c r="W73" i="99"/>
  <c r="ON27" i="99"/>
  <c r="OR26" i="99"/>
  <c r="NR25" i="99"/>
  <c r="MX25" i="99" s="1"/>
  <c r="AF30" i="93"/>
  <c r="OF29" i="94"/>
  <c r="OR28" i="94"/>
  <c r="O73" i="94"/>
  <c r="C72" i="94"/>
  <c r="NR27" i="94"/>
  <c r="MX27" i="94" s="1"/>
  <c r="NF28" i="94"/>
  <c r="O156" i="94"/>
  <c r="C155" i="94"/>
  <c r="P199" i="94"/>
  <c r="D198" i="94"/>
  <c r="MY28" i="94"/>
  <c r="C114" i="94"/>
  <c r="O115" i="94"/>
  <c r="PF29" i="94"/>
  <c r="OZ30" i="94"/>
  <c r="C196" i="94"/>
  <c r="O197" i="94"/>
  <c r="D72" i="94"/>
  <c r="P73" i="94"/>
  <c r="NE28" i="94"/>
  <c r="MW28" i="94" s="1"/>
  <c r="NS29" i="94"/>
  <c r="OE28" i="94"/>
  <c r="D113" i="94"/>
  <c r="P114" i="94"/>
  <c r="RK37" i="94"/>
  <c r="RH38" i="94"/>
  <c r="QE29" i="94"/>
  <c r="MZ28" i="94"/>
  <c r="Q28" i="118" l="1"/>
  <c r="AB28" i="118"/>
  <c r="NR20" i="116"/>
  <c r="AB11" i="118"/>
  <c r="Q11" i="118"/>
  <c r="NC41" i="116"/>
  <c r="NF40" i="116"/>
  <c r="D155" i="94"/>
  <c r="P156" i="94"/>
  <c r="W73" i="102"/>
  <c r="C73" i="99"/>
  <c r="W74" i="99"/>
  <c r="ON28" i="99"/>
  <c r="OR27" i="99"/>
  <c r="NR26" i="99"/>
  <c r="MX26" i="99" s="1"/>
  <c r="AF31" i="93"/>
  <c r="P74" i="94"/>
  <c r="D73" i="94"/>
  <c r="C197" i="94"/>
  <c r="O198" i="94"/>
  <c r="PF30" i="94"/>
  <c r="OZ31" i="94"/>
  <c r="C115" i="94"/>
  <c r="O116" i="94"/>
  <c r="QE30" i="94"/>
  <c r="MZ29" i="94"/>
  <c r="MY29" i="94"/>
  <c r="P200" i="94"/>
  <c r="D199" i="94"/>
  <c r="RH39" i="94"/>
  <c r="RK38" i="94"/>
  <c r="C156" i="94"/>
  <c r="O157" i="94"/>
  <c r="D114" i="94"/>
  <c r="P115" i="94"/>
  <c r="NR28" i="94"/>
  <c r="MX28" i="94" s="1"/>
  <c r="NF29" i="94"/>
  <c r="OE29" i="94"/>
  <c r="NS30" i="94"/>
  <c r="O74" i="94"/>
  <c r="C73" i="94"/>
  <c r="NE29" i="94"/>
  <c r="MW29" i="94" s="1"/>
  <c r="NB30" i="94"/>
  <c r="OR29" i="94"/>
  <c r="OF30" i="94"/>
  <c r="NC44" i="116" l="1"/>
  <c r="NC9" i="120"/>
  <c r="NR21" i="116"/>
  <c r="AB12" i="118"/>
  <c r="Q12" i="118"/>
  <c r="Q29" i="118"/>
  <c r="AB29" i="118"/>
  <c r="NF41" i="116"/>
  <c r="NF44" i="116" s="1"/>
  <c r="MX40" i="116"/>
  <c r="MX41" i="116" s="1"/>
  <c r="MX42" i="116" s="1"/>
  <c r="MX44" i="116" s="1"/>
  <c r="D156" i="94"/>
  <c r="P157" i="94"/>
  <c r="W74" i="102"/>
  <c r="C74" i="99"/>
  <c r="W75" i="99"/>
  <c r="ON29" i="99"/>
  <c r="OR28" i="99"/>
  <c r="NR27" i="99"/>
  <c r="MX27" i="99" s="1"/>
  <c r="G44" i="95"/>
  <c r="G43" i="95" s="1"/>
  <c r="R79" i="107"/>
  <c r="AF32" i="93"/>
  <c r="RH40" i="94"/>
  <c r="RK40" i="94" s="1"/>
  <c r="RK39" i="94"/>
  <c r="MY30" i="94"/>
  <c r="C157" i="94"/>
  <c r="O158" i="94"/>
  <c r="P201" i="94"/>
  <c r="D200" i="94"/>
  <c r="OF31" i="94"/>
  <c r="OR30" i="94"/>
  <c r="NE30" i="94"/>
  <c r="MW30" i="94" s="1"/>
  <c r="NB31" i="94"/>
  <c r="MZ30" i="94"/>
  <c r="QE31" i="94"/>
  <c r="C116" i="94"/>
  <c r="O117" i="94"/>
  <c r="C74" i="94"/>
  <c r="O75" i="94"/>
  <c r="OE30" i="94"/>
  <c r="NS31" i="94"/>
  <c r="PF31" i="94"/>
  <c r="OZ32" i="94"/>
  <c r="NF30" i="94"/>
  <c r="NR29" i="94"/>
  <c r="MX29" i="94" s="1"/>
  <c r="C198" i="94"/>
  <c r="O199" i="94"/>
  <c r="D115" i="94"/>
  <c r="P116" i="94"/>
  <c r="P75" i="94"/>
  <c r="D74" i="94"/>
  <c r="NC10" i="120" l="1"/>
  <c r="W33" i="118" s="1"/>
  <c r="NF9" i="120"/>
  <c r="AB30" i="118"/>
  <c r="Q30" i="118"/>
  <c r="NR22" i="116"/>
  <c r="AB13" i="118"/>
  <c r="Q13" i="118"/>
  <c r="D157" i="94"/>
  <c r="P158" i="94"/>
  <c r="P64" i="107"/>
  <c r="P70" i="107"/>
  <c r="W75" i="102"/>
  <c r="C75" i="99"/>
  <c r="W76" i="99"/>
  <c r="ON30" i="99"/>
  <c r="OR29" i="99"/>
  <c r="NR28" i="99"/>
  <c r="MX28" i="99" s="1"/>
  <c r="AF33" i="93"/>
  <c r="NB32" i="94"/>
  <c r="NE31" i="94"/>
  <c r="MW31" i="94" s="1"/>
  <c r="OF32" i="94"/>
  <c r="OR31" i="94"/>
  <c r="C75" i="94"/>
  <c r="O76" i="94"/>
  <c r="O118" i="94"/>
  <c r="C117" i="94"/>
  <c r="MZ31" i="94"/>
  <c r="QE32" i="94"/>
  <c r="D75" i="94"/>
  <c r="P76" i="94"/>
  <c r="D116" i="94"/>
  <c r="P117" i="94"/>
  <c r="P202" i="94"/>
  <c r="D201" i="94"/>
  <c r="O200" i="94"/>
  <c r="C199" i="94"/>
  <c r="C158" i="94"/>
  <c r="O159" i="94"/>
  <c r="MY31" i="94"/>
  <c r="NR30" i="94"/>
  <c r="MX30" i="94" s="1"/>
  <c r="NF31" i="94"/>
  <c r="PF32" i="94"/>
  <c r="OZ33" i="94"/>
  <c r="NS32" i="94"/>
  <c r="OE31" i="94"/>
  <c r="NC11" i="120" l="1"/>
  <c r="W34" i="118" s="1"/>
  <c r="NF10" i="120"/>
  <c r="MX10" i="120" s="1"/>
  <c r="NR23" i="116"/>
  <c r="AB14" i="118"/>
  <c r="Q14" i="118"/>
  <c r="AB31" i="118"/>
  <c r="Q31" i="118"/>
  <c r="D158" i="94"/>
  <c r="P159" i="94"/>
  <c r="W76" i="102"/>
  <c r="C76" i="99"/>
  <c r="W77" i="99"/>
  <c r="ON31" i="99"/>
  <c r="OR30" i="99"/>
  <c r="NR29" i="99"/>
  <c r="MX29" i="99" s="1"/>
  <c r="AF34" i="93"/>
  <c r="O201" i="94"/>
  <c r="C200" i="94"/>
  <c r="D202" i="94"/>
  <c r="P203" i="94"/>
  <c r="MZ32" i="94"/>
  <c r="QE33" i="94"/>
  <c r="O119" i="94"/>
  <c r="C118" i="94"/>
  <c r="O77" i="94"/>
  <c r="C76" i="94"/>
  <c r="MY32" i="94"/>
  <c r="C159" i="94"/>
  <c r="O160" i="94"/>
  <c r="D117" i="94"/>
  <c r="P118" i="94"/>
  <c r="P77" i="94"/>
  <c r="D76" i="94"/>
  <c r="OE32" i="94"/>
  <c r="NS33" i="94"/>
  <c r="PF33" i="94"/>
  <c r="OZ34" i="94"/>
  <c r="NF32" i="94"/>
  <c r="NR31" i="94"/>
  <c r="MX31" i="94" s="1"/>
  <c r="OR32" i="94"/>
  <c r="OF33" i="94"/>
  <c r="NB33" i="94"/>
  <c r="NE32" i="94"/>
  <c r="MW32" i="94" s="1"/>
  <c r="NC12" i="120" l="1"/>
  <c r="W35" i="118" s="1"/>
  <c r="NF11" i="120"/>
  <c r="MX11" i="120" s="1"/>
  <c r="NR41" i="116"/>
  <c r="NR9" i="120" s="1"/>
  <c r="AB32" i="118"/>
  <c r="Q15" i="118"/>
  <c r="AB15" i="118"/>
  <c r="P160" i="94"/>
  <c r="D159" i="94"/>
  <c r="W77" i="102"/>
  <c r="C77" i="99"/>
  <c r="W78" i="99"/>
  <c r="ON32" i="99"/>
  <c r="OR31" i="99"/>
  <c r="NR30" i="99"/>
  <c r="MX30" i="99" s="1"/>
  <c r="AF35" i="93"/>
  <c r="P78" i="94"/>
  <c r="D77" i="94"/>
  <c r="O78" i="94"/>
  <c r="C77" i="94"/>
  <c r="P119" i="94"/>
  <c r="D118" i="94"/>
  <c r="O161" i="94"/>
  <c r="C160" i="94"/>
  <c r="MY33" i="94"/>
  <c r="NE33" i="94"/>
  <c r="MW33" i="94" s="1"/>
  <c r="NB34" i="94"/>
  <c r="OF34" i="94"/>
  <c r="OR33" i="94"/>
  <c r="O120" i="94"/>
  <c r="C119" i="94"/>
  <c r="QE34" i="94"/>
  <c r="MZ33" i="94"/>
  <c r="NR32" i="94"/>
  <c r="MX32" i="94" s="1"/>
  <c r="NF33" i="94"/>
  <c r="OZ35" i="94"/>
  <c r="PF34" i="94"/>
  <c r="D203" i="94"/>
  <c r="P204" i="94"/>
  <c r="OE33" i="94"/>
  <c r="NS34" i="94"/>
  <c r="C201" i="94"/>
  <c r="O202" i="94"/>
  <c r="NS9" i="120" l="1"/>
  <c r="NR10" i="120"/>
  <c r="Q33" i="118" s="1"/>
  <c r="S33" i="118" s="1"/>
  <c r="NF12" i="120"/>
  <c r="MX12" i="120" s="1"/>
  <c r="NC13" i="120"/>
  <c r="W36" i="118" s="1"/>
  <c r="P161" i="94"/>
  <c r="D160" i="94"/>
  <c r="W78" i="102"/>
  <c r="C78" i="99"/>
  <c r="W79" i="99"/>
  <c r="ON33" i="99"/>
  <c r="OR32" i="99"/>
  <c r="NR31" i="99"/>
  <c r="MX31" i="99" s="1"/>
  <c r="AF36" i="93"/>
  <c r="QE35" i="94"/>
  <c r="MZ34" i="94"/>
  <c r="C120" i="94"/>
  <c r="O121" i="94"/>
  <c r="OR34" i="94"/>
  <c r="OF35" i="94"/>
  <c r="NE34" i="94"/>
  <c r="MW34" i="94" s="1"/>
  <c r="NB35" i="94"/>
  <c r="MY34" i="94"/>
  <c r="C202" i="94"/>
  <c r="O203" i="94"/>
  <c r="C161" i="94"/>
  <c r="O162" i="94"/>
  <c r="NS35" i="94"/>
  <c r="OE34" i="94"/>
  <c r="D119" i="94"/>
  <c r="P120" i="94"/>
  <c r="D204" i="94"/>
  <c r="P205" i="94"/>
  <c r="O79" i="94"/>
  <c r="C78" i="94"/>
  <c r="OZ36" i="94"/>
  <c r="PF35" i="94"/>
  <c r="NF34" i="94"/>
  <c r="NR33" i="94"/>
  <c r="MX33" i="94" s="1"/>
  <c r="D78" i="94"/>
  <c r="P79" i="94"/>
  <c r="NR11" i="120" l="1"/>
  <c r="Q34" i="118" s="1"/>
  <c r="S34" i="118" s="1"/>
  <c r="NS10" i="120"/>
  <c r="MY10" i="120" s="1"/>
  <c r="NC14" i="120"/>
  <c r="W37" i="118" s="1"/>
  <c r="NF13" i="120"/>
  <c r="MX13" i="120" s="1"/>
  <c r="D161" i="94"/>
  <c r="P162" i="94"/>
  <c r="W79" i="102"/>
  <c r="C79" i="99"/>
  <c r="W80" i="99"/>
  <c r="ON34" i="99"/>
  <c r="OR33" i="99"/>
  <c r="NR32" i="99"/>
  <c r="MX32" i="99" s="1"/>
  <c r="AF37" i="93"/>
  <c r="C79" i="94"/>
  <c r="O80" i="94"/>
  <c r="QE36" i="94"/>
  <c r="MZ35" i="94"/>
  <c r="D205" i="94"/>
  <c r="P206" i="94"/>
  <c r="D120" i="94"/>
  <c r="P121" i="94"/>
  <c r="NS36" i="94"/>
  <c r="OE35" i="94"/>
  <c r="C162" i="94"/>
  <c r="O163" i="94"/>
  <c r="C203" i="94"/>
  <c r="O204" i="94"/>
  <c r="P80" i="94"/>
  <c r="D79" i="94"/>
  <c r="MY35" i="94"/>
  <c r="NE35" i="94"/>
  <c r="MW35" i="94" s="1"/>
  <c r="NB36" i="94"/>
  <c r="NR34" i="94"/>
  <c r="MX34" i="94" s="1"/>
  <c r="NF35" i="94"/>
  <c r="OF36" i="94"/>
  <c r="OR35" i="94"/>
  <c r="O122" i="94"/>
  <c r="C121" i="94"/>
  <c r="PF36" i="94"/>
  <c r="OZ37" i="94"/>
  <c r="NR12" i="120" l="1"/>
  <c r="Q35" i="118" s="1"/>
  <c r="S35" i="118" s="1"/>
  <c r="NS11" i="120"/>
  <c r="MY11" i="120" s="1"/>
  <c r="NC15" i="120"/>
  <c r="W38" i="118" s="1"/>
  <c r="NF14" i="120"/>
  <c r="MX14" i="120" s="1"/>
  <c r="D162" i="94"/>
  <c r="P163" i="94"/>
  <c r="W80" i="102"/>
  <c r="C80" i="99"/>
  <c r="W81" i="99"/>
  <c r="ON35" i="99"/>
  <c r="OR34" i="99"/>
  <c r="NR33" i="99"/>
  <c r="MX33" i="99" s="1"/>
  <c r="AF38" i="93"/>
  <c r="NE36" i="94"/>
  <c r="MW36" i="94" s="1"/>
  <c r="NB37" i="94"/>
  <c r="MY36" i="94"/>
  <c r="P81" i="94"/>
  <c r="D80" i="94"/>
  <c r="O205" i="94"/>
  <c r="C204" i="94"/>
  <c r="P122" i="94"/>
  <c r="D121" i="94"/>
  <c r="C163" i="94"/>
  <c r="O164" i="94"/>
  <c r="PF37" i="94"/>
  <c r="OZ38" i="94"/>
  <c r="OE36" i="94"/>
  <c r="NS37" i="94"/>
  <c r="O123" i="94"/>
  <c r="C122" i="94"/>
  <c r="P207" i="94"/>
  <c r="D206" i="94"/>
  <c r="OR36" i="94"/>
  <c r="OF37" i="94"/>
  <c r="MZ36" i="94"/>
  <c r="QE37" i="94"/>
  <c r="NR35" i="94"/>
  <c r="MX35" i="94" s="1"/>
  <c r="NF36" i="94"/>
  <c r="O81" i="94"/>
  <c r="C80" i="94"/>
  <c r="NR13" i="120" l="1"/>
  <c r="Q36" i="118" s="1"/>
  <c r="S36" i="118" s="1"/>
  <c r="NS12" i="120"/>
  <c r="MY12" i="120" s="1"/>
  <c r="NC16" i="120"/>
  <c r="W39" i="118" s="1"/>
  <c r="NF15" i="120"/>
  <c r="MX15" i="120" s="1"/>
  <c r="D163" i="94"/>
  <c r="P164" i="94"/>
  <c r="W81" i="102"/>
  <c r="C81" i="99"/>
  <c r="W82" i="99"/>
  <c r="OR35" i="99"/>
  <c r="NR34" i="99"/>
  <c r="MX34" i="99" s="1"/>
  <c r="AF39" i="93"/>
  <c r="D207" i="94"/>
  <c r="P208" i="94"/>
  <c r="D208" i="94" s="1"/>
  <c r="C123" i="94"/>
  <c r="O124" i="94"/>
  <c r="OE37" i="94"/>
  <c r="NS38" i="94"/>
  <c r="PF38" i="94"/>
  <c r="OZ39" i="94"/>
  <c r="C164" i="94"/>
  <c r="O165" i="94"/>
  <c r="C81" i="94"/>
  <c r="O82" i="94"/>
  <c r="P123" i="94"/>
  <c r="D122" i="94"/>
  <c r="NF37" i="94"/>
  <c r="NR36" i="94"/>
  <c r="MX36" i="94" s="1"/>
  <c r="O206" i="94"/>
  <c r="C205" i="94"/>
  <c r="MZ37" i="94"/>
  <c r="QE38" i="94"/>
  <c r="D81" i="94"/>
  <c r="P82" i="94"/>
  <c r="MY37" i="94"/>
  <c r="OR37" i="94"/>
  <c r="OF38" i="94"/>
  <c r="NE37" i="94"/>
  <c r="MW37" i="94" s="1"/>
  <c r="NB38" i="94"/>
  <c r="NR14" i="120" l="1"/>
  <c r="Q37" i="118" s="1"/>
  <c r="S37" i="118" s="1"/>
  <c r="NS13" i="120"/>
  <c r="MY13" i="120" s="1"/>
  <c r="NF16" i="120"/>
  <c r="MX16" i="120" s="1"/>
  <c r="NC17" i="120"/>
  <c r="D164" i="94"/>
  <c r="P165" i="94"/>
  <c r="W82" i="102"/>
  <c r="C82" i="99"/>
  <c r="W83" i="99"/>
  <c r="C83" i="99" s="1"/>
  <c r="ON37" i="99"/>
  <c r="OR36" i="99"/>
  <c r="NR35" i="99"/>
  <c r="MX35" i="99" s="1"/>
  <c r="AF40" i="93"/>
  <c r="QE39" i="94"/>
  <c r="MZ38" i="94"/>
  <c r="NR37" i="94"/>
  <c r="MX37" i="94" s="1"/>
  <c r="NF38" i="94"/>
  <c r="C206" i="94"/>
  <c r="O207" i="94"/>
  <c r="D123" i="94"/>
  <c r="P124" i="94"/>
  <c r="O83" i="94"/>
  <c r="C83" i="94" s="1"/>
  <c r="C82" i="94"/>
  <c r="NE38" i="94"/>
  <c r="MW38" i="94" s="1"/>
  <c r="NB39" i="94"/>
  <c r="C165" i="94"/>
  <c r="O166" i="94"/>
  <c r="C166" i="94" s="1"/>
  <c r="OR38" i="94"/>
  <c r="OF39" i="94"/>
  <c r="OZ40" i="94"/>
  <c r="PF39" i="94"/>
  <c r="MY38" i="94"/>
  <c r="NS39" i="94"/>
  <c r="OE38" i="94"/>
  <c r="C124" i="94"/>
  <c r="O125" i="94"/>
  <c r="C125" i="94" s="1"/>
  <c r="D82" i="94"/>
  <c r="P83" i="94"/>
  <c r="D83" i="94" s="1"/>
  <c r="NF17" i="120" l="1"/>
  <c r="W40" i="118"/>
  <c r="NR15" i="120"/>
  <c r="Q38" i="118" s="1"/>
  <c r="S38" i="118" s="1"/>
  <c r="NS14" i="120"/>
  <c r="MY14" i="120" s="1"/>
  <c r="MX17" i="120"/>
  <c r="D165" i="94"/>
  <c r="P166" i="94"/>
  <c r="D166" i="94" s="1"/>
  <c r="W83" i="102"/>
  <c r="ON38" i="99"/>
  <c r="OR37" i="99"/>
  <c r="NR36" i="99"/>
  <c r="MX36" i="99" s="1"/>
  <c r="AF41" i="93"/>
  <c r="PF40" i="94"/>
  <c r="PF41" i="94" s="1"/>
  <c r="PF42" i="94" s="1"/>
  <c r="PF44" i="94" s="1"/>
  <c r="OZ41" i="94"/>
  <c r="OZ42" i="94" s="1"/>
  <c r="OZ44" i="94" s="1"/>
  <c r="NB40" i="94"/>
  <c r="NE39" i="94"/>
  <c r="MW39" i="94" s="1"/>
  <c r="D124" i="94"/>
  <c r="P125" i="94"/>
  <c r="D125" i="94" s="1"/>
  <c r="O208" i="94"/>
  <c r="C208" i="94" s="1"/>
  <c r="C207" i="94"/>
  <c r="NR38" i="94"/>
  <c r="MX38" i="94" s="1"/>
  <c r="NF39" i="94"/>
  <c r="MY39" i="94"/>
  <c r="OF40" i="94"/>
  <c r="OR39" i="94"/>
  <c r="NS40" i="94"/>
  <c r="OE39" i="94"/>
  <c r="QE40" i="94"/>
  <c r="MZ39" i="94"/>
  <c r="B67" i="98" l="1"/>
  <c r="B66" i="98" s="1"/>
  <c r="NR16" i="120"/>
  <c r="Q39" i="118" s="1"/>
  <c r="S39" i="118" s="1"/>
  <c r="NS15" i="120"/>
  <c r="MY15" i="120" s="1"/>
  <c r="K79" i="106"/>
  <c r="ON39" i="99"/>
  <c r="OR38" i="99"/>
  <c r="NR37" i="99"/>
  <c r="MX37" i="99" s="1"/>
  <c r="AF42" i="93"/>
  <c r="AF43" i="93" s="1"/>
  <c r="AC43" i="93"/>
  <c r="AC44" i="93" s="1"/>
  <c r="QE41" i="94"/>
  <c r="MZ40" i="94"/>
  <c r="MZ41" i="94" s="1"/>
  <c r="MZ42" i="94" s="1"/>
  <c r="MZ44" i="94" s="1"/>
  <c r="OE40" i="94"/>
  <c r="OE41" i="94" s="1"/>
  <c r="NS41" i="94"/>
  <c r="NS42" i="94" s="1"/>
  <c r="OF41" i="94"/>
  <c r="OF44" i="94" s="1"/>
  <c r="OR40" i="94"/>
  <c r="OR41" i="94" s="1"/>
  <c r="OR44" i="94" s="1"/>
  <c r="PN41" i="94"/>
  <c r="MY40" i="94"/>
  <c r="MY41" i="94" s="1"/>
  <c r="MY42" i="94" s="1"/>
  <c r="MY44" i="94" s="1"/>
  <c r="NR39" i="94"/>
  <c r="MX39" i="94" s="1"/>
  <c r="NF40" i="94"/>
  <c r="NB41" i="94"/>
  <c r="NB44" i="94" s="1"/>
  <c r="NE40" i="94"/>
  <c r="W79" i="106" l="1"/>
  <c r="NR17" i="120"/>
  <c r="Q40" i="118" s="1"/>
  <c r="S40" i="118" s="1"/>
  <c r="NS16" i="120"/>
  <c r="MY16" i="120" s="1"/>
  <c r="U64" i="106"/>
  <c r="X69" i="106"/>
  <c r="X80" i="106"/>
  <c r="X81" i="106"/>
  <c r="X79" i="106"/>
  <c r="PN44" i="94"/>
  <c r="PN10" i="99"/>
  <c r="ON40" i="99"/>
  <c r="OR39" i="99"/>
  <c r="NR38" i="99"/>
  <c r="MX38" i="99" s="1"/>
  <c r="NS44" i="94"/>
  <c r="OE44" i="94"/>
  <c r="QE44" i="94"/>
  <c r="NE41" i="94"/>
  <c r="NE44" i="94" s="1"/>
  <c r="MW40" i="94"/>
  <c r="NR40" i="94"/>
  <c r="NF41" i="94"/>
  <c r="NF42" i="94" s="1"/>
  <c r="NR18" i="120" l="1"/>
  <c r="NS17" i="120"/>
  <c r="MY17" i="120" s="1"/>
  <c r="MY10" i="99"/>
  <c r="PN11" i="99"/>
  <c r="ON41" i="99"/>
  <c r="OR40" i="99"/>
  <c r="OR41" i="99" s="1"/>
  <c r="OR44" i="99" s="1"/>
  <c r="NR39" i="99"/>
  <c r="MX39" i="99" s="1"/>
  <c r="NF44" i="94"/>
  <c r="NR44" i="94"/>
  <c r="NR41" i="94"/>
  <c r="MX40" i="94"/>
  <c r="MX41" i="94" s="1"/>
  <c r="MX42" i="94" s="1"/>
  <c r="MX44" i="94" s="1"/>
  <c r="MW41" i="94"/>
  <c r="MW42" i="94" s="1"/>
  <c r="MW44" i="94" s="1"/>
  <c r="B9" i="94"/>
  <c r="AB33" i="118" l="1"/>
  <c r="Q41" i="118"/>
  <c r="S41" i="118" s="1"/>
  <c r="NR19" i="120"/>
  <c r="NS18" i="120"/>
  <c r="MY18" i="120" s="1"/>
  <c r="ON44" i="99"/>
  <c r="MY11" i="99"/>
  <c r="PN12" i="99"/>
  <c r="NN41" i="99"/>
  <c r="NR40" i="99"/>
  <c r="J34" i="88"/>
  <c r="AB34" i="118" l="1"/>
  <c r="Q42" i="118"/>
  <c r="S42" i="118" s="1"/>
  <c r="NR20" i="120"/>
  <c r="NS19" i="120"/>
  <c r="MY19" i="120" s="1"/>
  <c r="NR9" i="102"/>
  <c r="NR3" i="102" s="1"/>
  <c r="OC3" i="102" s="1"/>
  <c r="MY12" i="99"/>
  <c r="PN13" i="99"/>
  <c r="NR41" i="99"/>
  <c r="MX40" i="99"/>
  <c r="MX41" i="99" s="1"/>
  <c r="MX42" i="99" s="1"/>
  <c r="MX44" i="99" s="1"/>
  <c r="NN44" i="99"/>
  <c r="NR42" i="99"/>
  <c r="NR44" i="99" s="1"/>
  <c r="P34" i="88"/>
  <c r="AB35" i="118" l="1"/>
  <c r="Q43" i="118"/>
  <c r="S43" i="118" s="1"/>
  <c r="NR21" i="120"/>
  <c r="NS20" i="120"/>
  <c r="MY20" i="120" s="1"/>
  <c r="NR10" i="102"/>
  <c r="PN14" i="99"/>
  <c r="MY13" i="99"/>
  <c r="B40" i="19"/>
  <c r="Q44" i="118" l="1"/>
  <c r="S44" i="118" s="1"/>
  <c r="AB36" i="118"/>
  <c r="NR22" i="120"/>
  <c r="NS21" i="120"/>
  <c r="MY21" i="120" s="1"/>
  <c r="MX10" i="102"/>
  <c r="NR11" i="102"/>
  <c r="PN15" i="99"/>
  <c r="MY14" i="99"/>
  <c r="AN68" i="2"/>
  <c r="AB37" i="118" l="1"/>
  <c r="Q45" i="118"/>
  <c r="S45" i="118" s="1"/>
  <c r="NR23" i="120"/>
  <c r="NS22" i="120"/>
  <c r="MY22" i="120" s="1"/>
  <c r="NR36" i="102"/>
  <c r="NR12" i="102"/>
  <c r="MX11" i="102"/>
  <c r="PN16" i="99"/>
  <c r="MY15" i="99"/>
  <c r="B25" i="98"/>
  <c r="AB38" i="118" l="1"/>
  <c r="Q46" i="118"/>
  <c r="S46" i="118" s="1"/>
  <c r="NR24" i="120"/>
  <c r="NS23" i="120"/>
  <c r="MY23" i="120" s="1"/>
  <c r="U8" i="106"/>
  <c r="NR37" i="102"/>
  <c r="MX12" i="102"/>
  <c r="NR13" i="102"/>
  <c r="MY16" i="99"/>
  <c r="PN17" i="99"/>
  <c r="A2" i="88"/>
  <c r="H18" i="88" s="1"/>
  <c r="H16" i="88" l="1"/>
  <c r="G18" i="88"/>
  <c r="H15" i="88"/>
  <c r="G16" i="88"/>
  <c r="H38" i="88"/>
  <c r="G15" i="88"/>
  <c r="H35" i="88"/>
  <c r="G38" i="88"/>
  <c r="H12" i="88"/>
  <c r="G35" i="88"/>
  <c r="H11" i="88"/>
  <c r="G12" i="88"/>
  <c r="H10" i="88"/>
  <c r="G11" i="88"/>
  <c r="F39" i="88"/>
  <c r="G10" i="88"/>
  <c r="AB39" i="118"/>
  <c r="Q47" i="118"/>
  <c r="S47" i="118" s="1"/>
  <c r="NR25" i="120"/>
  <c r="NS24" i="120"/>
  <c r="MY24" i="120" s="1"/>
  <c r="I35" i="88"/>
  <c r="I38" i="88"/>
  <c r="I16" i="88"/>
  <c r="I18" i="88"/>
  <c r="I12" i="88"/>
  <c r="I15" i="88"/>
  <c r="I10" i="88"/>
  <c r="I11" i="88"/>
  <c r="NR38" i="102"/>
  <c r="NR14" i="102"/>
  <c r="MX13" i="102"/>
  <c r="PN18" i="99"/>
  <c r="MY17" i="99"/>
  <c r="AB40" i="118" l="1"/>
  <c r="Q48" i="118"/>
  <c r="S48" i="118" s="1"/>
  <c r="NR26" i="120"/>
  <c r="NS25" i="120"/>
  <c r="MY25" i="120" s="1"/>
  <c r="NR39" i="102"/>
  <c r="NR15" i="102"/>
  <c r="MX14" i="102"/>
  <c r="MY18" i="99"/>
  <c r="PN19" i="99"/>
  <c r="D14" i="95"/>
  <c r="D12" i="95" s="1"/>
  <c r="B6" i="96" s="1"/>
  <c r="I34" i="88"/>
  <c r="L34" i="88" s="1"/>
  <c r="L35" i="88"/>
  <c r="I37" i="88"/>
  <c r="L37" i="88" s="1"/>
  <c r="L38" i="88"/>
  <c r="F37" i="88"/>
  <c r="N35" i="88"/>
  <c r="I14" i="88"/>
  <c r="I9" i="88"/>
  <c r="G37" i="88"/>
  <c r="K37" i="88" s="1"/>
  <c r="O35" i="88"/>
  <c r="H34" i="88"/>
  <c r="G34" i="88"/>
  <c r="O38" i="88"/>
  <c r="H37" i="88"/>
  <c r="W66" i="19"/>
  <c r="X66" i="19"/>
  <c r="W60" i="19"/>
  <c r="X60" i="19"/>
  <c r="W58" i="19"/>
  <c r="X58" i="19"/>
  <c r="W54" i="19"/>
  <c r="X54" i="19"/>
  <c r="W46" i="19"/>
  <c r="X46" i="19"/>
  <c r="W44" i="19"/>
  <c r="X44" i="19"/>
  <c r="AB41" i="118" l="1"/>
  <c r="Q49" i="118"/>
  <c r="S49" i="118" s="1"/>
  <c r="NR27" i="120"/>
  <c r="NS26" i="120"/>
  <c r="MY26" i="120" s="1"/>
  <c r="NN41" i="102"/>
  <c r="NR40" i="102"/>
  <c r="NR41" i="102" s="1"/>
  <c r="B8" i="107"/>
  <c r="C23" i="107"/>
  <c r="NR16" i="102"/>
  <c r="MX15" i="102"/>
  <c r="MY19" i="99"/>
  <c r="PN20" i="99"/>
  <c r="D15" i="95"/>
  <c r="B22" i="96" s="1"/>
  <c r="R38" i="88"/>
  <c r="O37" i="88"/>
  <c r="R37" i="88" s="1"/>
  <c r="N34" i="88"/>
  <c r="Q34" i="88" s="1"/>
  <c r="Q35" i="88"/>
  <c r="R35" i="88"/>
  <c r="O34" i="88"/>
  <c r="R34" i="88" s="1"/>
  <c r="AV56" i="2"/>
  <c r="AU56" i="2"/>
  <c r="AU55" i="2"/>
  <c r="BF75" i="2"/>
  <c r="BE75" i="2"/>
  <c r="BD75" i="2"/>
  <c r="BC75" i="2"/>
  <c r="BB75" i="2"/>
  <c r="AZ75" i="2"/>
  <c r="AY75" i="2"/>
  <c r="AX75" i="2"/>
  <c r="AW75" i="2"/>
  <c r="AV75" i="2"/>
  <c r="AU75" i="2"/>
  <c r="AT74" i="2"/>
  <c r="AS74" i="2"/>
  <c r="AR74" i="2"/>
  <c r="AQ74" i="2"/>
  <c r="AT73" i="2"/>
  <c r="AS73" i="2"/>
  <c r="AR73" i="2"/>
  <c r="AQ73" i="2"/>
  <c r="AP73" i="2"/>
  <c r="AT72" i="2"/>
  <c r="AS72" i="2"/>
  <c r="AR72" i="2"/>
  <c r="AQ72" i="2"/>
  <c r="AV77" i="2"/>
  <c r="AW77" i="2"/>
  <c r="AX77" i="2"/>
  <c r="AY77" i="2"/>
  <c r="AZ77" i="2"/>
  <c r="AU77" i="2"/>
  <c r="AV76" i="2"/>
  <c r="AW76" i="2"/>
  <c r="AX76" i="2"/>
  <c r="AY76" i="2"/>
  <c r="AZ76" i="2"/>
  <c r="BB76" i="2"/>
  <c r="BC76" i="2"/>
  <c r="BD76" i="2"/>
  <c r="BE76" i="2"/>
  <c r="BF76" i="2"/>
  <c r="AU76" i="2"/>
  <c r="AT96" i="2"/>
  <c r="AT95" i="2"/>
  <c r="AT94" i="2"/>
  <c r="AS94" i="2"/>
  <c r="AR94" i="2"/>
  <c r="AQ94" i="2"/>
  <c r="BF97" i="2"/>
  <c r="BF78" i="2" s="1"/>
  <c r="BE97" i="2"/>
  <c r="BE78" i="2" s="1"/>
  <c r="BD97" i="2"/>
  <c r="BD78" i="2" s="1"/>
  <c r="BC97" i="2"/>
  <c r="BC78" i="2" s="1"/>
  <c r="BB97" i="2"/>
  <c r="BB78" i="2" s="1"/>
  <c r="AB42" i="118" l="1"/>
  <c r="Q50" i="118"/>
  <c r="S50" i="118" s="1"/>
  <c r="NR28" i="120"/>
  <c r="NS27" i="120"/>
  <c r="MY27" i="120" s="1"/>
  <c r="Z146" i="2"/>
  <c r="I64" i="107"/>
  <c r="J79" i="107"/>
  <c r="NR17" i="102"/>
  <c r="MX16" i="102"/>
  <c r="PN21" i="99"/>
  <c r="MY20" i="99"/>
  <c r="AB146" i="2"/>
  <c r="AT98" i="2"/>
  <c r="AQ75" i="2"/>
  <c r="AT75" i="2"/>
  <c r="AS75" i="2"/>
  <c r="AP72" i="2"/>
  <c r="AP74" i="2"/>
  <c r="AR75" i="2"/>
  <c r="AT97" i="2"/>
  <c r="AP94" i="2"/>
  <c r="AB43" i="118" l="1"/>
  <c r="Q51" i="118"/>
  <c r="S51" i="118" s="1"/>
  <c r="NR29" i="120"/>
  <c r="NS28" i="120"/>
  <c r="MY28" i="120" s="1"/>
  <c r="NN44" i="102"/>
  <c r="NR44" i="102"/>
  <c r="NN10" i="111"/>
  <c r="NR9" i="111"/>
  <c r="NR18" i="102"/>
  <c r="MX17" i="102"/>
  <c r="MY21" i="99"/>
  <c r="PN22" i="99"/>
  <c r="AP75" i="2"/>
  <c r="AB44" i="118" l="1"/>
  <c r="Q52" i="118"/>
  <c r="S52" i="118" s="1"/>
  <c r="NR30" i="120"/>
  <c r="NS29" i="120"/>
  <c r="MY29" i="120" s="1"/>
  <c r="NR10" i="111"/>
  <c r="MX10" i="111" s="1"/>
  <c r="NN11" i="111"/>
  <c r="NR19" i="102"/>
  <c r="MX18" i="102"/>
  <c r="PN23" i="99"/>
  <c r="MY22" i="99"/>
  <c r="AS95" i="2"/>
  <c r="AS96" i="2"/>
  <c r="AB45" i="118" l="1"/>
  <c r="Q53" i="118"/>
  <c r="S53" i="118" s="1"/>
  <c r="NR31" i="120"/>
  <c r="NS30" i="120"/>
  <c r="MY30" i="120" s="1"/>
  <c r="NN12" i="111"/>
  <c r="NR11" i="111"/>
  <c r="MX11" i="111" s="1"/>
  <c r="MX19" i="102"/>
  <c r="NR20" i="102"/>
  <c r="MY23" i="99"/>
  <c r="PN24" i="99"/>
  <c r="AS97" i="2"/>
  <c r="AS98" i="2"/>
  <c r="AB46" i="118" l="1"/>
  <c r="Q54" i="118"/>
  <c r="S54" i="118" s="1"/>
  <c r="NR32" i="120"/>
  <c r="NS31" i="120"/>
  <c r="MY31" i="120" s="1"/>
  <c r="NN13" i="111"/>
  <c r="NR12" i="111"/>
  <c r="MX12" i="111" s="1"/>
  <c r="F89" i="2"/>
  <c r="NR21" i="102"/>
  <c r="MX20" i="102"/>
  <c r="MY24" i="99"/>
  <c r="PN25" i="99"/>
  <c r="AD44" i="19"/>
  <c r="AD43" i="19"/>
  <c r="AD42" i="19"/>
  <c r="AE40" i="19"/>
  <c r="AE37" i="19"/>
  <c r="AE36" i="19"/>
  <c r="AE35" i="19"/>
  <c r="AE30" i="19"/>
  <c r="AE29" i="19"/>
  <c r="AE27" i="19"/>
  <c r="AD26" i="19"/>
  <c r="AD25" i="19"/>
  <c r="AD24" i="19"/>
  <c r="AD23" i="19"/>
  <c r="AD22" i="19"/>
  <c r="AD19" i="19"/>
  <c r="AE31" i="19"/>
  <c r="F19" i="19"/>
  <c r="F18" i="19" s="1"/>
  <c r="AI72" i="19"/>
  <c r="AY24" i="2"/>
  <c r="AY28" i="2"/>
  <c r="AW24" i="2"/>
  <c r="AX116" i="2"/>
  <c r="AX32" i="2"/>
  <c r="AX24" i="2"/>
  <c r="AV28" i="2"/>
  <c r="AU110" i="2"/>
  <c r="AV24" i="2"/>
  <c r="AS23" i="2"/>
  <c r="AT23" i="2"/>
  <c r="AQ25" i="2"/>
  <c r="AR25" i="2"/>
  <c r="AS25" i="2"/>
  <c r="AT25" i="2"/>
  <c r="K13" i="2"/>
  <c r="AV33" i="2"/>
  <c r="AW33" i="2"/>
  <c r="AX33" i="2"/>
  <c r="AY33" i="2"/>
  <c r="AZ33" i="2"/>
  <c r="BB33" i="2"/>
  <c r="BC33" i="2"/>
  <c r="BD33" i="2"/>
  <c r="BE33" i="2"/>
  <c r="BF33" i="2"/>
  <c r="AV34" i="2"/>
  <c r="AW34" i="2"/>
  <c r="AX34" i="2"/>
  <c r="AX11" i="2" s="1"/>
  <c r="AY34" i="2"/>
  <c r="AZ34" i="2"/>
  <c r="AU34" i="2"/>
  <c r="AU33" i="2"/>
  <c r="AV15" i="2"/>
  <c r="AW15" i="2"/>
  <c r="AX15" i="2"/>
  <c r="AY15" i="2"/>
  <c r="AZ15" i="2"/>
  <c r="BB15" i="2"/>
  <c r="BC15" i="2"/>
  <c r="BD15" i="2"/>
  <c r="BE15" i="2"/>
  <c r="BF15" i="2"/>
  <c r="AV16" i="2"/>
  <c r="AW16" i="2"/>
  <c r="AX16" i="2"/>
  <c r="AY16" i="2"/>
  <c r="AZ16" i="2"/>
  <c r="BB16" i="2"/>
  <c r="BB6" i="2" s="1"/>
  <c r="BC16" i="2"/>
  <c r="BD16" i="2"/>
  <c r="BE16" i="2"/>
  <c r="BF16" i="2"/>
  <c r="BF6" i="2" s="1"/>
  <c r="BB17" i="2"/>
  <c r="BC17" i="2"/>
  <c r="BD17" i="2"/>
  <c r="BE17" i="2"/>
  <c r="BF17" i="2"/>
  <c r="AU6" i="2"/>
  <c r="AU15" i="2"/>
  <c r="BB102" i="2"/>
  <c r="F40" i="19"/>
  <c r="AD45" i="19"/>
  <c r="K21" i="2"/>
  <c r="U54" i="19"/>
  <c r="U52" i="19"/>
  <c r="U50" i="19"/>
  <c r="U46" i="19"/>
  <c r="U44" i="19"/>
  <c r="U42" i="19"/>
  <c r="BU45" i="17"/>
  <c r="BT45" i="17"/>
  <c r="BS45" i="17"/>
  <c r="BO45" i="17"/>
  <c r="BN45" i="17"/>
  <c r="BM45" i="17"/>
  <c r="BL45" i="17"/>
  <c r="BK45" i="17"/>
  <c r="BJ45" i="17"/>
  <c r="BI45" i="17"/>
  <c r="BH45" i="17"/>
  <c r="BG45" i="17"/>
  <c r="BF45" i="17"/>
  <c r="BE45" i="17"/>
  <c r="BD45" i="17"/>
  <c r="BC45" i="17"/>
  <c r="BB45" i="17"/>
  <c r="BA45" i="17"/>
  <c r="AZ45" i="17"/>
  <c r="AY45" i="17"/>
  <c r="AX45" i="17"/>
  <c r="AW45" i="17"/>
  <c r="AV45" i="17"/>
  <c r="AU45" i="17"/>
  <c r="AT45" i="17"/>
  <c r="AS45" i="17"/>
  <c r="AR45" i="17"/>
  <c r="AQ45" i="17"/>
  <c r="AP45" i="17"/>
  <c r="AO45" i="17"/>
  <c r="AN45" i="17"/>
  <c r="AM45" i="17"/>
  <c r="AL45" i="17"/>
  <c r="AK45" i="17"/>
  <c r="AJ45" i="17"/>
  <c r="AI45" i="17"/>
  <c r="AH45" i="17"/>
  <c r="AG45" i="17"/>
  <c r="AF45" i="17"/>
  <c r="AD45" i="17"/>
  <c r="AC45" i="17"/>
  <c r="AB45" i="17"/>
  <c r="AA45" i="17"/>
  <c r="Z45" i="17"/>
  <c r="Y45" i="17"/>
  <c r="X45" i="17"/>
  <c r="W45" i="17"/>
  <c r="V45" i="17"/>
  <c r="U45" i="17"/>
  <c r="T45" i="17"/>
  <c r="S45" i="17"/>
  <c r="R45" i="17"/>
  <c r="Q45" i="17"/>
  <c r="P45" i="17"/>
  <c r="O45" i="17"/>
  <c r="N45" i="17"/>
  <c r="M45" i="17"/>
  <c r="L45" i="17"/>
  <c r="K45" i="17"/>
  <c r="ME44" i="17"/>
  <c r="LB44" i="17"/>
  <c r="LA44" i="17"/>
  <c r="KZ44" i="17"/>
  <c r="KY44" i="17"/>
  <c r="KX44" i="17"/>
  <c r="KW44" i="17"/>
  <c r="KU44" i="17"/>
  <c r="KT44" i="17"/>
  <c r="KS44" i="17"/>
  <c r="KR44" i="17"/>
  <c r="KQ44" i="17"/>
  <c r="KP44" i="17"/>
  <c r="KO44" i="17"/>
  <c r="KN44" i="17"/>
  <c r="KM44" i="17"/>
  <c r="KL44" i="17"/>
  <c r="KK44" i="17"/>
  <c r="KJ44" i="17"/>
  <c r="KI44" i="17"/>
  <c r="KG44" i="17"/>
  <c r="KE44" i="17"/>
  <c r="KA44" i="17"/>
  <c r="JZ44" i="17"/>
  <c r="IG44" i="17"/>
  <c r="CA44" i="17"/>
  <c r="BZ44" i="17"/>
  <c r="BY44" i="17"/>
  <c r="BX44" i="17"/>
  <c r="BW44" i="17"/>
  <c r="BT44" i="17"/>
  <c r="BS44" i="17"/>
  <c r="BK44" i="17"/>
  <c r="BJ44" i="17"/>
  <c r="BH44" i="17"/>
  <c r="BG44" i="17"/>
  <c r="BE44" i="17"/>
  <c r="BD44" i="17"/>
  <c r="BB44" i="17"/>
  <c r="BA44" i="17"/>
  <c r="AY44" i="17"/>
  <c r="AX44" i="17"/>
  <c r="AS44" i="17"/>
  <c r="AR44" i="17"/>
  <c r="AP44" i="17"/>
  <c r="AO44" i="17"/>
  <c r="AM44" i="17"/>
  <c r="AL44" i="17"/>
  <c r="AG44" i="17"/>
  <c r="AF44" i="17"/>
  <c r="Z44" i="17"/>
  <c r="V44" i="17"/>
  <c r="R44" i="17"/>
  <c r="N44" i="17"/>
  <c r="LC42" i="17"/>
  <c r="LC44" i="17" s="1"/>
  <c r="KV42" i="17"/>
  <c r="KV44" i="17" s="1"/>
  <c r="KH42" i="17"/>
  <c r="KH44" i="17" s="1"/>
  <c r="CB42" i="17"/>
  <c r="CB44" i="17" s="1"/>
  <c r="BU42" i="17"/>
  <c r="BU44" i="17" s="1"/>
  <c r="BL42" i="17"/>
  <c r="BL44" i="17" s="1"/>
  <c r="BI42" i="17"/>
  <c r="BI44" i="17" s="1"/>
  <c r="BF42" i="17"/>
  <c r="BF44" i="17" s="1"/>
  <c r="BC42" i="17"/>
  <c r="BC44" i="17" s="1"/>
  <c r="AZ42" i="17"/>
  <c r="AZ44" i="17" s="1"/>
  <c r="AT42" i="17"/>
  <c r="AT44" i="17" s="1"/>
  <c r="AQ42" i="17"/>
  <c r="AQ44" i="17" s="1"/>
  <c r="AN42" i="17"/>
  <c r="AN44" i="17" s="1"/>
  <c r="AH42" i="17"/>
  <c r="AH44" i="17" s="1"/>
  <c r="AB42" i="17"/>
  <c r="AA42" i="17"/>
  <c r="AA44" i="17" s="1"/>
  <c r="X42" i="17"/>
  <c r="X44" i="17" s="1"/>
  <c r="W42" i="17"/>
  <c r="W44" i="17" s="1"/>
  <c r="T42" i="17"/>
  <c r="T44" i="17" s="1"/>
  <c r="S42" i="17"/>
  <c r="S44" i="17" s="1"/>
  <c r="P42" i="17"/>
  <c r="P44" i="17" s="1"/>
  <c r="O42" i="17"/>
  <c r="MG41" i="17"/>
  <c r="MG42" i="17" s="1"/>
  <c r="MG44" i="17" s="1"/>
  <c r="MF41" i="17"/>
  <c r="MF42" i="17" s="1"/>
  <c r="MF44" i="17" s="1"/>
  <c r="LZ41" i="17"/>
  <c r="LZ42" i="17" s="1"/>
  <c r="LZ44" i="17" s="1"/>
  <c r="LY41" i="17"/>
  <c r="LY42" i="17" s="1"/>
  <c r="LY44" i="17" s="1"/>
  <c r="LX41" i="17"/>
  <c r="LX42" i="17" s="1"/>
  <c r="LX44" i="17" s="1"/>
  <c r="LS41" i="17"/>
  <c r="LS42" i="17" s="1"/>
  <c r="LS44" i="17" s="1"/>
  <c r="LR41" i="17"/>
  <c r="LR42" i="17" s="1"/>
  <c r="LR44" i="17" s="1"/>
  <c r="LI41" i="17"/>
  <c r="LI42" i="17" s="1"/>
  <c r="LI44" i="17" s="1"/>
  <c r="LH41" i="17"/>
  <c r="LH42" i="17" s="1"/>
  <c r="LH44" i="17" s="1"/>
  <c r="LG41" i="17"/>
  <c r="LG42" i="17" s="1"/>
  <c r="LG44" i="17" s="1"/>
  <c r="LF41" i="17"/>
  <c r="LF42" i="17" s="1"/>
  <c r="LF44" i="17" s="1"/>
  <c r="LE41" i="17"/>
  <c r="LE42" i="17" s="1"/>
  <c r="LE44" i="17" s="1"/>
  <c r="LD41" i="17"/>
  <c r="LD42" i="17" s="1"/>
  <c r="LD44" i="17" s="1"/>
  <c r="KD41" i="17"/>
  <c r="KD42" i="17" s="1"/>
  <c r="KD44" i="17" s="1"/>
  <c r="JY41" i="17"/>
  <c r="JY42" i="17" s="1"/>
  <c r="JY44" i="17" s="1"/>
  <c r="JX41" i="17"/>
  <c r="JX42" i="17" s="1"/>
  <c r="JX44" i="17" s="1"/>
  <c r="IT41" i="17"/>
  <c r="IT42" i="17" s="1"/>
  <c r="IT44" i="17" s="1"/>
  <c r="IS41" i="17"/>
  <c r="IS42" i="17" s="1"/>
  <c r="IS44" i="17" s="1"/>
  <c r="IR41" i="17"/>
  <c r="IR42" i="17" s="1"/>
  <c r="IR44" i="17" s="1"/>
  <c r="IQ41" i="17"/>
  <c r="IQ42" i="17" s="1"/>
  <c r="IQ44" i="17" s="1"/>
  <c r="IP41" i="17"/>
  <c r="IP42" i="17" s="1"/>
  <c r="IP44" i="17" s="1"/>
  <c r="IO41" i="17"/>
  <c r="IO42" i="17" s="1"/>
  <c r="IO44" i="17" s="1"/>
  <c r="IN41" i="17"/>
  <c r="IN42" i="17" s="1"/>
  <c r="IN44" i="17" s="1"/>
  <c r="II41" i="17"/>
  <c r="II42" i="17" s="1"/>
  <c r="II44" i="17" s="1"/>
  <c r="IH41" i="17"/>
  <c r="IH42" i="17" s="1"/>
  <c r="IH44" i="17" s="1"/>
  <c r="HQ41" i="17"/>
  <c r="HQ42" i="17" s="1"/>
  <c r="HQ44" i="17" s="1"/>
  <c r="HP41" i="17"/>
  <c r="HP42" i="17" s="1"/>
  <c r="HP44" i="17" s="1"/>
  <c r="HO41" i="17"/>
  <c r="HO42" i="17" s="1"/>
  <c r="HO44" i="17" s="1"/>
  <c r="HN41" i="17"/>
  <c r="HN42" i="17" s="1"/>
  <c r="HN44" i="17" s="1"/>
  <c r="HM41" i="17"/>
  <c r="HM42" i="17" s="1"/>
  <c r="HM44" i="17" s="1"/>
  <c r="HL41" i="17"/>
  <c r="HL42" i="17" s="1"/>
  <c r="HL44" i="17" s="1"/>
  <c r="HK41" i="17"/>
  <c r="HK42" i="17" s="1"/>
  <c r="HK44" i="17" s="1"/>
  <c r="HJ41" i="17"/>
  <c r="HJ42" i="17" s="1"/>
  <c r="HJ44" i="17" s="1"/>
  <c r="HI41" i="17"/>
  <c r="HI42" i="17" s="1"/>
  <c r="HI44" i="17" s="1"/>
  <c r="HH41" i="17"/>
  <c r="HH42" i="17" s="1"/>
  <c r="HH44" i="17" s="1"/>
  <c r="HG41" i="17"/>
  <c r="HG42" i="17" s="1"/>
  <c r="HG44" i="17" s="1"/>
  <c r="HF41" i="17"/>
  <c r="HF42" i="17" s="1"/>
  <c r="HF44" i="17" s="1"/>
  <c r="HE41" i="17"/>
  <c r="HE42" i="17" s="1"/>
  <c r="HE44" i="17" s="1"/>
  <c r="HD41" i="17"/>
  <c r="HD42" i="17" s="1"/>
  <c r="HD44" i="17" s="1"/>
  <c r="HC41" i="17"/>
  <c r="HC42" i="17" s="1"/>
  <c r="HC44" i="17" s="1"/>
  <c r="HB41" i="17"/>
  <c r="HB42" i="17" s="1"/>
  <c r="HB44" i="17" s="1"/>
  <c r="HA41" i="17"/>
  <c r="HA42" i="17" s="1"/>
  <c r="HA44" i="17" s="1"/>
  <c r="GZ41" i="17"/>
  <c r="GZ42" i="17" s="1"/>
  <c r="GZ44" i="17" s="1"/>
  <c r="GY41" i="17"/>
  <c r="GY42" i="17" s="1"/>
  <c r="GY44" i="17" s="1"/>
  <c r="GX41" i="17"/>
  <c r="GX42" i="17" s="1"/>
  <c r="GX44" i="17" s="1"/>
  <c r="GW41" i="17"/>
  <c r="GW42" i="17" s="1"/>
  <c r="GW44" i="17" s="1"/>
  <c r="GV41" i="17"/>
  <c r="GV42" i="17" s="1"/>
  <c r="GV44" i="17" s="1"/>
  <c r="GU41" i="17"/>
  <c r="GU42" i="17" s="1"/>
  <c r="GU44" i="17" s="1"/>
  <c r="GT41" i="17"/>
  <c r="GT42" i="17" s="1"/>
  <c r="GT44" i="17" s="1"/>
  <c r="GS41" i="17"/>
  <c r="GS42" i="17" s="1"/>
  <c r="GS44" i="17" s="1"/>
  <c r="GR41" i="17"/>
  <c r="GR42" i="17" s="1"/>
  <c r="GR44" i="17" s="1"/>
  <c r="GQ41" i="17"/>
  <c r="GQ42" i="17" s="1"/>
  <c r="GQ44" i="17" s="1"/>
  <c r="GP41" i="17"/>
  <c r="GP42" i="17" s="1"/>
  <c r="GP44" i="17" s="1"/>
  <c r="GK41" i="17"/>
  <c r="GK42" i="17" s="1"/>
  <c r="GK44" i="17" s="1"/>
  <c r="GJ41" i="17"/>
  <c r="GJ42" i="17" s="1"/>
  <c r="GJ44" i="17" s="1"/>
  <c r="FH41" i="17"/>
  <c r="FH42" i="17" s="1"/>
  <c r="FH44" i="17" s="1"/>
  <c r="FF41" i="17"/>
  <c r="FF42" i="17" s="1"/>
  <c r="FF44" i="17" s="1"/>
  <c r="FE41" i="17"/>
  <c r="FE42" i="17" s="1"/>
  <c r="FE44" i="17" s="1"/>
  <c r="FB41" i="17"/>
  <c r="FB42" i="17" s="1"/>
  <c r="FB44" i="17" s="1"/>
  <c r="FA41" i="17"/>
  <c r="FA42" i="17" s="1"/>
  <c r="FA44" i="17" s="1"/>
  <c r="EZ41" i="17"/>
  <c r="EZ42" i="17" s="1"/>
  <c r="EZ44" i="17" s="1"/>
  <c r="EY41" i="17"/>
  <c r="EY42" i="17" s="1"/>
  <c r="EY44" i="17" s="1"/>
  <c r="ET41" i="17"/>
  <c r="ET42" i="17" s="1"/>
  <c r="ET44" i="17" s="1"/>
  <c r="ES41" i="17"/>
  <c r="ES42" i="17" s="1"/>
  <c r="ES44" i="17" s="1"/>
  <c r="DW41" i="17"/>
  <c r="DW42" i="17" s="1"/>
  <c r="DW44" i="17" s="1"/>
  <c r="DV41" i="17"/>
  <c r="DV42" i="17" s="1"/>
  <c r="DV44" i="17" s="1"/>
  <c r="DQ41" i="17"/>
  <c r="DQ42" i="17" s="1"/>
  <c r="DQ44" i="17" s="1"/>
  <c r="DP41" i="17"/>
  <c r="DP42" i="17" s="1"/>
  <c r="DP44" i="17" s="1"/>
  <c r="CM41" i="17"/>
  <c r="CM42" i="17" s="1"/>
  <c r="CM44" i="17" s="1"/>
  <c r="CE41" i="17"/>
  <c r="CE42" i="17" s="1"/>
  <c r="CE44" i="17" s="1"/>
  <c r="CD41" i="17"/>
  <c r="CD42" i="17" s="1"/>
  <c r="CD44" i="17" s="1"/>
  <c r="CC41" i="17"/>
  <c r="CC42" i="17" s="1"/>
  <c r="CC44" i="17" s="1"/>
  <c r="BV41" i="17"/>
  <c r="BV42" i="17" s="1"/>
  <c r="BV44" i="17" s="1"/>
  <c r="AE41" i="17"/>
  <c r="AE42" i="17" s="1"/>
  <c r="AE44" i="17" s="1"/>
  <c r="AD41" i="17"/>
  <c r="AD42" i="17" s="1"/>
  <c r="AD44" i="17" s="1"/>
  <c r="Z41" i="17"/>
  <c r="V41" i="17"/>
  <c r="R41" i="17"/>
  <c r="N41" i="17"/>
  <c r="J41" i="17"/>
  <c r="J42" i="17" s="1"/>
  <c r="J44" i="17" s="1"/>
  <c r="I41" i="17"/>
  <c r="I42" i="17" s="1"/>
  <c r="I44" i="17" s="1"/>
  <c r="H41" i="17"/>
  <c r="H42" i="17" s="1"/>
  <c r="H44" i="17" s="1"/>
  <c r="G41" i="17"/>
  <c r="G42" i="17" s="1"/>
  <c r="G44" i="17" s="1"/>
  <c r="F41" i="17"/>
  <c r="F42" i="17" s="1"/>
  <c r="F44" i="17" s="1"/>
  <c r="NA40" i="17"/>
  <c r="MZ40" i="17"/>
  <c r="MY40" i="17"/>
  <c r="MX40" i="17"/>
  <c r="MW40" i="17"/>
  <c r="MV40" i="17"/>
  <c r="MT40" i="17"/>
  <c r="MS40" i="17"/>
  <c r="MR40" i="17"/>
  <c r="MQ40" i="17"/>
  <c r="MP40" i="17"/>
  <c r="MO40" i="17"/>
  <c r="MC40" i="17"/>
  <c r="MA40" i="17"/>
  <c r="LU40" i="17"/>
  <c r="LT40" i="17"/>
  <c r="MB40" i="17" s="1"/>
  <c r="LJ40" i="17"/>
  <c r="LJ41" i="17" s="1"/>
  <c r="LJ42" i="17" s="1"/>
  <c r="LJ44" i="17" s="1"/>
  <c r="JV40" i="17"/>
  <c r="JU40" i="17"/>
  <c r="JT40" i="17"/>
  <c r="JS40" i="17"/>
  <c r="JR40" i="17"/>
  <c r="JW40" i="17" s="1"/>
  <c r="JP40" i="17"/>
  <c r="JO40" i="17"/>
  <c r="JN40" i="17"/>
  <c r="JM40" i="17"/>
  <c r="JL40" i="17"/>
  <c r="JQ40" i="17" s="1"/>
  <c r="JJ40" i="17"/>
  <c r="JI40" i="17"/>
  <c r="JH40" i="17"/>
  <c r="JG40" i="17"/>
  <c r="JF40" i="17"/>
  <c r="JK40" i="17" s="1"/>
  <c r="JE40" i="17"/>
  <c r="JD40" i="17"/>
  <c r="JC40" i="17"/>
  <c r="JB40" i="17"/>
  <c r="JA40" i="17"/>
  <c r="IY40" i="17"/>
  <c r="IX40" i="17"/>
  <c r="IW40" i="17"/>
  <c r="IV40" i="17"/>
  <c r="IU40" i="17"/>
  <c r="IZ40" i="17" s="1"/>
  <c r="GN40" i="17"/>
  <c r="MJ40" i="17" s="1"/>
  <c r="GM40" i="17"/>
  <c r="GL40" i="17"/>
  <c r="MI40" i="17" s="1"/>
  <c r="GH40" i="17"/>
  <c r="GG40" i="17"/>
  <c r="GF40" i="17"/>
  <c r="GE40" i="17"/>
  <c r="GD40" i="17"/>
  <c r="GC40" i="17"/>
  <c r="GB40" i="17"/>
  <c r="GA40" i="17"/>
  <c r="GI40" i="17" s="1"/>
  <c r="EW40" i="17" s="1"/>
  <c r="FY40" i="17"/>
  <c r="FX40" i="17"/>
  <c r="FW40" i="17"/>
  <c r="FV40" i="17"/>
  <c r="FU40" i="17"/>
  <c r="FT40" i="17"/>
  <c r="FS40" i="17"/>
  <c r="FR40" i="17"/>
  <c r="FZ40" i="17" s="1"/>
  <c r="EV40" i="17" s="1"/>
  <c r="FP40" i="17"/>
  <c r="FO40" i="17"/>
  <c r="LV40" i="17" s="1"/>
  <c r="FN40" i="17"/>
  <c r="FM40" i="17"/>
  <c r="FL40" i="17"/>
  <c r="FK40" i="17"/>
  <c r="FJ40" i="17"/>
  <c r="FI40" i="17"/>
  <c r="FQ40" i="17" s="1"/>
  <c r="EU40" i="17" s="1"/>
  <c r="EX40" i="17" s="1"/>
  <c r="FD40" i="17"/>
  <c r="FC40" i="17"/>
  <c r="FG40" i="17" s="1"/>
  <c r="EQ40" i="17"/>
  <c r="EP40" i="17"/>
  <c r="EO40" i="17"/>
  <c r="EN40" i="17"/>
  <c r="EM40" i="17"/>
  <c r="EL40" i="17"/>
  <c r="ER40" i="17" s="1"/>
  <c r="DT40" i="17" s="1"/>
  <c r="EJ40" i="17"/>
  <c r="EI40" i="17"/>
  <c r="EH40" i="17"/>
  <c r="EG40" i="17"/>
  <c r="EF40" i="17"/>
  <c r="EE40" i="17"/>
  <c r="EK40" i="17" s="1"/>
  <c r="DS40" i="17" s="1"/>
  <c r="EC40" i="17"/>
  <c r="EB40" i="17"/>
  <c r="EA40" i="17"/>
  <c r="DZ40" i="17"/>
  <c r="DY40" i="17"/>
  <c r="DX40" i="17"/>
  <c r="ED40" i="17" s="1"/>
  <c r="DR40" i="17" s="1"/>
  <c r="DU40" i="17" s="1"/>
  <c r="DN40" i="17"/>
  <c r="DM40" i="17"/>
  <c r="DL40" i="17"/>
  <c r="DK40" i="17"/>
  <c r="DJ40" i="17"/>
  <c r="DI40" i="17"/>
  <c r="DO40" i="17" s="1"/>
  <c r="DG40" i="17"/>
  <c r="DF40" i="17"/>
  <c r="DE40" i="17"/>
  <c r="DD40" i="17"/>
  <c r="DC40" i="17"/>
  <c r="DB40" i="17"/>
  <c r="DH40" i="17" s="1"/>
  <c r="CZ40" i="17"/>
  <c r="CY40" i="17"/>
  <c r="CX40" i="17"/>
  <c r="CW40" i="17"/>
  <c r="CV40" i="17"/>
  <c r="CU40" i="17"/>
  <c r="DA40" i="17" s="1"/>
  <c r="CS40" i="17"/>
  <c r="CK40" i="17" s="1"/>
  <c r="CR40" i="17"/>
  <c r="CJ40" i="17" s="1"/>
  <c r="CQ40" i="17"/>
  <c r="CI40" i="17" s="1"/>
  <c r="CP40" i="17"/>
  <c r="CH40" i="17" s="1"/>
  <c r="CO40" i="17"/>
  <c r="CG40" i="17" s="1"/>
  <c r="CN40" i="17"/>
  <c r="CA40" i="17"/>
  <c r="BZ40" i="17"/>
  <c r="BY40" i="17"/>
  <c r="BX40" i="17"/>
  <c r="BW40" i="17"/>
  <c r="CB40" i="17" s="1"/>
  <c r="BT40" i="17"/>
  <c r="T40" i="17" s="1"/>
  <c r="BS40" i="17"/>
  <c r="S40" i="17" s="1"/>
  <c r="BQ40" i="17"/>
  <c r="BP40" i="17"/>
  <c r="BN40" i="17"/>
  <c r="BM40" i="17"/>
  <c r="BK40" i="17"/>
  <c r="BJ40" i="17"/>
  <c r="BH40" i="17"/>
  <c r="BG40" i="17"/>
  <c r="BE40" i="17"/>
  <c r="BD40" i="17"/>
  <c r="BB40" i="17"/>
  <c r="BA40" i="17"/>
  <c r="AY40" i="17"/>
  <c r="AX40" i="17"/>
  <c r="AV40" i="17"/>
  <c r="AU40" i="17"/>
  <c r="AI40" i="17"/>
  <c r="AL40" i="17"/>
  <c r="AS40" i="17"/>
  <c r="AR40" i="17"/>
  <c r="AP40" i="17"/>
  <c r="AO40" i="17"/>
  <c r="AM40" i="17"/>
  <c r="AJ40" i="17"/>
  <c r="AG40" i="17"/>
  <c r="AF40" i="17"/>
  <c r="NA39" i="17"/>
  <c r="MZ39" i="17"/>
  <c r="MY39" i="17"/>
  <c r="MX39" i="17"/>
  <c r="MW39" i="17"/>
  <c r="MV39" i="17"/>
  <c r="MT39" i="17"/>
  <c r="MS39" i="17"/>
  <c r="MR39" i="17"/>
  <c r="MQ39" i="17"/>
  <c r="MP39" i="17"/>
  <c r="MO39" i="17"/>
  <c r="MC39" i="17"/>
  <c r="MA39" i="17"/>
  <c r="LU39" i="17"/>
  <c r="LT39" i="17"/>
  <c r="MB39" i="17" s="1"/>
  <c r="LJ39" i="17"/>
  <c r="JV39" i="17"/>
  <c r="JU39" i="17"/>
  <c r="JT39" i="17"/>
  <c r="JS39" i="17"/>
  <c r="JR39" i="17"/>
  <c r="JW39" i="17" s="1"/>
  <c r="JP39" i="17"/>
  <c r="JO39" i="17"/>
  <c r="JN39" i="17"/>
  <c r="JM39" i="17"/>
  <c r="JL39" i="17"/>
  <c r="JQ39" i="17" s="1"/>
  <c r="JJ39" i="17"/>
  <c r="JI39" i="17"/>
  <c r="JH39" i="17"/>
  <c r="JG39" i="17"/>
  <c r="JF39" i="17"/>
  <c r="JK39" i="17" s="1"/>
  <c r="JE39" i="17"/>
  <c r="JD39" i="17"/>
  <c r="JC39" i="17"/>
  <c r="JB39" i="17"/>
  <c r="JA39" i="17"/>
  <c r="IY39" i="17"/>
  <c r="IX39" i="17"/>
  <c r="IW39" i="17"/>
  <c r="IV39" i="17"/>
  <c r="IU39" i="17"/>
  <c r="IZ39" i="17" s="1"/>
  <c r="GN39" i="17"/>
  <c r="MJ39" i="17" s="1"/>
  <c r="GM39" i="17"/>
  <c r="GL39" i="17"/>
  <c r="MI39" i="17" s="1"/>
  <c r="GH39" i="17"/>
  <c r="GG39" i="17"/>
  <c r="GF39" i="17"/>
  <c r="GE39" i="17"/>
  <c r="GD39" i="17"/>
  <c r="GC39" i="17"/>
  <c r="GB39" i="17"/>
  <c r="GA39" i="17"/>
  <c r="GI39" i="17" s="1"/>
  <c r="EW39" i="17" s="1"/>
  <c r="FY39" i="17"/>
  <c r="FX39" i="17"/>
  <c r="FW39" i="17"/>
  <c r="FV39" i="17"/>
  <c r="FU39" i="17"/>
  <c r="FT39" i="17"/>
  <c r="FS39" i="17"/>
  <c r="FR39" i="17"/>
  <c r="FZ39" i="17" s="1"/>
  <c r="EV39" i="17" s="1"/>
  <c r="FP39" i="17"/>
  <c r="FO39" i="17"/>
  <c r="LV39" i="17" s="1"/>
  <c r="FN39" i="17"/>
  <c r="FM39" i="17"/>
  <c r="FL39" i="17"/>
  <c r="FK39" i="17"/>
  <c r="FJ39" i="17"/>
  <c r="FI39" i="17"/>
  <c r="FQ39" i="17" s="1"/>
  <c r="EU39" i="17" s="1"/>
  <c r="EX39" i="17" s="1"/>
  <c r="FD39" i="17"/>
  <c r="FC39" i="17"/>
  <c r="FG39" i="17" s="1"/>
  <c r="EQ39" i="17"/>
  <c r="EP39" i="17"/>
  <c r="EO39" i="17"/>
  <c r="EN39" i="17"/>
  <c r="EM39" i="17"/>
  <c r="EL39" i="17"/>
  <c r="ER39" i="17" s="1"/>
  <c r="DT39" i="17" s="1"/>
  <c r="EJ39" i="17"/>
  <c r="EI39" i="17"/>
  <c r="EH39" i="17"/>
  <c r="EG39" i="17"/>
  <c r="EF39" i="17"/>
  <c r="EE39" i="17"/>
  <c r="EK39" i="17" s="1"/>
  <c r="DS39" i="17" s="1"/>
  <c r="EC39" i="17"/>
  <c r="EB39" i="17"/>
  <c r="EA39" i="17"/>
  <c r="DZ39" i="17"/>
  <c r="DY39" i="17"/>
  <c r="DX39" i="17"/>
  <c r="ED39" i="17" s="1"/>
  <c r="DR39" i="17" s="1"/>
  <c r="DU39" i="17" s="1"/>
  <c r="DN39" i="17"/>
  <c r="DM39" i="17"/>
  <c r="DL39" i="17"/>
  <c r="DK39" i="17"/>
  <c r="DJ39" i="17"/>
  <c r="DI39" i="17"/>
  <c r="DO39" i="17" s="1"/>
  <c r="DG39" i="17"/>
  <c r="DF39" i="17"/>
  <c r="DE39" i="17"/>
  <c r="DD39" i="17"/>
  <c r="DC39" i="17"/>
  <c r="DB39" i="17"/>
  <c r="DH39" i="17" s="1"/>
  <c r="CZ39" i="17"/>
  <c r="CY39" i="17"/>
  <c r="CX39" i="17"/>
  <c r="CW39" i="17"/>
  <c r="CV39" i="17"/>
  <c r="CU39" i="17"/>
  <c r="DA39" i="17" s="1"/>
  <c r="CS39" i="17"/>
  <c r="CK39" i="17" s="1"/>
  <c r="CR39" i="17"/>
  <c r="CJ39" i="17" s="1"/>
  <c r="CQ39" i="17"/>
  <c r="CI39" i="17" s="1"/>
  <c r="CP39" i="17"/>
  <c r="CH39" i="17" s="1"/>
  <c r="CO39" i="17"/>
  <c r="CG39" i="17" s="1"/>
  <c r="CN39" i="17"/>
  <c r="CF39" i="17" s="1"/>
  <c r="CL39" i="17" s="1"/>
  <c r="CA39" i="17"/>
  <c r="BZ39" i="17"/>
  <c r="BY39" i="17"/>
  <c r="BX39" i="17"/>
  <c r="BW39" i="17"/>
  <c r="CB39" i="17" s="1"/>
  <c r="BT39" i="17"/>
  <c r="T39" i="17" s="1"/>
  <c r="BS39" i="17"/>
  <c r="S39" i="17" s="1"/>
  <c r="BQ39" i="17"/>
  <c r="BP39" i="17"/>
  <c r="BN39" i="17"/>
  <c r="BM39" i="17"/>
  <c r="BK39" i="17"/>
  <c r="BJ39" i="17"/>
  <c r="BH39" i="17"/>
  <c r="BG39" i="17"/>
  <c r="BE39" i="17"/>
  <c r="BD39" i="17"/>
  <c r="BB39" i="17"/>
  <c r="BA39" i="17"/>
  <c r="AY39" i="17"/>
  <c r="AX39" i="17"/>
  <c r="AV39" i="17"/>
  <c r="AU39" i="17"/>
  <c r="AS39" i="17"/>
  <c r="AR39" i="17"/>
  <c r="AP39" i="17"/>
  <c r="AO39" i="17"/>
  <c r="AM39" i="17"/>
  <c r="AL39" i="17"/>
  <c r="AJ39" i="17"/>
  <c r="AI39" i="17"/>
  <c r="AG39" i="17"/>
  <c r="AF39" i="17"/>
  <c r="NA38" i="17"/>
  <c r="MZ38" i="17"/>
  <c r="MY38" i="17"/>
  <c r="MX38" i="17"/>
  <c r="MW38" i="17"/>
  <c r="MV38" i="17"/>
  <c r="MT38" i="17"/>
  <c r="MS38" i="17"/>
  <c r="MR38" i="17"/>
  <c r="MQ38" i="17"/>
  <c r="MP38" i="17"/>
  <c r="MO38" i="17"/>
  <c r="MC38" i="17"/>
  <c r="MA38" i="17"/>
  <c r="LU38" i="17"/>
  <c r="LT38" i="17"/>
  <c r="MB38" i="17" s="1"/>
  <c r="LJ38" i="17"/>
  <c r="JV38" i="17"/>
  <c r="JU38" i="17"/>
  <c r="JT38" i="17"/>
  <c r="JS38" i="17"/>
  <c r="JR38" i="17"/>
  <c r="JW38" i="17" s="1"/>
  <c r="JP38" i="17"/>
  <c r="JO38" i="17"/>
  <c r="JN38" i="17"/>
  <c r="JM38" i="17"/>
  <c r="JL38" i="17"/>
  <c r="JQ38" i="17" s="1"/>
  <c r="JJ38" i="17"/>
  <c r="JI38" i="17"/>
  <c r="JH38" i="17"/>
  <c r="JG38" i="17"/>
  <c r="JF38" i="17"/>
  <c r="JK38" i="17" s="1"/>
  <c r="JE38" i="17"/>
  <c r="JD38" i="17"/>
  <c r="JC38" i="17"/>
  <c r="JB38" i="17"/>
  <c r="JA38" i="17"/>
  <c r="IY38" i="17"/>
  <c r="IX38" i="17"/>
  <c r="IW38" i="17"/>
  <c r="IV38" i="17"/>
  <c r="IU38" i="17"/>
  <c r="IZ38" i="17" s="1"/>
  <c r="GN38" i="17"/>
  <c r="GM38" i="17"/>
  <c r="GL38" i="17"/>
  <c r="MI38" i="17" s="1"/>
  <c r="GH38" i="17"/>
  <c r="GG38" i="17"/>
  <c r="GF38" i="17"/>
  <c r="GE38" i="17"/>
  <c r="GD38" i="17"/>
  <c r="GC38" i="17"/>
  <c r="GB38" i="17"/>
  <c r="GA38" i="17"/>
  <c r="GI38" i="17" s="1"/>
  <c r="EW38" i="17" s="1"/>
  <c r="FY38" i="17"/>
  <c r="FX38" i="17"/>
  <c r="FW38" i="17"/>
  <c r="FV38" i="17"/>
  <c r="FU38" i="17"/>
  <c r="FT38" i="17"/>
  <c r="FS38" i="17"/>
  <c r="FR38" i="17"/>
  <c r="FZ38" i="17" s="1"/>
  <c r="EV38" i="17" s="1"/>
  <c r="FP38" i="17"/>
  <c r="FO38" i="17"/>
  <c r="LV38" i="17" s="1"/>
  <c r="FN38" i="17"/>
  <c r="FM38" i="17"/>
  <c r="FL38" i="17"/>
  <c r="FK38" i="17"/>
  <c r="FJ38" i="17"/>
  <c r="FI38" i="17"/>
  <c r="FQ38" i="17" s="1"/>
  <c r="EU38" i="17" s="1"/>
  <c r="EX38" i="17" s="1"/>
  <c r="FD38" i="17"/>
  <c r="FC38" i="17"/>
  <c r="FG38" i="17" s="1"/>
  <c r="EQ38" i="17"/>
  <c r="EP38" i="17"/>
  <c r="EO38" i="17"/>
  <c r="EN38" i="17"/>
  <c r="EM38" i="17"/>
  <c r="EL38" i="17"/>
  <c r="ER38" i="17" s="1"/>
  <c r="DT38" i="17" s="1"/>
  <c r="EJ38" i="17"/>
  <c r="EI38" i="17"/>
  <c r="EH38" i="17"/>
  <c r="EG38" i="17"/>
  <c r="EF38" i="17"/>
  <c r="EE38" i="17"/>
  <c r="EK38" i="17" s="1"/>
  <c r="DS38" i="17" s="1"/>
  <c r="EC38" i="17"/>
  <c r="EB38" i="17"/>
  <c r="EA38" i="17"/>
  <c r="DZ38" i="17"/>
  <c r="DY38" i="17"/>
  <c r="DX38" i="17"/>
  <c r="ED38" i="17" s="1"/>
  <c r="DR38" i="17" s="1"/>
  <c r="DU38" i="17" s="1"/>
  <c r="DN38" i="17"/>
  <c r="DM38" i="17"/>
  <c r="DL38" i="17"/>
  <c r="DK38" i="17"/>
  <c r="DJ38" i="17"/>
  <c r="DI38" i="17"/>
  <c r="DO38" i="17" s="1"/>
  <c r="DG38" i="17"/>
  <c r="DF38" i="17"/>
  <c r="DE38" i="17"/>
  <c r="DD38" i="17"/>
  <c r="DC38" i="17"/>
  <c r="DB38" i="17"/>
  <c r="DH38" i="17" s="1"/>
  <c r="CZ38" i="17"/>
  <c r="CY38" i="17"/>
  <c r="CX38" i="17"/>
  <c r="CW38" i="17"/>
  <c r="CV38" i="17"/>
  <c r="CU38" i="17"/>
  <c r="DA38" i="17" s="1"/>
  <c r="CS38" i="17"/>
  <c r="CK38" i="17" s="1"/>
  <c r="CR38" i="17"/>
  <c r="CJ38" i="17" s="1"/>
  <c r="CQ38" i="17"/>
  <c r="CI38" i="17" s="1"/>
  <c r="CP38" i="17"/>
  <c r="CH38" i="17" s="1"/>
  <c r="CO38" i="17"/>
  <c r="CG38" i="17" s="1"/>
  <c r="CN38" i="17"/>
  <c r="CA38" i="17"/>
  <c r="BZ38" i="17"/>
  <c r="BY38" i="17"/>
  <c r="BX38" i="17"/>
  <c r="BW38" i="17"/>
  <c r="CB38" i="17" s="1"/>
  <c r="BT38" i="17"/>
  <c r="BS38" i="17"/>
  <c r="S38" i="17" s="1"/>
  <c r="BQ38" i="17"/>
  <c r="BP38" i="17"/>
  <c r="BN38" i="17"/>
  <c r="BM38" i="17"/>
  <c r="BK38" i="17"/>
  <c r="BJ38" i="17"/>
  <c r="BH38" i="17"/>
  <c r="BG38" i="17"/>
  <c r="BE38" i="17"/>
  <c r="BD38" i="17"/>
  <c r="BB38" i="17"/>
  <c r="BA38" i="17"/>
  <c r="AY38" i="17"/>
  <c r="AX38" i="17"/>
  <c r="AV38" i="17"/>
  <c r="AU38" i="17"/>
  <c r="AS38" i="17"/>
  <c r="AR38" i="17"/>
  <c r="AP38" i="17"/>
  <c r="AO38" i="17"/>
  <c r="AM38" i="17"/>
  <c r="AL38" i="17"/>
  <c r="AJ38" i="17"/>
  <c r="AI38" i="17"/>
  <c r="AG38" i="17"/>
  <c r="AF38" i="17"/>
  <c r="NA37" i="17"/>
  <c r="MZ37" i="17"/>
  <c r="MY37" i="17"/>
  <c r="MX37" i="17"/>
  <c r="MW37" i="17"/>
  <c r="MV37" i="17"/>
  <c r="MT37" i="17"/>
  <c r="MS37" i="17"/>
  <c r="MR37" i="17"/>
  <c r="MQ37" i="17"/>
  <c r="MP37" i="17"/>
  <c r="MO37" i="17"/>
  <c r="MC37" i="17"/>
  <c r="MA37" i="17"/>
  <c r="LU37" i="17"/>
  <c r="LT37" i="17"/>
  <c r="MB37" i="17" s="1"/>
  <c r="LJ37" i="17"/>
  <c r="JV37" i="17"/>
  <c r="JU37" i="17"/>
  <c r="JT37" i="17"/>
  <c r="JS37" i="17"/>
  <c r="JR37" i="17"/>
  <c r="JW37" i="17" s="1"/>
  <c r="JP37" i="17"/>
  <c r="JO37" i="17"/>
  <c r="JN37" i="17"/>
  <c r="JM37" i="17"/>
  <c r="JL37" i="17"/>
  <c r="JQ37" i="17" s="1"/>
  <c r="JJ37" i="17"/>
  <c r="JI37" i="17"/>
  <c r="JH37" i="17"/>
  <c r="JG37" i="17"/>
  <c r="JF37" i="17"/>
  <c r="JK37" i="17" s="1"/>
  <c r="JE37" i="17"/>
  <c r="JD37" i="17"/>
  <c r="JC37" i="17"/>
  <c r="JB37" i="17"/>
  <c r="JA37" i="17"/>
  <c r="IY37" i="17"/>
  <c r="IX37" i="17"/>
  <c r="IW37" i="17"/>
  <c r="IV37" i="17"/>
  <c r="IU37" i="17"/>
  <c r="IZ37" i="17" s="1"/>
  <c r="GN37" i="17"/>
  <c r="MJ37" i="17" s="1"/>
  <c r="GM37" i="17"/>
  <c r="GL37" i="17"/>
  <c r="MI37" i="17" s="1"/>
  <c r="GH37" i="17"/>
  <c r="GG37" i="17"/>
  <c r="GF37" i="17"/>
  <c r="GE37" i="17"/>
  <c r="GD37" i="17"/>
  <c r="GC37" i="17"/>
  <c r="GB37" i="17"/>
  <c r="GA37" i="17"/>
  <c r="GI37" i="17" s="1"/>
  <c r="EW37" i="17" s="1"/>
  <c r="FY37" i="17"/>
  <c r="FX37" i="17"/>
  <c r="FW37" i="17"/>
  <c r="FV37" i="17"/>
  <c r="FU37" i="17"/>
  <c r="FT37" i="17"/>
  <c r="FS37" i="17"/>
  <c r="FR37" i="17"/>
  <c r="FZ37" i="17" s="1"/>
  <c r="EV37" i="17" s="1"/>
  <c r="FP37" i="17"/>
  <c r="FO37" i="17"/>
  <c r="LV37" i="17" s="1"/>
  <c r="FN37" i="17"/>
  <c r="FM37" i="17"/>
  <c r="FL37" i="17"/>
  <c r="FK37" i="17"/>
  <c r="FJ37" i="17"/>
  <c r="FI37" i="17"/>
  <c r="FQ37" i="17" s="1"/>
  <c r="EU37" i="17" s="1"/>
  <c r="EX37" i="17" s="1"/>
  <c r="FD37" i="17"/>
  <c r="FC37" i="17"/>
  <c r="FG37" i="17" s="1"/>
  <c r="EQ37" i="17"/>
  <c r="EP37" i="17"/>
  <c r="EO37" i="17"/>
  <c r="EN37" i="17"/>
  <c r="EM37" i="17"/>
  <c r="EL37" i="17"/>
  <c r="ER37" i="17" s="1"/>
  <c r="DT37" i="17" s="1"/>
  <c r="EJ37" i="17"/>
  <c r="EI37" i="17"/>
  <c r="EH37" i="17"/>
  <c r="EG37" i="17"/>
  <c r="EF37" i="17"/>
  <c r="EE37" i="17"/>
  <c r="EK37" i="17" s="1"/>
  <c r="DS37" i="17" s="1"/>
  <c r="EC37" i="17"/>
  <c r="EB37" i="17"/>
  <c r="EA37" i="17"/>
  <c r="DZ37" i="17"/>
  <c r="DY37" i="17"/>
  <c r="DX37" i="17"/>
  <c r="ED37" i="17" s="1"/>
  <c r="DR37" i="17" s="1"/>
  <c r="DU37" i="17" s="1"/>
  <c r="DN37" i="17"/>
  <c r="DM37" i="17"/>
  <c r="DL37" i="17"/>
  <c r="DK37" i="17"/>
  <c r="DJ37" i="17"/>
  <c r="DI37" i="17"/>
  <c r="DO37" i="17" s="1"/>
  <c r="DG37" i="17"/>
  <c r="DF37" i="17"/>
  <c r="DE37" i="17"/>
  <c r="DD37" i="17"/>
  <c r="DC37" i="17"/>
  <c r="DB37" i="17"/>
  <c r="DH37" i="17" s="1"/>
  <c r="CZ37" i="17"/>
  <c r="CY37" i="17"/>
  <c r="CX37" i="17"/>
  <c r="CW37" i="17"/>
  <c r="CV37" i="17"/>
  <c r="CU37" i="17"/>
  <c r="DA37" i="17" s="1"/>
  <c r="CS37" i="17"/>
  <c r="CK37" i="17" s="1"/>
  <c r="CR37" i="17"/>
  <c r="CJ37" i="17" s="1"/>
  <c r="CQ37" i="17"/>
  <c r="CI37" i="17" s="1"/>
  <c r="CP37" i="17"/>
  <c r="CH37" i="17" s="1"/>
  <c r="CO37" i="17"/>
  <c r="CG37" i="17" s="1"/>
  <c r="CN37" i="17"/>
  <c r="CT37" i="17" s="1"/>
  <c r="CA37" i="17"/>
  <c r="BZ37" i="17"/>
  <c r="BY37" i="17"/>
  <c r="BX37" i="17"/>
  <c r="BW37" i="17"/>
  <c r="CB37" i="17" s="1"/>
  <c r="BT37" i="17"/>
  <c r="T37" i="17" s="1"/>
  <c r="BS37" i="17"/>
  <c r="BQ37" i="17"/>
  <c r="BP37" i="17"/>
  <c r="BN37" i="17"/>
  <c r="BM37" i="17"/>
  <c r="BK37" i="17"/>
  <c r="BJ37" i="17"/>
  <c r="BH37" i="17"/>
  <c r="BG37" i="17"/>
  <c r="BE37" i="17"/>
  <c r="BD37" i="17"/>
  <c r="BB37" i="17"/>
  <c r="BA37" i="17"/>
  <c r="AY37" i="17"/>
  <c r="AX37" i="17"/>
  <c r="AV37" i="17"/>
  <c r="AU37" i="17"/>
  <c r="AS37" i="17"/>
  <c r="AR37" i="17"/>
  <c r="AP37" i="17"/>
  <c r="AO37" i="17"/>
  <c r="AM37" i="17"/>
  <c r="AL37" i="17"/>
  <c r="AJ37" i="17"/>
  <c r="AI37" i="17"/>
  <c r="AG37" i="17"/>
  <c r="AF37" i="17"/>
  <c r="NA36" i="17"/>
  <c r="MZ36" i="17"/>
  <c r="MY36" i="17"/>
  <c r="MX36" i="17"/>
  <c r="MW36" i="17"/>
  <c r="MV36" i="17"/>
  <c r="MT36" i="17"/>
  <c r="MS36" i="17"/>
  <c r="MR36" i="17"/>
  <c r="MQ36" i="17"/>
  <c r="MP36" i="17"/>
  <c r="MO36" i="17"/>
  <c r="MC36" i="17"/>
  <c r="MA36" i="17"/>
  <c r="LU36" i="17"/>
  <c r="LT36" i="17"/>
  <c r="MB36" i="17" s="1"/>
  <c r="LJ36" i="17"/>
  <c r="JV36" i="17"/>
  <c r="JU36" i="17"/>
  <c r="JT36" i="17"/>
  <c r="JS36" i="17"/>
  <c r="JR36" i="17"/>
  <c r="JW36" i="17" s="1"/>
  <c r="JP36" i="17"/>
  <c r="JO36" i="17"/>
  <c r="JN36" i="17"/>
  <c r="JM36" i="17"/>
  <c r="JL36" i="17"/>
  <c r="JQ36" i="17" s="1"/>
  <c r="JJ36" i="17"/>
  <c r="JI36" i="17"/>
  <c r="JH36" i="17"/>
  <c r="JG36" i="17"/>
  <c r="JF36" i="17"/>
  <c r="JE36" i="17"/>
  <c r="JD36" i="17"/>
  <c r="JC36" i="17"/>
  <c r="JB36" i="17"/>
  <c r="JA36" i="17"/>
  <c r="IY36" i="17"/>
  <c r="IX36" i="17"/>
  <c r="IW36" i="17"/>
  <c r="IV36" i="17"/>
  <c r="IU36" i="17"/>
  <c r="IZ36" i="17" s="1"/>
  <c r="GN36" i="17"/>
  <c r="MJ36" i="17" s="1"/>
  <c r="GM36" i="17"/>
  <c r="GL36" i="17"/>
  <c r="MI36" i="17" s="1"/>
  <c r="GH36" i="17"/>
  <c r="GG36" i="17"/>
  <c r="GF36" i="17"/>
  <c r="GE36" i="17"/>
  <c r="GD36" i="17"/>
  <c r="GC36" i="17"/>
  <c r="GB36" i="17"/>
  <c r="GA36" i="17"/>
  <c r="GI36" i="17" s="1"/>
  <c r="EW36" i="17" s="1"/>
  <c r="FY36" i="17"/>
  <c r="FX36" i="17"/>
  <c r="FW36" i="17"/>
  <c r="FV36" i="17"/>
  <c r="FU36" i="17"/>
  <c r="FT36" i="17"/>
  <c r="FS36" i="17"/>
  <c r="FR36" i="17"/>
  <c r="FZ36" i="17" s="1"/>
  <c r="EV36" i="17" s="1"/>
  <c r="FP36" i="17"/>
  <c r="FO36" i="17"/>
  <c r="LV36" i="17" s="1"/>
  <c r="FN36" i="17"/>
  <c r="FM36" i="17"/>
  <c r="FL36" i="17"/>
  <c r="FK36" i="17"/>
  <c r="FJ36" i="17"/>
  <c r="FI36" i="17"/>
  <c r="FQ36" i="17" s="1"/>
  <c r="EU36" i="17" s="1"/>
  <c r="EX36" i="17" s="1"/>
  <c r="FD36" i="17"/>
  <c r="FC36" i="17"/>
  <c r="FG36" i="17" s="1"/>
  <c r="EQ36" i="17"/>
  <c r="EP36" i="17"/>
  <c r="EO36" i="17"/>
  <c r="EN36" i="17"/>
  <c r="EM36" i="17"/>
  <c r="EL36" i="17"/>
  <c r="ER36" i="17" s="1"/>
  <c r="DT36" i="17" s="1"/>
  <c r="EJ36" i="17"/>
  <c r="EI36" i="17"/>
  <c r="EH36" i="17"/>
  <c r="EG36" i="17"/>
  <c r="EF36" i="17"/>
  <c r="EE36" i="17"/>
  <c r="EK36" i="17" s="1"/>
  <c r="DS36" i="17" s="1"/>
  <c r="EC36" i="17"/>
  <c r="EB36" i="17"/>
  <c r="EA36" i="17"/>
  <c r="DZ36" i="17"/>
  <c r="DY36" i="17"/>
  <c r="DX36" i="17"/>
  <c r="ED36" i="17" s="1"/>
  <c r="DR36" i="17" s="1"/>
  <c r="DU36" i="17" s="1"/>
  <c r="DN36" i="17"/>
  <c r="DM36" i="17"/>
  <c r="DL36" i="17"/>
  <c r="DK36" i="17"/>
  <c r="DJ36" i="17"/>
  <c r="DI36" i="17"/>
  <c r="DO36" i="17" s="1"/>
  <c r="DG36" i="17"/>
  <c r="DF36" i="17"/>
  <c r="DE36" i="17"/>
  <c r="DD36" i="17"/>
  <c r="DC36" i="17"/>
  <c r="DB36" i="17"/>
  <c r="DH36" i="17" s="1"/>
  <c r="CZ36" i="17"/>
  <c r="CY36" i="17"/>
  <c r="CX36" i="17"/>
  <c r="CW36" i="17"/>
  <c r="CV36" i="17"/>
  <c r="CU36" i="17"/>
  <c r="DA36" i="17" s="1"/>
  <c r="CS36" i="17"/>
  <c r="CK36" i="17" s="1"/>
  <c r="CR36" i="17"/>
  <c r="CJ36" i="17" s="1"/>
  <c r="CQ36" i="17"/>
  <c r="CI36" i="17" s="1"/>
  <c r="CP36" i="17"/>
  <c r="CH36" i="17" s="1"/>
  <c r="CO36" i="17"/>
  <c r="CG36" i="17" s="1"/>
  <c r="CN36" i="17"/>
  <c r="CA36" i="17"/>
  <c r="BZ36" i="17"/>
  <c r="BY36" i="17"/>
  <c r="BX36" i="17"/>
  <c r="BW36" i="17"/>
  <c r="CB36" i="17" s="1"/>
  <c r="BT36" i="17"/>
  <c r="BS36" i="17"/>
  <c r="S36" i="17" s="1"/>
  <c r="BQ36" i="17"/>
  <c r="BP36" i="17"/>
  <c r="BN36" i="17"/>
  <c r="BM36" i="17"/>
  <c r="BK36" i="17"/>
  <c r="BJ36" i="17"/>
  <c r="BH36" i="17"/>
  <c r="BG36" i="17"/>
  <c r="BE36" i="17"/>
  <c r="BD36" i="17"/>
  <c r="BB36" i="17"/>
  <c r="BA36" i="17"/>
  <c r="AY36" i="17"/>
  <c r="AX36" i="17"/>
  <c r="AV36" i="17"/>
  <c r="AU36" i="17"/>
  <c r="AS36" i="17"/>
  <c r="AR36" i="17"/>
  <c r="AP36" i="17"/>
  <c r="AO36" i="17"/>
  <c r="AM36" i="17"/>
  <c r="AL36" i="17"/>
  <c r="AJ36" i="17"/>
  <c r="AI36" i="17"/>
  <c r="AG36" i="17"/>
  <c r="AF36" i="17"/>
  <c r="NA35" i="17"/>
  <c r="MZ35" i="17"/>
  <c r="MY35" i="17"/>
  <c r="MX35" i="17"/>
  <c r="MW35" i="17"/>
  <c r="MV35" i="17"/>
  <c r="MT35" i="17"/>
  <c r="MS35" i="17"/>
  <c r="MR35" i="17"/>
  <c r="MQ35" i="17"/>
  <c r="MP35" i="17"/>
  <c r="MO35" i="17"/>
  <c r="MC35" i="17"/>
  <c r="MA35" i="17"/>
  <c r="LU35" i="17"/>
  <c r="LT35" i="17"/>
  <c r="MB35" i="17" s="1"/>
  <c r="LJ35" i="17"/>
  <c r="JV35" i="17"/>
  <c r="JU35" i="17"/>
  <c r="JT35" i="17"/>
  <c r="JS35" i="17"/>
  <c r="JR35" i="17"/>
  <c r="JW35" i="17" s="1"/>
  <c r="JP35" i="17"/>
  <c r="JO35" i="17"/>
  <c r="JN35" i="17"/>
  <c r="JM35" i="17"/>
  <c r="JL35" i="17"/>
  <c r="JQ35" i="17" s="1"/>
  <c r="JJ35" i="17"/>
  <c r="JI35" i="17"/>
  <c r="JH35" i="17"/>
  <c r="JG35" i="17"/>
  <c r="JF35" i="17"/>
  <c r="JE35" i="17"/>
  <c r="JD35" i="17"/>
  <c r="JC35" i="17"/>
  <c r="JB35" i="17"/>
  <c r="JA35" i="17"/>
  <c r="IY35" i="17"/>
  <c r="IX35" i="17"/>
  <c r="IW35" i="17"/>
  <c r="IV35" i="17"/>
  <c r="IU35" i="17"/>
  <c r="IZ35" i="17" s="1"/>
  <c r="GN35" i="17"/>
  <c r="MJ35" i="17" s="1"/>
  <c r="GM35" i="17"/>
  <c r="GL35" i="17"/>
  <c r="MI35" i="17" s="1"/>
  <c r="GH35" i="17"/>
  <c r="GG35" i="17"/>
  <c r="GF35" i="17"/>
  <c r="GE35" i="17"/>
  <c r="GD35" i="17"/>
  <c r="GC35" i="17"/>
  <c r="GB35" i="17"/>
  <c r="GA35" i="17"/>
  <c r="GI35" i="17" s="1"/>
  <c r="EW35" i="17" s="1"/>
  <c r="FY35" i="17"/>
  <c r="FX35" i="17"/>
  <c r="FW35" i="17"/>
  <c r="FV35" i="17"/>
  <c r="FU35" i="17"/>
  <c r="FT35" i="17"/>
  <c r="FS35" i="17"/>
  <c r="FR35" i="17"/>
  <c r="FZ35" i="17" s="1"/>
  <c r="EV35" i="17" s="1"/>
  <c r="FP35" i="17"/>
  <c r="FO35" i="17"/>
  <c r="LV35" i="17" s="1"/>
  <c r="FN35" i="17"/>
  <c r="FM35" i="17"/>
  <c r="FL35" i="17"/>
  <c r="FK35" i="17"/>
  <c r="FJ35" i="17"/>
  <c r="FI35" i="17"/>
  <c r="FQ35" i="17" s="1"/>
  <c r="EU35" i="17" s="1"/>
  <c r="EX35" i="17" s="1"/>
  <c r="FD35" i="17"/>
  <c r="FC35" i="17"/>
  <c r="FG35" i="17" s="1"/>
  <c r="EQ35" i="17"/>
  <c r="EP35" i="17"/>
  <c r="EO35" i="17"/>
  <c r="EN35" i="17"/>
  <c r="EM35" i="17"/>
  <c r="EL35" i="17"/>
  <c r="ER35" i="17" s="1"/>
  <c r="DT35" i="17" s="1"/>
  <c r="EJ35" i="17"/>
  <c r="EI35" i="17"/>
  <c r="EH35" i="17"/>
  <c r="EG35" i="17"/>
  <c r="EF35" i="17"/>
  <c r="EE35" i="17"/>
  <c r="EK35" i="17" s="1"/>
  <c r="DS35" i="17" s="1"/>
  <c r="EC35" i="17"/>
  <c r="EB35" i="17"/>
  <c r="EA35" i="17"/>
  <c r="DZ35" i="17"/>
  <c r="DY35" i="17"/>
  <c r="DX35" i="17"/>
  <c r="ED35" i="17" s="1"/>
  <c r="DR35" i="17" s="1"/>
  <c r="DU35" i="17" s="1"/>
  <c r="DN35" i="17"/>
  <c r="DM35" i="17"/>
  <c r="DL35" i="17"/>
  <c r="DK35" i="17"/>
  <c r="DJ35" i="17"/>
  <c r="DI35" i="17"/>
  <c r="DO35" i="17" s="1"/>
  <c r="DG35" i="17"/>
  <c r="DF35" i="17"/>
  <c r="DE35" i="17"/>
  <c r="DD35" i="17"/>
  <c r="DC35" i="17"/>
  <c r="DB35" i="17"/>
  <c r="DH35" i="17" s="1"/>
  <c r="CZ35" i="17"/>
  <c r="CY35" i="17"/>
  <c r="CX35" i="17"/>
  <c r="CW35" i="17"/>
  <c r="CV35" i="17"/>
  <c r="CU35" i="17"/>
  <c r="DA35" i="17" s="1"/>
  <c r="CS35" i="17"/>
  <c r="CK35" i="17" s="1"/>
  <c r="CR35" i="17"/>
  <c r="CJ35" i="17" s="1"/>
  <c r="CQ35" i="17"/>
  <c r="CI35" i="17" s="1"/>
  <c r="CP35" i="17"/>
  <c r="CH35" i="17" s="1"/>
  <c r="CO35" i="17"/>
  <c r="CG35" i="17" s="1"/>
  <c r="CN35" i="17"/>
  <c r="CF35" i="17" s="1"/>
  <c r="CL35" i="17" s="1"/>
  <c r="CA35" i="17"/>
  <c r="BZ35" i="17"/>
  <c r="BY35" i="17"/>
  <c r="BX35" i="17"/>
  <c r="BW35" i="17"/>
  <c r="CB35" i="17" s="1"/>
  <c r="BT35" i="17"/>
  <c r="T35" i="17" s="1"/>
  <c r="BS35" i="17"/>
  <c r="S35" i="17" s="1"/>
  <c r="BQ35" i="17"/>
  <c r="BP35" i="17"/>
  <c r="BN35" i="17"/>
  <c r="BM35" i="17"/>
  <c r="BK35" i="17"/>
  <c r="BJ35" i="17"/>
  <c r="BH35" i="17"/>
  <c r="BG35" i="17"/>
  <c r="BE35" i="17"/>
  <c r="BD35" i="17"/>
  <c r="BB35" i="17"/>
  <c r="BA35" i="17"/>
  <c r="AY35" i="17"/>
  <c r="AX35" i="17"/>
  <c r="AV35" i="17"/>
  <c r="AU35" i="17"/>
  <c r="AS35" i="17"/>
  <c r="AR35" i="17"/>
  <c r="AP35" i="17"/>
  <c r="AO35" i="17"/>
  <c r="AM35" i="17"/>
  <c r="AL35" i="17"/>
  <c r="AJ35" i="17"/>
  <c r="AI35" i="17"/>
  <c r="AG35" i="17"/>
  <c r="AF35" i="17"/>
  <c r="NA34" i="17"/>
  <c r="MZ34" i="17"/>
  <c r="MY34" i="17"/>
  <c r="MX34" i="17"/>
  <c r="MW34" i="17"/>
  <c r="MV34" i="17"/>
  <c r="MT34" i="17"/>
  <c r="MS34" i="17"/>
  <c r="MR34" i="17"/>
  <c r="MQ34" i="17"/>
  <c r="MP34" i="17"/>
  <c r="MO34" i="17"/>
  <c r="MC34" i="17"/>
  <c r="MA34" i="17"/>
  <c r="LU34" i="17"/>
  <c r="LT34" i="17"/>
  <c r="MB34" i="17" s="1"/>
  <c r="LJ34" i="17"/>
  <c r="JV34" i="17"/>
  <c r="JU34" i="17"/>
  <c r="JT34" i="17"/>
  <c r="JS34" i="17"/>
  <c r="JR34" i="17"/>
  <c r="JW34" i="17" s="1"/>
  <c r="JP34" i="17"/>
  <c r="JO34" i="17"/>
  <c r="JN34" i="17"/>
  <c r="JM34" i="17"/>
  <c r="JL34" i="17"/>
  <c r="JQ34" i="17" s="1"/>
  <c r="JJ34" i="17"/>
  <c r="JI34" i="17"/>
  <c r="JH34" i="17"/>
  <c r="JG34" i="17"/>
  <c r="JF34" i="17"/>
  <c r="JK34" i="17" s="1"/>
  <c r="JE34" i="17"/>
  <c r="JD34" i="17"/>
  <c r="JC34" i="17"/>
  <c r="JB34" i="17"/>
  <c r="JA34" i="17"/>
  <c r="IY34" i="17"/>
  <c r="IX34" i="17"/>
  <c r="IW34" i="17"/>
  <c r="IV34" i="17"/>
  <c r="IU34" i="17"/>
  <c r="IZ34" i="17" s="1"/>
  <c r="GN34" i="17"/>
  <c r="MJ34" i="17" s="1"/>
  <c r="GM34" i="17"/>
  <c r="GL34" i="17"/>
  <c r="MI34" i="17" s="1"/>
  <c r="GH34" i="17"/>
  <c r="GG34" i="17"/>
  <c r="GF34" i="17"/>
  <c r="GE34" i="17"/>
  <c r="GD34" i="17"/>
  <c r="GC34" i="17"/>
  <c r="GB34" i="17"/>
  <c r="GA34" i="17"/>
  <c r="GI34" i="17" s="1"/>
  <c r="EW34" i="17" s="1"/>
  <c r="FY34" i="17"/>
  <c r="FX34" i="17"/>
  <c r="FW34" i="17"/>
  <c r="FV34" i="17"/>
  <c r="FU34" i="17"/>
  <c r="FT34" i="17"/>
  <c r="FS34" i="17"/>
  <c r="FR34" i="17"/>
  <c r="FZ34" i="17" s="1"/>
  <c r="EV34" i="17" s="1"/>
  <c r="FP34" i="17"/>
  <c r="FO34" i="17"/>
  <c r="LV34" i="17" s="1"/>
  <c r="FN34" i="17"/>
  <c r="FM34" i="17"/>
  <c r="FL34" i="17"/>
  <c r="FK34" i="17"/>
  <c r="FJ34" i="17"/>
  <c r="FI34" i="17"/>
  <c r="FQ34" i="17" s="1"/>
  <c r="EU34" i="17" s="1"/>
  <c r="EX34" i="17" s="1"/>
  <c r="FD34" i="17"/>
  <c r="FC34" i="17"/>
  <c r="FG34" i="17" s="1"/>
  <c r="EQ34" i="17"/>
  <c r="EP34" i="17"/>
  <c r="EO34" i="17"/>
  <c r="EN34" i="17"/>
  <c r="EM34" i="17"/>
  <c r="EL34" i="17"/>
  <c r="ER34" i="17" s="1"/>
  <c r="DT34" i="17" s="1"/>
  <c r="EJ34" i="17"/>
  <c r="EI34" i="17"/>
  <c r="EH34" i="17"/>
  <c r="EG34" i="17"/>
  <c r="EF34" i="17"/>
  <c r="EE34" i="17"/>
  <c r="EK34" i="17" s="1"/>
  <c r="DS34" i="17" s="1"/>
  <c r="EC34" i="17"/>
  <c r="EB34" i="17"/>
  <c r="EA34" i="17"/>
  <c r="DZ34" i="17"/>
  <c r="DY34" i="17"/>
  <c r="DX34" i="17"/>
  <c r="ED34" i="17" s="1"/>
  <c r="DR34" i="17" s="1"/>
  <c r="DU34" i="17" s="1"/>
  <c r="DN34" i="17"/>
  <c r="DM34" i="17"/>
  <c r="DL34" i="17"/>
  <c r="DK34" i="17"/>
  <c r="DJ34" i="17"/>
  <c r="DI34" i="17"/>
  <c r="DO34" i="17" s="1"/>
  <c r="DG34" i="17"/>
  <c r="DF34" i="17"/>
  <c r="DE34" i="17"/>
  <c r="DD34" i="17"/>
  <c r="DC34" i="17"/>
  <c r="DB34" i="17"/>
  <c r="DH34" i="17" s="1"/>
  <c r="CZ34" i="17"/>
  <c r="CY34" i="17"/>
  <c r="CX34" i="17"/>
  <c r="CW34" i="17"/>
  <c r="CV34" i="17"/>
  <c r="CU34" i="17"/>
  <c r="DA34" i="17" s="1"/>
  <c r="CS34" i="17"/>
  <c r="CK34" i="17" s="1"/>
  <c r="CR34" i="17"/>
  <c r="CJ34" i="17" s="1"/>
  <c r="CQ34" i="17"/>
  <c r="CI34" i="17" s="1"/>
  <c r="CP34" i="17"/>
  <c r="CH34" i="17" s="1"/>
  <c r="CO34" i="17"/>
  <c r="CG34" i="17" s="1"/>
  <c r="CN34" i="17"/>
  <c r="CT34" i="17" s="1"/>
  <c r="CA34" i="17"/>
  <c r="BZ34" i="17"/>
  <c r="BY34" i="17"/>
  <c r="BX34" i="17"/>
  <c r="BW34" i="17"/>
  <c r="CB34" i="17" s="1"/>
  <c r="BT34" i="17"/>
  <c r="T34" i="17" s="1"/>
  <c r="BS34" i="17"/>
  <c r="BQ34" i="17"/>
  <c r="BP34" i="17"/>
  <c r="BN34" i="17"/>
  <c r="BM34" i="17"/>
  <c r="BK34" i="17"/>
  <c r="BJ34" i="17"/>
  <c r="BH34" i="17"/>
  <c r="BG34" i="17"/>
  <c r="BE34" i="17"/>
  <c r="BD34" i="17"/>
  <c r="BB34" i="17"/>
  <c r="BA34" i="17"/>
  <c r="AY34" i="17"/>
  <c r="AX34" i="17"/>
  <c r="AV34" i="17"/>
  <c r="AU34" i="17"/>
  <c r="AS34" i="17"/>
  <c r="AR34" i="17"/>
  <c r="AP34" i="17"/>
  <c r="AO34" i="17"/>
  <c r="AM34" i="17"/>
  <c r="AL34" i="17"/>
  <c r="AJ34" i="17"/>
  <c r="AI34" i="17"/>
  <c r="AG34" i="17"/>
  <c r="AF34" i="17"/>
  <c r="NA33" i="17"/>
  <c r="MZ33" i="17"/>
  <c r="MY33" i="17"/>
  <c r="MX33" i="17"/>
  <c r="MW33" i="17"/>
  <c r="MV33" i="17"/>
  <c r="MT33" i="17"/>
  <c r="MS33" i="17"/>
  <c r="MR33" i="17"/>
  <c r="MQ33" i="17"/>
  <c r="MP33" i="17"/>
  <c r="MO33" i="17"/>
  <c r="MC33" i="17"/>
  <c r="MA33" i="17"/>
  <c r="LU33" i="17"/>
  <c r="LT33" i="17"/>
  <c r="MB33" i="17" s="1"/>
  <c r="LJ33" i="17"/>
  <c r="JV33" i="17"/>
  <c r="JU33" i="17"/>
  <c r="JT33" i="17"/>
  <c r="JS33" i="17"/>
  <c r="JR33" i="17"/>
  <c r="JW33" i="17" s="1"/>
  <c r="JP33" i="17"/>
  <c r="JO33" i="17"/>
  <c r="JN33" i="17"/>
  <c r="JM33" i="17"/>
  <c r="JL33" i="17"/>
  <c r="JQ33" i="17" s="1"/>
  <c r="JJ33" i="17"/>
  <c r="JI33" i="17"/>
  <c r="JH33" i="17"/>
  <c r="JG33" i="17"/>
  <c r="JF33" i="17"/>
  <c r="JK33" i="17" s="1"/>
  <c r="JE33" i="17"/>
  <c r="JD33" i="17"/>
  <c r="JC33" i="17"/>
  <c r="JB33" i="17"/>
  <c r="JA33" i="17"/>
  <c r="IY33" i="17"/>
  <c r="IX33" i="17"/>
  <c r="IW33" i="17"/>
  <c r="IV33" i="17"/>
  <c r="IU33" i="17"/>
  <c r="IZ33" i="17" s="1"/>
  <c r="GN33" i="17"/>
  <c r="GM33" i="17"/>
  <c r="GL33" i="17"/>
  <c r="MI33" i="17" s="1"/>
  <c r="GH33" i="17"/>
  <c r="GG33" i="17"/>
  <c r="GF33" i="17"/>
  <c r="GE33" i="17"/>
  <c r="GD33" i="17"/>
  <c r="GC33" i="17"/>
  <c r="GB33" i="17"/>
  <c r="GA33" i="17"/>
  <c r="GI33" i="17" s="1"/>
  <c r="EW33" i="17" s="1"/>
  <c r="FY33" i="17"/>
  <c r="FX33" i="17"/>
  <c r="FW33" i="17"/>
  <c r="FV33" i="17"/>
  <c r="FU33" i="17"/>
  <c r="FT33" i="17"/>
  <c r="FS33" i="17"/>
  <c r="FR33" i="17"/>
  <c r="FZ33" i="17" s="1"/>
  <c r="EV33" i="17" s="1"/>
  <c r="FP33" i="17"/>
  <c r="FO33" i="17"/>
  <c r="LV33" i="17" s="1"/>
  <c r="FN33" i="17"/>
  <c r="FM33" i="17"/>
  <c r="FL33" i="17"/>
  <c r="FK33" i="17"/>
  <c r="FJ33" i="17"/>
  <c r="FI33" i="17"/>
  <c r="FQ33" i="17" s="1"/>
  <c r="EU33" i="17" s="1"/>
  <c r="EX33" i="17" s="1"/>
  <c r="FD33" i="17"/>
  <c r="FC33" i="17"/>
  <c r="FG33" i="17" s="1"/>
  <c r="EQ33" i="17"/>
  <c r="EP33" i="17"/>
  <c r="EO33" i="17"/>
  <c r="EN33" i="17"/>
  <c r="EM33" i="17"/>
  <c r="EL33" i="17"/>
  <c r="ER33" i="17" s="1"/>
  <c r="DT33" i="17" s="1"/>
  <c r="EJ33" i="17"/>
  <c r="EI33" i="17"/>
  <c r="EH33" i="17"/>
  <c r="EG33" i="17"/>
  <c r="EF33" i="17"/>
  <c r="EE33" i="17"/>
  <c r="EK33" i="17" s="1"/>
  <c r="DS33" i="17" s="1"/>
  <c r="EC33" i="17"/>
  <c r="EB33" i="17"/>
  <c r="EA33" i="17"/>
  <c r="DZ33" i="17"/>
  <c r="DY33" i="17"/>
  <c r="DX33" i="17"/>
  <c r="ED33" i="17" s="1"/>
  <c r="DR33" i="17" s="1"/>
  <c r="DU33" i="17" s="1"/>
  <c r="DN33" i="17"/>
  <c r="DM33" i="17"/>
  <c r="DL33" i="17"/>
  <c r="DK33" i="17"/>
  <c r="DJ33" i="17"/>
  <c r="DI33" i="17"/>
  <c r="DO33" i="17" s="1"/>
  <c r="DG33" i="17"/>
  <c r="DF33" i="17"/>
  <c r="DE33" i="17"/>
  <c r="DD33" i="17"/>
  <c r="DC33" i="17"/>
  <c r="DB33" i="17"/>
  <c r="DH33" i="17" s="1"/>
  <c r="CZ33" i="17"/>
  <c r="CY33" i="17"/>
  <c r="CX33" i="17"/>
  <c r="CW33" i="17"/>
  <c r="CV33" i="17"/>
  <c r="CU33" i="17"/>
  <c r="DA33" i="17" s="1"/>
  <c r="CS33" i="17"/>
  <c r="CK33" i="17" s="1"/>
  <c r="CR33" i="17"/>
  <c r="CJ33" i="17" s="1"/>
  <c r="CQ33" i="17"/>
  <c r="CI33" i="17" s="1"/>
  <c r="CP33" i="17"/>
  <c r="CH33" i="17" s="1"/>
  <c r="CO33" i="17"/>
  <c r="CG33" i="17" s="1"/>
  <c r="CN33" i="17"/>
  <c r="CA33" i="17"/>
  <c r="BZ33" i="17"/>
  <c r="BY33" i="17"/>
  <c r="BX33" i="17"/>
  <c r="BW33" i="17"/>
  <c r="CB33" i="17" s="1"/>
  <c r="BT33" i="17"/>
  <c r="T33" i="17" s="1"/>
  <c r="BS33" i="17"/>
  <c r="S33" i="17" s="1"/>
  <c r="BQ33" i="17"/>
  <c r="BP33" i="17"/>
  <c r="BN33" i="17"/>
  <c r="BM33" i="17"/>
  <c r="BK33" i="17"/>
  <c r="BJ33" i="17"/>
  <c r="BH33" i="17"/>
  <c r="BG33" i="17"/>
  <c r="BE33" i="17"/>
  <c r="BD33" i="17"/>
  <c r="BB33" i="17"/>
  <c r="BA33" i="17"/>
  <c r="AX33" i="17"/>
  <c r="AY33" i="17"/>
  <c r="AV33" i="17"/>
  <c r="AU33" i="17"/>
  <c r="AS33" i="17"/>
  <c r="AR33" i="17"/>
  <c r="AP33" i="17"/>
  <c r="AO33" i="17"/>
  <c r="AM33" i="17"/>
  <c r="AL33" i="17"/>
  <c r="AJ33" i="17"/>
  <c r="AI33" i="17"/>
  <c r="AG33" i="17"/>
  <c r="AF33" i="17"/>
  <c r="NA32" i="17"/>
  <c r="MZ32" i="17"/>
  <c r="MY32" i="17"/>
  <c r="MX32" i="17"/>
  <c r="MW32" i="17"/>
  <c r="MV32" i="17"/>
  <c r="MT32" i="17"/>
  <c r="MS32" i="17"/>
  <c r="MR32" i="17"/>
  <c r="MQ32" i="17"/>
  <c r="MP32" i="17"/>
  <c r="MO32" i="17"/>
  <c r="MC32" i="17"/>
  <c r="MA32" i="17"/>
  <c r="LU32" i="17"/>
  <c r="LT32" i="17"/>
  <c r="MB32" i="17" s="1"/>
  <c r="LJ32" i="17"/>
  <c r="JV32" i="17"/>
  <c r="JU32" i="17"/>
  <c r="JT32" i="17"/>
  <c r="JS32" i="17"/>
  <c r="JR32" i="17"/>
  <c r="JP32" i="17"/>
  <c r="JO32" i="17"/>
  <c r="JN32" i="17"/>
  <c r="JM32" i="17"/>
  <c r="JL32" i="17"/>
  <c r="JQ32" i="17" s="1"/>
  <c r="JJ32" i="17"/>
  <c r="JI32" i="17"/>
  <c r="JH32" i="17"/>
  <c r="JG32" i="17"/>
  <c r="JF32" i="17"/>
  <c r="JK32" i="17" s="1"/>
  <c r="JE32" i="17"/>
  <c r="JD32" i="17"/>
  <c r="JC32" i="17"/>
  <c r="JB32" i="17"/>
  <c r="JA32" i="17"/>
  <c r="IY32" i="17"/>
  <c r="IX32" i="17"/>
  <c r="IW32" i="17"/>
  <c r="IV32" i="17"/>
  <c r="IU32" i="17"/>
  <c r="IZ32" i="17" s="1"/>
  <c r="GN32" i="17"/>
  <c r="MJ32" i="17" s="1"/>
  <c r="GM32" i="17"/>
  <c r="GL32" i="17"/>
  <c r="MI32" i="17" s="1"/>
  <c r="GH32" i="17"/>
  <c r="GG32" i="17"/>
  <c r="GF32" i="17"/>
  <c r="GE32" i="17"/>
  <c r="GD32" i="17"/>
  <c r="GC32" i="17"/>
  <c r="GB32" i="17"/>
  <c r="GA32" i="17"/>
  <c r="GI32" i="17" s="1"/>
  <c r="EW32" i="17" s="1"/>
  <c r="FY32" i="17"/>
  <c r="FX32" i="17"/>
  <c r="FW32" i="17"/>
  <c r="FV32" i="17"/>
  <c r="FU32" i="17"/>
  <c r="FT32" i="17"/>
  <c r="FS32" i="17"/>
  <c r="FR32" i="17"/>
  <c r="FZ32" i="17" s="1"/>
  <c r="EV32" i="17" s="1"/>
  <c r="FP32" i="17"/>
  <c r="FO32" i="17"/>
  <c r="LV32" i="17" s="1"/>
  <c r="FN32" i="17"/>
  <c r="FM32" i="17"/>
  <c r="FL32" i="17"/>
  <c r="FK32" i="17"/>
  <c r="FJ32" i="17"/>
  <c r="FI32" i="17"/>
  <c r="FQ32" i="17" s="1"/>
  <c r="EU32" i="17" s="1"/>
  <c r="EX32" i="17" s="1"/>
  <c r="FD32" i="17"/>
  <c r="FC32" i="17"/>
  <c r="FG32" i="17" s="1"/>
  <c r="EQ32" i="17"/>
  <c r="EP32" i="17"/>
  <c r="EO32" i="17"/>
  <c r="EN32" i="17"/>
  <c r="EM32" i="17"/>
  <c r="EL32" i="17"/>
  <c r="ER32" i="17" s="1"/>
  <c r="DT32" i="17" s="1"/>
  <c r="EJ32" i="17"/>
  <c r="EI32" i="17"/>
  <c r="EH32" i="17"/>
  <c r="EG32" i="17"/>
  <c r="EF32" i="17"/>
  <c r="EE32" i="17"/>
  <c r="EK32" i="17" s="1"/>
  <c r="DS32" i="17" s="1"/>
  <c r="EC32" i="17"/>
  <c r="EB32" i="17"/>
  <c r="EA32" i="17"/>
  <c r="DZ32" i="17"/>
  <c r="DY32" i="17"/>
  <c r="DX32" i="17"/>
  <c r="ED32" i="17" s="1"/>
  <c r="DR32" i="17" s="1"/>
  <c r="DU32" i="17" s="1"/>
  <c r="DN32" i="17"/>
  <c r="DM32" i="17"/>
  <c r="DL32" i="17"/>
  <c r="DK32" i="17"/>
  <c r="DJ32" i="17"/>
  <c r="DI32" i="17"/>
  <c r="DO32" i="17" s="1"/>
  <c r="DG32" i="17"/>
  <c r="DF32" i="17"/>
  <c r="DE32" i="17"/>
  <c r="DD32" i="17"/>
  <c r="DC32" i="17"/>
  <c r="DB32" i="17"/>
  <c r="DH32" i="17" s="1"/>
  <c r="CZ32" i="17"/>
  <c r="CY32" i="17"/>
  <c r="CX32" i="17"/>
  <c r="CW32" i="17"/>
  <c r="CV32" i="17"/>
  <c r="CU32" i="17"/>
  <c r="DA32" i="17" s="1"/>
  <c r="CS32" i="17"/>
  <c r="CK32" i="17" s="1"/>
  <c r="CR32" i="17"/>
  <c r="CJ32" i="17" s="1"/>
  <c r="CQ32" i="17"/>
  <c r="CI32" i="17" s="1"/>
  <c r="CP32" i="17"/>
  <c r="CH32" i="17" s="1"/>
  <c r="CO32" i="17"/>
  <c r="CG32" i="17" s="1"/>
  <c r="CN32" i="17"/>
  <c r="CA32" i="17"/>
  <c r="BZ32" i="17"/>
  <c r="BY32" i="17"/>
  <c r="BX32" i="17"/>
  <c r="BW32" i="17"/>
  <c r="CB32" i="17" s="1"/>
  <c r="BT32" i="17"/>
  <c r="T32" i="17" s="1"/>
  <c r="BS32" i="17"/>
  <c r="S32" i="17" s="1"/>
  <c r="BQ32" i="17"/>
  <c r="BP32" i="17"/>
  <c r="BN32" i="17"/>
  <c r="BM32" i="17"/>
  <c r="BK32" i="17"/>
  <c r="BJ32" i="17"/>
  <c r="BH32" i="17"/>
  <c r="BG32" i="17"/>
  <c r="BE32" i="17"/>
  <c r="BD32" i="17"/>
  <c r="BB32" i="17"/>
  <c r="BA32" i="17"/>
  <c r="AY32" i="17"/>
  <c r="AX32" i="17"/>
  <c r="AV32" i="17"/>
  <c r="AU32" i="17"/>
  <c r="AS32" i="17"/>
  <c r="AR32" i="17"/>
  <c r="AP32" i="17"/>
  <c r="AO32" i="17"/>
  <c r="AM32" i="17"/>
  <c r="AL32" i="17"/>
  <c r="AJ32" i="17"/>
  <c r="AI32" i="17"/>
  <c r="AG32" i="17"/>
  <c r="AF32" i="17"/>
  <c r="NA31" i="17"/>
  <c r="MZ31" i="17"/>
  <c r="MY31" i="17"/>
  <c r="MX31" i="17"/>
  <c r="MW31" i="17"/>
  <c r="MV31" i="17"/>
  <c r="MT31" i="17"/>
  <c r="MS31" i="17"/>
  <c r="MR31" i="17"/>
  <c r="MQ31" i="17"/>
  <c r="MP31" i="17"/>
  <c r="MO31" i="17"/>
  <c r="MC31" i="17"/>
  <c r="MA31" i="17"/>
  <c r="LU31" i="17"/>
  <c r="LT31" i="17"/>
  <c r="MB31" i="17" s="1"/>
  <c r="LJ31" i="17"/>
  <c r="JV31" i="17"/>
  <c r="JU31" i="17"/>
  <c r="JT31" i="17"/>
  <c r="JS31" i="17"/>
  <c r="JR31" i="17"/>
  <c r="JW31" i="17" s="1"/>
  <c r="JP31" i="17"/>
  <c r="JO31" i="17"/>
  <c r="JN31" i="17"/>
  <c r="JM31" i="17"/>
  <c r="JL31" i="17"/>
  <c r="JQ31" i="17" s="1"/>
  <c r="JJ31" i="17"/>
  <c r="JI31" i="17"/>
  <c r="JH31" i="17"/>
  <c r="JG31" i="17"/>
  <c r="JF31" i="17"/>
  <c r="JK31" i="17" s="1"/>
  <c r="JE31" i="17"/>
  <c r="JD31" i="17"/>
  <c r="JC31" i="17"/>
  <c r="JB31" i="17"/>
  <c r="JA31" i="17"/>
  <c r="IY31" i="17"/>
  <c r="IX31" i="17"/>
  <c r="IW31" i="17"/>
  <c r="IV31" i="17"/>
  <c r="IU31" i="17"/>
  <c r="IZ31" i="17" s="1"/>
  <c r="GN31" i="17"/>
  <c r="GM31" i="17"/>
  <c r="GL31" i="17"/>
  <c r="MI31" i="17" s="1"/>
  <c r="GH31" i="17"/>
  <c r="GG31" i="17"/>
  <c r="GF31" i="17"/>
  <c r="GE31" i="17"/>
  <c r="GD31" i="17"/>
  <c r="GC31" i="17"/>
  <c r="GB31" i="17"/>
  <c r="GA31" i="17"/>
  <c r="GI31" i="17" s="1"/>
  <c r="EW31" i="17" s="1"/>
  <c r="FY31" i="17"/>
  <c r="FX31" i="17"/>
  <c r="FW31" i="17"/>
  <c r="FV31" i="17"/>
  <c r="FU31" i="17"/>
  <c r="FT31" i="17"/>
  <c r="FS31" i="17"/>
  <c r="FR31" i="17"/>
  <c r="FZ31" i="17" s="1"/>
  <c r="EV31" i="17" s="1"/>
  <c r="FP31" i="17"/>
  <c r="FO31" i="17"/>
  <c r="LV31" i="17" s="1"/>
  <c r="FN31" i="17"/>
  <c r="FM31" i="17"/>
  <c r="FL31" i="17"/>
  <c r="FK31" i="17"/>
  <c r="FJ31" i="17"/>
  <c r="FI31" i="17"/>
  <c r="FQ31" i="17" s="1"/>
  <c r="EU31" i="17" s="1"/>
  <c r="EX31" i="17" s="1"/>
  <c r="FD31" i="17"/>
  <c r="FC31" i="17"/>
  <c r="FG31" i="17" s="1"/>
  <c r="EQ31" i="17"/>
  <c r="EP31" i="17"/>
  <c r="EO31" i="17"/>
  <c r="EN31" i="17"/>
  <c r="EM31" i="17"/>
  <c r="EL31" i="17"/>
  <c r="ER31" i="17" s="1"/>
  <c r="DT31" i="17" s="1"/>
  <c r="EJ31" i="17"/>
  <c r="EI31" i="17"/>
  <c r="EH31" i="17"/>
  <c r="EG31" i="17"/>
  <c r="EF31" i="17"/>
  <c r="EE31" i="17"/>
  <c r="EK31" i="17" s="1"/>
  <c r="DS31" i="17" s="1"/>
  <c r="EC31" i="17"/>
  <c r="EB31" i="17"/>
  <c r="EA31" i="17"/>
  <c r="DZ31" i="17"/>
  <c r="DY31" i="17"/>
  <c r="DX31" i="17"/>
  <c r="ED31" i="17" s="1"/>
  <c r="DR31" i="17" s="1"/>
  <c r="DU31" i="17" s="1"/>
  <c r="DN31" i="17"/>
  <c r="DM31" i="17"/>
  <c r="DL31" i="17"/>
  <c r="DK31" i="17"/>
  <c r="DJ31" i="17"/>
  <c r="DI31" i="17"/>
  <c r="DO31" i="17" s="1"/>
  <c r="DG31" i="17"/>
  <c r="DF31" i="17"/>
  <c r="DE31" i="17"/>
  <c r="DD31" i="17"/>
  <c r="DC31" i="17"/>
  <c r="DB31" i="17"/>
  <c r="DH31" i="17" s="1"/>
  <c r="CZ31" i="17"/>
  <c r="CY31" i="17"/>
  <c r="CX31" i="17"/>
  <c r="CW31" i="17"/>
  <c r="CV31" i="17"/>
  <c r="CU31" i="17"/>
  <c r="DA31" i="17" s="1"/>
  <c r="CS31" i="17"/>
  <c r="CK31" i="17" s="1"/>
  <c r="CR31" i="17"/>
  <c r="CJ31" i="17" s="1"/>
  <c r="CQ31" i="17"/>
  <c r="CI31" i="17" s="1"/>
  <c r="CP31" i="17"/>
  <c r="CH31" i="17" s="1"/>
  <c r="CO31" i="17"/>
  <c r="CG31" i="17" s="1"/>
  <c r="CN31" i="17"/>
  <c r="CA31" i="17"/>
  <c r="BZ31" i="17"/>
  <c r="BY31" i="17"/>
  <c r="BX31" i="17"/>
  <c r="BW31" i="17"/>
  <c r="CB31" i="17" s="1"/>
  <c r="BT31" i="17"/>
  <c r="T31" i="17" s="1"/>
  <c r="BS31" i="17"/>
  <c r="S31" i="17" s="1"/>
  <c r="BQ31" i="17"/>
  <c r="BP31" i="17"/>
  <c r="BN31" i="17"/>
  <c r="BM31" i="17"/>
  <c r="BK31" i="17"/>
  <c r="BJ31" i="17"/>
  <c r="BH31" i="17"/>
  <c r="BG31" i="17"/>
  <c r="BE31" i="17"/>
  <c r="BD31" i="17"/>
  <c r="BB31" i="17"/>
  <c r="BA31" i="17"/>
  <c r="AY31" i="17"/>
  <c r="AX31" i="17"/>
  <c r="AV31" i="17"/>
  <c r="AU31" i="17"/>
  <c r="AS31" i="17"/>
  <c r="AR31" i="17"/>
  <c r="AP31" i="17"/>
  <c r="AO31" i="17"/>
  <c r="AM31" i="17"/>
  <c r="AL31" i="17"/>
  <c r="AJ31" i="17"/>
  <c r="AI31" i="17"/>
  <c r="AG31" i="17"/>
  <c r="AF31" i="17"/>
  <c r="NA30" i="17"/>
  <c r="MZ30" i="17"/>
  <c r="MY30" i="17"/>
  <c r="MX30" i="17"/>
  <c r="MW30" i="17"/>
  <c r="MV30" i="17"/>
  <c r="MT30" i="17"/>
  <c r="MS30" i="17"/>
  <c r="MR30" i="17"/>
  <c r="MQ30" i="17"/>
  <c r="MP30" i="17"/>
  <c r="MO30" i="17"/>
  <c r="MC30" i="17"/>
  <c r="MA30" i="17"/>
  <c r="LU30" i="17"/>
  <c r="LT30" i="17"/>
  <c r="MB30" i="17" s="1"/>
  <c r="LJ30" i="17"/>
  <c r="JV30" i="17"/>
  <c r="JU30" i="17"/>
  <c r="JT30" i="17"/>
  <c r="JS30" i="17"/>
  <c r="JR30" i="17"/>
  <c r="JW30" i="17" s="1"/>
  <c r="JP30" i="17"/>
  <c r="JO30" i="17"/>
  <c r="JN30" i="17"/>
  <c r="JM30" i="17"/>
  <c r="JL30" i="17"/>
  <c r="JQ30" i="17" s="1"/>
  <c r="JJ30" i="17"/>
  <c r="JI30" i="17"/>
  <c r="JH30" i="17"/>
  <c r="JG30" i="17"/>
  <c r="JF30" i="17"/>
  <c r="JK30" i="17" s="1"/>
  <c r="JE30" i="17"/>
  <c r="JD30" i="17"/>
  <c r="JC30" i="17"/>
  <c r="JB30" i="17"/>
  <c r="JA30" i="17"/>
  <c r="IY30" i="17"/>
  <c r="IX30" i="17"/>
  <c r="IW30" i="17"/>
  <c r="IV30" i="17"/>
  <c r="IU30" i="17"/>
  <c r="IZ30" i="17" s="1"/>
  <c r="GN30" i="17"/>
  <c r="MJ30" i="17" s="1"/>
  <c r="GM30" i="17"/>
  <c r="GL30" i="17"/>
  <c r="MI30" i="17" s="1"/>
  <c r="GH30" i="17"/>
  <c r="GG30" i="17"/>
  <c r="GF30" i="17"/>
  <c r="GE30" i="17"/>
  <c r="GD30" i="17"/>
  <c r="GC30" i="17"/>
  <c r="GB30" i="17"/>
  <c r="GA30" i="17"/>
  <c r="GI30" i="17" s="1"/>
  <c r="EW30" i="17" s="1"/>
  <c r="FY30" i="17"/>
  <c r="FX30" i="17"/>
  <c r="FW30" i="17"/>
  <c r="FV30" i="17"/>
  <c r="FU30" i="17"/>
  <c r="FT30" i="17"/>
  <c r="FS30" i="17"/>
  <c r="FR30" i="17"/>
  <c r="FZ30" i="17" s="1"/>
  <c r="EV30" i="17" s="1"/>
  <c r="FP30" i="17"/>
  <c r="FO30" i="17"/>
  <c r="LV30" i="17" s="1"/>
  <c r="FN30" i="17"/>
  <c r="FM30" i="17"/>
  <c r="FL30" i="17"/>
  <c r="FK30" i="17"/>
  <c r="FJ30" i="17"/>
  <c r="FI30" i="17"/>
  <c r="FQ30" i="17" s="1"/>
  <c r="EU30" i="17" s="1"/>
  <c r="EX30" i="17" s="1"/>
  <c r="FD30" i="17"/>
  <c r="FC30" i="17"/>
  <c r="FG30" i="17" s="1"/>
  <c r="EQ30" i="17"/>
  <c r="EP30" i="17"/>
  <c r="EO30" i="17"/>
  <c r="EN30" i="17"/>
  <c r="EM30" i="17"/>
  <c r="EL30" i="17"/>
  <c r="ER30" i="17" s="1"/>
  <c r="DT30" i="17" s="1"/>
  <c r="EJ30" i="17"/>
  <c r="EI30" i="17"/>
  <c r="EH30" i="17"/>
  <c r="EG30" i="17"/>
  <c r="EF30" i="17"/>
  <c r="EE30" i="17"/>
  <c r="EK30" i="17" s="1"/>
  <c r="DS30" i="17" s="1"/>
  <c r="EC30" i="17"/>
  <c r="EB30" i="17"/>
  <c r="EA30" i="17"/>
  <c r="DZ30" i="17"/>
  <c r="DY30" i="17"/>
  <c r="DX30" i="17"/>
  <c r="ED30" i="17" s="1"/>
  <c r="DR30" i="17" s="1"/>
  <c r="DU30" i="17" s="1"/>
  <c r="DN30" i="17"/>
  <c r="DM30" i="17"/>
  <c r="DL30" i="17"/>
  <c r="DK30" i="17"/>
  <c r="DJ30" i="17"/>
  <c r="DI30" i="17"/>
  <c r="DO30" i="17" s="1"/>
  <c r="DG30" i="17"/>
  <c r="DF30" i="17"/>
  <c r="DE30" i="17"/>
  <c r="DD30" i="17"/>
  <c r="DC30" i="17"/>
  <c r="DB30" i="17"/>
  <c r="DH30" i="17" s="1"/>
  <c r="CZ30" i="17"/>
  <c r="CY30" i="17"/>
  <c r="CX30" i="17"/>
  <c r="CW30" i="17"/>
  <c r="CV30" i="17"/>
  <c r="CU30" i="17"/>
  <c r="DA30" i="17" s="1"/>
  <c r="CS30" i="17"/>
  <c r="CK30" i="17" s="1"/>
  <c r="CR30" i="17"/>
  <c r="CJ30" i="17" s="1"/>
  <c r="CQ30" i="17"/>
  <c r="CI30" i="17" s="1"/>
  <c r="CP30" i="17"/>
  <c r="CH30" i="17" s="1"/>
  <c r="CO30" i="17"/>
  <c r="CG30" i="17" s="1"/>
  <c r="CN30" i="17"/>
  <c r="CA30" i="17"/>
  <c r="BZ30" i="17"/>
  <c r="BY30" i="17"/>
  <c r="BX30" i="17"/>
  <c r="BW30" i="17"/>
  <c r="CB30" i="17" s="1"/>
  <c r="BT30" i="17"/>
  <c r="T30" i="17" s="1"/>
  <c r="BS30" i="17"/>
  <c r="BQ30" i="17"/>
  <c r="BP30" i="17"/>
  <c r="BN30" i="17"/>
  <c r="BM30" i="17"/>
  <c r="BK30" i="17"/>
  <c r="BJ30" i="17"/>
  <c r="BH30" i="17"/>
  <c r="BG30" i="17"/>
  <c r="BE30" i="17"/>
  <c r="BD30" i="17"/>
  <c r="BB30" i="17"/>
  <c r="BA30" i="17"/>
  <c r="AY30" i="17"/>
  <c r="AX30" i="17"/>
  <c r="AV30" i="17"/>
  <c r="AU30" i="17"/>
  <c r="AS30" i="17"/>
  <c r="AR30" i="17"/>
  <c r="AP30" i="17"/>
  <c r="AO30" i="17"/>
  <c r="AM30" i="17"/>
  <c r="AL30" i="17"/>
  <c r="AJ30" i="17"/>
  <c r="AI30" i="17"/>
  <c r="AG30" i="17"/>
  <c r="AF30" i="17"/>
  <c r="NA29" i="17"/>
  <c r="MZ29" i="17"/>
  <c r="MY29" i="17"/>
  <c r="MX29" i="17"/>
  <c r="MW29" i="17"/>
  <c r="MV29" i="17"/>
  <c r="MT29" i="17"/>
  <c r="MS29" i="17"/>
  <c r="MR29" i="17"/>
  <c r="MQ29" i="17"/>
  <c r="MP29" i="17"/>
  <c r="MO29" i="17"/>
  <c r="MC29" i="17"/>
  <c r="MA29" i="17"/>
  <c r="LU29" i="17"/>
  <c r="LT29" i="17"/>
  <c r="MB29" i="17" s="1"/>
  <c r="LJ29" i="17"/>
  <c r="JV29" i="17"/>
  <c r="JU29" i="17"/>
  <c r="JT29" i="17"/>
  <c r="JS29" i="17"/>
  <c r="JR29" i="17"/>
  <c r="JP29" i="17"/>
  <c r="JO29" i="17"/>
  <c r="JN29" i="17"/>
  <c r="JM29" i="17"/>
  <c r="JL29" i="17"/>
  <c r="JQ29" i="17" s="1"/>
  <c r="JJ29" i="17"/>
  <c r="JI29" i="17"/>
  <c r="JH29" i="17"/>
  <c r="JG29" i="17"/>
  <c r="JF29" i="17"/>
  <c r="JK29" i="17" s="1"/>
  <c r="JE29" i="17"/>
  <c r="JD29" i="17"/>
  <c r="JC29" i="17"/>
  <c r="JB29" i="17"/>
  <c r="JA29" i="17"/>
  <c r="IY29" i="17"/>
  <c r="IX29" i="17"/>
  <c r="IW29" i="17"/>
  <c r="IV29" i="17"/>
  <c r="IU29" i="17"/>
  <c r="IZ29" i="17" s="1"/>
  <c r="GN29" i="17"/>
  <c r="GM29" i="17"/>
  <c r="GL29" i="17"/>
  <c r="MI29" i="17" s="1"/>
  <c r="GH29" i="17"/>
  <c r="GG29" i="17"/>
  <c r="GF29" i="17"/>
  <c r="GE29" i="17"/>
  <c r="GD29" i="17"/>
  <c r="GC29" i="17"/>
  <c r="GB29" i="17"/>
  <c r="GA29" i="17"/>
  <c r="GI29" i="17" s="1"/>
  <c r="EW29" i="17" s="1"/>
  <c r="FY29" i="17"/>
  <c r="FX29" i="17"/>
  <c r="FW29" i="17"/>
  <c r="FV29" i="17"/>
  <c r="FU29" i="17"/>
  <c r="FT29" i="17"/>
  <c r="FS29" i="17"/>
  <c r="FR29" i="17"/>
  <c r="FZ29" i="17" s="1"/>
  <c r="EV29" i="17" s="1"/>
  <c r="FP29" i="17"/>
  <c r="FO29" i="17"/>
  <c r="LV29" i="17" s="1"/>
  <c r="FN29" i="17"/>
  <c r="FM29" i="17"/>
  <c r="FL29" i="17"/>
  <c r="FK29" i="17"/>
  <c r="FJ29" i="17"/>
  <c r="FI29" i="17"/>
  <c r="FQ29" i="17" s="1"/>
  <c r="EU29" i="17" s="1"/>
  <c r="EX29" i="17" s="1"/>
  <c r="FD29" i="17"/>
  <c r="FC29" i="17"/>
  <c r="FG29" i="17" s="1"/>
  <c r="EQ29" i="17"/>
  <c r="EP29" i="17"/>
  <c r="EO29" i="17"/>
  <c r="EN29" i="17"/>
  <c r="EM29" i="17"/>
  <c r="EL29" i="17"/>
  <c r="ER29" i="17" s="1"/>
  <c r="DT29" i="17" s="1"/>
  <c r="EJ29" i="17"/>
  <c r="EI29" i="17"/>
  <c r="EH29" i="17"/>
  <c r="EG29" i="17"/>
  <c r="EF29" i="17"/>
  <c r="EE29" i="17"/>
  <c r="EK29" i="17" s="1"/>
  <c r="DS29" i="17" s="1"/>
  <c r="EC29" i="17"/>
  <c r="EB29" i="17"/>
  <c r="EA29" i="17"/>
  <c r="DZ29" i="17"/>
  <c r="DY29" i="17"/>
  <c r="DX29" i="17"/>
  <c r="ED29" i="17" s="1"/>
  <c r="DR29" i="17" s="1"/>
  <c r="DU29" i="17" s="1"/>
  <c r="DN29" i="17"/>
  <c r="DM29" i="17"/>
  <c r="DL29" i="17"/>
  <c r="DK29" i="17"/>
  <c r="DJ29" i="17"/>
  <c r="DI29" i="17"/>
  <c r="DO29" i="17" s="1"/>
  <c r="DG29" i="17"/>
  <c r="DF29" i="17"/>
  <c r="DE29" i="17"/>
  <c r="DD29" i="17"/>
  <c r="DC29" i="17"/>
  <c r="DB29" i="17"/>
  <c r="DH29" i="17" s="1"/>
  <c r="CZ29" i="17"/>
  <c r="CY29" i="17"/>
  <c r="CX29" i="17"/>
  <c r="CW29" i="17"/>
  <c r="CV29" i="17"/>
  <c r="CU29" i="17"/>
  <c r="DA29" i="17" s="1"/>
  <c r="CS29" i="17"/>
  <c r="CK29" i="17" s="1"/>
  <c r="CR29" i="17"/>
  <c r="CJ29" i="17" s="1"/>
  <c r="CQ29" i="17"/>
  <c r="CI29" i="17" s="1"/>
  <c r="CP29" i="17"/>
  <c r="CH29" i="17" s="1"/>
  <c r="CO29" i="17"/>
  <c r="CG29" i="17" s="1"/>
  <c r="CN29" i="17"/>
  <c r="CA29" i="17"/>
  <c r="BZ29" i="17"/>
  <c r="BY29" i="17"/>
  <c r="BX29" i="17"/>
  <c r="BW29" i="17"/>
  <c r="CB29" i="17" s="1"/>
  <c r="BT29" i="17"/>
  <c r="T29" i="17" s="1"/>
  <c r="BS29" i="17"/>
  <c r="S29" i="17" s="1"/>
  <c r="BQ29" i="17"/>
  <c r="BP29" i="17"/>
  <c r="BN29" i="17"/>
  <c r="BM29" i="17"/>
  <c r="BK29" i="17"/>
  <c r="BJ29" i="17"/>
  <c r="BH29" i="17"/>
  <c r="BG29" i="17"/>
  <c r="BE29" i="17"/>
  <c r="BD29" i="17"/>
  <c r="BB29" i="17"/>
  <c r="BA29" i="17"/>
  <c r="AY29" i="17"/>
  <c r="AX29" i="17"/>
  <c r="AV29" i="17"/>
  <c r="AU29" i="17"/>
  <c r="AS29" i="17"/>
  <c r="AR29" i="17"/>
  <c r="AP29" i="17"/>
  <c r="AO29" i="17"/>
  <c r="AM29" i="17"/>
  <c r="AL29" i="17"/>
  <c r="AJ29" i="17"/>
  <c r="AI29" i="17"/>
  <c r="AG29" i="17"/>
  <c r="AF29" i="17"/>
  <c r="NA28" i="17"/>
  <c r="MZ28" i="17"/>
  <c r="MY28" i="17"/>
  <c r="MX28" i="17"/>
  <c r="MW28" i="17"/>
  <c r="MV28" i="17"/>
  <c r="MT28" i="17"/>
  <c r="MS28" i="17"/>
  <c r="MR28" i="17"/>
  <c r="MQ28" i="17"/>
  <c r="MP28" i="17"/>
  <c r="MO28" i="17"/>
  <c r="MC28" i="17"/>
  <c r="MA28" i="17"/>
  <c r="LU28" i="17"/>
  <c r="LT28" i="17"/>
  <c r="MB28" i="17" s="1"/>
  <c r="LJ28" i="17"/>
  <c r="JV28" i="17"/>
  <c r="JU28" i="17"/>
  <c r="JT28" i="17"/>
  <c r="JS28" i="17"/>
  <c r="JR28" i="17"/>
  <c r="JW28" i="17" s="1"/>
  <c r="JP28" i="17"/>
  <c r="JO28" i="17"/>
  <c r="JN28" i="17"/>
  <c r="JM28" i="17"/>
  <c r="JL28" i="17"/>
  <c r="JQ28" i="17" s="1"/>
  <c r="JJ28" i="17"/>
  <c r="JI28" i="17"/>
  <c r="JH28" i="17"/>
  <c r="JG28" i="17"/>
  <c r="JF28" i="17"/>
  <c r="JK28" i="17" s="1"/>
  <c r="JE28" i="17"/>
  <c r="JD28" i="17"/>
  <c r="JC28" i="17"/>
  <c r="JB28" i="17"/>
  <c r="JA28" i="17"/>
  <c r="IY28" i="17"/>
  <c r="IX28" i="17"/>
  <c r="IW28" i="17"/>
  <c r="IV28" i="17"/>
  <c r="IU28" i="17"/>
  <c r="IZ28" i="17" s="1"/>
  <c r="GN28" i="17"/>
  <c r="MJ28" i="17" s="1"/>
  <c r="GM28" i="17"/>
  <c r="GL28" i="17"/>
  <c r="GH28" i="17"/>
  <c r="GG28" i="17"/>
  <c r="GF28" i="17"/>
  <c r="GE28" i="17"/>
  <c r="GD28" i="17"/>
  <c r="GC28" i="17"/>
  <c r="GB28" i="17"/>
  <c r="GA28" i="17"/>
  <c r="GI28" i="17" s="1"/>
  <c r="EW28" i="17" s="1"/>
  <c r="FY28" i="17"/>
  <c r="FX28" i="17"/>
  <c r="FW28" i="17"/>
  <c r="FV28" i="17"/>
  <c r="FU28" i="17"/>
  <c r="FT28" i="17"/>
  <c r="FS28" i="17"/>
  <c r="FR28" i="17"/>
  <c r="FZ28" i="17" s="1"/>
  <c r="EV28" i="17" s="1"/>
  <c r="FP28" i="17"/>
  <c r="FO28" i="17"/>
  <c r="LV28" i="17" s="1"/>
  <c r="FN28" i="17"/>
  <c r="FM28" i="17"/>
  <c r="FL28" i="17"/>
  <c r="FK28" i="17"/>
  <c r="FJ28" i="17"/>
  <c r="FI28" i="17"/>
  <c r="FQ28" i="17" s="1"/>
  <c r="EU28" i="17" s="1"/>
  <c r="EX28" i="17" s="1"/>
  <c r="FD28" i="17"/>
  <c r="FC28" i="17"/>
  <c r="FG28" i="17" s="1"/>
  <c r="EQ28" i="17"/>
  <c r="EP28" i="17"/>
  <c r="EO28" i="17"/>
  <c r="EN28" i="17"/>
  <c r="EM28" i="17"/>
  <c r="EL28" i="17"/>
  <c r="ER28" i="17" s="1"/>
  <c r="DT28" i="17" s="1"/>
  <c r="EJ28" i="17"/>
  <c r="EI28" i="17"/>
  <c r="EH28" i="17"/>
  <c r="EG28" i="17"/>
  <c r="EF28" i="17"/>
  <c r="EE28" i="17"/>
  <c r="EK28" i="17" s="1"/>
  <c r="DS28" i="17" s="1"/>
  <c r="EC28" i="17"/>
  <c r="EB28" i="17"/>
  <c r="EA28" i="17"/>
  <c r="DZ28" i="17"/>
  <c r="DY28" i="17"/>
  <c r="DX28" i="17"/>
  <c r="ED28" i="17" s="1"/>
  <c r="DR28" i="17" s="1"/>
  <c r="DU28" i="17" s="1"/>
  <c r="DN28" i="17"/>
  <c r="DM28" i="17"/>
  <c r="DL28" i="17"/>
  <c r="DK28" i="17"/>
  <c r="DJ28" i="17"/>
  <c r="DI28" i="17"/>
  <c r="DO28" i="17" s="1"/>
  <c r="DG28" i="17"/>
  <c r="DF28" i="17"/>
  <c r="DE28" i="17"/>
  <c r="DD28" i="17"/>
  <c r="DC28" i="17"/>
  <c r="DB28" i="17"/>
  <c r="DH28" i="17" s="1"/>
  <c r="CZ28" i="17"/>
  <c r="CY28" i="17"/>
  <c r="CX28" i="17"/>
  <c r="CW28" i="17"/>
  <c r="CV28" i="17"/>
  <c r="CU28" i="17"/>
  <c r="DA28" i="17" s="1"/>
  <c r="CS28" i="17"/>
  <c r="CK28" i="17" s="1"/>
  <c r="CR28" i="17"/>
  <c r="CJ28" i="17" s="1"/>
  <c r="CQ28" i="17"/>
  <c r="CI28" i="17" s="1"/>
  <c r="CP28" i="17"/>
  <c r="CH28" i="17" s="1"/>
  <c r="CO28" i="17"/>
  <c r="CG28" i="17" s="1"/>
  <c r="CN28" i="17"/>
  <c r="CA28" i="17"/>
  <c r="BZ28" i="17"/>
  <c r="BY28" i="17"/>
  <c r="BX28" i="17"/>
  <c r="BW28" i="17"/>
  <c r="CB28" i="17" s="1"/>
  <c r="BT28" i="17"/>
  <c r="BS28" i="17"/>
  <c r="S28" i="17" s="1"/>
  <c r="BQ28" i="17"/>
  <c r="BP28" i="17"/>
  <c r="BN28" i="17"/>
  <c r="BM28" i="17"/>
  <c r="BK28" i="17"/>
  <c r="BJ28" i="17"/>
  <c r="BH28" i="17"/>
  <c r="BG28" i="17"/>
  <c r="BE28" i="17"/>
  <c r="BD28" i="17"/>
  <c r="BB28" i="17"/>
  <c r="BA28" i="17"/>
  <c r="AY28" i="17"/>
  <c r="AX28" i="17"/>
  <c r="AV28" i="17"/>
  <c r="AU28" i="17"/>
  <c r="AS28" i="17"/>
  <c r="AR28" i="17"/>
  <c r="AP28" i="17"/>
  <c r="AO28" i="17"/>
  <c r="AM28" i="17"/>
  <c r="AL28" i="17"/>
  <c r="AJ28" i="17"/>
  <c r="AI28" i="17"/>
  <c r="AG28" i="17"/>
  <c r="AF28" i="17"/>
  <c r="NA27" i="17"/>
  <c r="MZ27" i="17"/>
  <c r="MY27" i="17"/>
  <c r="MX27" i="17"/>
  <c r="MW27" i="17"/>
  <c r="MV27" i="17"/>
  <c r="MT27" i="17"/>
  <c r="MS27" i="17"/>
  <c r="MR27" i="17"/>
  <c r="MQ27" i="17"/>
  <c r="MP27" i="17"/>
  <c r="MO27" i="17"/>
  <c r="MC27" i="17"/>
  <c r="MA27" i="17"/>
  <c r="LU27" i="17"/>
  <c r="LT27" i="17"/>
  <c r="MB27" i="17" s="1"/>
  <c r="LJ27" i="17"/>
  <c r="JV27" i="17"/>
  <c r="JU27" i="17"/>
  <c r="JT27" i="17"/>
  <c r="JS27" i="17"/>
  <c r="JR27" i="17"/>
  <c r="JW27" i="17" s="1"/>
  <c r="JP27" i="17"/>
  <c r="JO27" i="17"/>
  <c r="JN27" i="17"/>
  <c r="JM27" i="17"/>
  <c r="JL27" i="17"/>
  <c r="JQ27" i="17" s="1"/>
  <c r="JJ27" i="17"/>
  <c r="JI27" i="17"/>
  <c r="JH27" i="17"/>
  <c r="JG27" i="17"/>
  <c r="JF27" i="17"/>
  <c r="JE27" i="17"/>
  <c r="JD27" i="17"/>
  <c r="JC27" i="17"/>
  <c r="JB27" i="17"/>
  <c r="JA27" i="17"/>
  <c r="IY27" i="17"/>
  <c r="IX27" i="17"/>
  <c r="IW27" i="17"/>
  <c r="IV27" i="17"/>
  <c r="IU27" i="17"/>
  <c r="IZ27" i="17" s="1"/>
  <c r="GN27" i="17"/>
  <c r="GM27" i="17"/>
  <c r="GL27" i="17"/>
  <c r="MI27" i="17" s="1"/>
  <c r="GH27" i="17"/>
  <c r="GG27" i="17"/>
  <c r="GF27" i="17"/>
  <c r="GE27" i="17"/>
  <c r="GD27" i="17"/>
  <c r="GC27" i="17"/>
  <c r="GB27" i="17"/>
  <c r="GA27" i="17"/>
  <c r="GI27" i="17" s="1"/>
  <c r="EW27" i="17" s="1"/>
  <c r="FY27" i="17"/>
  <c r="FX27" i="17"/>
  <c r="FW27" i="17"/>
  <c r="FV27" i="17"/>
  <c r="FU27" i="17"/>
  <c r="FT27" i="17"/>
  <c r="FS27" i="17"/>
  <c r="FR27" i="17"/>
  <c r="FZ27" i="17" s="1"/>
  <c r="EV27" i="17" s="1"/>
  <c r="FP27" i="17"/>
  <c r="FO27" i="17"/>
  <c r="LV27" i="17" s="1"/>
  <c r="FN27" i="17"/>
  <c r="FM27" i="17"/>
  <c r="FL27" i="17"/>
  <c r="FK27" i="17"/>
  <c r="FJ27" i="17"/>
  <c r="FI27" i="17"/>
  <c r="FQ27" i="17" s="1"/>
  <c r="EU27" i="17" s="1"/>
  <c r="EX27" i="17" s="1"/>
  <c r="FD27" i="17"/>
  <c r="FC27" i="17"/>
  <c r="FG27" i="17" s="1"/>
  <c r="EQ27" i="17"/>
  <c r="EP27" i="17"/>
  <c r="EO27" i="17"/>
  <c r="EN27" i="17"/>
  <c r="EM27" i="17"/>
  <c r="EL27" i="17"/>
  <c r="ER27" i="17" s="1"/>
  <c r="DT27" i="17" s="1"/>
  <c r="EJ27" i="17"/>
  <c r="EI27" i="17"/>
  <c r="EH27" i="17"/>
  <c r="EG27" i="17"/>
  <c r="EF27" i="17"/>
  <c r="EE27" i="17"/>
  <c r="EK27" i="17" s="1"/>
  <c r="DS27" i="17" s="1"/>
  <c r="EC27" i="17"/>
  <c r="EB27" i="17"/>
  <c r="EA27" i="17"/>
  <c r="DZ27" i="17"/>
  <c r="DY27" i="17"/>
  <c r="DX27" i="17"/>
  <c r="ED27" i="17" s="1"/>
  <c r="DR27" i="17" s="1"/>
  <c r="DU27" i="17" s="1"/>
  <c r="DN27" i="17"/>
  <c r="DM27" i="17"/>
  <c r="DL27" i="17"/>
  <c r="DK27" i="17"/>
  <c r="DJ27" i="17"/>
  <c r="DI27" i="17"/>
  <c r="DO27" i="17" s="1"/>
  <c r="DG27" i="17"/>
  <c r="DF27" i="17"/>
  <c r="DE27" i="17"/>
  <c r="DD27" i="17"/>
  <c r="DC27" i="17"/>
  <c r="DB27" i="17"/>
  <c r="DH27" i="17" s="1"/>
  <c r="CZ27" i="17"/>
  <c r="CY27" i="17"/>
  <c r="CX27" i="17"/>
  <c r="CW27" i="17"/>
  <c r="CV27" i="17"/>
  <c r="CU27" i="17"/>
  <c r="DA27" i="17" s="1"/>
  <c r="CS27" i="17"/>
  <c r="CK27" i="17" s="1"/>
  <c r="CR27" i="17"/>
  <c r="CJ27" i="17" s="1"/>
  <c r="CQ27" i="17"/>
  <c r="CI27" i="17" s="1"/>
  <c r="CP27" i="17"/>
  <c r="CH27" i="17" s="1"/>
  <c r="CO27" i="17"/>
  <c r="CG27" i="17" s="1"/>
  <c r="CN27" i="17"/>
  <c r="CF27" i="17" s="1"/>
  <c r="CL27" i="17" s="1"/>
  <c r="CA27" i="17"/>
  <c r="BZ27" i="17"/>
  <c r="BY27" i="17"/>
  <c r="BX27" i="17"/>
  <c r="BW27" i="17"/>
  <c r="CB27" i="17" s="1"/>
  <c r="BT27" i="17"/>
  <c r="T27" i="17" s="1"/>
  <c r="BS27" i="17"/>
  <c r="S27" i="17" s="1"/>
  <c r="BQ27" i="17"/>
  <c r="BP27" i="17"/>
  <c r="BN27" i="17"/>
  <c r="BM27" i="17"/>
  <c r="BK27" i="17"/>
  <c r="BJ27" i="17"/>
  <c r="BA27" i="17"/>
  <c r="BH27" i="17"/>
  <c r="BG27" i="17"/>
  <c r="BE27" i="17"/>
  <c r="BD27" i="17"/>
  <c r="BB27" i="17"/>
  <c r="AY27" i="17"/>
  <c r="AX27" i="17"/>
  <c r="AV27" i="17"/>
  <c r="AU27" i="17"/>
  <c r="AS27" i="17"/>
  <c r="AR27" i="17"/>
  <c r="AP27" i="17"/>
  <c r="AO27" i="17"/>
  <c r="AM27" i="17"/>
  <c r="AL27" i="17"/>
  <c r="AI27" i="17"/>
  <c r="AJ27" i="17"/>
  <c r="AG27" i="17"/>
  <c r="AF27" i="17"/>
  <c r="NA26" i="17"/>
  <c r="MZ26" i="17"/>
  <c r="MY26" i="17"/>
  <c r="MX26" i="17"/>
  <c r="MW26" i="17"/>
  <c r="MV26" i="17"/>
  <c r="MT26" i="17"/>
  <c r="MS26" i="17"/>
  <c r="MR26" i="17"/>
  <c r="MQ26" i="17"/>
  <c r="MP26" i="17"/>
  <c r="MO26" i="17"/>
  <c r="MC26" i="17"/>
  <c r="MA26" i="17"/>
  <c r="LU26" i="17"/>
  <c r="LT26" i="17"/>
  <c r="MB26" i="17" s="1"/>
  <c r="LJ26" i="17"/>
  <c r="JV26" i="17"/>
  <c r="JU26" i="17"/>
  <c r="JT26" i="17"/>
  <c r="JS26" i="17"/>
  <c r="JR26" i="17"/>
  <c r="JW26" i="17" s="1"/>
  <c r="JP26" i="17"/>
  <c r="JO26" i="17"/>
  <c r="JN26" i="17"/>
  <c r="JM26" i="17"/>
  <c r="JL26" i="17"/>
  <c r="JQ26" i="17" s="1"/>
  <c r="JJ26" i="17"/>
  <c r="JI26" i="17"/>
  <c r="JH26" i="17"/>
  <c r="JG26" i="17"/>
  <c r="JF26" i="17"/>
  <c r="JK26" i="17" s="1"/>
  <c r="JE26" i="17"/>
  <c r="JD26" i="17"/>
  <c r="JC26" i="17"/>
  <c r="JB26" i="17"/>
  <c r="JA26" i="17"/>
  <c r="IY26" i="17"/>
  <c r="IX26" i="17"/>
  <c r="IW26" i="17"/>
  <c r="IV26" i="17"/>
  <c r="IU26" i="17"/>
  <c r="IZ26" i="17" s="1"/>
  <c r="GN26" i="17"/>
  <c r="MJ26" i="17" s="1"/>
  <c r="GM26" i="17"/>
  <c r="GL26" i="17"/>
  <c r="MI26" i="17" s="1"/>
  <c r="GH26" i="17"/>
  <c r="GG26" i="17"/>
  <c r="GF26" i="17"/>
  <c r="GE26" i="17"/>
  <c r="GD26" i="17"/>
  <c r="GC26" i="17"/>
  <c r="GB26" i="17"/>
  <c r="GA26" i="17"/>
  <c r="GI26" i="17" s="1"/>
  <c r="EW26" i="17" s="1"/>
  <c r="FY26" i="17"/>
  <c r="FX26" i="17"/>
  <c r="FW26" i="17"/>
  <c r="FV26" i="17"/>
  <c r="FU26" i="17"/>
  <c r="FT26" i="17"/>
  <c r="FS26" i="17"/>
  <c r="FR26" i="17"/>
  <c r="FZ26" i="17" s="1"/>
  <c r="EV26" i="17" s="1"/>
  <c r="FP26" i="17"/>
  <c r="FO26" i="17"/>
  <c r="LV26" i="17" s="1"/>
  <c r="FN26" i="17"/>
  <c r="FM26" i="17"/>
  <c r="FL26" i="17"/>
  <c r="FK26" i="17"/>
  <c r="FJ26" i="17"/>
  <c r="FI26" i="17"/>
  <c r="FQ26" i="17" s="1"/>
  <c r="EU26" i="17" s="1"/>
  <c r="EX26" i="17" s="1"/>
  <c r="FD26" i="17"/>
  <c r="FC26" i="17"/>
  <c r="FG26" i="17" s="1"/>
  <c r="EQ26" i="17"/>
  <c r="EP26" i="17"/>
  <c r="EO26" i="17"/>
  <c r="EN26" i="17"/>
  <c r="EM26" i="17"/>
  <c r="EL26" i="17"/>
  <c r="ER26" i="17" s="1"/>
  <c r="DT26" i="17" s="1"/>
  <c r="EJ26" i="17"/>
  <c r="EI26" i="17"/>
  <c r="EH26" i="17"/>
  <c r="EG26" i="17"/>
  <c r="EF26" i="17"/>
  <c r="EE26" i="17"/>
  <c r="EK26" i="17" s="1"/>
  <c r="DS26" i="17" s="1"/>
  <c r="EC26" i="17"/>
  <c r="EB26" i="17"/>
  <c r="EA26" i="17"/>
  <c r="DZ26" i="17"/>
  <c r="DY26" i="17"/>
  <c r="DX26" i="17"/>
  <c r="ED26" i="17" s="1"/>
  <c r="DR26" i="17" s="1"/>
  <c r="DU26" i="17" s="1"/>
  <c r="DN26" i="17"/>
  <c r="DM26" i="17"/>
  <c r="DL26" i="17"/>
  <c r="DK26" i="17"/>
  <c r="DJ26" i="17"/>
  <c r="DI26" i="17"/>
  <c r="DO26" i="17" s="1"/>
  <c r="DG26" i="17"/>
  <c r="DF26" i="17"/>
  <c r="DE26" i="17"/>
  <c r="DD26" i="17"/>
  <c r="DC26" i="17"/>
  <c r="DB26" i="17"/>
  <c r="DH26" i="17" s="1"/>
  <c r="CZ26" i="17"/>
  <c r="CY26" i="17"/>
  <c r="CX26" i="17"/>
  <c r="CW26" i="17"/>
  <c r="CV26" i="17"/>
  <c r="CU26" i="17"/>
  <c r="DA26" i="17" s="1"/>
  <c r="CS26" i="17"/>
  <c r="CK26" i="17" s="1"/>
  <c r="CR26" i="17"/>
  <c r="CJ26" i="17" s="1"/>
  <c r="CQ26" i="17"/>
  <c r="CI26" i="17" s="1"/>
  <c r="CP26" i="17"/>
  <c r="CH26" i="17" s="1"/>
  <c r="CO26" i="17"/>
  <c r="CG26" i="17" s="1"/>
  <c r="CN26" i="17"/>
  <c r="CA26" i="17"/>
  <c r="BZ26" i="17"/>
  <c r="BY26" i="17"/>
  <c r="BX26" i="17"/>
  <c r="BW26" i="17"/>
  <c r="CB26" i="17" s="1"/>
  <c r="BT26" i="17"/>
  <c r="T26" i="17" s="1"/>
  <c r="BS26" i="17"/>
  <c r="S26" i="17" s="1"/>
  <c r="BQ26" i="17"/>
  <c r="BP26" i="17"/>
  <c r="BN26" i="17"/>
  <c r="BM26" i="17"/>
  <c r="BK26" i="17"/>
  <c r="BB26" i="17"/>
  <c r="BA26" i="17"/>
  <c r="BJ26" i="17"/>
  <c r="BH26" i="17"/>
  <c r="BG26" i="17"/>
  <c r="BE26" i="17"/>
  <c r="BD26" i="17"/>
  <c r="AY26" i="17"/>
  <c r="AX26" i="17"/>
  <c r="AV26" i="17"/>
  <c r="AU26" i="17"/>
  <c r="AS26" i="17"/>
  <c r="AR26" i="17"/>
  <c r="AP26" i="17"/>
  <c r="AO26" i="17"/>
  <c r="AM26" i="17"/>
  <c r="AL26" i="17"/>
  <c r="AJ26" i="17"/>
  <c r="AI26" i="17"/>
  <c r="AG26" i="17"/>
  <c r="AF26" i="17"/>
  <c r="NA25" i="17"/>
  <c r="MZ25" i="17"/>
  <c r="MY25" i="17"/>
  <c r="MX25" i="17"/>
  <c r="MW25" i="17"/>
  <c r="MV25" i="17"/>
  <c r="MT25" i="17"/>
  <c r="MS25" i="17"/>
  <c r="MR25" i="17"/>
  <c r="MQ25" i="17"/>
  <c r="MP25" i="17"/>
  <c r="MO25" i="17"/>
  <c r="MC25" i="17"/>
  <c r="MA25" i="17"/>
  <c r="LU25" i="17"/>
  <c r="LT25" i="17"/>
  <c r="MB25" i="17" s="1"/>
  <c r="LJ25" i="17"/>
  <c r="JV25" i="17"/>
  <c r="JU25" i="17"/>
  <c r="JT25" i="17"/>
  <c r="JS25" i="17"/>
  <c r="JR25" i="17"/>
  <c r="JW25" i="17" s="1"/>
  <c r="JP25" i="17"/>
  <c r="JO25" i="17"/>
  <c r="JN25" i="17"/>
  <c r="JM25" i="17"/>
  <c r="JL25" i="17"/>
  <c r="JQ25" i="17" s="1"/>
  <c r="JJ25" i="17"/>
  <c r="JI25" i="17"/>
  <c r="JH25" i="17"/>
  <c r="JG25" i="17"/>
  <c r="JF25" i="17"/>
  <c r="JK25" i="17" s="1"/>
  <c r="JE25" i="17"/>
  <c r="JD25" i="17"/>
  <c r="JC25" i="17"/>
  <c r="JB25" i="17"/>
  <c r="JA25" i="17"/>
  <c r="IY25" i="17"/>
  <c r="IX25" i="17"/>
  <c r="IW25" i="17"/>
  <c r="IV25" i="17"/>
  <c r="IU25" i="17"/>
  <c r="IZ25" i="17" s="1"/>
  <c r="GN25" i="17"/>
  <c r="GM25" i="17"/>
  <c r="GL25" i="17"/>
  <c r="MI25" i="17" s="1"/>
  <c r="GH25" i="17"/>
  <c r="GG25" i="17"/>
  <c r="GF25" i="17"/>
  <c r="GE25" i="17"/>
  <c r="GD25" i="17"/>
  <c r="GC25" i="17"/>
  <c r="GB25" i="17"/>
  <c r="GA25" i="17"/>
  <c r="GI25" i="17" s="1"/>
  <c r="EW25" i="17" s="1"/>
  <c r="FY25" i="17"/>
  <c r="FX25" i="17"/>
  <c r="FW25" i="17"/>
  <c r="FV25" i="17"/>
  <c r="FU25" i="17"/>
  <c r="FT25" i="17"/>
  <c r="FS25" i="17"/>
  <c r="FR25" i="17"/>
  <c r="FZ25" i="17" s="1"/>
  <c r="EV25" i="17" s="1"/>
  <c r="FP25" i="17"/>
  <c r="FO25" i="17"/>
  <c r="LV25" i="17" s="1"/>
  <c r="FN25" i="17"/>
  <c r="FM25" i="17"/>
  <c r="FL25" i="17"/>
  <c r="FK25" i="17"/>
  <c r="FJ25" i="17"/>
  <c r="FI25" i="17"/>
  <c r="FQ25" i="17" s="1"/>
  <c r="EU25" i="17" s="1"/>
  <c r="EX25" i="17" s="1"/>
  <c r="FD25" i="17"/>
  <c r="FC25" i="17"/>
  <c r="FG25" i="17" s="1"/>
  <c r="EQ25" i="17"/>
  <c r="EP25" i="17"/>
  <c r="EO25" i="17"/>
  <c r="EN25" i="17"/>
  <c r="EM25" i="17"/>
  <c r="EL25" i="17"/>
  <c r="ER25" i="17" s="1"/>
  <c r="DT25" i="17" s="1"/>
  <c r="EJ25" i="17"/>
  <c r="EI25" i="17"/>
  <c r="EH25" i="17"/>
  <c r="EG25" i="17"/>
  <c r="EF25" i="17"/>
  <c r="EE25" i="17"/>
  <c r="EK25" i="17" s="1"/>
  <c r="DS25" i="17" s="1"/>
  <c r="EC25" i="17"/>
  <c r="EB25" i="17"/>
  <c r="EA25" i="17"/>
  <c r="DZ25" i="17"/>
  <c r="DY25" i="17"/>
  <c r="DX25" i="17"/>
  <c r="ED25" i="17" s="1"/>
  <c r="DR25" i="17" s="1"/>
  <c r="DU25" i="17" s="1"/>
  <c r="DN25" i="17"/>
  <c r="DM25" i="17"/>
  <c r="DL25" i="17"/>
  <c r="DK25" i="17"/>
  <c r="DJ25" i="17"/>
  <c r="DI25" i="17"/>
  <c r="DO25" i="17" s="1"/>
  <c r="DG25" i="17"/>
  <c r="DF25" i="17"/>
  <c r="DE25" i="17"/>
  <c r="DD25" i="17"/>
  <c r="DC25" i="17"/>
  <c r="DB25" i="17"/>
  <c r="DH25" i="17" s="1"/>
  <c r="CZ25" i="17"/>
  <c r="CY25" i="17"/>
  <c r="CX25" i="17"/>
  <c r="CW25" i="17"/>
  <c r="CV25" i="17"/>
  <c r="CU25" i="17"/>
  <c r="DA25" i="17" s="1"/>
  <c r="CS25" i="17"/>
  <c r="CK25" i="17" s="1"/>
  <c r="CR25" i="17"/>
  <c r="CJ25" i="17" s="1"/>
  <c r="CQ25" i="17"/>
  <c r="CI25" i="17" s="1"/>
  <c r="CP25" i="17"/>
  <c r="CH25" i="17" s="1"/>
  <c r="CO25" i="17"/>
  <c r="CG25" i="17" s="1"/>
  <c r="CN25" i="17"/>
  <c r="CA25" i="17"/>
  <c r="BZ25" i="17"/>
  <c r="BY25" i="17"/>
  <c r="BX25" i="17"/>
  <c r="BW25" i="17"/>
  <c r="CB25" i="17" s="1"/>
  <c r="BT25" i="17"/>
  <c r="BS25" i="17"/>
  <c r="S25" i="17" s="1"/>
  <c r="BQ25" i="17"/>
  <c r="BP25" i="17"/>
  <c r="BN25" i="17"/>
  <c r="BM25" i="17"/>
  <c r="BK25" i="17"/>
  <c r="BJ25" i="17"/>
  <c r="BH25" i="17"/>
  <c r="BG25" i="17"/>
  <c r="BE25" i="17"/>
  <c r="BD25" i="17"/>
  <c r="BB25" i="17"/>
  <c r="BA25" i="17"/>
  <c r="AY25" i="17"/>
  <c r="AX25" i="17"/>
  <c r="AV25" i="17"/>
  <c r="AU25" i="17"/>
  <c r="AS25" i="17"/>
  <c r="AR25" i="17"/>
  <c r="AP25" i="17"/>
  <c r="AO25" i="17"/>
  <c r="AM25" i="17"/>
  <c r="AL25" i="17"/>
  <c r="AJ25" i="17"/>
  <c r="AI25" i="17"/>
  <c r="AG25" i="17"/>
  <c r="AF25" i="17"/>
  <c r="NA24" i="17"/>
  <c r="MZ24" i="17"/>
  <c r="MY24" i="17"/>
  <c r="MX24" i="17"/>
  <c r="MW24" i="17"/>
  <c r="MV24" i="17"/>
  <c r="MT24" i="17"/>
  <c r="MS24" i="17"/>
  <c r="MR24" i="17"/>
  <c r="MQ24" i="17"/>
  <c r="MP24" i="17"/>
  <c r="MO24" i="17"/>
  <c r="MC24" i="17"/>
  <c r="MA24" i="17"/>
  <c r="LU24" i="17"/>
  <c r="LT24" i="17"/>
  <c r="MB24" i="17" s="1"/>
  <c r="LJ24" i="17"/>
  <c r="JV24" i="17"/>
  <c r="JU24" i="17"/>
  <c r="JT24" i="17"/>
  <c r="JS24" i="17"/>
  <c r="JR24" i="17"/>
  <c r="JW24" i="17" s="1"/>
  <c r="JP24" i="17"/>
  <c r="JO24" i="17"/>
  <c r="JN24" i="17"/>
  <c r="JM24" i="17"/>
  <c r="JL24" i="17"/>
  <c r="JQ24" i="17" s="1"/>
  <c r="JJ24" i="17"/>
  <c r="JI24" i="17"/>
  <c r="JH24" i="17"/>
  <c r="JG24" i="17"/>
  <c r="JF24" i="17"/>
  <c r="JE24" i="17"/>
  <c r="JD24" i="17"/>
  <c r="JC24" i="17"/>
  <c r="JB24" i="17"/>
  <c r="JA24" i="17"/>
  <c r="IY24" i="17"/>
  <c r="IX24" i="17"/>
  <c r="IW24" i="17"/>
  <c r="IV24" i="17"/>
  <c r="IU24" i="17"/>
  <c r="IZ24" i="17" s="1"/>
  <c r="GN24" i="17"/>
  <c r="MJ24" i="17" s="1"/>
  <c r="GM24" i="17"/>
  <c r="GL24" i="17"/>
  <c r="MI24" i="17" s="1"/>
  <c r="GH24" i="17"/>
  <c r="GG24" i="17"/>
  <c r="GF24" i="17"/>
  <c r="GE24" i="17"/>
  <c r="GD24" i="17"/>
  <c r="GC24" i="17"/>
  <c r="GB24" i="17"/>
  <c r="GA24" i="17"/>
  <c r="GI24" i="17" s="1"/>
  <c r="EW24" i="17" s="1"/>
  <c r="FY24" i="17"/>
  <c r="FX24" i="17"/>
  <c r="FW24" i="17"/>
  <c r="FV24" i="17"/>
  <c r="FU24" i="17"/>
  <c r="FT24" i="17"/>
  <c r="FS24" i="17"/>
  <c r="FR24" i="17"/>
  <c r="FZ24" i="17" s="1"/>
  <c r="EV24" i="17" s="1"/>
  <c r="FP24" i="17"/>
  <c r="FO24" i="17"/>
  <c r="LV24" i="17" s="1"/>
  <c r="FN24" i="17"/>
  <c r="FM24" i="17"/>
  <c r="FL24" i="17"/>
  <c r="FK24" i="17"/>
  <c r="FJ24" i="17"/>
  <c r="FI24" i="17"/>
  <c r="FQ24" i="17" s="1"/>
  <c r="EU24" i="17" s="1"/>
  <c r="EX24" i="17" s="1"/>
  <c r="FD24" i="17"/>
  <c r="FC24" i="17"/>
  <c r="FG24" i="17" s="1"/>
  <c r="EQ24" i="17"/>
  <c r="EP24" i="17"/>
  <c r="EO24" i="17"/>
  <c r="EN24" i="17"/>
  <c r="EM24" i="17"/>
  <c r="EL24" i="17"/>
  <c r="ER24" i="17" s="1"/>
  <c r="DT24" i="17" s="1"/>
  <c r="EJ24" i="17"/>
  <c r="EI24" i="17"/>
  <c r="EH24" i="17"/>
  <c r="EG24" i="17"/>
  <c r="EF24" i="17"/>
  <c r="EE24" i="17"/>
  <c r="EK24" i="17" s="1"/>
  <c r="DS24" i="17" s="1"/>
  <c r="EC24" i="17"/>
  <c r="EB24" i="17"/>
  <c r="EA24" i="17"/>
  <c r="DZ24" i="17"/>
  <c r="DY24" i="17"/>
  <c r="DX24" i="17"/>
  <c r="ED24" i="17" s="1"/>
  <c r="DR24" i="17" s="1"/>
  <c r="DU24" i="17" s="1"/>
  <c r="DN24" i="17"/>
  <c r="DM24" i="17"/>
  <c r="DL24" i="17"/>
  <c r="DK24" i="17"/>
  <c r="DJ24" i="17"/>
  <c r="DI24" i="17"/>
  <c r="DO24" i="17" s="1"/>
  <c r="DG24" i="17"/>
  <c r="DF24" i="17"/>
  <c r="DE24" i="17"/>
  <c r="DD24" i="17"/>
  <c r="DC24" i="17"/>
  <c r="DB24" i="17"/>
  <c r="DH24" i="17" s="1"/>
  <c r="CZ24" i="17"/>
  <c r="CY24" i="17"/>
  <c r="CX24" i="17"/>
  <c r="CW24" i="17"/>
  <c r="CV24" i="17"/>
  <c r="CU24" i="17"/>
  <c r="DA24" i="17" s="1"/>
  <c r="CS24" i="17"/>
  <c r="CK24" i="17" s="1"/>
  <c r="CR24" i="17"/>
  <c r="CJ24" i="17" s="1"/>
  <c r="CQ24" i="17"/>
  <c r="CI24" i="17" s="1"/>
  <c r="CP24" i="17"/>
  <c r="CH24" i="17" s="1"/>
  <c r="CO24" i="17"/>
  <c r="CG24" i="17" s="1"/>
  <c r="CN24" i="17"/>
  <c r="CT24" i="17" s="1"/>
  <c r="CA24" i="17"/>
  <c r="BZ24" i="17"/>
  <c r="BY24" i="17"/>
  <c r="BX24" i="17"/>
  <c r="BW24" i="17"/>
  <c r="CB24" i="17" s="1"/>
  <c r="BT24" i="17"/>
  <c r="T24" i="17" s="1"/>
  <c r="BS24" i="17"/>
  <c r="S24" i="17" s="1"/>
  <c r="BQ24" i="17"/>
  <c r="BP24" i="17"/>
  <c r="BN24" i="17"/>
  <c r="BM24" i="17"/>
  <c r="BK24" i="17"/>
  <c r="BB24" i="17"/>
  <c r="BJ24" i="17"/>
  <c r="BH24" i="17"/>
  <c r="BG24" i="17"/>
  <c r="BE24" i="17"/>
  <c r="BD24" i="17"/>
  <c r="BA24" i="17"/>
  <c r="AY24" i="17"/>
  <c r="AX24" i="17"/>
  <c r="AV24" i="17"/>
  <c r="AU24" i="17"/>
  <c r="AS24" i="17"/>
  <c r="AR24" i="17"/>
  <c r="AP24" i="17"/>
  <c r="AO24" i="17"/>
  <c r="AM24" i="17"/>
  <c r="AL24" i="17"/>
  <c r="AJ24" i="17"/>
  <c r="AI24" i="17"/>
  <c r="AG24" i="17"/>
  <c r="AF24" i="17"/>
  <c r="NA23" i="17"/>
  <c r="MZ23" i="17"/>
  <c r="MY23" i="17"/>
  <c r="MX23" i="17"/>
  <c r="MW23" i="17"/>
  <c r="MV23" i="17"/>
  <c r="MT23" i="17"/>
  <c r="MS23" i="17"/>
  <c r="MR23" i="17"/>
  <c r="MQ23" i="17"/>
  <c r="MP23" i="17"/>
  <c r="MO23" i="17"/>
  <c r="MC23" i="17"/>
  <c r="MA23" i="17"/>
  <c r="LU23" i="17"/>
  <c r="LT23" i="17"/>
  <c r="MB23" i="17" s="1"/>
  <c r="LJ23" i="17"/>
  <c r="JV23" i="17"/>
  <c r="JU23" i="17"/>
  <c r="JT23" i="17"/>
  <c r="JS23" i="17"/>
  <c r="JR23" i="17"/>
  <c r="JW23" i="17" s="1"/>
  <c r="JP23" i="17"/>
  <c r="JO23" i="17"/>
  <c r="JN23" i="17"/>
  <c r="JM23" i="17"/>
  <c r="JL23" i="17"/>
  <c r="JQ23" i="17" s="1"/>
  <c r="JJ23" i="17"/>
  <c r="JI23" i="17"/>
  <c r="JH23" i="17"/>
  <c r="JG23" i="17"/>
  <c r="JF23" i="17"/>
  <c r="JK23" i="17" s="1"/>
  <c r="JE23" i="17"/>
  <c r="JD23" i="17"/>
  <c r="JC23" i="17"/>
  <c r="JB23" i="17"/>
  <c r="JA23" i="17"/>
  <c r="IY23" i="17"/>
  <c r="IX23" i="17"/>
  <c r="IW23" i="17"/>
  <c r="IV23" i="17"/>
  <c r="IU23" i="17"/>
  <c r="IZ23" i="17" s="1"/>
  <c r="GN23" i="17"/>
  <c r="MJ23" i="17" s="1"/>
  <c r="GM23" i="17"/>
  <c r="GL23" i="17"/>
  <c r="GH23" i="17"/>
  <c r="GG23" i="17"/>
  <c r="GF23" i="17"/>
  <c r="GE23" i="17"/>
  <c r="GD23" i="17"/>
  <c r="GC23" i="17"/>
  <c r="GB23" i="17"/>
  <c r="GA23" i="17"/>
  <c r="GI23" i="17" s="1"/>
  <c r="EW23" i="17" s="1"/>
  <c r="FY23" i="17"/>
  <c r="FP23" i="17"/>
  <c r="FX23" i="17"/>
  <c r="FW23" i="17"/>
  <c r="FV23" i="17"/>
  <c r="FU23" i="17"/>
  <c r="FT23" i="17"/>
  <c r="FS23" i="17"/>
  <c r="FR23" i="17"/>
  <c r="FZ23" i="17" s="1"/>
  <c r="EV23" i="17" s="1"/>
  <c r="FO23" i="17"/>
  <c r="LV23" i="17" s="1"/>
  <c r="FN23" i="17"/>
  <c r="FM23" i="17"/>
  <c r="FL23" i="17"/>
  <c r="FK23" i="17"/>
  <c r="FJ23" i="17"/>
  <c r="FI23" i="17"/>
  <c r="FQ23" i="17" s="1"/>
  <c r="EU23" i="17" s="1"/>
  <c r="EX23" i="17" s="1"/>
  <c r="FD23" i="17"/>
  <c r="FC23" i="17"/>
  <c r="FG23" i="17" s="1"/>
  <c r="EQ23" i="17"/>
  <c r="EP23" i="17"/>
  <c r="EO23" i="17"/>
  <c r="EN23" i="17"/>
  <c r="EM23" i="17"/>
  <c r="EL23" i="17"/>
  <c r="ER23" i="17" s="1"/>
  <c r="DT23" i="17" s="1"/>
  <c r="EJ23" i="17"/>
  <c r="EI23" i="17"/>
  <c r="EH23" i="17"/>
  <c r="EG23" i="17"/>
  <c r="EF23" i="17"/>
  <c r="EE23" i="17"/>
  <c r="EK23" i="17" s="1"/>
  <c r="DS23" i="17" s="1"/>
  <c r="EC23" i="17"/>
  <c r="EB23" i="17"/>
  <c r="EA23" i="17"/>
  <c r="DZ23" i="17"/>
  <c r="DY23" i="17"/>
  <c r="DX23" i="17"/>
  <c r="ED23" i="17" s="1"/>
  <c r="DR23" i="17" s="1"/>
  <c r="DU23" i="17" s="1"/>
  <c r="DN23" i="17"/>
  <c r="DM23" i="17"/>
  <c r="DL23" i="17"/>
  <c r="DK23" i="17"/>
  <c r="DJ23" i="17"/>
  <c r="DI23" i="17"/>
  <c r="DO23" i="17" s="1"/>
  <c r="DG23" i="17"/>
  <c r="DF23" i="17"/>
  <c r="DE23" i="17"/>
  <c r="DD23" i="17"/>
  <c r="DC23" i="17"/>
  <c r="DB23" i="17"/>
  <c r="DH23" i="17" s="1"/>
  <c r="CZ23" i="17"/>
  <c r="CY23" i="17"/>
  <c r="CX23" i="17"/>
  <c r="CW23" i="17"/>
  <c r="CV23" i="17"/>
  <c r="CU23" i="17"/>
  <c r="DA23" i="17" s="1"/>
  <c r="CS23" i="17"/>
  <c r="CK23" i="17" s="1"/>
  <c r="CR23" i="17"/>
  <c r="CJ23" i="17" s="1"/>
  <c r="CQ23" i="17"/>
  <c r="CI23" i="17" s="1"/>
  <c r="CP23" i="17"/>
  <c r="CH23" i="17" s="1"/>
  <c r="CO23" i="17"/>
  <c r="CG23" i="17" s="1"/>
  <c r="CN23" i="17"/>
  <c r="CF23" i="17" s="1"/>
  <c r="CL23" i="17" s="1"/>
  <c r="CA23" i="17"/>
  <c r="BZ23" i="17"/>
  <c r="BY23" i="17"/>
  <c r="BX23" i="17"/>
  <c r="BW23" i="17"/>
  <c r="CB23" i="17" s="1"/>
  <c r="BT23" i="17"/>
  <c r="T23" i="17" s="1"/>
  <c r="BS23" i="17"/>
  <c r="S23" i="17" s="1"/>
  <c r="BQ23" i="17"/>
  <c r="BP23" i="17"/>
  <c r="BN23" i="17"/>
  <c r="BM23" i="17"/>
  <c r="BK23" i="17"/>
  <c r="BJ23" i="17"/>
  <c r="BH23" i="17"/>
  <c r="BG23" i="17"/>
  <c r="BE23" i="17"/>
  <c r="BD23" i="17"/>
  <c r="BB23" i="17"/>
  <c r="BA23" i="17"/>
  <c r="AX23" i="17"/>
  <c r="AY23" i="17"/>
  <c r="AV23" i="17"/>
  <c r="AU23" i="17"/>
  <c r="AS23" i="17"/>
  <c r="AR23" i="17"/>
  <c r="AP23" i="17"/>
  <c r="AO23" i="17"/>
  <c r="AM23" i="17"/>
  <c r="AL23" i="17"/>
  <c r="AJ23" i="17"/>
  <c r="AI23" i="17"/>
  <c r="AG23" i="17"/>
  <c r="AF23" i="17"/>
  <c r="NA22" i="17"/>
  <c r="MZ22" i="17"/>
  <c r="MY22" i="17"/>
  <c r="MX22" i="17"/>
  <c r="MW22" i="17"/>
  <c r="MV22" i="17"/>
  <c r="MT22" i="17"/>
  <c r="MS22" i="17"/>
  <c r="MR22" i="17"/>
  <c r="MQ22" i="17"/>
  <c r="MP22" i="17"/>
  <c r="MO22" i="17"/>
  <c r="MC22" i="17"/>
  <c r="MA22" i="17"/>
  <c r="LU22" i="17"/>
  <c r="LT22" i="17"/>
  <c r="MB22" i="17" s="1"/>
  <c r="LJ22" i="17"/>
  <c r="JV22" i="17"/>
  <c r="JU22" i="17"/>
  <c r="JT22" i="17"/>
  <c r="JS22" i="17"/>
  <c r="JR22" i="17"/>
  <c r="JP22" i="17"/>
  <c r="JO22" i="17"/>
  <c r="JN22" i="17"/>
  <c r="JM22" i="17"/>
  <c r="JL22" i="17"/>
  <c r="JQ22" i="17" s="1"/>
  <c r="JJ22" i="17"/>
  <c r="JI22" i="17"/>
  <c r="JH22" i="17"/>
  <c r="JG22" i="17"/>
  <c r="JF22" i="17"/>
  <c r="JK22" i="17" s="1"/>
  <c r="JE22" i="17"/>
  <c r="JD22" i="17"/>
  <c r="JC22" i="17"/>
  <c r="JB22" i="17"/>
  <c r="JA22" i="17"/>
  <c r="IY22" i="17"/>
  <c r="IX22" i="17"/>
  <c r="IW22" i="17"/>
  <c r="IV22" i="17"/>
  <c r="IU22" i="17"/>
  <c r="IZ22" i="17" s="1"/>
  <c r="GN22" i="17"/>
  <c r="GM22" i="17"/>
  <c r="GL22" i="17"/>
  <c r="MI22" i="17" s="1"/>
  <c r="GH22" i="17"/>
  <c r="GG22" i="17"/>
  <c r="GF22" i="17"/>
  <c r="GE22" i="17"/>
  <c r="GD22" i="17"/>
  <c r="GC22" i="17"/>
  <c r="GB22" i="17"/>
  <c r="GA22" i="17"/>
  <c r="GI22" i="17" s="1"/>
  <c r="EW22" i="17" s="1"/>
  <c r="FY22" i="17"/>
  <c r="FP22" i="17"/>
  <c r="FX22" i="17"/>
  <c r="FW22" i="17"/>
  <c r="FV22" i="17"/>
  <c r="FU22" i="17"/>
  <c r="FT22" i="17"/>
  <c r="FS22" i="17"/>
  <c r="FR22" i="17"/>
  <c r="FZ22" i="17" s="1"/>
  <c r="EV22" i="17" s="1"/>
  <c r="FO22" i="17"/>
  <c r="LV22" i="17" s="1"/>
  <c r="FN22" i="17"/>
  <c r="FM22" i="17"/>
  <c r="FL22" i="17"/>
  <c r="FK22" i="17"/>
  <c r="FJ22" i="17"/>
  <c r="FI22" i="17"/>
  <c r="FQ22" i="17" s="1"/>
  <c r="EU22" i="17" s="1"/>
  <c r="EX22" i="17" s="1"/>
  <c r="FD22" i="17"/>
  <c r="FC22" i="17"/>
  <c r="FG22" i="17" s="1"/>
  <c r="EQ22" i="17"/>
  <c r="EP22" i="17"/>
  <c r="EO22" i="17"/>
  <c r="EN22" i="17"/>
  <c r="EM22" i="17"/>
  <c r="EL22" i="17"/>
  <c r="ER22" i="17" s="1"/>
  <c r="DT22" i="17" s="1"/>
  <c r="EJ22" i="17"/>
  <c r="EI22" i="17"/>
  <c r="EH22" i="17"/>
  <c r="EG22" i="17"/>
  <c r="EF22" i="17"/>
  <c r="EE22" i="17"/>
  <c r="EK22" i="17" s="1"/>
  <c r="DS22" i="17" s="1"/>
  <c r="EC22" i="17"/>
  <c r="EB22" i="17"/>
  <c r="EA22" i="17"/>
  <c r="DZ22" i="17"/>
  <c r="DY22" i="17"/>
  <c r="DX22" i="17"/>
  <c r="ED22" i="17" s="1"/>
  <c r="DR22" i="17" s="1"/>
  <c r="DU22" i="17" s="1"/>
  <c r="DN22" i="17"/>
  <c r="DM22" i="17"/>
  <c r="DL22" i="17"/>
  <c r="DK22" i="17"/>
  <c r="DJ22" i="17"/>
  <c r="DI22" i="17"/>
  <c r="DO22" i="17" s="1"/>
  <c r="DG22" i="17"/>
  <c r="DF22" i="17"/>
  <c r="DE22" i="17"/>
  <c r="DD22" i="17"/>
  <c r="DC22" i="17"/>
  <c r="DB22" i="17"/>
  <c r="DH22" i="17" s="1"/>
  <c r="CZ22" i="17"/>
  <c r="CY22" i="17"/>
  <c r="CX22" i="17"/>
  <c r="CW22" i="17"/>
  <c r="CV22" i="17"/>
  <c r="CU22" i="17"/>
  <c r="DA22" i="17" s="1"/>
  <c r="CS22" i="17"/>
  <c r="CK22" i="17" s="1"/>
  <c r="CR22" i="17"/>
  <c r="CJ22" i="17" s="1"/>
  <c r="CQ22" i="17"/>
  <c r="CI22" i="17" s="1"/>
  <c r="CP22" i="17"/>
  <c r="CH22" i="17" s="1"/>
  <c r="CO22" i="17"/>
  <c r="CG22" i="17" s="1"/>
  <c r="CN22" i="17"/>
  <c r="CF22" i="17" s="1"/>
  <c r="CL22" i="17" s="1"/>
  <c r="CA22" i="17"/>
  <c r="BZ22" i="17"/>
  <c r="BY22" i="17"/>
  <c r="BX22" i="17"/>
  <c r="BW22" i="17"/>
  <c r="CB22" i="17" s="1"/>
  <c r="BT22" i="17"/>
  <c r="T22" i="17" s="1"/>
  <c r="BS22" i="17"/>
  <c r="S22" i="17" s="1"/>
  <c r="BQ22" i="17"/>
  <c r="BP22" i="17"/>
  <c r="BN22" i="17"/>
  <c r="BM22" i="17"/>
  <c r="BK22" i="17"/>
  <c r="BJ22" i="17"/>
  <c r="BH22" i="17"/>
  <c r="BG22" i="17"/>
  <c r="BE22" i="17"/>
  <c r="BD22" i="17"/>
  <c r="BB22" i="17"/>
  <c r="BA22" i="17"/>
  <c r="AY22" i="17"/>
  <c r="AX22" i="17"/>
  <c r="AV22" i="17"/>
  <c r="AJ22" i="17"/>
  <c r="AM22" i="17"/>
  <c r="AU22" i="17"/>
  <c r="AS22" i="17"/>
  <c r="AR22" i="17"/>
  <c r="AP22" i="17"/>
  <c r="AO22" i="17"/>
  <c r="AL22" i="17"/>
  <c r="AI22" i="17"/>
  <c r="AG22" i="17"/>
  <c r="AF22" i="17"/>
  <c r="NA21" i="17"/>
  <c r="MZ21" i="17"/>
  <c r="MY21" i="17"/>
  <c r="MX21" i="17"/>
  <c r="MW21" i="17"/>
  <c r="MV21" i="17"/>
  <c r="MT21" i="17"/>
  <c r="MS21" i="17"/>
  <c r="MR21" i="17"/>
  <c r="MQ21" i="17"/>
  <c r="MP21" i="17"/>
  <c r="MO21" i="17"/>
  <c r="MC21" i="17"/>
  <c r="MA21" i="17"/>
  <c r="LU21" i="17"/>
  <c r="LT21" i="17"/>
  <c r="MB21" i="17" s="1"/>
  <c r="LJ21" i="17"/>
  <c r="JV21" i="17"/>
  <c r="JU21" i="17"/>
  <c r="JT21" i="17"/>
  <c r="JS21" i="17"/>
  <c r="JR21" i="17"/>
  <c r="JW21" i="17" s="1"/>
  <c r="JP21" i="17"/>
  <c r="JO21" i="17"/>
  <c r="JN21" i="17"/>
  <c r="JM21" i="17"/>
  <c r="JL21" i="17"/>
  <c r="JQ21" i="17" s="1"/>
  <c r="JJ21" i="17"/>
  <c r="JI21" i="17"/>
  <c r="JH21" i="17"/>
  <c r="JG21" i="17"/>
  <c r="JF21" i="17"/>
  <c r="JK21" i="17" s="1"/>
  <c r="JE21" i="17"/>
  <c r="JD21" i="17"/>
  <c r="JC21" i="17"/>
  <c r="JB21" i="17"/>
  <c r="JA21" i="17"/>
  <c r="IY21" i="17"/>
  <c r="IX21" i="17"/>
  <c r="IW21" i="17"/>
  <c r="IV21" i="17"/>
  <c r="IU21" i="17"/>
  <c r="IZ21" i="17" s="1"/>
  <c r="GN21" i="17"/>
  <c r="MJ21" i="17" s="1"/>
  <c r="GM21" i="17"/>
  <c r="GL21" i="17"/>
  <c r="MI21" i="17" s="1"/>
  <c r="GH21" i="17"/>
  <c r="GG21" i="17"/>
  <c r="GF21" i="17"/>
  <c r="GE21" i="17"/>
  <c r="GD21" i="17"/>
  <c r="GC21" i="17"/>
  <c r="GB21" i="17"/>
  <c r="GA21" i="17"/>
  <c r="GI21" i="17" s="1"/>
  <c r="EW21" i="17" s="1"/>
  <c r="FY21" i="17"/>
  <c r="FX21" i="17"/>
  <c r="FW21" i="17"/>
  <c r="FV21" i="17"/>
  <c r="FU21" i="17"/>
  <c r="FT21" i="17"/>
  <c r="FS21" i="17"/>
  <c r="FR21" i="17"/>
  <c r="FZ21" i="17" s="1"/>
  <c r="EV21" i="17" s="1"/>
  <c r="FP21" i="17"/>
  <c r="FO21" i="17"/>
  <c r="LV21" i="17" s="1"/>
  <c r="FN21" i="17"/>
  <c r="FM21" i="17"/>
  <c r="FL21" i="17"/>
  <c r="FK21" i="17"/>
  <c r="FJ21" i="17"/>
  <c r="FI21" i="17"/>
  <c r="FQ21" i="17" s="1"/>
  <c r="EU21" i="17" s="1"/>
  <c r="EX21" i="17" s="1"/>
  <c r="FD21" i="17"/>
  <c r="FC21" i="17"/>
  <c r="FG21" i="17" s="1"/>
  <c r="EQ21" i="17"/>
  <c r="EP21" i="17"/>
  <c r="EO21" i="17"/>
  <c r="EN21" i="17"/>
  <c r="EM21" i="17"/>
  <c r="EL21" i="17"/>
  <c r="ER21" i="17" s="1"/>
  <c r="DT21" i="17" s="1"/>
  <c r="EJ21" i="17"/>
  <c r="EI21" i="17"/>
  <c r="EH21" i="17"/>
  <c r="EG21" i="17"/>
  <c r="EF21" i="17"/>
  <c r="EE21" i="17"/>
  <c r="EK21" i="17" s="1"/>
  <c r="DS21" i="17" s="1"/>
  <c r="EC21" i="17"/>
  <c r="EB21" i="17"/>
  <c r="EA21" i="17"/>
  <c r="DZ21" i="17"/>
  <c r="DY21" i="17"/>
  <c r="DX21" i="17"/>
  <c r="ED21" i="17" s="1"/>
  <c r="DR21" i="17" s="1"/>
  <c r="DU21" i="17" s="1"/>
  <c r="DN21" i="17"/>
  <c r="DM21" i="17"/>
  <c r="DL21" i="17"/>
  <c r="DK21" i="17"/>
  <c r="DJ21" i="17"/>
  <c r="DI21" i="17"/>
  <c r="DO21" i="17" s="1"/>
  <c r="DG21" i="17"/>
  <c r="DF21" i="17"/>
  <c r="DE21" i="17"/>
  <c r="DD21" i="17"/>
  <c r="DC21" i="17"/>
  <c r="DB21" i="17"/>
  <c r="DH21" i="17" s="1"/>
  <c r="CZ21" i="17"/>
  <c r="CY21" i="17"/>
  <c r="CX21" i="17"/>
  <c r="CW21" i="17"/>
  <c r="CV21" i="17"/>
  <c r="CU21" i="17"/>
  <c r="DA21" i="17" s="1"/>
  <c r="CS21" i="17"/>
  <c r="CK21" i="17" s="1"/>
  <c r="CR21" i="17"/>
  <c r="CJ21" i="17" s="1"/>
  <c r="CQ21" i="17"/>
  <c r="CI21" i="17" s="1"/>
  <c r="CP21" i="17"/>
  <c r="CH21" i="17" s="1"/>
  <c r="CO21" i="17"/>
  <c r="CG21" i="17" s="1"/>
  <c r="CN21" i="17"/>
  <c r="CT21" i="17" s="1"/>
  <c r="CA21" i="17"/>
  <c r="BZ21" i="17"/>
  <c r="BY21" i="17"/>
  <c r="BX21" i="17"/>
  <c r="BW21" i="17"/>
  <c r="CB21" i="17" s="1"/>
  <c r="BT21" i="17"/>
  <c r="T21" i="17" s="1"/>
  <c r="BS21" i="17"/>
  <c r="S21" i="17" s="1"/>
  <c r="BQ21" i="17"/>
  <c r="BP21" i="17"/>
  <c r="BN21" i="17"/>
  <c r="BM21" i="17"/>
  <c r="BK21" i="17"/>
  <c r="BJ21" i="17"/>
  <c r="BH21" i="17"/>
  <c r="BG21" i="17"/>
  <c r="BE21" i="17"/>
  <c r="BD21" i="17"/>
  <c r="BB21" i="17"/>
  <c r="BA21" i="17"/>
  <c r="AY21" i="17"/>
  <c r="AX21" i="17"/>
  <c r="AV21" i="17"/>
  <c r="AU21" i="17"/>
  <c r="AS21" i="17"/>
  <c r="AR21" i="17"/>
  <c r="AP21" i="17"/>
  <c r="AO21" i="17"/>
  <c r="AM21" i="17"/>
  <c r="AL21" i="17"/>
  <c r="AJ21" i="17"/>
  <c r="AI21" i="17"/>
  <c r="AG21" i="17"/>
  <c r="AF21" i="17"/>
  <c r="NA20" i="17"/>
  <c r="MZ20" i="17"/>
  <c r="MY20" i="17"/>
  <c r="MX20" i="17"/>
  <c r="MW20" i="17"/>
  <c r="MV20" i="17"/>
  <c r="MT20" i="17"/>
  <c r="MS20" i="17"/>
  <c r="MR20" i="17"/>
  <c r="MQ20" i="17"/>
  <c r="MP20" i="17"/>
  <c r="MO20" i="17"/>
  <c r="MC20" i="17"/>
  <c r="MA20" i="17"/>
  <c r="LU20" i="17"/>
  <c r="LT20" i="17"/>
  <c r="MB20" i="17" s="1"/>
  <c r="LJ20" i="17"/>
  <c r="JV20" i="17"/>
  <c r="JU20" i="17"/>
  <c r="JT20" i="17"/>
  <c r="JS20" i="17"/>
  <c r="JR20" i="17"/>
  <c r="JW20" i="17" s="1"/>
  <c r="JP20" i="17"/>
  <c r="JO20" i="17"/>
  <c r="JN20" i="17"/>
  <c r="JM20" i="17"/>
  <c r="JL20" i="17"/>
  <c r="JQ20" i="17" s="1"/>
  <c r="JJ20" i="17"/>
  <c r="JI20" i="17"/>
  <c r="JH20" i="17"/>
  <c r="JG20" i="17"/>
  <c r="JF20" i="17"/>
  <c r="JK20" i="17" s="1"/>
  <c r="JE20" i="17"/>
  <c r="JD20" i="17"/>
  <c r="JC20" i="17"/>
  <c r="JB20" i="17"/>
  <c r="JA20" i="17"/>
  <c r="IY20" i="17"/>
  <c r="IX20" i="17"/>
  <c r="IW20" i="17"/>
  <c r="IV20" i="17"/>
  <c r="IU20" i="17"/>
  <c r="IZ20" i="17" s="1"/>
  <c r="GN20" i="17"/>
  <c r="MJ20" i="17" s="1"/>
  <c r="GM20" i="17"/>
  <c r="GL20" i="17"/>
  <c r="MI20" i="17" s="1"/>
  <c r="GH20" i="17"/>
  <c r="GG20" i="17"/>
  <c r="GF20" i="17"/>
  <c r="GE20" i="17"/>
  <c r="GD20" i="17"/>
  <c r="GC20" i="17"/>
  <c r="GB20" i="17"/>
  <c r="GA20" i="17"/>
  <c r="GI20" i="17" s="1"/>
  <c r="EW20" i="17" s="1"/>
  <c r="FY20" i="17"/>
  <c r="FX20" i="17"/>
  <c r="FW20" i="17"/>
  <c r="FV20" i="17"/>
  <c r="FU20" i="17"/>
  <c r="FT20" i="17"/>
  <c r="FS20" i="17"/>
  <c r="FR20" i="17"/>
  <c r="FZ20" i="17" s="1"/>
  <c r="EV20" i="17" s="1"/>
  <c r="FP20" i="17"/>
  <c r="FO20" i="17"/>
  <c r="LV20" i="17" s="1"/>
  <c r="FN20" i="17"/>
  <c r="FM20" i="17"/>
  <c r="FL20" i="17"/>
  <c r="FK20" i="17"/>
  <c r="FJ20" i="17"/>
  <c r="FI20" i="17"/>
  <c r="FQ20" i="17" s="1"/>
  <c r="EU20" i="17" s="1"/>
  <c r="EX20" i="17" s="1"/>
  <c r="FD20" i="17"/>
  <c r="FC20" i="17"/>
  <c r="FG20" i="17" s="1"/>
  <c r="EQ20" i="17"/>
  <c r="EP20" i="17"/>
  <c r="EO20" i="17"/>
  <c r="EN20" i="17"/>
  <c r="EM20" i="17"/>
  <c r="EL20" i="17"/>
  <c r="ER20" i="17" s="1"/>
  <c r="DT20" i="17" s="1"/>
  <c r="EJ20" i="17"/>
  <c r="EI20" i="17"/>
  <c r="EH20" i="17"/>
  <c r="EG20" i="17"/>
  <c r="EF20" i="17"/>
  <c r="EE20" i="17"/>
  <c r="EK20" i="17" s="1"/>
  <c r="DS20" i="17" s="1"/>
  <c r="EC20" i="17"/>
  <c r="EB20" i="17"/>
  <c r="EA20" i="17"/>
  <c r="DZ20" i="17"/>
  <c r="DY20" i="17"/>
  <c r="DX20" i="17"/>
  <c r="ED20" i="17" s="1"/>
  <c r="DR20" i="17" s="1"/>
  <c r="DU20" i="17" s="1"/>
  <c r="DN20" i="17"/>
  <c r="DM20" i="17"/>
  <c r="DL20" i="17"/>
  <c r="DK20" i="17"/>
  <c r="DJ20" i="17"/>
  <c r="DI20" i="17"/>
  <c r="DO20" i="17" s="1"/>
  <c r="DG20" i="17"/>
  <c r="DF20" i="17"/>
  <c r="DE20" i="17"/>
  <c r="DD20" i="17"/>
  <c r="DC20" i="17"/>
  <c r="DB20" i="17"/>
  <c r="DH20" i="17" s="1"/>
  <c r="CZ20" i="17"/>
  <c r="CY20" i="17"/>
  <c r="CX20" i="17"/>
  <c r="CW20" i="17"/>
  <c r="CV20" i="17"/>
  <c r="CU20" i="17"/>
  <c r="DA20" i="17" s="1"/>
  <c r="CS20" i="17"/>
  <c r="CK20" i="17" s="1"/>
  <c r="CR20" i="17"/>
  <c r="CJ20" i="17" s="1"/>
  <c r="CQ20" i="17"/>
  <c r="CI20" i="17" s="1"/>
  <c r="CP20" i="17"/>
  <c r="CH20" i="17" s="1"/>
  <c r="CO20" i="17"/>
  <c r="CG20" i="17" s="1"/>
  <c r="CN20" i="17"/>
  <c r="CA20" i="17"/>
  <c r="BZ20" i="17"/>
  <c r="BY20" i="17"/>
  <c r="BX20" i="17"/>
  <c r="BW20" i="17"/>
  <c r="CB20" i="17" s="1"/>
  <c r="BT20" i="17"/>
  <c r="BS20" i="17"/>
  <c r="S20" i="17" s="1"/>
  <c r="BQ20" i="17"/>
  <c r="BP20" i="17"/>
  <c r="BN20" i="17"/>
  <c r="BM20" i="17"/>
  <c r="BK20" i="17"/>
  <c r="BJ20" i="17"/>
  <c r="BH20" i="17"/>
  <c r="BG20" i="17"/>
  <c r="BE20" i="17"/>
  <c r="BD20" i="17"/>
  <c r="BB20" i="17"/>
  <c r="BA20" i="17"/>
  <c r="AY20" i="17"/>
  <c r="AX20" i="17"/>
  <c r="AV20" i="17"/>
  <c r="AU20" i="17"/>
  <c r="AI20" i="17"/>
  <c r="AL20" i="17"/>
  <c r="AJ20" i="17"/>
  <c r="AM20" i="17"/>
  <c r="AS20" i="17"/>
  <c r="AR20" i="17"/>
  <c r="AP20" i="17"/>
  <c r="AO20" i="17"/>
  <c r="AG20" i="17"/>
  <c r="AF20" i="17"/>
  <c r="NA19" i="17"/>
  <c r="MZ19" i="17"/>
  <c r="MY19" i="17"/>
  <c r="MX19" i="17"/>
  <c r="MW19" i="17"/>
  <c r="MV19" i="17"/>
  <c r="MT19" i="17"/>
  <c r="MS19" i="17"/>
  <c r="MR19" i="17"/>
  <c r="MQ19" i="17"/>
  <c r="MP19" i="17"/>
  <c r="MO19" i="17"/>
  <c r="MC19" i="17"/>
  <c r="MA19" i="17"/>
  <c r="LU19" i="17"/>
  <c r="LT19" i="17"/>
  <c r="MB19" i="17" s="1"/>
  <c r="LJ19" i="17"/>
  <c r="JV19" i="17"/>
  <c r="JU19" i="17"/>
  <c r="JT19" i="17"/>
  <c r="JS19" i="17"/>
  <c r="JR19" i="17"/>
  <c r="JW19" i="17" s="1"/>
  <c r="JP19" i="17"/>
  <c r="JO19" i="17"/>
  <c r="JN19" i="17"/>
  <c r="JM19" i="17"/>
  <c r="JL19" i="17"/>
  <c r="JQ19" i="17" s="1"/>
  <c r="JJ19" i="17"/>
  <c r="JI19" i="17"/>
  <c r="JH19" i="17"/>
  <c r="JG19" i="17"/>
  <c r="JF19" i="17"/>
  <c r="JK19" i="17" s="1"/>
  <c r="JE19" i="17"/>
  <c r="JD19" i="17"/>
  <c r="JC19" i="17"/>
  <c r="JB19" i="17"/>
  <c r="JA19" i="17"/>
  <c r="IY19" i="17"/>
  <c r="IX19" i="17"/>
  <c r="IW19" i="17"/>
  <c r="IV19" i="17"/>
  <c r="IU19" i="17"/>
  <c r="IZ19" i="17" s="1"/>
  <c r="GN19" i="17"/>
  <c r="MJ19" i="17" s="1"/>
  <c r="GM19" i="17"/>
  <c r="GL19" i="17"/>
  <c r="MI19" i="17" s="1"/>
  <c r="GH19" i="17"/>
  <c r="GG19" i="17"/>
  <c r="GF19" i="17"/>
  <c r="GE19" i="17"/>
  <c r="GD19" i="17"/>
  <c r="GC19" i="17"/>
  <c r="GB19" i="17"/>
  <c r="GA19" i="17"/>
  <c r="GI19" i="17" s="1"/>
  <c r="EW19" i="17" s="1"/>
  <c r="FY19" i="17"/>
  <c r="FX19" i="17"/>
  <c r="FW19" i="17"/>
  <c r="FV19" i="17"/>
  <c r="FU19" i="17"/>
  <c r="FT19" i="17"/>
  <c r="FS19" i="17"/>
  <c r="FR19" i="17"/>
  <c r="FZ19" i="17" s="1"/>
  <c r="EV19" i="17" s="1"/>
  <c r="FP19" i="17"/>
  <c r="FO19" i="17"/>
  <c r="LV19" i="17" s="1"/>
  <c r="FN19" i="17"/>
  <c r="FM19" i="17"/>
  <c r="FL19" i="17"/>
  <c r="FK19" i="17"/>
  <c r="FJ19" i="17"/>
  <c r="FI19" i="17"/>
  <c r="FQ19" i="17" s="1"/>
  <c r="EU19" i="17" s="1"/>
  <c r="EX19" i="17" s="1"/>
  <c r="FD19" i="17"/>
  <c r="FC19" i="17"/>
  <c r="FG19" i="17" s="1"/>
  <c r="EQ19" i="17"/>
  <c r="EP19" i="17"/>
  <c r="EO19" i="17"/>
  <c r="EN19" i="17"/>
  <c r="EM19" i="17"/>
  <c r="EL19" i="17"/>
  <c r="ER19" i="17" s="1"/>
  <c r="DT19" i="17" s="1"/>
  <c r="EJ19" i="17"/>
  <c r="EI19" i="17"/>
  <c r="EH19" i="17"/>
  <c r="EG19" i="17"/>
  <c r="EF19" i="17"/>
  <c r="EE19" i="17"/>
  <c r="EK19" i="17" s="1"/>
  <c r="DS19" i="17" s="1"/>
  <c r="EC19" i="17"/>
  <c r="EB19" i="17"/>
  <c r="EA19" i="17"/>
  <c r="DZ19" i="17"/>
  <c r="DY19" i="17"/>
  <c r="DX19" i="17"/>
  <c r="ED19" i="17" s="1"/>
  <c r="DR19" i="17" s="1"/>
  <c r="DU19" i="17" s="1"/>
  <c r="DN19" i="17"/>
  <c r="DM19" i="17"/>
  <c r="DL19" i="17"/>
  <c r="DK19" i="17"/>
  <c r="DJ19" i="17"/>
  <c r="DI19" i="17"/>
  <c r="DO19" i="17" s="1"/>
  <c r="DG19" i="17"/>
  <c r="DF19" i="17"/>
  <c r="DE19" i="17"/>
  <c r="DD19" i="17"/>
  <c r="DC19" i="17"/>
  <c r="DB19" i="17"/>
  <c r="DH19" i="17" s="1"/>
  <c r="CZ19" i="17"/>
  <c r="CY19" i="17"/>
  <c r="CX19" i="17"/>
  <c r="CW19" i="17"/>
  <c r="CV19" i="17"/>
  <c r="CU19" i="17"/>
  <c r="DA19" i="17" s="1"/>
  <c r="CS19" i="17"/>
  <c r="CK19" i="17" s="1"/>
  <c r="CR19" i="17"/>
  <c r="CJ19" i="17" s="1"/>
  <c r="CQ19" i="17"/>
  <c r="CI19" i="17" s="1"/>
  <c r="CP19" i="17"/>
  <c r="CH19" i="17" s="1"/>
  <c r="CO19" i="17"/>
  <c r="CG19" i="17" s="1"/>
  <c r="CN19" i="17"/>
  <c r="CT19" i="17" s="1"/>
  <c r="CA19" i="17"/>
  <c r="BZ19" i="17"/>
  <c r="BY19" i="17"/>
  <c r="BX19" i="17"/>
  <c r="BW19" i="17"/>
  <c r="CB19" i="17" s="1"/>
  <c r="BT19" i="17"/>
  <c r="T19" i="17" s="1"/>
  <c r="BS19" i="17"/>
  <c r="S19" i="17" s="1"/>
  <c r="BQ19" i="17"/>
  <c r="BP19" i="17"/>
  <c r="BN19" i="17"/>
  <c r="BM19" i="17"/>
  <c r="BK19" i="17"/>
  <c r="BJ19" i="17"/>
  <c r="BA19" i="17"/>
  <c r="BH19" i="17"/>
  <c r="BG19" i="17"/>
  <c r="BE19" i="17"/>
  <c r="BD19" i="17"/>
  <c r="BB19" i="17"/>
  <c r="AY19" i="17"/>
  <c r="AX19" i="17"/>
  <c r="AV19" i="17"/>
  <c r="AU19" i="17"/>
  <c r="AS19" i="17"/>
  <c r="AR19" i="17"/>
  <c r="AP19" i="17"/>
  <c r="AO19" i="17"/>
  <c r="AM19" i="17"/>
  <c r="AL19" i="17"/>
  <c r="AJ19" i="17"/>
  <c r="AI19" i="17"/>
  <c r="AG19" i="17"/>
  <c r="AF19" i="17"/>
  <c r="NA18" i="17"/>
  <c r="MZ18" i="17"/>
  <c r="MY18" i="17"/>
  <c r="MX18" i="17"/>
  <c r="MW18" i="17"/>
  <c r="MV18" i="17"/>
  <c r="MT18" i="17"/>
  <c r="MS18" i="17"/>
  <c r="MR18" i="17"/>
  <c r="MQ18" i="17"/>
  <c r="MP18" i="17"/>
  <c r="MO18" i="17"/>
  <c r="MC18" i="17"/>
  <c r="MA18" i="17"/>
  <c r="LU18" i="17"/>
  <c r="LT18" i="17"/>
  <c r="MB18" i="17" s="1"/>
  <c r="LJ18" i="17"/>
  <c r="JV18" i="17"/>
  <c r="JU18" i="17"/>
  <c r="JT18" i="17"/>
  <c r="JS18" i="17"/>
  <c r="JR18" i="17"/>
  <c r="JW18" i="17" s="1"/>
  <c r="JP18" i="17"/>
  <c r="JO18" i="17"/>
  <c r="JN18" i="17"/>
  <c r="JM18" i="17"/>
  <c r="JL18" i="17"/>
  <c r="JQ18" i="17" s="1"/>
  <c r="JJ18" i="17"/>
  <c r="JI18" i="17"/>
  <c r="JH18" i="17"/>
  <c r="JG18" i="17"/>
  <c r="JF18" i="17"/>
  <c r="JK18" i="17" s="1"/>
  <c r="JE18" i="17"/>
  <c r="JD18" i="17"/>
  <c r="JC18" i="17"/>
  <c r="JB18" i="17"/>
  <c r="JA18" i="17"/>
  <c r="IY18" i="17"/>
  <c r="IX18" i="17"/>
  <c r="IW18" i="17"/>
  <c r="IV18" i="17"/>
  <c r="IU18" i="17"/>
  <c r="IZ18" i="17" s="1"/>
  <c r="GN18" i="17"/>
  <c r="MJ18" i="17" s="1"/>
  <c r="GM18" i="17"/>
  <c r="GL18" i="17"/>
  <c r="MI18" i="17" s="1"/>
  <c r="GH18" i="17"/>
  <c r="GG18" i="17"/>
  <c r="GF18" i="17"/>
  <c r="GE18" i="17"/>
  <c r="GD18" i="17"/>
  <c r="GC18" i="17"/>
  <c r="GB18" i="17"/>
  <c r="GA18" i="17"/>
  <c r="GI18" i="17" s="1"/>
  <c r="EW18" i="17" s="1"/>
  <c r="FY18" i="17"/>
  <c r="FP18" i="17"/>
  <c r="FX18" i="17"/>
  <c r="FW18" i="17"/>
  <c r="FV18" i="17"/>
  <c r="FU18" i="17"/>
  <c r="FT18" i="17"/>
  <c r="FS18" i="17"/>
  <c r="FR18" i="17"/>
  <c r="FZ18" i="17" s="1"/>
  <c r="EV18" i="17" s="1"/>
  <c r="FO18" i="17"/>
  <c r="LV18" i="17" s="1"/>
  <c r="FN18" i="17"/>
  <c r="FM18" i="17"/>
  <c r="FL18" i="17"/>
  <c r="FK18" i="17"/>
  <c r="FJ18" i="17"/>
  <c r="FI18" i="17"/>
  <c r="FQ18" i="17" s="1"/>
  <c r="EU18" i="17" s="1"/>
  <c r="EX18" i="17" s="1"/>
  <c r="FD18" i="17"/>
  <c r="FC18" i="17"/>
  <c r="FG18" i="17" s="1"/>
  <c r="EQ18" i="17"/>
  <c r="EP18" i="17"/>
  <c r="EO18" i="17"/>
  <c r="EN18" i="17"/>
  <c r="EM18" i="17"/>
  <c r="EL18" i="17"/>
  <c r="ER18" i="17" s="1"/>
  <c r="DT18" i="17" s="1"/>
  <c r="EJ18" i="17"/>
  <c r="EI18" i="17"/>
  <c r="EH18" i="17"/>
  <c r="EG18" i="17"/>
  <c r="EF18" i="17"/>
  <c r="EE18" i="17"/>
  <c r="EK18" i="17" s="1"/>
  <c r="DS18" i="17" s="1"/>
  <c r="EC18" i="17"/>
  <c r="EB18" i="17"/>
  <c r="EA18" i="17"/>
  <c r="DZ18" i="17"/>
  <c r="DY18" i="17"/>
  <c r="DX18" i="17"/>
  <c r="ED18" i="17" s="1"/>
  <c r="DR18" i="17" s="1"/>
  <c r="DU18" i="17" s="1"/>
  <c r="DN18" i="17"/>
  <c r="DM18" i="17"/>
  <c r="DL18" i="17"/>
  <c r="DK18" i="17"/>
  <c r="DJ18" i="17"/>
  <c r="DI18" i="17"/>
  <c r="DO18" i="17" s="1"/>
  <c r="DG18" i="17"/>
  <c r="DF18" i="17"/>
  <c r="DE18" i="17"/>
  <c r="DD18" i="17"/>
  <c r="DC18" i="17"/>
  <c r="DB18" i="17"/>
  <c r="DH18" i="17" s="1"/>
  <c r="CZ18" i="17"/>
  <c r="CY18" i="17"/>
  <c r="CX18" i="17"/>
  <c r="CW18" i="17"/>
  <c r="CV18" i="17"/>
  <c r="CU18" i="17"/>
  <c r="DA18" i="17" s="1"/>
  <c r="CS18" i="17"/>
  <c r="CK18" i="17" s="1"/>
  <c r="CR18" i="17"/>
  <c r="CJ18" i="17" s="1"/>
  <c r="CQ18" i="17"/>
  <c r="CI18" i="17" s="1"/>
  <c r="CP18" i="17"/>
  <c r="CH18" i="17" s="1"/>
  <c r="CO18" i="17"/>
  <c r="CG18" i="17" s="1"/>
  <c r="CN18" i="17"/>
  <c r="CF18" i="17" s="1"/>
  <c r="CL18" i="17" s="1"/>
  <c r="CA18" i="17"/>
  <c r="BZ18" i="17"/>
  <c r="BY18" i="17"/>
  <c r="BX18" i="17"/>
  <c r="BW18" i="17"/>
  <c r="CB18" i="17" s="1"/>
  <c r="BT18" i="17"/>
  <c r="T18" i="17" s="1"/>
  <c r="BS18" i="17"/>
  <c r="S18" i="17" s="1"/>
  <c r="BQ18" i="17"/>
  <c r="BP18" i="17"/>
  <c r="BN18" i="17"/>
  <c r="BM18" i="17"/>
  <c r="BK18" i="17"/>
  <c r="BJ18" i="17"/>
  <c r="BH18" i="17"/>
  <c r="BG18" i="17"/>
  <c r="BE18" i="17"/>
  <c r="BD18" i="17"/>
  <c r="BB18" i="17"/>
  <c r="BA18" i="17"/>
  <c r="AY18" i="17"/>
  <c r="AX18" i="17"/>
  <c r="AV18" i="17"/>
  <c r="AU18" i="17"/>
  <c r="AS18" i="17"/>
  <c r="AR18" i="17"/>
  <c r="AP18" i="17"/>
  <c r="AO18" i="17"/>
  <c r="AM18" i="17"/>
  <c r="AL18" i="17"/>
  <c r="AJ18" i="17"/>
  <c r="AI18" i="17"/>
  <c r="AG18" i="17"/>
  <c r="AF18" i="17"/>
  <c r="NA17" i="17"/>
  <c r="MZ17" i="17"/>
  <c r="MY17" i="17"/>
  <c r="MX17" i="17"/>
  <c r="MW17" i="17"/>
  <c r="MV17" i="17"/>
  <c r="MT17" i="17"/>
  <c r="MS17" i="17"/>
  <c r="MR17" i="17"/>
  <c r="MQ17" i="17"/>
  <c r="MP17" i="17"/>
  <c r="MO17" i="17"/>
  <c r="MC17" i="17"/>
  <c r="MA17" i="17"/>
  <c r="LU17" i="17"/>
  <c r="LT17" i="17"/>
  <c r="MB17" i="17" s="1"/>
  <c r="LJ17" i="17"/>
  <c r="JV17" i="17"/>
  <c r="JU17" i="17"/>
  <c r="JT17" i="17"/>
  <c r="JS17" i="17"/>
  <c r="JR17" i="17"/>
  <c r="JW17" i="17" s="1"/>
  <c r="JP17" i="17"/>
  <c r="JO17" i="17"/>
  <c r="JN17" i="17"/>
  <c r="JM17" i="17"/>
  <c r="JL17" i="17"/>
  <c r="JQ17" i="17" s="1"/>
  <c r="JJ17" i="17"/>
  <c r="JI17" i="17"/>
  <c r="JH17" i="17"/>
  <c r="JG17" i="17"/>
  <c r="JF17" i="17"/>
  <c r="JK17" i="17" s="1"/>
  <c r="JE17" i="17"/>
  <c r="JD17" i="17"/>
  <c r="JC17" i="17"/>
  <c r="JB17" i="17"/>
  <c r="JA17" i="17"/>
  <c r="IY17" i="17"/>
  <c r="IX17" i="17"/>
  <c r="IW17" i="17"/>
  <c r="IV17" i="17"/>
  <c r="IU17" i="17"/>
  <c r="IZ17" i="17" s="1"/>
  <c r="GN17" i="17"/>
  <c r="MJ17" i="17" s="1"/>
  <c r="GM17" i="17"/>
  <c r="GL17" i="17"/>
  <c r="MI17" i="17" s="1"/>
  <c r="GH17" i="17"/>
  <c r="GG17" i="17"/>
  <c r="GF17" i="17"/>
  <c r="GE17" i="17"/>
  <c r="GD17" i="17"/>
  <c r="GC17" i="17"/>
  <c r="GB17" i="17"/>
  <c r="GA17" i="17"/>
  <c r="GI17" i="17" s="1"/>
  <c r="EW17" i="17" s="1"/>
  <c r="FY17" i="17"/>
  <c r="FX17" i="17"/>
  <c r="FW17" i="17"/>
  <c r="FV17" i="17"/>
  <c r="FU17" i="17"/>
  <c r="FT17" i="17"/>
  <c r="FS17" i="17"/>
  <c r="FR17" i="17"/>
  <c r="FZ17" i="17" s="1"/>
  <c r="EV17" i="17" s="1"/>
  <c r="FP17" i="17"/>
  <c r="FO17" i="17"/>
  <c r="LV17" i="17" s="1"/>
  <c r="FN17" i="17"/>
  <c r="FM17" i="17"/>
  <c r="FL17" i="17"/>
  <c r="FK17" i="17"/>
  <c r="FJ17" i="17"/>
  <c r="FI17" i="17"/>
  <c r="FD17" i="17"/>
  <c r="FC17" i="17"/>
  <c r="FG17" i="17" s="1"/>
  <c r="EQ17" i="17"/>
  <c r="EP17" i="17"/>
  <c r="EO17" i="17"/>
  <c r="EN17" i="17"/>
  <c r="EM17" i="17"/>
  <c r="EL17" i="17"/>
  <c r="ER17" i="17" s="1"/>
  <c r="DT17" i="17" s="1"/>
  <c r="EJ17" i="17"/>
  <c r="EI17" i="17"/>
  <c r="EH17" i="17"/>
  <c r="EG17" i="17"/>
  <c r="EF17" i="17"/>
  <c r="EE17" i="17"/>
  <c r="EK17" i="17" s="1"/>
  <c r="DS17" i="17" s="1"/>
  <c r="EC17" i="17"/>
  <c r="EB17" i="17"/>
  <c r="EA17" i="17"/>
  <c r="DZ17" i="17"/>
  <c r="DY17" i="17"/>
  <c r="DX17" i="17"/>
  <c r="ED17" i="17" s="1"/>
  <c r="DR17" i="17" s="1"/>
  <c r="DU17" i="17" s="1"/>
  <c r="DN17" i="17"/>
  <c r="DM17" i="17"/>
  <c r="DL17" i="17"/>
  <c r="DK17" i="17"/>
  <c r="DJ17" i="17"/>
  <c r="DI17" i="17"/>
  <c r="DO17" i="17" s="1"/>
  <c r="DG17" i="17"/>
  <c r="DF17" i="17"/>
  <c r="DE17" i="17"/>
  <c r="DD17" i="17"/>
  <c r="DC17" i="17"/>
  <c r="DB17" i="17"/>
  <c r="DH17" i="17" s="1"/>
  <c r="CZ17" i="17"/>
  <c r="CY17" i="17"/>
  <c r="CX17" i="17"/>
  <c r="CW17" i="17"/>
  <c r="CV17" i="17"/>
  <c r="CU17" i="17"/>
  <c r="DA17" i="17" s="1"/>
  <c r="CS17" i="17"/>
  <c r="CK17" i="17" s="1"/>
  <c r="CR17" i="17"/>
  <c r="CJ17" i="17" s="1"/>
  <c r="CQ17" i="17"/>
  <c r="CI17" i="17" s="1"/>
  <c r="CP17" i="17"/>
  <c r="CH17" i="17" s="1"/>
  <c r="CO17" i="17"/>
  <c r="CG17" i="17" s="1"/>
  <c r="CN17" i="17"/>
  <c r="CF17" i="17" s="1"/>
  <c r="CL17" i="17" s="1"/>
  <c r="CA17" i="17"/>
  <c r="BZ17" i="17"/>
  <c r="BY17" i="17"/>
  <c r="BX17" i="17"/>
  <c r="BW17" i="17"/>
  <c r="CB17" i="17" s="1"/>
  <c r="BT17" i="17"/>
  <c r="T17" i="17" s="1"/>
  <c r="BS17" i="17"/>
  <c r="S17" i="17" s="1"/>
  <c r="BQ17" i="17"/>
  <c r="BP17" i="17"/>
  <c r="BN17" i="17"/>
  <c r="BM17" i="17"/>
  <c r="BK17" i="17"/>
  <c r="BJ17" i="17"/>
  <c r="BH17" i="17"/>
  <c r="BG17" i="17"/>
  <c r="BE17" i="17"/>
  <c r="BD17" i="17"/>
  <c r="BB17" i="17"/>
  <c r="BA17" i="17"/>
  <c r="AY17" i="17"/>
  <c r="AX17" i="17"/>
  <c r="AV17" i="17"/>
  <c r="AU17" i="17"/>
  <c r="AS17" i="17"/>
  <c r="AR17" i="17"/>
  <c r="AP17" i="17"/>
  <c r="AO17" i="17"/>
  <c r="AM17" i="17"/>
  <c r="AL17" i="17"/>
  <c r="AJ17" i="17"/>
  <c r="AI17" i="17"/>
  <c r="AG17" i="17"/>
  <c r="AF17" i="17"/>
  <c r="NA16" i="17"/>
  <c r="MZ16" i="17"/>
  <c r="MY16" i="17"/>
  <c r="MX16" i="17"/>
  <c r="MW16" i="17"/>
  <c r="MV16" i="17"/>
  <c r="MT16" i="17"/>
  <c r="MS16" i="17"/>
  <c r="MR16" i="17"/>
  <c r="MQ16" i="17"/>
  <c r="MP16" i="17"/>
  <c r="MO16" i="17"/>
  <c r="MC16" i="17"/>
  <c r="MA16" i="17"/>
  <c r="LU16" i="17"/>
  <c r="LT16" i="17"/>
  <c r="MB16" i="17" s="1"/>
  <c r="LJ16" i="17"/>
  <c r="JV16" i="17"/>
  <c r="JU16" i="17"/>
  <c r="JT16" i="17"/>
  <c r="JS16" i="17"/>
  <c r="JR16" i="17"/>
  <c r="JP16" i="17"/>
  <c r="JO16" i="17"/>
  <c r="JN16" i="17"/>
  <c r="JM16" i="17"/>
  <c r="JL16" i="17"/>
  <c r="JQ16" i="17" s="1"/>
  <c r="JJ16" i="17"/>
  <c r="JI16" i="17"/>
  <c r="JH16" i="17"/>
  <c r="JG16" i="17"/>
  <c r="JF16" i="17"/>
  <c r="JK16" i="17" s="1"/>
  <c r="JE16" i="17"/>
  <c r="JD16" i="17"/>
  <c r="JC16" i="17"/>
  <c r="JB16" i="17"/>
  <c r="JA16" i="17"/>
  <c r="IY16" i="17"/>
  <c r="IX16" i="17"/>
  <c r="IW16" i="17"/>
  <c r="IV16" i="17"/>
  <c r="IU16" i="17"/>
  <c r="IZ16" i="17" s="1"/>
  <c r="GN16" i="17"/>
  <c r="MJ16" i="17" s="1"/>
  <c r="GM16" i="17"/>
  <c r="GL16" i="17"/>
  <c r="MI16" i="17" s="1"/>
  <c r="GH16" i="17"/>
  <c r="GG16" i="17"/>
  <c r="GF16" i="17"/>
  <c r="GE16" i="17"/>
  <c r="GD16" i="17"/>
  <c r="GC16" i="17"/>
  <c r="GB16" i="17"/>
  <c r="GA16" i="17"/>
  <c r="GI16" i="17" s="1"/>
  <c r="EW16" i="17" s="1"/>
  <c r="FY16" i="17"/>
  <c r="FX16" i="17"/>
  <c r="FW16" i="17"/>
  <c r="FV16" i="17"/>
  <c r="FU16" i="17"/>
  <c r="FT16" i="17"/>
  <c r="FS16" i="17"/>
  <c r="FR16" i="17"/>
  <c r="FZ16" i="17" s="1"/>
  <c r="EV16" i="17" s="1"/>
  <c r="FP16" i="17"/>
  <c r="FO16" i="17"/>
  <c r="LV16" i="17" s="1"/>
  <c r="FN16" i="17"/>
  <c r="FM16" i="17"/>
  <c r="FL16" i="17"/>
  <c r="FK16" i="17"/>
  <c r="FJ16" i="17"/>
  <c r="FI16" i="17"/>
  <c r="FQ16" i="17" s="1"/>
  <c r="EU16" i="17" s="1"/>
  <c r="EX16" i="17" s="1"/>
  <c r="FD16" i="17"/>
  <c r="FC16" i="17"/>
  <c r="FG16" i="17" s="1"/>
  <c r="EQ16" i="17"/>
  <c r="EP16" i="17"/>
  <c r="EO16" i="17"/>
  <c r="EN16" i="17"/>
  <c r="EM16" i="17"/>
  <c r="EL16" i="17"/>
  <c r="ER16" i="17" s="1"/>
  <c r="DT16" i="17" s="1"/>
  <c r="EJ16" i="17"/>
  <c r="EI16" i="17"/>
  <c r="EH16" i="17"/>
  <c r="EG16" i="17"/>
  <c r="EF16" i="17"/>
  <c r="EE16" i="17"/>
  <c r="EK16" i="17" s="1"/>
  <c r="DS16" i="17" s="1"/>
  <c r="EC16" i="17"/>
  <c r="EB16" i="17"/>
  <c r="EA16" i="17"/>
  <c r="DZ16" i="17"/>
  <c r="DY16" i="17"/>
  <c r="DX16" i="17"/>
  <c r="ED16" i="17" s="1"/>
  <c r="DR16" i="17" s="1"/>
  <c r="DU16" i="17" s="1"/>
  <c r="DN16" i="17"/>
  <c r="DM16" i="17"/>
  <c r="DL16" i="17"/>
  <c r="DK16" i="17"/>
  <c r="DJ16" i="17"/>
  <c r="DI16" i="17"/>
  <c r="DO16" i="17" s="1"/>
  <c r="DG16" i="17"/>
  <c r="DF16" i="17"/>
  <c r="DE16" i="17"/>
  <c r="DD16" i="17"/>
  <c r="DC16" i="17"/>
  <c r="DB16" i="17"/>
  <c r="DH16" i="17" s="1"/>
  <c r="CZ16" i="17"/>
  <c r="CY16" i="17"/>
  <c r="CX16" i="17"/>
  <c r="CW16" i="17"/>
  <c r="CV16" i="17"/>
  <c r="CU16" i="17"/>
  <c r="DA16" i="17" s="1"/>
  <c r="CS16" i="17"/>
  <c r="CK16" i="17" s="1"/>
  <c r="CR16" i="17"/>
  <c r="CJ16" i="17" s="1"/>
  <c r="CQ16" i="17"/>
  <c r="CI16" i="17" s="1"/>
  <c r="CP16" i="17"/>
  <c r="CH16" i="17" s="1"/>
  <c r="CO16" i="17"/>
  <c r="CG16" i="17" s="1"/>
  <c r="CN16" i="17"/>
  <c r="CF16" i="17" s="1"/>
  <c r="CL16" i="17" s="1"/>
  <c r="CA16" i="17"/>
  <c r="BZ16" i="17"/>
  <c r="BY16" i="17"/>
  <c r="BX16" i="17"/>
  <c r="BW16" i="17"/>
  <c r="CB16" i="17" s="1"/>
  <c r="BT16" i="17"/>
  <c r="T16" i="17" s="1"/>
  <c r="BS16" i="17"/>
  <c r="S16" i="17" s="1"/>
  <c r="BQ16" i="17"/>
  <c r="BP16" i="17"/>
  <c r="BN16" i="17"/>
  <c r="BM16" i="17"/>
  <c r="BK16" i="17"/>
  <c r="BJ16" i="17"/>
  <c r="BH16" i="17"/>
  <c r="BG16" i="17"/>
  <c r="BE16" i="17"/>
  <c r="BD16" i="17"/>
  <c r="BB16" i="17"/>
  <c r="BA16" i="17"/>
  <c r="AY16" i="17"/>
  <c r="AX16" i="17"/>
  <c r="AV16" i="17"/>
  <c r="AU16" i="17"/>
  <c r="AS16" i="17"/>
  <c r="AR16" i="17"/>
  <c r="AP16" i="17"/>
  <c r="AO16" i="17"/>
  <c r="AM16" i="17"/>
  <c r="AL16" i="17"/>
  <c r="AJ16" i="17"/>
  <c r="AI16" i="17"/>
  <c r="AG16" i="17"/>
  <c r="AF16" i="17"/>
  <c r="NA15" i="17"/>
  <c r="MZ15" i="17"/>
  <c r="MY15" i="17"/>
  <c r="MX15" i="17"/>
  <c r="MW15" i="17"/>
  <c r="MV15" i="17"/>
  <c r="MT15" i="17"/>
  <c r="MS15" i="17"/>
  <c r="MR15" i="17"/>
  <c r="MQ15" i="17"/>
  <c r="MP15" i="17"/>
  <c r="MO15" i="17"/>
  <c r="MC15" i="17"/>
  <c r="MA15" i="17"/>
  <c r="LU15" i="17"/>
  <c r="LT15" i="17"/>
  <c r="MB15" i="17" s="1"/>
  <c r="LJ15" i="17"/>
  <c r="JV15" i="17"/>
  <c r="JU15" i="17"/>
  <c r="JT15" i="17"/>
  <c r="JS15" i="17"/>
  <c r="JR15" i="17"/>
  <c r="JW15" i="17" s="1"/>
  <c r="JP15" i="17"/>
  <c r="JO15" i="17"/>
  <c r="JN15" i="17"/>
  <c r="JM15" i="17"/>
  <c r="JL15" i="17"/>
  <c r="JQ15" i="17" s="1"/>
  <c r="JJ15" i="17"/>
  <c r="JI15" i="17"/>
  <c r="JH15" i="17"/>
  <c r="JG15" i="17"/>
  <c r="JF15" i="17"/>
  <c r="JK15" i="17" s="1"/>
  <c r="JE15" i="17"/>
  <c r="JD15" i="17"/>
  <c r="JC15" i="17"/>
  <c r="JB15" i="17"/>
  <c r="JA15" i="17"/>
  <c r="IY15" i="17"/>
  <c r="IX15" i="17"/>
  <c r="IW15" i="17"/>
  <c r="IV15" i="17"/>
  <c r="IU15" i="17"/>
  <c r="IZ15" i="17" s="1"/>
  <c r="GN15" i="17"/>
  <c r="MJ15" i="17" s="1"/>
  <c r="GM15" i="17"/>
  <c r="GL15" i="17"/>
  <c r="GH15" i="17"/>
  <c r="GG15" i="17"/>
  <c r="GF15" i="17"/>
  <c r="GE15" i="17"/>
  <c r="GD15" i="17"/>
  <c r="GC15" i="17"/>
  <c r="GB15" i="17"/>
  <c r="GA15" i="17"/>
  <c r="GI15" i="17" s="1"/>
  <c r="EW15" i="17" s="1"/>
  <c r="FY15" i="17"/>
  <c r="FX15" i="17"/>
  <c r="FW15" i="17"/>
  <c r="FV15" i="17"/>
  <c r="FU15" i="17"/>
  <c r="FT15" i="17"/>
  <c r="FS15" i="17"/>
  <c r="FR15" i="17"/>
  <c r="FZ15" i="17" s="1"/>
  <c r="EV15" i="17" s="1"/>
  <c r="FP15" i="17"/>
  <c r="FO15" i="17"/>
  <c r="LV15" i="17" s="1"/>
  <c r="FN15" i="17"/>
  <c r="FM15" i="17"/>
  <c r="FL15" i="17"/>
  <c r="FK15" i="17"/>
  <c r="FJ15" i="17"/>
  <c r="FI15" i="17"/>
  <c r="FQ15" i="17" s="1"/>
  <c r="EU15" i="17" s="1"/>
  <c r="EX15" i="17" s="1"/>
  <c r="FD15" i="17"/>
  <c r="FC15" i="17"/>
  <c r="FG15" i="17" s="1"/>
  <c r="EQ15" i="17"/>
  <c r="EP15" i="17"/>
  <c r="EO15" i="17"/>
  <c r="EN15" i="17"/>
  <c r="EM15" i="17"/>
  <c r="EL15" i="17"/>
  <c r="ER15" i="17" s="1"/>
  <c r="DT15" i="17" s="1"/>
  <c r="EJ15" i="17"/>
  <c r="EI15" i="17"/>
  <c r="EH15" i="17"/>
  <c r="EG15" i="17"/>
  <c r="EF15" i="17"/>
  <c r="EE15" i="17"/>
  <c r="EK15" i="17" s="1"/>
  <c r="DS15" i="17" s="1"/>
  <c r="EC15" i="17"/>
  <c r="EB15" i="17"/>
  <c r="EA15" i="17"/>
  <c r="DZ15" i="17"/>
  <c r="DY15" i="17"/>
  <c r="DX15" i="17"/>
  <c r="ED15" i="17" s="1"/>
  <c r="DR15" i="17" s="1"/>
  <c r="DU15" i="17" s="1"/>
  <c r="DN15" i="17"/>
  <c r="DM15" i="17"/>
  <c r="DL15" i="17"/>
  <c r="DK15" i="17"/>
  <c r="DJ15" i="17"/>
  <c r="DI15" i="17"/>
  <c r="DO15" i="17" s="1"/>
  <c r="DG15" i="17"/>
  <c r="DF15" i="17"/>
  <c r="DE15" i="17"/>
  <c r="DD15" i="17"/>
  <c r="DC15" i="17"/>
  <c r="DB15" i="17"/>
  <c r="DH15" i="17" s="1"/>
  <c r="CZ15" i="17"/>
  <c r="CY15" i="17"/>
  <c r="CX15" i="17"/>
  <c r="CW15" i="17"/>
  <c r="CV15" i="17"/>
  <c r="CU15" i="17"/>
  <c r="DA15" i="17" s="1"/>
  <c r="CS15" i="17"/>
  <c r="CK15" i="17" s="1"/>
  <c r="CR15" i="17"/>
  <c r="CJ15" i="17" s="1"/>
  <c r="CQ15" i="17"/>
  <c r="CI15" i="17" s="1"/>
  <c r="CP15" i="17"/>
  <c r="CH15" i="17" s="1"/>
  <c r="CO15" i="17"/>
  <c r="CG15" i="17" s="1"/>
  <c r="CN15" i="17"/>
  <c r="CF15" i="17" s="1"/>
  <c r="CL15" i="17" s="1"/>
  <c r="CA15" i="17"/>
  <c r="BZ15" i="17"/>
  <c r="BY15" i="17"/>
  <c r="BX15" i="17"/>
  <c r="BW15" i="17"/>
  <c r="CB15" i="17" s="1"/>
  <c r="BT15" i="17"/>
  <c r="T15" i="17" s="1"/>
  <c r="BS15" i="17"/>
  <c r="S15" i="17" s="1"/>
  <c r="BQ15" i="17"/>
  <c r="BP15" i="17"/>
  <c r="BN15" i="17"/>
  <c r="BM15" i="17"/>
  <c r="BK15" i="17"/>
  <c r="BJ15" i="17"/>
  <c r="BH15" i="17"/>
  <c r="BG15" i="17"/>
  <c r="BE15" i="17"/>
  <c r="BD15" i="17"/>
  <c r="BB15" i="17"/>
  <c r="BA15" i="17"/>
  <c r="AY15" i="17"/>
  <c r="AX15" i="17"/>
  <c r="AV15" i="17"/>
  <c r="AU15" i="17"/>
  <c r="AS15" i="17"/>
  <c r="AR15" i="17"/>
  <c r="AP15" i="17"/>
  <c r="AO15" i="17"/>
  <c r="AM15" i="17"/>
  <c r="AL15" i="17"/>
  <c r="AJ15" i="17"/>
  <c r="AI15" i="17"/>
  <c r="AG15" i="17"/>
  <c r="AF15" i="17"/>
  <c r="NA14" i="17"/>
  <c r="MZ14" i="17"/>
  <c r="MY14" i="17"/>
  <c r="MX14" i="17"/>
  <c r="MW14" i="17"/>
  <c r="MV14" i="17"/>
  <c r="MT14" i="17"/>
  <c r="MS14" i="17"/>
  <c r="MR14" i="17"/>
  <c r="MQ14" i="17"/>
  <c r="MP14" i="17"/>
  <c r="MO14" i="17"/>
  <c r="MC14" i="17"/>
  <c r="MA14" i="17"/>
  <c r="LU14" i="17"/>
  <c r="LT14" i="17"/>
  <c r="MB14" i="17" s="1"/>
  <c r="LJ14" i="17"/>
  <c r="JV14" i="17"/>
  <c r="JU14" i="17"/>
  <c r="JT14" i="17"/>
  <c r="JS14" i="17"/>
  <c r="JG14" i="17"/>
  <c r="JR14" i="17"/>
  <c r="JP14" i="17"/>
  <c r="JO14" i="17"/>
  <c r="JN14" i="17"/>
  <c r="JM14" i="17"/>
  <c r="JL14" i="17"/>
  <c r="JQ14" i="17" s="1"/>
  <c r="JJ14" i="17"/>
  <c r="JI14" i="17"/>
  <c r="JH14" i="17"/>
  <c r="JF14" i="17"/>
  <c r="JK14" i="17" s="1"/>
  <c r="JE14" i="17"/>
  <c r="JD14" i="17"/>
  <c r="JC14" i="17"/>
  <c r="JB14" i="17"/>
  <c r="JA14" i="17"/>
  <c r="IY14" i="17"/>
  <c r="IX14" i="17"/>
  <c r="IW14" i="17"/>
  <c r="IV14" i="17"/>
  <c r="IU14" i="17"/>
  <c r="IZ14" i="17" s="1"/>
  <c r="GN14" i="17"/>
  <c r="GM14" i="17"/>
  <c r="GL14" i="17"/>
  <c r="MI14" i="17" s="1"/>
  <c r="GH14" i="17"/>
  <c r="GG14" i="17"/>
  <c r="GF14" i="17"/>
  <c r="GE14" i="17"/>
  <c r="GD14" i="17"/>
  <c r="GC14" i="17"/>
  <c r="GB14" i="17"/>
  <c r="GA14" i="17"/>
  <c r="GI14" i="17" s="1"/>
  <c r="EW14" i="17" s="1"/>
  <c r="FY14" i="17"/>
  <c r="FX14" i="17"/>
  <c r="FW14" i="17"/>
  <c r="FV14" i="17"/>
  <c r="FU14" i="17"/>
  <c r="FT14" i="17"/>
  <c r="FS14" i="17"/>
  <c r="FR14" i="17"/>
  <c r="FZ14" i="17" s="1"/>
  <c r="EV14" i="17" s="1"/>
  <c r="FP14" i="17"/>
  <c r="FO14" i="17"/>
  <c r="LV14" i="17" s="1"/>
  <c r="FN14" i="17"/>
  <c r="FM14" i="17"/>
  <c r="FL14" i="17"/>
  <c r="FK14" i="17"/>
  <c r="FJ14" i="17"/>
  <c r="FI14" i="17"/>
  <c r="FQ14" i="17" s="1"/>
  <c r="EU14" i="17" s="1"/>
  <c r="EX14" i="17" s="1"/>
  <c r="FD14" i="17"/>
  <c r="FC14" i="17"/>
  <c r="FG14" i="17" s="1"/>
  <c r="EQ14" i="17"/>
  <c r="EP14" i="17"/>
  <c r="EO14" i="17"/>
  <c r="EN14" i="17"/>
  <c r="EM14" i="17"/>
  <c r="EL14" i="17"/>
  <c r="ER14" i="17" s="1"/>
  <c r="DT14" i="17" s="1"/>
  <c r="EJ14" i="17"/>
  <c r="EI14" i="17"/>
  <c r="EH14" i="17"/>
  <c r="EG14" i="17"/>
  <c r="EF14" i="17"/>
  <c r="EE14" i="17"/>
  <c r="EK14" i="17" s="1"/>
  <c r="DS14" i="17" s="1"/>
  <c r="EC14" i="17"/>
  <c r="EB14" i="17"/>
  <c r="EA14" i="17"/>
  <c r="DZ14" i="17"/>
  <c r="DY14" i="17"/>
  <c r="DX14" i="17"/>
  <c r="ED14" i="17" s="1"/>
  <c r="DR14" i="17" s="1"/>
  <c r="DU14" i="17" s="1"/>
  <c r="DN14" i="17"/>
  <c r="DM14" i="17"/>
  <c r="DL14" i="17"/>
  <c r="DK14" i="17"/>
  <c r="DJ14" i="17"/>
  <c r="DI14" i="17"/>
  <c r="DO14" i="17" s="1"/>
  <c r="DG14" i="17"/>
  <c r="DF14" i="17"/>
  <c r="DE14" i="17"/>
  <c r="DD14" i="17"/>
  <c r="DC14" i="17"/>
  <c r="DB14" i="17"/>
  <c r="DH14" i="17" s="1"/>
  <c r="CZ14" i="17"/>
  <c r="CY14" i="17"/>
  <c r="CX14" i="17"/>
  <c r="CW14" i="17"/>
  <c r="CV14" i="17"/>
  <c r="CU14" i="17"/>
  <c r="DA14" i="17" s="1"/>
  <c r="CS14" i="17"/>
  <c r="CK14" i="17" s="1"/>
  <c r="CR14" i="17"/>
  <c r="CJ14" i="17" s="1"/>
  <c r="CQ14" i="17"/>
  <c r="CI14" i="17" s="1"/>
  <c r="CP14" i="17"/>
  <c r="CH14" i="17" s="1"/>
  <c r="CO14" i="17"/>
  <c r="CG14" i="17" s="1"/>
  <c r="CN14" i="17"/>
  <c r="CT14" i="17" s="1"/>
  <c r="CA14" i="17"/>
  <c r="BZ14" i="17"/>
  <c r="BY14" i="17"/>
  <c r="BX14" i="17"/>
  <c r="BW14" i="17"/>
  <c r="CB14" i="17" s="1"/>
  <c r="BT14" i="17"/>
  <c r="T14" i="17" s="1"/>
  <c r="BS14" i="17"/>
  <c r="S14" i="17" s="1"/>
  <c r="BQ14" i="17"/>
  <c r="BP14" i="17"/>
  <c r="BN14" i="17"/>
  <c r="BM14" i="17"/>
  <c r="BK14" i="17"/>
  <c r="BJ14" i="17"/>
  <c r="BH14" i="17"/>
  <c r="BG14" i="17"/>
  <c r="BE14" i="17"/>
  <c r="BD14" i="17"/>
  <c r="BB14" i="17"/>
  <c r="BA14" i="17"/>
  <c r="AY14" i="17"/>
  <c r="AX14" i="17"/>
  <c r="AV14" i="17"/>
  <c r="AJ14" i="17"/>
  <c r="AM14" i="17"/>
  <c r="AU14" i="17"/>
  <c r="AS14" i="17"/>
  <c r="AR14" i="17"/>
  <c r="AP14" i="17"/>
  <c r="AO14" i="17"/>
  <c r="AL14" i="17"/>
  <c r="AI14" i="17"/>
  <c r="AG14" i="17"/>
  <c r="AF14" i="17"/>
  <c r="NA13" i="17"/>
  <c r="MZ13" i="17"/>
  <c r="MY13" i="17"/>
  <c r="MX13" i="17"/>
  <c r="MW13" i="17"/>
  <c r="MV13" i="17"/>
  <c r="MT13" i="17"/>
  <c r="MS13" i="17"/>
  <c r="MR13" i="17"/>
  <c r="MQ13" i="17"/>
  <c r="MP13" i="17"/>
  <c r="MO13" i="17"/>
  <c r="MC13" i="17"/>
  <c r="MA13" i="17"/>
  <c r="LU13" i="17"/>
  <c r="LT13" i="17"/>
  <c r="MB13" i="17" s="1"/>
  <c r="LJ13" i="17"/>
  <c r="JV13" i="17"/>
  <c r="JU13" i="17"/>
  <c r="JT13" i="17"/>
  <c r="JS13" i="17"/>
  <c r="JG13" i="17"/>
  <c r="JR13" i="17"/>
  <c r="JW13" i="17" s="1"/>
  <c r="JP13" i="17"/>
  <c r="JO13" i="17"/>
  <c r="JN13" i="17"/>
  <c r="JM13" i="17"/>
  <c r="JL13" i="17"/>
  <c r="JQ13" i="17" s="1"/>
  <c r="JJ13" i="17"/>
  <c r="JI13" i="17"/>
  <c r="JH13" i="17"/>
  <c r="JF13" i="17"/>
  <c r="JK13" i="17" s="1"/>
  <c r="JE13" i="17"/>
  <c r="JD13" i="17"/>
  <c r="JC13" i="17"/>
  <c r="JB13" i="17"/>
  <c r="JA13" i="17"/>
  <c r="IY13" i="17"/>
  <c r="IX13" i="17"/>
  <c r="IW13" i="17"/>
  <c r="IV13" i="17"/>
  <c r="IU13" i="17"/>
  <c r="IZ13" i="17" s="1"/>
  <c r="GN13" i="17"/>
  <c r="MJ13" i="17" s="1"/>
  <c r="GM13" i="17"/>
  <c r="GL13" i="17"/>
  <c r="MI13" i="17" s="1"/>
  <c r="GH13" i="17"/>
  <c r="GG13" i="17"/>
  <c r="GF13" i="17"/>
  <c r="GE13" i="17"/>
  <c r="GD13" i="17"/>
  <c r="GC13" i="17"/>
  <c r="GB13" i="17"/>
  <c r="GA13" i="17"/>
  <c r="GI13" i="17" s="1"/>
  <c r="EW13" i="17" s="1"/>
  <c r="FY13" i="17"/>
  <c r="FX13" i="17"/>
  <c r="FW13" i="17"/>
  <c r="FV13" i="17"/>
  <c r="FU13" i="17"/>
  <c r="FT13" i="17"/>
  <c r="FS13" i="17"/>
  <c r="FR13" i="17"/>
  <c r="FZ13" i="17" s="1"/>
  <c r="EV13" i="17" s="1"/>
  <c r="FP13" i="17"/>
  <c r="FO13" i="17"/>
  <c r="LV13" i="17" s="1"/>
  <c r="FN13" i="17"/>
  <c r="FM13" i="17"/>
  <c r="FL13" i="17"/>
  <c r="FK13" i="17"/>
  <c r="FJ13" i="17"/>
  <c r="FI13" i="17"/>
  <c r="FQ13" i="17" s="1"/>
  <c r="EU13" i="17" s="1"/>
  <c r="EX13" i="17" s="1"/>
  <c r="FD13" i="17"/>
  <c r="FC13" i="17"/>
  <c r="FG13" i="17" s="1"/>
  <c r="EQ13" i="17"/>
  <c r="EP13" i="17"/>
  <c r="EO13" i="17"/>
  <c r="EN13" i="17"/>
  <c r="EM13" i="17"/>
  <c r="EL13" i="17"/>
  <c r="ER13" i="17" s="1"/>
  <c r="DT13" i="17" s="1"/>
  <c r="EJ13" i="17"/>
  <c r="EI13" i="17"/>
  <c r="EH13" i="17"/>
  <c r="EG13" i="17"/>
  <c r="EF13" i="17"/>
  <c r="EE13" i="17"/>
  <c r="EK13" i="17" s="1"/>
  <c r="DS13" i="17" s="1"/>
  <c r="EC13" i="17"/>
  <c r="EB13" i="17"/>
  <c r="EA13" i="17"/>
  <c r="DZ13" i="17"/>
  <c r="DY13" i="17"/>
  <c r="DX13" i="17"/>
  <c r="ED13" i="17" s="1"/>
  <c r="DR13" i="17" s="1"/>
  <c r="DU13" i="17" s="1"/>
  <c r="DN13" i="17"/>
  <c r="DM13" i="17"/>
  <c r="DL13" i="17"/>
  <c r="DK13" i="17"/>
  <c r="DJ13" i="17"/>
  <c r="DI13" i="17"/>
  <c r="DO13" i="17" s="1"/>
  <c r="DG13" i="17"/>
  <c r="DF13" i="17"/>
  <c r="DE13" i="17"/>
  <c r="DD13" i="17"/>
  <c r="DC13" i="17"/>
  <c r="DB13" i="17"/>
  <c r="DH13" i="17" s="1"/>
  <c r="CZ13" i="17"/>
  <c r="CY13" i="17"/>
  <c r="CX13" i="17"/>
  <c r="CW13" i="17"/>
  <c r="CV13" i="17"/>
  <c r="CU13" i="17"/>
  <c r="DA13" i="17" s="1"/>
  <c r="CS13" i="17"/>
  <c r="CK13" i="17" s="1"/>
  <c r="CR13" i="17"/>
  <c r="CJ13" i="17" s="1"/>
  <c r="CQ13" i="17"/>
  <c r="CI13" i="17" s="1"/>
  <c r="CP13" i="17"/>
  <c r="CH13" i="17" s="1"/>
  <c r="CO13" i="17"/>
  <c r="CG13" i="17" s="1"/>
  <c r="CN13" i="17"/>
  <c r="CF13" i="17" s="1"/>
  <c r="CL13" i="17" s="1"/>
  <c r="CA13" i="17"/>
  <c r="BZ13" i="17"/>
  <c r="BY13" i="17"/>
  <c r="BX13" i="17"/>
  <c r="BW13" i="17"/>
  <c r="CB13" i="17" s="1"/>
  <c r="BT13" i="17"/>
  <c r="T13" i="17" s="1"/>
  <c r="BS13" i="17"/>
  <c r="S13" i="17" s="1"/>
  <c r="BQ13" i="17"/>
  <c r="BP13" i="17"/>
  <c r="BN13" i="17"/>
  <c r="BM13" i="17"/>
  <c r="BK13" i="17"/>
  <c r="BJ13" i="17"/>
  <c r="BH13" i="17"/>
  <c r="BG13" i="17"/>
  <c r="BE13" i="17"/>
  <c r="BD13" i="17"/>
  <c r="BB13" i="17"/>
  <c r="BA13" i="17"/>
  <c r="AX13" i="17"/>
  <c r="AY13" i="17"/>
  <c r="AV13" i="17"/>
  <c r="AU13" i="17"/>
  <c r="AS13" i="17"/>
  <c r="AR13" i="17"/>
  <c r="AP13" i="17"/>
  <c r="AO13" i="17"/>
  <c r="AM13" i="17"/>
  <c r="AL13" i="17"/>
  <c r="AJ13" i="17"/>
  <c r="AI13" i="17"/>
  <c r="AG13" i="17"/>
  <c r="AF13" i="17"/>
  <c r="NA12" i="17"/>
  <c r="MZ12" i="17"/>
  <c r="MY12" i="17"/>
  <c r="MX12" i="17"/>
  <c r="MW12" i="17"/>
  <c r="MV12" i="17"/>
  <c r="MT12" i="17"/>
  <c r="MS12" i="17"/>
  <c r="MR12" i="17"/>
  <c r="MQ12" i="17"/>
  <c r="MP12" i="17"/>
  <c r="MO12" i="17"/>
  <c r="MC12" i="17"/>
  <c r="MA12" i="17"/>
  <c r="LU12" i="17"/>
  <c r="LT12" i="17"/>
  <c r="MB12" i="17" s="1"/>
  <c r="LJ12" i="17"/>
  <c r="JV12" i="17"/>
  <c r="JU12" i="17"/>
  <c r="JT12" i="17"/>
  <c r="JS12" i="17"/>
  <c r="JR12" i="17"/>
  <c r="JW12" i="17" s="1"/>
  <c r="JP12" i="17"/>
  <c r="JO12" i="17"/>
  <c r="JN12" i="17"/>
  <c r="JM12" i="17"/>
  <c r="JL12" i="17"/>
  <c r="JQ12" i="17" s="1"/>
  <c r="JJ12" i="17"/>
  <c r="JI12" i="17"/>
  <c r="JH12" i="17"/>
  <c r="JG12" i="17"/>
  <c r="JF12" i="17"/>
  <c r="JK12" i="17" s="1"/>
  <c r="JE12" i="17"/>
  <c r="JD12" i="17"/>
  <c r="JC12" i="17"/>
  <c r="JB12" i="17"/>
  <c r="JA12" i="17"/>
  <c r="IY12" i="17"/>
  <c r="IX12" i="17"/>
  <c r="IW12" i="17"/>
  <c r="IV12" i="17"/>
  <c r="IU12" i="17"/>
  <c r="IZ12" i="17" s="1"/>
  <c r="GN12" i="17"/>
  <c r="MJ12" i="17" s="1"/>
  <c r="GM12" i="17"/>
  <c r="GL12" i="17"/>
  <c r="GH12" i="17"/>
  <c r="GG12" i="17"/>
  <c r="GF12" i="17"/>
  <c r="GE12" i="17"/>
  <c r="GD12" i="17"/>
  <c r="GC12" i="17"/>
  <c r="GB12" i="17"/>
  <c r="GA12" i="17"/>
  <c r="GI12" i="17" s="1"/>
  <c r="EW12" i="17" s="1"/>
  <c r="FY12" i="17"/>
  <c r="FX12" i="17"/>
  <c r="FW12" i="17"/>
  <c r="FV12" i="17"/>
  <c r="FU12" i="17"/>
  <c r="FT12" i="17"/>
  <c r="FS12" i="17"/>
  <c r="FR12" i="17"/>
  <c r="FZ12" i="17" s="1"/>
  <c r="EV12" i="17" s="1"/>
  <c r="FP12" i="17"/>
  <c r="FO12" i="17"/>
  <c r="LV12" i="17" s="1"/>
  <c r="FN12" i="17"/>
  <c r="FM12" i="17"/>
  <c r="FL12" i="17"/>
  <c r="FK12" i="17"/>
  <c r="FJ12" i="17"/>
  <c r="FI12" i="17"/>
  <c r="FQ12" i="17" s="1"/>
  <c r="EU12" i="17" s="1"/>
  <c r="EX12" i="17" s="1"/>
  <c r="FD12" i="17"/>
  <c r="FC12" i="17"/>
  <c r="FG12" i="17" s="1"/>
  <c r="EQ12" i="17"/>
  <c r="EP12" i="17"/>
  <c r="EO12" i="17"/>
  <c r="EN12" i="17"/>
  <c r="EM12" i="17"/>
  <c r="EL12" i="17"/>
  <c r="ER12" i="17" s="1"/>
  <c r="DT12" i="17" s="1"/>
  <c r="EJ12" i="17"/>
  <c r="EI12" i="17"/>
  <c r="EH12" i="17"/>
  <c r="EG12" i="17"/>
  <c r="EF12" i="17"/>
  <c r="EE12" i="17"/>
  <c r="EK12" i="17" s="1"/>
  <c r="DS12" i="17" s="1"/>
  <c r="EC12" i="17"/>
  <c r="EB12" i="17"/>
  <c r="EA12" i="17"/>
  <c r="DZ12" i="17"/>
  <c r="DY12" i="17"/>
  <c r="DX12" i="17"/>
  <c r="ED12" i="17" s="1"/>
  <c r="DR12" i="17" s="1"/>
  <c r="DU12" i="17" s="1"/>
  <c r="DN12" i="17"/>
  <c r="DM12" i="17"/>
  <c r="DL12" i="17"/>
  <c r="DK12" i="17"/>
  <c r="DJ12" i="17"/>
  <c r="DI12" i="17"/>
  <c r="DO12" i="17" s="1"/>
  <c r="DG12" i="17"/>
  <c r="DF12" i="17"/>
  <c r="DE12" i="17"/>
  <c r="DD12" i="17"/>
  <c r="DC12" i="17"/>
  <c r="DB12" i="17"/>
  <c r="DH12" i="17" s="1"/>
  <c r="CZ12" i="17"/>
  <c r="CY12" i="17"/>
  <c r="CX12" i="17"/>
  <c r="CW12" i="17"/>
  <c r="CV12" i="17"/>
  <c r="CU12" i="17"/>
  <c r="DA12" i="17" s="1"/>
  <c r="CS12" i="17"/>
  <c r="CK12" i="17" s="1"/>
  <c r="CR12" i="17"/>
  <c r="CJ12" i="17" s="1"/>
  <c r="CQ12" i="17"/>
  <c r="CI12" i="17" s="1"/>
  <c r="CP12" i="17"/>
  <c r="CH12" i="17" s="1"/>
  <c r="CO12" i="17"/>
  <c r="CG12" i="17" s="1"/>
  <c r="CN12" i="17"/>
  <c r="CA12" i="17"/>
  <c r="BZ12" i="17"/>
  <c r="BY12" i="17"/>
  <c r="BX12" i="17"/>
  <c r="BW12" i="17"/>
  <c r="CB12" i="17" s="1"/>
  <c r="BT12" i="17"/>
  <c r="T12" i="17" s="1"/>
  <c r="BS12" i="17"/>
  <c r="S12" i="17" s="1"/>
  <c r="BQ12" i="17"/>
  <c r="BP12" i="17"/>
  <c r="BN12" i="17"/>
  <c r="BM12" i="17"/>
  <c r="BK12" i="17"/>
  <c r="BJ12" i="17"/>
  <c r="BA12" i="17"/>
  <c r="BH12" i="17"/>
  <c r="BG12" i="17"/>
  <c r="BE12" i="17"/>
  <c r="BD12" i="17"/>
  <c r="BB12" i="17"/>
  <c r="AY12" i="17"/>
  <c r="AX12" i="17"/>
  <c r="AV12" i="17"/>
  <c r="AU12" i="17"/>
  <c r="AS12" i="17"/>
  <c r="AR12" i="17"/>
  <c r="AP12" i="17"/>
  <c r="AO12" i="17"/>
  <c r="AM12" i="17"/>
  <c r="AL12" i="17"/>
  <c r="AJ12" i="17"/>
  <c r="AI12" i="17"/>
  <c r="AG12" i="17"/>
  <c r="AF12" i="17"/>
  <c r="NA11" i="17"/>
  <c r="MZ11" i="17"/>
  <c r="MY11" i="17"/>
  <c r="MX11" i="17"/>
  <c r="MW11" i="17"/>
  <c r="MV11" i="17"/>
  <c r="MT11" i="17"/>
  <c r="MS11" i="17"/>
  <c r="MR11" i="17"/>
  <c r="MQ11" i="17"/>
  <c r="MP11" i="17"/>
  <c r="MO11" i="17"/>
  <c r="MC11" i="17"/>
  <c r="MA11" i="17"/>
  <c r="LU11" i="17"/>
  <c r="LT11" i="17"/>
  <c r="MB11" i="17" s="1"/>
  <c r="LJ11" i="17"/>
  <c r="JV11" i="17"/>
  <c r="JU11" i="17"/>
  <c r="JT11" i="17"/>
  <c r="JS11" i="17"/>
  <c r="JR11" i="17"/>
  <c r="JW11" i="17" s="1"/>
  <c r="JP11" i="17"/>
  <c r="JO11" i="17"/>
  <c r="JN11" i="17"/>
  <c r="JM11" i="17"/>
  <c r="JL11" i="17"/>
  <c r="JQ11" i="17" s="1"/>
  <c r="JJ11" i="17"/>
  <c r="JI11" i="17"/>
  <c r="JH11" i="17"/>
  <c r="JG11" i="17"/>
  <c r="JF11" i="17"/>
  <c r="JK11" i="17" s="1"/>
  <c r="JE11" i="17"/>
  <c r="JD11" i="17"/>
  <c r="JC11" i="17"/>
  <c r="JB11" i="17"/>
  <c r="JA11" i="17"/>
  <c r="IY11" i="17"/>
  <c r="IX11" i="17"/>
  <c r="IW11" i="17"/>
  <c r="IV11" i="17"/>
  <c r="IU11" i="17"/>
  <c r="IZ11" i="17" s="1"/>
  <c r="GN11" i="17"/>
  <c r="MJ11" i="17" s="1"/>
  <c r="GM11" i="17"/>
  <c r="GL11" i="17"/>
  <c r="MI11" i="17" s="1"/>
  <c r="GH11" i="17"/>
  <c r="GG11" i="17"/>
  <c r="GF11" i="17"/>
  <c r="GE11" i="17"/>
  <c r="GD11" i="17"/>
  <c r="GC11" i="17"/>
  <c r="GB11" i="17"/>
  <c r="GA11" i="17"/>
  <c r="GI11" i="17" s="1"/>
  <c r="EW11" i="17" s="1"/>
  <c r="FY11" i="17"/>
  <c r="FX11" i="17"/>
  <c r="FW11" i="17"/>
  <c r="FV11" i="17"/>
  <c r="FU11" i="17"/>
  <c r="FT11" i="17"/>
  <c r="FS11" i="17"/>
  <c r="FR11" i="17"/>
  <c r="FZ11" i="17" s="1"/>
  <c r="EV11" i="17" s="1"/>
  <c r="FP11" i="17"/>
  <c r="FO11" i="17"/>
  <c r="LV11" i="17" s="1"/>
  <c r="FN11" i="17"/>
  <c r="FM11" i="17"/>
  <c r="FL11" i="17"/>
  <c r="FK11" i="17"/>
  <c r="FJ11" i="17"/>
  <c r="FI11" i="17"/>
  <c r="FQ11" i="17" s="1"/>
  <c r="EU11" i="17" s="1"/>
  <c r="EX11" i="17" s="1"/>
  <c r="FD11" i="17"/>
  <c r="FC11" i="17"/>
  <c r="FG11" i="17" s="1"/>
  <c r="EQ11" i="17"/>
  <c r="EP11" i="17"/>
  <c r="EO11" i="17"/>
  <c r="EN11" i="17"/>
  <c r="EM11" i="17"/>
  <c r="EL11" i="17"/>
  <c r="ER11" i="17" s="1"/>
  <c r="DT11" i="17" s="1"/>
  <c r="EJ11" i="17"/>
  <c r="EI11" i="17"/>
  <c r="EH11" i="17"/>
  <c r="EG11" i="17"/>
  <c r="EF11" i="17"/>
  <c r="EE11" i="17"/>
  <c r="EK11" i="17" s="1"/>
  <c r="DS11" i="17" s="1"/>
  <c r="EC11" i="17"/>
  <c r="EB11" i="17"/>
  <c r="EA11" i="17"/>
  <c r="DZ11" i="17"/>
  <c r="DY11" i="17"/>
  <c r="DX11" i="17"/>
  <c r="ED11" i="17" s="1"/>
  <c r="DR11" i="17" s="1"/>
  <c r="DU11" i="17" s="1"/>
  <c r="DN11" i="17"/>
  <c r="DM11" i="17"/>
  <c r="DL11" i="17"/>
  <c r="DK11" i="17"/>
  <c r="DJ11" i="17"/>
  <c r="DI11" i="17"/>
  <c r="DO11" i="17" s="1"/>
  <c r="DG11" i="17"/>
  <c r="DF11" i="17"/>
  <c r="DE11" i="17"/>
  <c r="DD11" i="17"/>
  <c r="DC11" i="17"/>
  <c r="DB11" i="17"/>
  <c r="DH11" i="17" s="1"/>
  <c r="CZ11" i="17"/>
  <c r="CY11" i="17"/>
  <c r="CX11" i="17"/>
  <c r="CW11" i="17"/>
  <c r="CV11" i="17"/>
  <c r="CU11" i="17"/>
  <c r="DA11" i="17" s="1"/>
  <c r="CS11" i="17"/>
  <c r="CK11" i="17" s="1"/>
  <c r="CR11" i="17"/>
  <c r="CJ11" i="17" s="1"/>
  <c r="CQ11" i="17"/>
  <c r="CI11" i="17" s="1"/>
  <c r="CP11" i="17"/>
  <c r="CH11" i="17" s="1"/>
  <c r="CO11" i="17"/>
  <c r="CG11" i="17" s="1"/>
  <c r="CN11" i="17"/>
  <c r="CF11" i="17" s="1"/>
  <c r="CL11" i="17" s="1"/>
  <c r="CA11" i="17"/>
  <c r="BZ11" i="17"/>
  <c r="BY11" i="17"/>
  <c r="BX11" i="17"/>
  <c r="BW11" i="17"/>
  <c r="CB11" i="17" s="1"/>
  <c r="BT11" i="17"/>
  <c r="BS11" i="17"/>
  <c r="S11" i="17" s="1"/>
  <c r="BQ11" i="17"/>
  <c r="BP11" i="17"/>
  <c r="BN11" i="17"/>
  <c r="BM11" i="17"/>
  <c r="BK11" i="17"/>
  <c r="BJ11" i="17"/>
  <c r="BH11" i="17"/>
  <c r="BG11" i="17"/>
  <c r="BE11" i="17"/>
  <c r="BD11" i="17"/>
  <c r="BB11" i="17"/>
  <c r="BA11" i="17"/>
  <c r="AY11" i="17"/>
  <c r="AX11" i="17"/>
  <c r="AV11" i="17"/>
  <c r="AU11" i="17"/>
  <c r="AS11" i="17"/>
  <c r="AR11" i="17"/>
  <c r="AP11" i="17"/>
  <c r="AO11" i="17"/>
  <c r="AM11" i="17"/>
  <c r="AL11" i="17"/>
  <c r="AJ11" i="17"/>
  <c r="AI11" i="17"/>
  <c r="AG11" i="17"/>
  <c r="AF11" i="17"/>
  <c r="NA10" i="17"/>
  <c r="MZ10" i="17"/>
  <c r="MY10" i="17"/>
  <c r="MX10" i="17"/>
  <c r="MW10" i="17"/>
  <c r="MV10" i="17"/>
  <c r="MT10" i="17"/>
  <c r="MS10" i="17"/>
  <c r="MR10" i="17"/>
  <c r="MQ10" i="17"/>
  <c r="MP10" i="17"/>
  <c r="MO10" i="17"/>
  <c r="MC10" i="17"/>
  <c r="MC41" i="17" s="1"/>
  <c r="MC42" i="17" s="1"/>
  <c r="MC44" i="17" s="1"/>
  <c r="MA10" i="17"/>
  <c r="MA41" i="17" s="1"/>
  <c r="MA42" i="17" s="1"/>
  <c r="MA44" i="17" s="1"/>
  <c r="LU10" i="17"/>
  <c r="LU41" i="17" s="1"/>
  <c r="LU42" i="17" s="1"/>
  <c r="LU44" i="17" s="1"/>
  <c r="LT10" i="17"/>
  <c r="LT41" i="17" s="1"/>
  <c r="LT42" i="17" s="1"/>
  <c r="LT44" i="17" s="1"/>
  <c r="LJ10" i="17"/>
  <c r="JV10" i="17"/>
  <c r="JV41" i="17" s="1"/>
  <c r="JV42" i="17" s="1"/>
  <c r="JV44" i="17" s="1"/>
  <c r="JU10" i="17"/>
  <c r="JU41" i="17" s="1"/>
  <c r="JU42" i="17" s="1"/>
  <c r="JU44" i="17" s="1"/>
  <c r="JT10" i="17"/>
  <c r="JT41" i="17" s="1"/>
  <c r="JT42" i="17" s="1"/>
  <c r="JT44" i="17" s="1"/>
  <c r="JS10" i="17"/>
  <c r="JG10" i="17"/>
  <c r="JG41" i="17" s="1"/>
  <c r="JG42" i="17" s="1"/>
  <c r="JR10" i="17"/>
  <c r="JW10" i="17" s="1"/>
  <c r="JW41" i="17" s="1"/>
  <c r="JW42" i="17" s="1"/>
  <c r="JW44" i="17" s="1"/>
  <c r="JP10" i="17"/>
  <c r="JP41" i="17" s="1"/>
  <c r="JP42" i="17" s="1"/>
  <c r="JP44" i="17" s="1"/>
  <c r="JO10" i="17"/>
  <c r="JO41" i="17" s="1"/>
  <c r="JO42" i="17" s="1"/>
  <c r="JO44" i="17" s="1"/>
  <c r="JN10" i="17"/>
  <c r="JN41" i="17" s="1"/>
  <c r="JN42" i="17" s="1"/>
  <c r="JN44" i="17" s="1"/>
  <c r="JM10" i="17"/>
  <c r="JL10" i="17"/>
  <c r="JJ10" i="17"/>
  <c r="JJ41" i="17" s="1"/>
  <c r="JJ42" i="17" s="1"/>
  <c r="JJ44" i="17" s="1"/>
  <c r="JI10" i="17"/>
  <c r="JI41" i="17" s="1"/>
  <c r="JI42" i="17" s="1"/>
  <c r="JI44" i="17" s="1"/>
  <c r="JH10" i="17"/>
  <c r="JH41" i="17" s="1"/>
  <c r="JH42" i="17" s="1"/>
  <c r="JH44" i="17" s="1"/>
  <c r="JF10" i="17"/>
  <c r="JF41" i="17" s="1"/>
  <c r="JF42" i="17" s="1"/>
  <c r="JF44" i="17" s="1"/>
  <c r="JE10" i="17"/>
  <c r="JE41" i="17" s="1"/>
  <c r="JE42" i="17" s="1"/>
  <c r="JE44" i="17" s="1"/>
  <c r="JD10" i="17"/>
  <c r="JD41" i="17" s="1"/>
  <c r="JD42" i="17" s="1"/>
  <c r="JD44" i="17" s="1"/>
  <c r="JC10" i="17"/>
  <c r="JC41" i="17" s="1"/>
  <c r="JC42" i="17" s="1"/>
  <c r="JC44" i="17" s="1"/>
  <c r="JB10" i="17"/>
  <c r="JB41" i="17" s="1"/>
  <c r="JB42" i="17" s="1"/>
  <c r="JA10" i="17"/>
  <c r="JA41" i="17" s="1"/>
  <c r="JA42" i="17" s="1"/>
  <c r="JA44" i="17" s="1"/>
  <c r="IY10" i="17"/>
  <c r="IY41" i="17" s="1"/>
  <c r="IY42" i="17" s="1"/>
  <c r="IY44" i="17" s="1"/>
  <c r="IX10" i="17"/>
  <c r="IX41" i="17" s="1"/>
  <c r="IX42" i="17" s="1"/>
  <c r="IX44" i="17" s="1"/>
  <c r="IW10" i="17"/>
  <c r="IW41" i="17" s="1"/>
  <c r="IW42" i="17" s="1"/>
  <c r="IW44" i="17" s="1"/>
  <c r="IV10" i="17"/>
  <c r="IV41" i="17" s="1"/>
  <c r="IV42" i="17" s="1"/>
  <c r="IU10" i="17"/>
  <c r="IU41" i="17" s="1"/>
  <c r="IU42" i="17" s="1"/>
  <c r="IU44" i="17" s="1"/>
  <c r="GN10" i="17"/>
  <c r="IF41" i="17" s="1"/>
  <c r="IF42" i="17" s="1"/>
  <c r="IF44" i="17" s="1"/>
  <c r="GM10" i="17"/>
  <c r="IA41" i="17" s="1"/>
  <c r="IA42" i="17" s="1"/>
  <c r="IA44" i="17" s="1"/>
  <c r="GL10" i="17"/>
  <c r="GH10" i="17"/>
  <c r="GH41" i="17" s="1"/>
  <c r="GH42" i="17" s="1"/>
  <c r="GH44" i="17" s="1"/>
  <c r="GG10" i="17"/>
  <c r="GG41" i="17" s="1"/>
  <c r="GG42" i="17" s="1"/>
  <c r="GG44" i="17" s="1"/>
  <c r="GF10" i="17"/>
  <c r="GE10" i="17"/>
  <c r="GE41" i="17" s="1"/>
  <c r="GE42" i="17" s="1"/>
  <c r="GE44" i="17" s="1"/>
  <c r="GD10" i="17"/>
  <c r="GD41" i="17" s="1"/>
  <c r="GD42" i="17" s="1"/>
  <c r="GD44" i="17" s="1"/>
  <c r="GC10" i="17"/>
  <c r="GC41" i="17" s="1"/>
  <c r="GC42" i="17" s="1"/>
  <c r="GC44" i="17" s="1"/>
  <c r="GB10" i="17"/>
  <c r="GB41" i="17" s="1"/>
  <c r="GB42" i="17" s="1"/>
  <c r="GB44" i="17" s="1"/>
  <c r="GA10" i="17"/>
  <c r="FY10" i="17"/>
  <c r="FX10" i="17"/>
  <c r="FX41" i="17" s="1"/>
  <c r="FX42" i="17" s="1"/>
  <c r="FX44" i="17" s="1"/>
  <c r="FW10" i="17"/>
  <c r="FW41" i="17" s="1"/>
  <c r="FW42" i="17" s="1"/>
  <c r="FW44" i="17" s="1"/>
  <c r="FV10" i="17"/>
  <c r="FV41" i="17" s="1"/>
  <c r="FV42" i="17" s="1"/>
  <c r="FV44" i="17" s="1"/>
  <c r="FU10" i="17"/>
  <c r="FU41" i="17" s="1"/>
  <c r="FU42" i="17" s="1"/>
  <c r="FU44" i="17" s="1"/>
  <c r="FT10" i="17"/>
  <c r="FT41" i="17" s="1"/>
  <c r="FT42" i="17" s="1"/>
  <c r="FT44" i="17" s="1"/>
  <c r="FS10" i="17"/>
  <c r="FS41" i="17" s="1"/>
  <c r="FS42" i="17" s="1"/>
  <c r="FS44" i="17" s="1"/>
  <c r="FR10" i="17"/>
  <c r="FR41" i="17" s="1"/>
  <c r="FR42" i="17" s="1"/>
  <c r="FP10" i="17"/>
  <c r="FP41" i="17" s="1"/>
  <c r="FP42" i="17" s="1"/>
  <c r="FP44" i="17" s="1"/>
  <c r="FO10" i="17"/>
  <c r="FO41" i="17" s="1"/>
  <c r="FO42" i="17" s="1"/>
  <c r="FO44" i="17" s="1"/>
  <c r="FN10" i="17"/>
  <c r="FN41" i="17" s="1"/>
  <c r="FN42" i="17" s="1"/>
  <c r="FN44" i="17" s="1"/>
  <c r="FM10" i="17"/>
  <c r="FM41" i="17" s="1"/>
  <c r="FM42" i="17" s="1"/>
  <c r="FM44" i="17" s="1"/>
  <c r="FL10" i="17"/>
  <c r="FL41" i="17" s="1"/>
  <c r="FL42" i="17" s="1"/>
  <c r="FL44" i="17" s="1"/>
  <c r="FK10" i="17"/>
  <c r="FK41" i="17" s="1"/>
  <c r="FK42" i="17" s="1"/>
  <c r="FK44" i="17" s="1"/>
  <c r="FJ10" i="17"/>
  <c r="FJ41" i="17" s="1"/>
  <c r="FJ42" i="17" s="1"/>
  <c r="FJ44" i="17" s="1"/>
  <c r="FI10" i="17"/>
  <c r="FI41" i="17" s="1"/>
  <c r="FD10" i="17"/>
  <c r="FD41" i="17" s="1"/>
  <c r="FD42" i="17" s="1"/>
  <c r="FD44" i="17" s="1"/>
  <c r="FC10" i="17"/>
  <c r="FC41" i="17" s="1"/>
  <c r="FC42" i="17" s="1"/>
  <c r="FC44" i="17" s="1"/>
  <c r="EQ10" i="17"/>
  <c r="EQ41" i="17" s="1"/>
  <c r="EQ42" i="17" s="1"/>
  <c r="EQ44" i="17" s="1"/>
  <c r="EP10" i="17"/>
  <c r="EP41" i="17" s="1"/>
  <c r="EP42" i="17" s="1"/>
  <c r="EP44" i="17" s="1"/>
  <c r="EO10" i="17"/>
  <c r="EO41" i="17" s="1"/>
  <c r="EO42" i="17" s="1"/>
  <c r="EO44" i="17" s="1"/>
  <c r="EN10" i="17"/>
  <c r="EN41" i="17" s="1"/>
  <c r="EN42" i="17" s="1"/>
  <c r="EN44" i="17" s="1"/>
  <c r="EM10" i="17"/>
  <c r="EL10" i="17"/>
  <c r="EJ10" i="17"/>
  <c r="EJ41" i="17" s="1"/>
  <c r="EJ42" i="17" s="1"/>
  <c r="EJ44" i="17" s="1"/>
  <c r="EI10" i="17"/>
  <c r="EI41" i="17" s="1"/>
  <c r="EI42" i="17" s="1"/>
  <c r="EI44" i="17" s="1"/>
  <c r="EH10" i="17"/>
  <c r="EH41" i="17" s="1"/>
  <c r="EH42" i="17" s="1"/>
  <c r="EH44" i="17" s="1"/>
  <c r="EG10" i="17"/>
  <c r="EG41" i="17" s="1"/>
  <c r="EG42" i="17" s="1"/>
  <c r="EG44" i="17" s="1"/>
  <c r="EF10" i="17"/>
  <c r="EF41" i="17" s="1"/>
  <c r="EF42" i="17" s="1"/>
  <c r="EF44" i="17" s="1"/>
  <c r="EE10" i="17"/>
  <c r="EE41" i="17" s="1"/>
  <c r="EE42" i="17" s="1"/>
  <c r="EE44" i="17" s="1"/>
  <c r="EC10" i="17"/>
  <c r="EC41" i="17" s="1"/>
  <c r="EC42" i="17" s="1"/>
  <c r="EC44" i="17" s="1"/>
  <c r="EB10" i="17"/>
  <c r="EB41" i="17" s="1"/>
  <c r="EB42" i="17" s="1"/>
  <c r="EB44" i="17" s="1"/>
  <c r="EA10" i="17"/>
  <c r="EA41" i="17" s="1"/>
  <c r="EA42" i="17" s="1"/>
  <c r="EA44" i="17" s="1"/>
  <c r="DZ10" i="17"/>
  <c r="DZ41" i="17" s="1"/>
  <c r="DZ42" i="17" s="1"/>
  <c r="DZ44" i="17" s="1"/>
  <c r="DY10" i="17"/>
  <c r="DX10" i="17"/>
  <c r="DX41" i="17" s="1"/>
  <c r="DX42" i="17" s="1"/>
  <c r="DX44" i="17" s="1"/>
  <c r="DN10" i="17"/>
  <c r="DN41" i="17" s="1"/>
  <c r="DN42" i="17" s="1"/>
  <c r="DN44" i="17" s="1"/>
  <c r="DM10" i="17"/>
  <c r="DM41" i="17" s="1"/>
  <c r="DM42" i="17" s="1"/>
  <c r="DM44" i="17" s="1"/>
  <c r="DL10" i="17"/>
  <c r="DL41" i="17" s="1"/>
  <c r="DL42" i="17" s="1"/>
  <c r="DL44" i="17" s="1"/>
  <c r="DK10" i="17"/>
  <c r="DK41" i="17" s="1"/>
  <c r="DK42" i="17" s="1"/>
  <c r="DK44" i="17" s="1"/>
  <c r="DJ10" i="17"/>
  <c r="DJ41" i="17" s="1"/>
  <c r="DJ42" i="17" s="1"/>
  <c r="DJ44" i="17" s="1"/>
  <c r="DI10" i="17"/>
  <c r="DO10" i="17" s="1"/>
  <c r="DO41" i="17" s="1"/>
  <c r="DO42" i="17" s="1"/>
  <c r="DO44" i="17" s="1"/>
  <c r="DG10" i="17"/>
  <c r="DG41" i="17" s="1"/>
  <c r="DG42" i="17" s="1"/>
  <c r="DG44" i="17" s="1"/>
  <c r="DF10" i="17"/>
  <c r="DF41" i="17" s="1"/>
  <c r="DF42" i="17" s="1"/>
  <c r="DF44" i="17" s="1"/>
  <c r="DE10" i="17"/>
  <c r="DE41" i="17" s="1"/>
  <c r="DE42" i="17" s="1"/>
  <c r="DE44" i="17" s="1"/>
  <c r="DD10" i="17"/>
  <c r="DD41" i="17" s="1"/>
  <c r="DD42" i="17" s="1"/>
  <c r="DD44" i="17" s="1"/>
  <c r="DC10" i="17"/>
  <c r="DC41" i="17" s="1"/>
  <c r="DC42" i="17" s="1"/>
  <c r="DC44" i="17" s="1"/>
  <c r="DB10" i="17"/>
  <c r="DH10" i="17" s="1"/>
  <c r="DH41" i="17" s="1"/>
  <c r="DH42" i="17" s="1"/>
  <c r="DH44" i="17" s="1"/>
  <c r="CZ10" i="17"/>
  <c r="CZ41" i="17" s="1"/>
  <c r="CZ42" i="17" s="1"/>
  <c r="CZ44" i="17" s="1"/>
  <c r="CY10" i="17"/>
  <c r="CX10" i="17"/>
  <c r="CX41" i="17" s="1"/>
  <c r="CX42" i="17" s="1"/>
  <c r="CX44" i="17" s="1"/>
  <c r="CW10" i="17"/>
  <c r="CW41" i="17" s="1"/>
  <c r="CW42" i="17" s="1"/>
  <c r="CW44" i="17" s="1"/>
  <c r="CV10" i="17"/>
  <c r="CV41" i="17" s="1"/>
  <c r="CV42" i="17" s="1"/>
  <c r="CV44" i="17" s="1"/>
  <c r="CU10" i="17"/>
  <c r="DA10" i="17" s="1"/>
  <c r="DA41" i="17" s="1"/>
  <c r="DA42" i="17" s="1"/>
  <c r="DA44" i="17" s="1"/>
  <c r="CS10" i="17"/>
  <c r="CS41" i="17" s="1"/>
  <c r="CS42" i="17" s="1"/>
  <c r="CS44" i="17" s="1"/>
  <c r="CR10" i="17"/>
  <c r="CR41" i="17" s="1"/>
  <c r="CR42" i="17" s="1"/>
  <c r="CR44" i="17" s="1"/>
  <c r="CQ10" i="17"/>
  <c r="CP10" i="17"/>
  <c r="CP41" i="17" s="1"/>
  <c r="CP42" i="17" s="1"/>
  <c r="CP44" i="17" s="1"/>
  <c r="CO10" i="17"/>
  <c r="CO41" i="17" s="1"/>
  <c r="CO42" i="17" s="1"/>
  <c r="CO44" i="17" s="1"/>
  <c r="CN10" i="17"/>
  <c r="CA10" i="17"/>
  <c r="CA41" i="17" s="1"/>
  <c r="BZ10" i="17"/>
  <c r="BZ41" i="17" s="1"/>
  <c r="BY10" i="17"/>
  <c r="BY41" i="17" s="1"/>
  <c r="BX10" i="17"/>
  <c r="BX41" i="17" s="1"/>
  <c r="BW10" i="17"/>
  <c r="BW41" i="17" s="1"/>
  <c r="BT10" i="17"/>
  <c r="BT41" i="17" s="1"/>
  <c r="BS10" i="17"/>
  <c r="BS41" i="17" s="1"/>
  <c r="BQ10" i="17"/>
  <c r="BP10" i="17"/>
  <c r="BN10" i="17"/>
  <c r="BN41" i="17" s="1"/>
  <c r="BN42" i="17" s="1"/>
  <c r="BN44" i="17" s="1"/>
  <c r="BM10" i="17"/>
  <c r="BM41" i="17" s="1"/>
  <c r="BK10" i="17"/>
  <c r="BK41" i="17" s="1"/>
  <c r="BJ10" i="17"/>
  <c r="BJ41" i="17" s="1"/>
  <c r="BH10" i="17"/>
  <c r="BH41" i="17" s="1"/>
  <c r="BG10" i="17"/>
  <c r="BG41" i="17" s="1"/>
  <c r="BE10" i="17"/>
  <c r="BE41" i="17" s="1"/>
  <c r="BD10" i="17"/>
  <c r="BD41" i="17" s="1"/>
  <c r="BB10" i="17"/>
  <c r="BB41" i="17" s="1"/>
  <c r="BA10" i="17"/>
  <c r="BA41" i="17" s="1"/>
  <c r="AY10" i="17"/>
  <c r="AY41" i="17" s="1"/>
  <c r="AX10" i="17"/>
  <c r="AX41" i="17" s="1"/>
  <c r="AV10" i="17"/>
  <c r="AV41" i="17" s="1"/>
  <c r="AV42" i="17" s="1"/>
  <c r="AU10" i="17"/>
  <c r="AU41" i="17" s="1"/>
  <c r="AS10" i="17"/>
  <c r="AS41" i="17" s="1"/>
  <c r="AR10" i="17"/>
  <c r="AR41" i="17" s="1"/>
  <c r="AP10" i="17"/>
  <c r="AP41" i="17" s="1"/>
  <c r="AO10" i="17"/>
  <c r="AO41" i="17" s="1"/>
  <c r="AM10" i="17"/>
  <c r="AM41" i="17" s="1"/>
  <c r="AL10" i="17"/>
  <c r="AL41" i="17" s="1"/>
  <c r="AJ10" i="17"/>
  <c r="AJ41" i="17" s="1"/>
  <c r="AJ42" i="17" s="1"/>
  <c r="AJ44" i="17" s="1"/>
  <c r="AI10" i="17"/>
  <c r="AI41" i="17" s="1"/>
  <c r="AG10" i="17"/>
  <c r="AF10" i="17"/>
  <c r="AF41" i="17" s="1"/>
  <c r="LJ9" i="17"/>
  <c r="LC9" i="17"/>
  <c r="KV9" i="17"/>
  <c r="KO9" i="17"/>
  <c r="KH9" i="17"/>
  <c r="LC8" i="17"/>
  <c r="KV8" i="17"/>
  <c r="KO8" i="17"/>
  <c r="KH8" i="17"/>
  <c r="AY71" i="2"/>
  <c r="AT168" i="2"/>
  <c r="AS168" i="2"/>
  <c r="AR168" i="2"/>
  <c r="AQ168" i="2"/>
  <c r="AP168" i="2"/>
  <c r="AT167" i="2"/>
  <c r="AS167" i="2"/>
  <c r="AR167" i="2"/>
  <c r="AQ167" i="2"/>
  <c r="AP167" i="2"/>
  <c r="AT166" i="2"/>
  <c r="AS166" i="2"/>
  <c r="AR166" i="2"/>
  <c r="AQ166" i="2"/>
  <c r="AP166" i="2"/>
  <c r="AT164" i="2"/>
  <c r="AS164" i="2"/>
  <c r="AR164" i="2"/>
  <c r="AQ164" i="2"/>
  <c r="AP164" i="2"/>
  <c r="AT163" i="2"/>
  <c r="AS163" i="2"/>
  <c r="AR163" i="2"/>
  <c r="AQ163" i="2"/>
  <c r="AP163" i="2"/>
  <c r="AT162" i="2"/>
  <c r="AS162" i="2"/>
  <c r="AR162" i="2"/>
  <c r="AQ162" i="2"/>
  <c r="AP162" i="2"/>
  <c r="AT156" i="2"/>
  <c r="AS156" i="2"/>
  <c r="AR156" i="2"/>
  <c r="AQ156" i="2"/>
  <c r="AP156" i="2"/>
  <c r="AT155" i="2"/>
  <c r="AS155" i="2"/>
  <c r="AR155" i="2"/>
  <c r="AQ155" i="2"/>
  <c r="AP155" i="2"/>
  <c r="AT154" i="2"/>
  <c r="AS154" i="2"/>
  <c r="AR154" i="2"/>
  <c r="AQ154" i="2"/>
  <c r="AP154" i="2"/>
  <c r="AT152" i="2"/>
  <c r="AS152" i="2"/>
  <c r="AR152" i="2"/>
  <c r="AQ152" i="2"/>
  <c r="AP152" i="2"/>
  <c r="AT151" i="2"/>
  <c r="AS151" i="2"/>
  <c r="AR151" i="2"/>
  <c r="AQ151" i="2"/>
  <c r="AP151" i="2"/>
  <c r="AT150" i="2"/>
  <c r="AS150" i="2"/>
  <c r="AR150" i="2"/>
  <c r="AQ150" i="2"/>
  <c r="AP150" i="2"/>
  <c r="N91" i="19"/>
  <c r="O91" i="19" s="1"/>
  <c r="E127" i="2"/>
  <c r="L91" i="19" s="1"/>
  <c r="AT143" i="2"/>
  <c r="AQ143" i="2"/>
  <c r="AT142" i="2"/>
  <c r="AQ142" i="2"/>
  <c r="AT141" i="2"/>
  <c r="AQ141" i="2"/>
  <c r="AT139" i="2"/>
  <c r="AS139" i="2"/>
  <c r="AR139" i="2"/>
  <c r="AQ139" i="2"/>
  <c r="AP139" i="2"/>
  <c r="AT138" i="2"/>
  <c r="AS138" i="2"/>
  <c r="AR138" i="2"/>
  <c r="AQ138" i="2"/>
  <c r="AP138" i="2"/>
  <c r="AT137" i="2"/>
  <c r="AS137" i="2"/>
  <c r="AR137" i="2"/>
  <c r="AQ137" i="2"/>
  <c r="AP137" i="2"/>
  <c r="AC140" i="2"/>
  <c r="AB141" i="2" s="1"/>
  <c r="AT125" i="2"/>
  <c r="AT126" i="2" s="1"/>
  <c r="AS125" i="2"/>
  <c r="AS126" i="2" s="1"/>
  <c r="AR125" i="2"/>
  <c r="AR126" i="2" s="1"/>
  <c r="AQ125" i="2"/>
  <c r="AQ126" i="2" s="1"/>
  <c r="AP125" i="2"/>
  <c r="AP126" i="2" s="1"/>
  <c r="BF122" i="2"/>
  <c r="BE122" i="2"/>
  <c r="BD122" i="2"/>
  <c r="BC122" i="2"/>
  <c r="BB122" i="2"/>
  <c r="AZ122" i="2"/>
  <c r="AY122" i="2"/>
  <c r="AX122" i="2"/>
  <c r="AW122" i="2"/>
  <c r="AV122" i="2"/>
  <c r="AU122" i="2"/>
  <c r="C102" i="2"/>
  <c r="B112" i="2" s="1"/>
  <c r="C101" i="2"/>
  <c r="B110" i="2" s="1"/>
  <c r="C100" i="2"/>
  <c r="B108" i="2" s="1"/>
  <c r="AT119" i="2"/>
  <c r="AS119" i="2"/>
  <c r="AR119" i="2"/>
  <c r="AQ119" i="2"/>
  <c r="G99" i="2"/>
  <c r="AT118" i="2"/>
  <c r="AS118" i="2"/>
  <c r="AR118" i="2"/>
  <c r="AQ118" i="2"/>
  <c r="AT114" i="2"/>
  <c r="AS114" i="2"/>
  <c r="AT104" i="2"/>
  <c r="AS104" i="2"/>
  <c r="G88" i="2"/>
  <c r="AS91" i="2"/>
  <c r="AT90" i="2"/>
  <c r="AS90" i="2"/>
  <c r="AR90" i="2"/>
  <c r="AQ90" i="2"/>
  <c r="AN90" i="2"/>
  <c r="G84" i="2"/>
  <c r="T40" i="19" s="1"/>
  <c r="AT87" i="2"/>
  <c r="AS87" i="2"/>
  <c r="AT86" i="2"/>
  <c r="AS86" i="2"/>
  <c r="AR86" i="2"/>
  <c r="AQ86" i="2"/>
  <c r="AN86" i="2"/>
  <c r="AT83" i="2"/>
  <c r="AS83" i="2"/>
  <c r="AT81" i="2"/>
  <c r="AS81" i="2"/>
  <c r="AR81" i="2"/>
  <c r="AQ81" i="2"/>
  <c r="AN81" i="2"/>
  <c r="AE86" i="19"/>
  <c r="BF71" i="2"/>
  <c r="BC71" i="2"/>
  <c r="BB71" i="2"/>
  <c r="AT69" i="2"/>
  <c r="AS69" i="2"/>
  <c r="AT68" i="2"/>
  <c r="AS68" i="2"/>
  <c r="AR68" i="2"/>
  <c r="AQ68" i="2"/>
  <c r="K66" i="2"/>
  <c r="K65" i="2"/>
  <c r="BB67" i="2"/>
  <c r="K64" i="2"/>
  <c r="AT65" i="2"/>
  <c r="AS65" i="2"/>
  <c r="AT64" i="2"/>
  <c r="AS64" i="2"/>
  <c r="AR64" i="2"/>
  <c r="AQ64" i="2"/>
  <c r="AN64" i="2"/>
  <c r="BC63" i="2"/>
  <c r="AT61" i="2"/>
  <c r="K59" i="2"/>
  <c r="AT60" i="2"/>
  <c r="AS60" i="2"/>
  <c r="AR60" i="2"/>
  <c r="AQ60" i="2"/>
  <c r="AN60" i="2"/>
  <c r="K55" i="2"/>
  <c r="AE60" i="19"/>
  <c r="BF55" i="2"/>
  <c r="BE55" i="2"/>
  <c r="BE58" i="2" s="1"/>
  <c r="BD55" i="2"/>
  <c r="BC55" i="2"/>
  <c r="BC58" i="2" s="1"/>
  <c r="BB55" i="2"/>
  <c r="AZ55" i="2"/>
  <c r="AY55" i="2"/>
  <c r="AX55" i="2"/>
  <c r="AW55" i="2"/>
  <c r="AV55" i="2"/>
  <c r="K51" i="2"/>
  <c r="BF49" i="2"/>
  <c r="BE49" i="2"/>
  <c r="BD49" i="2"/>
  <c r="BB49" i="2"/>
  <c r="AT48" i="2"/>
  <c r="AT47" i="2"/>
  <c r="AS47" i="2"/>
  <c r="AT46" i="2"/>
  <c r="AS46" i="2"/>
  <c r="AR46" i="2"/>
  <c r="AQ46" i="2"/>
  <c r="AE39" i="19"/>
  <c r="AE38" i="19"/>
  <c r="AE34" i="19"/>
  <c r="AT43" i="2"/>
  <c r="AS43" i="2"/>
  <c r="AE33" i="19"/>
  <c r="AT42" i="2"/>
  <c r="AS42" i="2"/>
  <c r="AR42" i="2"/>
  <c r="AQ42" i="2"/>
  <c r="AT39" i="2"/>
  <c r="AS39" i="2"/>
  <c r="AE28" i="19"/>
  <c r="AT38" i="2"/>
  <c r="AS38" i="2"/>
  <c r="AR38" i="2"/>
  <c r="AQ38" i="2"/>
  <c r="AD21" i="19"/>
  <c r="AD20" i="19"/>
  <c r="AT30" i="2"/>
  <c r="AS30" i="2"/>
  <c r="AT29" i="2"/>
  <c r="AS29" i="2"/>
  <c r="AR29" i="2"/>
  <c r="AQ29" i="2"/>
  <c r="K105" i="19"/>
  <c r="AT26" i="2"/>
  <c r="AS26" i="2"/>
  <c r="AT22" i="2"/>
  <c r="AS22" i="2"/>
  <c r="AT21" i="2"/>
  <c r="AS21" i="2"/>
  <c r="AR21" i="2"/>
  <c r="AQ21" i="2"/>
  <c r="K19" i="2"/>
  <c r="K18" i="2"/>
  <c r="K17" i="2"/>
  <c r="K12" i="2"/>
  <c r="K11" i="2"/>
  <c r="AP3" i="2"/>
  <c r="F2" i="2"/>
  <c r="F21" i="2" s="1"/>
  <c r="D190" i="19"/>
  <c r="D189" i="19"/>
  <c r="D188" i="19"/>
  <c r="D187" i="19"/>
  <c r="D186" i="19"/>
  <c r="D185" i="19"/>
  <c r="D184" i="19"/>
  <c r="D183" i="19"/>
  <c r="D182" i="19"/>
  <c r="D181" i="19"/>
  <c r="D180" i="19"/>
  <c r="D179" i="19"/>
  <c r="D178" i="19"/>
  <c r="D177" i="19"/>
  <c r="D176" i="19"/>
  <c r="D175" i="19"/>
  <c r="D174" i="19"/>
  <c r="D173" i="19"/>
  <c r="D172" i="19"/>
  <c r="D171" i="19"/>
  <c r="D170" i="19"/>
  <c r="D169" i="19"/>
  <c r="D168" i="19"/>
  <c r="D167" i="19"/>
  <c r="D166" i="19"/>
  <c r="D165" i="19"/>
  <c r="D164" i="19"/>
  <c r="D163" i="19"/>
  <c r="D162" i="19"/>
  <c r="D161" i="19"/>
  <c r="D160" i="19"/>
  <c r="G156" i="19"/>
  <c r="G123" i="19"/>
  <c r="E124" i="19"/>
  <c r="M122" i="19" s="1"/>
  <c r="I103" i="19"/>
  <c r="K103" i="19" s="1"/>
  <c r="X80" i="19"/>
  <c r="W80" i="19"/>
  <c r="V80" i="19"/>
  <c r="T80" i="19"/>
  <c r="S80" i="19"/>
  <c r="X79" i="19"/>
  <c r="W79" i="19"/>
  <c r="V79" i="19"/>
  <c r="T79" i="19"/>
  <c r="S79" i="19"/>
  <c r="X78" i="19"/>
  <c r="W78" i="19"/>
  <c r="V78" i="19"/>
  <c r="T78" i="19"/>
  <c r="S78" i="19"/>
  <c r="X76" i="19"/>
  <c r="W76" i="19"/>
  <c r="V76" i="19"/>
  <c r="T76" i="19"/>
  <c r="X75" i="19"/>
  <c r="W75" i="19"/>
  <c r="V75" i="19"/>
  <c r="X74" i="19"/>
  <c r="W74" i="19"/>
  <c r="V74" i="19"/>
  <c r="AJ73" i="19"/>
  <c r="AI73" i="19"/>
  <c r="AH73" i="19"/>
  <c r="AF73" i="19"/>
  <c r="AF72" i="19"/>
  <c r="AF71" i="19"/>
  <c r="X71" i="19"/>
  <c r="W71" i="19"/>
  <c r="V71" i="19"/>
  <c r="U71" i="19"/>
  <c r="T71" i="19"/>
  <c r="AF70" i="19"/>
  <c r="T70" i="19"/>
  <c r="X69" i="19"/>
  <c r="W69" i="19"/>
  <c r="V69" i="19"/>
  <c r="U69" i="19"/>
  <c r="T69" i="19"/>
  <c r="X68" i="19"/>
  <c r="W68" i="19"/>
  <c r="V68" i="19"/>
  <c r="T68" i="19"/>
  <c r="X67" i="19"/>
  <c r="W67" i="19"/>
  <c r="V67" i="19"/>
  <c r="U67" i="19"/>
  <c r="T67" i="19"/>
  <c r="K67" i="19"/>
  <c r="H87" i="19" s="1"/>
  <c r="V66" i="19"/>
  <c r="T66" i="19"/>
  <c r="X63" i="19"/>
  <c r="W63" i="19"/>
  <c r="V63" i="19"/>
  <c r="U63" i="19"/>
  <c r="T63" i="19"/>
  <c r="T62" i="19"/>
  <c r="X61" i="19"/>
  <c r="W61" i="19"/>
  <c r="V61" i="19"/>
  <c r="U61" i="19"/>
  <c r="T61" i="19"/>
  <c r="V60" i="19"/>
  <c r="T60" i="19"/>
  <c r="X59" i="19"/>
  <c r="W59" i="19"/>
  <c r="V59" i="19"/>
  <c r="U59" i="19"/>
  <c r="T59" i="19"/>
  <c r="V58" i="19"/>
  <c r="T58" i="19"/>
  <c r="X55" i="19"/>
  <c r="W55" i="19"/>
  <c r="V55" i="19"/>
  <c r="U55" i="19"/>
  <c r="V54" i="19"/>
  <c r="X53" i="19"/>
  <c r="W53" i="19"/>
  <c r="V53" i="19"/>
  <c r="U53" i="19"/>
  <c r="T53" i="19"/>
  <c r="X52" i="19"/>
  <c r="W52" i="19"/>
  <c r="V52" i="19"/>
  <c r="X51" i="19"/>
  <c r="W51" i="19"/>
  <c r="V51" i="19"/>
  <c r="U51" i="19"/>
  <c r="T51" i="19"/>
  <c r="X47" i="19"/>
  <c r="W47" i="19"/>
  <c r="V47" i="19"/>
  <c r="U47" i="19"/>
  <c r="T47" i="19"/>
  <c r="V46" i="19"/>
  <c r="X45" i="19"/>
  <c r="W45" i="19"/>
  <c r="V45" i="19"/>
  <c r="U45" i="19"/>
  <c r="T45" i="19"/>
  <c r="V44" i="19"/>
  <c r="X43" i="19"/>
  <c r="W43" i="19"/>
  <c r="V43" i="19"/>
  <c r="U43" i="19"/>
  <c r="T43" i="19"/>
  <c r="T38" i="19"/>
  <c r="K37" i="19"/>
  <c r="H54" i="19" s="1"/>
  <c r="T34" i="19"/>
  <c r="F17" i="19"/>
  <c r="AE7" i="19"/>
  <c r="A34" i="24"/>
  <c r="D33" i="24"/>
  <c r="B33" i="24"/>
  <c r="A33" i="24"/>
  <c r="A32" i="24"/>
  <c r="A31" i="24"/>
  <c r="A30" i="24"/>
  <c r="BE63" i="2"/>
  <c r="BE67" i="2"/>
  <c r="BD71" i="2"/>
  <c r="BE71" i="2"/>
  <c r="AX71" i="2"/>
  <c r="BF67" i="2"/>
  <c r="AS145" i="2"/>
  <c r="BO136" i="2"/>
  <c r="AW71" i="2"/>
  <c r="AT132" i="2"/>
  <c r="AV71" i="2"/>
  <c r="BM136" i="2"/>
  <c r="AS131" i="2"/>
  <c r="AT130" i="2"/>
  <c r="BC67" i="2"/>
  <c r="BN136" i="2"/>
  <c r="AT131" i="2"/>
  <c r="BP133" i="2"/>
  <c r="BP136" i="2"/>
  <c r="BB106" i="2"/>
  <c r="BD63" i="2"/>
  <c r="AS160" i="2"/>
  <c r="AS170" i="2"/>
  <c r="AS66" i="2"/>
  <c r="AT66" i="2"/>
  <c r="BD67" i="2"/>
  <c r="AS130" i="2"/>
  <c r="BM133" i="2"/>
  <c r="BM135" i="2" s="1"/>
  <c r="AS147" i="2"/>
  <c r="AS171" i="2"/>
  <c r="BO133" i="2"/>
  <c r="BO135" i="2" s="1"/>
  <c r="AS132" i="2"/>
  <c r="BN133" i="2"/>
  <c r="BN135" i="2" s="1"/>
  <c r="AS62" i="2"/>
  <c r="BB63" i="2"/>
  <c r="AS70" i="2"/>
  <c r="AR69" i="2"/>
  <c r="AZ71" i="2"/>
  <c r="AS158" i="2"/>
  <c r="AS159" i="2"/>
  <c r="AS57" i="2"/>
  <c r="AD16" i="19" s="1"/>
  <c r="AR70" i="2"/>
  <c r="AS146" i="2"/>
  <c r="AD41" i="19"/>
  <c r="AQ70" i="2"/>
  <c r="AT158" i="2"/>
  <c r="AT160" i="2"/>
  <c r="AT159" i="2"/>
  <c r="AT172" i="2"/>
  <c r="AT171" i="2"/>
  <c r="AT70" i="2"/>
  <c r="AT170" i="2"/>
  <c r="L59" i="2"/>
  <c r="AP69" i="2"/>
  <c r="M59" i="2"/>
  <c r="AQ69" i="2"/>
  <c r="AU71" i="2"/>
  <c r="AS48" i="2"/>
  <c r="BC49" i="2"/>
  <c r="BB85" i="2"/>
  <c r="B31" i="24"/>
  <c r="BD93" i="2"/>
  <c r="BB28" i="2"/>
  <c r="BF45" i="2"/>
  <c r="BE45" i="2"/>
  <c r="BC32" i="2"/>
  <c r="BC89" i="2"/>
  <c r="BF28" i="2"/>
  <c r="BF89" i="2"/>
  <c r="BE28" i="2"/>
  <c r="BC45" i="2"/>
  <c r="BF93" i="2"/>
  <c r="BC93" i="2"/>
  <c r="BC28" i="2"/>
  <c r="BF32" i="2"/>
  <c r="BE89" i="2"/>
  <c r="BB89" i="2"/>
  <c r="BB32" i="2"/>
  <c r="AR172" i="2"/>
  <c r="AR171" i="2"/>
  <c r="AR170" i="2"/>
  <c r="C31" i="24"/>
  <c r="C33" i="24"/>
  <c r="D31" i="24"/>
  <c r="BB116" i="2"/>
  <c r="AS88" i="2"/>
  <c r="BE106" i="2"/>
  <c r="BC41" i="2"/>
  <c r="BD85" i="2"/>
  <c r="AT84" i="2"/>
  <c r="BD24" i="2"/>
  <c r="BC24" i="2"/>
  <c r="BD45" i="2"/>
  <c r="AT44" i="2"/>
  <c r="BB41" i="2"/>
  <c r="BC116" i="2"/>
  <c r="AS115" i="2"/>
  <c r="BF85" i="2"/>
  <c r="BD106" i="2"/>
  <c r="BF106" i="2"/>
  <c r="AS40" i="2"/>
  <c r="BB93" i="2"/>
  <c r="BE32" i="2"/>
  <c r="BE41" i="2"/>
  <c r="BB24" i="2"/>
  <c r="AS31" i="2"/>
  <c r="BD116" i="2"/>
  <c r="AT115" i="2"/>
  <c r="AS44" i="2"/>
  <c r="BB45" i="2"/>
  <c r="BD41" i="2"/>
  <c r="AT40" i="2"/>
  <c r="BF116" i="2"/>
  <c r="BF41" i="2"/>
  <c r="BC85" i="2"/>
  <c r="AS84" i="2"/>
  <c r="BD89" i="2"/>
  <c r="AT88" i="2"/>
  <c r="AS92" i="2"/>
  <c r="BD28" i="2"/>
  <c r="AT27" i="2"/>
  <c r="BE85" i="2"/>
  <c r="BE116" i="2"/>
  <c r="BF80" i="2"/>
  <c r="BF79" i="2"/>
  <c r="BB79" i="2"/>
  <c r="BD32" i="2"/>
  <c r="AT31" i="2"/>
  <c r="BC79" i="2"/>
  <c r="BC80" i="2"/>
  <c r="BE24" i="2"/>
  <c r="BD80" i="2"/>
  <c r="BD79" i="2"/>
  <c r="AS27" i="2"/>
  <c r="BF24" i="2"/>
  <c r="BC106" i="2"/>
  <c r="I94" i="19"/>
  <c r="AT91" i="2"/>
  <c r="AT92" i="2"/>
  <c r="BE93" i="2"/>
  <c r="AT77" i="2"/>
  <c r="AT78" i="2"/>
  <c r="BE80" i="2"/>
  <c r="BE79" i="2"/>
  <c r="BD59" i="2"/>
  <c r="AQ76" i="2"/>
  <c r="AT76" i="2"/>
  <c r="AV67" i="2"/>
  <c r="AS76" i="2"/>
  <c r="AE32" i="19"/>
  <c r="AD46" i="19"/>
  <c r="AT56" i="2"/>
  <c r="C6" i="98"/>
  <c r="BB80" i="2"/>
  <c r="AS77" i="2"/>
  <c r="BE59" i="2"/>
  <c r="AT100" i="2"/>
  <c r="R18" i="19"/>
  <c r="AB47" i="118" l="1"/>
  <c r="Q55" i="118"/>
  <c r="S55" i="118" s="1"/>
  <c r="BC56" i="2"/>
  <c r="BC59" i="2" s="1"/>
  <c r="NR33" i="120"/>
  <c r="NS32" i="120"/>
  <c r="MY32" i="120" s="1"/>
  <c r="Z145" i="2"/>
  <c r="NR13" i="111"/>
  <c r="MX13" i="111" s="1"/>
  <c r="NN14" i="111"/>
  <c r="K80" i="106"/>
  <c r="NR22" i="102"/>
  <c r="MX21" i="102"/>
  <c r="G146" i="19"/>
  <c r="G152" i="19"/>
  <c r="MY25" i="99"/>
  <c r="PN26" i="99"/>
  <c r="Z155" i="2"/>
  <c r="Z172" i="2"/>
  <c r="Z173" i="2" s="1"/>
  <c r="Z169" i="2"/>
  <c r="Z168" i="2"/>
  <c r="Z162" i="2"/>
  <c r="G19" i="2"/>
  <c r="Q141" i="2"/>
  <c r="AC141" i="2"/>
  <c r="A8" i="2" s="1"/>
  <c r="G138" i="19"/>
  <c r="G153" i="19"/>
  <c r="G131" i="19"/>
  <c r="G133" i="19"/>
  <c r="G139" i="19"/>
  <c r="G144" i="19"/>
  <c r="G154" i="19"/>
  <c r="G127" i="19"/>
  <c r="G143" i="19"/>
  <c r="G126" i="19"/>
  <c r="G142" i="19"/>
  <c r="G135" i="19"/>
  <c r="G128" i="19"/>
  <c r="G125" i="19"/>
  <c r="G148" i="19"/>
  <c r="G130" i="19"/>
  <c r="G129" i="19"/>
  <c r="G150" i="19"/>
  <c r="F122" i="2"/>
  <c r="G122" i="2"/>
  <c r="F125" i="2"/>
  <c r="G125" i="2"/>
  <c r="AP25" i="2"/>
  <c r="AS120" i="2"/>
  <c r="AS106" i="2"/>
  <c r="AT28" i="2"/>
  <c r="AS33" i="2"/>
  <c r="AS10" i="2" s="1"/>
  <c r="AU11" i="2"/>
  <c r="AW11" i="2"/>
  <c r="F37" i="19"/>
  <c r="H52" i="19" s="1"/>
  <c r="F15" i="88"/>
  <c r="AQ131" i="2"/>
  <c r="AQ128" i="2" s="1"/>
  <c r="AA173" i="2" s="1"/>
  <c r="AQ130" i="2"/>
  <c r="AQ127" i="2" s="1"/>
  <c r="AA172" i="2" s="1"/>
  <c r="F16" i="88"/>
  <c r="AZ6" i="2"/>
  <c r="AY6" i="2"/>
  <c r="F38" i="19"/>
  <c r="H53" i="19" s="1"/>
  <c r="F12" i="88"/>
  <c r="H55" i="19"/>
  <c r="F18" i="88"/>
  <c r="H88" i="19"/>
  <c r="AU28" i="2"/>
  <c r="J11" i="88"/>
  <c r="L11" i="88" s="1"/>
  <c r="BD5" i="2"/>
  <c r="AY5" i="2"/>
  <c r="AZ11" i="2"/>
  <c r="AT106" i="2"/>
  <c r="BF36" i="2"/>
  <c r="AS28" i="2"/>
  <c r="BL41" i="17"/>
  <c r="U19" i="17"/>
  <c r="BU11" i="17"/>
  <c r="BC13" i="17"/>
  <c r="BI19" i="17"/>
  <c r="AX112" i="2"/>
  <c r="AA18" i="17"/>
  <c r="O39" i="17"/>
  <c r="O13" i="17"/>
  <c r="AP172" i="2"/>
  <c r="G17" i="2"/>
  <c r="CK10" i="17"/>
  <c r="CK41" i="17" s="1"/>
  <c r="CK42" i="17" s="1"/>
  <c r="CK44" i="17" s="1"/>
  <c r="T11" i="17"/>
  <c r="U11" i="17" s="1"/>
  <c r="IJ39" i="17"/>
  <c r="IM39" i="17" s="1"/>
  <c r="O30" i="17"/>
  <c r="MD27" i="17"/>
  <c r="MD31" i="17"/>
  <c r="MD16" i="17"/>
  <c r="CF24" i="17"/>
  <c r="CL24" i="17" s="1"/>
  <c r="AY11" i="2"/>
  <c r="AQ120" i="2"/>
  <c r="BC102" i="2"/>
  <c r="BE12" i="2"/>
  <c r="AY10" i="2"/>
  <c r="AT110" i="2"/>
  <c r="BC11" i="2"/>
  <c r="BE112" i="2"/>
  <c r="AV11" i="2"/>
  <c r="BD112" i="2"/>
  <c r="BF10" i="2"/>
  <c r="BB7" i="2"/>
  <c r="BB9" i="2" s="1"/>
  <c r="BB19" i="2"/>
  <c r="BE19" i="2"/>
  <c r="O11" i="88"/>
  <c r="N16" i="88"/>
  <c r="O15" i="88"/>
  <c r="O16" i="88"/>
  <c r="N11" i="88"/>
  <c r="O12" i="88"/>
  <c r="O18" i="88"/>
  <c r="N12" i="88"/>
  <c r="N18" i="88"/>
  <c r="AN31" i="17"/>
  <c r="AQ34" i="17"/>
  <c r="AT24" i="17"/>
  <c r="AW37" i="17"/>
  <c r="FZ10" i="17"/>
  <c r="EV10" i="17" s="1"/>
  <c r="EV41" i="17" s="1"/>
  <c r="EV42" i="17" s="1"/>
  <c r="EV44" i="17" s="1"/>
  <c r="KI10" i="17"/>
  <c r="KO10" i="17" s="1"/>
  <c r="KA10" i="17" s="1"/>
  <c r="W32" i="17"/>
  <c r="AQ37" i="17"/>
  <c r="BL38" i="17"/>
  <c r="IZ10" i="17"/>
  <c r="IZ41" i="17" s="1"/>
  <c r="IZ42" i="17" s="1"/>
  <c r="IZ44" i="17" s="1"/>
  <c r="CT16" i="17"/>
  <c r="AA19" i="17"/>
  <c r="AT16" i="17"/>
  <c r="BL39" i="17"/>
  <c r="AN23" i="17"/>
  <c r="DB41" i="17"/>
  <c r="DB42" i="17" s="1"/>
  <c r="DB44" i="17" s="1"/>
  <c r="AH16" i="17"/>
  <c r="BL16" i="17"/>
  <c r="BC17" i="17"/>
  <c r="AA34" i="17"/>
  <c r="AK39" i="17"/>
  <c r="W40" i="17"/>
  <c r="E155" i="19"/>
  <c r="P10" i="17"/>
  <c r="P41" i="17" s="1"/>
  <c r="AT116" i="2"/>
  <c r="K15" i="17"/>
  <c r="BF16" i="17"/>
  <c r="AQ21" i="17"/>
  <c r="BI39" i="17"/>
  <c r="CF10" i="17"/>
  <c r="CL10" i="17" s="1"/>
  <c r="CL41" i="17" s="1"/>
  <c r="CL42" i="17" s="1"/>
  <c r="CL44" i="17" s="1"/>
  <c r="CT10" i="17"/>
  <c r="CT41" i="17" s="1"/>
  <c r="CT42" i="17" s="1"/>
  <c r="CT44" i="17" s="1"/>
  <c r="CT40" i="17"/>
  <c r="CF40" i="17"/>
  <c r="CL40" i="17" s="1"/>
  <c r="HH45" i="17"/>
  <c r="JW16" i="17"/>
  <c r="IJ16" i="17"/>
  <c r="IM16" i="17" s="1"/>
  <c r="AS89" i="2"/>
  <c r="BE36" i="2"/>
  <c r="KL10" i="17"/>
  <c r="KL11" i="17" s="1"/>
  <c r="KL12" i="17" s="1"/>
  <c r="KL13" i="17" s="1"/>
  <c r="KL14" i="17" s="1"/>
  <c r="KL15" i="17" s="1"/>
  <c r="KL16" i="17" s="1"/>
  <c r="KL17" i="17" s="1"/>
  <c r="KL18" i="17" s="1"/>
  <c r="KL19" i="17" s="1"/>
  <c r="KL20" i="17" s="1"/>
  <c r="KL21" i="17" s="1"/>
  <c r="KL22" i="17" s="1"/>
  <c r="KL23" i="17" s="1"/>
  <c r="KL24" i="17" s="1"/>
  <c r="KL25" i="17" s="1"/>
  <c r="KL26" i="17" s="1"/>
  <c r="KL27" i="17" s="1"/>
  <c r="KL28" i="17" s="1"/>
  <c r="KL29" i="17" s="1"/>
  <c r="KL30" i="17" s="1"/>
  <c r="KL31" i="17" s="1"/>
  <c r="KL32" i="17" s="1"/>
  <c r="KL33" i="17" s="1"/>
  <c r="KL34" i="17" s="1"/>
  <c r="KL35" i="17" s="1"/>
  <c r="KL36" i="17" s="1"/>
  <c r="KL37" i="17" s="1"/>
  <c r="KL38" i="17" s="1"/>
  <c r="KL39" i="17" s="1"/>
  <c r="KL40" i="17" s="1"/>
  <c r="KL41" i="17" s="1"/>
  <c r="CQ41" i="17"/>
  <c r="CQ42" i="17" s="1"/>
  <c r="CQ44" i="17" s="1"/>
  <c r="CI10" i="17"/>
  <c r="CI41" i="17" s="1"/>
  <c r="CI42" i="17" s="1"/>
  <c r="CI44" i="17" s="1"/>
  <c r="AR99" i="2"/>
  <c r="AZ5" i="2"/>
  <c r="AT85" i="2"/>
  <c r="BO39" i="17"/>
  <c r="O23" i="17"/>
  <c r="BC36" i="2"/>
  <c r="AH20" i="17"/>
  <c r="BC21" i="17"/>
  <c r="BF11" i="2"/>
  <c r="AA15" i="17"/>
  <c r="O18" i="17"/>
  <c r="IL31" i="17"/>
  <c r="AS67" i="2"/>
  <c r="AT36" i="17"/>
  <c r="BO37" i="17"/>
  <c r="AT120" i="2"/>
  <c r="BD18" i="2"/>
  <c r="BB11" i="2"/>
  <c r="AT24" i="2"/>
  <c r="MD19" i="17"/>
  <c r="AS110" i="2"/>
  <c r="G137" i="19"/>
  <c r="AK11" i="17"/>
  <c r="BR24" i="17"/>
  <c r="O15" i="17"/>
  <c r="KC10" i="17"/>
  <c r="KC11" i="17" s="1"/>
  <c r="KC12" i="17" s="1"/>
  <c r="KC13" i="17" s="1"/>
  <c r="KC14" i="17" s="1"/>
  <c r="KC15" i="17" s="1"/>
  <c r="KC16" i="17" s="1"/>
  <c r="KC17" i="17" s="1"/>
  <c r="KC18" i="17" s="1"/>
  <c r="KC19" i="17" s="1"/>
  <c r="KC20" i="17" s="1"/>
  <c r="KC21" i="17" s="1"/>
  <c r="KC22" i="17" s="1"/>
  <c r="KC23" i="17" s="1"/>
  <c r="KC24" i="17" s="1"/>
  <c r="KC25" i="17" s="1"/>
  <c r="KC26" i="17" s="1"/>
  <c r="KC27" i="17" s="1"/>
  <c r="KC28" i="17" s="1"/>
  <c r="KC29" i="17" s="1"/>
  <c r="KC30" i="17" s="1"/>
  <c r="KC31" i="17" s="1"/>
  <c r="KC32" i="17" s="1"/>
  <c r="KC33" i="17" s="1"/>
  <c r="KC34" i="17" s="1"/>
  <c r="KC35" i="17" s="1"/>
  <c r="KC36" i="17" s="1"/>
  <c r="KC37" i="17" s="1"/>
  <c r="KC38" i="17" s="1"/>
  <c r="KC39" i="17" s="1"/>
  <c r="KC40" i="17" s="1"/>
  <c r="KC41" i="17" s="1"/>
  <c r="KC42" i="17" s="1"/>
  <c r="KC44" i="17" s="1"/>
  <c r="AN10" i="17"/>
  <c r="BU15" i="17"/>
  <c r="BU13" i="17"/>
  <c r="BB58" i="2"/>
  <c r="G20" i="19"/>
  <c r="G149" i="19"/>
  <c r="G134" i="19"/>
  <c r="G136" i="19"/>
  <c r="IJ40" i="17"/>
  <c r="IM40" i="17" s="1"/>
  <c r="BU23" i="17"/>
  <c r="BF112" i="2"/>
  <c r="BC5" i="2"/>
  <c r="AS55" i="2"/>
  <c r="AS58" i="2" s="1"/>
  <c r="BE7" i="2"/>
  <c r="G140" i="19"/>
  <c r="BL10" i="17"/>
  <c r="G151" i="19"/>
  <c r="G132" i="19"/>
  <c r="G141" i="19"/>
  <c r="GO17" i="17"/>
  <c r="ML17" i="17" s="1"/>
  <c r="AZ34" i="17"/>
  <c r="P21" i="17"/>
  <c r="AR33" i="2"/>
  <c r="BD7" i="2"/>
  <c r="AS85" i="2"/>
  <c r="AS41" i="2"/>
  <c r="IJ15" i="17"/>
  <c r="IM15" i="17" s="1"/>
  <c r="BE102" i="2"/>
  <c r="BC18" i="2"/>
  <c r="BB12" i="2"/>
  <c r="BD102" i="2"/>
  <c r="IL39" i="17"/>
  <c r="LL10" i="17"/>
  <c r="LL11" i="17" s="1"/>
  <c r="LL12" i="17" s="1"/>
  <c r="LL13" i="17" s="1"/>
  <c r="LL14" i="17" s="1"/>
  <c r="LL15" i="17" s="1"/>
  <c r="LL16" i="17" s="1"/>
  <c r="LL17" i="17" s="1"/>
  <c r="LL18" i="17" s="1"/>
  <c r="LL19" i="17" s="1"/>
  <c r="LL20" i="17" s="1"/>
  <c r="LL21" i="17" s="1"/>
  <c r="LL22" i="17" s="1"/>
  <c r="LL23" i="17" s="1"/>
  <c r="LL24" i="17" s="1"/>
  <c r="LL25" i="17" s="1"/>
  <c r="LL26" i="17" s="1"/>
  <c r="LL27" i="17" s="1"/>
  <c r="LL28" i="17" s="1"/>
  <c r="LL29" i="17" s="1"/>
  <c r="LL30" i="17" s="1"/>
  <c r="LL31" i="17" s="1"/>
  <c r="LL32" i="17" s="1"/>
  <c r="LL33" i="17" s="1"/>
  <c r="LL34" i="17" s="1"/>
  <c r="LL35" i="17" s="1"/>
  <c r="LL36" i="17" s="1"/>
  <c r="LL37" i="17" s="1"/>
  <c r="LL38" i="17" s="1"/>
  <c r="LL39" i="17" s="1"/>
  <c r="LL40" i="17" s="1"/>
  <c r="LL41" i="17" s="1"/>
  <c r="LL42" i="17" s="1"/>
  <c r="LL44" i="17" s="1"/>
  <c r="O14" i="17"/>
  <c r="K16" i="17"/>
  <c r="K19" i="17"/>
  <c r="BC19" i="2"/>
  <c r="AZ102" i="2"/>
  <c r="BF102" i="2"/>
  <c r="AT101" i="2"/>
  <c r="AX63" i="2"/>
  <c r="O10" i="17"/>
  <c r="O41" i="17" s="1"/>
  <c r="JQ10" i="17"/>
  <c r="JQ41" i="17" s="1"/>
  <c r="JQ42" i="17" s="1"/>
  <c r="JQ44" i="17" s="1"/>
  <c r="JL41" i="17"/>
  <c r="JL42" i="17" s="1"/>
  <c r="JL44" i="17" s="1"/>
  <c r="BE5" i="2"/>
  <c r="BE18" i="2"/>
  <c r="BD10" i="2"/>
  <c r="BD36" i="2"/>
  <c r="AP21" i="2"/>
  <c r="AK14" i="17"/>
  <c r="BF41" i="17"/>
  <c r="BC11" i="17"/>
  <c r="AZ12" i="17"/>
  <c r="AW13" i="17"/>
  <c r="U13" i="17"/>
  <c r="BR14" i="17"/>
  <c r="AN16" i="17"/>
  <c r="U21" i="17"/>
  <c r="AK25" i="17"/>
  <c r="AB21" i="17"/>
  <c r="AT15" i="2"/>
  <c r="BC37" i="2"/>
  <c r="BC7" i="2"/>
  <c r="AB17" i="17"/>
  <c r="BD12" i="2"/>
  <c r="P35" i="17"/>
  <c r="IL33" i="17"/>
  <c r="G76" i="2"/>
  <c r="T33" i="19" s="1"/>
  <c r="AW22" i="17"/>
  <c r="P33" i="17"/>
  <c r="AS24" i="2"/>
  <c r="AS34" i="2"/>
  <c r="IK26" i="17"/>
  <c r="CN41" i="17"/>
  <c r="CN42" i="17" s="1"/>
  <c r="CN44" i="17" s="1"/>
  <c r="BI14" i="17"/>
  <c r="X19" i="17"/>
  <c r="BO20" i="17"/>
  <c r="O37" i="17"/>
  <c r="K38" i="17"/>
  <c r="W38" i="17"/>
  <c r="P16" i="17"/>
  <c r="IK17" i="17"/>
  <c r="CF34" i="17"/>
  <c r="CL34" i="17" s="1"/>
  <c r="KP10" i="17"/>
  <c r="KV10" i="17" s="1"/>
  <c r="IJ13" i="17"/>
  <c r="IM13" i="17" s="1"/>
  <c r="BF10" i="17"/>
  <c r="X26" i="17"/>
  <c r="AQ12" i="17"/>
  <c r="K22" i="17"/>
  <c r="AK34" i="17"/>
  <c r="AH35" i="17"/>
  <c r="AB36" i="17"/>
  <c r="P37" i="17"/>
  <c r="AT39" i="17"/>
  <c r="BR39" i="17"/>
  <c r="AT40" i="17"/>
  <c r="BO40" i="17"/>
  <c r="IJ25" i="17"/>
  <c r="IM25" i="17" s="1"/>
  <c r="IJ37" i="17"/>
  <c r="IM37" i="17" s="1"/>
  <c r="O38" i="17"/>
  <c r="KS10" i="17"/>
  <c r="KS11" i="17" s="1"/>
  <c r="KS12" i="17" s="1"/>
  <c r="KS13" i="17" s="1"/>
  <c r="KS14" i="17" s="1"/>
  <c r="KS15" i="17" s="1"/>
  <c r="KS16" i="17" s="1"/>
  <c r="KS17" i="17" s="1"/>
  <c r="KS18" i="17" s="1"/>
  <c r="KS19" i="17" s="1"/>
  <c r="KS20" i="17" s="1"/>
  <c r="KS21" i="17" s="1"/>
  <c r="KS22" i="17" s="1"/>
  <c r="KS23" i="17" s="1"/>
  <c r="KS24" i="17" s="1"/>
  <c r="KS25" i="17" s="1"/>
  <c r="KS26" i="17" s="1"/>
  <c r="KS27" i="17" s="1"/>
  <c r="KS28" i="17" s="1"/>
  <c r="KS29" i="17" s="1"/>
  <c r="KS30" i="17" s="1"/>
  <c r="KS31" i="17" s="1"/>
  <c r="KS32" i="17" s="1"/>
  <c r="KS33" i="17" s="1"/>
  <c r="KS34" i="17" s="1"/>
  <c r="KS35" i="17" s="1"/>
  <c r="KS36" i="17" s="1"/>
  <c r="KS37" i="17" s="1"/>
  <c r="KS38" i="17" s="1"/>
  <c r="KS39" i="17" s="1"/>
  <c r="KS40" i="17" s="1"/>
  <c r="KS41" i="17" s="1"/>
  <c r="BU26" i="17"/>
  <c r="CH10" i="17"/>
  <c r="CH41" i="17" s="1"/>
  <c r="CH42" i="17" s="1"/>
  <c r="CH44" i="17" s="1"/>
  <c r="U22" i="17"/>
  <c r="AZ17" i="17"/>
  <c r="IK23" i="17"/>
  <c r="X28" i="17"/>
  <c r="IJ10" i="17"/>
  <c r="KE10" i="17" s="1"/>
  <c r="KH10" i="17" s="1"/>
  <c r="JZ10" i="17" s="1"/>
  <c r="CF19" i="17"/>
  <c r="CL19" i="17" s="1"/>
  <c r="X30" i="17"/>
  <c r="LV10" i="17"/>
  <c r="LV41" i="17" s="1"/>
  <c r="LV42" i="17" s="1"/>
  <c r="LV44" i="17" s="1"/>
  <c r="GO40" i="17"/>
  <c r="BB36" i="2"/>
  <c r="AS35" i="2"/>
  <c r="F66" i="19" s="1"/>
  <c r="IK36" i="17"/>
  <c r="AT99" i="2"/>
  <c r="BE10" i="2"/>
  <c r="AN14" i="17"/>
  <c r="AN22" i="17"/>
  <c r="IK25" i="17"/>
  <c r="P32" i="17"/>
  <c r="X39" i="17"/>
  <c r="P40" i="17"/>
  <c r="AX5" i="2"/>
  <c r="AT112" i="2"/>
  <c r="BB18" i="2"/>
  <c r="BB37" i="2"/>
  <c r="BF5" i="2"/>
  <c r="AP118" i="2"/>
  <c r="AR15" i="2"/>
  <c r="BF12" i="2"/>
  <c r="AS32" i="2"/>
  <c r="AX49" i="2"/>
  <c r="CT39" i="17"/>
  <c r="AP68" i="2"/>
  <c r="MD13" i="17"/>
  <c r="MD21" i="17"/>
  <c r="MD29" i="17"/>
  <c r="BB5" i="2"/>
  <c r="BB112" i="2"/>
  <c r="BD19" i="2"/>
  <c r="BD37" i="2"/>
  <c r="H103" i="19"/>
  <c r="MD40" i="17"/>
  <c r="AT93" i="2"/>
  <c r="JR41" i="17"/>
  <c r="JR42" i="17" s="1"/>
  <c r="JR44" i="17" s="1"/>
  <c r="AR71" i="2"/>
  <c r="CT23" i="17"/>
  <c r="K39" i="17"/>
  <c r="K28" i="17"/>
  <c r="W29" i="17"/>
  <c r="BC30" i="17"/>
  <c r="AA31" i="17"/>
  <c r="K36" i="17"/>
  <c r="W37" i="17"/>
  <c r="MD39" i="17"/>
  <c r="BD11" i="2"/>
  <c r="BD6" i="2"/>
  <c r="AQ20" i="17"/>
  <c r="BF21" i="17"/>
  <c r="BR25" i="17"/>
  <c r="BO26" i="17"/>
  <c r="AN27" i="17"/>
  <c r="AZ31" i="17"/>
  <c r="AW32" i="17"/>
  <c r="AN35" i="17"/>
  <c r="BL35" i="17"/>
  <c r="BI36" i="17"/>
  <c r="AH37" i="17"/>
  <c r="BF37" i="17"/>
  <c r="IL13" i="17"/>
  <c r="AW97" i="2"/>
  <c r="AW78" i="2" s="1"/>
  <c r="BC112" i="2"/>
  <c r="AK16" i="17"/>
  <c r="BI16" i="17"/>
  <c r="AZ19" i="17"/>
  <c r="AW20" i="17"/>
  <c r="AT21" i="17"/>
  <c r="BR21" i="17"/>
  <c r="BO22" i="17"/>
  <c r="X25" i="17"/>
  <c r="AT29" i="17"/>
  <c r="BR29" i="17"/>
  <c r="AQ30" i="17"/>
  <c r="BO30" i="17"/>
  <c r="AH33" i="17"/>
  <c r="BF33" i="17"/>
  <c r="AT37" i="17"/>
  <c r="BR37" i="17"/>
  <c r="AQ38" i="17"/>
  <c r="BO38" i="17"/>
  <c r="AS101" i="2"/>
  <c r="K35" i="19" s="1"/>
  <c r="AS99" i="2"/>
  <c r="BE6" i="2"/>
  <c r="BE37" i="2"/>
  <c r="AZ10" i="2"/>
  <c r="AY17" i="2"/>
  <c r="AY18" i="2" s="1"/>
  <c r="AY32" i="2"/>
  <c r="MD17" i="17"/>
  <c r="AX6" i="2"/>
  <c r="AT17" i="2"/>
  <c r="IJ20" i="17"/>
  <c r="IM20" i="17" s="1"/>
  <c r="K34" i="19"/>
  <c r="AZ38" i="17"/>
  <c r="O11" i="17"/>
  <c r="AT41" i="2"/>
  <c r="AP38" i="2"/>
  <c r="AR55" i="2"/>
  <c r="L11" i="17"/>
  <c r="L19" i="17"/>
  <c r="AS49" i="2"/>
  <c r="AP90" i="2"/>
  <c r="IL37" i="17"/>
  <c r="AQ132" i="2"/>
  <c r="AQ129" i="2" s="1"/>
  <c r="AT16" i="2"/>
  <c r="AT6" i="2" s="1"/>
  <c r="MD15" i="17"/>
  <c r="IK19" i="17"/>
  <c r="AT22" i="17"/>
  <c r="BL24" i="17"/>
  <c r="GM41" i="17"/>
  <c r="GM42" i="17" s="1"/>
  <c r="GM44" i="17" s="1"/>
  <c r="BC41" i="17"/>
  <c r="LN10" i="17"/>
  <c r="LN11" i="17" s="1"/>
  <c r="LN12" i="17" s="1"/>
  <c r="LN13" i="17" s="1"/>
  <c r="LN14" i="17" s="1"/>
  <c r="LN15" i="17" s="1"/>
  <c r="LN16" i="17" s="1"/>
  <c r="LN17" i="17" s="1"/>
  <c r="LN18" i="17" s="1"/>
  <c r="LN19" i="17" s="1"/>
  <c r="LN20" i="17" s="1"/>
  <c r="LN21" i="17" s="1"/>
  <c r="LN22" i="17" s="1"/>
  <c r="LN23" i="17" s="1"/>
  <c r="LN24" i="17" s="1"/>
  <c r="LN25" i="17" s="1"/>
  <c r="LN26" i="17" s="1"/>
  <c r="LN27" i="17" s="1"/>
  <c r="LN28" i="17" s="1"/>
  <c r="LN29" i="17" s="1"/>
  <c r="LN30" i="17" s="1"/>
  <c r="LN31" i="17" s="1"/>
  <c r="LN32" i="17" s="1"/>
  <c r="LN33" i="17" s="1"/>
  <c r="LN34" i="17" s="1"/>
  <c r="LN35" i="17" s="1"/>
  <c r="LN36" i="17" s="1"/>
  <c r="LN37" i="17" s="1"/>
  <c r="LN38" i="17" s="1"/>
  <c r="LN39" i="17" s="1"/>
  <c r="LN40" i="17" s="1"/>
  <c r="LN41" i="17" s="1"/>
  <c r="LN42" i="17" s="1"/>
  <c r="LN44" i="17" s="1"/>
  <c r="HX41" i="17"/>
  <c r="HX42" i="17" s="1"/>
  <c r="HX44" i="17" s="1"/>
  <c r="HW41" i="17"/>
  <c r="HW42" i="17" s="1"/>
  <c r="HW44" i="17" s="1"/>
  <c r="AA10" i="17"/>
  <c r="AA41" i="17" s="1"/>
  <c r="AN34" i="17"/>
  <c r="AW39" i="17"/>
  <c r="IL10" i="17"/>
  <c r="KG10" i="17" s="1"/>
  <c r="BC10" i="17"/>
  <c r="AZ11" i="17"/>
  <c r="BC14" i="17"/>
  <c r="BO14" i="17"/>
  <c r="BF14" i="17"/>
  <c r="AN24" i="17"/>
  <c r="BI25" i="17"/>
  <c r="BI26" i="17"/>
  <c r="P20" i="17"/>
  <c r="AH11" i="17"/>
  <c r="AT11" i="17"/>
  <c r="BF11" i="17"/>
  <c r="BR11" i="17"/>
  <c r="AB12" i="17"/>
  <c r="BO12" i="17"/>
  <c r="IL12" i="17"/>
  <c r="K13" i="17"/>
  <c r="AZ13" i="17"/>
  <c r="BL13" i="17"/>
  <c r="K14" i="17"/>
  <c r="BF15" i="17"/>
  <c r="BL17" i="17"/>
  <c r="AK18" i="17"/>
  <c r="AW18" i="17"/>
  <c r="AH19" i="17"/>
  <c r="AT19" i="17"/>
  <c r="BC20" i="17"/>
  <c r="IL20" i="17"/>
  <c r="AA21" i="17"/>
  <c r="BL21" i="17"/>
  <c r="IL21" i="17"/>
  <c r="W22" i="17"/>
  <c r="BU22" i="17"/>
  <c r="AH23" i="17"/>
  <c r="W23" i="17"/>
  <c r="BR23" i="17"/>
  <c r="GO24" i="17"/>
  <c r="ML24" i="17" s="1"/>
  <c r="IL24" i="17"/>
  <c r="AN25" i="17"/>
  <c r="AZ25" i="17"/>
  <c r="BL25" i="17"/>
  <c r="AK26" i="17"/>
  <c r="AW26" i="17"/>
  <c r="AN29" i="17"/>
  <c r="AZ29" i="17"/>
  <c r="BL29" i="17"/>
  <c r="IL29" i="17"/>
  <c r="IJ29" i="17"/>
  <c r="IM29" i="17" s="1"/>
  <c r="AW30" i="17"/>
  <c r="W30" i="17"/>
  <c r="BU30" i="17"/>
  <c r="AH31" i="17"/>
  <c r="AT31" i="17"/>
  <c r="BF31" i="17"/>
  <c r="BR31" i="17"/>
  <c r="AQ32" i="17"/>
  <c r="AA32" i="17"/>
  <c r="BO32" i="17"/>
  <c r="AN33" i="17"/>
  <c r="AB33" i="17"/>
  <c r="BL33" i="17"/>
  <c r="IK18" i="17"/>
  <c r="K18" i="17"/>
  <c r="IJ18" i="17"/>
  <c r="IM18" i="17" s="1"/>
  <c r="JW29" i="17"/>
  <c r="AN13" i="17"/>
  <c r="W11" i="17"/>
  <c r="LP10" i="17"/>
  <c r="LP11" i="17" s="1"/>
  <c r="LP12" i="17" s="1"/>
  <c r="LP13" i="17" s="1"/>
  <c r="LP14" i="17" s="1"/>
  <c r="LP15" i="17" s="1"/>
  <c r="LP16" i="17" s="1"/>
  <c r="LP17" i="17" s="1"/>
  <c r="LP18" i="17" s="1"/>
  <c r="LP19" i="17" s="1"/>
  <c r="LP20" i="17" s="1"/>
  <c r="LP21" i="17" s="1"/>
  <c r="LP22" i="17" s="1"/>
  <c r="LP23" i="17" s="1"/>
  <c r="LP24" i="17" s="1"/>
  <c r="LP25" i="17" s="1"/>
  <c r="LP26" i="17" s="1"/>
  <c r="LP27" i="17" s="1"/>
  <c r="LP28" i="17" s="1"/>
  <c r="LP29" i="17" s="1"/>
  <c r="LP30" i="17" s="1"/>
  <c r="LP31" i="17" s="1"/>
  <c r="LP32" i="17" s="1"/>
  <c r="LP33" i="17" s="1"/>
  <c r="LP34" i="17" s="1"/>
  <c r="LP35" i="17" s="1"/>
  <c r="LP36" i="17" s="1"/>
  <c r="LP37" i="17" s="1"/>
  <c r="LP38" i="17" s="1"/>
  <c r="LP39" i="17" s="1"/>
  <c r="LP40" i="17" s="1"/>
  <c r="LP41" i="17" s="1"/>
  <c r="LP42" i="17" s="1"/>
  <c r="LP44" i="17" s="1"/>
  <c r="L24" i="17"/>
  <c r="P38" i="17"/>
  <c r="S30" i="17"/>
  <c r="U30" i="17" s="1"/>
  <c r="JK10" i="17"/>
  <c r="JK41" i="17" s="1"/>
  <c r="JK42" i="17" s="1"/>
  <c r="JK44" i="17" s="1"/>
  <c r="AB13" i="17"/>
  <c r="IJ21" i="17"/>
  <c r="IM21" i="17" s="1"/>
  <c r="AQ11" i="17"/>
  <c r="BO11" i="17"/>
  <c r="AN12" i="17"/>
  <c r="P12" i="17"/>
  <c r="AZ16" i="17"/>
  <c r="AW17" i="17"/>
  <c r="BI21" i="17"/>
  <c r="AH22" i="17"/>
  <c r="BF22" i="17"/>
  <c r="BC23" i="17"/>
  <c r="AZ24" i="17"/>
  <c r="MD25" i="17"/>
  <c r="MD33" i="17"/>
  <c r="K10" i="17"/>
  <c r="K41" i="17" s="1"/>
  <c r="BU14" i="17"/>
  <c r="CG10" i="17"/>
  <c r="CG41" i="17" s="1"/>
  <c r="CG42" i="17" s="1"/>
  <c r="CG44" i="17" s="1"/>
  <c r="O21" i="17"/>
  <c r="AZ33" i="17"/>
  <c r="AK19" i="17"/>
  <c r="F124" i="19"/>
  <c r="F155" i="19" s="1"/>
  <c r="AQ10" i="17"/>
  <c r="BF37" i="2"/>
  <c r="AS45" i="2"/>
  <c r="AV6" i="2"/>
  <c r="CF37" i="17"/>
  <c r="CL37" i="17" s="1"/>
  <c r="LO10" i="17"/>
  <c r="LO11" i="17" s="1"/>
  <c r="LO12" i="17" s="1"/>
  <c r="LO13" i="17" s="1"/>
  <c r="LO14" i="17" s="1"/>
  <c r="LO15" i="17" s="1"/>
  <c r="LO16" i="17" s="1"/>
  <c r="LO17" i="17" s="1"/>
  <c r="LO18" i="17" s="1"/>
  <c r="LO19" i="17" s="1"/>
  <c r="LO20" i="17" s="1"/>
  <c r="LO21" i="17" s="1"/>
  <c r="LO22" i="17" s="1"/>
  <c r="LO23" i="17" s="1"/>
  <c r="LO24" i="17" s="1"/>
  <c r="LO25" i="17" s="1"/>
  <c r="LO26" i="17" s="1"/>
  <c r="LO27" i="17" s="1"/>
  <c r="LO28" i="17" s="1"/>
  <c r="LO29" i="17" s="1"/>
  <c r="LO30" i="17" s="1"/>
  <c r="LO31" i="17" s="1"/>
  <c r="LO32" i="17" s="1"/>
  <c r="LO33" i="17" s="1"/>
  <c r="LO34" i="17" s="1"/>
  <c r="LO35" i="17" s="1"/>
  <c r="LO36" i="17" s="1"/>
  <c r="LO37" i="17" s="1"/>
  <c r="LO38" i="17" s="1"/>
  <c r="LO39" i="17" s="1"/>
  <c r="LO40" i="17" s="1"/>
  <c r="LO41" i="17" s="1"/>
  <c r="LO42" i="17" s="1"/>
  <c r="LO44" i="17" s="1"/>
  <c r="L13" i="17"/>
  <c r="X14" i="17"/>
  <c r="IK24" i="17"/>
  <c r="L25" i="17"/>
  <c r="BR26" i="17"/>
  <c r="AQ27" i="17"/>
  <c r="BO27" i="17"/>
  <c r="AN28" i="17"/>
  <c r="BL28" i="17"/>
  <c r="L33" i="17"/>
  <c r="AQ35" i="17"/>
  <c r="BO35" i="17"/>
  <c r="AN36" i="17"/>
  <c r="AK37" i="17"/>
  <c r="BI37" i="17"/>
  <c r="AH38" i="17"/>
  <c r="BF38" i="17"/>
  <c r="BC12" i="2"/>
  <c r="BC38" i="17"/>
  <c r="AP46" i="2"/>
  <c r="X37" i="17"/>
  <c r="X23" i="17"/>
  <c r="GO18" i="17"/>
  <c r="MM18" i="17" s="1"/>
  <c r="AP29" i="2"/>
  <c r="KR10" i="17"/>
  <c r="KR11" i="17" s="1"/>
  <c r="KR12" i="17" s="1"/>
  <c r="KR13" i="17" s="1"/>
  <c r="KR14" i="17" s="1"/>
  <c r="KR15" i="17" s="1"/>
  <c r="KR16" i="17" s="1"/>
  <c r="KR17" i="17" s="1"/>
  <c r="KR18" i="17" s="1"/>
  <c r="KR19" i="17" s="1"/>
  <c r="KR20" i="17" s="1"/>
  <c r="KR21" i="17" s="1"/>
  <c r="KR22" i="17" s="1"/>
  <c r="KR23" i="17" s="1"/>
  <c r="KR24" i="17" s="1"/>
  <c r="KR25" i="17" s="1"/>
  <c r="KR26" i="17" s="1"/>
  <c r="KR27" i="17" s="1"/>
  <c r="KR28" i="17" s="1"/>
  <c r="KR29" i="17" s="1"/>
  <c r="KR30" i="17" s="1"/>
  <c r="KR31" i="17" s="1"/>
  <c r="KR32" i="17" s="1"/>
  <c r="KR33" i="17" s="1"/>
  <c r="KR34" i="17" s="1"/>
  <c r="KR35" i="17" s="1"/>
  <c r="KR36" i="17" s="1"/>
  <c r="KR37" i="17" s="1"/>
  <c r="KR38" i="17" s="1"/>
  <c r="KR39" i="17" s="1"/>
  <c r="KR40" i="17" s="1"/>
  <c r="KR41" i="17" s="1"/>
  <c r="E125" i="19"/>
  <c r="M123" i="19" s="1"/>
  <c r="G164" i="19" s="1"/>
  <c r="H124" i="19"/>
  <c r="F163" i="19" s="1"/>
  <c r="BF7" i="2"/>
  <c r="BF9" i="2" s="1"/>
  <c r="W33" i="17"/>
  <c r="BF18" i="2"/>
  <c r="LM10" i="17"/>
  <c r="LM11" i="17" s="1"/>
  <c r="LM12" i="17" s="1"/>
  <c r="LM13" i="17" s="1"/>
  <c r="LM14" i="17" s="1"/>
  <c r="LM15" i="17" s="1"/>
  <c r="LM16" i="17" s="1"/>
  <c r="LM17" i="17" s="1"/>
  <c r="LM18" i="17" s="1"/>
  <c r="LM19" i="17" s="1"/>
  <c r="LM20" i="17" s="1"/>
  <c r="LM21" i="17" s="1"/>
  <c r="LM22" i="17" s="1"/>
  <c r="LM23" i="17" s="1"/>
  <c r="LM24" i="17" s="1"/>
  <c r="LM25" i="17" s="1"/>
  <c r="LM26" i="17" s="1"/>
  <c r="LM27" i="17" s="1"/>
  <c r="LM28" i="17" s="1"/>
  <c r="LM29" i="17" s="1"/>
  <c r="LM30" i="17" s="1"/>
  <c r="LM31" i="17" s="1"/>
  <c r="LM32" i="17" s="1"/>
  <c r="LM33" i="17" s="1"/>
  <c r="LM34" i="17" s="1"/>
  <c r="LM35" i="17" s="1"/>
  <c r="LM36" i="17" s="1"/>
  <c r="LM37" i="17" s="1"/>
  <c r="LM38" i="17" s="1"/>
  <c r="LM39" i="17" s="1"/>
  <c r="LM40" i="17" s="1"/>
  <c r="LM41" i="17" s="1"/>
  <c r="LM42" i="17" s="1"/>
  <c r="LM44" i="17" s="1"/>
  <c r="BF19" i="2"/>
  <c r="BO10" i="17"/>
  <c r="CT13" i="17"/>
  <c r="CU41" i="17"/>
  <c r="CU42" i="17" s="1"/>
  <c r="CU44" i="17" s="1"/>
  <c r="AT71" i="2"/>
  <c r="AS71" i="2"/>
  <c r="BC26" i="17"/>
  <c r="KM10" i="17"/>
  <c r="KM11" i="17" s="1"/>
  <c r="KM12" i="17" s="1"/>
  <c r="KM13" i="17" s="1"/>
  <c r="KM14" i="17" s="1"/>
  <c r="KM15" i="17" s="1"/>
  <c r="KM16" i="17" s="1"/>
  <c r="KM17" i="17" s="1"/>
  <c r="KM18" i="17" s="1"/>
  <c r="KM19" i="17" s="1"/>
  <c r="KM20" i="17" s="1"/>
  <c r="KM21" i="17" s="1"/>
  <c r="KM22" i="17" s="1"/>
  <c r="KM23" i="17" s="1"/>
  <c r="KM24" i="17" s="1"/>
  <c r="KM25" i="17" s="1"/>
  <c r="KM26" i="17" s="1"/>
  <c r="KM27" i="17" s="1"/>
  <c r="KM28" i="17" s="1"/>
  <c r="KM29" i="17" s="1"/>
  <c r="KM30" i="17" s="1"/>
  <c r="KM31" i="17" s="1"/>
  <c r="KM32" i="17" s="1"/>
  <c r="KM33" i="17" s="1"/>
  <c r="KM34" i="17" s="1"/>
  <c r="KM35" i="17" s="1"/>
  <c r="KM36" i="17" s="1"/>
  <c r="KM37" i="17" s="1"/>
  <c r="KM38" i="17" s="1"/>
  <c r="KM39" i="17" s="1"/>
  <c r="KM40" i="17" s="1"/>
  <c r="KM41" i="17" s="1"/>
  <c r="AP60" i="2"/>
  <c r="W12" i="17"/>
  <c r="AA27" i="17"/>
  <c r="P29" i="17"/>
  <c r="AB30" i="17"/>
  <c r="IK30" i="17"/>
  <c r="AK40" i="17"/>
  <c r="Y42" i="17"/>
  <c r="Y44" i="17" s="1"/>
  <c r="BU32" i="17"/>
  <c r="AN19" i="17"/>
  <c r="T25" i="17"/>
  <c r="U25" i="17" s="1"/>
  <c r="BU25" i="17"/>
  <c r="CF30" i="17"/>
  <c r="CL30" i="17" s="1"/>
  <c r="CT30" i="17"/>
  <c r="P36" i="17"/>
  <c r="BL36" i="17"/>
  <c r="CF38" i="17"/>
  <c r="CL38" i="17" s="1"/>
  <c r="CT38" i="17"/>
  <c r="GO11" i="17"/>
  <c r="ML11" i="17" s="1"/>
  <c r="GO35" i="17"/>
  <c r="MM35" i="17" s="1"/>
  <c r="AW25" i="17"/>
  <c r="AW45" i="2"/>
  <c r="BL12" i="17"/>
  <c r="CT22" i="17"/>
  <c r="BB10" i="2"/>
  <c r="AS15" i="2"/>
  <c r="BE11" i="2"/>
  <c r="AT34" i="2"/>
  <c r="MJ27" i="17"/>
  <c r="GO27" i="17"/>
  <c r="ML27" i="17" s="1"/>
  <c r="AB40" i="17"/>
  <c r="AZ40" i="17"/>
  <c r="AT10" i="17"/>
  <c r="AT41" i="17"/>
  <c r="CF14" i="17"/>
  <c r="CL14" i="17" s="1"/>
  <c r="BU17" i="17"/>
  <c r="AS16" i="2"/>
  <c r="AB16" i="17"/>
  <c r="BC6" i="2"/>
  <c r="AS100" i="2"/>
  <c r="AX10" i="2"/>
  <c r="AW5" i="2"/>
  <c r="AQ15" i="2"/>
  <c r="AV10" i="2"/>
  <c r="AQ33" i="2"/>
  <c r="AB44" i="17"/>
  <c r="AC42" i="17"/>
  <c r="AC44" i="17" s="1"/>
  <c r="ED10" i="17"/>
  <c r="ED41" i="17" s="1"/>
  <c r="ED42" i="17" s="1"/>
  <c r="ED44" i="17" s="1"/>
  <c r="KW10" i="17"/>
  <c r="LC10" i="17" s="1"/>
  <c r="MI28" i="17"/>
  <c r="GO28" i="17"/>
  <c r="ER10" i="17"/>
  <c r="LK10" i="17"/>
  <c r="LQ10" i="17" s="1"/>
  <c r="MI10" i="17"/>
  <c r="HU41" i="17"/>
  <c r="HU42" i="17" s="1"/>
  <c r="HU44" i="17" s="1"/>
  <c r="CF20" i="17"/>
  <c r="CL20" i="17" s="1"/>
  <c r="CT20" i="17"/>
  <c r="CF28" i="17"/>
  <c r="CL28" i="17" s="1"/>
  <c r="CT28" i="17"/>
  <c r="MJ33" i="17"/>
  <c r="GO33" i="17"/>
  <c r="CT36" i="17"/>
  <c r="CF36" i="17"/>
  <c r="CL36" i="17" s="1"/>
  <c r="GO20" i="17"/>
  <c r="BR19" i="17"/>
  <c r="AT49" i="2"/>
  <c r="G145" i="19"/>
  <c r="AW10" i="17"/>
  <c r="S10" i="17"/>
  <c r="S41" i="17" s="1"/>
  <c r="AS93" i="2"/>
  <c r="BI22" i="17"/>
  <c r="IK11" i="17"/>
  <c r="L12" i="17"/>
  <c r="P15" i="17"/>
  <c r="IK16" i="17"/>
  <c r="P18" i="17"/>
  <c r="P23" i="17"/>
  <c r="IK35" i="17"/>
  <c r="AW14" i="17"/>
  <c r="BI17" i="17"/>
  <c r="P19" i="17"/>
  <c r="IL19" i="17"/>
  <c r="AW21" i="17"/>
  <c r="BR22" i="17"/>
  <c r="AQ23" i="17"/>
  <c r="BO23" i="17"/>
  <c r="BC24" i="17"/>
  <c r="K25" i="17"/>
  <c r="P27" i="17"/>
  <c r="IL27" i="17"/>
  <c r="AZ28" i="17"/>
  <c r="MD28" i="17"/>
  <c r="O32" i="17"/>
  <c r="MD32" i="17"/>
  <c r="IL32" i="17"/>
  <c r="K33" i="17"/>
  <c r="AH34" i="17"/>
  <c r="BF34" i="17"/>
  <c r="IL35" i="17"/>
  <c r="AZ36" i="17"/>
  <c r="K37" i="17"/>
  <c r="AT38" i="17"/>
  <c r="BR38" i="17"/>
  <c r="AQ40" i="17"/>
  <c r="BL40" i="17"/>
  <c r="AB20" i="17"/>
  <c r="AT32" i="2"/>
  <c r="G124" i="19"/>
  <c r="BI11" i="17"/>
  <c r="AH12" i="17"/>
  <c r="AW15" i="17"/>
  <c r="BR16" i="17"/>
  <c r="BL18" i="17"/>
  <c r="BF20" i="17"/>
  <c r="AW23" i="17"/>
  <c r="U23" i="17"/>
  <c r="BF28" i="17"/>
  <c r="AZ30" i="17"/>
  <c r="AW31" i="17"/>
  <c r="AT32" i="17"/>
  <c r="BR32" i="17"/>
  <c r="AK35" i="17"/>
  <c r="BI35" i="17"/>
  <c r="AH36" i="17"/>
  <c r="BC37" i="17"/>
  <c r="BR40" i="17"/>
  <c r="HZ41" i="17"/>
  <c r="HZ42" i="17" s="1"/>
  <c r="HZ44" i="17" s="1"/>
  <c r="X20" i="17"/>
  <c r="X36" i="17"/>
  <c r="AW102" i="2"/>
  <c r="AW106" i="2"/>
  <c r="AV112" i="2"/>
  <c r="AV116" i="2"/>
  <c r="W17" i="17"/>
  <c r="W26" i="17"/>
  <c r="BC19" i="17"/>
  <c r="BC27" i="17"/>
  <c r="IJ28" i="17"/>
  <c r="IM28" i="17" s="1"/>
  <c r="IK29" i="17"/>
  <c r="AH30" i="17"/>
  <c r="BF30" i="17"/>
  <c r="BC31" i="17"/>
  <c r="AZ32" i="17"/>
  <c r="BC39" i="17"/>
  <c r="W10" i="17"/>
  <c r="W41" i="17" s="1"/>
  <c r="W34" i="17"/>
  <c r="AP42" i="2"/>
  <c r="AT55" i="2"/>
  <c r="AY63" i="2"/>
  <c r="X15" i="17"/>
  <c r="AT35" i="17"/>
  <c r="BR35" i="17"/>
  <c r="AQ36" i="17"/>
  <c r="BO36" i="17"/>
  <c r="BL37" i="17"/>
  <c r="AK38" i="17"/>
  <c r="AB24" i="17"/>
  <c r="W31" i="17"/>
  <c r="BU21" i="17"/>
  <c r="AP64" i="2"/>
  <c r="IJ17" i="17"/>
  <c r="IM17" i="17" s="1"/>
  <c r="L15" i="17"/>
  <c r="AB27" i="17"/>
  <c r="L31" i="17"/>
  <c r="AB34" i="17"/>
  <c r="AN40" i="17"/>
  <c r="AH18" i="17"/>
  <c r="BF18" i="17"/>
  <c r="AW29" i="17"/>
  <c r="AT30" i="17"/>
  <c r="AQ31" i="17"/>
  <c r="BO31" i="17"/>
  <c r="AN32" i="17"/>
  <c r="BL32" i="17"/>
  <c r="AQ39" i="17"/>
  <c r="AU10" i="2"/>
  <c r="T65" i="19"/>
  <c r="AT35" i="2"/>
  <c r="AQ55" i="2"/>
  <c r="Z154" i="2" s="1"/>
  <c r="AS116" i="2"/>
  <c r="BD58" i="2"/>
  <c r="AS63" i="2"/>
  <c r="AP70" i="2"/>
  <c r="BM42" i="17"/>
  <c r="BO41" i="17"/>
  <c r="AK13" i="17"/>
  <c r="BI13" i="17"/>
  <c r="AH14" i="17"/>
  <c r="BC15" i="17"/>
  <c r="BC10" i="2"/>
  <c r="IK33" i="17"/>
  <c r="AT12" i="17"/>
  <c r="BR12" i="17"/>
  <c r="AQ13" i="17"/>
  <c r="BO13" i="17"/>
  <c r="AK15" i="17"/>
  <c r="BI15" i="17"/>
  <c r="IL17" i="17"/>
  <c r="AW19" i="17"/>
  <c r="BR20" i="17"/>
  <c r="BO21" i="17"/>
  <c r="GO21" i="17"/>
  <c r="MM21" i="17" s="1"/>
  <c r="AQ22" i="17"/>
  <c r="BL22" i="17"/>
  <c r="AK23" i="17"/>
  <c r="BI23" i="17"/>
  <c r="AH24" i="17"/>
  <c r="BF24" i="17"/>
  <c r="IL25" i="17"/>
  <c r="AW27" i="17"/>
  <c r="AT28" i="17"/>
  <c r="BR28" i="17"/>
  <c r="AQ29" i="17"/>
  <c r="BO29" i="17"/>
  <c r="IL30" i="17"/>
  <c r="AK31" i="17"/>
  <c r="BF32" i="17"/>
  <c r="O33" i="17"/>
  <c r="AN39" i="17"/>
  <c r="BI40" i="17"/>
  <c r="AP86" i="2"/>
  <c r="AW49" i="2"/>
  <c r="HY41" i="17"/>
  <c r="HY42" i="17" s="1"/>
  <c r="HY44" i="17" s="1"/>
  <c r="IK34" i="17"/>
  <c r="AW38" i="17"/>
  <c r="AW6" i="2"/>
  <c r="MD14" i="17"/>
  <c r="AA22" i="17"/>
  <c r="MD26" i="17"/>
  <c r="IL26" i="17"/>
  <c r="L27" i="17"/>
  <c r="X27" i="17"/>
  <c r="AA29" i="17"/>
  <c r="O34" i="17"/>
  <c r="MD34" i="17"/>
  <c r="W36" i="17"/>
  <c r="MD38" i="17"/>
  <c r="G147" i="19"/>
  <c r="AT79" i="2"/>
  <c r="KJ10" i="17"/>
  <c r="KJ11" i="17" s="1"/>
  <c r="KJ12" i="17" s="1"/>
  <c r="KJ13" i="17" s="1"/>
  <c r="KJ14" i="17" s="1"/>
  <c r="KJ15" i="17" s="1"/>
  <c r="KJ16" i="17" s="1"/>
  <c r="AB15" i="17"/>
  <c r="IK15" i="17"/>
  <c r="AW16" i="17"/>
  <c r="BR17" i="17"/>
  <c r="AQ18" i="17"/>
  <c r="AH21" i="17"/>
  <c r="BC22" i="17"/>
  <c r="AW24" i="17"/>
  <c r="AT25" i="17"/>
  <c r="BL27" i="17"/>
  <c r="AK28" i="17"/>
  <c r="BI28" i="17"/>
  <c r="L35" i="17"/>
  <c r="AK36" i="17"/>
  <c r="IK39" i="17"/>
  <c r="AY49" i="2"/>
  <c r="GO30" i="17"/>
  <c r="AW116" i="2"/>
  <c r="AB10" i="17"/>
  <c r="AB41" i="17" s="1"/>
  <c r="KK10" i="17"/>
  <c r="KK11" i="17" s="1"/>
  <c r="KK12" i="17" s="1"/>
  <c r="KK13" i="17" s="1"/>
  <c r="KK14" i="17" s="1"/>
  <c r="KK15" i="17" s="1"/>
  <c r="KK16" i="17" s="1"/>
  <c r="KK17" i="17" s="1"/>
  <c r="KK18" i="17" s="1"/>
  <c r="KK19" i="17" s="1"/>
  <c r="KK20" i="17" s="1"/>
  <c r="KK21" i="17" s="1"/>
  <c r="KK22" i="17" s="1"/>
  <c r="KK23" i="17" s="1"/>
  <c r="KK24" i="17" s="1"/>
  <c r="KK25" i="17" s="1"/>
  <c r="KK26" i="17" s="1"/>
  <c r="KK27" i="17" s="1"/>
  <c r="KK28" i="17" s="1"/>
  <c r="KK29" i="17" s="1"/>
  <c r="KK30" i="17" s="1"/>
  <c r="KK31" i="17" s="1"/>
  <c r="KK32" i="17" s="1"/>
  <c r="KK33" i="17" s="1"/>
  <c r="KK34" i="17" s="1"/>
  <c r="KK35" i="17" s="1"/>
  <c r="KK36" i="17" s="1"/>
  <c r="KK37" i="17" s="1"/>
  <c r="KK38" i="17" s="1"/>
  <c r="KK39" i="17" s="1"/>
  <c r="KK40" i="17" s="1"/>
  <c r="KK41" i="17" s="1"/>
  <c r="AQ71" i="2"/>
  <c r="EK10" i="17"/>
  <c r="EK41" i="17" s="1"/>
  <c r="EK42" i="17" s="1"/>
  <c r="EK44" i="17" s="1"/>
  <c r="BC18" i="17"/>
  <c r="AN15" i="17"/>
  <c r="P34" i="17"/>
  <c r="AY45" i="2"/>
  <c r="AV5" i="2"/>
  <c r="AW10" i="2"/>
  <c r="MJ14" i="17"/>
  <c r="GO14" i="17"/>
  <c r="MI15" i="17"/>
  <c r="GO15" i="17"/>
  <c r="ML15" i="17" s="1"/>
  <c r="T20" i="17"/>
  <c r="U20" i="17" s="1"/>
  <c r="BU20" i="17"/>
  <c r="MJ22" i="17"/>
  <c r="GO22" i="17"/>
  <c r="MI23" i="17"/>
  <c r="GO23" i="17"/>
  <c r="ML23" i="17" s="1"/>
  <c r="CF25" i="17"/>
  <c r="CL25" i="17" s="1"/>
  <c r="CT25" i="17"/>
  <c r="L28" i="17"/>
  <c r="AW28" i="17"/>
  <c r="T28" i="17"/>
  <c r="U28" i="17" s="1"/>
  <c r="BU28" i="17"/>
  <c r="CF33" i="17"/>
  <c r="CL33" i="17" s="1"/>
  <c r="CT33" i="17"/>
  <c r="L36" i="17"/>
  <c r="AW36" i="17"/>
  <c r="MJ38" i="17"/>
  <c r="GO38" i="17"/>
  <c r="X16" i="17"/>
  <c r="CT17" i="17"/>
  <c r="AR132" i="2"/>
  <c r="AR129" i="2" s="1"/>
  <c r="CB10" i="17"/>
  <c r="CB41" i="17" s="1"/>
  <c r="ID41" i="17"/>
  <c r="ID42" i="17" s="1"/>
  <c r="ID44" i="17" s="1"/>
  <c r="IJ38" i="17"/>
  <c r="IM38" i="17" s="1"/>
  <c r="BU18" i="17"/>
  <c r="AV97" i="2"/>
  <c r="AV78" i="2" s="1"/>
  <c r="GO26" i="17"/>
  <c r="AT67" i="2"/>
  <c r="U12" i="17"/>
  <c r="AT89" i="2"/>
  <c r="AT18" i="17"/>
  <c r="BR18" i="17"/>
  <c r="AQ19" i="17"/>
  <c r="BO19" i="17"/>
  <c r="AX28" i="2"/>
  <c r="AT45" i="2"/>
  <c r="KZ10" i="17"/>
  <c r="KZ11" i="17" s="1"/>
  <c r="KZ12" i="17" s="1"/>
  <c r="KZ13" i="17" s="1"/>
  <c r="KZ14" i="17" s="1"/>
  <c r="KZ15" i="17" s="1"/>
  <c r="KZ16" i="17" s="1"/>
  <c r="KZ17" i="17" s="1"/>
  <c r="KZ18" i="17" s="1"/>
  <c r="KZ19" i="17" s="1"/>
  <c r="KZ20" i="17" s="1"/>
  <c r="KZ21" i="17" s="1"/>
  <c r="KZ22" i="17" s="1"/>
  <c r="KZ23" i="17" s="1"/>
  <c r="KZ24" i="17" s="1"/>
  <c r="KZ25" i="17" s="1"/>
  <c r="KZ26" i="17" s="1"/>
  <c r="KZ27" i="17" s="1"/>
  <c r="KZ28" i="17" s="1"/>
  <c r="KZ29" i="17" s="1"/>
  <c r="KZ30" i="17" s="1"/>
  <c r="KZ31" i="17" s="1"/>
  <c r="KZ32" i="17" s="1"/>
  <c r="KZ33" i="17" s="1"/>
  <c r="KZ34" i="17" s="1"/>
  <c r="KZ35" i="17" s="1"/>
  <c r="KZ36" i="17" s="1"/>
  <c r="KZ37" i="17" s="1"/>
  <c r="KZ38" i="17" s="1"/>
  <c r="KZ39" i="17" s="1"/>
  <c r="KZ40" i="17" s="1"/>
  <c r="KZ41" i="17" s="1"/>
  <c r="MJ10" i="17"/>
  <c r="W39" i="17"/>
  <c r="O40" i="17"/>
  <c r="IL40" i="17"/>
  <c r="Q42" i="17"/>
  <c r="Q44" i="17" s="1"/>
  <c r="L37" i="17"/>
  <c r="X38" i="17"/>
  <c r="MD30" i="17"/>
  <c r="U42" i="17"/>
  <c r="U44" i="17" s="1"/>
  <c r="AT33" i="2"/>
  <c r="X34" i="17"/>
  <c r="X35" i="17"/>
  <c r="AB37" i="17"/>
  <c r="IK37" i="17"/>
  <c r="AS17" i="2"/>
  <c r="F35" i="19" s="1"/>
  <c r="GR45" i="17"/>
  <c r="O44" i="17"/>
  <c r="CT35" i="17"/>
  <c r="CJ10" i="17"/>
  <c r="CJ41" i="17" s="1"/>
  <c r="CJ42" i="17" s="1"/>
  <c r="CJ44" i="17" s="1"/>
  <c r="O29" i="17"/>
  <c r="BO17" i="17"/>
  <c r="AQ25" i="17"/>
  <c r="BO25" i="17"/>
  <c r="IJ31" i="17"/>
  <c r="IM31" i="17" s="1"/>
  <c r="AZ10" i="17"/>
  <c r="K31" i="17"/>
  <c r="BU27" i="17"/>
  <c r="BI34" i="17"/>
  <c r="BF35" i="17"/>
  <c r="AN11" i="17"/>
  <c r="MD11" i="17"/>
  <c r="AK12" i="17"/>
  <c r="AH13" i="17"/>
  <c r="AB23" i="17"/>
  <c r="AA30" i="17"/>
  <c r="MD35" i="17"/>
  <c r="AS172" i="2"/>
  <c r="GO36" i="17"/>
  <c r="ML36" i="17" s="1"/>
  <c r="IJ19" i="17"/>
  <c r="IM19" i="17" s="1"/>
  <c r="BC29" i="17"/>
  <c r="FQ10" i="17"/>
  <c r="EU10" i="17" s="1"/>
  <c r="EU41" i="17" s="1"/>
  <c r="EU42" i="17" s="1"/>
  <c r="EU44" i="17" s="1"/>
  <c r="BF39" i="17"/>
  <c r="AW40" i="17"/>
  <c r="BC40" i="17"/>
  <c r="BU41" i="17"/>
  <c r="LA10" i="17"/>
  <c r="LA11" i="17" s="1"/>
  <c r="LA12" i="17" s="1"/>
  <c r="LA13" i="17" s="1"/>
  <c r="LA14" i="17" s="1"/>
  <c r="LA15" i="17" s="1"/>
  <c r="LA16" i="17" s="1"/>
  <c r="LA17" i="17" s="1"/>
  <c r="LA18" i="17" s="1"/>
  <c r="LA19" i="17" s="1"/>
  <c r="LA20" i="17" s="1"/>
  <c r="LA21" i="17" s="1"/>
  <c r="LA22" i="17" s="1"/>
  <c r="LA23" i="17" s="1"/>
  <c r="LA24" i="17" s="1"/>
  <c r="LA25" i="17" s="1"/>
  <c r="LA26" i="17" s="1"/>
  <c r="LA27" i="17" s="1"/>
  <c r="LA28" i="17" s="1"/>
  <c r="LA29" i="17" s="1"/>
  <c r="LA30" i="17" s="1"/>
  <c r="LA31" i="17" s="1"/>
  <c r="LA32" i="17" s="1"/>
  <c r="LA33" i="17" s="1"/>
  <c r="LA34" i="17" s="1"/>
  <c r="LA35" i="17" s="1"/>
  <c r="LA36" i="17" s="1"/>
  <c r="LA37" i="17" s="1"/>
  <c r="LA38" i="17" s="1"/>
  <c r="LA39" i="17" s="1"/>
  <c r="LA40" i="17" s="1"/>
  <c r="LA41" i="17" s="1"/>
  <c r="AA16" i="17"/>
  <c r="IL16" i="17"/>
  <c r="AA17" i="17"/>
  <c r="AQ28" i="17"/>
  <c r="BO28" i="17"/>
  <c r="AA40" i="17"/>
  <c r="AP81" i="2"/>
  <c r="GL41" i="17"/>
  <c r="GL42" i="17" s="1"/>
  <c r="GL44" i="17" s="1"/>
  <c r="AZ26" i="17"/>
  <c r="IJ34" i="17"/>
  <c r="IM34" i="17" s="1"/>
  <c r="U35" i="17"/>
  <c r="BR36" i="17"/>
  <c r="HV41" i="17"/>
  <c r="HV42" i="17" s="1"/>
  <c r="HV44" i="17" s="1"/>
  <c r="W15" i="17"/>
  <c r="BI31" i="17"/>
  <c r="BU12" i="17"/>
  <c r="AT13" i="17"/>
  <c r="BR13" i="17"/>
  <c r="GZ45" i="17"/>
  <c r="HR41" i="17"/>
  <c r="HR42" i="17" s="1"/>
  <c r="HR44" i="17" s="1"/>
  <c r="U31" i="17"/>
  <c r="HS41" i="17"/>
  <c r="HS42" i="17" s="1"/>
  <c r="HS44" i="17" s="1"/>
  <c r="BU31" i="17"/>
  <c r="BC33" i="17"/>
  <c r="MD24" i="17"/>
  <c r="BC34" i="17"/>
  <c r="HT41" i="17"/>
  <c r="HT42" i="17" s="1"/>
  <c r="HT44" i="17" s="1"/>
  <c r="W19" i="17"/>
  <c r="IK40" i="17"/>
  <c r="EL41" i="17"/>
  <c r="EL42" i="17" s="1"/>
  <c r="EL44" i="17" s="1"/>
  <c r="BI41" i="17"/>
  <c r="AQ16" i="17"/>
  <c r="BO16" i="17"/>
  <c r="GO16" i="17"/>
  <c r="MM16" i="17" s="1"/>
  <c r="K17" i="17"/>
  <c r="O17" i="17"/>
  <c r="IJ30" i="17"/>
  <c r="IM30" i="17" s="1"/>
  <c r="AS78" i="2"/>
  <c r="AD84" i="19" s="1"/>
  <c r="LB10" i="17"/>
  <c r="LB11" i="17" s="1"/>
  <c r="LB12" i="17" s="1"/>
  <c r="LB13" i="17" s="1"/>
  <c r="LB14" i="17" s="1"/>
  <c r="LB15" i="17" s="1"/>
  <c r="LB16" i="17" s="1"/>
  <c r="LB17" i="17" s="1"/>
  <c r="LB18" i="17" s="1"/>
  <c r="LB19" i="17" s="1"/>
  <c r="LB20" i="17" s="1"/>
  <c r="LB21" i="17" s="1"/>
  <c r="LB22" i="17" s="1"/>
  <c r="LB23" i="17" s="1"/>
  <c r="LB24" i="17" s="1"/>
  <c r="LB25" i="17" s="1"/>
  <c r="LB26" i="17" s="1"/>
  <c r="LB27" i="17" s="1"/>
  <c r="LB28" i="17" s="1"/>
  <c r="LB29" i="17" s="1"/>
  <c r="LB30" i="17" s="1"/>
  <c r="LB31" i="17" s="1"/>
  <c r="LB32" i="17" s="1"/>
  <c r="LB33" i="17" s="1"/>
  <c r="LB34" i="17" s="1"/>
  <c r="LB35" i="17" s="1"/>
  <c r="LB36" i="17" s="1"/>
  <c r="LB37" i="17" s="1"/>
  <c r="LB38" i="17" s="1"/>
  <c r="LB39" i="17" s="1"/>
  <c r="LB40" i="17" s="1"/>
  <c r="LB41" i="17" s="1"/>
  <c r="BO34" i="17"/>
  <c r="U16" i="17"/>
  <c r="AT17" i="17"/>
  <c r="X17" i="17"/>
  <c r="IK28" i="17"/>
  <c r="X29" i="17"/>
  <c r="IK32" i="17"/>
  <c r="AK33" i="17"/>
  <c r="AW33" i="17"/>
  <c r="BI33" i="17"/>
  <c r="AW11" i="17"/>
  <c r="W14" i="17"/>
  <c r="AT27" i="17"/>
  <c r="BI27" i="17"/>
  <c r="BR27" i="17"/>
  <c r="GO19" i="17"/>
  <c r="ML19" i="17" s="1"/>
  <c r="AT20" i="17"/>
  <c r="AZ20" i="17"/>
  <c r="O20" i="17"/>
  <c r="X21" i="17"/>
  <c r="K23" i="17"/>
  <c r="BL23" i="17"/>
  <c r="K24" i="17"/>
  <c r="X24" i="17"/>
  <c r="L26" i="17"/>
  <c r="AQ41" i="17"/>
  <c r="IL14" i="17"/>
  <c r="P11" i="17"/>
  <c r="K12" i="17"/>
  <c r="X12" i="17"/>
  <c r="W13" i="17"/>
  <c r="AQ14" i="17"/>
  <c r="AZ14" i="17"/>
  <c r="BL14" i="17"/>
  <c r="K35" i="17"/>
  <c r="IK38" i="17"/>
  <c r="AA11" i="17"/>
  <c r="AT14" i="17"/>
  <c r="L18" i="17"/>
  <c r="BL31" i="17"/>
  <c r="FI42" i="17"/>
  <c r="FI44" i="17" s="1"/>
  <c r="FQ41" i="17"/>
  <c r="DI41" i="17"/>
  <c r="DI42" i="17" s="1"/>
  <c r="DI44" i="17" s="1"/>
  <c r="AN17" i="17"/>
  <c r="CY41" i="17"/>
  <c r="CY42" i="17" s="1"/>
  <c r="CY44" i="17" s="1"/>
  <c r="AN37" i="17"/>
  <c r="BF13" i="17"/>
  <c r="AB32" i="17"/>
  <c r="L10" i="17"/>
  <c r="IE41" i="17"/>
  <c r="IE42" i="17" s="1"/>
  <c r="IE44" i="17" s="1"/>
  <c r="BF19" i="17"/>
  <c r="BF36" i="17"/>
  <c r="L38" i="17"/>
  <c r="IJ23" i="17"/>
  <c r="IM23" i="17" s="1"/>
  <c r="BU16" i="17"/>
  <c r="X13" i="17"/>
  <c r="GF41" i="17"/>
  <c r="GF42" i="17" s="1"/>
  <c r="GF44" i="17" s="1"/>
  <c r="BL11" i="17"/>
  <c r="X10" i="17"/>
  <c r="X41" i="17" s="1"/>
  <c r="GN41" i="17"/>
  <c r="GN42" i="17" s="1"/>
  <c r="GN44" i="17" s="1"/>
  <c r="BU35" i="17"/>
  <c r="X33" i="17"/>
  <c r="MB10" i="17"/>
  <c r="MB41" i="17" s="1"/>
  <c r="MB42" i="17" s="1"/>
  <c r="MB44" i="17" s="1"/>
  <c r="X18" i="17"/>
  <c r="AA20" i="17"/>
  <c r="AH28" i="17"/>
  <c r="BI30" i="17"/>
  <c r="AK10" i="17"/>
  <c r="BU33" i="17"/>
  <c r="GO37" i="17"/>
  <c r="IJ26" i="17"/>
  <c r="IM26" i="17" s="1"/>
  <c r="IB41" i="17"/>
  <c r="IB42" i="17" s="1"/>
  <c r="IB44" i="17" s="1"/>
  <c r="AW12" i="17"/>
  <c r="P39" i="17"/>
  <c r="W35" i="17"/>
  <c r="AB11" i="17"/>
  <c r="IJ33" i="17"/>
  <c r="IM33" i="17" s="1"/>
  <c r="P14" i="17"/>
  <c r="BI24" i="17"/>
  <c r="BU24" i="17"/>
  <c r="IJ11" i="17"/>
  <c r="IM11" i="17" s="1"/>
  <c r="GO10" i="17"/>
  <c r="GO32" i="17"/>
  <c r="AW35" i="17"/>
  <c r="CF21" i="17"/>
  <c r="CL21" i="17" s="1"/>
  <c r="BU29" i="17"/>
  <c r="P31" i="17"/>
  <c r="AB31" i="17"/>
  <c r="BC16" i="17"/>
  <c r="BI38" i="17"/>
  <c r="AH32" i="17"/>
  <c r="GO39" i="17"/>
  <c r="GO34" i="17"/>
  <c r="U29" i="17"/>
  <c r="AK24" i="17"/>
  <c r="KN10" i="17"/>
  <c r="KN11" i="17" s="1"/>
  <c r="KN12" i="17" s="1"/>
  <c r="KN13" i="17" s="1"/>
  <c r="KN14" i="17" s="1"/>
  <c r="KN15" i="17" s="1"/>
  <c r="KN16" i="17" s="1"/>
  <c r="KN17" i="17" s="1"/>
  <c r="KN18" i="17" s="1"/>
  <c r="KN19" i="17" s="1"/>
  <c r="KN20" i="17" s="1"/>
  <c r="KN21" i="17" s="1"/>
  <c r="KN22" i="17" s="1"/>
  <c r="KN23" i="17" s="1"/>
  <c r="KN24" i="17" s="1"/>
  <c r="KN25" i="17" s="1"/>
  <c r="KN26" i="17" s="1"/>
  <c r="KN27" i="17" s="1"/>
  <c r="KN28" i="17" s="1"/>
  <c r="KN29" i="17" s="1"/>
  <c r="KN30" i="17" s="1"/>
  <c r="KN31" i="17" s="1"/>
  <c r="KN32" i="17" s="1"/>
  <c r="KN33" i="17" s="1"/>
  <c r="KN34" i="17" s="1"/>
  <c r="KN35" i="17" s="1"/>
  <c r="KN36" i="17" s="1"/>
  <c r="KN37" i="17" s="1"/>
  <c r="KN38" i="17" s="1"/>
  <c r="KN39" i="17" s="1"/>
  <c r="KN40" i="17" s="1"/>
  <c r="KN41" i="17" s="1"/>
  <c r="CT18" i="17"/>
  <c r="KT10" i="17"/>
  <c r="KT11" i="17" s="1"/>
  <c r="KT12" i="17" s="1"/>
  <c r="KT13" i="17" s="1"/>
  <c r="KT14" i="17" s="1"/>
  <c r="KT15" i="17" s="1"/>
  <c r="KT16" i="17" s="1"/>
  <c r="KT17" i="17" s="1"/>
  <c r="KT18" i="17" s="1"/>
  <c r="KT19" i="17" s="1"/>
  <c r="KT20" i="17" s="1"/>
  <c r="KT21" i="17" s="1"/>
  <c r="KT22" i="17" s="1"/>
  <c r="KT23" i="17" s="1"/>
  <c r="KT24" i="17" s="1"/>
  <c r="KT25" i="17" s="1"/>
  <c r="KT26" i="17" s="1"/>
  <c r="KT27" i="17" s="1"/>
  <c r="KT28" i="17" s="1"/>
  <c r="KT29" i="17" s="1"/>
  <c r="KT30" i="17" s="1"/>
  <c r="KT31" i="17" s="1"/>
  <c r="KT32" i="17" s="1"/>
  <c r="KT33" i="17" s="1"/>
  <c r="KT34" i="17" s="1"/>
  <c r="KT35" i="17" s="1"/>
  <c r="KT36" i="17" s="1"/>
  <c r="KT37" i="17" s="1"/>
  <c r="KT38" i="17" s="1"/>
  <c r="KT39" i="17" s="1"/>
  <c r="KT40" i="17" s="1"/>
  <c r="KT41" i="17" s="1"/>
  <c r="GO13" i="17"/>
  <c r="T10" i="17"/>
  <c r="IC41" i="17"/>
  <c r="IC42" i="17" s="1"/>
  <c r="IC44" i="17" s="1"/>
  <c r="BU40" i="17"/>
  <c r="CT27" i="17"/>
  <c r="X11" i="17"/>
  <c r="O16" i="17"/>
  <c r="BI20" i="17"/>
  <c r="BU10" i="17"/>
  <c r="KU10" i="17"/>
  <c r="KU11" i="17" s="1"/>
  <c r="KU12" i="17" s="1"/>
  <c r="KU13" i="17" s="1"/>
  <c r="KU14" i="17" s="1"/>
  <c r="KU15" i="17" s="1"/>
  <c r="KU16" i="17" s="1"/>
  <c r="KU17" i="17" s="1"/>
  <c r="KU18" i="17" s="1"/>
  <c r="KU19" i="17" s="1"/>
  <c r="KU20" i="17" s="1"/>
  <c r="KU21" i="17" s="1"/>
  <c r="KU22" i="17" s="1"/>
  <c r="KU23" i="17" s="1"/>
  <c r="KU24" i="17" s="1"/>
  <c r="KU25" i="17" s="1"/>
  <c r="KU26" i="17" s="1"/>
  <c r="KU27" i="17" s="1"/>
  <c r="KU28" i="17" s="1"/>
  <c r="KU29" i="17" s="1"/>
  <c r="KU30" i="17" s="1"/>
  <c r="KU31" i="17" s="1"/>
  <c r="KU32" i="17" s="1"/>
  <c r="KU33" i="17" s="1"/>
  <c r="KU34" i="17" s="1"/>
  <c r="KU35" i="17" s="1"/>
  <c r="KU36" i="17" s="1"/>
  <c r="KU37" i="17" s="1"/>
  <c r="KU38" i="17" s="1"/>
  <c r="KU39" i="17" s="1"/>
  <c r="KU40" i="17" s="1"/>
  <c r="KU41" i="17" s="1"/>
  <c r="KY10" i="17"/>
  <c r="KY11" i="17" s="1"/>
  <c r="KY12" i="17" s="1"/>
  <c r="KY13" i="17" s="1"/>
  <c r="KY14" i="17" s="1"/>
  <c r="KY15" i="17" s="1"/>
  <c r="KY16" i="17" s="1"/>
  <c r="KY17" i="17" s="1"/>
  <c r="KY18" i="17" s="1"/>
  <c r="KY19" i="17" s="1"/>
  <c r="KY20" i="17" s="1"/>
  <c r="KY21" i="17" s="1"/>
  <c r="KY22" i="17" s="1"/>
  <c r="KY23" i="17" s="1"/>
  <c r="KY24" i="17" s="1"/>
  <c r="KY25" i="17" s="1"/>
  <c r="KY26" i="17" s="1"/>
  <c r="KY27" i="17" s="1"/>
  <c r="KY28" i="17" s="1"/>
  <c r="KY29" i="17" s="1"/>
  <c r="KY30" i="17" s="1"/>
  <c r="KY31" i="17" s="1"/>
  <c r="KY32" i="17" s="1"/>
  <c r="KY33" i="17" s="1"/>
  <c r="KY34" i="17" s="1"/>
  <c r="KY35" i="17" s="1"/>
  <c r="KY36" i="17" s="1"/>
  <c r="KY37" i="17" s="1"/>
  <c r="KY38" i="17" s="1"/>
  <c r="KY39" i="17" s="1"/>
  <c r="KY40" i="17" s="1"/>
  <c r="KY41" i="17" s="1"/>
  <c r="AZ37" i="17"/>
  <c r="FG10" i="17"/>
  <c r="FG41" i="17" s="1"/>
  <c r="FG42" i="17" s="1"/>
  <c r="FG44" i="17" s="1"/>
  <c r="BI10" i="17"/>
  <c r="CT15" i="17"/>
  <c r="K11" i="17"/>
  <c r="AA14" i="17"/>
  <c r="O22" i="17"/>
  <c r="U40" i="17"/>
  <c r="AV44" i="17"/>
  <c r="L42" i="17"/>
  <c r="U17" i="17"/>
  <c r="AZ27" i="17"/>
  <c r="U32" i="17"/>
  <c r="AN38" i="17"/>
  <c r="AH40" i="17"/>
  <c r="BF12" i="17"/>
  <c r="IK22" i="17"/>
  <c r="IK31" i="17"/>
  <c r="L32" i="17"/>
  <c r="AB38" i="17"/>
  <c r="AN41" i="17"/>
  <c r="U14" i="17"/>
  <c r="AH15" i="17"/>
  <c r="U26" i="17"/>
  <c r="AT33" i="17"/>
  <c r="BR33" i="17"/>
  <c r="U27" i="17"/>
  <c r="BO18" i="17"/>
  <c r="U24" i="17"/>
  <c r="AB29" i="17"/>
  <c r="AB25" i="17"/>
  <c r="BL26" i="17"/>
  <c r="X31" i="17"/>
  <c r="U33" i="17"/>
  <c r="P13" i="17"/>
  <c r="IK21" i="17"/>
  <c r="L22" i="17"/>
  <c r="IL23" i="17"/>
  <c r="AA24" i="17"/>
  <c r="AH25" i="17"/>
  <c r="AA37" i="17"/>
  <c r="IL38" i="17"/>
  <c r="IL11" i="17"/>
  <c r="O27" i="17"/>
  <c r="BR30" i="17"/>
  <c r="AT34" i="17"/>
  <c r="BR34" i="17"/>
  <c r="BU39" i="17"/>
  <c r="AQ15" i="17"/>
  <c r="AT23" i="17"/>
  <c r="W28" i="17"/>
  <c r="L29" i="17"/>
  <c r="IL34" i="17"/>
  <c r="FZ42" i="17"/>
  <c r="FZ44" i="17" s="1"/>
  <c r="FR44" i="17"/>
  <c r="AI42" i="17"/>
  <c r="AK41" i="17"/>
  <c r="BO15" i="17"/>
  <c r="AH17" i="17"/>
  <c r="BF17" i="17"/>
  <c r="O19" i="17"/>
  <c r="AN20" i="17"/>
  <c r="W20" i="17"/>
  <c r="IL22" i="17"/>
  <c r="L23" i="17"/>
  <c r="BF27" i="17"/>
  <c r="AH29" i="17"/>
  <c r="BF29" i="17"/>
  <c r="GO31" i="17"/>
  <c r="AQ33" i="17"/>
  <c r="BO33" i="17"/>
  <c r="AB35" i="17"/>
  <c r="AH39" i="17"/>
  <c r="BR15" i="17"/>
  <c r="IL18" i="17"/>
  <c r="W21" i="17"/>
  <c r="AB22" i="17"/>
  <c r="P24" i="17"/>
  <c r="W27" i="17"/>
  <c r="AB28" i="17"/>
  <c r="IL28" i="17"/>
  <c r="BI29" i="17"/>
  <c r="AA36" i="17"/>
  <c r="IL36" i="17"/>
  <c r="AA23" i="17"/>
  <c r="BC32" i="17"/>
  <c r="L39" i="17"/>
  <c r="AK17" i="17"/>
  <c r="K21" i="17"/>
  <c r="AK27" i="17"/>
  <c r="AZ41" i="17"/>
  <c r="IJ12" i="17"/>
  <c r="U15" i="17"/>
  <c r="IL15" i="17"/>
  <c r="AN18" i="17"/>
  <c r="AK21" i="17"/>
  <c r="L21" i="17"/>
  <c r="MD22" i="17"/>
  <c r="AQ24" i="17"/>
  <c r="W24" i="17"/>
  <c r="BO24" i="17"/>
  <c r="AQ26" i="17"/>
  <c r="BF26" i="17"/>
  <c r="P30" i="17"/>
  <c r="O31" i="17"/>
  <c r="L34" i="17"/>
  <c r="MD36" i="17"/>
  <c r="MD37" i="17"/>
  <c r="AB39" i="17"/>
  <c r="KQ10" i="17"/>
  <c r="KQ11" i="17" s="1"/>
  <c r="KQ12" i="17" s="1"/>
  <c r="KQ13" i="17" s="1"/>
  <c r="KQ14" i="17" s="1"/>
  <c r="KQ15" i="17" s="1"/>
  <c r="KQ16" i="17" s="1"/>
  <c r="KQ17" i="17" s="1"/>
  <c r="KQ18" i="17" s="1"/>
  <c r="KQ19" i="17" s="1"/>
  <c r="KQ20" i="17" s="1"/>
  <c r="KQ21" i="17" s="1"/>
  <c r="KQ22" i="17" s="1"/>
  <c r="KQ23" i="17" s="1"/>
  <c r="KQ24" i="17" s="1"/>
  <c r="KQ25" i="17" s="1"/>
  <c r="KQ26" i="17" s="1"/>
  <c r="KQ27" i="17" s="1"/>
  <c r="KQ28" i="17" s="1"/>
  <c r="KQ29" i="17" s="1"/>
  <c r="KQ30" i="17" s="1"/>
  <c r="KQ31" i="17" s="1"/>
  <c r="KQ32" i="17" s="1"/>
  <c r="KQ33" i="17" s="1"/>
  <c r="KQ34" i="17" s="1"/>
  <c r="KQ35" i="17" s="1"/>
  <c r="KQ36" i="17" s="1"/>
  <c r="KQ37" i="17" s="1"/>
  <c r="KQ38" i="17" s="1"/>
  <c r="KQ39" i="17" s="1"/>
  <c r="KQ40" i="17" s="1"/>
  <c r="KQ41" i="17" s="1"/>
  <c r="BI12" i="17"/>
  <c r="IK12" i="17"/>
  <c r="AB14" i="17"/>
  <c r="AZ15" i="17"/>
  <c r="BL15" i="17"/>
  <c r="W16" i="17"/>
  <c r="AN21" i="17"/>
  <c r="X22" i="17"/>
  <c r="BF23" i="17"/>
  <c r="BL34" i="17"/>
  <c r="IJ35" i="17"/>
  <c r="IM35" i="17" s="1"/>
  <c r="MD18" i="17"/>
  <c r="MD20" i="17"/>
  <c r="AK22" i="17"/>
  <c r="AT26" i="17"/>
  <c r="F66" i="2"/>
  <c r="F12" i="2"/>
  <c r="MJ29" i="17"/>
  <c r="GO29" i="17"/>
  <c r="K30" i="17"/>
  <c r="AN30" i="17"/>
  <c r="BL30" i="17"/>
  <c r="DY41" i="17"/>
  <c r="DY42" i="17" s="1"/>
  <c r="DY44" i="17" s="1"/>
  <c r="KX10" i="17"/>
  <c r="KX11" i="17" s="1"/>
  <c r="KX12" i="17" s="1"/>
  <c r="KX13" i="17" s="1"/>
  <c r="KX14" i="17" s="1"/>
  <c r="KX15" i="17" s="1"/>
  <c r="KX16" i="17" s="1"/>
  <c r="KX17" i="17" s="1"/>
  <c r="KX18" i="17" s="1"/>
  <c r="KX19" i="17" s="1"/>
  <c r="KX20" i="17" s="1"/>
  <c r="KX21" i="17" s="1"/>
  <c r="KX22" i="17" s="1"/>
  <c r="KX23" i="17" s="1"/>
  <c r="KX24" i="17" s="1"/>
  <c r="KX25" i="17" s="1"/>
  <c r="KX26" i="17" s="1"/>
  <c r="KX27" i="17" s="1"/>
  <c r="KX28" i="17" s="1"/>
  <c r="KX29" i="17" s="1"/>
  <c r="KX30" i="17" s="1"/>
  <c r="KX31" i="17" s="1"/>
  <c r="KX32" i="17" s="1"/>
  <c r="KX33" i="17" s="1"/>
  <c r="KX34" i="17" s="1"/>
  <c r="KX35" i="17" s="1"/>
  <c r="KX36" i="17" s="1"/>
  <c r="KX37" i="17" s="1"/>
  <c r="KX38" i="17" s="1"/>
  <c r="KX39" i="17" s="1"/>
  <c r="KX40" i="17" s="1"/>
  <c r="KX41" i="17" s="1"/>
  <c r="JK24" i="17"/>
  <c r="IJ24" i="17"/>
  <c r="IM24" i="17" s="1"/>
  <c r="BF25" i="17"/>
  <c r="W25" i="17"/>
  <c r="JW32" i="17"/>
  <c r="IJ32" i="17"/>
  <c r="IM32" i="17" s="1"/>
  <c r="S37" i="17"/>
  <c r="BU37" i="17"/>
  <c r="FY41" i="17"/>
  <c r="FY42" i="17" s="1"/>
  <c r="FY44" i="17" s="1"/>
  <c r="MD10" i="17"/>
  <c r="BF40" i="17"/>
  <c r="X40" i="17"/>
  <c r="GA41" i="17"/>
  <c r="GA42" i="17" s="1"/>
  <c r="GA44" i="17" s="1"/>
  <c r="GI10" i="17"/>
  <c r="AA13" i="17"/>
  <c r="BL20" i="17"/>
  <c r="X32" i="17"/>
  <c r="CT32" i="17"/>
  <c r="CF32" i="17"/>
  <c r="CL32" i="17" s="1"/>
  <c r="L40" i="17"/>
  <c r="AR76" i="2"/>
  <c r="AP76" i="2" s="1"/>
  <c r="AT15" i="17"/>
  <c r="AK32" i="17"/>
  <c r="K32" i="17"/>
  <c r="BI32" i="17"/>
  <c r="P25" i="17"/>
  <c r="JW14" i="17"/>
  <c r="IJ14" i="17"/>
  <c r="IM14" i="17" s="1"/>
  <c r="AQ17" i="17"/>
  <c r="L20" i="17"/>
  <c r="AK20" i="17"/>
  <c r="K27" i="17"/>
  <c r="CT29" i="17"/>
  <c r="CF29" i="17"/>
  <c r="CL29" i="17" s="1"/>
  <c r="MJ31" i="17"/>
  <c r="AA35" i="17"/>
  <c r="AZ35" i="17"/>
  <c r="JK36" i="17"/>
  <c r="IJ36" i="17"/>
  <c r="IM36" i="17" s="1"/>
  <c r="AK29" i="17"/>
  <c r="K29" i="17"/>
  <c r="CT31" i="17"/>
  <c r="CF31" i="17"/>
  <c r="CL31" i="17" s="1"/>
  <c r="MI12" i="17"/>
  <c r="GO12" i="17"/>
  <c r="IK14" i="17"/>
  <c r="BC35" i="17"/>
  <c r="O35" i="17"/>
  <c r="AA39" i="17"/>
  <c r="AZ39" i="17"/>
  <c r="CF26" i="17"/>
  <c r="CL26" i="17" s="1"/>
  <c r="CT26" i="17"/>
  <c r="T36" i="17"/>
  <c r="BU36" i="17"/>
  <c r="O26" i="17"/>
  <c r="AA26" i="17"/>
  <c r="K34" i="17"/>
  <c r="AW34" i="17"/>
  <c r="S34" i="17"/>
  <c r="U34" i="17" s="1"/>
  <c r="BU34" i="17"/>
  <c r="CT11" i="17"/>
  <c r="AU42" i="17"/>
  <c r="AW41" i="17"/>
  <c r="BR10" i="17"/>
  <c r="MJ25" i="17"/>
  <c r="GO25" i="17"/>
  <c r="K26" i="17"/>
  <c r="AN26" i="17"/>
  <c r="P26" i="17"/>
  <c r="AB26" i="17"/>
  <c r="BU19" i="17"/>
  <c r="BC36" i="17"/>
  <c r="O36" i="17"/>
  <c r="AG41" i="17"/>
  <c r="AH41" i="17" s="1"/>
  <c r="AH10" i="17"/>
  <c r="IK13" i="17"/>
  <c r="BI18" i="17"/>
  <c r="W18" i="17"/>
  <c r="JW22" i="17"/>
  <c r="IJ22" i="17"/>
  <c r="IM22" i="17" s="1"/>
  <c r="JK35" i="17"/>
  <c r="T38" i="17"/>
  <c r="U38" i="17" s="1"/>
  <c r="BU38" i="17"/>
  <c r="CT12" i="17"/>
  <c r="CF12" i="17"/>
  <c r="CL12" i="17" s="1"/>
  <c r="O28" i="17"/>
  <c r="BC28" i="17"/>
  <c r="AA28" i="17"/>
  <c r="AA38" i="17"/>
  <c r="AT80" i="2"/>
  <c r="JK27" i="17"/>
  <c r="IJ27" i="17"/>
  <c r="IM27" i="17" s="1"/>
  <c r="AR120" i="2"/>
  <c r="AP119" i="2"/>
  <c r="EM41" i="17"/>
  <c r="EM42" i="17" s="1"/>
  <c r="EM44" i="17" s="1"/>
  <c r="BC12" i="17"/>
  <c r="AA12" i="17"/>
  <c r="O25" i="17"/>
  <c r="AA25" i="17"/>
  <c r="BC25" i="17"/>
  <c r="AK30" i="17"/>
  <c r="L30" i="17"/>
  <c r="O12" i="17"/>
  <c r="L14" i="17"/>
  <c r="KI17" i="17"/>
  <c r="AB19" i="17"/>
  <c r="AZ22" i="17"/>
  <c r="AZ23" i="17"/>
  <c r="U39" i="17"/>
  <c r="K20" i="17"/>
  <c r="IK20" i="17"/>
  <c r="L17" i="17"/>
  <c r="P22" i="17"/>
  <c r="P28" i="17"/>
  <c r="AA33" i="17"/>
  <c r="AZ21" i="17"/>
  <c r="L16" i="17"/>
  <c r="P17" i="17"/>
  <c r="U18" i="17"/>
  <c r="K40" i="17"/>
  <c r="AZ18" i="17"/>
  <c r="BL19" i="17"/>
  <c r="AB18" i="17"/>
  <c r="MD23" i="17"/>
  <c r="O24" i="17"/>
  <c r="AH26" i="17"/>
  <c r="MD12" i="17"/>
  <c r="IK27" i="17"/>
  <c r="AH27" i="17"/>
  <c r="IK10" i="17"/>
  <c r="AR30" i="2"/>
  <c r="G61" i="2"/>
  <c r="F52" i="2"/>
  <c r="M143" i="2" s="1"/>
  <c r="F65" i="2"/>
  <c r="K25" i="2"/>
  <c r="F11" i="2"/>
  <c r="F60" i="2"/>
  <c r="G52" i="2"/>
  <c r="F17" i="2"/>
  <c r="F61" i="2"/>
  <c r="G66" i="2"/>
  <c r="G60" i="2"/>
  <c r="G54" i="2"/>
  <c r="G58" i="2"/>
  <c r="F58" i="2"/>
  <c r="G53" i="2"/>
  <c r="F54" i="2"/>
  <c r="G11" i="2"/>
  <c r="D17" i="98" s="1"/>
  <c r="E17" i="98" s="1"/>
  <c r="F29" i="2"/>
  <c r="AD13" i="19" s="1"/>
  <c r="G14" i="2"/>
  <c r="G56" i="2"/>
  <c r="F62" i="2"/>
  <c r="F55" i="2"/>
  <c r="AC7" i="19"/>
  <c r="G18" i="2"/>
  <c r="D12" i="98" s="1"/>
  <c r="G55" i="2"/>
  <c r="D53" i="98" s="1"/>
  <c r="G13" i="2"/>
  <c r="G12" i="2"/>
  <c r="D18" i="98" s="1"/>
  <c r="E18" i="98" s="1"/>
  <c r="F13" i="2"/>
  <c r="G64" i="2"/>
  <c r="D62" i="98" s="1"/>
  <c r="E62" i="98" s="1"/>
  <c r="X51" i="106" s="1"/>
  <c r="F18" i="2"/>
  <c r="F19" i="2"/>
  <c r="F14" i="2"/>
  <c r="G62" i="2"/>
  <c r="G65" i="2"/>
  <c r="D63" i="98" s="1"/>
  <c r="E63" i="98" s="1"/>
  <c r="X52" i="106" s="1"/>
  <c r="F56" i="2"/>
  <c r="G57" i="2"/>
  <c r="F53" i="2"/>
  <c r="F6" i="2"/>
  <c r="G21" i="19" s="1"/>
  <c r="F51" i="2"/>
  <c r="G21" i="2"/>
  <c r="F59" i="2"/>
  <c r="F57" i="2"/>
  <c r="F64" i="2"/>
  <c r="AS128" i="2"/>
  <c r="AS129" i="2"/>
  <c r="AS127" i="2"/>
  <c r="G163" i="19"/>
  <c r="M153" i="19"/>
  <c r="FQ17" i="17"/>
  <c r="EU17" i="17" s="1"/>
  <c r="EX17" i="17" s="1"/>
  <c r="G17" i="19"/>
  <c r="K10" i="2"/>
  <c r="F29" i="19" s="1"/>
  <c r="K26" i="2"/>
  <c r="R19" i="19"/>
  <c r="K63" i="2"/>
  <c r="AD78" i="19" s="1"/>
  <c r="AT127" i="2"/>
  <c r="AT129" i="2"/>
  <c r="AT128" i="2"/>
  <c r="AH72" i="19"/>
  <c r="AJ72" i="19"/>
  <c r="K16" i="2"/>
  <c r="F60" i="19" s="1"/>
  <c r="K50" i="2"/>
  <c r="AD51" i="19" s="1"/>
  <c r="N59" i="2"/>
  <c r="K24" i="2"/>
  <c r="AD47" i="19"/>
  <c r="F73" i="19"/>
  <c r="F96" i="19"/>
  <c r="AJ71" i="19"/>
  <c r="AH71" i="19"/>
  <c r="AI71" i="19"/>
  <c r="K59" i="19"/>
  <c r="F14" i="88" l="1"/>
  <c r="AB48" i="118"/>
  <c r="Q56" i="118"/>
  <c r="S56" i="118" s="1"/>
  <c r="NR34" i="120"/>
  <c r="NS33" i="120"/>
  <c r="MY33" i="120" s="1"/>
  <c r="M152" i="2"/>
  <c r="M147" i="2"/>
  <c r="M150" i="2"/>
  <c r="M151" i="2"/>
  <c r="M148" i="2"/>
  <c r="M149" i="2"/>
  <c r="O24" i="106"/>
  <c r="O23" i="106"/>
  <c r="NN15" i="111"/>
  <c r="NR14" i="111"/>
  <c r="MX14" i="111" s="1"/>
  <c r="AB143" i="2"/>
  <c r="MX22" i="102"/>
  <c r="NR23" i="102"/>
  <c r="Z144" i="2"/>
  <c r="MY26" i="99"/>
  <c r="PN27" i="99"/>
  <c r="AB144" i="2"/>
  <c r="AA170" i="2"/>
  <c r="Z170" i="2"/>
  <c r="D19" i="98"/>
  <c r="E19" i="98" s="1"/>
  <c r="D32" i="24"/>
  <c r="D30" i="24"/>
  <c r="D35" i="24" s="1"/>
  <c r="C32" i="24"/>
  <c r="I11" i="2"/>
  <c r="D11" i="98"/>
  <c r="E11" i="98" s="1"/>
  <c r="E23" i="106" s="1"/>
  <c r="E53" i="98"/>
  <c r="E52" i="106" s="1"/>
  <c r="F128" i="2"/>
  <c r="I104" i="19" s="1"/>
  <c r="C34" i="24"/>
  <c r="D13" i="98"/>
  <c r="J125" i="2"/>
  <c r="J127" i="2" s="1"/>
  <c r="G123" i="2"/>
  <c r="J123" i="2" s="1"/>
  <c r="F123" i="2"/>
  <c r="I123" i="2" s="1"/>
  <c r="I125" i="2"/>
  <c r="G128" i="2"/>
  <c r="G120" i="2"/>
  <c r="K33" i="19" s="1"/>
  <c r="M34" i="19" s="1"/>
  <c r="J122" i="2"/>
  <c r="F120" i="2"/>
  <c r="I122" i="2"/>
  <c r="E12" i="98"/>
  <c r="E24" i="106" s="1"/>
  <c r="C30" i="24"/>
  <c r="C35" i="24" s="1"/>
  <c r="BD8" i="2"/>
  <c r="AD86" i="19"/>
  <c r="F71" i="19"/>
  <c r="H86" i="19" s="1"/>
  <c r="I55" i="2"/>
  <c r="H98" i="2"/>
  <c r="U80" i="19" s="1"/>
  <c r="H30" i="2"/>
  <c r="AD87" i="19"/>
  <c r="J55" i="2"/>
  <c r="H95" i="2"/>
  <c r="U75" i="19" s="1"/>
  <c r="F10" i="88"/>
  <c r="B30" i="24"/>
  <c r="B35" i="24" s="1"/>
  <c r="B7" i="24" s="1"/>
  <c r="AU45" i="2"/>
  <c r="I60" i="2"/>
  <c r="F70" i="19"/>
  <c r="H85" i="19" s="1"/>
  <c r="K64" i="19"/>
  <c r="AD85" i="19"/>
  <c r="AQ115" i="2"/>
  <c r="AQ116" i="2" s="1"/>
  <c r="F93" i="19"/>
  <c r="H101" i="19" s="1"/>
  <c r="R76" i="19"/>
  <c r="M35" i="88"/>
  <c r="K35" i="88"/>
  <c r="J56" i="2"/>
  <c r="AP171" i="2"/>
  <c r="J60" i="2"/>
  <c r="H96" i="2"/>
  <c r="U79" i="19" s="1"/>
  <c r="AD88" i="19"/>
  <c r="K38" i="88"/>
  <c r="M38" i="88"/>
  <c r="J12" i="88"/>
  <c r="AU32" i="2"/>
  <c r="L10" i="88"/>
  <c r="J17" i="2"/>
  <c r="J57" i="2"/>
  <c r="AD18" i="19"/>
  <c r="F34" i="88"/>
  <c r="AC18" i="17"/>
  <c r="I57" i="2"/>
  <c r="F36" i="19"/>
  <c r="F95" i="19"/>
  <c r="H102" i="19" s="1"/>
  <c r="B32" i="24"/>
  <c r="F11" i="88"/>
  <c r="AP22" i="2"/>
  <c r="AU49" i="2"/>
  <c r="I14" i="2"/>
  <c r="J14" i="2"/>
  <c r="I56" i="2"/>
  <c r="E120" i="2"/>
  <c r="E15" i="2" s="1"/>
  <c r="B16" i="98" s="1"/>
  <c r="I59" i="2"/>
  <c r="K38" i="19"/>
  <c r="K36" i="19" s="1"/>
  <c r="J59" i="2"/>
  <c r="E128" i="2"/>
  <c r="L92" i="19" s="1"/>
  <c r="B34" i="24"/>
  <c r="K68" i="19"/>
  <c r="K66" i="19" s="1"/>
  <c r="E123" i="2"/>
  <c r="E22" i="2" s="1"/>
  <c r="B10" i="98" s="1"/>
  <c r="I61" i="2"/>
  <c r="AU85" i="2"/>
  <c r="I62" i="2"/>
  <c r="AU97" i="2"/>
  <c r="J61" i="2"/>
  <c r="J62" i="2"/>
  <c r="I58" i="2"/>
  <c r="AP170" i="2"/>
  <c r="J58" i="2"/>
  <c r="BC14" i="2"/>
  <c r="AR10" i="2"/>
  <c r="Q39" i="17"/>
  <c r="BB8" i="2"/>
  <c r="Q16" i="17"/>
  <c r="Q30" i="17"/>
  <c r="G27" i="2"/>
  <c r="AC15" i="17"/>
  <c r="Q18" i="17"/>
  <c r="Y38" i="17"/>
  <c r="KI11" i="17"/>
  <c r="KI12" i="17" s="1"/>
  <c r="KI13" i="17" s="1"/>
  <c r="KI14" i="17" s="1"/>
  <c r="KO14" i="17" s="1"/>
  <c r="KA14" i="17" s="1"/>
  <c r="IM10" i="17"/>
  <c r="IM41" i="17" s="1"/>
  <c r="IM42" i="17" s="1"/>
  <c r="IM44" i="17" s="1"/>
  <c r="Q40" i="17"/>
  <c r="FZ41" i="17"/>
  <c r="M10" i="17"/>
  <c r="Q41" i="17"/>
  <c r="Q21" i="17"/>
  <c r="BE14" i="2"/>
  <c r="AT11" i="2"/>
  <c r="AS102" i="2"/>
  <c r="BE13" i="2"/>
  <c r="BF13" i="2"/>
  <c r="BB14" i="2"/>
  <c r="AR5" i="2"/>
  <c r="BC8" i="2"/>
  <c r="AP132" i="2"/>
  <c r="AP129" i="2" s="1"/>
  <c r="AU41" i="2"/>
  <c r="AZ106" i="2"/>
  <c r="AS7" i="2"/>
  <c r="H50" i="19" s="1"/>
  <c r="BE9" i="2"/>
  <c r="AT12" i="2"/>
  <c r="AT18" i="2"/>
  <c r="MM17" i="17"/>
  <c r="Q23" i="17"/>
  <c r="Q15" i="17"/>
  <c r="E163" i="19"/>
  <c r="Y39" i="17"/>
  <c r="C15" i="17"/>
  <c r="M19" i="17"/>
  <c r="M28" i="17"/>
  <c r="Y22" i="17"/>
  <c r="Y29" i="17"/>
  <c r="CF41" i="17"/>
  <c r="CF42" i="17" s="1"/>
  <c r="CF44" i="17" s="1"/>
  <c r="AC34" i="17"/>
  <c r="AC12" i="17"/>
  <c r="Q29" i="17"/>
  <c r="Q38" i="17"/>
  <c r="M15" i="17"/>
  <c r="Y40" i="17"/>
  <c r="MM27" i="17"/>
  <c r="AW93" i="2"/>
  <c r="BE8" i="2"/>
  <c r="AR47" i="2"/>
  <c r="Q33" i="17"/>
  <c r="Q14" i="17"/>
  <c r="Q10" i="17"/>
  <c r="AC20" i="17"/>
  <c r="AV41" i="2"/>
  <c r="AW89" i="2"/>
  <c r="AX89" i="2"/>
  <c r="BD13" i="2"/>
  <c r="AS11" i="2"/>
  <c r="AU93" i="2"/>
  <c r="AV85" i="2"/>
  <c r="Y11" i="17"/>
  <c r="Q32" i="17"/>
  <c r="BD9" i="2"/>
  <c r="BD14" i="2"/>
  <c r="AT102" i="2"/>
  <c r="AC17" i="17"/>
  <c r="Y30" i="17"/>
  <c r="AP120" i="2"/>
  <c r="AW32" i="2"/>
  <c r="BF14" i="2"/>
  <c r="Q37" i="17"/>
  <c r="IJ41" i="17"/>
  <c r="IJ42" i="17" s="1"/>
  <c r="IJ44" i="17" s="1"/>
  <c r="Y19" i="17"/>
  <c r="M39" i="17"/>
  <c r="KP11" i="17"/>
  <c r="KP12" i="17" s="1"/>
  <c r="M36" i="17"/>
  <c r="AC36" i="17"/>
  <c r="Y33" i="17"/>
  <c r="M13" i="17"/>
  <c r="BC9" i="2"/>
  <c r="M24" i="17"/>
  <c r="AT5" i="2"/>
  <c r="M22" i="17"/>
  <c r="AC21" i="17"/>
  <c r="Y28" i="17"/>
  <c r="AP71" i="2"/>
  <c r="AS12" i="2"/>
  <c r="AS13" i="2" s="1"/>
  <c r="ML35" i="17"/>
  <c r="AY19" i="2"/>
  <c r="AC29" i="17"/>
  <c r="BF8" i="2"/>
  <c r="AC31" i="17"/>
  <c r="AC30" i="17"/>
  <c r="AC32" i="17"/>
  <c r="Y26" i="17"/>
  <c r="H155" i="19"/>
  <c r="M38" i="17"/>
  <c r="F125" i="19"/>
  <c r="E164" i="19" s="1"/>
  <c r="M11" i="17"/>
  <c r="E126" i="19"/>
  <c r="H126" i="19" s="1"/>
  <c r="F165" i="19" s="1"/>
  <c r="Y25" i="17"/>
  <c r="IL41" i="17"/>
  <c r="IL42" i="17" s="1"/>
  <c r="IL44" i="17" s="1"/>
  <c r="Q27" i="17"/>
  <c r="M18" i="17"/>
  <c r="MM40" i="17"/>
  <c r="ML40" i="17"/>
  <c r="AC27" i="17"/>
  <c r="LW10" i="17"/>
  <c r="AS37" i="2"/>
  <c r="AS36" i="2"/>
  <c r="Y23" i="17"/>
  <c r="M33" i="17"/>
  <c r="D30" i="17"/>
  <c r="AC33" i="17"/>
  <c r="AU89" i="2"/>
  <c r="AS5" i="2"/>
  <c r="MM11" i="17"/>
  <c r="AC41" i="17"/>
  <c r="Q19" i="17"/>
  <c r="Q11" i="17"/>
  <c r="Y14" i="17"/>
  <c r="D19" i="17"/>
  <c r="Y37" i="17"/>
  <c r="BB13" i="2"/>
  <c r="Q20" i="17"/>
  <c r="C14" i="17"/>
  <c r="DS10" i="17"/>
  <c r="DS41" i="17" s="1"/>
  <c r="DS42" i="17" s="1"/>
  <c r="DS44" i="17" s="1"/>
  <c r="AS112" i="2"/>
  <c r="AC22" i="17"/>
  <c r="AT19" i="2"/>
  <c r="M25" i="17"/>
  <c r="Y16" i="17"/>
  <c r="AW85" i="2"/>
  <c r="AT7" i="2"/>
  <c r="MM24" i="17"/>
  <c r="KG11" i="17"/>
  <c r="KG12" i="17" s="1"/>
  <c r="KG13" i="17" s="1"/>
  <c r="KG14" i="17" s="1"/>
  <c r="KG15" i="17" s="1"/>
  <c r="KG16" i="17" s="1"/>
  <c r="KG17" i="17" s="1"/>
  <c r="KG18" i="17" s="1"/>
  <c r="KG19" i="17" s="1"/>
  <c r="KG20" i="17" s="1"/>
  <c r="KG21" i="17" s="1"/>
  <c r="KG22" i="17" s="1"/>
  <c r="KG23" i="17" s="1"/>
  <c r="KG24" i="17" s="1"/>
  <c r="KG25" i="17" s="1"/>
  <c r="KG26" i="17" s="1"/>
  <c r="KG27" i="17" s="1"/>
  <c r="KG28" i="17" s="1"/>
  <c r="KG29" i="17" s="1"/>
  <c r="KG30" i="17" s="1"/>
  <c r="KG31" i="17" s="1"/>
  <c r="KG32" i="17" s="1"/>
  <c r="KG33" i="17" s="1"/>
  <c r="KG34" i="17" s="1"/>
  <c r="KG35" i="17" s="1"/>
  <c r="KG36" i="17" s="1"/>
  <c r="KG37" i="17" s="1"/>
  <c r="KG38" i="17" s="1"/>
  <c r="KG39" i="17" s="1"/>
  <c r="KG40" i="17" s="1"/>
  <c r="KG41" i="17" s="1"/>
  <c r="M31" i="17"/>
  <c r="C19" i="17"/>
  <c r="C10" i="17"/>
  <c r="C41" i="17" s="1"/>
  <c r="Y21" i="17"/>
  <c r="Y41" i="17"/>
  <c r="D15" i="17"/>
  <c r="ML18" i="17"/>
  <c r="Y27" i="17"/>
  <c r="Y20" i="17"/>
  <c r="H125" i="19"/>
  <c r="F164" i="19" s="1"/>
  <c r="Y36" i="17"/>
  <c r="AP15" i="2"/>
  <c r="Y17" i="17"/>
  <c r="M12" i="17"/>
  <c r="DR10" i="17"/>
  <c r="DR41" i="17" s="1"/>
  <c r="DR42" i="17" s="1"/>
  <c r="DR44" i="17" s="1"/>
  <c r="AC24" i="17"/>
  <c r="AC16" i="17"/>
  <c r="AP55" i="2"/>
  <c r="M37" i="17"/>
  <c r="BC13" i="2"/>
  <c r="D12" i="17"/>
  <c r="AC40" i="17"/>
  <c r="KW11" i="17"/>
  <c r="AT37" i="2"/>
  <c r="AS6" i="2"/>
  <c r="EX10" i="17"/>
  <c r="EX41" i="17" s="1"/>
  <c r="EX42" i="17" s="1"/>
  <c r="EX44" i="17" s="1"/>
  <c r="MM28" i="17"/>
  <c r="ML28" i="17"/>
  <c r="FQ42" i="17"/>
  <c r="FQ44" i="17" s="1"/>
  <c r="ML33" i="17"/>
  <c r="MM33" i="17"/>
  <c r="ER41" i="17"/>
  <c r="ER42" i="17" s="1"/>
  <c r="ER44" i="17" s="1"/>
  <c r="DT10" i="17"/>
  <c r="DT41" i="17" s="1"/>
  <c r="DT42" i="17" s="1"/>
  <c r="DT44" i="17" s="1"/>
  <c r="ML21" i="17"/>
  <c r="D27" i="17"/>
  <c r="Y34" i="17"/>
  <c r="AQ10" i="2"/>
  <c r="Z153" i="2" s="1"/>
  <c r="AZ41" i="2"/>
  <c r="D20" i="17"/>
  <c r="MM15" i="17"/>
  <c r="D25" i="17"/>
  <c r="G155" i="19"/>
  <c r="E156" i="19" s="1"/>
  <c r="E157" i="19" s="1"/>
  <c r="LK11" i="17"/>
  <c r="LQ11" i="17" s="1"/>
  <c r="ML20" i="17"/>
  <c r="MM20" i="17"/>
  <c r="M11" i="88"/>
  <c r="Y13" i="17"/>
  <c r="M35" i="17"/>
  <c r="AW67" i="2"/>
  <c r="Q22" i="17"/>
  <c r="AY97" i="2"/>
  <c r="AY78" i="2" s="1"/>
  <c r="AW63" i="2"/>
  <c r="Q34" i="17"/>
  <c r="AC11" i="17"/>
  <c r="AX97" i="2"/>
  <c r="AX78" i="2" s="1"/>
  <c r="AZ93" i="2"/>
  <c r="AZ97" i="2"/>
  <c r="AZ78" i="2" s="1"/>
  <c r="D24" i="17"/>
  <c r="M21" i="17"/>
  <c r="AX85" i="2"/>
  <c r="AC25" i="17"/>
  <c r="D23" i="17"/>
  <c r="C22" i="17"/>
  <c r="D37" i="17"/>
  <c r="Y24" i="17"/>
  <c r="AC23" i="17"/>
  <c r="Y12" i="17"/>
  <c r="C17" i="17"/>
  <c r="AX17" i="2"/>
  <c r="GI42" i="17"/>
  <c r="GI44" i="17" s="1"/>
  <c r="D21" i="17"/>
  <c r="D13" i="17"/>
  <c r="BM44" i="17"/>
  <c r="BO42" i="17"/>
  <c r="BO44" i="17" s="1"/>
  <c r="AS19" i="2"/>
  <c r="MM23" i="17"/>
  <c r="C11" i="17"/>
  <c r="D28" i="17"/>
  <c r="MM36" i="17"/>
  <c r="Y15" i="17"/>
  <c r="ML22" i="17"/>
  <c r="MM22" i="17"/>
  <c r="D35" i="17"/>
  <c r="AT36" i="2"/>
  <c r="AP33" i="2"/>
  <c r="AT10" i="2"/>
  <c r="MM38" i="17"/>
  <c r="ML38" i="17"/>
  <c r="ML26" i="17"/>
  <c r="MM26" i="17"/>
  <c r="D33" i="17"/>
  <c r="AC10" i="17"/>
  <c r="AX106" i="2"/>
  <c r="MM14" i="17"/>
  <c r="ML14" i="17"/>
  <c r="AY112" i="2"/>
  <c r="AY116" i="2"/>
  <c r="AX93" i="2"/>
  <c r="ML30" i="17"/>
  <c r="MM30" i="17"/>
  <c r="Y35" i="17"/>
  <c r="AZ116" i="2"/>
  <c r="AC37" i="17"/>
  <c r="D34" i="17"/>
  <c r="D11" i="17"/>
  <c r="AX67" i="2"/>
  <c r="Q17" i="17"/>
  <c r="AS18" i="2"/>
  <c r="AD17" i="19"/>
  <c r="MM19" i="17"/>
  <c r="AR22" i="2"/>
  <c r="AC14" i="17"/>
  <c r="AV63" i="2"/>
  <c r="AX41" i="2"/>
  <c r="AZ28" i="2"/>
  <c r="AR26" i="2"/>
  <c r="D29" i="17"/>
  <c r="C23" i="17"/>
  <c r="ML16" i="17"/>
  <c r="Q24" i="17"/>
  <c r="AV89" i="2"/>
  <c r="AS79" i="2"/>
  <c r="AS80" i="2"/>
  <c r="F16" i="2"/>
  <c r="C12" i="17"/>
  <c r="AC28" i="17"/>
  <c r="Y10" i="17"/>
  <c r="C16" i="17"/>
  <c r="Q13" i="17"/>
  <c r="C24" i="17"/>
  <c r="D22" i="17"/>
  <c r="ML13" i="17"/>
  <c r="MM13" i="17"/>
  <c r="ML34" i="17"/>
  <c r="MM34" i="17"/>
  <c r="L41" i="17"/>
  <c r="M41" i="17" s="1"/>
  <c r="D10" i="17"/>
  <c r="ML39" i="17"/>
  <c r="MM39" i="17"/>
  <c r="KE11" i="17"/>
  <c r="KH11" i="17" s="1"/>
  <c r="JZ11" i="17" s="1"/>
  <c r="D39" i="17"/>
  <c r="AC35" i="17"/>
  <c r="KJ17" i="17"/>
  <c r="KJ18" i="17" s="1"/>
  <c r="KJ19" i="17" s="1"/>
  <c r="KJ20" i="17" s="1"/>
  <c r="KJ21" i="17" s="1"/>
  <c r="KJ22" i="17" s="1"/>
  <c r="KJ23" i="17" s="1"/>
  <c r="KJ24" i="17" s="1"/>
  <c r="KJ25" i="17" s="1"/>
  <c r="KJ26" i="17" s="1"/>
  <c r="KJ27" i="17" s="1"/>
  <c r="KJ28" i="17" s="1"/>
  <c r="KJ29" i="17" s="1"/>
  <c r="KJ30" i="17" s="1"/>
  <c r="KJ31" i="17" s="1"/>
  <c r="KJ32" i="17" s="1"/>
  <c r="KJ33" i="17" s="1"/>
  <c r="KJ34" i="17" s="1"/>
  <c r="KJ35" i="17" s="1"/>
  <c r="KJ36" i="17" s="1"/>
  <c r="KJ37" i="17" s="1"/>
  <c r="KJ38" i="17" s="1"/>
  <c r="KJ39" i="17" s="1"/>
  <c r="KJ40" i="17" s="1"/>
  <c r="KJ41" i="17" s="1"/>
  <c r="KO16" i="17"/>
  <c r="KA16" i="17" s="1"/>
  <c r="MM32" i="17"/>
  <c r="ML32" i="17"/>
  <c r="GO41" i="17"/>
  <c r="GO42" i="17" s="1"/>
  <c r="GO44" i="17" s="1"/>
  <c r="MM10" i="17"/>
  <c r="ML10" i="17"/>
  <c r="T41" i="17"/>
  <c r="U41" i="17" s="1"/>
  <c r="U10" i="17"/>
  <c r="MM37" i="17"/>
  <c r="ML37" i="17"/>
  <c r="D31" i="17"/>
  <c r="Y31" i="17"/>
  <c r="Q26" i="17"/>
  <c r="C21" i="17"/>
  <c r="D42" i="17"/>
  <c r="D44" i="17" s="1"/>
  <c r="L44" i="17"/>
  <c r="D18" i="17"/>
  <c r="IM12" i="17"/>
  <c r="M23" i="17"/>
  <c r="MM31" i="17"/>
  <c r="ML31" i="17"/>
  <c r="Q31" i="17"/>
  <c r="C31" i="17"/>
  <c r="D17" i="17"/>
  <c r="AK42" i="17"/>
  <c r="AK44" i="17" s="1"/>
  <c r="AI44" i="17"/>
  <c r="AZ67" i="2"/>
  <c r="F25" i="2"/>
  <c r="G95" i="19" s="1"/>
  <c r="C39" i="17"/>
  <c r="AC39" i="17"/>
  <c r="D40" i="17"/>
  <c r="AV49" i="2"/>
  <c r="AY67" i="2"/>
  <c r="M16" i="17"/>
  <c r="D16" i="17"/>
  <c r="AC38" i="17"/>
  <c r="C38" i="17"/>
  <c r="C35" i="17"/>
  <c r="Q35" i="17"/>
  <c r="AC19" i="17"/>
  <c r="AU44" i="17"/>
  <c r="K42" i="17"/>
  <c r="AW42" i="17"/>
  <c r="AW44" i="17" s="1"/>
  <c r="IK41" i="17"/>
  <c r="IK42" i="17" s="1"/>
  <c r="IK44" i="17" s="1"/>
  <c r="KF10" i="17"/>
  <c r="KF11" i="17" s="1"/>
  <c r="KF12" i="17" s="1"/>
  <c r="KF13" i="17" s="1"/>
  <c r="KF14" i="17" s="1"/>
  <c r="KF15" i="17" s="1"/>
  <c r="KF16" i="17" s="1"/>
  <c r="KF17" i="17" s="1"/>
  <c r="KF18" i="17" s="1"/>
  <c r="KF19" i="17" s="1"/>
  <c r="KF20" i="17" s="1"/>
  <c r="KF21" i="17" s="1"/>
  <c r="KF22" i="17" s="1"/>
  <c r="KF23" i="17" s="1"/>
  <c r="KF24" i="17" s="1"/>
  <c r="KF25" i="17" s="1"/>
  <c r="KF26" i="17" s="1"/>
  <c r="KF27" i="17" s="1"/>
  <c r="KF28" i="17" s="1"/>
  <c r="KF29" i="17" s="1"/>
  <c r="KF30" i="17" s="1"/>
  <c r="KF31" i="17" s="1"/>
  <c r="KF32" i="17" s="1"/>
  <c r="KF33" i="17" s="1"/>
  <c r="KF34" i="17" s="1"/>
  <c r="KF35" i="17" s="1"/>
  <c r="KF36" i="17" s="1"/>
  <c r="KF37" i="17" s="1"/>
  <c r="KF38" i="17" s="1"/>
  <c r="KF39" i="17" s="1"/>
  <c r="KF40" i="17" s="1"/>
  <c r="KF41" i="17" s="1"/>
  <c r="C28" i="17"/>
  <c r="C27" i="17"/>
  <c r="M27" i="17"/>
  <c r="U37" i="17"/>
  <c r="C37" i="17"/>
  <c r="C36" i="17"/>
  <c r="Q36" i="17"/>
  <c r="D32" i="17"/>
  <c r="Y32" i="17"/>
  <c r="Q28" i="17"/>
  <c r="MM12" i="17"/>
  <c r="ML12" i="17"/>
  <c r="Q25" i="17"/>
  <c r="C25" i="17"/>
  <c r="AC13" i="17"/>
  <c r="C13" i="17"/>
  <c r="M34" i="17"/>
  <c r="C34" i="17"/>
  <c r="GI41" i="17"/>
  <c r="EW10" i="17"/>
  <c r="EW41" i="17" s="1"/>
  <c r="EW42" i="17" s="1"/>
  <c r="EW44" i="17" s="1"/>
  <c r="AC26" i="17"/>
  <c r="M20" i="17"/>
  <c r="C20" i="17"/>
  <c r="D38" i="17"/>
  <c r="D26" i="17"/>
  <c r="M17" i="17"/>
  <c r="M14" i="17"/>
  <c r="D14" i="17"/>
  <c r="M29" i="17"/>
  <c r="C29" i="17"/>
  <c r="C33" i="17"/>
  <c r="C26" i="17"/>
  <c r="M26" i="17"/>
  <c r="Q12" i="17"/>
  <c r="ML25" i="17"/>
  <c r="MM25" i="17"/>
  <c r="U36" i="17"/>
  <c r="D36" i="17"/>
  <c r="M32" i="17"/>
  <c r="C32" i="17"/>
  <c r="MD41" i="17"/>
  <c r="MD42" i="17" s="1"/>
  <c r="MD44" i="17" s="1"/>
  <c r="ME10" i="17"/>
  <c r="ME11" i="17" s="1"/>
  <c r="ME12" i="17" s="1"/>
  <c r="ME13" i="17" s="1"/>
  <c r="ME14" i="17" s="1"/>
  <c r="ME15" i="17" s="1"/>
  <c r="ME16" i="17" s="1"/>
  <c r="ME17" i="17" s="1"/>
  <c r="ME18" i="17" s="1"/>
  <c r="ME19" i="17" s="1"/>
  <c r="ME20" i="17" s="1"/>
  <c r="ME21" i="17" s="1"/>
  <c r="ME22" i="17" s="1"/>
  <c r="ME23" i="17" s="1"/>
  <c r="ME24" i="17" s="1"/>
  <c r="ME25" i="17" s="1"/>
  <c r="ME26" i="17" s="1"/>
  <c r="ME27" i="17" s="1"/>
  <c r="ME28" i="17" s="1"/>
  <c r="ME29" i="17" s="1"/>
  <c r="ME30" i="17" s="1"/>
  <c r="ME31" i="17" s="1"/>
  <c r="ME32" i="17" s="1"/>
  <c r="ME33" i="17" s="1"/>
  <c r="ME34" i="17" s="1"/>
  <c r="ME35" i="17" s="1"/>
  <c r="ME36" i="17" s="1"/>
  <c r="ME37" i="17" s="1"/>
  <c r="ME38" i="17" s="1"/>
  <c r="ME39" i="17" s="1"/>
  <c r="ME40" i="17" s="1"/>
  <c r="ME41" i="17" s="1"/>
  <c r="AR27" i="2"/>
  <c r="AR28" i="2" s="1"/>
  <c r="M30" i="17"/>
  <c r="C30" i="17"/>
  <c r="C40" i="17"/>
  <c r="M40" i="17"/>
  <c r="KO17" i="17"/>
  <c r="KA17" i="17" s="1"/>
  <c r="KI18" i="17"/>
  <c r="Y18" i="17"/>
  <c r="C18" i="17"/>
  <c r="MM29" i="17"/>
  <c r="ML29" i="17"/>
  <c r="F10" i="2"/>
  <c r="F32" i="19" s="1"/>
  <c r="G26" i="2"/>
  <c r="G24" i="2"/>
  <c r="F63" i="2"/>
  <c r="AD81" i="19" s="1"/>
  <c r="G25" i="2"/>
  <c r="G16" i="2"/>
  <c r="F24" i="2"/>
  <c r="G93" i="19" s="1"/>
  <c r="G10" i="2"/>
  <c r="F50" i="2"/>
  <c r="AD54" i="19" s="1"/>
  <c r="D34" i="24"/>
  <c r="G63" i="2"/>
  <c r="H36" i="2"/>
  <c r="AR130" i="2"/>
  <c r="AR127" i="2" s="1"/>
  <c r="AP130" i="2"/>
  <c r="AP127" i="2" s="1"/>
  <c r="AP131" i="2"/>
  <c r="AP128" i="2" s="1"/>
  <c r="AR131" i="2"/>
  <c r="AR128" i="2" s="1"/>
  <c r="AZ89" i="2"/>
  <c r="H77" i="19"/>
  <c r="K22" i="2"/>
  <c r="K29" i="2"/>
  <c r="AD10" i="19" s="1"/>
  <c r="K23" i="2"/>
  <c r="AZ85" i="2"/>
  <c r="I12" i="2"/>
  <c r="K11" i="88"/>
  <c r="J12" i="2"/>
  <c r="H104" i="19"/>
  <c r="H51" i="19"/>
  <c r="AZ32" i="2"/>
  <c r="AR31" i="2"/>
  <c r="AZ24" i="2"/>
  <c r="AZ17" i="2"/>
  <c r="AR23" i="2"/>
  <c r="AZ63" i="2"/>
  <c r="AR62" i="2"/>
  <c r="AR147" i="2"/>
  <c r="AR146" i="2"/>
  <c r="AR145" i="2"/>
  <c r="AZ49" i="2"/>
  <c r="AR48" i="2"/>
  <c r="A9" i="2"/>
  <c r="F9" i="88" l="1"/>
  <c r="AB49" i="118"/>
  <c r="Q57" i="118"/>
  <c r="S57" i="118" s="1"/>
  <c r="NR35" i="120"/>
  <c r="NS34" i="120"/>
  <c r="MY34" i="120" s="1"/>
  <c r="AB149" i="2"/>
  <c r="O25" i="106"/>
  <c r="NR15" i="111"/>
  <c r="MX15" i="111" s="1"/>
  <c r="NN16" i="111"/>
  <c r="J8" i="106"/>
  <c r="B8" i="106"/>
  <c r="NR24" i="102"/>
  <c r="MX23" i="102"/>
  <c r="MY27" i="99"/>
  <c r="PN28" i="99"/>
  <c r="G22" i="2"/>
  <c r="D10" i="98" s="1"/>
  <c r="D61" i="98"/>
  <c r="T39" i="106" s="1"/>
  <c r="B21" i="98"/>
  <c r="B23" i="98" s="1"/>
  <c r="C80" i="106" s="1"/>
  <c r="K12" i="88"/>
  <c r="L12" i="88"/>
  <c r="P17" i="88"/>
  <c r="K63" i="19"/>
  <c r="M64" i="19" s="1"/>
  <c r="G126" i="2"/>
  <c r="J126" i="2" s="1"/>
  <c r="J128" i="2" s="1"/>
  <c r="J120" i="2"/>
  <c r="F126" i="2"/>
  <c r="I126" i="2" s="1"/>
  <c r="I120" i="2"/>
  <c r="E13" i="98"/>
  <c r="E25" i="106" s="1"/>
  <c r="A9" i="19"/>
  <c r="E28" i="2"/>
  <c r="B22" i="98" s="1"/>
  <c r="C79" i="106" s="1"/>
  <c r="AQ114" i="2"/>
  <c r="L11" i="2"/>
  <c r="AQ95" i="2"/>
  <c r="AU67" i="2"/>
  <c r="AQ65" i="2"/>
  <c r="AQ47" i="2"/>
  <c r="L19" i="2"/>
  <c r="AP47" i="2"/>
  <c r="AU24" i="2"/>
  <c r="AQ22" i="2"/>
  <c r="R80" i="19"/>
  <c r="I17" i="2"/>
  <c r="G19" i="19"/>
  <c r="G18" i="19" s="1"/>
  <c r="F33" i="19"/>
  <c r="H48" i="19" s="1"/>
  <c r="AD82" i="19"/>
  <c r="F64" i="19"/>
  <c r="H84" i="19"/>
  <c r="H100" i="19" s="1"/>
  <c r="AQ159" i="2"/>
  <c r="AA168" i="2" s="1"/>
  <c r="AA171" i="2" s="1"/>
  <c r="I64" i="2"/>
  <c r="J64" i="2"/>
  <c r="AP158" i="2"/>
  <c r="R75" i="19"/>
  <c r="J11" i="2"/>
  <c r="F67" i="19"/>
  <c r="I13" i="2"/>
  <c r="J13" i="2"/>
  <c r="AQ160" i="2"/>
  <c r="AQ66" i="2"/>
  <c r="AQ67" i="2" s="1"/>
  <c r="I16" i="2"/>
  <c r="AU112" i="2"/>
  <c r="AU116" i="2"/>
  <c r="M19" i="2"/>
  <c r="N19" i="2" s="1"/>
  <c r="J21" i="2"/>
  <c r="AQ48" i="2"/>
  <c r="AQ49" i="2" s="1"/>
  <c r="H24" i="2"/>
  <c r="I24" i="2" s="1"/>
  <c r="H29" i="2"/>
  <c r="R79" i="19"/>
  <c r="H27" i="2"/>
  <c r="F97" i="2"/>
  <c r="S76" i="19" s="1"/>
  <c r="M34" i="88"/>
  <c r="K34" i="88"/>
  <c r="N90" i="19"/>
  <c r="H97" i="2"/>
  <c r="U76" i="19" s="1"/>
  <c r="N92" i="19"/>
  <c r="O92" i="19" s="1"/>
  <c r="J15" i="88"/>
  <c r="L15" i="88" s="1"/>
  <c r="I10" i="2"/>
  <c r="I21" i="2"/>
  <c r="M37" i="88"/>
  <c r="AQ23" i="2"/>
  <c r="AQ24" i="2" s="1"/>
  <c r="M11" i="2"/>
  <c r="P10" i="88" s="1"/>
  <c r="AU17" i="2"/>
  <c r="AQ158" i="2"/>
  <c r="AU36" i="2"/>
  <c r="AQ96" i="2"/>
  <c r="AQ97" i="2" s="1"/>
  <c r="E126" i="2"/>
  <c r="L90" i="19" s="1"/>
  <c r="J66" i="2"/>
  <c r="I66" i="2"/>
  <c r="I65" i="2"/>
  <c r="J65" i="2"/>
  <c r="AD83" i="19"/>
  <c r="AE83" i="19" s="1"/>
  <c r="AT13" i="2"/>
  <c r="KI15" i="17"/>
  <c r="KO15" i="17" s="1"/>
  <c r="KA15" i="17" s="1"/>
  <c r="KO11" i="17"/>
  <c r="KA11" i="17" s="1"/>
  <c r="KO13" i="17"/>
  <c r="KA13" i="17" s="1"/>
  <c r="KO12" i="17"/>
  <c r="KA12" i="17" s="1"/>
  <c r="J9" i="88"/>
  <c r="AT14" i="2"/>
  <c r="KV11" i="17"/>
  <c r="E15" i="17"/>
  <c r="M12" i="2"/>
  <c r="N12" i="2" s="1"/>
  <c r="AV35" i="2"/>
  <c r="AV12" i="2" s="1"/>
  <c r="M13" i="2"/>
  <c r="AQ43" i="2"/>
  <c r="AS9" i="2"/>
  <c r="AT8" i="2"/>
  <c r="F126" i="19"/>
  <c r="E165" i="19" s="1"/>
  <c r="E21" i="17"/>
  <c r="M124" i="19"/>
  <c r="G165" i="19" s="1"/>
  <c r="AQ87" i="2"/>
  <c r="AQ88" i="2"/>
  <c r="AQ89" i="2" s="1"/>
  <c r="AP87" i="2"/>
  <c r="AS8" i="2"/>
  <c r="AU78" i="2"/>
  <c r="LK12" i="17"/>
  <c r="LQ12" i="17" s="1"/>
  <c r="AS14" i="2"/>
  <c r="L65" i="2"/>
  <c r="E17" i="17"/>
  <c r="E14" i="17"/>
  <c r="E127" i="19"/>
  <c r="E128" i="19" s="1"/>
  <c r="AP10" i="2"/>
  <c r="E33" i="17"/>
  <c r="E30" i="17"/>
  <c r="KB10" i="17"/>
  <c r="LW11" i="17"/>
  <c r="E19" i="17"/>
  <c r="AV45" i="2"/>
  <c r="AT9" i="2"/>
  <c r="AQ44" i="2"/>
  <c r="AQ45" i="2" s="1"/>
  <c r="AQ83" i="2"/>
  <c r="AR16" i="2"/>
  <c r="E37" i="17"/>
  <c r="E20" i="17"/>
  <c r="L14" i="2"/>
  <c r="E13" i="17"/>
  <c r="AQ170" i="2"/>
  <c r="AQ172" i="2"/>
  <c r="AQ171" i="2"/>
  <c r="AA169" i="2" s="1"/>
  <c r="AB171" i="2" s="1"/>
  <c r="AQ84" i="2"/>
  <c r="AQ85" i="2" s="1"/>
  <c r="E12" i="17"/>
  <c r="DU10" i="17"/>
  <c r="DU41" i="17" s="1"/>
  <c r="DU42" i="17" s="1"/>
  <c r="DU44" i="17" s="1"/>
  <c r="AZ79" i="2"/>
  <c r="KW12" i="17"/>
  <c r="LC11" i="17"/>
  <c r="AV106" i="2"/>
  <c r="AQ104" i="2"/>
  <c r="AR95" i="2"/>
  <c r="AP95" i="2"/>
  <c r="E35" i="17"/>
  <c r="L12" i="2"/>
  <c r="E28" i="17"/>
  <c r="E29" i="17"/>
  <c r="AR160" i="2"/>
  <c r="E22" i="17"/>
  <c r="E24" i="17"/>
  <c r="AR96" i="2"/>
  <c r="AR97" i="2" s="1"/>
  <c r="E27" i="17"/>
  <c r="E25" i="17"/>
  <c r="AR39" i="2"/>
  <c r="F27" i="2"/>
  <c r="AW58" i="2"/>
  <c r="AW59" i="2"/>
  <c r="AZ58" i="2"/>
  <c r="E11" i="17"/>
  <c r="M64" i="2"/>
  <c r="AR40" i="2"/>
  <c r="AR41" i="2" s="1"/>
  <c r="AR87" i="2"/>
  <c r="AX7" i="2"/>
  <c r="AP160" i="2"/>
  <c r="E34" i="17"/>
  <c r="AP114" i="2"/>
  <c r="AX18" i="2"/>
  <c r="AX19" i="2"/>
  <c r="AW112" i="2"/>
  <c r="L21" i="2"/>
  <c r="AR159" i="2"/>
  <c r="E23" i="17"/>
  <c r="AR158" i="2"/>
  <c r="E40" i="17"/>
  <c r="AR44" i="2"/>
  <c r="AQ27" i="2"/>
  <c r="AQ28" i="2" s="1"/>
  <c r="AW28" i="2"/>
  <c r="AQ26" i="2"/>
  <c r="AW17" i="2"/>
  <c r="M12" i="88"/>
  <c r="AP159" i="2"/>
  <c r="M21" i="2"/>
  <c r="K60" i="19"/>
  <c r="AR115" i="2"/>
  <c r="AR116" i="2" s="1"/>
  <c r="AX58" i="2"/>
  <c r="AX59" i="2"/>
  <c r="M14" i="2"/>
  <c r="AP104" i="2"/>
  <c r="AR104" i="2"/>
  <c r="AY106" i="2"/>
  <c r="AR114" i="2"/>
  <c r="AV93" i="2"/>
  <c r="AQ91" i="2"/>
  <c r="AQ92" i="2"/>
  <c r="AQ93" i="2" s="1"/>
  <c r="AY89" i="2"/>
  <c r="AR88" i="2"/>
  <c r="AR89" i="2" s="1"/>
  <c r="AR110" i="2"/>
  <c r="M65" i="2"/>
  <c r="AR65" i="2"/>
  <c r="AX102" i="2"/>
  <c r="E18" i="17"/>
  <c r="AP65" i="2"/>
  <c r="M55" i="2"/>
  <c r="N55" i="2" s="1"/>
  <c r="AP26" i="2"/>
  <c r="AZ36" i="2"/>
  <c r="AV58" i="2"/>
  <c r="AV59" i="2"/>
  <c r="AY41" i="2"/>
  <c r="AR84" i="2"/>
  <c r="E16" i="17"/>
  <c r="L55" i="2"/>
  <c r="BM130" i="2"/>
  <c r="E31" i="17"/>
  <c r="KV12" i="17"/>
  <c r="KP13" i="17"/>
  <c r="E32" i="17"/>
  <c r="E39" i="17"/>
  <c r="KE12" i="17"/>
  <c r="KE13" i="17" s="1"/>
  <c r="D41" i="17"/>
  <c r="E41" i="17" s="1"/>
  <c r="E10" i="17"/>
  <c r="E36" i="17"/>
  <c r="E38" i="17"/>
  <c r="AR66" i="2"/>
  <c r="R78" i="19"/>
  <c r="H94" i="2"/>
  <c r="U78" i="19" s="1"/>
  <c r="AY93" i="2"/>
  <c r="M66" i="2"/>
  <c r="AR91" i="2"/>
  <c r="L66" i="2"/>
  <c r="AR92" i="2"/>
  <c r="AP91" i="2"/>
  <c r="K44" i="17"/>
  <c r="C42" i="17"/>
  <c r="M42" i="17"/>
  <c r="M44" i="17" s="1"/>
  <c r="E26" i="17"/>
  <c r="AY58" i="2"/>
  <c r="KO18" i="17"/>
  <c r="KA18" i="17" s="1"/>
  <c r="KI19" i="17"/>
  <c r="AP83" i="2"/>
  <c r="L64" i="2"/>
  <c r="AY85" i="2"/>
  <c r="AR83" i="2"/>
  <c r="AV32" i="2"/>
  <c r="AQ31" i="2"/>
  <c r="AQ32" i="2" s="1"/>
  <c r="AV17" i="2"/>
  <c r="AQ30" i="2"/>
  <c r="AP30" i="2"/>
  <c r="L13" i="2"/>
  <c r="F15" i="2"/>
  <c r="F26" i="2" s="1"/>
  <c r="K32" i="19"/>
  <c r="L34" i="19" s="1"/>
  <c r="G15" i="2"/>
  <c r="D16" i="98" s="1"/>
  <c r="G23" i="2"/>
  <c r="K62" i="19"/>
  <c r="L64" i="19" s="1"/>
  <c r="F22" i="2"/>
  <c r="F23" i="2"/>
  <c r="F63" i="19"/>
  <c r="BM132" i="2"/>
  <c r="BM131" i="2"/>
  <c r="AR32" i="2"/>
  <c r="AR24" i="2"/>
  <c r="AZ7" i="2"/>
  <c r="AZ18" i="2"/>
  <c r="AR17" i="2"/>
  <c r="AZ19" i="2"/>
  <c r="AR63" i="2"/>
  <c r="I19" i="2"/>
  <c r="J18" i="88"/>
  <c r="L18" i="88" s="1"/>
  <c r="J104" i="19"/>
  <c r="K104" i="19" s="1"/>
  <c r="H26" i="2"/>
  <c r="J19" i="2"/>
  <c r="AZ45" i="2"/>
  <c r="J16" i="88"/>
  <c r="L16" i="88" s="1"/>
  <c r="J18" i="2"/>
  <c r="I18" i="2"/>
  <c r="H25" i="2"/>
  <c r="AR49" i="2"/>
  <c r="A8" i="19"/>
  <c r="I102" i="19"/>
  <c r="AX8" i="2" l="1"/>
  <c r="AB50" i="118"/>
  <c r="Q58" i="118"/>
  <c r="S58" i="118" s="1"/>
  <c r="NR36" i="120"/>
  <c r="NS35" i="120"/>
  <c r="MY35" i="120" s="1"/>
  <c r="NN17" i="111"/>
  <c r="NR16" i="111"/>
  <c r="MX16" i="111" s="1"/>
  <c r="U42" i="106"/>
  <c r="U39" i="106"/>
  <c r="J11" i="106"/>
  <c r="B11" i="106"/>
  <c r="E61" i="98"/>
  <c r="D127" i="106" s="1"/>
  <c r="NR25" i="102"/>
  <c r="MX24" i="102"/>
  <c r="MY28" i="99"/>
  <c r="PN29" i="99"/>
  <c r="AU79" i="2"/>
  <c r="AA146" i="2"/>
  <c r="S152" i="2"/>
  <c r="V152" i="2"/>
  <c r="W152" i="2"/>
  <c r="R152" i="2"/>
  <c r="Q152" i="2"/>
  <c r="U152" i="2"/>
  <c r="T152" i="2"/>
  <c r="AU19" i="2"/>
  <c r="AU7" i="2"/>
  <c r="N38" i="88"/>
  <c r="H81" i="19"/>
  <c r="AQ110" i="2"/>
  <c r="D21" i="98"/>
  <c r="AQ112" i="2"/>
  <c r="AQ98" i="2"/>
  <c r="F92" i="19"/>
  <c r="J101" i="19"/>
  <c r="AP48" i="2"/>
  <c r="AP49" i="2" s="1"/>
  <c r="F65" i="19"/>
  <c r="H82" i="19" s="1"/>
  <c r="AP66" i="2"/>
  <c r="AP67" i="2" s="1"/>
  <c r="H93" i="19"/>
  <c r="I93" i="19" s="1"/>
  <c r="F34" i="19"/>
  <c r="H49" i="19" s="1"/>
  <c r="J49" i="19" s="1"/>
  <c r="H15" i="2"/>
  <c r="C16" i="98" s="1"/>
  <c r="J14" i="106" s="1"/>
  <c r="AU18" i="2"/>
  <c r="J24" i="2"/>
  <c r="M26" i="2"/>
  <c r="P18" i="88"/>
  <c r="R18" i="88" s="1"/>
  <c r="AD15" i="19"/>
  <c r="AE15" i="19" s="1"/>
  <c r="I29" i="2"/>
  <c r="AP23" i="2"/>
  <c r="AP24" i="2" s="1"/>
  <c r="J10" i="2"/>
  <c r="R77" i="19"/>
  <c r="I63" i="2"/>
  <c r="N11" i="2"/>
  <c r="AU12" i="2"/>
  <c r="AU37" i="2"/>
  <c r="J63" i="2"/>
  <c r="AV37" i="2"/>
  <c r="AV36" i="2"/>
  <c r="N13" i="2"/>
  <c r="AP96" i="2"/>
  <c r="AP97" i="2" s="1"/>
  <c r="P12" i="88"/>
  <c r="R12" i="88" s="1"/>
  <c r="M10" i="2"/>
  <c r="N10" i="2" s="1"/>
  <c r="P11" i="88"/>
  <c r="R11" i="88" s="1"/>
  <c r="H127" i="19"/>
  <c r="F166" i="19" s="1"/>
  <c r="F127" i="19"/>
  <c r="E166" i="19" s="1"/>
  <c r="M125" i="19"/>
  <c r="G166" i="19" s="1"/>
  <c r="LK13" i="17"/>
  <c r="LQ13" i="17" s="1"/>
  <c r="AU80" i="2"/>
  <c r="AZ80" i="2"/>
  <c r="AX9" i="2"/>
  <c r="KB11" i="17"/>
  <c r="LW12" i="17"/>
  <c r="AR57" i="2"/>
  <c r="AD57" i="19" s="1"/>
  <c r="AP100" i="2"/>
  <c r="AR67" i="2"/>
  <c r="AP84" i="2"/>
  <c r="AP85" i="2" s="1"/>
  <c r="L18" i="2"/>
  <c r="L25" i="2" s="1"/>
  <c r="AW79" i="2"/>
  <c r="AW80" i="2"/>
  <c r="AV102" i="2"/>
  <c r="AQ100" i="2"/>
  <c r="AQ101" i="2"/>
  <c r="KW13" i="17"/>
  <c r="LC12" i="17"/>
  <c r="AR98" i="2"/>
  <c r="N64" i="2"/>
  <c r="AP88" i="2"/>
  <c r="AP89" i="2" s="1"/>
  <c r="AR43" i="2"/>
  <c r="M25" i="2"/>
  <c r="AZ12" i="2"/>
  <c r="AZ37" i="2"/>
  <c r="AR78" i="2"/>
  <c r="AR85" i="2"/>
  <c r="AP115" i="2"/>
  <c r="AP116" i="2" s="1"/>
  <c r="AZ112" i="2"/>
  <c r="N65" i="2"/>
  <c r="AP27" i="2"/>
  <c r="AP28" i="2" s="1"/>
  <c r="AP31" i="2"/>
  <c r="AP32" i="2" s="1"/>
  <c r="M63" i="2"/>
  <c r="N21" i="2"/>
  <c r="AX80" i="2"/>
  <c r="AX79" i="2"/>
  <c r="L27" i="2"/>
  <c r="AX45" i="2"/>
  <c r="AR34" i="2"/>
  <c r="AR11" i="2" s="1"/>
  <c r="AR106" i="2"/>
  <c r="AR100" i="2"/>
  <c r="AR6" i="2" s="1"/>
  <c r="AR101" i="2"/>
  <c r="AY102" i="2"/>
  <c r="AY7" i="2"/>
  <c r="AW41" i="2"/>
  <c r="AQ40" i="2"/>
  <c r="AQ39" i="2"/>
  <c r="AP39" i="2"/>
  <c r="M17" i="2"/>
  <c r="L17" i="2"/>
  <c r="L24" i="2" s="1"/>
  <c r="M27" i="2"/>
  <c r="AP110" i="2"/>
  <c r="AP43" i="2"/>
  <c r="AW7" i="2"/>
  <c r="AW18" i="2"/>
  <c r="AW19" i="2"/>
  <c r="E129" i="19"/>
  <c r="H128" i="19"/>
  <c r="F167" i="19" s="1"/>
  <c r="F128" i="19"/>
  <c r="E167" i="19" s="1"/>
  <c r="M126" i="19"/>
  <c r="G167" i="19" s="1"/>
  <c r="AQ77" i="2"/>
  <c r="AV79" i="2"/>
  <c r="AV80" i="2"/>
  <c r="AQ78" i="2"/>
  <c r="AA155" i="2" s="1"/>
  <c r="AB155" i="2" s="1"/>
  <c r="AY37" i="2"/>
  <c r="AY36" i="2"/>
  <c r="AY12" i="2"/>
  <c r="KV13" i="17"/>
  <c r="KP14" i="17"/>
  <c r="KH12" i="17"/>
  <c r="JZ12" i="17" s="1"/>
  <c r="KH13" i="17"/>
  <c r="JZ13" i="17" s="1"/>
  <c r="KE14" i="17"/>
  <c r="AF83" i="19"/>
  <c r="C10" i="98"/>
  <c r="B14" i="106" s="1"/>
  <c r="H23" i="2"/>
  <c r="H92" i="19" s="1"/>
  <c r="J16" i="2"/>
  <c r="G28" i="2"/>
  <c r="D22" i="98" s="1"/>
  <c r="E79" i="106" s="1"/>
  <c r="L63" i="2"/>
  <c r="AD79" i="19" s="1"/>
  <c r="L26" i="2"/>
  <c r="L10" i="2"/>
  <c r="AV18" i="2"/>
  <c r="AV19" i="2"/>
  <c r="AV7" i="2"/>
  <c r="AQ16" i="2"/>
  <c r="AQ17" i="2"/>
  <c r="AP17" i="2" s="1"/>
  <c r="AP16" i="2"/>
  <c r="AV13" i="2"/>
  <c r="AV14" i="2"/>
  <c r="AY79" i="2"/>
  <c r="AY80" i="2"/>
  <c r="AR77" i="2"/>
  <c r="AP77" i="2"/>
  <c r="KI20" i="17"/>
  <c r="KO19" i="17"/>
  <c r="KA19" i="17" s="1"/>
  <c r="AR93" i="2"/>
  <c r="AP92" i="2"/>
  <c r="AP93" i="2" s="1"/>
  <c r="N66" i="2"/>
  <c r="C44" i="17"/>
  <c r="E42" i="17"/>
  <c r="E44" i="17" s="1"/>
  <c r="H47" i="19"/>
  <c r="F28" i="2"/>
  <c r="I100" i="19" s="1"/>
  <c r="M90" i="19"/>
  <c r="O90" i="19" s="1"/>
  <c r="G92" i="19"/>
  <c r="H80" i="19"/>
  <c r="J14" i="88"/>
  <c r="I26" i="2"/>
  <c r="AZ8" i="2"/>
  <c r="AZ9" i="2"/>
  <c r="AR18" i="2"/>
  <c r="AR19" i="2"/>
  <c r="H96" i="19"/>
  <c r="I96" i="19" s="1"/>
  <c r="J26" i="2"/>
  <c r="K18" i="88"/>
  <c r="M18" i="88"/>
  <c r="I25" i="2"/>
  <c r="J25" i="2"/>
  <c r="J102" i="19"/>
  <c r="K102" i="19" s="1"/>
  <c r="H95" i="19"/>
  <c r="I95" i="19" s="1"/>
  <c r="K16" i="88"/>
  <c r="AR45" i="2"/>
  <c r="AP44" i="2"/>
  <c r="AP45" i="2" s="1"/>
  <c r="AZ13" i="2" l="1"/>
  <c r="AB51" i="118"/>
  <c r="Q59" i="118"/>
  <c r="S59" i="118" s="1"/>
  <c r="NR37" i="120"/>
  <c r="NS36" i="120"/>
  <c r="MY36" i="120" s="1"/>
  <c r="NN18" i="111"/>
  <c r="NR17" i="111"/>
  <c r="MX17" i="111" s="1"/>
  <c r="X41" i="106"/>
  <c r="U44" i="106" s="1"/>
  <c r="X43" i="106"/>
  <c r="MX25" i="102"/>
  <c r="E10" i="98"/>
  <c r="D122" i="106" s="1"/>
  <c r="E16" i="98"/>
  <c r="D123" i="106" s="1"/>
  <c r="NR26" i="102"/>
  <c r="PN30" i="99"/>
  <c r="MY29" i="99"/>
  <c r="AD146" i="2"/>
  <c r="AC146" i="2"/>
  <c r="AE146" i="2"/>
  <c r="AF146" i="2"/>
  <c r="AU9" i="2"/>
  <c r="AA143" i="2"/>
  <c r="AU13" i="2"/>
  <c r="Q38" i="88"/>
  <c r="N37" i="88"/>
  <c r="Q37" i="88" s="1"/>
  <c r="AR7" i="2"/>
  <c r="AR8" i="2" s="1"/>
  <c r="M16" i="2"/>
  <c r="M22" i="2" s="1"/>
  <c r="D25" i="98"/>
  <c r="C21" i="98"/>
  <c r="C23" i="98" s="1"/>
  <c r="D80" i="106" s="1"/>
  <c r="AP112" i="2"/>
  <c r="H65" i="19"/>
  <c r="G65" i="19"/>
  <c r="I49" i="19"/>
  <c r="G34" i="19"/>
  <c r="H34" i="19"/>
  <c r="Q18" i="88"/>
  <c r="I15" i="2"/>
  <c r="J15" i="2"/>
  <c r="AU14" i="2"/>
  <c r="LK14" i="17"/>
  <c r="LK15" i="17" s="1"/>
  <c r="AE59" i="19"/>
  <c r="P9" i="88"/>
  <c r="Q12" i="88"/>
  <c r="Q11" i="88"/>
  <c r="F31" i="19"/>
  <c r="M15" i="2"/>
  <c r="AZ14" i="2"/>
  <c r="AR58" i="2"/>
  <c r="KB12" i="17"/>
  <c r="LW13" i="17"/>
  <c r="AP78" i="2"/>
  <c r="AP79" i="2" s="1"/>
  <c r="AR79" i="2"/>
  <c r="AR80" i="2"/>
  <c r="AP6" i="2"/>
  <c r="AR112" i="2"/>
  <c r="LC13" i="17"/>
  <c r="KW14" i="17"/>
  <c r="N18" i="2"/>
  <c r="P16" i="88"/>
  <c r="Q16" i="88" s="1"/>
  <c r="L16" i="2"/>
  <c r="L23" i="2" s="1"/>
  <c r="N63" i="2"/>
  <c r="AD80" i="19"/>
  <c r="AR35" i="2"/>
  <c r="AX37" i="2"/>
  <c r="AX12" i="2"/>
  <c r="AX36" i="2"/>
  <c r="M24" i="2"/>
  <c r="N17" i="2"/>
  <c r="P15" i="88"/>
  <c r="AQ41" i="2"/>
  <c r="AP40" i="2"/>
  <c r="AP41" i="2" s="1"/>
  <c r="K30" i="19"/>
  <c r="AY8" i="2"/>
  <c r="AY9" i="2"/>
  <c r="AQ79" i="2"/>
  <c r="AQ80" i="2"/>
  <c r="AP101" i="2"/>
  <c r="AR102" i="2"/>
  <c r="K61" i="19"/>
  <c r="AW12" i="2"/>
  <c r="AW36" i="2"/>
  <c r="AW37" i="2"/>
  <c r="AQ34" i="2"/>
  <c r="AQ11" i="2" s="1"/>
  <c r="AQ35" i="2"/>
  <c r="AP34" i="2"/>
  <c r="AP11" i="2" s="1"/>
  <c r="M127" i="19"/>
  <c r="G168" i="19" s="1"/>
  <c r="F129" i="19"/>
  <c r="E168" i="19" s="1"/>
  <c r="E130" i="19"/>
  <c r="H129" i="19"/>
  <c r="F168" i="19" s="1"/>
  <c r="AW8" i="2"/>
  <c r="AW9" i="2"/>
  <c r="K31" i="19"/>
  <c r="J22" i="2"/>
  <c r="AY14" i="2"/>
  <c r="AY13" i="2"/>
  <c r="KV14" i="17"/>
  <c r="KP15" i="17"/>
  <c r="KE15" i="17"/>
  <c r="KH14" i="17"/>
  <c r="JZ14" i="17" s="1"/>
  <c r="I23" i="2"/>
  <c r="J23" i="2"/>
  <c r="I22" i="2"/>
  <c r="H28" i="2"/>
  <c r="C22" i="98" s="1"/>
  <c r="B64" i="106" s="1"/>
  <c r="I92" i="19"/>
  <c r="F30" i="19"/>
  <c r="L15" i="2"/>
  <c r="KI21" i="17"/>
  <c r="KO20" i="17"/>
  <c r="KA20" i="17" s="1"/>
  <c r="AQ18" i="2"/>
  <c r="AQ7" i="2"/>
  <c r="AA152" i="2" s="1"/>
  <c r="AQ19" i="2"/>
  <c r="AQ6" i="2"/>
  <c r="AV9" i="2"/>
  <c r="AV8" i="2"/>
  <c r="I82" i="19"/>
  <c r="I101" i="19"/>
  <c r="K101" i="19" s="1"/>
  <c r="J82" i="19"/>
  <c r="AP18" i="2"/>
  <c r="AP19" i="2"/>
  <c r="F62" i="19" l="1"/>
  <c r="H79" i="19" s="1"/>
  <c r="P14" i="88"/>
  <c r="Q60" i="118"/>
  <c r="S60" i="118" s="1"/>
  <c r="AB52" i="118"/>
  <c r="NR38" i="120"/>
  <c r="NS37" i="120"/>
  <c r="MY37" i="120" s="1"/>
  <c r="AA144" i="2"/>
  <c r="AC144" i="2" s="1"/>
  <c r="NR18" i="111"/>
  <c r="MX18" i="111" s="1"/>
  <c r="NN19" i="111"/>
  <c r="U14" i="106"/>
  <c r="U11" i="106"/>
  <c r="B127" i="106"/>
  <c r="M13" i="106"/>
  <c r="J16" i="106" s="1"/>
  <c r="M15" i="106"/>
  <c r="E13" i="106"/>
  <c r="B16" i="106" s="1"/>
  <c r="E15" i="106"/>
  <c r="E25" i="98"/>
  <c r="E22" i="98"/>
  <c r="D128" i="106" s="1"/>
  <c r="D79" i="106"/>
  <c r="NR27" i="102"/>
  <c r="MX26" i="102"/>
  <c r="PN31" i="99"/>
  <c r="MY30" i="99"/>
  <c r="AD143" i="2"/>
  <c r="AF143" i="2"/>
  <c r="AR9" i="2"/>
  <c r="AR37" i="2"/>
  <c r="H83" i="19"/>
  <c r="E21" i="98"/>
  <c r="J100" i="19"/>
  <c r="K100" i="19" s="1"/>
  <c r="AQ61" i="2"/>
  <c r="AQ147" i="2"/>
  <c r="AQ145" i="2"/>
  <c r="AQ146" i="2"/>
  <c r="AA162" i="2" s="1"/>
  <c r="AU63" i="2"/>
  <c r="AQ62" i="2"/>
  <c r="AQ63" i="2" s="1"/>
  <c r="AU57" i="2"/>
  <c r="AA145" i="2" s="1"/>
  <c r="LQ14" i="17"/>
  <c r="S47" i="19"/>
  <c r="R53" i="19"/>
  <c r="R45" i="19"/>
  <c r="S51" i="19"/>
  <c r="R71" i="19"/>
  <c r="S63" i="19"/>
  <c r="R67" i="19"/>
  <c r="S61" i="19"/>
  <c r="J54" i="2"/>
  <c r="I54" i="2"/>
  <c r="I53" i="2"/>
  <c r="J53" i="2"/>
  <c r="I51" i="2"/>
  <c r="J52" i="2"/>
  <c r="I52" i="2"/>
  <c r="AT62" i="2"/>
  <c r="BF63" i="2"/>
  <c r="M51" i="2"/>
  <c r="M50" i="2" s="1"/>
  <c r="H46" i="19"/>
  <c r="S45" i="19"/>
  <c r="R51" i="19"/>
  <c r="KB13" i="17"/>
  <c r="LW14" i="17"/>
  <c r="AP80" i="2"/>
  <c r="KW15" i="17"/>
  <c r="LC14" i="17"/>
  <c r="AQ9" i="2"/>
  <c r="H45" i="19"/>
  <c r="F61" i="19"/>
  <c r="H78" i="19" s="1"/>
  <c r="N22" i="2"/>
  <c r="L22" i="2"/>
  <c r="L28" i="2" s="1"/>
  <c r="AQ12" i="2"/>
  <c r="AA153" i="2" s="1"/>
  <c r="AQ37" i="2"/>
  <c r="AQ36" i="2"/>
  <c r="AP35" i="2"/>
  <c r="AP12" i="2" s="1"/>
  <c r="AX13" i="2"/>
  <c r="AX14" i="2"/>
  <c r="AW14" i="2"/>
  <c r="AW13" i="2"/>
  <c r="N16" i="2"/>
  <c r="M128" i="19"/>
  <c r="G169" i="19" s="1"/>
  <c r="F130" i="19"/>
  <c r="E169" i="19" s="1"/>
  <c r="H130" i="19"/>
  <c r="F169" i="19" s="1"/>
  <c r="E131" i="19"/>
  <c r="AR12" i="2"/>
  <c r="AR36" i="2"/>
  <c r="M23" i="2"/>
  <c r="AP7" i="2"/>
  <c r="J28" i="2"/>
  <c r="KV15" i="17"/>
  <c r="KP16" i="17"/>
  <c r="LK16" i="17"/>
  <c r="LQ15" i="17"/>
  <c r="KE16" i="17"/>
  <c r="KH15" i="17"/>
  <c r="JZ15" i="17" s="1"/>
  <c r="I28" i="2"/>
  <c r="KO21" i="17"/>
  <c r="KA21" i="17" s="1"/>
  <c r="KI22" i="17"/>
  <c r="AB53" i="118" l="1"/>
  <c r="Q61" i="118"/>
  <c r="S61" i="118" s="1"/>
  <c r="NR39" i="120"/>
  <c r="NS38" i="120"/>
  <c r="MY38" i="120" s="1"/>
  <c r="AD144" i="2"/>
  <c r="AF144" i="2"/>
  <c r="AE144" i="2"/>
  <c r="NN20" i="111"/>
  <c r="NR19" i="111"/>
  <c r="MX19" i="111" s="1"/>
  <c r="X15" i="106"/>
  <c r="X13" i="106"/>
  <c r="U16" i="106" s="1"/>
  <c r="D124" i="106"/>
  <c r="B123" i="106"/>
  <c r="B122" i="106"/>
  <c r="E69" i="106"/>
  <c r="B72" i="106" s="1"/>
  <c r="E71" i="106"/>
  <c r="NR28" i="102"/>
  <c r="MX27" i="102"/>
  <c r="PN32" i="99"/>
  <c r="MY31" i="99"/>
  <c r="AC145" i="2"/>
  <c r="AE145" i="2"/>
  <c r="AB153" i="2"/>
  <c r="AQ56" i="2"/>
  <c r="AQ57" i="2"/>
  <c r="AA154" i="2" s="1"/>
  <c r="AB154" i="2" s="1"/>
  <c r="AU59" i="2"/>
  <c r="AU58" i="2"/>
  <c r="AQ13" i="2"/>
  <c r="S53" i="19"/>
  <c r="R47" i="19"/>
  <c r="R61" i="19"/>
  <c r="F91" i="2"/>
  <c r="S71" i="19" s="1"/>
  <c r="R63" i="19"/>
  <c r="S67" i="19"/>
  <c r="AT145" i="2"/>
  <c r="AP145" i="2"/>
  <c r="AD56" i="19"/>
  <c r="I50" i="2"/>
  <c r="AT147" i="2"/>
  <c r="AP147" i="2"/>
  <c r="N51" i="2"/>
  <c r="AT146" i="2"/>
  <c r="AP146" i="2"/>
  <c r="AT63" i="2"/>
  <c r="AP62" i="2"/>
  <c r="AP63" i="2" s="1"/>
  <c r="BF58" i="2"/>
  <c r="BF59" i="2"/>
  <c r="AT57" i="2"/>
  <c r="KB14" i="17"/>
  <c r="LW15" i="17"/>
  <c r="KW16" i="17"/>
  <c r="LC15" i="17"/>
  <c r="AQ14" i="2"/>
  <c r="M28" i="2"/>
  <c r="AP9" i="2"/>
  <c r="H131" i="19"/>
  <c r="F170" i="19" s="1"/>
  <c r="E132" i="19"/>
  <c r="F131" i="19"/>
  <c r="E170" i="19" s="1"/>
  <c r="M129" i="19"/>
  <c r="G170" i="19" s="1"/>
  <c r="AP36" i="2"/>
  <c r="AP37" i="2"/>
  <c r="AR14" i="2"/>
  <c r="AR13" i="2"/>
  <c r="KP17" i="17"/>
  <c r="KV16" i="17"/>
  <c r="LK17" i="17"/>
  <c r="LQ16" i="17"/>
  <c r="KE17" i="17"/>
  <c r="KH16" i="17"/>
  <c r="JZ16" i="17" s="1"/>
  <c r="KI23" i="17"/>
  <c r="KO22" i="17"/>
  <c r="KA22" i="17" s="1"/>
  <c r="AB54" i="118" l="1"/>
  <c r="Q62" i="118"/>
  <c r="S62" i="118" s="1"/>
  <c r="NR40" i="120"/>
  <c r="NS39" i="120"/>
  <c r="MY39" i="120" s="1"/>
  <c r="NR20" i="111"/>
  <c r="MX20" i="111" s="1"/>
  <c r="NN21" i="111"/>
  <c r="B124" i="106"/>
  <c r="B128" i="106"/>
  <c r="NR29" i="102"/>
  <c r="MX28" i="102"/>
  <c r="MY32" i="99"/>
  <c r="PN33" i="99"/>
  <c r="AQ58" i="2"/>
  <c r="AQ59" i="2"/>
  <c r="M29" i="2"/>
  <c r="N50" i="2"/>
  <c r="AD53" i="19"/>
  <c r="AT58" i="2"/>
  <c r="AT59" i="2"/>
  <c r="AP57" i="2"/>
  <c r="AE56" i="19"/>
  <c r="KB15" i="17"/>
  <c r="LW16" i="17"/>
  <c r="LC16" i="17"/>
  <c r="KW17" i="17"/>
  <c r="E133" i="19"/>
  <c r="F132" i="19"/>
  <c r="E171" i="19" s="1"/>
  <c r="H132" i="19"/>
  <c r="F171" i="19" s="1"/>
  <c r="M130" i="19"/>
  <c r="G171" i="19" s="1"/>
  <c r="AP13" i="2"/>
  <c r="AP14" i="2"/>
  <c r="LQ17" i="17"/>
  <c r="LK18" i="17"/>
  <c r="KP18" i="17"/>
  <c r="KV17" i="17"/>
  <c r="KH17" i="17"/>
  <c r="JZ17" i="17" s="1"/>
  <c r="KE18" i="17"/>
  <c r="KO23" i="17"/>
  <c r="KA23" i="17" s="1"/>
  <c r="KI24" i="17"/>
  <c r="AB55" i="118" l="1"/>
  <c r="Q63" i="118"/>
  <c r="S63" i="118" s="1"/>
  <c r="NR41" i="120"/>
  <c r="NS40" i="120"/>
  <c r="NN22" i="111"/>
  <c r="NR21" i="111"/>
  <c r="MX21" i="111" s="1"/>
  <c r="NR30" i="102"/>
  <c r="MX29" i="102"/>
  <c r="MY33" i="99"/>
  <c r="PN34" i="99"/>
  <c r="S37" i="19"/>
  <c r="AP58" i="2"/>
  <c r="N29" i="2"/>
  <c r="AD12" i="19"/>
  <c r="S66" i="19"/>
  <c r="R44" i="19"/>
  <c r="KB16" i="17"/>
  <c r="LW17" i="17"/>
  <c r="KW18" i="17"/>
  <c r="LC17" i="17"/>
  <c r="H133" i="19"/>
  <c r="F172" i="19" s="1"/>
  <c r="M131" i="19"/>
  <c r="G172" i="19" s="1"/>
  <c r="F133" i="19"/>
  <c r="E172" i="19" s="1"/>
  <c r="E134" i="19"/>
  <c r="KV18" i="17"/>
  <c r="KP19" i="17"/>
  <c r="LK19" i="17"/>
  <c r="LQ18" i="17"/>
  <c r="KH18" i="17"/>
  <c r="JZ18" i="17" s="1"/>
  <c r="KE19" i="17"/>
  <c r="KI25" i="17"/>
  <c r="KO24" i="17"/>
  <c r="KA24" i="17" s="1"/>
  <c r="NR9" i="122" l="1"/>
  <c r="AB56" i="118"/>
  <c r="NS41" i="120"/>
  <c r="MY40" i="120"/>
  <c r="MY41" i="120" s="1"/>
  <c r="MY42" i="120" s="1"/>
  <c r="MY44" i="120" s="1"/>
  <c r="B9" i="120"/>
  <c r="NN23" i="111"/>
  <c r="NR22" i="111"/>
  <c r="MX22" i="111" s="1"/>
  <c r="MX30" i="102"/>
  <c r="NR31" i="102"/>
  <c r="MY34" i="99"/>
  <c r="PN35" i="99"/>
  <c r="R66" i="19"/>
  <c r="T44" i="19"/>
  <c r="S44" i="19"/>
  <c r="U66" i="19"/>
  <c r="LW18" i="17"/>
  <c r="KB17" i="17"/>
  <c r="KW19" i="17"/>
  <c r="LC18" i="17"/>
  <c r="M132" i="19"/>
  <c r="G173" i="19" s="1"/>
  <c r="E135" i="19"/>
  <c r="H134" i="19"/>
  <c r="F173" i="19" s="1"/>
  <c r="F134" i="19"/>
  <c r="E173" i="19" s="1"/>
  <c r="LQ19" i="17"/>
  <c r="LK20" i="17"/>
  <c r="KP20" i="17"/>
  <c r="KV19" i="17"/>
  <c r="KE20" i="17"/>
  <c r="KH19" i="17"/>
  <c r="JZ19" i="17" s="1"/>
  <c r="KO25" i="17"/>
  <c r="KA25" i="17" s="1"/>
  <c r="KI26" i="17"/>
  <c r="NR10" i="122" l="1"/>
  <c r="NS9" i="122"/>
  <c r="NS44" i="120"/>
  <c r="AB57" i="118"/>
  <c r="NN24" i="111"/>
  <c r="NR23" i="111"/>
  <c r="MX23" i="111" s="1"/>
  <c r="NR32" i="102"/>
  <c r="MX31" i="102"/>
  <c r="PN36" i="99"/>
  <c r="MY35" i="99"/>
  <c r="LW19" i="17"/>
  <c r="KB18" i="17"/>
  <c r="LC19" i="17"/>
  <c r="KW20" i="17"/>
  <c r="H135" i="19"/>
  <c r="F174" i="19" s="1"/>
  <c r="F135" i="19"/>
  <c r="E174" i="19" s="1"/>
  <c r="E136" i="19"/>
  <c r="M133" i="19"/>
  <c r="G174" i="19" s="1"/>
  <c r="LQ20" i="17"/>
  <c r="LK21" i="17"/>
  <c r="KP21" i="17"/>
  <c r="KV20" i="17"/>
  <c r="KE21" i="17"/>
  <c r="KH20" i="17"/>
  <c r="JZ20" i="17" s="1"/>
  <c r="KO26" i="17"/>
  <c r="KA26" i="17" s="1"/>
  <c r="KI27" i="17"/>
  <c r="NR11" i="122" l="1"/>
  <c r="NS10" i="122"/>
  <c r="MY10" i="122" s="1"/>
  <c r="NN25" i="111"/>
  <c r="NR24" i="111"/>
  <c r="MX24" i="111" s="1"/>
  <c r="NR33" i="102"/>
  <c r="MX32" i="102"/>
  <c r="PN37" i="99"/>
  <c r="MY36" i="99"/>
  <c r="LW20" i="17"/>
  <c r="KB19" i="17"/>
  <c r="LC20" i="17"/>
  <c r="KW21" i="17"/>
  <c r="H136" i="19"/>
  <c r="F175" i="19" s="1"/>
  <c r="E137" i="19"/>
  <c r="M134" i="19"/>
  <c r="G175" i="19" s="1"/>
  <c r="F136" i="19"/>
  <c r="E175" i="19" s="1"/>
  <c r="KP22" i="17"/>
  <c r="KV21" i="17"/>
  <c r="LK22" i="17"/>
  <c r="LQ21" i="17"/>
  <c r="KE22" i="17"/>
  <c r="KH21" i="17"/>
  <c r="JZ21" i="17" s="1"/>
  <c r="KI28" i="17"/>
  <c r="KO27" i="17"/>
  <c r="KA27" i="17" s="1"/>
  <c r="NR12" i="122" l="1"/>
  <c r="NS11" i="122"/>
  <c r="MY11" i="122" s="1"/>
  <c r="NN26" i="111"/>
  <c r="NR25" i="111"/>
  <c r="MX25" i="111" s="1"/>
  <c r="NR34" i="102"/>
  <c r="NR35" i="102"/>
  <c r="MX33" i="102"/>
  <c r="PN38" i="99"/>
  <c r="MY37" i="99"/>
  <c r="S68" i="19"/>
  <c r="U68" i="19"/>
  <c r="R68" i="19"/>
  <c r="H90" i="2"/>
  <c r="U70" i="19" s="1"/>
  <c r="S70" i="19"/>
  <c r="R70" i="19"/>
  <c r="LW21" i="17"/>
  <c r="KB20" i="17"/>
  <c r="LC21" i="17"/>
  <c r="KW22" i="17"/>
  <c r="E138" i="19"/>
  <c r="F137" i="19"/>
  <c r="E176" i="19" s="1"/>
  <c r="M135" i="19"/>
  <c r="G176" i="19" s="1"/>
  <c r="H137" i="19"/>
  <c r="F176" i="19" s="1"/>
  <c r="KV22" i="17"/>
  <c r="KP23" i="17"/>
  <c r="LQ22" i="17"/>
  <c r="LK23" i="17"/>
  <c r="KH22" i="17"/>
  <c r="JZ22" i="17" s="1"/>
  <c r="KE23" i="17"/>
  <c r="KI29" i="17"/>
  <c r="KO28" i="17"/>
  <c r="KA28" i="17" s="1"/>
  <c r="NR13" i="122" l="1"/>
  <c r="NS12" i="122"/>
  <c r="MY12" i="122" s="1"/>
  <c r="NN27" i="111"/>
  <c r="NR26" i="111"/>
  <c r="MX26" i="111" s="1"/>
  <c r="MX35" i="102"/>
  <c r="MX34" i="102"/>
  <c r="PN39" i="99"/>
  <c r="MY38" i="99"/>
  <c r="U65" i="19"/>
  <c r="KB21" i="17"/>
  <c r="LW22" i="17"/>
  <c r="KW23" i="17"/>
  <c r="LC22" i="17"/>
  <c r="M136" i="19"/>
  <c r="G177" i="19" s="1"/>
  <c r="E139" i="19"/>
  <c r="H138" i="19"/>
  <c r="F177" i="19" s="1"/>
  <c r="F138" i="19"/>
  <c r="E177" i="19" s="1"/>
  <c r="LQ23" i="17"/>
  <c r="LK24" i="17"/>
  <c r="KV23" i="17"/>
  <c r="KP24" i="17"/>
  <c r="KH23" i="17"/>
  <c r="JZ23" i="17" s="1"/>
  <c r="KE24" i="17"/>
  <c r="KI30" i="17"/>
  <c r="KO29" i="17"/>
  <c r="KA29" i="17" s="1"/>
  <c r="NR14" i="122" l="1"/>
  <c r="NS13" i="122"/>
  <c r="MY13" i="122" s="1"/>
  <c r="NN28" i="111"/>
  <c r="NR27" i="111"/>
  <c r="MX27" i="111" s="1"/>
  <c r="MX36" i="102"/>
  <c r="MY39" i="99"/>
  <c r="PN40" i="99"/>
  <c r="R54" i="19"/>
  <c r="KB22" i="17"/>
  <c r="LW23" i="17"/>
  <c r="LC23" i="17"/>
  <c r="KW24" i="17"/>
  <c r="E140" i="19"/>
  <c r="H139" i="19"/>
  <c r="F178" i="19" s="1"/>
  <c r="M137" i="19"/>
  <c r="G178" i="19" s="1"/>
  <c r="F139" i="19"/>
  <c r="E178" i="19" s="1"/>
  <c r="KP25" i="17"/>
  <c r="KV24" i="17"/>
  <c r="LQ24" i="17"/>
  <c r="LK25" i="17"/>
  <c r="KH24" i="17"/>
  <c r="JZ24" i="17" s="1"/>
  <c r="KE25" i="17"/>
  <c r="KO30" i="17"/>
  <c r="KA30" i="17" s="1"/>
  <c r="KI31" i="17"/>
  <c r="NR15" i="122" l="1"/>
  <c r="NS14" i="122"/>
  <c r="MY14" i="122" s="1"/>
  <c r="NN29" i="111"/>
  <c r="NR28" i="111"/>
  <c r="MX28" i="111" s="1"/>
  <c r="MX37" i="102"/>
  <c r="B9" i="99"/>
  <c r="PN41" i="99"/>
  <c r="MY40" i="99"/>
  <c r="MY41" i="99" s="1"/>
  <c r="MY42" i="99" s="1"/>
  <c r="MY44" i="99" s="1"/>
  <c r="S54" i="19"/>
  <c r="T54" i="19"/>
  <c r="LW24" i="17"/>
  <c r="KB23" i="17"/>
  <c r="KW25" i="17"/>
  <c r="LC24" i="17"/>
  <c r="E141" i="19"/>
  <c r="H140" i="19"/>
  <c r="F179" i="19" s="1"/>
  <c r="M138" i="19"/>
  <c r="G179" i="19" s="1"/>
  <c r="F140" i="19"/>
  <c r="E179" i="19" s="1"/>
  <c r="LQ25" i="17"/>
  <c r="LK26" i="17"/>
  <c r="KP26" i="17"/>
  <c r="KV25" i="17"/>
  <c r="KE26" i="17"/>
  <c r="KH25" i="17"/>
  <c r="JZ25" i="17" s="1"/>
  <c r="N10" i="88"/>
  <c r="G9" i="88"/>
  <c r="K9" i="88" s="1"/>
  <c r="K10" i="88"/>
  <c r="KO31" i="17"/>
  <c r="KA31" i="17" s="1"/>
  <c r="KI32" i="17"/>
  <c r="NR16" i="122" l="1"/>
  <c r="NS15" i="122"/>
  <c r="MY15" i="122" s="1"/>
  <c r="NR29" i="111"/>
  <c r="MX29" i="111" s="1"/>
  <c r="NN30" i="111"/>
  <c r="MX38" i="102"/>
  <c r="PN44" i="99"/>
  <c r="H89" i="2"/>
  <c r="U62" i="19" s="1"/>
  <c r="R62" i="19"/>
  <c r="S62" i="19"/>
  <c r="KB24" i="17"/>
  <c r="LW25" i="17"/>
  <c r="KW26" i="17"/>
  <c r="LC25" i="17"/>
  <c r="E142" i="19"/>
  <c r="F141" i="19"/>
  <c r="E180" i="19" s="1"/>
  <c r="H141" i="19"/>
  <c r="F180" i="19" s="1"/>
  <c r="M139" i="19"/>
  <c r="G180" i="19" s="1"/>
  <c r="KP27" i="17"/>
  <c r="KV26" i="17"/>
  <c r="LK27" i="17"/>
  <c r="LQ26" i="17"/>
  <c r="KE27" i="17"/>
  <c r="KH26" i="17"/>
  <c r="JZ26" i="17" s="1"/>
  <c r="KI33" i="17"/>
  <c r="KO32" i="17"/>
  <c r="KA32" i="17" s="1"/>
  <c r="N9" i="88"/>
  <c r="Q9" i="88" s="1"/>
  <c r="Q10" i="88"/>
  <c r="NR17" i="122" l="1"/>
  <c r="NS16" i="122"/>
  <c r="MY16" i="122" s="1"/>
  <c r="NN31" i="111"/>
  <c r="NR30" i="111"/>
  <c r="MX30" i="111" s="1"/>
  <c r="MX39" i="102"/>
  <c r="MY10" i="102"/>
  <c r="LW26" i="17"/>
  <c r="KB25" i="17"/>
  <c r="LC26" i="17"/>
  <c r="KW27" i="17"/>
  <c r="H142" i="19"/>
  <c r="F181" i="19" s="1"/>
  <c r="E143" i="19"/>
  <c r="M140" i="19"/>
  <c r="G181" i="19" s="1"/>
  <c r="F142" i="19"/>
  <c r="E181" i="19" s="1"/>
  <c r="KP28" i="17"/>
  <c r="KV27" i="17"/>
  <c r="LK28" i="17"/>
  <c r="LQ27" i="17"/>
  <c r="KE28" i="17"/>
  <c r="KH27" i="17"/>
  <c r="JZ27" i="17" s="1"/>
  <c r="KI34" i="17"/>
  <c r="KO33" i="17"/>
  <c r="KA33" i="17" s="1"/>
  <c r="NR18" i="122" l="1"/>
  <c r="NS17" i="122"/>
  <c r="MY17" i="122" s="1"/>
  <c r="NR31" i="111"/>
  <c r="MX31" i="111" s="1"/>
  <c r="NN32" i="111"/>
  <c r="MY11" i="102"/>
  <c r="LW27" i="17"/>
  <c r="KB26" i="17"/>
  <c r="KW28" i="17"/>
  <c r="LC27" i="17"/>
  <c r="F143" i="19"/>
  <c r="E182" i="19" s="1"/>
  <c r="M141" i="19"/>
  <c r="G182" i="19" s="1"/>
  <c r="E144" i="19"/>
  <c r="H143" i="19"/>
  <c r="F182" i="19" s="1"/>
  <c r="LK29" i="17"/>
  <c r="LQ28" i="17"/>
  <c r="KV28" i="17"/>
  <c r="KP29" i="17"/>
  <c r="KE29" i="17"/>
  <c r="KH28" i="17"/>
  <c r="JZ28" i="17" s="1"/>
  <c r="KO34" i="17"/>
  <c r="KA34" i="17" s="1"/>
  <c r="KI35" i="17"/>
  <c r="NR19" i="122" l="1"/>
  <c r="NS18" i="122"/>
  <c r="MY18" i="122" s="1"/>
  <c r="NN33" i="111"/>
  <c r="NR32" i="111"/>
  <c r="MX32" i="111" s="1"/>
  <c r="MX40" i="102"/>
  <c r="MX41" i="102" s="1"/>
  <c r="MX44" i="102" s="1"/>
  <c r="MY12" i="102"/>
  <c r="KB27" i="17"/>
  <c r="LW28" i="17"/>
  <c r="LC28" i="17"/>
  <c r="KW29" i="17"/>
  <c r="F144" i="19"/>
  <c r="E183" i="19" s="1"/>
  <c r="E145" i="19"/>
  <c r="M142" i="19"/>
  <c r="G183" i="19" s="1"/>
  <c r="H144" i="19"/>
  <c r="F183" i="19" s="1"/>
  <c r="KV29" i="17"/>
  <c r="KP30" i="17"/>
  <c r="LK30" i="17"/>
  <c r="LQ29" i="17"/>
  <c r="KH29" i="17"/>
  <c r="JZ29" i="17" s="1"/>
  <c r="KE30" i="17"/>
  <c r="KI36" i="17"/>
  <c r="KO35" i="17"/>
  <c r="KA35" i="17" s="1"/>
  <c r="NR20" i="122" l="1"/>
  <c r="NS19" i="122"/>
  <c r="MY19" i="122" s="1"/>
  <c r="NN34" i="111"/>
  <c r="NR33" i="111"/>
  <c r="MX33" i="111" s="1"/>
  <c r="MY13" i="102"/>
  <c r="KB28" i="17"/>
  <c r="LW29" i="17"/>
  <c r="LC29" i="17"/>
  <c r="KW30" i="17"/>
  <c r="M143" i="19"/>
  <c r="G184" i="19" s="1"/>
  <c r="F145" i="19"/>
  <c r="E184" i="19" s="1"/>
  <c r="E146" i="19"/>
  <c r="H145" i="19"/>
  <c r="F184" i="19" s="1"/>
  <c r="KV30" i="17"/>
  <c r="KP31" i="17"/>
  <c r="N15" i="88"/>
  <c r="LK31" i="17"/>
  <c r="LQ30" i="17"/>
  <c r="KE31" i="17"/>
  <c r="KH30" i="17"/>
  <c r="JZ30" i="17" s="1"/>
  <c r="KI37" i="17"/>
  <c r="KO36" i="17"/>
  <c r="KA36" i="17" s="1"/>
  <c r="NR21" i="122" l="1"/>
  <c r="NS20" i="122"/>
  <c r="MY20" i="122" s="1"/>
  <c r="NN35" i="111"/>
  <c r="NR34" i="111"/>
  <c r="MX34" i="111" s="1"/>
  <c r="MY14" i="102"/>
  <c r="LW30" i="17"/>
  <c r="KB29" i="17"/>
  <c r="G14" i="88"/>
  <c r="K14" i="88" s="1"/>
  <c r="K15" i="88"/>
  <c r="LC30" i="17"/>
  <c r="KW31" i="17"/>
  <c r="M144" i="19"/>
  <c r="G185" i="19" s="1"/>
  <c r="F146" i="19"/>
  <c r="E185" i="19" s="1"/>
  <c r="H146" i="19"/>
  <c r="F185" i="19" s="1"/>
  <c r="E147" i="19"/>
  <c r="LK32" i="17"/>
  <c r="LQ31" i="17"/>
  <c r="KV31" i="17"/>
  <c r="KP32" i="17"/>
  <c r="KE32" i="17"/>
  <c r="KH31" i="17"/>
  <c r="JZ31" i="17" s="1"/>
  <c r="N14" i="88"/>
  <c r="Q14" i="88" s="1"/>
  <c r="Q15" i="88"/>
  <c r="KI38" i="17"/>
  <c r="KO37" i="17"/>
  <c r="KA37" i="17" s="1"/>
  <c r="NR22" i="122" l="1"/>
  <c r="NS21" i="122"/>
  <c r="MY21" i="122" s="1"/>
  <c r="NN36" i="111"/>
  <c r="NR35" i="111"/>
  <c r="MX35" i="111" s="1"/>
  <c r="MY15" i="102"/>
  <c r="KB30" i="17"/>
  <c r="LW31" i="17"/>
  <c r="E92" i="2"/>
  <c r="S73" i="19"/>
  <c r="H93" i="2"/>
  <c r="U74" i="19" s="1"/>
  <c r="M15" i="88"/>
  <c r="LC31" i="17"/>
  <c r="KW32" i="17"/>
  <c r="F147" i="19"/>
  <c r="E186" i="19" s="1"/>
  <c r="H147" i="19"/>
  <c r="F186" i="19" s="1"/>
  <c r="E148" i="19"/>
  <c r="M145" i="19"/>
  <c r="G186" i="19" s="1"/>
  <c r="LQ32" i="17"/>
  <c r="LK33" i="17"/>
  <c r="KP33" i="17"/>
  <c r="KV32" i="17"/>
  <c r="KE33" i="17"/>
  <c r="KH32" i="17"/>
  <c r="JZ32" i="17" s="1"/>
  <c r="KI39" i="17"/>
  <c r="KO38" i="17"/>
  <c r="KA38" i="17" s="1"/>
  <c r="M16" i="88"/>
  <c r="H14" i="88"/>
  <c r="NR23" i="122" l="1"/>
  <c r="NS22" i="122"/>
  <c r="MY22" i="122" s="1"/>
  <c r="NN37" i="111"/>
  <c r="NR36" i="111"/>
  <c r="MX36" i="111" s="1"/>
  <c r="MY16" i="102"/>
  <c r="M14" i="88"/>
  <c r="L14" i="88"/>
  <c r="R15" i="88"/>
  <c r="O14" i="88"/>
  <c r="R14" i="88" s="1"/>
  <c r="KB31" i="17"/>
  <c r="LW32" i="17"/>
  <c r="KW33" i="17"/>
  <c r="LC32" i="17"/>
  <c r="H92" i="2"/>
  <c r="F92" i="2"/>
  <c r="E149" i="19"/>
  <c r="M146" i="19"/>
  <c r="G187" i="19" s="1"/>
  <c r="H148" i="19"/>
  <c r="F187" i="19" s="1"/>
  <c r="F148" i="19"/>
  <c r="E187" i="19" s="1"/>
  <c r="LK34" i="17"/>
  <c r="LQ33" i="17"/>
  <c r="KV33" i="17"/>
  <c r="KP34" i="17"/>
  <c r="KE34" i="17"/>
  <c r="KH33" i="17"/>
  <c r="JZ33" i="17" s="1"/>
  <c r="KI40" i="17"/>
  <c r="KO39" i="17"/>
  <c r="KA39" i="17" s="1"/>
  <c r="O10" i="88"/>
  <c r="H9" i="88"/>
  <c r="M10" i="88"/>
  <c r="R16" i="88"/>
  <c r="NR24" i="122" l="1"/>
  <c r="NS23" i="122"/>
  <c r="MY23" i="122" s="1"/>
  <c r="NN38" i="111"/>
  <c r="NR37" i="111"/>
  <c r="MX37" i="111" s="1"/>
  <c r="MY17" i="102"/>
  <c r="M9" i="88"/>
  <c r="L9" i="88"/>
  <c r="LW33" i="17"/>
  <c r="KB32" i="17"/>
  <c r="KW34" i="17"/>
  <c r="LC33" i="17"/>
  <c r="E150" i="19"/>
  <c r="H149" i="19"/>
  <c r="F188" i="19" s="1"/>
  <c r="M147" i="19"/>
  <c r="G188" i="19" s="1"/>
  <c r="F149" i="19"/>
  <c r="E188" i="19" s="1"/>
  <c r="LQ34" i="17"/>
  <c r="LK35" i="17"/>
  <c r="KV34" i="17"/>
  <c r="KP35" i="17"/>
  <c r="KE35" i="17"/>
  <c r="KH34" i="17"/>
  <c r="JZ34" i="17" s="1"/>
  <c r="KO40" i="17"/>
  <c r="KI41" i="17"/>
  <c r="O9" i="88"/>
  <c r="R9" i="88" s="1"/>
  <c r="R10" i="88"/>
  <c r="NR25" i="122" l="1"/>
  <c r="NS24" i="122"/>
  <c r="MY24" i="122" s="1"/>
  <c r="NN39" i="111"/>
  <c r="NR38" i="111"/>
  <c r="MX38" i="111" s="1"/>
  <c r="MY18" i="102"/>
  <c r="H101" i="2"/>
  <c r="AG72" i="19" s="1"/>
  <c r="AE72" i="19"/>
  <c r="F101" i="2"/>
  <c r="LW34" i="17"/>
  <c r="KB33" i="17"/>
  <c r="KW35" i="17"/>
  <c r="LC34" i="17"/>
  <c r="F150" i="19"/>
  <c r="E189" i="19" s="1"/>
  <c r="M148" i="19"/>
  <c r="G189" i="19" s="1"/>
  <c r="H150" i="19"/>
  <c r="F189" i="19" s="1"/>
  <c r="E151" i="19"/>
  <c r="KV35" i="17"/>
  <c r="KP36" i="17"/>
  <c r="LQ35" i="17"/>
  <c r="LK36" i="17"/>
  <c r="KH35" i="17"/>
  <c r="JZ35" i="17" s="1"/>
  <c r="KE36" i="17"/>
  <c r="KO41" i="17"/>
  <c r="KA40" i="17"/>
  <c r="KA41" i="17" s="1"/>
  <c r="NR26" i="122" l="1"/>
  <c r="NS25" i="122"/>
  <c r="MY25" i="122" s="1"/>
  <c r="NN40" i="111"/>
  <c r="NR39" i="111"/>
  <c r="MX39" i="111" s="1"/>
  <c r="MY19" i="102"/>
  <c r="LW35" i="17"/>
  <c r="KB34" i="17"/>
  <c r="LC35" i="17"/>
  <c r="KW36" i="17"/>
  <c r="M149" i="19"/>
  <c r="G190" i="19" s="1"/>
  <c r="H151" i="19"/>
  <c r="F190" i="19" s="1"/>
  <c r="E152" i="19"/>
  <c r="F151" i="19"/>
  <c r="E190" i="19" s="1"/>
  <c r="KV36" i="17"/>
  <c r="KP37" i="17"/>
  <c r="LQ36" i="17"/>
  <c r="LK37" i="17"/>
  <c r="KE37" i="17"/>
  <c r="KH36" i="17"/>
  <c r="JZ36" i="17" s="1"/>
  <c r="NR27" i="122" l="1"/>
  <c r="NS26" i="122"/>
  <c r="MY26" i="122" s="1"/>
  <c r="NN41" i="111"/>
  <c r="NO9" i="116" s="1"/>
  <c r="NR40" i="111"/>
  <c r="MY20" i="102"/>
  <c r="KB35" i="17"/>
  <c r="LW36" i="17"/>
  <c r="KW37" i="17"/>
  <c r="LC36" i="17"/>
  <c r="F152" i="19"/>
  <c r="E191" i="19" s="1"/>
  <c r="H152" i="19"/>
  <c r="F191" i="19" s="1"/>
  <c r="M150" i="19"/>
  <c r="G191" i="19" s="1"/>
  <c r="E153" i="19"/>
  <c r="KV37" i="17"/>
  <c r="KP38" i="17"/>
  <c r="LQ37" i="17"/>
  <c r="LK38" i="17"/>
  <c r="KH37" i="17"/>
  <c r="JZ37" i="17" s="1"/>
  <c r="KE38" i="17"/>
  <c r="R55" i="19"/>
  <c r="S55" i="19"/>
  <c r="NR28" i="122" l="1"/>
  <c r="NS27" i="122"/>
  <c r="MY27" i="122" s="1"/>
  <c r="NO10" i="116"/>
  <c r="NS9" i="116"/>
  <c r="NN44" i="111"/>
  <c r="NR44" i="111"/>
  <c r="MX40" i="111"/>
  <c r="NR41" i="111"/>
  <c r="S83" i="19"/>
  <c r="MY21" i="102"/>
  <c r="LW37" i="17"/>
  <c r="KB36" i="17"/>
  <c r="KW38" i="17"/>
  <c r="LC37" i="17"/>
  <c r="F153" i="19"/>
  <c r="E192" i="19" s="1"/>
  <c r="E154" i="19"/>
  <c r="H153" i="19"/>
  <c r="F192" i="19" s="1"/>
  <c r="M151" i="19"/>
  <c r="G192" i="19" s="1"/>
  <c r="LQ38" i="17"/>
  <c r="LK39" i="17"/>
  <c r="KP39" i="17"/>
  <c r="KV38" i="17"/>
  <c r="KH38" i="17"/>
  <c r="JZ38" i="17" s="1"/>
  <c r="KE39" i="17"/>
  <c r="T55" i="19"/>
  <c r="NR29" i="122" l="1"/>
  <c r="NS28" i="122"/>
  <c r="MY28" i="122" s="1"/>
  <c r="P2" i="118"/>
  <c r="S2" i="118" s="1"/>
  <c r="AA2" i="118"/>
  <c r="NO11" i="116"/>
  <c r="NS10" i="116"/>
  <c r="MY10" i="116" s="1"/>
  <c r="MX41" i="111"/>
  <c r="MX42" i="111" s="1"/>
  <c r="MX44" i="111" s="1"/>
  <c r="B9" i="111"/>
  <c r="W82" i="106"/>
  <c r="U70" i="106"/>
  <c r="MY22" i="102"/>
  <c r="LW38" i="17"/>
  <c r="KB37" i="17"/>
  <c r="KW39" i="17"/>
  <c r="LC38" i="17"/>
  <c r="M152" i="19"/>
  <c r="G193" i="19" s="1"/>
  <c r="F154" i="19"/>
  <c r="E193" i="19" s="1"/>
  <c r="H154" i="19"/>
  <c r="F193" i="19" s="1"/>
  <c r="LQ39" i="17"/>
  <c r="LK40" i="17"/>
  <c r="KP40" i="17"/>
  <c r="KV39" i="17"/>
  <c r="KH39" i="17"/>
  <c r="JZ39" i="17" s="1"/>
  <c r="KE40" i="17"/>
  <c r="AE61" i="19"/>
  <c r="NR30" i="122" l="1"/>
  <c r="NS29" i="122"/>
  <c r="MY29" i="122" s="1"/>
  <c r="AA3" i="118"/>
  <c r="P3" i="118"/>
  <c r="S3" i="118" s="1"/>
  <c r="NO12" i="116"/>
  <c r="NS11" i="116"/>
  <c r="MY11" i="116" s="1"/>
  <c r="MY23" i="102"/>
  <c r="KB38" i="17"/>
  <c r="LW39" i="17"/>
  <c r="AE58" i="19"/>
  <c r="KW40" i="17"/>
  <c r="LC39" i="17"/>
  <c r="LK41" i="17"/>
  <c r="LK42" i="17" s="1"/>
  <c r="LK44" i="17" s="1"/>
  <c r="LQ40" i="17"/>
  <c r="LQ41" i="17" s="1"/>
  <c r="LQ42" i="17" s="1"/>
  <c r="LQ44" i="17" s="1"/>
  <c r="KV40" i="17"/>
  <c r="KV41" i="17" s="1"/>
  <c r="KP41" i="17"/>
  <c r="KH40" i="17"/>
  <c r="KE41" i="17"/>
  <c r="NR31" i="122" l="1"/>
  <c r="NS30" i="122"/>
  <c r="MY30" i="122" s="1"/>
  <c r="P4" i="118"/>
  <c r="S4" i="118" s="1"/>
  <c r="AA4" i="118"/>
  <c r="NO13" i="116"/>
  <c r="NS12" i="116"/>
  <c r="MY12" i="116" s="1"/>
  <c r="MY24" i="102"/>
  <c r="LW40" i="17"/>
  <c r="KB39" i="17"/>
  <c r="KW41" i="17"/>
  <c r="LC40" i="17"/>
  <c r="LC41" i="17" s="1"/>
  <c r="JZ40" i="17"/>
  <c r="KH41" i="17"/>
  <c r="NR32" i="122" l="1"/>
  <c r="NS31" i="122"/>
  <c r="MY31" i="122" s="1"/>
  <c r="P5" i="118"/>
  <c r="S5" i="118" s="1"/>
  <c r="AA5" i="118"/>
  <c r="NO14" i="116"/>
  <c r="NS13" i="116"/>
  <c r="MY13" i="116" s="1"/>
  <c r="MY25" i="102"/>
  <c r="LW41" i="17"/>
  <c r="LW42" i="17" s="1"/>
  <c r="LW44" i="17" s="1"/>
  <c r="KB40" i="17"/>
  <c r="KB41" i="17" s="1"/>
  <c r="KB42" i="17" s="1"/>
  <c r="KB44" i="17" s="1"/>
  <c r="JZ41" i="17"/>
  <c r="B9" i="17"/>
  <c r="NR33" i="122" l="1"/>
  <c r="NS32" i="122"/>
  <c r="MY32" i="122" s="1"/>
  <c r="P6" i="118"/>
  <c r="S6" i="118" s="1"/>
  <c r="AA6" i="118"/>
  <c r="NO15" i="116"/>
  <c r="NS14" i="116"/>
  <c r="MY14" i="116" s="1"/>
  <c r="MY26" i="102"/>
  <c r="T50" i="19"/>
  <c r="R50" i="19"/>
  <c r="S50" i="19"/>
  <c r="H87" i="2"/>
  <c r="NR34" i="122" l="1"/>
  <c r="NS33" i="122"/>
  <c r="MY33" i="122" s="1"/>
  <c r="P7" i="118"/>
  <c r="S7" i="118" s="1"/>
  <c r="AA7" i="118"/>
  <c r="NO16" i="116"/>
  <c r="NS15" i="116"/>
  <c r="MY15" i="116" s="1"/>
  <c r="MY27" i="102"/>
  <c r="S52" i="19"/>
  <c r="T52" i="19"/>
  <c r="R52" i="19"/>
  <c r="R49" i="19" s="1"/>
  <c r="NR35" i="122" l="1"/>
  <c r="NS34" i="122"/>
  <c r="MY34" i="122" s="1"/>
  <c r="P8" i="118"/>
  <c r="S8" i="118" s="1"/>
  <c r="AA8" i="118"/>
  <c r="NO17" i="116"/>
  <c r="NS16" i="116"/>
  <c r="MY16" i="116" s="1"/>
  <c r="MY28" i="102"/>
  <c r="R60" i="19"/>
  <c r="S60" i="19"/>
  <c r="U60" i="19"/>
  <c r="NR36" i="122" l="1"/>
  <c r="NS35" i="122"/>
  <c r="MY35" i="122" s="1"/>
  <c r="P9" i="118"/>
  <c r="S9" i="118" s="1"/>
  <c r="AA9" i="118"/>
  <c r="NO18" i="116"/>
  <c r="NS17" i="116"/>
  <c r="MY17" i="116" s="1"/>
  <c r="MY29" i="102"/>
  <c r="R46" i="19"/>
  <c r="T46" i="19"/>
  <c r="S46" i="19"/>
  <c r="NR37" i="122" l="1"/>
  <c r="NS36" i="122"/>
  <c r="MY36" i="122" s="1"/>
  <c r="P10" i="118"/>
  <c r="S10" i="118" s="1"/>
  <c r="AA10" i="118"/>
  <c r="NO19" i="116"/>
  <c r="NS18" i="116"/>
  <c r="MY18" i="116" s="1"/>
  <c r="MY30" i="102"/>
  <c r="T42" i="19"/>
  <c r="NR38" i="122" l="1"/>
  <c r="NS37" i="122"/>
  <c r="MY37" i="122" s="1"/>
  <c r="AA11" i="118"/>
  <c r="P11" i="118"/>
  <c r="S11" i="118" s="1"/>
  <c r="NO20" i="116"/>
  <c r="NS19" i="116"/>
  <c r="MY19" i="116" s="1"/>
  <c r="MY31" i="102"/>
  <c r="AE71" i="19"/>
  <c r="F100" i="2"/>
  <c r="H100" i="2"/>
  <c r="AG71" i="19" s="1"/>
  <c r="NR39" i="122" l="1"/>
  <c r="NS38" i="122"/>
  <c r="MY38" i="122" s="1"/>
  <c r="AA12" i="118"/>
  <c r="P12" i="118"/>
  <c r="S12" i="118" s="1"/>
  <c r="NO21" i="116"/>
  <c r="NS20" i="116"/>
  <c r="MY20" i="116" s="1"/>
  <c r="MY32" i="102"/>
  <c r="S42" i="19"/>
  <c r="H85" i="2"/>
  <c r="H84" i="2" s="1"/>
  <c r="U40" i="19" s="1"/>
  <c r="R42" i="19"/>
  <c r="NR40" i="122" l="1"/>
  <c r="NS39" i="122"/>
  <c r="MY39" i="122" s="1"/>
  <c r="AA13" i="118"/>
  <c r="P13" i="118"/>
  <c r="S13" i="118" s="1"/>
  <c r="NO22" i="116"/>
  <c r="NS21" i="116"/>
  <c r="MY21" i="116" s="1"/>
  <c r="MY33" i="102"/>
  <c r="S58" i="19"/>
  <c r="R58" i="19"/>
  <c r="P81" i="106" l="1"/>
  <c r="H83" i="2"/>
  <c r="U38" i="19" s="1"/>
  <c r="B45" i="98"/>
  <c r="L81" i="106" s="1"/>
  <c r="NR41" i="122"/>
  <c r="NS44" i="122" s="1"/>
  <c r="NS40" i="122"/>
  <c r="AA14" i="118"/>
  <c r="P14" i="118"/>
  <c r="S14" i="118" s="1"/>
  <c r="NO23" i="116"/>
  <c r="NS22" i="116"/>
  <c r="MY22" i="116" s="1"/>
  <c r="MY34" i="102"/>
  <c r="H88" i="2"/>
  <c r="U58" i="19"/>
  <c r="NS41" i="122" l="1"/>
  <c r="MY40" i="122"/>
  <c r="MY41" i="122" s="1"/>
  <c r="MY42" i="122" s="1"/>
  <c r="MY44" i="122" s="1"/>
  <c r="B9" i="122"/>
  <c r="P15" i="118"/>
  <c r="S15" i="118" s="1"/>
  <c r="AA15" i="118"/>
  <c r="NO24" i="116"/>
  <c r="NS23" i="116"/>
  <c r="MY23" i="116" s="1"/>
  <c r="MY35" i="102"/>
  <c r="U56" i="19"/>
  <c r="P16" i="118" l="1"/>
  <c r="S16" i="118" s="1"/>
  <c r="AA16" i="118"/>
  <c r="NO25" i="116"/>
  <c r="NS24" i="116"/>
  <c r="MY24" i="116" s="1"/>
  <c r="MY36" i="102"/>
  <c r="F78" i="2"/>
  <c r="H78" i="2"/>
  <c r="P17" i="118" l="1"/>
  <c r="S17" i="118" s="1"/>
  <c r="AA17" i="118"/>
  <c r="NO26" i="116"/>
  <c r="NS25" i="116"/>
  <c r="MY25" i="116" s="1"/>
  <c r="MY37" i="102"/>
  <c r="H77" i="2"/>
  <c r="P18" i="118" l="1"/>
  <c r="S18" i="118" s="1"/>
  <c r="AA18" i="118"/>
  <c r="NO27" i="116"/>
  <c r="NS26" i="116"/>
  <c r="MY26" i="116" s="1"/>
  <c r="MY38" i="102"/>
  <c r="U34" i="19"/>
  <c r="H76" i="2"/>
  <c r="U33" i="19" s="1"/>
  <c r="P19" i="118" l="1"/>
  <c r="S19" i="118" s="1"/>
  <c r="AA19" i="118"/>
  <c r="NO28" i="116"/>
  <c r="NS27" i="116"/>
  <c r="MY27" i="116" s="1"/>
  <c r="MY39" i="102"/>
  <c r="P20" i="118" l="1"/>
  <c r="S20" i="118" s="1"/>
  <c r="AA20" i="118"/>
  <c r="NO29" i="116"/>
  <c r="NS28" i="116"/>
  <c r="MY28" i="116" s="1"/>
  <c r="B9" i="102"/>
  <c r="MY40" i="102"/>
  <c r="MY41" i="102" s="1"/>
  <c r="MY42" i="102" s="1"/>
  <c r="MY44" i="102" s="1"/>
  <c r="R38" i="19"/>
  <c r="P21" i="118" l="1"/>
  <c r="S21" i="118" s="1"/>
  <c r="AA21" i="118"/>
  <c r="NO30" i="116"/>
  <c r="NS29" i="116"/>
  <c r="MY29" i="116" s="1"/>
  <c r="S38" i="19"/>
  <c r="AA22" i="118" l="1"/>
  <c r="P22" i="118"/>
  <c r="S22" i="118" s="1"/>
  <c r="NO31" i="116"/>
  <c r="NS30" i="116"/>
  <c r="MY30" i="116" s="1"/>
  <c r="AE73" i="19"/>
  <c r="AE70" i="19" s="1"/>
  <c r="AG70" i="19" s="1"/>
  <c r="F99" i="2"/>
  <c r="E99" i="2"/>
  <c r="AG73" i="19"/>
  <c r="AA23" i="118" l="1"/>
  <c r="P23" i="118"/>
  <c r="S23" i="118" s="1"/>
  <c r="NO32" i="116"/>
  <c r="NS31" i="116"/>
  <c r="MY31" i="116" s="1"/>
  <c r="H99" i="2"/>
  <c r="R43" i="19"/>
  <c r="R41" i="19" s="1"/>
  <c r="E84" i="2"/>
  <c r="B39" i="98" s="1"/>
  <c r="L79" i="106" l="1"/>
  <c r="B36" i="98"/>
  <c r="AA24" i="118"/>
  <c r="P24" i="118"/>
  <c r="S24" i="118" s="1"/>
  <c r="NO33" i="116"/>
  <c r="NS32" i="116"/>
  <c r="MY32" i="116" s="1"/>
  <c r="R40" i="19"/>
  <c r="B37" i="98" s="1"/>
  <c r="F84" i="2"/>
  <c r="S43" i="19"/>
  <c r="O79" i="106" l="1"/>
  <c r="P79" i="106"/>
  <c r="AA25" i="118"/>
  <c r="P25" i="118"/>
  <c r="S25" i="118" s="1"/>
  <c r="NO34" i="116"/>
  <c r="NS33" i="116"/>
  <c r="MY33" i="116" s="1"/>
  <c r="M79" i="106"/>
  <c r="S40" i="19"/>
  <c r="Q49" i="19"/>
  <c r="Q41" i="19"/>
  <c r="R59" i="19"/>
  <c r="R57" i="19" s="1"/>
  <c r="S59" i="19"/>
  <c r="AA26" i="118" l="1"/>
  <c r="P26" i="118"/>
  <c r="S26" i="118" s="1"/>
  <c r="NO35" i="116"/>
  <c r="NS34" i="116"/>
  <c r="MY34" i="116" s="1"/>
  <c r="E88" i="2"/>
  <c r="R69" i="19"/>
  <c r="R65" i="19" s="1"/>
  <c r="AA27" i="118" l="1"/>
  <c r="P27" i="118"/>
  <c r="S27" i="118" s="1"/>
  <c r="NO36" i="116"/>
  <c r="NS35" i="116"/>
  <c r="MY35" i="116" s="1"/>
  <c r="F88" i="2"/>
  <c r="O80" i="106" s="1"/>
  <c r="S69" i="19"/>
  <c r="S65" i="19" s="1"/>
  <c r="R56" i="19"/>
  <c r="B40" i="98" s="1"/>
  <c r="P28" i="118" l="1"/>
  <c r="S28" i="118" s="1"/>
  <c r="AA28" i="118"/>
  <c r="NO37" i="116"/>
  <c r="NS36" i="116"/>
  <c r="MY36" i="116" s="1"/>
  <c r="M80" i="106"/>
  <c r="Q57" i="19"/>
  <c r="T56" i="19"/>
  <c r="S56" i="19"/>
  <c r="Q65" i="19"/>
  <c r="P29" i="118" l="1"/>
  <c r="S29" i="118" s="1"/>
  <c r="AA29" i="118"/>
  <c r="NO38" i="116"/>
  <c r="NS37" i="116"/>
  <c r="MY37" i="116" s="1"/>
  <c r="K14" i="2"/>
  <c r="K27" i="2"/>
  <c r="AU106" i="2"/>
  <c r="AQ106" i="2"/>
  <c r="AP106" i="2"/>
  <c r="AU99" i="2"/>
  <c r="BG99" i="2" s="1"/>
  <c r="BI99" i="2" s="1"/>
  <c r="P30" i="118" l="1"/>
  <c r="S30" i="118" s="1"/>
  <c r="AA30" i="118"/>
  <c r="NO39" i="116"/>
  <c r="NS38" i="116"/>
  <c r="MY38" i="116" s="1"/>
  <c r="AU5" i="2"/>
  <c r="Z143" i="2" s="1"/>
  <c r="AQ99" i="2"/>
  <c r="AQ102" i="2" s="1"/>
  <c r="AU102" i="2"/>
  <c r="F81" i="2" l="1"/>
  <c r="K83" i="106" s="1"/>
  <c r="E77" i="2"/>
  <c r="B43" i="98" s="1"/>
  <c r="B44" i="98"/>
  <c r="P31" i="118"/>
  <c r="S31" i="118" s="1"/>
  <c r="AA31" i="118"/>
  <c r="NS39" i="116"/>
  <c r="MY39" i="116" s="1"/>
  <c r="NO40" i="116"/>
  <c r="AA32" i="118" s="1"/>
  <c r="AA149" i="2"/>
  <c r="AE143" i="2"/>
  <c r="AC143" i="2"/>
  <c r="Z149" i="2"/>
  <c r="AU8" i="2"/>
  <c r="K20" i="2"/>
  <c r="N20" i="2" s="1"/>
  <c r="L20" i="2"/>
  <c r="AP99" i="2"/>
  <c r="AP102" i="2" s="1"/>
  <c r="AQ5" i="2"/>
  <c r="K15" i="2"/>
  <c r="N15" i="2" s="1"/>
  <c r="K29" i="19"/>
  <c r="H44" i="19" s="1"/>
  <c r="K81" i="106" l="1"/>
  <c r="B35" i="98"/>
  <c r="J70" i="106" s="1"/>
  <c r="F77" i="2"/>
  <c r="O81" i="106" s="1"/>
  <c r="R34" i="19"/>
  <c r="S34" i="19" s="1"/>
  <c r="B46" i="98"/>
  <c r="M81" i="106" s="1"/>
  <c r="E76" i="2"/>
  <c r="NO41" i="116"/>
  <c r="NS40" i="116"/>
  <c r="AQ8" i="2"/>
  <c r="Z152" i="2"/>
  <c r="AP5" i="2"/>
  <c r="AP8" i="2" s="1"/>
  <c r="K28" i="2"/>
  <c r="BB56" i="2"/>
  <c r="BB59" i="2" s="1"/>
  <c r="AY56" i="2"/>
  <c r="B34" i="98" l="1"/>
  <c r="J64" i="106" s="1"/>
  <c r="F76" i="2"/>
  <c r="R33" i="19"/>
  <c r="NS41" i="116"/>
  <c r="MY40" i="116"/>
  <c r="MY41" i="116" s="1"/>
  <c r="MY42" i="116" s="1"/>
  <c r="MY44" i="116" s="1"/>
  <c r="B9" i="116"/>
  <c r="NO44" i="116"/>
  <c r="NS44" i="116"/>
  <c r="AA175" i="2"/>
  <c r="AB152" i="2"/>
  <c r="Z175" i="2"/>
  <c r="AY59" i="2"/>
  <c r="C34" i="98" l="1"/>
  <c r="M71" i="106" s="1"/>
  <c r="S33" i="19"/>
  <c r="M69" i="106" l="1"/>
  <c r="D129" i="106"/>
  <c r="B129" i="106" l="1"/>
  <c r="J72" i="106"/>
  <c r="I18" i="95"/>
  <c r="G17" i="95"/>
  <c r="H18" i="95"/>
  <c r="G51" i="95" l="1"/>
  <c r="H17" i="95"/>
  <c r="I17" i="95"/>
  <c r="P14" i="107" l="1"/>
  <c r="C23" i="96"/>
  <c r="K80" i="107" s="1"/>
  <c r="E8" i="96"/>
  <c r="L41" i="107" l="1"/>
  <c r="L43" i="107"/>
  <c r="S13" i="107"/>
  <c r="S15" i="107"/>
  <c r="AP142" i="2" l="1"/>
  <c r="AR143" i="2"/>
  <c r="AP61" i="2"/>
  <c r="AP143" i="2"/>
  <c r="AR142" i="2"/>
  <c r="AP141" i="2"/>
  <c r="AR141" i="2"/>
  <c r="AS141" i="2"/>
  <c r="AS143" i="2"/>
  <c r="AS142" i="2"/>
  <c r="AS56" i="2"/>
  <c r="AS59" i="2" s="1"/>
  <c r="G51" i="2"/>
  <c r="D52" i="98" s="1"/>
  <c r="E52" i="98" s="1"/>
  <c r="E51" i="106" s="1"/>
  <c r="L51" i="2"/>
  <c r="L50" i="2" s="1"/>
  <c r="AS61" i="2"/>
  <c r="AR61" i="2"/>
  <c r="AZ56" i="2"/>
  <c r="AZ59" i="2" s="1"/>
  <c r="AR56" i="2" l="1"/>
  <c r="AR59" i="2" s="1"/>
  <c r="AP56" i="2"/>
  <c r="AP59" i="2" s="1"/>
  <c r="L29" i="2"/>
  <c r="AD11" i="19" s="1"/>
  <c r="AD52" i="19"/>
  <c r="G50" i="2"/>
  <c r="J51" i="2"/>
  <c r="G29" i="2"/>
  <c r="AB145" i="2"/>
  <c r="AF145" i="2" l="1"/>
  <c r="AD145" i="2"/>
  <c r="AD14" i="19"/>
  <c r="AF15" i="19" s="1"/>
  <c r="J29" i="2"/>
  <c r="D51" i="98"/>
  <c r="J50" i="2"/>
  <c r="AD55" i="19"/>
  <c r="AF56" i="19" s="1"/>
  <c r="B39" i="106" l="1"/>
  <c r="J39" i="106"/>
  <c r="D23" i="98"/>
  <c r="J42" i="106"/>
  <c r="M41" i="106"/>
  <c r="J44" i="106" s="1"/>
  <c r="E51" i="98"/>
  <c r="D55" i="98"/>
  <c r="B42" i="106"/>
  <c r="D126" i="106"/>
  <c r="M43" i="106"/>
  <c r="E41" i="106" l="1"/>
  <c r="B44" i="106" s="1"/>
  <c r="E43" i="106"/>
  <c r="D125" i="106"/>
  <c r="B126" i="106"/>
  <c r="E80" i="106"/>
  <c r="B70" i="106"/>
  <c r="E23" i="98"/>
  <c r="B125" i="106" l="1"/>
  <c r="BS43" i="127"/>
  <c r="BS44" i="127" s="1"/>
  <c r="B31" i="96" l="1"/>
  <c r="R81" i="107" s="1"/>
  <c r="B32" i="96"/>
  <c r="BP47" i="124"/>
  <c r="BO47" i="99"/>
  <c r="BP47" i="116"/>
  <c r="BO47" i="102"/>
  <c r="BP47" i="122"/>
  <c r="BO47" i="94"/>
  <c r="BP47" i="120"/>
  <c r="BO47" i="111"/>
  <c r="BP47" i="126"/>
</calcChain>
</file>

<file path=xl/comments1.xml><?xml version="1.0" encoding="utf-8"?>
<comments xmlns="http://schemas.openxmlformats.org/spreadsheetml/2006/main">
  <authors>
    <author>ASTUTI  MAULANI</author>
  </authors>
  <commentList>
    <comment ref="KI16" authorId="0" shapeId="0">
      <text>
        <r>
          <rPr>
            <b/>
            <sz val="9"/>
            <color indexed="81"/>
            <rFont val="Tahoma"/>
            <family val="2"/>
          </rPr>
          <t>ASTUTI  MAULANI:</t>
        </r>
        <r>
          <rPr>
            <sz val="9"/>
            <color indexed="81"/>
            <rFont val="Tahoma"/>
            <family val="2"/>
          </rPr>
          <t xml:space="preserve">
Adjust To zero last stock 188T</t>
        </r>
      </text>
    </comment>
  </commentList>
</comments>
</file>

<file path=xl/comments2.xml><?xml version="1.0" encoding="utf-8"?>
<comments xmlns="http://schemas.openxmlformats.org/spreadsheetml/2006/main">
  <authors>
    <author>Dedy Margianmoko</author>
    <author>Lemawati L.</author>
  </authors>
  <commentList>
    <comment ref="OG7" authorId="0" shapeId="0">
      <text>
        <r>
          <rPr>
            <b/>
            <sz val="9"/>
            <color indexed="81"/>
            <rFont val="Tahoma"/>
            <family val="2"/>
          </rPr>
          <t>Dedy Margianmoko:ROM 1 DIGABUNG DENGAN ROM 3</t>
        </r>
      </text>
    </comment>
    <comment ref="NG9" authorId="0" shapeId="0">
      <text>
        <r>
          <rPr>
            <b/>
            <sz val="9"/>
            <color indexed="81"/>
            <rFont val="Tahoma"/>
            <family val="2"/>
          </rPr>
          <t>Dedy Margianmoko:</t>
        </r>
        <r>
          <rPr>
            <sz val="9"/>
            <color indexed="81"/>
            <rFont val="Tahoma"/>
            <family val="2"/>
          </rPr>
          <t xml:space="preserve">
Survey stock</t>
        </r>
      </text>
    </comment>
    <comment ref="OM15" authorId="1" shapeId="0">
      <text>
        <r>
          <rPr>
            <b/>
            <sz val="9"/>
            <color indexed="81"/>
            <rFont val="Tahoma"/>
            <family val="2"/>
          </rPr>
          <t>Lemawati L.:</t>
        </r>
        <r>
          <rPr>
            <sz val="9"/>
            <color indexed="81"/>
            <rFont val="Tahoma"/>
            <family val="2"/>
          </rPr>
          <t xml:space="preserve">
-756
</t>
        </r>
      </text>
    </comment>
    <comment ref="NC18" authorId="1" shapeId="0">
      <text>
        <r>
          <rPr>
            <b/>
            <sz val="9"/>
            <color indexed="81"/>
            <rFont val="Tahoma"/>
            <family val="2"/>
          </rPr>
          <t>Lemawati L.:</t>
        </r>
        <r>
          <rPr>
            <sz val="9"/>
            <color indexed="81"/>
            <rFont val="Tahoma"/>
            <family val="2"/>
          </rPr>
          <t xml:space="preserve">
by Drone Survey</t>
        </r>
      </text>
    </comment>
    <comment ref="ND18" authorId="1" shapeId="0">
      <text>
        <r>
          <rPr>
            <b/>
            <sz val="9"/>
            <color indexed="81"/>
            <rFont val="Tahoma"/>
            <family val="2"/>
          </rPr>
          <t>Lemawati L.:</t>
        </r>
        <r>
          <rPr>
            <sz val="9"/>
            <color indexed="81"/>
            <rFont val="Tahoma"/>
            <family val="2"/>
          </rPr>
          <t xml:space="preserve">
by Drone Survey</t>
        </r>
      </text>
    </comment>
    <comment ref="NC30" authorId="1" shapeId="0">
      <text>
        <r>
          <rPr>
            <b/>
            <sz val="9"/>
            <color indexed="81"/>
            <rFont val="Tahoma"/>
            <family val="2"/>
          </rPr>
          <t>Lemawati L.:</t>
        </r>
        <r>
          <rPr>
            <sz val="9"/>
            <color indexed="81"/>
            <rFont val="Tahoma"/>
            <family val="2"/>
          </rPr>
          <t xml:space="preserve">
By Drone survey</t>
        </r>
      </text>
    </comment>
    <comment ref="ND30" authorId="1" shapeId="0">
      <text>
        <r>
          <rPr>
            <b/>
            <sz val="9"/>
            <color indexed="81"/>
            <rFont val="Tahoma"/>
            <family val="2"/>
          </rPr>
          <t>Lemawati L.:</t>
        </r>
        <r>
          <rPr>
            <sz val="9"/>
            <color indexed="81"/>
            <rFont val="Tahoma"/>
            <family val="2"/>
          </rPr>
          <t xml:space="preserve">
By Drone Survey</t>
        </r>
      </text>
    </comment>
  </commentList>
</comments>
</file>

<file path=xl/comments3.xml><?xml version="1.0" encoding="utf-8"?>
<comments xmlns="http://schemas.openxmlformats.org/spreadsheetml/2006/main">
  <authors>
    <author>Lemawati L.</author>
  </authors>
  <commentList>
    <comment ref="N79" authorId="0" shapeId="0">
      <text>
        <r>
          <rPr>
            <b/>
            <sz val="9"/>
            <color indexed="81"/>
            <rFont val="Tahoma"/>
            <family val="2"/>
          </rPr>
          <t>Lemawati L.:</t>
        </r>
        <r>
          <rPr>
            <sz val="9"/>
            <color indexed="81"/>
            <rFont val="Tahoma"/>
            <family val="2"/>
          </rPr>
          <t xml:space="preserve">
Avarage </t>
        </r>
      </text>
    </comment>
    <comment ref="N82" authorId="0" shapeId="0">
      <text>
        <r>
          <rPr>
            <b/>
            <sz val="9"/>
            <color indexed="81"/>
            <rFont val="Tahoma"/>
            <family val="2"/>
          </rPr>
          <t>Lemawati L.:</t>
        </r>
        <r>
          <rPr>
            <sz val="9"/>
            <color indexed="81"/>
            <rFont val="Tahoma"/>
            <family val="2"/>
          </rPr>
          <t xml:space="preserve">
Avarage</t>
        </r>
      </text>
    </comment>
  </commentList>
</comments>
</file>

<file path=xl/comments4.xml><?xml version="1.0" encoding="utf-8"?>
<comments xmlns="http://schemas.openxmlformats.org/spreadsheetml/2006/main">
  <authors>
    <author>Dedy Margianmoko</author>
    <author>Lemawati L.</author>
  </authors>
  <commentList>
    <comment ref="OF7" authorId="0" shapeId="0">
      <text>
        <r>
          <rPr>
            <b/>
            <sz val="9"/>
            <color indexed="81"/>
            <rFont val="Tahoma"/>
            <family val="2"/>
          </rPr>
          <t>Dedy Margianmoko:ROM 1 DIGABUNG DENGAN ROM 3</t>
        </r>
      </text>
    </comment>
    <comment ref="NF9" authorId="0" shapeId="0">
      <text>
        <r>
          <rPr>
            <b/>
            <sz val="9"/>
            <color indexed="81"/>
            <rFont val="Tahoma"/>
            <family val="2"/>
          </rPr>
          <t>Dedy Margianmoko:</t>
        </r>
        <r>
          <rPr>
            <sz val="9"/>
            <color indexed="81"/>
            <rFont val="Tahoma"/>
            <family val="2"/>
          </rPr>
          <t xml:space="preserve">
Survey stock</t>
        </r>
      </text>
    </comment>
    <comment ref="PM10" authorId="1" shapeId="0">
      <text>
        <r>
          <rPr>
            <b/>
            <sz val="9"/>
            <color indexed="81"/>
            <rFont val="Tahoma"/>
            <family val="2"/>
          </rPr>
          <t>Lemawati L.:</t>
        </r>
        <r>
          <rPr>
            <sz val="9"/>
            <color indexed="81"/>
            <rFont val="Tahoma"/>
            <family val="2"/>
          </rPr>
          <t xml:space="preserve">
-252</t>
        </r>
      </text>
    </comment>
    <comment ref="PM14" authorId="1" shapeId="0">
      <text>
        <r>
          <rPr>
            <b/>
            <sz val="9"/>
            <color indexed="81"/>
            <rFont val="Tahoma"/>
            <family val="2"/>
          </rPr>
          <t>Lemawati L.:</t>
        </r>
        <r>
          <rPr>
            <sz val="9"/>
            <color indexed="81"/>
            <rFont val="Tahoma"/>
            <family val="2"/>
          </rPr>
          <t xml:space="preserve">
-71</t>
        </r>
      </text>
    </comment>
    <comment ref="OL15" authorId="1" shapeId="0">
      <text>
        <r>
          <rPr>
            <b/>
            <sz val="9"/>
            <color indexed="81"/>
            <rFont val="Tahoma"/>
            <family val="2"/>
          </rPr>
          <t>Lemawati L.:</t>
        </r>
        <r>
          <rPr>
            <sz val="9"/>
            <color indexed="81"/>
            <rFont val="Tahoma"/>
            <family val="2"/>
          </rPr>
          <t xml:space="preserve">
-756
</t>
        </r>
      </text>
    </comment>
    <comment ref="PM18" authorId="1" shapeId="0">
      <text>
        <r>
          <rPr>
            <b/>
            <sz val="9"/>
            <color indexed="81"/>
            <rFont val="Tahoma"/>
            <family val="2"/>
          </rPr>
          <t>Lemawati L.:</t>
        </r>
        <r>
          <rPr>
            <sz val="9"/>
            <color indexed="81"/>
            <rFont val="Tahoma"/>
            <family val="2"/>
          </rPr>
          <t xml:space="preserve">
-304</t>
        </r>
      </text>
    </comment>
    <comment ref="NB20" authorId="1" shapeId="0">
      <text>
        <r>
          <rPr>
            <b/>
            <sz val="9"/>
            <color indexed="81"/>
            <rFont val="Tahoma"/>
            <family val="2"/>
          </rPr>
          <t>Lemawati L.:</t>
        </r>
        <r>
          <rPr>
            <sz val="9"/>
            <color indexed="81"/>
            <rFont val="Tahoma"/>
            <family val="2"/>
          </rPr>
          <t xml:space="preserve">
By Drone Survey</t>
        </r>
      </text>
    </comment>
    <comment ref="NC20" authorId="1" shapeId="0">
      <text>
        <r>
          <rPr>
            <b/>
            <sz val="9"/>
            <color indexed="81"/>
            <rFont val="Tahoma"/>
            <family val="2"/>
          </rPr>
          <t>Lemawati L.:</t>
        </r>
        <r>
          <rPr>
            <sz val="9"/>
            <color indexed="81"/>
            <rFont val="Tahoma"/>
            <family val="2"/>
          </rPr>
          <t xml:space="preserve">
By Drone survey</t>
        </r>
      </text>
    </comment>
    <comment ref="NB29" authorId="1" shapeId="0">
      <text>
        <r>
          <rPr>
            <b/>
            <sz val="9"/>
            <color indexed="81"/>
            <rFont val="Tahoma"/>
            <family val="2"/>
          </rPr>
          <t>Lemawati L.:</t>
        </r>
        <r>
          <rPr>
            <sz val="9"/>
            <color indexed="81"/>
            <rFont val="Tahoma"/>
            <family val="2"/>
          </rPr>
          <t xml:space="preserve">
by Drone survey</t>
        </r>
      </text>
    </comment>
    <comment ref="NC29" authorId="1" shapeId="0">
      <text>
        <r>
          <rPr>
            <b/>
            <sz val="9"/>
            <color indexed="81"/>
            <rFont val="Tahoma"/>
            <family val="2"/>
          </rPr>
          <t>Lemawati L.:</t>
        </r>
        <r>
          <rPr>
            <sz val="9"/>
            <color indexed="81"/>
            <rFont val="Tahoma"/>
            <family val="2"/>
          </rPr>
          <t xml:space="preserve">
by drone survey</t>
        </r>
      </text>
    </comment>
    <comment ref="LN40" authorId="1" shapeId="0">
      <text>
        <r>
          <rPr>
            <b/>
            <sz val="9"/>
            <color indexed="81"/>
            <rFont val="Tahoma"/>
            <family val="2"/>
          </rPr>
          <t>Lemawati L.:</t>
        </r>
        <r>
          <rPr>
            <sz val="9"/>
            <color indexed="81"/>
            <rFont val="Tahoma"/>
            <family val="2"/>
          </rPr>
          <t xml:space="preserve">
water level  today = 4,96</t>
        </r>
      </text>
    </comment>
  </commentList>
</comments>
</file>

<file path=xl/comments5.xml><?xml version="1.0" encoding="utf-8"?>
<comments xmlns="http://schemas.openxmlformats.org/spreadsheetml/2006/main">
  <authors>
    <author>Dedy Margianmoko</author>
    <author>Lemawati L.</author>
  </authors>
  <commentList>
    <comment ref="OF7" authorId="0" shapeId="0">
      <text>
        <r>
          <rPr>
            <b/>
            <sz val="9"/>
            <color indexed="81"/>
            <rFont val="Tahoma"/>
            <family val="2"/>
          </rPr>
          <t>Dedy Margianmoko:ROM 1 DIGABUNG DENGAN ROM 3</t>
        </r>
      </text>
    </comment>
    <comment ref="NF9" authorId="0" shapeId="0">
      <text>
        <r>
          <rPr>
            <b/>
            <sz val="9"/>
            <color indexed="81"/>
            <rFont val="Tahoma"/>
            <family val="2"/>
          </rPr>
          <t>Dedy Margianmoko:</t>
        </r>
        <r>
          <rPr>
            <sz val="9"/>
            <color indexed="81"/>
            <rFont val="Tahoma"/>
            <family val="2"/>
          </rPr>
          <t xml:space="preserve">
Survey stock</t>
        </r>
      </text>
    </comment>
    <comment ref="PV14" authorId="1" shapeId="0">
      <text>
        <r>
          <rPr>
            <b/>
            <sz val="9"/>
            <color indexed="81"/>
            <rFont val="Tahoma"/>
            <family val="2"/>
          </rPr>
          <t>Lemawati L.:</t>
        </r>
        <r>
          <rPr>
            <sz val="9"/>
            <color indexed="81"/>
            <rFont val="Tahoma"/>
            <family val="2"/>
          </rPr>
          <t xml:space="preserve">
PAMA</t>
        </r>
      </text>
    </comment>
    <comment ref="OL15" authorId="1" shapeId="0">
      <text>
        <r>
          <rPr>
            <b/>
            <sz val="9"/>
            <color indexed="81"/>
            <rFont val="Tahoma"/>
            <family val="2"/>
          </rPr>
          <t>Lemawati L.:</t>
        </r>
        <r>
          <rPr>
            <sz val="9"/>
            <color indexed="81"/>
            <rFont val="Tahoma"/>
            <family val="2"/>
          </rPr>
          <t xml:space="preserve">
-756
</t>
        </r>
      </text>
    </comment>
    <comment ref="PV15" authorId="1" shapeId="0">
      <text>
        <r>
          <rPr>
            <b/>
            <sz val="9"/>
            <color indexed="81"/>
            <rFont val="Tahoma"/>
            <family val="2"/>
          </rPr>
          <t>Lemawati L.:</t>
        </r>
        <r>
          <rPr>
            <sz val="9"/>
            <color indexed="81"/>
            <rFont val="Tahoma"/>
            <family val="2"/>
          </rPr>
          <t xml:space="preserve">
PAMA</t>
        </r>
      </text>
    </comment>
    <comment ref="PV17" authorId="1" shapeId="0">
      <text>
        <r>
          <rPr>
            <b/>
            <sz val="9"/>
            <color indexed="81"/>
            <rFont val="Tahoma"/>
            <family val="2"/>
          </rPr>
          <t>Lemawati L.:</t>
        </r>
        <r>
          <rPr>
            <sz val="9"/>
            <color indexed="81"/>
            <rFont val="Tahoma"/>
            <family val="2"/>
          </rPr>
          <t xml:space="preserve">
PAMA</t>
        </r>
      </text>
    </comment>
    <comment ref="NB19" authorId="1" shapeId="0">
      <text>
        <r>
          <rPr>
            <b/>
            <sz val="9"/>
            <color indexed="81"/>
            <rFont val="Tahoma"/>
            <family val="2"/>
          </rPr>
          <t>Lemawati L.:</t>
        </r>
        <r>
          <rPr>
            <sz val="9"/>
            <color indexed="81"/>
            <rFont val="Tahoma"/>
            <family val="2"/>
          </rPr>
          <t xml:space="preserve">
by Drone Survey</t>
        </r>
      </text>
    </comment>
    <comment ref="NC19" authorId="1" shapeId="0">
      <text>
        <r>
          <rPr>
            <b/>
            <sz val="9"/>
            <color indexed="81"/>
            <rFont val="Tahoma"/>
            <family val="2"/>
          </rPr>
          <t>Lemawati L.:</t>
        </r>
        <r>
          <rPr>
            <sz val="9"/>
            <color indexed="81"/>
            <rFont val="Tahoma"/>
            <family val="2"/>
          </rPr>
          <t xml:space="preserve">
by Drone Survey</t>
        </r>
      </text>
    </comment>
    <comment ref="PM25" authorId="1" shapeId="0">
      <text>
        <r>
          <rPr>
            <b/>
            <sz val="9"/>
            <color indexed="81"/>
            <rFont val="Tahoma"/>
            <family val="2"/>
          </rPr>
          <t>Lemawati L.:</t>
        </r>
        <r>
          <rPr>
            <sz val="9"/>
            <color indexed="81"/>
            <rFont val="Tahoma"/>
            <family val="2"/>
          </rPr>
          <t xml:space="preserve">
-306</t>
        </r>
      </text>
    </comment>
    <comment ref="OA26" authorId="1" shapeId="0">
      <text>
        <r>
          <rPr>
            <b/>
            <sz val="9"/>
            <color indexed="81"/>
            <rFont val="Tahoma"/>
            <family val="2"/>
          </rPr>
          <t>Lemawati L.:</t>
        </r>
        <r>
          <rPr>
            <sz val="9"/>
            <color indexed="81"/>
            <rFont val="Tahoma"/>
            <family val="2"/>
          </rPr>
          <t xml:space="preserve">
-2,363</t>
        </r>
      </text>
    </comment>
    <comment ref="NB28" authorId="1" shapeId="0">
      <text>
        <r>
          <rPr>
            <b/>
            <sz val="9"/>
            <color indexed="81"/>
            <rFont val="Tahoma"/>
            <family val="2"/>
          </rPr>
          <t>Lemawati L.:</t>
        </r>
        <r>
          <rPr>
            <sz val="9"/>
            <color indexed="81"/>
            <rFont val="Tahoma"/>
            <family val="2"/>
          </rPr>
          <t xml:space="preserve">
by drone survey</t>
        </r>
      </text>
    </comment>
    <comment ref="NC28" authorId="1" shapeId="0">
      <text>
        <r>
          <rPr>
            <b/>
            <sz val="9"/>
            <color indexed="81"/>
            <rFont val="Tahoma"/>
            <family val="2"/>
          </rPr>
          <t>Lemawati L.:</t>
        </r>
        <r>
          <rPr>
            <sz val="9"/>
            <color indexed="81"/>
            <rFont val="Tahoma"/>
            <family val="2"/>
          </rPr>
          <t xml:space="preserve">
by drone survey</t>
        </r>
      </text>
    </comment>
    <comment ref="LN37" authorId="1" shapeId="0">
      <text>
        <r>
          <rPr>
            <b/>
            <sz val="9"/>
            <color indexed="81"/>
            <rFont val="Tahoma"/>
            <family val="2"/>
          </rPr>
          <t>Lemawati L.:</t>
        </r>
        <r>
          <rPr>
            <sz val="9"/>
            <color indexed="81"/>
            <rFont val="Tahoma"/>
            <family val="2"/>
          </rPr>
          <t xml:space="preserve">
water level today = 6.23</t>
        </r>
      </text>
    </comment>
  </commentList>
</comments>
</file>

<file path=xl/comments6.xml><?xml version="1.0" encoding="utf-8"?>
<comments xmlns="http://schemas.openxmlformats.org/spreadsheetml/2006/main">
  <authors>
    <author>Lemawati L.</author>
  </authors>
  <commentList>
    <comment ref="BM22" authorId="0" shapeId="0">
      <text>
        <r>
          <rPr>
            <b/>
            <sz val="9"/>
            <color indexed="81"/>
            <rFont val="Tahoma"/>
            <family val="2"/>
          </rPr>
          <t>Lemawati L.:</t>
        </r>
        <r>
          <rPr>
            <sz val="9"/>
            <color indexed="81"/>
            <rFont val="Tahoma"/>
            <family val="2"/>
          </rPr>
          <t xml:space="preserve">
By Drone Survey</t>
        </r>
      </text>
    </comment>
    <comment ref="BM31" authorId="0" shapeId="0">
      <text>
        <r>
          <rPr>
            <b/>
            <sz val="9"/>
            <color indexed="81"/>
            <rFont val="Tahoma"/>
            <family val="2"/>
          </rPr>
          <t>Lemawati L.:</t>
        </r>
        <r>
          <rPr>
            <sz val="9"/>
            <color indexed="81"/>
            <rFont val="Tahoma"/>
            <family val="2"/>
          </rPr>
          <t xml:space="preserve">
by Drone survey</t>
        </r>
      </text>
    </comment>
    <comment ref="BJ42" authorId="0" shapeId="0">
      <text>
        <r>
          <rPr>
            <b/>
            <sz val="9"/>
            <color indexed="81"/>
            <rFont val="Tahoma"/>
            <family val="2"/>
          </rPr>
          <t>Lemawati L.:</t>
        </r>
        <r>
          <rPr>
            <sz val="9"/>
            <color indexed="81"/>
            <rFont val="Tahoma"/>
            <family val="2"/>
          </rPr>
          <t xml:space="preserve">
Water level today = 3.76</t>
        </r>
      </text>
    </comment>
  </commentList>
</comments>
</file>

<file path=xl/comments7.xml><?xml version="1.0" encoding="utf-8"?>
<comments xmlns="http://schemas.openxmlformats.org/spreadsheetml/2006/main">
  <authors>
    <author>Dedy Margianmoko</author>
    <author>Lemawati L.</author>
  </authors>
  <commentList>
    <comment ref="OF7" authorId="0" shapeId="0">
      <text>
        <r>
          <rPr>
            <b/>
            <sz val="9"/>
            <color indexed="81"/>
            <rFont val="Tahoma"/>
            <family val="2"/>
          </rPr>
          <t>Dedy Margianmoko:ROM 1 DIGABUNG DENGAN ROM 3</t>
        </r>
      </text>
    </comment>
    <comment ref="NF9" authorId="0" shapeId="0">
      <text>
        <r>
          <rPr>
            <b/>
            <sz val="9"/>
            <color indexed="81"/>
            <rFont val="Tahoma"/>
            <family val="2"/>
          </rPr>
          <t>Dedy Margianmoko:</t>
        </r>
        <r>
          <rPr>
            <sz val="9"/>
            <color indexed="81"/>
            <rFont val="Tahoma"/>
            <family val="2"/>
          </rPr>
          <t xml:space="preserve">
Survey stock</t>
        </r>
      </text>
    </comment>
    <comment ref="PV14" authorId="1" shapeId="0">
      <text>
        <r>
          <rPr>
            <b/>
            <sz val="9"/>
            <color indexed="81"/>
            <rFont val="Tahoma"/>
            <family val="2"/>
          </rPr>
          <t>Lemawati L.:</t>
        </r>
        <r>
          <rPr>
            <sz val="9"/>
            <color indexed="81"/>
            <rFont val="Tahoma"/>
            <family val="2"/>
          </rPr>
          <t xml:space="preserve">
PAMA</t>
        </r>
      </text>
    </comment>
    <comment ref="OL15" authorId="1" shapeId="0">
      <text>
        <r>
          <rPr>
            <b/>
            <sz val="9"/>
            <color indexed="81"/>
            <rFont val="Tahoma"/>
            <family val="2"/>
          </rPr>
          <t>Lemawati L.:</t>
        </r>
        <r>
          <rPr>
            <sz val="9"/>
            <color indexed="81"/>
            <rFont val="Tahoma"/>
            <family val="2"/>
          </rPr>
          <t xml:space="preserve">
-756
</t>
        </r>
      </text>
    </comment>
    <comment ref="PV15" authorId="1" shapeId="0">
      <text>
        <r>
          <rPr>
            <b/>
            <sz val="9"/>
            <color indexed="81"/>
            <rFont val="Tahoma"/>
            <family val="2"/>
          </rPr>
          <t>Lemawati L.:</t>
        </r>
        <r>
          <rPr>
            <sz val="9"/>
            <color indexed="81"/>
            <rFont val="Tahoma"/>
            <family val="2"/>
          </rPr>
          <t xml:space="preserve">
PAMA</t>
        </r>
      </text>
    </comment>
    <comment ref="PV17" authorId="1" shapeId="0">
      <text>
        <r>
          <rPr>
            <b/>
            <sz val="9"/>
            <color indexed="81"/>
            <rFont val="Tahoma"/>
            <family val="2"/>
          </rPr>
          <t>Lemawati L.:</t>
        </r>
        <r>
          <rPr>
            <sz val="9"/>
            <color indexed="81"/>
            <rFont val="Tahoma"/>
            <family val="2"/>
          </rPr>
          <t xml:space="preserve">
PAMA</t>
        </r>
      </text>
    </comment>
    <comment ref="LN40" authorId="1" shapeId="0">
      <text>
        <r>
          <rPr>
            <b/>
            <sz val="9"/>
            <color indexed="81"/>
            <rFont val="Tahoma"/>
            <family val="2"/>
          </rPr>
          <t>Lemawati L.:</t>
        </r>
        <r>
          <rPr>
            <sz val="9"/>
            <color indexed="81"/>
            <rFont val="Tahoma"/>
            <family val="2"/>
          </rPr>
          <t xml:space="preserve">
Water Level Today = 4.15</t>
        </r>
      </text>
    </comment>
  </commentList>
</comments>
</file>

<file path=xl/comments8.xml><?xml version="1.0" encoding="utf-8"?>
<comments xmlns="http://schemas.openxmlformats.org/spreadsheetml/2006/main">
  <authors>
    <author>Lemawati L.</author>
  </authors>
  <commentList>
    <comment ref="BM20" authorId="0" shapeId="0">
      <text>
        <r>
          <rPr>
            <b/>
            <sz val="9"/>
            <color indexed="81"/>
            <rFont val="Tahoma"/>
            <family val="2"/>
          </rPr>
          <t>Lemawati L.:</t>
        </r>
        <r>
          <rPr>
            <sz val="9"/>
            <color indexed="81"/>
            <rFont val="Tahoma"/>
            <family val="2"/>
          </rPr>
          <t xml:space="preserve">
By drone survey</t>
        </r>
      </text>
    </comment>
    <comment ref="BM30" authorId="0" shapeId="0">
      <text>
        <r>
          <rPr>
            <b/>
            <sz val="9"/>
            <color indexed="81"/>
            <rFont val="Tahoma"/>
            <family val="2"/>
          </rPr>
          <t>Lemawati L.:</t>
        </r>
        <r>
          <rPr>
            <sz val="9"/>
            <color indexed="81"/>
            <rFont val="Tahoma"/>
            <family val="2"/>
          </rPr>
          <t xml:space="preserve">
by Drone Survey</t>
        </r>
      </text>
    </comment>
    <comment ref="BJ39" authorId="0" shapeId="0">
      <text>
        <r>
          <rPr>
            <b/>
            <sz val="9"/>
            <color indexed="81"/>
            <rFont val="Tahoma"/>
            <family val="2"/>
          </rPr>
          <t>Lemawati L.:</t>
        </r>
        <r>
          <rPr>
            <sz val="9"/>
            <color indexed="81"/>
            <rFont val="Tahoma"/>
            <family val="2"/>
          </rPr>
          <t xml:space="preserve">
water level today = 6.23</t>
        </r>
      </text>
    </comment>
  </commentList>
</comments>
</file>

<file path=xl/comments9.xml><?xml version="1.0" encoding="utf-8"?>
<comments xmlns="http://schemas.openxmlformats.org/spreadsheetml/2006/main">
  <authors>
    <author>Lemawati L.</author>
  </authors>
  <commentList>
    <comment ref="BP39" authorId="0" shapeId="0">
      <text>
        <r>
          <rPr>
            <b/>
            <sz val="9"/>
            <color indexed="81"/>
            <rFont val="Tahoma"/>
            <family val="2"/>
          </rPr>
          <t>Lemawati L.:</t>
        </r>
        <r>
          <rPr>
            <sz val="9"/>
            <color indexed="81"/>
            <rFont val="Tahoma"/>
            <family val="2"/>
          </rPr>
          <t xml:space="preserve">
water level today = 6.23</t>
        </r>
      </text>
    </comment>
  </commentList>
</comments>
</file>

<file path=xl/comments10.xml><?xml version="1.0" encoding="utf-8"?>
<comments xmlns="http://schemas.openxmlformats.org/spreadsheetml/2006/main">
  <authors>
    <author>Dedy Margianmoko</author>
    <author>Lemawati L.</author>
  </authors>
  <commentList>
    <comment ref="OF7" authorId="0" shapeId="0">
      <text>
        <r>
          <rPr>
            <b/>
            <sz val="9"/>
            <color indexed="81"/>
            <rFont val="Tahoma"/>
            <family val="2"/>
          </rPr>
          <t>Dedy Margianmoko:ROM 1 DIGABUNG DENGAN ROM 3</t>
        </r>
      </text>
    </comment>
    <comment ref="NF9" authorId="0" shapeId="0">
      <text>
        <r>
          <rPr>
            <b/>
            <sz val="9"/>
            <color indexed="81"/>
            <rFont val="Tahoma"/>
            <family val="2"/>
          </rPr>
          <t>Dedy Margianmoko:</t>
        </r>
        <r>
          <rPr>
            <sz val="9"/>
            <color indexed="81"/>
            <rFont val="Tahoma"/>
            <family val="2"/>
          </rPr>
          <t xml:space="preserve">
Survey stock</t>
        </r>
      </text>
    </comment>
    <comment ref="PV13" authorId="1" shapeId="0">
      <text>
        <r>
          <rPr>
            <b/>
            <sz val="9"/>
            <color indexed="81"/>
            <rFont val="Tahoma"/>
            <family val="2"/>
          </rPr>
          <t>Lemawati L.:</t>
        </r>
        <r>
          <rPr>
            <sz val="9"/>
            <color indexed="81"/>
            <rFont val="Tahoma"/>
            <family val="2"/>
          </rPr>
          <t xml:space="preserve">
PAMA</t>
        </r>
      </text>
    </comment>
    <comment ref="OL15" authorId="1" shapeId="0">
      <text>
        <r>
          <rPr>
            <b/>
            <sz val="9"/>
            <color indexed="81"/>
            <rFont val="Tahoma"/>
            <family val="2"/>
          </rPr>
          <t>Lemawati L.:</t>
        </r>
        <r>
          <rPr>
            <sz val="9"/>
            <color indexed="81"/>
            <rFont val="Tahoma"/>
            <family val="2"/>
          </rPr>
          <t xml:space="preserve">
-756
</t>
        </r>
      </text>
    </comment>
    <comment ref="LN39" authorId="1" shapeId="0">
      <text>
        <r>
          <rPr>
            <b/>
            <sz val="9"/>
            <color indexed="81"/>
            <rFont val="Tahoma"/>
            <family val="2"/>
          </rPr>
          <t>Lemawati L.:</t>
        </r>
        <r>
          <rPr>
            <sz val="9"/>
            <color indexed="81"/>
            <rFont val="Tahoma"/>
            <family val="2"/>
          </rPr>
          <t xml:space="preserve">
water level today = 3.27</t>
        </r>
      </text>
    </comment>
  </commentList>
</comments>
</file>

<file path=xl/comments11.xml><?xml version="1.0" encoding="utf-8"?>
<comments xmlns="http://schemas.openxmlformats.org/spreadsheetml/2006/main">
  <authors>
    <author>Dedy Margianmoko</author>
    <author>Lemawati L.</author>
  </authors>
  <commentList>
    <comment ref="OG7" authorId="0" shapeId="0">
      <text>
        <r>
          <rPr>
            <b/>
            <sz val="9"/>
            <color indexed="81"/>
            <rFont val="Tahoma"/>
            <family val="2"/>
          </rPr>
          <t>Dedy Margianmoko:ROM 1 DIGABUNG DENGAN ROM 3</t>
        </r>
      </text>
    </comment>
    <comment ref="NG9" authorId="0" shapeId="0">
      <text>
        <r>
          <rPr>
            <b/>
            <sz val="9"/>
            <color indexed="81"/>
            <rFont val="Tahoma"/>
            <family val="2"/>
          </rPr>
          <t>Dedy Margianmoko:</t>
        </r>
        <r>
          <rPr>
            <sz val="9"/>
            <color indexed="81"/>
            <rFont val="Tahoma"/>
            <family val="2"/>
          </rPr>
          <t xml:space="preserve">
Survey stock</t>
        </r>
      </text>
    </comment>
    <comment ref="PW10" authorId="1" shapeId="0">
      <text>
        <r>
          <rPr>
            <b/>
            <sz val="9"/>
            <color indexed="81"/>
            <rFont val="Tahoma"/>
            <family val="2"/>
          </rPr>
          <t>Lemawati L.:</t>
        </r>
        <r>
          <rPr>
            <sz val="9"/>
            <color indexed="81"/>
            <rFont val="Tahoma"/>
            <family val="2"/>
          </rPr>
          <t xml:space="preserve">
</t>
        </r>
      </text>
    </comment>
    <comment ref="OM15" authorId="1" shapeId="0">
      <text>
        <r>
          <rPr>
            <b/>
            <sz val="9"/>
            <color indexed="81"/>
            <rFont val="Tahoma"/>
            <family val="2"/>
          </rPr>
          <t>Lemawati L.:</t>
        </r>
        <r>
          <rPr>
            <sz val="9"/>
            <color indexed="81"/>
            <rFont val="Tahoma"/>
            <family val="2"/>
          </rPr>
          <t xml:space="preserve">
-756
</t>
        </r>
      </text>
    </comment>
    <comment ref="NC18" authorId="1" shapeId="0">
      <text>
        <r>
          <rPr>
            <b/>
            <sz val="9"/>
            <color indexed="81"/>
            <rFont val="Tahoma"/>
            <family val="2"/>
          </rPr>
          <t>Lemawati L.:</t>
        </r>
        <r>
          <rPr>
            <sz val="9"/>
            <color indexed="81"/>
            <rFont val="Tahoma"/>
            <family val="2"/>
          </rPr>
          <t xml:space="preserve">
by Drone Survey</t>
        </r>
      </text>
    </comment>
    <comment ref="ND18" authorId="1" shapeId="0">
      <text>
        <r>
          <rPr>
            <b/>
            <sz val="9"/>
            <color indexed="81"/>
            <rFont val="Tahoma"/>
            <family val="2"/>
          </rPr>
          <t>Lemawati L.:</t>
        </r>
        <r>
          <rPr>
            <sz val="9"/>
            <color indexed="81"/>
            <rFont val="Tahoma"/>
            <family val="2"/>
          </rPr>
          <t xml:space="preserve">
by Drone Survey</t>
        </r>
      </text>
    </comment>
    <comment ref="OQ21" authorId="1" shapeId="0">
      <text>
        <r>
          <rPr>
            <b/>
            <sz val="9"/>
            <color indexed="81"/>
            <rFont val="Tahoma"/>
            <family val="2"/>
          </rPr>
          <t>Lemawati L.:</t>
        </r>
        <r>
          <rPr>
            <sz val="9"/>
            <color indexed="81"/>
            <rFont val="Tahoma"/>
            <family val="2"/>
          </rPr>
          <t xml:space="preserve">
-216</t>
        </r>
      </text>
    </comment>
    <comment ref="NR24" authorId="1" shapeId="0">
      <text>
        <r>
          <rPr>
            <b/>
            <sz val="9"/>
            <color indexed="81"/>
            <rFont val="Tahoma"/>
            <family val="2"/>
          </rPr>
          <t>Lemawati L.:</t>
        </r>
        <r>
          <rPr>
            <sz val="9"/>
            <color indexed="81"/>
            <rFont val="Tahoma"/>
            <family val="2"/>
          </rPr>
          <t xml:space="preserve">
-1217</t>
        </r>
      </text>
    </comment>
    <comment ref="PW27" authorId="1" shapeId="0">
      <text>
        <r>
          <rPr>
            <b/>
            <sz val="9"/>
            <color indexed="81"/>
            <rFont val="Tahoma"/>
            <family val="2"/>
          </rPr>
          <t>Lemawati L.:</t>
        </r>
        <r>
          <rPr>
            <sz val="9"/>
            <color indexed="81"/>
            <rFont val="Tahoma"/>
            <family val="2"/>
          </rPr>
          <t xml:space="preserve">
PAMA</t>
        </r>
      </text>
    </comment>
    <comment ref="NC28" authorId="1" shapeId="0">
      <text>
        <r>
          <rPr>
            <b/>
            <sz val="9"/>
            <color indexed="81"/>
            <rFont val="Tahoma"/>
            <family val="2"/>
          </rPr>
          <t>Lemawati L.:</t>
        </r>
        <r>
          <rPr>
            <sz val="9"/>
            <color indexed="81"/>
            <rFont val="Tahoma"/>
            <family val="2"/>
          </rPr>
          <t xml:space="preserve">
By Drone Survey</t>
        </r>
      </text>
    </comment>
    <comment ref="ND28" authorId="1" shapeId="0">
      <text>
        <r>
          <rPr>
            <b/>
            <sz val="9"/>
            <color indexed="81"/>
            <rFont val="Tahoma"/>
            <family val="2"/>
          </rPr>
          <t>Lemawati L.:</t>
        </r>
        <r>
          <rPr>
            <sz val="9"/>
            <color indexed="81"/>
            <rFont val="Tahoma"/>
            <family val="2"/>
          </rPr>
          <t xml:space="preserve">
By Drone Survey</t>
        </r>
      </text>
    </comment>
    <comment ref="LO40" authorId="1" shapeId="0">
      <text>
        <r>
          <rPr>
            <b/>
            <sz val="9"/>
            <color indexed="81"/>
            <rFont val="Tahoma"/>
            <family val="2"/>
          </rPr>
          <t>Lemawati L.:</t>
        </r>
        <r>
          <rPr>
            <sz val="9"/>
            <color indexed="81"/>
            <rFont val="Tahoma"/>
            <family val="2"/>
          </rPr>
          <t xml:space="preserve">
Water Level today = 7.10</t>
        </r>
      </text>
    </comment>
  </commentList>
</comments>
</file>

<file path=xl/comments12.xml><?xml version="1.0" encoding="utf-8"?>
<comments xmlns="http://schemas.openxmlformats.org/spreadsheetml/2006/main">
  <authors>
    <author>Dedy Margianmoko</author>
    <author>Lemawati L.</author>
  </authors>
  <commentList>
    <comment ref="OG7" authorId="0" shapeId="0">
      <text>
        <r>
          <rPr>
            <b/>
            <sz val="9"/>
            <color indexed="81"/>
            <rFont val="Tahoma"/>
            <family val="2"/>
          </rPr>
          <t>Dedy Margianmoko:ROM 1 DIGABUNG DENGAN ROM 3</t>
        </r>
      </text>
    </comment>
    <comment ref="NG9" authorId="0" shapeId="0">
      <text>
        <r>
          <rPr>
            <b/>
            <sz val="9"/>
            <color indexed="81"/>
            <rFont val="Tahoma"/>
            <family val="2"/>
          </rPr>
          <t>Dedy Margianmoko:</t>
        </r>
        <r>
          <rPr>
            <sz val="9"/>
            <color indexed="81"/>
            <rFont val="Tahoma"/>
            <family val="2"/>
          </rPr>
          <t xml:space="preserve">
Survey stock</t>
        </r>
      </text>
    </comment>
    <comment ref="OM15" authorId="1" shapeId="0">
      <text>
        <r>
          <rPr>
            <b/>
            <sz val="9"/>
            <color indexed="81"/>
            <rFont val="Tahoma"/>
            <family val="2"/>
          </rPr>
          <t>Lemawati L.:</t>
        </r>
        <r>
          <rPr>
            <sz val="9"/>
            <color indexed="81"/>
            <rFont val="Tahoma"/>
            <family val="2"/>
          </rPr>
          <t xml:space="preserve">
-756
</t>
        </r>
      </text>
    </comment>
    <comment ref="NC19" authorId="1" shapeId="0">
      <text>
        <r>
          <rPr>
            <b/>
            <sz val="9"/>
            <color indexed="81"/>
            <rFont val="Tahoma"/>
            <family val="2"/>
          </rPr>
          <t>Lemawati L.:</t>
        </r>
        <r>
          <rPr>
            <sz val="9"/>
            <color indexed="81"/>
            <rFont val="Tahoma"/>
            <family val="2"/>
          </rPr>
          <t xml:space="preserve">
by Drone Survey</t>
        </r>
      </text>
    </comment>
    <comment ref="ND19" authorId="1" shapeId="0">
      <text>
        <r>
          <rPr>
            <b/>
            <sz val="9"/>
            <color indexed="81"/>
            <rFont val="Tahoma"/>
            <family val="2"/>
          </rPr>
          <t>Lemawati L.:</t>
        </r>
        <r>
          <rPr>
            <sz val="9"/>
            <color indexed="81"/>
            <rFont val="Tahoma"/>
            <family val="2"/>
          </rPr>
          <t xml:space="preserve">
by drone Survey</t>
        </r>
      </text>
    </comment>
    <comment ref="NC30" authorId="1" shapeId="0">
      <text>
        <r>
          <rPr>
            <b/>
            <sz val="9"/>
            <color indexed="81"/>
            <rFont val="Tahoma"/>
            <family val="2"/>
          </rPr>
          <t>Lemawati L.:</t>
        </r>
        <r>
          <rPr>
            <sz val="9"/>
            <color indexed="81"/>
            <rFont val="Tahoma"/>
            <family val="2"/>
          </rPr>
          <t xml:space="preserve">
by Drone survey</t>
        </r>
      </text>
    </comment>
    <comment ref="ND30" authorId="1" shapeId="0">
      <text>
        <r>
          <rPr>
            <b/>
            <sz val="9"/>
            <color indexed="81"/>
            <rFont val="Tahoma"/>
            <family val="2"/>
          </rPr>
          <t>Lemawati L.:</t>
        </r>
        <r>
          <rPr>
            <sz val="9"/>
            <color indexed="81"/>
            <rFont val="Tahoma"/>
            <family val="2"/>
          </rPr>
          <t xml:space="preserve">
by Drone survey</t>
        </r>
      </text>
    </comment>
  </commentList>
</comments>
</file>

<file path=xl/comments13.xml><?xml version="1.0" encoding="utf-8"?>
<comments xmlns="http://schemas.openxmlformats.org/spreadsheetml/2006/main">
  <authors>
    <author>Dedy Margianmoko</author>
    <author>Lemawati L.</author>
  </authors>
  <commentList>
    <comment ref="OH7" authorId="0" shapeId="0">
      <text>
        <r>
          <rPr>
            <b/>
            <sz val="9"/>
            <color indexed="81"/>
            <rFont val="Tahoma"/>
            <family val="2"/>
          </rPr>
          <t>Dedy Margianmoko:ROM 1 DIGABUNG DENGAN ROM 3</t>
        </r>
      </text>
    </comment>
    <comment ref="NH9" authorId="0" shapeId="0">
      <text>
        <r>
          <rPr>
            <b/>
            <sz val="9"/>
            <color indexed="81"/>
            <rFont val="Tahoma"/>
            <family val="2"/>
          </rPr>
          <t>Dedy Margianmoko:</t>
        </r>
        <r>
          <rPr>
            <sz val="9"/>
            <color indexed="81"/>
            <rFont val="Tahoma"/>
            <family val="2"/>
          </rPr>
          <t xml:space="preserve">
Survey stock</t>
        </r>
      </text>
    </comment>
    <comment ref="ON15" authorId="1" shapeId="0">
      <text>
        <r>
          <rPr>
            <b/>
            <sz val="9"/>
            <color indexed="81"/>
            <rFont val="Tahoma"/>
            <family val="2"/>
          </rPr>
          <t>Lemawati L.:</t>
        </r>
        <r>
          <rPr>
            <sz val="9"/>
            <color indexed="81"/>
            <rFont val="Tahoma"/>
            <family val="2"/>
          </rPr>
          <t xml:space="preserve">
-756
</t>
        </r>
      </text>
    </comment>
    <comment ref="ND19" authorId="1" shapeId="0">
      <text>
        <r>
          <rPr>
            <b/>
            <sz val="9"/>
            <color indexed="81"/>
            <rFont val="Tahoma"/>
            <family val="2"/>
          </rPr>
          <t>Lemawati L.:</t>
        </r>
        <r>
          <rPr>
            <sz val="9"/>
            <color indexed="81"/>
            <rFont val="Tahoma"/>
            <family val="2"/>
          </rPr>
          <t xml:space="preserve">
by Drone Survey</t>
        </r>
      </text>
    </comment>
    <comment ref="NE19" authorId="1" shapeId="0">
      <text>
        <r>
          <rPr>
            <b/>
            <sz val="9"/>
            <color indexed="81"/>
            <rFont val="Tahoma"/>
            <family val="2"/>
          </rPr>
          <t>Lemawati L.:</t>
        </r>
        <r>
          <rPr>
            <sz val="9"/>
            <color indexed="81"/>
            <rFont val="Tahoma"/>
            <family val="2"/>
          </rPr>
          <t xml:space="preserve">
by drone Survey</t>
        </r>
      </text>
    </comment>
    <comment ref="ND29" authorId="1" shapeId="0">
      <text>
        <r>
          <rPr>
            <b/>
            <sz val="9"/>
            <color indexed="81"/>
            <rFont val="Tahoma"/>
            <family val="2"/>
          </rPr>
          <t>Lemawati L.:</t>
        </r>
        <r>
          <rPr>
            <sz val="9"/>
            <color indexed="81"/>
            <rFont val="Tahoma"/>
            <family val="2"/>
          </rPr>
          <t xml:space="preserve">
by Drone Survey</t>
        </r>
      </text>
    </comment>
    <comment ref="NE29" authorId="1" shapeId="0">
      <text>
        <r>
          <rPr>
            <b/>
            <sz val="9"/>
            <color indexed="81"/>
            <rFont val="Tahoma"/>
            <family val="2"/>
          </rPr>
          <t>Lemawati L.:</t>
        </r>
        <r>
          <rPr>
            <sz val="9"/>
            <color indexed="81"/>
            <rFont val="Tahoma"/>
            <family val="2"/>
          </rPr>
          <t xml:space="preserve">
by Drone Survey</t>
        </r>
      </text>
    </comment>
    <comment ref="LP40" authorId="1" shapeId="0">
      <text>
        <r>
          <rPr>
            <b/>
            <sz val="9"/>
            <color indexed="81"/>
            <rFont val="Tahoma"/>
            <family val="2"/>
          </rPr>
          <t>Lemawati L.:</t>
        </r>
        <r>
          <rPr>
            <sz val="9"/>
            <color indexed="81"/>
            <rFont val="Tahoma"/>
            <family val="2"/>
          </rPr>
          <t xml:space="preserve">
Water Level today = .70</t>
        </r>
      </text>
    </comment>
    <comment ref="NS40" authorId="1" shapeId="0">
      <text>
        <r>
          <rPr>
            <b/>
            <sz val="9"/>
            <color indexed="81"/>
            <rFont val="Tahoma"/>
            <family val="2"/>
          </rPr>
          <t>Lemawati L.:</t>
        </r>
        <r>
          <rPr>
            <sz val="9"/>
            <color indexed="81"/>
            <rFont val="Tahoma"/>
            <family val="2"/>
          </rPr>
          <t xml:space="preserve">
-688</t>
        </r>
      </text>
    </comment>
    <comment ref="OR40" authorId="1" shapeId="0">
      <text>
        <r>
          <rPr>
            <b/>
            <sz val="9"/>
            <color indexed="81"/>
            <rFont val="Tahoma"/>
            <family val="2"/>
          </rPr>
          <t>Lemawati L.:</t>
        </r>
        <r>
          <rPr>
            <sz val="9"/>
            <color indexed="81"/>
            <rFont val="Tahoma"/>
            <family val="2"/>
          </rPr>
          <t xml:space="preserve">
-68</t>
        </r>
      </text>
    </comment>
  </commentList>
</comments>
</file>

<file path=xl/comments14.xml><?xml version="1.0" encoding="utf-8"?>
<comments xmlns="http://schemas.openxmlformats.org/spreadsheetml/2006/main">
  <authors>
    <author>Dedy Margianmoko</author>
    <author>Lemawati L.</author>
  </authors>
  <commentList>
    <comment ref="OH7" authorId="0" shapeId="0">
      <text>
        <r>
          <rPr>
            <b/>
            <sz val="9"/>
            <color indexed="81"/>
            <rFont val="Tahoma"/>
            <family val="2"/>
          </rPr>
          <t>Dedy Margianmoko:ROM 1 DIGABUNG DENGAN ROM 3</t>
        </r>
      </text>
    </comment>
    <comment ref="NH9" authorId="0" shapeId="0">
      <text>
        <r>
          <rPr>
            <b/>
            <sz val="9"/>
            <color indexed="81"/>
            <rFont val="Tahoma"/>
            <family val="2"/>
          </rPr>
          <t>Dedy Margianmoko:</t>
        </r>
        <r>
          <rPr>
            <sz val="9"/>
            <color indexed="81"/>
            <rFont val="Tahoma"/>
            <family val="2"/>
          </rPr>
          <t xml:space="preserve">
Survey stock</t>
        </r>
      </text>
    </comment>
    <comment ref="ON15" authorId="1" shapeId="0">
      <text>
        <r>
          <rPr>
            <b/>
            <sz val="9"/>
            <color indexed="81"/>
            <rFont val="Tahoma"/>
            <family val="2"/>
          </rPr>
          <t>Lemawati L.:</t>
        </r>
        <r>
          <rPr>
            <sz val="9"/>
            <color indexed="81"/>
            <rFont val="Tahoma"/>
            <family val="2"/>
          </rPr>
          <t xml:space="preserve">
-756
</t>
        </r>
      </text>
    </comment>
    <comment ref="ND19" authorId="1" shapeId="0">
      <text>
        <r>
          <rPr>
            <b/>
            <sz val="9"/>
            <color indexed="81"/>
            <rFont val="Tahoma"/>
            <family val="2"/>
          </rPr>
          <t>Lemawati L.:</t>
        </r>
        <r>
          <rPr>
            <sz val="9"/>
            <color indexed="81"/>
            <rFont val="Tahoma"/>
            <family val="2"/>
          </rPr>
          <t xml:space="preserve">
by Drone Survey</t>
        </r>
      </text>
    </comment>
    <comment ref="NE19" authorId="1" shapeId="0">
      <text>
        <r>
          <rPr>
            <b/>
            <sz val="9"/>
            <color indexed="81"/>
            <rFont val="Tahoma"/>
            <family val="2"/>
          </rPr>
          <t>Lemawati L.:</t>
        </r>
        <r>
          <rPr>
            <sz val="9"/>
            <color indexed="81"/>
            <rFont val="Tahoma"/>
            <family val="2"/>
          </rPr>
          <t xml:space="preserve">
by drone Survey</t>
        </r>
      </text>
    </comment>
    <comment ref="ND29" authorId="1" shapeId="0">
      <text>
        <r>
          <rPr>
            <b/>
            <sz val="9"/>
            <color indexed="81"/>
            <rFont val="Tahoma"/>
            <family val="2"/>
          </rPr>
          <t>Lemawati L.:</t>
        </r>
        <r>
          <rPr>
            <sz val="9"/>
            <color indexed="81"/>
            <rFont val="Tahoma"/>
            <family val="2"/>
          </rPr>
          <t xml:space="preserve">
by Drone Survey</t>
        </r>
      </text>
    </comment>
    <comment ref="NE29" authorId="1" shapeId="0">
      <text>
        <r>
          <rPr>
            <b/>
            <sz val="9"/>
            <color indexed="81"/>
            <rFont val="Tahoma"/>
            <family val="2"/>
          </rPr>
          <t>Lemawati L.:</t>
        </r>
        <r>
          <rPr>
            <sz val="9"/>
            <color indexed="81"/>
            <rFont val="Tahoma"/>
            <family val="2"/>
          </rPr>
          <t xml:space="preserve">
by Drone Survey</t>
        </r>
      </text>
    </comment>
    <comment ref="LP40" authorId="1" shapeId="0">
      <text>
        <r>
          <rPr>
            <b/>
            <sz val="9"/>
            <color indexed="81"/>
            <rFont val="Tahoma"/>
            <family val="2"/>
          </rPr>
          <t>Lemawati L.:</t>
        </r>
        <r>
          <rPr>
            <sz val="9"/>
            <color indexed="81"/>
            <rFont val="Tahoma"/>
            <family val="2"/>
          </rPr>
          <t xml:space="preserve">
Water Level today = .70</t>
        </r>
      </text>
    </comment>
  </commentList>
</comments>
</file>

<file path=xl/comments15.xml><?xml version="1.0" encoding="utf-8"?>
<comments xmlns="http://schemas.openxmlformats.org/spreadsheetml/2006/main">
  <authors>
    <author>PT. Trubaindo Coal Mining</author>
    <author>nurul_f</author>
    <author>Amelya Putri Cahyani</author>
    <author>Gabriela Stela</author>
  </authors>
  <commentList>
    <comment ref="S2" authorId="0" shapeId="0">
      <text>
        <r>
          <rPr>
            <b/>
            <sz val="10"/>
            <color indexed="12"/>
            <rFont val="Tahoma"/>
            <family val="2"/>
          </rPr>
          <t>Correction by Moisture (15%)</t>
        </r>
      </text>
    </comment>
    <comment ref="T2" authorId="1" shapeId="0">
      <text>
        <r>
          <rPr>
            <b/>
            <sz val="8"/>
            <color indexed="81"/>
            <rFont val="Tahoma"/>
            <family val="2"/>
          </rPr>
          <t>nurul_f:</t>
        </r>
        <r>
          <rPr>
            <sz val="8"/>
            <color indexed="81"/>
            <rFont val="Tahoma"/>
            <family val="2"/>
          </rPr>
          <t xml:space="preserve">
</t>
        </r>
        <r>
          <rPr>
            <b/>
            <sz val="8"/>
            <color indexed="81"/>
            <rFont val="Tahoma"/>
            <family val="2"/>
          </rPr>
          <t>Correction Moisture 16 %</t>
        </r>
      </text>
    </comment>
    <comment ref="U2" authorId="0" shapeId="0">
      <text>
        <r>
          <rPr>
            <b/>
            <sz val="10"/>
            <color indexed="12"/>
            <rFont val="Tahoma"/>
            <family val="2"/>
          </rPr>
          <t>Correction by Moisture (17%)</t>
        </r>
      </text>
    </comment>
    <comment ref="V3" authorId="2" shapeId="0">
      <text>
        <r>
          <rPr>
            <b/>
            <sz val="9"/>
            <color indexed="81"/>
            <rFont val="Tahoma"/>
            <family val="2"/>
          </rPr>
          <t>Amelya Putri Cahyani:</t>
        </r>
        <r>
          <rPr>
            <sz val="9"/>
            <color indexed="81"/>
            <rFont val="Tahoma"/>
            <family val="2"/>
          </rPr>
          <t xml:space="preserve">
MANUAL SAMPLING
</t>
        </r>
      </text>
    </comment>
    <comment ref="V4" authorId="2" shapeId="0">
      <text>
        <r>
          <rPr>
            <b/>
            <sz val="9"/>
            <color indexed="81"/>
            <rFont val="Tahoma"/>
            <family val="2"/>
          </rPr>
          <t>Amelya Putri Cahyani:</t>
        </r>
        <r>
          <rPr>
            <sz val="9"/>
            <color indexed="81"/>
            <rFont val="Tahoma"/>
            <family val="2"/>
          </rPr>
          <t xml:space="preserve">
MANUAL SAMPLING
</t>
        </r>
      </text>
    </comment>
    <comment ref="V15" authorId="3" shapeId="0">
      <text>
        <r>
          <rPr>
            <b/>
            <sz val="9"/>
            <color indexed="81"/>
            <rFont val="Tahoma"/>
            <family val="2"/>
          </rPr>
          <t>Gabriela Stela:</t>
        </r>
        <r>
          <rPr>
            <sz val="9"/>
            <color indexed="81"/>
            <rFont val="Tahoma"/>
            <family val="2"/>
          </rPr>
          <t xml:space="preserve">
Manual sampling</t>
        </r>
      </text>
    </comment>
    <comment ref="V16" authorId="3" shapeId="0">
      <text>
        <r>
          <rPr>
            <b/>
            <sz val="9"/>
            <color indexed="81"/>
            <rFont val="Tahoma"/>
            <family val="2"/>
          </rPr>
          <t>Gabriela Stela:</t>
        </r>
        <r>
          <rPr>
            <sz val="9"/>
            <color indexed="81"/>
            <rFont val="Tahoma"/>
            <family val="2"/>
          </rPr>
          <t xml:space="preserve">
Manual sampling</t>
        </r>
      </text>
    </comment>
    <comment ref="V17" authorId="3" shapeId="0">
      <text>
        <r>
          <rPr>
            <b/>
            <sz val="9"/>
            <color indexed="81"/>
            <rFont val="Tahoma"/>
            <family val="2"/>
          </rPr>
          <t>Gabriela Stela:</t>
        </r>
        <r>
          <rPr>
            <sz val="9"/>
            <color indexed="81"/>
            <rFont val="Tahoma"/>
            <family val="2"/>
          </rPr>
          <t xml:space="preserve">
Manual sampling</t>
        </r>
      </text>
    </comment>
    <comment ref="V18" authorId="3" shapeId="0">
      <text>
        <r>
          <rPr>
            <b/>
            <sz val="9"/>
            <color indexed="81"/>
            <rFont val="Tahoma"/>
            <family val="2"/>
          </rPr>
          <t>Gabriela Stela:</t>
        </r>
        <r>
          <rPr>
            <sz val="9"/>
            <color indexed="81"/>
            <rFont val="Tahoma"/>
            <family val="2"/>
          </rPr>
          <t xml:space="preserve">
Manual sampling</t>
        </r>
      </text>
    </comment>
    <comment ref="V19" authorId="3" shapeId="0">
      <text>
        <r>
          <rPr>
            <b/>
            <sz val="9"/>
            <color indexed="81"/>
            <rFont val="Tahoma"/>
            <family val="2"/>
          </rPr>
          <t>Gabriela Stela:</t>
        </r>
        <r>
          <rPr>
            <sz val="9"/>
            <color indexed="81"/>
            <rFont val="Tahoma"/>
            <family val="2"/>
          </rPr>
          <t xml:space="preserve">
Manual sampling</t>
        </r>
      </text>
    </comment>
    <comment ref="V20" authorId="3" shapeId="0">
      <text>
        <r>
          <rPr>
            <b/>
            <sz val="9"/>
            <color indexed="81"/>
            <rFont val="Tahoma"/>
            <family val="2"/>
          </rPr>
          <t>Gabriela Stela:</t>
        </r>
        <r>
          <rPr>
            <sz val="9"/>
            <color indexed="81"/>
            <rFont val="Tahoma"/>
            <family val="2"/>
          </rPr>
          <t xml:space="preserve">
Manual sampling</t>
        </r>
      </text>
    </comment>
    <comment ref="V25" authorId="3" shapeId="0">
      <text>
        <r>
          <rPr>
            <b/>
            <sz val="9"/>
            <color indexed="81"/>
            <rFont val="Tahoma"/>
            <family val="2"/>
          </rPr>
          <t>Gabriela Stela:</t>
        </r>
        <r>
          <rPr>
            <sz val="9"/>
            <color indexed="81"/>
            <rFont val="Tahoma"/>
            <family val="2"/>
          </rPr>
          <t xml:space="preserve">
Manual sampling</t>
        </r>
      </text>
    </comment>
    <comment ref="V26" authorId="3" shapeId="0">
      <text>
        <r>
          <rPr>
            <b/>
            <sz val="9"/>
            <color indexed="81"/>
            <rFont val="Tahoma"/>
            <family val="2"/>
          </rPr>
          <t>Gabriela Stela:</t>
        </r>
        <r>
          <rPr>
            <sz val="9"/>
            <color indexed="81"/>
            <rFont val="Tahoma"/>
            <family val="2"/>
          </rPr>
          <t xml:space="preserve">
Manual sampling</t>
        </r>
      </text>
    </comment>
    <comment ref="V27" authorId="3" shapeId="0">
      <text>
        <r>
          <rPr>
            <b/>
            <sz val="9"/>
            <color indexed="81"/>
            <rFont val="Tahoma"/>
            <family val="2"/>
          </rPr>
          <t>Gabriela Stela:</t>
        </r>
        <r>
          <rPr>
            <sz val="9"/>
            <color indexed="81"/>
            <rFont val="Tahoma"/>
            <family val="2"/>
          </rPr>
          <t xml:space="preserve">
Manual sampling</t>
        </r>
      </text>
    </comment>
    <comment ref="V28" authorId="3" shapeId="0">
      <text>
        <r>
          <rPr>
            <b/>
            <sz val="9"/>
            <color indexed="81"/>
            <rFont val="Tahoma"/>
            <family val="2"/>
          </rPr>
          <t>Gabriela Stela:</t>
        </r>
        <r>
          <rPr>
            <sz val="9"/>
            <color indexed="81"/>
            <rFont val="Tahoma"/>
            <family val="2"/>
          </rPr>
          <t xml:space="preserve">
Manual sampling</t>
        </r>
      </text>
    </comment>
    <comment ref="V29" authorId="3" shapeId="0">
      <text>
        <r>
          <rPr>
            <b/>
            <sz val="9"/>
            <color indexed="81"/>
            <rFont val="Tahoma"/>
            <family val="2"/>
          </rPr>
          <t>Gabriela Stela:</t>
        </r>
        <r>
          <rPr>
            <sz val="9"/>
            <color indexed="81"/>
            <rFont val="Tahoma"/>
            <family val="2"/>
          </rPr>
          <t xml:space="preserve">
Manual sampling</t>
        </r>
      </text>
    </comment>
  </commentList>
</comments>
</file>

<file path=xl/comments16.xml><?xml version="1.0" encoding="utf-8"?>
<comments xmlns="http://schemas.openxmlformats.org/spreadsheetml/2006/main">
  <authors>
    <author>PT. Trubaindo Coal Mining</author>
    <author>nurul_f</author>
  </authors>
  <commentList>
    <comment ref="S2" authorId="0" shapeId="0">
      <text>
        <r>
          <rPr>
            <b/>
            <sz val="10"/>
            <color indexed="12"/>
            <rFont val="Tahoma"/>
            <family val="2"/>
          </rPr>
          <t>Correction by Moisture (15%)</t>
        </r>
      </text>
    </comment>
    <comment ref="T2" authorId="1" shapeId="0">
      <text>
        <r>
          <rPr>
            <b/>
            <sz val="8"/>
            <color indexed="81"/>
            <rFont val="Tahoma"/>
            <family val="2"/>
          </rPr>
          <t>nurul_f:</t>
        </r>
        <r>
          <rPr>
            <sz val="8"/>
            <color indexed="81"/>
            <rFont val="Tahoma"/>
            <family val="2"/>
          </rPr>
          <t xml:space="preserve">
</t>
        </r>
        <r>
          <rPr>
            <b/>
            <sz val="8"/>
            <color indexed="81"/>
            <rFont val="Tahoma"/>
            <family val="2"/>
          </rPr>
          <t>Correction Moisture 16 %</t>
        </r>
      </text>
    </comment>
    <comment ref="U2" authorId="0" shapeId="0">
      <text>
        <r>
          <rPr>
            <b/>
            <sz val="10"/>
            <color indexed="12"/>
            <rFont val="Tahoma"/>
            <family val="2"/>
          </rPr>
          <t>Correction by Moisture (17%)</t>
        </r>
      </text>
    </comment>
  </commentList>
</comments>
</file>

<file path=xl/comments17.xml><?xml version="1.0" encoding="utf-8"?>
<comments xmlns="http://schemas.openxmlformats.org/spreadsheetml/2006/main">
  <authors>
    <author>PT. Trubaindo Coal Mining</author>
    <author>nurul_f</author>
    <author>Gabriela Stela</author>
  </authors>
  <commentList>
    <comment ref="S2" authorId="0" shapeId="0">
      <text>
        <r>
          <rPr>
            <b/>
            <sz val="10"/>
            <color indexed="12"/>
            <rFont val="Tahoma"/>
            <family val="2"/>
          </rPr>
          <t>Correction by Moisture (15%)</t>
        </r>
      </text>
    </comment>
    <comment ref="T2" authorId="1" shapeId="0">
      <text>
        <r>
          <rPr>
            <b/>
            <sz val="8"/>
            <color indexed="81"/>
            <rFont val="Tahoma"/>
            <family val="2"/>
          </rPr>
          <t>nurul_f:</t>
        </r>
        <r>
          <rPr>
            <sz val="8"/>
            <color indexed="81"/>
            <rFont val="Tahoma"/>
            <family val="2"/>
          </rPr>
          <t xml:space="preserve">
</t>
        </r>
        <r>
          <rPr>
            <b/>
            <sz val="8"/>
            <color indexed="81"/>
            <rFont val="Tahoma"/>
            <family val="2"/>
          </rPr>
          <t>Correction Moisture 16 %</t>
        </r>
      </text>
    </comment>
    <comment ref="U2" authorId="0" shapeId="0">
      <text>
        <r>
          <rPr>
            <b/>
            <sz val="10"/>
            <color indexed="12"/>
            <rFont val="Tahoma"/>
            <family val="2"/>
          </rPr>
          <t>Correction by Moisture (17%)</t>
        </r>
      </text>
    </comment>
    <comment ref="V15" authorId="2" shapeId="0">
      <text>
        <r>
          <rPr>
            <b/>
            <sz val="9"/>
            <color indexed="81"/>
            <rFont val="Tahoma"/>
            <family val="2"/>
          </rPr>
          <t>Gabriela Stela:</t>
        </r>
        <r>
          <rPr>
            <sz val="9"/>
            <color indexed="81"/>
            <rFont val="Tahoma"/>
            <family val="2"/>
          </rPr>
          <t xml:space="preserve">
Manual sampling</t>
        </r>
      </text>
    </comment>
    <comment ref="V16" authorId="2" shapeId="0">
      <text>
        <r>
          <rPr>
            <b/>
            <sz val="9"/>
            <color indexed="81"/>
            <rFont val="Tahoma"/>
            <family val="2"/>
          </rPr>
          <t>Gabriela Stela:</t>
        </r>
        <r>
          <rPr>
            <sz val="9"/>
            <color indexed="81"/>
            <rFont val="Tahoma"/>
            <family val="2"/>
          </rPr>
          <t xml:space="preserve">
Manual sampling</t>
        </r>
      </text>
    </comment>
    <comment ref="V17" authorId="2" shapeId="0">
      <text>
        <r>
          <rPr>
            <b/>
            <sz val="9"/>
            <color indexed="81"/>
            <rFont val="Tahoma"/>
            <family val="2"/>
          </rPr>
          <t>Gabriela Stela:</t>
        </r>
        <r>
          <rPr>
            <sz val="9"/>
            <color indexed="81"/>
            <rFont val="Tahoma"/>
            <family val="2"/>
          </rPr>
          <t xml:space="preserve">
Manual sampling</t>
        </r>
      </text>
    </comment>
    <comment ref="V18" authorId="2" shapeId="0">
      <text>
        <r>
          <rPr>
            <b/>
            <sz val="9"/>
            <color indexed="81"/>
            <rFont val="Tahoma"/>
            <family val="2"/>
          </rPr>
          <t>Gabriela Stela:</t>
        </r>
        <r>
          <rPr>
            <sz val="9"/>
            <color indexed="81"/>
            <rFont val="Tahoma"/>
            <family val="2"/>
          </rPr>
          <t xml:space="preserve">
Manual sampling</t>
        </r>
      </text>
    </comment>
    <comment ref="V19" authorId="2" shapeId="0">
      <text>
        <r>
          <rPr>
            <b/>
            <sz val="9"/>
            <color indexed="81"/>
            <rFont val="Tahoma"/>
            <family val="2"/>
          </rPr>
          <t>Gabriela Stela:</t>
        </r>
        <r>
          <rPr>
            <sz val="9"/>
            <color indexed="81"/>
            <rFont val="Tahoma"/>
            <family val="2"/>
          </rPr>
          <t xml:space="preserve">
Manual sampling</t>
        </r>
      </text>
    </comment>
    <comment ref="V20" authorId="2" shapeId="0">
      <text>
        <r>
          <rPr>
            <b/>
            <sz val="9"/>
            <color indexed="81"/>
            <rFont val="Tahoma"/>
            <family val="2"/>
          </rPr>
          <t>Gabriela Stela:</t>
        </r>
        <r>
          <rPr>
            <sz val="9"/>
            <color indexed="81"/>
            <rFont val="Tahoma"/>
            <family val="2"/>
          </rPr>
          <t xml:space="preserve">
Manual sampling</t>
        </r>
      </text>
    </comment>
    <comment ref="V25" authorId="2" shapeId="0">
      <text>
        <r>
          <rPr>
            <b/>
            <sz val="9"/>
            <color indexed="81"/>
            <rFont val="Tahoma"/>
            <family val="2"/>
          </rPr>
          <t>Gabriela Stela:</t>
        </r>
        <r>
          <rPr>
            <sz val="9"/>
            <color indexed="81"/>
            <rFont val="Tahoma"/>
            <family val="2"/>
          </rPr>
          <t xml:space="preserve">
Manual sampling</t>
        </r>
      </text>
    </comment>
    <comment ref="V26" authorId="2" shapeId="0">
      <text>
        <r>
          <rPr>
            <b/>
            <sz val="9"/>
            <color indexed="81"/>
            <rFont val="Tahoma"/>
            <family val="2"/>
          </rPr>
          <t>Gabriela Stela:</t>
        </r>
        <r>
          <rPr>
            <sz val="9"/>
            <color indexed="81"/>
            <rFont val="Tahoma"/>
            <family val="2"/>
          </rPr>
          <t xml:space="preserve">
Manual sampling</t>
        </r>
      </text>
    </comment>
    <comment ref="V27" authorId="2" shapeId="0">
      <text>
        <r>
          <rPr>
            <b/>
            <sz val="9"/>
            <color indexed="81"/>
            <rFont val="Tahoma"/>
            <family val="2"/>
          </rPr>
          <t>Gabriela Stela:</t>
        </r>
        <r>
          <rPr>
            <sz val="9"/>
            <color indexed="81"/>
            <rFont val="Tahoma"/>
            <family val="2"/>
          </rPr>
          <t xml:space="preserve">
Manual sampling</t>
        </r>
      </text>
    </comment>
    <comment ref="V28" authorId="2" shapeId="0">
      <text>
        <r>
          <rPr>
            <b/>
            <sz val="9"/>
            <color indexed="81"/>
            <rFont val="Tahoma"/>
            <family val="2"/>
          </rPr>
          <t>Gabriela Stela:</t>
        </r>
        <r>
          <rPr>
            <sz val="9"/>
            <color indexed="81"/>
            <rFont val="Tahoma"/>
            <family val="2"/>
          </rPr>
          <t xml:space="preserve">
Manual sampling</t>
        </r>
      </text>
    </comment>
    <comment ref="V29" authorId="2" shapeId="0">
      <text>
        <r>
          <rPr>
            <b/>
            <sz val="9"/>
            <color indexed="81"/>
            <rFont val="Tahoma"/>
            <family val="2"/>
          </rPr>
          <t>Gabriela Stela:</t>
        </r>
        <r>
          <rPr>
            <sz val="9"/>
            <color indexed="81"/>
            <rFont val="Tahoma"/>
            <family val="2"/>
          </rPr>
          <t xml:space="preserve">
Manual sampling</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<sst xmlns="http://schemas.openxmlformats.org/spreadsheetml/2006/main" count="18560" uniqueCount="1829">
  <si>
    <t>OB (BCM)</t>
  </si>
  <si>
    <t xml:space="preserve">Daily </t>
  </si>
  <si>
    <t>Daily</t>
  </si>
  <si>
    <t>OB</t>
  </si>
  <si>
    <t>Act</t>
  </si>
  <si>
    <t>Bud</t>
  </si>
  <si>
    <t>Out</t>
  </si>
  <si>
    <t>TOTAL</t>
  </si>
  <si>
    <t>MTD</t>
  </si>
  <si>
    <t>% Achievement</t>
  </si>
  <si>
    <t>YTD</t>
  </si>
  <si>
    <t>Budget</t>
  </si>
  <si>
    <t>Outlook</t>
  </si>
  <si>
    <t>Actual</t>
  </si>
  <si>
    <t>By Budget</t>
  </si>
  <si>
    <t>By Outlook</t>
  </si>
  <si>
    <t>PAMA</t>
  </si>
  <si>
    <t>MAP</t>
  </si>
  <si>
    <t>PJPN</t>
  </si>
  <si>
    <t>PJPN (VOID)</t>
  </si>
  <si>
    <t>COAL</t>
  </si>
  <si>
    <t>As update on</t>
  </si>
  <si>
    <t>ROM Hauling</t>
  </si>
  <si>
    <t>TONS</t>
  </si>
  <si>
    <t>% on budg</t>
  </si>
  <si>
    <t>% on outlook</t>
  </si>
  <si>
    <t>BUDGET YTD</t>
  </si>
  <si>
    <t>Outlook YTD</t>
  </si>
  <si>
    <t>BUDGET</t>
  </si>
  <si>
    <t>OUTLOOK</t>
  </si>
  <si>
    <t>HAC</t>
  </si>
  <si>
    <t>HAC Stock</t>
  </si>
  <si>
    <t>CONTC</t>
  </si>
  <si>
    <t>ACH.</t>
  </si>
  <si>
    <t>Q3</t>
  </si>
  <si>
    <t>NB</t>
  </si>
  <si>
    <t>SB 1</t>
  </si>
  <si>
    <t>SB2</t>
  </si>
  <si>
    <t xml:space="preserve">   ROM 1</t>
  </si>
  <si>
    <t xml:space="preserve">   ROM 1 (SMI)</t>
  </si>
  <si>
    <t>PLAN</t>
  </si>
  <si>
    <t xml:space="preserve">   ROM 2</t>
  </si>
  <si>
    <t xml:space="preserve">   ROM 2 (SMI)</t>
  </si>
  <si>
    <t xml:space="preserve">   ROM 3</t>
  </si>
  <si>
    <t>a</t>
  </si>
  <si>
    <t xml:space="preserve">   ROM 3 (SMI)</t>
  </si>
  <si>
    <t xml:space="preserve">   ROM 4</t>
  </si>
  <si>
    <t xml:space="preserve">   ROM 4 (SMI)</t>
  </si>
  <si>
    <t>OB REMOVAL PIT</t>
  </si>
  <si>
    <t>OB REMOVAL VOID</t>
  </si>
  <si>
    <t xml:space="preserve">   ROM 5</t>
  </si>
  <si>
    <t>BCM</t>
  </si>
  <si>
    <t xml:space="preserve">   ROM 5 (SMI)</t>
  </si>
  <si>
    <t xml:space="preserve">   ROM 6</t>
  </si>
  <si>
    <t>QUALITY BY PREDECTION</t>
  </si>
  <si>
    <t xml:space="preserve">   ROM 6 (SMI)</t>
  </si>
  <si>
    <t>ROM Stock</t>
  </si>
  <si>
    <t>Available</t>
  </si>
  <si>
    <t>Ready To Haul</t>
  </si>
  <si>
    <t>Rom Capacity</t>
  </si>
  <si>
    <t>Available Space</t>
  </si>
  <si>
    <t>CV</t>
  </si>
  <si>
    <t>TS</t>
  </si>
  <si>
    <t>ASH</t>
  </si>
  <si>
    <t>SB 2</t>
  </si>
  <si>
    <t xml:space="preserve">  PAMA</t>
  </si>
  <si>
    <t>RML</t>
  </si>
  <si>
    <t>SB1 B05</t>
  </si>
  <si>
    <t>( ALL ) OB REMOVAL PIT +VOID</t>
  </si>
  <si>
    <t>ROM 5</t>
  </si>
  <si>
    <t>FC Coal</t>
  </si>
  <si>
    <t>ROM 6</t>
  </si>
  <si>
    <t>IBM</t>
  </si>
  <si>
    <t>SB2 B24</t>
  </si>
  <si>
    <t>COAL WINNING PIT</t>
  </si>
  <si>
    <t>COAL WINNING VOID</t>
  </si>
  <si>
    <t>TCM.HCV.LS</t>
  </si>
  <si>
    <t>TCM.HCV.HS</t>
  </si>
  <si>
    <t>TCM.HCV.MS</t>
  </si>
  <si>
    <t xml:space="preserve"> </t>
  </si>
  <si>
    <t>PORT STOCK YARD</t>
  </si>
  <si>
    <t>SB1</t>
  </si>
  <si>
    <t xml:space="preserve">Available </t>
  </si>
  <si>
    <t>SNS</t>
  </si>
  <si>
    <t xml:space="preserve"> TIS</t>
  </si>
  <si>
    <t>( ALL ) Coal Wining PIT +VOID</t>
  </si>
  <si>
    <t>ROM TEMP</t>
  </si>
  <si>
    <t>TON</t>
  </si>
  <si>
    <t>BARGE</t>
  </si>
  <si>
    <t>Washing TCM</t>
  </si>
  <si>
    <t>WASH</t>
  </si>
  <si>
    <t xml:space="preserve">WP  (Raw )Balance </t>
  </si>
  <si>
    <t>WSY  Clean Balance stock</t>
  </si>
  <si>
    <t>WATER LEVEL</t>
  </si>
  <si>
    <t>DAILY</t>
  </si>
  <si>
    <t>ACTUAL</t>
  </si>
  <si>
    <t>SR VOID</t>
  </si>
  <si>
    <t>SR PIT</t>
  </si>
  <si>
    <t>ALL SR PIT + OB</t>
  </si>
  <si>
    <t>Date</t>
  </si>
  <si>
    <t>OUTLOOK CARY OVER</t>
  </si>
  <si>
    <t>OUTLOOK AVARAGE</t>
  </si>
  <si>
    <t>OUTLOOK PLAN</t>
  </si>
  <si>
    <t>DATE</t>
  </si>
  <si>
    <t>PIT Production</t>
  </si>
  <si>
    <t>Coal Winning</t>
  </si>
  <si>
    <t>ROM Transfer</t>
  </si>
  <si>
    <t>FC Production</t>
  </si>
  <si>
    <t>Coal Loading (Barging)</t>
  </si>
  <si>
    <t>Stock Balance</t>
  </si>
  <si>
    <t>Washing Plant</t>
  </si>
  <si>
    <t>summary</t>
  </si>
  <si>
    <t>details per contractor</t>
  </si>
  <si>
    <t>details per pit</t>
  </si>
  <si>
    <t>details of outpit per contractor</t>
  </si>
  <si>
    <t>details per destination per rom</t>
  </si>
  <si>
    <t>details per source-destination per ROM</t>
  </si>
  <si>
    <t>details per ROM per source location</t>
  </si>
  <si>
    <t>details of blending portion per product per ROM</t>
  </si>
  <si>
    <t>details of quality per product</t>
  </si>
  <si>
    <t>details per final product and blending on barge</t>
  </si>
  <si>
    <t>details per location per material type</t>
  </si>
  <si>
    <t>Blending Match</t>
  </si>
  <si>
    <t>Source Availability</t>
  </si>
  <si>
    <t>LS</t>
  </si>
  <si>
    <t>HS</t>
  </si>
  <si>
    <t>ROM</t>
  </si>
  <si>
    <t>SR</t>
  </si>
  <si>
    <t>RS SB1</t>
  </si>
  <si>
    <t>RS SB2</t>
  </si>
  <si>
    <t>TRUST</t>
  </si>
  <si>
    <t>PAMA P4500 B01 SB1</t>
  </si>
  <si>
    <t>PAMA P3000 B10 SB1</t>
  </si>
  <si>
    <t>PAMA P3000 B14 SB2</t>
  </si>
  <si>
    <t>PAMA P3800 B30 SB2</t>
  </si>
  <si>
    <t>PAMA P4000 B34 SB2</t>
  </si>
  <si>
    <t>PAMA P3000 B30 SB2</t>
  </si>
  <si>
    <t>TRUST P3000 B03 SB1</t>
  </si>
  <si>
    <t>TRUST P4000 B30 SB2</t>
  </si>
  <si>
    <t>RML P4200 B16 SB1</t>
  </si>
  <si>
    <t>RML P4200 B14 SB1</t>
  </si>
  <si>
    <t>MAP P6200 B03 SB1</t>
  </si>
  <si>
    <t>MAP P4200 B16 SB1</t>
  </si>
  <si>
    <t>MAP P3000 B04E</t>
  </si>
  <si>
    <t>PJPN P3000 B01A NB</t>
  </si>
  <si>
    <t>Notes</t>
  </si>
  <si>
    <t>ROM 1</t>
  </si>
  <si>
    <t>ROM 2</t>
  </si>
  <si>
    <t>ROM 3</t>
  </si>
  <si>
    <t>ROM 4</t>
  </si>
  <si>
    <t>PIT - ROM SB1 B05</t>
  </si>
  <si>
    <t>SUB TOTAL</t>
  </si>
  <si>
    <t>PIT - ROM SB2 B24</t>
  </si>
  <si>
    <t>PIT - ROM NB B24 (Void Project)</t>
  </si>
  <si>
    <t>PIT - ROM SB2 B14 (BAS's feeder)</t>
  </si>
  <si>
    <t>SB2 B30 - SB2 B24</t>
  </si>
  <si>
    <t>SB2 B30 - SB1 B05</t>
  </si>
  <si>
    <t>SB2 B14 - SB1 B05</t>
  </si>
  <si>
    <t>ROM SB2 B30 (PAMA's feeder) - ROM SB2 B24</t>
  </si>
  <si>
    <t>ROM SB2 B30 (PAMA's feeder) - ROM SB1 B05</t>
  </si>
  <si>
    <t>ROM SB2 B14 (BAS's feeder) - ROM SB1 B05</t>
  </si>
  <si>
    <t>source location</t>
  </si>
  <si>
    <t>Truck</t>
  </si>
  <si>
    <t>Trip</t>
  </si>
  <si>
    <t>RTL</t>
  </si>
  <si>
    <t>RP</t>
  </si>
  <si>
    <t>YFD</t>
  </si>
  <si>
    <t>HCV-LS</t>
  </si>
  <si>
    <t>HCV-HS</t>
  </si>
  <si>
    <t>HCV-MS (SMI)</t>
  </si>
  <si>
    <t>volume</t>
  </si>
  <si>
    <t>status</t>
  </si>
  <si>
    <t>Water Level</t>
  </si>
  <si>
    <t>TCM HCV-LS</t>
  </si>
  <si>
    <t>TCM HCV-HS</t>
  </si>
  <si>
    <t>TCM HCV-MS (SMI)</t>
  </si>
  <si>
    <t>BEK MCV-LS</t>
  </si>
  <si>
    <t>BEK MCV-HS</t>
  </si>
  <si>
    <t>FC</t>
  </si>
  <si>
    <t>WC</t>
  </si>
  <si>
    <t>HAC CR1</t>
  </si>
  <si>
    <t>PSY</t>
  </si>
  <si>
    <t>SB2 B30 (PAMA's feeder)</t>
  </si>
  <si>
    <t>SB2 TEMP</t>
  </si>
  <si>
    <t>HAC -   WP</t>
  </si>
  <si>
    <t>WP - WSY</t>
  </si>
  <si>
    <t>WSY - CR3</t>
  </si>
  <si>
    <t>WSY Balance</t>
  </si>
  <si>
    <t>PIT -    HAC</t>
  </si>
  <si>
    <t>HAC - CR1</t>
  </si>
  <si>
    <t>HAC - CR3</t>
  </si>
  <si>
    <t>HAC Balance</t>
  </si>
  <si>
    <t>assump.</t>
  </si>
  <si>
    <t>mm</t>
  </si>
  <si>
    <t>hours</t>
  </si>
  <si>
    <t>Shift A/B</t>
  </si>
  <si>
    <t>IM</t>
  </si>
  <si>
    <t>TM</t>
  </si>
  <si>
    <t>Completed</t>
  </si>
  <si>
    <t>On Process of Loading</t>
  </si>
  <si>
    <t>Queuing</t>
  </si>
  <si>
    <t>On the way</t>
  </si>
  <si>
    <t>MCV-LS</t>
  </si>
  <si>
    <t>MCV-HS</t>
  </si>
  <si>
    <t>%LS</t>
  </si>
  <si>
    <t>%HS</t>
  </si>
  <si>
    <t>mtd</t>
  </si>
  <si>
    <t>survey</t>
  </si>
  <si>
    <t>%</t>
  </si>
  <si>
    <t>,</t>
  </si>
  <si>
    <t>Top Soil Rehandling</t>
  </si>
  <si>
    <t>Summary</t>
  </si>
  <si>
    <t>RS NB</t>
  </si>
  <si>
    <t>PJPN (void)</t>
  </si>
  <si>
    <t>RML (Void)</t>
  </si>
  <si>
    <t>PAMA P3000 BK11 SB1</t>
  </si>
  <si>
    <t>PAMA P3000 BK10 SB1</t>
  </si>
  <si>
    <t>PAMA P3000 BK14 SB1</t>
  </si>
  <si>
    <t>PAMA P3000 BK20 SB2</t>
  </si>
  <si>
    <t>PAMA P4000 BK34 SB2</t>
  </si>
  <si>
    <t>PAMA P3000 BK30 SB2</t>
  </si>
  <si>
    <t>MAP P4900 BK23 SB2</t>
  </si>
  <si>
    <t>CHANNEL MAP P3000 BK30 SB2</t>
  </si>
  <si>
    <t>MAP P4400 BK26 SB2</t>
  </si>
  <si>
    <t>PJPN P4000 BK34 SB2</t>
  </si>
  <si>
    <t>PJPN CUT BK16 NB</t>
  </si>
  <si>
    <t xml:space="preserve">PJPN P3000 BK12 NB </t>
  </si>
  <si>
    <t>MAP P4900 BK26 SB2</t>
  </si>
  <si>
    <t>PJPN P3000 BK10 SB1</t>
  </si>
  <si>
    <t xml:space="preserve">PJPN P9300 BK04 NB </t>
  </si>
  <si>
    <t>ROM 1 (SMI)</t>
  </si>
  <si>
    <t>ROM 2 (SMI)</t>
  </si>
  <si>
    <t>ROM 3 (SMI)</t>
  </si>
  <si>
    <t>ROM 4 (SMI)</t>
  </si>
  <si>
    <t>ROM 5 (SMI)</t>
  </si>
  <si>
    <t>ROM 6 (SMI)</t>
  </si>
  <si>
    <t>PIT - ROM SB1 BK05</t>
  </si>
  <si>
    <t>PIT - ROM SB2 BK24</t>
  </si>
  <si>
    <t>PIT - ROM NB</t>
  </si>
  <si>
    <t>SB2 B30 - SB2 BK24</t>
  </si>
  <si>
    <t>SB2 B30 - SB1 BK05</t>
  </si>
  <si>
    <t>SB2 B14 - SB1 BK05</t>
  </si>
  <si>
    <t>ROM SB2 BK73 - ROM SB2 BK24</t>
  </si>
  <si>
    <t>RT</t>
  </si>
  <si>
    <t>MPE</t>
  </si>
  <si>
    <t>SB1 BK05</t>
  </si>
  <si>
    <t>SB2 BK24</t>
  </si>
  <si>
    <t>LCV.MS.HA</t>
  </si>
  <si>
    <t>BEKHCV-MS</t>
  </si>
  <si>
    <t xml:space="preserve">HAC </t>
  </si>
  <si>
    <t>SB2 BK30 (PAMA's feeder)</t>
  </si>
  <si>
    <t>SB2 TEMP BK33</t>
  </si>
  <si>
    <t>HAC Feed</t>
  </si>
  <si>
    <t>Product             Coal</t>
  </si>
  <si>
    <t>WSY  Clean Balance</t>
  </si>
  <si>
    <t>Hac Stock SB1 - ROM 2 HAC SB1 BK05</t>
  </si>
  <si>
    <t>PIT -HAC Stock</t>
  </si>
  <si>
    <t>PSY-HAC CR3 LS</t>
  </si>
  <si>
    <t>PSY-HAC CR3 HS</t>
  </si>
  <si>
    <t>HAC - CR3 SB1-SB2-NB</t>
  </si>
  <si>
    <t>HAC-SB2</t>
  </si>
  <si>
    <t>PSY BY DRONE</t>
  </si>
  <si>
    <t>Temporary</t>
  </si>
  <si>
    <t>ROM 1 (PJPN)</t>
  </si>
  <si>
    <t>ROM 1 (RML)</t>
  </si>
  <si>
    <t>ROM 2 (PJPN)</t>
  </si>
  <si>
    <t>ROM 2 (RML)</t>
  </si>
  <si>
    <t>ROM 3 (PJPN)</t>
  </si>
  <si>
    <t>ROM 3 (RML)</t>
  </si>
  <si>
    <t>ROM 4 (PJPN)</t>
  </si>
  <si>
    <t>ROM 4 (RML)</t>
  </si>
  <si>
    <t>ROM 5 (PJPN)</t>
  </si>
  <si>
    <t>ROM 5 (RML)</t>
  </si>
  <si>
    <t>ROM 6 (PJPN)</t>
  </si>
  <si>
    <t>ROM 6 (RML)</t>
  </si>
  <si>
    <t xml:space="preserve">ROM 1 </t>
  </si>
  <si>
    <t>NB/WC</t>
  </si>
  <si>
    <t>Shift 1/2</t>
  </si>
  <si>
    <t xml:space="preserve">HAC (ADG) </t>
  </si>
  <si>
    <t>HCV-SMI</t>
  </si>
  <si>
    <t>MCV-MS</t>
  </si>
  <si>
    <t xml:space="preserve">   ROM 5 STICKY COAL</t>
  </si>
  <si>
    <t>PIT SB1 (ROM 2 HAC SB1 BK05)</t>
  </si>
  <si>
    <t>PIT SB2 ROM 2 HAC SB2 BK24</t>
  </si>
  <si>
    <t>Total</t>
  </si>
  <si>
    <t>COAL WINNING</t>
  </si>
  <si>
    <t>COAL HAULING</t>
  </si>
  <si>
    <t xml:space="preserve">EVALUASI SELISIH </t>
  </si>
  <si>
    <t>WASHING</t>
  </si>
  <si>
    <t>SB1HAC</t>
  </si>
  <si>
    <t>SB2HAC</t>
  </si>
  <si>
    <t>TICKET SB1</t>
  </si>
  <si>
    <t>TICKET SB2</t>
  </si>
  <si>
    <t>TICKET</t>
  </si>
  <si>
    <t xml:space="preserve">COAL WINNING </t>
  </si>
  <si>
    <t>PM Crusher</t>
  </si>
  <si>
    <t/>
  </si>
  <si>
    <t>Survey stock and PM</t>
  </si>
  <si>
    <t>2606010039</t>
  </si>
  <si>
    <t>2606010107</t>
  </si>
  <si>
    <t>2606020133</t>
  </si>
  <si>
    <t>2606020331</t>
  </si>
  <si>
    <t>2606030238</t>
  </si>
  <si>
    <t>2606030767</t>
  </si>
  <si>
    <t>2606040433</t>
  </si>
  <si>
    <t>2606041446</t>
  </si>
  <si>
    <t>2606041494</t>
  </si>
  <si>
    <t>Trial capstan winch  Waiting royalty</t>
  </si>
  <si>
    <t>2606050594</t>
  </si>
  <si>
    <t>2606062122</t>
  </si>
  <si>
    <t>'2606062122</t>
  </si>
  <si>
    <t>2606060706</t>
  </si>
  <si>
    <t>2606070872</t>
  </si>
  <si>
    <t>2606081078</t>
  </si>
  <si>
    <t>2606083282</t>
  </si>
  <si>
    <t>2606091174</t>
  </si>
  <si>
    <t>2606093764</t>
  </si>
  <si>
    <t>2606093782</t>
  </si>
  <si>
    <t>2606101409</t>
  </si>
  <si>
    <t>2606104132</t>
  </si>
  <si>
    <t>2606104173</t>
  </si>
  <si>
    <t>Waiting sechudule load TIS</t>
  </si>
  <si>
    <t>2606111593</t>
  </si>
  <si>
    <t>2606114792</t>
  </si>
  <si>
    <t>2606121785</t>
  </si>
  <si>
    <t>2606135384</t>
  </si>
  <si>
    <t>2606131948</t>
  </si>
  <si>
    <t>2606135499</t>
  </si>
  <si>
    <t>2606142128</t>
  </si>
  <si>
    <t>2606146015</t>
  </si>
  <si>
    <t>2606152337</t>
  </si>
  <si>
    <t>2606156567</t>
  </si>
  <si>
    <t>2606162513</t>
  </si>
  <si>
    <t>2606167044</t>
  </si>
  <si>
    <t>Waiting Cargo</t>
  </si>
  <si>
    <t>2606172609</t>
  </si>
  <si>
    <t>2606177467</t>
  </si>
  <si>
    <t>2606177582</t>
  </si>
  <si>
    <t>Waiting royalty paid</t>
  </si>
  <si>
    <t>2606182674</t>
  </si>
  <si>
    <t>2606187905</t>
  </si>
  <si>
    <t>2606188187</t>
  </si>
  <si>
    <t>Waiting Cargo, Waiting Royalti</t>
  </si>
  <si>
    <t>2606198349</t>
  </si>
  <si>
    <t>2606198498</t>
  </si>
  <si>
    <t>2606202899</t>
  </si>
  <si>
    <t>2606208676</t>
  </si>
  <si>
    <t>2606213026</t>
  </si>
  <si>
    <t>2606219139</t>
  </si>
  <si>
    <t>2606219398</t>
  </si>
  <si>
    <t xml:space="preserve">Waiting the next shipment schedule </t>
  </si>
  <si>
    <t>2606223127</t>
  </si>
  <si>
    <t>2606229461</t>
  </si>
  <si>
    <t>PM System Load</t>
  </si>
  <si>
    <t>2606233250</t>
  </si>
  <si>
    <t>2606239774</t>
  </si>
  <si>
    <t>2606243408</t>
  </si>
  <si>
    <t>26062410226</t>
  </si>
  <si>
    <t>2606253559</t>
  </si>
  <si>
    <t>26062510709</t>
  </si>
  <si>
    <t>26062510973</t>
  </si>
  <si>
    <t>2606263817</t>
  </si>
  <si>
    <t>26062611216</t>
  </si>
  <si>
    <t>26062611538</t>
  </si>
  <si>
    <t>2606274071</t>
  </si>
  <si>
    <t>26062711687</t>
  </si>
  <si>
    <t>26062711958</t>
  </si>
  <si>
    <t>2606284269</t>
  </si>
  <si>
    <t>26062812153</t>
  </si>
  <si>
    <t>2606294511</t>
  </si>
  <si>
    <t>26062912514</t>
  </si>
  <si>
    <t>26062912792</t>
  </si>
  <si>
    <t>2606304632</t>
  </si>
  <si>
    <t>2607010006</t>
  </si>
  <si>
    <t>2607010007</t>
  </si>
  <si>
    <t>OB OUTPIT</t>
  </si>
  <si>
    <t>Coal Hauling</t>
  </si>
  <si>
    <t>STOCK BALANCE</t>
  </si>
  <si>
    <t>TEMPORAR ROM  -ROM SB1 BK05</t>
  </si>
  <si>
    <t>Detail Quality per product</t>
  </si>
  <si>
    <t>Coal wining</t>
  </si>
  <si>
    <t>PIT- TEMPORARY ROM 5</t>
  </si>
  <si>
    <t>PIT- TEMPORARY ROM 6</t>
  </si>
  <si>
    <t>TEMPORARY STOCK ROM 5</t>
  </si>
  <si>
    <t>TEMPORARY STOCK ROM 6</t>
  </si>
  <si>
    <t>TEMPORAR ROM  6- ROM SB1 BK05</t>
  </si>
  <si>
    <t>Seam 3000</t>
  </si>
  <si>
    <t>Seam 3100</t>
  </si>
  <si>
    <t>Seam 2800</t>
  </si>
  <si>
    <t>Trial capstan winch</t>
  </si>
  <si>
    <t>OB Budget</t>
  </si>
  <si>
    <t>OB Outlook</t>
  </si>
  <si>
    <t>Coal Budget</t>
  </si>
  <si>
    <t>Coal Outlook</t>
  </si>
  <si>
    <t>TO DATE SUMARY</t>
  </si>
  <si>
    <t>REMARK</t>
  </si>
  <si>
    <t>Final Leter</t>
  </si>
  <si>
    <t>Coal winning PAMA stop units Subcont SNUJ problem waiting approval permit IUJP</t>
  </si>
  <si>
    <t>6 unit Exavator  breakdown</t>
  </si>
  <si>
    <t>Remaks</t>
  </si>
  <si>
    <t>Truckscale SB1</t>
  </si>
  <si>
    <t>📊  TCM Production KPI Dashboard</t>
  </si>
  <si>
    <t>Mining Production</t>
  </si>
  <si>
    <t>🪨</t>
  </si>
  <si>
    <t>Coal Mining</t>
  </si>
  <si>
    <t>⛰️</t>
  </si>
  <si>
    <t>Overburden</t>
  </si>
  <si>
    <t>🏔️</t>
  </si>
  <si>
    <t>OB Out Pit</t>
  </si>
  <si>
    <t>ROM Production</t>
  </si>
  <si>
    <t>OB Production</t>
  </si>
  <si>
    <t>Outpit Production</t>
  </si>
  <si>
    <t>Ton</t>
  </si>
  <si>
    <t>DAILY PRODUCTION</t>
  </si>
  <si>
    <t>MONTH TO DATE</t>
  </si>
  <si>
    <t>Progress</t>
  </si>
  <si>
    <t>Contractor Details</t>
  </si>
  <si>
    <t>CONTRACTOR</t>
  </si>
  <si>
    <t>DAILY
(Ton)</t>
  </si>
  <si>
    <t>MTD
(Ton)</t>
  </si>
  <si>
    <t>(%)</t>
  </si>
  <si>
    <t>DAILY
(BCM)</t>
  </si>
  <si>
    <t>MTD
(BCM)</t>
  </si>
  <si>
    <t>FC Production &amp; Hauling</t>
  </si>
  <si>
    <t>🏭</t>
  </si>
  <si>
    <t>🚛</t>
  </si>
  <si>
    <t>FC Hauling</t>
  </si>
  <si>
    <t>⛵</t>
  </si>
  <si>
    <t>Coal Loading</t>
  </si>
  <si>
    <t>Coal Production</t>
  </si>
  <si>
    <t>Hauling Production</t>
  </si>
  <si>
    <t>Barge Loading</t>
  </si>
  <si>
    <t>HCV.LS</t>
  </si>
  <si>
    <t>HCV.HS</t>
  </si>
  <si>
    <t>RUNA</t>
  </si>
  <si>
    <t>Ratios, Stocks &amp; Inventory</t>
  </si>
  <si>
    <t>📐</t>
  </si>
  <si>
    <t>Strip Ratio</t>
  </si>
  <si>
    <t>📦</t>
  </si>
  <si>
    <t>Balance Stock</t>
  </si>
  <si>
    <t>🏪</t>
  </si>
  <si>
    <t>FC Stock PSY</t>
  </si>
  <si>
    <t>SR &amp; Pit Inventory</t>
  </si>
  <si>
    <t>ROM Stock Position</t>
  </si>
  <si>
    <t>Bunyut Port Stock</t>
  </si>
  <si>
    <t>x</t>
  </si>
  <si>
    <t>SR ROM (MTD)</t>
  </si>
  <si>
    <t>ROM STOCK</t>
  </si>
  <si>
    <t>TOTAL FC STOCK</t>
  </si>
  <si>
    <t>SR FC (MTD)</t>
  </si>
  <si>
    <t>BREAKDOWN BY AREA</t>
  </si>
  <si>
    <t>WASHING &amp; PRODUCT</t>
  </si>
  <si>
    <t>vs Plan</t>
  </si>
  <si>
    <t>Days Supply</t>
  </si>
  <si>
    <t>Product Coal</t>
  </si>
  <si>
    <t>n/a</t>
  </si>
  <si>
    <t>SR &amp; Inventory</t>
  </si>
  <si>
    <t>Stock by Area</t>
  </si>
  <si>
    <t>Stock Breakdown</t>
  </si>
  <si>
    <t>METRIC</t>
  </si>
  <si>
    <t>AREA</t>
  </si>
  <si>
    <t>LS (Ton)</t>
  </si>
  <si>
    <t>HS (Ton)</t>
  </si>
  <si>
    <t>RTH (Ton)</t>
  </si>
  <si>
    <t>RTH HS
(Ton)</t>
  </si>
  <si>
    <t>TYPE</t>
  </si>
  <si>
    <t>STOCK (Ton)</t>
  </si>
  <si>
    <t>SR ROM</t>
  </si>
  <si>
    <t>SR FC</t>
  </si>
  <si>
    <t>Pit Inv</t>
  </si>
  <si>
    <t>LCV.MS</t>
  </si>
  <si>
    <t>NB STICKY COAL</t>
  </si>
  <si>
    <t>–</t>
  </si>
  <si>
    <t>Washing</t>
  </si>
  <si>
    <t>ROM Ready To Haul</t>
  </si>
  <si>
    <t>Rainfall &amp; Operational Highlights</t>
  </si>
  <si>
    <t>🌧️</t>
  </si>
  <si>
    <t>Rainfall</t>
  </si>
  <si>
    <t>⚠️</t>
  </si>
  <si>
    <t>Pit Highlight</t>
  </si>
  <si>
    <t>🚨</t>
  </si>
  <si>
    <t>Hauling Highlight</t>
  </si>
  <si>
    <t>Rain &amp; Slippery</t>
  </si>
  <si>
    <t>Operational Issues</t>
  </si>
  <si>
    <t>Hauling Operational Issues</t>
  </si>
  <si>
    <t>mm / hours / %</t>
  </si>
  <si>
    <t>Issues</t>
  </si>
  <si>
    <t>ALL AREA MTD</t>
  </si>
  <si>
    <t>ACTIVE PIT ISSUES</t>
  </si>
  <si>
    <t>ACTIVE HAULING ISSUES</t>
  </si>
  <si>
    <t>DAILY  →  MTD</t>
  </si>
  <si>
    <t>PROBLEM DESCRIPTION PER CONTRACTOR</t>
  </si>
  <si>
    <t>PROBLEM DESCRIPTION</t>
  </si>
  <si>
    <t>Area Breakdown (Daily → MTD)</t>
  </si>
  <si>
    <t>Pit Issues</t>
  </si>
  <si>
    <t>Hauling Issues</t>
  </si>
  <si>
    <t>PROBLEM / HIGHLIGHT</t>
  </si>
  <si>
    <t>#</t>
  </si>
  <si>
    <t>PJNP</t>
  </si>
  <si>
    <t>All Area</t>
  </si>
  <si>
    <t>Water Level Bunyut Today</t>
  </si>
  <si>
    <t>📋  TCM Monthly Report  |  All values auto-updated from TCM. sheet  |  Values in Ton or BCM as labeled  |  © TCM Production Team</t>
  </si>
  <si>
    <t>📈 Trend Data Source (D1–D9)  |  Sparkline source for dashboard KPI cards  |  Update B:J columns daily</t>
  </si>
  <si>
    <t>SPARKLINE DATA (Auto)</t>
  </si>
  <si>
    <t>D1</t>
  </si>
  <si>
    <t>D2</t>
  </si>
  <si>
    <t>D3</t>
  </si>
  <si>
    <t>D4</t>
  </si>
  <si>
    <t>D5</t>
  </si>
  <si>
    <t>D6</t>
  </si>
  <si>
    <t>D7</t>
  </si>
  <si>
    <t>D8</t>
  </si>
  <si>
    <t>D9</t>
  </si>
  <si>
    <t>Coal Winning (T)</t>
  </si>
  <si>
    <t>OB Total (BCM)</t>
  </si>
  <si>
    <t>OB Outpit (BCM)</t>
  </si>
  <si>
    <t>FC Production (T)</t>
  </si>
  <si>
    <t>PROGRESS BAR REFERENCE (auto-calculated from TCM. formulas)</t>
  </si>
  <si>
    <t>Card</t>
  </si>
  <si>
    <t>Live %</t>
  </si>
  <si>
    <t>Bar Cell</t>
  </si>
  <si>
    <t>Source Formula</t>
  </si>
  <si>
    <t>B16</t>
  </si>
  <si>
    <t>J16</t>
  </si>
  <si>
    <t>U16</t>
  </si>
  <si>
    <t>B44</t>
  </si>
  <si>
    <t>J44</t>
  </si>
  <si>
    <t>U44</t>
  </si>
  <si>
    <t>B72</t>
  </si>
  <si>
    <t>J72</t>
  </si>
  <si>
    <t>NOTE: Bars are Excel data bars (scale 0–100%) bound to the Live % cell, with the % label shown inside the bar. They update automatically — no refresh script needed. FC Stock PSY shows 'n/a' because X69 has no numeric % source.</t>
  </si>
  <si>
    <t>📊  TIS Production KPI Dashboard</t>
  </si>
  <si>
    <t>As of:</t>
  </si>
  <si>
    <t>⛏️  Mining Production</t>
  </si>
  <si>
    <t>Grade Breakdown</t>
  </si>
  <si>
    <t>GRADE</t>
  </si>
  <si>
    <t>🚛  Coal Hauling  &amp;  🏭  FC Production</t>
  </si>
  <si>
    <t>⚓  Barge Loading, Ratios &amp; Stock</t>
  </si>
  <si>
    <t>ROM &amp; PSY Stock</t>
  </si>
  <si>
    <t>MTD vs TARGET</t>
  </si>
  <si>
    <t>STOCK SUMMARY</t>
  </si>
  <si>
    <t>TARGET</t>
  </si>
  <si>
    <t>Temp Stock</t>
  </si>
  <si>
    <t>PSY Stock</t>
  </si>
  <si>
    <t>🌧️  Rainfall &amp; Operational Highlights</t>
  </si>
  <si>
    <t>mm/h/%</t>
  </si>
  <si>
    <t>ALL AREA (DAILY)</t>
  </si>
  <si>
    <t>AREA BREAKDOWN (DAILY → MTD)</t>
  </si>
  <si>
    <t>Area Breakdown</t>
  </si>
  <si>
    <t>All</t>
  </si>
  <si>
    <t>📋  TIS Monthly Report  |  All values auto-updated from TIS. sheet  |  Values in Ton or BCM as labeled  |  © TIS Production Team</t>
  </si>
  <si>
    <t xml:space="preserve">  </t>
  </si>
  <si>
    <t>GRAPH 1. DAILY PERFORMANCE</t>
  </si>
  <si>
    <t>GRAPH 2. MONTHLY</t>
  </si>
  <si>
    <t>GRAPH 3. QUARTERLY &amp; YTD</t>
  </si>
  <si>
    <t>% on Budget</t>
  </si>
  <si>
    <t>Budget YTM</t>
  </si>
  <si>
    <t>Outlook YTM</t>
  </si>
  <si>
    <t>% on Budget YTD</t>
  </si>
  <si>
    <t>Q1</t>
  </si>
  <si>
    <t>Q2</t>
  </si>
  <si>
    <t>Q4</t>
  </si>
  <si>
    <t>January</t>
  </si>
  <si>
    <t>February</t>
  </si>
  <si>
    <t>March</t>
  </si>
  <si>
    <t>April</t>
  </si>
  <si>
    <t>May</t>
  </si>
  <si>
    <t>June</t>
  </si>
  <si>
    <t>July</t>
  </si>
  <si>
    <t>August</t>
  </si>
  <si>
    <t>September</t>
  </si>
  <si>
    <t>October</t>
  </si>
  <si>
    <t>November</t>
  </si>
  <si>
    <t>December</t>
  </si>
  <si>
    <t>OB Removal ALL (Mining &amp; Void)</t>
  </si>
  <si>
    <t>% on Outlook</t>
  </si>
  <si>
    <t>OB PIT Removal</t>
  </si>
  <si>
    <t>Coal Wining ALL (Mining &amp; Void)</t>
  </si>
  <si>
    <t xml:space="preserve">OB PIT Removal + OB Void Removal </t>
  </si>
  <si>
    <t>OB Removal Mining</t>
  </si>
  <si>
    <t>Coal Winning PIT</t>
  </si>
  <si>
    <t>Coal Wining PIT   + Coal Wining VOID</t>
  </si>
  <si>
    <t xml:space="preserve">% </t>
  </si>
  <si>
    <t>SR  PIT   + SR VOID</t>
  </si>
  <si>
    <t xml:space="preserve">   ROM 2 </t>
  </si>
  <si>
    <t>Coal Winning Minng</t>
  </si>
  <si>
    <t xml:space="preserve">   ROM 2 ( HAC)</t>
  </si>
  <si>
    <t xml:space="preserve">   CV</t>
  </si>
  <si>
    <t xml:space="preserve">   TS</t>
  </si>
  <si>
    <t xml:space="preserve">   ASH</t>
  </si>
  <si>
    <t>TCM.LCV.MS.HA</t>
  </si>
  <si>
    <t>Barge Status</t>
  </si>
  <si>
    <t>Loading</t>
  </si>
  <si>
    <t>TCM.HAC</t>
  </si>
  <si>
    <t xml:space="preserve">QUALITY BY PREDECTION </t>
  </si>
  <si>
    <t>ROM Capacity</t>
  </si>
  <si>
    <t>CV (Ad)</t>
  </si>
  <si>
    <t>TS (Ad)</t>
  </si>
  <si>
    <t>ASH (Ad)</t>
  </si>
  <si>
    <t>IM (Ad)</t>
  </si>
  <si>
    <t>TM (Ad)</t>
  </si>
  <si>
    <t xml:space="preserve"> Sampling Actual rom Lab</t>
  </si>
  <si>
    <t>Washed Coal</t>
  </si>
  <si>
    <t xml:space="preserve">   NB</t>
  </si>
  <si>
    <t xml:space="preserve">   SB1 BK05</t>
  </si>
  <si>
    <t xml:space="preserve">   ROM 4.2</t>
  </si>
  <si>
    <t>ROM 6.1</t>
  </si>
  <si>
    <t xml:space="preserve">   SB2 BK24</t>
  </si>
  <si>
    <t xml:space="preserve">   TEMPORARY SB2 BK33</t>
  </si>
  <si>
    <t>Void</t>
  </si>
  <si>
    <t>WP  (Raw )Balance</t>
  </si>
  <si>
    <t>MTD % Blending</t>
  </si>
  <si>
    <t>Overall Matching</t>
  </si>
  <si>
    <t>Plan</t>
  </si>
  <si>
    <t>Coal</t>
  </si>
  <si>
    <t>S</t>
  </si>
  <si>
    <t>Void Management</t>
  </si>
  <si>
    <t>Budget YTD</t>
  </si>
  <si>
    <t>OB Removal Void</t>
  </si>
  <si>
    <t>Coal Winning Void</t>
  </si>
  <si>
    <t>Rainfall (Budget)</t>
  </si>
  <si>
    <t xml:space="preserve">  mm</t>
  </si>
  <si>
    <t xml:space="preserve">  hours</t>
  </si>
  <si>
    <t xml:space="preserve">  %</t>
  </si>
  <si>
    <t>(actual)</t>
  </si>
  <si>
    <t>SB1, %</t>
  </si>
  <si>
    <t>SB2, %</t>
  </si>
  <si>
    <t>NB,%</t>
  </si>
  <si>
    <t>Production Comment:</t>
  </si>
  <si>
    <t>SB1, h</t>
  </si>
  <si>
    <t xml:space="preserve">- PIT Production : </t>
  </si>
  <si>
    <t>SB2, h</t>
  </si>
  <si>
    <t xml:space="preserve">- Hauling : </t>
  </si>
  <si>
    <t>NB, h</t>
  </si>
  <si>
    <t xml:space="preserve">-Barging: </t>
  </si>
  <si>
    <t>SB1, mm</t>
  </si>
  <si>
    <t>SB2, mm</t>
  </si>
  <si>
    <t>NB, mm</t>
  </si>
  <si>
    <t>OB outpit</t>
  </si>
  <si>
    <t>Ash</t>
  </si>
  <si>
    <t>% Bud</t>
  </si>
  <si>
    <t>%Out</t>
  </si>
  <si>
    <t>dBud</t>
  </si>
  <si>
    <t>dOut</t>
  </si>
  <si>
    <t>Crushing</t>
  </si>
  <si>
    <t>Barging</t>
  </si>
  <si>
    <t>Rain SB1</t>
  </si>
  <si>
    <t>Rain SB2</t>
  </si>
  <si>
    <t xml:space="preserve">OB Removal </t>
  </si>
  <si>
    <t>Coal Wining PIT TO ROM SB1</t>
  </si>
  <si>
    <t>PJPN to ROM SB1</t>
  </si>
  <si>
    <t>Temporary ROM</t>
  </si>
  <si>
    <t>TIS.HCV.LS</t>
  </si>
  <si>
    <t>TIS HCV-HS</t>
  </si>
  <si>
    <t>TIS.HCV.MS</t>
  </si>
  <si>
    <t>TIS HCV-LS</t>
  </si>
  <si>
    <t>TIS.HCV.HS</t>
  </si>
  <si>
    <t>Coal Wining Temporarary</t>
  </si>
  <si>
    <t xml:space="preserve"> Sampling from Lab</t>
  </si>
  <si>
    <t>TEMPORARY ROM</t>
  </si>
  <si>
    <t>ROM SB2 BK33 TEMP - ROM SB2 BK24</t>
  </si>
  <si>
    <t>2601010001</t>
  </si>
  <si>
    <t>2601010004</t>
  </si>
  <si>
    <t>2601020034</t>
  </si>
  <si>
    <t>2601020149</t>
  </si>
  <si>
    <t>2601030183</t>
  </si>
  <si>
    <t>2601030571</t>
  </si>
  <si>
    <t>2601030683</t>
  </si>
  <si>
    <t>2601040220</t>
  </si>
  <si>
    <t>2601041119</t>
  </si>
  <si>
    <t>2601041191</t>
  </si>
  <si>
    <t>2601050413</t>
  </si>
  <si>
    <t>2601051644</t>
  </si>
  <si>
    <t>PM SYSTEM LOADING 1 SHIFT</t>
  </si>
  <si>
    <t>2601060556</t>
  </si>
  <si>
    <t>2601062154</t>
  </si>
  <si>
    <t>2601062331</t>
  </si>
  <si>
    <t>PM SYSTEM LOADING</t>
  </si>
  <si>
    <t>2601070652</t>
  </si>
  <si>
    <t>2601072634</t>
  </si>
  <si>
    <t>Waiting Barge</t>
  </si>
  <si>
    <t>2601080740</t>
  </si>
  <si>
    <t>2601083132</t>
  </si>
  <si>
    <t>2601090851</t>
  </si>
  <si>
    <t>2601093522</t>
  </si>
  <si>
    <t>2601093665</t>
  </si>
  <si>
    <t>2601100977</t>
  </si>
  <si>
    <t>2601103956</t>
  </si>
  <si>
    <t>2601111052</t>
  </si>
  <si>
    <t>2601114419</t>
  </si>
  <si>
    <t>2601121144</t>
  </si>
  <si>
    <t>2601124859</t>
  </si>
  <si>
    <t>2601131231</t>
  </si>
  <si>
    <t>2601135337</t>
  </si>
  <si>
    <t>unit RUNA breakdown depan hopper</t>
  </si>
  <si>
    <t>2601141295</t>
  </si>
  <si>
    <t>2601145727</t>
  </si>
  <si>
    <t>2601151380</t>
  </si>
  <si>
    <t>2601156056</t>
  </si>
  <si>
    <t>2601161416</t>
  </si>
  <si>
    <t>2601166492</t>
  </si>
  <si>
    <t>2601171521</t>
  </si>
  <si>
    <t>2601177050</t>
  </si>
  <si>
    <t>2601181635</t>
  </si>
  <si>
    <t>2601187579</t>
  </si>
  <si>
    <t>2601191680</t>
  </si>
  <si>
    <t>2601198095</t>
  </si>
  <si>
    <t>2601198130</t>
  </si>
  <si>
    <t>2601201744</t>
  </si>
  <si>
    <t>2601208632</t>
  </si>
  <si>
    <t>2601208655</t>
  </si>
  <si>
    <t>2601211861</t>
  </si>
  <si>
    <t>2601219062</t>
  </si>
  <si>
    <t>2601221976</t>
  </si>
  <si>
    <t>2601229408</t>
  </si>
  <si>
    <t>2601232131</t>
  </si>
  <si>
    <t>2601239924</t>
  </si>
  <si>
    <t>2601242250</t>
  </si>
  <si>
    <t>26012410453</t>
  </si>
  <si>
    <t>26012410563</t>
  </si>
  <si>
    <t>2601252430</t>
  </si>
  <si>
    <t>26012511005</t>
  </si>
  <si>
    <t>26012511082</t>
  </si>
  <si>
    <t>2601262551</t>
  </si>
  <si>
    <t>26012611572</t>
  </si>
  <si>
    <t>26012611584</t>
  </si>
  <si>
    <t>2601272673</t>
  </si>
  <si>
    <t>26012712091</t>
  </si>
  <si>
    <t>26012712371</t>
  </si>
  <si>
    <t>2601282839</t>
  </si>
  <si>
    <t>26012812655</t>
  </si>
  <si>
    <t>`</t>
  </si>
  <si>
    <t>2601293026</t>
  </si>
  <si>
    <t>26012913239</t>
  </si>
  <si>
    <t>2601303153</t>
  </si>
  <si>
    <t>26013013736</t>
  </si>
  <si>
    <t>2601313230</t>
  </si>
  <si>
    <t>2602010003</t>
  </si>
  <si>
    <t>26013114414</t>
  </si>
  <si>
    <t>TIS</t>
  </si>
  <si>
    <t>2602010018</t>
  </si>
  <si>
    <t>2602010103</t>
  </si>
  <si>
    <t>2602020120</t>
  </si>
  <si>
    <t>2602020351</t>
  </si>
  <si>
    <t>2602020544</t>
  </si>
  <si>
    <t>2602030229</t>
  </si>
  <si>
    <t>2602030850</t>
  </si>
  <si>
    <t>2602030898</t>
  </si>
  <si>
    <t>2602040364</t>
  </si>
  <si>
    <t>2602041370</t>
  </si>
  <si>
    <t>2602050439</t>
  </si>
  <si>
    <t>2602051898</t>
  </si>
  <si>
    <t>2602060554</t>
  </si>
  <si>
    <t>2602062398</t>
  </si>
  <si>
    <t>2602070616</t>
  </si>
  <si>
    <t>2602072932</t>
  </si>
  <si>
    <t>2602073120</t>
  </si>
  <si>
    <t>2602080751</t>
  </si>
  <si>
    <t>2602083457</t>
  </si>
  <si>
    <t>2602090852</t>
  </si>
  <si>
    <t>2602093959</t>
  </si>
  <si>
    <t>2602101020</t>
  </si>
  <si>
    <t>2602104512</t>
  </si>
  <si>
    <t>2602111088</t>
  </si>
  <si>
    <t>2602114897</t>
  </si>
  <si>
    <t>2602114895</t>
  </si>
  <si>
    <t>Breakdown takeup pully BC 5</t>
  </si>
  <si>
    <t>2602121215</t>
  </si>
  <si>
    <t>2602125365</t>
  </si>
  <si>
    <t>Clean up unit loading</t>
  </si>
  <si>
    <t>2602131334</t>
  </si>
  <si>
    <t>2602135879</t>
  </si>
  <si>
    <t>2602141378</t>
  </si>
  <si>
    <t>2602146415</t>
  </si>
  <si>
    <t>2602151505</t>
  </si>
  <si>
    <t>2602156984</t>
  </si>
  <si>
    <t>2602157002</t>
  </si>
  <si>
    <t>2602161605</t>
  </si>
  <si>
    <t>2602167543</t>
  </si>
  <si>
    <t>2602167561</t>
  </si>
  <si>
    <t>2602171730</t>
  </si>
  <si>
    <t>2602178330</t>
  </si>
  <si>
    <t>2602181832</t>
  </si>
  <si>
    <t>2602188617</t>
  </si>
  <si>
    <t>2602188714</t>
  </si>
  <si>
    <t>2602191924</t>
  </si>
  <si>
    <t>2602199144</t>
  </si>
  <si>
    <t>2602202064</t>
  </si>
  <si>
    <t>2602209618</t>
  </si>
  <si>
    <t>2602212140</t>
  </si>
  <si>
    <t>26022110047</t>
  </si>
  <si>
    <t>2602222193</t>
  </si>
  <si>
    <t>26022210470</t>
  </si>
  <si>
    <t>No Hauling, limit stock  ROM</t>
  </si>
  <si>
    <t>Limit stock ROM</t>
  </si>
  <si>
    <t>2602232288</t>
  </si>
  <si>
    <t xml:space="preserve">Waiting Vessel/Royalty payment </t>
  </si>
  <si>
    <t>2602242305</t>
  </si>
  <si>
    <t>2602252408</t>
  </si>
  <si>
    <t>26022511744</t>
  </si>
  <si>
    <t>2602262580</t>
  </si>
  <si>
    <t>26022612228</t>
  </si>
  <si>
    <t>2602272696</t>
  </si>
  <si>
    <t>26022712697</t>
  </si>
  <si>
    <t>Preventive Maintenance</t>
  </si>
  <si>
    <t>2602282793</t>
  </si>
  <si>
    <t>2603010009</t>
  </si>
  <si>
    <t>Seam 3800</t>
  </si>
  <si>
    <t>2603010001</t>
  </si>
  <si>
    <t>2603010144</t>
  </si>
  <si>
    <t>2603020122</t>
  </si>
  <si>
    <t>2603020433</t>
  </si>
  <si>
    <t>2603030334</t>
  </si>
  <si>
    <t>2603040556</t>
  </si>
  <si>
    <t>2603041523</t>
  </si>
  <si>
    <t>2603050707</t>
  </si>
  <si>
    <t>2603051917</t>
  </si>
  <si>
    <t>2603060895</t>
  </si>
  <si>
    <t>2603062444</t>
  </si>
  <si>
    <t>2603071014</t>
  </si>
  <si>
    <t>2603073013</t>
  </si>
  <si>
    <t>2603081127</t>
  </si>
  <si>
    <t>2603083583</t>
  </si>
  <si>
    <t>2603091268</t>
  </si>
  <si>
    <t>2603093992</t>
  </si>
  <si>
    <t>2603101385</t>
  </si>
  <si>
    <t>2603104577</t>
  </si>
  <si>
    <t>2603111487</t>
  </si>
  <si>
    <t>2603115101</t>
  </si>
  <si>
    <t>2603125612</t>
  </si>
  <si>
    <t>2603131772</t>
  </si>
  <si>
    <t>2603141913</t>
  </si>
  <si>
    <t>2603136106</t>
  </si>
  <si>
    <t>2603152046</t>
  </si>
  <si>
    <t>2603146654</t>
  </si>
  <si>
    <t>2603162155</t>
  </si>
  <si>
    <t>2603167792</t>
  </si>
  <si>
    <t>2603172248</t>
  </si>
  <si>
    <t>2603177987</t>
  </si>
  <si>
    <t>2603182358</t>
  </si>
  <si>
    <t>2603188453</t>
  </si>
  <si>
    <t>2603192504</t>
  </si>
  <si>
    <t>2603198954</t>
  </si>
  <si>
    <t>Eid Al Fitr 1447H</t>
  </si>
  <si>
    <t>2603202581</t>
  </si>
  <si>
    <t>2603209406</t>
  </si>
  <si>
    <t>2603229554</t>
  </si>
  <si>
    <t>2603232691</t>
  </si>
  <si>
    <t>2603239942</t>
  </si>
  <si>
    <t>2603242756</t>
  </si>
  <si>
    <t>26032410418</t>
  </si>
  <si>
    <t>2603252958</t>
  </si>
  <si>
    <t>26032510883</t>
  </si>
  <si>
    <t>2603263142</t>
  </si>
  <si>
    <t>26032611386</t>
  </si>
  <si>
    <t>2603273318</t>
  </si>
  <si>
    <t>26032711881</t>
  </si>
  <si>
    <t>2603283400</t>
  </si>
  <si>
    <t>26032812431</t>
  </si>
  <si>
    <t>2603293439</t>
  </si>
  <si>
    <t>26032912942</t>
  </si>
  <si>
    <t>2603303491</t>
  </si>
  <si>
    <t>26033013476</t>
  </si>
  <si>
    <t>Survey Coal Stock</t>
  </si>
  <si>
    <t>2603313528</t>
  </si>
  <si>
    <t>26033114075</t>
  </si>
  <si>
    <t>2602060900</t>
  </si>
  <si>
    <t>Survey Stock &amp; Waiting stock</t>
  </si>
  <si>
    <t>2604010013</t>
  </si>
  <si>
    <t>2604020390</t>
  </si>
  <si>
    <t>2604020340</t>
  </si>
  <si>
    <t>2604030083</t>
  </si>
  <si>
    <t>2604030713</t>
  </si>
  <si>
    <t>2604040122</t>
  </si>
  <si>
    <t>2604041232</t>
  </si>
  <si>
    <t>2604050183</t>
  </si>
  <si>
    <t>2604051694</t>
  </si>
  <si>
    <t>2604060289</t>
  </si>
  <si>
    <t>2604062105</t>
  </si>
  <si>
    <t>Gear box motor BC4 break down</t>
  </si>
  <si>
    <t>2604070315</t>
  </si>
  <si>
    <t>2604072677</t>
  </si>
  <si>
    <t>Gear box motor BC4 break down [ 12:00 hrs ]</t>
  </si>
  <si>
    <t>2604080423</t>
  </si>
  <si>
    <t>2604083124</t>
  </si>
  <si>
    <t>2604090501</t>
  </si>
  <si>
    <t>2604093624</t>
  </si>
  <si>
    <t>2604100584</t>
  </si>
  <si>
    <t>2604104128</t>
  </si>
  <si>
    <t>2604110697</t>
  </si>
  <si>
    <t>2604114636</t>
  </si>
  <si>
    <t>2604120792</t>
  </si>
  <si>
    <t>2604125142</t>
  </si>
  <si>
    <t>2604130819</t>
  </si>
  <si>
    <t>2604135628</t>
  </si>
  <si>
    <t>2604140851</t>
  </si>
  <si>
    <t>2604146104</t>
  </si>
  <si>
    <t>2604150955</t>
  </si>
  <si>
    <t>2604156663</t>
  </si>
  <si>
    <t>2604160998</t>
  </si>
  <si>
    <t>2604167250</t>
  </si>
  <si>
    <t>Master Loading fatugue ang faver</t>
  </si>
  <si>
    <t>2604171034</t>
  </si>
  <si>
    <t>2604177714</t>
  </si>
  <si>
    <t>Repair of belt conveyor 4</t>
  </si>
  <si>
    <t>2604181160</t>
  </si>
  <si>
    <t>2604187928</t>
  </si>
  <si>
    <t>2604191264</t>
  </si>
  <si>
    <t>2604198591</t>
  </si>
  <si>
    <t>2604201336</t>
  </si>
  <si>
    <t>2604208834</t>
  </si>
  <si>
    <t>2604211472</t>
  </si>
  <si>
    <t>2604219514</t>
  </si>
  <si>
    <t>PM sistem  loading</t>
  </si>
  <si>
    <t>2604221552</t>
  </si>
  <si>
    <t>2604229948</t>
  </si>
  <si>
    <t>2604231680</t>
  </si>
  <si>
    <t>26042310374</t>
  </si>
  <si>
    <t>Quality Issue</t>
  </si>
  <si>
    <t>2604241762</t>
  </si>
  <si>
    <t>26042410749</t>
  </si>
  <si>
    <t>2604251873</t>
  </si>
  <si>
    <t>26042511302</t>
  </si>
  <si>
    <t>2604261921</t>
  </si>
  <si>
    <t>26042611592</t>
  </si>
  <si>
    <t>2604272091</t>
  </si>
  <si>
    <t>26042712144</t>
  </si>
  <si>
    <t>2604282238</t>
  </si>
  <si>
    <t>26042812829</t>
  </si>
  <si>
    <t>2604292388</t>
  </si>
  <si>
    <t>26042913305</t>
  </si>
  <si>
    <t>2604302577</t>
  </si>
  <si>
    <t>26043013620</t>
  </si>
  <si>
    <t>2605010034</t>
  </si>
  <si>
    <t>2605010086</t>
  </si>
  <si>
    <t>2605020146</t>
  </si>
  <si>
    <t>2605020299</t>
  </si>
  <si>
    <t>2605030285</t>
  </si>
  <si>
    <t>2605030845</t>
  </si>
  <si>
    <t>PM system Loading</t>
  </si>
  <si>
    <t>2605040432</t>
  </si>
  <si>
    <t>2605041455</t>
  </si>
  <si>
    <t>2605050575</t>
  </si>
  <si>
    <t>2605052044</t>
  </si>
  <si>
    <t>2605060699</t>
  </si>
  <si>
    <t>2605062449</t>
  </si>
  <si>
    <t>Limit Stock</t>
  </si>
  <si>
    <t>2605070758</t>
  </si>
  <si>
    <t>2605080824</t>
  </si>
  <si>
    <t>2605083432</t>
  </si>
  <si>
    <t>2605083427</t>
  </si>
  <si>
    <t>2605090887</t>
  </si>
  <si>
    <t>2605093768</t>
  </si>
  <si>
    <t>2605100985</t>
  </si>
  <si>
    <t>Repair Skirt Rubber at BTN 2 &amp; BTN 3 ( 04:50 hrs )</t>
  </si>
  <si>
    <t>2605111075</t>
  </si>
  <si>
    <t>2605114747</t>
  </si>
  <si>
    <t>Waiting Royalty</t>
  </si>
  <si>
    <t>2605121219</t>
  </si>
  <si>
    <t>2605125001</t>
  </si>
  <si>
    <t>2605125017</t>
  </si>
  <si>
    <t>2605131409</t>
  </si>
  <si>
    <t>2605135388</t>
  </si>
  <si>
    <t>PM Mopper 2 shift</t>
  </si>
  <si>
    <t>2605141497</t>
  </si>
  <si>
    <t>2605151620</t>
  </si>
  <si>
    <t>2605155898</t>
  </si>
  <si>
    <t>2605161744</t>
  </si>
  <si>
    <t>2605166438</t>
  </si>
  <si>
    <t>2605171832</t>
  </si>
  <si>
    <t>2605176925</t>
  </si>
  <si>
    <t>2605177211</t>
  </si>
  <si>
    <t>2605182009</t>
  </si>
  <si>
    <t>2605187474</t>
  </si>
  <si>
    <t>2605192167</t>
  </si>
  <si>
    <t>2605197808</t>
  </si>
  <si>
    <t>2605197906</t>
  </si>
  <si>
    <t>2605212313</t>
  </si>
  <si>
    <t>2605208303</t>
  </si>
  <si>
    <t>2605208448</t>
  </si>
  <si>
    <t>2605212455</t>
  </si>
  <si>
    <t>2605218748</t>
  </si>
  <si>
    <t>2605218992</t>
  </si>
  <si>
    <t>2605229262</t>
  </si>
  <si>
    <t>2605229320</t>
  </si>
  <si>
    <t>2605232654</t>
  </si>
  <si>
    <t>2605239777</t>
  </si>
  <si>
    <t>2605236207</t>
  </si>
  <si>
    <t>2605242869</t>
  </si>
  <si>
    <t>26052410279</t>
  </si>
  <si>
    <t>2605253014</t>
  </si>
  <si>
    <t>26052510792</t>
  </si>
  <si>
    <t>26052511089</t>
  </si>
  <si>
    <t>Waiting Royalty  and Eid Al-Adha 1446H</t>
  </si>
  <si>
    <t>2605263157</t>
  </si>
  <si>
    <t>26052611254</t>
  </si>
  <si>
    <t>26052611303</t>
  </si>
  <si>
    <t xml:space="preserve">Eid Al-Adha 1446H </t>
  </si>
  <si>
    <t>2605273318</t>
  </si>
  <si>
    <t>26052711490</t>
  </si>
  <si>
    <t>26052711530</t>
  </si>
  <si>
    <t xml:space="preserve">Waiting stock bek hcvls </t>
  </si>
  <si>
    <t>2605283403</t>
  </si>
  <si>
    <t>26052811674</t>
  </si>
  <si>
    <t>26052811954</t>
  </si>
  <si>
    <t>2605293605</t>
  </si>
  <si>
    <t>26052912176</t>
  </si>
  <si>
    <t>2605303784</t>
  </si>
  <si>
    <t>26053012662</t>
  </si>
  <si>
    <t>2605313958</t>
  </si>
  <si>
    <t>15,27</t>
  </si>
  <si>
    <t>2607010040</t>
  </si>
  <si>
    <t>2607020214</t>
  </si>
  <si>
    <t>2607030387</t>
  </si>
  <si>
    <t>2607040930</t>
  </si>
  <si>
    <t>2607041449</t>
  </si>
  <si>
    <t>2607041455</t>
  </si>
  <si>
    <t>2607050647</t>
  </si>
  <si>
    <t>2607051969</t>
  </si>
  <si>
    <t>2607060834</t>
  </si>
  <si>
    <t>2607062477</t>
  </si>
  <si>
    <t>2607062528</t>
  </si>
  <si>
    <t>2607071023</t>
  </si>
  <si>
    <t>2607073021</t>
  </si>
  <si>
    <t>2607073126</t>
  </si>
  <si>
    <t>2607081205</t>
  </si>
  <si>
    <t>2607083488</t>
  </si>
  <si>
    <t>2607083512</t>
  </si>
  <si>
    <t>2607091400</t>
  </si>
  <si>
    <t>Waiting barge</t>
  </si>
  <si>
    <t>2607101661</t>
  </si>
  <si>
    <t>2607122042</t>
  </si>
  <si>
    <t>2607125544</t>
  </si>
  <si>
    <t>2607125596</t>
  </si>
  <si>
    <t>2607132252</t>
  </si>
  <si>
    <t>2607136100</t>
  </si>
  <si>
    <t>2607136142</t>
  </si>
  <si>
    <t>2607142456</t>
  </si>
  <si>
    <t>2607146688</t>
  </si>
  <si>
    <t>2607146695</t>
  </si>
  <si>
    <t>2607152656</t>
  </si>
  <si>
    <t>2607157113</t>
  </si>
  <si>
    <t>2607213763</t>
  </si>
  <si>
    <t>26072110167</t>
  </si>
  <si>
    <t>26072110183</t>
  </si>
  <si>
    <t>2607223903</t>
  </si>
  <si>
    <t>26072210754</t>
  </si>
  <si>
    <t>2607264581</t>
  </si>
  <si>
    <t>26072612846</t>
  </si>
  <si>
    <t>26072612893</t>
  </si>
  <si>
    <t>2607274761</t>
  </si>
  <si>
    <t>26072713410</t>
  </si>
  <si>
    <t>2608010030</t>
  </si>
  <si>
    <t>2608020167</t>
  </si>
  <si>
    <t>2608030395</t>
  </si>
  <si>
    <t>2608040636</t>
  </si>
  <si>
    <t>2608050800</t>
  </si>
  <si>
    <t>2608060998</t>
  </si>
  <si>
    <t>2608062178</t>
  </si>
  <si>
    <t>2608166831</t>
  </si>
  <si>
    <t xml:space="preserve">Independence Day </t>
  </si>
  <si>
    <t>2608172889</t>
  </si>
  <si>
    <t>2608177233</t>
  </si>
  <si>
    <t xml:space="preserve"> 
BL 1 Shutdown PM shift day (12:00)</t>
  </si>
  <si>
    <t>2608182992</t>
  </si>
  <si>
    <t>2608187411</t>
  </si>
  <si>
    <t>2608187414</t>
  </si>
  <si>
    <t>2608193136</t>
  </si>
  <si>
    <t>2608197917</t>
  </si>
  <si>
    <t>2608197943</t>
  </si>
  <si>
    <t xml:space="preserve"> The barge can,t get through because there,s a ship that ran aground in the pisang pisang area ( 18:00 hrs )</t>
  </si>
  <si>
    <t>2608203301</t>
  </si>
  <si>
    <t>2608208411</t>
  </si>
  <si>
    <t>2608208544</t>
  </si>
  <si>
    <t>2608213485</t>
  </si>
  <si>
    <t>2608218843</t>
  </si>
  <si>
    <t>2608218871</t>
  </si>
  <si>
    <t xml:space="preserve"> The barge can,t get through because there,s a ship that ran aground in the pisang pisang area ( 4:00 hrs )</t>
  </si>
  <si>
    <t>2608223650</t>
  </si>
  <si>
    <t>2608229351</t>
  </si>
  <si>
    <t>2608229362</t>
  </si>
  <si>
    <t>2608233836</t>
  </si>
  <si>
    <t>2608239792</t>
  </si>
  <si>
    <t>2608239832</t>
  </si>
  <si>
    <t xml:space="preserve"> 
Change carry roller (2:45 hrs) Coal dust blows towards the village (4:25 hrs)</t>
  </si>
  <si>
    <t>2608243970</t>
  </si>
  <si>
    <t>26082410287</t>
  </si>
  <si>
    <t>26082410301</t>
  </si>
  <si>
    <t>26082510808</t>
  </si>
  <si>
    <t>2608264211</t>
  </si>
  <si>
    <t>26082611204</t>
  </si>
  <si>
    <t>26082611223</t>
  </si>
  <si>
    <t>2608274349</t>
  </si>
  <si>
    <t>26082711731</t>
  </si>
  <si>
    <t>26082711721</t>
  </si>
  <si>
    <t>2608284435</t>
  </si>
  <si>
    <t>26082812135</t>
  </si>
  <si>
    <t>2608294507</t>
  </si>
  <si>
    <t>26082912624</t>
  </si>
  <si>
    <t>26082912645</t>
  </si>
  <si>
    <t>2608304586</t>
  </si>
  <si>
    <t>26083013119</t>
  </si>
  <si>
    <t>26083013151</t>
  </si>
  <si>
    <t>2608314687</t>
  </si>
  <si>
    <t>2609010002</t>
  </si>
  <si>
    <t>26083113678</t>
  </si>
  <si>
    <t>No Hauling, Switching unit to TIS</t>
  </si>
  <si>
    <t xml:space="preserve"> Shutdown bc 5 (24:oo hrs)</t>
  </si>
  <si>
    <t>2609010018</t>
  </si>
  <si>
    <t xml:space="preserve"> 
Shutdown bc 5 (24:oo hrs)</t>
  </si>
  <si>
    <t>2609020084</t>
  </si>
  <si>
    <t>2609030151</t>
  </si>
  <si>
    <t>2609060361</t>
  </si>
  <si>
    <t>2609062347</t>
  </si>
  <si>
    <t>2609062365</t>
  </si>
  <si>
    <t>TIS.HCV-LS</t>
  </si>
  <si>
    <t>HCV-MS</t>
  </si>
  <si>
    <t>Shift</t>
  </si>
  <si>
    <t>Tonnage</t>
  </si>
  <si>
    <t>Sample ID</t>
  </si>
  <si>
    <t>M</t>
  </si>
  <si>
    <t>VM</t>
  </si>
  <si>
    <t>CV (Kcal/Kg)</t>
  </si>
  <si>
    <t xml:space="preserve">Remark </t>
  </si>
  <si>
    <t>Production</t>
  </si>
  <si>
    <t>work</t>
  </si>
  <si>
    <t>MT</t>
  </si>
  <si>
    <t>%arb</t>
  </si>
  <si>
    <t>%adb</t>
  </si>
  <si>
    <t>%db</t>
  </si>
  <si>
    <t>%daf</t>
  </si>
  <si>
    <t>%ad(15)</t>
  </si>
  <si>
    <t>%ad(16)</t>
  </si>
  <si>
    <t>%ad(17)</t>
  </si>
  <si>
    <t>II</t>
  </si>
  <si>
    <t>CP.588/26</t>
  </si>
  <si>
    <t>TN5</t>
  </si>
  <si>
    <t>CP.589/26</t>
  </si>
  <si>
    <t>TN4</t>
  </si>
  <si>
    <t>RF2</t>
  </si>
  <si>
    <t>Cummulative Result</t>
  </si>
  <si>
    <t>I</t>
  </si>
  <si>
    <t>CP.586/26</t>
  </si>
  <si>
    <t>TN6</t>
  </si>
  <si>
    <t>CP.587/26</t>
  </si>
  <si>
    <t>CP.590/26</t>
  </si>
  <si>
    <t>TN1</t>
  </si>
  <si>
    <t>CP.591/26</t>
  </si>
  <si>
    <t>CP.126/26</t>
  </si>
  <si>
    <t>RF1</t>
  </si>
  <si>
    <t>CP.127/26</t>
  </si>
  <si>
    <t>CP.128/26</t>
  </si>
  <si>
    <t>CP.129/26</t>
  </si>
  <si>
    <t>CP.130/26</t>
  </si>
  <si>
    <t>CP.131/26</t>
  </si>
  <si>
    <t>CP.132/26</t>
  </si>
  <si>
    <t>CP.133/26</t>
  </si>
  <si>
    <t>CP.134/26</t>
  </si>
  <si>
    <t>CP.135/26</t>
  </si>
  <si>
    <t xml:space="preserve">ROM HCV LS </t>
  </si>
  <si>
    <t>ROM HCV HS to LS</t>
  </si>
  <si>
    <t>ROM HCV HS</t>
  </si>
  <si>
    <t>ROM HAC</t>
  </si>
  <si>
    <t>Rom Temporary</t>
  </si>
  <si>
    <t>CVAD LS</t>
  </si>
  <si>
    <t>TS LS</t>
  </si>
  <si>
    <t>CVAD HS</t>
  </si>
  <si>
    <t>TS HS</t>
  </si>
  <si>
    <t>Total ROM HCV LS to HS</t>
  </si>
  <si>
    <t>Daily ROM</t>
  </si>
  <si>
    <t>FC HCV LS</t>
  </si>
  <si>
    <t>FC HCV HS</t>
  </si>
  <si>
    <t>Daily FC</t>
  </si>
  <si>
    <t xml:space="preserve"> Stock_LS</t>
  </si>
  <si>
    <t xml:space="preserve"> Stock_HS</t>
  </si>
  <si>
    <t>Sticky Coal</t>
  </si>
  <si>
    <t>Total Stock</t>
  </si>
  <si>
    <t>Load LS</t>
  </si>
  <si>
    <t>Load HS</t>
  </si>
  <si>
    <t xml:space="preserve"> Total Laod</t>
  </si>
  <si>
    <t>PSY LS</t>
  </si>
  <si>
    <t>PSY HS</t>
  </si>
  <si>
    <t>Finish Load LS</t>
  </si>
  <si>
    <t>Finish Load HS</t>
  </si>
  <si>
    <t>Stock NB LS</t>
  </si>
  <si>
    <t>Stock NB HS</t>
  </si>
  <si>
    <t>Stock SB1 LS</t>
  </si>
  <si>
    <t>Stock SB1 HS</t>
  </si>
  <si>
    <t>Stock SB2 LS</t>
  </si>
  <si>
    <t>Stock SB2 HS</t>
  </si>
  <si>
    <t>MINE</t>
  </si>
  <si>
    <t>TRANSTEMPLATE NAME</t>
  </si>
  <si>
    <t>SOURCE</t>
  </si>
  <si>
    <t>DESTINATION</t>
  </si>
  <si>
    <t>SHIFT</t>
  </si>
  <si>
    <t>ACTIVITY</t>
  </si>
  <si>
    <t>TRUCK</t>
  </si>
  <si>
    <t>TRIPS</t>
  </si>
  <si>
    <t>DISTANCE BEFORE VALIDATION</t>
  </si>
  <si>
    <t>DISTANCE AFTER VALIDATION</t>
  </si>
  <si>
    <t>CAPACITY</t>
  </si>
  <si>
    <t>PRODUCT</t>
  </si>
  <si>
    <t>TCM</t>
  </si>
  <si>
    <t>OP1-ROM SB2 BK24</t>
  </si>
  <si>
    <t>TCM-OP1-SB2-BK26-P4400-SECT_N273-S4600-P30</t>
  </si>
  <si>
    <t>TCM-ROM SB2 BK24-ROM 5</t>
  </si>
  <si>
    <t>01/09/2026 07:00:00</t>
  </si>
  <si>
    <t>FOTON 45T</t>
  </si>
  <si>
    <t>TCM-RC-ROM5</t>
  </si>
  <si>
    <t>TCM-OP1-SB2-BK26-P4400-SECT_N277-S4900-P50</t>
  </si>
  <si>
    <t>SCANIA 18T</t>
  </si>
  <si>
    <t>SCANIA 30T</t>
  </si>
  <si>
    <t>VOLVO 20T</t>
  </si>
  <si>
    <t>OP1-ROM SB1 BK05</t>
  </si>
  <si>
    <t>TCM-OP1-SB2-BK20-P3000-SECT_N183-S2800-P20</t>
  </si>
  <si>
    <t>TCM-ROM SB1 BK05-ROM 4</t>
  </si>
  <si>
    <t>SCANIA 32T</t>
  </si>
  <si>
    <t>TCM-RC-ROM4</t>
  </si>
  <si>
    <t>TCM-OP1-SB2-BK20-P3000-SECT_N195-S3000-P40</t>
  </si>
  <si>
    <t>HAC1-WASHING PLANT</t>
  </si>
  <si>
    <t>TCM-HAC1-4500 BK12</t>
  </si>
  <si>
    <t>WASHING PLANT</t>
  </si>
  <si>
    <t>Coal Washing</t>
  </si>
  <si>
    <t>HANVANT 30T</t>
  </si>
  <si>
    <t>TCM WASHING</t>
  </si>
  <si>
    <t>HANVANT 45T</t>
  </si>
  <si>
    <t>TCM-OP1-SB2-BK26-P4400-SECT_N268-S4600-P10</t>
  </si>
  <si>
    <t>01/09/2026 19:00:00</t>
  </si>
  <si>
    <t>TCM-OP1-SB2-BK26-P4400-SECT_N273-S4900-P30</t>
  </si>
  <si>
    <t>TCM-OP1-SB2-BK34-P4000-SECT_N453-S4400-P40</t>
  </si>
  <si>
    <t>ISUZU 25T</t>
  </si>
  <si>
    <t>TCM-OP1-SB2-BK26-P4400-SECT_N267-S4470-P50</t>
  </si>
  <si>
    <t>02/09/2026 07:00:00</t>
  </si>
  <si>
    <t>FAW  45T</t>
  </si>
  <si>
    <t>02/09/2026 19:00:00</t>
  </si>
  <si>
    <t>TCM-OP1-SB2-BK26-P4400-SECT_N269-S4450-P50</t>
  </si>
  <si>
    <t>TCM-OP1-SB2-BK20-P3000-SECT_N190-S3000-P20</t>
  </si>
  <si>
    <t>SCANIA P410XT</t>
  </si>
  <si>
    <t>03/09/2026 07:00:00</t>
  </si>
  <si>
    <t>TCM-OP1-SB2-BK26-P4400-SECT_N273-S4900-P20</t>
  </si>
  <si>
    <t>TCM-OP1-SB2-BK20-P3000-SECT_N190-S3800-P20</t>
  </si>
  <si>
    <t>TCM-OP1-SB2-BK20-P3000-SECT_N196-S3800-P20</t>
  </si>
  <si>
    <t>03/09/2026 19:00:00</t>
  </si>
  <si>
    <t>TCM-OP1-SB2-BK26-P4400-SECT_N276-S4600-P20</t>
  </si>
  <si>
    <t>TCM-OP1-SB2-BK20-P3000-SECT_N191-S3000-P40</t>
  </si>
  <si>
    <t>04/09/2026 07:00:00</t>
  </si>
  <si>
    <t>1</t>
  </si>
  <si>
    <t>12</t>
  </si>
  <si>
    <t>5.00</t>
  </si>
  <si>
    <t>45000</t>
  </si>
  <si>
    <t>304.34</t>
  </si>
  <si>
    <t>3</t>
  </si>
  <si>
    <t>73.32</t>
  </si>
  <si>
    <t>20</t>
  </si>
  <si>
    <t>13.10</t>
  </si>
  <si>
    <t>28</t>
  </si>
  <si>
    <t>19.00</t>
  </si>
  <si>
    <t>32</t>
  </si>
  <si>
    <t>765.52</t>
  </si>
  <si>
    <t>32000</t>
  </si>
  <si>
    <t>860.98</t>
  </si>
  <si>
    <t>5</t>
  </si>
  <si>
    <t>0.00</t>
  </si>
  <si>
    <t>171.26</t>
  </si>
  <si>
    <t>11</t>
  </si>
  <si>
    <t>30000</t>
  </si>
  <si>
    <t>400.44</t>
  </si>
  <si>
    <t>19</t>
  </si>
  <si>
    <t>622.80</t>
  </si>
  <si>
    <t>TCM-OP1-SB2-BK30-P3000-SECT_N380-S3800-P70</t>
  </si>
  <si>
    <t>TCM-ROM SB2 BK24-ROM 6</t>
  </si>
  <si>
    <t>04/09/2026 19:00:00</t>
  </si>
  <si>
    <t>2</t>
  </si>
  <si>
    <t>7</t>
  </si>
  <si>
    <t>14.00</t>
  </si>
  <si>
    <t>179.34</t>
  </si>
  <si>
    <t>TCM-RC-ROM6</t>
  </si>
  <si>
    <t>4</t>
  </si>
  <si>
    <t>111.76</t>
  </si>
  <si>
    <t>10</t>
  </si>
  <si>
    <t>244.86</t>
  </si>
  <si>
    <t>6</t>
  </si>
  <si>
    <t>162.20</t>
  </si>
  <si>
    <t>TCM-OP1-SB2-BK26-P4400-SECT_N270-S4600-P10</t>
  </si>
  <si>
    <t>05/09/2026 07:00:00</t>
  </si>
  <si>
    <t>105.52</t>
  </si>
  <si>
    <t>TCM-OP1-SB2-BK26-P4400-SECT_N275-S4900-P50</t>
  </si>
  <si>
    <t>74.66</t>
  </si>
  <si>
    <t>18</t>
  </si>
  <si>
    <t>40.22</t>
  </si>
  <si>
    <t>TCM-OP1-SB2-BK26-P4400-SECT_N275-S4600-P20</t>
  </si>
  <si>
    <t>137.72</t>
  </si>
  <si>
    <t>TCM-OP1-SB2-BK26-P4400-SECT_N266-S4400-P60</t>
  </si>
  <si>
    <t>15.34</t>
  </si>
  <si>
    <t>15.60</t>
  </si>
  <si>
    <t>66.36</t>
  </si>
  <si>
    <t>TCM-OP1-SB2-BK26-P4400-SECT_N266-S4470-P20</t>
  </si>
  <si>
    <t>05/09/2026 19:00:00</t>
  </si>
  <si>
    <t>TCM-OP1-SB2-BK20-P3000-SECT_N183-S3000-P20</t>
  </si>
  <si>
    <t>06/09/2026 07:00:00</t>
  </si>
  <si>
    <t>TCM-OP1-SB2-BK26-P4400-SECT_N270-S4450-P50</t>
  </si>
  <si>
    <t>TCM-OP1-SB2-BK26-P4400-SECT_N267-S4470-P10</t>
  </si>
  <si>
    <t>06/09/2026 19:00:00</t>
  </si>
  <si>
    <t>EQUIPMENT</t>
  </si>
  <si>
    <t>COMMENT</t>
  </si>
  <si>
    <t>STATUS</t>
  </si>
  <si>
    <t>ROM SB1 BK05-CR3</t>
  </si>
  <si>
    <t>TCM-CR3-CR3</t>
  </si>
  <si>
    <t>FMX 440 6X4 70T</t>
  </si>
  <si>
    <t>TCM-ROM SB1 BK05-ROM 6</t>
  </si>
  <si>
    <t>ROM SB2 BK24-CR3</t>
  </si>
  <si>
    <t>FMX 460 90T</t>
  </si>
  <si>
    <t>ROM NB-CR3</t>
  </si>
  <si>
    <t>TCM-ROM NB-ROM 6</t>
  </si>
  <si>
    <t>FMX 480</t>
  </si>
  <si>
    <t>VOLVO FMX 480 76T</t>
  </si>
  <si>
    <t>VOLVO FMX 480 85T</t>
  </si>
  <si>
    <t>SCANIA 85T</t>
  </si>
  <si>
    <t>Scania P-460 64T</t>
  </si>
  <si>
    <t>Scania P-460 XT 85T</t>
  </si>
  <si>
    <t>VOLVO FMX 460 85T</t>
  </si>
  <si>
    <t>WASH-CR3</t>
  </si>
  <si>
    <t>TCM-WASH-CR3</t>
  </si>
  <si>
    <t>SHACMAN F3000 50T</t>
  </si>
  <si>
    <t>TCM-ROM NB-ROM 5</t>
  </si>
  <si>
    <t>FMX 480 6X4 70T</t>
  </si>
  <si>
    <t>VOLVO FMX 460 65T</t>
  </si>
  <si>
    <t>TIS-OP1-SB1-BKTIS-PI-SECT_W017-S3000-P50</t>
  </si>
  <si>
    <t>TIS-ROM SB1 BK05-ROM 6</t>
  </si>
  <si>
    <t>HINO 25T</t>
  </si>
  <si>
    <t>TIS-RC-ROM6</t>
  </si>
  <si>
    <t>TIS-OP1-SB1-BKTIS-PI-SECT_W004-S3800-P60</t>
  </si>
  <si>
    <t>ROM SB1 BK05-CR4</t>
  </si>
  <si>
    <t>TIS-CR4-CR4</t>
  </si>
  <si>
    <t>PATRIA</t>
  </si>
  <si>
    <t>57.00</t>
  </si>
  <si>
    <t>70000</t>
  </si>
  <si>
    <t>199.80</t>
  </si>
  <si>
    <t>90000</t>
  </si>
  <si>
    <t>252.10</t>
  </si>
  <si>
    <t>76000</t>
  </si>
  <si>
    <t>350.05</t>
  </si>
  <si>
    <t>218.70</t>
  </si>
  <si>
    <t>466.85</t>
  </si>
  <si>
    <t>14</t>
  </si>
  <si>
    <t>85500</t>
  </si>
  <si>
    <t>1131.70</t>
  </si>
  <si>
    <t>8</t>
  </si>
  <si>
    <t>85000</t>
  </si>
  <si>
    <t>650.35</t>
  </si>
  <si>
    <t>34</t>
  </si>
  <si>
    <t>64000</t>
  </si>
  <si>
    <t>2167.34</t>
  </si>
  <si>
    <t>116.69</t>
  </si>
  <si>
    <t>649.45</t>
  </si>
  <si>
    <t>129.90</t>
  </si>
  <si>
    <t>149.50</t>
  </si>
  <si>
    <t>151.85</t>
  </si>
  <si>
    <t>66.35</t>
  </si>
  <si>
    <t>568.10</t>
  </si>
  <si>
    <t>589.15</t>
  </si>
  <si>
    <t>26</t>
  </si>
  <si>
    <t>1688.28</t>
  </si>
  <si>
    <t>591.52</t>
  </si>
  <si>
    <t>SB1 Actual :</t>
  </si>
  <si>
    <t>ROM Production:</t>
  </si>
  <si>
    <t>FC Production:</t>
  </si>
  <si>
    <t>TIS.HCV.HS:</t>
  </si>
  <si>
    <t>Hauling</t>
  </si>
  <si>
    <t>Coal Loading (Barge):</t>
  </si>
  <si>
    <t>TIS.HCV.LS:</t>
  </si>
  <si>
    <t>OB:</t>
  </si>
  <si>
    <t>SR ROM:</t>
  </si>
  <si>
    <t>SR FC:</t>
  </si>
  <si>
    <t>Pit Inventory :</t>
  </si>
  <si>
    <t>Balance Stock :</t>
  </si>
  <si>
    <t>ROM Stock :</t>
  </si>
  <si>
    <t>PSY StOCK</t>
  </si>
  <si>
    <t>Daily Pit - Rom Temporary</t>
  </si>
  <si>
    <t>PIT-ROM 5 TEMP</t>
  </si>
  <si>
    <t>PIT- ROM 6 Temporary</t>
  </si>
  <si>
    <t>TEMPORARY STOCK</t>
  </si>
  <si>
    <t>HIGHLIGHT PROBLEM PIT</t>
  </si>
  <si>
    <t>HIGHLIGHT PROBLEM HAULING</t>
  </si>
  <si>
    <t>Runa low attendece</t>
  </si>
  <si>
    <t>SB2 Actual :</t>
  </si>
  <si>
    <t>NB Actual :</t>
  </si>
  <si>
    <t>Average Area:</t>
  </si>
  <si>
    <t>Plan:</t>
  </si>
  <si>
    <t xml:space="preserve">ROM Production: </t>
  </si>
  <si>
    <t xml:space="preserve">PAMA </t>
  </si>
  <si>
    <t>OB Out pit</t>
  </si>
  <si>
    <t>Ready to hauling</t>
  </si>
  <si>
    <t>Total LS</t>
  </si>
  <si>
    <t>Total HS</t>
  </si>
  <si>
    <t>SB1:</t>
  </si>
  <si>
    <t>SB2:</t>
  </si>
  <si>
    <t>NB:</t>
  </si>
  <si>
    <t>LS STICKY</t>
  </si>
  <si>
    <t>Washing Stock</t>
  </si>
  <si>
    <t>TCM.HCV.LS:</t>
  </si>
  <si>
    <t>TCM.HCV.HS:</t>
  </si>
  <si>
    <t>FC Stock PSY Bunyut :</t>
  </si>
  <si>
    <t>TCM.LCV.MS:</t>
  </si>
  <si>
    <t>Pit Highlight Problem</t>
  </si>
  <si>
    <t>Hauling Highlight Problem</t>
  </si>
  <si>
    <t>Turn #</t>
  </si>
  <si>
    <t>User Request</t>
  </si>
  <si>
    <t>Action Taken</t>
  </si>
  <si>
    <t>Details</t>
  </si>
  <si>
    <t>Outcome</t>
  </si>
  <si>
    <t>Tambah detail contractor pada hauling di March TIS seperti March TCM (TRUST, RTL, MPE, RUNA)</t>
  </si>
  <si>
    <t>Insert 6 kolom (AC:AH) di March TIS setelah kolom Total Coal Hauling (AB) untuk contractor breakdown</t>
  </si>
  <si>
    <t>Inserted columns AC:AH after AB. Headers: 'details per contractor' (AC9), contractor names TRUST/RTL/MPE/RUNA/TOTAL/Notes (AC10:AH10). Data rows 12-42: 0-value with AG=SUM(AC:AF). MTD row 43 and Survey row 44 formulas added.</t>
  </si>
  <si>
    <t>Kolom contractor detail (TRUST, RTL, MPE, RUNA, TOTAL, Notes) berhasil ditambahkan di March TIS Coal Hauling section, kolom AC:AH, baris 9-44. Siap untuk input data.</t>
  </si>
  <si>
    <t>Isi detail per contractor (AC:AG) di March TIS dari file 'hauling maret.xlsx'. RP dikonfirmasi = RUNA (AF).</t>
  </si>
  <si>
    <t>Parsed hauling maret.xlsx, aggregasi TOTAL per hari per contractor, lalu isi ke kolom AC:AF rows 12-42 di March TIS</t>
  </si>
  <si>
    <t>File berisi data Coal Hauling TIS untuk 2 contractor: RP (→RUNA/AF) dan MPE (→MPE/AE). Day 2: RUNA=3483.89; Day 3: MPE=4679.54, RUNA=3523.04. AG (TOTAL)=SUM(AC:AF) per baris. MTD: MPE=4679.54, RUNA=7006.93, TOTAL=11686.47.</t>
  </si>
  <si>
    <t>Data contractor berhasil diisi. Kolom AG TOTAL otomatis terhitung. MTD=11686.47 sesuai total Coal Hauling di AB43.</t>
  </si>
  <si>
    <t>Tambah KPI hauling beserta kontraktor di TIS Dashboard dengan desain sama seperti TCM Dashboard</t>
  </si>
  <si>
    <t>Insert 28 baris di row 31 TIS Dashboard, buat blok KPI Coal Hauling lengkap dengan icon, daily value, MTD progress, dan tabel contractor (TRUST/RTL/MPE/RUNA)</t>
  </si>
  <si>
    <t>Blok KPI Coal Hauling dibangun di rows 31-58: section header (B31), emoji+title (A33-B34), daily value besar (B36, font 26pt, formula =TIS.!B11), MTD progress (B41-E43), contractor table header (B50:E50, amber bottom border), 4 contractor rows TRUST/RTL/MPE/RUNA (rows 51-54) dengan formula linking TIS.!B12:C14. RTL=0 karena tidak ada di TIS. Design matching: warna #0F2544, #F59E0B, #94A3B8, fill #FAFBFD/#F8FAFC/#F1F5F9.</t>
  </si>
  <si>
    <t>KPI Hauling berhasil ditambahkan di TIS Dashboard rows 31-58. Data: Daily=8,203T, MTD=11,686T (14% vs target). Kontraktor: MPE=40%, RUNA=60%, TRUST=0%, RTL=0%. Section barge loading/SR/stock tetap di bawahnya (rows 59+).</t>
  </si>
  <si>
    <t>Rapikan TIS Dashboard agar tampilannya rapi dan konsisten dengan TCM Dashboard</t>
  </si>
  <si>
    <t>Perbaiki seluruh styling TIS Dashboard: row heights, section headers, hauling block formatting, number formats, dan konsistensi visual</t>
  </si>
  <si>
    <t>1) Row heights 31-58 disesuaikan dengan TCM (22,5,22,16,6,30,16,14... dst). 2) Section headers pindah ke col A (dari B) untuk semua 4 section: Mining(A3), Hauling(A31), Barge(A59), Rainfall(A87) — bg #EEF2F7, bold 9pt #64748B. 3) Col A width=17.4 (match TCM). 4) Semua fill colors hauling block diperbaiki: FAFBFD untuk daily area, F8FAFC/F1F5F9 untuk tabel. 5) Font sizes: 26pt daily, 9pt unit, 7pt labels, 8pt contractor rows. 6) Border amber #F59E0B bottom pada header tabel. 7) Number format #,##0 pada C51:D54. 8) Row 30 bg fixed to white (section gap).</t>
  </si>
  <si>
    <t>TIS Dashboard rapih, konsisten dengan TCM Dashboard. Semua section headers sejajar di col A. Hauling KPI block terlihat profesional dengan font, warna, border yang tepat.</t>
  </si>
  <si>
    <t>Rapikan Coal Hauling KPI block di TIS Dashboard</t>
  </si>
  <si>
    <t>Audit cell-by-cell seluruh blok rows 31-58, perbaiki semua background colors, font, alignment, dan borders yang tidak konsisten</t>
  </si>
  <si>
    <t>Issues fixed: (1) Background bleeding dari section headers — rows 34,41-43,50-54 col A &amp; F:G berisi #EEF2F7 yang salah, diperbaiki ke white/F8FAFC/F1F5F9 sesuai baris. (2) Amber top-border pada A33:G33 ditambahkan. (3) B37 font color re-asserted ke #F59E0B. (4) Vertical alignment diperbaiki: B41 Center, B42 Center, B36 Center/Center, B37/B38 Bottom/Center, B48 Center, contractor rows Center/Bottom. (5) Amber bottom-border B50:E50 dan E2E8F0 border B54:E54 dikonfirmasi. Hasil: 0 mismatch dari 32 cell pairs vs TCM Dashboard.</t>
  </si>
  <si>
    <t>Coal Hauling KPI block 100% identik dengan TCM Dashboard. Zero styling mismatches verified.</t>
  </si>
  <si>
    <t>Bold dan warnai semua badge persentase di TIS Dashboard agar sama dengan TCM Dashboard</t>
  </si>
  <si>
    <t>Apply colored background + white bold text ke semua badge % di 3 section TIS Dashboard</t>
  </si>
  <si>
    <t>Section 1 (Mining): E13=orange #F97316, L13=indigo #6366F1, S13=green #10B981. Contractor %: E23=orange text, L23=indigo text, S23=green text. Section 2 (Hauling): E41=amber #F59E0B badge, E43=grey progress label, E51-E54=amber bold text. Section 3 (Barge): E69=slate #64748B, L69=emerald #059669, S69=red #DC2626. All: bold=true, sz=8, fc=#FFFFFF, ha=Center, va=Center. Verified: 10/10 badges match TCM.</t>
  </si>
  <si>
    <t>Semua 10 badge persentase di TIS Dashboard sekarang bold dan berwarna persis sama dengan TCM Dashboard. 100% match verified.</t>
  </si>
  <si>
    <t>Tambah KPI FC Production dari sheet TIS. ke TIS Dashboard sebagai section terpisah</t>
  </si>
  <si>
    <t>Insert 28 baris di row 59, buat FC Production KPI block (rows 59-86) dengan icon, daily, MTD, dan Grade Breakdown</t>
  </si>
  <si>
    <t>Blok FC KPI dibuat di rows 59-86 antara Coal Hauling dan Barge Loading. Struktur: section header A59 (#EEF2F7), icon 🏭 A61 (bg #F0F9FF), title B61 'FC Production', subtitle B62, daily value B64=TIS.!B8 (26pt), unit B65 'Ton' green, DAILY PRODUCTION B66, badge E69=TIS.!E8 (green #10B981), MTD B70=TIS.!C8/D8, Grade table rows 78-79 (HCV.HS linking TIS.!B9/C9). Badge color intentionally green #10B981 (beda dari TCM biru untuk hauling). 19/19 structural checks, 1 intentional color diff.</t>
  </si>
  <si>
    <t>FC Production KPI section berhasil ditambahkan. Daily=8,203T, MTD=11,686/84,444 (14%), HCV.HS=100%. 5 section headers konsisten.</t>
  </si>
  <si>
    <t>Jajarkan KPI FC Production dengan Hauling di TIS Dashboard (side-by-side dalam baris yang sama)</t>
  </si>
  <si>
    <t>Hapus FC section rows 59-86 (terpisah), tulis ulang FC KPI di kolom H-N rows 31-58 sejajar dengan Hauling</t>
  </si>
  <si>
    <t>1) Hapus rows 59-86 (FC section terpisah). 2) Update section header A31 jadi '🚛 Coal Hauling &amp; 🏭 FC Production'. 3) Tulis FC block di H-N: H33=🏭 icon (bg #F0F9FF, green top border #10B981), I33=title, I34=subtitle, I36=daily TIS.!B8, I37=Ton (green), I38=DAILY PRODUCTION, I41=MTD, L41=badge green #10B981, I42=MTD value, I43=Progress, I48=Grade Breakdown, table I50:L50, HCV.HS row I51:L51. Col H width=17.4. 4) Verifikasi: 17/17 cell pairs sejajar sempurna (bold, size, bg konsisten).</t>
  </si>
  <si>
    <t>FC Production KPI sekarang sejajar dengan Coal Hauling di baris 31-58. Daily=8,203T, MTD=11,686/84,444 (14%), HCV.HS=100%. Layout rapi side-by-side.</t>
  </si>
  <si>
    <t>Cek duplicate styles di workbook (resumed from compressed summary)</t>
  </si>
  <si>
    <t>Audit styles workbook menggunakan Office.js - confirmed 46,134 total styles, 46,088 custom</t>
  </si>
  <si>
    <t>46,134 total styles (46 built-in, 46,088 custom). No exact duplicate names found but many corrupted/garbled style names (encoding issues). Style bloat is extreme and likely causing performance degradation.</t>
  </si>
  <si>
    <t>Audit complete. Workbook has critical style bloat (46K+ custom styles). Recommended next step: cleanup to reduce to normal range (&lt;200 styles). Awaiting user decision on cleanup.</t>
  </si>
  <si>
    <t>Check every sheet - audit used range size and style sources across all 21 sheets</t>
  </si>
  <si>
    <t>Enumerated all 21 sheets: used range size (rows x cols), total cell count, and sampled cell styles</t>
  </si>
  <si>
    <t>January/Feb/March TCM: 301 rows x 500 cols = 150,500 cells each (biggest sheets). YTD: 42x365=15,330. Summary TCM: 180x68=12,240. TIS monthly: 125x90=11,250 each. All cells use 'Normal' style at sample point. Total styles still 46,134 custom.</t>
  </si>
  <si>
    <t>Identified 3 TCM monthly sheets as likely style bloat source (500 cols wide = unusual, likely from copy-paste of large external workbooks). Awaiting user instruction on cleanup or further investigation.</t>
  </si>
  <si>
    <t>Lanjutkan - remove duplicate styles</t>
  </si>
  <si>
    <t>Berhasil hapus 46,086 custom styles dari 46,088 total. Sisa 2 style yang tidak bisa dihapus (status: protected/tidak ditemukan).</t>
  </si>
  <si>
    <t>Mulai: 46,088 custom. Akhir: 2 custom (Total 2 8 8, Total 5 5 4). Berkurang 46,086 styles (99.996%). Proses dilakukan dalam 50+ batch @500 styles. 2 style terakhir berikan error 'resource doesnt exist' - kemungkinan ghost style.</t>
  </si>
  <si>
    <t>SELESAI. Style cleanup berhasil. Total styles: 48 (46 built-in + 2 ghost custom). File jauh lebih ringan. Simpan/Save file untuk apply perubahan.</t>
  </si>
  <si>
    <t>User uploaded sb1 8.xlsx and sb2 8.xlsx (date 8 March mine transactions). Asked to copy data to: pit contractor columns AW:BW, destination ROM columns DE:EQ, HAC transactions in PI column, and verify HAC in PV.</t>
  </si>
  <si>
    <t>Processed uploaded files and entered data into March TCM row 17 (date 8)</t>
  </si>
  <si>
    <t>From sb1: PAMA BK20→ROM SB1 BK05: OB/ROM=4506.9 (ROM4=1430.8, ROM5=3076.1). SR=1. From sb2: PAMA BK30=1553.9, MAP BK26=1893.24 all to ROM SB2 BK24 ROM5 (total=3447.14). HAC: Coal Washing (PI)=701.28, ROM Rehandling (PJ)=749.1. WP Balance updated automatically via existing formula.</t>
  </si>
  <si>
    <t>Row 17 date 8 populated: AW17:AY17, BC17:BE17, BL17:BN17 (pit per contractor); DK17, DM17, DQ17, DZ17, ED17 (destination ROM); PI17, PJ17 (HAC). PV verified - shows PIT SB1 stock with existing data unchanged.</t>
  </si>
  <si>
    <t>User instructed: isi hanya ROM saja, OB tidak usah (fill only ROM, not OB).</t>
  </si>
  <si>
    <t>Cleared OB values from AW17, BC17, BL17 in March TCM row 17</t>
  </si>
  <si>
    <t>Removed OB values from: AW17 (PAMA BK20), BC17 (PAMA BK30), BL17 (MAP BK26). Kept ROM: AX17=4506.9, BD17=1553.9, BM17=1893.24. SR formulas auto-updated to 0 since OB is blank. DE:EQ already correct (ROM only: DK=1430.8, DM=3076.1, DZ=3447.14).</t>
  </si>
  <si>
    <t>Row 17 AW:BW now has only ROM filled, OB columns empty. DE:EQ unchanged and correct.</t>
  </si>
  <si>
    <t>User uploaded hauling 8 feb.xlsx. Asked to fill: detail contractor GR:GV, detail per ROM source GX:JE, FC production JH:JK, blending per product per ROM JN:KL — all in row 17 (date 8).</t>
  </si>
  <si>
    <t>Processed hauling file (all TRUST contractor, Coal Hauling to CR3) and wrote data to March TCM row 17</t>
  </si>
  <si>
    <t>GR:GV: TRUST=5793.30, GV TOTAL=5793.30 (formula). GX:JE: HF(NB ROM5 PJPN)=611.70, HL(NB sub)=611.70, IH(SB1 ROM4)=79.55, IJ(SB1 ROM5)=1336.90, IP(SB1 sub)=1416.45, IY(SB2 ROM5)=3765.15, JE(SB2 sub)=3765.15. JH:JK: JH(HCV.LS)=5793.30, JK total=5793.30. JN:KL: JQ(HCV.LS ROM4)=0.01373138, JR(HCV.LS ROM5)=0.98626862.</t>
  </si>
  <si>
    <t>Row 17 hauling data complete. All 4 sections populated. Total reconciles: 611.70+1416.45+3765.15=5793.30 ✓</t>
  </si>
  <si>
    <t>Minta isi data coal wining di March TCM pada kolom ROM (AW-BW), destination ROM (DE-EQ), dan HAC tonnage (PI) berdasarkan data coal wining di sheet yang sama</t>
  </si>
  <si>
    <t>Analisis struktur sheet March TCM: AW-BW=pit production, CQ=Coal Winning summary (sudah ada formula), DE-EQ=destination per ROM (manual entry), PI=HAC-WP tonase</t>
  </si>
  <si>
    <t>Ditemukan: CQ sudah ada formula dari DE-EQ. DE-EQ rows 10-17 sudah diisi manual untuk hari 1-8. PI rows 15-17 sudah diisi (hari 6-8: 850.78, 545.6, 701.28). Baris hari 9+ masih kosong. File upload tidak terbaca di container.</t>
  </si>
  <si>
    <t>Menunggu klarifikasi dari user: data apa yang perlu diisi? Apakah untuk hari ke-9 (9 March)? Berapa nilai ROM dan destinasinya?</t>
  </si>
  <si>
    <t>Proses data 9 March.xlsx: copy paste tonnage Coal Winning ke sheet March TCM baris AW-BW, destination ROM DE-EQ, dan isi tonase HAC di kolom PI</t>
  </si>
  <si>
    <t>Read file 9 March.xlsx (MineMarketReport), filter Coal Winning &amp; Coal Washing untuk MINE=TCM, aggregate by source pit dan destination ROM, tulis ke March TCM row 18 (date=9)</t>
  </si>
  <si>
    <t>AW-BW ROM cols: AX18=3438.82 (PAMA BK20), BD18=1646.04 (PAMA BK30), BM18=1158.82 (MAP BK26). Dest DE-EQ: DK18=277.52 (SB1 ROM4), DM18=3161.30 (SB1 ROM5), DZ18=2487.48 (SB2 ROM5), EB18=317.38 (SB2 ROM6). HAC PI18=777.08</t>
  </si>
  <si>
    <t>Semua nilai berhasil ditulis ke row 18 March TCM. Total Coal Winning=6243.68T, HAC=777.08T</t>
  </si>
  <si>
    <t>Proses file hauling 9 march.xlsx: isi tonase hauling ke sheet March TCM - contractor GR-GU, destination ROM GX-JE, FC production JH-JL, blending % JN-KL</t>
  </si>
  <si>
    <t>Read hauling data (Coal Hauling, TCM), aggregate by contractor, source ROM, product. Tulis ke row 18 (date=9 March).</t>
  </si>
  <si>
    <t>GR18=6157.08 (TRUST). Dest ROM: HF18=588.60(NB-ROM5), HH18=549(NB-ROM6), IH18=794.95(SB1-ROM4), IJ18=839.60(SB1-ROM5), IY18=2361.25(SB2-ROM5), JA18=1023.68(SB2-ROM6). FC: JH18=2937.20(LS), JI18=3219.88(HS), JK18=6157.08. Blend: JR18=100%(LS-ROM5), JY18=24.69%(HS-ROM4), JZ18=26.47%(HS-ROM5), KA18=48.84%(HS-ROM6)</t>
  </si>
  <si>
    <t>Semua nilai berhasil ditulis ke row 18. Total Hauling 6157.08T (HS:3219.88T, LS:2937.20T)</t>
  </si>
  <si>
    <t>Proses TIS coal 9 March.xlsx: isi Coal Winning seam ke March TIS sheet kolom U-W pada baris date=9 (row 20)</t>
  </si>
  <si>
    <t>Read file TIS coal 9 March.xlsx (MineMarketReport), filter mine=TIS Coal Winning, kelompokkan berdasarkan seam dari nama source (S3000/S3100/S3800), tulis ke March TIS row 20</t>
  </si>
  <si>
    <t>Semua data dari Seam 3000: U20=1987.12T (Seam 3000 = 21.76+1179.90+785.46). V20 dan W20 tidak ada data (Seam 3100 dan 3800 nihil). Contractor PJPN, Destination: TIS-ROM SB1 BK05-ROM 6</t>
  </si>
  <si>
    <t>U20 berhasil ditulis: 1987.12T. V20 &amp; W20 kosong karena tidak ada data seam 3100/3800</t>
  </si>
  <si>
    <t>Proses Hauling TIS 9 March.xlsx: isi Coal Hauling ke March TIS row 20 (date=9) - ROM cols Y-AA dan contractor detail AC-AF</t>
  </si>
  <si>
    <t>Read Hauling TIS 9 March.xlsx, filter TIS Coal Hauling. Aggregate by ROM source dan contractor. RP di data dipetakan ke RUNA di template. Tulis ke row 20.</t>
  </si>
  <si>
    <t>ROM Hauling: Z20(ROM5)=0, AA20(ROM6)=9113.36T, AB20(Total)=9113.36T. Contractor: AC20(TRUST)=0, AD20(RTL)=0, AE20(MPE)=4106.69T, AF20(RUNA/RP)=5006.67T, AG20(Total)=9113.36T</t>
  </si>
  <si>
    <t>Semua nilai berhasil ditulis dan diverifikasi. Grand total 9113.36T. Semua dari source TIS-ROM SB1 BK05-ROM 6 ke TIS-CR3-CR3. Product: TIS.HCV.HS</t>
  </si>
  <si>
    <t>Isi data OB Total (col C) dan OB Outpit (col CH-CM) ke March TCM row 18 (date=9)</t>
  </si>
  <si>
    <t>Cek data OB dari file 9 March.xlsx (hanya ada Coal Winning &amp; Coal Washing, tidak ada OB). Cek TCM. sheet (daily summary): OB=0, OB Outpit=0 untuk semua contractor. Tulis 0 ke col CH-CK row 18.</t>
  </si>
  <si>
    <t>C18(OB Total)=0 sudah ada. Ditulis: CH18(PAMA outpit)=0, CI18(MAP outpit)=0, CJ18(PJPN outpit)=0, CK18(SNS outpit)=0. CM18(Total outpit)=0 sudah ada dari formula.</t>
  </si>
  <si>
    <t>Tanggal 9 March tidak ada aktivitas OB. Semua nilai 0 terverifikasi di row 18. Sumber: TCM. daily summary sheet.</t>
  </si>
  <si>
    <t>Implementasi saran #1: Trend Sparkline harian + Traffic Light Status per KPI card di TCM Dashboard</t>
  </si>
  <si>
    <t>Tambah traffic light (🟢🟡⚫) di row 11 &amp; 39, mini bar sparkline Unicode (▁▂▃▄▅▆▇█) di row 12 &amp; 40, daily plan reference di row 11 &amp; 39. Data source area di rows 114-121 (9 hari D1-D9). Warna background per status.</t>
  </si>
  <si>
    <t>Mining: Coal Winning=🟢108%, OB=🟡87%, OBOutpit=⚫0%. FC: FCProd=🟡87%, FCHaul=🟡87%, CoalLoad=🟢105%. Helper data rows 115-121 formatted dark teal header. Sparkline API tidak tersedia - pakai Unicode block chars.</t>
  </si>
  <si>
    <t>Berhasil. Traffic light + sparkline terlihat di row 11-12 (mining) dan 39-40 (FC). Data source area rows 114-121 tersedia untuk update harian.</t>
  </si>
  <si>
    <t>Rapikan TCM Dashboard - konsistensi layout, typography, warna, spacing seluruh 4 section</t>
  </si>
  <si>
    <t>Set column widths (A=4,B=22,C-D=14,E=12,spacers=4), row heights per section, palet warna konsisten (navy #1A2332, blue #2980B9, card bg #AED6F1, green/yellow/grey TL bg). Format: title bar, section separators ▌, card headers, tabel kontractor, footer. Gridlines off, freeze row 3.</t>
  </si>
  <si>
    <t>4 section: Mining Production, FC Production &amp; Hauling, Ratios &amp; Stocks, Rainfall &amp; Highlights. 6 KPI cards masing2 punya: header berwarna, big number, TL status, sparkline bar, MTD value, progress %. Contractor tables konsisten navy header + alternating rows.</t>
  </si>
  <si>
    <t>Dashboard rapi dan konsisten. Gridlines off. Section separators putih di atas navy bg. Traffic light bg sesuai status (green/yellow/grey).</t>
  </si>
  <si>
    <t>Kembalikan warna dashboard TCM ke design awal (sebelum reformatting di Turn 8)</t>
  </si>
  <si>
    <t>Reset semua fill ke white #FFFFFF, font ke black #000000. Restore: title teks, section labels tanpa navy bg, card headers putih, big numbers hitam size 24, contractor tables putih, footer putih. Gridlines on, unfreeze panes, row heights standard. Pertahankan TL status &amp; sparkline dengan warna sederhana (green/yellow/grey text, white bg).</t>
  </si>
  <si>
    <t>Semua sel di A1:Z113 fill=white. Section labels kembali ke plain text. Card headers plain. Big numbers black bold size 24. Gridlines=true. FreezePanes=off. Row heights=15 (standard). TL rows tetap ada dengan white bg.</t>
  </si>
  <si>
    <t>Design warna original berhasil dipulihkan. Traffic light dan sparkline bar tetap ada tapi dengan bg putih bersih.</t>
  </si>
  <si>
    <t>User uploaded reference screenshot and requested dashboard be restored to match that original design exactly</t>
  </si>
  <si>
    <t>Restored TCM Dashboard to original design from screenshot</t>
  </si>
  <si>
    <t>Applied exact colors from screenshot: navy title bar (#1F2D3D), orange as-of date (#FF6600), colored accent top bars per card (Coal:#FF8C00, OB:#0070C0, OBOut:#00B050, FCProd:#0070C0, FCHau:#FF8C00, CoalLoad:#7030A0, Ratio:#404040, Stock:#00B050, FCStock:#C00000, Rain:#0070C0, Pit:#FF8C00, Haul:#C00000), card borders #D0D0D0, MTD badge with colored bg, progress bars, contractor table grey headers, section underlines, gridlines off, freeze rows 2</t>
  </si>
  <si>
    <t>Dashboard restored to match reference screenshot. Traffic lights and sparklines from Turn 7 preserved.</t>
  </si>
  <si>
    <t>User requested progress % badge colors be restored to match original design screenshot</t>
  </si>
  <si>
    <t>Restored MTD % badges and progress bar fills in all 4 sections</t>
  </si>
  <si>
    <t>Fixed: E13/L13/S13 badges (orange/blue/green bg, white text), rows 16-17 progress bars; E41/L41/S41 badges (blue/orange/purple), rows 44-45; E69/L69/S69 badges (dark/green/red), rows 72-73; % text in rows 15/43/71 colored matching card accents</t>
  </si>
  <si>
    <t>All MTD badges and progress bars now show correct accent colors matching original dashboard design</t>
  </si>
  <si>
    <t>User requested KPI boxes be tidied up (rapikan box KPI nya)</t>
  </si>
  <si>
    <t>Comprehensive KPI box cleanup across all 12 cards in 4 sections</t>
  </si>
  <si>
    <t>Fixed: colored accent top bars (rows 4,32,60,88) all 5pt; standardized row heights per card template; consistent column widths (B-G,I-N,P-U each 78+52+58+42pt); card borders #C8C8C8; contractor table headers with accent bottom borders + grey bg; alternating row tints; % badges with colored bg; traffic light 8pt, sparkline 7pt; section label bottom borders; number format 0% on badges; freeze rows 2; gridlines off</t>
  </si>
  <si>
    <t>All 12 KPI boxes now have uniform, clean layout matching original dashboard design</t>
  </si>
  <si>
    <t>User requested colored progress bar graphics added to KPI boxes (tambahkan grafik warna progres)</t>
  </si>
  <si>
    <t>Rebuilt all 9 progress bars (3 per section × 3 sections) with correct colors and proportions</t>
  </si>
  <si>
    <t>Progress bars: Mining rows 16-17 (Coal 33% orange, OB 29% blue, OBout 19% green), FC rows 44-45 (FCprod 25% blue, FChau 25% orange, CoalLoad 38% purple), Ratios rows 72-73 (SR 88% dark, Balance 98% green, FCStock empty red). Added lighter tip cell for gradient effect. Progress % text (E15/L15/S15 etc) colored per accent. Bar row height 5pt.</t>
  </si>
  <si>
    <t>All 9 KPI progress bars now show proportional colored fill matching MTD % achievement</t>
  </si>
  <si>
    <t>User noticed TCM Dashboard KPI cells had no formulas (hardcoded static values)</t>
  </si>
  <si>
    <t>Replaced all 53 static KPI cells with live formulas referencing TCM. sheet</t>
  </si>
  <si>
    <t>All dashboard KPI cells now formula-driven from TCM. sheet. Auto-updates when TCM. data changes.</t>
  </si>
  <si>
    <t>User asked whether progress bar graphics are also formula-driven</t>
  </si>
  <si>
    <t>Verified and rebuilt progress bars from live formula values; added helper reference area</t>
  </si>
  <si>
    <t>Finding: Badge % cells (E13,L13,S13,E41,L41,S41,E69,L69) are formula-driven from TCM. sheet. However progress bar FILL COLORS cannot be formula-driven in Excel (limitation). Solution: rebuilt fills from live % values: Coal=33%(2/6 cols), OB=29%(2/6), OBout=19%(2/6), FCprod=25%(2/6), FChau=25%(2/6), CoalLoad=38%(3/6), SR=88%(6/6), Balance=98%(6/6). Added helper audit area rows 120-130 showing live % references. Bar colors must be manually refreshed when data changes.</t>
  </si>
  <si>
    <t>Progress bars rebuilt from live values. Helper area at rows 120-130 shows formula-driven audit trail. Note: fill colors require manual refresh.</t>
  </si>
  <si>
    <t>User requested Trend sparklines and Traffic Lights be made formula-driven</t>
  </si>
  <si>
    <t>Converted all 6 sparkline cells and 6 traffic light cells to live formulas from March TCM sheet</t>
  </si>
  <si>
    <t>Sparklines: B12=CoalMining(col D), I12=OB(col C), P12=OBout(col O), B40=FCProd(col GM), I40=FCHauling(col GR), P40=CoalLoad(col LI) — all rows 10-18 (Day1-9). Traffic lights: B11/I11/P11/B39/I39/P39 = IF formula comparing daily vs plan/31 with 🟢(≥90%) 🟡(≥75%) 🔴(&lt;75%) ⚫(=0). Sparkline uses MAX normalization to assign ▁▂▃▄▅▆▇█ chars with space separator.</t>
  </si>
  <si>
    <t>All 12 cells (6 sparklines + 6 traffic lights) now formula-driven from March TCM. Auto-updates daily.</t>
  </si>
  <si>
    <t>Proses data dari file TCM Coal wing 10 March.xlsx ke sheet March TCM: isi ROM AW-BW dan detail per destination kolom DE-EQ untuk tanggal 10 Maret</t>
  </si>
  <si>
    <t>Baca file MineMarketReport, hitung total ROM per kontraktor dan per pit, tulis ke row 19 (Day 10) di March TCM</t>
  </si>
  <si>
    <t>C19=5399.92 (Total ROM), Q19=3898.06 (PAMA), U19=1501.86 (MAP), AX19=3237.50 (BK20), BD19=660.56 (BK30), BM19=1501.86 (BK26). DE:EQ: DK19=117.96 (SB1-&gt;ROM4), DM19=3119.54 (SB1-&gt;ROM5), DQ19=3237.50 (SB1 subtotal), DZ19=2162.42 (SB2-&gt;ROM5), ED19=2162.42 (SB2 subtotal)</t>
  </si>
  <si>
    <t>Semua nilai berhasil ditulis dan diverifikasi di row 19 (Day 10) sheet March TCM</t>
  </si>
  <si>
    <t>User meminta isi transaksi HAC pada kolom PI (HAC - WP = HAC ke Washing Plant) untuk tanggal 10 Maret</t>
  </si>
  <si>
    <t>Cek struktur kolom PI di March TCM dan verifikasi file upload untuk data HAC</t>
  </si>
  <si>
    <t>File TCM Coal wing 10 March.xlsx hanya berisi data Coal Winning (28 records). Tidak ada data HAC/Washing Plant. Nilai PI15:PI18 (hari 6-9) adalah input manual. User konfirmasi: jika tidak ada data HAC, tidak perlu diisi.</t>
  </si>
  <si>
    <t>PI19 dibiarkan kosong (tidak ada aktivitas HAC ke WP pada 10 Maret). Formula balance PL19 dan PY19 tetap berjalan otomatis.</t>
  </si>
  <si>
    <t>Proses file hauling 10 March TCM.xlsx: isi GR-GV (contractor detail), GX-JE (detail per source ROM), JH-JJ (FC production), JN-KL (persentase per produk) di sheet March TCM row 19</t>
  </si>
  <si>
    <t>Baca 10 record Coal Hauling dari MineMarketReport, hitung agregasi per kontraktor/source/produk, tulis ke row 19 (Day 10)</t>
  </si>
  <si>
    <t>GR19=5525.1(TRUST), GV19=5525.1(total formula). Source ROM: HF19=554.75(NB ROM5), HL19=554.75(subtotal), IJ19=1197.85(SB1 ROM5), IP19=1197.85(subtotal), IY19=3772.5(SB2 ROM5), JE19=3772.5(subtotal). FC Prod: JH19=5525.1(TCM.HCV.LS), JK19=5525.1(total formula). Pct: JR19=1(100% ROM5 TCM.HCV.LS)</t>
  </si>
  <si>
    <t>Semua nilai berhasil ditulis dan diverifikasi. Semua hauling: TRUST, TCM.HCV.LS, destination CR3, dari ROM5 (NB+SB1+SB2)</t>
  </si>
  <si>
    <t>Proses file tis 9 march.xlsx ke sheet March TIS: isi destination coal hauling Z-AB (ROM5/ROM6/Total) dan detail contractor AC-AF (TRUST/RTL/MPE/RUNA) untuk tanggal 10 Maret (row 21)</t>
  </si>
  <si>
    <t>Baca 19 record Coal Hauling TIS dari MineMarketReport, hitung total per ROM dan per kontraktor, tulis ke row 21 (Day 10) di March TIS</t>
  </si>
  <si>
    <t>Data: 19 record, semua dari TIS-ROM SB1 BK05-ROM 6, dest CR3, produk TIS.HCV.HS. AA21=9276.35(ROM6), AB21=9276.35(SUM formula). AE21=4943.81(MPE), AF21=4332.54(RP→kolom RUNA), AG21=9276.35(SUM formula). ROM5(Z21)=0, TRUST(AC21)=0, RTL(AD21)=0</t>
  </si>
  <si>
    <t>Semua nilai terverifikasi. Catatan: file bernama 'tis 9 march' tapi tanggal data = 10/03/2026 (Day 10). RP dimasukkan ke kolom AF (RUNA) karena sheet hanya punya 4 slot kontraktor.</t>
  </si>
  <si>
    <t>User minta trend di B12 TCM Dashboard otomatis mengikuti tanggal laporan dari B2 (=TEXT(TODAY()-1,"DD MMMM YYYY"))</t>
  </si>
  <si>
    <t>Ganti formula B12 dari hardcode D10:D18 (9 bar tetap) menjadi formula dinamis LET+MAKEARRAY+OFFSET+TEXTJOIN</t>
  </si>
  <si>
    <t>Formula baru: =LET(N,DAY(TODAY()-1), allData,OFFSET('March TCM'!D10,0,0,N,1), maxVal,MAX(allData), label,'Trend (D1→D'&amp;N&amp;'):  ', bars,MAKEARRAY(1,N,LAMBDA(r,c,...bar char...)), label&amp;TEXTJOIN(' ',FALSE,bars)). N otomatis = hari laporan, bars menyesuaikan jumlah.</t>
  </si>
  <si>
    <t>Berhasil. Output hari ini: 'Trend (D1→D10):  ▅ █ █ ▅ █ ▅ ▆ █ ▆ ▅'. Besok otomatis jadi D11 dengan 11 bar, dll.</t>
  </si>
  <si>
    <t>User minta cek kenapa trend FC Production (B39) dan FC Hauling (I39) berbeda di TCM Dashboard</t>
  </si>
  <si>
    <t>Audit formula sumber data: B39 pakai GM10:GM18 (TOTAL FC Prod ✅), I39 pakai GR10:GR18 (TRUST only ❌ seharusnya GV=TOTAL). Perbaiki kedua formula jadi dinamis LET+OFFSET+MAKEARRAY.</t>
  </si>
  <si>
    <t>Penyebab: I39 lama pakai kolom GR (TRUST only). Day 1-2 ada RTL+MPE+RP juga, jadi hasilnya beda dgn GM. Fix: ganti ke GV10 (=SUM kolom TOTAL hauling). Sekaligus upgrade keduanya jadi dynamic formula (tidak perlu update manual label D1→Dxx).</t>
  </si>
  <si>
    <t>B39 sekarang: 'Trend (D1→D10): █ ▇ ▁ ▄ ▄ ▅ ▆ ▅ ▅ ▅'. I39 sekarang sama persis karena GV=TOTAL=GM. Keduanya otomatis update tiap hari.</t>
  </si>
  <si>
    <t>User upload screenshot '🔴 BEHIND — 65%' dan minta FC Production &amp; FC Hauling punya status badge seperti Mining KPI, plus semua trend otomatis mengikuti B2</t>
  </si>
  <si>
    <t>Perbaiki layout FC section: row 39 = status badge (🟢/🟡/🔴), row 40 = dynamic trend. Upgrade semua trend Mining (I12, O12) dari hardcode D1→D9 ke LET+OFFSET+MAKEARRAY dynamic.</t>
  </si>
  <si>
    <t>B39=🟡CAUTION 78%, I39=🟡CAUTION 78%, O39=⚫NO DATA. B40/I40/O40 = Trend D1→D10 dynamic. I12(OB)/O12(OBOutpit) sekarang juga dynamic D1→D10. Total 6 trend cells semuanya auto.</t>
  </si>
  <si>
    <t>Semua trend: B12, I12, O12 (Mining), B40, I40, O40 (FC) kini dynamic LET+OFFSET formula. Label otomatis update D1→Dx setiap hari.</t>
  </si>
  <si>
    <t>User laporan trend KPI OB Outpit (O12) belum sesuai</t>
  </si>
  <si>
    <t>Audit sumber data: O12 pakai col O ('March TCM'!O10) = PAMA OB Production, bukan OB Outpit. Fix ke col CM = TOTAL OB Outpit (=SUM(CH:CL)).</t>
  </si>
  <si>
    <t>CM10:CM19 = [11513,9575,9163,8138,7500,3475,6014,5053,4446,4408] cocok dgn sparkline reference data. Formula diupdate ke OFFSET('March TCM'!CM10,...)</t>
  </si>
  <si>
    <t>O12 sekarang: 'Trend (D1→D10): █ ▇ ▇ ▆ ▆ ▃ ▅ ▄ ▄ ▄' — sesuai data OB Outpit actual.</t>
  </si>
  <si>
    <t>User laporan trend OB Outpit masih D1→D9 di screenshot — ternyata formula lama ada di P12, bukan O12</t>
  </si>
  <si>
    <t>Fix P12 (OB Outpit, col CM) dan P40 (Coal Loading, col LI) dari hardcode D1→D9 ke dynamic LET+OFFSET. Scan seluruh dashboard untuk sisa hardcoded trends.</t>
  </si>
  <si>
    <t>P12 fixed → CM col, P40 fixed → LI col. Remaining hardcoded D1→D9 setelah fix: TIDAK ADA</t>
  </si>
  <si>
    <t>Semua trend cells sudah dynamic. Tidak ada lagi D1→D9 hardcoded di seluruh TCM Dashboard.</t>
  </si>
  <si>
    <t>Cek KPI Coal Loading TIS Dashboard vs March TIS kolom BK</t>
  </si>
  <si>
    <t>Audit formula chain TIS Dashboard B64 → TIS.!B17 → Summary TIS D30/D31 → March TIS BK</t>
  </si>
  <si>
    <t>Ditemukan Summary TIS D31 pakai kolom BM (status 'Completed'=1) bukan BK (volume HCV-HS tonase). Chain: Dashboard B64=IF(TIS.!B17=0) → TIS.B17=SummaryTIS!D30 → D30=SUM(D31) → D31=LOOKUP(B4,MarchTIS!B:B,MarchTIS!BM) — BM adalah status bukan volume</t>
  </si>
  <si>
    <t>TIS Dashboard B64 menampilkan '–' (karena BM nilai=1 tapi terbaca 0 oleh formula)</t>
  </si>
  <si>
    <t>Perbaiki formula Summary TIS D31 dari BM ke BK</t>
  </si>
  <si>
    <t>Edit Summary TIS D31: ganti lookup kolom dari $BM$ ke $BK$ (volume HCV-HS)</t>
  </si>
  <si>
    <t>Formula baru: =LOOKUP(B4,'March TIS'!$B$12:$B$42,'March TIS'!$BK$12:$BK$42). Nilai mengalir: D31=15262.44 → D30=15262.44 → TIS.B17=15262.44 → Dashboard B64='15,262'</t>
  </si>
  <si>
    <t>✅ KPI Coal Loading TIS Dashboard B64 kini menampilkan 15,262 Ton (Day 10). MTD=37,229/30,000 (124%)</t>
  </si>
  <si>
    <t>User invoked /audit-xls to audit the March TCM sheet and fix formula errors, broken references, and formatting errors</t>
  </si>
  <si>
    <t>Audited March TCM sheet: scanned all 301×500 cells for errors, inconsistencies, and formula issues</t>
  </si>
  <si>
    <t>Found: 59× #VALUE! in row 45 (CELL filename formula fails in Excel Online/unsaved file); 1× #REF! in BP210; 2 broken formulas (AY10 cross-row ref, AY11 embedded #REF!); 1 AVERAGE misuse in I46; pasted-over values in row 52 (S,T,W,X,AB); 1 cross-row offset in D47; external link to deleted local file in row 45</t>
  </si>
  <si>
    <t>Audit report presented to user. No changes made yet — awaiting user confirmation on which fixes to apply</t>
  </si>
  <si>
    <t>Buat formula di March TCM untuk ROM Hauling (GJ–JE) yang otomatis terjumlah dari sheet 'Data Base hauling' saat data diperbarui</t>
  </si>
  <si>
    <t>Tulis SUMPRODUCT formulas di GJ10:GL40 (March TCM) untuk aggregate hauling per hari per source location dari Data Base hauling</t>
  </si>
  <si>
    <t>Formula menggunakan SUMPRODUCT dengan ISNUMBER(SEARCH()) untuk mencocokkan hari dari kolom DATE (teks format DD/MM/YYYY) di Data Base hauling ke baris hari di March TCM. GJ=NB (source: TCM-ROM NB-ROM 5), GK=SB1 (TCM-ROM SB1 BK05-ROM 5), GL=SB2 (TCM-ROM SB2 BK24-ROM 5). Kolom N (TOTAL) digunakan sebagai value. Baris 41 MTD otomatis =SUM(GJ10:GJ40). Validasi: D12 NB=1873.95, SB1=1635.9, SB2=2301.85 ✓</t>
  </si>
  <si>
    <t>Berhasil — D12 (row 21) terisi otomatis. MTD row 41 juga ter-update otomatis via SUM yang sudah ada sebelumnya.</t>
  </si>
  <si>
    <t>Kembalikan GJ10:GL40 ke nilai hardcoded semula (hapus formula SUMPRODUCT)</t>
  </si>
  <si>
    <t>Clear formula SUMPRODUCT dari GJ10:GL40, restore nilai statis asli</t>
  </si>
  <si>
    <t>Nilai D1–D11 dan D13–D31 dikembalikan dari catatan scan Turn 1. Nilai D12 (row 21) dikosongkan karena tidak ada dalam catatan. GR21 yang diubah user (5000) dibiarkan tidak diubah karena di luar scope GJ:GL.</t>
  </si>
  <si>
    <t>GJ10:GL40 kembali ke nilai hardcoded. Row 21 (D12) dikosongkan — perlu diisi manual.</t>
  </si>
  <si>
    <t>Buat formula di kolom GR-GV (March TCM) berdasarkan contractor dari Data Base hauling</t>
  </si>
  <si>
    <t>Tulis SUMPRODUCT formulas di GR10:GU40 untuk TRUST (GR), RTL (GS), MPE (GT), RP (GU) per hari</t>
  </si>
  <si>
    <t>Formula: =SUMPRODUCT((DB!$H='contractor')*(ISNUMBER(SEARCH(day_pattern,DB!$E)))*DB!$N). Kolom H=CONTRACTOR, N=TOTAL, E=DATE. Contractor di DB: TRUST, MPE, RP (RTL = 0 semua). TOTAL di GV sudah ada formula =SUM(GR:GU) sebelumnya. Row 41-42 MTD otomatis update.</t>
  </si>
  <si>
    <t>GR-GU rows 10-40 terisi otomatis dari DB. D1: TRUST=4479.7, MPE=3097, RP=3188.27. MTD row 41: TRUST=61132.14, MPE=7235.19, RP=3315.82, TOTAL=71683.15.</t>
  </si>
  <si>
    <t>Isi kolom GX-HK area NB khusus PJPN dari Data Base hauling</t>
  </si>
  <si>
    <t>Tulis SUMPRODUCT formula di HF10:HF40 (ROM 5 PJPN) dan HH10:HH40 (ROM 6 PJPN)</t>
  </si>
  <si>
    <t>Mapping: SOURCE 'TCM-ROM NB-ROM 5' → HF (ROM 5 PJPN), SOURCE 'TCM-ROM NB-ROM 6' → HH (ROM 6 PJPN). Kolom RML (GY,HA,HC,HE,HG,HI), WC (HJ), HAC (HK) tidak diisi. Cross-check: HF+HH = GJ (NB total) untuk semua hari ✅</t>
  </si>
  <si>
    <t>Validasi sempurna. MTD: ROM5=12074.67, ROM6=5394.38, Total NB=17469.05. Semua hari cocok dengan total GJ.</t>
  </si>
  <si>
    <t>Tentukan source ROM SB1 di March TCM dari Data Base hauling — isi kolom HS dan HU</t>
  </si>
  <si>
    <t>Tulis SUMPRODUCT formula di HS10:HS40 (ROM 4) dan HU10:HU40 (ROM 5)</t>
  </si>
  <si>
    <t>Mapping: SOURCE 'TCM-ROM SB1 BK05-ROM 4' → HS (ROM 4), 'TCM-ROM SB1 BK05-ROM 5' → HU (ROM 5). Kolom SMI, ROM1-3, ROM6, WC, HAC tidak diisi. Cross-check HS+HU vs GK: 10 dari 11 hari match. D12 berbeda karena GK row 21 masih hardcoded 0.</t>
  </si>
  <si>
    <t>HS+HU valid dari DB. MTD: ROM4=6130.39, ROM5=14077.37. Catatan: GK (SB1 total) masih hardcoded lama, perlu update terpisah jika diperlukan.</t>
  </si>
  <si>
    <t>Tentukan source ROM SB1 BK05 di area IB-IP (March TCM) dari Data Base hauling</t>
  </si>
  <si>
    <t>Tulis SUMPRODUCT formula di IH10:IH40 (ROM 4) dan IJ10:IJ40 (ROM 5)</t>
  </si>
  <si>
    <t>Mapping: 'TCM-ROM SB1 BK05-ROM 4' → IH (ROM 4), 'TCM-ROM SB1 BK05-ROM 5' → IJ (ROM 5). IP SUB TOTAL sudah ada =SUM(IB10:IO10). Kolom ROM 1-3, ROM 6, SMI, WC, HAC dikosongkan.</t>
  </si>
  <si>
    <t>Formula valid. D1: ROM4=1993.39, ROM5=3137.08, IP subtotal=5130.47 = GK ✅. D12: ROM5=1635.9. MTD: ROM4=6130.39, ROM5=14077.37, IP=20207.76 = GK ✅</t>
  </si>
  <si>
    <t>Buat formula ROM SB2 BK24 di area IQ-JD (March TCM) dari Data Base hauling</t>
  </si>
  <si>
    <t>Tulis SUMPRODUCT di IW10:IW40 (ROM 4), IY10:IY40 (ROM 5), JA10:JA40 (ROM 6)</t>
  </si>
  <si>
    <t>Mapping: ROM 4→IW (siap, belum ada data), ROM 5→IY ('TCM-ROM SB2 BK24-ROM 5'), ROM 6→JA ('TCM-ROM SB2 BK24-ROM 6'). Kolom ROM 1-3, SMI, WC, HAC dikosongkan. JE SUB TOTAL sudah ada =SUM(IQ:JD).</t>
  </si>
  <si>
    <t>Cross-check IY+JA = GL (SB2 total): semua 12 hari match ✅. MTD: ROM5=30621.22, ROM6=3385.12, Total=34006.34.</t>
  </si>
  <si>
    <t>Isi tonase produk FC Production (JH-JK) di March TCM dari Data Base hauling</t>
  </si>
  <si>
    <t>Tulis SUMPRODUCT di JH10:JH40 (TCM.HCV.LS) dan JI10:JI40 (TCM.HCV.HS) berdasarkan kolom PRODUCT di DB</t>
  </si>
  <si>
    <t>Formula filter kolom O (PRODUCT) di DB. JH=TCM.HCV.LS, JI=TCM.HCV.HS, JJ=LCV.MS.HA (kosong/tidak ada di DB), JK=TOTAL sudah ada =JH+JI+JJ. MTD row 41 otomatis via SUM(JH10:JH40).</t>
  </si>
  <si>
    <t>Semua hari cocok dengan nilai sebelumnya ✅. D12 kini terisi: LS=5811.7. MTD: LS=52899.06, HS=18784.09, Total=71683.15.</t>
  </si>
  <si>
    <t>Buat formula HJ (WC/Washing) dan update GS (RT) di March TCM untuk transaksi TCM-WASH-CR3 contractor RT</t>
  </si>
  <si>
    <t>1) Update GS10:GS40 dari filter 'RTL' → 'RT'. 2) Tulis SUMPRODUCT di HJ10:HJ40 filter SOURCE='TCM-WASH-CR3'</t>
  </si>
  <si>
    <t>GS filter contractor H='RT'. HJ filter source C='TCM-WASH-CR3' (semua contractor, karena hanya RT yang pakai WASH). Keduanya 0 sampai data washing masuk ke DB.</t>
  </si>
  <si>
    <t>Formula siap. Otomatis terisi saat transaksi TCM-WASH-CR3/contractor RT ditambahkan ke Data Base hauling.</t>
  </si>
  <si>
    <t>Buat formula blending per ROM untuk TCM.HCV.LS di JN-JU (March TCM) dari Data Base hauling</t>
  </si>
  <si>
    <t>Tulis SUMPRODUCT di JN-JU rows 10-40: filter PRODUCT='TCM.HCV.LS' + SOURCE per ROM</t>
  </si>
  <si>
    <t>JN=ROM1, JO=ROM2, JP=ROM3 (siap/0), JQ=ROM4 (SB1-ROM4), JR=ROM5 (NB-ROM5+SB1-ROM5+SB2-ROM5), JS=ROM6 (NB/SB1/SB2-ROM6 LS), JT=WC (WASH-CR3), JU=HAC. Row 41 otomatis % proporsi via formula yang sudah ada.</t>
  </si>
  <si>
    <t>Cross-check JN+...+JU = JH (LS total): semua 11 hari match ✅. D8: ROM4=79.55, ROM5=5713.75. MTD row 41 = proporsi blending otomatis.</t>
  </si>
  <si>
    <t>Fix: % blending JN-JU ribuan karena double-count di JR/JS formula</t>
  </si>
  <si>
    <t>Ganti kondisi OR (+) di JR dan JS dengan SIGN() untuk cap boolean di 1</t>
  </si>
  <si>
    <t>Masalah: (src=A)+(src=B)+(src=C) bisa = 2 atau 3 jika multi-match, menyebabkan tonase dikalikan ganda. Fix: SIGN((src=A)+(src=B)+(src=C)) selalu 0 atau 1.</t>
  </si>
  <si>
    <t>Semua 11 hari match JH (LS total) ✅. Row 41 proporsi: ROM4=0.15%, ROM5=99.85%.</t>
  </si>
  <si>
    <t>Fix: % blending JN-JU masih puluhan ribu — perbaiki format angka</t>
  </si>
  <si>
    <t>Set numberFormat JN-JU rows 10-40 = '#,##0.00' (tonase), rows 41-42 = '0.00%' (proporsi)</t>
  </si>
  <si>
    <t>Root cause: semua baris JN-JU diformat 0.00%, sehingga tonase 6167.82 tampil sebagai 616,782.00%. Nilai formula sudah benar (0-1 di row 41), hanya format yang salah.</t>
  </si>
  <si>
    <t>JR10 = 6,167.82 (tonase) ✅ | JR41 = 99.85% (proporsi MTD) ✅</t>
  </si>
  <si>
    <t>Ubah JN-JT rows 10-40 menjadi % kontribusi ROM terhadap total LS harian</t>
  </si>
  <si>
    <t>Formula = tonase_ROM_LS / JH (total LS hari itu), format 0.00%</t>
  </si>
  <si>
    <t>Setiap kolom: JN=ROM1, JO=ROM2, JP=ROM3, JQ=ROM4(SB1), JR=ROM5(NB+SB1+SB2), JS=ROM6, JT=WC. Denominator = JH (total LS hari). IFERROR = '' jika 0.</t>
  </si>
  <si>
    <t>D12: ROM5=100.00% ✅ (5811.7/5811.7). D1: ROM5=100.00% ✅. Format 0.00% diterapkan rows 10-40.</t>
  </si>
  <si>
    <t>Buat formula % blending TCM.HCV.HS per ROM di JV-KC (March TCM)</t>
  </si>
  <si>
    <t>Tulis formula % per ROM rows 10-40: numerator=SUMPRODUCT HS per ROM, denominator=JI (total HS harian)</t>
  </si>
  <si>
    <t>JV=ROM1, JW=ROM2, JX=ROM3, JY=ROM4(SB1-ROM4), JZ=ROM5(NB+SB1+SB2-ROM5), KA=ROM6(NB+SB1+SB2-ROM6), KB=WC, KC=HAC. SIGN() untuk multi-source. Format 0.00% rows 10-42.</t>
  </si>
  <si>
    <t>Validasi sum per hari = 100% semua hari ✅. D1: ROM4=43.36%, ROM5=23.73%, ROM6=32.91%. MTD: ROM4=31.30%, ROM5=23.92%, ROM6=44.78%.</t>
  </si>
  <si>
    <t>13/03/2026</t>
  </si>
  <si>
    <t>Isi kolom ROM di area AW-BW (March TCM) dari Data Base Coal Wining sesuai pit BK dan location</t>
  </si>
  <si>
    <t>Buat SUMPRODUCT formula di kolom ROM (AX, BD, BM) rows 10-42; perbaiki semua SR formulas (AY, BB, BE, BH, BK, BN, BQ, BT, BW)</t>
  </si>
  <si>
    <t>AX=PAMA+BK20+P3000, BD=PAMA+BK30+P3000, BM=MAP+BK26+P4400. Filter: SOURCE berisi BK##&amp;P####, CONTRACTOR, date, activity=Coal Winning. Kolom AZ/BA (BK34), BF/BG (BK23), BI/BJ (CHANNEL BK30) kosong—tidak ada data di DB. PJPN (BO-BW) tetap hardcoded. SR formula diperbaiki dari #REF! di row 11.</t>
  </si>
  <si>
    <t>ROM formulas aktif di AX10:AX40, BD10:BD40, BM10:BM40. SR formula benar di semua 9 SR kolom. Nilai sesuai dengan hardcoded sebelumnya.</t>
  </si>
  <si>
    <t>Isi details per destination per ROM dari Data Base Coal Wining di kolom DE-DQ (March TCM)</t>
  </si>
  <si>
    <t>Tulis SUMPRODUCT formula di DG, DK, DM (rows 10-40) berdasarkan DESTINATION, dan DQ=SUM(DE:DP) sebagai SUB TOTAL</t>
  </si>
  <si>
    <t>DG=ROM 2(HAC) dest:TCM-ROM SB1 BK05-ROM 2(HAC), DK=ROM 4 dest:TCM-ROM SB1 BK05-ROM 4, DM=ROM 5 dest:TCM-ROM SB1 BK05-ROM 5. Filter: DESTINATION exact match + activity=Coal Winning + date. DE/DF/DH/DI/DJ/DL/DN/DO/DP kosong (tidak ada data di DB). MTD row 41-42 = SUM.</t>
  </si>
  <si>
    <t>Cross-check DQ vs AX: 100% match semua 12 hari. Formula aktif di rows 10-42.</t>
  </si>
  <si>
    <t>Isi HAC ROM SB1 BK05-ROM 2 (HAC) di kolom PV (March TCM)</t>
  </si>
  <si>
    <t>Tulis SUMPRODUCT formula di PV10:PV40 + MTD PV41:PV42</t>
  </si>
  <si>
    <t>PV = 'PIT SB1 (ROM 2 HAC SB1 BK05)'. Filter: DESTINATION='TCM-ROM SB1 BK05-ROM 2 (HAC)' + activity=Coal Winning + date. PX=SUM(PU:PW) sudah mencakup PV secara otomatis.</t>
  </si>
  <si>
    <t>Row 11 (D2) = 357.88 sesuai hardcoded sebelumnya. Formula aktif rows 10-42. Hanya 1 hari data tersedia di DB saat ini.</t>
  </si>
  <si>
    <t>Isi PIT - ROM SB2 BK24 di kolom DR-EC (March TCM) dari Data Base Coal Wining</t>
  </si>
  <si>
    <t>Tulis SUMPRODUCT formula di DZ (ROM 5), EB (ROM 6), ED (SUB TOTAL) rows 10-42</t>
  </si>
  <si>
    <t>DZ=dest:TCM-ROM SB2 BK24-ROM 5 (MAP+PAMA, same dest jadi satu formula), EB=dest:TCM-ROM SB2 BK24-ROM 6 (PAMA). ED=SUM(DR:EC). DR-DY, EA, EC kosong (tidak ada data ROM 1-4, SMI).</t>
  </si>
  <si>
    <t>Cross-check DZ+EB=ED: 100% match semua 12 hari. Formula aktif rows 10-42.</t>
  </si>
  <si>
    <t>Isi source TIS-ROM SB1 BK05 dari DB Hauling TIS di March TIS kolom Z-AA</t>
  </si>
  <si>
    <t>Tulis SUMPRODUCT formula di AA12:AA42 (ROM 6). Z (ROM 5) kosong — tidak ada data di DB.</t>
  </si>
  <si>
    <t>AA = source:'TIS-ROM SB1 BK05-ROM 6', filter: SOURCE exact match + date TEXT(B,'00')&amp;'/03/2026'. DB hanya berisi satu source (ROM 6), contractor MPE+RP, activity Coal Hauling, product TIS.HCV.HS. AB=SUM(Z:AA) sudah ada formula sebelumnya. MTD row 43-44 sudah ada SUM formula.</t>
  </si>
  <si>
    <t>D2-D11 cocok 100% dengan hardcoded sebelumnya. MTD row 43 = 87,986.63. Formula aktif AA12:AA42.</t>
  </si>
  <si>
    <t>Isi contractor breakdown AC-AF di March TIS dari DB Hauling TIS</t>
  </si>
  <si>
    <t>Tulis SUMPRODUCT formula di AE (MPE) dan AF (RP) rows 12-42. AC (TRUST) dan AD (RT) tidak ada di DB, tetap 0.</t>
  </si>
  <si>
    <t>Filter: SOURCE='TIS-ROM SB1 BK05-ROM 6' + CONTRACTOR='MPE'/'RP' + date. AG=SUM(AC:AF) dan MTD row 43-44 sudah ada formula, otomatis update.</t>
  </si>
  <si>
    <t>Cross-check AE+AF=AG: 100% match semua 11 hari data. MTD MPE=46,188.12, RP=41,798.51, Total=87,986.63.</t>
  </si>
  <si>
    <t>Isi tonase Washing Plant dari Data Base Coal Wining di March TCM kolom PI</t>
  </si>
  <si>
    <t>Tulis SUMPRODUCT formula di PI10:PI40 menggabungkan activity Coal Washing + ROM Rehandling dengan SIGN() OR logic</t>
  </si>
  <si>
    <t>PI = HAC - WP. Filter: SIGN((act='Coal Washing')+(act='ROM Rehandling')) + date. DB memiliki 2 trans: HAC1-WASHING PLANT (Coal Washing, RT) dan HAC-Washing Plant (ROM Rehandling, RT). Row 41-42 sudah ada formula SUM/reference.</t>
  </si>
  <si>
    <t>D6=850.78, D7=545.60, D8=1,450.38, D9=777.08 — cocok 100% dengan hardcoded. MTD=3,623.84.</t>
  </si>
  <si>
    <t>Bertanya kenapa AX22 di sheet 'March TCM' tidak ada data padahal di Data Base Coal Wining sudah ada</t>
  </si>
  <si>
    <t>Investigasi formula SUMPRODUCT di AX22 dan data di sheet Data Base Coal Wining</t>
  </si>
  <si>
    <t>Formula mencari tanggal '13/03/2026' di kolom E DB. Data terakhir di DB hanya sampai 12/03/2026. Ada 87 baris BK20+P3000+PAMA+Coal Winning tapi 0 baris untuk tanggal 13 Maret.</t>
  </si>
  <si>
    <t>Root cause ditemukan: data tanggal 13/03/2026 belum ada di Data Base Coal Wining (data terakhir adalah 12/03/2026). Formula benar, masalah ada di data sumber.</t>
  </si>
  <si>
    <t>User asked to check and fix circular/broken formulas in 'To Date Sumary TCM &amp; TIS' sheet, range A4:S40.</t>
  </si>
  <si>
    <t>Diagnosed and fixed 8 broken formula cells in column I (rows 9-18, 34-38): #NAME?, #N/A, #REF! errors. No circular references found.</t>
  </si>
  <si>
    <t>Errors found: I10=#N/A (wrong row 219 ref), I11/I12/I15/I16/I18=#NAME? (corrupt 'January #REF!' references), I35=#REF! (corrupt #REF! ref), I38=#N/A (wrong row 252 ref). All 8 cells fixed to use correct January TCM sections: Sec2 N95:N125 for TCM, Sec3-4 N136:166/N178:208 for TIS.</t>
  </si>
  <si>
    <t>All 8 formulas now return numeric values. Zero errors remain in A1:S50. SUM aggregators (I9, I14, I34, I37) resolved correctly.</t>
  </si>
  <si>
    <t>Isi data coal wining di April TIS kolom U-W (Seam 3000/3100/3800) berdasarkan Data Base CW TIS template OP1-ROM SB1 BK05, dan kolom AU untuk template TIS-ROM TEMPORARY-ROM 6 (TIS). Buat rumus tanggal 1-31.</t>
  </si>
  <si>
    <t>Menulis SUMPRODUCT formulas di U12:U42, V12:V42, W12:W42, AU12:AU42 di sheet April TIS yang mengambil data dari Data Base CW TIS.</t>
  </si>
  <si>
    <t>U=SUMPRODUCT IFERROR(VALUE(LEFT(DATE,2)))=day * template='OP1-ROM SB1 BK05' * SEARCH('S3000' in SOURCE). V=S3100, W=S3800. AU=template='ROM TEMPORARY-ROM SB1 BK05' * source='TIS-ROM TEMPORARY-ROM 6 (TIS)'. Dates in DB stored as text dd/mm/yyyy hh:mm:ss, IFERROR handles empty rows.</t>
  </si>
  <si>
    <t>Day1: U=734.34, AU=2029.71. Day2: U=1021.90, AU=1109.68. MTD: U43=1756.24, AU43=3139.39. V &amp; W ready to auto-populate when S3100/S3800 data added to DB.</t>
  </si>
  <si>
    <t>Rapikan (tidy up) KPI Cards di TCM Dashboard — semua 4 aspek: ukuran kartu, border, alignment, spasi</t>
  </si>
  <si>
    <t>Fixed column widths (equalized all 3 cards per section to 278.4px each), fixed 9 row heights, fixed bottom bar fill colors for sections 2/3/4, fixed top bar separator cols H/R, fixed 32 text alignment cells from 'General' to 'Left'</t>
  </si>
  <si>
    <t>Card col layout: Card1=A-F(6+78+52.2+58.2+42+42), Sep=G+H(4.2+4.2), Card2=I-N(6+78+52.2+58.2+42+42), Sep=O+P+Q+R(hidden+4.2), Card3=S-X(6+78+52.2+58.2+42+42). Bottom bars fixed for rows 56,84,112. Top bar separators standardized (H=white, I=grey). Status/Progress/ContractorDetails rows aligned to Left.</t>
  </si>
  <si>
    <t>All 12 KPI cards (3 per section × 4 sections) now have equal width, consistent colored top/bottom border bars, standardized separator columns, and uniform text alignment. Dashboard looks visually balanced.</t>
  </si>
  <si>
    <t>Buat formula quality TCM HCV LS di sheet April TCM kolom KN:KR (ADB basis) mengambil data dari sheet TCM.HCV.LS</t>
  </si>
  <si>
    <t>Menulis formula SUMPRODUCT weighted average di KN10:KR40 (31 baris), AutoFill dari baris 10 ke 40</t>
  </si>
  <si>
    <t>KN=CV ADB (col O TCM.HCV.LS), KO=TS ADB (col M), KP=ASH ADB (col G), KQ=IM/M ADB (col F), KR=TM ARB (col E). Formula: =IFERROR(SUMPRODUCT((date match)*(val&gt;0)*tonnage*quality)/SUMPRODUCT((date match)*(val&gt;0)*tonnage),0). Date match: DATE(2026,4,$B10) vs TCM.HCV.LS!$A$3:$A$20</t>
  </si>
  <si>
    <t>Formula berhasil di KN10:KR40. Nilai terverifikasi cocok dengan data existing. Baris 41 (MTD) sudah otomatis ter-update karena menggunakan referensi KN10:KN40.</t>
  </si>
  <si>
    <t>Buat formula quality TCM HCV HS di sheet April TCM kolom KS:KW (ADB basis), data dari sheet TCM.HCV.HS</t>
  </si>
  <si>
    <t>Menulis formula SUMPRODUCT weighted average di KS10:KW40 (31 baris), AutoFill dari baris 10 ke 40</t>
  </si>
  <si>
    <t>KS=CV ADB (col O), KT=TS ADB (col M), KU=ASH ADB (col G), KV=IM ADB (col F), KW=TM ARB (col E). Data range TCM.HCV.HS baris 3:8 (6 data rows). Bobot tonnage dari col C. DATE(2026,4,$B10) untuk date match.</t>
  </si>
  <si>
    <t>Formula berhasil di KS10:KW40. Nilai cocok dengan data existing (contoh: hari ke-3 CV=6913, hari ke-5 CV=6910). Baris 41 MTD sudah otomatis ter-update.</t>
  </si>
  <si>
    <t>Pengguna meminta pembacaan data di baris KN sampai KR pada sheet April TCM, melaporkan hanya terbaca sampai kolom 20.</t>
  </si>
  <si>
    <t>Membaca range KN1:KR301 menggunakan Office.js getRangeByIndexes untuk menghindari error WorksheetFreezePanes.</t>
  </si>
  <si>
    <t>Kolom KN=index 299, KR=index 303. Sheet berukuran A1:SF301 (500 kolom, 301 baris). Tool get_range_as_csv gagal dengan error WorksheetFreezePanes.getLocationOrNullObject.</t>
  </si>
  <si>
    <t>Data berhasil terbaca: 38 baris non-kosong. Berisi tabel quality per product (HCV-LS) dengan kolom CV, TS, ASH, IM, TM. Data valid sampai baris 44.</t>
  </si>
  <si>
    <t>Pengguna bertanya apakah data di KN-KR masih terbaca jika TCM.HCV.LS diisi sampai kolom sesuai tanggal (30 atau 31).</t>
  </si>
  <si>
    <t>Menganalisis formula di KN10:KR44 untuk mengidentifikasi sumber data dan batas range.</t>
  </si>
  <si>
    <t>Ditemukan semua formula SUMPRODUCT di KN-KR mereferensikan TCM.HCV.LS!$A$3:$A$20 (fixed sampai baris 20). Jika data diisi melewati baris 20 di TCM.HCV.LS, data tersebut tidak akan terbaca.</t>
  </si>
  <si>
    <t>Teridentifikasi masalah: range hanya sampai baris 20. Menunggu konfirmasi pengguna untuk memperluas range formula.</t>
  </si>
  <si>
    <t>Pengguna meminta formula diperbarui agar bisa menampung data sampai 100 baris di TCM.HCV.LS.</t>
  </si>
  <si>
    <t>Mencoba update formula KN-KR dari $A$3:$A$20 ke $A$3:$A$102. Ditemukan masalah: baris 21 di TCM.HCV.LS berisi 'Cummulative Result', bukan data. Formula dikembalikan ke aslinya ($A$3:$A$20) setelah nilai jadi 0.</t>
  </si>
  <si>
    <t>Sheet TCM.HCV.LS hanya punya 18 baris data (baris 3-20). Baris 21 adalah baris ringkasan yang menghalangi perluasan range. Perlu memindahkan baris Cummulative Result ke bawah (misal baris 103) sebelum formula bisa diperluas.</t>
  </si>
  <si>
    <t>Menunggu konfirmasi pengguna untuk memindahkan baris Cummulative Result dan memperluas formula ke $A$3:$A$102.</t>
  </si>
  <si>
    <t>Pengguna mengkonfirmasi untuk memindahkan baris Cummulative Result dan memperluas range formula.</t>
  </si>
  <si>
    <t>(1) Pindah baris 21 TCM.HCV.LS ke baris 103 dengan formula diupdate ke range 3:102. (2) Update semua formula KN10:KR40 di April TCM dari $A$3:$A$20 ke $A$3:$A$102.</t>
  </si>
  <si>
    <t>TCM.HCV.LS: baris 103 = Cummulative Result, formula C103=SUM(C3:C102), col E-U pakai IFERROR(SUMPRODUCT/SUMIF). April TCM KN-KR: 31 baris x 5 kolom formula diperbarui.</t>
  </si>
  <si>
    <t>Selesai. Data lama tetap terbaca (CV baris 11=6938, dst). TCM.HCV.LS siap menampung 100 baris data (baris 3-102).</t>
  </si>
  <si>
    <t>User meminta trend grafik sparkline diubah menjadi 1 minggu ke belakang (7 hari terakhir) di TCM Dashboard</t>
  </si>
  <si>
    <t>Update formula di B12, J12, T12, U12 di sheet 'TCM Dashboard'</t>
  </si>
  <si>
    <t>Formula LET diubah dari menampilkan D1→D(N) menjadi D(N-6)→D(N) dengan menggunakan MIN(N,7) dan OFFSET sesuai posisi mulai. Sumber data: 'April TCM'!D10 (Coal), C10 (OB), CM10 (OB OutPit)</t>
  </si>
  <si>
    <t>Berhasil: B12 menampilkan 'Trend (D19→D25): █ ▆ ▇ ▇ ▇ █ ▇', J12 menampilkan 'Trend (D19→D25): █ █ █ ▆ █ █ █'</t>
  </si>
  <si>
    <t>User meminta trend 7 hari juga diterapkan pada card KPI: FC Production, FC Hauling, Coal Loading</t>
  </si>
  <si>
    <t>Update formula di B40, J40, T40, U40 di sheet 'TCM Dashboard'</t>
  </si>
  <si>
    <t>Pola formula sama dengan B12/J12/T12/U12. Sumber data: 'April TCM'!GM10 (FC Prod), GV10 (FC Hauling), LI10 (Coal Loading)</t>
  </si>
  <si>
    <t>Berhasil: B40='Trend (D19→D25): ▄ █ ▄ ▅ ▃ ▅ ▄', J40='Trend (D19→D25): ▄ █ ▄ ▅ ▃ ▅ ▄', T40/U40='Trend (D19→D25): ▁ ▁ ▁ ▁ ▁ ▁ ▁'</t>
  </si>
  <si>
    <t>Ambil data Water Level dari April TCM kolom LL ke TCM. kolom B baris 9</t>
  </si>
  <si>
    <t>Tulis formula referensi ke TCM.!B9</t>
  </si>
  <si>
    <t>Formula ='April TCM'!LN36 ditulis ke B9. Water Level kolom LN ditemukan di April TCM setelah scan 500+ kolom. Hari ke-27 (27 April) ada di row 36 dengan nilai 4.2</t>
  </si>
  <si>
    <t>TCM.!B9 = 4.2 (Water Level 27 April dari April TCM!LN36)</t>
  </si>
  <si>
    <t>Tentukan tonase produk ROM HS yang masuk blending LS di kolom C Simulation Daily</t>
  </si>
  <si>
    <t>Baca data May TCM kolom GY:JF, identifikasi ROM HS dan LS per sumber, hitung tonase HS-to-LS per hari, tulis ke C2:C21</t>
  </si>
  <si>
    <t>ROM HS: NB ROM6, SB1 ROM4, SB1 ROM6, SB2 ROM6. ROM LS: NB ROM1, NB ROM5, SB1 ROM5, SB2 ROM5. Pemetaan: GY=NB, IC=SB1, IR=SB2. Baris 2=30Apr, Baris 3-21=1-19 Mei</t>
  </si>
  <si>
    <t>Kolom C Simulation Daily C2:C21 terisi. Total HS-to-LS MTD = 65,799.57 ton</t>
  </si>
  <si>
    <t>07/09/2026 07:00:00</t>
  </si>
  <si>
    <t>30</t>
  </si>
  <si>
    <t>852.84</t>
  </si>
  <si>
    <t>19.64</t>
  </si>
  <si>
    <t>28.90</t>
  </si>
  <si>
    <t>23</t>
  </si>
  <si>
    <t>632.66</t>
  </si>
  <si>
    <t>43</t>
  </si>
  <si>
    <t>1171.30</t>
  </si>
  <si>
    <t>TCM-OP1-SB2-BK20-P3000-SECT_N193-S2800-P50</t>
  </si>
  <si>
    <t>28.84</t>
  </si>
  <si>
    <t>135.16</t>
  </si>
  <si>
    <t>16</t>
  </si>
  <si>
    <t>585.16</t>
  </si>
  <si>
    <t>678.34</t>
  </si>
  <si>
    <t>07/09/2026 19:00:00</t>
  </si>
  <si>
    <t>109.46</t>
  </si>
  <si>
    <t>79.54</t>
  </si>
  <si>
    <t>15</t>
  </si>
  <si>
    <t>382.32</t>
  </si>
  <si>
    <t>TCM-OP1-SB2-BK20-P3000-SECT_N192-S3000-P40</t>
  </si>
  <si>
    <t>283.22</t>
  </si>
  <si>
    <t>411.60</t>
  </si>
  <si>
    <t>TCM-OP1-SB2-BK20-P3000-SECT_N191-S3800-P20</t>
  </si>
  <si>
    <t>28.62</t>
  </si>
  <si>
    <t>13</t>
  </si>
  <si>
    <t>368.04</t>
  </si>
  <si>
    <t>397.94</t>
  </si>
  <si>
    <t>TCM-OP1-SB2-BK20-P3000-SECT_N195-S2800-P30</t>
  </si>
  <si>
    <t>51.86</t>
  </si>
  <si>
    <t>137.60</t>
  </si>
  <si>
    <t>77.00</t>
  </si>
  <si>
    <t>71.90</t>
  </si>
  <si>
    <t>24.00</t>
  </si>
  <si>
    <t>149.40</t>
  </si>
  <si>
    <t>145.85</t>
  </si>
  <si>
    <t>74.75</t>
  </si>
  <si>
    <t>67.45</t>
  </si>
  <si>
    <t>74.10</t>
  </si>
  <si>
    <t>76.35</t>
  </si>
  <si>
    <t>349.16</t>
  </si>
  <si>
    <t>136.70</t>
  </si>
  <si>
    <t>677.82</t>
  </si>
  <si>
    <t>205.13</t>
  </si>
  <si>
    <t>339.65</t>
  </si>
  <si>
    <t>496.45</t>
  </si>
  <si>
    <t>246.25</t>
  </si>
  <si>
    <t>160.60</t>
  </si>
  <si>
    <t>80.60</t>
  </si>
  <si>
    <t>419.35</t>
  </si>
  <si>
    <t>249.75</t>
  </si>
  <si>
    <t>463.99</t>
  </si>
  <si>
    <t>509.30</t>
  </si>
  <si>
    <t>17</t>
  </si>
  <si>
    <t>1121.57</t>
  </si>
  <si>
    <t>530.78</t>
  </si>
  <si>
    <t>61.42</t>
  </si>
  <si>
    <t>60.97</t>
  </si>
  <si>
    <t>65.72</t>
  </si>
  <si>
    <t>84.85</t>
  </si>
  <si>
    <t>331.25</t>
  </si>
  <si>
    <t>255.15</t>
  </si>
  <si>
    <t>260.62</t>
  </si>
  <si>
    <t>TCM-ROM NB-ROM 1</t>
  </si>
  <si>
    <t>115.80</t>
  </si>
  <si>
    <t>58.00</t>
  </si>
  <si>
    <t>93.75</t>
  </si>
  <si>
    <t>50000</t>
  </si>
  <si>
    <t>197.55</t>
  </si>
  <si>
    <t>203.60</t>
  </si>
  <si>
    <t>ROM SB2 BK24-CR4</t>
  </si>
  <si>
    <t>TCM-CR4-CR4</t>
  </si>
  <si>
    <t>136.80</t>
  </si>
  <si>
    <t>ROM NB-CR4</t>
  </si>
  <si>
    <t>38.00</t>
  </si>
  <si>
    <t>253.80</t>
  </si>
  <si>
    <t>87.75</t>
  </si>
  <si>
    <t>73.35</t>
  </si>
  <si>
    <t>269.83</t>
  </si>
  <si>
    <t>205.38</t>
  </si>
  <si>
    <t>345.07</t>
  </si>
  <si>
    <t>9</t>
  </si>
  <si>
    <t>740.90</t>
  </si>
  <si>
    <t>410.05</t>
  </si>
  <si>
    <t>244.00</t>
  </si>
  <si>
    <t>252.00</t>
  </si>
  <si>
    <t>856.95</t>
  </si>
  <si>
    <t>904.48</t>
  </si>
  <si>
    <t>926.08</t>
  </si>
  <si>
    <t>1116.30</t>
  </si>
  <si>
    <t>127.09</t>
  </si>
  <si>
    <t>81.30</t>
  </si>
  <si>
    <t>431.20</t>
  </si>
  <si>
    <t>752.80</t>
  </si>
  <si>
    <t>25</t>
  </si>
  <si>
    <t>715.92</t>
  </si>
  <si>
    <t>29</t>
  </si>
  <si>
    <t>656.16</t>
  </si>
  <si>
    <t>199.58</t>
  </si>
  <si>
    <t>65.52</t>
  </si>
  <si>
    <t>52</t>
  </si>
  <si>
    <t>1133.16</t>
  </si>
  <si>
    <t>133.02</t>
  </si>
  <si>
    <t>220.28</t>
  </si>
  <si>
    <t>CP.594/26</t>
  </si>
  <si>
    <t>CP.595/26</t>
  </si>
  <si>
    <t>CP.592/26</t>
  </si>
  <si>
    <t>CP.593/26</t>
  </si>
  <si>
    <t>CP.136/26</t>
  </si>
  <si>
    <t>CP.137/26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</si>
</sst>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7">
    <numFmt numFmtId="41" formatCode="_-* #,##0_-;\-* #,##0_-;_-* &quot;-&quot;_-;_-@_-"/>
    <numFmt numFmtId="43" formatCode="_-* #,##0.00_-;\-* #,##0.00_-;_-* &quot;-&quot;??_-;_-@_-"/>
    <numFmt numFmtId="164" formatCode="_(* #,##0_);_(* \(#,##0\);_(* &quot;-&quot;_);_(@_)"/>
    <numFmt numFmtId="165" formatCode="_(* #,##0.00_);_(* \(#,##0.00\);_(* &quot;-&quot;??_);_(@_)"/>
    <numFmt numFmtId="166" formatCode="_-&quot;$&quot;* #,##0_-;\-&quot;$&quot;* #,##0_-;_-&quot;$&quot;* &quot;-&quot;_-;_-@_-"/>
    <numFmt numFmtId="167" formatCode="_-&quot;$&quot;* #,##0.00_-;\-&quot;$&quot;* #,##0.00_-;_-&quot;$&quot;* &quot;-&quot;??_-;_-@_-"/>
    <numFmt numFmtId="168" formatCode="_(* #,##0_);_(* \(#,##0\);_(* &quot;-&quot;??_);_(@_)"/>
    <numFmt numFmtId="169" formatCode="_(* #,##0.0_);_(* \(#,##0.0\);_(* &quot;-&quot;??_);_(@_)"/>
    <numFmt numFmtId="170" formatCode="_(* #,##0.0000_);_(* \(#,##0.0000\);_(* &quot;-&quot;??_);_(@_)"/>
    <numFmt numFmtId="171" formatCode="_(#,##0_);_(\(#,##0\);_(&quot;-&quot;??_);_(@_)"/>
    <numFmt numFmtId="172" formatCode="_(#,##0.00_);_(\(#,##0.00\);_(&quot;-&quot;??_);_(@_)"/>
    <numFmt numFmtId="173" formatCode="_-* #,##0_-;\-* #,##0_-;_-* &quot;-&quot;??_-;_-@_-"/>
    <numFmt numFmtId="174" formatCode="[$-409]dd\-mmm\-yy;@"/>
    <numFmt numFmtId="175" formatCode="d"/>
    <numFmt numFmtId="176" formatCode="&quot;LS      &quot;0%"/>
    <numFmt numFmtId="177" formatCode="&quot;HS      &quot;0%"/>
    <numFmt numFmtId="178" formatCode="0.000000000000000%"/>
    <numFmt numFmtId="179" formatCode="_(* #,##0.000_);_(* \(#,##0.000\);_(* &quot;-&quot;??_);_(@_)"/>
    <numFmt numFmtId="180" formatCode="0.0"/>
    <numFmt numFmtId="181" formatCode="0.000000"/>
    <numFmt numFmtId="182" formatCode="_(* #,##0.00000_);_(* \(#,##0.00000\);_(* &quot;-&quot;??_);_(@_)"/>
    <numFmt numFmtId="183" formatCode="_(* #,##0.0000000_);_(* \(#,##0.0000000\);_(* &quot;-&quot;??_);_(@_)"/>
    <numFmt numFmtId="184" formatCode="0.00000"/>
    <numFmt numFmtId="185" formatCode="0.0000000"/>
    <numFmt numFmtId="186" formatCode="0.000"/>
    <numFmt numFmtId="187" formatCode="0.0%"/>
    <numFmt numFmtId="188" formatCode="_-* #,##0.000_-;\-* #,##0.000_-;_-* &quot;-&quot;???_-;_-@_-"/>
    <numFmt numFmtId="189" formatCode="0.0000"/>
    <numFmt numFmtId="190" formatCode="_(* #,##0.00_);_(* \(#,##0.00\);_(* &quot;-&quot;_);_(@_)"/>
    <numFmt numFmtId="191" formatCode="_(* #,##0.000000000000000000_);_(* \(#,##0.000000000000000000\);_(* &quot;-&quot;??_);_(@_)"/>
    <numFmt numFmtId="192" formatCode="_-* #,##0.0_-;\-* #,##0.0_-;_-* &quot;-&quot;??_-;_-@_-"/>
    <numFmt numFmtId="193" formatCode="_(* #,##0.0000_);_(* \(#,##0.0000\);_(* &quot;-&quot;_);_(@_)"/>
    <numFmt numFmtId="194" formatCode="[$-409]d\ mmmm\ yyyy"/>
    <numFmt numFmtId="195" formatCode="[$-10409]0.00;\(0.00\)"/>
    <numFmt numFmtId="196" formatCode="_-* #,##0.000_-;\-* #,##0.000_-;_-* &quot;-&quot;??_-;_-@_-"/>
    <numFmt numFmtId="197" formatCode="_-* #,##0.0000_-;\-* #,##0.0000_-;_-* &quot;-&quot;??_-;_-@_-"/>
    <numFmt numFmtId="198" formatCode="[$-409]d\-mmm\-yy;@"/>
  </numFmts>
  <fonts count="205">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b/>
      <sz val="10"/>
      <color theme="1"/>
      <name val="Calibri"/>
      <family val="2"/>
      <scheme val="minor"/>
    </font>
    <font>
      <b/>
      <sz val="9"/>
      <color theme="1"/>
      <name val="Calibri"/>
      <family val="2"/>
      <scheme val="minor"/>
    </font>
    <font>
      <sz val="11"/>
      <color theme="0"/>
      <name val="Calibri"/>
      <family val="2"/>
      <scheme val="minor"/>
    </font>
    <font>
      <sz val="10"/>
      <color rgb="FF000099"/>
      <name val="Calibri"/>
      <family val="2"/>
      <scheme val="minor"/>
    </font>
    <font>
      <b/>
      <sz val="14"/>
      <color theme="0"/>
      <name val="Calibri"/>
      <family val="2"/>
      <scheme val="minor"/>
    </font>
    <font>
      <sz val="11"/>
      <name val="Calibri"/>
      <family val="2"/>
      <scheme val="minor"/>
    </font>
    <font>
      <sz val="10"/>
      <color theme="0"/>
      <name val="Calibri"/>
      <family val="2"/>
      <scheme val="minor"/>
    </font>
    <font>
      <sz val="10"/>
      <name val="Arial"/>
      <family val="2"/>
    </font>
    <font>
      <sz val="11"/>
      <color rgb="FF8DB4E2"/>
      <name val="Calibri"/>
      <family val="2"/>
      <scheme val="minor"/>
    </font>
    <font>
      <sz val="9"/>
      <color indexed="81"/>
      <name val="Tahoma"/>
      <family val="2"/>
    </font>
    <font>
      <b/>
      <sz val="9"/>
      <color indexed="81"/>
      <name val="Tahoma"/>
      <family val="2"/>
    </font>
    <font>
      <sz val="14"/>
      <color theme="1"/>
      <name val="Arial"/>
      <family val="2"/>
    </font>
    <font>
      <b/>
      <sz val="28"/>
      <name val="Arial"/>
      <family val="2"/>
    </font>
    <font>
      <b/>
      <sz val="14"/>
      <name val="Arial"/>
      <family val="2"/>
    </font>
    <font>
      <b/>
      <sz val="16"/>
      <name val="Calibri"/>
      <family val="2"/>
      <charset val="1"/>
      <scheme val="minor"/>
    </font>
    <font>
      <b/>
      <sz val="14"/>
      <color theme="1"/>
      <name val="Arial"/>
      <family val="2"/>
    </font>
    <font>
      <sz val="14"/>
      <name val="Arial"/>
      <family val="2"/>
    </font>
    <font>
      <sz val="11"/>
      <color rgb="FF006100"/>
      <name val="Calibri"/>
      <family val="2"/>
      <scheme val="minor"/>
    </font>
    <font>
      <sz val="10"/>
      <color indexed="8"/>
      <name val="Arial"/>
      <family val="2"/>
    </font>
    <font>
      <sz val="11"/>
      <color rgb="FF0033CC"/>
      <name val="Calibri"/>
      <family val="2"/>
      <scheme val="minor"/>
    </font>
    <font>
      <b/>
      <sz val="11"/>
      <color rgb="FF0033CC"/>
      <name val="Calibri"/>
      <family val="2"/>
      <scheme val="minor"/>
    </font>
    <font>
      <sz val="11"/>
      <color rgb="FFFFFF00"/>
      <name val="Calibri"/>
      <family val="2"/>
      <scheme val="minor"/>
    </font>
    <font>
      <sz val="11"/>
      <color theme="0" tint="-4.9989318521683403E-2"/>
      <name val="Calibri"/>
      <family val="2"/>
      <scheme val="minor"/>
    </font>
    <font>
      <b/>
      <sz val="11"/>
      <name val="Calibri"/>
      <family val="2"/>
      <scheme val="minor"/>
    </font>
    <font>
      <sz val="14"/>
      <name val="Calibri"/>
      <family val="2"/>
      <scheme val="minor"/>
    </font>
    <font>
      <b/>
      <sz val="14"/>
      <name val="Calibri"/>
      <family val="2"/>
      <scheme val="minor"/>
    </font>
    <font>
      <sz val="12"/>
      <color theme="1"/>
      <name val="Calibri"/>
      <family val="2"/>
      <scheme val="minor"/>
    </font>
    <font>
      <sz val="12"/>
      <name val="Calibri"/>
      <family val="2"/>
      <scheme val="minor"/>
    </font>
    <font>
      <i/>
      <sz val="11"/>
      <color theme="0"/>
      <name val="Calibri"/>
      <family val="2"/>
      <scheme val="minor"/>
    </font>
    <font>
      <sz val="8"/>
      <color theme="0"/>
      <name val="Cambria Math"/>
      <family val="1"/>
    </font>
    <font>
      <b/>
      <sz val="11"/>
      <color rgb="FF000000"/>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65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4"/>
      <color theme="1"/>
      <name val="Calibri"/>
      <family val="2"/>
      <scheme val="minor"/>
    </font>
    <font>
      <sz val="14"/>
      <color theme="0"/>
      <name val="Calibri"/>
      <family val="2"/>
      <scheme val="minor"/>
    </font>
    <font>
      <sz val="14"/>
      <color rgb="FF002060"/>
      <name val="Calibri"/>
      <family val="2"/>
      <scheme val="minor"/>
    </font>
    <font>
      <b/>
      <sz val="14"/>
      <color rgb="FF002060"/>
      <name val="Calibri"/>
      <family val="2"/>
      <scheme val="minor"/>
    </font>
    <font>
      <b/>
      <sz val="14"/>
      <color theme="3" tint="-0.499984740745262"/>
      <name val="Calibri"/>
      <family val="2"/>
      <scheme val="minor"/>
    </font>
    <font>
      <b/>
      <u/>
      <sz val="14"/>
      <color theme="0"/>
      <name val="Calibri"/>
      <family val="2"/>
      <scheme val="minor"/>
    </font>
    <font>
      <sz val="14"/>
      <color theme="3" tint="-0.249977111117893"/>
      <name val="Calibri"/>
      <family val="2"/>
      <scheme val="minor"/>
    </font>
    <font>
      <b/>
      <sz val="14"/>
      <color theme="3" tint="-0.249977111117893"/>
      <name val="Calibri"/>
      <family val="2"/>
      <scheme val="minor"/>
    </font>
    <font>
      <sz val="14"/>
      <color theme="4" tint="-0.499984740745262"/>
      <name val="Calibri"/>
      <family val="2"/>
      <scheme val="minor"/>
    </font>
    <font>
      <b/>
      <sz val="16"/>
      <color theme="1"/>
      <name val="Arial"/>
      <family val="2"/>
    </font>
    <font>
      <b/>
      <sz val="16"/>
      <name val="Arial"/>
      <family val="2"/>
    </font>
    <font>
      <sz val="16"/>
      <color theme="1"/>
      <name val="Arial"/>
      <family val="2"/>
    </font>
    <font>
      <sz val="16"/>
      <name val="Arial"/>
      <family val="2"/>
    </font>
    <font>
      <sz val="16"/>
      <color theme="0"/>
      <name val="Arial"/>
      <family val="2"/>
    </font>
    <font>
      <b/>
      <sz val="16"/>
      <name val="Calibri"/>
      <family val="2"/>
      <scheme val="minor"/>
    </font>
    <font>
      <sz val="16"/>
      <name val="Calibri"/>
      <family val="2"/>
      <scheme val="minor"/>
    </font>
    <font>
      <b/>
      <sz val="16"/>
      <color theme="0"/>
      <name val="Arial"/>
      <family val="2"/>
    </font>
    <font>
      <b/>
      <sz val="16"/>
      <color rgb="FFFF0000"/>
      <name val="Arial"/>
      <family val="2"/>
    </font>
    <font>
      <sz val="18"/>
      <color theme="3"/>
      <name val="Cambria"/>
      <family val="2"/>
      <scheme val="major"/>
    </font>
    <font>
      <sz val="11"/>
      <color rgb="FF3F3F76"/>
      <name val="Calibri"/>
      <family val="2"/>
      <scheme val="minor"/>
    </font>
    <font>
      <b/>
      <sz val="11"/>
      <color rgb="FF3F3F3F"/>
      <name val="Calibri"/>
      <family val="2"/>
      <scheme val="minor"/>
    </font>
    <font>
      <b/>
      <sz val="11"/>
      <color rgb="FFFA7D00"/>
      <name val="Calibri"/>
      <family val="2"/>
      <scheme val="minor"/>
    </font>
    <font>
      <sz val="14"/>
      <color theme="0"/>
      <name val="Arial"/>
      <family val="2"/>
    </font>
    <font>
      <b/>
      <sz val="14"/>
      <color theme="0"/>
      <name val="Arial"/>
      <family val="2"/>
    </font>
    <font>
      <sz val="9"/>
      <color rgb="FF000000"/>
      <name val="Trebuchet MS"/>
      <family val="2"/>
    </font>
    <font>
      <sz val="10"/>
      <color theme="0"/>
      <name val="Arial"/>
      <family val="2"/>
    </font>
    <font>
      <b/>
      <sz val="16"/>
      <color theme="1"/>
      <name val="Calibri"/>
      <family val="2"/>
      <scheme val="minor"/>
    </font>
    <font>
      <b/>
      <sz val="11"/>
      <color theme="0" tint="-0.499984740745262"/>
      <name val="Calibri"/>
      <family val="2"/>
      <scheme val="minor"/>
    </font>
    <font>
      <i/>
      <sz val="11"/>
      <color theme="0" tint="-0.499984740745262"/>
      <name val="Calibri"/>
      <family val="2"/>
      <scheme val="minor"/>
    </font>
    <font>
      <i/>
      <sz val="11"/>
      <name val="Calibri"/>
      <family val="2"/>
      <scheme val="minor"/>
    </font>
    <font>
      <sz val="11"/>
      <color theme="0" tint="-0.499984740745262"/>
      <name val="Calibri"/>
      <family val="2"/>
      <scheme val="minor"/>
    </font>
    <font>
      <i/>
      <sz val="11"/>
      <color theme="1" tint="0.34998626667073579"/>
      <name val="Calibri"/>
      <family val="2"/>
      <scheme val="minor"/>
    </font>
    <font>
      <b/>
      <sz val="14"/>
      <color theme="1"/>
      <name val="Calibri"/>
      <family val="2"/>
      <scheme val="minor"/>
    </font>
    <font>
      <sz val="14"/>
      <color theme="0" tint="-0.499984740745262"/>
      <name val="Calibri"/>
      <family val="2"/>
      <scheme val="minor"/>
    </font>
    <font>
      <b/>
      <sz val="11"/>
      <color rgb="FF002060"/>
      <name val="Calibri"/>
      <family val="2"/>
      <scheme val="minor"/>
    </font>
    <font>
      <b/>
      <sz val="9"/>
      <name val="Verdana"/>
      <family val="2"/>
    </font>
    <font>
      <sz val="11"/>
      <color rgb="FF000000"/>
      <name val="Calibri"/>
      <family val="2"/>
      <scheme val="minor"/>
    </font>
    <font>
      <sz val="12"/>
      <color theme="0"/>
      <name val="Calibri"/>
      <family val="2"/>
      <scheme val="minor"/>
    </font>
    <font>
      <b/>
      <sz val="18"/>
      <color theme="1"/>
      <name val="Calibri"/>
      <family val="2"/>
      <scheme val="minor"/>
    </font>
    <font>
      <b/>
      <i/>
      <sz val="8"/>
      <color rgb="FF0070C0"/>
      <name val="Arial"/>
      <family val="2"/>
    </font>
    <font>
      <b/>
      <sz val="11"/>
      <color rgb="FF000099"/>
      <name val="Calibri"/>
      <family val="2"/>
      <scheme val="minor"/>
    </font>
    <font>
      <sz val="11"/>
      <name val="Calibri"/>
      <family val="2"/>
      <charset val="222"/>
    </font>
    <font>
      <i/>
      <sz val="11"/>
      <color theme="1"/>
      <name val="Calibri"/>
      <family val="2"/>
      <scheme val="minor"/>
    </font>
    <font>
      <sz val="10"/>
      <color rgb="FF000000"/>
      <name val="Arial"/>
      <family val="2"/>
    </font>
    <font>
      <b/>
      <sz val="14"/>
      <color theme="4" tint="-0.499984740745262"/>
      <name val="Calibri"/>
      <family val="2"/>
      <scheme val="minor"/>
    </font>
    <font>
      <b/>
      <sz val="9"/>
      <color theme="0"/>
      <name val="Verdana"/>
      <family val="2"/>
    </font>
    <font>
      <b/>
      <i/>
      <sz val="11"/>
      <color theme="1"/>
      <name val="Calibri"/>
      <family val="2"/>
      <scheme val="minor"/>
    </font>
    <font>
      <b/>
      <sz val="12"/>
      <name val="Calibri"/>
      <family val="2"/>
      <scheme val="minor"/>
    </font>
    <font>
      <b/>
      <sz val="8"/>
      <color rgb="FFFFFFFF"/>
      <name val="Calibri"/>
      <family val="2"/>
      <scheme val="minor"/>
    </font>
    <font>
      <sz val="8"/>
      <color rgb="FF7BA3CC"/>
      <name val="Calibri"/>
      <family val="2"/>
      <scheme val="minor"/>
    </font>
    <font>
      <sz val="8"/>
      <color rgb="FF94A3B8"/>
      <name val="Calibri"/>
      <family val="2"/>
      <scheme val="minor"/>
    </font>
    <font>
      <sz val="7"/>
      <color rgb="FF94A3B8"/>
      <name val="Calibri"/>
      <family val="2"/>
      <scheme val="minor"/>
    </font>
    <font>
      <sz val="8"/>
      <color rgb="FF64748B"/>
      <name val="Calibri"/>
      <family val="2"/>
      <scheme val="minor"/>
    </font>
    <font>
      <sz val="8"/>
      <color rgb="FF334155"/>
      <name val="Calibri"/>
      <family val="2"/>
      <scheme val="minor"/>
    </font>
    <font>
      <sz val="7"/>
      <color rgb="FF64748B"/>
      <name val="Calibri"/>
      <family val="2"/>
      <scheme val="minor"/>
    </font>
    <font>
      <sz val="15"/>
      <color theme="1"/>
      <name val="Calibri"/>
      <family val="2"/>
      <scheme val="minor"/>
    </font>
    <font>
      <sz val="15"/>
      <color rgb="FF000000"/>
      <name val="Calibri"/>
      <family val="2"/>
      <scheme val="minor"/>
    </font>
    <font>
      <b/>
      <sz val="9"/>
      <color rgb="FF00B050"/>
      <name val="Calibri"/>
      <family val="2"/>
      <scheme val="minor"/>
    </font>
    <font>
      <sz val="8"/>
      <color rgb="FF555555"/>
      <name val="Calibri"/>
      <family val="2"/>
      <scheme val="minor"/>
    </font>
    <font>
      <b/>
      <sz val="8"/>
      <color rgb="FF333333"/>
      <name val="Calibri"/>
      <family val="2"/>
      <scheme val="minor"/>
    </font>
    <font>
      <i/>
      <sz val="7"/>
      <color rgb="FF888888"/>
      <name val="Calibri"/>
      <family val="2"/>
      <scheme val="minor"/>
    </font>
    <font>
      <b/>
      <sz val="16"/>
      <color rgb="FF000000"/>
      <name val="Calibri"/>
      <family val="2"/>
      <scheme val="minor"/>
    </font>
    <font>
      <b/>
      <sz val="11"/>
      <color rgb="FF000000"/>
      <name val="Calibri"/>
      <family val="2"/>
      <scheme val="minor"/>
    </font>
    <font>
      <b/>
      <sz val="12"/>
      <color rgb="FF000000"/>
      <name val="Calibri"/>
      <family val="2"/>
      <scheme val="minor"/>
    </font>
    <font>
      <sz val="14"/>
      <color rgb="FF000000"/>
      <name val="Calibri"/>
      <family val="2"/>
      <scheme val="minor"/>
    </font>
    <font>
      <i/>
      <sz val="7"/>
      <color rgb="FF595959"/>
      <name val="Calibri"/>
      <family val="2"/>
      <scheme val="minor"/>
    </font>
    <font>
      <b/>
      <sz val="10"/>
      <color rgb="FF000000"/>
      <name val="Calibri"/>
      <family val="2"/>
      <scheme val="minor"/>
    </font>
    <font>
      <b/>
      <sz val="8"/>
      <color rgb="FF000000"/>
      <name val="Calibri"/>
      <family val="2"/>
      <scheme val="minor"/>
    </font>
    <font>
      <b/>
      <sz val="9"/>
      <color rgb="FF000000"/>
      <name val="Calibri"/>
      <family val="2"/>
      <scheme val="minor"/>
    </font>
    <font>
      <sz val="10"/>
      <color rgb="FF000000"/>
      <name val="Calibri"/>
      <family val="2"/>
      <scheme val="minor"/>
    </font>
    <font>
      <sz val="9"/>
      <color rgb="FF000000"/>
      <name val="Calibri"/>
      <family val="2"/>
      <scheme val="minor"/>
    </font>
    <font>
      <b/>
      <sz val="7"/>
      <color rgb="FF000000"/>
      <name val="Calibri"/>
      <family val="2"/>
      <scheme val="minor"/>
    </font>
    <font>
      <b/>
      <sz val="26"/>
      <color rgb="FF000000"/>
      <name val="Calibri"/>
      <family val="2"/>
      <scheme val="minor"/>
    </font>
    <font>
      <sz val="8"/>
      <color rgb="FF595959"/>
      <name val="Calibri"/>
      <family val="2"/>
      <scheme val="minor"/>
    </font>
    <font>
      <i/>
      <sz val="8"/>
      <color rgb="FF000000"/>
      <name val="Calibri"/>
      <family val="2"/>
      <scheme val="minor"/>
    </font>
    <font>
      <sz val="8"/>
      <color rgb="FF000000"/>
      <name val="Calibri"/>
      <family val="2"/>
      <scheme val="minor"/>
    </font>
    <font>
      <b/>
      <sz val="14"/>
      <color rgb="FFFFFFFF"/>
      <name val="Calibri"/>
      <family val="2"/>
      <scheme val="minor"/>
    </font>
    <font>
      <b/>
      <sz val="9"/>
      <color rgb="FFFF6600"/>
      <name val="Calibri"/>
      <family val="2"/>
      <scheme val="minor"/>
    </font>
    <font>
      <b/>
      <sz val="8"/>
      <color rgb="FF595959"/>
      <name val="Calibri"/>
      <family val="2"/>
      <scheme val="minor"/>
    </font>
    <font>
      <b/>
      <sz val="9"/>
      <color rgb="FFFFFFFF"/>
      <name val="Calibri"/>
      <family val="2"/>
      <scheme val="minor"/>
    </font>
    <font>
      <b/>
      <sz val="9"/>
      <color rgb="FFFF8C00"/>
      <name val="Calibri"/>
      <family val="2"/>
      <scheme val="minor"/>
    </font>
    <font>
      <b/>
      <sz val="9"/>
      <color rgb="FF0070C0"/>
      <name val="Calibri"/>
      <family val="2"/>
      <scheme val="minor"/>
    </font>
    <font>
      <b/>
      <sz val="9"/>
      <color rgb="FF7030A0"/>
      <name val="Calibri"/>
      <family val="2"/>
      <scheme val="minor"/>
    </font>
    <font>
      <b/>
      <sz val="20"/>
      <color rgb="FF0070C0"/>
      <name val="Calibri"/>
      <family val="2"/>
      <scheme val="minor"/>
    </font>
    <font>
      <b/>
      <sz val="24"/>
      <color rgb="FFFF8C00"/>
      <name val="Calibri"/>
      <family val="2"/>
      <scheme val="minor"/>
    </font>
    <font>
      <b/>
      <sz val="24"/>
      <color rgb="FFC00000"/>
      <name val="Calibri"/>
      <family val="2"/>
      <scheme val="minor"/>
    </font>
    <font>
      <b/>
      <sz val="9"/>
      <color rgb="FFC00000"/>
      <name val="Calibri"/>
      <family val="2"/>
      <scheme val="minor"/>
    </font>
    <font>
      <i/>
      <sz val="9"/>
      <color rgb="FFFFFFFF"/>
      <name val="Calibri"/>
      <family val="2"/>
      <scheme val="minor"/>
    </font>
    <font>
      <b/>
      <sz val="9"/>
      <color rgb="FF404040"/>
      <name val="Calibri"/>
      <family val="2"/>
      <scheme val="minor"/>
    </font>
    <font>
      <sz val="8"/>
      <color rgb="FF7F7F7F"/>
      <name val="Calibri"/>
      <family val="2"/>
      <scheme val="minor"/>
    </font>
    <font>
      <sz val="7"/>
      <color rgb="FF7F7F7F"/>
      <name val="Calibri"/>
      <family val="2"/>
      <scheme val="minor"/>
    </font>
    <font>
      <b/>
      <sz val="7"/>
      <color rgb="FF7F7F7F"/>
      <name val="Calibri"/>
      <family val="2"/>
      <scheme val="minor"/>
    </font>
    <font>
      <b/>
      <sz val="8"/>
      <color rgb="FFFF8C00"/>
      <name val="Calibri"/>
      <family val="2"/>
      <scheme val="minor"/>
    </font>
    <font>
      <b/>
      <sz val="8"/>
      <color rgb="FF0070C0"/>
      <name val="Calibri"/>
      <family val="2"/>
      <scheme val="minor"/>
    </font>
    <font>
      <b/>
      <sz val="8"/>
      <color rgb="FF00B050"/>
      <name val="Calibri"/>
      <family val="2"/>
      <scheme val="minor"/>
    </font>
    <font>
      <b/>
      <sz val="8"/>
      <color rgb="FF7030A0"/>
      <name val="Calibri"/>
      <family val="2"/>
      <scheme val="minor"/>
    </font>
    <font>
      <b/>
      <sz val="8"/>
      <color rgb="FF404040"/>
      <name val="Calibri"/>
      <family val="2"/>
      <scheme val="minor"/>
    </font>
    <font>
      <b/>
      <sz val="8"/>
      <color rgb="FFC00000"/>
      <name val="Calibri"/>
      <family val="2"/>
      <scheme val="minor"/>
    </font>
    <font>
      <b/>
      <sz val="7"/>
      <color rgb="FF333333"/>
      <name val="Calibri"/>
      <family val="2"/>
      <scheme val="minor"/>
    </font>
    <font>
      <b/>
      <sz val="9"/>
      <color rgb="FF1F2D3D"/>
      <name val="Calibri"/>
      <family val="2"/>
      <scheme val="minor"/>
    </font>
    <font>
      <i/>
      <sz val="7"/>
      <color rgb="FFFF8C00"/>
      <name val="Calibri"/>
      <family val="2"/>
      <scheme val="minor"/>
    </font>
    <font>
      <sz val="7"/>
      <color rgb="FF595959"/>
      <name val="Calibri"/>
      <family val="2"/>
      <scheme val="minor"/>
    </font>
    <font>
      <b/>
      <sz val="8"/>
      <color theme="0" tint="-4.9989318521683403E-2"/>
      <name val="Calibri"/>
      <family val="2"/>
      <scheme val="minor"/>
    </font>
    <font>
      <sz val="7"/>
      <color theme="0" tint="-4.9989318521683403E-2"/>
      <name val="Calibri"/>
      <family val="2"/>
      <scheme val="minor"/>
    </font>
    <font>
      <sz val="7"/>
      <color theme="1" tint="0.34998626667073579"/>
      <name val="Calibri"/>
      <family val="2"/>
      <scheme val="minor"/>
    </font>
    <font>
      <sz val="11"/>
      <color theme="1" tint="0.34998626667073579"/>
      <name val="Calibri"/>
      <family val="2"/>
      <scheme val="minor"/>
    </font>
    <font>
      <sz val="8"/>
      <color theme="1" tint="0.34998626667073579"/>
      <name val="Calibri"/>
      <family val="2"/>
      <scheme val="minor"/>
    </font>
    <font>
      <b/>
      <sz val="9"/>
      <name val="Calibri"/>
      <family val="2"/>
      <scheme val="minor"/>
    </font>
    <font>
      <b/>
      <sz val="7"/>
      <color rgb="FF1F497D"/>
      <name val="Calibri"/>
      <family val="2"/>
      <scheme val="minor"/>
    </font>
    <font>
      <b/>
      <sz val="8"/>
      <color rgb="FF1F497D"/>
      <name val="Calibri"/>
      <family val="2"/>
      <scheme val="minor"/>
    </font>
    <font>
      <b/>
      <sz val="7"/>
      <color rgb="FF7030A0"/>
      <name val="Calibri"/>
      <family val="2"/>
      <scheme val="minor"/>
    </font>
    <font>
      <b/>
      <sz val="8"/>
      <color rgb="FF4F81BD"/>
      <name val="Calibri"/>
      <family val="2"/>
      <scheme val="minor"/>
    </font>
    <font>
      <b/>
      <sz val="8"/>
      <color rgb="FFFFC000"/>
      <name val="Calibri"/>
      <family val="2"/>
      <scheme val="minor"/>
    </font>
    <font>
      <b/>
      <sz val="8"/>
      <color rgb="FF000099"/>
      <name val="Calibri"/>
      <family val="2"/>
      <scheme val="minor"/>
    </font>
    <font>
      <b/>
      <sz val="8"/>
      <color rgb="FF00CC00"/>
      <name val="Calibri"/>
      <family val="2"/>
      <scheme val="minor"/>
    </font>
    <font>
      <b/>
      <sz val="8"/>
      <color rgb="FFFF9900"/>
      <name val="Calibri"/>
      <family val="2"/>
      <scheme val="minor"/>
    </font>
    <font>
      <b/>
      <sz val="10"/>
      <color indexed="12"/>
      <name val="Tahoma"/>
      <family val="2"/>
    </font>
    <font>
      <b/>
      <sz val="8"/>
      <color indexed="81"/>
      <name val="Tahoma"/>
      <family val="2"/>
    </font>
    <font>
      <sz val="8"/>
      <color indexed="81"/>
      <name val="Tahoma"/>
      <family val="2"/>
    </font>
    <font>
      <sz val="11"/>
      <color rgb="FF000000"/>
      <name val="Arial"/>
      <family val="2"/>
    </font>
    <font>
      <b/>
      <sz val="12"/>
      <color theme="1"/>
      <name val="Calibri"/>
      <family val="2"/>
      <scheme val="minor"/>
    </font>
    <font>
      <sz val="12"/>
      <color theme="5"/>
      <name val="Calibri"/>
      <family val="2"/>
      <scheme val="minor"/>
    </font>
    <font>
      <sz val="10"/>
      <color rgb="FF000000"/>
      <name val="Trebuchet MS"/>
      <family val="2"/>
    </font>
    <font>
      <sz val="11"/>
      <name val="Calibri"/>
      <family val="2"/>
    </font>
    <font>
      <sz val="16"/>
      <color rgb="FFFFFFFF"/>
      <name val="Calibri"/>
      <family val="2"/>
      <scheme val="minor"/>
    </font>
    <font>
      <sz val="9"/>
      <color rgb="FFFFD700"/>
      <name val="Calibri"/>
      <family val="2"/>
      <scheme val="minor"/>
    </font>
    <font>
      <sz val="9"/>
      <color rgb="FF64748B"/>
      <name val="Calibri"/>
      <family val="2"/>
      <scheme val="minor"/>
    </font>
    <font>
      <sz val="12"/>
      <color rgb="FF0F2544"/>
      <name val="Calibri"/>
      <family val="2"/>
      <scheme val="minor"/>
    </font>
    <font>
      <sz val="26"/>
      <color rgb="FF0F2544"/>
      <name val="Calibri"/>
      <family val="2"/>
      <scheme val="minor"/>
    </font>
    <font>
      <sz val="9"/>
      <color rgb="FF16A34A"/>
      <name val="Calibri"/>
      <family val="2"/>
      <scheme val="minor"/>
    </font>
    <font>
      <sz val="9"/>
      <color rgb="FF7C3AED"/>
      <name val="Calibri"/>
      <family val="2"/>
      <scheme val="minor"/>
    </font>
    <font>
      <sz val="9"/>
      <color rgb="FF0891B2"/>
      <name val="Calibri"/>
      <family val="2"/>
      <scheme val="minor"/>
    </font>
    <font>
      <sz val="8"/>
      <color rgb="FFFFFFFF"/>
      <name val="Calibri"/>
      <family val="2"/>
      <scheme val="minor"/>
    </font>
    <font>
      <sz val="13"/>
      <color rgb="FF0F2544"/>
      <name val="Calibri"/>
      <family val="2"/>
      <scheme val="minor"/>
    </font>
    <font>
      <sz val="7"/>
      <color rgb="FF475569"/>
      <name val="Calibri"/>
      <family val="2"/>
      <scheme val="minor"/>
    </font>
    <font>
      <sz val="8"/>
      <color rgb="FF0F2544"/>
      <name val="Calibri"/>
      <family val="2"/>
      <scheme val="minor"/>
    </font>
    <font>
      <sz val="8"/>
      <color rgb="FFF97316"/>
      <name val="Calibri"/>
      <family val="2"/>
      <scheme val="minor"/>
    </font>
    <font>
      <sz val="8"/>
      <color rgb="FF6366F1"/>
      <name val="Calibri"/>
      <family val="2"/>
      <scheme val="minor"/>
    </font>
    <font>
      <sz val="8"/>
      <color rgb="FF10B981"/>
      <name val="Calibri"/>
      <family val="2"/>
      <scheme val="minor"/>
    </font>
    <font>
      <sz val="9"/>
      <color rgb="FFF59E0B"/>
      <name val="Calibri"/>
      <family val="2"/>
      <scheme val="minor"/>
    </font>
    <font>
      <sz val="9"/>
      <color rgb="FF10B981"/>
      <name val="Calibri"/>
      <family val="2"/>
      <scheme val="minor"/>
    </font>
    <font>
      <sz val="8"/>
      <color rgb="FFF59E0B"/>
      <name val="Calibri"/>
      <family val="2"/>
      <scheme val="minor"/>
    </font>
    <font>
      <sz val="9"/>
      <color rgb="FF0E7490"/>
      <name val="Calibri"/>
      <family val="2"/>
      <scheme val="minor"/>
    </font>
    <font>
      <sz val="9"/>
      <color rgb="FF4F46E5"/>
      <name val="Calibri"/>
      <family val="2"/>
      <scheme val="minor"/>
    </font>
    <font>
      <sz val="9"/>
      <color rgb="FF059669"/>
      <name val="Calibri"/>
      <family val="2"/>
      <scheme val="minor"/>
    </font>
    <font>
      <sz val="8"/>
      <color rgb="FF0E7490"/>
      <name val="Calibri"/>
      <family val="2"/>
      <scheme val="minor"/>
    </font>
    <font>
      <sz val="8"/>
      <color rgb="FF4F46E5"/>
      <name val="Calibri"/>
      <family val="2"/>
      <scheme val="minor"/>
    </font>
    <font>
      <sz val="8"/>
      <color rgb="FF059669"/>
      <name val="Calibri"/>
      <family val="2"/>
      <scheme val="minor"/>
    </font>
    <font>
      <sz val="16"/>
      <color rgb="FF0F2544"/>
      <name val="Calibri"/>
      <family val="2"/>
      <scheme val="minor"/>
    </font>
    <font>
      <sz val="26"/>
      <color rgb="FFDC2626"/>
      <name val="Calibri"/>
      <family val="2"/>
      <scheme val="minor"/>
    </font>
    <font>
      <sz val="26"/>
      <color rgb="FFD97706"/>
      <name val="Calibri"/>
      <family val="2"/>
      <scheme val="minor"/>
    </font>
    <font>
      <sz val="9"/>
      <color rgb="FF0369A1"/>
      <name val="Calibri"/>
      <family val="2"/>
      <scheme val="minor"/>
    </font>
    <font>
      <sz val="9"/>
      <color rgb="FFDC2626"/>
      <name val="Calibri"/>
      <family val="2"/>
      <scheme val="minor"/>
    </font>
    <font>
      <sz val="9"/>
      <color rgb="FFD97706"/>
      <name val="Calibri"/>
      <family val="2"/>
      <scheme val="minor"/>
    </font>
    <font>
      <sz val="10"/>
      <color rgb="FF0F2544"/>
      <name val="Calibri"/>
      <family val="2"/>
      <scheme val="minor"/>
    </font>
    <font>
      <sz val="7"/>
      <color rgb="FF0F2544"/>
      <name val="Calibri"/>
      <family val="2"/>
      <scheme val="minor"/>
    </font>
    <font>
      <sz val="7"/>
      <color rgb="FF0369A1"/>
      <name val="Calibri"/>
      <family val="2"/>
      <scheme val="minor"/>
    </font>
    <font>
      <b/>
      <sz val="9"/>
      <color rgb="FFFFFFFF"/>
      <name val="Segoe UI"/>
      <family val="2"/>
    </font>
    <font>
      <b/>
      <sz val="9"/>
      <color rgb="FF8C8C8C"/>
      <name val="Segoe UI"/>
      <family val="2"/>
    </font>
    <font>
      <sz val="8"/>
      <color rgb="FF000000"/>
      <name val="Tahoma"/>
      <family val="2"/>
    </font>
  </fonts>
  <fills count="139">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1"/>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rgb="FF00206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8DB4E2"/>
        <bgColor indexed="64"/>
      </patternFill>
    </fill>
    <fill>
      <patternFill patternType="solid">
        <fgColor theme="5" tint="0.79998168889431442"/>
        <bgColor indexed="64"/>
      </patternFill>
    </fill>
    <fill>
      <patternFill patternType="solid">
        <fgColor rgb="FFFFFFCC"/>
        <bgColor indexed="64"/>
      </patternFill>
    </fill>
    <fill>
      <patternFill patternType="solid">
        <fgColor rgb="FFC4D79B"/>
        <bgColor indexed="64"/>
      </patternFill>
    </fill>
    <fill>
      <patternFill patternType="solid">
        <fgColor rgb="FF00B0F0"/>
        <bgColor indexed="64"/>
      </patternFill>
    </fill>
    <fill>
      <patternFill patternType="solid">
        <fgColor theme="6" tint="0.39997558519241921"/>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rgb="FFFFC000"/>
        <bgColor indexed="64"/>
      </patternFill>
    </fill>
    <fill>
      <patternFill patternType="solid">
        <fgColor theme="5"/>
        <bgColor indexed="64"/>
      </patternFill>
    </fill>
    <fill>
      <patternFill patternType="solid">
        <fgColor theme="2" tint="-0.499984740745262"/>
        <bgColor indexed="64"/>
      </patternFill>
    </fill>
    <fill>
      <patternFill patternType="solid">
        <fgColor theme="5" tint="-0.249977111117893"/>
        <bgColor indexed="64"/>
      </patternFill>
    </fill>
    <fill>
      <patternFill patternType="solid">
        <fgColor rgb="FF0070C0"/>
        <bgColor indexed="64"/>
      </patternFill>
    </fill>
    <fill>
      <patternFill patternType="solid">
        <fgColor rgb="FFFFFF00"/>
        <bgColor indexed="64"/>
      </patternFill>
    </fill>
    <fill>
      <patternFill patternType="solid">
        <fgColor rgb="FFC6EFCE"/>
      </patternFill>
    </fill>
    <fill>
      <patternFill patternType="solid">
        <fgColor indexed="9"/>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7"/>
      </patternFill>
    </fill>
    <fill>
      <patternFill patternType="solid">
        <fgColor theme="8" tint="0.79998168889431442"/>
        <bgColor indexed="64"/>
      </patternFill>
    </fill>
    <fill>
      <patternFill patternType="solid">
        <fgColor rgb="FF7030A0"/>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2" tint="-0.749992370372631"/>
        <bgColor indexed="64"/>
      </patternFill>
    </fill>
    <fill>
      <patternFill patternType="solid">
        <fgColor rgb="FFFFCCFF"/>
        <bgColor indexed="64"/>
      </patternFill>
    </fill>
    <fill>
      <patternFill patternType="solid">
        <fgColor rgb="FF00B050"/>
        <bgColor indexed="64"/>
      </patternFill>
    </fill>
    <fill>
      <patternFill patternType="solid">
        <fgColor theme="1" tint="0.499984740745262"/>
        <bgColor indexed="64"/>
      </patternFill>
    </fill>
    <fill>
      <patternFill patternType="solid">
        <fgColor rgb="FF00CC00"/>
        <bgColor indexed="64"/>
      </patternFill>
    </fill>
    <fill>
      <patternFill patternType="solid">
        <fgColor rgb="FF99D8FF"/>
        <bgColor indexed="64"/>
      </patternFill>
    </fill>
    <fill>
      <patternFill patternType="solid">
        <fgColor theme="6" tint="-0.249977111117893"/>
        <bgColor indexed="64"/>
      </patternFill>
    </fill>
    <fill>
      <patternFill patternType="solid">
        <fgColor theme="9" tint="-0.499984740745262"/>
        <bgColor indexed="64"/>
      </patternFill>
    </fill>
    <fill>
      <patternFill patternType="solid">
        <fgColor theme="3"/>
        <bgColor indexed="64"/>
      </patternFill>
    </fill>
    <fill>
      <patternFill patternType="solid">
        <fgColor rgb="FFFFC7CE"/>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C99"/>
      </patternFill>
    </fill>
    <fill>
      <patternFill patternType="solid">
        <fgColor rgb="FFF2F2F2"/>
      </patternFill>
    </fill>
    <fill>
      <patternFill patternType="solid">
        <fgColor rgb="FF92D050"/>
        <bgColor indexed="64"/>
      </patternFill>
    </fill>
    <fill>
      <patternFill patternType="solid">
        <fgColor rgb="FF000099"/>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00FF99"/>
        <bgColor indexed="64"/>
      </patternFill>
    </fill>
    <fill>
      <patternFill patternType="solid">
        <fgColor theme="0"/>
        <bgColor indexed="29"/>
      </patternFill>
    </fill>
    <fill>
      <patternFill patternType="solid">
        <fgColor rgb="FFFFFF99"/>
        <bgColor indexed="64"/>
      </patternFill>
    </fill>
    <fill>
      <patternFill patternType="solid">
        <fgColor theme="3" tint="0.39997558519241921"/>
        <bgColor indexed="64"/>
      </patternFill>
    </fill>
    <fill>
      <patternFill patternType="solid">
        <fgColor theme="8" tint="0.39997558519241921"/>
        <bgColor indexed="64"/>
      </patternFill>
    </fill>
    <fill>
      <patternFill patternType="solid">
        <fgColor rgb="FF66FF66"/>
        <bgColor indexed="64"/>
      </patternFill>
    </fill>
    <fill>
      <patternFill patternType="solid">
        <fgColor rgb="FFFFFFFF"/>
        <bgColor indexed="64"/>
      </patternFill>
    </fill>
    <fill>
      <patternFill patternType="solid">
        <fgColor rgb="FFF97316"/>
        <bgColor indexed="64"/>
      </patternFill>
    </fill>
    <fill>
      <patternFill patternType="solid">
        <fgColor rgb="FFEEF2F7"/>
        <bgColor indexed="64"/>
      </patternFill>
    </fill>
    <fill>
      <patternFill patternType="solid">
        <fgColor rgb="FFF8FAFC"/>
        <bgColor indexed="64"/>
      </patternFill>
    </fill>
    <fill>
      <patternFill patternType="solid">
        <fgColor rgb="FF162D4E"/>
        <bgColor indexed="64"/>
      </patternFill>
    </fill>
    <fill>
      <patternFill patternType="solid">
        <fgColor rgb="FF6366F1"/>
        <bgColor indexed="64"/>
      </patternFill>
    </fill>
    <fill>
      <patternFill patternType="solid">
        <fgColor rgb="FF10B981"/>
        <bgColor indexed="64"/>
      </patternFill>
    </fill>
    <fill>
      <patternFill patternType="solid">
        <fgColor rgb="FFF59E0B"/>
        <bgColor indexed="64"/>
      </patternFill>
    </fill>
    <fill>
      <patternFill patternType="solid">
        <fgColor rgb="FF64748B"/>
        <bgColor indexed="64"/>
      </patternFill>
    </fill>
    <fill>
      <patternFill patternType="solid">
        <fgColor rgb="FF059669"/>
        <bgColor indexed="64"/>
      </patternFill>
    </fill>
    <fill>
      <patternFill patternType="solid">
        <fgColor rgb="FFDC2626"/>
        <bgColor indexed="64"/>
      </patternFill>
    </fill>
    <fill>
      <patternFill patternType="solid">
        <fgColor rgb="FFFFFBEB"/>
        <bgColor indexed="64"/>
      </patternFill>
    </fill>
    <fill>
      <patternFill patternType="solid">
        <fgColor rgb="FF0F2544"/>
        <bgColor indexed="64"/>
      </patternFill>
    </fill>
    <fill>
      <patternFill patternType="solid">
        <fgColor rgb="FFF1F5F9"/>
        <bgColor indexed="64"/>
      </patternFill>
    </fill>
    <fill>
      <patternFill patternType="solid">
        <fgColor rgb="FFE2E8F0"/>
        <bgColor indexed="64"/>
      </patternFill>
    </fill>
    <fill>
      <patternFill patternType="solid">
        <fgColor rgb="FFFAFBFD"/>
        <bgColor indexed="64"/>
      </patternFill>
    </fill>
    <fill>
      <patternFill patternType="solid">
        <fgColor rgb="FFF0F9FF"/>
        <bgColor indexed="64"/>
      </patternFill>
    </fill>
    <fill>
      <patternFill patternType="solid">
        <fgColor rgb="FFE8EDF4"/>
        <bgColor indexed="64"/>
      </patternFill>
    </fill>
    <fill>
      <patternFill patternType="solid">
        <fgColor rgb="FF16A34A"/>
        <bgColor indexed="64"/>
      </patternFill>
    </fill>
    <fill>
      <patternFill patternType="solid">
        <fgColor rgb="FF7C3AED"/>
        <bgColor indexed="64"/>
      </patternFill>
    </fill>
    <fill>
      <patternFill patternType="solid">
        <fgColor rgb="FF0891B2"/>
        <bgColor indexed="64"/>
      </patternFill>
    </fill>
    <fill>
      <patternFill patternType="solid">
        <fgColor rgb="FF0E7490"/>
        <bgColor indexed="64"/>
      </patternFill>
    </fill>
    <fill>
      <patternFill patternType="solid">
        <fgColor rgb="FF4F46E5"/>
        <bgColor indexed="64"/>
      </patternFill>
    </fill>
    <fill>
      <patternFill patternType="solid">
        <fgColor rgb="FF0369A1"/>
        <bgColor indexed="64"/>
      </patternFill>
    </fill>
    <fill>
      <patternFill patternType="solid">
        <fgColor rgb="FFD97706"/>
        <bgColor indexed="64"/>
      </patternFill>
    </fill>
    <fill>
      <patternFill patternType="solid">
        <fgColor rgb="FF2F4F4F"/>
        <bgColor indexed="64"/>
      </patternFill>
    </fill>
    <fill>
      <patternFill patternType="solid">
        <fgColor rgb="FFF5F5F5"/>
        <bgColor indexed="64"/>
      </patternFill>
    </fill>
    <fill>
      <patternFill patternType="solid">
        <fgColor rgb="FF1F2D3D"/>
        <bgColor indexed="64"/>
      </patternFill>
    </fill>
    <fill>
      <patternFill patternType="solid">
        <fgColor rgb="FFC00000"/>
        <bgColor indexed="64"/>
      </patternFill>
    </fill>
    <fill>
      <patternFill patternType="solid">
        <fgColor rgb="FFFAFAFA"/>
        <bgColor indexed="64"/>
      </patternFill>
    </fill>
    <fill>
      <patternFill patternType="solid">
        <fgColor theme="4"/>
        <bgColor indexed="64"/>
      </patternFill>
    </fill>
    <fill>
      <patternFill patternType="solid">
        <fgColor theme="4" tint="-0.249977111117893"/>
        <bgColor indexed="64"/>
      </patternFill>
    </fill>
    <fill>
      <patternFill patternType="solid">
        <fgColor rgb="FFFF0000"/>
        <bgColor indexed="64"/>
      </patternFill>
    </fill>
    <fill>
      <patternFill patternType="solid">
        <fgColor rgb="FFFF9900"/>
        <bgColor indexed="64"/>
      </patternFill>
    </fill>
    <fill>
      <patternFill patternType="solid">
        <fgColor rgb="FF33CCCC"/>
        <bgColor indexed="64"/>
      </patternFill>
    </fill>
    <fill>
      <patternFill patternType="solid">
        <fgColor theme="7"/>
        <bgColor indexed="64"/>
      </patternFill>
    </fill>
    <fill>
      <patternFill patternType="solid">
        <fgColor rgb="FF4F81BD"/>
        <bgColor indexed="64"/>
      </patternFill>
    </fill>
    <fill>
      <patternFill patternType="solid">
        <fgColor rgb="FF366092"/>
        <bgColor indexed="64"/>
      </patternFill>
    </fill>
    <fill>
      <patternFill patternType="solid">
        <fgColor rgb="FF963634"/>
        <bgColor indexed="64"/>
      </patternFill>
    </fill>
    <fill>
      <patternFill patternType="solid">
        <fgColor rgb="FFBFBFBF"/>
        <bgColor indexed="64"/>
      </patternFill>
    </fill>
    <fill>
      <patternFill patternType="solid">
        <fgColor rgb="FFF2F2F2"/>
        <bgColor indexed="64"/>
      </patternFill>
    </fill>
    <fill>
      <patternFill patternType="solid">
        <fgColor rgb="FFE8EEF4"/>
        <bgColor indexed="64"/>
      </patternFill>
    </fill>
    <fill>
      <patternFill patternType="solid">
        <fgColor theme="0"/>
        <bgColor auto="1"/>
      </patternFill>
    </fill>
    <fill>
      <patternFill patternType="solid">
        <fgColor theme="2"/>
        <bgColor indexed="64"/>
      </patternFill>
    </fill>
    <fill>
      <patternFill patternType="solid">
        <fgColor rgb="FFEDEDED"/>
        <bgColor indexed="64"/>
      </patternFill>
    </fill>
    <fill>
      <patternFill patternType="solid">
        <fgColor rgb="FF00FF00"/>
        <bgColor indexed="64"/>
      </patternFill>
    </fill>
  </fills>
  <borders count="414">
    <border>
      <left/>
      <right/>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rgb="FF002060"/>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style="thin">
        <color rgb="FF002060"/>
      </right>
      <top/>
      <bottom style="thin">
        <color rgb="FF002060"/>
      </bottom>
      <diagonal/>
    </border>
    <border>
      <left style="dashDotDot">
        <color rgb="FF002060"/>
      </left>
      <right style="dashDotDot">
        <color rgb="FF002060"/>
      </right>
      <top style="thin">
        <color rgb="FF002060"/>
      </top>
      <bottom style="thin">
        <color rgb="FF002060"/>
      </bottom>
      <diagonal/>
    </border>
    <border>
      <left style="thin">
        <color rgb="FF002060"/>
      </left>
      <right style="thin">
        <color theme="0"/>
      </right>
      <top style="thin">
        <color rgb="FF002060"/>
      </top>
      <bottom style="thin">
        <color theme="0"/>
      </bottom>
      <diagonal/>
    </border>
    <border>
      <left style="thin">
        <color rgb="FF002060"/>
      </left>
      <right style="thin">
        <color theme="0"/>
      </right>
      <top style="thin">
        <color theme="0"/>
      </top>
      <bottom style="thin">
        <color rgb="FF002060"/>
      </bottom>
      <diagonal/>
    </border>
    <border>
      <left style="thin">
        <color theme="0"/>
      </left>
      <right style="thin">
        <color theme="0"/>
      </right>
      <top style="thin">
        <color theme="0"/>
      </top>
      <bottom style="thin">
        <color rgb="FF002060"/>
      </bottom>
      <diagonal/>
    </border>
    <border>
      <left style="thin">
        <color rgb="FF002060"/>
      </left>
      <right/>
      <top/>
      <bottom/>
      <diagonal/>
    </border>
    <border>
      <left/>
      <right style="thin">
        <color rgb="FF002060"/>
      </right>
      <top/>
      <bottom/>
      <diagonal/>
    </border>
    <border>
      <left style="thin">
        <color rgb="FF002060"/>
      </left>
      <right style="dashDotDot">
        <color rgb="FF002060"/>
      </right>
      <top style="thin">
        <color rgb="FF002060"/>
      </top>
      <bottom style="thin">
        <color rgb="FF002060"/>
      </bottom>
      <diagonal/>
    </border>
    <border>
      <left style="thin">
        <color rgb="FF002060"/>
      </left>
      <right style="thin">
        <color theme="0"/>
      </right>
      <top style="thin">
        <color rgb="FF002060"/>
      </top>
      <bottom style="thin">
        <color rgb="FF002060"/>
      </bottom>
      <diagonal/>
    </border>
    <border>
      <left style="thin">
        <color theme="0"/>
      </left>
      <right style="thin">
        <color theme="0"/>
      </right>
      <top style="thin">
        <color rgb="FF002060"/>
      </top>
      <bottom style="thin">
        <color rgb="FF002060"/>
      </bottom>
      <diagonal/>
    </border>
    <border>
      <left style="thin">
        <color theme="0"/>
      </left>
      <right style="thin">
        <color rgb="FF002060"/>
      </right>
      <top style="thin">
        <color rgb="FF002060"/>
      </top>
      <bottom style="thin">
        <color rgb="FF002060"/>
      </bottom>
      <diagonal/>
    </border>
    <border>
      <left/>
      <right/>
      <top style="thin">
        <color rgb="FF002060"/>
      </top>
      <bottom/>
      <diagonal/>
    </border>
    <border>
      <left/>
      <right/>
      <top/>
      <bottom style="thin">
        <color rgb="FF002060"/>
      </bottom>
      <diagonal/>
    </border>
    <border>
      <left style="hair">
        <color rgb="FF002060"/>
      </left>
      <right style="hair">
        <color rgb="FF002060"/>
      </right>
      <top/>
      <bottom/>
      <diagonal/>
    </border>
    <border>
      <left style="thin">
        <color theme="3" tint="-0.499984740745262"/>
      </left>
      <right/>
      <top style="thin">
        <color theme="3" tint="-0.499984740745262"/>
      </top>
      <bottom/>
      <diagonal/>
    </border>
    <border>
      <left style="thin">
        <color theme="3" tint="-0.499984740745262"/>
      </left>
      <right/>
      <top/>
      <bottom/>
      <diagonal/>
    </border>
    <border>
      <left/>
      <right style="thin">
        <color theme="3" tint="-0.499984740745262"/>
      </right>
      <top/>
      <bottom/>
      <diagonal/>
    </border>
    <border>
      <left style="thin">
        <color theme="0"/>
      </left>
      <right style="thin">
        <color theme="0"/>
      </right>
      <top style="thin">
        <color theme="3" tint="-0.499984740745262"/>
      </top>
      <bottom style="thin">
        <color theme="3" tint="-0.499984740745262"/>
      </bottom>
      <diagonal/>
    </border>
    <border>
      <left/>
      <right/>
      <top style="thin">
        <color theme="3" tint="-0.499984740745262"/>
      </top>
      <bottom/>
      <diagonal/>
    </border>
    <border>
      <left style="thin">
        <color theme="3" tint="-0.24994659260841701"/>
      </left>
      <right/>
      <top style="thin">
        <color theme="3" tint="-0.499984740745262"/>
      </top>
      <bottom style="thin">
        <color theme="3" tint="-0.499984740745262"/>
      </bottom>
      <diagonal/>
    </border>
    <border>
      <left style="thin">
        <color indexed="64"/>
      </left>
      <right style="hair">
        <color rgb="FF002060"/>
      </right>
      <top/>
      <bottom/>
      <diagonal/>
    </border>
    <border>
      <left/>
      <right style="hair">
        <color rgb="FF002060"/>
      </right>
      <top/>
      <bottom/>
      <diagonal/>
    </border>
    <border>
      <left style="hair">
        <color rgb="FF002060"/>
      </left>
      <right style="thin">
        <color indexed="64"/>
      </right>
      <top/>
      <bottom/>
      <diagonal/>
    </border>
    <border>
      <left style="dashDotDot">
        <color rgb="FF002060"/>
      </left>
      <right style="dashDotDot">
        <color rgb="FF002060"/>
      </right>
      <top style="thin">
        <color rgb="FF002060"/>
      </top>
      <bottom/>
      <diagonal/>
    </border>
    <border>
      <left style="dashDotDot">
        <color rgb="FF002060"/>
      </left>
      <right style="dashDotDot">
        <color rgb="FF002060"/>
      </right>
      <top/>
      <bottom style="thin">
        <color rgb="FF002060"/>
      </bottom>
      <diagonal/>
    </border>
    <border>
      <left style="thin">
        <color theme="0"/>
      </left>
      <right/>
      <top style="thin">
        <color rgb="FF002060"/>
      </top>
      <bottom style="thin">
        <color theme="0"/>
      </bottom>
      <diagonal/>
    </border>
    <border>
      <left/>
      <right/>
      <top style="thin">
        <color rgb="FF002060"/>
      </top>
      <bottom style="thin">
        <color theme="0"/>
      </bottom>
      <diagonal/>
    </border>
    <border>
      <left/>
      <right style="thin">
        <color theme="0"/>
      </right>
      <top style="thin">
        <color rgb="FF002060"/>
      </top>
      <bottom style="thin">
        <color theme="0"/>
      </bottom>
      <diagonal/>
    </border>
    <border>
      <left style="thin">
        <color theme="0"/>
      </left>
      <right/>
      <top style="thin">
        <color theme="0"/>
      </top>
      <bottom style="thin">
        <color rgb="FF002060"/>
      </bottom>
      <diagonal/>
    </border>
    <border>
      <left style="dashDotDot">
        <color theme="0"/>
      </left>
      <right style="thin">
        <color theme="0"/>
      </right>
      <top style="thin">
        <color theme="0"/>
      </top>
      <bottom style="thin">
        <color rgb="FF002060"/>
      </bottom>
      <diagonal/>
    </border>
    <border>
      <left style="thin">
        <color theme="0"/>
      </left>
      <right/>
      <top/>
      <bottom style="thin">
        <color theme="0"/>
      </bottom>
      <diagonal/>
    </border>
    <border>
      <left/>
      <right/>
      <top/>
      <bottom style="thin">
        <color theme="0"/>
      </bottom>
      <diagonal/>
    </border>
    <border>
      <left style="thin">
        <color theme="0"/>
      </left>
      <right/>
      <top/>
      <bottom/>
      <diagonal/>
    </border>
    <border>
      <left/>
      <right style="thin">
        <color theme="0"/>
      </right>
      <top/>
      <bottom/>
      <diagonal/>
    </border>
    <border>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hair">
        <color rgb="FF002060"/>
      </right>
      <top style="thin">
        <color indexed="64"/>
      </top>
      <bottom/>
      <diagonal/>
    </border>
    <border>
      <left style="hair">
        <color rgb="FF002060"/>
      </left>
      <right style="hair">
        <color rgb="FF002060"/>
      </right>
      <top style="thin">
        <color indexed="64"/>
      </top>
      <bottom/>
      <diagonal/>
    </border>
    <border>
      <left style="hair">
        <color rgb="FF002060"/>
      </left>
      <right style="thin">
        <color indexed="64"/>
      </right>
      <top style="thin">
        <color indexed="64"/>
      </top>
      <bottom/>
      <diagonal/>
    </border>
    <border>
      <left style="thin">
        <color indexed="64"/>
      </left>
      <right style="hair">
        <color rgb="FF002060"/>
      </right>
      <top/>
      <bottom style="thin">
        <color indexed="64"/>
      </bottom>
      <diagonal/>
    </border>
    <border>
      <left style="hair">
        <color rgb="FF002060"/>
      </left>
      <right style="hair">
        <color rgb="FF002060"/>
      </right>
      <top/>
      <bottom style="thin">
        <color indexed="64"/>
      </bottom>
      <diagonal/>
    </border>
    <border>
      <left style="hair">
        <color rgb="FF002060"/>
      </left>
      <right style="thin">
        <color indexed="64"/>
      </right>
      <top/>
      <bottom style="thin">
        <color indexed="64"/>
      </bottom>
      <diagonal/>
    </border>
    <border>
      <left/>
      <right style="hair">
        <color rgb="FF002060"/>
      </right>
      <top style="thin">
        <color indexed="64"/>
      </top>
      <bottom/>
      <diagonal/>
    </border>
    <border>
      <left style="thin">
        <color indexed="64"/>
      </left>
      <right/>
      <top/>
      <bottom/>
      <diagonal/>
    </border>
    <border>
      <left/>
      <right style="hair">
        <color rgb="FF002060"/>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left>
      <right style="thin">
        <color theme="0"/>
      </right>
      <top/>
      <bottom/>
      <diagonal/>
    </border>
    <border>
      <left/>
      <right style="dashDot">
        <color indexed="64"/>
      </right>
      <top style="thin">
        <color indexed="64"/>
      </top>
      <bottom style="hair">
        <color indexed="64"/>
      </bottom>
      <diagonal/>
    </border>
    <border>
      <left style="dashDot">
        <color indexed="64"/>
      </left>
      <right style="dashDot">
        <color indexed="64"/>
      </right>
      <top style="thin">
        <color indexed="64"/>
      </top>
      <bottom style="hair">
        <color indexed="64"/>
      </bottom>
      <diagonal/>
    </border>
    <border>
      <left/>
      <right style="dashDot">
        <color indexed="64"/>
      </right>
      <top style="hair">
        <color indexed="64"/>
      </top>
      <bottom style="thin">
        <color indexed="64"/>
      </bottom>
      <diagonal/>
    </border>
    <border>
      <left style="dashDot">
        <color indexed="64"/>
      </left>
      <right style="dashDot">
        <color indexed="64"/>
      </right>
      <top style="hair">
        <color indexed="64"/>
      </top>
      <bottom style="thin">
        <color indexed="64"/>
      </bottom>
      <diagonal/>
    </border>
    <border>
      <left/>
      <right style="dashDot">
        <color indexed="64"/>
      </right>
      <top style="thin">
        <color indexed="64"/>
      </top>
      <bottom/>
      <diagonal/>
    </border>
    <border>
      <left style="dashDot">
        <color indexed="64"/>
      </left>
      <right/>
      <top/>
      <bottom style="thin">
        <color indexed="64"/>
      </bottom>
      <diagonal/>
    </border>
    <border>
      <left/>
      <right style="dashDot">
        <color indexed="64"/>
      </right>
      <top/>
      <bottom style="thin">
        <color indexed="64"/>
      </bottom>
      <diagonal/>
    </border>
    <border>
      <left style="hair">
        <color indexed="64"/>
      </left>
      <right style="hair">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thin">
        <color indexed="64"/>
      </top>
      <bottom style="hair">
        <color indexed="64"/>
      </bottom>
      <diagonal/>
    </border>
    <border>
      <left style="hair">
        <color theme="3" tint="-0.499984740745262"/>
      </left>
      <right style="hair">
        <color theme="3" tint="-0.499984740745262"/>
      </right>
      <top style="hair">
        <color theme="3" tint="-0.499984740745262"/>
      </top>
      <bottom style="hair">
        <color theme="3" tint="-0.499984740745262"/>
      </bottom>
      <diagonal/>
    </border>
    <border>
      <left style="hair">
        <color theme="3" tint="-0.499984740745262"/>
      </left>
      <right style="dashDotDot">
        <color theme="3" tint="-0.499984740745262"/>
      </right>
      <top style="hair">
        <color theme="3" tint="-0.499984740745262"/>
      </top>
      <bottom style="hair">
        <color theme="3" tint="-0.499984740745262"/>
      </bottom>
      <diagonal/>
    </border>
    <border>
      <left/>
      <right style="hair">
        <color theme="3" tint="-0.499984740745262"/>
      </right>
      <top style="hair">
        <color theme="3" tint="-0.499984740745262"/>
      </top>
      <bottom style="hair">
        <color theme="3" tint="-0.499984740745262"/>
      </bottom>
      <diagonal/>
    </border>
    <border>
      <left style="thin">
        <color theme="3" tint="-0.499984740745262"/>
      </left>
      <right style="hair">
        <color theme="3" tint="-0.499984740745262"/>
      </right>
      <top style="hair">
        <color theme="3" tint="-0.499984740745262"/>
      </top>
      <bottom style="hair">
        <color theme="3" tint="-0.499984740745262"/>
      </bottom>
      <diagonal/>
    </border>
    <border>
      <left style="thin">
        <color theme="3" tint="-0.499984740745262"/>
      </left>
      <right style="hair">
        <color theme="3" tint="-0.499984740745262"/>
      </right>
      <top/>
      <bottom style="hair">
        <color theme="3" tint="-0.499984740745262"/>
      </bottom>
      <diagonal/>
    </border>
    <border>
      <left style="thin">
        <color theme="3" tint="-0.499984740745262"/>
      </left>
      <right style="hair">
        <color theme="3" tint="-0.499984740745262"/>
      </right>
      <top style="hair">
        <color theme="3" tint="-0.499984740745262"/>
      </top>
      <bottom/>
      <diagonal/>
    </border>
    <border>
      <left style="hair">
        <color theme="3" tint="-0.499984740745262"/>
      </left>
      <right style="hair">
        <color theme="3" tint="-0.499984740745262"/>
      </right>
      <top style="hair">
        <color theme="3" tint="-0.499984740745262"/>
      </top>
      <bottom style="thin">
        <color theme="3" tint="-0.499984740745262"/>
      </bottom>
      <diagonal/>
    </border>
    <border>
      <left style="hair">
        <color theme="3" tint="-0.499984740745262"/>
      </left>
      <right style="hair">
        <color theme="3" tint="-0.499984740745262"/>
      </right>
      <top/>
      <bottom style="hair">
        <color theme="3" tint="-0.499984740745262"/>
      </bottom>
      <diagonal/>
    </border>
    <border>
      <left style="hair">
        <color theme="3" tint="-0.499984740745262"/>
      </left>
      <right style="hair">
        <color theme="3" tint="-0.499984740745262"/>
      </right>
      <top style="thin">
        <color theme="3" tint="-0.499984740745262"/>
      </top>
      <bottom style="hair">
        <color theme="3" tint="-0.499984740745262"/>
      </bottom>
      <diagonal/>
    </border>
    <border>
      <left style="hair">
        <color theme="3" tint="-0.499984740745262"/>
      </left>
      <right style="dashDotDot">
        <color theme="3" tint="-0.499984740745262"/>
      </right>
      <top/>
      <bottom style="hair">
        <color theme="3" tint="-0.499984740745262"/>
      </bottom>
      <diagonal/>
    </border>
    <border>
      <left/>
      <right style="hair">
        <color theme="3" tint="-0.499984740745262"/>
      </right>
      <top style="hair">
        <color theme="3" tint="-0.499984740745262"/>
      </top>
      <bottom style="thin">
        <color theme="3" tint="-0.499984740745262"/>
      </bottom>
      <diagonal/>
    </border>
    <border>
      <left style="thin">
        <color theme="3" tint="-0.499984740745262"/>
      </left>
      <right style="hair">
        <color theme="3" tint="-0.499984740745262"/>
      </right>
      <top style="hair">
        <color theme="3" tint="-0.499984740745262"/>
      </top>
      <bottom style="thin">
        <color theme="3" tint="-0.499984740745262"/>
      </bottom>
      <diagonal/>
    </border>
    <border>
      <left style="thin">
        <color theme="3" tint="-0.499984740745262"/>
      </left>
      <right style="hair">
        <color theme="3" tint="-0.499984740745262"/>
      </right>
      <top style="thin">
        <color theme="3" tint="-0.499984740745262"/>
      </top>
      <bottom style="hair">
        <color theme="3" tint="-0.499984740745262"/>
      </bottom>
      <diagonal/>
    </border>
    <border>
      <left style="hair">
        <color theme="3" tint="-0.499984740745262"/>
      </left>
      <right style="dashDotDot">
        <color theme="3" tint="-0.499984740745262"/>
      </right>
      <top style="hair">
        <color theme="3" tint="-0.499984740745262"/>
      </top>
      <bottom style="thin">
        <color theme="3" tint="-0.499984740745262"/>
      </bottom>
      <diagonal/>
    </border>
    <border>
      <left style="thin">
        <color theme="3" tint="-0.499984740745262"/>
      </left>
      <right style="hair">
        <color theme="3" tint="-0.499984740745262"/>
      </right>
      <top style="thin">
        <color theme="3" tint="-0.499984740745262"/>
      </top>
      <bottom style="thin">
        <color theme="3" tint="-0.499984740745262"/>
      </bottom>
      <diagonal/>
    </border>
    <border>
      <left style="hair">
        <color theme="3" tint="-0.499984740745262"/>
      </left>
      <right style="hair">
        <color theme="3" tint="-0.499984740745262"/>
      </right>
      <top style="thin">
        <color theme="3" tint="-0.499984740745262"/>
      </top>
      <bottom style="thin">
        <color theme="3" tint="-0.499984740745262"/>
      </bottom>
      <diagonal/>
    </border>
    <border>
      <left style="hair">
        <color theme="3" tint="-0.499984740745262"/>
      </left>
      <right style="dashDotDot">
        <color theme="3" tint="-0.499984740745262"/>
      </right>
      <top style="thin">
        <color theme="3" tint="-0.499984740745262"/>
      </top>
      <bottom style="thin">
        <color theme="3" tint="-0.499984740745262"/>
      </bottom>
      <diagonal/>
    </border>
    <border>
      <left style="thin">
        <color theme="3" tint="-0.499984740745262"/>
      </left>
      <right style="hair">
        <color theme="3" tint="-0.499984740745262"/>
      </right>
      <top style="thin">
        <color theme="3" tint="-0.499984740745262"/>
      </top>
      <bottom/>
      <diagonal/>
    </border>
    <border>
      <left style="hair">
        <color theme="3" tint="-0.499984740745262"/>
      </left>
      <right style="hair">
        <color theme="3" tint="-0.499984740745262"/>
      </right>
      <top style="thin">
        <color theme="3" tint="-0.499984740745262"/>
      </top>
      <bottom/>
      <diagonal/>
    </border>
    <border>
      <left style="thin">
        <color theme="3" tint="-0.499984740745262"/>
      </left>
      <right/>
      <top/>
      <bottom style="thin">
        <color indexed="64"/>
      </bottom>
      <diagonal/>
    </border>
    <border>
      <left/>
      <right style="hair">
        <color theme="3" tint="-0.499984740745262"/>
      </right>
      <top/>
      <bottom/>
      <diagonal/>
    </border>
    <border>
      <left/>
      <right style="dashDotDot">
        <color rgb="FF002060"/>
      </right>
      <top style="thin">
        <color rgb="FF002060"/>
      </top>
      <bottom style="thin">
        <color rgb="FF00206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hair">
        <color rgb="FF002060"/>
      </right>
      <top style="medium">
        <color indexed="64"/>
      </top>
      <bottom/>
      <diagonal/>
    </border>
    <border>
      <left style="hair">
        <color rgb="FF002060"/>
      </left>
      <right style="hair">
        <color rgb="FF002060"/>
      </right>
      <top style="medium">
        <color indexed="64"/>
      </top>
      <bottom/>
      <diagonal/>
    </border>
    <border>
      <left style="hair">
        <color rgb="FF002060"/>
      </left>
      <right style="thin">
        <color indexed="64"/>
      </right>
      <top style="medium">
        <color indexed="64"/>
      </top>
      <bottom/>
      <diagonal/>
    </border>
    <border>
      <left/>
      <right style="hair">
        <color rgb="FF002060"/>
      </right>
      <top style="medium">
        <color indexed="64"/>
      </top>
      <bottom/>
      <diagonal/>
    </border>
    <border>
      <left style="hair">
        <color rgb="FF002060"/>
      </left>
      <right style="medium">
        <color indexed="64"/>
      </right>
      <top style="medium">
        <color indexed="64"/>
      </top>
      <bottom/>
      <diagonal/>
    </border>
    <border>
      <left style="hair">
        <color rgb="FF002060"/>
      </left>
      <right style="medium">
        <color indexed="64"/>
      </right>
      <top/>
      <bottom/>
      <diagonal/>
    </border>
    <border>
      <left style="thin">
        <color indexed="64"/>
      </left>
      <right style="hair">
        <color rgb="FF002060"/>
      </right>
      <top/>
      <bottom style="medium">
        <color indexed="64"/>
      </bottom>
      <diagonal/>
    </border>
    <border>
      <left style="hair">
        <color rgb="FF002060"/>
      </left>
      <right style="hair">
        <color rgb="FF002060"/>
      </right>
      <top/>
      <bottom style="medium">
        <color indexed="64"/>
      </bottom>
      <diagonal/>
    </border>
    <border>
      <left style="hair">
        <color rgb="FF002060"/>
      </left>
      <right style="thin">
        <color indexed="64"/>
      </right>
      <top/>
      <bottom style="medium">
        <color indexed="64"/>
      </bottom>
      <diagonal/>
    </border>
    <border>
      <left/>
      <right style="hair">
        <color rgb="FF002060"/>
      </right>
      <top/>
      <bottom style="medium">
        <color indexed="64"/>
      </bottom>
      <diagonal/>
    </border>
    <border>
      <left style="hair">
        <color rgb="FF002060"/>
      </left>
      <right style="medium">
        <color indexed="64"/>
      </right>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diagonal/>
    </border>
    <border>
      <left/>
      <right/>
      <top/>
      <bottom style="hair">
        <color indexed="64"/>
      </bottom>
      <diagonal/>
    </border>
    <border>
      <left/>
      <right style="hair">
        <color indexed="64"/>
      </right>
      <top/>
      <bottom style="hair">
        <color indexed="64"/>
      </bottom>
      <diagonal/>
    </border>
    <border>
      <left style="hair">
        <color theme="3" tint="-0.499984740745262"/>
      </left>
      <right style="dashDotDot">
        <color theme="3" tint="-0.499984740745262"/>
      </right>
      <top style="thin">
        <color theme="3" tint="-0.499984740745262"/>
      </top>
      <bottom/>
      <diagonal/>
    </border>
    <border>
      <left style="thin">
        <color indexed="64"/>
      </left>
      <right style="hair">
        <color theme="3" tint="-0.499984740745262"/>
      </right>
      <top style="thin">
        <color theme="3" tint="-0.499984740745262"/>
      </top>
      <bottom style="hair">
        <color theme="3" tint="-0.499984740745262"/>
      </bottom>
      <diagonal/>
    </border>
    <border>
      <left style="hair">
        <color theme="3" tint="-0.499984740745262"/>
      </left>
      <right style="dashDotDot">
        <color theme="3" tint="-0.499984740745262"/>
      </right>
      <top style="thin">
        <color theme="3" tint="-0.499984740745262"/>
      </top>
      <bottom style="hair">
        <color theme="3" tint="-0.499984740745262"/>
      </bottom>
      <diagonal/>
    </border>
    <border>
      <left/>
      <right style="hair">
        <color theme="3" tint="-0.499984740745262"/>
      </right>
      <top/>
      <bottom style="hair">
        <color theme="3" tint="-0.499984740745262"/>
      </bottom>
      <diagonal/>
    </border>
    <border>
      <left/>
      <right/>
      <top/>
      <bottom style="hair">
        <color theme="3" tint="-0.499984740745262"/>
      </bottom>
      <diagonal/>
    </border>
    <border>
      <left style="hair">
        <color theme="3" tint="-0.499984740745262"/>
      </left>
      <right style="hair">
        <color theme="3" tint="-0.499984740745262"/>
      </right>
      <top style="thin">
        <color indexed="64"/>
      </top>
      <bottom style="hair">
        <color theme="3" tint="-0.499984740745262"/>
      </bottom>
      <diagonal/>
    </border>
    <border>
      <left style="hair">
        <color theme="3" tint="-0.499984740745262"/>
      </left>
      <right style="hair">
        <color theme="3" tint="-0.499984740745262"/>
      </right>
      <top style="hair">
        <color theme="3" tint="-0.499984740745262"/>
      </top>
      <bottom/>
      <diagonal/>
    </border>
    <border>
      <left/>
      <right/>
      <top style="thin">
        <color rgb="FF002060"/>
      </top>
      <bottom style="thin">
        <color theme="3" tint="-0.499984740745262"/>
      </bottom>
      <diagonal/>
    </border>
    <border>
      <left style="thin">
        <color theme="0"/>
      </left>
      <right/>
      <top style="thin">
        <color indexed="64"/>
      </top>
      <bottom style="thin">
        <color indexed="64"/>
      </bottom>
      <diagonal/>
    </border>
    <border>
      <left style="hair">
        <color indexed="64"/>
      </left>
      <right style="thin">
        <color indexed="64"/>
      </right>
      <top style="dotted">
        <color indexed="64"/>
      </top>
      <bottom style="hair">
        <color indexed="64"/>
      </bottom>
      <diagonal/>
    </border>
    <border>
      <left style="hair">
        <color theme="3" tint="-0.499984740745262"/>
      </left>
      <right style="dashDotDot">
        <color theme="3" tint="-0.499984740745262"/>
      </right>
      <top style="hair">
        <color theme="3" tint="-0.499984740745262"/>
      </top>
      <bottom/>
      <diagonal/>
    </border>
    <border>
      <left/>
      <right style="thin">
        <color indexed="64"/>
      </right>
      <top style="thin">
        <color rgb="FF002060"/>
      </top>
      <bottom style="thin">
        <color indexed="64"/>
      </bottom>
      <diagonal/>
    </border>
    <border>
      <left style="thin">
        <color indexed="64"/>
      </left>
      <right style="thin">
        <color indexed="64"/>
      </right>
      <top style="thin">
        <color rgb="FF002060"/>
      </top>
      <bottom style="thin">
        <color rgb="FF002060"/>
      </bottom>
      <diagonal/>
    </border>
    <border>
      <left style="thin">
        <color indexed="64"/>
      </left>
      <right style="thin">
        <color indexed="64"/>
      </right>
      <top style="thin">
        <color rgb="FF002060"/>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style="hair">
        <color indexed="64"/>
      </right>
      <top/>
      <bottom/>
      <diagonal/>
    </border>
    <border>
      <left style="dashed">
        <color indexed="64"/>
      </left>
      <right/>
      <top/>
      <bottom/>
      <diagonal/>
    </border>
    <border>
      <left style="hair">
        <color indexed="64"/>
      </left>
      <right style="thin">
        <color indexed="64"/>
      </right>
      <top style="hair">
        <color indexed="64"/>
      </top>
      <bottom/>
      <diagonal/>
    </border>
    <border>
      <left style="dashed">
        <color indexed="64"/>
      </left>
      <right/>
      <top style="thin">
        <color indexed="64"/>
      </top>
      <bottom/>
      <diagonal/>
    </border>
    <border>
      <left style="dotted">
        <color indexed="64"/>
      </left>
      <right style="dotted">
        <color indexed="64"/>
      </right>
      <top style="thin">
        <color indexed="64"/>
      </top>
      <bottom/>
      <diagonal/>
    </border>
    <border>
      <left style="dotted">
        <color indexed="64"/>
      </left>
      <right style="dotted">
        <color indexed="64"/>
      </right>
      <top/>
      <bottom/>
      <diagonal/>
    </border>
    <border>
      <left style="thin">
        <color indexed="64"/>
      </left>
      <right style="dashed">
        <color indexed="64"/>
      </right>
      <top style="thin">
        <color indexed="64"/>
      </top>
      <bottom/>
      <diagonal/>
    </border>
    <border>
      <left style="medium">
        <color indexed="64"/>
      </left>
      <right style="hair">
        <color indexed="64"/>
      </right>
      <top/>
      <bottom style="medium">
        <color indexed="64"/>
      </bottom>
      <diagonal/>
    </border>
    <border>
      <left/>
      <right style="dashed">
        <color indexed="64"/>
      </right>
      <top/>
      <bottom style="medium">
        <color indexed="64"/>
      </bottom>
      <diagonal/>
    </border>
    <border>
      <left style="thin">
        <color indexed="64"/>
      </left>
      <right style="dashed">
        <color indexed="64"/>
      </right>
      <top/>
      <bottom/>
      <diagonal/>
    </border>
    <border>
      <left style="dashed">
        <color indexed="64"/>
      </left>
      <right style="dashed">
        <color indexed="64"/>
      </right>
      <top/>
      <bottom style="medium">
        <color indexed="64"/>
      </bottom>
      <diagonal/>
    </border>
    <border>
      <left style="dotted">
        <color indexed="64"/>
      </left>
      <right style="dashed">
        <color indexed="64"/>
      </right>
      <top/>
      <bottom/>
      <diagonal/>
    </border>
    <border>
      <left style="medium">
        <color indexed="64"/>
      </left>
      <right style="dashed">
        <color indexed="64"/>
      </right>
      <top/>
      <bottom style="medium">
        <color indexed="64"/>
      </bottom>
      <diagonal/>
    </border>
    <border>
      <left style="hair">
        <color indexed="64"/>
      </left>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dashDotDot">
        <color rgb="FF002060"/>
      </left>
      <right/>
      <top style="thin">
        <color rgb="FF002060"/>
      </top>
      <bottom/>
      <diagonal/>
    </border>
    <border>
      <left/>
      <right style="thin">
        <color theme="0"/>
      </right>
      <top style="thin">
        <color theme="0"/>
      </top>
      <bottom style="thin">
        <color rgb="FF00206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style="hair">
        <color indexed="64"/>
      </top>
      <bottom style="hair">
        <color indexed="64"/>
      </bottom>
      <diagonal/>
    </border>
    <border>
      <left style="dashDotDot">
        <color rgb="FF002060"/>
      </left>
      <right style="dashDotDot">
        <color rgb="FF002060"/>
      </right>
      <top/>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0" tint="-0.24994659260841701"/>
      </bottom>
      <diagonal/>
    </border>
    <border>
      <left style="thin">
        <color indexed="64"/>
      </left>
      <right/>
      <top style="thin">
        <color indexed="64"/>
      </top>
      <bottom style="thin">
        <color theme="0" tint="-0.24994659260841701"/>
      </bottom>
      <diagonal/>
    </border>
    <border>
      <left style="thin">
        <color indexed="64"/>
      </left>
      <right style="double">
        <color indexed="64"/>
      </right>
      <top style="thin">
        <color indexed="64"/>
      </top>
      <bottom style="thin">
        <color theme="0" tint="-0.24994659260841701"/>
      </bottom>
      <diagonal/>
    </border>
    <border>
      <left style="double">
        <color indexed="64"/>
      </left>
      <right style="thin">
        <color indexed="64"/>
      </right>
      <top style="thin">
        <color indexed="64"/>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top style="thin">
        <color theme="0" tint="-0.24994659260841701"/>
      </top>
      <bottom style="thin">
        <color theme="0" tint="-0.24994659260841701"/>
      </bottom>
      <diagonal/>
    </border>
    <border>
      <left style="thin">
        <color indexed="64"/>
      </left>
      <right style="double">
        <color indexed="64"/>
      </right>
      <top style="thin">
        <color theme="0" tint="-0.24994659260841701"/>
      </top>
      <bottom style="thin">
        <color theme="0" tint="-0.24994659260841701"/>
      </bottom>
      <diagonal/>
    </border>
    <border>
      <left style="double">
        <color indexed="64"/>
      </left>
      <right style="thin">
        <color indexed="64"/>
      </right>
      <top style="thin">
        <color theme="0" tint="-0.24994659260841701"/>
      </top>
      <bottom style="thin">
        <color theme="0" tint="-0.24994659260841701"/>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top/>
      <bottom/>
      <diagonal/>
    </border>
    <border>
      <left style="thin">
        <color theme="0" tint="-0.24994659260841701"/>
      </left>
      <right/>
      <top/>
      <bottom/>
      <diagonal/>
    </border>
    <border>
      <left style="thin">
        <color indexed="64"/>
      </left>
      <right style="thin">
        <color indexed="64"/>
      </right>
      <top/>
      <bottom style="thin">
        <color theme="0" tint="-0.24994659260841701"/>
      </bottom>
      <diagonal/>
    </border>
    <border>
      <left style="thin">
        <color indexed="64"/>
      </left>
      <right/>
      <top/>
      <bottom style="thin">
        <color theme="0" tint="-0.24994659260841701"/>
      </bottom>
      <diagonal/>
    </border>
    <border>
      <left style="thin">
        <color indexed="64"/>
      </left>
      <right style="double">
        <color indexed="64"/>
      </right>
      <top/>
      <bottom style="thin">
        <color theme="0" tint="-0.24994659260841701"/>
      </bottom>
      <diagonal/>
    </border>
    <border>
      <left style="double">
        <color indexed="64"/>
      </left>
      <right style="thin">
        <color indexed="64"/>
      </right>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style="thin">
        <color indexed="64"/>
      </left>
      <right/>
      <top style="thin">
        <color theme="0" tint="-0.24994659260841701"/>
      </top>
      <bottom style="thin">
        <color indexed="64"/>
      </bottom>
      <diagonal/>
    </border>
    <border>
      <left style="thin">
        <color indexed="64"/>
      </left>
      <right style="double">
        <color indexed="64"/>
      </right>
      <top style="thin">
        <color theme="0" tint="-0.24994659260841701"/>
      </top>
      <bottom style="thin">
        <color indexed="64"/>
      </bottom>
      <diagonal/>
    </border>
    <border>
      <left style="double">
        <color indexed="64"/>
      </left>
      <right style="thin">
        <color indexed="64"/>
      </right>
      <top style="thin">
        <color theme="0" tint="-0.24994659260841701"/>
      </top>
      <bottom style="thin">
        <color indexed="64"/>
      </bottom>
      <diagonal/>
    </border>
    <border>
      <left style="thin">
        <color indexed="64"/>
      </left>
      <right style="hair">
        <color indexed="64"/>
      </right>
      <top style="hair">
        <color indexed="64"/>
      </top>
      <bottom/>
      <diagonal/>
    </border>
    <border>
      <left style="dashDotDot">
        <color rgb="FF002060"/>
      </left>
      <right style="dashDotDot">
        <color rgb="FF002060"/>
      </right>
      <top style="thin">
        <color indexed="64"/>
      </top>
      <bottom style="thin">
        <color rgb="FF002060"/>
      </bottom>
      <diagonal/>
    </border>
    <border>
      <left style="thin">
        <color indexed="64"/>
      </left>
      <right style="thin">
        <color rgb="FF002060"/>
      </right>
      <top/>
      <bottom/>
      <diagonal/>
    </border>
    <border>
      <left style="thin">
        <color indexed="64"/>
      </left>
      <right style="thin">
        <color rgb="FF002060"/>
      </right>
      <top/>
      <bottom style="thin">
        <color indexed="64"/>
      </bottom>
      <diagonal/>
    </border>
    <border>
      <left style="dashDotDot">
        <color rgb="FF002060"/>
      </left>
      <right style="dashDotDot">
        <color rgb="FF002060"/>
      </right>
      <top style="thin">
        <color rgb="FF002060"/>
      </top>
      <bottom style="thin">
        <color indexed="64"/>
      </bottom>
      <diagonal/>
    </border>
    <border>
      <left style="hair">
        <color theme="3" tint="-0.499984740745262"/>
      </left>
      <right style="thin">
        <color indexed="64"/>
      </right>
      <top style="hair">
        <color theme="3" tint="-0.499984740745262"/>
      </top>
      <bottom style="hair">
        <color theme="3" tint="-0.499984740745262"/>
      </bottom>
      <diagonal/>
    </border>
    <border>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top style="thin">
        <color auto="1"/>
      </top>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medium">
        <color indexed="64"/>
      </top>
      <bottom style="dashed">
        <color indexed="64"/>
      </bottom>
      <diagonal/>
    </border>
    <border>
      <left style="medium">
        <color indexed="64"/>
      </left>
      <right style="thin">
        <color indexed="64"/>
      </right>
      <top style="thin">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dashed">
        <color indexed="64"/>
      </top>
      <bottom style="dashed">
        <color indexed="64"/>
      </bottom>
      <diagonal/>
    </border>
    <border>
      <left style="medium">
        <color indexed="64"/>
      </left>
      <right style="thin">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style="dashed">
        <color indexed="64"/>
      </top>
      <bottom style="medium">
        <color indexed="64"/>
      </bottom>
      <diagonal/>
    </border>
    <border>
      <left style="thin">
        <color indexed="64"/>
      </left>
      <right/>
      <top style="hair">
        <color indexed="64"/>
      </top>
      <bottom style="thin">
        <color indexed="64"/>
      </bottom>
      <diagonal/>
    </border>
    <border>
      <left style="thin">
        <color indexed="64"/>
      </left>
      <right style="thin">
        <color indexed="64"/>
      </right>
      <top style="dotted">
        <color indexed="64"/>
      </top>
      <bottom style="dotted">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dashed">
        <color indexed="64"/>
      </top>
      <bottom style="hair">
        <color indexed="64"/>
      </bottom>
      <diagonal/>
    </border>
    <border>
      <left/>
      <right style="hair">
        <color auto="1"/>
      </right>
      <top style="thin">
        <color auto="1"/>
      </top>
      <bottom/>
      <diagonal/>
    </border>
    <border>
      <left style="hair">
        <color auto="1"/>
      </left>
      <right/>
      <top/>
      <bottom/>
      <diagonal/>
    </border>
    <border>
      <left style="hair">
        <color auto="1"/>
      </left>
      <right/>
      <top style="thin">
        <color auto="1"/>
      </top>
      <bottom/>
      <diagonal/>
    </border>
    <border>
      <left style="thin">
        <color theme="0"/>
      </left>
      <right style="thin">
        <color theme="0"/>
      </right>
      <top style="thin">
        <color rgb="FF002060"/>
      </top>
      <bottom/>
      <diagonal/>
    </border>
    <border>
      <left style="thin">
        <color rgb="FF002060"/>
      </left>
      <right style="thin">
        <color theme="0"/>
      </right>
      <top/>
      <bottom/>
      <diagonal/>
    </border>
    <border>
      <left/>
      <right/>
      <top style="thin">
        <color rgb="FF002060"/>
      </top>
      <bottom style="hair">
        <color indexed="64"/>
      </bottom>
      <diagonal/>
    </border>
    <border>
      <left/>
      <right style="thin">
        <color indexed="64"/>
      </right>
      <top style="thin">
        <color rgb="FF002060"/>
      </top>
      <bottom style="hair">
        <color indexed="64"/>
      </bottom>
      <diagonal/>
    </border>
    <border>
      <left style="hair">
        <color theme="3" tint="-0.499984740745262"/>
      </left>
      <right style="thin">
        <color indexed="64"/>
      </right>
      <top style="thin">
        <color theme="3" tint="-0.499984740745262"/>
      </top>
      <bottom style="hair">
        <color theme="3" tint="-0.499984740745262"/>
      </bottom>
      <diagonal/>
    </border>
    <border>
      <left style="hair">
        <color theme="3" tint="-0.499984740745262"/>
      </left>
      <right style="thin">
        <color theme="3" tint="-0.499984740745262"/>
      </right>
      <top style="hair">
        <color theme="3" tint="-0.499984740745262"/>
      </top>
      <bottom style="hair">
        <color theme="3" tint="-0.499984740745262"/>
      </bottom>
      <diagonal/>
    </border>
    <border>
      <left style="hair">
        <color theme="3" tint="-0.499984740745262"/>
      </left>
      <right style="thin">
        <color theme="3" tint="-0.499984740745262"/>
      </right>
      <top style="hair">
        <color theme="3" tint="-0.499984740745262"/>
      </top>
      <bottom style="thin">
        <color theme="3" tint="-0.499984740745262"/>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diagonal/>
    </border>
    <border>
      <left style="double">
        <color indexed="64"/>
      </left>
      <right style="thin">
        <color indexed="64"/>
      </right>
      <top/>
      <bottom/>
      <diagonal/>
    </border>
    <border>
      <left/>
      <right/>
      <top style="thin">
        <color auto="1"/>
      </top>
      <bottom/>
      <diagonal/>
    </border>
    <border>
      <left style="thin">
        <color theme="0"/>
      </left>
      <right/>
      <top style="thin">
        <color rgb="FF002060"/>
      </top>
      <bottom/>
      <diagonal/>
    </border>
    <border>
      <left style="thin">
        <color rgb="FF002060"/>
      </left>
      <right style="thin">
        <color rgb="FF002060"/>
      </right>
      <top style="thin">
        <color rgb="FF002060"/>
      </top>
      <bottom style="hair">
        <color rgb="FF002060"/>
      </bottom>
      <diagonal/>
    </border>
    <border>
      <left style="thin">
        <color rgb="FF002060"/>
      </left>
      <right style="thin">
        <color rgb="FF002060"/>
      </right>
      <top style="hair">
        <color rgb="FF002060"/>
      </top>
      <bottom style="hair">
        <color rgb="FF002060"/>
      </bottom>
      <diagonal/>
    </border>
    <border>
      <left style="thin">
        <color rgb="FF002060"/>
      </left>
      <right style="thin">
        <color rgb="FF002060"/>
      </right>
      <top/>
      <bottom style="thin">
        <color rgb="FF002060"/>
      </bottom>
      <diagonal/>
    </border>
    <border>
      <left style="thin">
        <color indexed="64"/>
      </left>
      <right style="thin">
        <color rgb="FF002060"/>
      </right>
      <top style="hair">
        <color indexed="64"/>
      </top>
      <bottom style="hair">
        <color indexed="64"/>
      </bottom>
      <diagonal/>
    </border>
    <border>
      <left style="thin">
        <color indexed="64"/>
      </left>
      <right style="thin">
        <color rgb="FF002060"/>
      </right>
      <top style="thin">
        <color indexed="64"/>
      </top>
      <bottom style="hair">
        <color indexed="64"/>
      </bottom>
      <diagonal/>
    </border>
    <border>
      <left/>
      <right style="hair">
        <color rgb="FF002060"/>
      </right>
      <top style="thin">
        <color rgb="FF002060"/>
      </top>
      <bottom style="hair">
        <color indexed="64"/>
      </bottom>
      <diagonal/>
    </border>
    <border>
      <left/>
      <right style="hair">
        <color rgb="FF002060"/>
      </right>
      <top style="hair">
        <color indexed="64"/>
      </top>
      <bottom style="hair">
        <color indexed="64"/>
      </bottom>
      <diagonal/>
    </border>
    <border>
      <left/>
      <right style="hair">
        <color rgb="FF002060"/>
      </right>
      <top style="hair">
        <color indexed="64"/>
      </top>
      <bottom style="thin">
        <color indexed="64"/>
      </bottom>
      <diagonal/>
    </border>
    <border>
      <left/>
      <right style="thin">
        <color rgb="FF002060"/>
      </right>
      <top style="thin">
        <color rgb="FF002060"/>
      </top>
      <bottom style="hair">
        <color rgb="FF002060"/>
      </bottom>
      <diagonal/>
    </border>
    <border>
      <left/>
      <right style="thin">
        <color rgb="FF002060"/>
      </right>
      <top style="hair">
        <color rgb="FF002060"/>
      </top>
      <bottom style="hair">
        <color rgb="FF002060"/>
      </bottom>
      <diagonal/>
    </border>
    <border>
      <left/>
      <right style="thin">
        <color indexed="64"/>
      </right>
      <top style="hair">
        <color rgb="FF002060"/>
      </top>
      <bottom style="hair">
        <color rgb="FF002060"/>
      </bottom>
      <diagonal/>
    </border>
    <border>
      <left/>
      <right style="thin">
        <color rgb="FF002060"/>
      </right>
      <top style="hair">
        <color rgb="FF002060"/>
      </top>
      <bottom/>
      <diagonal/>
    </border>
    <border>
      <left style="thin">
        <color rgb="FF002060"/>
      </left>
      <right style="thin">
        <color rgb="FF002060"/>
      </right>
      <top style="hair">
        <color rgb="FF002060"/>
      </top>
      <bottom/>
      <diagonal/>
    </border>
    <border>
      <left/>
      <right style="thin">
        <color rgb="FF002060"/>
      </right>
      <top/>
      <bottom style="hair">
        <color rgb="FF002060"/>
      </bottom>
      <diagonal/>
    </border>
    <border>
      <left style="thin">
        <color rgb="FF002060"/>
      </left>
      <right style="hair">
        <color rgb="FF002060"/>
      </right>
      <top style="hair">
        <color auto="1"/>
      </top>
      <bottom style="hair">
        <color auto="1"/>
      </bottom>
      <diagonal/>
    </border>
    <border>
      <left style="hair">
        <color rgb="FF002060"/>
      </left>
      <right style="hair">
        <color rgb="FF002060"/>
      </right>
      <top style="hair">
        <color auto="1"/>
      </top>
      <bottom style="hair">
        <color auto="1"/>
      </bottom>
      <diagonal/>
    </border>
    <border>
      <left style="thin">
        <color rgb="FF002060"/>
      </left>
      <right style="thin">
        <color rgb="FF002060"/>
      </right>
      <top style="thin">
        <color auto="1"/>
      </top>
      <bottom/>
      <diagonal/>
    </border>
    <border>
      <left style="thin">
        <color rgb="FF002060"/>
      </left>
      <right style="thin">
        <color rgb="FF002060"/>
      </right>
      <top/>
      <bottom/>
      <diagonal/>
    </border>
    <border>
      <left/>
      <right style="thin">
        <color indexed="64"/>
      </right>
      <top style="hair">
        <color rgb="FF002060"/>
      </top>
      <bottom/>
      <diagonal/>
    </border>
    <border>
      <left style="thin">
        <color rgb="FF002060"/>
      </left>
      <right style="hair">
        <color rgb="FF002060"/>
      </right>
      <top style="hair">
        <color auto="1"/>
      </top>
      <bottom/>
      <diagonal/>
    </border>
    <border>
      <left style="hair">
        <color rgb="FF002060"/>
      </left>
      <right style="hair">
        <color rgb="FF002060"/>
      </right>
      <top style="hair">
        <color auto="1"/>
      </top>
      <bottom/>
      <diagonal/>
    </border>
    <border>
      <left style="thin">
        <color rgb="FF002060"/>
      </left>
      <right style="hair">
        <color rgb="FF002060"/>
      </right>
      <top style="thin">
        <color rgb="FF002060"/>
      </top>
      <bottom style="hair">
        <color auto="1"/>
      </bottom>
      <diagonal/>
    </border>
    <border>
      <left style="hair">
        <color rgb="FF002060"/>
      </left>
      <right style="hair">
        <color rgb="FF002060"/>
      </right>
      <top style="thin">
        <color rgb="FF002060"/>
      </top>
      <bottom style="hair">
        <color auto="1"/>
      </bottom>
      <diagonal/>
    </border>
    <border>
      <left style="hair">
        <color rgb="FF002060"/>
      </left>
      <right style="thin">
        <color rgb="FF002060"/>
      </right>
      <top style="thin">
        <color rgb="FF002060"/>
      </top>
      <bottom style="hair">
        <color auto="1"/>
      </bottom>
      <diagonal/>
    </border>
    <border>
      <left style="hair">
        <color rgb="FF002060"/>
      </left>
      <right style="thin">
        <color rgb="FF002060"/>
      </right>
      <top style="hair">
        <color auto="1"/>
      </top>
      <bottom style="hair">
        <color auto="1"/>
      </bottom>
      <diagonal/>
    </border>
    <border>
      <left style="thin">
        <color rgb="FF002060"/>
      </left>
      <right style="hair">
        <color rgb="FF002060"/>
      </right>
      <top style="hair">
        <color auto="1"/>
      </top>
      <bottom style="thin">
        <color indexed="64"/>
      </bottom>
      <diagonal/>
    </border>
    <border>
      <left style="hair">
        <color rgb="FF002060"/>
      </left>
      <right style="hair">
        <color rgb="FF002060"/>
      </right>
      <top style="hair">
        <color auto="1"/>
      </top>
      <bottom style="thin">
        <color indexed="64"/>
      </bottom>
      <diagonal/>
    </border>
    <border>
      <left style="hair">
        <color rgb="FF002060"/>
      </left>
      <right style="thin">
        <color rgb="FF002060"/>
      </right>
      <top style="hair">
        <color auto="1"/>
      </top>
      <bottom style="thin">
        <color indexed="64"/>
      </bottom>
      <diagonal/>
    </border>
    <border>
      <left style="hair">
        <color rgb="FF002060"/>
      </left>
      <right style="thin">
        <color rgb="FF002060"/>
      </right>
      <top style="hair">
        <color auto="1"/>
      </top>
      <bottom/>
      <diagonal/>
    </border>
    <border>
      <left/>
      <right style="hair">
        <color rgb="FF002060"/>
      </right>
      <top style="hair">
        <color auto="1"/>
      </top>
      <bottom/>
      <diagonal/>
    </border>
    <border>
      <left style="thin">
        <color indexed="64"/>
      </left>
      <right style="hair">
        <color rgb="FF002060"/>
      </right>
      <top style="thin">
        <color indexed="64"/>
      </top>
      <bottom style="hair">
        <color indexed="64"/>
      </bottom>
      <diagonal/>
    </border>
    <border>
      <left style="thin">
        <color indexed="64"/>
      </left>
      <right style="hair">
        <color rgb="FF002060"/>
      </right>
      <top style="hair">
        <color indexed="64"/>
      </top>
      <bottom style="hair">
        <color indexed="64"/>
      </bottom>
      <diagonal/>
    </border>
    <border>
      <left style="thin">
        <color indexed="64"/>
      </left>
      <right style="hair">
        <color rgb="FF002060"/>
      </right>
      <top style="hair">
        <color indexed="64"/>
      </top>
      <bottom style="thin">
        <color indexed="64"/>
      </bottom>
      <diagonal/>
    </border>
    <border>
      <left/>
      <right style="hair">
        <color rgb="FF002060"/>
      </right>
      <top/>
      <bottom style="hair">
        <color indexed="64"/>
      </bottom>
      <diagonal/>
    </border>
    <border>
      <left style="thin">
        <color rgb="FF002060"/>
      </left>
      <right style="thin">
        <color rgb="FF002060"/>
      </right>
      <top/>
      <bottom style="hair">
        <color rgb="FF002060"/>
      </bottom>
      <diagonal/>
    </border>
    <border>
      <left style="thin">
        <color indexed="64"/>
      </left>
      <right style="thin">
        <color indexed="64"/>
      </right>
      <top style="hair">
        <color indexed="64"/>
      </top>
      <bottom style="thin">
        <color rgb="FF002060"/>
      </bottom>
      <diagonal/>
    </border>
    <border>
      <left style="dashDot">
        <color indexed="64"/>
      </left>
      <right/>
      <top style="thin">
        <color indexed="64"/>
      </top>
      <bottom/>
      <diagonal/>
    </border>
    <border>
      <left style="thin">
        <color theme="0"/>
      </left>
      <right/>
      <top/>
      <bottom style="thin">
        <color indexed="64"/>
      </bottom>
      <diagonal/>
    </border>
    <border>
      <left style="hair">
        <color theme="3" tint="-0.499984740745262"/>
      </left>
      <right style="thin">
        <color theme="3" tint="-0.499984740745262"/>
      </right>
      <top style="hair">
        <color theme="3" tint="-0.499984740745262"/>
      </top>
      <bottom/>
      <diagonal/>
    </border>
    <border>
      <left style="hair">
        <color theme="3" tint="-0.499984740745262"/>
      </left>
      <right style="thin">
        <color theme="3" tint="-0.499984740745262"/>
      </right>
      <top/>
      <bottom style="hair">
        <color theme="3" tint="-0.499984740745262"/>
      </bottom>
      <diagonal/>
    </border>
    <border>
      <left/>
      <right/>
      <top/>
      <bottom style="hair">
        <color rgb="FF002060"/>
      </bottom>
      <diagonal/>
    </border>
    <border>
      <left style="thin">
        <color indexed="64"/>
      </left>
      <right style="hair">
        <color rgb="FF002060"/>
      </right>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thin">
        <color rgb="FF002060"/>
      </right>
      <top style="hair">
        <color indexed="64"/>
      </top>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dashDotDot">
        <color rgb="FF002060"/>
      </left>
      <right style="dashDotDot">
        <color rgb="FF002060"/>
      </right>
      <top style="thin">
        <color indexed="64"/>
      </top>
      <bottom style="thin">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bottom style="thin">
        <color rgb="FFCBD5E1"/>
      </bottom>
      <diagonal/>
    </border>
    <border>
      <left style="thin">
        <color rgb="FFCBD5E1"/>
      </left>
      <right/>
      <top/>
      <bottom/>
      <diagonal/>
    </border>
    <border>
      <left style="thin">
        <color rgb="FFCBD5E1"/>
      </left>
      <right/>
      <top/>
      <bottom style="thin">
        <color rgb="FFCBD5E1"/>
      </bottom>
      <diagonal/>
    </border>
    <border>
      <left/>
      <right style="thin">
        <color rgb="FFCBD5E1"/>
      </right>
      <top/>
      <bottom/>
      <diagonal/>
    </border>
    <border>
      <left/>
      <right style="thin">
        <color rgb="FFCBD5E1"/>
      </right>
      <top/>
      <bottom style="thin">
        <color rgb="FFCBD5E1"/>
      </bottom>
      <diagonal/>
    </border>
    <border>
      <left/>
      <right/>
      <top style="thin">
        <color rgb="FFE2E8F0"/>
      </top>
      <bottom style="thin">
        <color rgb="FFE2E8F0"/>
      </bottom>
      <diagonal/>
    </border>
    <border>
      <left/>
      <right/>
      <top style="thin">
        <color rgb="FFE2E8F0"/>
      </top>
      <bottom/>
      <diagonal/>
    </border>
    <border>
      <left/>
      <right/>
      <top style="medium">
        <color rgb="FF10B981"/>
      </top>
      <bottom/>
      <diagonal/>
    </border>
    <border>
      <left/>
      <right/>
      <top style="thin">
        <color rgb="FFF59E0B"/>
      </top>
      <bottom/>
      <diagonal/>
    </border>
    <border>
      <left/>
      <right/>
      <top style="medium">
        <color rgb="FFF59E0B"/>
      </top>
      <bottom/>
      <diagonal/>
    </border>
    <border>
      <left/>
      <right/>
      <top style="thin">
        <color rgb="FF059669"/>
      </top>
      <bottom/>
      <diagonal/>
    </border>
    <border>
      <left/>
      <right/>
      <top style="medium">
        <color rgb="FF059669"/>
      </top>
      <bottom/>
      <diagonal/>
    </border>
    <border>
      <left style="thin">
        <color rgb="FFCBD5E1"/>
      </left>
      <right/>
      <top style="medium">
        <color rgb="FF059669"/>
      </top>
      <bottom/>
      <diagonal/>
    </border>
    <border>
      <left/>
      <right style="thin">
        <color rgb="FFCBD5E1"/>
      </right>
      <top style="medium">
        <color rgb="FF059669"/>
      </top>
      <bottom/>
      <diagonal/>
    </border>
    <border>
      <left/>
      <right/>
      <top style="medium">
        <color rgb="FFDC2626"/>
      </top>
      <bottom/>
      <diagonal/>
    </border>
    <border>
      <left style="thin">
        <color rgb="FFCBD5E1"/>
      </left>
      <right/>
      <top style="medium">
        <color rgb="FFDC2626"/>
      </top>
      <bottom/>
      <diagonal/>
    </border>
    <border>
      <left/>
      <right style="thin">
        <color rgb="FFCBD5E1"/>
      </right>
      <top style="medium">
        <color rgb="FFDC2626"/>
      </top>
      <bottom/>
      <diagonal/>
    </border>
    <border>
      <left/>
      <right/>
      <top style="thin">
        <color rgb="FFDC2626"/>
      </top>
      <bottom style="thin">
        <color rgb="FFE2E8F0"/>
      </bottom>
      <diagonal/>
    </border>
    <border>
      <left/>
      <right/>
      <top style="thin">
        <color rgb="FFEF4444"/>
      </top>
      <bottom/>
      <diagonal/>
    </border>
    <border>
      <left/>
      <right/>
      <top/>
      <bottom style="medium">
        <color rgb="FFF59E0B"/>
      </bottom>
      <diagonal/>
    </border>
    <border>
      <left/>
      <right/>
      <top style="medium">
        <color rgb="FF16A34A"/>
      </top>
      <bottom/>
      <diagonal/>
    </border>
    <border>
      <left style="thin">
        <color rgb="FFCBD5E1"/>
      </left>
      <right/>
      <top style="medium">
        <color rgb="FF16A34A"/>
      </top>
      <bottom/>
      <diagonal/>
    </border>
    <border>
      <left/>
      <right style="thin">
        <color rgb="FFCBD5E1"/>
      </right>
      <top style="medium">
        <color rgb="FF16A34A"/>
      </top>
      <bottom/>
      <diagonal/>
    </border>
    <border>
      <left/>
      <right/>
      <top style="thin">
        <color rgb="FF16A34A"/>
      </top>
      <bottom style="thin">
        <color rgb="FFE2E8F0"/>
      </bottom>
      <diagonal/>
    </border>
    <border>
      <left/>
      <right/>
      <top style="medium">
        <color rgb="FF7C3AED"/>
      </top>
      <bottom/>
      <diagonal/>
    </border>
    <border>
      <left style="thin">
        <color rgb="FFCBD5E1"/>
      </left>
      <right/>
      <top style="medium">
        <color rgb="FF7C3AED"/>
      </top>
      <bottom/>
      <diagonal/>
    </border>
    <border>
      <left/>
      <right style="thin">
        <color rgb="FFCBD5E1"/>
      </right>
      <top style="medium">
        <color rgb="FF7C3AED"/>
      </top>
      <bottom/>
      <diagonal/>
    </border>
    <border>
      <left/>
      <right/>
      <top style="thin">
        <color rgb="FF7C3AED"/>
      </top>
      <bottom style="thin">
        <color rgb="FFE2E8F0"/>
      </bottom>
      <diagonal/>
    </border>
    <border>
      <left/>
      <right/>
      <top style="medium">
        <color rgb="FF0891B2"/>
      </top>
      <bottom/>
      <diagonal/>
    </border>
    <border>
      <left style="thin">
        <color rgb="FFCBD5E1"/>
      </left>
      <right/>
      <top style="medium">
        <color rgb="FF0891B2"/>
      </top>
      <bottom/>
      <diagonal/>
    </border>
    <border>
      <left/>
      <right style="thin">
        <color rgb="FFCBD5E1"/>
      </right>
      <top style="medium">
        <color rgb="FF0891B2"/>
      </top>
      <bottom/>
      <diagonal/>
    </border>
    <border>
      <left/>
      <right/>
      <top style="thin">
        <color rgb="FF0891B2"/>
      </top>
      <bottom style="thin">
        <color rgb="FFE2E8F0"/>
      </bottom>
      <diagonal/>
    </border>
    <border>
      <left/>
      <right/>
      <top style="thin">
        <color rgb="FF0E7490"/>
      </top>
      <bottom/>
      <diagonal/>
    </border>
    <border>
      <left/>
      <right/>
      <top style="medium">
        <color rgb="FF0E7490"/>
      </top>
      <bottom/>
      <diagonal/>
    </border>
    <border>
      <left style="thin">
        <color rgb="FFCBD5E1"/>
      </left>
      <right/>
      <top style="medium">
        <color rgb="FF0E7490"/>
      </top>
      <bottom/>
      <diagonal/>
    </border>
    <border>
      <left/>
      <right style="thin">
        <color rgb="FFCBD5E1"/>
      </right>
      <top style="medium">
        <color rgb="FF0E7490"/>
      </top>
      <bottom/>
      <diagonal/>
    </border>
    <border>
      <left/>
      <right/>
      <top style="thin">
        <color rgb="FF4F46E5"/>
      </top>
      <bottom/>
      <diagonal/>
    </border>
    <border>
      <left/>
      <right/>
      <top style="medium">
        <color rgb="FF4F46E5"/>
      </top>
      <bottom/>
      <diagonal/>
    </border>
    <border>
      <left style="thin">
        <color rgb="FFCBD5E1"/>
      </left>
      <right/>
      <top style="medium">
        <color rgb="FF4F46E5"/>
      </top>
      <bottom/>
      <diagonal/>
    </border>
    <border>
      <left/>
      <right style="thin">
        <color rgb="FFCBD5E1"/>
      </right>
      <top style="medium">
        <color rgb="FF4F46E5"/>
      </top>
      <bottom/>
      <diagonal/>
    </border>
    <border>
      <left/>
      <right/>
      <top style="thin">
        <color rgb="FF0369A1"/>
      </top>
      <bottom/>
      <diagonal/>
    </border>
    <border>
      <left/>
      <right/>
      <top style="medium">
        <color rgb="FF0369A1"/>
      </top>
      <bottom/>
      <diagonal/>
    </border>
    <border>
      <left style="thin">
        <color rgb="FFCBD5E1"/>
      </left>
      <right/>
      <top style="medium">
        <color rgb="FF0369A1"/>
      </top>
      <bottom/>
      <diagonal/>
    </border>
    <border>
      <left/>
      <right style="thin">
        <color rgb="FFCBD5E1"/>
      </right>
      <top style="medium">
        <color rgb="FF0369A1"/>
      </top>
      <bottom/>
      <diagonal/>
    </border>
    <border>
      <left/>
      <right/>
      <top style="thin">
        <color rgb="FFD97706"/>
      </top>
      <bottom/>
      <diagonal/>
    </border>
    <border>
      <left/>
      <right/>
      <top style="medium">
        <color rgb="FFD97706"/>
      </top>
      <bottom/>
      <diagonal/>
    </border>
    <border>
      <left style="thin">
        <color rgb="FFCBD5E1"/>
      </left>
      <right/>
      <top style="medium">
        <color rgb="FFD97706"/>
      </top>
      <bottom/>
      <diagonal/>
    </border>
    <border>
      <left/>
      <right style="thin">
        <color rgb="FFCBD5E1"/>
      </right>
      <top style="medium">
        <color rgb="FFD97706"/>
      </top>
      <bottom/>
      <diagonal/>
    </border>
    <border>
      <left/>
      <right/>
      <top/>
      <bottom style="thin">
        <color rgb="FFF59E0B"/>
      </bottom>
      <diagonal/>
    </border>
    <border>
      <left/>
      <right/>
      <top/>
      <bottom style="thin">
        <color rgb="FFE2E8F0"/>
      </bottom>
      <diagonal/>
    </border>
    <border>
      <left/>
      <right/>
      <top style="thin">
        <color rgb="FFE2E8F0"/>
      </top>
      <bottom style="thin">
        <color rgb="FFCBD5E1"/>
      </bottom>
      <diagonal/>
    </border>
    <border>
      <left/>
      <right/>
      <top style="thin">
        <color rgb="FF10B981"/>
      </top>
      <bottom style="thin">
        <color rgb="FFE2E8F0"/>
      </bottom>
      <diagonal/>
    </border>
    <border>
      <left/>
      <right style="thin">
        <color rgb="FFCBD5E1"/>
      </right>
      <top style="thin">
        <color rgb="FF2980B9"/>
      </top>
      <bottom/>
      <diagonal/>
    </border>
    <border>
      <left/>
      <right/>
      <top style="thin">
        <color rgb="FF2980B9"/>
      </top>
      <bottom/>
      <diagonal/>
    </border>
    <border>
      <left/>
      <right/>
      <top/>
      <bottom style="thin">
        <color rgb="FFFF8C00"/>
      </bottom>
      <diagonal/>
    </border>
    <border>
      <left/>
      <right/>
      <top/>
      <bottom style="thin">
        <color rgb="FF0070C0"/>
      </bottom>
      <diagonal/>
    </border>
    <border>
      <left/>
      <right/>
      <top/>
      <bottom style="thin">
        <color rgb="FF00B050"/>
      </bottom>
      <diagonal/>
    </border>
    <border>
      <left/>
      <right/>
      <top/>
      <bottom style="thin">
        <color rgb="FFC00000"/>
      </bottom>
      <diagonal/>
    </border>
    <border>
      <left/>
      <right/>
      <top/>
      <bottom style="thin">
        <color rgb="FFC8C8C8"/>
      </bottom>
      <diagonal/>
    </border>
    <border>
      <left/>
      <right style="thin">
        <color rgb="FFCBD5E1"/>
      </right>
      <top/>
      <bottom style="thin">
        <color rgb="FFC8C8C8"/>
      </bottom>
      <diagonal/>
    </border>
    <border>
      <left style="thin">
        <color rgb="FFC8C8C8"/>
      </left>
      <right/>
      <top style="thin">
        <color rgb="FF2980B9"/>
      </top>
      <bottom/>
      <diagonal/>
    </border>
    <border>
      <left style="thin">
        <color rgb="FFC8C8C8"/>
      </left>
      <right/>
      <top/>
      <bottom/>
      <diagonal/>
    </border>
    <border>
      <left style="thin">
        <color rgb="FFC8C8C8"/>
      </left>
      <right/>
      <top style="thin">
        <color rgb="FFE2E8F0"/>
      </top>
      <bottom/>
      <diagonal/>
    </border>
    <border>
      <left style="thin">
        <color rgb="FFC8C8C8"/>
      </left>
      <right/>
      <top style="thin">
        <color rgb="FFE2E8F0"/>
      </top>
      <bottom style="thin">
        <color rgb="FFE2E8F0"/>
      </bottom>
      <diagonal/>
    </border>
    <border>
      <left style="thin">
        <color rgb="FFC8C8C8"/>
      </left>
      <right/>
      <top/>
      <bottom style="thin">
        <color rgb="FFC8C8C8"/>
      </bottom>
      <diagonal/>
    </border>
    <border>
      <left/>
      <right style="thin">
        <color rgb="FFC8C8C8"/>
      </right>
      <top style="thin">
        <color rgb="FF2980B9"/>
      </top>
      <bottom/>
      <diagonal/>
    </border>
    <border>
      <left/>
      <right style="thin">
        <color rgb="FFC8C8C8"/>
      </right>
      <top/>
      <bottom/>
      <diagonal/>
    </border>
    <border>
      <left/>
      <right style="thin">
        <color rgb="FFC8C8C8"/>
      </right>
      <top/>
      <bottom style="thin">
        <color rgb="FFC8C8C8"/>
      </bottom>
      <diagonal/>
    </border>
    <border>
      <left style="thin">
        <color rgb="FFC8C8C8"/>
      </left>
      <right/>
      <top/>
      <bottom style="thin">
        <color rgb="FFFF8C00"/>
      </bottom>
      <diagonal/>
    </border>
    <border>
      <left style="thin">
        <color rgb="FFC8C8C8"/>
      </left>
      <right/>
      <top/>
      <bottom style="thin">
        <color rgb="FFF97316"/>
      </bottom>
      <diagonal/>
    </border>
    <border>
      <left/>
      <right/>
      <top/>
      <bottom style="thin">
        <color rgb="FFF97316"/>
      </bottom>
      <diagonal/>
    </border>
    <border>
      <left style="thin">
        <color rgb="FFC8C8C8"/>
      </left>
      <right/>
      <top/>
      <bottom style="thin">
        <color rgb="FF0070C0"/>
      </bottom>
      <diagonal/>
    </border>
    <border>
      <left style="thin">
        <color rgb="FFC8C8C8"/>
      </left>
      <right/>
      <top/>
      <bottom style="thin">
        <color rgb="FF00B050"/>
      </bottom>
      <diagonal/>
    </border>
    <border>
      <left style="thin">
        <color rgb="FFC8C8C8"/>
      </left>
      <right/>
      <top/>
      <bottom style="thin">
        <color rgb="FF7030A0"/>
      </bottom>
      <diagonal/>
    </border>
    <border>
      <left/>
      <right/>
      <top/>
      <bottom style="thin">
        <color rgb="FF7030A0"/>
      </bottom>
      <diagonal/>
    </border>
    <border>
      <left style="thin">
        <color rgb="FFC8C8C8"/>
      </left>
      <right/>
      <top/>
      <bottom style="thin">
        <color rgb="FF404040"/>
      </bottom>
      <diagonal/>
    </border>
    <border>
      <left/>
      <right/>
      <top/>
      <bottom style="thin">
        <color rgb="FF404040"/>
      </bottom>
      <diagonal/>
    </border>
    <border>
      <left style="thin">
        <color rgb="FFC8C8C8"/>
      </left>
      <right/>
      <top/>
      <bottom style="thin">
        <color rgb="FFC00000"/>
      </bottom>
      <diagonal/>
    </border>
    <border>
      <left/>
      <right/>
      <top style="thin">
        <color rgb="FFFFC000"/>
      </top>
      <bottom style="thin">
        <color rgb="FFE2E8F0"/>
      </bottom>
      <diagonal/>
    </border>
    <border>
      <left style="thin">
        <color rgb="FFE2E8F0"/>
      </left>
      <right/>
      <top style="thin">
        <color rgb="FFFF9900"/>
      </top>
      <bottom style="thin">
        <color rgb="FFE2E8F0"/>
      </bottom>
      <diagonal/>
    </border>
    <border>
      <left/>
      <right/>
      <top style="thin">
        <color rgb="FFFF9900"/>
      </top>
      <bottom style="thin">
        <color rgb="FFE2E8F0"/>
      </bottom>
      <diagonal/>
    </border>
    <border>
      <left/>
      <right style="thin">
        <color rgb="FFE2E8F0"/>
      </right>
      <top style="thin">
        <color rgb="FFFF9900"/>
      </top>
      <bottom style="thin">
        <color rgb="FFE2E8F0"/>
      </bottom>
      <diagonal/>
    </border>
    <border>
      <left style="thin">
        <color indexed="64"/>
      </left>
      <right/>
      <top style="dotted">
        <color indexed="64"/>
      </top>
      <bottom style="hair">
        <color indexed="64"/>
      </bottom>
      <diagonal/>
    </border>
    <border>
      <left style="thin">
        <color rgb="FFD3D3D3"/>
      </left>
      <right style="thin">
        <color rgb="FFD3D3D3"/>
      </right>
      <top style="thin">
        <color rgb="FFD3D3D3"/>
      </top>
      <bottom style="thin">
        <color rgb="FFD3D3D3"/>
      </bottom>
      <diagonal/>
    </border>
    <border>
      <left style="medium">
        <color indexed="64"/>
      </left>
      <right style="medium">
        <color indexed="64"/>
      </right>
      <top style="medium">
        <color indexed="64"/>
      </top>
      <bottom style="thin">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double">
        <color indexed="64"/>
      </right>
      <top style="double">
        <color indexed="64"/>
      </top>
      <bottom/>
      <diagonal/>
    </border>
    <border>
      <left style="thin">
        <color indexed="64"/>
      </left>
      <right style="thin">
        <color indexed="64"/>
      </right>
      <top style="thin">
        <color rgb="FF002060"/>
      </top>
      <bottom style="thin">
        <color indexed="64"/>
      </bottom>
      <diagonal/>
    </border>
    <border>
      <left style="hair">
        <color theme="3" tint="-0.499984740745262"/>
      </left>
      <right/>
      <top style="hair">
        <color theme="3" tint="-0.499984740745262"/>
      </top>
      <bottom style="hair">
        <color theme="3" tint="-0.499984740745262"/>
      </bottom>
      <diagonal/>
    </border>
    <border>
      <left style="hair">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medium">
        <color indexed="64"/>
      </right>
      <top/>
      <bottom style="hair">
        <color indexed="64"/>
      </bottom>
      <diagonal/>
    </border>
    <border>
      <left/>
      <right/>
      <top style="thin">
        <color rgb="FFD9D9D9"/>
      </top>
      <bottom/>
      <diagonal/>
    </border>
    <border>
      <left/>
      <right/>
      <top/>
      <bottom style="thin">
        <color rgb="FFD9D9D9"/>
      </bottom>
      <diagonal/>
    </border>
    <border>
      <left style="thin">
        <color rgb="FFD9D9D9"/>
      </left>
      <right/>
      <top style="thin">
        <color rgb="FFD9D9D9"/>
      </top>
      <bottom/>
      <diagonal/>
    </border>
    <border>
      <left style="thin">
        <color rgb="FFD9D9D9"/>
      </left>
      <right/>
      <top/>
      <bottom style="thin">
        <color rgb="FFD9D9D9"/>
      </bottom>
      <diagonal/>
    </border>
    <border>
      <left/>
      <right style="thin">
        <color rgb="FFD9D9D9"/>
      </right>
      <top style="thin">
        <color rgb="FFD9D9D9"/>
      </top>
      <bottom/>
      <diagonal/>
    </border>
    <border>
      <left/>
      <right style="thin">
        <color rgb="FFD9D9D9"/>
      </right>
      <top/>
      <bottom style="thin">
        <color rgb="FFD9D9D9"/>
      </bottom>
      <diagonal/>
    </border>
    <border>
      <left/>
      <right style="hair">
        <color indexed="64"/>
      </right>
      <top style="thin">
        <color indexed="64"/>
      </top>
      <bottom style="thin">
        <color indexed="64"/>
      </bottom>
      <diagonal/>
    </border>
    <border>
      <left style="hair">
        <color theme="3" tint="-0.499984740745262"/>
      </left>
      <right style="dashDotDot">
        <color theme="3" tint="-0.499984740745262"/>
      </right>
      <top style="thin">
        <color indexed="64"/>
      </top>
      <bottom style="hair">
        <color theme="3" tint="-0.499984740745262"/>
      </bottom>
      <diagonal/>
    </border>
    <border>
      <left style="hair">
        <color theme="3" tint="-0.499984740745262"/>
      </left>
      <right style="thin">
        <color indexed="64"/>
      </right>
      <top style="hair">
        <color theme="3" tint="-0.499984740745262"/>
      </top>
      <bottom/>
      <diagonal/>
    </border>
  </borders>
  <cellStyleXfs count="49">
    <xf numFmtId="0" fontId="0" fillId="0" borderId="0"/>
    <xf numFmtId="9" fontId="1" fillId="0" borderId="0" applyFont="0" applyFill="0" applyBorder="0" applyAlignment="0" applyProtection="0"/>
    <xf numFmtId="164" fontId="1" fillId="0" borderId="0" applyFont="0" applyFill="0" applyBorder="0" applyAlignment="0" applyProtection="0"/>
    <xf numFmtId="0" fontId="8" fillId="37" borderId="0" applyNumberFormat="0" applyBorder="0" applyAlignment="0" applyProtection="0"/>
    <xf numFmtId="0" fontId="37" fillId="0" borderId="180" applyNumberFormat="0" applyFill="0" applyAlignment="0" applyProtection="0"/>
    <xf numFmtId="0" fontId="38" fillId="0" borderId="181" applyNumberFormat="0" applyFill="0" applyAlignment="0" applyProtection="0"/>
    <xf numFmtId="0" fontId="39" fillId="0" borderId="182" applyNumberFormat="0" applyFill="0" applyAlignment="0" applyProtection="0"/>
    <xf numFmtId="0" fontId="39" fillId="0" borderId="0" applyNumberFormat="0" applyFill="0" applyBorder="0" applyAlignment="0" applyProtection="0"/>
    <xf numFmtId="0" fontId="23" fillId="33" borderId="0" applyNumberFormat="0" applyBorder="0" applyAlignment="0" applyProtection="0"/>
    <xf numFmtId="0" fontId="40" fillId="53" borderId="0" applyNumberFormat="0" applyBorder="0" applyAlignment="0" applyProtection="0"/>
    <xf numFmtId="0" fontId="41" fillId="54" borderId="0" applyNumberFormat="0" applyBorder="0" applyAlignment="0" applyProtection="0"/>
    <xf numFmtId="0" fontId="64" fillId="80" borderId="188" applyNumberFormat="0" applyAlignment="0" applyProtection="0"/>
    <xf numFmtId="0" fontId="65" fillId="81" borderId="189" applyNumberFormat="0" applyAlignment="0" applyProtection="0"/>
    <xf numFmtId="0" fontId="66" fillId="81" borderId="188" applyNumberFormat="0" applyAlignment="0" applyProtection="0"/>
    <xf numFmtId="0" fontId="42" fillId="0" borderId="183" applyNumberFormat="0" applyFill="0" applyAlignment="0" applyProtection="0"/>
    <xf numFmtId="0" fontId="2" fillId="55" borderId="184" applyNumberFormat="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3" fillId="0" borderId="186" applyNumberFormat="0" applyFill="0" applyAlignment="0" applyProtection="0"/>
    <xf numFmtId="0" fontId="8" fillId="57"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8" fillId="60" borderId="0" applyNumberFormat="0" applyBorder="0" applyAlignment="0" applyProtection="0"/>
    <xf numFmtId="0" fontId="8" fillId="61"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8" fillId="64" borderId="0" applyNumberFormat="0" applyBorder="0" applyAlignment="0" applyProtection="0"/>
    <xf numFmtId="0" fontId="8" fillId="65" borderId="0" applyNumberFormat="0" applyBorder="0" applyAlignment="0" applyProtection="0"/>
    <xf numFmtId="0" fontId="1" fillId="66" borderId="0" applyNumberFormat="0" applyBorder="0" applyAlignment="0" applyProtection="0"/>
    <xf numFmtId="0" fontId="1" fillId="67" borderId="0" applyNumberFormat="0" applyBorder="0" applyAlignment="0" applyProtection="0"/>
    <xf numFmtId="0" fontId="8" fillId="68" borderId="0" applyNumberFormat="0" applyBorder="0" applyAlignment="0" applyProtection="0"/>
    <xf numFmtId="0" fontId="1" fillId="69" borderId="0" applyNumberFormat="0" applyBorder="0" applyAlignment="0" applyProtection="0"/>
    <xf numFmtId="0" fontId="1" fillId="70" borderId="0" applyNumberFormat="0" applyBorder="0" applyAlignment="0" applyProtection="0"/>
    <xf numFmtId="0" fontId="8" fillId="71" borderId="0" applyNumberFormat="0" applyBorder="0" applyAlignment="0" applyProtection="0"/>
    <xf numFmtId="0" fontId="8" fillId="72" borderId="0" applyNumberFormat="0" applyBorder="0" applyAlignment="0" applyProtection="0"/>
    <xf numFmtId="0" fontId="1" fillId="73" borderId="0" applyNumberFormat="0" applyBorder="0" applyAlignment="0" applyProtection="0"/>
    <xf numFmtId="0" fontId="1" fillId="74" borderId="0" applyNumberFormat="0" applyBorder="0" applyAlignment="0" applyProtection="0"/>
    <xf numFmtId="0" fontId="8" fillId="75" borderId="0" applyNumberFormat="0" applyBorder="0" applyAlignment="0" applyProtection="0"/>
    <xf numFmtId="0" fontId="8" fillId="76" borderId="0" applyNumberFormat="0" applyBorder="0" applyAlignment="0" applyProtection="0"/>
    <xf numFmtId="0" fontId="1" fillId="77" borderId="0" applyNumberFormat="0" applyBorder="0" applyAlignment="0" applyProtection="0"/>
    <xf numFmtId="0" fontId="1" fillId="78" borderId="0" applyNumberFormat="0" applyBorder="0" applyAlignment="0" applyProtection="0"/>
    <xf numFmtId="0" fontId="8" fillId="79" borderId="0" applyNumberFormat="0" applyBorder="0" applyAlignment="0" applyProtection="0"/>
    <xf numFmtId="167" fontId="1" fillId="0" borderId="0" applyFont="0" applyFill="0" applyBorder="0" applyAlignment="0" applyProtection="0"/>
    <xf numFmtId="166" fontId="1" fillId="0" borderId="0" applyFont="0" applyFill="0" applyBorder="0" applyAlignment="0" applyProtection="0"/>
    <xf numFmtId="0" fontId="63" fillId="0" borderId="0" applyNumberFormat="0" applyFill="0" applyBorder="0" applyAlignment="0" applyProtection="0"/>
    <xf numFmtId="0" fontId="1" fillId="56" borderId="185" applyNumberFormat="0" applyFont="0" applyAlignment="0" applyProtection="0"/>
    <xf numFmtId="43" fontId="1" fillId="0" borderId="0" applyFont="0" applyFill="0" applyBorder="0" applyAlignment="0" applyProtection="0"/>
    <xf numFmtId="0" fontId="13" fillId="0" borderId="0"/>
    <xf numFmtId="165" fontId="13" fillId="0" borderId="0" applyFont="0" applyFill="0" applyBorder="0" applyAlignment="0" applyProtection="0"/>
  </cellStyleXfs>
  <cellXfs count="2963">
    <xf numFmtId="0" fontId="0" fillId="0" borderId="0" xfId="0"/>
    <xf numFmtId="168" fontId="0" fillId="0" borderId="0" xfId="0" applyNumberFormat="1"/>
    <xf numFmtId="168" fontId="0" fillId="0" borderId="2" xfId="0" applyNumberFormat="1" applyBorder="1"/>
    <xf numFmtId="168" fontId="0" fillId="0" borderId="3" xfId="0" applyNumberFormat="1" applyBorder="1"/>
    <xf numFmtId="168" fontId="0" fillId="0" borderId="5" xfId="0" applyNumberFormat="1" applyBorder="1"/>
    <xf numFmtId="168" fontId="0" fillId="0" borderId="6" xfId="0" applyNumberFormat="1" applyBorder="1"/>
    <xf numFmtId="168" fontId="0" fillId="0" borderId="8" xfId="0" applyNumberFormat="1" applyBorder="1"/>
    <xf numFmtId="168" fontId="0" fillId="0" borderId="9" xfId="0" applyNumberFormat="1" applyBorder="1"/>
    <xf numFmtId="168" fontId="0" fillId="0" borderId="11" xfId="0" applyNumberFormat="1" applyBorder="1"/>
    <xf numFmtId="168" fontId="0" fillId="0" borderId="12" xfId="0" applyNumberFormat="1" applyBorder="1"/>
    <xf numFmtId="168" fontId="0" fillId="0" borderId="13" xfId="0" applyNumberFormat="1" applyBorder="1"/>
    <xf numFmtId="168" fontId="0" fillId="0" borderId="16" xfId="0" applyNumberFormat="1" applyBorder="1"/>
    <xf numFmtId="168" fontId="0" fillId="0" borderId="17" xfId="0" applyNumberFormat="1" applyBorder="1"/>
    <xf numFmtId="168" fontId="0" fillId="0" borderId="18" xfId="0" applyNumberFormat="1" applyBorder="1"/>
    <xf numFmtId="168" fontId="0" fillId="0" borderId="4" xfId="0" applyNumberFormat="1" applyBorder="1"/>
    <xf numFmtId="168" fontId="0" fillId="0" borderId="7" xfId="0" applyNumberFormat="1" applyBorder="1"/>
    <xf numFmtId="168" fontId="0" fillId="0" borderId="10" xfId="0" applyNumberFormat="1" applyBorder="1"/>
    <xf numFmtId="0" fontId="4" fillId="0" borderId="0" xfId="0" applyFont="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center" vertical="center" wrapText="1"/>
    </xf>
    <xf numFmtId="168" fontId="0" fillId="5" borderId="21" xfId="0" applyNumberFormat="1" applyFill="1" applyBorder="1"/>
    <xf numFmtId="168" fontId="0" fillId="5" borderId="22" xfId="0" applyNumberFormat="1" applyFill="1" applyBorder="1"/>
    <xf numFmtId="168" fontId="0" fillId="5" borderId="23" xfId="0" applyNumberFormat="1" applyFill="1" applyBorder="1"/>
    <xf numFmtId="168" fontId="0" fillId="5" borderId="2" xfId="0" applyNumberFormat="1" applyFill="1" applyBorder="1"/>
    <xf numFmtId="168" fontId="0" fillId="5" borderId="3" xfId="0" applyNumberFormat="1" applyFill="1" applyBorder="1"/>
    <xf numFmtId="168" fontId="0" fillId="5" borderId="4" xfId="0" applyNumberFormat="1" applyFill="1" applyBorder="1"/>
    <xf numFmtId="168" fontId="0" fillId="5" borderId="5" xfId="0" applyNumberFormat="1" applyFill="1" applyBorder="1"/>
    <xf numFmtId="168" fontId="0" fillId="5" borderId="6" xfId="0" applyNumberFormat="1" applyFill="1" applyBorder="1"/>
    <xf numFmtId="168" fontId="0" fillId="5" borderId="7" xfId="0" applyNumberFormat="1" applyFill="1" applyBorder="1"/>
    <xf numFmtId="168" fontId="0" fillId="5" borderId="8" xfId="0" applyNumberFormat="1" applyFill="1" applyBorder="1"/>
    <xf numFmtId="168" fontId="0" fillId="5" borderId="9" xfId="0" applyNumberFormat="1" applyFill="1" applyBorder="1"/>
    <xf numFmtId="168" fontId="0" fillId="5" borderId="10" xfId="0" applyNumberFormat="1" applyFill="1" applyBorder="1"/>
    <xf numFmtId="168" fontId="0" fillId="5" borderId="16" xfId="0" applyNumberFormat="1" applyFill="1" applyBorder="1"/>
    <xf numFmtId="168" fontId="0" fillId="5" borderId="17" xfId="0" applyNumberFormat="1" applyFill="1" applyBorder="1"/>
    <xf numFmtId="168" fontId="0" fillId="5" borderId="18" xfId="0" applyNumberFormat="1" applyFill="1" applyBorder="1"/>
    <xf numFmtId="168" fontId="0" fillId="5" borderId="11" xfId="0" applyNumberFormat="1" applyFill="1" applyBorder="1"/>
    <xf numFmtId="168" fontId="0" fillId="5" borderId="12" xfId="0" applyNumberFormat="1" applyFill="1" applyBorder="1"/>
    <xf numFmtId="168" fontId="0" fillId="5" borderId="13" xfId="0" applyNumberFormat="1" applyFill="1" applyBorder="1"/>
    <xf numFmtId="0" fontId="0" fillId="5" borderId="0" xfId="0" applyFill="1"/>
    <xf numFmtId="0" fontId="3" fillId="0" borderId="0" xfId="0" applyFont="1"/>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center" vertical="center"/>
    </xf>
    <xf numFmtId="0" fontId="7" fillId="0" borderId="20" xfId="0" applyFont="1" applyBorder="1" applyAlignment="1">
      <alignment horizontal="center" vertical="center" wrapText="1"/>
    </xf>
    <xf numFmtId="0" fontId="6" fillId="0" borderId="20" xfId="0" applyFont="1" applyBorder="1" applyAlignment="1">
      <alignment horizontal="center" vertical="center"/>
    </xf>
    <xf numFmtId="0" fontId="6" fillId="0" borderId="25" xfId="0" applyFont="1" applyBorder="1" applyAlignment="1">
      <alignment horizontal="center" vertical="center" wrapText="1"/>
    </xf>
    <xf numFmtId="168" fontId="3" fillId="0" borderId="27" xfId="0" applyNumberFormat="1" applyFont="1" applyBorder="1"/>
    <xf numFmtId="168" fontId="3" fillId="0" borderId="28" xfId="0" applyNumberFormat="1" applyFont="1" applyBorder="1"/>
    <xf numFmtId="0" fontId="0" fillId="5" borderId="2" xfId="0" applyFill="1" applyBorder="1"/>
    <xf numFmtId="0" fontId="0" fillId="5" borderId="3" xfId="0" applyFill="1" applyBorder="1"/>
    <xf numFmtId="0" fontId="0" fillId="5" borderId="16" xfId="0" applyFill="1" applyBorder="1"/>
    <xf numFmtId="0" fontId="0" fillId="5" borderId="26" xfId="0" applyFill="1" applyBorder="1"/>
    <xf numFmtId="0" fontId="0" fillId="5" borderId="5" xfId="0" applyFill="1" applyBorder="1"/>
    <xf numFmtId="0" fontId="0" fillId="5" borderId="6" xfId="0" applyFill="1" applyBorder="1"/>
    <xf numFmtId="0" fontId="0" fillId="5" borderId="17" xfId="0" applyFill="1" applyBorder="1"/>
    <xf numFmtId="0" fontId="0" fillId="5" borderId="27" xfId="0" applyFill="1" applyBorder="1"/>
    <xf numFmtId="0" fontId="0" fillId="5" borderId="8" xfId="0" applyFill="1" applyBorder="1"/>
    <xf numFmtId="0" fontId="0" fillId="5" borderId="9" xfId="0" applyFill="1" applyBorder="1"/>
    <xf numFmtId="0" fontId="0" fillId="5" borderId="18" xfId="0" applyFill="1" applyBorder="1"/>
    <xf numFmtId="0" fontId="0" fillId="5" borderId="28" xfId="0" applyFill="1" applyBorder="1"/>
    <xf numFmtId="0" fontId="0" fillId="5" borderId="4" xfId="0" applyFill="1" applyBorder="1"/>
    <xf numFmtId="0" fontId="0" fillId="5" borderId="7" xfId="0" applyFill="1" applyBorder="1"/>
    <xf numFmtId="0" fontId="0" fillId="5" borderId="10" xfId="0" applyFill="1" applyBorder="1"/>
    <xf numFmtId="0" fontId="0" fillId="0" borderId="3" xfId="0" applyBorder="1"/>
    <xf numFmtId="0" fontId="0" fillId="0" borderId="6" xfId="0" applyBorder="1"/>
    <xf numFmtId="0" fontId="0" fillId="0" borderId="9" xfId="0" applyBorder="1"/>
    <xf numFmtId="10" fontId="0" fillId="5" borderId="11" xfId="0" applyNumberFormat="1" applyFill="1" applyBorder="1"/>
    <xf numFmtId="10" fontId="0" fillId="5" borderId="3" xfId="0" applyNumberFormat="1" applyFill="1" applyBorder="1"/>
    <xf numFmtId="10" fontId="0" fillId="5" borderId="4" xfId="0" applyNumberFormat="1" applyFill="1" applyBorder="1"/>
    <xf numFmtId="10" fontId="0" fillId="5" borderId="12" xfId="0" applyNumberFormat="1" applyFill="1" applyBorder="1"/>
    <xf numFmtId="10" fontId="0" fillId="5" borderId="6" xfId="0" applyNumberFormat="1" applyFill="1" applyBorder="1"/>
    <xf numFmtId="10" fontId="0" fillId="5" borderId="7" xfId="0" applyNumberFormat="1" applyFill="1" applyBorder="1"/>
    <xf numFmtId="168" fontId="0" fillId="5" borderId="0" xfId="0" applyNumberFormat="1" applyFill="1"/>
    <xf numFmtId="168" fontId="0" fillId="10" borderId="0" xfId="0" applyNumberFormat="1" applyFill="1"/>
    <xf numFmtId="10" fontId="0" fillId="5" borderId="8" xfId="0" applyNumberFormat="1" applyFill="1" applyBorder="1"/>
    <xf numFmtId="10" fontId="0" fillId="5" borderId="9" xfId="0" applyNumberFormat="1" applyFill="1" applyBorder="1"/>
    <xf numFmtId="10" fontId="0" fillId="5" borderId="10" xfId="0" applyNumberFormat="1" applyFill="1" applyBorder="1"/>
    <xf numFmtId="10" fontId="0" fillId="5" borderId="13" xfId="0" applyNumberFormat="1" applyFill="1" applyBorder="1"/>
    <xf numFmtId="0" fontId="0" fillId="10" borderId="0" xfId="0" applyFill="1"/>
    <xf numFmtId="0" fontId="8" fillId="13" borderId="40" xfId="0" applyFont="1" applyFill="1" applyBorder="1" applyAlignment="1">
      <alignment horizontal="center" vertical="center"/>
    </xf>
    <xf numFmtId="0" fontId="8" fillId="13" borderId="41" xfId="0" applyFont="1" applyFill="1" applyBorder="1" applyAlignment="1">
      <alignment horizontal="center" vertical="center"/>
    </xf>
    <xf numFmtId="0" fontId="8" fillId="13" borderId="42" xfId="0" applyFont="1" applyFill="1" applyBorder="1" applyAlignment="1">
      <alignment horizontal="center" vertical="center"/>
    </xf>
    <xf numFmtId="0" fontId="8" fillId="13" borderId="29" xfId="0" applyFont="1" applyFill="1" applyBorder="1"/>
    <xf numFmtId="0" fontId="8" fillId="13" borderId="43" xfId="0" applyFont="1" applyFill="1" applyBorder="1"/>
    <xf numFmtId="0" fontId="8" fillId="13" borderId="37" xfId="0" applyFont="1" applyFill="1" applyBorder="1"/>
    <xf numFmtId="0" fontId="8" fillId="13" borderId="0" xfId="0" applyFont="1" applyFill="1"/>
    <xf numFmtId="0" fontId="8" fillId="13" borderId="38" xfId="0" applyFont="1" applyFill="1" applyBorder="1"/>
    <xf numFmtId="0" fontId="8" fillId="13" borderId="31" xfId="0" applyFont="1" applyFill="1" applyBorder="1"/>
    <xf numFmtId="0" fontId="8" fillId="13" borderId="44" xfId="0" applyFont="1" applyFill="1" applyBorder="1"/>
    <xf numFmtId="0" fontId="0" fillId="0" borderId="0" xfId="0" applyAlignment="1">
      <alignment horizontal="center" vertical="center"/>
    </xf>
    <xf numFmtId="168" fontId="0" fillId="0" borderId="45" xfId="0" applyNumberFormat="1" applyBorder="1"/>
    <xf numFmtId="0" fontId="0" fillId="0" borderId="45" xfId="0" applyBorder="1"/>
    <xf numFmtId="0" fontId="0" fillId="0" borderId="0" xfId="0" applyAlignment="1">
      <alignment horizontal="center"/>
    </xf>
    <xf numFmtId="0" fontId="0" fillId="0" borderId="0" xfId="0" applyAlignment="1">
      <alignment textRotation="90"/>
    </xf>
    <xf numFmtId="0" fontId="0" fillId="0" borderId="0" xfId="0" applyAlignment="1">
      <alignment vertical="center"/>
    </xf>
    <xf numFmtId="165" fontId="0" fillId="0" borderId="0" xfId="0" applyNumberFormat="1"/>
    <xf numFmtId="0" fontId="9" fillId="0" borderId="0" xfId="0" applyFont="1" applyAlignment="1">
      <alignment vertical="center" textRotation="180"/>
    </xf>
    <xf numFmtId="2" fontId="9" fillId="0" borderId="0" xfId="0" applyNumberFormat="1" applyFont="1" applyAlignment="1">
      <alignment vertical="top" textRotation="180"/>
    </xf>
    <xf numFmtId="0" fontId="8" fillId="0" borderId="0" xfId="0" applyFont="1"/>
    <xf numFmtId="168" fontId="0" fillId="0" borderId="52" xfId="0" applyNumberFormat="1" applyBorder="1"/>
    <xf numFmtId="0" fontId="0" fillId="0" borderId="52" xfId="0" applyBorder="1"/>
    <xf numFmtId="168" fontId="0" fillId="0" borderId="53" xfId="0" applyNumberFormat="1" applyBorder="1"/>
    <xf numFmtId="0" fontId="0" fillId="0" borderId="53" xfId="0" applyBorder="1"/>
    <xf numFmtId="168" fontId="0" fillId="0" borderId="54" xfId="0" applyNumberFormat="1" applyBorder="1"/>
    <xf numFmtId="0" fontId="0" fillId="0" borderId="54" xfId="0" applyBorder="1"/>
    <xf numFmtId="168" fontId="0" fillId="0" borderId="0" xfId="0" applyNumberFormat="1" applyAlignment="1">
      <alignment horizontal="center" vertical="center"/>
    </xf>
    <xf numFmtId="9" fontId="0" fillId="0" borderId="0" xfId="0" applyNumberFormat="1"/>
    <xf numFmtId="0" fontId="8" fillId="0" borderId="0" xfId="0" applyFont="1" applyAlignment="1">
      <alignment horizontal="center" vertical="center"/>
    </xf>
    <xf numFmtId="168" fontId="8" fillId="0" borderId="0" xfId="0" applyNumberFormat="1" applyFont="1"/>
    <xf numFmtId="169" fontId="8" fillId="0" borderId="0" xfId="0" applyNumberFormat="1" applyFont="1"/>
    <xf numFmtId="0" fontId="8" fillId="5" borderId="0" xfId="0" applyFont="1" applyFill="1"/>
    <xf numFmtId="0" fontId="0" fillId="5" borderId="68" xfId="0" applyFill="1" applyBorder="1"/>
    <xf numFmtId="0" fontId="0" fillId="5" borderId="64" xfId="0" applyFill="1" applyBorder="1"/>
    <xf numFmtId="0" fontId="0" fillId="5" borderId="65" xfId="0" applyFill="1" applyBorder="1"/>
    <xf numFmtId="0" fontId="0" fillId="5" borderId="66" xfId="0" applyFill="1" applyBorder="1"/>
    <xf numFmtId="0" fontId="10" fillId="5" borderId="0" xfId="0" applyFont="1" applyFill="1" applyAlignment="1">
      <alignment vertical="center"/>
    </xf>
    <xf numFmtId="0" fontId="12" fillId="13" borderId="37" xfId="0" applyFont="1" applyFill="1" applyBorder="1"/>
    <xf numFmtId="168" fontId="0" fillId="0" borderId="69" xfId="0" applyNumberFormat="1" applyBorder="1"/>
    <xf numFmtId="168" fontId="0" fillId="0" borderId="70" xfId="0" applyNumberFormat="1" applyBorder="1"/>
    <xf numFmtId="168" fontId="0" fillId="0" borderId="71" xfId="0" applyNumberFormat="1" applyBorder="1"/>
    <xf numFmtId="0" fontId="0" fillId="0" borderId="72" xfId="0" applyBorder="1"/>
    <xf numFmtId="0" fontId="0" fillId="0" borderId="73" xfId="0" applyBorder="1"/>
    <xf numFmtId="0" fontId="0" fillId="0" borderId="74" xfId="0" applyBorder="1"/>
    <xf numFmtId="168" fontId="0" fillId="16" borderId="69" xfId="0" applyNumberFormat="1" applyFill="1" applyBorder="1"/>
    <xf numFmtId="168" fontId="0" fillId="16" borderId="70" xfId="0" applyNumberFormat="1" applyFill="1" applyBorder="1"/>
    <xf numFmtId="168" fontId="0" fillId="16" borderId="71" xfId="0" applyNumberFormat="1" applyFill="1" applyBorder="1"/>
    <xf numFmtId="168" fontId="0" fillId="16" borderId="75" xfId="0" applyNumberFormat="1" applyFill="1" applyBorder="1"/>
    <xf numFmtId="0" fontId="0" fillId="17" borderId="76" xfId="0" applyFill="1" applyBorder="1"/>
    <xf numFmtId="0" fontId="0" fillId="17" borderId="52" xfId="0" applyFill="1" applyBorder="1"/>
    <xf numFmtId="0" fontId="0" fillId="17" borderId="45" xfId="0" applyFill="1" applyBorder="1"/>
    <xf numFmtId="0" fontId="0" fillId="17" borderId="54" xfId="0" applyFill="1" applyBorder="1"/>
    <xf numFmtId="0" fontId="0" fillId="17" borderId="53" xfId="0" applyFill="1" applyBorder="1"/>
    <xf numFmtId="0" fontId="0" fillId="0" borderId="25" xfId="0" applyBorder="1"/>
    <xf numFmtId="0" fontId="0" fillId="0" borderId="77" xfId="0" applyBorder="1"/>
    <xf numFmtId="168" fontId="0" fillId="16" borderId="75" xfId="0" quotePrefix="1" applyNumberFormat="1" applyFill="1" applyBorder="1"/>
    <xf numFmtId="0" fontId="0" fillId="17" borderId="53" xfId="0" quotePrefix="1" applyFill="1" applyBorder="1"/>
    <xf numFmtId="0" fontId="0" fillId="0" borderId="77" xfId="0" quotePrefix="1" applyBorder="1"/>
    <xf numFmtId="0" fontId="10" fillId="18" borderId="0" xfId="0" applyFont="1" applyFill="1" applyAlignment="1">
      <alignment vertical="center"/>
    </xf>
    <xf numFmtId="0" fontId="0" fillId="0" borderId="0" xfId="0" applyAlignment="1">
      <alignment wrapText="1"/>
    </xf>
    <xf numFmtId="0" fontId="0" fillId="0" borderId="1" xfId="0" applyBorder="1"/>
    <xf numFmtId="168" fontId="0" fillId="5" borderId="3" xfId="0" quotePrefix="1" applyNumberFormat="1" applyFill="1" applyBorder="1"/>
    <xf numFmtId="168" fontId="0" fillId="5" borderId="6" xfId="0" quotePrefix="1" applyNumberFormat="1" applyFill="1" applyBorder="1"/>
    <xf numFmtId="170" fontId="0" fillId="0" borderId="0" xfId="0" applyNumberFormat="1"/>
    <xf numFmtId="0" fontId="11" fillId="0" borderId="0" xfId="0" applyFont="1" applyAlignment="1">
      <alignment wrapText="1"/>
    </xf>
    <xf numFmtId="0" fontId="11" fillId="13" borderId="0" xfId="0" applyFont="1" applyFill="1"/>
    <xf numFmtId="0" fontId="11" fillId="0" borderId="0" xfId="0" applyFont="1"/>
    <xf numFmtId="0" fontId="11" fillId="0" borderId="0" xfId="0" applyFont="1" applyAlignment="1">
      <alignment vertical="center" wrapText="1"/>
    </xf>
    <xf numFmtId="0" fontId="0" fillId="7" borderId="24" xfId="0" applyFill="1" applyBorder="1" applyAlignment="1">
      <alignment vertical="center"/>
    </xf>
    <xf numFmtId="0" fontId="0" fillId="19" borderId="24" xfId="0" applyFill="1" applyBorder="1" applyAlignment="1">
      <alignment vertical="center"/>
    </xf>
    <xf numFmtId="0" fontId="14" fillId="19" borderId="24" xfId="0" applyFont="1" applyFill="1" applyBorder="1" applyAlignment="1">
      <alignment vertical="center"/>
    </xf>
    <xf numFmtId="0" fontId="14" fillId="7" borderId="24" xfId="0" applyFont="1" applyFill="1" applyBorder="1" applyAlignment="1">
      <alignment vertical="center"/>
    </xf>
    <xf numFmtId="0" fontId="14" fillId="7" borderId="20" xfId="0" applyFont="1" applyFill="1" applyBorder="1" applyAlignment="1">
      <alignment vertical="center"/>
    </xf>
    <xf numFmtId="0" fontId="0" fillId="5" borderId="12" xfId="0" applyFill="1" applyBorder="1"/>
    <xf numFmtId="43" fontId="13" fillId="0" borderId="27" xfId="0" applyNumberFormat="1" applyFont="1" applyBorder="1" applyAlignment="1">
      <alignment horizontal="right" vertical="center"/>
    </xf>
    <xf numFmtId="0" fontId="0" fillId="14" borderId="19" xfId="0" applyFill="1" applyBorder="1"/>
    <xf numFmtId="0" fontId="0" fillId="14" borderId="88" xfId="0" applyFill="1" applyBorder="1"/>
    <xf numFmtId="1" fontId="0" fillId="17" borderId="24" xfId="0" applyNumberFormat="1" applyFill="1" applyBorder="1"/>
    <xf numFmtId="1" fontId="0" fillId="17" borderId="89" xfId="0" applyNumberFormat="1" applyFill="1" applyBorder="1"/>
    <xf numFmtId="1" fontId="0" fillId="17" borderId="90" xfId="0" applyNumberFormat="1" applyFill="1" applyBorder="1"/>
    <xf numFmtId="1" fontId="0" fillId="17" borderId="91" xfId="0" applyNumberFormat="1" applyFill="1" applyBorder="1"/>
    <xf numFmtId="0" fontId="0" fillId="17" borderId="90" xfId="0" applyFill="1" applyBorder="1"/>
    <xf numFmtId="0" fontId="0" fillId="20" borderId="20" xfId="0" applyFill="1" applyBorder="1"/>
    <xf numFmtId="0" fontId="0" fillId="20" borderId="92" xfId="0" applyFill="1" applyBorder="1"/>
    <xf numFmtId="0" fontId="0" fillId="20" borderId="93" xfId="0" applyFill="1" applyBorder="1"/>
    <xf numFmtId="0" fontId="0" fillId="20" borderId="94" xfId="0" applyFill="1" applyBorder="1"/>
    <xf numFmtId="10" fontId="0" fillId="0" borderId="0" xfId="0" applyNumberFormat="1"/>
    <xf numFmtId="0" fontId="8" fillId="0" borderId="0" xfId="0" applyFont="1" applyAlignment="1">
      <alignment vertical="top"/>
    </xf>
    <xf numFmtId="0" fontId="11" fillId="0" borderId="0" xfId="0" applyFont="1" applyAlignment="1">
      <alignment vertical="top" wrapText="1"/>
    </xf>
    <xf numFmtId="0" fontId="0" fillId="0" borderId="0" xfId="0" applyAlignment="1">
      <alignment vertical="top"/>
    </xf>
    <xf numFmtId="0" fontId="8" fillId="13" borderId="31" xfId="0" applyFont="1" applyFill="1" applyBorder="1" applyAlignment="1">
      <alignment vertical="top"/>
    </xf>
    <xf numFmtId="0" fontId="8" fillId="13" borderId="44" xfId="0" applyFont="1" applyFill="1" applyBorder="1" applyAlignment="1">
      <alignment vertical="top"/>
    </xf>
    <xf numFmtId="168" fontId="0" fillId="5" borderId="95" xfId="0" applyNumberFormat="1" applyFill="1" applyBorder="1"/>
    <xf numFmtId="2" fontId="0" fillId="17" borderId="90" xfId="0" applyNumberFormat="1" applyFill="1" applyBorder="1"/>
    <xf numFmtId="0" fontId="11" fillId="0" borderId="0" xfId="0" applyFont="1" applyAlignment="1">
      <alignment vertical="top"/>
    </xf>
    <xf numFmtId="0" fontId="17" fillId="0" borderId="0" xfId="0" applyFont="1"/>
    <xf numFmtId="0" fontId="17" fillId="0" borderId="121" xfId="0" applyFont="1" applyBorder="1"/>
    <xf numFmtId="0" fontId="22" fillId="0" borderId="0" xfId="0" applyFont="1" applyAlignment="1">
      <alignment vertical="center"/>
    </xf>
    <xf numFmtId="0" fontId="22" fillId="0" borderId="121" xfId="0" applyFont="1" applyBorder="1"/>
    <xf numFmtId="0" fontId="17" fillId="0" borderId="124" xfId="0" applyFont="1" applyBorder="1"/>
    <xf numFmtId="178" fontId="0" fillId="0" borderId="0" xfId="0" applyNumberFormat="1"/>
    <xf numFmtId="0" fontId="4" fillId="0" borderId="0" xfId="0" applyFont="1" applyAlignment="1">
      <alignment horizontal="center" vertical="center"/>
    </xf>
    <xf numFmtId="0" fontId="3" fillId="0" borderId="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20" xfId="0" applyFont="1" applyBorder="1" applyAlignment="1">
      <alignment horizontal="center" vertical="center"/>
    </xf>
    <xf numFmtId="0" fontId="8" fillId="27" borderId="37" xfId="0" applyFont="1" applyFill="1" applyBorder="1"/>
    <xf numFmtId="0" fontId="8" fillId="27" borderId="0" xfId="0" applyFont="1" applyFill="1"/>
    <xf numFmtId="168" fontId="0" fillId="0" borderId="118" xfId="0" applyNumberFormat="1" applyBorder="1"/>
    <xf numFmtId="168" fontId="0" fillId="0" borderId="126" xfId="0" applyNumberFormat="1" applyBorder="1"/>
    <xf numFmtId="168" fontId="0" fillId="0" borderId="127" xfId="0" applyNumberFormat="1" applyBorder="1"/>
    <xf numFmtId="168" fontId="0" fillId="0" borderId="128" xfId="0" applyNumberFormat="1" applyBorder="1"/>
    <xf numFmtId="168" fontId="0" fillId="0" borderId="129" xfId="0" applyNumberFormat="1" applyBorder="1"/>
    <xf numFmtId="168" fontId="0" fillId="0" borderId="130" xfId="0" applyNumberFormat="1" applyBorder="1"/>
    <xf numFmtId="168" fontId="0" fillId="0" borderId="121" xfId="0" applyNumberFormat="1" applyBorder="1"/>
    <xf numFmtId="168" fontId="0" fillId="0" borderId="131" xfId="0" applyNumberFormat="1" applyBorder="1"/>
    <xf numFmtId="0" fontId="0" fillId="0" borderId="123" xfId="0" applyBorder="1"/>
    <xf numFmtId="0" fontId="0" fillId="0" borderId="133" xfId="0" applyBorder="1"/>
    <xf numFmtId="0" fontId="0" fillId="0" borderId="134" xfId="0" applyBorder="1"/>
    <xf numFmtId="0" fontId="0" fillId="0" borderId="136" xfId="0" applyBorder="1"/>
    <xf numFmtId="0" fontId="0" fillId="0" borderId="121" xfId="0" applyBorder="1"/>
    <xf numFmtId="0" fontId="0" fillId="0" borderId="131" xfId="0" applyBorder="1"/>
    <xf numFmtId="168" fontId="0" fillId="27" borderId="52" xfId="0" applyNumberFormat="1" applyFill="1" applyBorder="1"/>
    <xf numFmtId="168" fontId="0" fillId="27" borderId="45" xfId="0" applyNumberFormat="1" applyFill="1" applyBorder="1"/>
    <xf numFmtId="168" fontId="0" fillId="27" borderId="54" xfId="0" applyNumberFormat="1" applyFill="1" applyBorder="1"/>
    <xf numFmtId="168" fontId="0" fillId="27" borderId="53" xfId="0" applyNumberFormat="1" applyFill="1" applyBorder="1"/>
    <xf numFmtId="168" fontId="0" fillId="0" borderId="120" xfId="0" applyNumberFormat="1" applyBorder="1"/>
    <xf numFmtId="0" fontId="11" fillId="0" borderId="123" xfId="0" applyFont="1" applyBorder="1" applyProtection="1">
      <protection locked="0"/>
    </xf>
    <xf numFmtId="0" fontId="11" fillId="0" borderId="132" xfId="0" applyFont="1" applyBorder="1" applyProtection="1">
      <protection locked="0"/>
    </xf>
    <xf numFmtId="0" fontId="11" fillId="0" borderId="133" xfId="0" applyFont="1" applyBorder="1" applyProtection="1">
      <protection locked="0"/>
    </xf>
    <xf numFmtId="0" fontId="11" fillId="0" borderId="134" xfId="0" applyFont="1" applyBorder="1" applyProtection="1">
      <protection locked="0"/>
    </xf>
    <xf numFmtId="0" fontId="11" fillId="0" borderId="135" xfId="0" applyFont="1" applyBorder="1" applyProtection="1">
      <protection locked="0"/>
    </xf>
    <xf numFmtId="0" fontId="11" fillId="0" borderId="136" xfId="0" applyFont="1" applyBorder="1" applyProtection="1">
      <protection locked="0"/>
    </xf>
    <xf numFmtId="0" fontId="11" fillId="0" borderId="123" xfId="0" applyFont="1" applyBorder="1" applyAlignment="1">
      <alignment vertical="top"/>
    </xf>
    <xf numFmtId="0" fontId="11" fillId="0" borderId="132" xfId="0" applyFont="1" applyBorder="1" applyAlignment="1">
      <alignment vertical="top"/>
    </xf>
    <xf numFmtId="0" fontId="11" fillId="0" borderId="133" xfId="0" applyFont="1" applyBorder="1" applyAlignment="1">
      <alignment vertical="top"/>
    </xf>
    <xf numFmtId="0" fontId="11" fillId="0" borderId="134" xfId="0" applyFont="1" applyBorder="1" applyAlignment="1">
      <alignment vertical="top"/>
    </xf>
    <xf numFmtId="0" fontId="11" fillId="0" borderId="135" xfId="0" applyFont="1" applyBorder="1" applyAlignment="1">
      <alignment vertical="top"/>
    </xf>
    <xf numFmtId="0" fontId="11" fillId="0" borderId="136" xfId="0" applyFont="1" applyBorder="1" applyAlignment="1">
      <alignment vertical="top"/>
    </xf>
    <xf numFmtId="168" fontId="0" fillId="27" borderId="118" xfId="0" applyNumberFormat="1" applyFill="1" applyBorder="1"/>
    <xf numFmtId="168" fontId="0" fillId="27" borderId="126" xfId="0" applyNumberFormat="1" applyFill="1" applyBorder="1"/>
    <xf numFmtId="168" fontId="0" fillId="27" borderId="127" xfId="0" applyNumberFormat="1" applyFill="1" applyBorder="1"/>
    <xf numFmtId="168" fontId="0" fillId="27" borderId="128" xfId="0" applyNumberFormat="1" applyFill="1" applyBorder="1"/>
    <xf numFmtId="168" fontId="0" fillId="27" borderId="129" xfId="0" applyNumberFormat="1" applyFill="1" applyBorder="1"/>
    <xf numFmtId="168" fontId="0" fillId="27" borderId="130" xfId="0" applyNumberFormat="1" applyFill="1" applyBorder="1"/>
    <xf numFmtId="168" fontId="0" fillId="27" borderId="121" xfId="0" applyNumberFormat="1" applyFill="1" applyBorder="1"/>
    <xf numFmtId="168" fontId="0" fillId="27" borderId="131" xfId="0" applyNumberFormat="1" applyFill="1" applyBorder="1"/>
    <xf numFmtId="0" fontId="0" fillId="27" borderId="133" xfId="0" applyFill="1" applyBorder="1"/>
    <xf numFmtId="0" fontId="0" fillId="27" borderId="134" xfId="0" applyFill="1" applyBorder="1"/>
    <xf numFmtId="0" fontId="0" fillId="27" borderId="136" xfId="0" applyFill="1" applyBorder="1"/>
    <xf numFmtId="168" fontId="0" fillId="29" borderId="118" xfId="0" applyNumberFormat="1" applyFill="1" applyBorder="1"/>
    <xf numFmtId="168" fontId="0" fillId="29" borderId="126" xfId="0" applyNumberFormat="1" applyFill="1" applyBorder="1"/>
    <xf numFmtId="168" fontId="0" fillId="29" borderId="127" xfId="0" applyNumberFormat="1" applyFill="1" applyBorder="1"/>
    <xf numFmtId="168" fontId="0" fillId="29" borderId="128" xfId="0" applyNumberFormat="1" applyFill="1" applyBorder="1"/>
    <xf numFmtId="168" fontId="0" fillId="29" borderId="121" xfId="0" applyNumberFormat="1" applyFill="1" applyBorder="1"/>
    <xf numFmtId="168" fontId="0" fillId="29" borderId="52" xfId="0" applyNumberFormat="1" applyFill="1" applyBorder="1"/>
    <xf numFmtId="168" fontId="0" fillId="29" borderId="45" xfId="0" applyNumberFormat="1" applyFill="1" applyBorder="1"/>
    <xf numFmtId="168" fontId="0" fillId="29" borderId="54" xfId="0" applyNumberFormat="1" applyFill="1" applyBorder="1"/>
    <xf numFmtId="168" fontId="0" fillId="29" borderId="53" xfId="0" applyNumberFormat="1" applyFill="1" applyBorder="1"/>
    <xf numFmtId="168" fontId="0" fillId="29" borderId="131" xfId="0" applyNumberFormat="1" applyFill="1" applyBorder="1"/>
    <xf numFmtId="0" fontId="8" fillId="31" borderId="37" xfId="0" applyFont="1" applyFill="1" applyBorder="1"/>
    <xf numFmtId="0" fontId="8" fillId="31" borderId="0" xfId="0" applyFont="1" applyFill="1"/>
    <xf numFmtId="168" fontId="0" fillId="31" borderId="118" xfId="0" applyNumberFormat="1" applyFill="1" applyBorder="1"/>
    <xf numFmtId="168" fontId="0" fillId="31" borderId="126" xfId="0" applyNumberFormat="1" applyFill="1" applyBorder="1"/>
    <xf numFmtId="168" fontId="0" fillId="31" borderId="127" xfId="0" applyNumberFormat="1" applyFill="1" applyBorder="1"/>
    <xf numFmtId="168" fontId="0" fillId="31" borderId="128" xfId="0" applyNumberFormat="1" applyFill="1" applyBorder="1"/>
    <xf numFmtId="168" fontId="0" fillId="31" borderId="129" xfId="0" applyNumberFormat="1" applyFill="1" applyBorder="1"/>
    <xf numFmtId="168" fontId="0" fillId="31" borderId="130" xfId="0" applyNumberFormat="1" applyFill="1" applyBorder="1"/>
    <xf numFmtId="168" fontId="0" fillId="31" borderId="121" xfId="0" applyNumberFormat="1" applyFill="1" applyBorder="1"/>
    <xf numFmtId="168" fontId="0" fillId="31" borderId="52" xfId="0" applyNumberFormat="1" applyFill="1" applyBorder="1"/>
    <xf numFmtId="168" fontId="0" fillId="31" borderId="45" xfId="0" applyNumberFormat="1" applyFill="1" applyBorder="1"/>
    <xf numFmtId="168" fontId="0" fillId="31" borderId="54" xfId="0" applyNumberFormat="1" applyFill="1" applyBorder="1"/>
    <xf numFmtId="168" fontId="0" fillId="31" borderId="53" xfId="0" applyNumberFormat="1" applyFill="1" applyBorder="1"/>
    <xf numFmtId="168" fontId="0" fillId="31" borderId="131" xfId="0" applyNumberFormat="1" applyFill="1" applyBorder="1"/>
    <xf numFmtId="0" fontId="0" fillId="31" borderId="133" xfId="0" applyFill="1" applyBorder="1"/>
    <xf numFmtId="0" fontId="0" fillId="31" borderId="134" xfId="0" applyFill="1" applyBorder="1"/>
    <xf numFmtId="0" fontId="0" fillId="31" borderId="136" xfId="0" applyFill="1" applyBorder="1"/>
    <xf numFmtId="0" fontId="8" fillId="30" borderId="37" xfId="0" applyFont="1" applyFill="1" applyBorder="1"/>
    <xf numFmtId="0" fontId="8" fillId="30" borderId="0" xfId="0" applyFont="1" applyFill="1"/>
    <xf numFmtId="168" fontId="0" fillId="30" borderId="118" xfId="0" applyNumberFormat="1" applyFill="1" applyBorder="1"/>
    <xf numFmtId="168" fontId="0" fillId="30" borderId="126" xfId="0" applyNumberFormat="1" applyFill="1" applyBorder="1"/>
    <xf numFmtId="168" fontId="0" fillId="30" borderId="127" xfId="0" applyNumberFormat="1" applyFill="1" applyBorder="1"/>
    <xf numFmtId="168" fontId="0" fillId="30" borderId="128" xfId="0" applyNumberFormat="1" applyFill="1" applyBorder="1"/>
    <xf numFmtId="168" fontId="0" fillId="30" borderId="129" xfId="0" applyNumberFormat="1" applyFill="1" applyBorder="1"/>
    <xf numFmtId="168" fontId="0" fillId="30" borderId="130" xfId="0" applyNumberFormat="1" applyFill="1" applyBorder="1"/>
    <xf numFmtId="168" fontId="0" fillId="30" borderId="121" xfId="0" applyNumberFormat="1" applyFill="1" applyBorder="1"/>
    <xf numFmtId="168" fontId="0" fillId="30" borderId="52" xfId="0" applyNumberFormat="1" applyFill="1" applyBorder="1"/>
    <xf numFmtId="168" fontId="0" fillId="30" borderId="45" xfId="0" applyNumberFormat="1" applyFill="1" applyBorder="1"/>
    <xf numFmtId="168" fontId="0" fillId="30" borderId="54" xfId="0" applyNumberFormat="1" applyFill="1" applyBorder="1"/>
    <xf numFmtId="168" fontId="0" fillId="30" borderId="53" xfId="0" applyNumberFormat="1" applyFill="1" applyBorder="1"/>
    <xf numFmtId="168" fontId="0" fillId="30" borderId="131" xfId="0" applyNumberFormat="1" applyFill="1" applyBorder="1"/>
    <xf numFmtId="0" fontId="0" fillId="30" borderId="133" xfId="0" applyFill="1" applyBorder="1"/>
    <xf numFmtId="0" fontId="0" fillId="30" borderId="134" xfId="0" applyFill="1" applyBorder="1"/>
    <xf numFmtId="0" fontId="0" fillId="30" borderId="135" xfId="0" applyFill="1" applyBorder="1"/>
    <xf numFmtId="0" fontId="0" fillId="30" borderId="136" xfId="0" applyFill="1" applyBorder="1"/>
    <xf numFmtId="168" fontId="0" fillId="5" borderId="137" xfId="0" applyNumberFormat="1" applyFill="1" applyBorder="1"/>
    <xf numFmtId="168" fontId="0" fillId="5" borderId="138" xfId="0" applyNumberFormat="1" applyFill="1" applyBorder="1"/>
    <xf numFmtId="168" fontId="0" fillId="5" borderId="139" xfId="0" applyNumberFormat="1" applyFill="1" applyBorder="1"/>
    <xf numFmtId="168" fontId="0" fillId="5" borderId="6" xfId="0" applyNumberFormat="1" applyFill="1" applyBorder="1" applyAlignment="1">
      <alignment horizontal="center"/>
    </xf>
    <xf numFmtId="179" fontId="0" fillId="5" borderId="0" xfId="0" applyNumberFormat="1" applyFill="1"/>
    <xf numFmtId="168" fontId="0" fillId="5" borderId="9" xfId="0" quotePrefix="1" applyNumberFormat="1" applyFill="1" applyBorder="1"/>
    <xf numFmtId="168" fontId="0" fillId="5" borderId="140" xfId="0" applyNumberFormat="1" applyFill="1" applyBorder="1"/>
    <xf numFmtId="3" fontId="0" fillId="0" borderId="0" xfId="0" applyNumberFormat="1"/>
    <xf numFmtId="0" fontId="0" fillId="31" borderId="45" xfId="0" applyFill="1" applyBorder="1"/>
    <xf numFmtId="0" fontId="0" fillId="17" borderId="120" xfId="0" applyFill="1" applyBorder="1"/>
    <xf numFmtId="0" fontId="0" fillId="17" borderId="121" xfId="0" applyFill="1" applyBorder="1"/>
    <xf numFmtId="0" fontId="0" fillId="17" borderId="0" xfId="0" applyFill="1"/>
    <xf numFmtId="0" fontId="0" fillId="17" borderId="122" xfId="0" applyFill="1" applyBorder="1"/>
    <xf numFmtId="0" fontId="0" fillId="17" borderId="123" xfId="0" applyFill="1" applyBorder="1"/>
    <xf numFmtId="0" fontId="0" fillId="17" borderId="124" xfId="0" applyFill="1" applyBorder="1"/>
    <xf numFmtId="0" fontId="0" fillId="17" borderId="125" xfId="0" applyFill="1" applyBorder="1"/>
    <xf numFmtId="0" fontId="0" fillId="17" borderId="133" xfId="0" applyFill="1" applyBorder="1"/>
    <xf numFmtId="0" fontId="0" fillId="17" borderId="134" xfId="0" applyFill="1" applyBorder="1"/>
    <xf numFmtId="0" fontId="0" fillId="17" borderId="136" xfId="0" applyFill="1" applyBorder="1"/>
    <xf numFmtId="0" fontId="3" fillId="17" borderId="118" xfId="0" applyFont="1" applyFill="1" applyBorder="1"/>
    <xf numFmtId="0" fontId="3" fillId="17" borderId="119" xfId="0" applyFont="1" applyFill="1" applyBorder="1"/>
    <xf numFmtId="0" fontId="0" fillId="5" borderId="141" xfId="0" applyFill="1" applyBorder="1"/>
    <xf numFmtId="168" fontId="22" fillId="5" borderId="0" xfId="0" applyNumberFormat="1" applyFont="1" applyFill="1"/>
    <xf numFmtId="0" fontId="22" fillId="5" borderId="0" xfId="0" applyFont="1" applyFill="1"/>
    <xf numFmtId="1" fontId="0" fillId="0" borderId="0" xfId="0" applyNumberFormat="1" applyAlignment="1">
      <alignment horizontal="center" vertical="center" wrapText="1"/>
    </xf>
    <xf numFmtId="0" fontId="0" fillId="5" borderId="142" xfId="0" applyFill="1" applyBorder="1"/>
    <xf numFmtId="0" fontId="0" fillId="0" borderId="76" xfId="0" applyBorder="1" applyAlignment="1">
      <alignment horizontal="center" vertical="center"/>
    </xf>
    <xf numFmtId="0" fontId="0" fillId="0" borderId="143" xfId="0" applyBorder="1" applyAlignment="1">
      <alignment horizontal="center" vertical="center"/>
    </xf>
    <xf numFmtId="0" fontId="17" fillId="0" borderId="123" xfId="0" applyFont="1" applyBorder="1"/>
    <xf numFmtId="180" fontId="0" fillId="0" borderId="0" xfId="0" applyNumberFormat="1" applyAlignment="1">
      <alignment horizontal="center" vertical="center"/>
    </xf>
    <xf numFmtId="168" fontId="1" fillId="0" borderId="0" xfId="0" applyNumberFormat="1" applyFont="1" applyAlignment="1">
      <alignment horizontal="center" vertical="center"/>
    </xf>
    <xf numFmtId="10" fontId="0" fillId="5" borderId="0" xfId="0" applyNumberFormat="1" applyFill="1"/>
    <xf numFmtId="181" fontId="0" fillId="0" borderId="0" xfId="0" applyNumberFormat="1"/>
    <xf numFmtId="0" fontId="3" fillId="5" borderId="0" xfId="0" applyFont="1" applyFill="1"/>
    <xf numFmtId="168" fontId="25" fillId="10" borderId="0" xfId="0" applyNumberFormat="1" applyFont="1" applyFill="1"/>
    <xf numFmtId="0" fontId="25" fillId="10" borderId="0" xfId="0" applyFont="1" applyFill="1"/>
    <xf numFmtId="168" fontId="0" fillId="5" borderId="27" xfId="0" applyNumberFormat="1" applyFill="1" applyBorder="1"/>
    <xf numFmtId="0" fontId="25" fillId="0" borderId="0" xfId="0" applyFont="1"/>
    <xf numFmtId="0" fontId="26" fillId="0" borderId="0" xfId="0" applyFont="1"/>
    <xf numFmtId="170" fontId="0" fillId="5" borderId="6" xfId="0" applyNumberFormat="1" applyFill="1" applyBorder="1"/>
    <xf numFmtId="4" fontId="0" fillId="0" borderId="0" xfId="0" applyNumberFormat="1"/>
    <xf numFmtId="168" fontId="11" fillId="16" borderId="69" xfId="0" applyNumberFormat="1" applyFont="1" applyFill="1" applyBorder="1"/>
    <xf numFmtId="168" fontId="11" fillId="16" borderId="70" xfId="0" applyNumberFormat="1" applyFont="1" applyFill="1" applyBorder="1"/>
    <xf numFmtId="0" fontId="11" fillId="17" borderId="76" xfId="0" applyFont="1" applyFill="1" applyBorder="1"/>
    <xf numFmtId="0" fontId="11" fillId="17" borderId="52" xfId="0" applyFont="1" applyFill="1" applyBorder="1"/>
    <xf numFmtId="0" fontId="11" fillId="17" borderId="45" xfId="0" applyFont="1" applyFill="1" applyBorder="1"/>
    <xf numFmtId="0" fontId="11" fillId="0" borderId="25" xfId="0" applyFont="1" applyBorder="1"/>
    <xf numFmtId="0" fontId="11" fillId="0" borderId="72" xfId="0" applyFont="1" applyBorder="1"/>
    <xf numFmtId="0" fontId="11" fillId="0" borderId="73" xfId="0" applyFont="1" applyBorder="1"/>
    <xf numFmtId="0" fontId="0" fillId="0" borderId="24" xfId="0" applyBorder="1" applyAlignment="1">
      <alignment vertical="center"/>
    </xf>
    <xf numFmtId="168" fontId="11" fillId="0" borderId="17" xfId="0" applyNumberFormat="1" applyFont="1" applyBorder="1"/>
    <xf numFmtId="179" fontId="0" fillId="5" borderId="6" xfId="0" applyNumberFormat="1" applyFill="1" applyBorder="1"/>
    <xf numFmtId="165" fontId="0" fillId="0" borderId="0" xfId="0" applyNumberFormat="1" applyAlignment="1">
      <alignment horizontal="center" vertical="center"/>
    </xf>
    <xf numFmtId="179" fontId="0" fillId="0" borderId="0" xfId="0" applyNumberFormat="1"/>
    <xf numFmtId="182" fontId="0" fillId="0" borderId="0" xfId="0" applyNumberFormat="1"/>
    <xf numFmtId="183" fontId="0" fillId="0" borderId="0" xfId="0" applyNumberFormat="1"/>
    <xf numFmtId="184" fontId="0" fillId="0" borderId="0" xfId="0" applyNumberFormat="1"/>
    <xf numFmtId="185" fontId="0" fillId="0" borderId="0" xfId="0" applyNumberFormat="1"/>
    <xf numFmtId="168" fontId="0" fillId="5" borderId="28" xfId="0" applyNumberFormat="1" applyFill="1" applyBorder="1"/>
    <xf numFmtId="168" fontId="0" fillId="5" borderId="155" xfId="0" applyNumberFormat="1" applyFill="1" applyBorder="1"/>
    <xf numFmtId="0" fontId="21" fillId="0" borderId="0" xfId="0" applyFont="1"/>
    <xf numFmtId="168" fontId="21" fillId="32" borderId="0" xfId="0" applyNumberFormat="1" applyFont="1" applyFill="1"/>
    <xf numFmtId="0" fontId="21" fillId="32" borderId="0" xfId="0" applyFont="1" applyFill="1"/>
    <xf numFmtId="168" fontId="26" fillId="10" borderId="0" xfId="0" applyNumberFormat="1" applyFont="1" applyFill="1"/>
    <xf numFmtId="0" fontId="27" fillId="5" borderId="0" xfId="0" applyFont="1" applyFill="1"/>
    <xf numFmtId="0" fontId="11" fillId="5" borderId="0" xfId="0" applyFont="1" applyFill="1"/>
    <xf numFmtId="10" fontId="27" fillId="5" borderId="0" xfId="0" applyNumberFormat="1" applyFont="1" applyFill="1"/>
    <xf numFmtId="165" fontId="0" fillId="5" borderId="0" xfId="0" applyNumberFormat="1" applyFill="1"/>
    <xf numFmtId="186" fontId="0" fillId="5" borderId="0" xfId="0" applyNumberFormat="1" applyFill="1"/>
    <xf numFmtId="1" fontId="0" fillId="5" borderId="0" xfId="0" applyNumberFormat="1" applyFill="1"/>
    <xf numFmtId="10" fontId="0" fillId="0" borderId="0" xfId="0" applyNumberFormat="1" applyAlignment="1">
      <alignment vertical="center"/>
    </xf>
    <xf numFmtId="168" fontId="0" fillId="0" borderId="0" xfId="0" applyNumberFormat="1" applyAlignment="1">
      <alignment vertical="top"/>
    </xf>
    <xf numFmtId="10" fontId="0" fillId="0" borderId="0" xfId="0" applyNumberFormat="1" applyAlignment="1">
      <alignment vertical="top"/>
    </xf>
    <xf numFmtId="2" fontId="0" fillId="0" borderId="0" xfId="0" applyNumberFormat="1"/>
    <xf numFmtId="0" fontId="3" fillId="0" borderId="24" xfId="0" applyFont="1" applyBorder="1" applyAlignment="1">
      <alignment horizontal="center" vertical="center"/>
    </xf>
    <xf numFmtId="168" fontId="3" fillId="17" borderId="0" xfId="0" applyNumberFormat="1" applyFont="1" applyFill="1" applyAlignment="1">
      <alignment horizontal="center" vertical="center"/>
    </xf>
    <xf numFmtId="0" fontId="28" fillId="0" borderId="0" xfId="0" applyFont="1" applyAlignment="1">
      <alignment vertical="top"/>
    </xf>
    <xf numFmtId="0" fontId="17" fillId="5" borderId="0" xfId="0" applyFont="1" applyFill="1"/>
    <xf numFmtId="164" fontId="22" fillId="5" borderId="0" xfId="0" applyNumberFormat="1" applyFont="1" applyFill="1"/>
    <xf numFmtId="0" fontId="19" fillId="5" borderId="0" xfId="0" applyFont="1" applyFill="1"/>
    <xf numFmtId="0" fontId="21" fillId="5" borderId="0" xfId="0" applyFont="1" applyFill="1" applyAlignment="1">
      <alignment horizontal="center" vertical="center"/>
    </xf>
    <xf numFmtId="168" fontId="17" fillId="5" borderId="0" xfId="0" applyNumberFormat="1" applyFont="1" applyFill="1"/>
    <xf numFmtId="168" fontId="0" fillId="45" borderId="0" xfId="0" applyNumberFormat="1" applyFill="1"/>
    <xf numFmtId="168" fontId="0" fillId="45" borderId="1" xfId="0" applyNumberFormat="1" applyFill="1" applyBorder="1"/>
    <xf numFmtId="10" fontId="11" fillId="41" borderId="1" xfId="0" applyNumberFormat="1" applyFont="1" applyFill="1" applyBorder="1"/>
    <xf numFmtId="0" fontId="0" fillId="41" borderId="1" xfId="0" applyFill="1" applyBorder="1"/>
    <xf numFmtId="10" fontId="0" fillId="41" borderId="1" xfId="0" applyNumberFormat="1" applyFill="1" applyBorder="1"/>
    <xf numFmtId="168" fontId="0" fillId="3" borderId="1" xfId="0" applyNumberFormat="1" applyFill="1" applyBorder="1"/>
    <xf numFmtId="168" fontId="3" fillId="17" borderId="0" xfId="0" applyNumberFormat="1" applyFont="1" applyFill="1" applyAlignment="1">
      <alignment horizontal="center" vertical="center" wrapText="1"/>
    </xf>
    <xf numFmtId="0" fontId="0" fillId="0" borderId="12" xfId="0" applyBorder="1"/>
    <xf numFmtId="168" fontId="3" fillId="5" borderId="0" xfId="0" applyNumberFormat="1" applyFont="1" applyFill="1"/>
    <xf numFmtId="180" fontId="11" fillId="16" borderId="69" xfId="0" applyNumberFormat="1" applyFont="1" applyFill="1" applyBorder="1"/>
    <xf numFmtId="168" fontId="0" fillId="0" borderId="6" xfId="0" applyNumberFormat="1" applyBorder="1" applyAlignment="1">
      <alignment vertical="center"/>
    </xf>
    <xf numFmtId="168" fontId="0" fillId="0" borderId="9" xfId="0" applyNumberFormat="1" applyBorder="1" applyAlignment="1">
      <alignment vertical="center"/>
    </xf>
    <xf numFmtId="168" fontId="0" fillId="5" borderId="6" xfId="0" applyNumberFormat="1" applyFill="1" applyBorder="1" applyAlignment="1">
      <alignment vertical="center"/>
    </xf>
    <xf numFmtId="0" fontId="33" fillId="0" borderId="0" xfId="0" applyFont="1"/>
    <xf numFmtId="0" fontId="32" fillId="0" borderId="0" xfId="0" applyFont="1"/>
    <xf numFmtId="0" fontId="8" fillId="46" borderId="43" xfId="0" applyFont="1" applyFill="1" applyBorder="1"/>
    <xf numFmtId="0" fontId="8" fillId="46" borderId="37" xfId="0" applyFont="1" applyFill="1" applyBorder="1"/>
    <xf numFmtId="0" fontId="8" fillId="46" borderId="0" xfId="0" applyFont="1" applyFill="1"/>
    <xf numFmtId="168" fontId="0" fillId="15" borderId="76" xfId="0" applyNumberFormat="1" applyFill="1" applyBorder="1"/>
    <xf numFmtId="168" fontId="0" fillId="15" borderId="0" xfId="0" applyNumberFormat="1" applyFill="1"/>
    <xf numFmtId="168" fontId="0" fillId="41" borderId="76" xfId="0" applyNumberFormat="1" applyFill="1" applyBorder="1"/>
    <xf numFmtId="168" fontId="0" fillId="41" borderId="0" xfId="0" applyNumberFormat="1" applyFill="1"/>
    <xf numFmtId="10" fontId="0" fillId="0" borderId="76" xfId="0" applyNumberFormat="1" applyBorder="1"/>
    <xf numFmtId="168" fontId="0" fillId="20" borderId="160" xfId="0" applyNumberFormat="1" applyFill="1" applyBorder="1"/>
    <xf numFmtId="168" fontId="0" fillId="15" borderId="90" xfId="0" applyNumberFormat="1" applyFill="1" applyBorder="1"/>
    <xf numFmtId="168" fontId="0" fillId="41" borderId="90" xfId="0" applyNumberFormat="1" applyFill="1" applyBorder="1"/>
    <xf numFmtId="168" fontId="0" fillId="20" borderId="161" xfId="0" applyNumberFormat="1" applyFill="1" applyBorder="1"/>
    <xf numFmtId="168" fontId="0" fillId="15" borderId="162" xfId="0" applyNumberFormat="1" applyFill="1" applyBorder="1"/>
    <xf numFmtId="168" fontId="0" fillId="41" borderId="162" xfId="0" applyNumberFormat="1" applyFill="1" applyBorder="1"/>
    <xf numFmtId="168" fontId="0" fillId="15" borderId="163" xfId="0" applyNumberFormat="1" applyFill="1" applyBorder="1"/>
    <xf numFmtId="168" fontId="0" fillId="41" borderId="163" xfId="0" applyNumberFormat="1" applyFill="1" applyBorder="1"/>
    <xf numFmtId="10" fontId="0" fillId="0" borderId="163" xfId="0" applyNumberFormat="1" applyBorder="1"/>
    <xf numFmtId="168" fontId="0" fillId="20" borderId="164" xfId="0" applyNumberFormat="1" applyFill="1" applyBorder="1"/>
    <xf numFmtId="168" fontId="0" fillId="41" borderId="91" xfId="0" applyNumberFormat="1" applyFill="1" applyBorder="1"/>
    <xf numFmtId="168" fontId="0" fillId="20" borderId="165" xfId="0" applyNumberFormat="1" applyFill="1" applyBorder="1"/>
    <xf numFmtId="168" fontId="0" fillId="20" borderId="166" xfId="0" applyNumberFormat="1" applyFill="1" applyBorder="1"/>
    <xf numFmtId="168" fontId="0" fillId="15" borderId="167" xfId="0" applyNumberFormat="1" applyFill="1" applyBorder="1"/>
    <xf numFmtId="168" fontId="0" fillId="41" borderId="167" xfId="0" applyNumberFormat="1" applyFill="1" applyBorder="1"/>
    <xf numFmtId="10" fontId="0" fillId="0" borderId="167" xfId="0" applyNumberFormat="1" applyBorder="1"/>
    <xf numFmtId="0" fontId="2" fillId="46" borderId="29" xfId="0" applyFont="1" applyFill="1" applyBorder="1"/>
    <xf numFmtId="0" fontId="2" fillId="46" borderId="43" xfId="0" applyFont="1" applyFill="1" applyBorder="1"/>
    <xf numFmtId="0" fontId="2" fillId="44" borderId="29" xfId="0" applyFont="1" applyFill="1" applyBorder="1"/>
    <xf numFmtId="0" fontId="2" fillId="44" borderId="43" xfId="0" applyFont="1" applyFill="1" applyBorder="1"/>
    <xf numFmtId="0" fontId="8" fillId="44" borderId="43" xfId="0" applyFont="1" applyFill="1" applyBorder="1"/>
    <xf numFmtId="0" fontId="8" fillId="44" borderId="37" xfId="0" applyFont="1" applyFill="1" applyBorder="1"/>
    <xf numFmtId="0" fontId="8" fillId="44" borderId="0" xfId="0" applyFont="1" applyFill="1"/>
    <xf numFmtId="168" fontId="0" fillId="0" borderId="167" xfId="0" applyNumberFormat="1" applyBorder="1"/>
    <xf numFmtId="0" fontId="0" fillId="0" borderId="167" xfId="0" applyBorder="1"/>
    <xf numFmtId="168" fontId="0" fillId="20" borderId="119" xfId="0" applyNumberFormat="1" applyFill="1" applyBorder="1"/>
    <xf numFmtId="168" fontId="0" fillId="20" borderId="167" xfId="0" applyNumberFormat="1" applyFill="1" applyBorder="1"/>
    <xf numFmtId="168" fontId="0" fillId="20" borderId="168" xfId="0" applyNumberFormat="1" applyFill="1" applyBorder="1"/>
    <xf numFmtId="0" fontId="0" fillId="0" borderId="124" xfId="0" applyBorder="1"/>
    <xf numFmtId="0" fontId="0" fillId="0" borderId="170" xfId="0" applyBorder="1"/>
    <xf numFmtId="10" fontId="0" fillId="0" borderId="173" xfId="0" applyNumberFormat="1" applyBorder="1"/>
    <xf numFmtId="0" fontId="0" fillId="0" borderId="174" xfId="0" applyBorder="1"/>
    <xf numFmtId="0" fontId="0" fillId="0" borderId="172" xfId="0" applyBorder="1"/>
    <xf numFmtId="168" fontId="3" fillId="32" borderId="0" xfId="0" applyNumberFormat="1" applyFont="1" applyFill="1"/>
    <xf numFmtId="10" fontId="0" fillId="0" borderId="53" xfId="0" applyNumberFormat="1" applyBorder="1"/>
    <xf numFmtId="10" fontId="0" fillId="0" borderId="45" xfId="0" applyNumberFormat="1" applyBorder="1"/>
    <xf numFmtId="10" fontId="0" fillId="17" borderId="133" xfId="0" applyNumberFormat="1" applyFill="1" applyBorder="1"/>
    <xf numFmtId="169" fontId="0" fillId="5" borderId="12" xfId="0" applyNumberFormat="1" applyFill="1" applyBorder="1"/>
    <xf numFmtId="168" fontId="0" fillId="5" borderId="175" xfId="0" applyNumberFormat="1" applyFill="1" applyBorder="1"/>
    <xf numFmtId="10" fontId="0" fillId="0" borderId="52" xfId="0" applyNumberFormat="1" applyBorder="1"/>
    <xf numFmtId="168" fontId="0" fillId="5" borderId="160" xfId="0" applyNumberFormat="1" applyFill="1" applyBorder="1"/>
    <xf numFmtId="3" fontId="0" fillId="0" borderId="6" xfId="0" applyNumberFormat="1" applyBorder="1" applyAlignment="1">
      <alignment horizontal="center"/>
    </xf>
    <xf numFmtId="168" fontId="0" fillId="32" borderId="0" xfId="0" applyNumberFormat="1" applyFill="1"/>
    <xf numFmtId="0" fontId="34" fillId="0" borderId="0" xfId="0" applyFont="1"/>
    <xf numFmtId="0" fontId="2" fillId="5" borderId="0" xfId="0" applyFont="1" applyFill="1" applyAlignment="1">
      <alignment textRotation="90"/>
    </xf>
    <xf numFmtId="165" fontId="2" fillId="5" borderId="0" xfId="0" applyNumberFormat="1" applyFont="1" applyFill="1"/>
    <xf numFmtId="165" fontId="2" fillId="5" borderId="0" xfId="0" applyNumberFormat="1" applyFont="1" applyFill="1" applyAlignment="1">
      <alignment vertical="center"/>
    </xf>
    <xf numFmtId="0" fontId="8" fillId="5" borderId="67" xfId="0" applyFont="1" applyFill="1" applyBorder="1"/>
    <xf numFmtId="0" fontId="8" fillId="5" borderId="64" xfId="0" applyFont="1" applyFill="1" applyBorder="1"/>
    <xf numFmtId="0" fontId="8" fillId="5" borderId="62" xfId="0" applyFont="1" applyFill="1" applyBorder="1"/>
    <xf numFmtId="0" fontId="35" fillId="0" borderId="0" xfId="0" applyFont="1" applyAlignment="1">
      <alignment vertical="top" wrapText="1"/>
    </xf>
    <xf numFmtId="0" fontId="8" fillId="0" borderId="0" xfId="0" applyFont="1" applyAlignment="1">
      <alignment vertical="top" wrapText="1"/>
    </xf>
    <xf numFmtId="165" fontId="8" fillId="0" borderId="0" xfId="0" applyNumberFormat="1" applyFont="1"/>
    <xf numFmtId="165" fontId="11" fillId="0" borderId="0" xfId="0" applyNumberFormat="1" applyFont="1"/>
    <xf numFmtId="0" fontId="19" fillId="5" borderId="0" xfId="0" applyFont="1" applyFill="1" applyAlignment="1">
      <alignment horizontal="center"/>
    </xf>
    <xf numFmtId="0" fontId="2" fillId="0" borderId="0" xfId="0" applyFont="1"/>
    <xf numFmtId="168" fontId="0" fillId="5" borderId="121" xfId="0" applyNumberFormat="1" applyFill="1" applyBorder="1"/>
    <xf numFmtId="168" fontId="0" fillId="5" borderId="52" xfId="0" applyNumberFormat="1" applyFill="1" applyBorder="1"/>
    <xf numFmtId="168" fontId="0" fillId="5" borderId="45" xfId="0" applyNumberFormat="1" applyFill="1" applyBorder="1"/>
    <xf numFmtId="168" fontId="0" fillId="5" borderId="54" xfId="0" applyNumberFormat="1" applyFill="1" applyBorder="1"/>
    <xf numFmtId="168" fontId="0" fillId="41" borderId="45" xfId="0" applyNumberFormat="1" applyFill="1" applyBorder="1"/>
    <xf numFmtId="168" fontId="0" fillId="20" borderId="118" xfId="0" applyNumberFormat="1" applyFill="1" applyBorder="1"/>
    <xf numFmtId="168" fontId="0" fillId="20" borderId="126" xfId="0" applyNumberFormat="1" applyFill="1" applyBorder="1"/>
    <xf numFmtId="168" fontId="0" fillId="20" borderId="127" xfId="0" applyNumberFormat="1" applyFill="1" applyBorder="1"/>
    <xf numFmtId="168" fontId="0" fillId="20" borderId="128" xfId="0" applyNumberFormat="1" applyFill="1" applyBorder="1"/>
    <xf numFmtId="168" fontId="0" fillId="20" borderId="129" xfId="0" applyNumberFormat="1" applyFill="1" applyBorder="1"/>
    <xf numFmtId="168" fontId="0" fillId="20" borderId="130" xfId="0" applyNumberFormat="1" applyFill="1" applyBorder="1"/>
    <xf numFmtId="168" fontId="0" fillId="15" borderId="121" xfId="0" applyNumberFormat="1" applyFill="1" applyBorder="1"/>
    <xf numFmtId="168" fontId="0" fillId="15" borderId="52" xfId="0" applyNumberFormat="1" applyFill="1" applyBorder="1"/>
    <xf numFmtId="168" fontId="0" fillId="15" borderId="45" xfId="0" applyNumberFormat="1" applyFill="1" applyBorder="1"/>
    <xf numFmtId="168" fontId="0" fillId="15" borderId="54" xfId="0" applyNumberFormat="1" applyFill="1" applyBorder="1"/>
    <xf numFmtId="168" fontId="0" fillId="15" borderId="53" xfId="0" applyNumberFormat="1" applyFill="1" applyBorder="1"/>
    <xf numFmtId="168" fontId="0" fillId="15" borderId="131" xfId="0" applyNumberFormat="1" applyFill="1" applyBorder="1"/>
    <xf numFmtId="4" fontId="11" fillId="0" borderId="0" xfId="0" applyNumberFormat="1" applyFont="1"/>
    <xf numFmtId="169" fontId="0" fillId="45" borderId="1" xfId="0" applyNumberFormat="1" applyFill="1" applyBorder="1"/>
    <xf numFmtId="0" fontId="8" fillId="0" borderId="0" xfId="0" applyFont="1" applyAlignment="1">
      <alignment vertical="center"/>
    </xf>
    <xf numFmtId="168" fontId="8" fillId="48" borderId="0" xfId="0" applyNumberFormat="1" applyFont="1" applyFill="1"/>
    <xf numFmtId="168" fontId="0" fillId="41" borderId="121" xfId="0" applyNumberFormat="1" applyFill="1" applyBorder="1"/>
    <xf numFmtId="168" fontId="0" fillId="41" borderId="52" xfId="0" applyNumberFormat="1" applyFill="1" applyBorder="1"/>
    <xf numFmtId="168" fontId="0" fillId="41" borderId="54" xfId="0" applyNumberFormat="1" applyFill="1" applyBorder="1"/>
    <xf numFmtId="168" fontId="11" fillId="0" borderId="0" xfId="0" applyNumberFormat="1" applyFont="1"/>
    <xf numFmtId="168" fontId="11" fillId="0" borderId="0" xfId="0" applyNumberFormat="1" applyFont="1" applyAlignment="1">
      <alignment vertical="center"/>
    </xf>
    <xf numFmtId="9" fontId="11" fillId="0" borderId="0" xfId="0" applyNumberFormat="1" applyFont="1"/>
    <xf numFmtId="10" fontId="11" fillId="0" borderId="0" xfId="0" applyNumberFormat="1" applyFont="1" applyAlignment="1">
      <alignment vertical="center"/>
    </xf>
    <xf numFmtId="10" fontId="11" fillId="0" borderId="0" xfId="0" applyNumberFormat="1" applyFont="1"/>
    <xf numFmtId="168" fontId="0" fillId="32" borderId="45" xfId="0" applyNumberFormat="1" applyFill="1" applyBorder="1"/>
    <xf numFmtId="10" fontId="17" fillId="0" borderId="0" xfId="0" applyNumberFormat="1" applyFont="1"/>
    <xf numFmtId="0" fontId="3" fillId="0" borderId="0" xfId="0" applyFont="1" applyAlignment="1">
      <alignment horizontal="center"/>
    </xf>
    <xf numFmtId="168" fontId="0" fillId="0" borderId="0" xfId="0" applyNumberFormat="1" applyAlignment="1">
      <alignment horizontal="center"/>
    </xf>
    <xf numFmtId="168" fontId="0" fillId="0" borderId="0" xfId="0" applyNumberFormat="1" applyAlignment="1">
      <alignment horizontal="left"/>
    </xf>
    <xf numFmtId="10" fontId="0" fillId="0" borderId="121" xfId="0" applyNumberFormat="1" applyBorder="1"/>
    <xf numFmtId="10" fontId="0" fillId="0" borderId="54" xfId="0" applyNumberFormat="1" applyBorder="1"/>
    <xf numFmtId="168" fontId="36" fillId="0" borderId="27" xfId="0" applyNumberFormat="1" applyFont="1" applyBorder="1"/>
    <xf numFmtId="0" fontId="8" fillId="51" borderId="37" xfId="0" applyFont="1" applyFill="1" applyBorder="1"/>
    <xf numFmtId="0" fontId="8" fillId="51" borderId="0" xfId="0" applyFont="1" applyFill="1"/>
    <xf numFmtId="0" fontId="0" fillId="51" borderId="133" xfId="0" applyFill="1" applyBorder="1"/>
    <xf numFmtId="0" fontId="0" fillId="51" borderId="134" xfId="0" applyFill="1" applyBorder="1"/>
    <xf numFmtId="0" fontId="0" fillId="51" borderId="135" xfId="0" applyFill="1" applyBorder="1"/>
    <xf numFmtId="0" fontId="0" fillId="51" borderId="136" xfId="0" applyFill="1" applyBorder="1"/>
    <xf numFmtId="168" fontId="3" fillId="10" borderId="0" xfId="0" applyNumberFormat="1" applyFont="1" applyFill="1"/>
    <xf numFmtId="0" fontId="3" fillId="32" borderId="0" xfId="0" applyFont="1" applyFill="1"/>
    <xf numFmtId="165" fontId="29" fillId="0" borderId="0" xfId="0" applyNumberFormat="1" applyFont="1" applyAlignment="1">
      <alignment horizontal="right"/>
    </xf>
    <xf numFmtId="169" fontId="0" fillId="0" borderId="6" xfId="0" applyNumberFormat="1" applyBorder="1"/>
    <xf numFmtId="0" fontId="0" fillId="0" borderId="7" xfId="0" applyBorder="1"/>
    <xf numFmtId="169" fontId="0" fillId="0" borderId="7" xfId="0" applyNumberFormat="1" applyBorder="1"/>
    <xf numFmtId="43" fontId="0" fillId="0" borderId="16" xfId="0" applyNumberFormat="1" applyBorder="1"/>
    <xf numFmtId="165" fontId="0" fillId="32" borderId="0" xfId="0" applyNumberFormat="1" applyFill="1"/>
    <xf numFmtId="168" fontId="0" fillId="0" borderId="22" xfId="0" applyNumberFormat="1" applyBorder="1"/>
    <xf numFmtId="168" fontId="0" fillId="0" borderId="160" xfId="0" applyNumberFormat="1" applyBorder="1"/>
    <xf numFmtId="168" fontId="0" fillId="0" borderId="140" xfId="0" applyNumberFormat="1" applyBorder="1"/>
    <xf numFmtId="43" fontId="11" fillId="0" borderId="0" xfId="0" applyNumberFormat="1" applyFont="1"/>
    <xf numFmtId="0" fontId="0" fillId="32" borderId="0" xfId="0" applyFill="1" applyAlignment="1">
      <alignment horizontal="center" vertical="center"/>
    </xf>
    <xf numFmtId="168" fontId="11" fillId="0" borderId="6" xfId="0" applyNumberFormat="1" applyFont="1" applyBorder="1"/>
    <xf numFmtId="170" fontId="0" fillId="0" borderId="6" xfId="0" applyNumberFormat="1" applyBorder="1"/>
    <xf numFmtId="0" fontId="0" fillId="16" borderId="75" xfId="0" quotePrefix="1" applyFill="1" applyBorder="1"/>
    <xf numFmtId="0" fontId="0" fillId="0" borderId="140" xfId="0" applyBorder="1"/>
    <xf numFmtId="0" fontId="45" fillId="0" borderId="29" xfId="0" applyFont="1" applyBorder="1" applyAlignment="1">
      <alignment horizontal="center" vertical="center"/>
    </xf>
    <xf numFmtId="0" fontId="45" fillId="0" borderId="30" xfId="0" applyFont="1" applyBorder="1" applyAlignment="1">
      <alignment horizontal="center" vertical="center"/>
    </xf>
    <xf numFmtId="0" fontId="10" fillId="12" borderId="34" xfId="0" applyFont="1" applyFill="1" applyBorder="1" applyAlignment="1">
      <alignment horizontal="center" vertical="center" wrapText="1"/>
    </xf>
    <xf numFmtId="0" fontId="45" fillId="0" borderId="31" xfId="0" applyFont="1" applyBorder="1" applyAlignment="1">
      <alignment horizontal="center" vertical="center"/>
    </xf>
    <xf numFmtId="0" fontId="45" fillId="0" borderId="32" xfId="0" applyFont="1" applyBorder="1" applyAlignment="1">
      <alignment horizontal="center" vertical="center"/>
    </xf>
    <xf numFmtId="0" fontId="10" fillId="12" borderId="35" xfId="0" applyFont="1" applyFill="1" applyBorder="1" applyAlignment="1">
      <alignment horizontal="center" vertical="center" wrapText="1"/>
    </xf>
    <xf numFmtId="0" fontId="10" fillId="12" borderId="36" xfId="0" applyFont="1" applyFill="1" applyBorder="1" applyAlignment="1">
      <alignment horizontal="center" vertical="center"/>
    </xf>
    <xf numFmtId="0" fontId="10" fillId="12" borderId="60" xfId="0" applyFont="1" applyFill="1" applyBorder="1" applyAlignment="1">
      <alignment horizontal="center" vertical="center"/>
    </xf>
    <xf numFmtId="0" fontId="10" fillId="12" borderId="61" xfId="0" applyFont="1" applyFill="1" applyBorder="1" applyAlignment="1">
      <alignment horizontal="center" vertical="center" wrapText="1"/>
    </xf>
    <xf numFmtId="0" fontId="10" fillId="12" borderId="179" xfId="0" applyFont="1" applyFill="1" applyBorder="1" applyAlignment="1">
      <alignment horizontal="center" vertical="center" wrapText="1"/>
    </xf>
    <xf numFmtId="0" fontId="46" fillId="0" borderId="0" xfId="0" applyFont="1"/>
    <xf numFmtId="0" fontId="45" fillId="0" borderId="0" xfId="0" applyFont="1"/>
    <xf numFmtId="0" fontId="46" fillId="12" borderId="29" xfId="0" applyFont="1" applyFill="1" applyBorder="1"/>
    <xf numFmtId="0" fontId="46" fillId="12" borderId="30" xfId="0" applyFont="1" applyFill="1" applyBorder="1"/>
    <xf numFmtId="168" fontId="47" fillId="14" borderId="39" xfId="0" applyNumberFormat="1" applyFont="1" applyFill="1" applyBorder="1"/>
    <xf numFmtId="168" fontId="47" fillId="14" borderId="33" xfId="0" applyNumberFormat="1" applyFont="1" applyFill="1" applyBorder="1"/>
    <xf numFmtId="0" fontId="46" fillId="12" borderId="37" xfId="0" applyFont="1" applyFill="1" applyBorder="1"/>
    <xf numFmtId="0" fontId="46" fillId="12" borderId="38" xfId="0" applyFont="1" applyFill="1" applyBorder="1"/>
    <xf numFmtId="179" fontId="47" fillId="0" borderId="39" xfId="0" applyNumberFormat="1" applyFont="1" applyBorder="1" applyAlignment="1">
      <alignment horizontal="center" vertical="center"/>
    </xf>
    <xf numFmtId="168" fontId="47" fillId="0" borderId="33" xfId="0" applyNumberFormat="1" applyFont="1" applyBorder="1"/>
    <xf numFmtId="168" fontId="47" fillId="0" borderId="33" xfId="0" applyNumberFormat="1" applyFont="1" applyBorder="1" applyAlignment="1">
      <alignment horizontal="center" vertical="center"/>
    </xf>
    <xf numFmtId="168" fontId="47" fillId="0" borderId="39" xfId="0" applyNumberFormat="1" applyFont="1" applyBorder="1" applyAlignment="1">
      <alignment horizontal="center" vertical="center"/>
    </xf>
    <xf numFmtId="168" fontId="48" fillId="14" borderId="39" xfId="0" applyNumberFormat="1" applyFont="1" applyFill="1" applyBorder="1"/>
    <xf numFmtId="168" fontId="48" fillId="14" borderId="33" xfId="0" applyNumberFormat="1" applyFont="1" applyFill="1" applyBorder="1"/>
    <xf numFmtId="0" fontId="48" fillId="14" borderId="33" xfId="0" applyFont="1" applyFill="1" applyBorder="1"/>
    <xf numFmtId="168" fontId="47" fillId="0" borderId="39" xfId="0" applyNumberFormat="1" applyFont="1" applyBorder="1"/>
    <xf numFmtId="0" fontId="47" fillId="0" borderId="33" xfId="0" applyFont="1" applyBorder="1"/>
    <xf numFmtId="168" fontId="47" fillId="0" borderId="117" xfId="0" applyNumberFormat="1" applyFont="1" applyBorder="1"/>
    <xf numFmtId="0" fontId="10" fillId="39" borderId="37" xfId="0" applyFont="1" applyFill="1" applyBorder="1"/>
    <xf numFmtId="0" fontId="10" fillId="39" borderId="38" xfId="0" applyFont="1" applyFill="1" applyBorder="1"/>
    <xf numFmtId="168" fontId="31" fillId="40" borderId="39" xfId="0" applyNumberFormat="1" applyFont="1" applyFill="1" applyBorder="1"/>
    <xf numFmtId="168" fontId="31" fillId="40" borderId="33" xfId="0" applyNumberFormat="1" applyFont="1" applyFill="1" applyBorder="1"/>
    <xf numFmtId="0" fontId="31" fillId="40" borderId="33" xfId="0" applyFont="1" applyFill="1" applyBorder="1"/>
    <xf numFmtId="168" fontId="49" fillId="36" borderId="33" xfId="0" applyNumberFormat="1" applyFont="1" applyFill="1" applyBorder="1"/>
    <xf numFmtId="0" fontId="49" fillId="36" borderId="33" xfId="0" applyFont="1" applyFill="1" applyBorder="1"/>
    <xf numFmtId="168" fontId="48" fillId="15" borderId="39" xfId="0" applyNumberFormat="1" applyFont="1" applyFill="1" applyBorder="1"/>
    <xf numFmtId="168" fontId="47" fillId="15" borderId="33" xfId="0" applyNumberFormat="1" applyFont="1" applyFill="1" applyBorder="1"/>
    <xf numFmtId="168" fontId="48" fillId="15" borderId="33" xfId="0" applyNumberFormat="1" applyFont="1" applyFill="1" applyBorder="1"/>
    <xf numFmtId="168" fontId="47" fillId="5" borderId="33" xfId="0" applyNumberFormat="1" applyFont="1" applyFill="1" applyBorder="1"/>
    <xf numFmtId="168" fontId="47" fillId="5" borderId="39" xfId="0" applyNumberFormat="1" applyFont="1" applyFill="1" applyBorder="1"/>
    <xf numFmtId="168" fontId="47" fillId="38" borderId="39" xfId="0" applyNumberFormat="1" applyFont="1" applyFill="1" applyBorder="1"/>
    <xf numFmtId="168" fontId="47" fillId="38" borderId="33" xfId="0" applyNumberFormat="1" applyFont="1" applyFill="1" applyBorder="1"/>
    <xf numFmtId="0" fontId="47" fillId="38" borderId="33" xfId="0" applyFont="1" applyFill="1" applyBorder="1"/>
    <xf numFmtId="169" fontId="47" fillId="38" borderId="39" xfId="0" applyNumberFormat="1" applyFont="1" applyFill="1" applyBorder="1"/>
    <xf numFmtId="168" fontId="48" fillId="0" borderId="39" xfId="0" applyNumberFormat="1" applyFont="1" applyBorder="1"/>
    <xf numFmtId="168" fontId="48" fillId="0" borderId="33" xfId="0" applyNumberFormat="1" applyFont="1" applyBorder="1"/>
    <xf numFmtId="0" fontId="48" fillId="0" borderId="33" xfId="0" applyFont="1" applyBorder="1"/>
    <xf numFmtId="173" fontId="48" fillId="0" borderId="33" xfId="0" applyNumberFormat="1" applyFont="1" applyBorder="1"/>
    <xf numFmtId="0" fontId="47" fillId="38" borderId="39" xfId="0" applyFont="1" applyFill="1" applyBorder="1"/>
    <xf numFmtId="0" fontId="48" fillId="38" borderId="33" xfId="0" applyFont="1" applyFill="1" applyBorder="1"/>
    <xf numFmtId="2" fontId="47" fillId="38" borderId="33" xfId="0" applyNumberFormat="1" applyFont="1" applyFill="1" applyBorder="1"/>
    <xf numFmtId="173" fontId="47" fillId="0" borderId="33" xfId="0" applyNumberFormat="1" applyFont="1" applyBorder="1"/>
    <xf numFmtId="168" fontId="47" fillId="0" borderId="39" xfId="0" applyNumberFormat="1" applyFont="1" applyBorder="1" applyAlignment="1">
      <alignment horizontal="right"/>
    </xf>
    <xf numFmtId="0" fontId="46" fillId="12" borderId="31" xfId="0" applyFont="1" applyFill="1" applyBorder="1"/>
    <xf numFmtId="0" fontId="46" fillId="12" borderId="32" xfId="0" applyFont="1" applyFill="1" applyBorder="1"/>
    <xf numFmtId="0" fontId="47" fillId="0" borderId="39" xfId="0" applyFont="1" applyBorder="1" applyAlignment="1">
      <alignment horizontal="right"/>
    </xf>
    <xf numFmtId="0" fontId="10" fillId="12" borderId="46" xfId="0" applyFont="1" applyFill="1" applyBorder="1"/>
    <xf numFmtId="0" fontId="46" fillId="12" borderId="50" xfId="0" applyFont="1" applyFill="1" applyBorder="1"/>
    <xf numFmtId="0" fontId="46" fillId="12" borderId="51" xfId="0" applyFont="1" applyFill="1" applyBorder="1" applyAlignment="1">
      <alignment horizontal="center" vertical="center"/>
    </xf>
    <xf numFmtId="0" fontId="46" fillId="12" borderId="49" xfId="0" applyFont="1" applyFill="1" applyBorder="1" applyAlignment="1">
      <alignment horizontal="center" vertical="center"/>
    </xf>
    <xf numFmtId="0" fontId="46" fillId="12" borderId="47" xfId="0" applyFont="1" applyFill="1" applyBorder="1"/>
    <xf numFmtId="0" fontId="46" fillId="12" borderId="48" xfId="0" applyFont="1" applyFill="1" applyBorder="1"/>
    <xf numFmtId="168" fontId="51" fillId="0" borderId="111" xfId="0" applyNumberFormat="1" applyFont="1" applyBorder="1"/>
    <xf numFmtId="0" fontId="51" fillId="0" borderId="111" xfId="0" applyFont="1" applyBorder="1"/>
    <xf numFmtId="0" fontId="51" fillId="0" borderId="112" xfId="0" applyFont="1" applyBorder="1"/>
    <xf numFmtId="168" fontId="52" fillId="6" borderId="114" xfId="0" applyNumberFormat="1" applyFont="1" applyFill="1" applyBorder="1"/>
    <xf numFmtId="168" fontId="51" fillId="6" borderId="114" xfId="0" applyNumberFormat="1" applyFont="1" applyFill="1" applyBorder="1"/>
    <xf numFmtId="168" fontId="51" fillId="0" borderId="114" xfId="0" applyNumberFormat="1" applyFont="1" applyBorder="1"/>
    <xf numFmtId="0" fontId="51" fillId="0" borderId="114" xfId="0" applyFont="1" applyBorder="1"/>
    <xf numFmtId="0" fontId="51" fillId="0" borderId="146" xfId="0" applyFont="1" applyBorder="1"/>
    <xf numFmtId="0" fontId="46" fillId="12" borderId="0" xfId="0" applyFont="1" applyFill="1"/>
    <xf numFmtId="168" fontId="52" fillId="36" borderId="104" xfId="0" applyNumberFormat="1" applyFont="1" applyFill="1" applyBorder="1"/>
    <xf numFmtId="168" fontId="51" fillId="0" borderId="104" xfId="0" applyNumberFormat="1" applyFont="1" applyBorder="1"/>
    <xf numFmtId="0" fontId="51" fillId="0" borderId="104" xfId="0" applyFont="1" applyBorder="1"/>
    <xf numFmtId="0" fontId="51" fillId="0" borderId="148" xfId="0" applyFont="1" applyBorder="1"/>
    <xf numFmtId="168" fontId="51" fillId="0" borderId="96" xfId="0" applyNumberFormat="1" applyFont="1" applyBorder="1"/>
    <xf numFmtId="0" fontId="51" fillId="0" borderId="96" xfId="0" applyFont="1" applyBorder="1"/>
    <xf numFmtId="0" fontId="51" fillId="0" borderId="97" xfId="0" applyFont="1" applyBorder="1"/>
    <xf numFmtId="0" fontId="46" fillId="12" borderId="0" xfId="0" applyFont="1" applyFill="1" applyAlignment="1">
      <alignment horizontal="left"/>
    </xf>
    <xf numFmtId="168" fontId="51" fillId="0" borderId="99" xfId="0" applyNumberFormat="1" applyFont="1" applyBorder="1"/>
    <xf numFmtId="168" fontId="51" fillId="0" borderId="152" xfId="0" applyNumberFormat="1" applyFont="1" applyBorder="1"/>
    <xf numFmtId="168" fontId="51" fillId="0" borderId="102" xfId="0" applyNumberFormat="1" applyFont="1" applyBorder="1"/>
    <xf numFmtId="168" fontId="53" fillId="0" borderId="96" xfId="0" applyNumberFormat="1" applyFont="1" applyBorder="1"/>
    <xf numFmtId="171" fontId="53" fillId="0" borderId="96" xfId="0" applyNumberFormat="1" applyFont="1" applyBorder="1"/>
    <xf numFmtId="171" fontId="53" fillId="0" borderId="102" xfId="0" applyNumberFormat="1" applyFont="1" applyBorder="1"/>
    <xf numFmtId="165" fontId="53" fillId="0" borderId="102" xfId="0" applyNumberFormat="1" applyFont="1" applyBorder="1"/>
    <xf numFmtId="172" fontId="53" fillId="0" borderId="102" xfId="0" applyNumberFormat="1" applyFont="1" applyBorder="1"/>
    <xf numFmtId="168" fontId="52" fillId="36" borderId="104" xfId="0" applyNumberFormat="1" applyFont="1" applyFill="1" applyBorder="1" applyAlignment="1">
      <alignment horizontal="right"/>
    </xf>
    <xf numFmtId="0" fontId="46" fillId="12" borderId="47" xfId="0" applyFont="1" applyFill="1" applyBorder="1" applyAlignment="1">
      <alignment vertical="top"/>
    </xf>
    <xf numFmtId="168" fontId="51" fillId="0" borderId="96" xfId="0" applyNumberFormat="1" applyFont="1" applyBorder="1" applyAlignment="1">
      <alignment vertical="top"/>
    </xf>
    <xf numFmtId="0" fontId="51" fillId="0" borderId="96" xfId="0" applyFont="1" applyBorder="1" applyAlignment="1">
      <alignment vertical="top"/>
    </xf>
    <xf numFmtId="0" fontId="51" fillId="0" borderId="97" xfId="0" applyFont="1" applyBorder="1" applyAlignment="1">
      <alignment vertical="top"/>
    </xf>
    <xf numFmtId="168" fontId="51" fillId="0" borderId="152" xfId="0" applyNumberFormat="1" applyFont="1" applyBorder="1" applyAlignment="1">
      <alignment vertical="top"/>
    </xf>
    <xf numFmtId="168" fontId="51" fillId="0" borderId="102" xfId="0" applyNumberFormat="1" applyFont="1" applyBorder="1" applyAlignment="1">
      <alignment vertical="top"/>
    </xf>
    <xf numFmtId="0" fontId="51" fillId="0" borderId="102" xfId="0" applyFont="1" applyBorder="1" applyAlignment="1">
      <alignment vertical="top"/>
    </xf>
    <xf numFmtId="0" fontId="51" fillId="0" borderId="109" xfId="0" applyFont="1" applyBorder="1" applyAlignment="1">
      <alignment vertical="top"/>
    </xf>
    <xf numFmtId="168" fontId="46" fillId="12" borderId="0" xfId="0" applyNumberFormat="1" applyFont="1" applyFill="1" applyAlignment="1">
      <alignment vertical="top"/>
    </xf>
    <xf numFmtId="168" fontId="52" fillId="36" borderId="151" xfId="0" applyNumberFormat="1" applyFont="1" applyFill="1" applyBorder="1"/>
    <xf numFmtId="168" fontId="52" fillId="36" borderId="150" xfId="0" applyNumberFormat="1" applyFont="1" applyFill="1" applyBorder="1"/>
    <xf numFmtId="168" fontId="51" fillId="0" borderId="149" xfId="0" applyNumberFormat="1" applyFont="1" applyBorder="1" applyAlignment="1">
      <alignment vertical="top"/>
    </xf>
    <xf numFmtId="0" fontId="51" fillId="0" borderId="103" xfId="0" applyFont="1" applyBorder="1" applyAlignment="1">
      <alignment vertical="top"/>
    </xf>
    <xf numFmtId="0" fontId="51" fillId="0" borderId="105" xfId="0" applyFont="1" applyBorder="1" applyAlignment="1">
      <alignment vertical="top"/>
    </xf>
    <xf numFmtId="168" fontId="46" fillId="12" borderId="47" xfId="0" applyNumberFormat="1" applyFont="1" applyFill="1" applyBorder="1" applyAlignment="1">
      <alignment vertical="top"/>
    </xf>
    <xf numFmtId="168" fontId="51" fillId="0" borderId="98" xfId="0" applyNumberFormat="1" applyFont="1" applyBorder="1" applyAlignment="1">
      <alignment vertical="top"/>
    </xf>
    <xf numFmtId="168" fontId="52" fillId="0" borderId="103" xfId="0" applyNumberFormat="1" applyFont="1" applyBorder="1"/>
    <xf numFmtId="168" fontId="52" fillId="0" borderId="96" xfId="0" applyNumberFormat="1" applyFont="1" applyBorder="1"/>
    <xf numFmtId="168" fontId="51" fillId="0" borderId="106" xfId="0" applyNumberFormat="1" applyFont="1" applyBorder="1" applyAlignment="1">
      <alignment vertical="top"/>
    </xf>
    <xf numFmtId="168" fontId="52" fillId="0" borderId="102" xfId="0" applyNumberFormat="1" applyFont="1" applyBorder="1"/>
    <xf numFmtId="168" fontId="46" fillId="12" borderId="47" xfId="0" applyNumberFormat="1" applyFont="1" applyFill="1" applyBorder="1"/>
    <xf numFmtId="168" fontId="46" fillId="12" borderId="0" xfId="0" applyNumberFormat="1" applyFont="1" applyFill="1"/>
    <xf numFmtId="168" fontId="52" fillId="6" borderId="103" xfId="0" applyNumberFormat="1" applyFont="1" applyFill="1" applyBorder="1"/>
    <xf numFmtId="168" fontId="52" fillId="6" borderId="104" xfId="0" applyNumberFormat="1" applyFont="1" applyFill="1" applyBorder="1"/>
    <xf numFmtId="168" fontId="51" fillId="0" borderId="103" xfId="0" applyNumberFormat="1" applyFont="1" applyBorder="1"/>
    <xf numFmtId="0" fontId="51" fillId="0" borderId="103" xfId="0" applyFont="1" applyBorder="1"/>
    <xf numFmtId="0" fontId="51" fillId="0" borderId="105" xfId="0" applyFont="1" applyBorder="1"/>
    <xf numFmtId="168" fontId="46" fillId="12" borderId="116" xfId="0" applyNumberFormat="1" applyFont="1" applyFill="1" applyBorder="1"/>
    <xf numFmtId="168" fontId="46" fillId="12" borderId="115" xfId="0" applyNumberFormat="1" applyFont="1" applyFill="1" applyBorder="1" applyAlignment="1">
      <alignment vertical="top"/>
    </xf>
    <xf numFmtId="168" fontId="46" fillId="12" borderId="78" xfId="0" applyNumberFormat="1" applyFont="1" applyFill="1" applyBorder="1" applyAlignment="1">
      <alignment vertical="top"/>
    </xf>
    <xf numFmtId="168" fontId="30" fillId="0" borderId="152" xfId="0" applyNumberFormat="1" applyFont="1" applyBorder="1" applyAlignment="1">
      <alignment vertical="top"/>
    </xf>
    <xf numFmtId="0" fontId="30" fillId="0" borderId="156" xfId="0" applyFont="1" applyBorder="1" applyAlignment="1">
      <alignment vertical="top"/>
    </xf>
    <xf numFmtId="168" fontId="46" fillId="52" borderId="0" xfId="0" applyNumberFormat="1" applyFont="1" applyFill="1" applyAlignment="1">
      <alignment vertical="top"/>
    </xf>
    <xf numFmtId="168" fontId="51" fillId="0" borderId="6" xfId="0" applyNumberFormat="1" applyFont="1" applyBorder="1" applyAlignment="1">
      <alignment vertical="top"/>
    </xf>
    <xf numFmtId="168" fontId="30" fillId="0" borderId="6" xfId="0" applyNumberFormat="1" applyFont="1" applyBorder="1" applyAlignment="1">
      <alignment vertical="top"/>
    </xf>
    <xf numFmtId="169" fontId="30" fillId="0" borderId="6" xfId="0" applyNumberFormat="1" applyFont="1" applyBorder="1" applyAlignment="1">
      <alignment vertical="top"/>
    </xf>
    <xf numFmtId="0" fontId="30" fillId="0" borderId="6" xfId="0" applyFont="1" applyBorder="1" applyAlignment="1">
      <alignment vertical="top"/>
    </xf>
    <xf numFmtId="165" fontId="45" fillId="0" borderId="0" xfId="0" applyNumberFormat="1" applyFont="1"/>
    <xf numFmtId="0" fontId="46" fillId="12" borderId="65" xfId="0" applyFont="1" applyFill="1" applyBorder="1" applyAlignment="1">
      <alignment horizontal="center" vertical="center"/>
    </xf>
    <xf numFmtId="0" fontId="46" fillId="12" borderId="80" xfId="0" applyFont="1" applyFill="1" applyBorder="1" applyAlignment="1">
      <alignment horizontal="center" vertical="center"/>
    </xf>
    <xf numFmtId="0" fontId="45" fillId="0" borderId="81" xfId="0" applyFont="1" applyBorder="1" applyAlignment="1">
      <alignment horizontal="center"/>
    </xf>
    <xf numFmtId="0" fontId="45" fillId="0" borderId="82" xfId="0" applyFont="1" applyBorder="1" applyAlignment="1">
      <alignment horizontal="center"/>
    </xf>
    <xf numFmtId="0" fontId="45" fillId="0" borderId="83" xfId="0" applyFont="1" applyBorder="1" applyAlignment="1">
      <alignment horizontal="center"/>
    </xf>
    <xf numFmtId="0" fontId="45" fillId="0" borderId="84" xfId="0" applyFont="1" applyBorder="1" applyAlignment="1">
      <alignment horizontal="center"/>
    </xf>
    <xf numFmtId="0" fontId="47" fillId="0" borderId="55" xfId="0" applyFont="1" applyBorder="1" applyAlignment="1">
      <alignment vertical="center" wrapText="1"/>
    </xf>
    <xf numFmtId="10" fontId="48" fillId="14" borderId="33" xfId="0" applyNumberFormat="1" applyFont="1" applyFill="1" applyBorder="1"/>
    <xf numFmtId="168" fontId="48" fillId="38" borderId="33" xfId="0" applyNumberFormat="1" applyFont="1" applyFill="1" applyBorder="1"/>
    <xf numFmtId="9" fontId="47" fillId="0" borderId="33" xfId="0" applyNumberFormat="1" applyFont="1" applyBorder="1"/>
    <xf numFmtId="43" fontId="47" fillId="0" borderId="33" xfId="0" applyNumberFormat="1" applyFont="1" applyBorder="1"/>
    <xf numFmtId="0" fontId="46" fillId="12" borderId="0" xfId="0" applyFont="1" applyFill="1" applyAlignment="1">
      <alignment horizontal="center"/>
    </xf>
    <xf numFmtId="0" fontId="48" fillId="36" borderId="157" xfId="0" applyFont="1" applyFill="1" applyBorder="1"/>
    <xf numFmtId="179" fontId="48" fillId="36" borderId="157" xfId="0" applyNumberFormat="1" applyFont="1" applyFill="1" applyBorder="1"/>
    <xf numFmtId="0" fontId="47" fillId="0" borderId="79" xfId="0" applyFont="1" applyBorder="1"/>
    <xf numFmtId="0" fontId="47" fillId="0" borderId="159" xfId="0" applyFont="1" applyBorder="1"/>
    <xf numFmtId="0" fontId="47" fillId="0" borderId="158" xfId="0" applyFont="1" applyBorder="1"/>
    <xf numFmtId="0" fontId="46" fillId="5" borderId="0" xfId="0" applyFont="1" applyFill="1"/>
    <xf numFmtId="168" fontId="47" fillId="5" borderId="0" xfId="0" applyNumberFormat="1" applyFont="1" applyFill="1"/>
    <xf numFmtId="168" fontId="47" fillId="5" borderId="43" xfId="0" applyNumberFormat="1" applyFont="1" applyFill="1" applyBorder="1"/>
    <xf numFmtId="0" fontId="47" fillId="5" borderId="43" xfId="0" applyFont="1" applyFill="1" applyBorder="1"/>
    <xf numFmtId="0" fontId="30" fillId="0" borderId="43" xfId="0" applyFont="1" applyBorder="1"/>
    <xf numFmtId="0" fontId="30" fillId="0" borderId="30" xfId="0" applyFont="1" applyBorder="1"/>
    <xf numFmtId="0" fontId="54" fillId="47" borderId="0" xfId="0" applyFont="1" applyFill="1" applyAlignment="1">
      <alignment horizontal="center"/>
    </xf>
    <xf numFmtId="0" fontId="55" fillId="10" borderId="1" xfId="0" applyFont="1" applyFill="1" applyBorder="1" applyAlignment="1">
      <alignment horizontal="left" vertical="center" wrapText="1"/>
    </xf>
    <xf numFmtId="0" fontId="55" fillId="10" borderId="1" xfId="0" applyFont="1" applyFill="1" applyBorder="1" applyAlignment="1">
      <alignment horizontal="center" vertical="center" wrapText="1"/>
    </xf>
    <xf numFmtId="0" fontId="55" fillId="5" borderId="0" xfId="0" applyFont="1" applyFill="1" applyAlignment="1">
      <alignment horizontal="left" vertical="center" wrapText="1"/>
    </xf>
    <xf numFmtId="0" fontId="56" fillId="0" borderId="0" xfId="0" applyFont="1"/>
    <xf numFmtId="0" fontId="54" fillId="0" borderId="1" xfId="0" applyFont="1" applyBorder="1" applyAlignment="1">
      <alignment horizontal="center"/>
    </xf>
    <xf numFmtId="0" fontId="57" fillId="0" borderId="1" xfId="0" applyFont="1" applyBorder="1" applyAlignment="1">
      <alignment vertical="top"/>
    </xf>
    <xf numFmtId="0" fontId="57" fillId="0" borderId="0" xfId="0" applyFont="1"/>
    <xf numFmtId="0" fontId="57" fillId="0" borderId="1" xfId="0" applyFont="1" applyBorder="1" applyAlignment="1">
      <alignment vertical="center"/>
    </xf>
    <xf numFmtId="0" fontId="57" fillId="0" borderId="0" xfId="0" applyFont="1" applyAlignment="1">
      <alignment horizontal="center"/>
    </xf>
    <xf numFmtId="0" fontId="54" fillId="25" borderId="0" xfId="0" applyFont="1" applyFill="1" applyAlignment="1">
      <alignment horizontal="center" vertical="center" wrapText="1"/>
    </xf>
    <xf numFmtId="0" fontId="54" fillId="25" borderId="1" xfId="0" applyFont="1" applyFill="1" applyBorder="1" applyAlignment="1">
      <alignment horizontal="center" vertical="center" wrapText="1"/>
    </xf>
    <xf numFmtId="0" fontId="54" fillId="25" borderId="1" xfId="0" applyFont="1" applyFill="1" applyBorder="1" applyAlignment="1">
      <alignment horizontal="center" vertical="center"/>
    </xf>
    <xf numFmtId="0" fontId="54" fillId="25" borderId="0" xfId="0" applyFont="1" applyFill="1" applyAlignment="1">
      <alignment horizontal="center" vertical="center"/>
    </xf>
    <xf numFmtId="0" fontId="54" fillId="25" borderId="19" xfId="0" applyFont="1" applyFill="1" applyBorder="1" applyAlignment="1">
      <alignment horizontal="center" vertical="center"/>
    </xf>
    <xf numFmtId="0" fontId="56" fillId="0" borderId="1" xfId="0" applyFont="1" applyBorder="1" applyAlignment="1">
      <alignment vertical="center"/>
    </xf>
    <xf numFmtId="168" fontId="56" fillId="0" borderId="1" xfId="0" applyNumberFormat="1" applyFont="1" applyBorder="1"/>
    <xf numFmtId="0" fontId="56" fillId="0" borderId="1" xfId="0" applyFont="1" applyBorder="1"/>
    <xf numFmtId="0" fontId="54" fillId="0" borderId="1" xfId="0" applyFont="1" applyBorder="1"/>
    <xf numFmtId="168" fontId="54" fillId="0" borderId="1" xfId="0" applyNumberFormat="1" applyFont="1" applyBorder="1"/>
    <xf numFmtId="0" fontId="55" fillId="0" borderId="1" xfId="0" applyFont="1" applyBorder="1"/>
    <xf numFmtId="168" fontId="55" fillId="0" borderId="1" xfId="0" applyNumberFormat="1" applyFont="1" applyBorder="1"/>
    <xf numFmtId="164" fontId="54" fillId="23" borderId="1" xfId="0" applyNumberFormat="1" applyFont="1" applyFill="1" applyBorder="1"/>
    <xf numFmtId="0" fontId="56" fillId="0" borderId="1" xfId="0" applyFont="1" applyBorder="1" applyAlignment="1">
      <alignment horizontal="center" vertical="center" wrapText="1"/>
    </xf>
    <xf numFmtId="0" fontId="56" fillId="0" borderId="1" xfId="0" applyFont="1" applyBorder="1" applyAlignment="1">
      <alignment horizontal="center" vertical="center"/>
    </xf>
    <xf numFmtId="0" fontId="56" fillId="0" borderId="15" xfId="0" applyFont="1" applyBorder="1"/>
    <xf numFmtId="0" fontId="56" fillId="0" borderId="0" xfId="0" applyFont="1" applyAlignment="1">
      <alignment horizontal="center" vertical="center"/>
    </xf>
    <xf numFmtId="164" fontId="56" fillId="0" borderId="0" xfId="0" applyNumberFormat="1" applyFont="1"/>
    <xf numFmtId="0" fontId="56" fillId="5" borderId="0" xfId="0" applyFont="1" applyFill="1" applyAlignment="1">
      <alignment horizontal="center" vertical="center"/>
    </xf>
    <xf numFmtId="0" fontId="56" fillId="5" borderId="0" xfId="0" applyFont="1" applyFill="1"/>
    <xf numFmtId="0" fontId="54" fillId="42" borderId="1" xfId="0" applyFont="1" applyFill="1" applyBorder="1" applyAlignment="1">
      <alignment horizontal="center" vertical="center" wrapText="1"/>
    </xf>
    <xf numFmtId="0" fontId="54" fillId="42" borderId="1" xfId="0" applyFont="1" applyFill="1" applyBorder="1" applyAlignment="1">
      <alignment horizontal="center" vertical="center"/>
    </xf>
    <xf numFmtId="0" fontId="54" fillId="7" borderId="1" xfId="0" applyFont="1" applyFill="1" applyBorder="1" applyAlignment="1">
      <alignment horizontal="center" vertical="center"/>
    </xf>
    <xf numFmtId="0" fontId="56" fillId="0" borderId="1" xfId="0" applyFont="1" applyBorder="1" applyAlignment="1">
      <alignment horizontal="center"/>
    </xf>
    <xf numFmtId="164" fontId="56" fillId="0" borderId="1" xfId="0" applyNumberFormat="1" applyFont="1" applyBorder="1"/>
    <xf numFmtId="0" fontId="54" fillId="5" borderId="15" xfId="0" applyFont="1" applyFill="1" applyBorder="1" applyAlignment="1">
      <alignment horizontal="center" vertical="center" wrapText="1"/>
    </xf>
    <xf numFmtId="0" fontId="54" fillId="35" borderId="14" xfId="0" applyFont="1" applyFill="1" applyBorder="1" applyAlignment="1">
      <alignment horizontal="center" vertical="center" wrapText="1"/>
    </xf>
    <xf numFmtId="0" fontId="54" fillId="35" borderId="1" xfId="0" applyFont="1" applyFill="1" applyBorder="1" applyAlignment="1">
      <alignment horizontal="center" vertical="center"/>
    </xf>
    <xf numFmtId="0" fontId="54" fillId="35" borderId="1" xfId="0" applyFont="1" applyFill="1" applyBorder="1" applyAlignment="1">
      <alignment horizontal="center" vertical="center" wrapText="1"/>
    </xf>
    <xf numFmtId="164" fontId="55" fillId="25" borderId="1" xfId="0" applyNumberFormat="1" applyFont="1" applyFill="1" applyBorder="1"/>
    <xf numFmtId="164" fontId="54" fillId="25" borderId="1" xfId="0" applyNumberFormat="1" applyFont="1" applyFill="1" applyBorder="1"/>
    <xf numFmtId="0" fontId="56" fillId="0" borderId="19" xfId="0" applyFont="1" applyBorder="1" applyAlignment="1">
      <alignment horizontal="center" vertical="center" wrapText="1"/>
    </xf>
    <xf numFmtId="168" fontId="57" fillId="5" borderId="0" xfId="0" applyNumberFormat="1" applyFont="1" applyFill="1"/>
    <xf numFmtId="0" fontId="54" fillId="43" borderId="1" xfId="0" applyFont="1" applyFill="1" applyBorder="1" applyAlignment="1">
      <alignment horizontal="center" vertical="center" wrapText="1"/>
    </xf>
    <xf numFmtId="0" fontId="54" fillId="43" borderId="1" xfId="0" applyFont="1" applyFill="1" applyBorder="1" applyAlignment="1">
      <alignment horizontal="center" vertical="center"/>
    </xf>
    <xf numFmtId="0" fontId="57" fillId="5" borderId="0" xfId="0" applyFont="1" applyFill="1"/>
    <xf numFmtId="168" fontId="57" fillId="0" borderId="0" xfId="0" applyNumberFormat="1" applyFont="1"/>
    <xf numFmtId="168" fontId="56" fillId="0" borderId="0" xfId="0" applyNumberFormat="1" applyFont="1"/>
    <xf numFmtId="0" fontId="54" fillId="5" borderId="0" xfId="0" applyFont="1" applyFill="1" applyAlignment="1">
      <alignment horizontal="center" vertical="center"/>
    </xf>
    <xf numFmtId="0" fontId="54" fillId="5" borderId="0" xfId="0" applyFont="1" applyFill="1" applyAlignment="1">
      <alignment horizontal="center" vertical="center" wrapText="1"/>
    </xf>
    <xf numFmtId="168" fontId="54" fillId="44" borderId="1" xfId="0" applyNumberFormat="1" applyFont="1" applyFill="1" applyBorder="1" applyAlignment="1">
      <alignment horizontal="center"/>
    </xf>
    <xf numFmtId="0" fontId="55" fillId="41" borderId="1" xfId="0" applyFont="1" applyFill="1" applyBorder="1" applyAlignment="1">
      <alignment horizontal="center"/>
    </xf>
    <xf numFmtId="0" fontId="55" fillId="41" borderId="1" xfId="0" applyFont="1" applyFill="1" applyBorder="1" applyAlignment="1">
      <alignment horizontal="center" vertical="center"/>
    </xf>
    <xf numFmtId="0" fontId="54" fillId="5" borderId="0" xfId="0" applyFont="1" applyFill="1"/>
    <xf numFmtId="0" fontId="54" fillId="44" borderId="1" xfId="0" applyFont="1" applyFill="1" applyBorder="1" applyAlignment="1">
      <alignment horizontal="center"/>
    </xf>
    <xf numFmtId="165" fontId="56" fillId="0" borderId="1" xfId="0" applyNumberFormat="1" applyFont="1" applyBorder="1"/>
    <xf numFmtId="165" fontId="54" fillId="5" borderId="1" xfId="0" applyNumberFormat="1" applyFont="1" applyFill="1" applyBorder="1"/>
    <xf numFmtId="0" fontId="58" fillId="0" borderId="1" xfId="0" applyFont="1" applyBorder="1"/>
    <xf numFmtId="168" fontId="56" fillId="0" borderId="1" xfId="0" applyNumberFormat="1" applyFont="1" applyBorder="1" applyAlignment="1">
      <alignment horizontal="center"/>
    </xf>
    <xf numFmtId="165" fontId="57" fillId="5" borderId="0" xfId="0" applyNumberFormat="1" applyFont="1" applyFill="1"/>
    <xf numFmtId="168" fontId="56" fillId="5" borderId="0" xfId="0" applyNumberFormat="1" applyFont="1" applyFill="1" applyAlignment="1">
      <alignment horizontal="center"/>
    </xf>
    <xf numFmtId="165" fontId="56" fillId="5" borderId="0" xfId="0" applyNumberFormat="1" applyFont="1" applyFill="1"/>
    <xf numFmtId="165" fontId="54" fillId="5" borderId="0" xfId="0" applyNumberFormat="1" applyFont="1" applyFill="1"/>
    <xf numFmtId="0" fontId="58" fillId="5" borderId="0" xfId="0" applyFont="1" applyFill="1"/>
    <xf numFmtId="165" fontId="57" fillId="0" borderId="0" xfId="0" applyNumberFormat="1" applyFont="1"/>
    <xf numFmtId="0" fontId="54" fillId="0" borderId="0" xfId="0" applyFont="1"/>
    <xf numFmtId="165" fontId="56" fillId="0" borderId="0" xfId="0" applyNumberFormat="1" applyFont="1"/>
    <xf numFmtId="0" fontId="54" fillId="5" borderId="0" xfId="0" applyFont="1" applyFill="1" applyAlignment="1">
      <alignment horizontal="center"/>
    </xf>
    <xf numFmtId="0" fontId="54" fillId="29" borderId="118" xfId="0" applyFont="1" applyFill="1" applyBorder="1" applyAlignment="1">
      <alignment horizontal="center"/>
    </xf>
    <xf numFmtId="0" fontId="55" fillId="5" borderId="0" xfId="0" applyFont="1" applyFill="1" applyAlignment="1">
      <alignment horizontal="center"/>
    </xf>
    <xf numFmtId="0" fontId="55" fillId="5" borderId="0" xfId="0" applyFont="1" applyFill="1" applyAlignment="1">
      <alignment horizontal="center" vertical="center"/>
    </xf>
    <xf numFmtId="164" fontId="54" fillId="5" borderId="0" xfId="0" applyNumberFormat="1" applyFont="1" applyFill="1"/>
    <xf numFmtId="168" fontId="54" fillId="29" borderId="1" xfId="0" applyNumberFormat="1" applyFont="1" applyFill="1" applyBorder="1" applyAlignment="1">
      <alignment horizontal="center"/>
    </xf>
    <xf numFmtId="0" fontId="54" fillId="0" borderId="0" xfId="0" applyFont="1" applyAlignment="1">
      <alignment horizontal="center"/>
    </xf>
    <xf numFmtId="164" fontId="55" fillId="5" borderId="0" xfId="0" applyNumberFormat="1" applyFont="1" applyFill="1"/>
    <xf numFmtId="0" fontId="54" fillId="29" borderId="1" xfId="0" applyFont="1" applyFill="1" applyBorder="1" applyAlignment="1">
      <alignment horizontal="center"/>
    </xf>
    <xf numFmtId="0" fontId="59" fillId="0" borderId="33" xfId="0" applyFont="1" applyBorder="1"/>
    <xf numFmtId="165" fontId="54" fillId="0" borderId="1" xfId="0" applyNumberFormat="1" applyFont="1" applyBorder="1"/>
    <xf numFmtId="165" fontId="55" fillId="5" borderId="1" xfId="0" applyNumberFormat="1" applyFont="1" applyFill="1" applyBorder="1"/>
    <xf numFmtId="165" fontId="57" fillId="5" borderId="1" xfId="0" applyNumberFormat="1" applyFont="1" applyFill="1" applyBorder="1"/>
    <xf numFmtId="0" fontId="56" fillId="0" borderId="0" xfId="0" applyFont="1" applyAlignment="1">
      <alignment horizontal="center" vertical="center" wrapText="1"/>
    </xf>
    <xf numFmtId="0" fontId="60" fillId="0" borderId="55" xfId="0" applyFont="1" applyBorder="1"/>
    <xf numFmtId="0" fontId="58" fillId="0" borderId="19" xfId="0" applyFont="1" applyBorder="1"/>
    <xf numFmtId="0" fontId="60" fillId="0" borderId="33" xfId="0" applyFont="1" applyBorder="1"/>
    <xf numFmtId="0" fontId="56" fillId="0" borderId="19" xfId="0" applyFont="1" applyBorder="1"/>
    <xf numFmtId="0" fontId="60" fillId="0" borderId="178" xfId="0" applyFont="1" applyBorder="1"/>
    <xf numFmtId="2" fontId="56" fillId="0" borderId="19" xfId="0" applyNumberFormat="1" applyFont="1" applyBorder="1"/>
    <xf numFmtId="186" fontId="56" fillId="0" borderId="19" xfId="0" applyNumberFormat="1" applyFont="1" applyBorder="1"/>
    <xf numFmtId="0" fontId="55" fillId="0" borderId="0" xfId="0" applyFont="1" applyAlignment="1">
      <alignment vertical="center"/>
    </xf>
    <xf numFmtId="0" fontId="55" fillId="0" borderId="0" xfId="0" applyFont="1" applyAlignment="1">
      <alignment horizontal="center" vertical="center"/>
    </xf>
    <xf numFmtId="0" fontId="56" fillId="0" borderId="122" xfId="0" applyFont="1" applyBorder="1"/>
    <xf numFmtId="175" fontId="55" fillId="20" borderId="125" xfId="0" quotePrefix="1" applyNumberFormat="1" applyFont="1" applyFill="1" applyBorder="1" applyAlignment="1">
      <alignment horizontal="left" vertical="center"/>
    </xf>
    <xf numFmtId="175" fontId="61" fillId="0" borderId="0" xfId="0" quotePrefix="1" applyNumberFormat="1" applyFont="1" applyAlignment="1">
      <alignment horizontal="left" vertical="center"/>
    </xf>
    <xf numFmtId="0" fontId="57" fillId="10" borderId="1" xfId="0" applyFont="1" applyFill="1" applyBorder="1" applyAlignment="1">
      <alignment horizontal="center" vertical="center" wrapText="1"/>
    </xf>
    <xf numFmtId="0" fontId="57" fillId="10" borderId="1" xfId="0" applyFont="1" applyFill="1" applyBorder="1" applyAlignment="1">
      <alignment horizontal="center" vertical="center"/>
    </xf>
    <xf numFmtId="0" fontId="54" fillId="10" borderId="19" xfId="0" applyFont="1" applyFill="1" applyBorder="1" applyAlignment="1">
      <alignment horizontal="center" vertical="center"/>
    </xf>
    <xf numFmtId="0" fontId="54" fillId="10" borderId="0" xfId="0" applyFont="1" applyFill="1" applyAlignment="1">
      <alignment horizontal="center" vertical="center"/>
    </xf>
    <xf numFmtId="0" fontId="55" fillId="0" borderId="1" xfId="0" applyFont="1" applyBorder="1" applyAlignment="1">
      <alignment vertical="center"/>
    </xf>
    <xf numFmtId="0" fontId="54" fillId="10" borderId="19" xfId="0" applyFont="1" applyFill="1" applyBorder="1" applyAlignment="1">
      <alignment horizontal="center" vertical="center" wrapText="1"/>
    </xf>
    <xf numFmtId="0" fontId="54" fillId="0" borderId="0" xfId="0" applyFont="1" applyAlignment="1">
      <alignment horizontal="center" vertical="center" wrapText="1"/>
    </xf>
    <xf numFmtId="0" fontId="54" fillId="0" borderId="0" xfId="0" applyFont="1" applyAlignment="1">
      <alignment vertical="center" wrapText="1"/>
    </xf>
    <xf numFmtId="0" fontId="54" fillId="10" borderId="1" xfId="0" applyFont="1" applyFill="1" applyBorder="1" applyAlignment="1">
      <alignment horizontal="center" vertical="center" wrapText="1"/>
    </xf>
    <xf numFmtId="0" fontId="54" fillId="10" borderId="1" xfId="0" applyFont="1" applyFill="1" applyBorder="1" applyAlignment="1">
      <alignment horizontal="center" vertical="center"/>
    </xf>
    <xf numFmtId="0" fontId="54" fillId="10" borderId="20" xfId="0" applyFont="1" applyFill="1" applyBorder="1" applyAlignment="1">
      <alignment horizontal="center" vertical="center"/>
    </xf>
    <xf numFmtId="0" fontId="54" fillId="0" borderId="0" xfId="0" applyFont="1" applyAlignment="1">
      <alignment horizontal="center" vertical="center"/>
    </xf>
    <xf numFmtId="168" fontId="55" fillId="23" borderId="1" xfId="0" applyNumberFormat="1" applyFont="1" applyFill="1" applyBorder="1"/>
    <xf numFmtId="1" fontId="56" fillId="0" borderId="1" xfId="0" applyNumberFormat="1" applyFont="1" applyBorder="1"/>
    <xf numFmtId="168" fontId="55" fillId="25" borderId="1" xfId="0" applyNumberFormat="1" applyFont="1" applyFill="1" applyBorder="1"/>
    <xf numFmtId="0" fontId="57" fillId="0" borderId="1" xfId="0" applyFont="1" applyBorder="1" applyAlignment="1">
      <alignment horizontal="center" vertical="center"/>
    </xf>
    <xf numFmtId="0" fontId="56" fillId="0" borderId="1" xfId="0" applyFont="1" applyBorder="1" applyAlignment="1">
      <alignment horizontal="left"/>
    </xf>
    <xf numFmtId="168" fontId="57" fillId="0" borderId="1" xfId="0" applyNumberFormat="1" applyFont="1" applyBorder="1" applyAlignment="1">
      <alignment horizontal="center"/>
    </xf>
    <xf numFmtId="0" fontId="56" fillId="0" borderId="143" xfId="0" applyFont="1" applyBorder="1"/>
    <xf numFmtId="0" fontId="55" fillId="10" borderId="1" xfId="0" applyFont="1" applyFill="1" applyBorder="1" applyAlignment="1">
      <alignment horizontal="center" vertical="center"/>
    </xf>
    <xf numFmtId="0" fontId="55" fillId="10" borderId="49" xfId="0" applyFont="1" applyFill="1" applyBorder="1" applyAlignment="1">
      <alignment horizontal="center" vertical="center" wrapText="1"/>
    </xf>
    <xf numFmtId="0" fontId="57" fillId="0" borderId="1" xfId="0" applyFont="1" applyBorder="1" applyAlignment="1">
      <alignment horizontal="center"/>
    </xf>
    <xf numFmtId="0" fontId="57" fillId="0" borderId="1" xfId="0" applyFont="1" applyBorder="1" applyAlignment="1">
      <alignment horizontal="center" wrapText="1"/>
    </xf>
    <xf numFmtId="168" fontId="55" fillId="0" borderId="1" xfId="0" applyNumberFormat="1" applyFont="1" applyBorder="1" applyAlignment="1">
      <alignment horizontal="center" vertical="center"/>
    </xf>
    <xf numFmtId="0" fontId="56" fillId="0" borderId="0" xfId="0" applyFont="1" applyAlignment="1">
      <alignment horizontal="center"/>
    </xf>
    <xf numFmtId="0" fontId="54" fillId="21" borderId="1" xfId="0" applyFont="1" applyFill="1" applyBorder="1" applyAlignment="1">
      <alignment horizontal="center"/>
    </xf>
    <xf numFmtId="168" fontId="54" fillId="21" borderId="1" xfId="0" applyNumberFormat="1" applyFont="1" applyFill="1" applyBorder="1" applyAlignment="1">
      <alignment horizontal="center"/>
    </xf>
    <xf numFmtId="168" fontId="56" fillId="21" borderId="1" xfId="0" applyNumberFormat="1" applyFont="1" applyFill="1" applyBorder="1" applyAlignment="1">
      <alignment horizontal="center"/>
    </xf>
    <xf numFmtId="0" fontId="56" fillId="21" borderId="1" xfId="0" applyFont="1" applyFill="1" applyBorder="1" applyAlignment="1">
      <alignment horizontal="center"/>
    </xf>
    <xf numFmtId="0" fontId="56" fillId="0" borderId="14" xfId="0" applyFont="1" applyBorder="1"/>
    <xf numFmtId="168" fontId="56" fillId="0" borderId="1" xfId="0" applyNumberFormat="1" applyFont="1" applyBorder="1" applyAlignment="1">
      <alignment horizontal="right"/>
    </xf>
    <xf numFmtId="0" fontId="56" fillId="0" borderId="14" xfId="0" applyFont="1" applyBorder="1" applyAlignment="1">
      <alignment horizontal="center"/>
    </xf>
    <xf numFmtId="0" fontId="56" fillId="0" borderId="15" xfId="0" applyFont="1" applyBorder="1" applyAlignment="1">
      <alignment horizontal="center"/>
    </xf>
    <xf numFmtId="0" fontId="54" fillId="21" borderId="20" xfId="0" applyFont="1" applyFill="1" applyBorder="1" applyAlignment="1">
      <alignment horizontal="center" vertical="center"/>
    </xf>
    <xf numFmtId="168" fontId="54" fillId="21" borderId="20" xfId="0" applyNumberFormat="1" applyFont="1" applyFill="1" applyBorder="1" applyAlignment="1">
      <alignment horizontal="center" vertical="center"/>
    </xf>
    <xf numFmtId="168" fontId="54" fillId="21" borderId="20" xfId="0" applyNumberFormat="1" applyFont="1" applyFill="1" applyBorder="1" applyAlignment="1">
      <alignment horizontal="right" vertical="center"/>
    </xf>
    <xf numFmtId="0" fontId="56" fillId="21" borderId="20" xfId="0" applyFont="1" applyFill="1" applyBorder="1" applyAlignment="1">
      <alignment horizontal="center" vertical="center"/>
    </xf>
    <xf numFmtId="176" fontId="56" fillId="15" borderId="1" xfId="0" applyNumberFormat="1" applyFont="1" applyFill="1" applyBorder="1" applyAlignment="1">
      <alignment horizontal="center" vertical="center"/>
    </xf>
    <xf numFmtId="168" fontId="56" fillId="15" borderId="1" xfId="0" applyNumberFormat="1" applyFont="1" applyFill="1" applyBorder="1" applyAlignment="1">
      <alignment horizontal="center" vertical="center"/>
    </xf>
    <xf numFmtId="0" fontId="56" fillId="15" borderId="1" xfId="0" applyFont="1" applyFill="1" applyBorder="1" applyAlignment="1">
      <alignment horizontal="center" vertical="center"/>
    </xf>
    <xf numFmtId="0" fontId="56" fillId="0" borderId="14" xfId="0" applyFont="1" applyBorder="1" applyAlignment="1">
      <alignment horizontal="left" vertical="center"/>
    </xf>
    <xf numFmtId="168" fontId="56" fillId="0" borderId="1" xfId="0" applyNumberFormat="1" applyFont="1" applyBorder="1" applyAlignment="1">
      <alignment horizontal="center" vertical="center"/>
    </xf>
    <xf numFmtId="168" fontId="54" fillId="26" borderId="1" xfId="0" applyNumberFormat="1" applyFont="1" applyFill="1" applyBorder="1" applyAlignment="1">
      <alignment horizontal="center" vertical="center"/>
    </xf>
    <xf numFmtId="0" fontId="54" fillId="25" borderId="1" xfId="0" applyFont="1" applyFill="1" applyBorder="1"/>
    <xf numFmtId="0" fontId="56" fillId="0" borderId="14" xfId="0" applyFont="1" applyBorder="1" applyAlignment="1">
      <alignment horizontal="center" vertical="center"/>
    </xf>
    <xf numFmtId="0" fontId="56" fillId="0" borderId="15" xfId="0" applyFont="1" applyBorder="1" applyAlignment="1">
      <alignment horizontal="center" vertical="center"/>
    </xf>
    <xf numFmtId="177" fontId="56" fillId="6" borderId="20" xfId="0" applyNumberFormat="1" applyFont="1" applyFill="1" applyBorder="1" applyAlignment="1">
      <alignment horizontal="center" vertical="center"/>
    </xf>
    <xf numFmtId="168" fontId="56" fillId="6" borderId="20" xfId="0" applyNumberFormat="1" applyFont="1" applyFill="1" applyBorder="1" applyAlignment="1">
      <alignment horizontal="center" vertical="center"/>
    </xf>
    <xf numFmtId="0" fontId="56" fillId="6" borderId="20" xfId="0" applyFont="1" applyFill="1" applyBorder="1" applyAlignment="1">
      <alignment horizontal="center" vertical="center"/>
    </xf>
    <xf numFmtId="0" fontId="56" fillId="0" borderId="1" xfId="0" applyFont="1" applyBorder="1" applyAlignment="1">
      <alignment horizontal="left" vertical="center"/>
    </xf>
    <xf numFmtId="0" fontId="55" fillId="10" borderId="19" xfId="0" applyFont="1" applyFill="1" applyBorder="1" applyAlignment="1">
      <alignment horizontal="center" vertical="center"/>
    </xf>
    <xf numFmtId="176" fontId="56" fillId="15" borderId="1" xfId="0" applyNumberFormat="1" applyFont="1" applyFill="1" applyBorder="1" applyAlignment="1">
      <alignment horizontal="center"/>
    </xf>
    <xf numFmtId="168" fontId="56" fillId="15" borderId="1" xfId="0" applyNumberFormat="1" applyFont="1" applyFill="1" applyBorder="1" applyAlignment="1">
      <alignment horizontal="center"/>
    </xf>
    <xf numFmtId="0" fontId="56" fillId="15" borderId="1" xfId="0" applyFont="1" applyFill="1" applyBorder="1" applyAlignment="1">
      <alignment horizontal="center"/>
    </xf>
    <xf numFmtId="0" fontId="56" fillId="0" borderId="14" xfId="0" applyFont="1" applyBorder="1" applyAlignment="1">
      <alignment horizontal="left"/>
    </xf>
    <xf numFmtId="168" fontId="54" fillId="23" borderId="1" xfId="0" applyNumberFormat="1" applyFont="1" applyFill="1" applyBorder="1" applyAlignment="1">
      <alignment horizontal="center"/>
    </xf>
    <xf numFmtId="9" fontId="56" fillId="0" borderId="1" xfId="0" applyNumberFormat="1" applyFont="1" applyBorder="1" applyAlignment="1">
      <alignment horizontal="center"/>
    </xf>
    <xf numFmtId="1" fontId="56" fillId="0" borderId="1" xfId="0" applyNumberFormat="1" applyFont="1" applyBorder="1" applyAlignment="1">
      <alignment horizontal="right"/>
    </xf>
    <xf numFmtId="177" fontId="56" fillId="6" borderId="20" xfId="0" applyNumberFormat="1" applyFont="1" applyFill="1" applyBorder="1" applyAlignment="1">
      <alignment horizontal="center"/>
    </xf>
    <xf numFmtId="168" fontId="56" fillId="6" borderId="20" xfId="0" applyNumberFormat="1" applyFont="1" applyFill="1" applyBorder="1" applyAlignment="1">
      <alignment horizontal="center"/>
    </xf>
    <xf numFmtId="0" fontId="56" fillId="6" borderId="20" xfId="0" applyFont="1" applyFill="1" applyBorder="1" applyAlignment="1">
      <alignment horizontal="center"/>
    </xf>
    <xf numFmtId="169" fontId="56" fillId="0" borderId="1" xfId="0" applyNumberFormat="1" applyFont="1" applyBorder="1" applyAlignment="1">
      <alignment horizontal="center"/>
    </xf>
    <xf numFmtId="0" fontId="54" fillId="10" borderId="1" xfId="0" applyFont="1" applyFill="1" applyBorder="1" applyAlignment="1">
      <alignment vertical="center"/>
    </xf>
    <xf numFmtId="0" fontId="54" fillId="10" borderId="1" xfId="0" applyFont="1" applyFill="1" applyBorder="1"/>
    <xf numFmtId="0" fontId="54" fillId="10" borderId="1" xfId="0" applyFont="1" applyFill="1" applyBorder="1" applyAlignment="1">
      <alignment horizontal="center"/>
    </xf>
    <xf numFmtId="0" fontId="55" fillId="24" borderId="1" xfId="0" applyFont="1" applyFill="1" applyBorder="1" applyAlignment="1">
      <alignment horizontal="center" vertical="center" wrapText="1"/>
    </xf>
    <xf numFmtId="0" fontId="55" fillId="24" borderId="49" xfId="0" applyFont="1" applyFill="1" applyBorder="1" applyAlignment="1">
      <alignment horizontal="center" vertical="center"/>
    </xf>
    <xf numFmtId="168" fontId="55" fillId="22" borderId="20" xfId="0" applyNumberFormat="1" applyFont="1" applyFill="1" applyBorder="1" applyAlignment="1">
      <alignment horizontal="center"/>
    </xf>
    <xf numFmtId="0" fontId="57" fillId="22" borderId="15" xfId="0" applyFont="1" applyFill="1" applyBorder="1" applyAlignment="1">
      <alignment horizontal="center"/>
    </xf>
    <xf numFmtId="0" fontId="57" fillId="22" borderId="1" xfId="0" applyFont="1" applyFill="1" applyBorder="1" applyAlignment="1">
      <alignment horizontal="center"/>
    </xf>
    <xf numFmtId="176" fontId="56" fillId="15" borderId="1" xfId="0" applyNumberFormat="1" applyFont="1" applyFill="1" applyBorder="1"/>
    <xf numFmtId="177" fontId="56" fillId="6" borderId="1" xfId="0" applyNumberFormat="1" applyFont="1" applyFill="1" applyBorder="1" applyAlignment="1">
      <alignment horizontal="center"/>
    </xf>
    <xf numFmtId="0" fontId="56" fillId="6" borderId="1" xfId="0" applyFont="1" applyFill="1" applyBorder="1" applyAlignment="1">
      <alignment horizontal="center"/>
    </xf>
    <xf numFmtId="0" fontId="56" fillId="0" borderId="76" xfId="0" applyFont="1" applyBorder="1"/>
    <xf numFmtId="168" fontId="54" fillId="23" borderId="1" xfId="0" applyNumberFormat="1" applyFont="1" applyFill="1" applyBorder="1"/>
    <xf numFmtId="165" fontId="54" fillId="15" borderId="19" xfId="0" applyNumberFormat="1" applyFont="1" applyFill="1" applyBorder="1" applyAlignment="1">
      <alignment vertical="center"/>
    </xf>
    <xf numFmtId="165" fontId="54" fillId="0" borderId="0" xfId="0" applyNumberFormat="1" applyFont="1" applyAlignment="1">
      <alignment horizontal="left" vertical="center"/>
    </xf>
    <xf numFmtId="0" fontId="56" fillId="0" borderId="19" xfId="0" applyFont="1" applyBorder="1" applyAlignment="1">
      <alignment horizontal="left" vertical="center"/>
    </xf>
    <xf numFmtId="168" fontId="56" fillId="0" borderId="19" xfId="0" applyNumberFormat="1" applyFont="1" applyBorder="1"/>
    <xf numFmtId="0" fontId="54" fillId="15" borderId="24" xfId="0" applyFont="1" applyFill="1" applyBorder="1" applyAlignment="1">
      <alignment vertical="center"/>
    </xf>
    <xf numFmtId="0" fontId="54" fillId="0" borderId="0" xfId="0" applyFont="1" applyAlignment="1">
      <alignment horizontal="left" vertical="center"/>
    </xf>
    <xf numFmtId="0" fontId="54" fillId="15" borderId="1" xfId="0" applyFont="1" applyFill="1" applyBorder="1" applyAlignment="1">
      <alignment vertical="center"/>
    </xf>
    <xf numFmtId="0" fontId="56" fillId="0" borderId="0" xfId="0" applyFont="1" applyAlignment="1">
      <alignment horizontal="left" vertical="center"/>
    </xf>
    <xf numFmtId="0" fontId="62" fillId="5" borderId="0" xfId="0" applyFont="1" applyFill="1" applyAlignment="1">
      <alignment vertical="center"/>
    </xf>
    <xf numFmtId="168" fontId="58" fillId="0" borderId="0" xfId="0" applyNumberFormat="1" applyFont="1"/>
    <xf numFmtId="0" fontId="58" fillId="0" borderId="0" xfId="0" applyFont="1"/>
    <xf numFmtId="0" fontId="56" fillId="0" borderId="0" xfId="0" applyFont="1" applyAlignment="1">
      <alignment vertical="center"/>
    </xf>
    <xf numFmtId="2" fontId="56" fillId="0" borderId="1" xfId="0" applyNumberFormat="1" applyFont="1" applyBorder="1"/>
    <xf numFmtId="0" fontId="56" fillId="0" borderId="124" xfId="0" applyFont="1" applyBorder="1"/>
    <xf numFmtId="0" fontId="56" fillId="0" borderId="125" xfId="0" applyFont="1" applyBorder="1"/>
    <xf numFmtId="0" fontId="67" fillId="0" borderId="0" xfId="0" applyFont="1"/>
    <xf numFmtId="0" fontId="68" fillId="0" borderId="0" xfId="0" applyFont="1"/>
    <xf numFmtId="0" fontId="67" fillId="0" borderId="0" xfId="0" applyFont="1" applyAlignment="1">
      <alignment horizontal="center"/>
    </xf>
    <xf numFmtId="168" fontId="68" fillId="32" borderId="0" xfId="0" applyNumberFormat="1" applyFont="1" applyFill="1"/>
    <xf numFmtId="169" fontId="68" fillId="32" borderId="0" xfId="0" applyNumberFormat="1" applyFont="1" applyFill="1"/>
    <xf numFmtId="2" fontId="67" fillId="0" borderId="0" xfId="0" applyNumberFormat="1" applyFont="1"/>
    <xf numFmtId="168" fontId="68" fillId="0" borderId="0" xfId="0" applyNumberFormat="1" applyFont="1"/>
    <xf numFmtId="165" fontId="67" fillId="0" borderId="0" xfId="0" applyNumberFormat="1" applyFont="1"/>
    <xf numFmtId="1" fontId="67" fillId="0" borderId="0" xfId="0" applyNumberFormat="1" applyFont="1"/>
    <xf numFmtId="0" fontId="68" fillId="0" borderId="0" xfId="0" applyFont="1" applyAlignment="1">
      <alignment vertical="center"/>
    </xf>
    <xf numFmtId="0" fontId="68" fillId="0" borderId="0" xfId="0" applyFont="1" applyAlignment="1">
      <alignment wrapText="1"/>
    </xf>
    <xf numFmtId="0" fontId="68" fillId="0" borderId="0" xfId="0" applyFont="1" applyAlignment="1">
      <alignment vertical="center" wrapText="1"/>
    </xf>
    <xf numFmtId="168" fontId="67" fillId="0" borderId="0" xfId="0" applyNumberFormat="1" applyFont="1"/>
    <xf numFmtId="169" fontId="67" fillId="0" borderId="0" xfId="0" applyNumberFormat="1" applyFont="1"/>
    <xf numFmtId="0" fontId="68" fillId="5" borderId="0" xfId="0" applyFont="1" applyFill="1" applyAlignment="1">
      <alignment horizontal="center"/>
    </xf>
    <xf numFmtId="187" fontId="0" fillId="0" borderId="167" xfId="0" applyNumberFormat="1" applyBorder="1"/>
    <xf numFmtId="9" fontId="0" fillId="0" borderId="167" xfId="0" applyNumberFormat="1" applyBorder="1"/>
    <xf numFmtId="168" fontId="0" fillId="5" borderId="142" xfId="0" applyNumberFormat="1" applyFill="1" applyBorder="1"/>
    <xf numFmtId="0" fontId="0" fillId="0" borderId="5" xfId="0" applyBorder="1"/>
    <xf numFmtId="0" fontId="0" fillId="0" borderId="17" xfId="0" applyBorder="1"/>
    <xf numFmtId="168" fontId="0" fillId="0" borderId="27" xfId="0" applyNumberFormat="1" applyBorder="1"/>
    <xf numFmtId="168" fontId="0" fillId="0" borderId="6" xfId="0" quotePrefix="1" applyNumberFormat="1" applyBorder="1"/>
    <xf numFmtId="10" fontId="0" fillId="0" borderId="12" xfId="0" applyNumberFormat="1" applyBorder="1"/>
    <xf numFmtId="10" fontId="0" fillId="0" borderId="6" xfId="0" applyNumberFormat="1" applyBorder="1"/>
    <xf numFmtId="10" fontId="0" fillId="0" borderId="7" xfId="0" applyNumberFormat="1" applyBorder="1"/>
    <xf numFmtId="186" fontId="0" fillId="0" borderId="0" xfId="0" applyNumberFormat="1"/>
    <xf numFmtId="168" fontId="11" fillId="0" borderId="5" xfId="0" applyNumberFormat="1" applyFont="1" applyBorder="1"/>
    <xf numFmtId="169" fontId="0" fillId="5" borderId="18" xfId="0" applyNumberFormat="1" applyFill="1" applyBorder="1"/>
    <xf numFmtId="0" fontId="51" fillId="0" borderId="12" xfId="0" applyFont="1" applyBorder="1" applyAlignment="1">
      <alignment vertical="top"/>
    </xf>
    <xf numFmtId="168" fontId="0" fillId="0" borderId="162" xfId="0" applyNumberFormat="1" applyBorder="1"/>
    <xf numFmtId="0" fontId="69" fillId="0" borderId="0" xfId="0" applyFont="1"/>
    <xf numFmtId="0" fontId="51" fillId="0" borderId="110" xfId="0" applyFont="1" applyBorder="1"/>
    <xf numFmtId="168" fontId="52" fillId="6" borderId="113" xfId="0" applyNumberFormat="1" applyFont="1" applyFill="1" applyBorder="1"/>
    <xf numFmtId="168" fontId="52" fillId="36" borderId="147" xfId="0" applyNumberFormat="1" applyFont="1" applyFill="1" applyBorder="1"/>
    <xf numFmtId="168" fontId="51" fillId="0" borderId="107" xfId="0" applyNumberFormat="1" applyFont="1" applyBorder="1"/>
    <xf numFmtId="168" fontId="52" fillId="36" borderId="108" xfId="0" applyNumberFormat="1" applyFont="1" applyFill="1" applyBorder="1"/>
    <xf numFmtId="168" fontId="51" fillId="0" borderId="107" xfId="0" applyNumberFormat="1" applyFont="1" applyBorder="1" applyAlignment="1">
      <alignment vertical="top"/>
    </xf>
    <xf numFmtId="168" fontId="51" fillId="0" borderId="101" xfId="0" applyNumberFormat="1" applyFont="1" applyBorder="1" applyAlignment="1">
      <alignment vertical="top"/>
    </xf>
    <xf numFmtId="173" fontId="0" fillId="5" borderId="0" xfId="0" applyNumberFormat="1" applyFill="1"/>
    <xf numFmtId="0" fontId="3" fillId="17" borderId="0" xfId="0" applyFont="1" applyFill="1" applyAlignment="1">
      <alignment horizontal="center" vertical="center"/>
    </xf>
    <xf numFmtId="168" fontId="24" fillId="0" borderId="0" xfId="0" applyNumberFormat="1" applyFont="1"/>
    <xf numFmtId="168" fontId="0" fillId="0" borderId="190" xfId="0" applyNumberFormat="1" applyBorder="1"/>
    <xf numFmtId="0" fontId="0" fillId="0" borderId="138" xfId="0" applyBorder="1"/>
    <xf numFmtId="0" fontId="0" fillId="5" borderId="144" xfId="0" applyFill="1" applyBorder="1"/>
    <xf numFmtId="0" fontId="10" fillId="40" borderId="37" xfId="0" applyFont="1" applyFill="1" applyBorder="1"/>
    <xf numFmtId="0" fontId="46" fillId="40" borderId="38" xfId="0" applyFont="1" applyFill="1" applyBorder="1"/>
    <xf numFmtId="0" fontId="31" fillId="40" borderId="56" xfId="0" applyFont="1" applyFill="1" applyBorder="1" applyAlignment="1">
      <alignment horizontal="center" vertical="center" wrapText="1"/>
    </xf>
    <xf numFmtId="168" fontId="46" fillId="40" borderId="33" xfId="0" applyNumberFormat="1" applyFont="1" applyFill="1" applyBorder="1" applyAlignment="1">
      <alignment horizontal="center" vertical="center"/>
    </xf>
    <xf numFmtId="168" fontId="46" fillId="40" borderId="33" xfId="0" applyNumberFormat="1" applyFont="1" applyFill="1" applyBorder="1"/>
    <xf numFmtId="4" fontId="3" fillId="5" borderId="0" xfId="0" applyNumberFormat="1" applyFont="1" applyFill="1"/>
    <xf numFmtId="0" fontId="51" fillId="0" borderId="107" xfId="0" applyFont="1" applyBorder="1" applyAlignment="1">
      <alignment vertical="top"/>
    </xf>
    <xf numFmtId="0" fontId="51" fillId="5" borderId="152" xfId="0" applyFont="1" applyFill="1" applyBorder="1" applyAlignment="1">
      <alignment vertical="top"/>
    </xf>
    <xf numFmtId="0" fontId="70" fillId="0" borderId="20" xfId="0" applyFont="1" applyBorder="1"/>
    <xf numFmtId="0" fontId="0" fillId="0" borderId="129" xfId="0" applyBorder="1"/>
    <xf numFmtId="0" fontId="45" fillId="0" borderId="37" xfId="0" quotePrefix="1" applyFont="1" applyBorder="1" applyAlignment="1">
      <alignment vertical="top" wrapText="1"/>
    </xf>
    <xf numFmtId="0" fontId="45" fillId="0" borderId="0" xfId="0" quotePrefix="1" applyFont="1" applyAlignment="1">
      <alignment vertical="top" wrapText="1"/>
    </xf>
    <xf numFmtId="0" fontId="45" fillId="0" borderId="38" xfId="0" quotePrefix="1" applyFont="1" applyBorder="1" applyAlignment="1">
      <alignment vertical="top" wrapText="1"/>
    </xf>
    <xf numFmtId="0" fontId="45" fillId="0" borderId="31" xfId="0" quotePrefix="1" applyFont="1" applyBorder="1" applyAlignment="1">
      <alignment vertical="top" wrapText="1"/>
    </xf>
    <xf numFmtId="0" fontId="45" fillId="0" borderId="44" xfId="0" quotePrefix="1" applyFont="1" applyBorder="1" applyAlignment="1">
      <alignment vertical="top" wrapText="1"/>
    </xf>
    <xf numFmtId="0" fontId="45" fillId="0" borderId="32" xfId="0" quotePrefix="1" applyFont="1" applyBorder="1" applyAlignment="1">
      <alignment vertical="top" wrapText="1"/>
    </xf>
    <xf numFmtId="43" fontId="0" fillId="0" borderId="0" xfId="0" applyNumberFormat="1"/>
    <xf numFmtId="0" fontId="3" fillId="0" borderId="20" xfId="0" applyFont="1" applyBorder="1" applyAlignment="1">
      <alignment vertical="center"/>
    </xf>
    <xf numFmtId="0" fontId="3" fillId="27" borderId="1" xfId="0" applyFont="1" applyFill="1" applyBorder="1" applyAlignment="1">
      <alignment horizontal="center" vertical="center"/>
    </xf>
    <xf numFmtId="0" fontId="3" fillId="27" borderId="14" xfId="0" applyFont="1" applyFill="1" applyBorder="1" applyAlignment="1">
      <alignment horizontal="center" vertical="center"/>
    </xf>
    <xf numFmtId="0" fontId="3" fillId="27" borderId="194" xfId="0" applyFont="1" applyFill="1" applyBorder="1" applyAlignment="1">
      <alignment horizontal="center" vertical="center"/>
    </xf>
    <xf numFmtId="0" fontId="3" fillId="82" borderId="195" xfId="0" applyFont="1" applyFill="1" applyBorder="1" applyAlignment="1">
      <alignment horizontal="center" vertical="center"/>
    </xf>
    <xf numFmtId="0" fontId="3" fillId="82" borderId="1" xfId="0" applyFont="1" applyFill="1" applyBorder="1" applyAlignment="1">
      <alignment horizontal="center" vertical="center"/>
    </xf>
    <xf numFmtId="0" fontId="3" fillId="82" borderId="14" xfId="0" applyFont="1" applyFill="1" applyBorder="1" applyAlignment="1">
      <alignment horizontal="center" vertical="center"/>
    </xf>
    <xf numFmtId="0" fontId="3" fillId="0" borderId="1" xfId="0" applyFont="1" applyBorder="1"/>
    <xf numFmtId="168" fontId="72" fillId="0" borderId="1" xfId="0" applyNumberFormat="1" applyFont="1" applyBorder="1"/>
    <xf numFmtId="168" fontId="29" fillId="0" borderId="14" xfId="0" applyNumberFormat="1" applyFont="1" applyBorder="1"/>
    <xf numFmtId="0" fontId="29" fillId="0" borderId="1" xfId="0" applyFont="1" applyBorder="1" applyAlignment="1">
      <alignment horizontal="center"/>
    </xf>
    <xf numFmtId="0" fontId="29" fillId="0" borderId="194" xfId="0" applyFont="1" applyBorder="1" applyAlignment="1">
      <alignment horizontal="center"/>
    </xf>
    <xf numFmtId="168" fontId="72" fillId="0" borderId="195" xfId="0" applyNumberFormat="1" applyFont="1" applyBorder="1"/>
    <xf numFmtId="168" fontId="73" fillId="0" borderId="196" xfId="0" applyNumberFormat="1" applyFont="1" applyBorder="1" applyAlignment="1">
      <alignment vertical="center"/>
    </xf>
    <xf numFmtId="168" fontId="74" fillId="0" borderId="197" xfId="0" applyNumberFormat="1" applyFont="1" applyBorder="1" applyAlignment="1">
      <alignment vertical="center"/>
    </xf>
    <xf numFmtId="0" fontId="74" fillId="0" borderId="196" xfId="0" applyFont="1" applyBorder="1" applyAlignment="1">
      <alignment horizontal="center" vertical="center"/>
    </xf>
    <xf numFmtId="0" fontId="74" fillId="0" borderId="198" xfId="0" applyFont="1" applyBorder="1" applyAlignment="1">
      <alignment horizontal="center" vertical="center"/>
    </xf>
    <xf numFmtId="168" fontId="73" fillId="0" borderId="199" xfId="0" applyNumberFormat="1" applyFont="1" applyBorder="1" applyAlignment="1">
      <alignment vertical="center"/>
    </xf>
    <xf numFmtId="168" fontId="73" fillId="0" borderId="200" xfId="0" applyNumberFormat="1" applyFont="1" applyBorder="1" applyAlignment="1">
      <alignment vertical="center"/>
    </xf>
    <xf numFmtId="168" fontId="74" fillId="0" borderId="201" xfId="0" applyNumberFormat="1" applyFont="1" applyBorder="1" applyAlignment="1">
      <alignment vertical="center"/>
    </xf>
    <xf numFmtId="0" fontId="74" fillId="0" borderId="200" xfId="0" applyFont="1" applyBorder="1" applyAlignment="1">
      <alignment horizontal="center" vertical="center"/>
    </xf>
    <xf numFmtId="0" fontId="74" fillId="0" borderId="202" xfId="0" applyFont="1" applyBorder="1" applyAlignment="1">
      <alignment horizontal="center" vertical="center"/>
    </xf>
    <xf numFmtId="168" fontId="73" fillId="0" borderId="203" xfId="0" applyNumberFormat="1" applyFont="1" applyBorder="1" applyAlignment="1">
      <alignment vertical="center"/>
    </xf>
    <xf numFmtId="168" fontId="73" fillId="0" borderId="20" xfId="0" applyNumberFormat="1" applyFont="1" applyBorder="1" applyAlignment="1">
      <alignment vertical="center"/>
    </xf>
    <xf numFmtId="168" fontId="74" fillId="0" borderId="25" xfId="0" applyNumberFormat="1" applyFont="1" applyBorder="1" applyAlignment="1">
      <alignment vertical="center"/>
    </xf>
    <xf numFmtId="0" fontId="74" fillId="0" borderId="20" xfId="0" applyFont="1" applyBorder="1" applyAlignment="1">
      <alignment horizontal="center" vertical="center"/>
    </xf>
    <xf numFmtId="0" fontId="74" fillId="0" borderId="204" xfId="0" applyFont="1" applyBorder="1" applyAlignment="1">
      <alignment horizontal="center" vertical="center"/>
    </xf>
    <xf numFmtId="168" fontId="73" fillId="0" borderId="205" xfId="0" applyNumberFormat="1" applyFont="1" applyBorder="1" applyAlignment="1">
      <alignment vertical="center"/>
    </xf>
    <xf numFmtId="168" fontId="75" fillId="0" borderId="0" xfId="0" applyNumberFormat="1" applyFont="1"/>
    <xf numFmtId="168" fontId="75" fillId="0" borderId="206" xfId="0" applyNumberFormat="1" applyFont="1" applyBorder="1"/>
    <xf numFmtId="168" fontId="11" fillId="0" borderId="207" xfId="0" applyNumberFormat="1" applyFont="1" applyBorder="1"/>
    <xf numFmtId="0" fontId="73" fillId="0" borderId="196" xfId="0" applyFont="1" applyBorder="1" applyAlignment="1">
      <alignment vertical="center"/>
    </xf>
    <xf numFmtId="168" fontId="73" fillId="0" borderId="208" xfId="0" applyNumberFormat="1" applyFont="1" applyBorder="1" applyAlignment="1">
      <alignment vertical="center"/>
    </xf>
    <xf numFmtId="168" fontId="74" fillId="0" borderId="209" xfId="0" applyNumberFormat="1" applyFont="1" applyBorder="1" applyAlignment="1">
      <alignment vertical="center"/>
    </xf>
    <xf numFmtId="0" fontId="74" fillId="0" borderId="208" xfId="0" applyFont="1" applyBorder="1" applyAlignment="1">
      <alignment horizontal="center" vertical="center"/>
    </xf>
    <xf numFmtId="0" fontId="74" fillId="0" borderId="210" xfId="0" applyFont="1" applyBorder="1" applyAlignment="1">
      <alignment horizontal="center" vertical="center"/>
    </xf>
    <xf numFmtId="168" fontId="73" fillId="0" borderId="211" xfId="0" applyNumberFormat="1" applyFont="1" applyBorder="1" applyAlignment="1">
      <alignment vertical="center"/>
    </xf>
    <xf numFmtId="168" fontId="73" fillId="0" borderId="212" xfId="0" applyNumberFormat="1" applyFont="1" applyBorder="1" applyAlignment="1">
      <alignment vertical="center"/>
    </xf>
    <xf numFmtId="168" fontId="74" fillId="0" borderId="213" xfId="0" applyNumberFormat="1" applyFont="1" applyBorder="1" applyAlignment="1">
      <alignment vertical="center"/>
    </xf>
    <xf numFmtId="0" fontId="74" fillId="0" borderId="212" xfId="0" applyFont="1" applyBorder="1" applyAlignment="1">
      <alignment horizontal="center" vertical="center"/>
    </xf>
    <xf numFmtId="0" fontId="74" fillId="0" borderId="214" xfId="0" applyFont="1" applyBorder="1" applyAlignment="1">
      <alignment horizontal="center" vertical="center"/>
    </xf>
    <xf numFmtId="168" fontId="73" fillId="0" borderId="215" xfId="0" applyNumberFormat="1" applyFont="1" applyBorder="1" applyAlignment="1">
      <alignment vertical="center"/>
    </xf>
    <xf numFmtId="0" fontId="11" fillId="0" borderId="196" xfId="0" applyFont="1" applyBorder="1" applyAlignment="1">
      <alignment horizontal="left" vertical="center" indent="3"/>
    </xf>
    <xf numFmtId="0" fontId="11" fillId="0" borderId="200" xfId="0" applyFont="1" applyBorder="1" applyAlignment="1">
      <alignment horizontal="left" vertical="center" indent="3"/>
    </xf>
    <xf numFmtId="0" fontId="11" fillId="0" borderId="20" xfId="0" applyFont="1" applyBorder="1" applyAlignment="1">
      <alignment horizontal="left" vertical="center" indent="3"/>
    </xf>
    <xf numFmtId="0" fontId="11" fillId="0" borderId="0" xfId="0" applyFont="1" applyAlignment="1">
      <alignment horizontal="center"/>
    </xf>
    <xf numFmtId="0" fontId="11" fillId="0" borderId="1" xfId="0" applyFont="1" applyBorder="1" applyAlignment="1">
      <alignment horizontal="center"/>
    </xf>
    <xf numFmtId="168" fontId="78" fillId="0" borderId="0" xfId="0" applyNumberFormat="1" applyFont="1"/>
    <xf numFmtId="168" fontId="30" fillId="0" borderId="0" xfId="0" applyNumberFormat="1" applyFont="1"/>
    <xf numFmtId="0" fontId="2" fillId="83" borderId="6" xfId="0" applyFont="1" applyFill="1" applyBorder="1" applyAlignment="1">
      <alignment horizontal="center" vertical="center"/>
    </xf>
    <xf numFmtId="168" fontId="74" fillId="0" borderId="6" xfId="0" applyNumberFormat="1" applyFont="1" applyBorder="1" applyAlignment="1">
      <alignment vertical="center"/>
    </xf>
    <xf numFmtId="168" fontId="74" fillId="0" borderId="9" xfId="0" applyNumberFormat="1" applyFont="1" applyBorder="1" applyAlignment="1">
      <alignment vertical="center"/>
    </xf>
    <xf numFmtId="0" fontId="2" fillId="83" borderId="4" xfId="0" applyFont="1" applyFill="1" applyBorder="1" applyAlignment="1">
      <alignment horizontal="center" vertical="center"/>
    </xf>
    <xf numFmtId="0" fontId="2" fillId="83" borderId="7" xfId="0" applyFont="1" applyFill="1" applyBorder="1" applyAlignment="1">
      <alignment horizontal="center" vertical="center"/>
    </xf>
    <xf numFmtId="0" fontId="76" fillId="0" borderId="7" xfId="0" applyFont="1" applyBorder="1" applyAlignment="1">
      <alignment horizontal="center" vertical="center"/>
    </xf>
    <xf numFmtId="0" fontId="76" fillId="0" borderId="10" xfId="0" applyFont="1" applyBorder="1" applyAlignment="1">
      <alignment horizontal="center" vertical="center"/>
    </xf>
    <xf numFmtId="0" fontId="46" fillId="12" borderId="27" xfId="0" applyFont="1" applyFill="1" applyBorder="1"/>
    <xf numFmtId="0" fontId="46" fillId="12" borderId="28" xfId="0" applyFont="1" applyFill="1" applyBorder="1"/>
    <xf numFmtId="0" fontId="77" fillId="18" borderId="26" xfId="0" applyFont="1" applyFill="1" applyBorder="1"/>
    <xf numFmtId="168" fontId="31" fillId="18" borderId="12" xfId="0" applyNumberFormat="1" applyFont="1" applyFill="1" applyBorder="1"/>
    <xf numFmtId="168" fontId="31" fillId="18" borderId="6" xfId="0" applyNumberFormat="1" applyFont="1" applyFill="1" applyBorder="1"/>
    <xf numFmtId="0" fontId="48" fillId="18" borderId="6" xfId="0" applyFont="1" applyFill="1" applyBorder="1"/>
    <xf numFmtId="0" fontId="76" fillId="18" borderId="7" xfId="0" applyFont="1" applyFill="1" applyBorder="1" applyAlignment="1">
      <alignment horizontal="center" vertical="center"/>
    </xf>
    <xf numFmtId="0" fontId="77" fillId="18" borderId="1" xfId="0" applyFont="1" applyFill="1" applyBorder="1"/>
    <xf numFmtId="168" fontId="31" fillId="18" borderId="1" xfId="0" applyNumberFormat="1" applyFont="1" applyFill="1" applyBorder="1"/>
    <xf numFmtId="168" fontId="74" fillId="0" borderId="196" xfId="0" applyNumberFormat="1" applyFont="1" applyBorder="1" applyAlignment="1">
      <alignment vertical="center"/>
    </xf>
    <xf numFmtId="168" fontId="74" fillId="0" borderId="208" xfId="0" applyNumberFormat="1" applyFont="1" applyBorder="1" applyAlignment="1">
      <alignment vertical="center"/>
    </xf>
    <xf numFmtId="168" fontId="74" fillId="0" borderId="212" xfId="0" applyNumberFormat="1" applyFont="1" applyBorder="1" applyAlignment="1">
      <alignment vertical="center"/>
    </xf>
    <xf numFmtId="168" fontId="74" fillId="0" borderId="12" xfId="0" applyNumberFormat="1" applyFont="1" applyBorder="1" applyAlignment="1">
      <alignment vertical="center"/>
    </xf>
    <xf numFmtId="168" fontId="74" fillId="0" borderId="13" xfId="0" applyNumberFormat="1" applyFont="1" applyBorder="1" applyAlignment="1">
      <alignment vertical="center"/>
    </xf>
    <xf numFmtId="168" fontId="74" fillId="0" borderId="199" xfId="0" applyNumberFormat="1" applyFont="1" applyBorder="1" applyAlignment="1">
      <alignment vertical="center"/>
    </xf>
    <xf numFmtId="168" fontId="74" fillId="0" borderId="211" xfId="0" applyNumberFormat="1" applyFont="1" applyBorder="1" applyAlignment="1">
      <alignment vertical="center"/>
    </xf>
    <xf numFmtId="168" fontId="74" fillId="0" borderId="215" xfId="0" applyNumberFormat="1" applyFont="1" applyBorder="1" applyAlignment="1">
      <alignment vertical="center"/>
    </xf>
    <xf numFmtId="0" fontId="46" fillId="12" borderId="218" xfId="0" applyFont="1" applyFill="1" applyBorder="1"/>
    <xf numFmtId="10" fontId="8" fillId="0" borderId="0" xfId="0" applyNumberFormat="1" applyFont="1"/>
    <xf numFmtId="0" fontId="2" fillId="51" borderId="6" xfId="0" applyFont="1" applyFill="1" applyBorder="1" applyAlignment="1">
      <alignment horizontal="center" vertical="center"/>
    </xf>
    <xf numFmtId="0" fontId="0" fillId="29" borderId="45" xfId="0" applyFill="1" applyBorder="1"/>
    <xf numFmtId="168" fontId="49" fillId="36" borderId="39" xfId="0" applyNumberFormat="1" applyFont="1" applyFill="1" applyBorder="1"/>
    <xf numFmtId="168" fontId="51" fillId="0" borderId="99" xfId="0" applyNumberFormat="1" applyFont="1" applyBorder="1" applyAlignment="1">
      <alignment vertical="top"/>
    </xf>
    <xf numFmtId="0" fontId="31" fillId="40" borderId="39" xfId="0" applyFont="1" applyFill="1" applyBorder="1" applyAlignment="1">
      <alignment horizontal="center" vertical="center"/>
    </xf>
    <xf numFmtId="10" fontId="51" fillId="0" borderId="111" xfId="0" applyNumberFormat="1" applyFont="1" applyBorder="1"/>
    <xf numFmtId="174" fontId="80" fillId="34" borderId="221" xfId="0" applyNumberFormat="1" applyFont="1" applyFill="1" applyBorder="1" applyAlignment="1">
      <alignment horizontal="center"/>
    </xf>
    <xf numFmtId="43" fontId="0" fillId="5" borderId="0" xfId="0" applyNumberFormat="1" applyFill="1"/>
    <xf numFmtId="168" fontId="52" fillId="0" borderId="100" xfId="0" applyNumberFormat="1" applyFont="1" applyBorder="1"/>
    <xf numFmtId="0" fontId="30" fillId="0" borderId="7" xfId="0" applyFont="1" applyBorder="1" applyAlignment="1">
      <alignment vertical="top"/>
    </xf>
    <xf numFmtId="0" fontId="4" fillId="0" borderId="0" xfId="0" applyFont="1" applyAlignment="1">
      <alignment horizontal="center" vertical="center" textRotation="180"/>
    </xf>
    <xf numFmtId="0" fontId="9" fillId="0" borderId="0" xfId="0" applyFont="1" applyAlignment="1">
      <alignment horizontal="center" vertical="top"/>
    </xf>
    <xf numFmtId="0" fontId="10" fillId="29" borderId="37" xfId="0" applyFont="1" applyFill="1" applyBorder="1"/>
    <xf numFmtId="0" fontId="10" fillId="29" borderId="38" xfId="0" applyFont="1" applyFill="1" applyBorder="1"/>
    <xf numFmtId="0" fontId="46" fillId="29" borderId="38" xfId="0" applyFont="1" applyFill="1" applyBorder="1"/>
    <xf numFmtId="0" fontId="46" fillId="29" borderId="37" xfId="0" applyFont="1" applyFill="1" applyBorder="1"/>
    <xf numFmtId="168" fontId="49" fillId="16" borderId="39" xfId="0" applyNumberFormat="1" applyFont="1" applyFill="1" applyBorder="1"/>
    <xf numFmtId="168" fontId="49" fillId="16" borderId="33" xfId="0" applyNumberFormat="1" applyFont="1" applyFill="1" applyBorder="1"/>
    <xf numFmtId="0" fontId="49" fillId="16" borderId="33" xfId="0" applyFont="1" applyFill="1" applyBorder="1"/>
    <xf numFmtId="0" fontId="29" fillId="0" borderId="0" xfId="0" applyFont="1"/>
    <xf numFmtId="168" fontId="29" fillId="32" borderId="0" xfId="0" applyNumberFormat="1" applyFont="1" applyFill="1"/>
    <xf numFmtId="168" fontId="11" fillId="32" borderId="0" xfId="0" applyNumberFormat="1" applyFont="1" applyFill="1"/>
    <xf numFmtId="0" fontId="11" fillId="32" borderId="0" xfId="0" applyFont="1" applyFill="1"/>
    <xf numFmtId="1" fontId="11" fillId="0" borderId="0" xfId="0" applyNumberFormat="1" applyFont="1"/>
    <xf numFmtId="164" fontId="0" fillId="0" borderId="0" xfId="0" applyNumberFormat="1"/>
    <xf numFmtId="0" fontId="0" fillId="0" borderId="216" xfId="0" applyBorder="1"/>
    <xf numFmtId="0" fontId="0" fillId="0" borderId="89" xfId="0" applyBorder="1"/>
    <xf numFmtId="0" fontId="0" fillId="0" borderId="141" xfId="0" applyBorder="1"/>
    <xf numFmtId="0" fontId="26" fillId="84" borderId="0" xfId="0" applyFont="1" applyFill="1"/>
    <xf numFmtId="0" fontId="46" fillId="23" borderId="28" xfId="0" applyFont="1" applyFill="1" applyBorder="1"/>
    <xf numFmtId="0" fontId="0" fillId="23" borderId="0" xfId="0" applyFill="1"/>
    <xf numFmtId="0" fontId="46" fillId="23" borderId="47" xfId="0" applyFont="1" applyFill="1" applyBorder="1"/>
    <xf numFmtId="0" fontId="46" fillId="23" borderId="0" xfId="0" applyFont="1" applyFill="1"/>
    <xf numFmtId="0" fontId="30" fillId="23" borderId="43" xfId="0" applyFont="1" applyFill="1" applyBorder="1"/>
    <xf numFmtId="0" fontId="30" fillId="23" borderId="30" xfId="0" applyFont="1" applyFill="1" applyBorder="1"/>
    <xf numFmtId="168" fontId="0" fillId="5" borderId="190" xfId="0" applyNumberFormat="1" applyFill="1" applyBorder="1"/>
    <xf numFmtId="0" fontId="3" fillId="0" borderId="1"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79" xfId="0" applyFont="1" applyBorder="1" applyAlignment="1">
      <alignment horizontal="center" vertical="center"/>
    </xf>
    <xf numFmtId="0" fontId="3" fillId="32" borderId="1" xfId="0" applyFont="1" applyFill="1" applyBorder="1" applyAlignment="1">
      <alignment horizontal="center" vertical="center"/>
    </xf>
    <xf numFmtId="0" fontId="3" fillId="32" borderId="15" xfId="0" applyFont="1" applyFill="1" applyBorder="1" applyAlignment="1">
      <alignment horizontal="center" vertical="center"/>
    </xf>
    <xf numFmtId="0" fontId="43" fillId="0" borderId="0" xfId="0" applyFont="1"/>
    <xf numFmtId="0" fontId="0" fillId="0" borderId="78" xfId="0" applyBorder="1"/>
    <xf numFmtId="0" fontId="3" fillId="0" borderId="0" xfId="0" applyFont="1" applyAlignment="1">
      <alignment horizontal="center" vertical="center" wrapText="1"/>
    </xf>
    <xf numFmtId="0" fontId="3" fillId="41" borderId="1" xfId="0" applyFont="1" applyFill="1" applyBorder="1" applyAlignment="1">
      <alignment horizontal="center" vertical="center"/>
    </xf>
    <xf numFmtId="0" fontId="3" fillId="41" borderId="1" xfId="0" applyFont="1" applyFill="1" applyBorder="1" applyAlignment="1">
      <alignment vertical="center" wrapText="1"/>
    </xf>
    <xf numFmtId="0" fontId="3" fillId="11" borderId="222" xfId="0" applyFont="1" applyFill="1" applyBorder="1" applyAlignment="1">
      <alignment horizontal="center" vertical="center"/>
    </xf>
    <xf numFmtId="168" fontId="3" fillId="0" borderId="20" xfId="0" applyNumberFormat="1" applyFont="1" applyBorder="1" applyAlignment="1">
      <alignment horizontal="center" vertical="center"/>
    </xf>
    <xf numFmtId="0" fontId="3" fillId="0" borderId="20" xfId="0" applyFont="1" applyBorder="1" applyAlignment="1">
      <alignment horizontal="center" vertical="center" wrapText="1"/>
    </xf>
    <xf numFmtId="0" fontId="3" fillId="0" borderId="0" xfId="0" applyFont="1" applyAlignment="1">
      <alignment vertical="center" wrapText="1"/>
    </xf>
    <xf numFmtId="0" fontId="0" fillId="0" borderId="15" xfId="0" applyBorder="1" applyAlignment="1">
      <alignment horizontal="center" vertical="center"/>
    </xf>
    <xf numFmtId="0" fontId="0" fillId="23" borderId="78" xfId="0" applyFill="1" applyBorder="1" applyAlignment="1">
      <alignment horizontal="center"/>
    </xf>
    <xf numFmtId="168" fontId="0" fillId="0" borderId="142" xfId="0" applyNumberFormat="1" applyBorder="1"/>
    <xf numFmtId="0" fontId="0" fillId="0" borderId="145" xfId="0" applyBorder="1"/>
    <xf numFmtId="0" fontId="0" fillId="0" borderId="140" xfId="0" applyBorder="1" applyAlignment="1">
      <alignment horizontal="center"/>
    </xf>
    <xf numFmtId="2" fontId="0" fillId="0" borderId="140" xfId="0" applyNumberFormat="1" applyBorder="1" applyAlignment="1">
      <alignment horizontal="center"/>
    </xf>
    <xf numFmtId="168" fontId="0" fillId="5" borderId="145" xfId="0" applyNumberFormat="1" applyFill="1" applyBorder="1" applyAlignment="1">
      <alignment horizontal="center"/>
    </xf>
    <xf numFmtId="0" fontId="0" fillId="5" borderId="3" xfId="0" applyFill="1" applyBorder="1" applyAlignment="1">
      <alignment horizontal="center"/>
    </xf>
    <xf numFmtId="0" fontId="0" fillId="5" borderId="140" xfId="0" applyFill="1" applyBorder="1" applyAlignment="1">
      <alignment horizontal="center"/>
    </xf>
    <xf numFmtId="0" fontId="0" fillId="0" borderId="226" xfId="0" applyBorder="1"/>
    <xf numFmtId="168" fontId="0" fillId="5" borderId="227" xfId="0" applyNumberFormat="1" applyFill="1" applyBorder="1"/>
    <xf numFmtId="168" fontId="0" fillId="0" borderId="223" xfId="0" applyNumberFormat="1" applyBorder="1"/>
    <xf numFmtId="168" fontId="0" fillId="0" borderId="223" xfId="0" applyNumberFormat="1" applyBorder="1" applyAlignment="1">
      <alignment horizontal="center"/>
    </xf>
    <xf numFmtId="164" fontId="0" fillId="0" borderId="26" xfId="0" applyNumberFormat="1" applyBorder="1" applyAlignment="1">
      <alignment horizontal="center"/>
    </xf>
    <xf numFmtId="168" fontId="0" fillId="5" borderId="26" xfId="0" applyNumberFormat="1" applyFill="1" applyBorder="1"/>
    <xf numFmtId="0" fontId="0" fillId="0" borderId="4" xfId="0" applyBorder="1"/>
    <xf numFmtId="0" fontId="0" fillId="5" borderId="26" xfId="0" applyFill="1" applyBorder="1" applyAlignment="1">
      <alignment horizontal="center" vertical="center"/>
    </xf>
    <xf numFmtId="168" fontId="0" fillId="0" borderId="177" xfId="0" applyNumberFormat="1" applyBorder="1"/>
    <xf numFmtId="43" fontId="0" fillId="5" borderId="2" xfId="0" applyNumberFormat="1" applyFill="1" applyBorder="1"/>
    <xf numFmtId="168" fontId="3" fillId="23" borderId="0" xfId="0" applyNumberFormat="1" applyFont="1" applyFill="1"/>
    <xf numFmtId="0" fontId="0" fillId="0" borderId="6" xfId="0" applyBorder="1" applyAlignment="1">
      <alignment horizontal="center"/>
    </xf>
    <xf numFmtId="2" fontId="0" fillId="0" borderId="6" xfId="0" applyNumberFormat="1" applyBorder="1" applyAlignment="1">
      <alignment horizontal="center"/>
    </xf>
    <xf numFmtId="168" fontId="0" fillId="5" borderId="12" xfId="0" applyNumberFormat="1" applyFill="1" applyBorder="1" applyAlignment="1">
      <alignment horizontal="center"/>
    </xf>
    <xf numFmtId="168" fontId="0" fillId="0" borderId="229" xfId="0" applyNumberFormat="1" applyBorder="1"/>
    <xf numFmtId="168" fontId="0" fillId="5" borderId="230" xfId="0" applyNumberFormat="1" applyFill="1" applyBorder="1"/>
    <xf numFmtId="168" fontId="0" fillId="0" borderId="27" xfId="0" applyNumberFormat="1" applyBorder="1" applyAlignment="1">
      <alignment horizontal="center"/>
    </xf>
    <xf numFmtId="164" fontId="0" fillId="0" borderId="27" xfId="0" applyNumberFormat="1" applyBorder="1" applyAlignment="1">
      <alignment horizontal="center"/>
    </xf>
    <xf numFmtId="0" fontId="0" fillId="5" borderId="27" xfId="0" applyFill="1" applyBorder="1" applyAlignment="1">
      <alignment horizontal="center" vertical="center"/>
    </xf>
    <xf numFmtId="168" fontId="0" fillId="0" borderId="138" xfId="0" applyNumberFormat="1" applyBorder="1"/>
    <xf numFmtId="168" fontId="0" fillId="0" borderId="76" xfId="0" applyNumberFormat="1" applyBorder="1"/>
    <xf numFmtId="0" fontId="0" fillId="5" borderId="223" xfId="0" applyFill="1" applyBorder="1" applyAlignment="1">
      <alignment horizontal="center" vertical="center"/>
    </xf>
    <xf numFmtId="0" fontId="0" fillId="0" borderId="0" xfId="0" quotePrefix="1" applyAlignment="1">
      <alignment horizontal="right" vertical="center" wrapText="1"/>
    </xf>
    <xf numFmtId="0" fontId="0" fillId="0" borderId="0" xfId="0" quotePrefix="1"/>
    <xf numFmtId="168" fontId="0" fillId="5" borderId="223" xfId="0" applyNumberFormat="1" applyFill="1" applyBorder="1"/>
    <xf numFmtId="0" fontId="0" fillId="0" borderId="0" xfId="0" applyAlignment="1">
      <alignment vertical="center" wrapText="1"/>
    </xf>
    <xf numFmtId="168" fontId="11" fillId="0" borderId="27" xfId="0" applyNumberFormat="1" applyFont="1" applyBorder="1"/>
    <xf numFmtId="0" fontId="0" fillId="0" borderId="0" xfId="0" quotePrefix="1" applyAlignment="1">
      <alignment vertical="center" wrapText="1"/>
    </xf>
    <xf numFmtId="165" fontId="0" fillId="0" borderId="7" xfId="0" applyNumberFormat="1" applyBorder="1"/>
    <xf numFmtId="0" fontId="69" fillId="0" borderId="27" xfId="0" applyFont="1" applyBorder="1"/>
    <xf numFmtId="0" fontId="69" fillId="0" borderId="143" xfId="0" applyFont="1" applyBorder="1"/>
    <xf numFmtId="0" fontId="0" fillId="23" borderId="144" xfId="0" applyFill="1" applyBorder="1"/>
    <xf numFmtId="168" fontId="0" fillId="5" borderId="20" xfId="0" applyNumberFormat="1" applyFill="1" applyBorder="1"/>
    <xf numFmtId="0" fontId="0" fillId="5" borderId="20" xfId="0" applyFill="1" applyBorder="1"/>
    <xf numFmtId="168" fontId="0" fillId="5" borderId="25" xfId="0" applyNumberFormat="1" applyFill="1" applyBorder="1"/>
    <xf numFmtId="168" fontId="0" fillId="0" borderId="232" xfId="0" applyNumberFormat="1" applyBorder="1"/>
    <xf numFmtId="168" fontId="0" fillId="0" borderId="28" xfId="0" applyNumberFormat="1" applyBorder="1"/>
    <xf numFmtId="168" fontId="0" fillId="0" borderId="28" xfId="0" applyNumberFormat="1" applyBorder="1" applyAlignment="1">
      <alignment horizontal="center"/>
    </xf>
    <xf numFmtId="164" fontId="0" fillId="0" borderId="28" xfId="0" applyNumberFormat="1" applyBorder="1" applyAlignment="1">
      <alignment horizontal="center"/>
    </xf>
    <xf numFmtId="168" fontId="0" fillId="5" borderId="233" xfId="0" applyNumberFormat="1" applyFill="1" applyBorder="1"/>
    <xf numFmtId="0" fontId="0" fillId="0" borderId="8" xfId="0" applyBorder="1"/>
    <xf numFmtId="0" fontId="0" fillId="0" borderId="10" xfId="0" applyBorder="1"/>
    <xf numFmtId="2" fontId="0" fillId="0" borderId="143" xfId="0" applyNumberFormat="1" applyBorder="1"/>
    <xf numFmtId="164" fontId="3" fillId="0" borderId="0" xfId="0" applyNumberFormat="1" applyFont="1"/>
    <xf numFmtId="1" fontId="0" fillId="0" borderId="0" xfId="0" applyNumberFormat="1"/>
    <xf numFmtId="168" fontId="3" fillId="0" borderId="0" xfId="0" applyNumberFormat="1" applyFont="1"/>
    <xf numFmtId="0" fontId="3" fillId="84" borderId="0" xfId="0" applyFont="1" applyFill="1"/>
    <xf numFmtId="181" fontId="3" fillId="84" borderId="0" xfId="0" applyNumberFormat="1" applyFont="1" applyFill="1"/>
    <xf numFmtId="0" fontId="3" fillId="10" borderId="0" xfId="0" applyFont="1" applyFill="1"/>
    <xf numFmtId="43" fontId="3" fillId="10" borderId="0" xfId="0" applyNumberFormat="1" applyFont="1" applyFill="1"/>
    <xf numFmtId="168" fontId="25" fillId="0" borderId="0" xfId="0" applyNumberFormat="1" applyFont="1"/>
    <xf numFmtId="188" fontId="0" fillId="0" borderId="0" xfId="0" applyNumberFormat="1"/>
    <xf numFmtId="0" fontId="83" fillId="32" borderId="0" xfId="0" applyFont="1" applyFill="1"/>
    <xf numFmtId="173" fontId="29" fillId="32" borderId="0" xfId="0" applyNumberFormat="1" applyFont="1" applyFill="1"/>
    <xf numFmtId="0" fontId="29" fillId="32" borderId="0" xfId="0" applyFont="1" applyFill="1"/>
    <xf numFmtId="179" fontId="84" fillId="0" borderId="234" xfId="0" applyNumberFormat="1" applyFont="1" applyBorder="1" applyAlignment="1">
      <alignment horizontal="center"/>
    </xf>
    <xf numFmtId="189" fontId="0" fillId="0" borderId="0" xfId="0" applyNumberFormat="1"/>
    <xf numFmtId="0" fontId="0" fillId="32" borderId="0" xfId="0" applyFill="1"/>
    <xf numFmtId="169" fontId="0" fillId="5" borderId="0" xfId="0" applyNumberFormat="1" applyFill="1"/>
    <xf numFmtId="9" fontId="0" fillId="5" borderId="0" xfId="0" applyNumberFormat="1" applyFill="1"/>
    <xf numFmtId="0" fontId="85" fillId="10" borderId="0" xfId="0" applyFont="1" applyFill="1"/>
    <xf numFmtId="0" fontId="26" fillId="10" borderId="0" xfId="0" applyFont="1" applyFill="1"/>
    <xf numFmtId="168" fontId="85" fillId="10" borderId="0" xfId="0" applyNumberFormat="1" applyFont="1" applyFill="1"/>
    <xf numFmtId="168" fontId="3" fillId="5" borderId="162" xfId="0" applyNumberFormat="1" applyFont="1" applyFill="1" applyBorder="1"/>
    <xf numFmtId="187" fontId="0" fillId="5" borderId="0" xfId="0" applyNumberFormat="1" applyFill="1"/>
    <xf numFmtId="169" fontId="3" fillId="5" borderId="0" xfId="0" applyNumberFormat="1" applyFont="1" applyFill="1"/>
    <xf numFmtId="0" fontId="0" fillId="87" borderId="0" xfId="0" applyFill="1"/>
    <xf numFmtId="168" fontId="0" fillId="87" borderId="0" xfId="0" applyNumberFormat="1" applyFill="1"/>
    <xf numFmtId="0" fontId="43" fillId="5" borderId="0" xfId="0" applyFont="1" applyFill="1"/>
    <xf numFmtId="0" fontId="0" fillId="5" borderId="162" xfId="0" applyFill="1" applyBorder="1"/>
    <xf numFmtId="168" fontId="0" fillId="5" borderId="89" xfId="0" applyNumberFormat="1" applyFill="1" applyBorder="1"/>
    <xf numFmtId="168" fontId="0" fillId="0" borderId="0" xfId="0" quotePrefix="1" applyNumberFormat="1"/>
    <xf numFmtId="168" fontId="1" fillId="0" borderId="0" xfId="0" applyNumberFormat="1" applyFont="1"/>
    <xf numFmtId="0" fontId="81" fillId="0" borderId="0" xfId="0" quotePrefix="1" applyFont="1"/>
    <xf numFmtId="173" fontId="0" fillId="85" borderId="0" xfId="0" applyNumberFormat="1" applyFill="1" applyAlignment="1">
      <alignment horizontal="center"/>
    </xf>
    <xf numFmtId="173" fontId="0" fillId="17" borderId="0" xfId="0" applyNumberFormat="1" applyFill="1" applyAlignment="1">
      <alignment horizontal="center"/>
    </xf>
    <xf numFmtId="43" fontId="0" fillId="0" borderId="235" xfId="0" applyNumberFormat="1" applyBorder="1"/>
    <xf numFmtId="3" fontId="0" fillId="0" borderId="9" xfId="0" applyNumberFormat="1" applyBorder="1" applyAlignment="1">
      <alignment horizontal="center"/>
    </xf>
    <xf numFmtId="168" fontId="0" fillId="0" borderId="235" xfId="0" applyNumberFormat="1" applyBorder="1"/>
    <xf numFmtId="164" fontId="0" fillId="5" borderId="10" xfId="0" applyNumberFormat="1" applyFill="1" applyBorder="1" applyAlignment="1">
      <alignment horizontal="left" vertical="center"/>
    </xf>
    <xf numFmtId="0" fontId="0" fillId="5" borderId="28" xfId="0" applyFill="1" applyBorder="1" applyAlignment="1">
      <alignment horizontal="center" vertical="center"/>
    </xf>
    <xf numFmtId="0" fontId="0" fillId="5" borderId="13" xfId="0" applyFill="1" applyBorder="1"/>
    <xf numFmtId="168" fontId="36" fillId="0" borderId="28" xfId="0" applyNumberFormat="1" applyFont="1" applyBorder="1"/>
    <xf numFmtId="43" fontId="0" fillId="0" borderId="3" xfId="0" applyNumberFormat="1" applyBorder="1"/>
    <xf numFmtId="164" fontId="0" fillId="5" borderId="7" xfId="0" applyNumberFormat="1" applyFill="1" applyBorder="1" applyAlignment="1">
      <alignment horizontal="left" vertical="center"/>
    </xf>
    <xf numFmtId="168" fontId="0" fillId="0" borderId="145" xfId="0" applyNumberFormat="1" applyBorder="1"/>
    <xf numFmtId="0" fontId="0" fillId="0" borderId="0" xfId="0" quotePrefix="1" applyAlignment="1">
      <alignment horizontal="left" vertical="center" wrapText="1"/>
    </xf>
    <xf numFmtId="168" fontId="1" fillId="5" borderId="138" xfId="0" applyNumberFormat="1" applyFont="1" applyFill="1" applyBorder="1"/>
    <xf numFmtId="0" fontId="0" fillId="0" borderId="27" xfId="0" applyBorder="1" applyAlignment="1">
      <alignment horizontal="center" vertical="center"/>
    </xf>
    <xf numFmtId="0" fontId="0" fillId="0" borderId="161" xfId="0" applyBorder="1"/>
    <xf numFmtId="0" fontId="0" fillId="0" borderId="144" xfId="0" applyBorder="1"/>
    <xf numFmtId="168" fontId="0" fillId="0" borderId="0" xfId="0" applyNumberFormat="1" applyAlignment="1">
      <alignment vertical="center" wrapText="1"/>
    </xf>
    <xf numFmtId="168" fontId="0" fillId="0" borderId="0" xfId="0" quotePrefix="1" applyNumberFormat="1" applyAlignment="1">
      <alignment vertical="center" wrapText="1"/>
    </xf>
    <xf numFmtId="0" fontId="87" fillId="0" borderId="0" xfId="0" quotePrefix="1" applyFont="1" applyAlignment="1">
      <alignment vertical="center" wrapText="1"/>
    </xf>
    <xf numFmtId="164" fontId="0" fillId="5" borderId="7" xfId="0" applyNumberFormat="1" applyFill="1" applyBorder="1" applyAlignment="1">
      <alignment horizontal="left"/>
    </xf>
    <xf numFmtId="168" fontId="11" fillId="0" borderId="7" xfId="0" applyNumberFormat="1" applyFont="1" applyBorder="1"/>
    <xf numFmtId="0" fontId="88" fillId="0" borderId="0" xfId="0" quotePrefix="1" applyFont="1"/>
    <xf numFmtId="0" fontId="0" fillId="5" borderId="145" xfId="0" applyFill="1" applyBorder="1"/>
    <xf numFmtId="168" fontId="0" fillId="5" borderId="141" xfId="0" applyNumberFormat="1" applyFill="1" applyBorder="1"/>
    <xf numFmtId="168" fontId="24" fillId="0" borderId="5" xfId="0" applyNumberFormat="1" applyFont="1" applyBorder="1"/>
    <xf numFmtId="168" fontId="0" fillId="0" borderId="0" xfId="0" quotePrefix="1" applyNumberFormat="1" applyAlignment="1">
      <alignment horizontal="left" vertical="center" wrapText="1"/>
    </xf>
    <xf numFmtId="0" fontId="0" fillId="5" borderId="161" xfId="0" applyFill="1" applyBorder="1"/>
    <xf numFmtId="173" fontId="1" fillId="5" borderId="12" xfId="0" applyNumberFormat="1" applyFont="1" applyFill="1" applyBorder="1"/>
    <xf numFmtId="173" fontId="11" fillId="0" borderId="24" xfId="0" quotePrefix="1" applyNumberFormat="1" applyFont="1" applyBorder="1" applyAlignment="1">
      <alignment vertical="center"/>
    </xf>
    <xf numFmtId="168" fontId="0" fillId="5" borderId="236" xfId="0" applyNumberFormat="1" applyFill="1" applyBorder="1"/>
    <xf numFmtId="168" fontId="0" fillId="0" borderId="22" xfId="0" applyNumberFormat="1" applyBorder="1" applyAlignment="1">
      <alignment wrapText="1"/>
    </xf>
    <xf numFmtId="0" fontId="0" fillId="5" borderId="11" xfId="0" applyFill="1" applyBorder="1"/>
    <xf numFmtId="168" fontId="0" fillId="5" borderId="16" xfId="0" applyNumberFormat="1" applyFill="1" applyBorder="1" applyAlignment="1">
      <alignment horizontal="left"/>
    </xf>
    <xf numFmtId="168" fontId="0" fillId="0" borderId="237" xfId="0" applyNumberFormat="1" applyBorder="1"/>
    <xf numFmtId="173" fontId="11" fillId="0" borderId="223" xfId="0" quotePrefix="1" applyNumberFormat="1" applyFont="1" applyBorder="1" applyAlignment="1">
      <alignment vertical="center"/>
    </xf>
    <xf numFmtId="0" fontId="0" fillId="87" borderId="0" xfId="0" applyFill="1" applyAlignment="1">
      <alignment horizontal="center" vertical="center"/>
    </xf>
    <xf numFmtId="168" fontId="3" fillId="0" borderId="0" xfId="0" applyNumberFormat="1" applyFont="1" applyAlignment="1">
      <alignment horizontal="center" vertical="center"/>
    </xf>
    <xf numFmtId="0" fontId="3" fillId="85" borderId="0" xfId="0" applyFont="1" applyFill="1" applyAlignment="1">
      <alignment horizontal="center" vertical="center"/>
    </xf>
    <xf numFmtId="3" fontId="0" fillId="0" borderId="0" xfId="0" applyNumberFormat="1" applyAlignment="1">
      <alignment vertical="center"/>
    </xf>
    <xf numFmtId="3" fontId="3" fillId="0" borderId="0" xfId="0" applyNumberFormat="1" applyFont="1" applyAlignment="1">
      <alignment vertical="center"/>
    </xf>
    <xf numFmtId="169" fontId="3" fillId="17" borderId="0" xfId="0" applyNumberFormat="1" applyFont="1" applyFill="1" applyAlignment="1">
      <alignment horizontal="center" vertical="center"/>
    </xf>
    <xf numFmtId="0" fontId="0" fillId="0" borderId="238" xfId="0" applyBorder="1" applyAlignment="1">
      <alignment horizontal="center" vertical="center" wrapText="1"/>
    </xf>
    <xf numFmtId="0" fontId="0" fillId="0" borderId="90" xfId="0" applyBorder="1" applyAlignment="1">
      <alignment horizontal="center" vertical="center" wrapText="1"/>
    </xf>
    <xf numFmtId="0" fontId="0" fillId="0" borderId="162" xfId="0" applyBorder="1" applyAlignment="1">
      <alignment horizontal="center" vertical="center" wrapText="1"/>
    </xf>
    <xf numFmtId="168" fontId="0" fillId="0" borderId="0" xfId="0" applyNumberFormat="1" applyAlignment="1">
      <alignment horizontal="center" vertical="center" wrapText="1"/>
    </xf>
    <xf numFmtId="0" fontId="0" fillId="20" borderId="0" xfId="0" applyFill="1" applyAlignment="1">
      <alignment horizontal="center" vertical="center"/>
    </xf>
    <xf numFmtId="0" fontId="0" fillId="0" borderId="239" xfId="0" applyBorder="1" applyAlignment="1">
      <alignment horizontal="center" vertical="center" wrapText="1"/>
    </xf>
    <xf numFmtId="0" fontId="0" fillId="0" borderId="237" xfId="0" applyBorder="1" applyAlignment="1">
      <alignment horizontal="center" vertical="center" wrapText="1"/>
    </xf>
    <xf numFmtId="0" fontId="0" fillId="0" borderId="222" xfId="0" applyBorder="1" applyAlignment="1">
      <alignment horizontal="center" vertical="center"/>
    </xf>
    <xf numFmtId="0" fontId="0" fillId="0" borderId="224" xfId="0" applyBorder="1" applyAlignment="1">
      <alignment horizontal="center" vertical="center"/>
    </xf>
    <xf numFmtId="168" fontId="3" fillId="0" borderId="0" xfId="0" applyNumberFormat="1" applyFont="1" applyAlignment="1">
      <alignment vertical="center"/>
    </xf>
    <xf numFmtId="0" fontId="46" fillId="0" borderId="29" xfId="0" applyFont="1" applyBorder="1" applyAlignment="1">
      <alignment horizontal="center" vertical="center"/>
    </xf>
    <xf numFmtId="0" fontId="10" fillId="90" borderId="34" xfId="0" applyFont="1" applyFill="1" applyBorder="1" applyAlignment="1">
      <alignment horizontal="center" vertical="center" wrapText="1"/>
    </xf>
    <xf numFmtId="0" fontId="2" fillId="90" borderId="40" xfId="0" applyFont="1" applyFill="1" applyBorder="1" applyAlignment="1">
      <alignment horizontal="center" vertical="center"/>
    </xf>
    <xf numFmtId="0" fontId="2" fillId="90" borderId="240" xfId="0" applyFont="1" applyFill="1" applyBorder="1" applyAlignment="1">
      <alignment horizontal="center" vertical="center"/>
    </xf>
    <xf numFmtId="0" fontId="45" fillId="0" borderId="37" xfId="0" applyFont="1" applyBorder="1" applyAlignment="1">
      <alignment horizontal="center" vertical="center"/>
    </xf>
    <xf numFmtId="0" fontId="45" fillId="0" borderId="38" xfId="0" applyFont="1" applyBorder="1" applyAlignment="1">
      <alignment horizontal="center" vertical="center"/>
    </xf>
    <xf numFmtId="0" fontId="10" fillId="0" borderId="241" xfId="0" applyFont="1" applyBorder="1" applyAlignment="1">
      <alignment horizontal="center" vertical="center" wrapText="1"/>
    </xf>
    <xf numFmtId="0" fontId="10" fillId="0" borderId="64" xfId="0" applyFont="1" applyBorder="1" applyAlignment="1">
      <alignment horizontal="center" vertical="center"/>
    </xf>
    <xf numFmtId="0" fontId="10" fillId="0" borderId="0" xfId="0" applyFont="1" applyAlignment="1">
      <alignment horizontal="center" vertical="center"/>
    </xf>
    <xf numFmtId="0" fontId="10" fillId="0" borderId="65" xfId="0" applyFont="1" applyBorder="1" applyAlignment="1">
      <alignment horizontal="center" vertical="center"/>
    </xf>
    <xf numFmtId="0" fontId="2" fillId="0" borderId="43" xfId="0" applyFont="1" applyBorder="1" applyAlignment="1">
      <alignment horizontal="center" vertical="center"/>
    </xf>
    <xf numFmtId="0" fontId="29" fillId="0" borderId="0" xfId="0" applyFont="1" applyAlignment="1">
      <alignment horizontal="center" vertical="center"/>
    </xf>
    <xf numFmtId="0" fontId="10" fillId="90" borderId="35" xfId="0" applyFont="1" applyFill="1" applyBorder="1" applyAlignment="1">
      <alignment horizontal="center" vertical="center" wrapText="1"/>
    </xf>
    <xf numFmtId="0" fontId="10" fillId="90" borderId="36" xfId="0" applyFont="1" applyFill="1" applyBorder="1" applyAlignment="1">
      <alignment horizontal="center" vertical="center"/>
    </xf>
    <xf numFmtId="0" fontId="10" fillId="90" borderId="60" xfId="0" applyFont="1" applyFill="1" applyBorder="1" applyAlignment="1">
      <alignment horizontal="center" vertical="center"/>
    </xf>
    <xf numFmtId="0" fontId="10" fillId="90" borderId="61" xfId="0" applyFont="1" applyFill="1" applyBorder="1" applyAlignment="1">
      <alignment horizontal="center" vertical="center" wrapText="1"/>
    </xf>
    <xf numFmtId="0" fontId="10" fillId="90" borderId="179" xfId="0" applyFont="1" applyFill="1" applyBorder="1" applyAlignment="1">
      <alignment horizontal="center" vertical="center" wrapText="1"/>
    </xf>
    <xf numFmtId="0" fontId="8" fillId="46" borderId="43" xfId="0" applyFont="1" applyFill="1" applyBorder="1" applyAlignment="1">
      <alignment horizontal="left"/>
    </xf>
    <xf numFmtId="164" fontId="29" fillId="41" borderId="43" xfId="0" applyNumberFormat="1" applyFont="1" applyFill="1" applyBorder="1" applyAlignment="1">
      <alignment vertical="center"/>
    </xf>
    <xf numFmtId="0" fontId="29" fillId="17" borderId="0" xfId="0" applyFont="1" applyFill="1"/>
    <xf numFmtId="187" fontId="11" fillId="0" borderId="0" xfId="0" applyNumberFormat="1" applyFont="1"/>
    <xf numFmtId="0" fontId="2" fillId="31" borderId="29" xfId="0" applyFont="1" applyFill="1" applyBorder="1"/>
    <xf numFmtId="0" fontId="2" fillId="31" borderId="43" xfId="0" applyFont="1" applyFill="1" applyBorder="1"/>
    <xf numFmtId="0" fontId="8" fillId="31" borderId="43" xfId="0" applyFont="1" applyFill="1" applyBorder="1"/>
    <xf numFmtId="9" fontId="11" fillId="5" borderId="0" xfId="0" applyNumberFormat="1" applyFont="1" applyFill="1"/>
    <xf numFmtId="0" fontId="31" fillId="90" borderId="37" xfId="0" applyFont="1" applyFill="1" applyBorder="1"/>
    <xf numFmtId="0" fontId="46" fillId="90" borderId="38" xfId="0" applyFont="1" applyFill="1" applyBorder="1"/>
    <xf numFmtId="0" fontId="10" fillId="90" borderId="39" xfId="0" applyFont="1" applyFill="1" applyBorder="1" applyAlignment="1">
      <alignment horizontal="center" vertical="center"/>
    </xf>
    <xf numFmtId="0" fontId="10" fillId="90" borderId="56" xfId="0" applyFont="1" applyFill="1" applyBorder="1" applyAlignment="1">
      <alignment horizontal="center" vertical="center" wrapText="1"/>
    </xf>
    <xf numFmtId="168" fontId="10" fillId="90" borderId="33" xfId="0" applyNumberFormat="1" applyFont="1" applyFill="1" applyBorder="1"/>
    <xf numFmtId="168" fontId="10" fillId="90" borderId="33" xfId="0" applyNumberFormat="1" applyFont="1" applyFill="1" applyBorder="1" applyAlignment="1">
      <alignment horizontal="center" vertical="center"/>
    </xf>
    <xf numFmtId="168" fontId="30" fillId="90" borderId="33" xfId="0" applyNumberFormat="1" applyFont="1" applyFill="1" applyBorder="1" applyAlignment="1">
      <alignment horizontal="center" vertical="center"/>
    </xf>
    <xf numFmtId="168" fontId="30" fillId="90" borderId="33" xfId="0" applyNumberFormat="1" applyFont="1" applyFill="1" applyBorder="1"/>
    <xf numFmtId="0" fontId="10" fillId="90" borderId="37" xfId="0" applyFont="1" applyFill="1" applyBorder="1"/>
    <xf numFmtId="0" fontId="10" fillId="90" borderId="33" xfId="0" applyFont="1" applyFill="1" applyBorder="1"/>
    <xf numFmtId="168" fontId="48" fillId="0" borderId="117" xfId="0" applyNumberFormat="1" applyFont="1" applyBorder="1"/>
    <xf numFmtId="168" fontId="10" fillId="90" borderId="39" xfId="0" applyNumberFormat="1" applyFont="1" applyFill="1" applyBorder="1"/>
    <xf numFmtId="187" fontId="11" fillId="0" borderId="44" xfId="0" applyNumberFormat="1" applyFont="1" applyBorder="1"/>
    <xf numFmtId="0" fontId="48" fillId="15" borderId="33" xfId="0" applyFont="1" applyFill="1" applyBorder="1"/>
    <xf numFmtId="0" fontId="2" fillId="42" borderId="29" xfId="0" applyFont="1" applyFill="1" applyBorder="1"/>
    <xf numFmtId="0" fontId="2" fillId="42" borderId="43" xfId="0" applyFont="1" applyFill="1" applyBorder="1"/>
    <xf numFmtId="0" fontId="8" fillId="42" borderId="43" xfId="0" applyFont="1" applyFill="1" applyBorder="1"/>
    <xf numFmtId="0" fontId="8" fillId="42" borderId="37" xfId="0" applyFont="1" applyFill="1" applyBorder="1"/>
    <xf numFmtId="0" fontId="8" fillId="42" borderId="0" xfId="0" applyFont="1" applyFill="1"/>
    <xf numFmtId="0" fontId="46" fillId="90" borderId="37" xfId="0" applyFont="1" applyFill="1" applyBorder="1"/>
    <xf numFmtId="0" fontId="10" fillId="90" borderId="46" xfId="0" applyFont="1" applyFill="1" applyBorder="1"/>
    <xf numFmtId="0" fontId="46" fillId="90" borderId="50" xfId="0" applyFont="1" applyFill="1" applyBorder="1"/>
    <xf numFmtId="0" fontId="46" fillId="90" borderId="51" xfId="0" applyFont="1" applyFill="1" applyBorder="1" applyAlignment="1">
      <alignment horizontal="center" vertical="center"/>
    </xf>
    <xf numFmtId="0" fontId="46" fillId="90" borderId="49" xfId="0" applyFont="1" applyFill="1" applyBorder="1" applyAlignment="1">
      <alignment horizontal="center" vertical="center"/>
    </xf>
    <xf numFmtId="168" fontId="52" fillId="38" borderId="108" xfId="0" applyNumberFormat="1" applyFont="1" applyFill="1" applyBorder="1"/>
    <xf numFmtId="168" fontId="52" fillId="38" borderId="104" xfId="0" applyNumberFormat="1" applyFont="1" applyFill="1" applyBorder="1"/>
    <xf numFmtId="168" fontId="51" fillId="38" borderId="104" xfId="0" applyNumberFormat="1" applyFont="1" applyFill="1" applyBorder="1"/>
    <xf numFmtId="0" fontId="51" fillId="38" borderId="104" xfId="0" applyFont="1" applyFill="1" applyBorder="1"/>
    <xf numFmtId="0" fontId="51" fillId="38" borderId="244" xfId="0" applyFont="1" applyFill="1" applyBorder="1"/>
    <xf numFmtId="168" fontId="52" fillId="5" borderId="100" xfId="0" applyNumberFormat="1" applyFont="1" applyFill="1" applyBorder="1"/>
    <xf numFmtId="168" fontId="52" fillId="5" borderId="103" xfId="0" applyNumberFormat="1" applyFont="1" applyFill="1" applyBorder="1"/>
    <xf numFmtId="0" fontId="51" fillId="0" borderId="221" xfId="0" applyFont="1" applyBorder="1"/>
    <xf numFmtId="168" fontId="89" fillId="5" borderId="96" xfId="0" applyNumberFormat="1" applyFont="1" applyFill="1" applyBorder="1"/>
    <xf numFmtId="171" fontId="89" fillId="5" borderId="96" xfId="0" applyNumberFormat="1" applyFont="1" applyFill="1" applyBorder="1"/>
    <xf numFmtId="168" fontId="89" fillId="0" borderId="96" xfId="0" applyNumberFormat="1" applyFont="1" applyBorder="1"/>
    <xf numFmtId="171" fontId="89" fillId="0" borderId="96" xfId="0" applyNumberFormat="1" applyFont="1" applyBorder="1"/>
    <xf numFmtId="168" fontId="89" fillId="0" borderId="102" xfId="0" applyNumberFormat="1" applyFont="1" applyBorder="1"/>
    <xf numFmtId="171" fontId="89" fillId="0" borderId="102" xfId="0" applyNumberFormat="1" applyFont="1" applyBorder="1"/>
    <xf numFmtId="174" fontId="80" fillId="34" borderId="246" xfId="0" applyNumberFormat="1" applyFont="1" applyFill="1" applyBorder="1" applyAlignment="1">
      <alignment horizontal="center"/>
    </xf>
    <xf numFmtId="168" fontId="52" fillId="0" borderId="0" xfId="0" applyNumberFormat="1" applyFont="1"/>
    <xf numFmtId="168" fontId="89" fillId="0" borderId="0" xfId="0" applyNumberFormat="1" applyFont="1"/>
    <xf numFmtId="171" fontId="89" fillId="0" borderId="0" xfId="0" applyNumberFormat="1" applyFont="1"/>
    <xf numFmtId="171" fontId="53" fillId="0" borderId="0" xfId="0" applyNumberFormat="1" applyFont="1"/>
    <xf numFmtId="165" fontId="53" fillId="0" borderId="0" xfId="0" applyNumberFormat="1" applyFont="1"/>
    <xf numFmtId="172" fontId="53" fillId="0" borderId="0" xfId="0" applyNumberFormat="1" applyFont="1"/>
    <xf numFmtId="174" fontId="80" fillId="34" borderId="0" xfId="0" applyNumberFormat="1" applyFont="1" applyFill="1" applyAlignment="1">
      <alignment horizontal="center"/>
    </xf>
    <xf numFmtId="0" fontId="45" fillId="0" borderId="37" xfId="0" quotePrefix="1" applyFont="1" applyBorder="1" applyAlignment="1">
      <alignment vertical="top"/>
    </xf>
    <xf numFmtId="0" fontId="3" fillId="30" borderId="0" xfId="0" applyFont="1" applyFill="1" applyAlignment="1">
      <alignment horizontal="center" vertical="center"/>
    </xf>
    <xf numFmtId="0" fontId="0" fillId="30" borderId="0" xfId="0" applyFill="1"/>
    <xf numFmtId="168" fontId="51" fillId="5" borderId="99" xfId="0" applyNumberFormat="1" applyFont="1" applyFill="1" applyBorder="1"/>
    <xf numFmtId="168" fontId="46" fillId="90" borderId="0" xfId="0" applyNumberFormat="1" applyFont="1" applyFill="1" applyAlignment="1">
      <alignment vertical="top"/>
    </xf>
    <xf numFmtId="168" fontId="86" fillId="88" borderId="6" xfId="0" applyNumberFormat="1" applyFont="1" applyFill="1" applyBorder="1"/>
    <xf numFmtId="0" fontId="0" fillId="0" borderId="0" xfId="0" quotePrefix="1" applyAlignment="1">
      <alignment horizontal="right" vertical="center"/>
    </xf>
    <xf numFmtId="168" fontId="0" fillId="5" borderId="140" xfId="0" applyNumberFormat="1" applyFill="1" applyBorder="1" applyAlignment="1">
      <alignment horizontal="center"/>
    </xf>
    <xf numFmtId="190" fontId="3" fillId="0" borderId="1" xfId="0" applyNumberFormat="1" applyFont="1" applyBorder="1" applyAlignment="1">
      <alignment vertical="center"/>
    </xf>
    <xf numFmtId="190" fontId="0" fillId="0" borderId="0" xfId="0" applyNumberFormat="1"/>
    <xf numFmtId="168" fontId="45" fillId="0" borderId="117" xfId="0" applyNumberFormat="1" applyFont="1" applyBorder="1"/>
    <xf numFmtId="2" fontId="3" fillId="84" borderId="0" xfId="0" applyNumberFormat="1" applyFont="1" applyFill="1"/>
    <xf numFmtId="0" fontId="82" fillId="0" borderId="0" xfId="0" applyFont="1"/>
    <xf numFmtId="168" fontId="0" fillId="5" borderId="93" xfId="0" applyNumberFormat="1" applyFill="1" applyBorder="1"/>
    <xf numFmtId="0" fontId="0" fillId="5" borderId="6" xfId="0" applyFill="1" applyBorder="1" applyAlignment="1">
      <alignment horizontal="center"/>
    </xf>
    <xf numFmtId="171" fontId="46" fillId="0" borderId="96" xfId="0" applyNumberFormat="1" applyFont="1" applyBorder="1"/>
    <xf numFmtId="165" fontId="46" fillId="0" borderId="96" xfId="0" applyNumberFormat="1" applyFont="1" applyBorder="1"/>
    <xf numFmtId="172" fontId="46" fillId="0" borderId="96" xfId="0" applyNumberFormat="1" applyFont="1" applyBorder="1"/>
    <xf numFmtId="174" fontId="90" fillId="34" borderId="245" xfId="0" applyNumberFormat="1" applyFont="1" applyFill="1" applyBorder="1" applyAlignment="1">
      <alignment horizontal="center"/>
    </xf>
    <xf numFmtId="168" fontId="30" fillId="0" borderId="1" xfId="0" applyNumberFormat="1" applyFont="1" applyBorder="1" applyAlignment="1">
      <alignment vertical="top"/>
    </xf>
    <xf numFmtId="0" fontId="45" fillId="0" borderId="0" xfId="0" quotePrefix="1" applyFont="1" applyAlignment="1">
      <alignment horizontal="left" vertical="top" wrapText="1"/>
    </xf>
    <xf numFmtId="165" fontId="89" fillId="0" borderId="96" xfId="0" applyNumberFormat="1" applyFont="1" applyBorder="1"/>
    <xf numFmtId="172" fontId="89" fillId="0" borderId="96" xfId="0" applyNumberFormat="1" applyFont="1" applyBorder="1"/>
    <xf numFmtId="0" fontId="10" fillId="12" borderId="0" xfId="0" applyFont="1" applyFill="1" applyAlignment="1">
      <alignment horizontal="left" vertical="top"/>
    </xf>
    <xf numFmtId="0" fontId="10" fillId="12" borderId="0" xfId="0" applyFont="1" applyFill="1" applyAlignment="1">
      <alignment horizontal="left"/>
    </xf>
    <xf numFmtId="0" fontId="45" fillId="0" borderId="43" xfId="0" applyFont="1" applyBorder="1" applyAlignment="1">
      <alignment horizontal="center" vertical="center"/>
    </xf>
    <xf numFmtId="0" fontId="45" fillId="0" borderId="44" xfId="0" applyFont="1" applyBorder="1" applyAlignment="1">
      <alignment horizontal="center" vertical="center"/>
    </xf>
    <xf numFmtId="0" fontId="46" fillId="12" borderId="43" xfId="0" applyFont="1" applyFill="1" applyBorder="1"/>
    <xf numFmtId="0" fontId="46" fillId="40" borderId="0" xfId="0" applyFont="1" applyFill="1"/>
    <xf numFmtId="0" fontId="10" fillId="39" borderId="0" xfId="0" applyFont="1" applyFill="1"/>
    <xf numFmtId="0" fontId="46" fillId="12" borderId="44" xfId="0" applyFont="1" applyFill="1" applyBorder="1"/>
    <xf numFmtId="0" fontId="10" fillId="12" borderId="43" xfId="0" applyFont="1" applyFill="1" applyBorder="1" applyAlignment="1">
      <alignment horizontal="center" vertical="center"/>
    </xf>
    <xf numFmtId="0" fontId="10" fillId="12" borderId="44" xfId="0" applyFont="1" applyFill="1" applyBorder="1" applyAlignment="1">
      <alignment horizontal="center" vertical="center"/>
    </xf>
    <xf numFmtId="0" fontId="46" fillId="29" borderId="0" xfId="0" applyFont="1" applyFill="1"/>
    <xf numFmtId="0" fontId="10" fillId="29" borderId="0" xfId="0" applyFont="1" applyFill="1"/>
    <xf numFmtId="168" fontId="10" fillId="12" borderId="47" xfId="0" applyNumberFormat="1" applyFont="1" applyFill="1" applyBorder="1"/>
    <xf numFmtId="168" fontId="52" fillId="0" borderId="96" xfId="0" applyNumberFormat="1" applyFont="1" applyBorder="1" applyAlignment="1">
      <alignment vertical="top"/>
    </xf>
    <xf numFmtId="0" fontId="52" fillId="0" borderId="96" xfId="0" applyFont="1" applyBorder="1" applyAlignment="1">
      <alignment vertical="top"/>
    </xf>
    <xf numFmtId="0" fontId="10" fillId="12" borderId="47" xfId="0" applyFont="1" applyFill="1" applyBorder="1"/>
    <xf numFmtId="0" fontId="52" fillId="0" borderId="102" xfId="0" applyFont="1" applyBorder="1"/>
    <xf numFmtId="0" fontId="52" fillId="0" borderId="96" xfId="0" applyFont="1" applyBorder="1"/>
    <xf numFmtId="168" fontId="51" fillId="5" borderId="96" xfId="0" applyNumberFormat="1" applyFont="1" applyFill="1" applyBorder="1"/>
    <xf numFmtId="43" fontId="11" fillId="5" borderId="0" xfId="0" applyNumberFormat="1" applyFont="1" applyFill="1"/>
    <xf numFmtId="43" fontId="11" fillId="0" borderId="0" xfId="0" applyNumberFormat="1" applyFont="1" applyAlignment="1">
      <alignment wrapText="1"/>
    </xf>
    <xf numFmtId="168" fontId="74" fillId="0" borderId="24" xfId="0" applyNumberFormat="1" applyFont="1" applyBorder="1" applyAlignment="1">
      <alignment vertical="center"/>
    </xf>
    <xf numFmtId="168" fontId="74" fillId="0" borderId="76" xfId="0" applyNumberFormat="1" applyFont="1" applyBorder="1" applyAlignment="1">
      <alignment vertical="center"/>
    </xf>
    <xf numFmtId="168" fontId="74" fillId="0" borderId="249" xfId="0" applyNumberFormat="1" applyFont="1" applyBorder="1" applyAlignment="1">
      <alignment vertical="center"/>
    </xf>
    <xf numFmtId="168" fontId="52" fillId="0" borderId="103" xfId="0" applyNumberFormat="1" applyFont="1" applyBorder="1" applyAlignment="1">
      <alignment vertical="top"/>
    </xf>
    <xf numFmtId="0" fontId="52" fillId="0" borderId="103" xfId="0" applyFont="1" applyBorder="1" applyAlignment="1">
      <alignment vertical="top"/>
    </xf>
    <xf numFmtId="0" fontId="3" fillId="41" borderId="0" xfId="0" applyFont="1" applyFill="1" applyAlignment="1">
      <alignment horizontal="center"/>
    </xf>
    <xf numFmtId="0" fontId="3" fillId="41" borderId="0" xfId="0" applyFont="1" applyFill="1" applyAlignment="1">
      <alignment horizontal="center" vertical="center" wrapText="1"/>
    </xf>
    <xf numFmtId="168" fontId="48" fillId="38" borderId="39" xfId="0" applyNumberFormat="1" applyFont="1" applyFill="1" applyBorder="1"/>
    <xf numFmtId="0" fontId="2" fillId="90" borderId="251" xfId="0" applyFont="1" applyFill="1" applyBorder="1" applyAlignment="1">
      <alignment horizontal="center" vertical="center"/>
    </xf>
    <xf numFmtId="164" fontId="0" fillId="41" borderId="252" xfId="0" applyNumberFormat="1" applyFill="1" applyBorder="1" applyAlignment="1">
      <alignment horizontal="center" vertical="center"/>
    </xf>
    <xf numFmtId="0" fontId="0" fillId="2" borderId="253" xfId="0" applyFill="1" applyBorder="1" applyAlignment="1">
      <alignment horizontal="center"/>
    </xf>
    <xf numFmtId="0" fontId="0" fillId="17" borderId="253" xfId="0" applyFill="1" applyBorder="1" applyAlignment="1">
      <alignment horizontal="center"/>
    </xf>
    <xf numFmtId="0" fontId="0" fillId="17" borderId="255" xfId="0" applyFill="1" applyBorder="1" applyAlignment="1">
      <alignment horizontal="center"/>
    </xf>
    <xf numFmtId="164" fontId="0" fillId="41" borderId="260" xfId="0" applyNumberFormat="1" applyFill="1" applyBorder="1" applyAlignment="1">
      <alignment vertical="center"/>
    </xf>
    <xf numFmtId="0" fontId="0" fillId="2" borderId="261" xfId="0" applyFill="1" applyBorder="1"/>
    <xf numFmtId="0" fontId="0" fillId="17" borderId="261" xfId="0" applyFill="1" applyBorder="1"/>
    <xf numFmtId="0" fontId="0" fillId="0" borderId="261" xfId="0" applyBorder="1"/>
    <xf numFmtId="164" fontId="0" fillId="41" borderId="261" xfId="0" applyNumberFormat="1" applyFill="1" applyBorder="1" applyAlignment="1">
      <alignment vertical="center"/>
    </xf>
    <xf numFmtId="0" fontId="0" fillId="0" borderId="263" xfId="0" applyBorder="1"/>
    <xf numFmtId="0" fontId="0" fillId="2" borderId="253" xfId="0" applyFill="1" applyBorder="1"/>
    <xf numFmtId="0" fontId="0" fillId="17" borderId="253" xfId="0" applyFill="1" applyBorder="1"/>
    <xf numFmtId="0" fontId="0" fillId="0" borderId="253" xfId="0" applyBorder="1"/>
    <xf numFmtId="0" fontId="0" fillId="0" borderId="264" xfId="0" applyBorder="1"/>
    <xf numFmtId="0" fontId="0" fillId="17" borderId="22" xfId="0" applyFill="1" applyBorder="1"/>
    <xf numFmtId="0" fontId="0" fillId="0" borderId="139" xfId="0" applyBorder="1"/>
    <xf numFmtId="0" fontId="0" fillId="17" borderId="269" xfId="0" applyFill="1" applyBorder="1"/>
    <xf numFmtId="0" fontId="0" fillId="0" borderId="269" xfId="0" applyBorder="1"/>
    <xf numFmtId="164" fontId="0" fillId="41" borderId="252" xfId="0" applyNumberFormat="1" applyFill="1" applyBorder="1" applyAlignment="1">
      <alignment vertical="center"/>
    </xf>
    <xf numFmtId="0" fontId="0" fillId="0" borderId="254" xfId="0" applyBorder="1"/>
    <xf numFmtId="164" fontId="0" fillId="41" borderId="286" xfId="0" applyNumberFormat="1" applyFill="1" applyBorder="1" applyAlignment="1">
      <alignment horizontal="center" vertical="center"/>
    </xf>
    <xf numFmtId="0" fontId="29" fillId="35" borderId="0" xfId="0" applyFont="1" applyFill="1"/>
    <xf numFmtId="164" fontId="0" fillId="35" borderId="252" xfId="0" applyNumberFormat="1" applyFill="1" applyBorder="1" applyAlignment="1">
      <alignment horizontal="center" vertical="center"/>
    </xf>
    <xf numFmtId="164" fontId="0" fillId="35" borderId="261" xfId="0" applyNumberFormat="1" applyFill="1" applyBorder="1" applyAlignment="1">
      <alignment vertical="center"/>
    </xf>
    <xf numFmtId="164" fontId="0" fillId="35" borderId="252" xfId="0" applyNumberFormat="1" applyFill="1" applyBorder="1" applyAlignment="1">
      <alignment vertical="center"/>
    </xf>
    <xf numFmtId="164" fontId="0" fillId="35" borderId="260" xfId="0" applyNumberFormat="1" applyFill="1" applyBorder="1" applyAlignment="1">
      <alignment vertical="center"/>
    </xf>
    <xf numFmtId="0" fontId="0" fillId="0" borderId="287" xfId="0" applyBorder="1" applyAlignment="1">
      <alignment horizontal="center"/>
    </xf>
    <xf numFmtId="0" fontId="0" fillId="0" borderId="28" xfId="0" applyBorder="1"/>
    <xf numFmtId="0" fontId="10" fillId="46" borderId="47" xfId="0" applyFont="1" applyFill="1" applyBorder="1"/>
    <xf numFmtId="0" fontId="10" fillId="46" borderId="0" xfId="0" applyFont="1" applyFill="1"/>
    <xf numFmtId="168" fontId="52" fillId="6" borderId="149" xfId="0" applyNumberFormat="1" applyFont="1" applyFill="1" applyBorder="1"/>
    <xf numFmtId="168" fontId="89" fillId="6" borderId="96" xfId="0" applyNumberFormat="1" applyFont="1" applyFill="1" applyBorder="1"/>
    <xf numFmtId="171" fontId="89" fillId="6" borderId="96" xfId="0" applyNumberFormat="1" applyFont="1" applyFill="1" applyBorder="1"/>
    <xf numFmtId="165" fontId="89" fillId="6" borderId="96" xfId="0" applyNumberFormat="1" applyFont="1" applyFill="1" applyBorder="1"/>
    <xf numFmtId="172" fontId="89" fillId="6" borderId="96" xfId="0" applyNumberFormat="1" applyFont="1" applyFill="1" applyBorder="1"/>
    <xf numFmtId="0" fontId="3" fillId="41" borderId="1" xfId="0" applyFont="1" applyFill="1" applyBorder="1" applyAlignment="1">
      <alignment horizontal="center" vertical="center" wrapText="1"/>
    </xf>
    <xf numFmtId="0" fontId="3" fillId="0" borderId="26" xfId="0" applyFont="1" applyBorder="1" applyAlignment="1">
      <alignment horizontal="center" vertical="center" wrapText="1"/>
    </xf>
    <xf numFmtId="164" fontId="0" fillId="0" borderId="190" xfId="0" applyNumberFormat="1" applyBorder="1" applyAlignment="1">
      <alignment horizontal="center"/>
    </xf>
    <xf numFmtId="164" fontId="0" fillId="0" borderId="233" xfId="0" applyNumberFormat="1" applyBorder="1" applyAlignment="1">
      <alignment horizontal="center"/>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10" fillId="12" borderId="63" xfId="0" applyFont="1" applyFill="1" applyBorder="1" applyAlignment="1">
      <alignment horizontal="center" vertical="center"/>
    </xf>
    <xf numFmtId="174" fontId="80" fillId="6" borderId="290" xfId="0" applyNumberFormat="1" applyFont="1" applyFill="1" applyBorder="1" applyAlignment="1">
      <alignment horizontal="center"/>
    </xf>
    <xf numFmtId="174" fontId="80" fillId="6" borderId="291" xfId="0" applyNumberFormat="1" applyFont="1" applyFill="1" applyBorder="1" applyAlignment="1">
      <alignment horizontal="center"/>
    </xf>
    <xf numFmtId="174" fontId="80" fillId="6" borderId="245" xfId="0" applyNumberFormat="1" applyFont="1" applyFill="1" applyBorder="1" applyAlignment="1">
      <alignment horizontal="center"/>
    </xf>
    <xf numFmtId="0" fontId="3" fillId="0" borderId="95" xfId="0" applyFont="1" applyBorder="1" applyAlignment="1">
      <alignment horizontal="center" vertical="center" wrapText="1"/>
    </xf>
    <xf numFmtId="0" fontId="3" fillId="0" borderId="137" xfId="0" applyFont="1" applyBorder="1" applyAlignment="1">
      <alignment horizontal="center" vertical="center" wrapText="1"/>
    </xf>
    <xf numFmtId="0" fontId="3" fillId="0" borderId="190" xfId="0" applyFont="1" applyBorder="1" applyAlignment="1">
      <alignment horizontal="center" vertical="center" wrapText="1"/>
    </xf>
    <xf numFmtId="0" fontId="3" fillId="0" borderId="233" xfId="0" applyFont="1" applyBorder="1" applyAlignment="1">
      <alignment horizontal="center" vertical="center" wrapText="1"/>
    </xf>
    <xf numFmtId="0" fontId="0" fillId="41" borderId="1" xfId="0" applyFill="1" applyBorder="1" applyAlignment="1">
      <alignment horizontal="center" vertical="center" wrapText="1"/>
    </xf>
    <xf numFmtId="0" fontId="54" fillId="27" borderId="1" xfId="0" applyFont="1" applyFill="1" applyBorder="1" applyAlignment="1">
      <alignment horizontal="center"/>
    </xf>
    <xf numFmtId="168" fontId="54" fillId="27" borderId="1" xfId="0" applyNumberFormat="1" applyFont="1" applyFill="1" applyBorder="1" applyAlignment="1">
      <alignment horizontal="center"/>
    </xf>
    <xf numFmtId="0" fontId="8" fillId="91" borderId="37" xfId="0" applyFont="1" applyFill="1" applyBorder="1"/>
    <xf numFmtId="0" fontId="8" fillId="91" borderId="0" xfId="0" applyFont="1" applyFill="1"/>
    <xf numFmtId="0" fontId="0" fillId="91" borderId="121" xfId="0" applyFill="1" applyBorder="1"/>
    <xf numFmtId="0" fontId="0" fillId="91" borderId="52" xfId="0" applyFill="1" applyBorder="1"/>
    <xf numFmtId="0" fontId="0" fillId="91" borderId="45" xfId="0" applyFill="1" applyBorder="1"/>
    <xf numFmtId="0" fontId="0" fillId="91" borderId="54" xfId="0" applyFill="1" applyBorder="1"/>
    <xf numFmtId="0" fontId="0" fillId="91" borderId="53" xfId="0" applyFill="1" applyBorder="1"/>
    <xf numFmtId="0" fontId="0" fillId="91" borderId="122" xfId="0" applyFill="1" applyBorder="1"/>
    <xf numFmtId="2" fontId="0" fillId="91" borderId="52" xfId="0" applyNumberFormat="1" applyFill="1" applyBorder="1"/>
    <xf numFmtId="2" fontId="0" fillId="91" borderId="45" xfId="0" applyNumberFormat="1" applyFill="1" applyBorder="1"/>
    <xf numFmtId="2" fontId="0" fillId="91" borderId="54" xfId="0" applyNumberFormat="1" applyFill="1" applyBorder="1"/>
    <xf numFmtId="2" fontId="0" fillId="91" borderId="121" xfId="0" applyNumberFormat="1" applyFill="1" applyBorder="1"/>
    <xf numFmtId="0" fontId="55" fillId="0" borderId="0" xfId="0" applyFont="1" applyAlignment="1">
      <alignment horizontal="center" vertical="center" wrapText="1"/>
    </xf>
    <xf numFmtId="0" fontId="55" fillId="0" borderId="0" xfId="0" applyFont="1"/>
    <xf numFmtId="0" fontId="61" fillId="0" borderId="1" xfId="0" applyFont="1" applyBorder="1" applyAlignment="1">
      <alignment horizontal="center"/>
    </xf>
    <xf numFmtId="0" fontId="58" fillId="0" borderId="1" xfId="0" applyFont="1" applyBorder="1" applyAlignment="1">
      <alignment vertical="top"/>
    </xf>
    <xf numFmtId="164" fontId="29" fillId="41" borderId="0" xfId="0" applyNumberFormat="1" applyFont="1" applyFill="1" applyAlignment="1">
      <alignment vertical="center"/>
    </xf>
    <xf numFmtId="164" fontId="0" fillId="41" borderId="38" xfId="0" applyNumberFormat="1" applyFill="1" applyBorder="1" applyAlignment="1">
      <alignment horizontal="center" vertical="center"/>
    </xf>
    <xf numFmtId="164" fontId="0" fillId="41" borderId="286" xfId="0" applyNumberFormat="1" applyFill="1" applyBorder="1" applyAlignment="1">
      <alignment vertical="center"/>
    </xf>
    <xf numFmtId="164" fontId="0" fillId="41" borderId="292" xfId="0" applyNumberFormat="1" applyFill="1" applyBorder="1" applyAlignment="1">
      <alignment vertical="center"/>
    </xf>
    <xf numFmtId="168" fontId="0" fillId="5" borderId="88" xfId="0" applyNumberFormat="1" applyFill="1" applyBorder="1"/>
    <xf numFmtId="0" fontId="0" fillId="0" borderId="294" xfId="0" applyBorder="1"/>
    <xf numFmtId="0" fontId="0" fillId="0" borderId="295" xfId="0" applyBorder="1"/>
    <xf numFmtId="0" fontId="3" fillId="35" borderId="255" xfId="0" applyFont="1" applyFill="1" applyBorder="1" applyAlignment="1">
      <alignment horizontal="center"/>
    </xf>
    <xf numFmtId="0" fontId="3" fillId="35" borderId="261" xfId="0" applyFont="1" applyFill="1" applyBorder="1"/>
    <xf numFmtId="0" fontId="3" fillId="35" borderId="269" xfId="0" applyFont="1" applyFill="1" applyBorder="1"/>
    <xf numFmtId="0" fontId="3" fillId="35" borderId="22" xfId="0" applyFont="1" applyFill="1" applyBorder="1"/>
    <xf numFmtId="0" fontId="3" fillId="35" borderId="6" xfId="0" applyFont="1" applyFill="1" applyBorder="1"/>
    <xf numFmtId="0" fontId="1" fillId="0" borderId="0" xfId="0" applyFont="1"/>
    <xf numFmtId="0" fontId="87" fillId="41" borderId="1" xfId="0" applyFont="1" applyFill="1" applyBorder="1"/>
    <xf numFmtId="168" fontId="87" fillId="41" borderId="1" xfId="0" applyNumberFormat="1" applyFont="1" applyFill="1" applyBorder="1"/>
    <xf numFmtId="165" fontId="0" fillId="91" borderId="53" xfId="0" applyNumberFormat="1" applyFill="1" applyBorder="1"/>
    <xf numFmtId="10" fontId="0" fillId="0" borderId="255" xfId="0" applyNumberFormat="1" applyBorder="1" applyAlignment="1">
      <alignment horizontal="right"/>
    </xf>
    <xf numFmtId="10" fontId="0" fillId="0" borderId="296" xfId="0" applyNumberFormat="1" applyBorder="1" applyAlignment="1">
      <alignment horizontal="right"/>
    </xf>
    <xf numFmtId="0" fontId="3" fillId="49"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1" xfId="0" applyFont="1" applyBorder="1" applyAlignment="1">
      <alignment vertical="center" wrapText="1"/>
    </xf>
    <xf numFmtId="190" fontId="3" fillId="0" borderId="0" xfId="0" applyNumberFormat="1" applyFont="1"/>
    <xf numFmtId="168" fontId="31" fillId="0" borderId="1" xfId="0" applyNumberFormat="1" applyFont="1" applyBorder="1"/>
    <xf numFmtId="0" fontId="0" fillId="29" borderId="53" xfId="0" applyFill="1" applyBorder="1"/>
    <xf numFmtId="169" fontId="0" fillId="41" borderId="167" xfId="0" applyNumberFormat="1" applyFill="1" applyBorder="1"/>
    <xf numFmtId="1" fontId="33" fillId="0" borderId="0" xfId="0" applyNumberFormat="1" applyFont="1"/>
    <xf numFmtId="0" fontId="48" fillId="18" borderId="6" xfId="0" applyFont="1" applyFill="1" applyBorder="1" applyAlignment="1">
      <alignment vertical="center"/>
    </xf>
    <xf numFmtId="0" fontId="46" fillId="12" borderId="219" xfId="0" applyFont="1" applyFill="1" applyBorder="1" applyAlignment="1">
      <alignment vertical="center"/>
    </xf>
    <xf numFmtId="0" fontId="46" fillId="23" borderId="219" xfId="0" applyFont="1" applyFill="1" applyBorder="1" applyAlignment="1">
      <alignment vertical="center"/>
    </xf>
    <xf numFmtId="179" fontId="3" fillId="0" borderId="0" xfId="0" applyNumberFormat="1" applyFont="1"/>
    <xf numFmtId="168" fontId="52" fillId="0" borderId="152" xfId="0" applyNumberFormat="1" applyFont="1" applyBorder="1"/>
    <xf numFmtId="0" fontId="52" fillId="0" borderId="152" xfId="0" applyFont="1" applyBorder="1"/>
    <xf numFmtId="0" fontId="1" fillId="18" borderId="1" xfId="0" applyFont="1" applyFill="1" applyBorder="1" applyAlignment="1">
      <alignment horizontal="left"/>
    </xf>
    <xf numFmtId="165" fontId="0" fillId="17" borderId="253" xfId="0" applyNumberFormat="1" applyFill="1" applyBorder="1"/>
    <xf numFmtId="0" fontId="49" fillId="36" borderId="39" xfId="0" applyFont="1" applyFill="1" applyBorder="1"/>
    <xf numFmtId="164" fontId="3" fillId="0" borderId="20" xfId="0" applyNumberFormat="1" applyFont="1" applyBorder="1"/>
    <xf numFmtId="0" fontId="3" fillId="0" borderId="78" xfId="0" applyFont="1" applyBorder="1" applyAlignment="1">
      <alignment horizontal="center" vertical="center" wrapText="1"/>
    </xf>
    <xf numFmtId="2" fontId="8" fillId="0" borderId="0" xfId="0" applyNumberFormat="1" applyFont="1"/>
    <xf numFmtId="2" fontId="8" fillId="5" borderId="0" xfId="0" applyNumberFormat="1" applyFont="1" applyFill="1"/>
    <xf numFmtId="0" fontId="2" fillId="0" borderId="0" xfId="0" applyFont="1" applyAlignment="1">
      <alignment horizontal="center"/>
    </xf>
    <xf numFmtId="0" fontId="71" fillId="0" borderId="19" xfId="0" applyFont="1" applyBorder="1" applyAlignment="1">
      <alignment horizontal="left" vertical="center"/>
    </xf>
    <xf numFmtId="0" fontId="56" fillId="47" borderId="187" xfId="0" applyFont="1" applyFill="1" applyBorder="1"/>
    <xf numFmtId="0" fontId="56" fillId="0" borderId="224" xfId="0" applyFont="1" applyBorder="1"/>
    <xf numFmtId="168" fontId="56" fillId="0" borderId="187" xfId="0" applyNumberFormat="1" applyFont="1" applyBorder="1" applyAlignment="1">
      <alignment horizontal="center"/>
    </xf>
    <xf numFmtId="0" fontId="56" fillId="0" borderId="187" xfId="0" applyFont="1" applyBorder="1" applyAlignment="1">
      <alignment horizontal="center"/>
    </xf>
    <xf numFmtId="0" fontId="56" fillId="0" borderId="187" xfId="0" applyFont="1" applyBorder="1"/>
    <xf numFmtId="0" fontId="56" fillId="0" borderId="224" xfId="0" applyFont="1" applyBorder="1" applyAlignment="1">
      <alignment horizontal="left" vertical="center"/>
    </xf>
    <xf numFmtId="168" fontId="56" fillId="0" borderId="187" xfId="0" applyNumberFormat="1" applyFont="1" applyBorder="1" applyAlignment="1">
      <alignment horizontal="center" vertical="center"/>
    </xf>
    <xf numFmtId="0" fontId="56" fillId="0" borderId="187" xfId="0" applyFont="1" applyBorder="1" applyAlignment="1">
      <alignment horizontal="center" vertical="center"/>
    </xf>
    <xf numFmtId="0" fontId="54" fillId="5" borderId="187" xfId="0" applyFont="1" applyFill="1" applyBorder="1" applyAlignment="1">
      <alignment horizontal="center" vertical="center" wrapText="1"/>
    </xf>
    <xf numFmtId="0" fontId="56" fillId="0" borderId="224" xfId="0" applyFont="1" applyBorder="1" applyAlignment="1">
      <alignment horizontal="left"/>
    </xf>
    <xf numFmtId="168" fontId="54" fillId="27" borderId="187" xfId="0" applyNumberFormat="1" applyFont="1" applyFill="1" applyBorder="1" applyAlignment="1">
      <alignment horizontal="center"/>
    </xf>
    <xf numFmtId="0" fontId="56" fillId="21" borderId="187" xfId="0" applyFont="1" applyFill="1" applyBorder="1" applyAlignment="1">
      <alignment horizontal="center"/>
    </xf>
    <xf numFmtId="0" fontId="3" fillId="0" borderId="187" xfId="0" applyFont="1" applyBorder="1" applyAlignment="1">
      <alignment horizontal="center" vertical="center"/>
    </xf>
    <xf numFmtId="0" fontId="0" fillId="0" borderId="250" xfId="0" applyBorder="1" applyAlignment="1">
      <alignment horizontal="center" vertical="center"/>
    </xf>
    <xf numFmtId="0" fontId="0" fillId="0" borderId="250" xfId="0" applyBorder="1" applyAlignment="1">
      <alignment horizontal="center" vertical="center" wrapText="1"/>
    </xf>
    <xf numFmtId="0" fontId="4" fillId="0" borderId="250" xfId="0" applyFont="1" applyBorder="1" applyAlignment="1">
      <alignment horizontal="center" vertical="center"/>
    </xf>
    <xf numFmtId="168" fontId="52" fillId="36" borderId="250" xfId="0" applyNumberFormat="1" applyFont="1" applyFill="1" applyBorder="1"/>
    <xf numFmtId="0" fontId="0" fillId="14" borderId="248" xfId="0" applyFill="1" applyBorder="1"/>
    <xf numFmtId="0" fontId="0" fillId="14" borderId="247" xfId="0" applyFill="1" applyBorder="1"/>
    <xf numFmtId="0" fontId="46" fillId="5" borderId="250" xfId="0" applyFont="1" applyFill="1" applyBorder="1"/>
    <xf numFmtId="168" fontId="0" fillId="16" borderId="224" xfId="0" applyNumberFormat="1" applyFill="1" applyBorder="1"/>
    <xf numFmtId="168" fontId="11" fillId="16" borderId="224" xfId="0" applyNumberFormat="1" applyFont="1" applyFill="1" applyBorder="1"/>
    <xf numFmtId="0" fontId="46" fillId="23" borderId="250" xfId="0" applyFont="1" applyFill="1" applyBorder="1"/>
    <xf numFmtId="0" fontId="3" fillId="0" borderId="250" xfId="0" applyFont="1" applyBorder="1" applyAlignment="1">
      <alignment horizontal="center" vertical="center" wrapText="1"/>
    </xf>
    <xf numFmtId="168" fontId="0" fillId="0" borderId="250" xfId="0" applyNumberFormat="1" applyBorder="1" applyAlignment="1">
      <alignment horizontal="center" vertical="center"/>
    </xf>
    <xf numFmtId="0" fontId="0" fillId="0" borderId="88" xfId="0" applyBorder="1" applyAlignment="1">
      <alignment horizontal="center" vertical="center" wrapText="1"/>
    </xf>
    <xf numFmtId="168" fontId="0" fillId="0" borderId="88" xfId="0" applyNumberFormat="1" applyBorder="1"/>
    <xf numFmtId="168" fontId="11" fillId="5" borderId="250" xfId="0" applyNumberFormat="1" applyFont="1" applyFill="1" applyBorder="1"/>
    <xf numFmtId="0" fontId="11" fillId="5" borderId="250" xfId="0" applyFont="1" applyFill="1" applyBorder="1"/>
    <xf numFmtId="0" fontId="3" fillId="11" borderId="19" xfId="0" applyFont="1" applyFill="1" applyBorder="1" applyAlignment="1">
      <alignment horizontal="center" vertical="center"/>
    </xf>
    <xf numFmtId="43" fontId="8" fillId="0" borderId="0" xfId="0" applyNumberFormat="1" applyFont="1"/>
    <xf numFmtId="0" fontId="3" fillId="41" borderId="0" xfId="0" applyFont="1" applyFill="1" applyAlignment="1">
      <alignment vertical="center" wrapText="1"/>
    </xf>
    <xf numFmtId="164" fontId="0" fillId="0" borderId="0" xfId="0" applyNumberFormat="1" applyAlignment="1">
      <alignment horizontal="center"/>
    </xf>
    <xf numFmtId="164" fontId="0" fillId="2" borderId="252" xfId="0" applyNumberFormat="1" applyFill="1" applyBorder="1" applyAlignment="1">
      <alignment horizontal="center" vertical="center"/>
    </xf>
    <xf numFmtId="164" fontId="0" fillId="2" borderId="252" xfId="0" applyNumberFormat="1" applyFill="1" applyBorder="1" applyAlignment="1">
      <alignment vertical="center"/>
    </xf>
    <xf numFmtId="164" fontId="0" fillId="2" borderId="260" xfId="0" applyNumberFormat="1" applyFill="1" applyBorder="1" applyAlignment="1">
      <alignment vertical="center"/>
    </xf>
    <xf numFmtId="168" fontId="0" fillId="3" borderId="256" xfId="0" applyNumberFormat="1" applyFill="1" applyBorder="1" applyAlignment="1">
      <alignment horizontal="center"/>
    </xf>
    <xf numFmtId="168" fontId="0" fillId="3" borderId="265" xfId="0" applyNumberFormat="1" applyFill="1" applyBorder="1"/>
    <xf numFmtId="168" fontId="0" fillId="3" borderId="268" xfId="0" applyNumberFormat="1" applyFill="1" applyBorder="1"/>
    <xf numFmtId="168" fontId="0" fillId="35" borderId="255" xfId="0" applyNumberFormat="1" applyFill="1" applyBorder="1" applyAlignment="1">
      <alignment horizontal="center"/>
    </xf>
    <xf numFmtId="168" fontId="0" fillId="35" borderId="261" xfId="0" applyNumberFormat="1" applyFill="1" applyBorder="1"/>
    <xf numFmtId="168" fontId="0" fillId="35" borderId="269" xfId="0" applyNumberFormat="1" applyFill="1" applyBorder="1"/>
    <xf numFmtId="0" fontId="29" fillId="23" borderId="6" xfId="0" applyFont="1" applyFill="1" applyBorder="1" applyAlignment="1">
      <alignment horizontal="center" vertical="center"/>
    </xf>
    <xf numFmtId="168" fontId="11" fillId="5" borderId="0" xfId="0" applyNumberFormat="1" applyFont="1" applyFill="1"/>
    <xf numFmtId="168" fontId="11" fillId="5" borderId="0" xfId="0" applyNumberFormat="1" applyFont="1" applyFill="1" applyAlignment="1">
      <alignment horizontal="center" vertical="center"/>
    </xf>
    <xf numFmtId="168" fontId="11" fillId="5" borderId="0" xfId="0" applyNumberFormat="1" applyFont="1" applyFill="1" applyAlignment="1">
      <alignment horizontal="center"/>
    </xf>
    <xf numFmtId="168" fontId="29" fillId="5" borderId="0" xfId="0" applyNumberFormat="1" applyFont="1" applyFill="1"/>
    <xf numFmtId="10" fontId="11" fillId="5" borderId="0" xfId="0" applyNumberFormat="1" applyFont="1" applyFill="1"/>
    <xf numFmtId="168" fontId="33" fillId="5" borderId="0" xfId="0" applyNumberFormat="1" applyFont="1" applyFill="1"/>
    <xf numFmtId="168" fontId="92" fillId="5" borderId="0" xfId="0" applyNumberFormat="1" applyFont="1" applyFill="1"/>
    <xf numFmtId="168" fontId="92" fillId="5" borderId="0" xfId="0" applyNumberFormat="1" applyFont="1" applyFill="1" applyAlignment="1">
      <alignment horizontal="right"/>
    </xf>
    <xf numFmtId="168" fontId="92" fillId="5" borderId="0" xfId="0" applyNumberFormat="1" applyFont="1" applyFill="1" applyAlignment="1">
      <alignment horizontal="left"/>
    </xf>
    <xf numFmtId="168" fontId="29" fillId="5" borderId="0" xfId="0" applyNumberFormat="1" applyFont="1" applyFill="1" applyAlignment="1">
      <alignment horizontal="left"/>
    </xf>
    <xf numFmtId="168" fontId="92" fillId="5" borderId="0" xfId="0" applyNumberFormat="1" applyFont="1" applyFill="1" applyAlignment="1">
      <alignment vertical="center"/>
    </xf>
    <xf numFmtId="168" fontId="33" fillId="0" borderId="0" xfId="0" applyNumberFormat="1" applyFont="1"/>
    <xf numFmtId="2" fontId="33" fillId="0" borderId="0" xfId="0" applyNumberFormat="1" applyFont="1"/>
    <xf numFmtId="2" fontId="11" fillId="0" borderId="0" xfId="0" applyNumberFormat="1" applyFont="1"/>
    <xf numFmtId="0" fontId="91" fillId="41" borderId="78" xfId="0" applyFont="1" applyFill="1" applyBorder="1"/>
    <xf numFmtId="0" fontId="48" fillId="18" borderId="9" xfId="0" applyFont="1" applyFill="1" applyBorder="1"/>
    <xf numFmtId="0" fontId="48" fillId="18" borderId="90" xfId="0" applyFont="1" applyFill="1" applyBorder="1" applyAlignment="1">
      <alignment vertical="center"/>
    </xf>
    <xf numFmtId="165" fontId="81" fillId="0" borderId="27" xfId="0" applyNumberFormat="1" applyFont="1" applyBorder="1"/>
    <xf numFmtId="168" fontId="31" fillId="40" borderId="33" xfId="0" applyNumberFormat="1" applyFont="1" applyFill="1" applyBorder="1" applyAlignment="1">
      <alignment horizontal="center" vertical="center"/>
    </xf>
    <xf numFmtId="0" fontId="0" fillId="5" borderId="233" xfId="0" applyFill="1" applyBorder="1"/>
    <xf numFmtId="0" fontId="0" fillId="5" borderId="139" xfId="0" applyFill="1" applyBorder="1"/>
    <xf numFmtId="168" fontId="0" fillId="32" borderId="2" xfId="0" applyNumberFormat="1" applyFill="1" applyBorder="1"/>
    <xf numFmtId="191" fontId="0" fillId="0" borderId="0" xfId="0" applyNumberFormat="1"/>
    <xf numFmtId="168" fontId="0" fillId="32" borderId="6" xfId="0" applyNumberFormat="1" applyFill="1" applyBorder="1"/>
    <xf numFmtId="0" fontId="3" fillId="32" borderId="1" xfId="0" applyFont="1" applyFill="1" applyBorder="1" applyAlignment="1">
      <alignment horizontal="center" vertical="center" wrapText="1"/>
    </xf>
    <xf numFmtId="168" fontId="0" fillId="0" borderId="300" xfId="0" applyNumberFormat="1" applyBorder="1"/>
    <xf numFmtId="168" fontId="0" fillId="0" borderId="301" xfId="0" applyNumberFormat="1" applyBorder="1"/>
    <xf numFmtId="165" fontId="0" fillId="0" borderId="302" xfId="0" applyNumberFormat="1" applyBorder="1"/>
    <xf numFmtId="0" fontId="0" fillId="0" borderId="303" xfId="0" applyBorder="1"/>
    <xf numFmtId="0" fontId="0" fillId="0" borderId="300" xfId="0" applyBorder="1"/>
    <xf numFmtId="0" fontId="0" fillId="0" borderId="300" xfId="0" applyBorder="1" applyAlignment="1">
      <alignment horizontal="center"/>
    </xf>
    <xf numFmtId="0" fontId="0" fillId="0" borderId="304" xfId="0" applyBorder="1"/>
    <xf numFmtId="0" fontId="0" fillId="0" borderId="305" xfId="0" applyBorder="1"/>
    <xf numFmtId="0" fontId="0" fillId="23" borderId="306" xfId="0" applyFill="1" applyBorder="1"/>
    <xf numFmtId="168" fontId="0" fillId="5" borderId="306" xfId="0" applyNumberFormat="1" applyFill="1" applyBorder="1"/>
    <xf numFmtId="168" fontId="0" fillId="5" borderId="303" xfId="0" applyNumberFormat="1" applyFill="1" applyBorder="1"/>
    <xf numFmtId="0" fontId="0" fillId="5" borderId="300" xfId="0" applyFill="1" applyBorder="1" applyAlignment="1">
      <alignment horizontal="center"/>
    </xf>
    <xf numFmtId="0" fontId="0" fillId="5" borderId="302" xfId="0" applyFill="1" applyBorder="1" applyAlignment="1">
      <alignment horizontal="center"/>
    </xf>
    <xf numFmtId="0" fontId="0" fillId="0" borderId="225" xfId="0" applyBorder="1"/>
    <xf numFmtId="0" fontId="0" fillId="0" borderId="229" xfId="0" applyBorder="1"/>
    <xf numFmtId="0" fontId="0" fillId="0" borderId="228" xfId="0" applyBorder="1"/>
    <xf numFmtId="0" fontId="1" fillId="0" borderId="228" xfId="0" applyFont="1" applyBorder="1"/>
    <xf numFmtId="165" fontId="0" fillId="0" borderId="228" xfId="0" applyNumberFormat="1" applyBorder="1"/>
    <xf numFmtId="165" fontId="0" fillId="0" borderId="229" xfId="0" applyNumberFormat="1" applyBorder="1"/>
    <xf numFmtId="0" fontId="0" fillId="0" borderId="231" xfId="0" applyBorder="1"/>
    <xf numFmtId="0" fontId="0" fillId="0" borderId="232" xfId="0" applyBorder="1"/>
    <xf numFmtId="168" fontId="3" fillId="92" borderId="0" xfId="0" applyNumberFormat="1" applyFont="1" applyFill="1"/>
    <xf numFmtId="168" fontId="3" fillId="32" borderId="162" xfId="0" applyNumberFormat="1" applyFont="1" applyFill="1" applyBorder="1"/>
    <xf numFmtId="4" fontId="3" fillId="32" borderId="0" xfId="0" applyNumberFormat="1" applyFont="1" applyFill="1"/>
    <xf numFmtId="168" fontId="0" fillId="35" borderId="0" xfId="0" applyNumberFormat="1" applyFill="1"/>
    <xf numFmtId="164" fontId="3" fillId="49" borderId="0" xfId="0" applyNumberFormat="1" applyFont="1" applyFill="1"/>
    <xf numFmtId="190" fontId="3" fillId="0" borderId="1" xfId="0" applyNumberFormat="1" applyFont="1" applyBorder="1" applyAlignment="1">
      <alignment horizontal="center" vertical="center" wrapText="1"/>
    </xf>
    <xf numFmtId="190" fontId="3" fillId="0" borderId="1" xfId="0" applyNumberFormat="1" applyFont="1" applyBorder="1" applyAlignment="1">
      <alignment vertical="center" wrapText="1"/>
    </xf>
    <xf numFmtId="173" fontId="25" fillId="0" borderId="0" xfId="0" applyNumberFormat="1" applyFont="1"/>
    <xf numFmtId="168" fontId="0" fillId="0" borderId="225" xfId="0" applyNumberFormat="1" applyBorder="1"/>
    <xf numFmtId="168" fontId="0" fillId="0" borderId="228" xfId="0" applyNumberFormat="1" applyBorder="1"/>
    <xf numFmtId="168" fontId="1" fillId="0" borderId="228" xfId="0" applyNumberFormat="1" applyFont="1" applyBorder="1"/>
    <xf numFmtId="168" fontId="0" fillId="0" borderId="231" xfId="0" applyNumberFormat="1" applyBorder="1"/>
    <xf numFmtId="190" fontId="3" fillId="32" borderId="1" xfId="0" applyNumberFormat="1" applyFont="1" applyFill="1" applyBorder="1" applyAlignment="1">
      <alignment horizontal="center" vertical="center" wrapText="1"/>
    </xf>
    <xf numFmtId="0" fontId="0" fillId="32" borderId="12" xfId="0" applyFill="1" applyBorder="1"/>
    <xf numFmtId="14" fontId="0" fillId="0" borderId="0" xfId="0" applyNumberFormat="1"/>
    <xf numFmtId="0" fontId="0" fillId="95" borderId="0" xfId="0" applyFill="1"/>
    <xf numFmtId="0" fontId="96" fillId="93" borderId="0" xfId="0" applyFont="1" applyFill="1" applyAlignment="1">
      <alignment horizontal="right"/>
    </xf>
    <xf numFmtId="0" fontId="45" fillId="93" borderId="308" xfId="0" applyFont="1" applyFill="1" applyBorder="1" applyAlignment="1">
      <alignment horizontal="center" vertical="center"/>
    </xf>
    <xf numFmtId="0" fontId="97" fillId="93" borderId="312" xfId="0" applyFont="1" applyFill="1" applyBorder="1" applyAlignment="1">
      <alignment horizontal="center"/>
    </xf>
    <xf numFmtId="0" fontId="97" fillId="93" borderId="313" xfId="0" applyFont="1" applyFill="1" applyBorder="1" applyAlignment="1">
      <alignment horizontal="center"/>
    </xf>
    <xf numFmtId="0" fontId="97" fillId="93" borderId="317" xfId="0" applyFont="1" applyFill="1" applyBorder="1" applyAlignment="1">
      <alignment horizontal="center"/>
    </xf>
    <xf numFmtId="0" fontId="94" fillId="97" borderId="0" xfId="0" applyFont="1" applyFill="1" applyAlignment="1">
      <alignment horizontal="right" vertical="center"/>
    </xf>
    <xf numFmtId="0" fontId="0" fillId="110" borderId="0" xfId="0" applyFill="1"/>
    <xf numFmtId="0" fontId="98" fillId="93" borderId="330" xfId="0" applyFont="1" applyFill="1" applyBorder="1" applyAlignment="1">
      <alignment vertical="center"/>
    </xf>
    <xf numFmtId="0" fontId="98" fillId="93" borderId="338" xfId="0" applyFont="1" applyFill="1" applyBorder="1" applyAlignment="1">
      <alignment vertical="center"/>
    </xf>
    <xf numFmtId="0" fontId="97" fillId="93" borderId="338" xfId="0" applyFont="1" applyFill="1" applyBorder="1" applyAlignment="1">
      <alignment horizontal="center"/>
    </xf>
    <xf numFmtId="0" fontId="97" fillId="93" borderId="339" xfId="0" applyFont="1" applyFill="1" applyBorder="1" applyAlignment="1">
      <alignment horizontal="center"/>
    </xf>
    <xf numFmtId="0" fontId="97" fillId="93" borderId="343" xfId="0" applyFont="1" applyFill="1" applyBorder="1" applyAlignment="1">
      <alignment horizontal="center"/>
    </xf>
    <xf numFmtId="0" fontId="98" fillId="93" borderId="347" xfId="0" applyFont="1" applyFill="1" applyBorder="1" applyAlignment="1">
      <alignment vertical="top"/>
    </xf>
    <xf numFmtId="0" fontId="98" fillId="93" borderId="312" xfId="0" applyFont="1" applyFill="1" applyBorder="1" applyAlignment="1">
      <alignment vertical="top"/>
    </xf>
    <xf numFmtId="0" fontId="98" fillId="93" borderId="324" xfId="0" applyFont="1" applyFill="1" applyBorder="1" applyAlignment="1">
      <alignment vertical="top"/>
    </xf>
    <xf numFmtId="0" fontId="98" fillId="93" borderId="351" xfId="0" applyFont="1" applyFill="1" applyBorder="1" applyAlignment="1">
      <alignment vertical="top"/>
    </xf>
    <xf numFmtId="0" fontId="98" fillId="93" borderId="313" xfId="0" applyFont="1" applyFill="1" applyBorder="1" applyAlignment="1">
      <alignment vertical="top"/>
    </xf>
    <xf numFmtId="0" fontId="97" fillId="93" borderId="347" xfId="0" applyFont="1" applyFill="1" applyBorder="1" applyAlignment="1">
      <alignment horizontal="center"/>
    </xf>
    <xf numFmtId="2" fontId="48" fillId="14" borderId="39" xfId="0" applyNumberFormat="1" applyFont="1" applyFill="1" applyBorder="1"/>
    <xf numFmtId="2" fontId="48" fillId="14" borderId="33" xfId="0" applyNumberFormat="1" applyFont="1" applyFill="1" applyBorder="1"/>
    <xf numFmtId="2" fontId="47" fillId="0" borderId="39" xfId="0" applyNumberFormat="1" applyFont="1" applyBorder="1"/>
    <xf numFmtId="2" fontId="47" fillId="0" borderId="33" xfId="0" applyNumberFormat="1" applyFont="1" applyBorder="1"/>
    <xf numFmtId="2" fontId="31" fillId="40" borderId="33" xfId="0" applyNumberFormat="1" applyFont="1" applyFill="1" applyBorder="1"/>
    <xf numFmtId="180" fontId="47" fillId="38" borderId="33" xfId="0" applyNumberFormat="1" applyFont="1" applyFill="1" applyBorder="1"/>
    <xf numFmtId="9" fontId="48" fillId="14" borderId="33" xfId="0" applyNumberFormat="1" applyFont="1" applyFill="1" applyBorder="1"/>
    <xf numFmtId="9" fontId="48" fillId="0" borderId="33" xfId="0" applyNumberFormat="1" applyFont="1" applyBorder="1"/>
    <xf numFmtId="9" fontId="47" fillId="38" borderId="33" xfId="0" applyNumberFormat="1" applyFont="1" applyFill="1" applyBorder="1"/>
    <xf numFmtId="10" fontId="47" fillId="0" borderId="33" xfId="0" applyNumberFormat="1" applyFont="1" applyBorder="1"/>
    <xf numFmtId="10" fontId="31" fillId="40" borderId="33" xfId="0" applyNumberFormat="1" applyFont="1" applyFill="1" applyBorder="1"/>
    <xf numFmtId="10" fontId="49" fillId="36" borderId="33" xfId="0" applyNumberFormat="1" applyFont="1" applyFill="1" applyBorder="1"/>
    <xf numFmtId="10" fontId="31" fillId="14" borderId="33" xfId="0" applyNumberFormat="1" applyFont="1" applyFill="1" applyBorder="1"/>
    <xf numFmtId="10" fontId="48" fillId="5" borderId="33" xfId="0" applyNumberFormat="1" applyFont="1" applyFill="1" applyBorder="1"/>
    <xf numFmtId="10" fontId="47" fillId="14" borderId="33" xfId="0" applyNumberFormat="1" applyFont="1" applyFill="1" applyBorder="1"/>
    <xf numFmtId="10" fontId="47" fillId="0" borderId="33" xfId="0" applyNumberFormat="1" applyFont="1" applyBorder="1" applyAlignment="1">
      <alignment horizontal="center" vertical="center"/>
    </xf>
    <xf numFmtId="10" fontId="48" fillId="38" borderId="33" xfId="0" applyNumberFormat="1" applyFont="1" applyFill="1" applyBorder="1"/>
    <xf numFmtId="10" fontId="47" fillId="0" borderId="159" xfId="0" applyNumberFormat="1" applyFont="1" applyBorder="1"/>
    <xf numFmtId="2" fontId="48" fillId="36" borderId="157" xfId="0" applyNumberFormat="1" applyFont="1" applyFill="1" applyBorder="1"/>
    <xf numFmtId="2" fontId="47" fillId="0" borderId="79" xfId="0" applyNumberFormat="1" applyFont="1" applyBorder="1"/>
    <xf numFmtId="180" fontId="47" fillId="0" borderId="79" xfId="0" applyNumberFormat="1" applyFont="1" applyBorder="1"/>
    <xf numFmtId="180" fontId="48" fillId="36" borderId="157" xfId="0" applyNumberFormat="1" applyFont="1" applyFill="1" applyBorder="1"/>
    <xf numFmtId="180" fontId="47" fillId="0" borderId="158" xfId="0" applyNumberFormat="1" applyFont="1" applyBorder="1"/>
    <xf numFmtId="180" fontId="47" fillId="0" borderId="143" xfId="0" applyNumberFormat="1" applyFont="1" applyBorder="1"/>
    <xf numFmtId="10" fontId="49" fillId="16" borderId="33" xfId="0" applyNumberFormat="1" applyFont="1" applyFill="1" applyBorder="1"/>
    <xf numFmtId="9" fontId="10" fillId="90" borderId="33" xfId="0" applyNumberFormat="1" applyFont="1" applyFill="1" applyBorder="1"/>
    <xf numFmtId="9" fontId="48" fillId="5" borderId="33" xfId="0" applyNumberFormat="1" applyFont="1" applyFill="1" applyBorder="1"/>
    <xf numFmtId="9" fontId="77" fillId="5" borderId="33" xfId="0" applyNumberFormat="1" applyFont="1" applyFill="1" applyBorder="1"/>
    <xf numFmtId="9" fontId="48" fillId="15" borderId="33" xfId="0" applyNumberFormat="1" applyFont="1" applyFill="1" applyBorder="1"/>
    <xf numFmtId="2" fontId="10" fillId="90" borderId="39" xfId="0" applyNumberFormat="1" applyFont="1" applyFill="1" applyBorder="1"/>
    <xf numFmtId="2" fontId="10" fillId="90" borderId="33" xfId="0" applyNumberFormat="1" applyFont="1" applyFill="1" applyBorder="1"/>
    <xf numFmtId="173" fontId="29" fillId="2" borderId="0" xfId="46" applyNumberFormat="1" applyFont="1" applyFill="1"/>
    <xf numFmtId="173" fontId="29" fillId="17" borderId="0" xfId="46" applyNumberFormat="1" applyFont="1" applyFill="1"/>
    <xf numFmtId="173" fontId="29" fillId="41" borderId="43" xfId="46" applyNumberFormat="1" applyFont="1" applyFill="1" applyBorder="1" applyAlignment="1">
      <alignment vertical="center"/>
    </xf>
    <xf numFmtId="173" fontId="29" fillId="35" borderId="0" xfId="46" applyNumberFormat="1" applyFont="1" applyFill="1"/>
    <xf numFmtId="173" fontId="29" fillId="3" borderId="0" xfId="46" applyNumberFormat="1" applyFont="1" applyFill="1"/>
    <xf numFmtId="192" fontId="1" fillId="17" borderId="266" xfId="46" applyNumberFormat="1" applyFont="1" applyFill="1" applyBorder="1"/>
    <xf numFmtId="192" fontId="0" fillId="17" borderId="283" xfId="46" applyNumberFormat="1" applyFont="1" applyFill="1" applyBorder="1"/>
    <xf numFmtId="192" fontId="0" fillId="17" borderId="266" xfId="46" applyNumberFormat="1" applyFont="1" applyFill="1" applyBorder="1"/>
    <xf numFmtId="173" fontId="1" fillId="41" borderId="273" xfId="46" applyNumberFormat="1" applyFont="1" applyFill="1" applyBorder="1" applyAlignment="1">
      <alignment vertical="center"/>
    </xf>
    <xf numFmtId="173" fontId="1" fillId="2" borderId="266" xfId="46" applyNumberFormat="1" applyFont="1" applyFill="1" applyBorder="1"/>
    <xf numFmtId="173" fontId="1" fillId="17" borderId="266" xfId="46" applyNumberFormat="1" applyFont="1" applyFill="1" applyBorder="1"/>
    <xf numFmtId="173" fontId="0" fillId="0" borderId="271" xfId="46" applyNumberFormat="1" applyFont="1" applyBorder="1"/>
    <xf numFmtId="173" fontId="0" fillId="41" borderId="273" xfId="46" applyNumberFormat="1" applyFont="1" applyFill="1" applyBorder="1"/>
    <xf numFmtId="173" fontId="0" fillId="2" borderId="266" xfId="46" applyNumberFormat="1" applyFont="1" applyFill="1" applyBorder="1"/>
    <xf numFmtId="173" fontId="0" fillId="0" borderId="277" xfId="46" applyNumberFormat="1" applyFont="1" applyBorder="1"/>
    <xf numFmtId="173" fontId="0" fillId="41" borderId="282" xfId="46" applyNumberFormat="1" applyFont="1" applyFill="1" applyBorder="1"/>
    <xf numFmtId="173" fontId="0" fillId="41" borderId="293" xfId="46" applyNumberFormat="1" applyFont="1" applyFill="1" applyBorder="1"/>
    <xf numFmtId="173" fontId="0" fillId="2" borderId="283" xfId="46" applyNumberFormat="1" applyFont="1" applyFill="1" applyBorder="1"/>
    <xf numFmtId="173" fontId="0" fillId="17" borderId="283" xfId="46" applyNumberFormat="1" applyFont="1" applyFill="1" applyBorder="1"/>
    <xf numFmtId="173" fontId="0" fillId="0" borderId="284" xfId="46" applyNumberFormat="1" applyFont="1" applyBorder="1"/>
    <xf numFmtId="173" fontId="0" fillId="35" borderId="283" xfId="46" applyNumberFormat="1" applyFont="1" applyFill="1" applyBorder="1"/>
    <xf numFmtId="173" fontId="0" fillId="41" borderId="285" xfId="46" applyNumberFormat="1" applyFont="1" applyFill="1" applyBorder="1"/>
    <xf numFmtId="173" fontId="0" fillId="35" borderId="258" xfId="46" applyNumberFormat="1" applyFont="1" applyFill="1" applyBorder="1"/>
    <xf numFmtId="173" fontId="0" fillId="17" borderId="281" xfId="46" applyNumberFormat="1" applyFont="1" applyFill="1" applyBorder="1"/>
    <xf numFmtId="173" fontId="0" fillId="17" borderId="266" xfId="46" applyNumberFormat="1" applyFont="1" applyFill="1" applyBorder="1"/>
    <xf numFmtId="173" fontId="3" fillId="35" borderId="12" xfId="46" applyNumberFormat="1" applyFont="1" applyFill="1" applyBorder="1"/>
    <xf numFmtId="192" fontId="1" fillId="41" borderId="257" xfId="46" applyNumberFormat="1" applyFont="1" applyFill="1" applyBorder="1" applyAlignment="1">
      <alignment vertical="center"/>
    </xf>
    <xf numFmtId="192" fontId="1" fillId="2" borderId="258" xfId="46" applyNumberFormat="1" applyFont="1" applyFill="1" applyBorder="1"/>
    <xf numFmtId="192" fontId="0" fillId="17" borderId="258" xfId="46" applyNumberFormat="1" applyFont="1" applyFill="1" applyBorder="1"/>
    <xf numFmtId="192" fontId="0" fillId="0" borderId="281" xfId="46" applyNumberFormat="1" applyFont="1" applyBorder="1"/>
    <xf numFmtId="192" fontId="0" fillId="41" borderId="257" xfId="46" applyNumberFormat="1" applyFont="1" applyFill="1" applyBorder="1"/>
    <xf numFmtId="192" fontId="0" fillId="2" borderId="258" xfId="46" applyNumberFormat="1" applyFont="1" applyFill="1" applyBorder="1"/>
    <xf numFmtId="192" fontId="0" fillId="0" borderId="259" xfId="46" applyNumberFormat="1" applyFont="1" applyBorder="1"/>
    <xf numFmtId="192" fontId="0" fillId="41" borderId="11" xfId="46" applyNumberFormat="1" applyFont="1" applyFill="1" applyBorder="1"/>
    <xf numFmtId="192" fontId="0" fillId="41" borderId="144" xfId="46" applyNumberFormat="1" applyFont="1" applyFill="1" applyBorder="1"/>
    <xf numFmtId="192" fontId="0" fillId="0" borderId="13" xfId="46" applyNumberFormat="1" applyFont="1" applyBorder="1"/>
    <xf numFmtId="192" fontId="0" fillId="35" borderId="12" xfId="46" applyNumberFormat="1" applyFont="1" applyFill="1" applyBorder="1"/>
    <xf numFmtId="192" fontId="0" fillId="17" borderId="12" xfId="46" applyNumberFormat="1" applyFont="1" applyFill="1" applyBorder="1"/>
    <xf numFmtId="192" fontId="0" fillId="41" borderId="145" xfId="46" applyNumberFormat="1" applyFont="1" applyFill="1" applyBorder="1"/>
    <xf numFmtId="192" fontId="0" fillId="17" borderId="161" xfId="46" applyNumberFormat="1" applyFont="1" applyFill="1" applyBorder="1"/>
    <xf numFmtId="192" fontId="0" fillId="41" borderId="242" xfId="46" applyNumberFormat="1" applyFont="1" applyFill="1" applyBorder="1"/>
    <xf numFmtId="192" fontId="0" fillId="0" borderId="294" xfId="46" applyNumberFormat="1" applyFont="1" applyBorder="1"/>
    <xf numFmtId="192" fontId="3" fillId="35" borderId="6" xfId="46" applyNumberFormat="1" applyFont="1" applyFill="1" applyBorder="1"/>
    <xf numFmtId="192" fontId="0" fillId="0" borderId="6" xfId="46" applyNumberFormat="1" applyFont="1" applyBorder="1"/>
    <xf numFmtId="173" fontId="1" fillId="41" borderId="274" xfId="46" applyNumberFormat="1" applyFont="1" applyFill="1" applyBorder="1" applyAlignment="1">
      <alignment vertical="center"/>
    </xf>
    <xf numFmtId="173" fontId="1" fillId="2" borderId="267" xfId="46" applyNumberFormat="1" applyFont="1" applyFill="1" applyBorder="1"/>
    <xf numFmtId="173" fontId="0" fillId="17" borderId="258" xfId="46" applyNumberFormat="1" applyFont="1" applyFill="1" applyBorder="1"/>
    <xf numFmtId="173" fontId="0" fillId="0" borderId="272" xfId="46" applyNumberFormat="1" applyFont="1" applyBorder="1"/>
    <xf numFmtId="173" fontId="0" fillId="41" borderId="274" xfId="46" applyNumberFormat="1" applyFont="1" applyFill="1" applyBorder="1"/>
    <xf numFmtId="173" fontId="0" fillId="2" borderId="267" xfId="46" applyNumberFormat="1" applyFont="1" applyFill="1" applyBorder="1"/>
    <xf numFmtId="173" fontId="1" fillId="17" borderId="267" xfId="46" applyNumberFormat="1" applyFont="1" applyFill="1" applyBorder="1"/>
    <xf numFmtId="173" fontId="0" fillId="0" borderId="278" xfId="46" applyNumberFormat="1" applyFont="1" applyBorder="1"/>
    <xf numFmtId="173" fontId="0" fillId="41" borderId="2" xfId="46" applyNumberFormat="1" applyFont="1" applyFill="1" applyBorder="1"/>
    <xf numFmtId="173" fontId="0" fillId="41" borderId="176" xfId="46" applyNumberFormat="1" applyFont="1" applyFill="1" applyBorder="1"/>
    <xf numFmtId="173" fontId="0" fillId="0" borderId="6" xfId="46" applyNumberFormat="1" applyFont="1" applyBorder="1"/>
    <xf numFmtId="173" fontId="0" fillId="0" borderId="9" xfId="46" applyNumberFormat="1" applyFont="1" applyBorder="1"/>
    <xf numFmtId="173" fontId="0" fillId="41" borderId="3" xfId="46" applyNumberFormat="1" applyFont="1" applyFill="1" applyBorder="1"/>
    <xf numFmtId="173" fontId="0" fillId="35" borderId="6" xfId="46" applyNumberFormat="1" applyFont="1" applyFill="1" applyBorder="1"/>
    <xf numFmtId="173" fontId="0" fillId="17" borderId="6" xfId="46" applyNumberFormat="1" applyFont="1" applyFill="1" applyBorder="1"/>
    <xf numFmtId="173" fontId="0" fillId="41" borderId="140" xfId="46" applyNumberFormat="1" applyFont="1" applyFill="1" applyBorder="1"/>
    <xf numFmtId="173" fontId="0" fillId="17" borderId="161" xfId="46" applyNumberFormat="1" applyFont="1" applyFill="1" applyBorder="1"/>
    <xf numFmtId="173" fontId="0" fillId="41" borderId="242" xfId="46" applyNumberFormat="1" applyFont="1" applyFill="1" applyBorder="1"/>
    <xf numFmtId="173" fontId="0" fillId="2" borderId="22" xfId="46" applyNumberFormat="1" applyFont="1" applyFill="1" applyBorder="1"/>
    <xf numFmtId="173" fontId="0" fillId="17" borderId="267" xfId="46" applyNumberFormat="1" applyFont="1" applyFill="1" applyBorder="1"/>
    <xf numFmtId="173" fontId="0" fillId="17" borderId="160" xfId="46" applyNumberFormat="1" applyFont="1" applyFill="1" applyBorder="1"/>
    <xf numFmtId="173" fontId="1" fillId="41" borderId="275" xfId="46" applyNumberFormat="1" applyFont="1" applyFill="1" applyBorder="1" applyAlignment="1">
      <alignment vertical="center"/>
    </xf>
    <xf numFmtId="173" fontId="1" fillId="2" borderId="276" xfId="46" applyNumberFormat="1" applyFont="1" applyFill="1" applyBorder="1"/>
    <xf numFmtId="173" fontId="0" fillId="0" borderId="280" xfId="46" applyNumberFormat="1" applyFont="1" applyBorder="1"/>
    <xf numFmtId="173" fontId="0" fillId="41" borderId="275" xfId="46" applyNumberFormat="1" applyFont="1" applyFill="1" applyBorder="1"/>
    <xf numFmtId="173" fontId="0" fillId="2" borderId="276" xfId="46" applyNumberFormat="1" applyFont="1" applyFill="1" applyBorder="1"/>
    <xf numFmtId="173" fontId="0" fillId="0" borderId="279" xfId="46" applyNumberFormat="1" applyFont="1" applyBorder="1"/>
    <xf numFmtId="173" fontId="0" fillId="0" borderId="139" xfId="46" applyNumberFormat="1" applyFont="1" applyBorder="1"/>
    <xf numFmtId="173" fontId="0" fillId="41" borderId="137" xfId="46" applyNumberFormat="1" applyFont="1" applyFill="1" applyBorder="1"/>
    <xf numFmtId="173" fontId="0" fillId="35" borderId="7" xfId="46" applyNumberFormat="1" applyFont="1" applyFill="1" applyBorder="1"/>
    <xf numFmtId="173" fontId="0" fillId="0" borderId="10" xfId="46" applyNumberFormat="1" applyFont="1" applyBorder="1"/>
    <xf numFmtId="173" fontId="0" fillId="41" borderId="142" xfId="46" applyNumberFormat="1" applyFont="1" applyFill="1" applyBorder="1"/>
    <xf numFmtId="173" fontId="0" fillId="17" borderId="164" xfId="46" applyNumberFormat="1" applyFont="1" applyFill="1" applyBorder="1"/>
    <xf numFmtId="173" fontId="0" fillId="41" borderId="243" xfId="46" applyNumberFormat="1" applyFont="1" applyFill="1" applyBorder="1"/>
    <xf numFmtId="173" fontId="0" fillId="2" borderId="138" xfId="46" applyNumberFormat="1" applyFont="1" applyFill="1" applyBorder="1"/>
    <xf numFmtId="10" fontId="0" fillId="0" borderId="172" xfId="0" applyNumberFormat="1" applyBorder="1"/>
    <xf numFmtId="10" fontId="0" fillId="0" borderId="124" xfId="0" applyNumberFormat="1" applyBorder="1"/>
    <xf numFmtId="10" fontId="0" fillId="0" borderId="123" xfId="0" applyNumberFormat="1" applyBorder="1"/>
    <xf numFmtId="10" fontId="0" fillId="0" borderId="135" xfId="0" applyNumberFormat="1" applyBorder="1"/>
    <xf numFmtId="10" fontId="0" fillId="0" borderId="133" xfId="0" applyNumberFormat="1" applyBorder="1"/>
    <xf numFmtId="10" fontId="0" fillId="31" borderId="135" xfId="0" applyNumberFormat="1" applyFill="1" applyBorder="1"/>
    <xf numFmtId="10" fontId="0" fillId="31" borderId="133" xfId="0" applyNumberFormat="1" applyFill="1" applyBorder="1"/>
    <xf numFmtId="10" fontId="0" fillId="27" borderId="135" xfId="0" applyNumberFormat="1" applyFill="1" applyBorder="1"/>
    <xf numFmtId="10" fontId="0" fillId="27" borderId="133" xfId="0" applyNumberFormat="1" applyFill="1" applyBorder="1"/>
    <xf numFmtId="10" fontId="0" fillId="17" borderId="135" xfId="0" applyNumberFormat="1" applyFill="1" applyBorder="1"/>
    <xf numFmtId="2" fontId="0" fillId="17" borderId="76" xfId="0" applyNumberFormat="1" applyFill="1" applyBorder="1"/>
    <xf numFmtId="2" fontId="0" fillId="17" borderId="52" xfId="0" applyNumberFormat="1" applyFill="1" applyBorder="1"/>
    <xf numFmtId="2" fontId="0" fillId="17" borderId="45" xfId="0" applyNumberFormat="1" applyFill="1" applyBorder="1"/>
    <xf numFmtId="2" fontId="0" fillId="17" borderId="54" xfId="0" applyNumberFormat="1" applyFill="1" applyBorder="1"/>
    <xf numFmtId="2" fontId="0" fillId="0" borderId="25" xfId="0" applyNumberFormat="1" applyBorder="1"/>
    <xf numFmtId="2" fontId="0" fillId="0" borderId="72" xfId="0" applyNumberFormat="1" applyBorder="1"/>
    <xf numFmtId="2" fontId="0" fillId="0" borderId="73" xfId="0" applyNumberFormat="1" applyBorder="1"/>
    <xf numFmtId="2" fontId="0" fillId="0" borderId="74" xfId="0" applyNumberFormat="1" applyBorder="1"/>
    <xf numFmtId="2" fontId="0" fillId="17" borderId="53" xfId="0" applyNumberFormat="1" applyFill="1" applyBorder="1"/>
    <xf numFmtId="2" fontId="0" fillId="0" borderId="77" xfId="0" applyNumberFormat="1" applyBorder="1"/>
    <xf numFmtId="180" fontId="0" fillId="17" borderId="53" xfId="0" applyNumberFormat="1" applyFill="1" applyBorder="1"/>
    <xf numFmtId="180" fontId="0" fillId="17" borderId="45" xfId="0" applyNumberFormat="1" applyFill="1" applyBorder="1"/>
    <xf numFmtId="180" fontId="0" fillId="17" borderId="54" xfId="0" applyNumberFormat="1" applyFill="1" applyBorder="1"/>
    <xf numFmtId="180" fontId="0" fillId="0" borderId="77" xfId="0" applyNumberFormat="1" applyBorder="1"/>
    <xf numFmtId="180" fontId="0" fillId="0" borderId="73" xfId="0" applyNumberFormat="1" applyBorder="1"/>
    <xf numFmtId="180" fontId="0" fillId="0" borderId="74" xfId="0" applyNumberFormat="1" applyBorder="1"/>
    <xf numFmtId="180" fontId="0" fillId="0" borderId="0" xfId="0" applyNumberFormat="1"/>
    <xf numFmtId="180" fontId="0" fillId="16" borderId="75" xfId="0" applyNumberFormat="1" applyFill="1" applyBorder="1"/>
    <xf numFmtId="180" fontId="0" fillId="16" borderId="70" xfId="0" applyNumberFormat="1" applyFill="1" applyBorder="1"/>
    <xf numFmtId="180" fontId="0" fillId="16" borderId="71" xfId="0" applyNumberFormat="1" applyFill="1" applyBorder="1"/>
    <xf numFmtId="180" fontId="0" fillId="17" borderId="76" xfId="0" applyNumberFormat="1" applyFill="1" applyBorder="1"/>
    <xf numFmtId="180" fontId="0" fillId="17" borderId="52" xfId="0" applyNumberFormat="1" applyFill="1" applyBorder="1"/>
    <xf numFmtId="180" fontId="0" fillId="0" borderId="25" xfId="0" applyNumberFormat="1" applyBorder="1"/>
    <xf numFmtId="180" fontId="0" fillId="0" borderId="72" xfId="0" applyNumberFormat="1" applyBorder="1"/>
    <xf numFmtId="1" fontId="0" fillId="16" borderId="224" xfId="0" applyNumberFormat="1" applyFill="1" applyBorder="1"/>
    <xf numFmtId="1" fontId="0" fillId="16" borderId="69" xfId="0" applyNumberFormat="1" applyFill="1" applyBorder="1"/>
    <xf numFmtId="1" fontId="0" fillId="16" borderId="70" xfId="0" applyNumberFormat="1" applyFill="1" applyBorder="1"/>
    <xf numFmtId="1" fontId="0" fillId="16" borderId="71" xfId="0" applyNumberFormat="1" applyFill="1" applyBorder="1"/>
    <xf numFmtId="2" fontId="0" fillId="17" borderId="53" xfId="0" quotePrefix="1" applyNumberFormat="1" applyFill="1" applyBorder="1"/>
    <xf numFmtId="2" fontId="0" fillId="0" borderId="77" xfId="0" quotePrefix="1" applyNumberFormat="1" applyBorder="1"/>
    <xf numFmtId="192" fontId="0" fillId="0" borderId="3" xfId="46" applyNumberFormat="1" applyFont="1" applyBorder="1"/>
    <xf numFmtId="192" fontId="0" fillId="5" borderId="162" xfId="46" applyNumberFormat="1" applyFont="1" applyFill="1" applyBorder="1"/>
    <xf numFmtId="10" fontId="0" fillId="0" borderId="171" xfId="0" applyNumberFormat="1" applyBorder="1"/>
    <xf numFmtId="10" fontId="0" fillId="0" borderId="170" xfId="0" applyNumberFormat="1" applyBorder="1"/>
    <xf numFmtId="10" fontId="0" fillId="0" borderId="169" xfId="0" applyNumberFormat="1" applyBorder="1"/>
    <xf numFmtId="10" fontId="0" fillId="0" borderId="174" xfId="0" applyNumberFormat="1" applyBorder="1"/>
    <xf numFmtId="10" fontId="0" fillId="0" borderId="132" xfId="0" applyNumberFormat="1" applyBorder="1"/>
    <xf numFmtId="10" fontId="0" fillId="27" borderId="123" xfId="0" applyNumberFormat="1" applyFill="1" applyBorder="1"/>
    <xf numFmtId="10" fontId="0" fillId="27" borderId="132" xfId="0" applyNumberFormat="1" applyFill="1" applyBorder="1"/>
    <xf numFmtId="10" fontId="0" fillId="31" borderId="123" xfId="0" applyNumberFormat="1" applyFill="1" applyBorder="1"/>
    <xf numFmtId="10" fontId="0" fillId="31" borderId="132" xfId="0" applyNumberFormat="1" applyFill="1" applyBorder="1"/>
    <xf numFmtId="10" fontId="0" fillId="30" borderId="123" xfId="0" applyNumberFormat="1" applyFill="1" applyBorder="1"/>
    <xf numFmtId="10" fontId="0" fillId="30" borderId="132" xfId="0" applyNumberFormat="1" applyFill="1" applyBorder="1"/>
    <xf numFmtId="10" fontId="0" fillId="51" borderId="123" xfId="0" applyNumberFormat="1" applyFill="1" applyBorder="1"/>
    <xf numFmtId="10" fontId="0" fillId="51" borderId="132" xfId="0" applyNumberFormat="1" applyFill="1" applyBorder="1"/>
    <xf numFmtId="10" fontId="0" fillId="17" borderId="123" xfId="0" applyNumberFormat="1" applyFill="1" applyBorder="1"/>
    <xf numFmtId="10" fontId="0" fillId="17" borderId="132" xfId="0" applyNumberFormat="1" applyFill="1" applyBorder="1"/>
    <xf numFmtId="180" fontId="0" fillId="17" borderId="53" xfId="0" quotePrefix="1" applyNumberFormat="1" applyFill="1" applyBorder="1"/>
    <xf numFmtId="180" fontId="0" fillId="0" borderId="77" xfId="0" quotePrefix="1" applyNumberFormat="1" applyBorder="1"/>
    <xf numFmtId="2" fontId="0" fillId="0" borderId="0" xfId="0" applyNumberFormat="1" applyAlignment="1">
      <alignment horizontal="center" vertical="center"/>
    </xf>
    <xf numFmtId="10" fontId="48" fillId="18" borderId="6" xfId="0" applyNumberFormat="1" applyFont="1" applyFill="1" applyBorder="1"/>
    <xf numFmtId="10" fontId="79" fillId="0" borderId="6" xfId="0" applyNumberFormat="1" applyFont="1" applyBorder="1"/>
    <xf numFmtId="10" fontId="79" fillId="0" borderId="9" xfId="0" applyNumberFormat="1" applyFont="1" applyBorder="1"/>
    <xf numFmtId="10" fontId="48" fillId="18" borderId="217" xfId="0" applyNumberFormat="1" applyFont="1" applyFill="1" applyBorder="1"/>
    <xf numFmtId="10" fontId="79" fillId="0" borderId="33" xfId="0" applyNumberFormat="1" applyFont="1" applyBorder="1"/>
    <xf numFmtId="10" fontId="79" fillId="0" borderId="55" xfId="0" applyNumberFormat="1" applyFont="1" applyBorder="1"/>
    <xf numFmtId="10" fontId="79" fillId="0" borderId="220" xfId="0" applyNumberFormat="1" applyFont="1" applyBorder="1" applyAlignment="1">
      <alignment vertical="center"/>
    </xf>
    <xf numFmtId="10" fontId="30" fillId="0" borderId="0" xfId="0" applyNumberFormat="1" applyFont="1"/>
    <xf numFmtId="10" fontId="48" fillId="18" borderId="299" xfId="0" applyNumberFormat="1" applyFont="1" applyFill="1" applyBorder="1"/>
    <xf numFmtId="10" fontId="79" fillId="0" borderId="191" xfId="0" applyNumberFormat="1" applyFont="1" applyBorder="1" applyAlignment="1">
      <alignment vertical="center"/>
    </xf>
    <xf numFmtId="186" fontId="48" fillId="36" borderId="157" xfId="0" applyNumberFormat="1" applyFont="1" applyFill="1" applyBorder="1"/>
    <xf numFmtId="43" fontId="29" fillId="32" borderId="0" xfId="46" applyFont="1" applyFill="1"/>
    <xf numFmtId="10" fontId="79" fillId="18" borderId="6" xfId="0" applyNumberFormat="1" applyFont="1" applyFill="1" applyBorder="1"/>
    <xf numFmtId="10" fontId="11" fillId="0" borderId="207" xfId="0" applyNumberFormat="1" applyFont="1" applyBorder="1"/>
    <xf numFmtId="10" fontId="79" fillId="18" borderId="3" xfId="0" applyNumberFormat="1" applyFont="1" applyFill="1" applyBorder="1"/>
    <xf numFmtId="10" fontId="79" fillId="0" borderId="160" xfId="0" applyNumberFormat="1" applyFont="1" applyBorder="1"/>
    <xf numFmtId="10" fontId="79" fillId="0" borderId="9" xfId="0" applyNumberFormat="1" applyFont="1" applyBorder="1" applyAlignment="1">
      <alignment vertical="center"/>
    </xf>
    <xf numFmtId="173" fontId="0" fillId="0" borderId="0" xfId="0" applyNumberFormat="1"/>
    <xf numFmtId="10" fontId="79" fillId="18" borderId="298" xfId="0" applyNumberFormat="1" applyFont="1" applyFill="1" applyBorder="1"/>
    <xf numFmtId="10" fontId="79" fillId="0" borderId="90" xfId="0" applyNumberFormat="1" applyFont="1" applyBorder="1" applyAlignment="1">
      <alignment vertical="center"/>
    </xf>
    <xf numFmtId="10" fontId="79" fillId="18" borderId="297" xfId="0" applyNumberFormat="1" applyFont="1" applyFill="1" applyBorder="1"/>
    <xf numFmtId="43" fontId="2" fillId="0" borderId="0" xfId="46" applyFont="1"/>
    <xf numFmtId="43" fontId="8" fillId="0" borderId="0" xfId="46" applyFont="1"/>
    <xf numFmtId="43" fontId="2" fillId="0" borderId="0" xfId="46" applyFont="1" applyAlignment="1">
      <alignment horizontal="center"/>
    </xf>
    <xf numFmtId="43" fontId="8" fillId="0" borderId="0" xfId="46" applyFont="1" applyAlignment="1">
      <alignment horizontal="center"/>
    </xf>
    <xf numFmtId="168" fontId="51" fillId="0" borderId="101" xfId="0" applyNumberFormat="1" applyFont="1" applyBorder="1"/>
    <xf numFmtId="168" fontId="3" fillId="87" borderId="0" xfId="0" applyNumberFormat="1" applyFont="1" applyFill="1"/>
    <xf numFmtId="0" fontId="3" fillId="0" borderId="78" xfId="0" applyFont="1" applyBorder="1" applyAlignment="1">
      <alignment horizontal="left"/>
    </xf>
    <xf numFmtId="0" fontId="3" fillId="32" borderId="250" xfId="0" applyFont="1" applyFill="1" applyBorder="1" applyAlignment="1">
      <alignment horizontal="center" vertical="center"/>
    </xf>
    <xf numFmtId="0" fontId="91" fillId="32" borderId="250" xfId="0" applyFont="1" applyFill="1" applyBorder="1" applyAlignment="1">
      <alignment vertical="center"/>
    </xf>
    <xf numFmtId="173" fontId="0" fillId="0" borderId="0" xfId="46" applyNumberFormat="1" applyFont="1"/>
    <xf numFmtId="3" fontId="97" fillId="93" borderId="0" xfId="0" applyNumberFormat="1" applyFont="1" applyFill="1" applyAlignment="1">
      <alignment horizontal="center"/>
    </xf>
    <xf numFmtId="3" fontId="97" fillId="96" borderId="0" xfId="0" applyNumberFormat="1" applyFont="1" applyFill="1" applyAlignment="1">
      <alignment horizontal="center"/>
    </xf>
    <xf numFmtId="3" fontId="97" fillId="96" borderId="356" xfId="0" applyNumberFormat="1" applyFont="1" applyFill="1" applyBorder="1" applyAlignment="1">
      <alignment horizontal="center"/>
    </xf>
    <xf numFmtId="0" fontId="101" fillId="104" borderId="316" xfId="0" applyFont="1" applyFill="1" applyBorder="1" applyAlignment="1">
      <alignment horizontal="center" vertical="center"/>
    </xf>
    <xf numFmtId="0" fontId="100" fillId="109" borderId="314" xfId="0" applyFont="1" applyFill="1" applyBorder="1" applyAlignment="1">
      <alignment horizontal="center" vertical="center"/>
    </xf>
    <xf numFmtId="3" fontId="97" fillId="93" borderId="358" xfId="0" applyNumberFormat="1" applyFont="1" applyFill="1" applyBorder="1" applyAlignment="1">
      <alignment horizontal="center"/>
    </xf>
    <xf numFmtId="168" fontId="0" fillId="92" borderId="0" xfId="0" applyNumberFormat="1" applyFill="1"/>
    <xf numFmtId="168" fontId="3" fillId="92" borderId="162" xfId="0" applyNumberFormat="1" applyFont="1" applyFill="1" applyBorder="1"/>
    <xf numFmtId="4" fontId="3" fillId="92" borderId="0" xfId="0" applyNumberFormat="1" applyFont="1" applyFill="1"/>
    <xf numFmtId="2" fontId="29" fillId="32" borderId="0" xfId="0" applyNumberFormat="1" applyFont="1" applyFill="1"/>
    <xf numFmtId="180" fontId="29" fillId="32" borderId="0" xfId="0" applyNumberFormat="1" applyFont="1" applyFill="1"/>
    <xf numFmtId="173" fontId="29" fillId="32" borderId="0" xfId="46" applyNumberFormat="1" applyFont="1" applyFill="1"/>
    <xf numFmtId="193" fontId="0" fillId="0" borderId="0" xfId="0" applyNumberFormat="1"/>
    <xf numFmtId="179" fontId="0" fillId="0" borderId="6" xfId="0" applyNumberFormat="1" applyBorder="1"/>
    <xf numFmtId="179" fontId="0" fillId="5" borderId="9" xfId="0" applyNumberFormat="1" applyFill="1" applyBorder="1"/>
    <xf numFmtId="43" fontId="0" fillId="5" borderId="3" xfId="46" applyFont="1" applyFill="1" applyBorder="1"/>
    <xf numFmtId="43" fontId="0" fillId="5" borderId="16" xfId="46" applyFont="1" applyFill="1" applyBorder="1"/>
    <xf numFmtId="43" fontId="0" fillId="5" borderId="6" xfId="46" applyFont="1" applyFill="1" applyBorder="1"/>
    <xf numFmtId="43" fontId="0" fillId="5" borderId="17" xfId="46" applyFont="1" applyFill="1" applyBorder="1"/>
    <xf numFmtId="43" fontId="0" fillId="5" borderId="160" xfId="46" applyFont="1" applyFill="1" applyBorder="1"/>
    <xf numFmtId="43" fontId="0" fillId="0" borderId="6" xfId="46" applyFont="1" applyBorder="1"/>
    <xf numFmtId="43" fontId="0" fillId="5" borderId="140" xfId="46" applyFont="1" applyFill="1" applyBorder="1"/>
    <xf numFmtId="43" fontId="3" fillId="0" borderId="137" xfId="46" applyFont="1" applyBorder="1" applyAlignment="1">
      <alignment horizontal="center" vertical="center" wrapText="1"/>
    </xf>
    <xf numFmtId="43" fontId="3" fillId="0" borderId="27" xfId="46" applyFont="1" applyBorder="1" applyAlignment="1">
      <alignment horizontal="center" vertical="center" wrapText="1"/>
    </xf>
    <xf numFmtId="43" fontId="3" fillId="0" borderId="28" xfId="46" applyFont="1" applyBorder="1" applyAlignment="1">
      <alignment horizontal="center" vertical="center" wrapText="1"/>
    </xf>
    <xf numFmtId="173" fontId="97" fillId="93" borderId="330" xfId="46" applyNumberFormat="1" applyFont="1" applyFill="1" applyBorder="1" applyAlignment="1">
      <alignment horizontal="center"/>
    </xf>
    <xf numFmtId="173" fontId="98" fillId="93" borderId="334" xfId="46" applyNumberFormat="1" applyFont="1" applyFill="1" applyBorder="1" applyAlignment="1">
      <alignment vertical="center"/>
    </xf>
    <xf numFmtId="173" fontId="97" fillId="93" borderId="334" xfId="46" applyNumberFormat="1" applyFont="1" applyFill="1" applyBorder="1" applyAlignment="1">
      <alignment horizontal="center"/>
    </xf>
    <xf numFmtId="2" fontId="0" fillId="5" borderId="4" xfId="0" applyNumberFormat="1" applyFill="1" applyBorder="1"/>
    <xf numFmtId="2" fontId="0" fillId="5" borderId="7" xfId="0" applyNumberFormat="1" applyFill="1" applyBorder="1"/>
    <xf numFmtId="173" fontId="0" fillId="5" borderId="6" xfId="46" applyNumberFormat="1" applyFont="1" applyFill="1" applyBorder="1"/>
    <xf numFmtId="2" fontId="0" fillId="5" borderId="3" xfId="0" applyNumberFormat="1" applyFill="1" applyBorder="1"/>
    <xf numFmtId="2" fontId="0" fillId="5" borderId="6" xfId="0" applyNumberFormat="1" applyFill="1" applyBorder="1"/>
    <xf numFmtId="173" fontId="0" fillId="5" borderId="11" xfId="46" applyNumberFormat="1" applyFont="1" applyFill="1" applyBorder="1"/>
    <xf numFmtId="173" fontId="0" fillId="5" borderId="12" xfId="46" applyNumberFormat="1" applyFont="1" applyFill="1" applyBorder="1"/>
    <xf numFmtId="173" fontId="0" fillId="0" borderId="5" xfId="46" applyNumberFormat="1" applyFont="1" applyBorder="1"/>
    <xf numFmtId="173" fontId="0" fillId="5" borderId="5" xfId="46" applyNumberFormat="1" applyFont="1" applyFill="1" applyBorder="1"/>
    <xf numFmtId="180" fontId="0" fillId="5" borderId="0" xfId="0" applyNumberFormat="1" applyFill="1"/>
    <xf numFmtId="180" fontId="26" fillId="10" borderId="0" xfId="0" applyNumberFormat="1" applyFont="1" applyFill="1"/>
    <xf numFmtId="0" fontId="93" fillId="118" borderId="0" xfId="0" applyFont="1" applyFill="1" applyAlignment="1">
      <alignment horizontal="center"/>
    </xf>
    <xf numFmtId="0" fontId="104" fillId="119" borderId="0" xfId="0" applyFont="1" applyFill="1"/>
    <xf numFmtId="3" fontId="103" fillId="119" borderId="0" xfId="0" applyNumberFormat="1" applyFont="1" applyFill="1"/>
    <xf numFmtId="0" fontId="105" fillId="0" borderId="0" xfId="0" applyFont="1"/>
    <xf numFmtId="0" fontId="109" fillId="93" borderId="308" xfId="0" applyFont="1" applyFill="1" applyBorder="1" applyAlignment="1">
      <alignment horizontal="center" vertical="center"/>
    </xf>
    <xf numFmtId="0" fontId="115" fillId="93" borderId="312" xfId="0" applyFont="1" applyFill="1" applyBorder="1" applyAlignment="1">
      <alignment horizontal="center"/>
    </xf>
    <xf numFmtId="0" fontId="115" fillId="93" borderId="312" xfId="0" applyFont="1" applyFill="1" applyBorder="1"/>
    <xf numFmtId="0" fontId="81" fillId="93" borderId="0" xfId="0" applyFont="1" applyFill="1"/>
    <xf numFmtId="0" fontId="81" fillId="93" borderId="359" xfId="0" applyFont="1" applyFill="1" applyBorder="1"/>
    <xf numFmtId="0" fontId="81" fillId="93" borderId="310" xfId="0" applyFont="1" applyFill="1" applyBorder="1"/>
    <xf numFmtId="0" fontId="81" fillId="93" borderId="308" xfId="0" applyFont="1" applyFill="1" applyBorder="1"/>
    <xf numFmtId="0" fontId="81" fillId="93" borderId="309" xfId="0" applyFont="1" applyFill="1" applyBorder="1"/>
    <xf numFmtId="0" fontId="81" fillId="93" borderId="311" xfId="0" applyFont="1" applyFill="1" applyBorder="1"/>
    <xf numFmtId="0" fontId="81" fillId="120" borderId="0" xfId="0" applyFont="1" applyFill="1"/>
    <xf numFmtId="0" fontId="113" fillId="93" borderId="361" xfId="0" applyFont="1" applyFill="1" applyBorder="1"/>
    <xf numFmtId="0" fontId="81" fillId="39" borderId="0" xfId="0" applyFont="1" applyFill="1"/>
    <xf numFmtId="0" fontId="113" fillId="93" borderId="362" xfId="0" applyFont="1" applyFill="1" applyBorder="1"/>
    <xf numFmtId="0" fontId="113" fillId="93" borderId="363" xfId="0" applyFont="1" applyFill="1" applyBorder="1"/>
    <xf numFmtId="0" fontId="113" fillId="93" borderId="364" xfId="0" applyFont="1" applyFill="1" applyBorder="1"/>
    <xf numFmtId="0" fontId="132" fillId="120" borderId="0" xfId="0" applyFont="1" applyFill="1" applyAlignment="1">
      <alignment horizontal="left" vertical="center"/>
    </xf>
    <xf numFmtId="0" fontId="119" fillId="93" borderId="0" xfId="0" applyFont="1" applyFill="1"/>
    <xf numFmtId="43" fontId="81" fillId="93" borderId="365" xfId="46" applyFont="1" applyFill="1" applyBorder="1"/>
    <xf numFmtId="0" fontId="81" fillId="93" borderId="365" xfId="0" applyFont="1" applyFill="1" applyBorder="1"/>
    <xf numFmtId="0" fontId="81" fillId="93" borderId="366" xfId="0" applyFont="1" applyFill="1" applyBorder="1"/>
    <xf numFmtId="0" fontId="81" fillId="93" borderId="368" xfId="0" applyFont="1" applyFill="1" applyBorder="1"/>
    <xf numFmtId="0" fontId="81" fillId="93" borderId="371" xfId="0" applyFont="1" applyFill="1" applyBorder="1"/>
    <xf numFmtId="0" fontId="81" fillId="93" borderId="373" xfId="0" applyFont="1" applyFill="1" applyBorder="1"/>
    <xf numFmtId="0" fontId="115" fillId="93" borderId="370" xfId="0" applyFont="1" applyFill="1" applyBorder="1"/>
    <xf numFmtId="0" fontId="143" fillId="119" borderId="375" xfId="0" applyFont="1" applyFill="1" applyBorder="1" applyAlignment="1">
      <alignment horizontal="center" vertical="center" wrapText="1"/>
    </xf>
    <xf numFmtId="0" fontId="143" fillId="119" borderId="361" xfId="0" applyFont="1" applyFill="1" applyBorder="1" applyAlignment="1">
      <alignment horizontal="center" vertical="center" wrapText="1"/>
    </xf>
    <xf numFmtId="0" fontId="143" fillId="119" borderId="376" xfId="0" applyFont="1" applyFill="1" applyBorder="1" applyAlignment="1">
      <alignment horizontal="center" vertical="center" wrapText="1"/>
    </xf>
    <xf numFmtId="0" fontId="143" fillId="119" borderId="377" xfId="0" applyFont="1" applyFill="1" applyBorder="1" applyAlignment="1">
      <alignment horizontal="center" vertical="center" wrapText="1"/>
    </xf>
    <xf numFmtId="0" fontId="143" fillId="119" borderId="378" xfId="0" applyFont="1" applyFill="1" applyBorder="1" applyAlignment="1">
      <alignment horizontal="center" vertical="center" wrapText="1"/>
    </xf>
    <xf numFmtId="0" fontId="143" fillId="119" borderId="362" xfId="0" applyFont="1" applyFill="1" applyBorder="1" applyAlignment="1">
      <alignment horizontal="center" vertical="center" wrapText="1"/>
    </xf>
    <xf numFmtId="0" fontId="143" fillId="119" borderId="379" xfId="0" applyFont="1" applyFill="1" applyBorder="1" applyAlignment="1">
      <alignment horizontal="center" vertical="center" wrapText="1"/>
    </xf>
    <xf numFmtId="0" fontId="143" fillId="119" borderId="363" xfId="0" applyFont="1" applyFill="1" applyBorder="1" applyAlignment="1">
      <alignment horizontal="center" vertical="center" wrapText="1"/>
    </xf>
    <xf numFmtId="0" fontId="143" fillId="119" borderId="380" xfId="0" applyFont="1" applyFill="1" applyBorder="1" applyAlignment="1">
      <alignment horizontal="center" vertical="center" wrapText="1"/>
    </xf>
    <xf numFmtId="0" fontId="143" fillId="119" borderId="381" xfId="0" applyFont="1" applyFill="1" applyBorder="1" applyAlignment="1">
      <alignment horizontal="center" vertical="center" wrapText="1"/>
    </xf>
    <xf numFmtId="0" fontId="143" fillId="119" borderId="382" xfId="0" applyFont="1" applyFill="1" applyBorder="1" applyAlignment="1">
      <alignment horizontal="center" vertical="center" wrapText="1"/>
    </xf>
    <xf numFmtId="0" fontId="143" fillId="119" borderId="383" xfId="0" applyFont="1" applyFill="1" applyBorder="1" applyAlignment="1">
      <alignment horizontal="center" vertical="center" wrapText="1"/>
    </xf>
    <xf numFmtId="0" fontId="143" fillId="119" borderId="384" xfId="0" applyFont="1" applyFill="1" applyBorder="1" applyAlignment="1">
      <alignment horizontal="center" vertical="center" wrapText="1"/>
    </xf>
    <xf numFmtId="0" fontId="143" fillId="119" borderId="364" xfId="0" applyFont="1" applyFill="1" applyBorder="1" applyAlignment="1">
      <alignment horizontal="center" vertical="center" wrapText="1"/>
    </xf>
    <xf numFmtId="0" fontId="143" fillId="119" borderId="378" xfId="0" applyFont="1" applyFill="1" applyBorder="1" applyAlignment="1">
      <alignment horizontal="center" vertical="center"/>
    </xf>
    <xf numFmtId="0" fontId="143" fillId="119" borderId="362" xfId="0" applyFont="1" applyFill="1" applyBorder="1" applyAlignment="1">
      <alignment horizontal="center" vertical="center"/>
    </xf>
    <xf numFmtId="0" fontId="143" fillId="119" borderId="375" xfId="0" applyFont="1" applyFill="1" applyBorder="1" applyAlignment="1">
      <alignment horizontal="center" vertical="center"/>
    </xf>
    <xf numFmtId="0" fontId="143" fillId="119" borderId="384" xfId="0" applyFont="1" applyFill="1" applyBorder="1" applyAlignment="1">
      <alignment horizontal="center" vertical="center"/>
    </xf>
    <xf numFmtId="0" fontId="120" fillId="93" borderId="369" xfId="0" applyFont="1" applyFill="1" applyBorder="1" applyAlignment="1">
      <alignment vertical="center"/>
    </xf>
    <xf numFmtId="0" fontId="139" fillId="93" borderId="313" xfId="0" applyFont="1" applyFill="1" applyBorder="1" applyAlignment="1">
      <alignment horizontal="center"/>
    </xf>
    <xf numFmtId="0" fontId="139" fillId="93" borderId="312" xfId="0" applyFont="1" applyFill="1" applyBorder="1" applyAlignment="1">
      <alignment horizontal="center"/>
    </xf>
    <xf numFmtId="0" fontId="140" fillId="93" borderId="313" xfId="0" applyFont="1" applyFill="1" applyBorder="1" applyAlignment="1">
      <alignment horizontal="center"/>
    </xf>
    <xf numFmtId="0" fontId="120" fillId="93" borderId="313" xfId="0" applyFont="1" applyFill="1" applyBorder="1" applyAlignment="1">
      <alignment horizontal="center"/>
    </xf>
    <xf numFmtId="0" fontId="141" fillId="93" borderId="313" xfId="0" applyFont="1" applyFill="1" applyBorder="1" applyAlignment="1">
      <alignment horizontal="center"/>
    </xf>
    <xf numFmtId="0" fontId="142" fillId="93" borderId="313" xfId="0" applyFont="1" applyFill="1" applyBorder="1" applyAlignment="1">
      <alignment horizontal="center"/>
    </xf>
    <xf numFmtId="0" fontId="104" fillId="93" borderId="368" xfId="0" applyFont="1" applyFill="1" applyBorder="1" applyAlignment="1">
      <alignment horizontal="left" vertical="center"/>
    </xf>
    <xf numFmtId="0" fontId="135" fillId="93" borderId="368" xfId="0" applyFont="1" applyFill="1" applyBorder="1" applyAlignment="1">
      <alignment horizontal="left"/>
    </xf>
    <xf numFmtId="0" fontId="120" fillId="122" borderId="368" xfId="0" applyFont="1" applyFill="1" applyBorder="1" applyAlignment="1">
      <alignment vertical="center"/>
    </xf>
    <xf numFmtId="0" fontId="137" fillId="122" borderId="0" xfId="0" applyFont="1" applyFill="1" applyAlignment="1">
      <alignment horizontal="center"/>
    </xf>
    <xf numFmtId="0" fontId="138" fillId="122" borderId="0" xfId="0" applyFont="1" applyFill="1" applyAlignment="1">
      <alignment horizontal="center"/>
    </xf>
    <xf numFmtId="0" fontId="139" fillId="122" borderId="0" xfId="0" applyFont="1" applyFill="1" applyAlignment="1">
      <alignment horizontal="center"/>
    </xf>
    <xf numFmtId="0" fontId="120" fillId="122" borderId="369" xfId="0" applyFont="1" applyFill="1" applyBorder="1" applyAlignment="1">
      <alignment vertical="center"/>
    </xf>
    <xf numFmtId="0" fontId="139" fillId="122" borderId="313" xfId="0" applyFont="1" applyFill="1" applyBorder="1" applyAlignment="1">
      <alignment horizontal="center"/>
    </xf>
    <xf numFmtId="0" fontId="140" fillId="122" borderId="0" xfId="0" applyFont="1" applyFill="1" applyAlignment="1">
      <alignment horizontal="center"/>
    </xf>
    <xf numFmtId="0" fontId="115" fillId="122" borderId="369" xfId="0" applyFont="1" applyFill="1" applyBorder="1"/>
    <xf numFmtId="0" fontId="115" fillId="122" borderId="313" xfId="0" applyFont="1" applyFill="1" applyBorder="1"/>
    <xf numFmtId="0" fontId="120" fillId="122" borderId="0" xfId="0" applyFont="1" applyFill="1" applyAlignment="1">
      <alignment horizontal="center"/>
    </xf>
    <xf numFmtId="0" fontId="141" fillId="122" borderId="0" xfId="0" applyFont="1" applyFill="1" applyAlignment="1">
      <alignment horizontal="center"/>
    </xf>
    <xf numFmtId="0" fontId="142" fillId="122" borderId="0" xfId="0" applyFont="1" applyFill="1" applyAlignment="1">
      <alignment horizontal="center"/>
    </xf>
    <xf numFmtId="0" fontId="120" fillId="122" borderId="313" xfId="0" applyFont="1" applyFill="1" applyBorder="1" applyAlignment="1">
      <alignment horizontal="center"/>
    </xf>
    <xf numFmtId="0" fontId="141" fillId="122" borderId="313" xfId="0" applyFont="1" applyFill="1" applyBorder="1" applyAlignment="1">
      <alignment horizontal="center"/>
    </xf>
    <xf numFmtId="0" fontId="142" fillId="122" borderId="313" xfId="0" applyFont="1" applyFill="1" applyBorder="1" applyAlignment="1">
      <alignment horizontal="center"/>
    </xf>
    <xf numFmtId="9" fontId="124" fillId="121" borderId="0" xfId="0" applyNumberFormat="1" applyFont="1" applyFill="1" applyAlignment="1">
      <alignment horizontal="center" vertical="center"/>
    </xf>
    <xf numFmtId="0" fontId="81" fillId="27" borderId="368" xfId="0" applyFont="1" applyFill="1" applyBorder="1"/>
    <xf numFmtId="0" fontId="81" fillId="27" borderId="0" xfId="0" applyFont="1" applyFill="1"/>
    <xf numFmtId="0" fontId="81" fillId="83" borderId="368" xfId="0" applyFont="1" applyFill="1" applyBorder="1"/>
    <xf numFmtId="0" fontId="81" fillId="83" borderId="0" xfId="0" applyFont="1" applyFill="1"/>
    <xf numFmtId="0" fontId="81" fillId="27" borderId="372" xfId="0" applyFont="1" applyFill="1" applyBorder="1"/>
    <xf numFmtId="0" fontId="81" fillId="27" borderId="373" xfId="0" applyFont="1" applyFill="1" applyBorder="1"/>
    <xf numFmtId="0" fontId="81" fillId="27" borderId="374" xfId="0" applyFont="1" applyFill="1" applyBorder="1"/>
    <xf numFmtId="0" fontId="109" fillId="27" borderId="308" xfId="0" applyFont="1" applyFill="1" applyBorder="1" applyAlignment="1">
      <alignment horizontal="center" vertical="center"/>
    </xf>
    <xf numFmtId="0" fontId="81" fillId="27" borderId="308" xfId="0" applyFont="1" applyFill="1" applyBorder="1"/>
    <xf numFmtId="0" fontId="81" fillId="27" borderId="309" xfId="0" applyFont="1" applyFill="1" applyBorder="1"/>
    <xf numFmtId="0" fontId="81" fillId="83" borderId="307" xfId="0" applyFont="1" applyFill="1" applyBorder="1"/>
    <xf numFmtId="0" fontId="81" fillId="83" borderId="373" xfId="0" applyFont="1" applyFill="1" applyBorder="1"/>
    <xf numFmtId="0" fontId="81" fillId="83" borderId="374" xfId="0" applyFont="1" applyFill="1" applyBorder="1"/>
    <xf numFmtId="0" fontId="81" fillId="48" borderId="368" xfId="0" applyFont="1" applyFill="1" applyBorder="1"/>
    <xf numFmtId="0" fontId="81" fillId="48" borderId="0" xfId="0" applyFont="1" applyFill="1"/>
    <xf numFmtId="0" fontId="81" fillId="48" borderId="307" xfId="0" applyFont="1" applyFill="1" applyBorder="1"/>
    <xf numFmtId="0" fontId="81" fillId="48" borderId="373" xfId="0" applyFont="1" applyFill="1" applyBorder="1"/>
    <xf numFmtId="0" fontId="81" fillId="48" borderId="374" xfId="0" applyFont="1" applyFill="1" applyBorder="1"/>
    <xf numFmtId="0" fontId="81" fillId="39" borderId="368" xfId="0" applyFont="1" applyFill="1" applyBorder="1"/>
    <xf numFmtId="0" fontId="81" fillId="39" borderId="373" xfId="0" applyFont="1" applyFill="1" applyBorder="1"/>
    <xf numFmtId="0" fontId="81" fillId="39" borderId="374" xfId="0" applyFont="1" applyFill="1" applyBorder="1"/>
    <xf numFmtId="0" fontId="81" fillId="92" borderId="368" xfId="0" applyFont="1" applyFill="1" applyBorder="1"/>
    <xf numFmtId="0" fontId="81" fillId="92" borderId="0" xfId="0" applyFont="1" applyFill="1"/>
    <xf numFmtId="0" fontId="81" fillId="92" borderId="365" xfId="0" applyFont="1" applyFill="1" applyBorder="1"/>
    <xf numFmtId="0" fontId="81" fillId="92" borderId="310" xfId="0" applyFont="1" applyFill="1" applyBorder="1"/>
    <xf numFmtId="0" fontId="81" fillId="92" borderId="373" xfId="0" applyFont="1" applyFill="1" applyBorder="1"/>
    <xf numFmtId="0" fontId="81" fillId="92" borderId="366" xfId="0" applyFont="1" applyFill="1" applyBorder="1"/>
    <xf numFmtId="0" fontId="81" fillId="92" borderId="374" xfId="0" applyFont="1" applyFill="1" applyBorder="1"/>
    <xf numFmtId="0" fontId="81" fillId="123" borderId="373" xfId="0" applyFont="1" applyFill="1" applyBorder="1"/>
    <xf numFmtId="0" fontId="81" fillId="30" borderId="365" xfId="0" applyFont="1" applyFill="1" applyBorder="1"/>
    <xf numFmtId="0" fontId="81" fillId="30" borderId="366" xfId="0" applyFont="1" applyFill="1" applyBorder="1"/>
    <xf numFmtId="0" fontId="81" fillId="84" borderId="0" xfId="0" applyFont="1" applyFill="1"/>
    <xf numFmtId="0" fontId="81" fillId="84" borderId="309" xfId="0" applyFont="1" applyFill="1" applyBorder="1"/>
    <xf numFmtId="0" fontId="81" fillId="124" borderId="373" xfId="0" applyFont="1" applyFill="1" applyBorder="1"/>
    <xf numFmtId="0" fontId="81" fillId="124" borderId="374" xfId="0" applyFont="1" applyFill="1" applyBorder="1"/>
    <xf numFmtId="0" fontId="81" fillId="125" borderId="368" xfId="0" applyFont="1" applyFill="1" applyBorder="1"/>
    <xf numFmtId="0" fontId="81" fillId="125" borderId="0" xfId="0" applyFont="1" applyFill="1"/>
    <xf numFmtId="0" fontId="81" fillId="125" borderId="371" xfId="0" applyFont="1" applyFill="1" applyBorder="1"/>
    <xf numFmtId="0" fontId="81" fillId="125" borderId="365" xfId="0" applyFont="1" applyFill="1" applyBorder="1"/>
    <xf numFmtId="0" fontId="81" fillId="125" borderId="373" xfId="0" applyFont="1" applyFill="1" applyBorder="1"/>
    <xf numFmtId="0" fontId="81" fillId="125" borderId="374" xfId="0" applyFont="1" applyFill="1" applyBorder="1"/>
    <xf numFmtId="0" fontId="81" fillId="125" borderId="310" xfId="0" applyFont="1" applyFill="1" applyBorder="1"/>
    <xf numFmtId="0" fontId="81" fillId="18" borderId="368" xfId="0" applyFont="1" applyFill="1" applyBorder="1" applyAlignment="1">
      <alignment horizontal="center"/>
    </xf>
    <xf numFmtId="0" fontId="81" fillId="18" borderId="0" xfId="0" applyFont="1" applyFill="1" applyAlignment="1">
      <alignment horizontal="center"/>
    </xf>
    <xf numFmtId="0" fontId="81" fillId="18" borderId="0" xfId="0" applyFont="1" applyFill="1"/>
    <xf numFmtId="0" fontId="81" fillId="93" borderId="368" xfId="0" applyFont="1" applyFill="1" applyBorder="1" applyAlignment="1">
      <alignment horizontal="center"/>
    </xf>
    <xf numFmtId="0" fontId="81" fillId="93" borderId="0" xfId="0" applyFont="1" applyFill="1" applyAlignment="1">
      <alignment horizontal="center"/>
    </xf>
    <xf numFmtId="0" fontId="81" fillId="126" borderId="368" xfId="0" applyFont="1" applyFill="1" applyBorder="1"/>
    <xf numFmtId="0" fontId="81" fillId="126" borderId="0" xfId="0" applyFont="1" applyFill="1"/>
    <xf numFmtId="0" fontId="81" fillId="126" borderId="373" xfId="0" applyFont="1" applyFill="1" applyBorder="1"/>
    <xf numFmtId="0" fontId="81" fillId="126" borderId="374" xfId="0" applyFont="1" applyFill="1" applyBorder="1"/>
    <xf numFmtId="0" fontId="81" fillId="127" borderId="368" xfId="0" applyFont="1" applyFill="1" applyBorder="1"/>
    <xf numFmtId="0" fontId="81" fillId="127" borderId="0" xfId="0" applyFont="1" applyFill="1"/>
    <xf numFmtId="0" fontId="81" fillId="127" borderId="373" xfId="0" applyFont="1" applyFill="1" applyBorder="1"/>
    <xf numFmtId="0" fontId="81" fillId="127" borderId="374" xfId="0" applyFont="1" applyFill="1" applyBorder="1"/>
    <xf numFmtId="0" fontId="113" fillId="84" borderId="361" xfId="0" applyFont="1" applyFill="1" applyBorder="1"/>
    <xf numFmtId="0" fontId="113" fillId="84" borderId="362" xfId="0" applyFont="1" applyFill="1" applyBorder="1"/>
    <xf numFmtId="0" fontId="113" fillId="84" borderId="363" xfId="0" applyFont="1" applyFill="1" applyBorder="1"/>
    <xf numFmtId="0" fontId="113" fillId="84" borderId="364" xfId="0" applyFont="1" applyFill="1" applyBorder="1"/>
    <xf numFmtId="9" fontId="137" fillId="93" borderId="0" xfId="0" applyNumberFormat="1" applyFont="1" applyFill="1" applyAlignment="1">
      <alignment horizontal="right"/>
    </xf>
    <xf numFmtId="9" fontId="138" fillId="93" borderId="0" xfId="0" applyNumberFormat="1" applyFont="1" applyFill="1" applyAlignment="1">
      <alignment horizontal="right"/>
    </xf>
    <xf numFmtId="9" fontId="139" fillId="93" borderId="0" xfId="0" applyNumberFormat="1" applyFont="1" applyFill="1" applyAlignment="1">
      <alignment horizontal="right"/>
    </xf>
    <xf numFmtId="9" fontId="140" fillId="93" borderId="0" xfId="0" applyNumberFormat="1" applyFont="1" applyFill="1" applyAlignment="1">
      <alignment horizontal="right"/>
    </xf>
    <xf numFmtId="9" fontId="141" fillId="93" borderId="0" xfId="0" applyNumberFormat="1" applyFont="1" applyFill="1" applyAlignment="1">
      <alignment horizontal="right"/>
    </xf>
    <xf numFmtId="0" fontId="142" fillId="93" borderId="0" xfId="0" applyFont="1" applyFill="1" applyAlignment="1">
      <alignment horizontal="right"/>
    </xf>
    <xf numFmtId="0" fontId="109" fillId="18" borderId="0" xfId="0" applyFont="1" applyFill="1" applyAlignment="1">
      <alignment horizontal="center" vertical="center"/>
    </xf>
    <xf numFmtId="0" fontId="81" fillId="18" borderId="309" xfId="0" applyFont="1" applyFill="1" applyBorder="1"/>
    <xf numFmtId="0" fontId="81" fillId="18" borderId="307" xfId="0" applyFont="1" applyFill="1" applyBorder="1"/>
    <xf numFmtId="0" fontId="81" fillId="18" borderId="311" xfId="0" applyFont="1" applyFill="1" applyBorder="1"/>
    <xf numFmtId="0" fontId="123" fillId="122" borderId="0" xfId="0" applyFont="1" applyFill="1"/>
    <xf numFmtId="3" fontId="118" fillId="122" borderId="0" xfId="0" applyNumberFormat="1" applyFont="1" applyFill="1"/>
    <xf numFmtId="3" fontId="123" fillId="122" borderId="0" xfId="0" applyNumberFormat="1" applyFont="1" applyFill="1"/>
    <xf numFmtId="187" fontId="118" fillId="122" borderId="0" xfId="0" applyNumberFormat="1" applyFont="1" applyFill="1"/>
    <xf numFmtId="0" fontId="118" fillId="122" borderId="0" xfId="0" applyFont="1" applyFill="1"/>
    <xf numFmtId="0" fontId="145" fillId="122" borderId="0" xfId="0" applyFont="1" applyFill="1"/>
    <xf numFmtId="0" fontId="81" fillId="48" borderId="310" xfId="0" applyFont="1" applyFill="1" applyBorder="1"/>
    <xf numFmtId="0" fontId="81" fillId="126" borderId="310" xfId="0" applyFont="1" applyFill="1" applyBorder="1"/>
    <xf numFmtId="0" fontId="81" fillId="27" borderId="307" xfId="0" applyFont="1" applyFill="1" applyBorder="1"/>
    <xf numFmtId="0" fontId="81" fillId="27" borderId="311" xfId="0" applyFont="1" applyFill="1" applyBorder="1"/>
    <xf numFmtId="180" fontId="0" fillId="5" borderId="7" xfId="0" applyNumberFormat="1" applyFill="1" applyBorder="1"/>
    <xf numFmtId="0" fontId="146" fillId="93" borderId="368" xfId="0" applyFont="1" applyFill="1" applyBorder="1" applyAlignment="1">
      <alignment horizontal="left"/>
    </xf>
    <xf numFmtId="0" fontId="146" fillId="18" borderId="0" xfId="0" applyFont="1" applyFill="1"/>
    <xf numFmtId="0" fontId="81" fillId="39" borderId="310" xfId="0" applyFont="1" applyFill="1" applyBorder="1"/>
    <xf numFmtId="0" fontId="81" fillId="39" borderId="365" xfId="0" applyFont="1" applyFill="1" applyBorder="1"/>
    <xf numFmtId="0" fontId="81" fillId="39" borderId="366" xfId="0" applyFont="1" applyFill="1" applyBorder="1"/>
    <xf numFmtId="0" fontId="147" fillId="18" borderId="0" xfId="0" applyFont="1" applyFill="1"/>
    <xf numFmtId="0" fontId="148" fillId="18" borderId="0" xfId="0" applyFont="1" applyFill="1"/>
    <xf numFmtId="43" fontId="0" fillId="0" borderId="0" xfId="46" applyFont="1"/>
    <xf numFmtId="2" fontId="0" fillId="5" borderId="0" xfId="0" applyNumberFormat="1" applyFill="1"/>
    <xf numFmtId="165" fontId="0" fillId="5" borderId="4" xfId="0" applyNumberFormat="1" applyFill="1" applyBorder="1"/>
    <xf numFmtId="165" fontId="0" fillId="5" borderId="7" xfId="0" applyNumberFormat="1" applyFill="1" applyBorder="1"/>
    <xf numFmtId="165" fontId="0" fillId="0" borderId="2" xfId="0" applyNumberFormat="1" applyBorder="1"/>
    <xf numFmtId="180" fontId="0" fillId="5" borderId="12" xfId="0" applyNumberFormat="1" applyFill="1" applyBorder="1"/>
    <xf numFmtId="180" fontId="0" fillId="5" borderId="6" xfId="0" applyNumberFormat="1" applyFill="1" applyBorder="1"/>
    <xf numFmtId="180" fontId="0" fillId="5" borderId="5" xfId="0" applyNumberFormat="1" applyFill="1" applyBorder="1"/>
    <xf numFmtId="180" fontId="0" fillId="0" borderId="7" xfId="0" applyNumberFormat="1" applyBorder="1"/>
    <xf numFmtId="180" fontId="0" fillId="0" borderId="12" xfId="0" applyNumberFormat="1" applyBorder="1"/>
    <xf numFmtId="180" fontId="0" fillId="0" borderId="6" xfId="0" applyNumberFormat="1" applyBorder="1"/>
    <xf numFmtId="180" fontId="0" fillId="0" borderId="5" xfId="0" applyNumberFormat="1" applyBorder="1"/>
    <xf numFmtId="180" fontId="0" fillId="5" borderId="10" xfId="0" applyNumberFormat="1" applyFill="1" applyBorder="1"/>
    <xf numFmtId="180" fontId="0" fillId="5" borderId="13" xfId="0" applyNumberFormat="1" applyFill="1" applyBorder="1"/>
    <xf numFmtId="180" fontId="0" fillId="5" borderId="9" xfId="0" applyNumberFormat="1" applyFill="1" applyBorder="1"/>
    <xf numFmtId="1" fontId="0" fillId="0" borderId="6" xfId="0" applyNumberFormat="1" applyBorder="1"/>
    <xf numFmtId="180" fontId="0" fillId="5" borderId="3" xfId="0" applyNumberFormat="1" applyFill="1" applyBorder="1"/>
    <xf numFmtId="2" fontId="0" fillId="0" borderId="7" xfId="0" applyNumberFormat="1" applyBorder="1"/>
    <xf numFmtId="4" fontId="0" fillId="5" borderId="4" xfId="0" applyNumberFormat="1" applyFill="1" applyBorder="1"/>
    <xf numFmtId="4" fontId="0" fillId="5" borderId="7" xfId="0" applyNumberFormat="1" applyFill="1" applyBorder="1"/>
    <xf numFmtId="4" fontId="0" fillId="0" borderId="7" xfId="0" applyNumberFormat="1" applyBorder="1"/>
    <xf numFmtId="4" fontId="0" fillId="5" borderId="10" xfId="0" applyNumberFormat="1" applyFill="1" applyBorder="1"/>
    <xf numFmtId="192" fontId="3" fillId="0" borderId="0" xfId="46" applyNumberFormat="1" applyFont="1" applyAlignment="1">
      <alignment vertical="center"/>
    </xf>
    <xf numFmtId="173" fontId="0" fillId="5" borderId="3" xfId="46" applyNumberFormat="1" applyFont="1" applyFill="1" applyBorder="1"/>
    <xf numFmtId="180" fontId="0" fillId="5" borderId="6" xfId="46" applyNumberFormat="1" applyFont="1" applyFill="1" applyBorder="1"/>
    <xf numFmtId="0" fontId="0" fillId="0" borderId="0" xfId="0" quotePrefix="1" applyAlignment="1">
      <alignment horizontal="left"/>
    </xf>
    <xf numFmtId="164" fontId="3" fillId="0" borderId="1" xfId="0" applyNumberFormat="1" applyFont="1" applyBorder="1" applyAlignment="1">
      <alignment vertical="center" wrapText="1"/>
    </xf>
    <xf numFmtId="164" fontId="3" fillId="0" borderId="1" xfId="0" applyNumberFormat="1" applyFont="1" applyBorder="1" applyAlignment="1">
      <alignment horizontal="center" vertical="center" wrapText="1"/>
    </xf>
    <xf numFmtId="173" fontId="0" fillId="5" borderId="12" xfId="0" applyNumberFormat="1" applyFill="1" applyBorder="1"/>
    <xf numFmtId="168" fontId="3" fillId="0" borderId="20" xfId="0" applyNumberFormat="1" applyFont="1" applyBorder="1" applyAlignment="1">
      <alignment horizontal="center" vertical="center" wrapText="1"/>
    </xf>
    <xf numFmtId="168" fontId="0" fillId="5" borderId="3" xfId="0" applyNumberFormat="1" applyFill="1" applyBorder="1" applyAlignment="1">
      <alignment horizontal="center"/>
    </xf>
    <xf numFmtId="164" fontId="3" fillId="0" borderId="190" xfId="0" applyNumberFormat="1" applyFont="1" applyBorder="1" applyAlignment="1">
      <alignment horizontal="center" vertical="center" wrapText="1"/>
    </xf>
    <xf numFmtId="168" fontId="0" fillId="5" borderId="300" xfId="0" applyNumberFormat="1" applyFill="1" applyBorder="1" applyAlignment="1">
      <alignment horizontal="center"/>
    </xf>
    <xf numFmtId="168" fontId="0" fillId="5" borderId="302" xfId="0" applyNumberFormat="1" applyFill="1" applyBorder="1" applyAlignment="1">
      <alignment horizontal="center"/>
    </xf>
    <xf numFmtId="164" fontId="3" fillId="0" borderId="233" xfId="0" applyNumberFormat="1" applyFont="1" applyBorder="1" applyAlignment="1">
      <alignment horizontal="center" vertical="center" wrapText="1"/>
    </xf>
    <xf numFmtId="173" fontId="0" fillId="5" borderId="161" xfId="46" applyNumberFormat="1" applyFont="1" applyFill="1" applyBorder="1"/>
    <xf numFmtId="173" fontId="0" fillId="5" borderId="145" xfId="46" applyNumberFormat="1" applyFont="1" applyFill="1" applyBorder="1"/>
    <xf numFmtId="173" fontId="0" fillId="0" borderId="12" xfId="46" applyNumberFormat="1" applyFont="1" applyBorder="1"/>
    <xf numFmtId="165" fontId="0" fillId="5" borderId="17" xfId="0" applyNumberFormat="1" applyFill="1" applyBorder="1"/>
    <xf numFmtId="165" fontId="0" fillId="0" borderId="3" xfId="0" applyNumberFormat="1" applyBorder="1"/>
    <xf numFmtId="165" fontId="0" fillId="5" borderId="3" xfId="0" applyNumberFormat="1" applyFill="1" applyBorder="1"/>
    <xf numFmtId="192" fontId="3" fillId="0" borderId="0" xfId="46" applyNumberFormat="1" applyFont="1"/>
    <xf numFmtId="192" fontId="0" fillId="0" borderId="0" xfId="46" applyNumberFormat="1" applyFont="1"/>
    <xf numFmtId="173" fontId="3" fillId="0" borderId="0" xfId="46" applyNumberFormat="1" applyFont="1"/>
    <xf numFmtId="173" fontId="1" fillId="0" borderId="0" xfId="46" applyNumberFormat="1" applyFont="1"/>
    <xf numFmtId="0" fontId="150" fillId="93" borderId="0" xfId="0" applyFont="1" applyFill="1"/>
    <xf numFmtId="173" fontId="0" fillId="0" borderId="129" xfId="46" applyNumberFormat="1" applyFont="1" applyBorder="1"/>
    <xf numFmtId="180" fontId="0" fillId="0" borderId="88" xfId="0" applyNumberFormat="1" applyBorder="1"/>
    <xf numFmtId="180" fontId="0" fillId="0" borderId="160" xfId="0" applyNumberFormat="1" applyBorder="1"/>
    <xf numFmtId="180" fontId="0" fillId="0" borderId="140" xfId="0" applyNumberFormat="1" applyBorder="1"/>
    <xf numFmtId="180" fontId="0" fillId="5" borderId="6" xfId="0" applyNumberFormat="1" applyFill="1" applyBorder="1" applyAlignment="1">
      <alignment horizontal="right"/>
    </xf>
    <xf numFmtId="180" fontId="0" fillId="0" borderId="6" xfId="0" applyNumberFormat="1" applyBorder="1" applyAlignment="1">
      <alignment horizontal="right"/>
    </xf>
    <xf numFmtId="180" fontId="0" fillId="0" borderId="9" xfId="0" applyNumberFormat="1" applyBorder="1"/>
    <xf numFmtId="2" fontId="0" fillId="0" borderId="27" xfId="0" applyNumberFormat="1" applyBorder="1" applyAlignment="1">
      <alignment horizontal="center" vertical="center"/>
    </xf>
    <xf numFmtId="2" fontId="0" fillId="5" borderId="27" xfId="0" applyNumberFormat="1" applyFill="1" applyBorder="1" applyAlignment="1">
      <alignment horizontal="center" vertical="center"/>
    </xf>
    <xf numFmtId="173" fontId="0" fillId="0" borderId="2" xfId="46" applyNumberFormat="1" applyFont="1" applyBorder="1"/>
    <xf numFmtId="173" fontId="0" fillId="0" borderId="5" xfId="0" applyNumberFormat="1" applyBorder="1"/>
    <xf numFmtId="173" fontId="0" fillId="0" borderId="8" xfId="0" applyNumberFormat="1" applyBorder="1"/>
    <xf numFmtId="43" fontId="0" fillId="0" borderId="3" xfId="46" applyFont="1" applyBorder="1"/>
    <xf numFmtId="43" fontId="0" fillId="0" borderId="4" xfId="46" applyFont="1" applyBorder="1"/>
    <xf numFmtId="43" fontId="0" fillId="0" borderId="7" xfId="46" applyFont="1" applyBorder="1"/>
    <xf numFmtId="43" fontId="0" fillId="0" borderId="6" xfId="0" applyNumberFormat="1" applyBorder="1"/>
    <xf numFmtId="43" fontId="0" fillId="0" borderId="7" xfId="0" applyNumberFormat="1" applyBorder="1"/>
    <xf numFmtId="43" fontId="0" fillId="0" borderId="9" xfId="0" applyNumberFormat="1" applyBorder="1"/>
    <xf numFmtId="43" fontId="0" fillId="0" borderId="10" xfId="0" applyNumberFormat="1" applyBorder="1"/>
    <xf numFmtId="43" fontId="0" fillId="5" borderId="6" xfId="0" applyNumberFormat="1" applyFill="1" applyBorder="1"/>
    <xf numFmtId="43" fontId="0" fillId="5" borderId="17" xfId="0" applyNumberFormat="1" applyFill="1" applyBorder="1"/>
    <xf numFmtId="43" fontId="0" fillId="0" borderId="17" xfId="0" applyNumberFormat="1" applyBorder="1"/>
    <xf numFmtId="43" fontId="0" fillId="5" borderId="9" xfId="0" applyNumberFormat="1" applyFill="1" applyBorder="1"/>
    <xf numFmtId="43" fontId="0" fillId="5" borderId="18" xfId="0" applyNumberFormat="1" applyFill="1" applyBorder="1"/>
    <xf numFmtId="184" fontId="0" fillId="5" borderId="0" xfId="0" applyNumberFormat="1" applyFill="1"/>
    <xf numFmtId="0" fontId="116" fillId="93" borderId="0" xfId="0" applyFont="1" applyFill="1"/>
    <xf numFmtId="0" fontId="107" fillId="93" borderId="0" xfId="0" applyFont="1" applyFill="1"/>
    <xf numFmtId="192" fontId="0" fillId="5" borderId="0" xfId="46" applyNumberFormat="1" applyFont="1" applyFill="1"/>
    <xf numFmtId="10" fontId="0" fillId="32" borderId="6" xfId="0" applyNumberFormat="1" applyFill="1" applyBorder="1"/>
    <xf numFmtId="0" fontId="143" fillId="119" borderId="0" xfId="0" applyFont="1" applyFill="1" applyAlignment="1">
      <alignment horizontal="center" vertical="center" wrapText="1"/>
    </xf>
    <xf numFmtId="0" fontId="138" fillId="93" borderId="0" xfId="0" applyFont="1" applyFill="1" applyAlignment="1">
      <alignment horizontal="center"/>
    </xf>
    <xf numFmtId="0" fontId="115" fillId="93" borderId="0" xfId="0" applyFont="1" applyFill="1" applyAlignment="1">
      <alignment horizontal="center"/>
    </xf>
    <xf numFmtId="0" fontId="137" fillId="93" borderId="0" xfId="0" applyFont="1" applyFill="1" applyAlignment="1">
      <alignment horizontal="center"/>
    </xf>
    <xf numFmtId="0" fontId="139" fillId="93" borderId="0" xfId="0" applyFont="1" applyFill="1" applyAlignment="1">
      <alignment horizontal="center"/>
    </xf>
    <xf numFmtId="173" fontId="139" fillId="93" borderId="0" xfId="46" applyNumberFormat="1" applyFont="1" applyFill="1" applyBorder="1" applyAlignment="1">
      <alignment horizontal="center"/>
    </xf>
    <xf numFmtId="173" fontId="139" fillId="122" borderId="0" xfId="46" applyNumberFormat="1" applyFont="1" applyFill="1" applyBorder="1" applyAlignment="1">
      <alignment horizontal="center"/>
    </xf>
    <xf numFmtId="173" fontId="139" fillId="122" borderId="0" xfId="46" applyNumberFormat="1" applyFont="1" applyFill="1" applyAlignment="1">
      <alignment horizontal="center"/>
    </xf>
    <xf numFmtId="0" fontId="113" fillId="18" borderId="364" xfId="0" applyFont="1" applyFill="1" applyBorder="1"/>
    <xf numFmtId="0" fontId="113" fillId="18" borderId="361" xfId="0" applyFont="1" applyFill="1" applyBorder="1"/>
    <xf numFmtId="0" fontId="113" fillId="18" borderId="363" xfId="0" applyFont="1" applyFill="1" applyBorder="1"/>
    <xf numFmtId="0" fontId="113" fillId="18" borderId="362" xfId="0" applyFont="1" applyFill="1" applyBorder="1"/>
    <xf numFmtId="0" fontId="81" fillId="93" borderId="360" xfId="0" applyFont="1" applyFill="1" applyBorder="1"/>
    <xf numFmtId="0" fontId="46" fillId="12" borderId="218" xfId="0" applyFont="1" applyFill="1" applyBorder="1" applyAlignment="1">
      <alignment horizontal="left" vertical="center"/>
    </xf>
    <xf numFmtId="0" fontId="120" fillId="93" borderId="0" xfId="0" applyFont="1" applyFill="1" applyAlignment="1">
      <alignment horizontal="center" vertical="center"/>
    </xf>
    <xf numFmtId="0" fontId="140" fillId="93" borderId="0" xfId="0" applyFont="1" applyFill="1" applyAlignment="1">
      <alignment horizontal="center"/>
    </xf>
    <xf numFmtId="0" fontId="115" fillId="122" borderId="0" xfId="0" applyFont="1" applyFill="1"/>
    <xf numFmtId="0" fontId="115" fillId="93" borderId="0" xfId="0" applyFont="1" applyFill="1"/>
    <xf numFmtId="0" fontId="142" fillId="93" borderId="0" xfId="0" applyFont="1" applyFill="1" applyAlignment="1">
      <alignment horizontal="center"/>
    </xf>
    <xf numFmtId="0" fontId="141" fillId="93" borderId="0" xfId="0" applyFont="1" applyFill="1" applyAlignment="1">
      <alignment horizontal="center"/>
    </xf>
    <xf numFmtId="0" fontId="143" fillId="119" borderId="0" xfId="0" applyFont="1" applyFill="1" applyAlignment="1">
      <alignment horizontal="center" vertical="center"/>
    </xf>
    <xf numFmtId="168" fontId="0" fillId="5" borderId="145" xfId="0" applyNumberFormat="1" applyFill="1" applyBorder="1"/>
    <xf numFmtId="168" fontId="0" fillId="0" borderId="141" xfId="0" applyNumberFormat="1" applyBorder="1"/>
    <xf numFmtId="173" fontId="152" fillId="5" borderId="0" xfId="0" applyNumberFormat="1" applyFont="1" applyFill="1"/>
    <xf numFmtId="3" fontId="11" fillId="0" borderId="0" xfId="0" applyNumberFormat="1" applyFont="1" applyAlignment="1">
      <alignment horizontal="left" vertical="center" indent="1"/>
    </xf>
    <xf numFmtId="3" fontId="11" fillId="0" borderId="0" xfId="0" applyNumberFormat="1" applyFont="1"/>
    <xf numFmtId="3" fontId="2" fillId="23" borderId="4" xfId="0" applyNumberFormat="1" applyFont="1" applyFill="1" applyBorder="1" applyAlignment="1">
      <alignment horizontal="center" vertical="center"/>
    </xf>
    <xf numFmtId="3" fontId="2" fillId="23" borderId="7" xfId="0" applyNumberFormat="1" applyFont="1" applyFill="1" applyBorder="1" applyAlignment="1">
      <alignment horizontal="center" vertical="center"/>
    </xf>
    <xf numFmtId="3" fontId="76" fillId="18" borderId="7" xfId="0" applyNumberFormat="1" applyFont="1" applyFill="1" applyBorder="1" applyAlignment="1">
      <alignment horizontal="center" vertical="center"/>
    </xf>
    <xf numFmtId="3" fontId="0" fillId="0" borderId="0" xfId="0" applyNumberFormat="1" applyAlignment="1">
      <alignment horizontal="center"/>
    </xf>
    <xf numFmtId="3" fontId="87" fillId="18" borderId="1" xfId="0" applyNumberFormat="1" applyFont="1" applyFill="1" applyBorder="1" applyAlignment="1">
      <alignment horizontal="center" wrapText="1"/>
    </xf>
    <xf numFmtId="3" fontId="0" fillId="41" borderId="20" xfId="0" applyNumberFormat="1" applyFill="1" applyBorder="1"/>
    <xf numFmtId="2" fontId="52" fillId="0" borderId="96" xfId="0" applyNumberFormat="1" applyFont="1" applyBorder="1" applyAlignment="1">
      <alignment vertical="top"/>
    </xf>
    <xf numFmtId="168" fontId="0" fillId="32" borderId="229" xfId="0" applyNumberFormat="1" applyFill="1" applyBorder="1"/>
    <xf numFmtId="0" fontId="0" fillId="32" borderId="229" xfId="0" applyFill="1" applyBorder="1"/>
    <xf numFmtId="168" fontId="0" fillId="32" borderId="228" xfId="0" applyNumberFormat="1" applyFill="1" applyBorder="1"/>
    <xf numFmtId="43" fontId="0" fillId="5" borderId="26" xfId="46" applyFont="1" applyFill="1" applyBorder="1"/>
    <xf numFmtId="43" fontId="0" fillId="5" borderId="11" xfId="46" applyFont="1" applyFill="1" applyBorder="1"/>
    <xf numFmtId="43" fontId="81" fillId="0" borderId="27" xfId="46" applyFont="1" applyBorder="1"/>
    <xf numFmtId="43" fontId="0" fillId="5" borderId="12" xfId="46" applyFont="1" applyFill="1" applyBorder="1"/>
    <xf numFmtId="43" fontId="0" fillId="0" borderId="5" xfId="46" applyFont="1" applyBorder="1"/>
    <xf numFmtId="43" fontId="0" fillId="5" borderId="5" xfId="46" applyFont="1" applyFill="1" applyBorder="1"/>
    <xf numFmtId="43" fontId="0" fillId="5" borderId="5" xfId="0" applyNumberFormat="1" applyFill="1" applyBorder="1"/>
    <xf numFmtId="43" fontId="0" fillId="5" borderId="12" xfId="0" applyNumberFormat="1" applyFill="1" applyBorder="1"/>
    <xf numFmtId="169" fontId="3" fillId="0" borderId="0" xfId="0" applyNumberFormat="1" applyFont="1"/>
    <xf numFmtId="168" fontId="0" fillId="5" borderId="225" xfId="0" applyNumberFormat="1" applyFill="1" applyBorder="1"/>
    <xf numFmtId="0" fontId="0" fillId="5" borderId="226" xfId="0" applyFill="1" applyBorder="1"/>
    <xf numFmtId="9" fontId="0" fillId="0" borderId="266" xfId="46" applyNumberFormat="1" applyFont="1" applyBorder="1"/>
    <xf numFmtId="9" fontId="0" fillId="0" borderId="12" xfId="46" applyNumberFormat="1" applyFont="1" applyBorder="1"/>
    <xf numFmtId="9" fontId="0" fillId="0" borderId="6" xfId="46" applyNumberFormat="1" applyFont="1" applyBorder="1"/>
    <xf numFmtId="43" fontId="3" fillId="0" borderId="0" xfId="46" applyFont="1" applyAlignment="1">
      <alignment horizontal="center" vertical="center"/>
    </xf>
    <xf numFmtId="0" fontId="81" fillId="129" borderId="309" xfId="0" applyFont="1" applyFill="1" applyBorder="1"/>
    <xf numFmtId="0" fontId="81" fillId="129" borderId="307" xfId="0" applyFont="1" applyFill="1" applyBorder="1"/>
    <xf numFmtId="0" fontId="81" fillId="126" borderId="307" xfId="0" applyFont="1" applyFill="1" applyBorder="1"/>
    <xf numFmtId="0" fontId="81" fillId="39" borderId="307" xfId="0" applyFont="1" applyFill="1" applyBorder="1"/>
    <xf numFmtId="0" fontId="81" fillId="130" borderId="309" xfId="0" applyFont="1" applyFill="1" applyBorder="1"/>
    <xf numFmtId="0" fontId="81" fillId="130" borderId="307" xfId="0" applyFont="1" applyFill="1" applyBorder="1"/>
    <xf numFmtId="0" fontId="81" fillId="92" borderId="307" xfId="0" applyFont="1" applyFill="1" applyBorder="1"/>
    <xf numFmtId="0" fontId="81" fillId="131" borderId="309" xfId="0" applyFont="1" applyFill="1" applyBorder="1"/>
    <xf numFmtId="0" fontId="81" fillId="131" borderId="307" xfId="0" applyFont="1" applyFill="1" applyBorder="1"/>
    <xf numFmtId="0" fontId="81" fillId="129" borderId="311" xfId="0" applyFont="1" applyFill="1" applyBorder="1"/>
    <xf numFmtId="0" fontId="81" fillId="129" borderId="0" xfId="0" applyFont="1" applyFill="1"/>
    <xf numFmtId="0" fontId="81" fillId="132" borderId="309" xfId="0" applyFont="1" applyFill="1" applyBorder="1"/>
    <xf numFmtId="0" fontId="81" fillId="126" borderId="311" xfId="0" applyFont="1" applyFill="1" applyBorder="1"/>
    <xf numFmtId="0" fontId="81" fillId="133" borderId="309" xfId="0" applyFont="1" applyFill="1" applyBorder="1"/>
    <xf numFmtId="0" fontId="81" fillId="130" borderId="311" xfId="0" applyFont="1" applyFill="1" applyBorder="1"/>
    <xf numFmtId="0" fontId="81" fillId="130" borderId="0" xfId="0" applyFont="1" applyFill="1"/>
    <xf numFmtId="0" fontId="81" fillId="92" borderId="311" xfId="0" applyFont="1" applyFill="1" applyBorder="1"/>
    <xf numFmtId="0" fontId="81" fillId="132" borderId="0" xfId="0" applyFont="1" applyFill="1"/>
    <xf numFmtId="0" fontId="81" fillId="133" borderId="0" xfId="0" applyFont="1" applyFill="1"/>
    <xf numFmtId="0" fontId="81" fillId="129" borderId="368" xfId="0" applyFont="1" applyFill="1" applyBorder="1"/>
    <xf numFmtId="0" fontId="81" fillId="130" borderId="368" xfId="0" applyFont="1" applyFill="1" applyBorder="1"/>
    <xf numFmtId="0" fontId="81" fillId="131" borderId="368" xfId="0" applyFont="1" applyFill="1" applyBorder="1"/>
    <xf numFmtId="0" fontId="81" fillId="131" borderId="0" xfId="0" applyFont="1" applyFill="1"/>
    <xf numFmtId="0" fontId="81" fillId="93" borderId="368" xfId="0" applyFont="1" applyFill="1" applyBorder="1" applyAlignment="1">
      <alignment horizontal="left"/>
    </xf>
    <xf numFmtId="0" fontId="120" fillId="122" borderId="369" xfId="0" applyFont="1" applyFill="1" applyBorder="1" applyAlignment="1">
      <alignment horizontal="left" vertical="center"/>
    </xf>
    <xf numFmtId="0" fontId="155" fillId="92" borderId="307" xfId="0" applyFont="1" applyFill="1" applyBorder="1" applyAlignment="1">
      <alignment horizontal="left"/>
    </xf>
    <xf numFmtId="0" fontId="140" fillId="92" borderId="307" xfId="0" applyFont="1" applyFill="1" applyBorder="1" applyAlignment="1">
      <alignment horizontal="center"/>
    </xf>
    <xf numFmtId="165" fontId="0" fillId="5" borderId="27" xfId="0" applyNumberFormat="1" applyFill="1" applyBorder="1"/>
    <xf numFmtId="0" fontId="153" fillId="134" borderId="371" xfId="0" applyFont="1" applyFill="1" applyBorder="1" applyAlignment="1">
      <alignment horizontal="left"/>
    </xf>
    <xf numFmtId="0" fontId="81" fillId="134" borderId="365" xfId="0" applyFont="1" applyFill="1" applyBorder="1"/>
    <xf numFmtId="0" fontId="0" fillId="134" borderId="0" xfId="0" applyFill="1"/>
    <xf numFmtId="3" fontId="154" fillId="134" borderId="365" xfId="0" applyNumberFormat="1" applyFont="1" applyFill="1" applyBorder="1" applyAlignment="1">
      <alignment horizontal="center"/>
    </xf>
    <xf numFmtId="0" fontId="120" fillId="122" borderId="368" xfId="0" applyFont="1" applyFill="1" applyBorder="1" applyAlignment="1">
      <alignment horizontal="left" vertical="center"/>
    </xf>
    <xf numFmtId="0" fontId="120" fillId="93" borderId="369" xfId="0" applyFont="1" applyFill="1" applyBorder="1" applyAlignment="1">
      <alignment horizontal="left" vertical="center"/>
    </xf>
    <xf numFmtId="3" fontId="120" fillId="122" borderId="0" xfId="46" applyNumberFormat="1" applyFont="1" applyFill="1" applyBorder="1" applyAlignment="1">
      <alignment horizontal="center"/>
    </xf>
    <xf numFmtId="3" fontId="120" fillId="93" borderId="313" xfId="46" applyNumberFormat="1" applyFont="1" applyFill="1" applyBorder="1" applyAlignment="1">
      <alignment horizontal="center"/>
    </xf>
    <xf numFmtId="3" fontId="120" fillId="122" borderId="313" xfId="46" applyNumberFormat="1" applyFont="1" applyFill="1" applyBorder="1" applyAlignment="1">
      <alignment horizontal="center"/>
    </xf>
    <xf numFmtId="0" fontId="156" fillId="122" borderId="0" xfId="0" applyFont="1" applyFill="1" applyAlignment="1">
      <alignment horizontal="center"/>
    </xf>
    <xf numFmtId="0" fontId="156" fillId="93" borderId="313" xfId="0" applyFont="1" applyFill="1" applyBorder="1" applyAlignment="1">
      <alignment horizontal="center"/>
    </xf>
    <xf numFmtId="0" fontId="120" fillId="93" borderId="370" xfId="0" applyFont="1" applyFill="1" applyBorder="1" applyAlignment="1">
      <alignment horizontal="left" vertical="center"/>
    </xf>
    <xf numFmtId="3" fontId="120" fillId="93" borderId="312" xfId="46" applyNumberFormat="1" applyFont="1" applyFill="1" applyBorder="1" applyAlignment="1">
      <alignment horizontal="center"/>
    </xf>
    <xf numFmtId="3" fontId="120" fillId="122" borderId="0" xfId="0" applyNumberFormat="1" applyFont="1" applyFill="1" applyAlignment="1">
      <alignment horizontal="center"/>
    </xf>
    <xf numFmtId="3" fontId="139" fillId="122" borderId="0" xfId="0" applyNumberFormat="1" applyFont="1" applyFill="1" applyAlignment="1">
      <alignment horizontal="center"/>
    </xf>
    <xf numFmtId="3" fontId="120" fillId="93" borderId="313" xfId="0" applyNumberFormat="1" applyFont="1" applyFill="1" applyBorder="1" applyAlignment="1">
      <alignment horizontal="center"/>
    </xf>
    <xf numFmtId="3" fontId="139" fillId="93" borderId="313" xfId="0" applyNumberFormat="1" applyFont="1" applyFill="1" applyBorder="1" applyAlignment="1">
      <alignment horizontal="center"/>
    </xf>
    <xf numFmtId="3" fontId="120" fillId="122" borderId="313" xfId="0" applyNumberFormat="1" applyFont="1" applyFill="1" applyBorder="1" applyAlignment="1">
      <alignment horizontal="center"/>
    </xf>
    <xf numFmtId="173" fontId="139" fillId="93" borderId="0" xfId="0" applyNumberFormat="1" applyFont="1" applyFill="1" applyAlignment="1">
      <alignment horizontal="center"/>
    </xf>
    <xf numFmtId="3" fontId="120" fillId="93" borderId="312" xfId="0" applyNumberFormat="1" applyFont="1" applyFill="1" applyBorder="1" applyAlignment="1">
      <alignment horizontal="center"/>
    </xf>
    <xf numFmtId="0" fontId="157" fillId="122" borderId="0" xfId="0" applyFont="1" applyFill="1" applyAlignment="1">
      <alignment horizontal="center"/>
    </xf>
    <xf numFmtId="0" fontId="157" fillId="93" borderId="313" xfId="0" applyFont="1" applyFill="1" applyBorder="1" applyAlignment="1">
      <alignment horizontal="center"/>
    </xf>
    <xf numFmtId="0" fontId="157" fillId="122" borderId="313" xfId="0" applyFont="1" applyFill="1" applyBorder="1" applyAlignment="1">
      <alignment horizontal="center"/>
    </xf>
    <xf numFmtId="0" fontId="157" fillId="93" borderId="312" xfId="0" applyFont="1" applyFill="1" applyBorder="1" applyAlignment="1">
      <alignment horizontal="center"/>
    </xf>
    <xf numFmtId="0" fontId="158" fillId="122" borderId="0" xfId="0" applyFont="1" applyFill="1" applyAlignment="1">
      <alignment horizontal="center"/>
    </xf>
    <xf numFmtId="0" fontId="81" fillId="18" borderId="0" xfId="0" applyFont="1" applyFill="1" applyAlignment="1">
      <alignment horizontal="left"/>
    </xf>
    <xf numFmtId="3" fontId="120" fillId="122" borderId="368" xfId="0" applyNumberFormat="1" applyFont="1" applyFill="1" applyBorder="1" applyAlignment="1">
      <alignment vertical="center"/>
    </xf>
    <xf numFmtId="3" fontId="120" fillId="93" borderId="369" xfId="0" applyNumberFormat="1" applyFont="1" applyFill="1" applyBorder="1" applyAlignment="1">
      <alignment vertical="center"/>
    </xf>
    <xf numFmtId="3" fontId="120" fillId="122" borderId="369" xfId="0" applyNumberFormat="1" applyFont="1" applyFill="1" applyBorder="1" applyAlignment="1">
      <alignment vertical="center"/>
    </xf>
    <xf numFmtId="3" fontId="120" fillId="93" borderId="370" xfId="0" applyNumberFormat="1" applyFont="1" applyFill="1" applyBorder="1" applyAlignment="1">
      <alignment vertical="center"/>
    </xf>
    <xf numFmtId="173" fontId="159" fillId="122" borderId="0" xfId="46" applyNumberFormat="1" applyFont="1" applyFill="1" applyBorder="1" applyAlignment="1">
      <alignment horizontal="center"/>
    </xf>
    <xf numFmtId="173" fontId="159" fillId="93" borderId="313" xfId="46" applyNumberFormat="1" applyFont="1" applyFill="1" applyBorder="1" applyAlignment="1">
      <alignment horizontal="center"/>
    </xf>
    <xf numFmtId="173" fontId="159" fillId="122" borderId="313" xfId="46" applyNumberFormat="1" applyFont="1" applyFill="1" applyBorder="1" applyAlignment="1">
      <alignment horizontal="center"/>
    </xf>
    <xf numFmtId="173" fontId="159" fillId="93" borderId="312" xfId="46" applyNumberFormat="1" applyFont="1" applyFill="1" applyBorder="1" applyAlignment="1">
      <alignment horizontal="center"/>
    </xf>
    <xf numFmtId="0" fontId="160" fillId="93" borderId="313" xfId="0" applyFont="1" applyFill="1" applyBorder="1" applyAlignment="1">
      <alignment horizontal="center"/>
    </xf>
    <xf numFmtId="0" fontId="160" fillId="122" borderId="313" xfId="0" applyFont="1" applyFill="1" applyBorder="1" applyAlignment="1">
      <alignment horizontal="center"/>
    </xf>
    <xf numFmtId="173" fontId="140" fillId="122" borderId="0" xfId="46" applyNumberFormat="1" applyFont="1" applyFill="1" applyBorder="1" applyAlignment="1">
      <alignment horizontal="center"/>
    </xf>
    <xf numFmtId="173" fontId="140" fillId="93" borderId="313" xfId="46" applyNumberFormat="1" applyFont="1" applyFill="1" applyBorder="1" applyAlignment="1">
      <alignment horizontal="center"/>
    </xf>
    <xf numFmtId="3" fontId="139" fillId="122" borderId="313" xfId="46" applyNumberFormat="1" applyFont="1" applyFill="1" applyBorder="1" applyAlignment="1">
      <alignment horizontal="center"/>
    </xf>
    <xf numFmtId="0" fontId="120" fillId="5" borderId="370" xfId="0" applyFont="1" applyFill="1" applyBorder="1" applyAlignment="1">
      <alignment horizontal="left" vertical="center"/>
    </xf>
    <xf numFmtId="3" fontId="120" fillId="5" borderId="312" xfId="46" applyNumberFormat="1" applyFont="1" applyFill="1" applyBorder="1" applyAlignment="1">
      <alignment horizontal="center"/>
    </xf>
    <xf numFmtId="3" fontId="120" fillId="5" borderId="312" xfId="0" applyNumberFormat="1" applyFont="1" applyFill="1" applyBorder="1" applyAlignment="1">
      <alignment horizontal="center"/>
    </xf>
    <xf numFmtId="3" fontId="139" fillId="5" borderId="312" xfId="0" applyNumberFormat="1" applyFont="1" applyFill="1" applyBorder="1" applyAlignment="1">
      <alignment horizontal="center"/>
    </xf>
    <xf numFmtId="0" fontId="81" fillId="128" borderId="0" xfId="0" applyFont="1" applyFill="1"/>
    <xf numFmtId="0" fontId="81" fillId="28" borderId="0" xfId="0" applyFont="1" applyFill="1"/>
    <xf numFmtId="0" fontId="160" fillId="122" borderId="385" xfId="0" applyFont="1" applyFill="1" applyBorder="1" applyAlignment="1">
      <alignment horizontal="center"/>
    </xf>
    <xf numFmtId="4" fontId="84" fillId="135" borderId="389" xfId="0" applyNumberFormat="1" applyFont="1" applyFill="1" applyBorder="1"/>
    <xf numFmtId="43" fontId="0" fillId="5" borderId="0" xfId="46" applyFont="1" applyFill="1"/>
    <xf numFmtId="2" fontId="26" fillId="10" borderId="0" xfId="0" applyNumberFormat="1" applyFont="1" applyFill="1"/>
    <xf numFmtId="168" fontId="0" fillId="32" borderId="3" xfId="0" applyNumberFormat="1" applyFill="1" applyBorder="1"/>
    <xf numFmtId="2" fontId="0" fillId="0" borderId="160" xfId="0" applyNumberFormat="1" applyBorder="1" applyAlignment="1">
      <alignment horizontal="center"/>
    </xf>
    <xf numFmtId="0" fontId="0" fillId="0" borderId="17" xfId="0" applyBorder="1" applyAlignment="1">
      <alignment horizontal="center"/>
    </xf>
    <xf numFmtId="2" fontId="0" fillId="0" borderId="3" xfId="0" applyNumberFormat="1" applyBorder="1" applyAlignment="1">
      <alignment horizontal="center"/>
    </xf>
    <xf numFmtId="2" fontId="0" fillId="0" borderId="3" xfId="0" applyNumberFormat="1" applyBorder="1"/>
    <xf numFmtId="2" fontId="0" fillId="0" borderId="4" xfId="0" applyNumberFormat="1" applyBorder="1"/>
    <xf numFmtId="2" fontId="0" fillId="0" borderId="6" xfId="0" applyNumberFormat="1" applyBorder="1"/>
    <xf numFmtId="0" fontId="8" fillId="0" borderId="0" xfId="0" applyFont="1" applyAlignment="1">
      <alignment horizontal="center"/>
    </xf>
    <xf numFmtId="43" fontId="2" fillId="5" borderId="0" xfId="46" applyFont="1" applyFill="1" applyAlignment="1">
      <alignment vertical="center"/>
    </xf>
    <xf numFmtId="43" fontId="0" fillId="0" borderId="2" xfId="46" applyFont="1" applyBorder="1"/>
    <xf numFmtId="0" fontId="88" fillId="0" borderId="390" xfId="0" applyFont="1" applyBorder="1" applyAlignment="1">
      <alignment vertical="top" wrapText="1" readingOrder="1"/>
    </xf>
    <xf numFmtId="195" fontId="88" fillId="0" borderId="390" xfId="0" applyNumberFormat="1" applyFont="1" applyBorder="1" applyAlignment="1">
      <alignment vertical="top" wrapText="1" readingOrder="1"/>
    </xf>
    <xf numFmtId="2" fontId="52" fillId="0" borderId="102" xfId="0" applyNumberFormat="1" applyFont="1" applyBorder="1"/>
    <xf numFmtId="168" fontId="0" fillId="5" borderId="391" xfId="0" applyNumberFormat="1" applyFill="1" applyBorder="1"/>
    <xf numFmtId="0" fontId="0" fillId="5" borderId="391" xfId="0" applyFill="1" applyBorder="1"/>
    <xf numFmtId="0" fontId="80" fillId="10" borderId="392" xfId="0" applyFont="1" applyFill="1" applyBorder="1" applyAlignment="1">
      <alignment horizontal="center" vertical="center"/>
    </xf>
    <xf numFmtId="0" fontId="80" fillId="10" borderId="393" xfId="0" applyFont="1" applyFill="1" applyBorder="1" applyAlignment="1">
      <alignment horizontal="center" vertical="center"/>
    </xf>
    <xf numFmtId="0" fontId="80" fillId="10" borderId="393" xfId="0" applyFont="1" applyFill="1" applyBorder="1" applyAlignment="1">
      <alignment horizontal="center"/>
    </xf>
    <xf numFmtId="0" fontId="80" fillId="10" borderId="394" xfId="0" applyFont="1" applyFill="1" applyBorder="1" applyAlignment="1">
      <alignment horizontal="center"/>
    </xf>
    <xf numFmtId="0" fontId="80" fillId="10" borderId="249" xfId="0" applyFont="1" applyFill="1" applyBorder="1" applyAlignment="1">
      <alignment horizontal="center" vertical="center"/>
    </xf>
    <xf numFmtId="0" fontId="80" fillId="10" borderId="24" xfId="0" applyFont="1" applyFill="1" applyBorder="1" applyAlignment="1">
      <alignment horizontal="center" vertical="center"/>
    </xf>
    <xf numFmtId="0" fontId="80" fillId="10" borderId="24" xfId="0" applyFont="1" applyFill="1" applyBorder="1" applyAlignment="1">
      <alignment horizontal="center"/>
    </xf>
    <xf numFmtId="0" fontId="80" fillId="10" borderId="19" xfId="0" applyFont="1" applyFill="1" applyBorder="1" applyAlignment="1">
      <alignment horizontal="center"/>
    </xf>
    <xf numFmtId="4" fontId="80" fillId="0" borderId="1" xfId="0" applyNumberFormat="1" applyFont="1" applyBorder="1" applyAlignment="1">
      <alignment horizontal="center"/>
    </xf>
    <xf numFmtId="0" fontId="80" fillId="0" borderId="19" xfId="0" applyFont="1" applyBorder="1" applyAlignment="1">
      <alignment horizontal="center"/>
    </xf>
    <xf numFmtId="165" fontId="11" fillId="0" borderId="7" xfId="0" applyNumberFormat="1" applyFont="1" applyBorder="1"/>
    <xf numFmtId="43" fontId="0" fillId="0" borderId="161" xfId="46" applyFont="1" applyBorder="1"/>
    <xf numFmtId="10" fontId="79" fillId="0" borderId="17" xfId="0" applyNumberFormat="1" applyFont="1" applyBorder="1"/>
    <xf numFmtId="10" fontId="79" fillId="0" borderId="238" xfId="0" applyNumberFormat="1" applyFont="1" applyBorder="1" applyAlignment="1">
      <alignment vertical="center"/>
    </xf>
    <xf numFmtId="0" fontId="52" fillId="0" borderId="152" xfId="0" applyFont="1" applyBorder="1" applyAlignment="1">
      <alignment horizontal="right"/>
    </xf>
    <xf numFmtId="2" fontId="52" fillId="0" borderId="152" xfId="0" applyNumberFormat="1" applyFont="1" applyBorder="1" applyAlignment="1">
      <alignment horizontal="right"/>
    </xf>
    <xf numFmtId="0" fontId="107" fillId="10" borderId="368" xfId="0" applyFont="1" applyFill="1" applyBorder="1" applyAlignment="1">
      <alignment horizontal="left"/>
    </xf>
    <xf numFmtId="0" fontId="81" fillId="10" borderId="0" xfId="0" applyFont="1" applyFill="1"/>
    <xf numFmtId="0" fontId="81" fillId="10" borderId="368" xfId="0" applyFont="1" applyFill="1" applyBorder="1"/>
    <xf numFmtId="0" fontId="108" fillId="10" borderId="0" xfId="0" applyFont="1" applyFill="1" applyAlignment="1">
      <alignment horizontal="center"/>
    </xf>
    <xf numFmtId="0" fontId="81" fillId="5" borderId="371" xfId="0" applyFont="1" applyFill="1" applyBorder="1"/>
    <xf numFmtId="0" fontId="81" fillId="5" borderId="365" xfId="0" applyFont="1" applyFill="1" applyBorder="1"/>
    <xf numFmtId="0" fontId="120" fillId="5" borderId="370" xfId="0" applyFont="1" applyFill="1" applyBorder="1" applyAlignment="1">
      <alignment vertical="center"/>
    </xf>
    <xf numFmtId="0" fontId="120" fillId="5" borderId="312" xfId="0" applyFont="1" applyFill="1" applyBorder="1" applyAlignment="1">
      <alignment horizontal="center"/>
    </xf>
    <xf numFmtId="0" fontId="142" fillId="5" borderId="312" xfId="0" applyFont="1" applyFill="1" applyBorder="1" applyAlignment="1">
      <alignment horizontal="center"/>
    </xf>
    <xf numFmtId="0" fontId="142" fillId="5" borderId="0" xfId="0" applyFont="1" applyFill="1" applyAlignment="1">
      <alignment horizontal="center"/>
    </xf>
    <xf numFmtId="0" fontId="81" fillId="5" borderId="366" xfId="0" applyFont="1" applyFill="1" applyBorder="1"/>
    <xf numFmtId="0" fontId="81" fillId="5" borderId="374" xfId="0" applyFont="1" applyFill="1" applyBorder="1"/>
    <xf numFmtId="0" fontId="81" fillId="5" borderId="0" xfId="0" applyFont="1" applyFill="1"/>
    <xf numFmtId="0" fontId="81" fillId="87" borderId="0" xfId="0" applyFont="1" applyFill="1"/>
    <xf numFmtId="3" fontId="0" fillId="5" borderId="0" xfId="0" applyNumberFormat="1" applyFill="1"/>
    <xf numFmtId="165" fontId="3" fillId="0" borderId="0" xfId="0" applyNumberFormat="1" applyFont="1"/>
    <xf numFmtId="173" fontId="0" fillId="5" borderId="160" xfId="46" applyNumberFormat="1" applyFont="1" applyFill="1" applyBorder="1"/>
    <xf numFmtId="173" fontId="0" fillId="5" borderId="140" xfId="46" applyNumberFormat="1" applyFont="1" applyFill="1" applyBorder="1"/>
    <xf numFmtId="173" fontId="0" fillId="0" borderId="161" xfId="46" applyNumberFormat="1" applyFont="1" applyBorder="1"/>
    <xf numFmtId="173" fontId="0" fillId="0" borderId="145" xfId="46" applyNumberFormat="1" applyFont="1" applyBorder="1"/>
    <xf numFmtId="10" fontId="0" fillId="0" borderId="72" xfId="0" applyNumberFormat="1" applyBorder="1"/>
    <xf numFmtId="10" fontId="0" fillId="0" borderId="73" xfId="0" applyNumberFormat="1" applyBorder="1"/>
    <xf numFmtId="10" fontId="0" fillId="0" borderId="74" xfId="0" applyNumberFormat="1" applyBorder="1"/>
    <xf numFmtId="173" fontId="2" fillId="0" borderId="0" xfId="46" applyNumberFormat="1" applyFont="1"/>
    <xf numFmtId="1" fontId="3" fillId="32" borderId="0" xfId="0" applyNumberFormat="1" applyFont="1" applyFill="1"/>
    <xf numFmtId="3" fontId="8" fillId="0" borderId="0" xfId="0" applyNumberFormat="1" applyFont="1"/>
    <xf numFmtId="0" fontId="164" fillId="0" borderId="0" xfId="0" quotePrefix="1" applyFont="1"/>
    <xf numFmtId="1" fontId="0" fillId="31" borderId="45" xfId="0" applyNumberFormat="1" applyFill="1" applyBorder="1"/>
    <xf numFmtId="173" fontId="52" fillId="0" borderId="12" xfId="46" applyNumberFormat="1" applyFont="1" applyBorder="1" applyAlignment="1">
      <alignment vertical="top"/>
    </xf>
    <xf numFmtId="173" fontId="3" fillId="84" borderId="0" xfId="46" applyNumberFormat="1" applyFont="1" applyFill="1"/>
    <xf numFmtId="165" fontId="0" fillId="5" borderId="6" xfId="0" applyNumberFormat="1" applyFill="1" applyBorder="1"/>
    <xf numFmtId="179" fontId="0" fillId="5" borderId="27" xfId="0" applyNumberFormat="1" applyFill="1" applyBorder="1"/>
    <xf numFmtId="180" fontId="0" fillId="5" borderId="175" xfId="0" applyNumberFormat="1" applyFill="1" applyBorder="1"/>
    <xf numFmtId="180" fontId="0" fillId="5" borderId="17" xfId="0" applyNumberFormat="1" applyFill="1" applyBorder="1"/>
    <xf numFmtId="180" fontId="0" fillId="5" borderId="17" xfId="46" applyNumberFormat="1" applyFont="1" applyFill="1" applyBorder="1"/>
    <xf numFmtId="180" fontId="0" fillId="0" borderId="17" xfId="0" applyNumberFormat="1" applyBorder="1" applyAlignment="1">
      <alignment horizontal="right"/>
    </xf>
    <xf numFmtId="180" fontId="0" fillId="5" borderId="18" xfId="0" applyNumberFormat="1" applyFill="1" applyBorder="1"/>
    <xf numFmtId="168" fontId="0" fillId="0" borderId="26" xfId="0" applyNumberFormat="1" applyBorder="1"/>
    <xf numFmtId="168" fontId="0" fillId="0" borderId="20" xfId="0" applyNumberFormat="1" applyBorder="1"/>
    <xf numFmtId="168" fontId="32" fillId="0" borderId="0" xfId="46" applyNumberFormat="1" applyFont="1" applyFill="1" applyBorder="1"/>
    <xf numFmtId="43" fontId="32" fillId="0" borderId="0" xfId="46" applyFont="1" applyFill="1" applyBorder="1"/>
    <xf numFmtId="0" fontId="165" fillId="15" borderId="0" xfId="0" applyFont="1" applyFill="1" applyAlignment="1">
      <alignment horizontal="center"/>
    </xf>
    <xf numFmtId="168" fontId="165" fillId="15" borderId="0" xfId="46" applyNumberFormat="1" applyFont="1" applyFill="1" applyBorder="1" applyAlignment="1">
      <alignment horizontal="center"/>
    </xf>
    <xf numFmtId="168" fontId="165" fillId="32" borderId="0" xfId="46" applyNumberFormat="1" applyFont="1" applyFill="1" applyBorder="1" applyAlignment="1">
      <alignment horizontal="center"/>
    </xf>
    <xf numFmtId="16" fontId="32" fillId="5" borderId="0" xfId="0" applyNumberFormat="1" applyFont="1" applyFill="1"/>
    <xf numFmtId="168" fontId="32" fillId="5" borderId="0" xfId="0" applyNumberFormat="1" applyFont="1" applyFill="1"/>
    <xf numFmtId="168" fontId="32" fillId="5" borderId="0" xfId="46" applyNumberFormat="1" applyFont="1" applyFill="1" applyBorder="1"/>
    <xf numFmtId="43" fontId="32" fillId="5" borderId="0" xfId="46" applyFont="1" applyFill="1" applyBorder="1"/>
    <xf numFmtId="168" fontId="32" fillId="0" borderId="0" xfId="0" applyNumberFormat="1" applyFont="1"/>
    <xf numFmtId="168" fontId="32" fillId="0" borderId="0" xfId="46" applyNumberFormat="1" applyFont="1" applyFill="1"/>
    <xf numFmtId="168" fontId="166" fillId="0" borderId="0" xfId="0" applyNumberFormat="1" applyFont="1"/>
    <xf numFmtId="43" fontId="165" fillId="15" borderId="0" xfId="46" applyFont="1" applyFill="1" applyAlignment="1">
      <alignment horizontal="center"/>
    </xf>
    <xf numFmtId="10" fontId="47" fillId="0" borderId="20" xfId="0" applyNumberFormat="1" applyFont="1" applyBorder="1"/>
    <xf numFmtId="10" fontId="31" fillId="36" borderId="159" xfId="0" applyNumberFormat="1" applyFont="1" applyFill="1" applyBorder="1"/>
    <xf numFmtId="10" fontId="31" fillId="36" borderId="399" xfId="0" applyNumberFormat="1" applyFont="1" applyFill="1" applyBorder="1"/>
    <xf numFmtId="168" fontId="0" fillId="0" borderId="297" xfId="0" applyNumberFormat="1" applyBorder="1"/>
    <xf numFmtId="2" fontId="0" fillId="0" borderId="235" xfId="0" applyNumberFormat="1" applyBorder="1"/>
    <xf numFmtId="2" fontId="0" fillId="0" borderId="298" xfId="0" applyNumberFormat="1" applyBorder="1"/>
    <xf numFmtId="173" fontId="0" fillId="5" borderId="7" xfId="46" applyNumberFormat="1" applyFont="1" applyFill="1" applyBorder="1"/>
    <xf numFmtId="0" fontId="167" fillId="0" borderId="0" xfId="0" applyFont="1"/>
    <xf numFmtId="165" fontId="0" fillId="0" borderId="6" xfId="0" applyNumberFormat="1" applyBorder="1"/>
    <xf numFmtId="165" fontId="0" fillId="5" borderId="9" xfId="0" applyNumberFormat="1" applyFill="1" applyBorder="1"/>
    <xf numFmtId="165" fontId="89" fillId="0" borderId="98" xfId="0" applyNumberFormat="1" applyFont="1" applyBorder="1"/>
    <xf numFmtId="171" fontId="89" fillId="0" borderId="103" xfId="0" applyNumberFormat="1" applyFont="1" applyBorder="1"/>
    <xf numFmtId="171" fontId="53" fillId="0" borderId="400" xfId="0" applyNumberFormat="1" applyFont="1" applyBorder="1"/>
    <xf numFmtId="168" fontId="31" fillId="0" borderId="6" xfId="0" applyNumberFormat="1" applyFont="1" applyBorder="1" applyAlignment="1">
      <alignment horizontal="right"/>
    </xf>
    <xf numFmtId="173" fontId="0" fillId="5" borderId="2" xfId="46" applyNumberFormat="1" applyFont="1" applyFill="1" applyBorder="1"/>
    <xf numFmtId="173" fontId="0" fillId="5" borderId="297" xfId="46" applyNumberFormat="1" applyFont="1" applyFill="1" applyBorder="1"/>
    <xf numFmtId="43" fontId="0" fillId="5" borderId="235" xfId="46" applyFont="1" applyFill="1" applyBorder="1"/>
    <xf numFmtId="43" fontId="0" fillId="5" borderId="401" xfId="46" applyFont="1" applyFill="1" applyBorder="1"/>
    <xf numFmtId="173" fontId="0" fillId="0" borderId="297" xfId="46" applyNumberFormat="1" applyFont="1" applyBorder="1"/>
    <xf numFmtId="43" fontId="0" fillId="0" borderId="235" xfId="46" applyFont="1" applyBorder="1"/>
    <xf numFmtId="43" fontId="0" fillId="0" borderId="298" xfId="46" applyFont="1" applyBorder="1"/>
    <xf numFmtId="0" fontId="0" fillId="5" borderId="20" xfId="0" applyFill="1" applyBorder="1" applyAlignment="1">
      <alignment horizontal="center" vertical="center"/>
    </xf>
    <xf numFmtId="168" fontId="0" fillId="5" borderId="402" xfId="0" applyNumberFormat="1" applyFill="1" applyBorder="1"/>
    <xf numFmtId="0" fontId="0" fillId="5" borderId="402" xfId="0" applyFill="1" applyBorder="1"/>
    <xf numFmtId="4" fontId="84" fillId="135" borderId="5" xfId="0" applyNumberFormat="1" applyFont="1" applyFill="1" applyBorder="1"/>
    <xf numFmtId="168" fontId="4" fillId="0" borderId="138" xfId="0" applyNumberFormat="1" applyFont="1" applyBorder="1"/>
    <xf numFmtId="9" fontId="0" fillId="0" borderId="138" xfId="46" applyNumberFormat="1" applyFont="1" applyBorder="1"/>
    <xf numFmtId="9" fontId="0" fillId="0" borderId="22" xfId="46" applyNumberFormat="1" applyFont="1" applyBorder="1"/>
    <xf numFmtId="9" fontId="0" fillId="0" borderId="22" xfId="0" applyNumberFormat="1" applyBorder="1"/>
    <xf numFmtId="9" fontId="0" fillId="0" borderId="138" xfId="0" applyNumberFormat="1" applyBorder="1"/>
    <xf numFmtId="9" fontId="0" fillId="0" borderId="258" xfId="46" applyNumberFormat="1" applyFont="1" applyBorder="1"/>
    <xf numFmtId="9" fontId="0" fillId="0" borderId="267" xfId="46" applyNumberFormat="1" applyFont="1" applyBorder="1"/>
    <xf numFmtId="9" fontId="0" fillId="0" borderId="276" xfId="46" applyNumberFormat="1" applyFont="1" applyBorder="1"/>
    <xf numFmtId="1" fontId="29" fillId="32" borderId="0" xfId="0" applyNumberFormat="1" applyFont="1" applyFill="1"/>
    <xf numFmtId="41" fontId="2" fillId="0" borderId="0" xfId="0" applyNumberFormat="1" applyFont="1" applyAlignment="1">
      <alignment vertical="center"/>
    </xf>
    <xf numFmtId="173" fontId="154" fillId="134" borderId="365" xfId="46" applyNumberFormat="1" applyFont="1" applyFill="1" applyBorder="1" applyAlignment="1">
      <alignment horizontal="right"/>
    </xf>
    <xf numFmtId="0" fontId="0" fillId="5" borderId="225" xfId="0" applyFill="1" applyBorder="1"/>
    <xf numFmtId="168" fontId="0" fillId="5" borderId="228" xfId="0" applyNumberFormat="1" applyFill="1" applyBorder="1"/>
    <xf numFmtId="0" fontId="0" fillId="5" borderId="228" xfId="0" applyFill="1" applyBorder="1"/>
    <xf numFmtId="168" fontId="0" fillId="5" borderId="231" xfId="0" applyNumberFormat="1" applyFill="1" applyBorder="1"/>
    <xf numFmtId="0" fontId="0" fillId="5" borderId="231" xfId="0" applyFill="1" applyBorder="1"/>
    <xf numFmtId="168" fontId="0" fillId="5" borderId="403" xfId="0" applyNumberFormat="1" applyFill="1" applyBorder="1"/>
    <xf numFmtId="168" fontId="0" fillId="5" borderId="297" xfId="0" applyNumberFormat="1" applyFill="1" applyBorder="1"/>
    <xf numFmtId="192" fontId="0" fillId="0" borderId="9" xfId="46" applyNumberFormat="1" applyFont="1" applyBorder="1"/>
    <xf numFmtId="0" fontId="0" fillId="5" borderId="298" xfId="0" applyFill="1" applyBorder="1"/>
    <xf numFmtId="168" fontId="0" fillId="5" borderId="235" xfId="0" applyNumberFormat="1" applyFill="1" applyBorder="1"/>
    <xf numFmtId="0" fontId="0" fillId="0" borderId="26" xfId="0" applyBorder="1" applyAlignment="1">
      <alignment vertical="distributed"/>
    </xf>
    <xf numFmtId="9" fontId="0" fillId="17" borderId="133" xfId="0" applyNumberFormat="1" applyFill="1" applyBorder="1"/>
    <xf numFmtId="9" fontId="0" fillId="0" borderId="133" xfId="0" applyNumberFormat="1" applyBorder="1"/>
    <xf numFmtId="9" fontId="0" fillId="0" borderId="45" xfId="0" applyNumberFormat="1" applyBorder="1"/>
    <xf numFmtId="9" fontId="0" fillId="31" borderId="135" xfId="0" applyNumberFormat="1" applyFill="1" applyBorder="1"/>
    <xf numFmtId="9" fontId="0" fillId="31" borderId="133" xfId="0" applyNumberFormat="1" applyFill="1" applyBorder="1"/>
    <xf numFmtId="9" fontId="0" fillId="27" borderId="133" xfId="0" applyNumberFormat="1" applyFill="1" applyBorder="1"/>
    <xf numFmtId="9" fontId="0" fillId="27" borderId="135" xfId="0" applyNumberFormat="1" applyFill="1" applyBorder="1"/>
    <xf numFmtId="3" fontId="0" fillId="2" borderId="261" xfId="0" applyNumberFormat="1" applyFill="1" applyBorder="1"/>
    <xf numFmtId="3" fontId="0" fillId="17" borderId="261" xfId="0" applyNumberFormat="1" applyFill="1" applyBorder="1"/>
    <xf numFmtId="3" fontId="0" fillId="0" borderId="261" xfId="0" applyNumberFormat="1" applyBorder="1"/>
    <xf numFmtId="3" fontId="0" fillId="0" borderId="32" xfId="0" applyNumberFormat="1" applyBorder="1"/>
    <xf numFmtId="3" fontId="0" fillId="0" borderId="38" xfId="0" applyNumberFormat="1" applyBorder="1"/>
    <xf numFmtId="3" fontId="0" fillId="0" borderId="262" xfId="0" applyNumberFormat="1" applyBorder="1"/>
    <xf numFmtId="3" fontId="0" fillId="0" borderId="270" xfId="0" applyNumberFormat="1" applyBorder="1"/>
    <xf numFmtId="3" fontId="0" fillId="0" borderId="139" xfId="0" applyNumberFormat="1" applyBorder="1"/>
    <xf numFmtId="16" fontId="32" fillId="136" borderId="0" xfId="0" applyNumberFormat="1" applyFont="1" applyFill="1"/>
    <xf numFmtId="168" fontId="32" fillId="136" borderId="0" xfId="46" applyNumberFormat="1" applyFont="1" applyFill="1" applyBorder="1"/>
    <xf numFmtId="0" fontId="0" fillId="136" borderId="0" xfId="0" applyFill="1"/>
    <xf numFmtId="43" fontId="32" fillId="136" borderId="0" xfId="46" applyFont="1" applyFill="1" applyBorder="1"/>
    <xf numFmtId="43" fontId="0" fillId="136" borderId="0" xfId="46" applyFont="1" applyFill="1"/>
    <xf numFmtId="168" fontId="32" fillId="136" borderId="0" xfId="0" applyNumberFormat="1" applyFont="1" applyFill="1"/>
    <xf numFmtId="43" fontId="0" fillId="136" borderId="0" xfId="0" applyNumberFormat="1" applyFill="1"/>
    <xf numFmtId="173" fontId="0" fillId="136" borderId="0" xfId="46" applyNumberFormat="1" applyFont="1" applyFill="1"/>
    <xf numFmtId="173" fontId="32" fillId="136" borderId="0" xfId="46" applyNumberFormat="1" applyFont="1" applyFill="1"/>
    <xf numFmtId="43" fontId="0" fillId="32" borderId="6" xfId="46" applyFont="1" applyFill="1" applyBorder="1"/>
    <xf numFmtId="165" fontId="0" fillId="0" borderId="95" xfId="0" applyNumberFormat="1" applyBorder="1"/>
    <xf numFmtId="168" fontId="0" fillId="0" borderId="298" xfId="0" applyNumberFormat="1" applyBorder="1"/>
    <xf numFmtId="168" fontId="0" fillId="0" borderId="24" xfId="0" applyNumberFormat="1" applyBorder="1"/>
    <xf numFmtId="0" fontId="29" fillId="9" borderId="0" xfId="0" applyFont="1" applyFill="1"/>
    <xf numFmtId="0" fontId="168" fillId="0" borderId="0" xfId="0" applyFont="1"/>
    <xf numFmtId="180" fontId="26" fillId="0" borderId="0" xfId="0" applyNumberFormat="1" applyFont="1"/>
    <xf numFmtId="168" fontId="29" fillId="0" borderId="297" xfId="0" applyNumberFormat="1" applyFont="1" applyBorder="1"/>
    <xf numFmtId="196" fontId="0" fillId="5" borderId="0" xfId="0" applyNumberFormat="1" applyFill="1"/>
    <xf numFmtId="165" fontId="0" fillId="5" borderId="12" xfId="0" applyNumberFormat="1" applyFill="1" applyBorder="1"/>
    <xf numFmtId="165" fontId="84" fillId="135" borderId="5" xfId="0" applyNumberFormat="1" applyFont="1" applyFill="1" applyBorder="1"/>
    <xf numFmtId="165" fontId="0" fillId="0" borderId="12" xfId="0" applyNumberFormat="1" applyBorder="1"/>
    <xf numFmtId="165" fontId="0" fillId="5" borderId="13" xfId="0" applyNumberFormat="1" applyFill="1" applyBorder="1"/>
    <xf numFmtId="197" fontId="0" fillId="5" borderId="0" xfId="46" applyNumberFormat="1" applyFont="1" applyFill="1"/>
    <xf numFmtId="165" fontId="0" fillId="5" borderId="22" xfId="0" applyNumberFormat="1" applyFill="1" applyBorder="1"/>
    <xf numFmtId="165" fontId="24" fillId="0" borderId="5" xfId="0" applyNumberFormat="1" applyFont="1" applyBorder="1"/>
    <xf numFmtId="165" fontId="24" fillId="0" borderId="0" xfId="0" applyNumberFormat="1" applyFont="1"/>
    <xf numFmtId="165" fontId="0" fillId="5" borderId="12" xfId="0" applyNumberFormat="1" applyFill="1" applyBorder="1" applyAlignment="1">
      <alignment horizontal="center"/>
    </xf>
    <xf numFmtId="165" fontId="0" fillId="5" borderId="5" xfId="0" applyNumberFormat="1" applyFill="1" applyBorder="1"/>
    <xf numFmtId="165" fontId="0" fillId="87" borderId="0" xfId="0" applyNumberFormat="1" applyFill="1"/>
    <xf numFmtId="169" fontId="3" fillId="87" borderId="0" xfId="0" applyNumberFormat="1" applyFont="1" applyFill="1"/>
    <xf numFmtId="0" fontId="3" fillId="87" borderId="0" xfId="0" applyFont="1" applyFill="1"/>
    <xf numFmtId="2" fontId="0" fillId="87" borderId="0" xfId="0" applyNumberFormat="1" applyFill="1"/>
    <xf numFmtId="1" fontId="0" fillId="87" borderId="0" xfId="0" applyNumberFormat="1" applyFill="1"/>
    <xf numFmtId="186" fontId="26" fillId="10" borderId="0" xfId="0" applyNumberFormat="1" applyFont="1" applyFill="1"/>
    <xf numFmtId="180" fontId="11" fillId="5" borderId="250" xfId="0" applyNumberFormat="1" applyFont="1" applyFill="1" applyBorder="1"/>
    <xf numFmtId="186" fontId="3" fillId="5" borderId="0" xfId="0" applyNumberFormat="1" applyFont="1" applyFill="1"/>
    <xf numFmtId="168" fontId="3" fillId="87" borderId="3" xfId="0" applyNumberFormat="1" applyFont="1" applyFill="1" applyBorder="1"/>
    <xf numFmtId="0" fontId="11" fillId="0" borderId="0" xfId="0" applyFont="1" applyAlignment="1">
      <alignment vertical="center"/>
    </xf>
    <xf numFmtId="43" fontId="11" fillId="5" borderId="0" xfId="46" applyFont="1" applyFill="1"/>
    <xf numFmtId="43" fontId="11" fillId="0" borderId="0" xfId="46" applyFont="1" applyAlignment="1">
      <alignment vertical="center"/>
    </xf>
    <xf numFmtId="43" fontId="11" fillId="0" borderId="0" xfId="46" applyFont="1"/>
    <xf numFmtId="43" fontId="13" fillId="0" borderId="0" xfId="0" applyNumberFormat="1" applyFont="1" applyAlignment="1">
      <alignment vertical="center"/>
    </xf>
    <xf numFmtId="173" fontId="11" fillId="5" borderId="0" xfId="0" applyNumberFormat="1" applyFont="1" applyFill="1"/>
    <xf numFmtId="170" fontId="0" fillId="5" borderId="0" xfId="0" applyNumberFormat="1" applyFill="1"/>
    <xf numFmtId="3" fontId="0" fillId="0" borderId="0" xfId="0" quotePrefix="1" applyNumberFormat="1"/>
    <xf numFmtId="173" fontId="29" fillId="35" borderId="0" xfId="0" applyNumberFormat="1" applyFont="1" applyFill="1"/>
    <xf numFmtId="173" fontId="11" fillId="0" borderId="0" xfId="46" applyNumberFormat="1" applyFont="1"/>
    <xf numFmtId="168" fontId="0" fillId="0" borderId="93" xfId="0" applyNumberFormat="1" applyBorder="1"/>
    <xf numFmtId="0" fontId="96" fillId="93" borderId="0" xfId="0" applyFont="1" applyFill="1"/>
    <xf numFmtId="0" fontId="95" fillId="93" borderId="0" xfId="0" applyFont="1" applyFill="1"/>
    <xf numFmtId="0" fontId="0" fillId="97" borderId="0" xfId="0" applyFill="1"/>
    <xf numFmtId="0" fontId="171" fillId="95" borderId="0" xfId="0" applyFont="1" applyFill="1" applyAlignment="1">
      <alignment horizontal="left" vertical="center"/>
    </xf>
    <xf numFmtId="0" fontId="0" fillId="93" borderId="328" xfId="0" applyFill="1" applyBorder="1"/>
    <xf numFmtId="0" fontId="0" fillId="93" borderId="327" xfId="0" applyFill="1" applyBorder="1"/>
    <xf numFmtId="0" fontId="0" fillId="93" borderId="329" xfId="0" applyFill="1" applyBorder="1"/>
    <xf numFmtId="0" fontId="0" fillId="93" borderId="332" xfId="0" applyFill="1" applyBorder="1"/>
    <xf numFmtId="0" fontId="0" fillId="93" borderId="331" xfId="0" applyFill="1" applyBorder="1"/>
    <xf numFmtId="0" fontId="0" fillId="93" borderId="333" xfId="0" applyFill="1" applyBorder="1"/>
    <xf numFmtId="0" fontId="0" fillId="93" borderId="336" xfId="0" applyFill="1" applyBorder="1"/>
    <xf numFmtId="0" fontId="0" fillId="93" borderId="335" xfId="0" applyFill="1" applyBorder="1"/>
    <xf numFmtId="0" fontId="0" fillId="93" borderId="337" xfId="0" applyFill="1" applyBorder="1"/>
    <xf numFmtId="0" fontId="0" fillId="93" borderId="0" xfId="0" applyFill="1"/>
    <xf numFmtId="0" fontId="0" fillId="93" borderId="310" xfId="0" applyFill="1" applyBorder="1"/>
    <xf numFmtId="0" fontId="0" fillId="93" borderId="308" xfId="0" applyFill="1" applyBorder="1"/>
    <xf numFmtId="0" fontId="96" fillId="93" borderId="0" xfId="0" applyFont="1" applyFill="1" applyAlignment="1">
      <alignment vertical="center"/>
    </xf>
    <xf numFmtId="0" fontId="177" fillId="94" borderId="0" xfId="0" applyFont="1" applyFill="1" applyAlignment="1">
      <alignment horizontal="center" vertical="center"/>
    </xf>
    <xf numFmtId="0" fontId="177" fillId="98" borderId="0" xfId="0" applyFont="1" applyFill="1" applyAlignment="1">
      <alignment horizontal="center" vertical="center"/>
    </xf>
    <xf numFmtId="0" fontId="177" fillId="99" borderId="0" xfId="0" applyFont="1" applyFill="1" applyAlignment="1">
      <alignment horizontal="center" vertical="center"/>
    </xf>
    <xf numFmtId="0" fontId="178" fillId="93" borderId="0" xfId="0" applyFont="1" applyFill="1" applyAlignment="1">
      <alignment vertical="center"/>
    </xf>
    <xf numFmtId="0" fontId="0" fillId="111" borderId="0" xfId="0" applyFill="1"/>
    <xf numFmtId="0" fontId="0" fillId="107" borderId="0" xfId="0" applyFill="1"/>
    <xf numFmtId="0" fontId="0" fillId="112" borderId="0" xfId="0" applyFill="1"/>
    <xf numFmtId="0" fontId="0" fillId="113" borderId="0" xfId="0" applyFill="1"/>
    <xf numFmtId="0" fontId="98" fillId="93" borderId="0" xfId="0" applyFont="1" applyFill="1" applyAlignment="1">
      <alignment vertical="center"/>
    </xf>
    <xf numFmtId="0" fontId="179" fillId="93" borderId="0" xfId="0" applyFont="1" applyFill="1" applyAlignment="1">
      <alignment horizontal="left" vertical="center" wrapText="1"/>
    </xf>
    <xf numFmtId="0" fontId="179" fillId="93" borderId="0" xfId="0" applyFont="1" applyFill="1" applyAlignment="1">
      <alignment horizontal="center" vertical="center" wrapText="1"/>
    </xf>
    <xf numFmtId="173" fontId="180" fillId="93" borderId="330" xfId="46" applyNumberFormat="1" applyFont="1" applyFill="1" applyBorder="1" applyAlignment="1">
      <alignment horizontal="center"/>
    </xf>
    <xf numFmtId="0" fontId="181" fillId="93" borderId="330" xfId="0" applyFont="1" applyFill="1" applyBorder="1" applyAlignment="1">
      <alignment horizontal="center"/>
    </xf>
    <xf numFmtId="173" fontId="180" fillId="93" borderId="334" xfId="46" applyNumberFormat="1" applyFont="1" applyFill="1" applyBorder="1" applyAlignment="1">
      <alignment horizontal="center"/>
    </xf>
    <xf numFmtId="0" fontId="182" fillId="93" borderId="334" xfId="0" applyFont="1" applyFill="1" applyBorder="1" applyAlignment="1">
      <alignment horizontal="center"/>
    </xf>
    <xf numFmtId="43" fontId="180" fillId="93" borderId="338" xfId="46" applyFont="1" applyFill="1" applyBorder="1" applyAlignment="1">
      <alignment horizontal="center"/>
    </xf>
    <xf numFmtId="0" fontId="183" fillId="93" borderId="338" xfId="0" applyFont="1" applyFill="1" applyBorder="1" applyAlignment="1">
      <alignment horizontal="center"/>
    </xf>
    <xf numFmtId="0" fontId="0" fillId="93" borderId="309" xfId="0" applyFill="1" applyBorder="1"/>
    <xf numFmtId="0" fontId="0" fillId="93" borderId="307" xfId="0" applyFill="1" applyBorder="1"/>
    <xf numFmtId="0" fontId="0" fillId="93" borderId="311" xfId="0" applyFill="1" applyBorder="1"/>
    <xf numFmtId="0" fontId="171" fillId="95" borderId="357" xfId="0" applyFont="1" applyFill="1" applyBorder="1" applyAlignment="1">
      <alignment horizontal="left" vertical="center"/>
    </xf>
    <xf numFmtId="0" fontId="172" fillId="93" borderId="316" xfId="0" applyFont="1" applyFill="1" applyBorder="1" applyAlignment="1">
      <alignment vertical="center"/>
    </xf>
    <xf numFmtId="0" fontId="0" fillId="93" borderId="316" xfId="0" applyFill="1" applyBorder="1"/>
    <xf numFmtId="0" fontId="0" fillId="84" borderId="316" xfId="0" applyFill="1" applyBorder="1"/>
    <xf numFmtId="0" fontId="172" fillId="93" borderId="314" xfId="0" applyFont="1" applyFill="1" applyBorder="1" applyAlignment="1">
      <alignment vertical="center"/>
    </xf>
    <xf numFmtId="0" fontId="0" fillId="93" borderId="314" xfId="0" applyFill="1" applyBorder="1"/>
    <xf numFmtId="0" fontId="0" fillId="84" borderId="0" xfId="0" applyFill="1"/>
    <xf numFmtId="0" fontId="0" fillId="108" borderId="0" xfId="0" applyFill="1"/>
    <xf numFmtId="0" fontId="173" fillId="108" borderId="0" xfId="0" applyFont="1" applyFill="1" applyAlignment="1">
      <alignment horizontal="center" vertical="center"/>
    </xf>
    <xf numFmtId="0" fontId="184" fillId="108" borderId="0" xfId="0" applyFont="1" applyFill="1" applyAlignment="1">
      <alignment horizontal="center"/>
    </xf>
    <xf numFmtId="0" fontId="185" fillId="108" borderId="0" xfId="0" applyFont="1" applyFill="1" applyAlignment="1">
      <alignment horizontal="center"/>
    </xf>
    <xf numFmtId="0" fontId="96" fillId="108" borderId="0" xfId="0" applyFont="1" applyFill="1" applyAlignment="1">
      <alignment horizontal="center"/>
    </xf>
    <xf numFmtId="0" fontId="177" fillId="100" borderId="0" xfId="0" applyFont="1" applyFill="1" applyAlignment="1">
      <alignment horizontal="center" vertical="center"/>
    </xf>
    <xf numFmtId="0" fontId="0" fillId="96" borderId="0" xfId="0" applyFill="1"/>
    <xf numFmtId="0" fontId="98" fillId="96" borderId="0" xfId="0" applyFont="1" applyFill="1" applyAlignment="1">
      <alignment vertical="center"/>
    </xf>
    <xf numFmtId="0" fontId="0" fillId="106" borderId="0" xfId="0" applyFill="1"/>
    <xf numFmtId="0" fontId="179" fillId="106" borderId="355" xfId="0" applyFont="1" applyFill="1" applyBorder="1" applyAlignment="1">
      <alignment horizontal="left" vertical="center" wrapText="1"/>
    </xf>
    <xf numFmtId="0" fontId="179" fillId="106" borderId="355" xfId="0" applyFont="1" applyFill="1" applyBorder="1" applyAlignment="1">
      <alignment horizontal="center" vertical="center" wrapText="1"/>
    </xf>
    <xf numFmtId="0" fontId="179" fillId="106" borderId="0" xfId="0" applyFont="1" applyFill="1" applyAlignment="1">
      <alignment horizontal="left" vertical="center" wrapText="1"/>
    </xf>
    <xf numFmtId="0" fontId="179" fillId="106" borderId="0" xfId="0" applyFont="1" applyFill="1" applyAlignment="1">
      <alignment horizontal="center" vertical="center" wrapText="1"/>
    </xf>
    <xf numFmtId="3" fontId="180" fillId="93" borderId="0" xfId="0" applyNumberFormat="1" applyFont="1" applyFill="1" applyAlignment="1">
      <alignment horizontal="center"/>
    </xf>
    <xf numFmtId="0" fontId="186" fillId="93" borderId="0" xfId="0" applyFont="1" applyFill="1" applyAlignment="1">
      <alignment horizontal="center"/>
    </xf>
    <xf numFmtId="0" fontId="98" fillId="93" borderId="358" xfId="0" applyFont="1" applyFill="1" applyBorder="1" applyAlignment="1">
      <alignment vertical="center"/>
    </xf>
    <xf numFmtId="3" fontId="180" fillId="93" borderId="358" xfId="0" applyNumberFormat="1" applyFont="1" applyFill="1" applyBorder="1" applyAlignment="1">
      <alignment horizontal="center"/>
    </xf>
    <xf numFmtId="0" fontId="183" fillId="93" borderId="358" xfId="0" applyFont="1" applyFill="1" applyBorder="1" applyAlignment="1">
      <alignment horizontal="center"/>
    </xf>
    <xf numFmtId="3" fontId="180" fillId="96" borderId="0" xfId="0" applyNumberFormat="1" applyFont="1" applyFill="1" applyAlignment="1">
      <alignment horizontal="center"/>
    </xf>
    <xf numFmtId="0" fontId="186" fillId="96" borderId="0" xfId="0" applyFont="1" applyFill="1" applyAlignment="1">
      <alignment horizontal="center"/>
    </xf>
    <xf numFmtId="0" fontId="98" fillId="96" borderId="356" xfId="0" applyFont="1" applyFill="1" applyBorder="1" applyAlignment="1">
      <alignment vertical="center"/>
    </xf>
    <xf numFmtId="3" fontId="180" fillId="96" borderId="356" xfId="0" applyNumberFormat="1" applyFont="1" applyFill="1" applyBorder="1" applyAlignment="1">
      <alignment horizontal="center"/>
    </xf>
    <xf numFmtId="0" fontId="186" fillId="96" borderId="356" xfId="0" applyFont="1" applyFill="1" applyBorder="1" applyAlignment="1">
      <alignment horizontal="center"/>
    </xf>
    <xf numFmtId="0" fontId="0" fillId="93" borderId="341" xfId="0" applyFill="1" applyBorder="1"/>
    <xf numFmtId="0" fontId="0" fillId="93" borderId="340" xfId="0" applyFill="1" applyBorder="1"/>
    <xf numFmtId="0" fontId="0" fillId="93" borderId="342" xfId="0" applyFill="1" applyBorder="1"/>
    <xf numFmtId="0" fontId="0" fillId="93" borderId="345" xfId="0" applyFill="1" applyBorder="1"/>
    <xf numFmtId="0" fontId="0" fillId="93" borderId="344" xfId="0" applyFill="1" applyBorder="1"/>
    <xf numFmtId="0" fontId="0" fillId="93" borderId="346" xfId="0" applyFill="1" applyBorder="1"/>
    <xf numFmtId="0" fontId="0" fillId="93" borderId="319" xfId="0" applyFill="1" applyBorder="1"/>
    <xf numFmtId="0" fontId="0" fillId="93" borderId="318" xfId="0" applyFill="1" applyBorder="1"/>
    <xf numFmtId="0" fontId="0" fillId="93" borderId="320" xfId="0" applyFill="1" applyBorder="1"/>
    <xf numFmtId="0" fontId="177" fillId="101" borderId="0" xfId="0" applyFont="1" applyFill="1" applyAlignment="1">
      <alignment horizontal="center" vertical="center"/>
    </xf>
    <xf numFmtId="0" fontId="177" fillId="102" borderId="0" xfId="0" applyFont="1" applyFill="1" applyAlignment="1">
      <alignment horizontal="center" vertical="center"/>
    </xf>
    <xf numFmtId="0" fontId="177" fillId="103" borderId="0" xfId="0" applyFont="1" applyFill="1" applyAlignment="1">
      <alignment horizontal="center" vertical="center"/>
    </xf>
    <xf numFmtId="0" fontId="0" fillId="114" borderId="0" xfId="0" applyFill="1"/>
    <xf numFmtId="0" fontId="0" fillId="115" borderId="0" xfId="0" applyFill="1"/>
    <xf numFmtId="0" fontId="0" fillId="102" borderId="0" xfId="0" applyFill="1"/>
    <xf numFmtId="0" fontId="98" fillId="93" borderId="339" xfId="0" applyFont="1" applyFill="1" applyBorder="1" applyAlignment="1">
      <alignment vertical="center"/>
    </xf>
    <xf numFmtId="0" fontId="180" fillId="93" borderId="339" xfId="0" applyFont="1" applyFill="1" applyBorder="1" applyAlignment="1">
      <alignment horizontal="center"/>
    </xf>
    <xf numFmtId="0" fontId="190" fillId="93" borderId="339" xfId="0" applyFont="1" applyFill="1" applyBorder="1" applyAlignment="1">
      <alignment horizontal="center"/>
    </xf>
    <xf numFmtId="0" fontId="98" fillId="93" borderId="343" xfId="0" applyFont="1" applyFill="1" applyBorder="1" applyAlignment="1">
      <alignment vertical="center"/>
    </xf>
    <xf numFmtId="0" fontId="180" fillId="93" borderId="343" xfId="0" applyFont="1" applyFill="1" applyBorder="1" applyAlignment="1">
      <alignment horizontal="center"/>
    </xf>
    <xf numFmtId="0" fontId="191" fillId="93" borderId="343" xfId="0" applyFont="1" applyFill="1" applyBorder="1" applyAlignment="1">
      <alignment horizontal="center"/>
    </xf>
    <xf numFmtId="0" fontId="98" fillId="93" borderId="317" xfId="0" applyFont="1" applyFill="1" applyBorder="1" applyAlignment="1">
      <alignment vertical="center"/>
    </xf>
    <xf numFmtId="0" fontId="180" fillId="93" borderId="317" xfId="0" applyFont="1" applyFill="1" applyBorder="1" applyAlignment="1">
      <alignment horizontal="center"/>
    </xf>
    <xf numFmtId="0" fontId="192" fillId="93" borderId="317" xfId="0" applyFont="1" applyFill="1" applyBorder="1" applyAlignment="1">
      <alignment horizontal="center"/>
    </xf>
    <xf numFmtId="0" fontId="98" fillId="93" borderId="312" xfId="0" applyFont="1" applyFill="1" applyBorder="1" applyAlignment="1">
      <alignment vertical="center"/>
    </xf>
    <xf numFmtId="0" fontId="180" fillId="93" borderId="312" xfId="0" applyFont="1" applyFill="1" applyBorder="1" applyAlignment="1">
      <alignment horizontal="center"/>
    </xf>
    <xf numFmtId="0" fontId="190" fillId="93" borderId="312" xfId="0" applyFont="1" applyFill="1" applyBorder="1" applyAlignment="1">
      <alignment horizontal="center"/>
    </xf>
    <xf numFmtId="0" fontId="98" fillId="93" borderId="313" xfId="0" applyFont="1" applyFill="1" applyBorder="1" applyAlignment="1">
      <alignment vertical="center"/>
    </xf>
    <xf numFmtId="0" fontId="180" fillId="93" borderId="313" xfId="0" applyFont="1" applyFill="1" applyBorder="1" applyAlignment="1">
      <alignment horizontal="center"/>
    </xf>
    <xf numFmtId="0" fontId="191" fillId="93" borderId="313" xfId="0" applyFont="1" applyFill="1" applyBorder="1" applyAlignment="1">
      <alignment horizontal="center"/>
    </xf>
    <xf numFmtId="0" fontId="192" fillId="93" borderId="313" xfId="0" applyFont="1" applyFill="1" applyBorder="1" applyAlignment="1">
      <alignment horizontal="center"/>
    </xf>
    <xf numFmtId="0" fontId="191" fillId="93" borderId="312" xfId="0" applyFont="1" applyFill="1" applyBorder="1" applyAlignment="1">
      <alignment horizontal="center"/>
    </xf>
    <xf numFmtId="0" fontId="192" fillId="93" borderId="312" xfId="0" applyFont="1" applyFill="1" applyBorder="1" applyAlignment="1">
      <alignment horizontal="center"/>
    </xf>
    <xf numFmtId="0" fontId="0" fillId="93" borderId="349" xfId="0" applyFill="1" applyBorder="1"/>
    <xf numFmtId="0" fontId="0" fillId="93" borderId="348" xfId="0" applyFill="1" applyBorder="1"/>
    <xf numFmtId="0" fontId="0" fillId="93" borderId="350" xfId="0" applyFill="1" applyBorder="1"/>
    <xf numFmtId="0" fontId="0" fillId="93" borderId="322" xfId="0" applyFill="1" applyBorder="1"/>
    <xf numFmtId="0" fontId="0" fillId="93" borderId="321" xfId="0" applyFill="1" applyBorder="1"/>
    <xf numFmtId="0" fontId="0" fillId="93" borderId="323" xfId="0" applyFill="1" applyBorder="1"/>
    <xf numFmtId="0" fontId="0" fillId="93" borderId="353" xfId="0" applyFill="1" applyBorder="1"/>
    <xf numFmtId="0" fontId="0" fillId="93" borderId="352" xfId="0" applyFill="1" applyBorder="1"/>
    <xf numFmtId="0" fontId="0" fillId="93" borderId="354" xfId="0" applyFill="1" applyBorder="1"/>
    <xf numFmtId="0" fontId="0" fillId="116" borderId="0" xfId="0" applyFill="1"/>
    <xf numFmtId="0" fontId="0" fillId="103" borderId="0" xfId="0" applyFill="1"/>
    <xf numFmtId="0" fontId="0" fillId="117" borderId="0" xfId="0" applyFill="1"/>
    <xf numFmtId="0" fontId="200" fillId="93" borderId="347" xfId="0" applyFont="1" applyFill="1" applyBorder="1" applyAlignment="1">
      <alignment horizontal="center"/>
    </xf>
    <xf numFmtId="0" fontId="201" fillId="93" borderId="347" xfId="0" applyFont="1" applyFill="1" applyBorder="1" applyAlignment="1">
      <alignment horizontal="center"/>
    </xf>
    <xf numFmtId="0" fontId="200" fillId="93" borderId="313" xfId="0" applyFont="1" applyFill="1" applyBorder="1" applyAlignment="1">
      <alignment horizontal="center"/>
    </xf>
    <xf numFmtId="0" fontId="201" fillId="93" borderId="313" xfId="0" applyFont="1" applyFill="1" applyBorder="1" applyAlignment="1">
      <alignment horizontal="center"/>
    </xf>
    <xf numFmtId="0" fontId="200" fillId="93" borderId="312" xfId="0" applyFont="1" applyFill="1" applyBorder="1" applyAlignment="1">
      <alignment horizontal="center"/>
    </xf>
    <xf numFmtId="0" fontId="201" fillId="93" borderId="312" xfId="0" applyFont="1" applyFill="1" applyBorder="1" applyAlignment="1">
      <alignment horizontal="center"/>
    </xf>
    <xf numFmtId="173" fontId="0" fillId="0" borderId="6" xfId="46" applyNumberFormat="1" applyFont="1" applyFill="1" applyBorder="1"/>
    <xf numFmtId="173" fontId="0" fillId="0" borderId="9" xfId="0" applyNumberFormat="1" applyBorder="1"/>
    <xf numFmtId="0" fontId="0" fillId="5" borderId="404" xfId="0" applyFill="1" applyBorder="1"/>
    <xf numFmtId="1" fontId="0" fillId="0" borderId="0" xfId="0" quotePrefix="1" applyNumberFormat="1" applyAlignment="1">
      <alignment horizontal="left"/>
    </xf>
    <xf numFmtId="174" fontId="80" fillId="0" borderId="193" xfId="0" applyNumberFormat="1" applyFont="1" applyBorder="1" applyAlignment="1">
      <alignment horizontal="center"/>
    </xf>
    <xf numFmtId="198" fontId="80" fillId="0" borderId="1" xfId="0" applyNumberFormat="1" applyFont="1" applyBorder="1" applyAlignment="1">
      <alignment horizontal="center"/>
    </xf>
    <xf numFmtId="2" fontId="80" fillId="0" borderId="19" xfId="0" quotePrefix="1" applyNumberFormat="1" applyFont="1" applyBorder="1" applyAlignment="1">
      <alignment horizontal="center"/>
    </xf>
    <xf numFmtId="2" fontId="80" fillId="5" borderId="1" xfId="0" applyNumberFormat="1" applyFont="1" applyFill="1" applyBorder="1" applyAlignment="1">
      <alignment horizontal="center"/>
    </xf>
    <xf numFmtId="1" fontId="80" fillId="0" borderId="19" xfId="0" quotePrefix="1" applyNumberFormat="1" applyFont="1" applyBorder="1" applyAlignment="1">
      <alignment horizontal="center"/>
    </xf>
    <xf numFmtId="168" fontId="80" fillId="5" borderId="1" xfId="48" applyNumberFormat="1" applyFont="1" applyFill="1" applyBorder="1" applyAlignment="1">
      <alignment horizontal="center"/>
    </xf>
    <xf numFmtId="168" fontId="80" fillId="5" borderId="14" xfId="48" applyNumberFormat="1" applyFont="1" applyFill="1" applyBorder="1" applyAlignment="1">
      <alignment horizontal="center"/>
    </xf>
    <xf numFmtId="0" fontId="80" fillId="34" borderId="194" xfId="0" applyFont="1" applyFill="1" applyBorder="1" applyAlignment="1">
      <alignment horizontal="center" vertical="center"/>
    </xf>
    <xf numFmtId="168" fontId="80" fillId="0" borderId="1" xfId="48" applyNumberFormat="1" applyFont="1" applyFill="1" applyBorder="1" applyAlignment="1">
      <alignment horizontal="center"/>
    </xf>
    <xf numFmtId="168" fontId="80" fillId="0" borderId="14" xfId="48" applyNumberFormat="1" applyFont="1" applyFill="1" applyBorder="1" applyAlignment="1">
      <alignment horizontal="center"/>
    </xf>
    <xf numFmtId="2" fontId="80" fillId="5" borderId="19" xfId="0" quotePrefix="1" applyNumberFormat="1" applyFont="1" applyFill="1" applyBorder="1" applyAlignment="1">
      <alignment horizontal="center"/>
    </xf>
    <xf numFmtId="2" fontId="80" fillId="0" borderId="1" xfId="0" quotePrefix="1" applyNumberFormat="1" applyFont="1" applyBorder="1" applyAlignment="1">
      <alignment horizontal="center"/>
    </xf>
    <xf numFmtId="1" fontId="80" fillId="5" borderId="1" xfId="0" quotePrefix="1" applyNumberFormat="1" applyFont="1" applyFill="1" applyBorder="1" applyAlignment="1">
      <alignment horizontal="center"/>
    </xf>
    <xf numFmtId="2" fontId="80" fillId="5" borderId="1" xfId="0" quotePrefix="1" applyNumberFormat="1" applyFont="1" applyFill="1" applyBorder="1" applyAlignment="1">
      <alignment horizontal="center"/>
    </xf>
    <xf numFmtId="2" fontId="80" fillId="0" borderId="1" xfId="0" applyNumberFormat="1" applyFont="1" applyBorder="1" applyAlignment="1">
      <alignment horizontal="center"/>
    </xf>
    <xf numFmtId="1" fontId="80" fillId="0" borderId="1" xfId="0" quotePrefix="1" applyNumberFormat="1" applyFont="1" applyBorder="1" applyAlignment="1">
      <alignment horizontal="center"/>
    </xf>
    <xf numFmtId="168" fontId="0" fillId="5" borderId="250" xfId="0" applyNumberFormat="1" applyFill="1" applyBorder="1"/>
    <xf numFmtId="0" fontId="10" fillId="46" borderId="38" xfId="0" applyFont="1" applyFill="1" applyBorder="1" applyAlignment="1">
      <alignment horizontal="left"/>
    </xf>
    <xf numFmtId="0" fontId="30" fillId="0" borderId="0" xfId="0" applyFont="1"/>
    <xf numFmtId="173" fontId="0" fillId="17" borderId="261" xfId="0" applyNumberFormat="1" applyFill="1" applyBorder="1"/>
    <xf numFmtId="0" fontId="81" fillId="0" borderId="0" xfId="0" quotePrefix="1" applyFont="1" applyAlignment="1">
      <alignment horizontal="left"/>
    </xf>
    <xf numFmtId="0" fontId="0" fillId="48" borderId="0" xfId="0" applyFill="1"/>
    <xf numFmtId="0" fontId="3" fillId="48" borderId="0" xfId="0" applyFont="1" applyFill="1"/>
    <xf numFmtId="0" fontId="3" fillId="49" borderId="0" xfId="0" applyFont="1" applyFill="1"/>
    <xf numFmtId="4" fontId="0" fillId="5" borderId="0" xfId="0" applyNumberFormat="1" applyFill="1"/>
    <xf numFmtId="168" fontId="29" fillId="0" borderId="27" xfId="0" applyNumberFormat="1" applyFont="1" applyBorder="1"/>
    <xf numFmtId="168" fontId="29" fillId="0" borderId="28" xfId="0" applyNumberFormat="1" applyFont="1" applyBorder="1"/>
    <xf numFmtId="168" fontId="29" fillId="0" borderId="27" xfId="0" applyNumberFormat="1" applyFont="1" applyBorder="1" applyAlignment="1">
      <alignment vertical="center"/>
    </xf>
    <xf numFmtId="168" fontId="29" fillId="0" borderId="28" xfId="0" applyNumberFormat="1" applyFont="1" applyBorder="1" applyAlignment="1">
      <alignment vertical="center"/>
    </xf>
    <xf numFmtId="0" fontId="81" fillId="129" borderId="373" xfId="0" applyFont="1" applyFill="1" applyBorder="1"/>
    <xf numFmtId="0" fontId="81" fillId="130" borderId="373" xfId="0" applyFont="1" applyFill="1" applyBorder="1"/>
    <xf numFmtId="0" fontId="81" fillId="131" borderId="373" xfId="0" applyFont="1" applyFill="1" applyBorder="1"/>
    <xf numFmtId="0" fontId="81" fillId="131" borderId="374" xfId="0" applyFont="1" applyFill="1" applyBorder="1"/>
    <xf numFmtId="0" fontId="120" fillId="122" borderId="0" xfId="0" applyFont="1" applyFill="1" applyAlignment="1">
      <alignment horizontal="center" vertical="center"/>
    </xf>
    <xf numFmtId="0" fontId="120" fillId="93" borderId="313" xfId="0" applyFont="1" applyFill="1" applyBorder="1" applyAlignment="1">
      <alignment horizontal="center" vertical="center"/>
    </xf>
    <xf numFmtId="0" fontId="120" fillId="122" borderId="313" xfId="0" applyFont="1" applyFill="1" applyBorder="1" applyAlignment="1">
      <alignment horizontal="center" vertical="center"/>
    </xf>
    <xf numFmtId="0" fontId="120" fillId="93" borderId="312" xfId="0" applyFont="1" applyFill="1" applyBorder="1" applyAlignment="1">
      <alignment horizontal="center" vertical="center"/>
    </xf>
    <xf numFmtId="0" fontId="81" fillId="93" borderId="308" xfId="0" applyFont="1" applyFill="1" applyBorder="1" applyAlignment="1">
      <alignment vertical="center" wrapText="1"/>
    </xf>
    <xf numFmtId="0" fontId="120" fillId="122" borderId="368" xfId="0" applyFont="1" applyFill="1" applyBorder="1" applyAlignment="1">
      <alignment vertical="center" wrapText="1"/>
    </xf>
    <xf numFmtId="0" fontId="81" fillId="93" borderId="310" xfId="0" applyFont="1" applyFill="1" applyBorder="1" applyAlignment="1">
      <alignment vertical="center" wrapText="1"/>
    </xf>
    <xf numFmtId="0" fontId="81" fillId="127" borderId="373" xfId="0" applyFont="1" applyFill="1" applyBorder="1" applyAlignment="1">
      <alignment vertical="center" wrapText="1"/>
    </xf>
    <xf numFmtId="0" fontId="81" fillId="18" borderId="0" xfId="0" applyFont="1" applyFill="1" applyAlignment="1">
      <alignment vertical="center" wrapText="1"/>
    </xf>
    <xf numFmtId="0" fontId="81" fillId="93" borderId="0" xfId="0" applyFont="1" applyFill="1" applyAlignment="1">
      <alignment vertical="center" wrapText="1"/>
    </xf>
    <xf numFmtId="0" fontId="81" fillId="125" borderId="373" xfId="0" applyFont="1" applyFill="1" applyBorder="1" applyAlignment="1">
      <alignment vertical="center" wrapText="1"/>
    </xf>
    <xf numFmtId="0" fontId="112" fillId="122" borderId="368" xfId="0" applyFont="1" applyFill="1" applyBorder="1" applyAlignment="1">
      <alignment horizontal="center" vertical="center" wrapText="1"/>
    </xf>
    <xf numFmtId="0" fontId="108" fillId="93" borderId="0" xfId="0" applyFont="1" applyFill="1" applyAlignment="1">
      <alignment vertical="center" wrapText="1"/>
    </xf>
    <xf numFmtId="0" fontId="120" fillId="93" borderId="369" xfId="0" applyFont="1" applyFill="1" applyBorder="1" applyAlignment="1">
      <alignment vertical="center" wrapText="1"/>
    </xf>
    <xf numFmtId="0" fontId="112" fillId="93" borderId="369" xfId="0" applyFont="1" applyFill="1" applyBorder="1" applyAlignment="1">
      <alignment horizontal="center" vertical="center" wrapText="1"/>
    </xf>
    <xf numFmtId="0" fontId="120" fillId="122" borderId="369" xfId="0" applyFont="1" applyFill="1" applyBorder="1" applyAlignment="1">
      <alignment horizontal="left" vertical="center" wrapText="1"/>
    </xf>
    <xf numFmtId="0" fontId="112" fillId="122" borderId="369" xfId="0" applyFont="1" applyFill="1" applyBorder="1" applyAlignment="1">
      <alignment horizontal="center" vertical="center" wrapText="1"/>
    </xf>
    <xf numFmtId="0" fontId="120" fillId="93" borderId="370" xfId="0" applyFont="1" applyFill="1" applyBorder="1" applyAlignment="1">
      <alignment vertical="center" wrapText="1"/>
    </xf>
    <xf numFmtId="0" fontId="115" fillId="93" borderId="370" xfId="0" applyFont="1" applyFill="1" applyBorder="1" applyAlignment="1">
      <alignment vertical="center" wrapText="1"/>
    </xf>
    <xf numFmtId="0" fontId="115" fillId="93" borderId="312" xfId="0" applyFont="1" applyFill="1" applyBorder="1" applyAlignment="1">
      <alignment vertical="center" wrapText="1"/>
    </xf>
    <xf numFmtId="0" fontId="114" fillId="93" borderId="312" xfId="0" applyFont="1" applyFill="1" applyBorder="1" applyAlignment="1">
      <alignment vertical="center" wrapText="1"/>
    </xf>
    <xf numFmtId="0" fontId="81" fillId="93" borderId="312" xfId="0" applyFont="1" applyFill="1" applyBorder="1" applyAlignment="1">
      <alignment vertical="center" wrapText="1"/>
    </xf>
    <xf numFmtId="0" fontId="112" fillId="93" borderId="370" xfId="0" applyFont="1" applyFill="1" applyBorder="1" applyAlignment="1">
      <alignment horizontal="center" vertical="center" wrapText="1"/>
    </xf>
    <xf numFmtId="173" fontId="139" fillId="122" borderId="0" xfId="0" applyNumberFormat="1" applyFont="1" applyFill="1" applyAlignment="1">
      <alignment horizontal="center"/>
    </xf>
    <xf numFmtId="173" fontId="139" fillId="5" borderId="0" xfId="0" applyNumberFormat="1" applyFont="1" applyFill="1" applyAlignment="1">
      <alignment horizontal="center"/>
    </xf>
    <xf numFmtId="2" fontId="0" fillId="5" borderId="10" xfId="0" applyNumberFormat="1" applyFill="1" applyBorder="1"/>
    <xf numFmtId="9" fontId="0" fillId="0" borderId="123" xfId="0" applyNumberFormat="1" applyBorder="1"/>
    <xf numFmtId="9" fontId="0" fillId="0" borderId="53" xfId="0" applyNumberFormat="1" applyBorder="1"/>
    <xf numFmtId="173" fontId="0" fillId="5" borderId="235" xfId="46" applyNumberFormat="1" applyFont="1" applyFill="1" applyBorder="1"/>
    <xf numFmtId="168" fontId="0" fillId="0" borderId="411" xfId="0" applyNumberFormat="1" applyBorder="1"/>
    <xf numFmtId="195" fontId="0" fillId="0" borderId="0" xfId="0" applyNumberFormat="1"/>
    <xf numFmtId="0" fontId="0" fillId="31" borderId="0" xfId="0" applyFill="1"/>
    <xf numFmtId="43" fontId="48" fillId="14" borderId="33" xfId="46" applyFont="1" applyFill="1" applyBorder="1"/>
    <xf numFmtId="165" fontId="0" fillId="16" borderId="75" xfId="0" quotePrefix="1" applyNumberFormat="1" applyFill="1" applyBorder="1"/>
    <xf numFmtId="0" fontId="87" fillId="0" borderId="0" xfId="0" applyFont="1"/>
    <xf numFmtId="0" fontId="91" fillId="0" borderId="0" xfId="0" applyFont="1"/>
    <xf numFmtId="0" fontId="0" fillId="0" borderId="0" xfId="0" applyAlignment="1">
      <alignment horizontal="left"/>
    </xf>
    <xf numFmtId="173" fontId="0" fillId="0" borderId="5" xfId="46" applyNumberFormat="1" applyFont="1" applyFill="1" applyBorder="1"/>
    <xf numFmtId="0" fontId="0" fillId="127" borderId="0" xfId="0" applyFill="1"/>
    <xf numFmtId="173" fontId="0" fillId="0" borderId="8" xfId="46" applyNumberFormat="1" applyFont="1" applyFill="1" applyBorder="1"/>
    <xf numFmtId="0" fontId="0" fillId="0" borderId="0" xfId="0" applyAlignment="1">
      <alignment horizontal="left" vertical="top"/>
    </xf>
    <xf numFmtId="2" fontId="0" fillId="5" borderId="28" xfId="0" applyNumberFormat="1" applyFill="1" applyBorder="1" applyAlignment="1">
      <alignment horizontal="center" vertical="center"/>
    </xf>
    <xf numFmtId="173" fontId="0" fillId="0" borderId="0" xfId="0" applyNumberFormat="1" applyAlignment="1">
      <alignment horizontal="center" vertical="center"/>
    </xf>
    <xf numFmtId="173" fontId="3" fillId="0" borderId="0" xfId="46" applyNumberFormat="1" applyFont="1" applyAlignment="1">
      <alignment horizontal="center" vertical="center"/>
    </xf>
    <xf numFmtId="0" fontId="0" fillId="0" borderId="0" xfId="0" quotePrefix="1" applyAlignment="1">
      <alignment horizontal="left" vertical="center"/>
    </xf>
    <xf numFmtId="0" fontId="0" fillId="0" borderId="0" xfId="0" applyAlignment="1">
      <alignment horizontal="left" vertical="center" wrapText="1"/>
    </xf>
    <xf numFmtId="190" fontId="3" fillId="0" borderId="26" xfId="0" applyNumberFormat="1" applyFont="1" applyBorder="1" applyAlignment="1">
      <alignment horizontal="center" vertical="center" wrapText="1"/>
    </xf>
    <xf numFmtId="190" fontId="3" fillId="0" borderId="27" xfId="0" applyNumberFormat="1" applyFont="1" applyBorder="1" applyAlignment="1">
      <alignment horizontal="center" vertical="center" wrapText="1"/>
    </xf>
    <xf numFmtId="190" fontId="3" fillId="0" borderId="28" xfId="0" applyNumberFormat="1" applyFont="1" applyBorder="1" applyAlignment="1">
      <alignment horizontal="center" vertical="center" wrapText="1"/>
    </xf>
    <xf numFmtId="174" fontId="80" fillId="34" borderId="413" xfId="0" applyNumberFormat="1" applyFont="1" applyFill="1" applyBorder="1" applyAlignment="1">
      <alignment horizontal="center"/>
    </xf>
    <xf numFmtId="0" fontId="51" fillId="0" borderId="412" xfId="0" applyFont="1" applyBorder="1"/>
    <xf numFmtId="190" fontId="0" fillId="5" borderId="7" xfId="0" applyNumberFormat="1" applyFill="1" applyBorder="1" applyAlignment="1">
      <alignment horizontal="left"/>
    </xf>
    <xf numFmtId="165" fontId="0" fillId="5" borderId="142" xfId="0" applyNumberFormat="1" applyFill="1" applyBorder="1"/>
    <xf numFmtId="165" fontId="0" fillId="5" borderId="141" xfId="0" applyNumberFormat="1" applyFill="1" applyBorder="1"/>
    <xf numFmtId="0" fontId="168" fillId="49" borderId="0" xfId="0" applyFont="1" applyFill="1"/>
    <xf numFmtId="0" fontId="0" fillId="49" borderId="0" xfId="0" applyFill="1"/>
    <xf numFmtId="165" fontId="0" fillId="0" borderId="27" xfId="0" applyNumberFormat="1" applyBorder="1"/>
    <xf numFmtId="168" fontId="0" fillId="5" borderId="90" xfId="0" applyNumberFormat="1" applyFill="1" applyBorder="1"/>
    <xf numFmtId="1" fontId="0" fillId="0" borderId="0" xfId="0" quotePrefix="1" applyNumberFormat="1" applyAlignment="1">
      <alignment horizontal="left" vertical="center" wrapText="1"/>
    </xf>
    <xf numFmtId="2" fontId="0" fillId="5" borderId="142" xfId="0" applyNumberFormat="1" applyFill="1" applyBorder="1"/>
    <xf numFmtId="0" fontId="0" fillId="5" borderId="140" xfId="0" applyFill="1" applyBorder="1"/>
    <xf numFmtId="173" fontId="0" fillId="5" borderId="141" xfId="46" applyNumberFormat="1" applyFont="1" applyFill="1" applyBorder="1"/>
    <xf numFmtId="0" fontId="0" fillId="0" borderId="25" xfId="0" applyBorder="1" applyAlignment="1">
      <alignment horizontal="center" vertical="center"/>
    </xf>
    <xf numFmtId="0" fontId="0" fillId="0" borderId="78" xfId="0" applyBorder="1" applyAlignment="1">
      <alignment horizontal="center" vertical="center"/>
    </xf>
    <xf numFmtId="173" fontId="0" fillId="0" borderId="140" xfId="46" applyNumberFormat="1" applyFont="1" applyBorder="1"/>
    <xf numFmtId="180" fontId="0" fillId="5" borderId="142" xfId="0" applyNumberFormat="1" applyFill="1" applyBorder="1"/>
    <xf numFmtId="173" fontId="3" fillId="0" borderId="0" xfId="0" applyNumberFormat="1" applyFont="1"/>
    <xf numFmtId="0" fontId="0" fillId="0" borderId="235" xfId="0" applyBorder="1"/>
    <xf numFmtId="169" fontId="0" fillId="5" borderId="228" xfId="0" applyNumberFormat="1" applyFill="1" applyBorder="1"/>
    <xf numFmtId="0" fontId="4" fillId="0" borderId="78" xfId="0" applyFont="1" applyBorder="1" applyAlignment="1">
      <alignment horizontal="center" vertical="center" wrapText="1"/>
    </xf>
    <xf numFmtId="168" fontId="0" fillId="0" borderId="144" xfId="0" applyNumberFormat="1" applyBorder="1" applyAlignment="1">
      <alignment wrapText="1"/>
    </xf>
    <xf numFmtId="0" fontId="0" fillId="0" borderId="79" xfId="0" applyBorder="1" applyAlignment="1">
      <alignment horizontal="center" vertical="center"/>
    </xf>
    <xf numFmtId="168" fontId="0" fillId="82" borderId="0" xfId="0" applyNumberFormat="1" applyFill="1"/>
    <xf numFmtId="3" fontId="3" fillId="0" borderId="0" xfId="0" applyNumberFormat="1" applyFont="1"/>
    <xf numFmtId="3" fontId="74" fillId="0" borderId="0" xfId="0" applyNumberFormat="1" applyFont="1"/>
    <xf numFmtId="165" fontId="3" fillId="5" borderId="0" xfId="0" applyNumberFormat="1" applyFont="1" applyFill="1"/>
    <xf numFmtId="168" fontId="0" fillId="46" borderId="0" xfId="0" applyNumberFormat="1" applyFill="1"/>
    <xf numFmtId="165" fontId="0" fillId="0" borderId="11" xfId="0" applyNumberFormat="1" applyBorder="1"/>
    <xf numFmtId="165" fontId="0" fillId="0" borderId="411" xfId="0" applyNumberFormat="1" applyBorder="1"/>
    <xf numFmtId="2" fontId="0" fillId="5" borderId="26" xfId="0" applyNumberFormat="1" applyFill="1" applyBorder="1" applyAlignment="1">
      <alignment horizontal="center" vertical="center"/>
    </xf>
    <xf numFmtId="0" fontId="0" fillId="0" borderId="0" xfId="0" applyAlignment="1">
      <alignment horizontal="right"/>
    </xf>
    <xf numFmtId="43" fontId="0" fillId="46" borderId="0" xfId="46" applyFont="1" applyFill="1"/>
    <xf numFmtId="43" fontId="0" fillId="46" borderId="0" xfId="0" applyNumberFormat="1" applyFill="1"/>
    <xf numFmtId="165" fontId="0" fillId="5" borderId="26" xfId="0" applyNumberFormat="1" applyFill="1" applyBorder="1"/>
    <xf numFmtId="165" fontId="0" fillId="5" borderId="28" xfId="0" applyNumberFormat="1" applyFill="1" applyBorder="1"/>
    <xf numFmtId="168" fontId="0" fillId="138" borderId="0" xfId="0" applyNumberFormat="1" applyFill="1"/>
    <xf numFmtId="1" fontId="0" fillId="5" borderId="27" xfId="0" applyNumberFormat="1" applyFill="1" applyBorder="1" applyAlignment="1">
      <alignment horizontal="center" vertical="center"/>
    </xf>
    <xf numFmtId="168" fontId="3" fillId="5" borderId="6" xfId="0" applyNumberFormat="1" applyFont="1" applyFill="1" applyBorder="1"/>
    <xf numFmtId="168" fontId="3" fillId="5" borderId="2" xfId="0" applyNumberFormat="1" applyFont="1" applyFill="1" applyBorder="1"/>
    <xf numFmtId="43" fontId="0" fillId="5" borderId="4" xfId="46" applyFont="1" applyFill="1" applyBorder="1"/>
    <xf numFmtId="43" fontId="0" fillId="5" borderId="7" xfId="46" applyFont="1" applyFill="1" applyBorder="1"/>
    <xf numFmtId="43" fontId="0" fillId="5" borderId="9" xfId="46" applyFont="1" applyFill="1" applyBorder="1"/>
    <xf numFmtId="3" fontId="3" fillId="10" borderId="0" xfId="0" applyNumberFormat="1" applyFont="1" applyFill="1"/>
    <xf numFmtId="0" fontId="88" fillId="49" borderId="390" xfId="0" applyFont="1" applyFill="1" applyBorder="1" applyAlignment="1">
      <alignment vertical="top" wrapText="1" readingOrder="1"/>
    </xf>
    <xf numFmtId="195" fontId="88" fillId="49" borderId="390" xfId="0" applyNumberFormat="1" applyFont="1" applyFill="1" applyBorder="1" applyAlignment="1">
      <alignment vertical="top" wrapText="1" readingOrder="1"/>
    </xf>
    <xf numFmtId="180" fontId="88" fillId="49" borderId="390" xfId="0" applyNumberFormat="1" applyFont="1" applyFill="1" applyBorder="1" applyAlignment="1">
      <alignment vertical="top" wrapText="1" readingOrder="1"/>
    </xf>
    <xf numFmtId="0" fontId="88" fillId="0" borderId="390" xfId="0" applyFont="1" applyFill="1" applyBorder="1" applyAlignment="1">
      <alignment vertical="top" wrapText="1" readingOrder="1"/>
    </xf>
    <xf numFmtId="195" fontId="88" fillId="0" borderId="390" xfId="0" applyNumberFormat="1" applyFont="1" applyFill="1" applyBorder="1" applyAlignment="1">
      <alignment vertical="top" wrapText="1" readingOrder="1"/>
    </xf>
    <xf numFmtId="0" fontId="168" fillId="0" borderId="0" xfId="0" applyFont="1" applyFill="1"/>
    <xf numFmtId="0" fontId="0" fillId="0" borderId="0" xfId="0" applyFill="1"/>
    <xf numFmtId="1" fontId="0" fillId="0" borderId="0" xfId="0" quotePrefix="1" applyNumberFormat="1" applyAlignment="1">
      <alignment horizontal="right"/>
    </xf>
    <xf numFmtId="179" fontId="0" fillId="5" borderId="7" xfId="0" applyNumberFormat="1" applyFill="1" applyBorder="1"/>
    <xf numFmtId="179" fontId="0" fillId="5" borderId="142" xfId="0" applyNumberFormat="1" applyFill="1" applyBorder="1"/>
    <xf numFmtId="165" fontId="0" fillId="5" borderId="140" xfId="0" applyNumberFormat="1" applyFill="1" applyBorder="1"/>
    <xf numFmtId="0" fontId="3" fillId="49" borderId="0" xfId="0" applyFont="1" applyFill="1" applyAlignment="1">
      <alignment horizontal="center"/>
    </xf>
    <xf numFmtId="0" fontId="3" fillId="27" borderId="14" xfId="0" applyFont="1" applyFill="1" applyBorder="1" applyAlignment="1">
      <alignment horizontal="center" vertical="center"/>
    </xf>
    <xf numFmtId="0" fontId="3" fillId="27" borderId="187" xfId="0" applyFont="1" applyFill="1" applyBorder="1" applyAlignment="1">
      <alignment horizontal="center" vertical="center"/>
    </xf>
    <xf numFmtId="0" fontId="3" fillId="27" borderId="192" xfId="0" applyFont="1" applyFill="1" applyBorder="1" applyAlignment="1">
      <alignment horizontal="center" vertical="center"/>
    </xf>
    <xf numFmtId="0" fontId="3" fillId="82" borderId="193" xfId="0" applyFont="1" applyFill="1" applyBorder="1" applyAlignment="1">
      <alignment horizontal="center" vertical="center"/>
    </xf>
    <xf numFmtId="0" fontId="3" fillId="82" borderId="187" xfId="0" applyFont="1" applyFill="1" applyBorder="1" applyAlignment="1">
      <alignment horizontal="center" vertical="center"/>
    </xf>
    <xf numFmtId="0" fontId="3" fillId="82" borderId="14" xfId="0" applyFont="1" applyFill="1" applyBorder="1" applyAlignment="1">
      <alignment horizontal="center" vertical="center"/>
    </xf>
    <xf numFmtId="0" fontId="3" fillId="82" borderId="15" xfId="0" applyFont="1" applyFill="1" applyBorder="1" applyAlignment="1">
      <alignment horizontal="center" vertical="center"/>
    </xf>
    <xf numFmtId="0" fontId="19" fillId="5" borderId="0" xfId="0" applyFont="1" applyFill="1" applyAlignment="1">
      <alignment horizontal="center"/>
    </xf>
    <xf numFmtId="0" fontId="54" fillId="10" borderId="1" xfId="0" applyFont="1" applyFill="1" applyBorder="1" applyAlignment="1">
      <alignment horizontal="center"/>
    </xf>
    <xf numFmtId="0" fontId="54" fillId="44" borderId="121" xfId="0" applyFont="1" applyFill="1" applyBorder="1" applyAlignment="1">
      <alignment horizontal="center"/>
    </xf>
    <xf numFmtId="0" fontId="54" fillId="44" borderId="0" xfId="0" applyFont="1" applyFill="1" applyAlignment="1">
      <alignment horizontal="center"/>
    </xf>
    <xf numFmtId="0" fontId="54" fillId="44" borderId="122" xfId="0" applyFont="1" applyFill="1" applyBorder="1" applyAlignment="1">
      <alignment horizontal="center"/>
    </xf>
    <xf numFmtId="0" fontId="54" fillId="44" borderId="118" xfId="0" applyFont="1" applyFill="1" applyBorder="1" applyAlignment="1">
      <alignment horizontal="center"/>
    </xf>
    <xf numFmtId="0" fontId="54" fillId="44" borderId="119" xfId="0" applyFont="1" applyFill="1" applyBorder="1" applyAlignment="1">
      <alignment horizontal="center"/>
    </xf>
    <xf numFmtId="0" fontId="54" fillId="44" borderId="120" xfId="0" applyFont="1" applyFill="1" applyBorder="1" applyAlignment="1">
      <alignment horizontal="center"/>
    </xf>
    <xf numFmtId="0" fontId="54" fillId="35" borderId="1" xfId="0" applyFont="1" applyFill="1" applyBorder="1" applyAlignment="1">
      <alignment horizontal="center" vertical="center" wrapText="1"/>
    </xf>
    <xf numFmtId="0" fontId="54" fillId="43" borderId="25" xfId="0" applyFont="1" applyFill="1" applyBorder="1" applyAlignment="1">
      <alignment horizontal="center" vertical="center" wrapText="1"/>
    </xf>
    <xf numFmtId="0" fontId="54" fillId="43" borderId="78" xfId="0" applyFont="1" applyFill="1" applyBorder="1" applyAlignment="1">
      <alignment horizontal="center" vertical="center" wrapText="1"/>
    </xf>
    <xf numFmtId="168" fontId="30" fillId="0" borderId="1" xfId="0" applyNumberFormat="1" applyFont="1" applyBorder="1" applyAlignment="1">
      <alignment horizontal="center" vertical="center"/>
    </xf>
    <xf numFmtId="0" fontId="54" fillId="82" borderId="1" xfId="0" applyFont="1" applyFill="1" applyBorder="1" applyAlignment="1">
      <alignment horizontal="center"/>
    </xf>
    <xf numFmtId="0" fontId="18" fillId="18" borderId="118" xfId="0" applyFont="1" applyFill="1" applyBorder="1" applyAlignment="1">
      <alignment horizontal="center" vertical="center"/>
    </xf>
    <xf numFmtId="0" fontId="18" fillId="18" borderId="119" xfId="0" applyFont="1" applyFill="1" applyBorder="1" applyAlignment="1">
      <alignment horizontal="center" vertical="center"/>
    </xf>
    <xf numFmtId="0" fontId="18" fillId="18" borderId="120" xfId="0" applyFont="1" applyFill="1" applyBorder="1" applyAlignment="1">
      <alignment horizontal="center" vertical="center"/>
    </xf>
    <xf numFmtId="0" fontId="18" fillId="18" borderId="121" xfId="0" applyFont="1" applyFill="1" applyBorder="1" applyAlignment="1">
      <alignment horizontal="center" vertical="center"/>
    </xf>
    <xf numFmtId="0" fontId="18" fillId="18" borderId="0" xfId="0" applyFont="1" applyFill="1" applyAlignment="1">
      <alignment horizontal="center" vertical="center"/>
    </xf>
    <xf numFmtId="0" fontId="18" fillId="18" borderId="122" xfId="0" applyFont="1" applyFill="1" applyBorder="1" applyAlignment="1">
      <alignment horizontal="center" vertical="center"/>
    </xf>
    <xf numFmtId="0" fontId="57" fillId="0" borderId="0" xfId="0" applyFont="1" applyAlignment="1">
      <alignment horizontal="center"/>
    </xf>
    <xf numFmtId="0" fontId="57" fillId="0" borderId="1" xfId="0" applyFont="1" applyBorder="1" applyAlignment="1">
      <alignment horizontal="center"/>
    </xf>
    <xf numFmtId="0" fontId="57" fillId="0" borderId="14" xfId="0" applyFont="1" applyBorder="1" applyAlignment="1">
      <alignment horizontal="center"/>
    </xf>
    <xf numFmtId="0" fontId="55" fillId="20" borderId="118" xfId="0" applyFont="1" applyFill="1" applyBorder="1" applyAlignment="1">
      <alignment horizontal="center" vertical="center"/>
    </xf>
    <xf numFmtId="0" fontId="55" fillId="20" borderId="119" xfId="0" applyFont="1" applyFill="1" applyBorder="1" applyAlignment="1">
      <alignment horizontal="center" vertical="center"/>
    </xf>
    <xf numFmtId="0" fontId="55" fillId="20" borderId="120" xfId="0" applyFont="1" applyFill="1" applyBorder="1" applyAlignment="1">
      <alignment horizontal="center" vertical="center"/>
    </xf>
    <xf numFmtId="0" fontId="20" fillId="20" borderId="123" xfId="0" applyFont="1" applyFill="1" applyBorder="1" applyAlignment="1">
      <alignment horizontal="right" vertical="center" indent="3"/>
    </xf>
    <xf numFmtId="0" fontId="20" fillId="20" borderId="124" xfId="0" applyFont="1" applyFill="1" applyBorder="1" applyAlignment="1">
      <alignment horizontal="right" vertical="center" indent="3"/>
    </xf>
    <xf numFmtId="0" fontId="57" fillId="0" borderId="15" xfId="0" applyFont="1" applyBorder="1" applyAlignment="1">
      <alignment horizontal="center"/>
    </xf>
    <xf numFmtId="0" fontId="58" fillId="0" borderId="14" xfId="0" applyFont="1" applyBorder="1" applyAlignment="1">
      <alignment horizontal="center"/>
    </xf>
    <xf numFmtId="0" fontId="58" fillId="0" borderId="187" xfId="0" applyFont="1" applyBorder="1" applyAlignment="1">
      <alignment horizontal="center"/>
    </xf>
    <xf numFmtId="0" fontId="54" fillId="18" borderId="187" xfId="0" applyFont="1" applyFill="1" applyBorder="1" applyAlignment="1">
      <alignment horizontal="center"/>
    </xf>
    <xf numFmtId="0" fontId="55" fillId="36" borderId="14" xfId="0" applyFont="1" applyFill="1" applyBorder="1" applyAlignment="1">
      <alignment horizontal="center"/>
    </xf>
    <xf numFmtId="0" fontId="55" fillId="36" borderId="187" xfId="0" applyFont="1" applyFill="1" applyBorder="1" applyAlignment="1">
      <alignment horizontal="center"/>
    </xf>
    <xf numFmtId="0" fontId="55" fillId="22" borderId="154" xfId="0" applyFont="1" applyFill="1" applyBorder="1" applyAlignment="1">
      <alignment horizontal="center"/>
    </xf>
    <xf numFmtId="0" fontId="55" fillId="22" borderId="187" xfId="0" applyFont="1" applyFill="1" applyBorder="1" applyAlignment="1">
      <alignment horizontal="center"/>
    </xf>
    <xf numFmtId="0" fontId="55" fillId="22" borderId="15" xfId="0" applyFont="1" applyFill="1" applyBorder="1" applyAlignment="1">
      <alignment horizontal="center"/>
    </xf>
    <xf numFmtId="0" fontId="55" fillId="10" borderId="14" xfId="0" applyFont="1" applyFill="1" applyBorder="1" applyAlignment="1">
      <alignment horizontal="center" vertical="center" wrapText="1"/>
    </xf>
    <xf numFmtId="0" fontId="55" fillId="10" borderId="187" xfId="0" applyFont="1" applyFill="1" applyBorder="1" applyAlignment="1">
      <alignment horizontal="center" vertical="center" wrapText="1"/>
    </xf>
    <xf numFmtId="0" fontId="54" fillId="10" borderId="1" xfId="0" applyFont="1" applyFill="1" applyBorder="1" applyAlignment="1">
      <alignment horizontal="left" vertical="center"/>
    </xf>
    <xf numFmtId="0" fontId="54" fillId="25" borderId="14" xfId="0" applyFont="1" applyFill="1" applyBorder="1" applyAlignment="1">
      <alignment horizontal="center" vertical="center" wrapText="1"/>
    </xf>
    <xf numFmtId="0" fontId="54" fillId="25" borderId="187" xfId="0" applyFont="1" applyFill="1" applyBorder="1" applyAlignment="1">
      <alignment horizontal="center" vertical="center" wrapText="1"/>
    </xf>
    <xf numFmtId="0" fontId="54" fillId="25" borderId="15" xfId="0" applyFont="1" applyFill="1" applyBorder="1" applyAlignment="1">
      <alignment horizontal="center" vertical="center" wrapText="1"/>
    </xf>
    <xf numFmtId="0" fontId="54" fillId="42" borderId="14" xfId="0" applyFont="1" applyFill="1" applyBorder="1" applyAlignment="1">
      <alignment horizontal="center" vertical="center" wrapText="1"/>
    </xf>
    <xf numFmtId="0" fontId="54" fillId="42" borderId="187" xfId="0" applyFont="1" applyFill="1" applyBorder="1" applyAlignment="1">
      <alignment horizontal="center" vertical="center" wrapText="1"/>
    </xf>
    <xf numFmtId="0" fontId="54" fillId="42" borderId="222" xfId="0" applyFont="1" applyFill="1" applyBorder="1" applyAlignment="1">
      <alignment horizontal="center" vertical="center" wrapText="1"/>
    </xf>
    <xf numFmtId="0" fontId="54" fillId="36" borderId="14" xfId="0" applyFont="1" applyFill="1" applyBorder="1" applyAlignment="1">
      <alignment horizontal="center"/>
    </xf>
    <xf numFmtId="0" fontId="54" fillId="36" borderId="15" xfId="0" applyFont="1" applyFill="1" applyBorder="1" applyAlignment="1">
      <alignment horizontal="center"/>
    </xf>
    <xf numFmtId="0" fontId="3" fillId="0" borderId="20" xfId="0" applyFont="1" applyBorder="1" applyAlignment="1">
      <alignment horizontal="left" vertical="center"/>
    </xf>
    <xf numFmtId="0" fontId="3" fillId="0" borderId="25" xfId="0" applyFont="1" applyBorder="1" applyAlignment="1">
      <alignment horizontal="left" vertical="center"/>
    </xf>
    <xf numFmtId="0" fontId="3" fillId="10" borderId="24" xfId="0" applyFont="1" applyFill="1" applyBorder="1" applyAlignment="1">
      <alignment horizontal="center" vertical="center"/>
    </xf>
    <xf numFmtId="0" fontId="3" fillId="10" borderId="20" xfId="0" applyFont="1" applyFill="1" applyBorder="1" applyAlignment="1">
      <alignment horizontal="center" vertical="center"/>
    </xf>
    <xf numFmtId="0" fontId="3" fillId="15" borderId="1" xfId="0" applyFont="1" applyFill="1" applyBorder="1" applyAlignment="1">
      <alignment horizontal="center" vertical="center"/>
    </xf>
    <xf numFmtId="0" fontId="0" fillId="16" borderId="0" xfId="0" applyFill="1" applyAlignment="1">
      <alignment horizontal="center" vertical="center"/>
    </xf>
    <xf numFmtId="0" fontId="3" fillId="0" borderId="14" xfId="0" applyFont="1" applyBorder="1" applyAlignment="1">
      <alignment horizontal="center" vertical="center" wrapText="1"/>
    </xf>
    <xf numFmtId="0" fontId="3" fillId="0" borderId="1" xfId="0" applyFont="1" applyBorder="1" applyAlignment="1">
      <alignment horizontal="center" vertical="center" wrapText="1"/>
    </xf>
    <xf numFmtId="0" fontId="0" fillId="11" borderId="24" xfId="0" applyFill="1" applyBorder="1" applyAlignment="1">
      <alignment horizontal="center" vertical="center"/>
    </xf>
    <xf numFmtId="0" fontId="0" fillId="11" borderId="20" xfId="0" applyFill="1" applyBorder="1" applyAlignment="1">
      <alignment horizontal="center" vertical="center"/>
    </xf>
    <xf numFmtId="0" fontId="3" fillId="0" borderId="1" xfId="0" applyFont="1" applyBorder="1" applyAlignment="1">
      <alignment horizontal="left" vertical="center"/>
    </xf>
    <xf numFmtId="0" fontId="3" fillId="0" borderId="14" xfId="0" applyFont="1" applyBorder="1" applyAlignment="1">
      <alignment horizontal="left" vertical="center"/>
    </xf>
    <xf numFmtId="0" fontId="2" fillId="8" borderId="19" xfId="0" applyFont="1" applyFill="1" applyBorder="1" applyAlignment="1">
      <alignment horizontal="center" vertical="center" textRotation="180"/>
    </xf>
    <xf numFmtId="0" fontId="2" fillId="8" borderId="24" xfId="0" applyFont="1" applyFill="1" applyBorder="1" applyAlignment="1">
      <alignment horizontal="center" vertical="center" textRotation="180"/>
    </xf>
    <xf numFmtId="0" fontId="2" fillId="8" borderId="20" xfId="0" applyFont="1" applyFill="1" applyBorder="1" applyAlignment="1">
      <alignment horizontal="center" vertical="center" textRotation="180"/>
    </xf>
    <xf numFmtId="0" fontId="3" fillId="0" borderId="187" xfId="0" applyFont="1" applyBorder="1" applyAlignment="1">
      <alignment horizontal="left" vertical="center"/>
    </xf>
    <xf numFmtId="0" fontId="0" fillId="23" borderId="24" xfId="0" applyFill="1" applyBorder="1" applyAlignment="1">
      <alignment horizontal="center" vertical="center"/>
    </xf>
    <xf numFmtId="0" fontId="0" fillId="23" borderId="20" xfId="0" applyFill="1" applyBorder="1" applyAlignment="1">
      <alignment horizontal="center" vertical="center"/>
    </xf>
    <xf numFmtId="0" fontId="3" fillId="0" borderId="15" xfId="0" applyFont="1" applyBorder="1" applyAlignment="1">
      <alignment horizontal="left" vertical="center"/>
    </xf>
    <xf numFmtId="0" fontId="3" fillId="0" borderId="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87" xfId="0" applyFont="1" applyBorder="1" applyAlignment="1">
      <alignment horizontal="center" vertical="center"/>
    </xf>
    <xf numFmtId="0" fontId="3" fillId="27" borderId="15" xfId="0" applyFont="1" applyFill="1" applyBorder="1" applyAlignment="1">
      <alignment horizontal="center" vertical="center"/>
    </xf>
    <xf numFmtId="0" fontId="3" fillId="27" borderId="1" xfId="0" applyFont="1" applyFill="1" applyBorder="1" applyAlignment="1">
      <alignment horizontal="center" vertical="center"/>
    </xf>
    <xf numFmtId="0" fontId="3" fillId="31" borderId="1" xfId="0" applyFont="1" applyFill="1" applyBorder="1" applyAlignment="1">
      <alignment horizontal="center" vertical="center"/>
    </xf>
    <xf numFmtId="0" fontId="3" fillId="29" borderId="1" xfId="0" applyFont="1" applyFill="1" applyBorder="1" applyAlignment="1">
      <alignment horizontal="center" vertical="center"/>
    </xf>
    <xf numFmtId="0" fontId="3" fillId="30" borderId="1" xfId="0" applyFont="1" applyFill="1" applyBorder="1" applyAlignment="1">
      <alignment horizontal="center" vertical="center"/>
    </xf>
    <xf numFmtId="0" fontId="3" fillId="30" borderId="14" xfId="0" applyFont="1" applyFill="1" applyBorder="1" applyAlignment="1">
      <alignment horizontal="center" vertical="center"/>
    </xf>
    <xf numFmtId="0" fontId="3" fillId="23" borderId="224" xfId="0" applyFont="1" applyFill="1" applyBorder="1" applyAlignment="1">
      <alignment horizontal="left"/>
    </xf>
    <xf numFmtId="0" fontId="3" fillId="23" borderId="250" xfId="0" applyFont="1" applyFill="1" applyBorder="1" applyAlignment="1">
      <alignment horizontal="left"/>
    </xf>
    <xf numFmtId="0" fontId="3" fillId="23" borderId="222" xfId="0" applyFont="1" applyFill="1" applyBorder="1" applyAlignment="1">
      <alignment horizontal="left"/>
    </xf>
    <xf numFmtId="0" fontId="3" fillId="31" borderId="14" xfId="0" applyFont="1" applyFill="1" applyBorder="1" applyAlignment="1">
      <alignment horizontal="center" vertical="center"/>
    </xf>
    <xf numFmtId="0" fontId="3" fillId="9" borderId="224" xfId="0" applyFont="1" applyFill="1" applyBorder="1" applyAlignment="1">
      <alignment horizontal="left"/>
    </xf>
    <xf numFmtId="0" fontId="3" fillId="9" borderId="250" xfId="0" applyFont="1" applyFill="1" applyBorder="1" applyAlignment="1">
      <alignment horizontal="left"/>
    </xf>
    <xf numFmtId="0" fontId="3" fillId="9" borderId="222" xfId="0" applyFont="1" applyFill="1" applyBorder="1" applyAlignment="1">
      <alignment horizontal="left"/>
    </xf>
    <xf numFmtId="0" fontId="3" fillId="3" borderId="224" xfId="0" applyFont="1" applyFill="1" applyBorder="1" applyAlignment="1">
      <alignment horizontal="left"/>
    </xf>
    <xf numFmtId="0" fontId="3" fillId="3" borderId="250" xfId="0" applyFont="1" applyFill="1" applyBorder="1" applyAlignment="1">
      <alignment horizontal="left"/>
    </xf>
    <xf numFmtId="0" fontId="3" fillId="3" borderId="222" xfId="0" applyFont="1" applyFill="1" applyBorder="1" applyAlignment="1">
      <alignment horizontal="left"/>
    </xf>
    <xf numFmtId="0" fontId="3" fillId="2" borderId="224" xfId="0" applyFont="1" applyFill="1" applyBorder="1" applyAlignment="1">
      <alignment horizontal="left"/>
    </xf>
    <xf numFmtId="0" fontId="3" fillId="2" borderId="250" xfId="0" applyFont="1" applyFill="1" applyBorder="1" applyAlignment="1">
      <alignment horizontal="left"/>
    </xf>
    <xf numFmtId="0" fontId="3" fillId="2" borderId="222" xfId="0" applyFont="1" applyFill="1" applyBorder="1" applyAlignment="1">
      <alignment horizontal="left"/>
    </xf>
    <xf numFmtId="0" fontId="3" fillId="4" borderId="224" xfId="0" applyFont="1" applyFill="1" applyBorder="1" applyAlignment="1">
      <alignment horizontal="left"/>
    </xf>
    <xf numFmtId="0" fontId="3" fillId="4" borderId="250" xfId="0" applyFont="1" applyFill="1" applyBorder="1" applyAlignment="1">
      <alignment horizontal="left"/>
    </xf>
    <xf numFmtId="0" fontId="3" fillId="4" borderId="222" xfId="0" applyFont="1" applyFill="1" applyBorder="1" applyAlignment="1">
      <alignment horizontal="left"/>
    </xf>
    <xf numFmtId="0" fontId="3" fillId="6" borderId="224" xfId="0" applyFont="1" applyFill="1" applyBorder="1" applyAlignment="1">
      <alignment horizontal="left"/>
    </xf>
    <xf numFmtId="0" fontId="3" fillId="6" borderId="250" xfId="0" applyFont="1" applyFill="1" applyBorder="1" applyAlignment="1">
      <alignment horizontal="left"/>
    </xf>
    <xf numFmtId="0" fontId="3" fillId="6" borderId="222" xfId="0" applyFont="1" applyFill="1" applyBorder="1" applyAlignment="1">
      <alignment horizontal="left"/>
    </xf>
    <xf numFmtId="0" fontId="3" fillId="11" borderId="224" xfId="0" applyFont="1" applyFill="1" applyBorder="1" applyAlignment="1">
      <alignment horizontal="left"/>
    </xf>
    <xf numFmtId="0" fontId="3" fillId="11" borderId="250" xfId="0" applyFont="1" applyFill="1" applyBorder="1" applyAlignment="1">
      <alignment horizontal="left"/>
    </xf>
    <xf numFmtId="0" fontId="3" fillId="11" borderId="222" xfId="0" applyFont="1" applyFill="1" applyBorder="1" applyAlignment="1">
      <alignment horizontal="left"/>
    </xf>
    <xf numFmtId="0" fontId="3" fillId="10" borderId="224" xfId="0" applyFont="1" applyFill="1" applyBorder="1" applyAlignment="1">
      <alignment horizontal="left"/>
    </xf>
    <xf numFmtId="0" fontId="3" fillId="10" borderId="250" xfId="0" applyFont="1" applyFill="1" applyBorder="1" applyAlignment="1">
      <alignment horizontal="left"/>
    </xf>
    <xf numFmtId="0" fontId="3" fillId="10" borderId="222" xfId="0" applyFont="1" applyFill="1" applyBorder="1" applyAlignment="1">
      <alignment horizontal="left"/>
    </xf>
    <xf numFmtId="0" fontId="0" fillId="2" borderId="24" xfId="0" applyFill="1" applyBorder="1" applyAlignment="1">
      <alignment horizontal="center" vertical="center"/>
    </xf>
    <xf numFmtId="0" fontId="0" fillId="2" borderId="20" xfId="0" applyFill="1" applyBorder="1" applyAlignment="1">
      <alignment horizontal="center" vertical="center"/>
    </xf>
    <xf numFmtId="0" fontId="0" fillId="4" borderId="24" xfId="0" applyFill="1" applyBorder="1" applyAlignment="1">
      <alignment horizontal="center" vertical="center"/>
    </xf>
    <xf numFmtId="0" fontId="0" fillId="4" borderId="20" xfId="0" applyFill="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3" fillId="0" borderId="187" xfId="0" applyFont="1" applyBorder="1" applyAlignment="1">
      <alignment horizontal="center" vertical="center" wrapText="1"/>
    </xf>
    <xf numFmtId="0" fontId="0" fillId="3" borderId="24" xfId="0" applyFill="1" applyBorder="1" applyAlignment="1">
      <alignment horizontal="center" vertical="center"/>
    </xf>
    <xf numFmtId="0" fontId="0" fillId="3" borderId="20" xfId="0" applyFill="1" applyBorder="1" applyAlignment="1">
      <alignment horizontal="center" vertical="center"/>
    </xf>
    <xf numFmtId="0" fontId="3" fillId="0" borderId="15" xfId="0" applyFont="1" applyBorder="1" applyAlignment="1">
      <alignment horizontal="center" vertical="center" wrapText="1"/>
    </xf>
    <xf numFmtId="0" fontId="3" fillId="10" borderId="14" xfId="0" applyFont="1" applyFill="1" applyBorder="1" applyAlignment="1">
      <alignment horizontal="center"/>
    </xf>
    <xf numFmtId="0" fontId="3" fillId="10" borderId="187" xfId="0" applyFont="1" applyFill="1" applyBorder="1" applyAlignment="1">
      <alignment horizontal="center"/>
    </xf>
    <xf numFmtId="0" fontId="3" fillId="10" borderId="222" xfId="0" applyFont="1" applyFill="1" applyBorder="1" applyAlignment="1">
      <alignment horizontal="center"/>
    </xf>
    <xf numFmtId="0" fontId="3" fillId="0" borderId="25" xfId="0" applyFont="1" applyBorder="1" applyAlignment="1">
      <alignment horizontal="center" vertical="center"/>
    </xf>
    <xf numFmtId="0" fontId="3" fillId="0" borderId="78" xfId="0" applyFont="1" applyBorder="1" applyAlignment="1">
      <alignment horizontal="center" vertical="center"/>
    </xf>
    <xf numFmtId="0" fontId="3" fillId="0" borderId="79" xfId="0" applyFont="1" applyBorder="1" applyAlignment="1">
      <alignment horizontal="center" vertical="center"/>
    </xf>
    <xf numFmtId="0" fontId="0" fillId="7" borderId="24" xfId="0" applyFill="1" applyBorder="1" applyAlignment="1">
      <alignment horizontal="center" vertical="center"/>
    </xf>
    <xf numFmtId="0" fontId="0" fillId="7" borderId="20" xfId="0" applyFill="1" applyBorder="1" applyAlignment="1">
      <alignment horizontal="center" vertical="center"/>
    </xf>
    <xf numFmtId="0" fontId="0" fillId="9" borderId="24" xfId="0" applyFill="1" applyBorder="1" applyAlignment="1">
      <alignment horizontal="center" vertical="center"/>
    </xf>
    <xf numFmtId="0" fontId="0" fillId="9" borderId="20" xfId="0" applyFill="1" applyBorder="1" applyAlignment="1">
      <alignment horizontal="center" vertical="center"/>
    </xf>
    <xf numFmtId="0" fontId="3" fillId="28" borderId="1" xfId="0" applyFont="1" applyFill="1" applyBorder="1" applyAlignment="1">
      <alignment horizontal="center" vertical="center"/>
    </xf>
    <xf numFmtId="0" fontId="0" fillId="6" borderId="24" xfId="0" applyFill="1" applyBorder="1" applyAlignment="1">
      <alignment horizontal="center" vertical="center"/>
    </xf>
    <xf numFmtId="0" fontId="0" fillId="6" borderId="20" xfId="0" applyFill="1" applyBorder="1" applyAlignment="1">
      <alignment horizontal="center" vertical="center"/>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29" fillId="23" borderId="224" xfId="0" applyFont="1" applyFill="1" applyBorder="1" applyAlignment="1">
      <alignment horizontal="left"/>
    </xf>
    <xf numFmtId="0" fontId="29" fillId="23" borderId="250" xfId="0" applyFont="1" applyFill="1" applyBorder="1" applyAlignment="1">
      <alignment horizontal="left"/>
    </xf>
    <xf numFmtId="0" fontId="29" fillId="23" borderId="222" xfId="0" applyFont="1" applyFill="1" applyBorder="1" applyAlignment="1">
      <alignment horizontal="left"/>
    </xf>
    <xf numFmtId="0" fontId="0" fillId="9" borderId="143" xfId="0" applyFill="1" applyBorder="1" applyAlignment="1">
      <alignment horizontal="center" vertical="center"/>
    </xf>
    <xf numFmtId="0" fontId="0" fillId="9" borderId="79" xfId="0" applyFill="1" applyBorder="1" applyAlignment="1">
      <alignment horizontal="center" vertical="center"/>
    </xf>
    <xf numFmtId="0" fontId="3" fillId="35" borderId="15" xfId="0" applyFont="1" applyFill="1" applyBorder="1" applyAlignment="1">
      <alignment horizontal="center" vertical="center"/>
    </xf>
    <xf numFmtId="0" fontId="3" fillId="35" borderId="1" xfId="0" applyFont="1" applyFill="1" applyBorder="1" applyAlignment="1">
      <alignment horizontal="center" vertical="center"/>
    </xf>
    <xf numFmtId="0" fontId="3" fillId="4" borderId="15" xfId="0" applyFont="1" applyFill="1" applyBorder="1" applyAlignment="1">
      <alignment horizontal="center" vertical="center"/>
    </xf>
    <xf numFmtId="0" fontId="3" fillId="4" borderId="1" xfId="0" applyFont="1" applyFill="1" applyBorder="1" applyAlignment="1">
      <alignment horizontal="center" vertical="center"/>
    </xf>
    <xf numFmtId="0" fontId="3" fillId="50" borderId="1" xfId="0" applyFont="1" applyFill="1" applyBorder="1" applyAlignment="1">
      <alignment horizontal="center" vertical="center"/>
    </xf>
    <xf numFmtId="0" fontId="0" fillId="2" borderId="76" xfId="0" applyFill="1" applyBorder="1" applyAlignment="1">
      <alignment horizontal="center" vertical="center"/>
    </xf>
    <xf numFmtId="0" fontId="3" fillId="89" borderId="19" xfId="0" applyFont="1" applyFill="1" applyBorder="1" applyAlignment="1">
      <alignment horizontal="center" vertical="center" wrapText="1"/>
    </xf>
    <xf numFmtId="0" fontId="3" fillId="89" borderId="20" xfId="0" applyFont="1" applyFill="1" applyBorder="1" applyAlignment="1">
      <alignment horizontal="center" vertical="center" wrapText="1"/>
    </xf>
    <xf numFmtId="0" fontId="3" fillId="32" borderId="1" xfId="0" applyFont="1" applyFill="1" applyBorder="1" applyAlignment="1">
      <alignment horizontal="center" vertical="center" wrapText="1"/>
    </xf>
    <xf numFmtId="0" fontId="3" fillId="49" borderId="1" xfId="0" applyFont="1" applyFill="1" applyBorder="1" applyAlignment="1">
      <alignment horizontal="center" vertical="center"/>
    </xf>
    <xf numFmtId="0" fontId="3" fillId="35" borderId="187" xfId="0" applyFont="1" applyFill="1" applyBorder="1" applyAlignment="1">
      <alignment horizontal="center" vertical="center"/>
    </xf>
    <xf numFmtId="0" fontId="3" fillId="31" borderId="187" xfId="0" applyFont="1" applyFill="1" applyBorder="1" applyAlignment="1">
      <alignment horizontal="center" vertical="center"/>
    </xf>
    <xf numFmtId="0" fontId="3" fillId="31" borderId="15" xfId="0" applyFont="1" applyFill="1" applyBorder="1" applyAlignment="1">
      <alignment horizontal="center" vertical="center"/>
    </xf>
    <xf numFmtId="0" fontId="3" fillId="35" borderId="14" xfId="0" applyFont="1" applyFill="1" applyBorder="1" applyAlignment="1">
      <alignment horizontal="center" vertical="center"/>
    </xf>
    <xf numFmtId="0" fontId="3" fillId="0" borderId="222" xfId="0" applyFont="1" applyBorder="1" applyAlignment="1">
      <alignment horizontal="center" vertical="center" wrapText="1"/>
    </xf>
    <xf numFmtId="0" fontId="3" fillId="0" borderId="79" xfId="0" applyFont="1" applyBorder="1" applyAlignment="1">
      <alignment horizontal="center" vertical="center" wrapText="1"/>
    </xf>
    <xf numFmtId="0" fontId="3" fillId="32" borderId="0" xfId="0" applyFont="1" applyFill="1" applyAlignment="1">
      <alignment horizontal="center" vertical="center"/>
    </xf>
    <xf numFmtId="0" fontId="0" fillId="87" borderId="0" xfId="0" applyFill="1" applyAlignment="1">
      <alignment horizontal="center" vertical="center"/>
    </xf>
    <xf numFmtId="43" fontId="0" fillId="0" borderId="0" xfId="0" applyNumberFormat="1" applyAlignment="1">
      <alignment horizontal="center"/>
    </xf>
    <xf numFmtId="0" fontId="3" fillId="0" borderId="224" xfId="0" applyFont="1" applyBorder="1" applyAlignment="1">
      <alignment horizontal="center" vertical="center" wrapText="1"/>
    </xf>
    <xf numFmtId="0" fontId="3" fillId="0" borderId="250" xfId="0" applyFont="1" applyBorder="1" applyAlignment="1">
      <alignment horizontal="center" vertical="center" wrapText="1"/>
    </xf>
    <xf numFmtId="0" fontId="3" fillId="32" borderId="15" xfId="0" applyFont="1" applyFill="1" applyBorder="1" applyAlignment="1">
      <alignment horizontal="center" vertical="center"/>
    </xf>
    <xf numFmtId="0" fontId="3" fillId="32" borderId="1" xfId="0" applyFont="1" applyFill="1" applyBorder="1" applyAlignment="1">
      <alignment horizontal="center" vertical="center"/>
    </xf>
    <xf numFmtId="0" fontId="0" fillId="0" borderId="224" xfId="0" applyBorder="1" applyAlignment="1">
      <alignment horizontal="center" vertical="center"/>
    </xf>
    <xf numFmtId="0" fontId="0" fillId="0" borderId="250" xfId="0" applyBorder="1" applyAlignment="1">
      <alignment horizontal="center" vertical="center"/>
    </xf>
    <xf numFmtId="0" fontId="0" fillId="0" borderId="222" xfId="0" applyBorder="1" applyAlignment="1">
      <alignment horizontal="center" vertical="center"/>
    </xf>
    <xf numFmtId="0" fontId="0" fillId="0" borderId="176" xfId="0" applyBorder="1" applyAlignment="1">
      <alignment horizontal="center" vertical="center"/>
    </xf>
    <xf numFmtId="0" fontId="0" fillId="0" borderId="144" xfId="0" applyBorder="1" applyAlignment="1">
      <alignment horizontal="center" vertical="center"/>
    </xf>
    <xf numFmtId="0" fontId="0" fillId="0" borderId="177" xfId="0" applyBorder="1" applyAlignment="1">
      <alignment horizontal="center" vertical="center"/>
    </xf>
    <xf numFmtId="0" fontId="2" fillId="8" borderId="223" xfId="0" applyFont="1" applyFill="1" applyBorder="1" applyAlignment="1">
      <alignment horizontal="center" vertical="center" textRotation="180"/>
    </xf>
    <xf numFmtId="0" fontId="2" fillId="30" borderId="187" xfId="0" applyFont="1" applyFill="1" applyBorder="1" applyAlignment="1">
      <alignment horizontal="center" vertical="center"/>
    </xf>
    <xf numFmtId="0" fontId="2" fillId="30" borderId="15" xfId="0" applyFont="1" applyFill="1" applyBorder="1" applyAlignment="1">
      <alignment horizontal="center" vertical="center"/>
    </xf>
    <xf numFmtId="0" fontId="3" fillId="0" borderId="78" xfId="0" applyFont="1" applyBorder="1" applyAlignment="1">
      <alignment horizontal="left"/>
    </xf>
    <xf numFmtId="0" fontId="3" fillId="0" borderId="79" xfId="0" applyFont="1" applyBorder="1" applyAlignment="1">
      <alignment horizontal="left"/>
    </xf>
    <xf numFmtId="0" fontId="3" fillId="41" borderId="14" xfId="0" applyFont="1" applyFill="1" applyBorder="1" applyAlignment="1">
      <alignment horizontal="center"/>
    </xf>
    <xf numFmtId="0" fontId="3" fillId="41" borderId="187" xfId="0" applyFont="1" applyFill="1" applyBorder="1" applyAlignment="1">
      <alignment horizontal="center"/>
    </xf>
    <xf numFmtId="0" fontId="3" fillId="41" borderId="15" xfId="0" applyFont="1" applyFill="1" applyBorder="1" applyAlignment="1">
      <alignment horizontal="center"/>
    </xf>
    <xf numFmtId="0" fontId="3" fillId="86" borderId="14" xfId="0" applyFont="1" applyFill="1" applyBorder="1" applyAlignment="1">
      <alignment horizontal="left" vertical="center"/>
    </xf>
    <xf numFmtId="0" fontId="3" fillId="86" borderId="187" xfId="0" applyFont="1" applyFill="1" applyBorder="1" applyAlignment="1">
      <alignment horizontal="left" vertical="center"/>
    </xf>
    <xf numFmtId="0" fontId="3" fillId="86" borderId="15" xfId="0" applyFont="1" applyFill="1" applyBorder="1" applyAlignment="1">
      <alignment horizontal="left" vertical="center"/>
    </xf>
    <xf numFmtId="0" fontId="3" fillId="0" borderId="24" xfId="0" applyFont="1" applyBorder="1" applyAlignment="1">
      <alignment horizontal="center" vertical="center"/>
    </xf>
    <xf numFmtId="0" fontId="3" fillId="23" borderId="76" xfId="0" applyFont="1" applyFill="1" applyBorder="1" applyAlignment="1">
      <alignment horizontal="center" vertical="center"/>
    </xf>
    <xf numFmtId="0" fontId="3" fillId="23" borderId="0" xfId="0" applyFont="1" applyFill="1" applyAlignment="1">
      <alignment horizontal="center" vertical="center"/>
    </xf>
    <xf numFmtId="0" fontId="3" fillId="0" borderId="222" xfId="0" applyFont="1" applyBorder="1" applyAlignment="1">
      <alignment horizontal="center" vertical="center"/>
    </xf>
    <xf numFmtId="0" fontId="3" fillId="0" borderId="143" xfId="0" applyFont="1" applyBorder="1" applyAlignment="1">
      <alignment horizontal="center" vertical="center"/>
    </xf>
    <xf numFmtId="0" fontId="3" fillId="0" borderId="250" xfId="0" applyFont="1" applyBorder="1" applyAlignment="1">
      <alignment horizontal="center" vertical="center"/>
    </xf>
    <xf numFmtId="0" fontId="3" fillId="48" borderId="224" xfId="0" applyFont="1" applyFill="1" applyBorder="1" applyAlignment="1">
      <alignment horizontal="center" vertical="center"/>
    </xf>
    <xf numFmtId="0" fontId="3" fillId="48" borderId="250" xfId="0" applyFont="1" applyFill="1" applyBorder="1" applyAlignment="1">
      <alignment horizontal="center" vertical="center"/>
    </xf>
    <xf numFmtId="0" fontId="3" fillId="48" borderId="222" xfId="0" applyFont="1" applyFill="1" applyBorder="1" applyAlignment="1">
      <alignment horizontal="center" vertical="center"/>
    </xf>
    <xf numFmtId="0" fontId="3" fillId="48" borderId="25" xfId="0" applyFont="1" applyFill="1" applyBorder="1" applyAlignment="1">
      <alignment horizontal="center" vertical="center"/>
    </xf>
    <xf numFmtId="0" fontId="3" fillId="48" borderId="78" xfId="0" applyFont="1" applyFill="1" applyBorder="1" applyAlignment="1">
      <alignment horizontal="center" vertical="center"/>
    </xf>
    <xf numFmtId="0" fontId="3" fillId="48" borderId="79" xfId="0" applyFont="1" applyFill="1" applyBorder="1" applyAlignment="1">
      <alignment horizontal="center" vertical="center"/>
    </xf>
    <xf numFmtId="0" fontId="3" fillId="41" borderId="14" xfId="0" applyFont="1" applyFill="1" applyBorder="1" applyAlignment="1">
      <alignment horizontal="center" vertical="center" wrapText="1"/>
    </xf>
    <xf numFmtId="0" fontId="3" fillId="41" borderId="187" xfId="0" applyFont="1" applyFill="1" applyBorder="1" applyAlignment="1">
      <alignment horizontal="center" vertical="center" wrapText="1"/>
    </xf>
    <xf numFmtId="0" fontId="3" fillId="41" borderId="15" xfId="0" applyFont="1" applyFill="1" applyBorder="1" applyAlignment="1">
      <alignment horizontal="center" vertical="center" wrapText="1"/>
    </xf>
    <xf numFmtId="0" fontId="3" fillId="41" borderId="0" xfId="0" applyFont="1" applyFill="1" applyAlignment="1">
      <alignment horizontal="center" vertical="center" wrapText="1"/>
    </xf>
    <xf numFmtId="0" fontId="3" fillId="49" borderId="14" xfId="0" applyFont="1" applyFill="1" applyBorder="1" applyAlignment="1">
      <alignment horizontal="center" vertical="center"/>
    </xf>
    <xf numFmtId="0" fontId="3" fillId="49" borderId="187" xfId="0" applyFont="1" applyFill="1" applyBorder="1" applyAlignment="1">
      <alignment horizontal="center" vertical="center"/>
    </xf>
    <xf numFmtId="0" fontId="3" fillId="49" borderId="15" xfId="0" applyFont="1" applyFill="1" applyBorder="1" applyAlignment="1">
      <alignment horizontal="center" vertical="center"/>
    </xf>
    <xf numFmtId="0" fontId="29" fillId="23" borderId="3" xfId="0" applyFont="1" applyFill="1" applyBorder="1" applyAlignment="1">
      <alignment horizontal="center" vertical="center"/>
    </xf>
    <xf numFmtId="0" fontId="2" fillId="51" borderId="3" xfId="0" applyFont="1" applyFill="1" applyBorder="1" applyAlignment="1">
      <alignment horizontal="center" vertical="center"/>
    </xf>
    <xf numFmtId="0" fontId="59" fillId="0" borderId="2" xfId="0" applyFont="1" applyBorder="1" applyAlignment="1">
      <alignment horizontal="center" vertical="center"/>
    </xf>
    <xf numFmtId="0" fontId="59" fillId="0" borderId="216" xfId="0" applyFont="1" applyBorder="1" applyAlignment="1">
      <alignment horizontal="center" vertical="center"/>
    </xf>
    <xf numFmtId="0" fontId="59" fillId="0" borderId="0" xfId="0" applyFont="1" applyAlignment="1">
      <alignment horizontal="center"/>
    </xf>
    <xf numFmtId="0" fontId="2" fillId="83" borderId="3" xfId="0" applyFont="1" applyFill="1" applyBorder="1" applyAlignment="1">
      <alignment horizontal="center" vertical="center"/>
    </xf>
    <xf numFmtId="0" fontId="59" fillId="84" borderId="88" xfId="0" applyFont="1" applyFill="1" applyBorder="1" applyAlignment="1">
      <alignment horizontal="center" vertical="center"/>
    </xf>
    <xf numFmtId="0" fontId="59" fillId="84" borderId="90" xfId="0" applyFont="1" applyFill="1" applyBorder="1" applyAlignment="1">
      <alignment horizontal="center" vertical="center"/>
    </xf>
    <xf numFmtId="0" fontId="59" fillId="23" borderId="0" xfId="0" applyFont="1" applyFill="1" applyAlignment="1">
      <alignment horizontal="center"/>
    </xf>
    <xf numFmtId="0" fontId="59" fillId="23" borderId="2" xfId="0" applyFont="1" applyFill="1" applyBorder="1" applyAlignment="1">
      <alignment horizontal="center" vertical="center"/>
    </xf>
    <xf numFmtId="0" fontId="59" fillId="23" borderId="216" xfId="0" applyFont="1" applyFill="1" applyBorder="1" applyAlignment="1">
      <alignment horizontal="center" vertical="center"/>
    </xf>
    <xf numFmtId="0" fontId="59" fillId="23" borderId="88" xfId="0" applyFont="1" applyFill="1" applyBorder="1" applyAlignment="1">
      <alignment horizontal="center" vertical="center"/>
    </xf>
    <xf numFmtId="0" fontId="59" fillId="23" borderId="90" xfId="0" applyFont="1" applyFill="1" applyBorder="1" applyAlignment="1">
      <alignment horizontal="center" vertical="center"/>
    </xf>
    <xf numFmtId="9" fontId="202" fillId="137" borderId="407" xfId="0" applyNumberFormat="1" applyFont="1" applyFill="1" applyBorder="1" applyAlignment="1">
      <alignment horizontal="left" vertical="center" indent="1"/>
    </xf>
    <xf numFmtId="0" fontId="0" fillId="137" borderId="405" xfId="0" applyFill="1" applyBorder="1" applyAlignment="1"/>
    <xf numFmtId="0" fontId="0" fillId="137" borderId="409" xfId="0" applyFill="1" applyBorder="1" applyAlignment="1"/>
    <xf numFmtId="0" fontId="0" fillId="137" borderId="408" xfId="0" applyFill="1" applyBorder="1" applyAlignment="1"/>
    <xf numFmtId="0" fontId="0" fillId="137" borderId="406" xfId="0" applyFill="1" applyBorder="1" applyAlignment="1"/>
    <xf numFmtId="0" fontId="0" fillId="137" borderId="410" xfId="0" applyFill="1" applyBorder="1" applyAlignment="1"/>
    <xf numFmtId="0" fontId="203" fillId="137" borderId="407" xfId="0" applyFont="1" applyFill="1" applyBorder="1" applyAlignment="1">
      <alignment horizontal="right" vertical="center"/>
    </xf>
    <xf numFmtId="0" fontId="102" fillId="18" borderId="368" xfId="0" applyFont="1" applyFill="1" applyBorder="1" applyAlignment="1">
      <alignment horizontal="center" vertical="center"/>
    </xf>
    <xf numFmtId="0" fontId="102" fillId="18" borderId="0" xfId="0" applyFont="1" applyFill="1" applyAlignment="1">
      <alignment horizontal="center" vertical="center"/>
    </xf>
    <xf numFmtId="0" fontId="135" fillId="93" borderId="368" xfId="0" applyFont="1" applyFill="1" applyBorder="1" applyAlignment="1">
      <alignment horizontal="center" vertical="center"/>
    </xf>
    <xf numFmtId="0" fontId="135" fillId="93" borderId="0" xfId="0" applyFont="1" applyFill="1" applyAlignment="1">
      <alignment horizontal="center" vertical="center"/>
    </xf>
    <xf numFmtId="0" fontId="127" fillId="18" borderId="368" xfId="0" applyFont="1" applyFill="1" applyBorder="1" applyAlignment="1">
      <alignment horizontal="center" vertical="center"/>
    </xf>
    <xf numFmtId="0" fontId="127" fillId="18" borderId="0" xfId="0" applyFont="1" applyFill="1" applyAlignment="1">
      <alignment horizontal="center" vertical="center"/>
    </xf>
    <xf numFmtId="0" fontId="107" fillId="93" borderId="368" xfId="0" applyFont="1" applyFill="1" applyBorder="1" applyAlignment="1">
      <alignment horizontal="left" vertical="center"/>
    </xf>
    <xf numFmtId="0" fontId="81" fillId="93" borderId="0" xfId="0" applyFont="1" applyFill="1" applyAlignment="1"/>
    <xf numFmtId="0" fontId="134" fillId="93" borderId="368" xfId="0" applyFont="1" applyFill="1" applyBorder="1" applyAlignment="1">
      <alignment vertical="center"/>
    </xf>
    <xf numFmtId="9" fontId="152" fillId="5" borderId="0" xfId="0" applyNumberFormat="1" applyFont="1" applyFill="1" applyAlignment="1">
      <alignment horizontal="right" vertical="center"/>
    </xf>
    <xf numFmtId="3" fontId="117" fillId="18" borderId="368" xfId="0" applyNumberFormat="1" applyFont="1" applyFill="1" applyBorder="1" applyAlignment="1">
      <alignment horizontal="center" vertical="center"/>
    </xf>
    <xf numFmtId="3" fontId="117" fillId="18" borderId="0" xfId="0" applyNumberFormat="1" applyFont="1" applyFill="1" applyAlignment="1">
      <alignment horizontal="center" vertical="center"/>
    </xf>
    <xf numFmtId="3" fontId="120" fillId="122" borderId="313" xfId="46" applyNumberFormat="1" applyFont="1" applyFill="1" applyBorder="1" applyAlignment="1">
      <alignment horizontal="center"/>
    </xf>
    <xf numFmtId="0" fontId="126" fillId="18" borderId="368" xfId="0" applyFont="1" applyFill="1" applyBorder="1" applyAlignment="1">
      <alignment horizontal="center" vertical="center"/>
    </xf>
    <xf numFmtId="0" fontId="126" fillId="18" borderId="0" xfId="0" applyFont="1" applyFill="1" applyAlignment="1">
      <alignment horizontal="center" vertical="center"/>
    </xf>
    <xf numFmtId="0" fontId="125" fillId="18" borderId="368" xfId="0" applyFont="1" applyFill="1" applyBorder="1" applyAlignment="1">
      <alignment horizontal="center" vertical="center"/>
    </xf>
    <xf numFmtId="0" fontId="125" fillId="18" borderId="0" xfId="0" applyFont="1" applyFill="1" applyAlignment="1">
      <alignment horizontal="center" vertical="center"/>
    </xf>
    <xf numFmtId="0" fontId="137" fillId="93" borderId="368" xfId="0" applyFont="1" applyFill="1" applyBorder="1" applyAlignment="1">
      <alignment horizontal="left" vertical="center"/>
    </xf>
    <xf numFmtId="0" fontId="111" fillId="93" borderId="368" xfId="0" applyFont="1" applyFill="1" applyBorder="1" applyAlignment="1">
      <alignment vertical="center"/>
    </xf>
    <xf numFmtId="0" fontId="107" fillId="93" borderId="0" xfId="0" applyFont="1" applyFill="1" applyAlignment="1"/>
    <xf numFmtId="2" fontId="117" fillId="18" borderId="368" xfId="0" applyNumberFormat="1" applyFont="1" applyFill="1" applyBorder="1" applyAlignment="1">
      <alignment horizontal="center" vertical="center"/>
    </xf>
    <xf numFmtId="2" fontId="117" fillId="18" borderId="0" xfId="0" applyNumberFormat="1" applyFont="1" applyFill="1" applyAlignment="1">
      <alignment horizontal="center" vertical="center"/>
    </xf>
    <xf numFmtId="0" fontId="133" fillId="18" borderId="368" xfId="0" applyFont="1" applyFill="1" applyBorder="1" applyAlignment="1">
      <alignment horizontal="center" vertical="center"/>
    </xf>
    <xf numFmtId="0" fontId="133" fillId="18" borderId="0" xfId="0" applyFont="1" applyFill="1" applyAlignment="1">
      <alignment horizontal="center" vertical="center"/>
    </xf>
    <xf numFmtId="3" fontId="117" fillId="18" borderId="368" xfId="46" applyNumberFormat="1" applyFont="1" applyFill="1" applyBorder="1" applyAlignment="1">
      <alignment horizontal="center" vertical="center"/>
    </xf>
    <xf numFmtId="173" fontId="117" fillId="18" borderId="0" xfId="46" applyNumberFormat="1" applyFont="1" applyFill="1" applyBorder="1" applyAlignment="1">
      <alignment horizontal="center" vertical="center"/>
    </xf>
    <xf numFmtId="3" fontId="120" fillId="122" borderId="250" xfId="46" applyNumberFormat="1" applyFont="1" applyFill="1" applyBorder="1" applyAlignment="1">
      <alignment horizontal="center"/>
    </xf>
    <xf numFmtId="3" fontId="120" fillId="93" borderId="0" xfId="46" applyNumberFormat="1" applyFont="1" applyFill="1" applyBorder="1" applyAlignment="1">
      <alignment horizontal="center"/>
    </xf>
    <xf numFmtId="3" fontId="120" fillId="122" borderId="0" xfId="46" applyNumberFormat="1" applyFont="1" applyFill="1" applyBorder="1" applyAlignment="1">
      <alignment horizontal="center"/>
    </xf>
    <xf numFmtId="0" fontId="144" fillId="18" borderId="362" xfId="0" applyFont="1" applyFill="1" applyBorder="1" applyAlignment="1">
      <alignment horizontal="left" vertical="center"/>
    </xf>
    <xf numFmtId="0" fontId="113" fillId="18" borderId="362" xfId="0" applyFont="1" applyFill="1" applyBorder="1" applyAlignment="1">
      <alignment vertical="center"/>
    </xf>
    <xf numFmtId="0" fontId="113" fillId="18" borderId="362" xfId="0" applyFont="1" applyFill="1" applyBorder="1" applyAlignment="1"/>
    <xf numFmtId="3" fontId="117" fillId="27" borderId="373" xfId="0" applyNumberFormat="1" applyFont="1" applyFill="1" applyBorder="1" applyAlignment="1">
      <alignment horizontal="center" vertical="center"/>
    </xf>
    <xf numFmtId="0" fontId="125" fillId="18" borderId="310" xfId="0" applyFont="1" applyFill="1" applyBorder="1" applyAlignment="1">
      <alignment horizontal="center" vertical="center"/>
    </xf>
    <xf numFmtId="9" fontId="137" fillId="93" borderId="0" xfId="0" applyNumberFormat="1" applyFont="1" applyFill="1" applyAlignment="1">
      <alignment horizontal="right" indent="2"/>
    </xf>
    <xf numFmtId="0" fontId="135" fillId="93" borderId="368" xfId="0" applyFont="1" applyFill="1" applyBorder="1" applyAlignment="1">
      <alignment horizontal="left"/>
    </xf>
    <xf numFmtId="9" fontId="138" fillId="93" borderId="0" xfId="0" applyNumberFormat="1" applyFont="1" applyFill="1" applyAlignment="1">
      <alignment horizontal="right"/>
    </xf>
    <xf numFmtId="9" fontId="138" fillId="93" borderId="310" xfId="0" applyNumberFormat="1" applyFont="1" applyFill="1" applyBorder="1" applyAlignment="1">
      <alignment horizontal="right"/>
    </xf>
    <xf numFmtId="0" fontId="135" fillId="93" borderId="368" xfId="0" applyFont="1" applyFill="1" applyBorder="1" applyAlignment="1">
      <alignment horizontal="left" vertical="center"/>
    </xf>
    <xf numFmtId="0" fontId="139" fillId="93" borderId="368" xfId="0" applyFont="1" applyFill="1" applyBorder="1" applyAlignment="1">
      <alignment horizontal="left" vertical="center"/>
    </xf>
    <xf numFmtId="0" fontId="143" fillId="119" borderId="0" xfId="0" applyFont="1" applyFill="1" applyAlignment="1">
      <alignment horizontal="center" vertical="center" wrapText="1"/>
    </xf>
    <xf numFmtId="9" fontId="152" fillId="5" borderId="0" xfId="0" applyNumberFormat="1" applyFont="1" applyFill="1" applyAlignment="1">
      <alignment horizontal="right" vertical="center" indent="1"/>
    </xf>
    <xf numFmtId="194" fontId="122" fillId="120" borderId="0" xfId="0" applyNumberFormat="1" applyFont="1" applyFill="1" applyAlignment="1">
      <alignment vertical="center"/>
    </xf>
    <xf numFmtId="0" fontId="81" fillId="120" borderId="0" xfId="0" applyFont="1" applyFill="1" applyAlignment="1"/>
    <xf numFmtId="0" fontId="136" fillId="93" borderId="368" xfId="0" applyFont="1" applyFill="1" applyBorder="1" applyAlignment="1">
      <alignment horizontal="left" vertical="center"/>
    </xf>
    <xf numFmtId="0" fontId="107" fillId="93" borderId="367" xfId="0" applyFont="1" applyFill="1" applyBorder="1" applyAlignment="1">
      <alignment horizontal="left" vertical="center"/>
    </xf>
    <xf numFmtId="0" fontId="81" fillId="93" borderId="360" xfId="0" applyFont="1" applyFill="1" applyBorder="1" applyAlignment="1"/>
    <xf numFmtId="0" fontId="138" fillId="93" borderId="368" xfId="0" applyFont="1" applyFill="1" applyBorder="1" applyAlignment="1">
      <alignment horizontal="left" vertical="center"/>
    </xf>
    <xf numFmtId="0" fontId="110" fillId="93" borderId="316" xfId="0" applyFont="1" applyFill="1" applyBorder="1" applyAlignment="1">
      <alignment horizontal="center" vertical="center"/>
    </xf>
    <xf numFmtId="0" fontId="120" fillId="93" borderId="316" xfId="0" applyFont="1" applyFill="1" applyBorder="1" applyAlignment="1">
      <alignment horizontal="center" vertical="center"/>
    </xf>
    <xf numFmtId="0" fontId="128" fillId="18" borderId="368" xfId="0" applyFont="1" applyFill="1" applyBorder="1" applyAlignment="1">
      <alignment horizontal="center" vertical="center"/>
    </xf>
    <xf numFmtId="0" fontId="81" fillId="18" borderId="0" xfId="0" applyFont="1" applyFill="1" applyAlignment="1"/>
    <xf numFmtId="0" fontId="135" fillId="18" borderId="368" xfId="0" applyFont="1" applyFill="1" applyBorder="1" applyAlignment="1">
      <alignment horizontal="center" vertical="center"/>
    </xf>
    <xf numFmtId="0" fontId="120" fillId="93" borderId="312" xfId="0" applyFont="1" applyFill="1" applyBorder="1" applyAlignment="1">
      <alignment horizontal="left" vertical="center" wrapText="1"/>
    </xf>
    <xf numFmtId="0" fontId="107" fillId="93" borderId="312" xfId="0" applyFont="1" applyFill="1" applyBorder="1" applyAlignment="1">
      <alignment vertical="center" wrapText="1"/>
    </xf>
    <xf numFmtId="0" fontId="81" fillId="93" borderId="312" xfId="0" applyFont="1" applyFill="1" applyBorder="1" applyAlignment="1">
      <alignment vertical="center" wrapText="1"/>
    </xf>
    <xf numFmtId="0" fontId="135" fillId="18" borderId="0" xfId="0" applyFont="1" applyFill="1" applyAlignment="1">
      <alignment horizontal="center" vertical="center"/>
    </xf>
    <xf numFmtId="0" fontId="142" fillId="93" borderId="368" xfId="0" applyFont="1" applyFill="1" applyBorder="1" applyAlignment="1">
      <alignment horizontal="left" vertical="center"/>
    </xf>
    <xf numFmtId="0" fontId="143" fillId="119" borderId="364" xfId="0" applyFont="1" applyFill="1" applyBorder="1" applyAlignment="1">
      <alignment horizontal="center" vertical="center"/>
    </xf>
    <xf numFmtId="0" fontId="116" fillId="93" borderId="0" xfId="0" applyFont="1" applyFill="1" applyAlignment="1"/>
    <xf numFmtId="0" fontId="120" fillId="122" borderId="0" xfId="0" applyFont="1" applyFill="1" applyAlignment="1">
      <alignment horizontal="left" vertical="center" wrapText="1"/>
    </xf>
    <xf numFmtId="0" fontId="108" fillId="93" borderId="315" xfId="0" applyFont="1" applyFill="1" applyBorder="1" applyAlignment="1">
      <alignment vertical="center" wrapText="1"/>
    </xf>
    <xf numFmtId="0" fontId="129" fillId="18" borderId="368" xfId="0" applyFont="1" applyFill="1" applyBorder="1" applyAlignment="1">
      <alignment horizontal="center" vertical="center"/>
    </xf>
    <xf numFmtId="0" fontId="129" fillId="18" borderId="0" xfId="0" applyFont="1" applyFill="1" applyAlignment="1">
      <alignment horizontal="center" vertical="center"/>
    </xf>
    <xf numFmtId="0" fontId="130" fillId="18" borderId="368" xfId="0" applyFont="1" applyFill="1" applyBorder="1" applyAlignment="1">
      <alignment horizontal="center" vertical="center"/>
    </xf>
    <xf numFmtId="0" fontId="130" fillId="18" borderId="0" xfId="0" applyFont="1" applyFill="1" applyAlignment="1">
      <alignment horizontal="center" vertical="center"/>
    </xf>
    <xf numFmtId="0" fontId="131" fillId="18" borderId="368" xfId="0" applyFont="1" applyFill="1" applyBorder="1" applyAlignment="1">
      <alignment horizontal="center" vertical="center"/>
    </xf>
    <xf numFmtId="0" fontId="131" fillId="18" borderId="0" xfId="0" applyFont="1" applyFill="1" applyAlignment="1">
      <alignment horizontal="center" vertical="center"/>
    </xf>
    <xf numFmtId="3" fontId="120" fillId="93" borderId="312" xfId="46" applyNumberFormat="1" applyFont="1" applyFill="1" applyBorder="1" applyAlignment="1">
      <alignment horizontal="center"/>
    </xf>
    <xf numFmtId="0" fontId="141" fillId="93" borderId="368" xfId="0" applyFont="1" applyFill="1" applyBorder="1" applyAlignment="1">
      <alignment horizontal="left" vertical="center"/>
    </xf>
    <xf numFmtId="0" fontId="136" fillId="93" borderId="368" xfId="0" applyFont="1" applyFill="1" applyBorder="1" applyAlignment="1">
      <alignment vertical="center"/>
    </xf>
    <xf numFmtId="0" fontId="140" fillId="93" borderId="368" xfId="0" applyFont="1" applyFill="1" applyBorder="1" applyAlignment="1">
      <alignment horizontal="left" vertical="center"/>
    </xf>
    <xf numFmtId="0" fontId="144" fillId="18" borderId="363" xfId="0" applyFont="1" applyFill="1" applyBorder="1" applyAlignment="1">
      <alignment horizontal="left" vertical="center"/>
    </xf>
    <xf numFmtId="0" fontId="113" fillId="18" borderId="363" xfId="0" applyFont="1" applyFill="1" applyBorder="1" applyAlignment="1">
      <alignment vertical="center"/>
    </xf>
    <xf numFmtId="0" fontId="113" fillId="18" borderId="363" xfId="0" applyFont="1" applyFill="1" applyBorder="1" applyAlignment="1"/>
    <xf numFmtId="9" fontId="137" fillId="93" borderId="0" xfId="0" applyNumberFormat="1" applyFont="1" applyFill="1" applyAlignment="1">
      <alignment horizontal="right"/>
    </xf>
    <xf numFmtId="9" fontId="137" fillId="93" borderId="310" xfId="0" applyNumberFormat="1" applyFont="1" applyFill="1" applyBorder="1" applyAlignment="1">
      <alignment horizontal="right"/>
    </xf>
    <xf numFmtId="3" fontId="120" fillId="122" borderId="386" xfId="46" applyNumberFormat="1" applyFont="1" applyFill="1" applyBorder="1" applyAlignment="1">
      <alignment horizontal="center"/>
    </xf>
    <xf numFmtId="3" fontId="120" fillId="122" borderId="387" xfId="46" applyNumberFormat="1" applyFont="1" applyFill="1" applyBorder="1" applyAlignment="1">
      <alignment horizontal="center"/>
    </xf>
    <xf numFmtId="3" fontId="120" fillId="122" borderId="388" xfId="46" applyNumberFormat="1" applyFont="1" applyFill="1" applyBorder="1" applyAlignment="1">
      <alignment horizontal="center"/>
    </xf>
    <xf numFmtId="0" fontId="121" fillId="120" borderId="0" xfId="0" applyFont="1" applyFill="1" applyAlignment="1">
      <alignment horizontal="center" vertical="center"/>
    </xf>
    <xf numFmtId="0" fontId="106" fillId="120" borderId="0" xfId="0" applyFont="1" applyFill="1" applyAlignment="1">
      <alignment horizontal="center" vertical="center"/>
    </xf>
    <xf numFmtId="0" fontId="120" fillId="122" borderId="313" xfId="0" applyFont="1" applyFill="1" applyBorder="1" applyAlignment="1">
      <alignment horizontal="left" vertical="center" wrapText="1"/>
    </xf>
    <xf numFmtId="0" fontId="114" fillId="93" borderId="313" xfId="0" applyFont="1" applyFill="1" applyBorder="1" applyAlignment="1">
      <alignment vertical="center" wrapText="1"/>
    </xf>
    <xf numFmtId="0" fontId="81" fillId="93" borderId="313" xfId="0" applyFont="1" applyFill="1" applyBorder="1" applyAlignment="1">
      <alignment vertical="center" wrapText="1"/>
    </xf>
    <xf numFmtId="0" fontId="143" fillId="119" borderId="361" xfId="0" applyFont="1" applyFill="1" applyBorder="1" applyAlignment="1">
      <alignment horizontal="center" vertical="center"/>
    </xf>
    <xf numFmtId="0" fontId="113" fillId="93" borderId="0" xfId="0" applyFont="1" applyFill="1" applyAlignment="1">
      <alignment horizontal="center"/>
    </xf>
    <xf numFmtId="0" fontId="114" fillId="93" borderId="325" xfId="0" applyFont="1" applyFill="1" applyBorder="1" applyAlignment="1">
      <alignment vertical="center" wrapText="1"/>
    </xf>
    <xf numFmtId="0" fontId="81" fillId="93" borderId="325" xfId="0" applyFont="1" applyFill="1" applyBorder="1" applyAlignment="1">
      <alignment vertical="center" wrapText="1"/>
    </xf>
    <xf numFmtId="0" fontId="120" fillId="93" borderId="313" xfId="0" applyFont="1" applyFill="1" applyBorder="1" applyAlignment="1">
      <alignment horizontal="left" vertical="center" wrapText="1"/>
    </xf>
    <xf numFmtId="0" fontId="144" fillId="18" borderId="364" xfId="0" applyFont="1" applyFill="1" applyBorder="1" applyAlignment="1">
      <alignment horizontal="left" vertical="center"/>
    </xf>
    <xf numFmtId="0" fontId="113" fillId="18" borderId="364" xfId="0" applyFont="1" applyFill="1" applyBorder="1" applyAlignment="1">
      <alignment vertical="center"/>
    </xf>
    <xf numFmtId="0" fontId="113" fillId="18" borderId="364" xfId="0" applyFont="1" applyFill="1" applyBorder="1" applyAlignment="1"/>
    <xf numFmtId="0" fontId="144" fillId="18" borderId="361" xfId="0" applyFont="1" applyFill="1" applyBorder="1" applyAlignment="1">
      <alignment horizontal="left" vertical="center"/>
    </xf>
    <xf numFmtId="0" fontId="113" fillId="18" borderId="361" xfId="0" applyFont="1" applyFill="1" applyBorder="1" applyAlignment="1">
      <alignment vertical="center"/>
    </xf>
    <xf numFmtId="0" fontId="113" fillId="18" borderId="361" xfId="0" applyFont="1" applyFill="1" applyBorder="1" applyAlignment="1"/>
    <xf numFmtId="0" fontId="135" fillId="93" borderId="368" xfId="0" applyFont="1" applyFill="1" applyBorder="1" applyAlignment="1">
      <alignment vertical="center"/>
    </xf>
    <xf numFmtId="187" fontId="139" fillId="93" borderId="0" xfId="0" applyNumberFormat="1" applyFont="1" applyFill="1" applyAlignment="1">
      <alignment horizontal="right"/>
    </xf>
    <xf numFmtId="0" fontId="107" fillId="93" borderId="313" xfId="0" applyFont="1" applyFill="1" applyBorder="1" applyAlignment="1">
      <alignment vertical="center" wrapText="1"/>
    </xf>
    <xf numFmtId="0" fontId="173" fillId="93" borderId="0" xfId="0" applyFont="1" applyFill="1" applyAlignment="1">
      <alignment horizontal="center" vertical="center"/>
    </xf>
    <xf numFmtId="0" fontId="0" fillId="93" borderId="0" xfId="0" applyFill="1" applyAlignment="1"/>
    <xf numFmtId="0" fontId="172" fillId="93" borderId="0" xfId="0" applyFont="1" applyFill="1" applyAlignment="1">
      <alignment vertical="center"/>
    </xf>
    <xf numFmtId="0" fontId="95" fillId="93" borderId="0" xfId="0" applyFont="1" applyFill="1" applyAlignment="1"/>
    <xf numFmtId="0" fontId="169" fillId="105" borderId="326" xfId="0" applyFont="1" applyFill="1" applyBorder="1" applyAlignment="1">
      <alignment horizontal="center" vertical="center"/>
    </xf>
    <xf numFmtId="0" fontId="0" fillId="105" borderId="326" xfId="0" applyFill="1" applyBorder="1" applyAlignment="1"/>
    <xf numFmtId="0" fontId="170" fillId="97" borderId="316" xfId="0" applyFont="1" applyFill="1" applyBorder="1" applyAlignment="1">
      <alignment vertical="center"/>
    </xf>
    <xf numFmtId="0" fontId="0" fillId="97" borderId="316" xfId="0" applyFill="1" applyBorder="1" applyAlignment="1"/>
    <xf numFmtId="0" fontId="171" fillId="95" borderId="0" xfId="0" applyFont="1" applyFill="1" applyAlignment="1">
      <alignment horizontal="left" vertical="center"/>
    </xf>
    <xf numFmtId="0" fontId="174" fillId="93" borderId="0" xfId="0" applyFont="1" applyFill="1" applyAlignment="1">
      <alignment horizontal="center"/>
    </xf>
    <xf numFmtId="0" fontId="96" fillId="93" borderId="0" xfId="0" applyFont="1" applyFill="1" applyAlignment="1">
      <alignment horizontal="center"/>
    </xf>
    <xf numFmtId="0" fontId="96" fillId="93" borderId="0" xfId="0" applyFont="1" applyFill="1" applyAlignment="1">
      <alignment vertical="center"/>
    </xf>
    <xf numFmtId="0" fontId="178" fillId="93" borderId="0" xfId="0" applyFont="1" applyFill="1" applyAlignment="1">
      <alignment vertical="center"/>
    </xf>
    <xf numFmtId="0" fontId="96" fillId="93" borderId="0" xfId="0" applyFont="1" applyFill="1" applyAlignment="1"/>
    <xf numFmtId="0" fontId="175" fillId="93" borderId="0" xfId="0" applyFont="1" applyFill="1" applyAlignment="1">
      <alignment horizontal="center"/>
    </xf>
    <xf numFmtId="0" fontId="176" fillId="93" borderId="0" xfId="0" applyFont="1" applyFill="1" applyAlignment="1">
      <alignment horizontal="center"/>
    </xf>
    <xf numFmtId="0" fontId="98" fillId="93" borderId="0" xfId="0" applyFont="1" applyFill="1" applyAlignment="1">
      <alignment vertical="center"/>
    </xf>
    <xf numFmtId="0" fontId="187" fillId="93" borderId="0" xfId="0" applyFont="1" applyFill="1" applyAlignment="1">
      <alignment horizontal="center"/>
    </xf>
    <xf numFmtId="0" fontId="193" fillId="93" borderId="0" xfId="0" applyFont="1" applyFill="1" applyAlignment="1">
      <alignment horizontal="center" vertical="center"/>
    </xf>
    <xf numFmtId="0" fontId="194" fillId="93" borderId="0" xfId="0" applyFont="1" applyFill="1" applyAlignment="1">
      <alignment horizontal="center" vertical="center"/>
    </xf>
    <xf numFmtId="0" fontId="189" fillId="93" borderId="0" xfId="0" applyFont="1" applyFill="1" applyAlignment="1">
      <alignment horizontal="center"/>
    </xf>
    <xf numFmtId="0" fontId="188" fillId="93" borderId="0" xfId="0" applyFont="1" applyFill="1" applyAlignment="1">
      <alignment horizontal="center"/>
    </xf>
    <xf numFmtId="0" fontId="196" fillId="93" borderId="0" xfId="0" applyFont="1" applyFill="1" applyAlignment="1">
      <alignment horizontal="center"/>
    </xf>
    <xf numFmtId="0" fontId="197" fillId="93" borderId="0" xfId="0" applyFont="1" applyFill="1" applyAlignment="1">
      <alignment horizontal="center"/>
    </xf>
    <xf numFmtId="0" fontId="199" fillId="93" borderId="0" xfId="0" applyFont="1" applyFill="1" applyAlignment="1">
      <alignment vertical="center"/>
    </xf>
    <xf numFmtId="0" fontId="195" fillId="93" borderId="0" xfId="0" applyFont="1" applyFill="1" applyAlignment="1">
      <alignment horizontal="center" vertical="center"/>
    </xf>
    <xf numFmtId="0" fontId="198" fillId="93" borderId="0" xfId="0" applyFont="1" applyFill="1" applyAlignment="1">
      <alignment horizontal="center"/>
    </xf>
    <xf numFmtId="0" fontId="99" fillId="93" borderId="351" xfId="0" applyFont="1" applyFill="1" applyBorder="1" applyAlignment="1">
      <alignment horizontal="left" vertical="top" wrapText="1"/>
    </xf>
    <xf numFmtId="0" fontId="0" fillId="93" borderId="351" xfId="0" applyFill="1" applyBorder="1" applyAlignment="1"/>
    <xf numFmtId="0" fontId="99" fillId="93" borderId="313" xfId="0" applyFont="1" applyFill="1" applyBorder="1" applyAlignment="1">
      <alignment horizontal="left" vertical="top" wrapText="1"/>
    </xf>
    <xf numFmtId="0" fontId="0" fillId="93" borderId="313" xfId="0" applyFill="1" applyBorder="1" applyAlignment="1"/>
    <xf numFmtId="0" fontId="99" fillId="93" borderId="312" xfId="0" applyFont="1" applyFill="1" applyBorder="1" applyAlignment="1">
      <alignment horizontal="left" vertical="top" wrapText="1"/>
    </xf>
    <xf numFmtId="0" fontId="0" fillId="93" borderId="312" xfId="0" applyFill="1" applyBorder="1" applyAlignment="1"/>
    <xf numFmtId="0" fontId="94" fillId="95" borderId="316" xfId="0" applyFont="1" applyFill="1" applyBorder="1" applyAlignment="1">
      <alignment horizontal="center" vertical="center"/>
    </xf>
    <xf numFmtId="0" fontId="0" fillId="95" borderId="316" xfId="0" applyFill="1" applyBorder="1" applyAlignment="1"/>
    <xf numFmtId="0" fontId="149" fillId="93" borderId="324" xfId="0" applyFont="1" applyFill="1" applyBorder="1" applyAlignment="1">
      <alignment horizontal="left" vertical="top" wrapText="1"/>
    </xf>
    <xf numFmtId="0" fontId="150" fillId="93" borderId="324" xfId="0" applyFont="1" applyFill="1" applyBorder="1" applyAlignment="1"/>
    <xf numFmtId="9" fontId="151" fillId="93" borderId="313" xfId="0" applyNumberFormat="1" applyFont="1" applyFill="1" applyBorder="1" applyAlignment="1">
      <alignment horizontal="left" vertical="center" wrapText="1"/>
    </xf>
    <xf numFmtId="0" fontId="151" fillId="93" borderId="0" xfId="0" applyFont="1" applyFill="1" applyAlignment="1">
      <alignment horizontal="left" vertical="center" wrapText="1"/>
    </xf>
    <xf numFmtId="0" fontId="10" fillId="12" borderId="62" xfId="0" applyFont="1" applyFill="1" applyBorder="1" applyAlignment="1">
      <alignment horizontal="center" vertical="center"/>
    </xf>
    <xf numFmtId="0" fontId="10" fillId="12" borderId="63" xfId="0" applyFont="1" applyFill="1" applyBorder="1" applyAlignment="1">
      <alignment horizontal="center" vertical="center"/>
    </xf>
    <xf numFmtId="0" fontId="10" fillId="12" borderId="66" xfId="0" applyFont="1" applyFill="1" applyBorder="1" applyAlignment="1">
      <alignment horizontal="center" vertical="center"/>
    </xf>
    <xf numFmtId="0" fontId="10" fillId="12" borderId="0" xfId="0" applyFont="1" applyFill="1" applyAlignment="1">
      <alignment horizontal="center" vertical="center"/>
    </xf>
    <xf numFmtId="165"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textRotation="180"/>
    </xf>
    <xf numFmtId="0" fontId="9" fillId="0" borderId="0" xfId="0" applyFont="1" applyAlignment="1">
      <alignment horizontal="center" vertical="top"/>
    </xf>
    <xf numFmtId="0" fontId="45" fillId="0" borderId="37" xfId="0" quotePrefix="1" applyFont="1" applyBorder="1" applyAlignment="1">
      <alignment horizontal="left" vertical="top" wrapText="1"/>
    </xf>
    <xf numFmtId="0" fontId="45" fillId="0" borderId="0" xfId="0" quotePrefix="1" applyFont="1" applyAlignment="1">
      <alignment horizontal="left" vertical="top" wrapText="1"/>
    </xf>
    <xf numFmtId="0" fontId="47" fillId="0" borderId="55" xfId="0" applyFont="1" applyBorder="1" applyAlignment="1">
      <alignment horizontal="center" vertical="center" wrapText="1"/>
    </xf>
    <xf numFmtId="0" fontId="47" fillId="0" borderId="191" xfId="0" applyFont="1" applyBorder="1" applyAlignment="1">
      <alignment horizontal="center" vertical="center" wrapText="1"/>
    </xf>
    <xf numFmtId="0" fontId="47" fillId="0" borderId="56" xfId="0" applyFont="1" applyBorder="1" applyAlignment="1">
      <alignment horizontal="center" vertical="center" wrapText="1"/>
    </xf>
    <xf numFmtId="0" fontId="50" fillId="12" borderId="153" xfId="0" applyFont="1" applyFill="1" applyBorder="1" applyAlignment="1">
      <alignment horizontal="center"/>
    </xf>
    <xf numFmtId="0" fontId="46" fillId="12" borderId="289" xfId="0" applyFont="1" applyFill="1" applyBorder="1" applyAlignment="1">
      <alignment horizontal="center"/>
    </xf>
    <xf numFmtId="0" fontId="46" fillId="12" borderId="78" xfId="0" applyFont="1" applyFill="1" applyBorder="1" applyAlignment="1">
      <alignment horizontal="center"/>
    </xf>
    <xf numFmtId="168" fontId="46" fillId="12" borderId="0" xfId="0" applyNumberFormat="1" applyFont="1" applyFill="1" applyAlignment="1">
      <alignment horizontal="center" vertical="center"/>
    </xf>
    <xf numFmtId="0" fontId="46" fillId="12" borderId="0" xfId="0" applyFont="1" applyFill="1" applyAlignment="1">
      <alignment horizontal="center" vertical="center"/>
    </xf>
    <xf numFmtId="0" fontId="45" fillId="0" borderId="288" xfId="0" applyFont="1" applyBorder="1" applyAlignment="1">
      <alignment horizontal="center" vertical="center"/>
    </xf>
    <xf numFmtId="0" fontId="45" fillId="0" borderId="85" xfId="0" applyFont="1" applyBorder="1" applyAlignment="1">
      <alignment horizontal="center" vertical="center"/>
    </xf>
    <xf numFmtId="0" fontId="45" fillId="0" borderId="86" xfId="0" applyFont="1" applyBorder="1" applyAlignment="1">
      <alignment horizontal="center" vertical="center"/>
    </xf>
    <xf numFmtId="0" fontId="45" fillId="0" borderId="87" xfId="0" applyFont="1" applyBorder="1" applyAlignment="1">
      <alignment horizontal="center" vertical="center"/>
    </xf>
    <xf numFmtId="9" fontId="45" fillId="0" borderId="288" xfId="0" applyNumberFormat="1" applyFont="1" applyBorder="1" applyAlignment="1">
      <alignment horizontal="center" vertical="center"/>
    </xf>
    <xf numFmtId="9" fontId="45" fillId="0" borderId="85" xfId="0" applyNumberFormat="1" applyFont="1" applyBorder="1" applyAlignment="1">
      <alignment horizontal="center" vertical="center"/>
    </xf>
    <xf numFmtId="9" fontId="45" fillId="0" borderId="86" xfId="0" applyNumberFormat="1" applyFont="1" applyBorder="1" applyAlignment="1">
      <alignment horizontal="center" vertical="center"/>
    </xf>
    <xf numFmtId="9" fontId="45" fillId="0" borderId="87" xfId="0" applyNumberFormat="1" applyFont="1" applyBorder="1" applyAlignment="1">
      <alignment horizontal="center" vertical="center"/>
    </xf>
    <xf numFmtId="0" fontId="10" fillId="12" borderId="29" xfId="0" applyFont="1" applyFill="1" applyBorder="1" applyAlignment="1">
      <alignment horizontal="center" vertical="center"/>
    </xf>
    <xf numFmtId="0" fontId="10" fillId="12" borderId="30" xfId="0" applyFont="1" applyFill="1" applyBorder="1" applyAlignment="1">
      <alignment horizontal="center" vertical="center"/>
    </xf>
    <xf numFmtId="0" fontId="10" fillId="12" borderId="31" xfId="0" applyFont="1" applyFill="1" applyBorder="1" applyAlignment="1">
      <alignment horizontal="center" vertical="center"/>
    </xf>
    <xf numFmtId="0" fontId="10" fillId="12" borderId="32" xfId="0" applyFont="1" applyFill="1" applyBorder="1" applyAlignment="1">
      <alignment horizontal="center" vertical="center"/>
    </xf>
    <xf numFmtId="0" fontId="10" fillId="12" borderId="57" xfId="0" applyFont="1" applyFill="1" applyBorder="1" applyAlignment="1">
      <alignment horizontal="center" vertical="center"/>
    </xf>
    <xf numFmtId="0" fontId="10" fillId="12" borderId="58" xfId="0" applyFont="1" applyFill="1" applyBorder="1" applyAlignment="1">
      <alignment horizontal="center" vertical="center"/>
    </xf>
    <xf numFmtId="0" fontId="10" fillId="12" borderId="59" xfId="0" applyFont="1" applyFill="1" applyBorder="1" applyAlignment="1">
      <alignment horizontal="center" vertical="center"/>
    </xf>
    <xf numFmtId="168" fontId="10" fillId="90" borderId="250" xfId="0" applyNumberFormat="1" applyFont="1" applyFill="1" applyBorder="1" applyAlignment="1">
      <alignment horizontal="center" vertical="center"/>
    </xf>
    <xf numFmtId="168" fontId="10" fillId="90" borderId="0" xfId="0" applyNumberFormat="1" applyFont="1" applyFill="1" applyAlignment="1">
      <alignment horizontal="center" vertical="center"/>
    </xf>
    <xf numFmtId="0" fontId="10" fillId="90" borderId="62" xfId="0" applyFont="1" applyFill="1" applyBorder="1" applyAlignment="1">
      <alignment horizontal="center" vertical="center"/>
    </xf>
    <xf numFmtId="0" fontId="10" fillId="90" borderId="63" xfId="0" applyFont="1" applyFill="1" applyBorder="1" applyAlignment="1">
      <alignment horizontal="center" vertical="center"/>
    </xf>
    <xf numFmtId="0" fontId="10" fillId="90" borderId="66" xfId="0" applyFont="1" applyFill="1" applyBorder="1" applyAlignment="1">
      <alignment horizontal="center" vertical="center"/>
    </xf>
    <xf numFmtId="0" fontId="50" fillId="90" borderId="153" xfId="0" applyFont="1" applyFill="1" applyBorder="1" applyAlignment="1">
      <alignment horizontal="center"/>
    </xf>
    <xf numFmtId="0" fontId="3" fillId="32" borderId="14" xfId="0" applyFont="1" applyFill="1" applyBorder="1" applyAlignment="1">
      <alignment horizontal="center" vertical="center"/>
    </xf>
    <xf numFmtId="0" fontId="3" fillId="32" borderId="187" xfId="0" applyFont="1" applyFill="1" applyBorder="1" applyAlignment="1">
      <alignment horizontal="center" vertical="center"/>
    </xf>
    <xf numFmtId="0" fontId="80" fillId="10" borderId="398" xfId="0" applyFont="1" applyFill="1" applyBorder="1" applyAlignment="1">
      <alignment horizontal="center" vertical="center"/>
    </xf>
    <xf numFmtId="0" fontId="80" fillId="10" borderId="204" xfId="0" applyFont="1" applyFill="1" applyBorder="1" applyAlignment="1">
      <alignment horizontal="center" vertical="center"/>
    </xf>
    <xf numFmtId="0" fontId="80" fillId="10" borderId="393" xfId="0" applyFont="1" applyFill="1" applyBorder="1" applyAlignment="1">
      <alignment horizontal="center" vertical="center"/>
    </xf>
    <xf numFmtId="0" fontId="80" fillId="10" borderId="20" xfId="0" applyFont="1" applyFill="1" applyBorder="1" applyAlignment="1">
      <alignment horizontal="center" vertical="center"/>
    </xf>
    <xf numFmtId="0" fontId="80" fillId="10" borderId="395" xfId="0" applyFont="1" applyFill="1" applyBorder="1" applyAlignment="1">
      <alignment horizontal="center"/>
    </xf>
    <xf numFmtId="0" fontId="80" fillId="10" borderId="396" xfId="0" applyFont="1" applyFill="1" applyBorder="1" applyAlignment="1">
      <alignment horizontal="center"/>
    </xf>
    <xf numFmtId="0" fontId="80" fillId="10" borderId="397" xfId="0" applyFont="1" applyFill="1" applyBorder="1" applyAlignment="1">
      <alignment horizontal="center"/>
    </xf>
    <xf numFmtId="164" fontId="0" fillId="0" borderId="0" xfId="0" applyNumberFormat="1" applyAlignment="1">
      <alignment horizontal="left"/>
    </xf>
  </cellXfs>
  <cellStyles count="49">
    <cellStyle name="20% - Accent1" xfId="20" builtinId="30" hidden="1" customBuiltin="1"/>
    <cellStyle name="20% - Accent2" xfId="24" builtinId="34" hidden="1" customBuiltin="1"/>
    <cellStyle name="20% - Accent3" xfId="28" builtinId="38" hidden="1" customBuiltin="1"/>
    <cellStyle name="20% - Accent4" xfId="31" builtinId="42" hidden="1" customBuiltin="1"/>
    <cellStyle name="20% - Accent5" xfId="35" builtinId="46" hidden="1" customBuiltin="1"/>
    <cellStyle name="20% - Accent6" xfId="39" builtinId="50" hidden="1" customBuiltin="1"/>
    <cellStyle name="40% - Accent1" xfId="21" builtinId="31" hidden="1" customBuiltin="1"/>
    <cellStyle name="40% - Accent2" xfId="25" builtinId="35" hidden="1" customBuiltin="1"/>
    <cellStyle name="40% - Accent3" xfId="29" builtinId="39" hidden="1" customBuiltin="1"/>
    <cellStyle name="40% - Accent4" xfId="32" builtinId="43" hidden="1" customBuiltin="1"/>
    <cellStyle name="40% - Accent5" xfId="36" builtinId="47" hidden="1" customBuiltin="1"/>
    <cellStyle name="40% - Accent6" xfId="40" builtinId="51" hidden="1" customBuiltin="1"/>
    <cellStyle name="60% - Accent1" xfId="22" builtinId="32" hidden="1" customBuiltin="1"/>
    <cellStyle name="60% - Accent2" xfId="26" builtinId="36" hidden="1" customBuiltin="1"/>
    <cellStyle name="60% - Accent3" xfId="30" builtinId="40" hidden="1" customBuiltin="1"/>
    <cellStyle name="60% - Accent4" xfId="33" builtinId="44" hidden="1" customBuiltin="1"/>
    <cellStyle name="60% - Accent5" xfId="37" builtinId="48" hidden="1" customBuiltin="1"/>
    <cellStyle name="60% - Accent6" xfId="41" builtinId="52" hidden="1" customBuiltin="1"/>
    <cellStyle name="Accent1" xfId="19" builtinId="29" hidden="1" customBuiltin="1"/>
    <cellStyle name="Accent2" xfId="23" builtinId="33" hidden="1" customBuiltin="1"/>
    <cellStyle name="Accent3" xfId="27" builtinId="37" hidden="1" customBuiltin="1"/>
    <cellStyle name="Accent4" xfId="3" builtinId="41" hidden="1" customBuiltin="1"/>
    <cellStyle name="Accent5" xfId="34" builtinId="45" hidden="1" customBuiltin="1"/>
    <cellStyle name="Accent6" xfId="38" builtinId="49" hidden="1" customBuiltin="1"/>
    <cellStyle name="Bad" xfId="9" builtinId="27" hidden="1" customBuiltin="1"/>
    <cellStyle name="Calculation" xfId="13" builtinId="22" hidden="1" customBuiltin="1"/>
    <cellStyle name="Check Cell" xfId="15" builtinId="23" hidden="1" customBuiltin="1"/>
    <cellStyle name="Comma" xfId="46" builtinId="3"/>
    <cellStyle name="Comma [0]" xfId="2" builtinId="6" hidden="1"/>
    <cellStyle name="Comma 10" xfId="48"/>
    <cellStyle name="Currency" xfId="42" builtinId="4" hidden="1"/>
    <cellStyle name="Currency [0]" xfId="43" builtinId="7" hidden="1"/>
    <cellStyle name="Explanatory Text" xfId="17" builtinId="53" hidden="1" customBuiltin="1"/>
    <cellStyle name="Good" xfId="8" builtinId="26" hidden="1" customBuiltin="1"/>
    <cellStyle name="Heading 1" xfId="4" builtinId="16" hidden="1" customBuiltin="1"/>
    <cellStyle name="Heading 2" xfId="5" builtinId="17" hidden="1" customBuiltin="1"/>
    <cellStyle name="Heading 3" xfId="6" builtinId="18" hidden="1" customBuiltin="1"/>
    <cellStyle name="Heading 4" xfId="7" builtinId="19" hidden="1" customBuiltin="1"/>
    <cellStyle name="Input" xfId="11" builtinId="20" hidden="1" customBuiltin="1"/>
    <cellStyle name="Linked Cell" xfId="14" builtinId="24" hidden="1" customBuiltin="1"/>
    <cellStyle name="Neutral" xfId="10" builtinId="28" hidden="1" customBuiltin="1"/>
    <cellStyle name="Normal" xfId="0" builtinId="0"/>
    <cellStyle name="Normal 1268" xfId="47"/>
    <cellStyle name="Note" xfId="45" builtinId="10" hidden="1"/>
    <cellStyle name="Output" xfId="12" builtinId="21" hidden="1" customBuiltin="1"/>
    <cellStyle name="Percent" xfId="1" builtinId="5" hidden="1"/>
    <cellStyle name="Title" xfId="44" builtinId="15" hidden="1"/>
    <cellStyle name="Total" xfId="18" builtinId="25" hidden="1" customBuiltin="1"/>
    <cellStyle name="Warning Text" xfId="16" builtinId="11" hidden="1" customBuiltin="1"/>
  </cellStyles>
  <dxfs count="418">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ont>
        <color rgb="FFFF0000"/>
      </font>
    </dxf>
    <dxf>
      <font>
        <color rgb="FFFF0000"/>
      </font>
    </dxf>
    <dxf>
      <fill>
        <patternFill>
          <bgColor theme="9" tint="0.59996337778862885"/>
        </patternFill>
      </fill>
    </dxf>
    <dxf>
      <fill>
        <patternFill>
          <bgColor theme="9" tint="0.59996337778862885"/>
        </patternFill>
      </fill>
    </dxf>
    <dxf>
      <fill>
        <patternFill>
          <bgColor theme="9" tint="0.59996337778862885"/>
        </patternFill>
      </fill>
    </dxf>
    <dxf>
      <font>
        <color rgb="FFFF0000"/>
      </font>
    </dxf>
    <dxf>
      <font>
        <color rgb="FFFF0000"/>
      </font>
    </dxf>
    <dxf>
      <fill>
        <patternFill>
          <bgColor theme="9" tint="0.59996337778862885"/>
        </patternFill>
      </fill>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color rgb="FFFF0000"/>
      </font>
    </dxf>
    <dxf>
      <font>
        <color rgb="FFFF0000"/>
      </font>
    </dxf>
    <dxf>
      <font>
        <color rgb="FFFF0000"/>
      </font>
    </dxf>
    <dxf>
      <font>
        <color rgb="FFFF0000"/>
      </font>
    </dxf>
    <dxf>
      <fill>
        <patternFill>
          <bgColor theme="9" tint="0.59996337778862885"/>
        </patternFill>
      </fill>
    </dxf>
    <dxf>
      <font>
        <color rgb="FFFF0000"/>
      </font>
    </dxf>
    <dxf>
      <font>
        <color rgb="FFFF0000"/>
      </font>
    </dxf>
    <dxf>
      <fill>
        <patternFill>
          <bgColor theme="9" tint="0.59996337778862885"/>
        </patternFill>
      </fill>
    </dxf>
    <dxf>
      <fill>
        <patternFill>
          <bgColor theme="0"/>
        </patternFill>
      </fill>
    </dxf>
    <dxf>
      <fill>
        <patternFill>
          <bgColor rgb="FFFFC000"/>
        </patternFill>
      </fill>
    </dxf>
    <dxf>
      <fill>
        <patternFill>
          <bgColor rgb="FF00B0F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ill>
        <patternFill>
          <bgColor theme="9" tint="0.59996337778862885"/>
        </patternFill>
      </fill>
    </dxf>
    <dxf>
      <font>
        <color rgb="FFFF0000"/>
      </font>
    </dxf>
    <dxf>
      <font>
        <color rgb="FFFF0000"/>
      </font>
    </dxf>
    <dxf>
      <fill>
        <patternFill>
          <bgColor theme="9" tint="0.59996337778862885"/>
        </patternFill>
      </fill>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color rgb="FFFF0000"/>
      </font>
    </dxf>
    <dxf>
      <font>
        <color rgb="FFFF0000"/>
      </font>
    </dxf>
    <dxf>
      <font>
        <color rgb="FFFF0000"/>
      </font>
    </dxf>
    <dxf>
      <font>
        <color rgb="FFFF0000"/>
      </font>
    </dxf>
    <dxf>
      <fill>
        <patternFill>
          <bgColor theme="9" tint="0.59996337778862885"/>
        </patternFill>
      </fill>
    </dxf>
    <dxf>
      <font>
        <color rgb="FFFF0000"/>
      </font>
    </dxf>
    <dxf>
      <font>
        <color rgb="FFFF0000"/>
      </font>
    </dxf>
    <dxf>
      <fill>
        <patternFill>
          <bgColor theme="9" tint="0.59996337778862885"/>
        </patternFill>
      </fill>
    </dxf>
    <dxf>
      <fill>
        <patternFill>
          <bgColor theme="0"/>
        </patternFill>
      </fill>
    </dxf>
    <dxf>
      <fill>
        <patternFill>
          <bgColor rgb="FFFFC000"/>
        </patternFill>
      </fill>
    </dxf>
    <dxf>
      <fill>
        <patternFill>
          <bgColor rgb="FF00B0F0"/>
        </patternFill>
      </fill>
    </dxf>
    <dxf>
      <fill>
        <patternFill>
          <bgColor theme="9" tint="0.59996337778862885"/>
        </patternFill>
      </fill>
    </dxf>
    <dxf>
      <fill>
        <patternFill>
          <bgColor theme="9" tint="0.59996337778862885"/>
        </patternFill>
      </fill>
    </dxf>
    <dxf>
      <font>
        <color rgb="FFFF0000"/>
      </font>
    </dxf>
    <dxf>
      <font>
        <color rgb="FFFF0000"/>
      </font>
    </dxf>
    <dxf>
      <fill>
        <patternFill>
          <bgColor theme="9" tint="0.59996337778862885"/>
        </patternFill>
      </fill>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color rgb="FFFF0000"/>
      </font>
    </dxf>
    <dxf>
      <font>
        <color rgb="FFFF0000"/>
      </font>
    </dxf>
    <dxf>
      <font>
        <color rgb="FFFF0000"/>
      </font>
    </dxf>
    <dxf>
      <font>
        <color rgb="FFFF0000"/>
      </font>
    </dxf>
    <dxf>
      <fill>
        <patternFill>
          <bgColor theme="9" tint="0.59996337778862885"/>
        </patternFill>
      </fill>
    </dxf>
    <dxf>
      <font>
        <color rgb="FFFF0000"/>
      </font>
    </dxf>
    <dxf>
      <font>
        <color rgb="FFFF0000"/>
      </font>
    </dxf>
    <dxf>
      <fill>
        <patternFill>
          <bgColor theme="9" tint="0.59996337778862885"/>
        </patternFill>
      </fill>
    </dxf>
    <dxf>
      <fill>
        <patternFill>
          <bgColor theme="0"/>
        </patternFill>
      </fill>
    </dxf>
    <dxf>
      <fill>
        <patternFill>
          <bgColor rgb="FFFFC000"/>
        </patternFill>
      </fill>
    </dxf>
    <dxf>
      <fill>
        <patternFill>
          <bgColor rgb="FF00B0F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ill>
        <patternFill>
          <bgColor theme="9" tint="0.59996337778862885"/>
        </patternFill>
      </fill>
    </dxf>
    <dxf>
      <font>
        <color rgb="FFFF0000"/>
      </font>
    </dxf>
    <dxf>
      <font>
        <color rgb="FFFF0000"/>
      </font>
    </dxf>
    <dxf>
      <fill>
        <patternFill>
          <bgColor theme="9" tint="0.59996337778862885"/>
        </patternFill>
      </fill>
    </dxf>
    <dxf>
      <fill>
        <patternFill>
          <bgColor theme="9" tint="0.59996337778862885"/>
        </patternFill>
      </fill>
    </dxf>
    <dxf>
      <fill>
        <patternFill>
          <bgColor theme="9" tint="0.59996337778862885"/>
        </patternFill>
      </fill>
    </dxf>
    <dxf>
      <font>
        <color rgb="FFFF0000"/>
      </font>
    </dxf>
    <dxf>
      <font>
        <color rgb="FFFF0000"/>
      </font>
    </dxf>
    <dxf>
      <fill>
        <patternFill>
          <bgColor theme="9" tint="0.59996337778862885"/>
        </patternFill>
      </fill>
    </dxf>
    <dxf>
      <font>
        <color rgb="FFFF0000"/>
      </font>
    </dxf>
    <dxf>
      <font>
        <color rgb="FFFF0000"/>
      </font>
    </dxf>
    <dxf>
      <font>
        <color rgb="FFFF0000"/>
      </font>
    </dxf>
    <dxf>
      <font>
        <color rgb="FFFF0000"/>
      </font>
    </dxf>
    <dxf>
      <fill>
        <patternFill>
          <bgColor theme="9" tint="0.59996337778862885"/>
        </patternFill>
      </fill>
    </dxf>
    <dxf>
      <font>
        <color rgb="FFFF0000"/>
      </font>
    </dxf>
    <dxf>
      <fill>
        <patternFill>
          <bgColor theme="9" tint="0.59996337778862885"/>
        </patternFill>
      </fill>
    </dxf>
    <dxf>
      <fill>
        <patternFill>
          <bgColor theme="0"/>
        </patternFill>
      </fill>
    </dxf>
    <dxf>
      <fill>
        <patternFill>
          <bgColor rgb="FFFFC000"/>
        </patternFill>
      </fill>
    </dxf>
    <dxf>
      <fill>
        <patternFill>
          <bgColor rgb="FF00B0F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ill>
        <patternFill>
          <bgColor theme="9" tint="0.59996337778862885"/>
        </patternFill>
      </fill>
    </dxf>
    <dxf>
      <font>
        <color rgb="FFFF0000"/>
      </font>
    </dxf>
    <dxf>
      <font>
        <color rgb="FFFF0000"/>
      </font>
    </dxf>
    <dxf>
      <fill>
        <patternFill>
          <bgColor theme="9" tint="0.59996337778862885"/>
        </patternFill>
      </fill>
    </dxf>
    <dxf>
      <fill>
        <patternFill>
          <bgColor theme="9" tint="0.59996337778862885"/>
        </patternFill>
      </fill>
    </dxf>
    <dxf>
      <fill>
        <patternFill>
          <bgColor theme="9" tint="0.59996337778862885"/>
        </patternFill>
      </fill>
    </dxf>
    <dxf>
      <font>
        <color rgb="FFFF0000"/>
      </font>
    </dxf>
    <dxf>
      <font>
        <color rgb="FFFF0000"/>
      </font>
    </dxf>
    <dxf>
      <fill>
        <patternFill>
          <bgColor theme="9" tint="0.59996337778862885"/>
        </patternFill>
      </fill>
    </dxf>
    <dxf>
      <font>
        <color rgb="FFFF0000"/>
      </font>
    </dxf>
    <dxf>
      <font>
        <color rgb="FFFF0000"/>
      </font>
    </dxf>
    <dxf>
      <font>
        <color rgb="FFFF0000"/>
      </font>
    </dxf>
    <dxf>
      <font>
        <color rgb="FFFF0000"/>
      </font>
    </dxf>
    <dxf>
      <fill>
        <patternFill>
          <bgColor theme="9" tint="0.59996337778862885"/>
        </patternFill>
      </fill>
    </dxf>
    <dxf>
      <font>
        <color rgb="FFFF0000"/>
      </font>
    </dxf>
    <dxf>
      <fill>
        <patternFill>
          <bgColor theme="9" tint="0.59996337778862885"/>
        </patternFill>
      </fill>
    </dxf>
    <dxf>
      <fill>
        <patternFill>
          <bgColor theme="0"/>
        </patternFill>
      </fill>
    </dxf>
    <dxf>
      <fill>
        <patternFill>
          <bgColor rgb="FFFFC000"/>
        </patternFill>
      </fill>
    </dxf>
    <dxf>
      <fill>
        <patternFill>
          <bgColor rgb="FF00B0F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ill>
        <patternFill>
          <bgColor theme="9" tint="0.59996337778862885"/>
        </patternFill>
      </fill>
    </dxf>
    <dxf>
      <font>
        <color rgb="FFFF0000"/>
      </font>
    </dxf>
    <dxf>
      <font>
        <color rgb="FFFF0000"/>
      </font>
    </dxf>
    <dxf>
      <fill>
        <patternFill>
          <bgColor theme="9" tint="0.59996337778862885"/>
        </patternFill>
      </fill>
    </dxf>
    <dxf>
      <fill>
        <patternFill>
          <bgColor theme="9" tint="0.59996337778862885"/>
        </patternFill>
      </fill>
    </dxf>
    <dxf>
      <fill>
        <patternFill>
          <bgColor theme="9" tint="0.59996337778862885"/>
        </patternFill>
      </fill>
    </dxf>
    <dxf>
      <font>
        <color rgb="FFFF0000"/>
      </font>
    </dxf>
    <dxf>
      <font>
        <color rgb="FFFF0000"/>
      </font>
    </dxf>
    <dxf>
      <fill>
        <patternFill>
          <bgColor theme="9" tint="0.59996337778862885"/>
        </patternFill>
      </fill>
    </dxf>
    <dxf>
      <font>
        <color rgb="FFFF0000"/>
      </font>
    </dxf>
    <dxf>
      <font>
        <color rgb="FFFF0000"/>
      </font>
    </dxf>
    <dxf>
      <font>
        <color rgb="FFFF0000"/>
      </font>
    </dxf>
    <dxf>
      <font>
        <color rgb="FFFF0000"/>
      </font>
    </dxf>
    <dxf>
      <fill>
        <patternFill>
          <bgColor theme="9" tint="0.59996337778862885"/>
        </patternFill>
      </fill>
    </dxf>
    <dxf>
      <font>
        <color rgb="FFFF0000"/>
      </font>
    </dxf>
    <dxf>
      <fill>
        <patternFill>
          <bgColor theme="9" tint="0.59996337778862885"/>
        </patternFill>
      </fill>
    </dxf>
    <dxf>
      <fill>
        <patternFill>
          <bgColor theme="0"/>
        </patternFill>
      </fill>
    </dxf>
    <dxf>
      <fill>
        <patternFill>
          <bgColor rgb="FFFFC000"/>
        </patternFill>
      </fill>
    </dxf>
    <dxf>
      <fill>
        <patternFill>
          <bgColor rgb="FF00B0F0"/>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ill>
        <patternFill>
          <bgColor theme="9" tint="0.59996337778862885"/>
        </patternFill>
      </fill>
    </dxf>
    <dxf>
      <font>
        <color rgb="FFFF0000"/>
      </font>
    </dxf>
    <dxf>
      <font>
        <color rgb="FFFF0000"/>
      </font>
    </dxf>
    <dxf>
      <fill>
        <patternFill>
          <bgColor theme="9" tint="0.59996337778862885"/>
        </patternFill>
      </fill>
    </dxf>
    <dxf>
      <fill>
        <patternFill>
          <bgColor theme="9" tint="0.59996337778862885"/>
        </patternFill>
      </fill>
    </dxf>
    <dxf>
      <fill>
        <patternFill>
          <bgColor theme="9" tint="0.59996337778862885"/>
        </patternFill>
      </fill>
    </dxf>
    <dxf>
      <font>
        <color rgb="FFFF0000"/>
      </font>
    </dxf>
    <dxf>
      <font>
        <color rgb="FFFF0000"/>
      </font>
    </dxf>
    <dxf>
      <font>
        <color rgb="FFFF0000"/>
      </font>
    </dxf>
    <dxf>
      <font>
        <color rgb="FFFF0000"/>
      </font>
    </dxf>
    <dxf>
      <font>
        <color rgb="FFFF0000"/>
      </font>
    </dxf>
    <dxf>
      <fill>
        <patternFill>
          <bgColor theme="9" tint="0.59996337778862885"/>
        </patternFill>
      </fill>
    </dxf>
    <dxf>
      <font>
        <color rgb="FFFF0000"/>
      </font>
    </dxf>
    <dxf>
      <font>
        <color rgb="FFFF0000"/>
      </font>
    </dxf>
    <dxf>
      <fill>
        <patternFill>
          <bgColor theme="9" tint="0.59996337778862885"/>
        </patternFill>
      </fill>
    </dxf>
    <dxf>
      <fill>
        <patternFill>
          <bgColor theme="0"/>
        </patternFill>
      </fill>
    </dxf>
    <dxf>
      <fill>
        <patternFill>
          <bgColor rgb="FFFFC000"/>
        </patternFill>
      </fill>
    </dxf>
    <dxf>
      <fill>
        <patternFill>
          <bgColor rgb="FF00B0F0"/>
        </patternFill>
      </fill>
    </dxf>
    <dxf>
      <fill>
        <patternFill>
          <bgColor theme="9" tint="0.59996337778862885"/>
        </patternFill>
      </fill>
    </dxf>
    <dxf>
      <fill>
        <patternFill>
          <bgColor theme="9" tint="0.59996337778862885"/>
        </patternFill>
      </fill>
    </dxf>
    <dxf>
      <font>
        <color rgb="FFFF0000"/>
      </font>
    </dxf>
    <dxf>
      <font>
        <color rgb="FFFF0000"/>
      </font>
    </dxf>
    <dxf>
      <fill>
        <patternFill>
          <bgColor theme="9" tint="0.59996337778862885"/>
        </patternFill>
      </fill>
    </dxf>
    <dxf>
      <fill>
        <patternFill>
          <bgColor theme="9" tint="0.59996337778862885"/>
        </patternFill>
      </fill>
    </dxf>
    <dxf>
      <fill>
        <patternFill>
          <bgColor theme="9" tint="0.59996337778862885"/>
        </patternFill>
      </fill>
    </dxf>
    <dxf>
      <font>
        <color rgb="FFFF0000"/>
      </font>
    </dxf>
    <dxf>
      <font>
        <color rgb="FFFF0000"/>
      </font>
    </dxf>
    <dxf>
      <font>
        <color rgb="FFFF0000"/>
      </font>
    </dxf>
    <dxf>
      <font>
        <color rgb="FFFF0000"/>
      </font>
    </dxf>
    <dxf>
      <font>
        <color rgb="FFFF0000"/>
      </font>
    </dxf>
    <dxf>
      <fill>
        <patternFill>
          <bgColor theme="9" tint="0.59996337778862885"/>
        </patternFill>
      </fill>
    </dxf>
    <dxf>
      <font>
        <color rgb="FFFF0000"/>
      </font>
    </dxf>
    <dxf>
      <font>
        <color rgb="FFFF0000"/>
      </font>
    </dxf>
    <dxf>
      <fill>
        <patternFill>
          <bgColor theme="9" tint="0.59996337778862885"/>
        </patternFill>
      </fill>
    </dxf>
    <dxf>
      <fill>
        <patternFill>
          <bgColor theme="0"/>
        </patternFill>
      </fill>
    </dxf>
    <dxf>
      <fill>
        <patternFill>
          <bgColor rgb="FFFFC000"/>
        </patternFill>
      </fill>
    </dxf>
    <dxf>
      <fill>
        <patternFill>
          <bgColor rgb="FF00B0F0"/>
        </patternFill>
      </fill>
    </dxf>
    <dxf>
      <fill>
        <patternFill>
          <bgColor theme="5" tint="0.79998168889431442"/>
        </patternFill>
      </fill>
    </dxf>
    <dxf>
      <fill>
        <patternFill>
          <bgColor theme="6" tint="0.79998168889431442"/>
        </patternFill>
      </fill>
    </dxf>
    <dxf>
      <fill>
        <patternFill>
          <bgColor theme="7" tint="0.79998168889431442"/>
        </patternFill>
      </fill>
    </dxf>
    <dxf>
      <fill>
        <patternFill>
          <bgColor theme="5" tint="0.79998168889431442"/>
        </patternFill>
      </fill>
    </dxf>
    <dxf>
      <fill>
        <patternFill>
          <bgColor theme="6" tint="0.79998168889431442"/>
        </patternFill>
      </fill>
    </dxf>
    <dxf>
      <fill>
        <patternFill>
          <bgColor theme="7" tint="0.79998168889431442"/>
        </patternFill>
      </fill>
    </dxf>
    <dxf>
      <fill>
        <patternFill>
          <bgColor theme="5" tint="0.79998168889431442"/>
        </patternFill>
      </fill>
    </dxf>
    <dxf>
      <fill>
        <patternFill>
          <bgColor theme="6" tint="0.79998168889431442"/>
        </patternFill>
      </fill>
    </dxf>
    <dxf>
      <fill>
        <patternFill>
          <bgColor theme="7" tint="0.79998168889431442"/>
        </patternFill>
      </fill>
    </dxf>
    <dxf>
      <fill>
        <patternFill>
          <bgColor theme="5" tint="0.79998168889431442"/>
        </patternFill>
      </fill>
    </dxf>
    <dxf>
      <fill>
        <patternFill>
          <bgColor theme="6" tint="0.79998168889431442"/>
        </patternFill>
      </fill>
    </dxf>
    <dxf>
      <fill>
        <patternFill>
          <bgColor theme="7" tint="0.79998168889431442"/>
        </patternFill>
      </fill>
    </dxf>
    <dxf>
      <fill>
        <patternFill>
          <bgColor theme="5" tint="0.79998168889431442"/>
        </patternFill>
      </fill>
    </dxf>
    <dxf>
      <fill>
        <patternFill>
          <bgColor theme="6" tint="0.79998168889431442"/>
        </patternFill>
      </fill>
    </dxf>
    <dxf>
      <fill>
        <patternFill>
          <bgColor theme="7" tint="0.79998168889431442"/>
        </patternFill>
      </fill>
    </dxf>
    <dxf>
      <font>
        <color theme="9"/>
      </font>
    </dxf>
    <dxf>
      <font>
        <color rgb="FFFF0000"/>
      </font>
    </dxf>
    <dxf>
      <font>
        <color rgb="FF00B050"/>
      </font>
    </dxf>
    <dxf>
      <font>
        <color theme="9"/>
      </font>
    </dxf>
    <dxf>
      <font>
        <color rgb="FFFF0000"/>
      </font>
    </dxf>
    <dxf>
      <font>
        <color rgb="FF00B050"/>
      </font>
    </dxf>
    <dxf>
      <font>
        <color theme="9"/>
      </font>
    </dxf>
    <dxf>
      <font>
        <color rgb="FFFF0000"/>
      </font>
    </dxf>
    <dxf>
      <font>
        <color rgb="FF00B050"/>
      </font>
    </dxf>
    <dxf>
      <font>
        <color theme="9"/>
      </font>
    </dxf>
    <dxf>
      <font>
        <color rgb="FFFF0000"/>
      </font>
    </dxf>
    <dxf>
      <font>
        <color rgb="FF00B050"/>
      </font>
    </dxf>
    <dxf>
      <font>
        <color rgb="FFFF0000"/>
      </font>
    </dxf>
    <dxf>
      <font>
        <color theme="9"/>
      </font>
    </dxf>
    <dxf>
      <font>
        <color rgb="FF00B050"/>
      </font>
    </dxf>
    <dxf>
      <font>
        <color theme="9"/>
      </font>
    </dxf>
    <dxf>
      <font>
        <color rgb="FFFF0000"/>
      </font>
    </dxf>
    <dxf>
      <font>
        <color rgb="FF00B050"/>
      </font>
    </dxf>
    <dxf>
      <font>
        <color theme="9"/>
      </font>
    </dxf>
    <dxf>
      <font>
        <color rgb="FFFF0000"/>
      </font>
    </dxf>
    <dxf>
      <font>
        <color rgb="FF00B050"/>
      </font>
    </dxf>
    <dxf>
      <font>
        <color theme="9"/>
      </font>
    </dxf>
    <dxf>
      <font>
        <color rgb="FFFF0000"/>
      </font>
    </dxf>
    <dxf>
      <font>
        <color rgb="FF00B050"/>
      </font>
    </dxf>
    <dxf>
      <font>
        <color theme="9"/>
      </font>
    </dxf>
    <dxf>
      <font>
        <color rgb="FFFF0000"/>
      </font>
    </dxf>
    <dxf>
      <font>
        <color rgb="FF00B050"/>
      </font>
    </dxf>
    <dxf>
      <font>
        <color theme="9"/>
      </font>
    </dxf>
    <dxf>
      <font>
        <color rgb="FFFF0000"/>
      </font>
    </dxf>
    <dxf>
      <font>
        <color rgb="FF00B050"/>
      </font>
    </dxf>
    <dxf>
      <font>
        <color theme="9"/>
      </font>
    </dxf>
    <dxf>
      <font>
        <color rgb="FFFF0000"/>
      </font>
    </dxf>
    <dxf>
      <font>
        <color rgb="FF00B050"/>
      </font>
    </dxf>
    <dxf>
      <font>
        <color theme="9"/>
      </font>
    </dxf>
    <dxf>
      <font>
        <color rgb="FFFF0000"/>
      </font>
    </dxf>
    <dxf>
      <font>
        <color rgb="FF00B050"/>
      </font>
    </dxf>
    <dxf>
      <font>
        <color theme="9"/>
      </font>
    </dxf>
    <dxf>
      <font>
        <color rgb="FFFF0000"/>
      </font>
    </dxf>
    <dxf>
      <font>
        <color rgb="FF00B050"/>
      </font>
    </dxf>
    <dxf>
      <font>
        <color theme="9"/>
      </font>
    </dxf>
    <dxf>
      <font>
        <color rgb="FFFF0000"/>
      </font>
    </dxf>
    <dxf>
      <font>
        <color rgb="FF00B050"/>
      </font>
    </dxf>
    <dxf>
      <font>
        <color theme="9"/>
      </font>
    </dxf>
    <dxf>
      <font>
        <color rgb="FFFF0000"/>
      </font>
    </dxf>
    <dxf>
      <font>
        <color rgb="FF00B050"/>
      </font>
    </dxf>
    <dxf>
      <font>
        <color theme="9"/>
      </font>
    </dxf>
    <dxf>
      <font>
        <color rgb="FFFF0000"/>
      </font>
    </dxf>
    <dxf>
      <font>
        <color rgb="FF00B050"/>
      </font>
    </dxf>
    <dxf>
      <font>
        <color theme="9"/>
      </font>
    </dxf>
    <dxf>
      <font>
        <color rgb="FFFF0000"/>
      </font>
    </dxf>
    <dxf>
      <font>
        <color rgb="FF00B050"/>
      </font>
    </dxf>
    <dxf>
      <font>
        <color theme="9"/>
      </font>
    </dxf>
    <dxf>
      <font>
        <color rgb="FFFF0000"/>
      </font>
    </dxf>
    <dxf>
      <font>
        <color rgb="FF00B050"/>
      </font>
    </dxf>
    <dxf>
      <font>
        <color theme="9"/>
      </font>
    </dxf>
    <dxf>
      <font>
        <color rgb="FFFF0000"/>
      </font>
    </dxf>
    <dxf>
      <font>
        <color rgb="FF00B050"/>
      </font>
    </dxf>
    <dxf>
      <font>
        <color theme="9"/>
      </font>
    </dxf>
    <dxf>
      <font>
        <color rgb="FFFF0000"/>
      </font>
    </dxf>
    <dxf>
      <font>
        <color rgb="FF00B050"/>
      </font>
    </dxf>
    <dxf>
      <numFmt numFmtId="164" formatCode="_(* #,##0_);_(* \(#,##0\);_(* &quot;-&quot;_);_(@_)"/>
    </dxf>
    <dxf>
      <font>
        <b/>
        <i val="0"/>
        <color rgb="FF4E2170"/>
      </font>
    </dxf>
    <dxf>
      <font>
        <b/>
        <i val="0"/>
        <color rgb="FF007A37"/>
      </font>
    </dxf>
    <dxf>
      <font>
        <b/>
        <i val="0"/>
        <color rgb="FF007A37"/>
      </font>
    </dxf>
    <dxf>
      <font>
        <b/>
        <i val="0"/>
        <color rgb="FFB35F00"/>
      </font>
    </dxf>
    <dxf>
      <font>
        <b/>
        <i val="0"/>
        <color rgb="FF004E86"/>
      </font>
    </dxf>
    <dxf>
      <font>
        <b/>
        <i val="0"/>
        <color rgb="FF262626"/>
      </font>
    </dxf>
    <dxf>
      <font>
        <b/>
        <i val="0"/>
        <color rgb="FF004E86"/>
      </font>
    </dxf>
    <dxf>
      <font>
        <b/>
        <i val="0"/>
        <color rgb="FFB35F00"/>
      </font>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39994506668294322"/>
        </patternFill>
      </fill>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ont>
        <color rgb="FFFF0000"/>
      </font>
    </dxf>
    <dxf>
      <fill>
        <patternFill>
          <bgColor theme="9" tint="0.59996337778862885"/>
        </patternFill>
      </fill>
    </dxf>
    <dxf>
      <fill>
        <patternFill>
          <bgColor theme="9" tint="0.59996337778862885"/>
        </patternFill>
      </fill>
    </dxf>
    <dxf>
      <font>
        <color rgb="FFFF0000"/>
      </font>
    </dxf>
    <dxf>
      <font>
        <color rgb="FFFF0000"/>
      </font>
    </dxf>
    <dxf>
      <fill>
        <patternFill>
          <bgColor theme="9" tint="0.59996337778862885"/>
        </patternFill>
      </fill>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color rgb="FFFF0000"/>
      </font>
    </dxf>
    <dxf>
      <font>
        <color rgb="FFFF0000"/>
      </font>
    </dxf>
    <dxf>
      <font>
        <color rgb="FFFF0000"/>
      </font>
    </dxf>
    <dxf>
      <font>
        <color rgb="FFFF0000"/>
      </font>
    </dxf>
    <dxf>
      <fill>
        <patternFill>
          <bgColor theme="9" tint="0.59996337778862885"/>
        </patternFill>
      </fill>
    </dxf>
    <dxf>
      <font>
        <color rgb="FFFF0000"/>
      </font>
    </dxf>
    <dxf>
      <font>
        <color rgb="FFFF0000"/>
      </font>
    </dxf>
    <dxf>
      <fill>
        <patternFill>
          <bgColor theme="9" tint="0.59996337778862885"/>
        </patternFill>
      </fill>
    </dxf>
    <dxf>
      <fill>
        <patternFill>
          <bgColor theme="0"/>
        </patternFill>
      </fill>
    </dxf>
    <dxf>
      <fill>
        <patternFill>
          <bgColor rgb="FFFFC000"/>
        </patternFill>
      </fill>
    </dxf>
    <dxf>
      <fill>
        <patternFill>
          <bgColor rgb="FF00B0F0"/>
        </patternFill>
      </fill>
    </dxf>
    <dxf>
      <font>
        <color rgb="FFFF0000"/>
      </font>
      <fill>
        <patternFill>
          <bgColor rgb="FFFFFF00"/>
        </patternFill>
      </fill>
    </dxf>
    <dxf>
      <font>
        <color rgb="FFFF0000"/>
      </font>
      <fill>
        <patternFill>
          <bgColor rgb="FFFFFF00"/>
        </patternFill>
      </fill>
    </dxf>
    <dxf>
      <fill>
        <patternFill>
          <bgColor theme="9" tint="0.59996337778862885"/>
        </patternFill>
      </fill>
    </dxf>
    <dxf>
      <fill>
        <patternFill>
          <bgColor theme="9" tint="0.59996337778862885"/>
        </patternFill>
      </fill>
    </dxf>
    <dxf>
      <font>
        <color rgb="FFFF0000"/>
      </font>
    </dxf>
    <dxf>
      <fill>
        <patternFill>
          <bgColor theme="9" tint="0.59996337778862885"/>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417"/>
      <tableStyleElement type="headerRow" dxfId="416"/>
    </tableStyle>
  </tableStyles>
  <colors>
    <mruColors>
      <color rgb="FF99D8FF"/>
      <color rgb="FF00FF99"/>
      <color rgb="FF00CC00"/>
      <color rgb="FF66FF66"/>
      <color rgb="FF33CCCC"/>
      <color rgb="FFFF9900"/>
      <color rgb="FFFF33CC"/>
      <color rgb="FF000099"/>
      <color rgb="FF003366"/>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DFD181E0-5E2F-11CE-A449-00AA004A803D}" ax:persistence="persistStreamInit" r:id="rId1"/>
</file>

<file path=xl/activeX/activeX2.xml><?xml version="1.0" encoding="utf-8"?>
<ax:ocx xmlns:ax="http://schemas.microsoft.com/office/2006/activeX" xmlns:r="http://schemas.openxmlformats.org/officeDocument/2006/relationships" ax:classid="{8BD21D50-EC42-11CE-9E0D-00AA006002F3}" ax:persistence="persistStreamInit" r:id="rId1"/>
</file>

<file path=xl/activeX/activeX3.xml><?xml version="1.0" encoding="utf-8"?>
<ax:ocx xmlns:ax="http://schemas.microsoft.com/office/2006/activeX" xmlns:r="http://schemas.openxmlformats.org/officeDocument/2006/relationships" ax:classid="{8BD21D50-EC42-11CE-9E0D-00AA006002F3}" ax:persistence="persistStreamInit" r:id="rId1"/>
</file>

<file path=xl/activeX/activeX4.xml><?xml version="1.0" encoding="utf-8"?>
<ax:ocx xmlns:ax="http://schemas.microsoft.com/office/2006/activeX" xmlns:r="http://schemas.openxmlformats.org/officeDocument/2006/relationships" ax:classid="{8BD21D50-EC42-11CE-9E0D-00AA006002F3}" ax:persistence="persistStreamInit" r:id="rId1"/>
</file>

<file path=xl/activeX/activeX5.xml><?xml version="1.0" encoding="utf-8"?>
<ax:ocx xmlns:ax="http://schemas.microsoft.com/office/2006/activeX" xmlns:r="http://schemas.openxmlformats.org/officeDocument/2006/relationships" ax:classid="{8BD21D50-EC42-11CE-9E0D-00AA006002F3}" ax:persistence="persistStreamInit" r:id="rId1"/>
</file>

<file path=xl/activeX/activeX6.xml><?xml version="1.0" encoding="utf-8"?>
<ax:ocx xmlns:ax="http://schemas.microsoft.com/office/2006/activeX" xmlns:r="http://schemas.openxmlformats.org/officeDocument/2006/relationships" ax:classid="{8BD21D50-EC42-11CE-9E0D-00AA006002F3}"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8BD21D30-EC42-11CE-9E0D-00AA006002F3}"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solidFill>
                  <a:schemeClr val="bg1"/>
                </a:solidFill>
              </a:defRPr>
            </a:pPr>
            <a:r>
              <a:rPr lang="en-US" sz="1400">
                <a:solidFill>
                  <a:schemeClr val="bg1"/>
                </a:solidFill>
              </a:rPr>
              <a:t>Stock</a:t>
            </a:r>
            <a:r>
              <a:rPr lang="en-US" sz="1400" baseline="0">
                <a:solidFill>
                  <a:schemeClr val="bg1"/>
                </a:solidFill>
              </a:rPr>
              <a:t> Portion</a:t>
            </a:r>
            <a:endParaRPr lang="en-US" sz="1400">
              <a:solidFill>
                <a:schemeClr val="bg1"/>
              </a:solidFill>
            </a:endParaRPr>
          </a:p>
        </c:rich>
      </c:tx>
      <c:layout>
        <c:manualLayout>
          <c:xMode val="edge"/>
          <c:yMode val="edge"/>
          <c:x val="2.1080531328011836E-3"/>
          <c:y val="2.7108486439195081E-2"/>
        </c:manualLayout>
      </c:layout>
      <c:overlay val="1"/>
      <c:spPr>
        <a:noFill/>
      </c:spPr>
    </c:title>
    <c:autoTitleDeleted val="0"/>
    <c:plotArea>
      <c:layout>
        <c:manualLayout>
          <c:layoutTarget val="inner"/>
          <c:xMode val="edge"/>
          <c:yMode val="edge"/>
          <c:x val="0"/>
          <c:y val="5.5555677068410039E-2"/>
          <c:w val="1"/>
          <c:h val="0.92925165520487774"/>
        </c:manualLayout>
      </c:layout>
      <c:barChart>
        <c:barDir val="bar"/>
        <c:grouping val="stacked"/>
        <c:varyColors val="0"/>
        <c:ser>
          <c:idx val="1"/>
          <c:order val="0"/>
          <c:tx>
            <c:v>LS      67%</c:v>
          </c:tx>
          <c:invertIfNegative val="0"/>
          <c:dPt>
            <c:idx val="0"/>
            <c:invertIfNegative val="0"/>
            <c:bubble3D val="0"/>
            <c:spPr>
              <a:solidFill>
                <a:schemeClr val="accent6">
                  <a:lumMod val="75000"/>
                </a:schemeClr>
              </a:solidFill>
            </c:spPr>
            <c:extLst>
              <c:ext xmlns:c16="http://schemas.microsoft.com/office/drawing/2014/chart" uri="{C3380CC4-5D6E-409C-BE32-E72D297353CC}">
                <c16:uniqueId val="{00000001-C90C-4EE0-B3AA-BB602CE64DEC}"/>
              </c:ext>
            </c:extLst>
          </c:dPt>
          <c:val>
            <c:numLit>
              <c:formatCode>General</c:formatCode>
              <c:ptCount val="1"/>
              <c:pt idx="0">
                <c:v>10</c:v>
              </c:pt>
            </c:numLit>
          </c:val>
          <c:extLst>
            <c:ext xmlns:c16="http://schemas.microsoft.com/office/drawing/2014/chart" uri="{C3380CC4-5D6E-409C-BE32-E72D297353CC}">
              <c16:uniqueId val="{00000002-C90C-4EE0-B3AA-BB602CE64DEC}"/>
            </c:ext>
          </c:extLst>
        </c:ser>
        <c:ser>
          <c:idx val="0"/>
          <c:order val="1"/>
          <c:tx>
            <c:v>HS      33%</c:v>
          </c:tx>
          <c:invertIfNegative val="0"/>
          <c:dPt>
            <c:idx val="0"/>
            <c:invertIfNegative val="0"/>
            <c:bubble3D val="0"/>
            <c:spPr>
              <a:solidFill>
                <a:schemeClr val="accent5">
                  <a:lumMod val="60000"/>
                  <a:lumOff val="40000"/>
                </a:schemeClr>
              </a:solidFill>
            </c:spPr>
            <c:extLst>
              <c:ext xmlns:c16="http://schemas.microsoft.com/office/drawing/2014/chart" uri="{C3380CC4-5D6E-409C-BE32-E72D297353CC}">
                <c16:uniqueId val="{00000004-C90C-4EE0-B3AA-BB602CE64DEC}"/>
              </c:ext>
            </c:extLst>
          </c:dPt>
          <c:val>
            <c:numLit>
              <c:formatCode>General</c:formatCode>
              <c:ptCount val="1"/>
              <c:pt idx="0">
                <c:v>5</c:v>
              </c:pt>
            </c:numLit>
          </c:val>
          <c:extLst>
            <c:ext xmlns:c16="http://schemas.microsoft.com/office/drawing/2014/chart" uri="{C3380CC4-5D6E-409C-BE32-E72D297353CC}">
              <c16:uniqueId val="{00000005-C90C-4EE0-B3AA-BB602CE64DEC}"/>
            </c:ext>
          </c:extLst>
        </c:ser>
        <c:dLbls>
          <c:showLegendKey val="0"/>
          <c:showVal val="0"/>
          <c:showCatName val="0"/>
          <c:showSerName val="0"/>
          <c:showPercent val="0"/>
          <c:showBubbleSize val="0"/>
        </c:dLbls>
        <c:gapWidth val="0"/>
        <c:overlap val="100"/>
        <c:axId val="1451926704"/>
        <c:axId val="1451929968"/>
      </c:barChart>
      <c:catAx>
        <c:axId val="1451926704"/>
        <c:scaling>
          <c:orientation val="minMax"/>
        </c:scaling>
        <c:delete val="1"/>
        <c:axPos val="l"/>
        <c:majorTickMark val="out"/>
        <c:minorTickMark val="none"/>
        <c:tickLblPos val="nextTo"/>
        <c:crossAx val="1451929968"/>
        <c:crosses val="autoZero"/>
        <c:auto val="1"/>
        <c:lblAlgn val="ctr"/>
        <c:lblOffset val="100"/>
        <c:noMultiLvlLbl val="0"/>
      </c:catAx>
      <c:valAx>
        <c:axId val="1451929968"/>
        <c:scaling>
          <c:orientation val="minMax"/>
        </c:scaling>
        <c:delete val="1"/>
        <c:axPos val="b"/>
        <c:numFmt formatCode="General" sourceLinked="1"/>
        <c:majorTickMark val="out"/>
        <c:minorTickMark val="none"/>
        <c:tickLblPos val="nextTo"/>
        <c:crossAx val="1451926704"/>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solidFill>
                  <a:schemeClr val="bg1"/>
                </a:solidFill>
              </a:defRPr>
            </a:pPr>
            <a:r>
              <a:rPr lang="en-US" sz="1400">
                <a:solidFill>
                  <a:schemeClr val="bg1"/>
                </a:solidFill>
              </a:rPr>
              <a:t>Stock</a:t>
            </a:r>
            <a:r>
              <a:rPr lang="en-US" sz="1400" baseline="0">
                <a:solidFill>
                  <a:schemeClr val="bg1"/>
                </a:solidFill>
              </a:rPr>
              <a:t> Portion</a:t>
            </a:r>
            <a:endParaRPr lang="en-US" sz="1400">
              <a:solidFill>
                <a:schemeClr val="bg1"/>
              </a:solidFill>
            </a:endParaRPr>
          </a:p>
        </c:rich>
      </c:tx>
      <c:layout>
        <c:manualLayout>
          <c:xMode val="edge"/>
          <c:yMode val="edge"/>
          <c:x val="2.1080494549539489E-3"/>
          <c:y val="0"/>
        </c:manualLayout>
      </c:layout>
      <c:overlay val="1"/>
      <c:spPr>
        <a:solidFill>
          <a:schemeClr val="accent6">
            <a:lumMod val="75000"/>
          </a:schemeClr>
        </a:solidFill>
      </c:spPr>
    </c:title>
    <c:autoTitleDeleted val="0"/>
    <c:plotArea>
      <c:layout>
        <c:manualLayout>
          <c:layoutTarget val="inner"/>
          <c:xMode val="edge"/>
          <c:yMode val="edge"/>
          <c:x val="0"/>
          <c:y val="5.5555677068410039E-2"/>
          <c:w val="1"/>
          <c:h val="0.92925165520487774"/>
        </c:manualLayout>
      </c:layout>
      <c:barChart>
        <c:barDir val="bar"/>
        <c:grouping val="stacked"/>
        <c:varyColors val="0"/>
        <c:ser>
          <c:idx val="1"/>
          <c:order val="0"/>
          <c:tx>
            <c:v>LS      100%</c:v>
          </c:tx>
          <c:spPr>
            <a:solidFill>
              <a:schemeClr val="accent6">
                <a:lumMod val="75000"/>
              </a:schemeClr>
            </a:solidFill>
          </c:spPr>
          <c:invertIfNegative val="0"/>
          <c:val>
            <c:numLit>
              <c:formatCode>General</c:formatCode>
              <c:ptCount val="1"/>
              <c:pt idx="0">
                <c:v>2</c:v>
              </c:pt>
            </c:numLit>
          </c:val>
          <c:extLst>
            <c:ext xmlns:c16="http://schemas.microsoft.com/office/drawing/2014/chart" uri="{C3380CC4-5D6E-409C-BE32-E72D297353CC}">
              <c16:uniqueId val="{00000000-F52A-4506-8DE1-67A53AEB6CC1}"/>
            </c:ext>
          </c:extLst>
        </c:ser>
        <c:ser>
          <c:idx val="0"/>
          <c:order val="1"/>
          <c:tx>
            <c:v>HS      50%</c:v>
          </c:tx>
          <c:invertIfNegative val="0"/>
          <c:dPt>
            <c:idx val="0"/>
            <c:invertIfNegative val="0"/>
            <c:bubble3D val="0"/>
            <c:spPr>
              <a:solidFill>
                <a:schemeClr val="accent5">
                  <a:lumMod val="60000"/>
                  <a:lumOff val="40000"/>
                </a:schemeClr>
              </a:solidFill>
            </c:spPr>
            <c:extLst>
              <c:ext xmlns:c16="http://schemas.microsoft.com/office/drawing/2014/chart" uri="{C3380CC4-5D6E-409C-BE32-E72D297353CC}">
                <c16:uniqueId val="{00000002-F52A-4506-8DE1-67A53AEB6CC1}"/>
              </c:ext>
            </c:extLst>
          </c:dPt>
          <c:val>
            <c:numLit>
              <c:formatCode>General</c:formatCode>
              <c:ptCount val="1"/>
              <c:pt idx="0">
                <c:v>1</c:v>
              </c:pt>
            </c:numLit>
          </c:val>
          <c:extLst>
            <c:ext xmlns:c16="http://schemas.microsoft.com/office/drawing/2014/chart" uri="{C3380CC4-5D6E-409C-BE32-E72D297353CC}">
              <c16:uniqueId val="{00000003-F52A-4506-8DE1-67A53AEB6CC1}"/>
            </c:ext>
          </c:extLst>
        </c:ser>
        <c:dLbls>
          <c:showLegendKey val="0"/>
          <c:showVal val="0"/>
          <c:showCatName val="0"/>
          <c:showSerName val="0"/>
          <c:showPercent val="0"/>
          <c:showBubbleSize val="0"/>
        </c:dLbls>
        <c:gapWidth val="0"/>
        <c:overlap val="100"/>
        <c:axId val="1706598368"/>
        <c:axId val="1706607616"/>
      </c:barChart>
      <c:catAx>
        <c:axId val="1706598368"/>
        <c:scaling>
          <c:orientation val="minMax"/>
        </c:scaling>
        <c:delete val="1"/>
        <c:axPos val="l"/>
        <c:majorTickMark val="out"/>
        <c:minorTickMark val="none"/>
        <c:tickLblPos val="nextTo"/>
        <c:crossAx val="1706607616"/>
        <c:crosses val="autoZero"/>
        <c:auto val="1"/>
        <c:lblAlgn val="ctr"/>
        <c:lblOffset val="100"/>
        <c:noMultiLvlLbl val="0"/>
      </c:catAx>
      <c:valAx>
        <c:axId val="1706607616"/>
        <c:scaling>
          <c:orientation val="minMax"/>
        </c:scaling>
        <c:delete val="1"/>
        <c:axPos val="b"/>
        <c:numFmt formatCode="General" sourceLinked="1"/>
        <c:majorTickMark val="out"/>
        <c:minorTickMark val="none"/>
        <c:tickLblPos val="nextTo"/>
        <c:crossAx val="1706598368"/>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solidFill>
                  <a:schemeClr val="bg1"/>
                </a:solidFill>
              </a:defRPr>
            </a:pPr>
            <a:r>
              <a:rPr lang="en-US" sz="1400">
                <a:solidFill>
                  <a:schemeClr val="bg1"/>
                </a:solidFill>
              </a:rPr>
              <a:t>Stock</a:t>
            </a:r>
            <a:r>
              <a:rPr lang="en-US" sz="1400" baseline="0">
                <a:solidFill>
                  <a:schemeClr val="bg1"/>
                </a:solidFill>
              </a:rPr>
              <a:t> Portion</a:t>
            </a:r>
            <a:endParaRPr lang="en-US" sz="1400">
              <a:solidFill>
                <a:schemeClr val="bg1"/>
              </a:solidFill>
            </a:endParaRPr>
          </a:p>
        </c:rich>
      </c:tx>
      <c:layout>
        <c:manualLayout>
          <c:xMode val="edge"/>
          <c:yMode val="edge"/>
          <c:x val="2.1081290195228302E-3"/>
          <c:y val="0"/>
        </c:manualLayout>
      </c:layout>
      <c:overlay val="1"/>
      <c:spPr>
        <a:solidFill>
          <a:schemeClr val="accent6">
            <a:lumMod val="75000"/>
          </a:schemeClr>
        </a:solidFill>
      </c:spPr>
    </c:title>
    <c:autoTitleDeleted val="0"/>
    <c:plotArea>
      <c:layout>
        <c:manualLayout>
          <c:layoutTarget val="inner"/>
          <c:xMode val="edge"/>
          <c:yMode val="edge"/>
          <c:x val="0"/>
          <c:y val="5.5555677068410039E-2"/>
          <c:w val="1"/>
          <c:h val="0.92925165520487774"/>
        </c:manualLayout>
      </c:layout>
      <c:barChart>
        <c:barDir val="bar"/>
        <c:grouping val="stacked"/>
        <c:varyColors val="0"/>
        <c:ser>
          <c:idx val="1"/>
          <c:order val="0"/>
          <c:tx>
            <c:v>LS      50%</c:v>
          </c:tx>
          <c:spPr>
            <a:solidFill>
              <a:schemeClr val="accent6">
                <a:lumMod val="75000"/>
              </a:schemeClr>
            </a:solidFill>
          </c:spPr>
          <c:invertIfNegative val="0"/>
          <c:val>
            <c:numLit>
              <c:formatCode>General</c:formatCode>
              <c:ptCount val="1"/>
              <c:pt idx="0">
                <c:v>10</c:v>
              </c:pt>
            </c:numLit>
          </c:val>
          <c:extLst>
            <c:ext xmlns:c16="http://schemas.microsoft.com/office/drawing/2014/chart" uri="{C3380CC4-5D6E-409C-BE32-E72D297353CC}">
              <c16:uniqueId val="{00000000-5CAE-4B46-85AB-8341B6CD8735}"/>
            </c:ext>
          </c:extLst>
        </c:ser>
        <c:ser>
          <c:idx val="0"/>
          <c:order val="1"/>
          <c:tx>
            <c:v>HS      50%</c:v>
          </c:tx>
          <c:invertIfNegative val="0"/>
          <c:dPt>
            <c:idx val="0"/>
            <c:invertIfNegative val="0"/>
            <c:bubble3D val="0"/>
            <c:spPr>
              <a:solidFill>
                <a:schemeClr val="accent5">
                  <a:lumMod val="60000"/>
                  <a:lumOff val="40000"/>
                </a:schemeClr>
              </a:solidFill>
            </c:spPr>
            <c:extLst>
              <c:ext xmlns:c16="http://schemas.microsoft.com/office/drawing/2014/chart" uri="{C3380CC4-5D6E-409C-BE32-E72D297353CC}">
                <c16:uniqueId val="{00000002-5CAE-4B46-85AB-8341B6CD8735}"/>
              </c:ext>
            </c:extLst>
          </c:dPt>
          <c:val>
            <c:numLit>
              <c:formatCode>General</c:formatCode>
              <c:ptCount val="1"/>
              <c:pt idx="0">
                <c:v>10</c:v>
              </c:pt>
            </c:numLit>
          </c:val>
          <c:extLst>
            <c:ext xmlns:c16="http://schemas.microsoft.com/office/drawing/2014/chart" uri="{C3380CC4-5D6E-409C-BE32-E72D297353CC}">
              <c16:uniqueId val="{00000003-5CAE-4B46-85AB-8341B6CD8735}"/>
            </c:ext>
          </c:extLst>
        </c:ser>
        <c:dLbls>
          <c:showLegendKey val="0"/>
          <c:showVal val="0"/>
          <c:showCatName val="0"/>
          <c:showSerName val="0"/>
          <c:showPercent val="0"/>
          <c:showBubbleSize val="0"/>
        </c:dLbls>
        <c:gapWidth val="0"/>
        <c:overlap val="100"/>
        <c:axId val="1706603808"/>
        <c:axId val="1706601088"/>
      </c:barChart>
      <c:catAx>
        <c:axId val="1706603808"/>
        <c:scaling>
          <c:orientation val="minMax"/>
        </c:scaling>
        <c:delete val="1"/>
        <c:axPos val="l"/>
        <c:majorTickMark val="out"/>
        <c:minorTickMark val="none"/>
        <c:tickLblPos val="nextTo"/>
        <c:crossAx val="1706601088"/>
        <c:crosses val="autoZero"/>
        <c:auto val="1"/>
        <c:lblAlgn val="ctr"/>
        <c:lblOffset val="100"/>
        <c:noMultiLvlLbl val="0"/>
      </c:catAx>
      <c:valAx>
        <c:axId val="1706601088"/>
        <c:scaling>
          <c:orientation val="minMax"/>
        </c:scaling>
        <c:delete val="1"/>
        <c:axPos val="b"/>
        <c:numFmt formatCode="General" sourceLinked="1"/>
        <c:majorTickMark val="out"/>
        <c:minorTickMark val="none"/>
        <c:tickLblPos val="nextTo"/>
        <c:crossAx val="1706603808"/>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solidFill>
                  <a:schemeClr val="bg1"/>
                </a:solidFill>
              </a:defRPr>
            </a:pPr>
            <a:r>
              <a:rPr lang="en-US" sz="1100">
                <a:solidFill>
                  <a:schemeClr val="bg1"/>
                </a:solidFill>
              </a:rPr>
              <a:t>Stock</a:t>
            </a:r>
            <a:r>
              <a:rPr lang="en-US" sz="1100" baseline="0">
                <a:solidFill>
                  <a:schemeClr val="bg1"/>
                </a:solidFill>
              </a:rPr>
              <a:t> Portion</a:t>
            </a:r>
            <a:endParaRPr lang="en-US" sz="1100">
              <a:solidFill>
                <a:schemeClr val="bg1"/>
              </a:solidFill>
            </a:endParaRPr>
          </a:p>
        </c:rich>
      </c:tx>
      <c:layout>
        <c:manualLayout>
          <c:xMode val="edge"/>
          <c:yMode val="edge"/>
          <c:x val="0.19130383513258495"/>
          <c:y val="1.6936505386947298E-2"/>
        </c:manualLayout>
      </c:layout>
      <c:overlay val="1"/>
      <c:spPr>
        <a:noFill/>
      </c:spPr>
    </c:title>
    <c:autoTitleDeleted val="0"/>
    <c:plotArea>
      <c:layout>
        <c:manualLayout>
          <c:layoutTarget val="inner"/>
          <c:xMode val="edge"/>
          <c:yMode val="edge"/>
          <c:x val="0"/>
          <c:y val="5.5555677068410039E-2"/>
          <c:w val="1"/>
          <c:h val="0.92925165520487774"/>
        </c:manualLayout>
      </c:layout>
      <c:barChart>
        <c:barDir val="bar"/>
        <c:grouping val="stacked"/>
        <c:varyColors val="0"/>
        <c:ser>
          <c:idx val="1"/>
          <c:order val="0"/>
          <c:tx>
            <c:v>HCV-LS</c:v>
          </c:tx>
          <c:invertIfNegative val="0"/>
          <c:dPt>
            <c:idx val="0"/>
            <c:invertIfNegative val="0"/>
            <c:bubble3D val="0"/>
            <c:spPr>
              <a:solidFill>
                <a:schemeClr val="accent6">
                  <a:lumMod val="75000"/>
                </a:schemeClr>
              </a:solidFill>
            </c:spPr>
            <c:extLst>
              <c:ext xmlns:c16="http://schemas.microsoft.com/office/drawing/2014/chart" uri="{C3380CC4-5D6E-409C-BE32-E72D297353CC}">
                <c16:uniqueId val="{00000001-658E-4D86-9B56-6BD22DF45837}"/>
              </c:ext>
            </c:extLst>
          </c:dPt>
          <c:val>
            <c:numLit>
              <c:formatCode>General</c:formatCode>
              <c:ptCount val="1"/>
              <c:pt idx="0">
                <c:v>200</c:v>
              </c:pt>
            </c:numLit>
          </c:val>
          <c:extLst>
            <c:ext xmlns:c16="http://schemas.microsoft.com/office/drawing/2014/chart" uri="{C3380CC4-5D6E-409C-BE32-E72D297353CC}">
              <c16:uniqueId val="{00000002-658E-4D86-9B56-6BD22DF45837}"/>
            </c:ext>
          </c:extLst>
        </c:ser>
        <c:ser>
          <c:idx val="0"/>
          <c:order val="1"/>
          <c:tx>
            <c:v>HCV-HS</c:v>
          </c:tx>
          <c:invertIfNegative val="0"/>
          <c:dPt>
            <c:idx val="0"/>
            <c:invertIfNegative val="0"/>
            <c:bubble3D val="0"/>
            <c:spPr>
              <a:solidFill>
                <a:schemeClr val="accent5">
                  <a:lumMod val="60000"/>
                  <a:lumOff val="40000"/>
                </a:schemeClr>
              </a:solidFill>
            </c:spPr>
            <c:extLst>
              <c:ext xmlns:c16="http://schemas.microsoft.com/office/drawing/2014/chart" uri="{C3380CC4-5D6E-409C-BE32-E72D297353CC}">
                <c16:uniqueId val="{00000004-658E-4D86-9B56-6BD22DF45837}"/>
              </c:ext>
            </c:extLst>
          </c:dPt>
          <c:val>
            <c:numLit>
              <c:formatCode>General</c:formatCode>
              <c:ptCount val="1"/>
              <c:pt idx="0">
                <c:v>100</c:v>
              </c:pt>
            </c:numLit>
          </c:val>
          <c:extLst>
            <c:ext xmlns:c16="http://schemas.microsoft.com/office/drawing/2014/chart" uri="{C3380CC4-5D6E-409C-BE32-E72D297353CC}">
              <c16:uniqueId val="{00000005-658E-4D86-9B56-6BD22DF45837}"/>
            </c:ext>
          </c:extLst>
        </c:ser>
        <c:ser>
          <c:idx val="2"/>
          <c:order val="2"/>
          <c:tx>
            <c:v> HCV-HS (SMI)</c:v>
          </c:tx>
          <c:invertIfNegative val="0"/>
          <c:val>
            <c:numLit>
              <c:formatCode>General</c:formatCode>
              <c:ptCount val="1"/>
              <c:pt idx="0">
                <c:v>200</c:v>
              </c:pt>
            </c:numLit>
          </c:val>
          <c:extLst>
            <c:ext xmlns:c16="http://schemas.microsoft.com/office/drawing/2014/chart" uri="{C3380CC4-5D6E-409C-BE32-E72D297353CC}">
              <c16:uniqueId val="{00000006-658E-4D86-9B56-6BD22DF45837}"/>
            </c:ext>
          </c:extLst>
        </c:ser>
        <c:dLbls>
          <c:showLegendKey val="0"/>
          <c:showVal val="0"/>
          <c:showCatName val="0"/>
          <c:showSerName val="0"/>
          <c:showPercent val="0"/>
          <c:showBubbleSize val="0"/>
        </c:dLbls>
        <c:gapWidth val="0"/>
        <c:overlap val="100"/>
        <c:axId val="1706602176"/>
        <c:axId val="1706610336"/>
      </c:barChart>
      <c:catAx>
        <c:axId val="1706602176"/>
        <c:scaling>
          <c:orientation val="minMax"/>
        </c:scaling>
        <c:delete val="1"/>
        <c:axPos val="l"/>
        <c:majorTickMark val="out"/>
        <c:minorTickMark val="none"/>
        <c:tickLblPos val="nextTo"/>
        <c:crossAx val="1706610336"/>
        <c:crosses val="autoZero"/>
        <c:auto val="1"/>
        <c:lblAlgn val="ctr"/>
        <c:lblOffset val="100"/>
        <c:noMultiLvlLbl val="0"/>
      </c:catAx>
      <c:valAx>
        <c:axId val="1706610336"/>
        <c:scaling>
          <c:orientation val="minMax"/>
        </c:scaling>
        <c:delete val="1"/>
        <c:axPos val="b"/>
        <c:numFmt formatCode="General" sourceLinked="1"/>
        <c:majorTickMark val="out"/>
        <c:minorTickMark val="none"/>
        <c:tickLblPos val="nextTo"/>
        <c:crossAx val="1706602176"/>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'Dashboard TCM'!$D$159</c:f>
              <c:strCache>
                <c:ptCount val="1"/>
                <c:pt idx="0">
                  <c:v>Date</c:v>
                </c:pt>
              </c:strCache>
            </c:strRef>
          </c:tx>
          <c:invertIfNegative val="0"/>
          <c:val>
            <c:numRef>
              <c:f>'Dashboard TCM'!$D$160:$D$190</c:f>
            </c:numRef>
          </c:val>
          <c:extLst>
            <c:ext xmlns:c16="http://schemas.microsoft.com/office/drawing/2014/chart" uri="{C3380CC4-5D6E-409C-BE32-E72D297353CC}">
              <c16:uniqueId val="{00000000-6BFE-439B-848A-547E1AED605F}"/>
            </c:ext>
          </c:extLst>
        </c:ser>
        <c:ser>
          <c:idx val="1"/>
          <c:order val="1"/>
          <c:tx>
            <c:strRef>
              <c:f>'Dashboard TCM'!$E$162</c:f>
              <c:strCache>
                <c:ptCount val="1"/>
                <c:pt idx="0">
                  <c:v>OUTLOOK AVARAGE</c:v>
                </c:pt>
              </c:strCache>
            </c:strRef>
          </c:tx>
          <c:invertIfNegative val="0"/>
          <c:val>
            <c:numRef>
              <c:f>'Dashboard TCM'!$E$163:$E$193</c:f>
              <c:numCache>
                <c:formatCode>_(* #,##0_);_(* \(#,##0\);_(* "-"??_);_(@_)</c:formatCode>
                <c:ptCount val="2"/>
                <c:pt idx="0">
                  <c:v>0</c:v>
                </c:pt>
                <c:pt idx="1">
                  <c:v>0</c:v>
                </c:pt>
              </c:numCache>
            </c:numRef>
          </c:val>
          <c:extLst>
            <c:ext xmlns:c16="http://schemas.microsoft.com/office/drawing/2014/chart" uri="{C3380CC4-5D6E-409C-BE32-E72D297353CC}">
              <c16:uniqueId val="{00000001-6BFE-439B-848A-547E1AED605F}"/>
            </c:ext>
          </c:extLst>
        </c:ser>
        <c:dLbls>
          <c:showLegendKey val="0"/>
          <c:showVal val="0"/>
          <c:showCatName val="0"/>
          <c:showSerName val="0"/>
          <c:showPercent val="0"/>
          <c:showBubbleSize val="0"/>
        </c:dLbls>
        <c:gapWidth val="150"/>
        <c:axId val="1706607072"/>
        <c:axId val="1706605440"/>
      </c:barChart>
      <c:lineChart>
        <c:grouping val="standard"/>
        <c:varyColors val="0"/>
        <c:ser>
          <c:idx val="2"/>
          <c:order val="2"/>
          <c:tx>
            <c:strRef>
              <c:f>'Dashboard TCM'!$F$162</c:f>
              <c:strCache>
                <c:ptCount val="1"/>
                <c:pt idx="0">
                  <c:v>OUTLOOK PLAN</c:v>
                </c:pt>
              </c:strCache>
            </c:strRef>
          </c:tx>
          <c:marker>
            <c:symbol val="none"/>
          </c:marker>
          <c:val>
            <c:numRef>
              <c:f>'Dashboard TCM'!$F$163:$F$193</c:f>
              <c:numCache>
                <c:formatCode>_(* #,##0.0_);_(* \(#,##0.0\);_(* "-"??_);_(@_)</c:formatCode>
                <c:ptCount val="2"/>
                <c:pt idx="0">
                  <c:v>0</c:v>
                </c:pt>
                <c:pt idx="1">
                  <c:v>0</c:v>
                </c:pt>
              </c:numCache>
            </c:numRef>
          </c:val>
          <c:smooth val="0"/>
          <c:extLst>
            <c:ext xmlns:c16="http://schemas.microsoft.com/office/drawing/2014/chart" uri="{C3380CC4-5D6E-409C-BE32-E72D297353CC}">
              <c16:uniqueId val="{00000002-6BFE-439B-848A-547E1AED605F}"/>
            </c:ext>
          </c:extLst>
        </c:ser>
        <c:ser>
          <c:idx val="3"/>
          <c:order val="3"/>
          <c:tx>
            <c:strRef>
              <c:f>'Dashboard TCM'!$G$162</c:f>
              <c:strCache>
                <c:ptCount val="1"/>
                <c:pt idx="0">
                  <c:v>OUTLOOK CARY OVER</c:v>
                </c:pt>
              </c:strCache>
            </c:strRef>
          </c:tx>
          <c:marker>
            <c:symbol val="none"/>
          </c:marker>
          <c:val>
            <c:numRef>
              <c:f>'Dashboard TCM'!$G$163:$G$193</c:f>
              <c:numCache>
                <c:formatCode>General</c:formatCode>
                <c:ptCount val="2"/>
                <c:pt idx="0">
                  <c:v>0</c:v>
                </c:pt>
                <c:pt idx="1">
                  <c:v>0</c:v>
                </c:pt>
              </c:numCache>
            </c:numRef>
          </c:val>
          <c:smooth val="0"/>
          <c:extLst>
            <c:ext xmlns:c16="http://schemas.microsoft.com/office/drawing/2014/chart" uri="{C3380CC4-5D6E-409C-BE32-E72D297353CC}">
              <c16:uniqueId val="{00000003-6BFE-439B-848A-547E1AED605F}"/>
            </c:ext>
          </c:extLst>
        </c:ser>
        <c:dLbls>
          <c:showLegendKey val="0"/>
          <c:showVal val="0"/>
          <c:showCatName val="0"/>
          <c:showSerName val="0"/>
          <c:showPercent val="0"/>
          <c:showBubbleSize val="0"/>
        </c:dLbls>
        <c:marker val="1"/>
        <c:smooth val="0"/>
        <c:axId val="1706607072"/>
        <c:axId val="1706605440"/>
      </c:lineChart>
      <c:catAx>
        <c:axId val="1706607072"/>
        <c:scaling>
          <c:orientation val="minMax"/>
        </c:scaling>
        <c:delete val="0"/>
        <c:axPos val="b"/>
        <c:majorTickMark val="none"/>
        <c:minorTickMark val="none"/>
        <c:tickLblPos val="nextTo"/>
        <c:crossAx val="1706605440"/>
        <c:crosses val="autoZero"/>
        <c:auto val="1"/>
        <c:lblAlgn val="ctr"/>
        <c:lblOffset val="100"/>
        <c:noMultiLvlLbl val="0"/>
      </c:catAx>
      <c:valAx>
        <c:axId val="1706605440"/>
        <c:scaling>
          <c:orientation val="minMax"/>
        </c:scaling>
        <c:delete val="0"/>
        <c:axPos val="l"/>
        <c:majorGridlines/>
        <c:numFmt formatCode="_(* #,##0_);_(* \(#,##0\);_(* &quot;-&quot;??_);_(@_)" sourceLinked="1"/>
        <c:majorTickMark val="none"/>
        <c:minorTickMark val="none"/>
        <c:tickLblPos val="nextTo"/>
        <c:crossAx val="17066070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32173501248123"/>
          <c:y val="0.11411505559034622"/>
          <c:w val="0.84112270341207362"/>
          <c:h val="0.71009842157465564"/>
        </c:manualLayout>
      </c:layout>
      <c:barChart>
        <c:barDir val="col"/>
        <c:grouping val="clustered"/>
        <c:varyColors val="0"/>
        <c:ser>
          <c:idx val="1"/>
          <c:order val="0"/>
          <c:tx>
            <c:v>Crushing</c:v>
          </c:tx>
          <c:spPr>
            <a:solidFill>
              <a:schemeClr val="accent6"/>
            </a:solidFill>
          </c:spPr>
          <c:invertIfNegative val="0"/>
          <c:cat>
            <c:numRef>
              <c:f>'Summary TCM'!$P$143:$P$149</c:f>
              <c:numCache>
                <c:formatCode>_(* #,##0_);_(* \(#,##0\);_(* "-"??_);_(@_)</c:formatCode>
                <c:ptCount val="7"/>
                <c:pt idx="0">
                  <c:v>1</c:v>
                </c:pt>
                <c:pt idx="1">
                  <c:v>2</c:v>
                </c:pt>
                <c:pt idx="2">
                  <c:v>3</c:v>
                </c:pt>
                <c:pt idx="3">
                  <c:v>4</c:v>
                </c:pt>
                <c:pt idx="4">
                  <c:v>5</c:v>
                </c:pt>
                <c:pt idx="5">
                  <c:v>6</c:v>
                </c:pt>
                <c:pt idx="6">
                  <c:v>7</c:v>
                </c:pt>
              </c:numCache>
            </c:numRef>
          </c:cat>
          <c:val>
            <c:numRef>
              <c:f>'Summary TCM'!$T$143:$T$149</c:f>
              <c:numCache>
                <c:formatCode>_(* #,##0_);_(* \(#,##0\);_(* "-"??_);_(@_)</c:formatCode>
                <c:ptCount val="7"/>
                <c:pt idx="0">
                  <c:v>0</c:v>
                </c:pt>
                <c:pt idx="1">
                  <c:v>0</c:v>
                </c:pt>
                <c:pt idx="2">
                  <c:v>0</c:v>
                </c:pt>
                <c:pt idx="3">
                  <c:v>0</c:v>
                </c:pt>
                <c:pt idx="4">
                  <c:v>16783.850000000002</c:v>
                </c:pt>
                <c:pt idx="5">
                  <c:v>15970.999999999998</c:v>
                </c:pt>
                <c:pt idx="6">
                  <c:v>16810.91</c:v>
                </c:pt>
              </c:numCache>
            </c:numRef>
          </c:val>
          <c:extLst>
            <c:ext xmlns:c16="http://schemas.microsoft.com/office/drawing/2014/chart" uri="{C3380CC4-5D6E-409C-BE32-E72D297353CC}">
              <c16:uniqueId val="{00000000-74F0-458E-BA2C-C54541450C85}"/>
            </c:ext>
          </c:extLst>
        </c:ser>
        <c:ser>
          <c:idx val="2"/>
          <c:order val="1"/>
          <c:tx>
            <c:v>Barging</c:v>
          </c:tx>
          <c:spPr>
            <a:solidFill>
              <a:schemeClr val="tx1"/>
            </a:solidFill>
          </c:spPr>
          <c:invertIfNegative val="0"/>
          <c:cat>
            <c:numRef>
              <c:f>'Summary TCM'!$P$143:$P$149</c:f>
              <c:numCache>
                <c:formatCode>_(* #,##0_);_(* \(#,##0\);_(* "-"??_);_(@_)</c:formatCode>
                <c:ptCount val="7"/>
                <c:pt idx="0">
                  <c:v>1</c:v>
                </c:pt>
                <c:pt idx="1">
                  <c:v>2</c:v>
                </c:pt>
                <c:pt idx="2">
                  <c:v>3</c:v>
                </c:pt>
                <c:pt idx="3">
                  <c:v>4</c:v>
                </c:pt>
                <c:pt idx="4">
                  <c:v>5</c:v>
                </c:pt>
                <c:pt idx="5">
                  <c:v>6</c:v>
                </c:pt>
                <c:pt idx="6">
                  <c:v>7</c:v>
                </c:pt>
              </c:numCache>
            </c:numRef>
          </c:cat>
          <c:val>
            <c:numRef>
              <c:f>'Summary TCM'!$U$143:$U$149</c:f>
              <c:numCache>
                <c:formatCode>_(* #,##0_);_(* \(#,##0\);_(* "-"??_);_(@_)</c:formatCode>
                <c:ptCount val="7"/>
                <c:pt idx="0">
                  <c:v>0</c:v>
                </c:pt>
                <c:pt idx="1">
                  <c:v>0</c:v>
                </c:pt>
                <c:pt idx="2">
                  <c:v>0</c:v>
                </c:pt>
                <c:pt idx="3">
                  <c:v>0</c:v>
                </c:pt>
                <c:pt idx="4">
                  <c:v>5287.23</c:v>
                </c:pt>
                <c:pt idx="5">
                  <c:v>4451.72</c:v>
                </c:pt>
                <c:pt idx="6">
                  <c:v>18242.48</c:v>
                </c:pt>
              </c:numCache>
            </c:numRef>
          </c:val>
          <c:extLst>
            <c:ext xmlns:c16="http://schemas.microsoft.com/office/drawing/2014/chart" uri="{C3380CC4-5D6E-409C-BE32-E72D297353CC}">
              <c16:uniqueId val="{00000001-74F0-458E-BA2C-C54541450C85}"/>
            </c:ext>
          </c:extLst>
        </c:ser>
        <c:dLbls>
          <c:showLegendKey val="0"/>
          <c:showVal val="0"/>
          <c:showCatName val="0"/>
          <c:showSerName val="0"/>
          <c:showPercent val="0"/>
          <c:showBubbleSize val="0"/>
        </c:dLbls>
        <c:gapWidth val="150"/>
        <c:axId val="1706601632"/>
        <c:axId val="1706598912"/>
      </c:barChart>
      <c:catAx>
        <c:axId val="1706601632"/>
        <c:scaling>
          <c:orientation val="minMax"/>
        </c:scaling>
        <c:delete val="0"/>
        <c:axPos val="b"/>
        <c:numFmt formatCode="_(* #,##0_);_(* \(#,##0\);_(* &quot;-&quot;??_);_(@_)" sourceLinked="1"/>
        <c:majorTickMark val="out"/>
        <c:minorTickMark val="none"/>
        <c:tickLblPos val="nextTo"/>
        <c:crossAx val="1706598912"/>
        <c:crosses val="autoZero"/>
        <c:auto val="1"/>
        <c:lblAlgn val="ctr"/>
        <c:lblOffset val="100"/>
        <c:noMultiLvlLbl val="0"/>
      </c:catAx>
      <c:valAx>
        <c:axId val="1706598912"/>
        <c:scaling>
          <c:orientation val="minMax"/>
          <c:max val="30000"/>
          <c:min val="0"/>
        </c:scaling>
        <c:delete val="0"/>
        <c:axPos val="l"/>
        <c:numFmt formatCode="_(* #,##0_);_(* \(#,##0\);_(* &quot;-&quot;??_);_(@_)" sourceLinked="1"/>
        <c:majorTickMark val="out"/>
        <c:minorTickMark val="none"/>
        <c:tickLblPos val="nextTo"/>
        <c:crossAx val="1706601632"/>
        <c:crosses val="autoZero"/>
        <c:crossBetween val="between"/>
        <c:majorUnit val="5000"/>
      </c:valAx>
      <c:dTable>
        <c:showHorzBorder val="1"/>
        <c:showVertBorder val="1"/>
        <c:showOutline val="1"/>
        <c:showKeys val="1"/>
      </c:dTable>
    </c:plotArea>
    <c:legend>
      <c:legendPos val="t"/>
      <c:layout>
        <c:manualLayout>
          <c:xMode val="edge"/>
          <c:yMode val="edge"/>
          <c:x val="0.37953767246984055"/>
          <c:y val="2.5948221058862984E-2"/>
          <c:w val="0.24985672662476818"/>
          <c:h val="6.0503257227298303E-2"/>
        </c:manualLayout>
      </c:layout>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83018215537429"/>
          <c:y val="0.11411510721252899"/>
          <c:w val="0.84112270341207362"/>
          <c:h val="0.71009842157465564"/>
        </c:manualLayout>
      </c:layout>
      <c:barChart>
        <c:barDir val="col"/>
        <c:grouping val="clustered"/>
        <c:varyColors val="0"/>
        <c:ser>
          <c:idx val="1"/>
          <c:order val="0"/>
          <c:tx>
            <c:v>OB</c:v>
          </c:tx>
          <c:spPr>
            <a:solidFill>
              <a:schemeClr val="accent6"/>
            </a:solidFill>
          </c:spPr>
          <c:invertIfNegative val="0"/>
          <c:cat>
            <c:numRef>
              <c:f>'Summary TCM'!$P$143:$P$149</c:f>
              <c:numCache>
                <c:formatCode>_(* #,##0_);_(* \(#,##0\);_(* "-"??_);_(@_)</c:formatCode>
                <c:ptCount val="7"/>
                <c:pt idx="0">
                  <c:v>1</c:v>
                </c:pt>
                <c:pt idx="1">
                  <c:v>2</c:v>
                </c:pt>
                <c:pt idx="2">
                  <c:v>3</c:v>
                </c:pt>
                <c:pt idx="3">
                  <c:v>4</c:v>
                </c:pt>
                <c:pt idx="4">
                  <c:v>5</c:v>
                </c:pt>
                <c:pt idx="5">
                  <c:v>6</c:v>
                </c:pt>
                <c:pt idx="6">
                  <c:v>7</c:v>
                </c:pt>
              </c:numCache>
            </c:numRef>
          </c:cat>
          <c:val>
            <c:numRef>
              <c:f>'Summary TCM'!$Q$143:$Q$149</c:f>
              <c:numCache>
                <c:formatCode>_(* #,##0_);_(* \(#,##0\);_(* "-"??_);_(@_)</c:formatCode>
                <c:ptCount val="7"/>
                <c:pt idx="0">
                  <c:v>167482</c:v>
                </c:pt>
                <c:pt idx="1">
                  <c:v>162553</c:v>
                </c:pt>
                <c:pt idx="2">
                  <c:v>168294</c:v>
                </c:pt>
                <c:pt idx="3">
                  <c:v>117831</c:v>
                </c:pt>
                <c:pt idx="4">
                  <c:v>166998</c:v>
                </c:pt>
                <c:pt idx="5">
                  <c:v>155578</c:v>
                </c:pt>
                <c:pt idx="6">
                  <c:v>153766</c:v>
                </c:pt>
              </c:numCache>
            </c:numRef>
          </c:val>
          <c:extLst>
            <c:ext xmlns:c16="http://schemas.microsoft.com/office/drawing/2014/chart" uri="{C3380CC4-5D6E-409C-BE32-E72D297353CC}">
              <c16:uniqueId val="{00000000-ED02-4ED3-880E-BCC1785A0A8D}"/>
            </c:ext>
          </c:extLst>
        </c:ser>
        <c:ser>
          <c:idx val="2"/>
          <c:order val="1"/>
          <c:tx>
            <c:v>ROM</c:v>
          </c:tx>
          <c:spPr>
            <a:solidFill>
              <a:schemeClr val="tx1"/>
            </a:solidFill>
          </c:spPr>
          <c:invertIfNegative val="0"/>
          <c:cat>
            <c:numRef>
              <c:f>'Summary TCM'!$P$143:$P$149</c:f>
              <c:numCache>
                <c:formatCode>_(* #,##0_);_(* \(#,##0\);_(* "-"??_);_(@_)</c:formatCode>
                <c:ptCount val="7"/>
                <c:pt idx="0">
                  <c:v>1</c:v>
                </c:pt>
                <c:pt idx="1">
                  <c:v>2</c:v>
                </c:pt>
                <c:pt idx="2">
                  <c:v>3</c:v>
                </c:pt>
                <c:pt idx="3">
                  <c:v>4</c:v>
                </c:pt>
                <c:pt idx="4">
                  <c:v>5</c:v>
                </c:pt>
                <c:pt idx="5">
                  <c:v>6</c:v>
                </c:pt>
                <c:pt idx="6">
                  <c:v>7</c:v>
                </c:pt>
              </c:numCache>
            </c:numRef>
          </c:cat>
          <c:val>
            <c:numRef>
              <c:f>'Summary TCM'!$R$143:$R$149</c:f>
              <c:numCache>
                <c:formatCode>_(* #,##0_);_(* \(#,##0\);_(* "-"??_);_(@_)</c:formatCode>
                <c:ptCount val="7"/>
                <c:pt idx="0">
                  <c:v>7153.6</c:v>
                </c:pt>
                <c:pt idx="1">
                  <c:v>10467.84</c:v>
                </c:pt>
                <c:pt idx="2">
                  <c:v>12107.04</c:v>
                </c:pt>
                <c:pt idx="3">
                  <c:v>6924.8399999999992</c:v>
                </c:pt>
                <c:pt idx="4">
                  <c:v>6494.8</c:v>
                </c:pt>
                <c:pt idx="5">
                  <c:v>7692.3600000000006</c:v>
                </c:pt>
                <c:pt idx="6">
                  <c:v>7646.78</c:v>
                </c:pt>
              </c:numCache>
            </c:numRef>
          </c:val>
          <c:extLst>
            <c:ext xmlns:c16="http://schemas.microsoft.com/office/drawing/2014/chart" uri="{C3380CC4-5D6E-409C-BE32-E72D297353CC}">
              <c16:uniqueId val="{00000001-ED02-4ED3-880E-BCC1785A0A8D}"/>
            </c:ext>
          </c:extLst>
        </c:ser>
        <c:dLbls>
          <c:showLegendKey val="0"/>
          <c:showVal val="0"/>
          <c:showCatName val="0"/>
          <c:showSerName val="0"/>
          <c:showPercent val="0"/>
          <c:showBubbleSize val="0"/>
        </c:dLbls>
        <c:gapWidth val="150"/>
        <c:axId val="1706597280"/>
        <c:axId val="1706608704"/>
      </c:barChart>
      <c:catAx>
        <c:axId val="1706597280"/>
        <c:scaling>
          <c:orientation val="minMax"/>
        </c:scaling>
        <c:delete val="0"/>
        <c:axPos val="b"/>
        <c:numFmt formatCode="_(* #,##0_);_(* \(#,##0\);_(* &quot;-&quot;??_);_(@_)" sourceLinked="1"/>
        <c:majorTickMark val="out"/>
        <c:minorTickMark val="none"/>
        <c:tickLblPos val="nextTo"/>
        <c:crossAx val="1706608704"/>
        <c:crosses val="autoZero"/>
        <c:auto val="1"/>
        <c:lblAlgn val="ctr"/>
        <c:lblOffset val="100"/>
        <c:noMultiLvlLbl val="0"/>
      </c:catAx>
      <c:valAx>
        <c:axId val="1706608704"/>
        <c:scaling>
          <c:orientation val="minMax"/>
          <c:max val="250000"/>
          <c:min val="0"/>
        </c:scaling>
        <c:delete val="0"/>
        <c:axPos val="l"/>
        <c:numFmt formatCode="_(* #,##0_);_(* \(#,##0\);_(* &quot;-&quot;??_);_(@_)" sourceLinked="1"/>
        <c:majorTickMark val="out"/>
        <c:minorTickMark val="none"/>
        <c:tickLblPos val="nextTo"/>
        <c:crossAx val="1706597280"/>
        <c:crosses val="autoZero"/>
        <c:crossBetween val="between"/>
        <c:majorUnit val="50000"/>
      </c:valAx>
      <c:dTable>
        <c:showHorzBorder val="1"/>
        <c:showVertBorder val="1"/>
        <c:showOutline val="1"/>
        <c:showKeys val="1"/>
      </c:dTable>
    </c:plotArea>
    <c:plotVisOnly val="1"/>
    <c:dispBlanksAs val="gap"/>
    <c:showDLblsOverMax val="0"/>
  </c:chart>
  <c:printSettings>
    <c:headerFooter/>
    <c:pageMargins b="0.75000000000000022" l="0.70000000000000018" r="0.70000000000000018" t="0.75000000000000022" header="0.3000000000000001" footer="0.3000000000000001"/>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32173501248123"/>
          <c:y val="0.11411505559034622"/>
          <c:w val="0.84112270341207362"/>
          <c:h val="0.71009842157465564"/>
        </c:manualLayout>
      </c:layout>
      <c:barChart>
        <c:barDir val="col"/>
        <c:grouping val="clustered"/>
        <c:varyColors val="0"/>
        <c:ser>
          <c:idx val="1"/>
          <c:order val="0"/>
          <c:tx>
            <c:v>Rain SB1</c:v>
          </c:tx>
          <c:spPr>
            <a:solidFill>
              <a:schemeClr val="accent6"/>
            </a:solidFill>
          </c:spPr>
          <c:invertIfNegative val="0"/>
          <c:cat>
            <c:numRef>
              <c:f>'Summary TCM'!$P$143:$P$149</c:f>
              <c:numCache>
                <c:formatCode>_(* #,##0_);_(* \(#,##0\);_(* "-"??_);_(@_)</c:formatCode>
                <c:ptCount val="7"/>
                <c:pt idx="0">
                  <c:v>1</c:v>
                </c:pt>
                <c:pt idx="1">
                  <c:v>2</c:v>
                </c:pt>
                <c:pt idx="2">
                  <c:v>3</c:v>
                </c:pt>
                <c:pt idx="3">
                  <c:v>4</c:v>
                </c:pt>
                <c:pt idx="4">
                  <c:v>5</c:v>
                </c:pt>
                <c:pt idx="5">
                  <c:v>6</c:v>
                </c:pt>
                <c:pt idx="6">
                  <c:v>7</c:v>
                </c:pt>
              </c:numCache>
            </c:numRef>
          </c:cat>
          <c:val>
            <c:numRef>
              <c:f>'Summary TCM'!$V$143:$V$149</c:f>
              <c:numCache>
                <c:formatCode>_(* #,##0_);_(* \(#,##0\);_(* "-"??_);_(@_)</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4018-4B19-BA49-EF766A44977E}"/>
            </c:ext>
          </c:extLst>
        </c:ser>
        <c:ser>
          <c:idx val="2"/>
          <c:order val="1"/>
          <c:tx>
            <c:v>Rain SB2</c:v>
          </c:tx>
          <c:spPr>
            <a:solidFill>
              <a:schemeClr val="tx1"/>
            </a:solidFill>
          </c:spPr>
          <c:invertIfNegative val="0"/>
          <c:cat>
            <c:numRef>
              <c:f>'Summary TCM'!$P$143:$P$149</c:f>
              <c:numCache>
                <c:formatCode>_(* #,##0_);_(* \(#,##0\);_(* "-"??_);_(@_)</c:formatCode>
                <c:ptCount val="7"/>
                <c:pt idx="0">
                  <c:v>1</c:v>
                </c:pt>
                <c:pt idx="1">
                  <c:v>2</c:v>
                </c:pt>
                <c:pt idx="2">
                  <c:v>3</c:v>
                </c:pt>
                <c:pt idx="3">
                  <c:v>4</c:v>
                </c:pt>
                <c:pt idx="4">
                  <c:v>5</c:v>
                </c:pt>
                <c:pt idx="5">
                  <c:v>6</c:v>
                </c:pt>
                <c:pt idx="6">
                  <c:v>7</c:v>
                </c:pt>
              </c:numCache>
            </c:numRef>
          </c:cat>
          <c:val>
            <c:numRef>
              <c:f>'Summary TCM'!$W$143:$W$149</c:f>
              <c:numCache>
                <c:formatCode>_(* #,##0_);_(* \(#,##0\);_(* "-"??_);_(@_)</c:formatCode>
                <c:ptCount val="7"/>
                <c:pt idx="0">
                  <c:v>0</c:v>
                </c:pt>
                <c:pt idx="1">
                  <c:v>0</c:v>
                </c:pt>
                <c:pt idx="2">
                  <c:v>0</c:v>
                </c:pt>
                <c:pt idx="3">
                  <c:v>0.40625</c:v>
                </c:pt>
                <c:pt idx="4">
                  <c:v>0</c:v>
                </c:pt>
                <c:pt idx="5">
                  <c:v>0</c:v>
                </c:pt>
                <c:pt idx="6">
                  <c:v>0</c:v>
                </c:pt>
              </c:numCache>
            </c:numRef>
          </c:val>
          <c:extLst>
            <c:ext xmlns:c16="http://schemas.microsoft.com/office/drawing/2014/chart" uri="{C3380CC4-5D6E-409C-BE32-E72D297353CC}">
              <c16:uniqueId val="{00000001-4018-4B19-BA49-EF766A44977E}"/>
            </c:ext>
          </c:extLst>
        </c:ser>
        <c:dLbls>
          <c:showLegendKey val="0"/>
          <c:showVal val="0"/>
          <c:showCatName val="0"/>
          <c:showSerName val="0"/>
          <c:showPercent val="0"/>
          <c:showBubbleSize val="0"/>
        </c:dLbls>
        <c:gapWidth val="150"/>
        <c:axId val="1706609792"/>
        <c:axId val="1706597824"/>
      </c:barChart>
      <c:catAx>
        <c:axId val="1706609792"/>
        <c:scaling>
          <c:orientation val="minMax"/>
        </c:scaling>
        <c:delete val="0"/>
        <c:axPos val="b"/>
        <c:numFmt formatCode="_(* #,##0_);_(* \(#,##0\);_(* &quot;-&quot;??_);_(@_)" sourceLinked="1"/>
        <c:majorTickMark val="out"/>
        <c:minorTickMark val="none"/>
        <c:tickLblPos val="nextTo"/>
        <c:crossAx val="1706597824"/>
        <c:crosses val="autoZero"/>
        <c:auto val="1"/>
        <c:lblAlgn val="ctr"/>
        <c:lblOffset val="100"/>
        <c:noMultiLvlLbl val="0"/>
      </c:catAx>
      <c:valAx>
        <c:axId val="1706597824"/>
        <c:scaling>
          <c:orientation val="minMax"/>
          <c:max val="0.5"/>
          <c:min val="0"/>
        </c:scaling>
        <c:delete val="0"/>
        <c:axPos val="l"/>
        <c:numFmt formatCode="_(* #,##0_);_(* \(#,##0\);_(* &quot;-&quot;??_);_(@_)" sourceLinked="1"/>
        <c:majorTickMark val="out"/>
        <c:minorTickMark val="none"/>
        <c:tickLblPos val="nextTo"/>
        <c:crossAx val="1706609792"/>
        <c:crosses val="autoZero"/>
        <c:crossBetween val="between"/>
      </c:valAx>
      <c:dTable>
        <c:showHorzBorder val="1"/>
        <c:showVertBorder val="1"/>
        <c:showOutline val="1"/>
        <c:showKeys val="1"/>
      </c:dTable>
    </c:plotArea>
    <c:legend>
      <c:legendPos val="t"/>
      <c:layout>
        <c:manualLayout>
          <c:xMode val="edge"/>
          <c:yMode val="edge"/>
          <c:x val="0.37953767246984055"/>
          <c:y val="2.5948221058862984E-2"/>
          <c:w val="0.24985672662476818"/>
          <c:h val="6.0503257227298303E-2"/>
        </c:manualLayout>
      </c:layout>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701365523142211"/>
          <c:y val="0.11438995781774228"/>
          <c:w val="0.75857707106999972"/>
          <c:h val="0.70743615809987304"/>
        </c:manualLayout>
      </c:layout>
      <c:barChart>
        <c:barDir val="col"/>
        <c:grouping val="clustered"/>
        <c:varyColors val="0"/>
        <c:ser>
          <c:idx val="0"/>
          <c:order val="0"/>
          <c:tx>
            <c:v>Budget</c:v>
          </c:tx>
          <c:spPr>
            <a:solidFill>
              <a:schemeClr val="accent2">
                <a:lumMod val="40000"/>
                <a:lumOff val="60000"/>
              </a:schemeClr>
            </a:solidFill>
          </c:spPr>
          <c:invertIfNegative val="0"/>
          <c:cat>
            <c:strRef>
              <c:f>'Summary TCM'!$Y$147:$Y$148</c:f>
              <c:strCache>
                <c:ptCount val="2"/>
                <c:pt idx="0">
                  <c:v>Rain SB1</c:v>
                </c:pt>
                <c:pt idx="1">
                  <c:v>Rain SB2</c:v>
                </c:pt>
              </c:strCache>
            </c:strRef>
          </c:cat>
          <c:val>
            <c:numRef>
              <c:f>'Summary TCM'!$Z$147:$Z$148</c:f>
              <c:numCache>
                <c:formatCode>_(* #,##0_);_(* \(#,##0\);_(* "-"??_);_(@_)</c:formatCode>
                <c:ptCount val="2"/>
                <c:pt idx="0">
                  <c:v>9.7924480787305201E-2</c:v>
                </c:pt>
                <c:pt idx="1">
                  <c:v>9.7924480787305201E-2</c:v>
                </c:pt>
              </c:numCache>
            </c:numRef>
          </c:val>
          <c:extLst>
            <c:ext xmlns:c16="http://schemas.microsoft.com/office/drawing/2014/chart" uri="{C3380CC4-5D6E-409C-BE32-E72D297353CC}">
              <c16:uniqueId val="{00000000-5D39-4FAE-A9C3-CC5FEF61E3E0}"/>
            </c:ext>
          </c:extLst>
        </c:ser>
        <c:ser>
          <c:idx val="1"/>
          <c:order val="1"/>
          <c:tx>
            <c:v>Actual</c:v>
          </c:tx>
          <c:spPr>
            <a:solidFill>
              <a:srgbClr val="002060"/>
            </a:solidFill>
          </c:spPr>
          <c:invertIfNegative val="0"/>
          <c:cat>
            <c:strRef>
              <c:f>'Summary TCM'!$Y$147:$Y$148</c:f>
              <c:strCache>
                <c:ptCount val="2"/>
                <c:pt idx="0">
                  <c:v>Rain SB1</c:v>
                </c:pt>
                <c:pt idx="1">
                  <c:v>Rain SB2</c:v>
                </c:pt>
              </c:strCache>
            </c:strRef>
          </c:cat>
          <c:val>
            <c:numRef>
              <c:f>'Summary TCM'!$AA$147:$AA$148</c:f>
              <c:numCache>
                <c:formatCode>_(* #,##0_);_(* \(#,##0\);_(* "-"??_);_(@_)</c:formatCode>
                <c:ptCount val="2"/>
                <c:pt idx="0">
                  <c:v>0</c:v>
                </c:pt>
                <c:pt idx="1">
                  <c:v>5.8035714285714288E-2</c:v>
                </c:pt>
              </c:numCache>
            </c:numRef>
          </c:val>
          <c:extLst>
            <c:ext xmlns:c16="http://schemas.microsoft.com/office/drawing/2014/chart" uri="{C3380CC4-5D6E-409C-BE32-E72D297353CC}">
              <c16:uniqueId val="{00000001-5D39-4FAE-A9C3-CC5FEF61E3E0}"/>
            </c:ext>
          </c:extLst>
        </c:ser>
        <c:dLbls>
          <c:showLegendKey val="0"/>
          <c:showVal val="0"/>
          <c:showCatName val="0"/>
          <c:showSerName val="0"/>
          <c:showPercent val="0"/>
          <c:showBubbleSize val="0"/>
        </c:dLbls>
        <c:gapWidth val="208"/>
        <c:axId val="1706611424"/>
        <c:axId val="1706596736"/>
      </c:barChart>
      <c:catAx>
        <c:axId val="1706611424"/>
        <c:scaling>
          <c:orientation val="minMax"/>
        </c:scaling>
        <c:delete val="0"/>
        <c:axPos val="b"/>
        <c:numFmt formatCode="General" sourceLinked="0"/>
        <c:majorTickMark val="out"/>
        <c:minorTickMark val="none"/>
        <c:tickLblPos val="nextTo"/>
        <c:crossAx val="1706596736"/>
        <c:crosses val="autoZero"/>
        <c:auto val="1"/>
        <c:lblAlgn val="ctr"/>
        <c:lblOffset val="100"/>
        <c:noMultiLvlLbl val="0"/>
      </c:catAx>
      <c:valAx>
        <c:axId val="1706596736"/>
        <c:scaling>
          <c:orientation val="minMax"/>
          <c:max val="0.5"/>
          <c:min val="0"/>
        </c:scaling>
        <c:delete val="0"/>
        <c:axPos val="l"/>
        <c:numFmt formatCode="_(* #,##0_);_(* \(#,##0\);_(* &quot;-&quot;??_);_(@_)" sourceLinked="1"/>
        <c:majorTickMark val="in"/>
        <c:minorTickMark val="none"/>
        <c:tickLblPos val="nextTo"/>
        <c:crossAx val="1706611424"/>
        <c:crosses val="autoZero"/>
        <c:crossBetween val="between"/>
      </c:valAx>
      <c:dTable>
        <c:showHorzBorder val="1"/>
        <c:showVertBorder val="1"/>
        <c:showOutline val="1"/>
        <c:showKeys val="1"/>
      </c:dTable>
    </c:plotArea>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582422342838214"/>
          <c:y val="0.13451573600789618"/>
          <c:w val="0.75857707106999972"/>
          <c:h val="0.6403502307993606"/>
        </c:manualLayout>
      </c:layout>
      <c:barChart>
        <c:barDir val="col"/>
        <c:grouping val="clustered"/>
        <c:varyColors val="0"/>
        <c:ser>
          <c:idx val="0"/>
          <c:order val="0"/>
          <c:tx>
            <c:v>Budget</c:v>
          </c:tx>
          <c:spPr>
            <a:solidFill>
              <a:schemeClr val="accent2">
                <a:lumMod val="40000"/>
                <a:lumOff val="60000"/>
              </a:schemeClr>
            </a:solidFill>
          </c:spPr>
          <c:invertIfNegative val="0"/>
          <c:cat>
            <c:strRef>
              <c:f>'Summary TCM'!$Y$145:$Y$146</c:f>
              <c:strCache>
                <c:ptCount val="2"/>
                <c:pt idx="0">
                  <c:v>Crushing</c:v>
                </c:pt>
                <c:pt idx="1">
                  <c:v>Barging</c:v>
                </c:pt>
              </c:strCache>
            </c:strRef>
          </c:cat>
          <c:val>
            <c:numRef>
              <c:f>'Summary TCM'!$Z$145:$Z$146</c:f>
              <c:numCache>
                <c:formatCode>_(* #,##0_);_(* \(#,##0\);_(* "-"??_);_(@_)</c:formatCode>
                <c:ptCount val="2"/>
                <c:pt idx="0">
                  <c:v>360</c:v>
                </c:pt>
                <c:pt idx="1">
                  <c:v>380</c:v>
                </c:pt>
              </c:numCache>
            </c:numRef>
          </c:val>
          <c:extLst>
            <c:ext xmlns:c16="http://schemas.microsoft.com/office/drawing/2014/chart" uri="{C3380CC4-5D6E-409C-BE32-E72D297353CC}">
              <c16:uniqueId val="{00000000-F398-48CF-B37C-7E2D1F77B8F1}"/>
            </c:ext>
          </c:extLst>
        </c:ser>
        <c:ser>
          <c:idx val="2"/>
          <c:order val="2"/>
          <c:tx>
            <c:v>Outlook</c:v>
          </c:tx>
          <c:spPr>
            <a:solidFill>
              <a:schemeClr val="accent3">
                <a:lumMod val="40000"/>
                <a:lumOff val="60000"/>
              </a:schemeClr>
            </a:solidFill>
          </c:spPr>
          <c:invertIfNegative val="0"/>
          <c:cat>
            <c:strRef>
              <c:f>'Summary TCM'!$Y$145:$Y$146</c:f>
              <c:strCache>
                <c:ptCount val="2"/>
                <c:pt idx="0">
                  <c:v>Crushing</c:v>
                </c:pt>
                <c:pt idx="1">
                  <c:v>Barging</c:v>
                </c:pt>
              </c:strCache>
            </c:strRef>
          </c:cat>
          <c:val>
            <c:numRef>
              <c:f>'Summary TCM'!$AB$145:$AB$146</c:f>
              <c:numCache>
                <c:formatCode>_(* #,##0_);_(* \(#,##0\);_(* "-"??_);_(@_)</c:formatCode>
                <c:ptCount val="2"/>
                <c:pt idx="0">
                  <c:v>270</c:v>
                </c:pt>
                <c:pt idx="1">
                  <c:v>370</c:v>
                </c:pt>
              </c:numCache>
            </c:numRef>
          </c:val>
          <c:extLst>
            <c:ext xmlns:c16="http://schemas.microsoft.com/office/drawing/2014/chart" uri="{C3380CC4-5D6E-409C-BE32-E72D297353CC}">
              <c16:uniqueId val="{00000001-F398-48CF-B37C-7E2D1F77B8F1}"/>
            </c:ext>
          </c:extLst>
        </c:ser>
        <c:dLbls>
          <c:showLegendKey val="0"/>
          <c:showVal val="0"/>
          <c:showCatName val="0"/>
          <c:showSerName val="0"/>
          <c:showPercent val="0"/>
          <c:showBubbleSize val="0"/>
        </c:dLbls>
        <c:gapWidth val="145"/>
        <c:axId val="1706604352"/>
        <c:axId val="1706604896"/>
      </c:barChart>
      <c:barChart>
        <c:barDir val="col"/>
        <c:grouping val="clustered"/>
        <c:varyColors val="0"/>
        <c:ser>
          <c:idx val="1"/>
          <c:order val="1"/>
          <c:tx>
            <c:v>Actual</c:v>
          </c:tx>
          <c:spPr>
            <a:solidFill>
              <a:srgbClr val="002060"/>
            </a:solidFill>
          </c:spPr>
          <c:invertIfNegative val="0"/>
          <c:cat>
            <c:strRef>
              <c:f>'Summary TCM'!$Y$143:$Y$144</c:f>
              <c:strCache>
                <c:ptCount val="2"/>
                <c:pt idx="0">
                  <c:v>OB</c:v>
                </c:pt>
                <c:pt idx="1">
                  <c:v>Coal</c:v>
                </c:pt>
              </c:strCache>
            </c:strRef>
          </c:cat>
          <c:val>
            <c:numRef>
              <c:f>'Summary TCM'!$AA$145:$AA$146</c:f>
              <c:numCache>
                <c:formatCode>_(* #,##0_);_(* \(#,##0\);_(* "-"??_);_(@_)</c:formatCode>
                <c:ptCount val="2"/>
                <c:pt idx="0">
                  <c:v>49.565759999999997</c:v>
                </c:pt>
                <c:pt idx="1">
                  <c:v>27.98143</c:v>
                </c:pt>
              </c:numCache>
            </c:numRef>
          </c:val>
          <c:extLst>
            <c:ext xmlns:c16="http://schemas.microsoft.com/office/drawing/2014/chart" uri="{C3380CC4-5D6E-409C-BE32-E72D297353CC}">
              <c16:uniqueId val="{00000002-F398-48CF-B37C-7E2D1F77B8F1}"/>
            </c:ext>
          </c:extLst>
        </c:ser>
        <c:dLbls>
          <c:showLegendKey val="0"/>
          <c:showVal val="0"/>
          <c:showCatName val="0"/>
          <c:showSerName val="0"/>
          <c:showPercent val="0"/>
          <c:showBubbleSize val="0"/>
        </c:dLbls>
        <c:gapWidth val="208"/>
        <c:axId val="1727495072"/>
        <c:axId val="1706606528"/>
      </c:barChart>
      <c:catAx>
        <c:axId val="1706604352"/>
        <c:scaling>
          <c:orientation val="minMax"/>
        </c:scaling>
        <c:delete val="0"/>
        <c:axPos val="b"/>
        <c:numFmt formatCode="General" sourceLinked="0"/>
        <c:majorTickMark val="out"/>
        <c:minorTickMark val="none"/>
        <c:tickLblPos val="nextTo"/>
        <c:crossAx val="1706604896"/>
        <c:crosses val="autoZero"/>
        <c:auto val="1"/>
        <c:lblAlgn val="ctr"/>
        <c:lblOffset val="100"/>
        <c:noMultiLvlLbl val="0"/>
      </c:catAx>
      <c:valAx>
        <c:axId val="1706604896"/>
        <c:scaling>
          <c:orientation val="minMax"/>
          <c:max val="500"/>
          <c:min val="0"/>
        </c:scaling>
        <c:delete val="0"/>
        <c:axPos val="l"/>
        <c:numFmt formatCode="_(* #,##0_);_(* \(#,##0\);_(* &quot;-&quot;??_);_(@_)" sourceLinked="1"/>
        <c:majorTickMark val="in"/>
        <c:minorTickMark val="none"/>
        <c:tickLblPos val="nextTo"/>
        <c:crossAx val="1706604352"/>
        <c:crosses val="autoZero"/>
        <c:crossBetween val="between"/>
      </c:valAx>
      <c:valAx>
        <c:axId val="1706606528"/>
        <c:scaling>
          <c:orientation val="minMax"/>
          <c:max val="500"/>
          <c:min val="0"/>
        </c:scaling>
        <c:delete val="0"/>
        <c:axPos val="r"/>
        <c:numFmt formatCode="_(* #,##0_);_(* \(#,##0\);_(* &quot;-&quot;??_);_(@_)" sourceLinked="1"/>
        <c:majorTickMark val="none"/>
        <c:minorTickMark val="none"/>
        <c:tickLblPos val="none"/>
        <c:spPr>
          <a:ln>
            <a:noFill/>
          </a:ln>
        </c:spPr>
        <c:crossAx val="1727495072"/>
        <c:crosses val="max"/>
        <c:crossBetween val="between"/>
      </c:valAx>
      <c:catAx>
        <c:axId val="1727495072"/>
        <c:scaling>
          <c:orientation val="minMax"/>
        </c:scaling>
        <c:delete val="1"/>
        <c:axPos val="b"/>
        <c:numFmt formatCode="General" sourceLinked="1"/>
        <c:majorTickMark val="out"/>
        <c:minorTickMark val="none"/>
        <c:tickLblPos val="nextTo"/>
        <c:crossAx val="1706606528"/>
        <c:crosses val="autoZero"/>
        <c:auto val="1"/>
        <c:lblAlgn val="ctr"/>
        <c:lblOffset val="100"/>
        <c:noMultiLvlLbl val="0"/>
      </c:catAx>
      <c:dTable>
        <c:showHorzBorder val="1"/>
        <c:showVertBorder val="1"/>
        <c:showOutline val="1"/>
        <c:showKeys val="1"/>
      </c:dTable>
    </c:plotArea>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582422342838214"/>
          <c:y val="0.13451573600789618"/>
          <c:w val="0.75857707106999972"/>
          <c:h val="0.6403502307993606"/>
        </c:manualLayout>
      </c:layout>
      <c:barChart>
        <c:barDir val="col"/>
        <c:grouping val="clustered"/>
        <c:varyColors val="0"/>
        <c:ser>
          <c:idx val="0"/>
          <c:order val="0"/>
          <c:tx>
            <c:v>Budget</c:v>
          </c:tx>
          <c:spPr>
            <a:solidFill>
              <a:schemeClr val="accent2">
                <a:lumMod val="40000"/>
                <a:lumOff val="60000"/>
              </a:schemeClr>
            </a:solidFill>
          </c:spPr>
          <c:invertIfNegative val="0"/>
          <c:cat>
            <c:strRef>
              <c:f>'Summary TCM'!$Y$145:$Y$146</c:f>
              <c:strCache>
                <c:ptCount val="2"/>
                <c:pt idx="0">
                  <c:v>Crushing</c:v>
                </c:pt>
                <c:pt idx="1">
                  <c:v>Barging</c:v>
                </c:pt>
              </c:strCache>
            </c:strRef>
          </c:cat>
          <c:val>
            <c:numRef>
              <c:f>'Summary TCM'!$Z$154:$Z$155</c:f>
              <c:numCache>
                <c:formatCode>_(* #,##0_);_(* \(#,##0\);_(* "-"??_);_(@_)</c:formatCode>
                <c:ptCount val="2"/>
                <c:pt idx="0">
                  <c:v>950</c:v>
                </c:pt>
                <c:pt idx="1">
                  <c:v>925</c:v>
                </c:pt>
              </c:numCache>
            </c:numRef>
          </c:val>
          <c:extLst>
            <c:ext xmlns:c16="http://schemas.microsoft.com/office/drawing/2014/chart" uri="{C3380CC4-5D6E-409C-BE32-E72D297353CC}">
              <c16:uniqueId val="{00000000-F40A-41EF-834F-AEAC670B0694}"/>
            </c:ext>
          </c:extLst>
        </c:ser>
        <c:ser>
          <c:idx val="2"/>
          <c:order val="1"/>
          <c:tx>
            <c:v>Actual</c:v>
          </c:tx>
          <c:spPr>
            <a:solidFill>
              <a:srgbClr val="002060"/>
            </a:solidFill>
          </c:spPr>
          <c:invertIfNegative val="0"/>
          <c:cat>
            <c:strRef>
              <c:f>'Summary TCM'!$Y$145:$Y$146</c:f>
              <c:strCache>
                <c:ptCount val="2"/>
                <c:pt idx="0">
                  <c:v>Crushing</c:v>
                </c:pt>
                <c:pt idx="1">
                  <c:v>Barging</c:v>
                </c:pt>
              </c:strCache>
            </c:strRef>
          </c:cat>
          <c:val>
            <c:numRef>
              <c:f>'Summary TCM'!$AA$154:$AA$155</c:f>
              <c:numCache>
                <c:formatCode>_(* #,##0_);_(* \(#,##0\);_(* "-"??_);_(@_)</c:formatCode>
                <c:ptCount val="2"/>
                <c:pt idx="0">
                  <c:v>835.71060999999997</c:v>
                </c:pt>
                <c:pt idx="1">
                  <c:v>1014.3005195000001</c:v>
                </c:pt>
              </c:numCache>
            </c:numRef>
          </c:val>
          <c:extLst>
            <c:ext xmlns:c16="http://schemas.microsoft.com/office/drawing/2014/chart" uri="{C3380CC4-5D6E-409C-BE32-E72D297353CC}">
              <c16:uniqueId val="{00000001-F40A-41EF-834F-AEAC670B0694}"/>
            </c:ext>
          </c:extLst>
        </c:ser>
        <c:dLbls>
          <c:showLegendKey val="0"/>
          <c:showVal val="0"/>
          <c:showCatName val="0"/>
          <c:showSerName val="0"/>
          <c:showPercent val="0"/>
          <c:showBubbleSize val="0"/>
        </c:dLbls>
        <c:gapWidth val="145"/>
        <c:axId val="1727484736"/>
        <c:axId val="1727483648"/>
      </c:barChart>
      <c:catAx>
        <c:axId val="1727484736"/>
        <c:scaling>
          <c:orientation val="minMax"/>
        </c:scaling>
        <c:delete val="0"/>
        <c:axPos val="b"/>
        <c:numFmt formatCode="General" sourceLinked="0"/>
        <c:majorTickMark val="out"/>
        <c:minorTickMark val="none"/>
        <c:tickLblPos val="nextTo"/>
        <c:crossAx val="1727483648"/>
        <c:crosses val="autoZero"/>
        <c:auto val="1"/>
        <c:lblAlgn val="ctr"/>
        <c:lblOffset val="100"/>
        <c:noMultiLvlLbl val="0"/>
      </c:catAx>
      <c:valAx>
        <c:axId val="1727483648"/>
        <c:scaling>
          <c:orientation val="minMax"/>
          <c:min val="0"/>
        </c:scaling>
        <c:delete val="0"/>
        <c:axPos val="l"/>
        <c:numFmt formatCode="_(* #,##0_);_(* \(#,##0\);_(* &quot;-&quot;??_);_(@_)" sourceLinked="1"/>
        <c:majorTickMark val="in"/>
        <c:minorTickMark val="none"/>
        <c:tickLblPos val="nextTo"/>
        <c:crossAx val="1727484736"/>
        <c:crosses val="autoZero"/>
        <c:crossBetween val="between"/>
      </c:valAx>
      <c:dTable>
        <c:showHorzBorder val="1"/>
        <c:showVertBorder val="1"/>
        <c:showOutline val="1"/>
        <c:showKeys val="1"/>
      </c:dTable>
      <c:spPr>
        <a:solidFill>
          <a:schemeClr val="bg1">
            <a:lumMod val="95000"/>
          </a:schemeClr>
        </a:solidFill>
      </c:spPr>
    </c:plotArea>
    <c:plotVisOnly val="1"/>
    <c:dispBlanksAs val="gap"/>
    <c:showDLblsOverMax val="0"/>
  </c:chart>
  <c:spPr>
    <a:solidFill>
      <a:schemeClr val="bg1">
        <a:lumMod val="95000"/>
      </a:schemeClr>
    </a:solidFill>
  </c:spPr>
  <c:printSettings>
    <c:headerFooter/>
    <c:pageMargins b="0.75000000000000022" l="0.70000000000000018" r="0.70000000000000018" t="0.75000000000000022" header="0.3000000000000001" footer="0.300000000000000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872522815382021"/>
          <c:y val="0.13751932022392971"/>
          <c:w val="0.84112270341207362"/>
          <c:h val="0.67998555212156486"/>
        </c:manualLayout>
      </c:layout>
      <c:barChart>
        <c:barDir val="col"/>
        <c:grouping val="clustered"/>
        <c:varyColors val="0"/>
        <c:ser>
          <c:idx val="0"/>
          <c:order val="1"/>
          <c:tx>
            <c:strRef>
              <c:f>'Summary TCM'!$P$142</c:f>
              <c:strCache>
                <c:ptCount val="1"/>
                <c:pt idx="0">
                  <c:v> CV actual </c:v>
                </c:pt>
              </c:strCache>
            </c:strRef>
          </c:tx>
          <c:spPr>
            <a:solidFill>
              <a:schemeClr val="accent6"/>
            </a:solidFill>
            <a:ln w="28575">
              <a:noFill/>
            </a:ln>
          </c:spPr>
          <c:invertIfNegative val="0"/>
          <c:cat>
            <c:numRef>
              <c:f>'Summary TCM'!$P$143:$P$149</c:f>
              <c:numCache>
                <c:formatCode>_(* #,##0_);_(* \(#,##0\);_(* "-"??_);_(@_)</c:formatCode>
                <c:ptCount val="7"/>
                <c:pt idx="0">
                  <c:v>1</c:v>
                </c:pt>
                <c:pt idx="1">
                  <c:v>2</c:v>
                </c:pt>
                <c:pt idx="2">
                  <c:v>3</c:v>
                </c:pt>
                <c:pt idx="3">
                  <c:v>4</c:v>
                </c:pt>
                <c:pt idx="4">
                  <c:v>5</c:v>
                </c:pt>
                <c:pt idx="5">
                  <c:v>6</c:v>
                </c:pt>
                <c:pt idx="6">
                  <c:v>7</c:v>
                </c:pt>
              </c:numCache>
            </c:numRef>
          </c:cat>
          <c:val>
            <c:numRef>
              <c:f>'Summary TCM'!$N$146:$N$152</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B4A1-4715-9262-E6ED921A3A58}"/>
            </c:ext>
          </c:extLst>
        </c:ser>
        <c:dLbls>
          <c:showLegendKey val="0"/>
          <c:showVal val="0"/>
          <c:showCatName val="0"/>
          <c:showSerName val="0"/>
          <c:showPercent val="0"/>
          <c:showBubbleSize val="0"/>
        </c:dLbls>
        <c:gapWidth val="150"/>
        <c:axId val="1727488000"/>
        <c:axId val="1727488544"/>
      </c:barChart>
      <c:lineChart>
        <c:grouping val="standard"/>
        <c:varyColors val="0"/>
        <c:ser>
          <c:idx val="2"/>
          <c:order val="0"/>
          <c:tx>
            <c:strRef>
              <c:f>'Summary TCM'!$P$141</c:f>
              <c:strCache>
                <c:ptCount val="1"/>
                <c:pt idx="0">
                  <c:v> CV budget </c:v>
                </c:pt>
              </c:strCache>
            </c:strRef>
          </c:tx>
          <c:spPr>
            <a:ln>
              <a:noFill/>
            </a:ln>
          </c:spPr>
          <c:marker>
            <c:symbol val="dash"/>
            <c:size val="20"/>
            <c:spPr>
              <a:solidFill>
                <a:schemeClr val="tx1"/>
              </a:solidFill>
              <a:ln>
                <a:solidFill>
                  <a:schemeClr val="tx1"/>
                </a:solidFill>
              </a:ln>
            </c:spPr>
          </c:marker>
          <c:cat>
            <c:numRef>
              <c:f>'Summary TCM'!$P$143:$P$149</c:f>
              <c:numCache>
                <c:formatCode>_(* #,##0_);_(* \(#,##0\);_(* "-"??_);_(@_)</c:formatCode>
                <c:ptCount val="7"/>
                <c:pt idx="0">
                  <c:v>1</c:v>
                </c:pt>
                <c:pt idx="1">
                  <c:v>2</c:v>
                </c:pt>
                <c:pt idx="2">
                  <c:v>3</c:v>
                </c:pt>
                <c:pt idx="3">
                  <c:v>4</c:v>
                </c:pt>
                <c:pt idx="4">
                  <c:v>5</c:v>
                </c:pt>
                <c:pt idx="5">
                  <c:v>6</c:v>
                </c:pt>
                <c:pt idx="6">
                  <c:v>7</c:v>
                </c:pt>
              </c:numCache>
            </c:numRef>
          </c:cat>
          <c:val>
            <c:numRef>
              <c:f>'Summary TCM'!$M$146:$M$152</c:f>
              <c:numCache>
                <c:formatCode>0</c:formatCode>
                <c:ptCount val="7"/>
                <c:pt idx="0">
                  <c:v>0</c:v>
                </c:pt>
                <c:pt idx="1">
                  <c:v>7007.1105163263201</c:v>
                </c:pt>
                <c:pt idx="2">
                  <c:v>7007.1105163263201</c:v>
                </c:pt>
                <c:pt idx="3">
                  <c:v>7007.1105163263201</c:v>
                </c:pt>
                <c:pt idx="4">
                  <c:v>7007.1105163263201</c:v>
                </c:pt>
                <c:pt idx="5">
                  <c:v>7007.1105163263201</c:v>
                </c:pt>
                <c:pt idx="6">
                  <c:v>7007.1105163263201</c:v>
                </c:pt>
              </c:numCache>
            </c:numRef>
          </c:val>
          <c:smooth val="0"/>
          <c:extLst>
            <c:ext xmlns:c16="http://schemas.microsoft.com/office/drawing/2014/chart" uri="{C3380CC4-5D6E-409C-BE32-E72D297353CC}">
              <c16:uniqueId val="{00000001-B4A1-4715-9262-E6ED921A3A58}"/>
            </c:ext>
          </c:extLst>
        </c:ser>
        <c:dLbls>
          <c:showLegendKey val="0"/>
          <c:showVal val="0"/>
          <c:showCatName val="0"/>
          <c:showSerName val="0"/>
          <c:showPercent val="0"/>
          <c:showBubbleSize val="0"/>
        </c:dLbls>
        <c:marker val="1"/>
        <c:smooth val="0"/>
        <c:axId val="1727488000"/>
        <c:axId val="1727488544"/>
      </c:lineChart>
      <c:catAx>
        <c:axId val="1727488000"/>
        <c:scaling>
          <c:orientation val="minMax"/>
        </c:scaling>
        <c:delete val="0"/>
        <c:axPos val="b"/>
        <c:numFmt formatCode="_(* #,##0_);_(* \(#,##0\);_(* &quot;-&quot;??_);_(@_)" sourceLinked="1"/>
        <c:majorTickMark val="out"/>
        <c:minorTickMark val="none"/>
        <c:tickLblPos val="nextTo"/>
        <c:crossAx val="1727488544"/>
        <c:crosses val="autoZero"/>
        <c:auto val="1"/>
        <c:lblAlgn val="ctr"/>
        <c:lblOffset val="100"/>
        <c:noMultiLvlLbl val="0"/>
      </c:catAx>
      <c:valAx>
        <c:axId val="1727488544"/>
        <c:scaling>
          <c:orientation val="minMax"/>
          <c:min val="0"/>
        </c:scaling>
        <c:delete val="0"/>
        <c:axPos val="l"/>
        <c:numFmt formatCode="0" sourceLinked="1"/>
        <c:majorTickMark val="out"/>
        <c:minorTickMark val="none"/>
        <c:tickLblPos val="nextTo"/>
        <c:crossAx val="1727488000"/>
        <c:crosses val="autoZero"/>
        <c:crossBetween val="between"/>
      </c:valAx>
      <c:dTable>
        <c:showHorzBorder val="1"/>
        <c:showVertBorder val="1"/>
        <c:showOutline val="1"/>
        <c:showKeys val="1"/>
      </c:dTable>
    </c:plotArea>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701365523142211"/>
          <c:y val="0.16805869965815223"/>
          <c:w val="0.75857707106999972"/>
          <c:h val="0.65376741625946344"/>
        </c:manualLayout>
      </c:layout>
      <c:barChart>
        <c:barDir val="col"/>
        <c:grouping val="clustered"/>
        <c:varyColors val="0"/>
        <c:ser>
          <c:idx val="0"/>
          <c:order val="0"/>
          <c:tx>
            <c:v>Budget</c:v>
          </c:tx>
          <c:spPr>
            <a:solidFill>
              <a:schemeClr val="accent2">
                <a:lumMod val="40000"/>
                <a:lumOff val="60000"/>
              </a:schemeClr>
            </a:solidFill>
          </c:spPr>
          <c:invertIfNegative val="0"/>
          <c:cat>
            <c:strRef>
              <c:f>'Summary TCM'!$Y$157:$Y$159</c:f>
              <c:strCache>
                <c:ptCount val="3"/>
                <c:pt idx="0">
                  <c:v>TCM.HCV.LS</c:v>
                </c:pt>
                <c:pt idx="1">
                  <c:v>TCM.HCV.HS</c:v>
                </c:pt>
                <c:pt idx="2">
                  <c:v>TCM.HCV.MS</c:v>
                </c:pt>
              </c:strCache>
            </c:strRef>
          </c:cat>
          <c:val>
            <c:numRef>
              <c:f>'Summary TCM'!$Z$157:$Z$159</c:f>
              <c:numCache>
                <c:formatCode>_(* #,##0_);_(* \(#,##0\);_(* "-"??_);_(@_)</c:formatCode>
                <c:ptCount val="3"/>
                <c:pt idx="0">
                  <c:v>7007.1105163263201</c:v>
                </c:pt>
                <c:pt idx="1">
                  <c:v>6906.7638655273404</c:v>
                </c:pt>
                <c:pt idx="2">
                  <c:v>0</c:v>
                </c:pt>
              </c:numCache>
            </c:numRef>
          </c:val>
          <c:extLst>
            <c:ext xmlns:c16="http://schemas.microsoft.com/office/drawing/2014/chart" uri="{C3380CC4-5D6E-409C-BE32-E72D297353CC}">
              <c16:uniqueId val="{00000000-8968-467C-8010-E9568757BFC0}"/>
            </c:ext>
          </c:extLst>
        </c:ser>
        <c:ser>
          <c:idx val="2"/>
          <c:order val="1"/>
          <c:tx>
            <c:v>Outlook</c:v>
          </c:tx>
          <c:spPr>
            <a:solidFill>
              <a:schemeClr val="accent3">
                <a:lumMod val="40000"/>
                <a:lumOff val="60000"/>
              </a:schemeClr>
            </a:solidFill>
          </c:spPr>
          <c:invertIfNegative val="0"/>
          <c:cat>
            <c:strRef>
              <c:f>'Summary TCM'!$Y$157:$Y$159</c:f>
              <c:strCache>
                <c:ptCount val="3"/>
                <c:pt idx="0">
                  <c:v>TCM.HCV.LS</c:v>
                </c:pt>
                <c:pt idx="1">
                  <c:v>TCM.HCV.HS</c:v>
                </c:pt>
                <c:pt idx="2">
                  <c:v>TCM.HCV.MS</c:v>
                </c:pt>
              </c:strCache>
            </c:strRef>
          </c:cat>
          <c:val>
            <c:numRef>
              <c:f>'Summary TCM'!$AA$157:$AA$159</c:f>
              <c:numCache>
                <c:formatCode>_(* #,##0_);_(* \(#,##0\);_(* "-"??_);_(@_)</c:formatCode>
                <c:ptCount val="3"/>
                <c:pt idx="0">
                  <c:v>7007.1105163263201</c:v>
                </c:pt>
                <c:pt idx="1">
                  <c:v>6906.7638655273404</c:v>
                </c:pt>
                <c:pt idx="2">
                  <c:v>0</c:v>
                </c:pt>
              </c:numCache>
            </c:numRef>
          </c:val>
          <c:extLst>
            <c:ext xmlns:c16="http://schemas.microsoft.com/office/drawing/2014/chart" uri="{C3380CC4-5D6E-409C-BE32-E72D297353CC}">
              <c16:uniqueId val="{00000001-8968-467C-8010-E9568757BFC0}"/>
            </c:ext>
          </c:extLst>
        </c:ser>
        <c:dLbls>
          <c:showLegendKey val="0"/>
          <c:showVal val="0"/>
          <c:showCatName val="0"/>
          <c:showSerName val="0"/>
          <c:showPercent val="0"/>
          <c:showBubbleSize val="0"/>
        </c:dLbls>
        <c:gapWidth val="145"/>
        <c:axId val="1727489632"/>
        <c:axId val="1727490176"/>
      </c:barChart>
      <c:barChart>
        <c:barDir val="col"/>
        <c:grouping val="clustered"/>
        <c:varyColors val="0"/>
        <c:ser>
          <c:idx val="1"/>
          <c:order val="2"/>
          <c:tx>
            <c:v>Actual</c:v>
          </c:tx>
          <c:spPr>
            <a:solidFill>
              <a:srgbClr val="002060"/>
            </a:solidFill>
          </c:spPr>
          <c:invertIfNegative val="0"/>
          <c:cat>
            <c:strRef>
              <c:f>'Summary TCM'!$Y$157:$Y$159</c:f>
              <c:strCache>
                <c:ptCount val="3"/>
                <c:pt idx="0">
                  <c:v>TCM.HCV.LS</c:v>
                </c:pt>
                <c:pt idx="1">
                  <c:v>TCM.HCV.HS</c:v>
                </c:pt>
                <c:pt idx="2">
                  <c:v>TCM.HCV.MS</c:v>
                </c:pt>
              </c:strCache>
            </c:strRef>
          </c:cat>
          <c:val>
            <c:numRef>
              <c:f>'Summary TCM'!$AB$157:$AB$159</c:f>
              <c:numCache>
                <c:formatCode>_(* #,##0_);_(* \(#,##0\);_(* "-"??_);_(@_)</c:formatCode>
                <c:ptCount val="3"/>
                <c:pt idx="0">
                  <c:v>7087.9052106067675</c:v>
                </c:pt>
                <c:pt idx="1">
                  <c:v>6894.0083787306812</c:v>
                </c:pt>
                <c:pt idx="2">
                  <c:v>0</c:v>
                </c:pt>
              </c:numCache>
            </c:numRef>
          </c:val>
          <c:extLst>
            <c:ext xmlns:c16="http://schemas.microsoft.com/office/drawing/2014/chart" uri="{C3380CC4-5D6E-409C-BE32-E72D297353CC}">
              <c16:uniqueId val="{00000002-8968-467C-8010-E9568757BFC0}"/>
            </c:ext>
          </c:extLst>
        </c:ser>
        <c:dLbls>
          <c:showLegendKey val="0"/>
          <c:showVal val="0"/>
          <c:showCatName val="0"/>
          <c:showSerName val="0"/>
          <c:showPercent val="0"/>
          <c:showBubbleSize val="0"/>
        </c:dLbls>
        <c:gapWidth val="208"/>
        <c:axId val="1727492896"/>
        <c:axId val="1727493440"/>
      </c:barChart>
      <c:catAx>
        <c:axId val="1727489632"/>
        <c:scaling>
          <c:orientation val="minMax"/>
        </c:scaling>
        <c:delete val="0"/>
        <c:axPos val="b"/>
        <c:numFmt formatCode="General" sourceLinked="0"/>
        <c:majorTickMark val="out"/>
        <c:minorTickMark val="none"/>
        <c:tickLblPos val="nextTo"/>
        <c:crossAx val="1727490176"/>
        <c:crosses val="autoZero"/>
        <c:auto val="1"/>
        <c:lblAlgn val="ctr"/>
        <c:lblOffset val="100"/>
        <c:noMultiLvlLbl val="0"/>
      </c:catAx>
      <c:valAx>
        <c:axId val="1727490176"/>
        <c:scaling>
          <c:orientation val="minMax"/>
          <c:min val="0"/>
        </c:scaling>
        <c:delete val="0"/>
        <c:axPos val="l"/>
        <c:numFmt formatCode="_(* #,##0_);_(* \(#,##0\);_(* &quot;-&quot;??_);_(@_)" sourceLinked="1"/>
        <c:majorTickMark val="in"/>
        <c:minorTickMark val="none"/>
        <c:tickLblPos val="nextTo"/>
        <c:crossAx val="1727489632"/>
        <c:crosses val="autoZero"/>
        <c:crossBetween val="between"/>
      </c:valAx>
      <c:valAx>
        <c:axId val="1727493440"/>
        <c:scaling>
          <c:orientation val="minMax"/>
          <c:min val="0"/>
        </c:scaling>
        <c:delete val="0"/>
        <c:axPos val="r"/>
        <c:numFmt formatCode="_(* #,##0_);_(* \(#,##0\);_(* &quot;-&quot;??_);_(@_)" sourceLinked="1"/>
        <c:majorTickMark val="none"/>
        <c:minorTickMark val="none"/>
        <c:tickLblPos val="none"/>
        <c:spPr>
          <a:ln>
            <a:noFill/>
          </a:ln>
        </c:spPr>
        <c:crossAx val="1727492896"/>
        <c:crosses val="max"/>
        <c:crossBetween val="between"/>
      </c:valAx>
      <c:catAx>
        <c:axId val="1727492896"/>
        <c:scaling>
          <c:orientation val="minMax"/>
        </c:scaling>
        <c:delete val="1"/>
        <c:axPos val="b"/>
        <c:numFmt formatCode="General" sourceLinked="1"/>
        <c:majorTickMark val="out"/>
        <c:minorTickMark val="none"/>
        <c:tickLblPos val="nextTo"/>
        <c:crossAx val="1727493440"/>
        <c:crosses val="autoZero"/>
        <c:auto val="1"/>
        <c:lblAlgn val="ctr"/>
        <c:lblOffset val="100"/>
        <c:noMultiLvlLbl val="0"/>
      </c:catAx>
      <c:dTable>
        <c:showHorzBorder val="1"/>
        <c:showVertBorder val="1"/>
        <c:showOutline val="1"/>
        <c:showKeys val="1"/>
      </c:dTable>
    </c:plotArea>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582422342838214"/>
          <c:y val="0.13451573600789618"/>
          <c:w val="0.75857707106999972"/>
          <c:h val="0.6403502307993606"/>
        </c:manualLayout>
      </c:layout>
      <c:barChart>
        <c:barDir val="col"/>
        <c:grouping val="clustered"/>
        <c:varyColors val="0"/>
        <c:ser>
          <c:idx val="0"/>
          <c:order val="0"/>
          <c:tx>
            <c:v>Budget</c:v>
          </c:tx>
          <c:spPr>
            <a:solidFill>
              <a:schemeClr val="accent2">
                <a:lumMod val="40000"/>
                <a:lumOff val="60000"/>
              </a:schemeClr>
            </a:solidFill>
          </c:spPr>
          <c:invertIfNegative val="0"/>
          <c:cat>
            <c:strRef>
              <c:f>'Summary TCM'!$Y$143:$Y$144</c:f>
              <c:strCache>
                <c:ptCount val="2"/>
                <c:pt idx="0">
                  <c:v>OB</c:v>
                </c:pt>
                <c:pt idx="1">
                  <c:v>Coal</c:v>
                </c:pt>
              </c:strCache>
            </c:strRef>
          </c:cat>
          <c:val>
            <c:numRef>
              <c:f>'Summary TCM'!$Z$143:$Z$144</c:f>
              <c:numCache>
                <c:formatCode>_(* #,##0_);_(* \(#,##0\);_(* "-"??_);_(@_)</c:formatCode>
                <c:ptCount val="2"/>
                <c:pt idx="0">
                  <c:v>5025</c:v>
                </c:pt>
                <c:pt idx="1">
                  <c:v>360</c:v>
                </c:pt>
              </c:numCache>
            </c:numRef>
          </c:val>
          <c:extLst>
            <c:ext xmlns:c16="http://schemas.microsoft.com/office/drawing/2014/chart" uri="{C3380CC4-5D6E-409C-BE32-E72D297353CC}">
              <c16:uniqueId val="{00000000-35CA-4BBC-BB43-1EB572F14816}"/>
            </c:ext>
          </c:extLst>
        </c:ser>
        <c:ser>
          <c:idx val="2"/>
          <c:order val="2"/>
          <c:tx>
            <c:v>Outlook</c:v>
          </c:tx>
          <c:spPr>
            <a:solidFill>
              <a:schemeClr val="accent3">
                <a:lumMod val="40000"/>
                <a:lumOff val="60000"/>
              </a:schemeClr>
            </a:solidFill>
          </c:spPr>
          <c:invertIfNegative val="0"/>
          <c:cat>
            <c:strRef>
              <c:f>'Summary TCM'!$Y$143:$Y$144</c:f>
              <c:strCache>
                <c:ptCount val="2"/>
                <c:pt idx="0">
                  <c:v>OB</c:v>
                </c:pt>
                <c:pt idx="1">
                  <c:v>Coal</c:v>
                </c:pt>
              </c:strCache>
            </c:strRef>
          </c:cat>
          <c:val>
            <c:numRef>
              <c:f>'Summary TCM'!$AB$143:$AB$144</c:f>
              <c:numCache>
                <c:formatCode>_(* #,##0_);_(* \(#,##0\);_(* "-"??_);_(@_)</c:formatCode>
                <c:ptCount val="2"/>
                <c:pt idx="0">
                  <c:v>4030</c:v>
                </c:pt>
                <c:pt idx="1">
                  <c:v>325</c:v>
                </c:pt>
              </c:numCache>
            </c:numRef>
          </c:val>
          <c:extLst>
            <c:ext xmlns:c16="http://schemas.microsoft.com/office/drawing/2014/chart" uri="{C3380CC4-5D6E-409C-BE32-E72D297353CC}">
              <c16:uniqueId val="{00000001-35CA-4BBC-BB43-1EB572F14816}"/>
            </c:ext>
          </c:extLst>
        </c:ser>
        <c:dLbls>
          <c:showLegendKey val="0"/>
          <c:showVal val="0"/>
          <c:showCatName val="0"/>
          <c:showSerName val="0"/>
          <c:showPercent val="0"/>
          <c:showBubbleSize val="0"/>
        </c:dLbls>
        <c:gapWidth val="145"/>
        <c:axId val="1727491808"/>
        <c:axId val="1727485280"/>
      </c:barChart>
      <c:barChart>
        <c:barDir val="col"/>
        <c:grouping val="clustered"/>
        <c:varyColors val="0"/>
        <c:ser>
          <c:idx val="1"/>
          <c:order val="1"/>
          <c:tx>
            <c:v>Actual</c:v>
          </c:tx>
          <c:spPr>
            <a:solidFill>
              <a:srgbClr val="002060"/>
            </a:solidFill>
          </c:spPr>
          <c:invertIfNegative val="0"/>
          <c:cat>
            <c:strRef>
              <c:f>'Summary TCM'!$Y$143:$Y$144</c:f>
              <c:strCache>
                <c:ptCount val="2"/>
                <c:pt idx="0">
                  <c:v>OB</c:v>
                </c:pt>
                <c:pt idx="1">
                  <c:v>Coal</c:v>
                </c:pt>
              </c:strCache>
            </c:strRef>
          </c:cat>
          <c:val>
            <c:numRef>
              <c:f>'Summary TCM'!$AA$143:$AA$144</c:f>
              <c:numCache>
                <c:formatCode>_(* #,##0_);_(* \(#,##0\);_(* "-"??_);_(@_)</c:formatCode>
                <c:ptCount val="2"/>
                <c:pt idx="0">
                  <c:v>1092.502</c:v>
                </c:pt>
                <c:pt idx="1">
                  <c:v>58.487259999999999</c:v>
                </c:pt>
              </c:numCache>
            </c:numRef>
          </c:val>
          <c:extLst>
            <c:ext xmlns:c16="http://schemas.microsoft.com/office/drawing/2014/chart" uri="{C3380CC4-5D6E-409C-BE32-E72D297353CC}">
              <c16:uniqueId val="{00000002-35CA-4BBC-BB43-1EB572F14816}"/>
            </c:ext>
          </c:extLst>
        </c:ser>
        <c:dLbls>
          <c:showLegendKey val="0"/>
          <c:showVal val="0"/>
          <c:showCatName val="0"/>
          <c:showSerName val="0"/>
          <c:showPercent val="0"/>
          <c:showBubbleSize val="0"/>
        </c:dLbls>
        <c:gapWidth val="208"/>
        <c:axId val="1727484192"/>
        <c:axId val="1727490720"/>
      </c:barChart>
      <c:catAx>
        <c:axId val="1727491808"/>
        <c:scaling>
          <c:orientation val="minMax"/>
        </c:scaling>
        <c:delete val="0"/>
        <c:axPos val="b"/>
        <c:numFmt formatCode="General" sourceLinked="0"/>
        <c:majorTickMark val="out"/>
        <c:minorTickMark val="none"/>
        <c:tickLblPos val="nextTo"/>
        <c:crossAx val="1727485280"/>
        <c:crosses val="autoZero"/>
        <c:auto val="1"/>
        <c:lblAlgn val="ctr"/>
        <c:lblOffset val="100"/>
        <c:noMultiLvlLbl val="0"/>
      </c:catAx>
      <c:valAx>
        <c:axId val="1727485280"/>
        <c:scaling>
          <c:orientation val="minMax"/>
          <c:max val="6000"/>
          <c:min val="0"/>
        </c:scaling>
        <c:delete val="0"/>
        <c:axPos val="l"/>
        <c:numFmt formatCode="_(* #,##0_);_(* \(#,##0\);_(* &quot;-&quot;??_);_(@_)" sourceLinked="1"/>
        <c:majorTickMark val="in"/>
        <c:minorTickMark val="none"/>
        <c:tickLblPos val="nextTo"/>
        <c:crossAx val="1727491808"/>
        <c:crosses val="autoZero"/>
        <c:crossBetween val="between"/>
      </c:valAx>
      <c:valAx>
        <c:axId val="1727490720"/>
        <c:scaling>
          <c:orientation val="minMax"/>
          <c:max val="6000"/>
          <c:min val="0"/>
        </c:scaling>
        <c:delete val="0"/>
        <c:axPos val="r"/>
        <c:numFmt formatCode="_(* #,##0_);_(* \(#,##0\);_(* &quot;-&quot;??_);_(@_)" sourceLinked="1"/>
        <c:majorTickMark val="none"/>
        <c:minorTickMark val="none"/>
        <c:tickLblPos val="none"/>
        <c:spPr>
          <a:ln>
            <a:noFill/>
          </a:ln>
        </c:spPr>
        <c:crossAx val="1727484192"/>
        <c:crosses val="max"/>
        <c:crossBetween val="between"/>
      </c:valAx>
      <c:catAx>
        <c:axId val="1727484192"/>
        <c:scaling>
          <c:orientation val="minMax"/>
        </c:scaling>
        <c:delete val="1"/>
        <c:axPos val="b"/>
        <c:numFmt formatCode="General" sourceLinked="1"/>
        <c:majorTickMark val="out"/>
        <c:minorTickMark val="none"/>
        <c:tickLblPos val="nextTo"/>
        <c:crossAx val="1727490720"/>
        <c:crosses val="autoZero"/>
        <c:auto val="1"/>
        <c:lblAlgn val="ctr"/>
        <c:lblOffset val="100"/>
        <c:noMultiLvlLbl val="0"/>
      </c:catAx>
      <c:dTable>
        <c:showHorzBorder val="1"/>
        <c:showVertBorder val="1"/>
        <c:showOutline val="1"/>
        <c:showKeys val="1"/>
        <c:spPr>
          <a:ln w="9525">
            <a:noFill/>
          </a:ln>
        </c:spPr>
      </c:dTable>
    </c:plotArea>
    <c:plotVisOnly val="1"/>
    <c:dispBlanksAs val="gap"/>
    <c:showDLblsOverMax val="0"/>
  </c:chart>
  <c:txPr>
    <a:bodyPr/>
    <a:lstStyle/>
    <a:p>
      <a:pPr>
        <a:defRPr>
          <a:solidFill>
            <a:sysClr val="windowText" lastClr="000000"/>
          </a:solidFill>
        </a:defRPr>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58242053076699"/>
          <c:y val="0.15464151419804981"/>
          <c:w val="0.75857707106999972"/>
          <c:h val="0.6403502307993606"/>
        </c:manualLayout>
      </c:layout>
      <c:barChart>
        <c:barDir val="col"/>
        <c:grouping val="clustered"/>
        <c:varyColors val="0"/>
        <c:ser>
          <c:idx val="0"/>
          <c:order val="0"/>
          <c:tx>
            <c:v>Budget</c:v>
          </c:tx>
          <c:spPr>
            <a:solidFill>
              <a:schemeClr val="accent2">
                <a:lumMod val="40000"/>
                <a:lumOff val="60000"/>
              </a:schemeClr>
            </a:solidFill>
          </c:spPr>
          <c:invertIfNegative val="0"/>
          <c:cat>
            <c:strRef>
              <c:f>'Summary TCM'!$Y$162:$Y$169</c:f>
              <c:strCache>
                <c:ptCount val="8"/>
                <c:pt idx="0">
                  <c:v>TCM.HCV.LS</c:v>
                </c:pt>
                <c:pt idx="6">
                  <c:v>TCM.HCV.HS</c:v>
                </c:pt>
                <c:pt idx="7">
                  <c:v>TCM.HCV.MS</c:v>
                </c:pt>
              </c:strCache>
            </c:strRef>
          </c:cat>
          <c:val>
            <c:numRef>
              <c:f>'Summary TCM'!$Z$162:$Z$169</c:f>
              <c:numCache>
                <c:formatCode>_(* #,##0_);_(* \(#,##0\);_(* "-"??_);_(@_)</c:formatCode>
                <c:ptCount val="8"/>
                <c:pt idx="0">
                  <c:v>0.69762729927446654</c:v>
                </c:pt>
                <c:pt idx="6">
                  <c:v>1.7189415615136825</c:v>
                </c:pt>
                <c:pt idx="7">
                  <c:v>0</c:v>
                </c:pt>
              </c:numCache>
            </c:numRef>
          </c:val>
          <c:extLst>
            <c:ext xmlns:c16="http://schemas.microsoft.com/office/drawing/2014/chart" uri="{C3380CC4-5D6E-409C-BE32-E72D297353CC}">
              <c16:uniqueId val="{00000000-EC18-461F-BF8D-25607E37567C}"/>
            </c:ext>
          </c:extLst>
        </c:ser>
        <c:ser>
          <c:idx val="2"/>
          <c:order val="1"/>
          <c:tx>
            <c:v>Actual</c:v>
          </c:tx>
          <c:spPr>
            <a:solidFill>
              <a:srgbClr val="002060"/>
            </a:solidFill>
          </c:spPr>
          <c:invertIfNegative val="0"/>
          <c:cat>
            <c:strRef>
              <c:f>'Summary TCM'!$Y$162:$Y$169</c:f>
              <c:strCache>
                <c:ptCount val="8"/>
                <c:pt idx="0">
                  <c:v>TCM.HCV.LS</c:v>
                </c:pt>
                <c:pt idx="6">
                  <c:v>TCM.HCV.HS</c:v>
                </c:pt>
                <c:pt idx="7">
                  <c:v>TCM.HCV.MS</c:v>
                </c:pt>
              </c:strCache>
            </c:strRef>
          </c:cat>
          <c:val>
            <c:numRef>
              <c:f>'Summary TCM'!$AA$162:$AA$169</c:f>
              <c:numCache>
                <c:formatCode>_(* #,##0_);_(* \(#,##0\);_(* "-"??_);_(@_)</c:formatCode>
                <c:ptCount val="8"/>
                <c:pt idx="0">
                  <c:v>0.69874663020041416</c:v>
                </c:pt>
                <c:pt idx="6">
                  <c:v>1.7983363028613666</c:v>
                </c:pt>
                <c:pt idx="7">
                  <c:v>0</c:v>
                </c:pt>
              </c:numCache>
            </c:numRef>
          </c:val>
          <c:extLst>
            <c:ext xmlns:c16="http://schemas.microsoft.com/office/drawing/2014/chart" uri="{C3380CC4-5D6E-409C-BE32-E72D297353CC}">
              <c16:uniqueId val="{00000001-EC18-461F-BF8D-25607E37567C}"/>
            </c:ext>
          </c:extLst>
        </c:ser>
        <c:dLbls>
          <c:showLegendKey val="0"/>
          <c:showVal val="0"/>
          <c:showCatName val="0"/>
          <c:showSerName val="0"/>
          <c:showPercent val="0"/>
          <c:showBubbleSize val="0"/>
        </c:dLbls>
        <c:gapWidth val="145"/>
        <c:axId val="1727492352"/>
        <c:axId val="1727493984"/>
      </c:barChart>
      <c:catAx>
        <c:axId val="1727492352"/>
        <c:scaling>
          <c:orientation val="minMax"/>
        </c:scaling>
        <c:delete val="0"/>
        <c:axPos val="b"/>
        <c:numFmt formatCode="General" sourceLinked="0"/>
        <c:majorTickMark val="out"/>
        <c:minorTickMark val="none"/>
        <c:tickLblPos val="nextTo"/>
        <c:crossAx val="1727493984"/>
        <c:crosses val="autoZero"/>
        <c:auto val="1"/>
        <c:lblAlgn val="ctr"/>
        <c:lblOffset val="100"/>
        <c:noMultiLvlLbl val="0"/>
      </c:catAx>
      <c:valAx>
        <c:axId val="1727493984"/>
        <c:scaling>
          <c:orientation val="minMax"/>
          <c:min val="0"/>
        </c:scaling>
        <c:delete val="0"/>
        <c:axPos val="l"/>
        <c:numFmt formatCode="_(* #,##0_);_(* \(#,##0\);_(* &quot;-&quot;??_);_(@_)" sourceLinked="1"/>
        <c:majorTickMark val="in"/>
        <c:minorTickMark val="none"/>
        <c:tickLblPos val="nextTo"/>
        <c:crossAx val="1727492352"/>
        <c:crosses val="autoZero"/>
        <c:crossBetween val="between"/>
      </c:valAx>
      <c:dTable>
        <c:showHorzBorder val="1"/>
        <c:showVertBorder val="1"/>
        <c:showOutline val="1"/>
        <c:showKeys val="1"/>
      </c:dTable>
      <c:spPr>
        <a:solidFill>
          <a:schemeClr val="bg1">
            <a:lumMod val="95000"/>
          </a:schemeClr>
        </a:solidFill>
      </c:spPr>
    </c:plotArea>
    <c:plotVisOnly val="1"/>
    <c:dispBlanksAs val="gap"/>
    <c:showDLblsOverMax val="0"/>
  </c:chart>
  <c:spPr>
    <a:solidFill>
      <a:schemeClr val="bg1">
        <a:lumMod val="95000"/>
      </a:schemeClr>
    </a:solidFill>
  </c:spPr>
  <c:printSettings>
    <c:headerFooter/>
    <c:pageMargins b="0.75000000000000022" l="0.70000000000000018" r="0.70000000000000018" t="0.75000000000000022" header="0.3000000000000001" footer="0.3000000000000001"/>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58242053076699"/>
          <c:y val="0.14511182696835018"/>
          <c:w val="0.75857707106999972"/>
          <c:h val="0.6403502307993606"/>
        </c:manualLayout>
      </c:layout>
      <c:barChart>
        <c:barDir val="col"/>
        <c:grouping val="clustered"/>
        <c:varyColors val="0"/>
        <c:ser>
          <c:idx val="0"/>
          <c:order val="0"/>
          <c:tx>
            <c:v>Budget</c:v>
          </c:tx>
          <c:spPr>
            <a:solidFill>
              <a:schemeClr val="accent2">
                <a:lumMod val="40000"/>
                <a:lumOff val="60000"/>
              </a:schemeClr>
            </a:solidFill>
          </c:spPr>
          <c:invertIfNegative val="0"/>
          <c:cat>
            <c:strRef>
              <c:f>'Summary TCM'!$Y$172:$Y$173</c:f>
              <c:strCache>
                <c:ptCount val="2"/>
                <c:pt idx="0">
                  <c:v>Rain SB1</c:v>
                </c:pt>
                <c:pt idx="1">
                  <c:v>Rain SB2</c:v>
                </c:pt>
              </c:strCache>
            </c:strRef>
          </c:cat>
          <c:val>
            <c:numRef>
              <c:f>'Summary TCM'!$Z$172:$Z$173</c:f>
              <c:numCache>
                <c:formatCode>_(* #,##0_);_(* \(#,##0\);_(* "-"??_);_(@_)</c:formatCode>
                <c:ptCount val="2"/>
                <c:pt idx="0">
                  <c:v>0.14207093471609566</c:v>
                </c:pt>
                <c:pt idx="1">
                  <c:v>0.14207093471609566</c:v>
                </c:pt>
              </c:numCache>
            </c:numRef>
          </c:val>
          <c:extLst>
            <c:ext xmlns:c16="http://schemas.microsoft.com/office/drawing/2014/chart" uri="{C3380CC4-5D6E-409C-BE32-E72D297353CC}">
              <c16:uniqueId val="{00000000-1F4E-4FC3-98CD-589B84056406}"/>
            </c:ext>
          </c:extLst>
        </c:ser>
        <c:ser>
          <c:idx val="2"/>
          <c:order val="1"/>
          <c:tx>
            <c:v>Actual</c:v>
          </c:tx>
          <c:spPr>
            <a:solidFill>
              <a:srgbClr val="002060"/>
            </a:solidFill>
          </c:spPr>
          <c:invertIfNegative val="0"/>
          <c:cat>
            <c:strRef>
              <c:f>'Summary TCM'!$Y$172:$Y$173</c:f>
              <c:strCache>
                <c:ptCount val="2"/>
                <c:pt idx="0">
                  <c:v>Rain SB1</c:v>
                </c:pt>
                <c:pt idx="1">
                  <c:v>Rain SB2</c:v>
                </c:pt>
              </c:strCache>
            </c:strRef>
          </c:cat>
          <c:val>
            <c:numRef>
              <c:f>'Summary TCM'!$AA$172:$AA$173</c:f>
              <c:numCache>
                <c:formatCode>_(* #,##0_);_(* \(#,##0\);_(* "-"??_);_(@_)</c:formatCode>
                <c:ptCount val="2"/>
                <c:pt idx="0">
                  <c:v>0</c:v>
                </c:pt>
                <c:pt idx="1">
                  <c:v>0.1441435185185185</c:v>
                </c:pt>
              </c:numCache>
            </c:numRef>
          </c:val>
          <c:extLst>
            <c:ext xmlns:c16="http://schemas.microsoft.com/office/drawing/2014/chart" uri="{C3380CC4-5D6E-409C-BE32-E72D297353CC}">
              <c16:uniqueId val="{00000001-1F4E-4FC3-98CD-589B84056406}"/>
            </c:ext>
          </c:extLst>
        </c:ser>
        <c:dLbls>
          <c:showLegendKey val="0"/>
          <c:showVal val="0"/>
          <c:showCatName val="0"/>
          <c:showSerName val="0"/>
          <c:showPercent val="0"/>
          <c:showBubbleSize val="0"/>
        </c:dLbls>
        <c:gapWidth val="145"/>
        <c:axId val="1727495616"/>
        <c:axId val="1727496160"/>
      </c:barChart>
      <c:catAx>
        <c:axId val="1727495616"/>
        <c:scaling>
          <c:orientation val="minMax"/>
        </c:scaling>
        <c:delete val="0"/>
        <c:axPos val="b"/>
        <c:numFmt formatCode="General" sourceLinked="0"/>
        <c:majorTickMark val="out"/>
        <c:minorTickMark val="none"/>
        <c:tickLblPos val="nextTo"/>
        <c:crossAx val="1727496160"/>
        <c:crosses val="autoZero"/>
        <c:auto val="1"/>
        <c:lblAlgn val="ctr"/>
        <c:lblOffset val="100"/>
        <c:noMultiLvlLbl val="0"/>
      </c:catAx>
      <c:valAx>
        <c:axId val="1727496160"/>
        <c:scaling>
          <c:orientation val="minMax"/>
          <c:max val="0.5"/>
          <c:min val="0"/>
        </c:scaling>
        <c:delete val="0"/>
        <c:axPos val="l"/>
        <c:numFmt formatCode="_(* #,##0_);_(* \(#,##0\);_(* &quot;-&quot;??_);_(@_)" sourceLinked="1"/>
        <c:majorTickMark val="in"/>
        <c:minorTickMark val="none"/>
        <c:tickLblPos val="nextTo"/>
        <c:crossAx val="1727495616"/>
        <c:crosses val="autoZero"/>
        <c:crossBetween val="between"/>
      </c:valAx>
      <c:dTable>
        <c:showHorzBorder val="1"/>
        <c:showVertBorder val="1"/>
        <c:showOutline val="1"/>
        <c:showKeys val="1"/>
      </c:dTable>
      <c:spPr>
        <a:solidFill>
          <a:schemeClr val="bg1">
            <a:lumMod val="95000"/>
          </a:schemeClr>
        </a:solidFill>
      </c:spPr>
    </c:plotArea>
    <c:plotVisOnly val="1"/>
    <c:dispBlanksAs val="gap"/>
    <c:showDLblsOverMax val="0"/>
  </c:chart>
  <c:spPr>
    <a:solidFill>
      <a:schemeClr val="bg1">
        <a:lumMod val="95000"/>
      </a:schemeClr>
    </a:solidFill>
  </c:spPr>
  <c:printSettings>
    <c:headerFooter/>
    <c:pageMargins b="0.75000000000000022" l="0.70000000000000018" r="0.70000000000000018" t="0.75000000000000022" header="0.3000000000000001" footer="0.3000000000000001"/>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582422342838214"/>
          <c:y val="0.13451573600789618"/>
          <c:w val="0.75857707106999972"/>
          <c:h val="0.6403502307993606"/>
        </c:manualLayout>
      </c:layout>
      <c:barChart>
        <c:barDir val="col"/>
        <c:grouping val="clustered"/>
        <c:varyColors val="0"/>
        <c:ser>
          <c:idx val="0"/>
          <c:order val="0"/>
          <c:tx>
            <c:v>Budget</c:v>
          </c:tx>
          <c:spPr>
            <a:solidFill>
              <a:schemeClr val="accent2">
                <a:lumMod val="40000"/>
                <a:lumOff val="60000"/>
              </a:schemeClr>
            </a:solidFill>
          </c:spPr>
          <c:invertIfNegative val="0"/>
          <c:cat>
            <c:strRef>
              <c:f>'Summary TCM'!$Y$143:$Y$144</c:f>
              <c:strCache>
                <c:ptCount val="2"/>
                <c:pt idx="0">
                  <c:v>OB</c:v>
                </c:pt>
                <c:pt idx="1">
                  <c:v>Coal</c:v>
                </c:pt>
              </c:strCache>
            </c:strRef>
          </c:cat>
          <c:val>
            <c:numRef>
              <c:f>'Summary TCM'!$Z$152:$Z$153</c:f>
              <c:numCache>
                <c:formatCode>_(* #,##0_);_(* \(#,##0\);_(* "-"??_);_(@_)</c:formatCode>
                <c:ptCount val="2"/>
                <c:pt idx="0">
                  <c:v>13220.227390000031</c:v>
                </c:pt>
                <c:pt idx="1">
                  <c:v>915</c:v>
                </c:pt>
              </c:numCache>
            </c:numRef>
          </c:val>
          <c:extLst>
            <c:ext xmlns:c16="http://schemas.microsoft.com/office/drawing/2014/chart" uri="{C3380CC4-5D6E-409C-BE32-E72D297353CC}">
              <c16:uniqueId val="{00000000-896B-4835-B70A-BC1C1B92F868}"/>
            </c:ext>
          </c:extLst>
        </c:ser>
        <c:ser>
          <c:idx val="2"/>
          <c:order val="1"/>
          <c:tx>
            <c:v>Actual</c:v>
          </c:tx>
          <c:spPr>
            <a:solidFill>
              <a:srgbClr val="002060"/>
            </a:solidFill>
          </c:spPr>
          <c:invertIfNegative val="0"/>
          <c:cat>
            <c:strRef>
              <c:f>'Summary TCM'!$Y$143:$Y$144</c:f>
              <c:strCache>
                <c:ptCount val="2"/>
                <c:pt idx="0">
                  <c:v>OB</c:v>
                </c:pt>
                <c:pt idx="1">
                  <c:v>Coal</c:v>
                </c:pt>
              </c:strCache>
            </c:strRef>
          </c:cat>
          <c:val>
            <c:numRef>
              <c:f>'Summary TCM'!$AA$152:$AA$153</c:f>
              <c:numCache>
                <c:formatCode>_(* #,##0_);_(* \(#,##0\);_(* "-"??_);_(@_)</c:formatCode>
                <c:ptCount val="2"/>
                <c:pt idx="0">
                  <c:v>11523.740765500002</c:v>
                </c:pt>
                <c:pt idx="1">
                  <c:v>656.92003152444818</c:v>
                </c:pt>
              </c:numCache>
            </c:numRef>
          </c:val>
          <c:extLst>
            <c:ext xmlns:c16="http://schemas.microsoft.com/office/drawing/2014/chart" uri="{C3380CC4-5D6E-409C-BE32-E72D297353CC}">
              <c16:uniqueId val="{00000001-896B-4835-B70A-BC1C1B92F868}"/>
            </c:ext>
          </c:extLst>
        </c:ser>
        <c:dLbls>
          <c:showLegendKey val="0"/>
          <c:showVal val="0"/>
          <c:showCatName val="0"/>
          <c:showSerName val="0"/>
          <c:showPercent val="0"/>
          <c:showBubbleSize val="0"/>
        </c:dLbls>
        <c:gapWidth val="145"/>
        <c:axId val="1727486368"/>
        <c:axId val="1727496704"/>
      </c:barChart>
      <c:catAx>
        <c:axId val="1727486368"/>
        <c:scaling>
          <c:orientation val="minMax"/>
        </c:scaling>
        <c:delete val="0"/>
        <c:axPos val="b"/>
        <c:numFmt formatCode="General" sourceLinked="0"/>
        <c:majorTickMark val="out"/>
        <c:minorTickMark val="none"/>
        <c:tickLblPos val="nextTo"/>
        <c:crossAx val="1727496704"/>
        <c:crosses val="autoZero"/>
        <c:auto val="1"/>
        <c:lblAlgn val="ctr"/>
        <c:lblOffset val="100"/>
        <c:noMultiLvlLbl val="0"/>
      </c:catAx>
      <c:valAx>
        <c:axId val="1727496704"/>
        <c:scaling>
          <c:orientation val="minMax"/>
          <c:min val="0"/>
        </c:scaling>
        <c:delete val="0"/>
        <c:axPos val="l"/>
        <c:numFmt formatCode="_(* #,##0_);_(* \(#,##0\);_(* &quot;-&quot;??_);_(@_)" sourceLinked="1"/>
        <c:majorTickMark val="in"/>
        <c:minorTickMark val="none"/>
        <c:tickLblPos val="nextTo"/>
        <c:crossAx val="1727486368"/>
        <c:crosses val="autoZero"/>
        <c:crossBetween val="between"/>
      </c:valAx>
      <c:dTable>
        <c:showHorzBorder val="1"/>
        <c:showVertBorder val="1"/>
        <c:showOutline val="1"/>
        <c:showKeys val="1"/>
      </c:dTable>
      <c:spPr>
        <a:solidFill>
          <a:schemeClr val="bg1">
            <a:lumMod val="95000"/>
          </a:schemeClr>
        </a:solidFill>
      </c:spPr>
    </c:plotArea>
    <c:plotVisOnly val="1"/>
    <c:dispBlanksAs val="gap"/>
    <c:showDLblsOverMax val="0"/>
  </c:chart>
  <c:spPr>
    <a:solidFill>
      <a:schemeClr val="bg1">
        <a:lumMod val="95000"/>
      </a:schemeClr>
    </a:solidFill>
  </c:spPr>
  <c:printSettings>
    <c:headerFooter/>
    <c:pageMargins b="0.75000000000000022" l="0.70000000000000018" r="0.70000000000000018" t="0.75000000000000022" header="0.3000000000000001" footer="0.3000000000000001"/>
    <c:pageSetup/>
  </c:printSettings>
</c:chartSpace>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checked="Checked" firstButton="1" fmlaLink="$Y$156"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Radio" checked="Checked" firstButton="1" fmlaLink="$M$145"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6.png"/><Relationship Id="rId3" Type="http://schemas.openxmlformats.org/officeDocument/2006/relationships/image" Target="../media/image2.png"/><Relationship Id="rId7" Type="http://schemas.microsoft.com/office/2007/relationships/hdphoto" Target="../media/hdphoto3.wdp"/><Relationship Id="rId12" Type="http://schemas.openxmlformats.org/officeDocument/2006/relationships/chart" Target="../charts/chart4.xml"/><Relationship Id="rId2" Type="http://schemas.microsoft.com/office/2007/relationships/hdphoto" Target="../media/hdphoto1.wdp"/><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5.emf"/><Relationship Id="rId5" Type="http://schemas.openxmlformats.org/officeDocument/2006/relationships/image" Target="../media/image3.png"/><Relationship Id="rId15" Type="http://schemas.openxmlformats.org/officeDocument/2006/relationships/image" Target="../media/image7.png"/><Relationship Id="rId10" Type="http://schemas.openxmlformats.org/officeDocument/2006/relationships/chart" Target="../charts/chart3.xml"/><Relationship Id="rId4" Type="http://schemas.microsoft.com/office/2007/relationships/hdphoto" Target="../media/hdphoto2.wdp"/><Relationship Id="rId9" Type="http://schemas.openxmlformats.org/officeDocument/2006/relationships/chart" Target="../charts/chart2.xml"/><Relationship Id="rId14" Type="http://schemas.microsoft.com/office/2007/relationships/hdphoto" Target="../media/hdphoto4.wdp"/></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3" Type="http://schemas.openxmlformats.org/officeDocument/2006/relationships/image" Target="../media/image14.jpe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18" Type="http://schemas.openxmlformats.org/officeDocument/2006/relationships/image" Target="../media/image30.emf"/><Relationship Id="rId26" Type="http://schemas.openxmlformats.org/officeDocument/2006/relationships/image" Target="../media/image38.emf"/><Relationship Id="rId3" Type="http://schemas.openxmlformats.org/officeDocument/2006/relationships/chart" Target="../charts/chart8.xml"/><Relationship Id="rId21" Type="http://schemas.openxmlformats.org/officeDocument/2006/relationships/image" Target="../media/image33.emf"/><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image" Target="../media/image29.emf"/><Relationship Id="rId25" Type="http://schemas.openxmlformats.org/officeDocument/2006/relationships/image" Target="../media/image37.emf"/><Relationship Id="rId2" Type="http://schemas.openxmlformats.org/officeDocument/2006/relationships/chart" Target="../charts/chart7.xml"/><Relationship Id="rId16" Type="http://schemas.openxmlformats.org/officeDocument/2006/relationships/image" Target="../media/image28.emf"/><Relationship Id="rId20" Type="http://schemas.openxmlformats.org/officeDocument/2006/relationships/image" Target="../media/image32.emf"/><Relationship Id="rId29" Type="http://schemas.openxmlformats.org/officeDocument/2006/relationships/image" Target="../media/image41.emf"/><Relationship Id="rId1" Type="http://schemas.openxmlformats.org/officeDocument/2006/relationships/chart" Target="../charts/chart6.xml"/><Relationship Id="rId6" Type="http://schemas.openxmlformats.org/officeDocument/2006/relationships/chart" Target="../charts/chart10.xml"/><Relationship Id="rId11" Type="http://schemas.openxmlformats.org/officeDocument/2006/relationships/chart" Target="../charts/chart15.xml"/><Relationship Id="rId24" Type="http://schemas.openxmlformats.org/officeDocument/2006/relationships/image" Target="../media/image36.emf"/><Relationship Id="rId5" Type="http://schemas.openxmlformats.org/officeDocument/2006/relationships/chart" Target="../charts/chart9.xml"/><Relationship Id="rId15" Type="http://schemas.openxmlformats.org/officeDocument/2006/relationships/image" Target="../media/image27.emf"/><Relationship Id="rId23" Type="http://schemas.openxmlformats.org/officeDocument/2006/relationships/image" Target="../media/image35.emf"/><Relationship Id="rId28" Type="http://schemas.openxmlformats.org/officeDocument/2006/relationships/image" Target="../media/image40.emf"/><Relationship Id="rId10" Type="http://schemas.openxmlformats.org/officeDocument/2006/relationships/chart" Target="../charts/chart14.xml"/><Relationship Id="rId19" Type="http://schemas.openxmlformats.org/officeDocument/2006/relationships/image" Target="../media/image31.emf"/><Relationship Id="rId31" Type="http://schemas.openxmlformats.org/officeDocument/2006/relationships/image" Target="../media/image15.png"/><Relationship Id="rId4" Type="http://schemas.openxmlformats.org/officeDocument/2006/relationships/image" Target="../media/image25.emf"/><Relationship Id="rId9" Type="http://schemas.openxmlformats.org/officeDocument/2006/relationships/chart" Target="../charts/chart13.xml"/><Relationship Id="rId14" Type="http://schemas.openxmlformats.org/officeDocument/2006/relationships/image" Target="../media/image26.emf"/><Relationship Id="rId22" Type="http://schemas.openxmlformats.org/officeDocument/2006/relationships/image" Target="../media/image34.emf"/><Relationship Id="rId27" Type="http://schemas.openxmlformats.org/officeDocument/2006/relationships/image" Target="../media/image39.emf"/><Relationship Id="rId30" Type="http://schemas.openxmlformats.org/officeDocument/2006/relationships/image" Target="../media/image42.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60.png"/><Relationship Id="rId7" Type="http://schemas.openxmlformats.org/officeDocument/2006/relationships/image" Target="../media/image63.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62.png"/><Relationship Id="rId5" Type="http://schemas.openxmlformats.org/officeDocument/2006/relationships/image" Target="../media/image10.png"/><Relationship Id="rId4" Type="http://schemas.openxmlformats.org/officeDocument/2006/relationships/image" Target="../media/image6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0.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2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1.png"/></Relationships>
</file>

<file path=xl/drawings/_rels/vmlDrawing3.vml.rels><?xml version="1.0" encoding="UTF-8" standalone="yes"?>
<Relationships xmlns="http://schemas.openxmlformats.org/package/2006/relationships"><Relationship Id="rId8" Type="http://schemas.openxmlformats.org/officeDocument/2006/relationships/image" Target="../media/image23.emf"/><Relationship Id="rId13" Type="http://schemas.openxmlformats.org/officeDocument/2006/relationships/image" Target="../media/image46.emf"/><Relationship Id="rId18" Type="http://schemas.openxmlformats.org/officeDocument/2006/relationships/image" Target="../media/image51.emf"/><Relationship Id="rId26" Type="http://schemas.openxmlformats.org/officeDocument/2006/relationships/image" Target="../media/image59.emf"/><Relationship Id="rId3" Type="http://schemas.openxmlformats.org/officeDocument/2006/relationships/image" Target="../media/image18.emf"/><Relationship Id="rId21" Type="http://schemas.openxmlformats.org/officeDocument/2006/relationships/image" Target="../media/image54.emf"/><Relationship Id="rId7" Type="http://schemas.openxmlformats.org/officeDocument/2006/relationships/image" Target="../media/image22.emf"/><Relationship Id="rId12" Type="http://schemas.openxmlformats.org/officeDocument/2006/relationships/image" Target="../media/image45.emf"/><Relationship Id="rId17" Type="http://schemas.openxmlformats.org/officeDocument/2006/relationships/image" Target="../media/image50.emf"/><Relationship Id="rId25" Type="http://schemas.openxmlformats.org/officeDocument/2006/relationships/image" Target="../media/image58.emf"/><Relationship Id="rId2" Type="http://schemas.openxmlformats.org/officeDocument/2006/relationships/image" Target="../media/image17.emf"/><Relationship Id="rId16" Type="http://schemas.openxmlformats.org/officeDocument/2006/relationships/image" Target="../media/image49.emf"/><Relationship Id="rId20" Type="http://schemas.openxmlformats.org/officeDocument/2006/relationships/image" Target="../media/image53.emf"/><Relationship Id="rId1" Type="http://schemas.openxmlformats.org/officeDocument/2006/relationships/image" Target="../media/image16.emf"/><Relationship Id="rId6" Type="http://schemas.openxmlformats.org/officeDocument/2006/relationships/image" Target="../media/image21.emf"/><Relationship Id="rId11" Type="http://schemas.openxmlformats.org/officeDocument/2006/relationships/image" Target="../media/image44.emf"/><Relationship Id="rId24" Type="http://schemas.openxmlformats.org/officeDocument/2006/relationships/image" Target="../media/image57.emf"/><Relationship Id="rId5" Type="http://schemas.openxmlformats.org/officeDocument/2006/relationships/image" Target="../media/image20.emf"/><Relationship Id="rId15" Type="http://schemas.openxmlformats.org/officeDocument/2006/relationships/image" Target="../media/image48.emf"/><Relationship Id="rId23" Type="http://schemas.openxmlformats.org/officeDocument/2006/relationships/image" Target="../media/image56.emf"/><Relationship Id="rId10" Type="http://schemas.openxmlformats.org/officeDocument/2006/relationships/image" Target="../media/image43.emf"/><Relationship Id="rId19" Type="http://schemas.openxmlformats.org/officeDocument/2006/relationships/image" Target="../media/image52.emf"/><Relationship Id="rId4" Type="http://schemas.openxmlformats.org/officeDocument/2006/relationships/image" Target="../media/image19.emf"/><Relationship Id="rId9" Type="http://schemas.openxmlformats.org/officeDocument/2006/relationships/image" Target="../media/image24.emf"/><Relationship Id="rId14" Type="http://schemas.openxmlformats.org/officeDocument/2006/relationships/image" Target="../media/image47.emf"/><Relationship Id="rId22" Type="http://schemas.openxmlformats.org/officeDocument/2006/relationships/image" Target="../media/image55.emf"/></Relationships>
</file>

<file path=xl/drawings/drawing1.xml><?xml version="1.0" encoding="utf-8"?>
<xdr:wsDr xmlns:xdr="http://schemas.openxmlformats.org/drawingml/2006/spreadsheetDrawing" xmlns:a="http://schemas.openxmlformats.org/drawingml/2006/main">
  <xdr:twoCellAnchor editAs="oneCell">
    <xdr:from>
      <xdr:col>5</xdr:col>
      <xdr:colOff>437704</xdr:colOff>
      <xdr:row>6</xdr:row>
      <xdr:rowOff>136757</xdr:rowOff>
    </xdr:from>
    <xdr:to>
      <xdr:col>5</xdr:col>
      <xdr:colOff>1452880</xdr:colOff>
      <xdr:row>13</xdr:row>
      <xdr:rowOff>141834</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299" b="94627" l="529" r="94974"/>
                  </a14:imgEffect>
                </a14:imgLayer>
              </a14:imgProps>
            </a:ext>
            <a:ext uri="{28A0092B-C50C-407E-A947-70E740481C1C}">
              <a14:useLocalDpi xmlns:a14="http://schemas.microsoft.com/office/drawing/2010/main" val="0"/>
            </a:ext>
          </a:extLst>
        </a:blip>
        <a:srcRect/>
        <a:stretch>
          <a:fillRect/>
        </a:stretch>
      </xdr:blipFill>
      <xdr:spPr bwMode="auto">
        <a:xfrm>
          <a:off x="4895404" y="1717907"/>
          <a:ext cx="1015176" cy="187197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editAs="oneCell">
    <xdr:from>
      <xdr:col>11</xdr:col>
      <xdr:colOff>227623</xdr:colOff>
      <xdr:row>41</xdr:row>
      <xdr:rowOff>106679</xdr:rowOff>
    </xdr:from>
    <xdr:to>
      <xdr:col>13</xdr:col>
      <xdr:colOff>152399</xdr:colOff>
      <xdr:row>48</xdr:row>
      <xdr:rowOff>184394</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6965" b="100000" l="0" r="100000"/>
                  </a14:imgEffect>
                </a14:imgLayer>
              </a14:imgProps>
            </a:ext>
            <a:ext uri="{28A0092B-C50C-407E-A947-70E740481C1C}">
              <a14:useLocalDpi xmlns:a14="http://schemas.microsoft.com/office/drawing/2010/main" val="0"/>
            </a:ext>
          </a:extLst>
        </a:blip>
        <a:srcRect/>
        <a:stretch>
          <a:fillRect/>
        </a:stretch>
      </xdr:blipFill>
      <xdr:spPr bwMode="auto">
        <a:xfrm flipH="1">
          <a:off x="13760743" y="9921239"/>
          <a:ext cx="2454616" cy="1923833"/>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editAs="oneCell">
    <xdr:from>
      <xdr:col>3</xdr:col>
      <xdr:colOff>115569</xdr:colOff>
      <xdr:row>2</xdr:row>
      <xdr:rowOff>68580</xdr:rowOff>
    </xdr:from>
    <xdr:to>
      <xdr:col>4</xdr:col>
      <xdr:colOff>1617704</xdr:colOff>
      <xdr:row>5</xdr:row>
      <xdr:rowOff>133350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5"/>
        <a:stretch>
          <a:fillRect/>
        </a:stretch>
      </xdr:blipFill>
      <xdr:spPr>
        <a:xfrm>
          <a:off x="2211069" y="525780"/>
          <a:ext cx="2111735" cy="922020"/>
        </a:xfrm>
        <a:prstGeom prst="rect">
          <a:avLst/>
        </a:prstGeom>
      </xdr:spPr>
    </xdr:pic>
    <xdr:clientData/>
  </xdr:twoCellAnchor>
  <xdr:twoCellAnchor editAs="oneCell">
    <xdr:from>
      <xdr:col>23</xdr:col>
      <xdr:colOff>624840</xdr:colOff>
      <xdr:row>12</xdr:row>
      <xdr:rowOff>76200</xdr:rowOff>
    </xdr:from>
    <xdr:to>
      <xdr:col>25</xdr:col>
      <xdr:colOff>15240</xdr:colOff>
      <xdr:row>16</xdr:row>
      <xdr:rowOff>151426</xdr:rowOff>
    </xdr:to>
    <xdr:pic>
      <xdr:nvPicPr>
        <xdr:cNvPr id="5" name="Picture 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6965" b="100000" l="0" r="100000"/>
                  </a14:imgEffect>
                </a14:imgLayer>
              </a14:imgProps>
            </a:ext>
            <a:ext uri="{28A0092B-C50C-407E-A947-70E740481C1C}">
              <a14:useLocalDpi xmlns:a14="http://schemas.microsoft.com/office/drawing/2010/main" val="0"/>
            </a:ext>
          </a:extLst>
        </a:blip>
        <a:srcRect/>
        <a:stretch>
          <a:fillRect/>
        </a:stretch>
      </xdr:blipFill>
      <xdr:spPr bwMode="auto">
        <a:xfrm flipH="1">
          <a:off x="19789140" y="2857500"/>
          <a:ext cx="1981200" cy="113163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21</xdr:col>
      <xdr:colOff>63500</xdr:colOff>
      <xdr:row>39</xdr:row>
      <xdr:rowOff>12700</xdr:rowOff>
    </xdr:from>
    <xdr:to>
      <xdr:col>24</xdr:col>
      <xdr:colOff>38100</xdr:colOff>
      <xdr:row>40</xdr:row>
      <xdr:rowOff>12700</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88900</xdr:colOff>
      <xdr:row>55</xdr:row>
      <xdr:rowOff>12700</xdr:rowOff>
    </xdr:from>
    <xdr:to>
      <xdr:col>24</xdr:col>
      <xdr:colOff>0</xdr:colOff>
      <xdr:row>56</xdr:row>
      <xdr:rowOff>13853</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38100</xdr:colOff>
      <xdr:row>71</xdr:row>
      <xdr:rowOff>25400</xdr:rowOff>
    </xdr:from>
    <xdr:to>
      <xdr:col>24</xdr:col>
      <xdr:colOff>0</xdr:colOff>
      <xdr:row>72</xdr:row>
      <xdr:rowOff>32905</xdr:rowOff>
    </xdr:to>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472439</xdr:colOff>
      <xdr:row>3</xdr:row>
      <xdr:rowOff>118109</xdr:rowOff>
    </xdr:from>
    <xdr:to>
      <xdr:col>17</xdr:col>
      <xdr:colOff>502919</xdr:colOff>
      <xdr:row>9</xdr:row>
      <xdr:rowOff>180339</xdr:rowOff>
    </xdr:to>
    <xdr:grpSp>
      <xdr:nvGrpSpPr>
        <xdr:cNvPr id="9" name="Group 8">
          <a:extLst>
            <a:ext uri="{FF2B5EF4-FFF2-40B4-BE49-F238E27FC236}">
              <a16:creationId xmlns:a16="http://schemas.microsoft.com/office/drawing/2014/main" id="{00000000-0008-0000-0200-000009000000}"/>
            </a:ext>
          </a:extLst>
        </xdr:cNvPr>
        <xdr:cNvGrpSpPr/>
      </xdr:nvGrpSpPr>
      <xdr:grpSpPr>
        <a:xfrm>
          <a:off x="20179664" y="784859"/>
          <a:ext cx="3973830" cy="1738630"/>
          <a:chOff x="3305330" y="1874081"/>
          <a:chExt cx="1482538" cy="487797"/>
        </a:xfrm>
      </xdr:grpSpPr>
      <xdr:sp macro="" textlink="">
        <xdr:nvSpPr>
          <xdr:cNvPr id="10" name="Rectangle 9">
            <a:extLst>
              <a:ext uri="{FF2B5EF4-FFF2-40B4-BE49-F238E27FC236}">
                <a16:creationId xmlns:a16="http://schemas.microsoft.com/office/drawing/2014/main" id="{00000000-0008-0000-0200-00000A000000}"/>
              </a:ext>
            </a:extLst>
          </xdr:cNvPr>
          <xdr:cNvSpPr/>
        </xdr:nvSpPr>
        <xdr:spPr>
          <a:xfrm>
            <a:off x="3305330" y="1874081"/>
            <a:ext cx="1482538" cy="487797"/>
          </a:xfrm>
          <a:prstGeom prst="rect">
            <a:avLst/>
          </a:prstGeom>
          <a:solidFill>
            <a:schemeClr val="accent1">
              <a:lumMod val="40000"/>
              <a:lumOff val="60000"/>
            </a:schemeClr>
          </a:solidFill>
          <a:ln w="6350">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2400" b="1">
                <a:solidFill>
                  <a:schemeClr val="accent1"/>
                </a:solidFill>
                <a:latin typeface="+mn-lt"/>
                <a:ea typeface="+mn-ea"/>
                <a:cs typeface="+mn-cs"/>
              </a:rPr>
              <a:t>HAC STOCK</a:t>
            </a:r>
          </a:p>
        </xdr:txBody>
      </xdr:sp>
      <xdr:grpSp>
        <xdr:nvGrpSpPr>
          <xdr:cNvPr id="11" name="Group 10">
            <a:extLst>
              <a:ext uri="{FF2B5EF4-FFF2-40B4-BE49-F238E27FC236}">
                <a16:creationId xmlns:a16="http://schemas.microsoft.com/office/drawing/2014/main" id="{00000000-0008-0000-0200-00000B000000}"/>
              </a:ext>
            </a:extLst>
          </xdr:cNvPr>
          <xdr:cNvGrpSpPr/>
        </xdr:nvGrpSpPr>
        <xdr:grpSpPr>
          <a:xfrm>
            <a:off x="3307114" y="1914352"/>
            <a:ext cx="859265" cy="404316"/>
            <a:chOff x="10556999" y="3351267"/>
            <a:chExt cx="859265" cy="404316"/>
          </a:xfrm>
        </xdr:grpSpPr>
        <xdr:sp macro="" textlink="">
          <xdr:nvSpPr>
            <xdr:cNvPr id="12" name="Isosceles Triangle 11">
              <a:extLst>
                <a:ext uri="{FF2B5EF4-FFF2-40B4-BE49-F238E27FC236}">
                  <a16:creationId xmlns:a16="http://schemas.microsoft.com/office/drawing/2014/main" id="{00000000-0008-0000-0200-00000C000000}"/>
                </a:ext>
              </a:extLst>
            </xdr:cNvPr>
            <xdr:cNvSpPr/>
          </xdr:nvSpPr>
          <xdr:spPr>
            <a:xfrm>
              <a:off x="10556999" y="3351267"/>
              <a:ext cx="639644" cy="351099"/>
            </a:xfrm>
            <a:prstGeom prst="triangle">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3" name="Isosceles Triangle 12">
              <a:extLst>
                <a:ext uri="{FF2B5EF4-FFF2-40B4-BE49-F238E27FC236}">
                  <a16:creationId xmlns:a16="http://schemas.microsoft.com/office/drawing/2014/main" id="{00000000-0008-0000-0200-00000D000000}"/>
                </a:ext>
              </a:extLst>
            </xdr:cNvPr>
            <xdr:cNvSpPr/>
          </xdr:nvSpPr>
          <xdr:spPr>
            <a:xfrm>
              <a:off x="10782565" y="3441267"/>
              <a:ext cx="566943" cy="311896"/>
            </a:xfrm>
            <a:prstGeom prst="triangle">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4" name="Isosceles Triangle 13">
              <a:extLst>
                <a:ext uri="{FF2B5EF4-FFF2-40B4-BE49-F238E27FC236}">
                  <a16:creationId xmlns:a16="http://schemas.microsoft.com/office/drawing/2014/main" id="{00000000-0008-0000-0200-00000E000000}"/>
                </a:ext>
              </a:extLst>
            </xdr:cNvPr>
            <xdr:cNvSpPr/>
          </xdr:nvSpPr>
          <xdr:spPr>
            <a:xfrm>
              <a:off x="10994210" y="3505212"/>
              <a:ext cx="422054" cy="250371"/>
            </a:xfrm>
            <a:prstGeom prst="triangle">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24</xdr:col>
      <xdr:colOff>163829</xdr:colOff>
      <xdr:row>48</xdr:row>
      <xdr:rowOff>49531</xdr:rowOff>
    </xdr:from>
    <xdr:to>
      <xdr:col>27</xdr:col>
      <xdr:colOff>636269</xdr:colOff>
      <xdr:row>57</xdr:row>
      <xdr:rowOff>30481</xdr:rowOff>
    </xdr:to>
    <xdr:grpSp>
      <xdr:nvGrpSpPr>
        <xdr:cNvPr id="15" name="Group 14">
          <a:extLst>
            <a:ext uri="{FF2B5EF4-FFF2-40B4-BE49-F238E27FC236}">
              <a16:creationId xmlns:a16="http://schemas.microsoft.com/office/drawing/2014/main" id="{00000000-0008-0000-0200-00000F000000}"/>
            </a:ext>
          </a:extLst>
        </xdr:cNvPr>
        <xdr:cNvGrpSpPr/>
      </xdr:nvGrpSpPr>
      <xdr:grpSpPr>
        <a:xfrm>
          <a:off x="33568004" y="12813031"/>
          <a:ext cx="3053715" cy="2352675"/>
          <a:chOff x="27056918" y="2584283"/>
          <a:chExt cx="2705100" cy="1592579"/>
        </a:xfrm>
      </xdr:grpSpPr>
      <xdr:sp macro="" textlink="">
        <xdr:nvSpPr>
          <xdr:cNvPr id="16" name="Rectangle 15">
            <a:extLst>
              <a:ext uri="{FF2B5EF4-FFF2-40B4-BE49-F238E27FC236}">
                <a16:creationId xmlns:a16="http://schemas.microsoft.com/office/drawing/2014/main" id="{00000000-0008-0000-0200-000010000000}"/>
              </a:ext>
            </a:extLst>
          </xdr:cNvPr>
          <xdr:cNvSpPr/>
        </xdr:nvSpPr>
        <xdr:spPr>
          <a:xfrm>
            <a:off x="27056918" y="2584283"/>
            <a:ext cx="2705100" cy="1592579"/>
          </a:xfrm>
          <a:prstGeom prst="rect">
            <a:avLst/>
          </a:prstGeom>
          <a:solidFill>
            <a:schemeClr val="accent1">
              <a:lumMod val="40000"/>
              <a:lumOff val="60000"/>
            </a:schemeClr>
          </a:solidFill>
          <a:ln w="6350">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2000" b="1">
                <a:solidFill>
                  <a:schemeClr val="accent1"/>
                </a:solidFill>
                <a:latin typeface="+mn-lt"/>
                <a:ea typeface="+mn-ea"/>
                <a:cs typeface="+mn-cs"/>
              </a:rPr>
              <a:t>TCM CRUSHER</a:t>
            </a:r>
          </a:p>
          <a:p>
            <a:pPr marL="0" indent="0" algn="r"/>
            <a:r>
              <a:rPr lang="en-US" sz="2000" b="1">
                <a:solidFill>
                  <a:schemeClr val="accent1"/>
                </a:solidFill>
                <a:latin typeface="+mn-lt"/>
                <a:ea typeface="+mn-ea"/>
                <a:cs typeface="+mn-cs"/>
              </a:rPr>
              <a:t> at Bunyut</a:t>
            </a:r>
          </a:p>
        </xdr:txBody>
      </xdr:sp>
      <xdr:pic>
        <xdr:nvPicPr>
          <xdr:cNvPr id="17" name="Picture 16">
            <a:extLst>
              <a:ext uri="{FF2B5EF4-FFF2-40B4-BE49-F238E27FC236}">
                <a16:creationId xmlns:a16="http://schemas.microsoft.com/office/drawing/2014/main" id="{00000000-0008-0000-0200-000011000000}"/>
              </a:ext>
            </a:extLst>
          </xdr:cNvPr>
          <xdr:cNvPicPr>
            <a:picLocks noChangeAspect="1" noChangeArrowheads="1"/>
          </xdr:cNvPicPr>
        </xdr:nvPicPr>
        <xdr:blipFill>
          <a:blip xmlns:r="http://schemas.openxmlformats.org/officeDocument/2006/relationships" r:embed="rId11" cstate="email"/>
          <a:srcRect l="71546" t="14568" r="26457" b="74173"/>
          <a:stretch>
            <a:fillRect/>
          </a:stretch>
        </xdr:blipFill>
        <xdr:spPr bwMode="auto">
          <a:xfrm>
            <a:off x="27113266" y="2647148"/>
            <a:ext cx="1220002" cy="1485802"/>
          </a:xfrm>
          <a:prstGeom prst="rect">
            <a:avLst/>
          </a:prstGeom>
          <a:noFill/>
          <a:ln w="9525">
            <a:noFill/>
            <a:miter lim="800000"/>
            <a:headEnd/>
            <a:tailEnd/>
          </a:ln>
          <a:effectLst/>
        </xdr:spPr>
      </xdr:pic>
    </xdr:grpSp>
    <xdr:clientData/>
  </xdr:twoCellAnchor>
  <xdr:twoCellAnchor>
    <xdr:from>
      <xdr:col>25</xdr:col>
      <xdr:colOff>424816</xdr:colOff>
      <xdr:row>71</xdr:row>
      <xdr:rowOff>163834</xdr:rowOff>
    </xdr:from>
    <xdr:to>
      <xdr:col>25</xdr:col>
      <xdr:colOff>426720</xdr:colOff>
      <xdr:row>77</xdr:row>
      <xdr:rowOff>198120</xdr:rowOff>
    </xdr:to>
    <xdr:cxnSp macro="">
      <xdr:nvCxnSpPr>
        <xdr:cNvPr id="18" name="Elbow Connector 17">
          <a:extLst>
            <a:ext uri="{FF2B5EF4-FFF2-40B4-BE49-F238E27FC236}">
              <a16:creationId xmlns:a16="http://schemas.microsoft.com/office/drawing/2014/main" id="{00000000-0008-0000-0200-000012000000}"/>
            </a:ext>
          </a:extLst>
        </xdr:cNvPr>
        <xdr:cNvCxnSpPr/>
      </xdr:nvCxnSpPr>
      <xdr:spPr>
        <a:xfrm rot="16200000" flipH="1">
          <a:off x="22826665" y="17645065"/>
          <a:ext cx="1558286" cy="1904"/>
        </a:xfrm>
        <a:prstGeom prst="bentConnector3">
          <a:avLst>
            <a:gd name="adj1" fmla="val 50000"/>
          </a:avLst>
        </a:prstGeom>
        <a:ln w="53975">
          <a:solidFill>
            <a:schemeClr val="tx2">
              <a:lumMod val="60000"/>
              <a:lumOff val="40000"/>
            </a:schemeClr>
          </a:solidFill>
          <a:headEnd type="diamond" w="lg" len="lg"/>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594361</xdr:colOff>
      <xdr:row>63</xdr:row>
      <xdr:rowOff>201240</xdr:rowOff>
    </xdr:from>
    <xdr:to>
      <xdr:col>28</xdr:col>
      <xdr:colOff>609600</xdr:colOff>
      <xdr:row>71</xdr:row>
      <xdr:rowOff>11433</xdr:rowOff>
    </xdr:to>
    <xdr:grpSp>
      <xdr:nvGrpSpPr>
        <xdr:cNvPr id="19" name="Group 18">
          <a:extLst>
            <a:ext uri="{FF2B5EF4-FFF2-40B4-BE49-F238E27FC236}">
              <a16:creationId xmlns:a16="http://schemas.microsoft.com/office/drawing/2014/main" id="{00000000-0008-0000-0200-000013000000}"/>
            </a:ext>
          </a:extLst>
        </xdr:cNvPr>
        <xdr:cNvGrpSpPr/>
      </xdr:nvGrpSpPr>
      <xdr:grpSpPr>
        <a:xfrm>
          <a:off x="35312986" y="16917615"/>
          <a:ext cx="2063114" cy="1886643"/>
          <a:chOff x="3335378" y="2751160"/>
          <a:chExt cx="1482538" cy="487797"/>
        </a:xfrm>
      </xdr:grpSpPr>
      <xdr:sp macro="" textlink="">
        <xdr:nvSpPr>
          <xdr:cNvPr id="20" name="Rectangle 19">
            <a:extLst>
              <a:ext uri="{FF2B5EF4-FFF2-40B4-BE49-F238E27FC236}">
                <a16:creationId xmlns:a16="http://schemas.microsoft.com/office/drawing/2014/main" id="{00000000-0008-0000-0200-000014000000}"/>
              </a:ext>
            </a:extLst>
          </xdr:cNvPr>
          <xdr:cNvSpPr/>
        </xdr:nvSpPr>
        <xdr:spPr>
          <a:xfrm>
            <a:off x="3335378" y="2751160"/>
            <a:ext cx="1482538" cy="487797"/>
          </a:xfrm>
          <a:prstGeom prst="rect">
            <a:avLst/>
          </a:prstGeom>
          <a:solidFill>
            <a:schemeClr val="accent1">
              <a:lumMod val="40000"/>
              <a:lumOff val="60000"/>
            </a:schemeClr>
          </a:solidFill>
          <a:ln w="6350">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2000" b="1">
                <a:solidFill>
                  <a:schemeClr val="accent1"/>
                </a:solidFill>
                <a:latin typeface="+mn-lt"/>
                <a:ea typeface="+mn-ea"/>
                <a:cs typeface="+mn-cs"/>
              </a:rPr>
              <a:t>PORT STOCK YARD</a:t>
            </a:r>
          </a:p>
        </xdr:txBody>
      </xdr:sp>
      <xdr:grpSp>
        <xdr:nvGrpSpPr>
          <xdr:cNvPr id="21" name="Group 20">
            <a:extLst>
              <a:ext uri="{FF2B5EF4-FFF2-40B4-BE49-F238E27FC236}">
                <a16:creationId xmlns:a16="http://schemas.microsoft.com/office/drawing/2014/main" id="{00000000-0008-0000-0200-000015000000}"/>
              </a:ext>
            </a:extLst>
          </xdr:cNvPr>
          <xdr:cNvGrpSpPr/>
        </xdr:nvGrpSpPr>
        <xdr:grpSpPr>
          <a:xfrm>
            <a:off x="3363323" y="2793968"/>
            <a:ext cx="901027" cy="394641"/>
            <a:chOff x="10613208" y="4230883"/>
            <a:chExt cx="901027" cy="394641"/>
          </a:xfrm>
        </xdr:grpSpPr>
        <xdr:sp macro="" textlink="">
          <xdr:nvSpPr>
            <xdr:cNvPr id="22" name="Isosceles Triangle 21">
              <a:extLst>
                <a:ext uri="{FF2B5EF4-FFF2-40B4-BE49-F238E27FC236}">
                  <a16:creationId xmlns:a16="http://schemas.microsoft.com/office/drawing/2014/main" id="{00000000-0008-0000-0200-000016000000}"/>
                </a:ext>
              </a:extLst>
            </xdr:cNvPr>
            <xdr:cNvSpPr/>
          </xdr:nvSpPr>
          <xdr:spPr>
            <a:xfrm>
              <a:off x="10613208" y="4230883"/>
              <a:ext cx="639644" cy="351099"/>
            </a:xfrm>
            <a:prstGeom prst="triangle">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23" name="Isosceles Triangle 22">
              <a:extLst>
                <a:ext uri="{FF2B5EF4-FFF2-40B4-BE49-F238E27FC236}">
                  <a16:creationId xmlns:a16="http://schemas.microsoft.com/office/drawing/2014/main" id="{00000000-0008-0000-0200-000017000000}"/>
                </a:ext>
              </a:extLst>
            </xdr:cNvPr>
            <xdr:cNvSpPr/>
          </xdr:nvSpPr>
          <xdr:spPr>
            <a:xfrm>
              <a:off x="10852696" y="4291857"/>
              <a:ext cx="566943" cy="311896"/>
            </a:xfrm>
            <a:prstGeom prst="triangle">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24" name="Isosceles Triangle 23">
              <a:extLst>
                <a:ext uri="{FF2B5EF4-FFF2-40B4-BE49-F238E27FC236}">
                  <a16:creationId xmlns:a16="http://schemas.microsoft.com/office/drawing/2014/main" id="{00000000-0008-0000-0200-000018000000}"/>
                </a:ext>
              </a:extLst>
            </xdr:cNvPr>
            <xdr:cNvSpPr/>
          </xdr:nvSpPr>
          <xdr:spPr>
            <a:xfrm>
              <a:off x="11092181" y="4375153"/>
              <a:ext cx="422054" cy="250371"/>
            </a:xfrm>
            <a:prstGeom prst="triangle">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31</xdr:col>
      <xdr:colOff>30480</xdr:colOff>
      <xdr:row>66</xdr:row>
      <xdr:rowOff>213360</xdr:rowOff>
    </xdr:from>
    <xdr:to>
      <xdr:col>35</xdr:col>
      <xdr:colOff>30480</xdr:colOff>
      <xdr:row>67</xdr:row>
      <xdr:rowOff>213360</xdr:rowOff>
    </xdr:to>
    <xdr:graphicFrame macro="">
      <xdr:nvGraphicFramePr>
        <xdr:cNvPr id="25" name="Chart 24">
          <a:extLst>
            <a:ext uri="{FF2B5EF4-FFF2-40B4-BE49-F238E27FC236}">
              <a16:creationId xmlns:a16="http://schemas.microsoft.com/office/drawing/2014/main" id="{00000000-0008-0000-02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335280</xdr:colOff>
      <xdr:row>8</xdr:row>
      <xdr:rowOff>137160</xdr:rowOff>
    </xdr:from>
    <xdr:to>
      <xdr:col>12</xdr:col>
      <xdr:colOff>518160</xdr:colOff>
      <xdr:row>79</xdr:row>
      <xdr:rowOff>30480</xdr:rowOff>
    </xdr:to>
    <xdr:cxnSp macro="">
      <xdr:nvCxnSpPr>
        <xdr:cNvPr id="26" name="Elbow Connector 25">
          <a:extLst>
            <a:ext uri="{FF2B5EF4-FFF2-40B4-BE49-F238E27FC236}">
              <a16:creationId xmlns:a16="http://schemas.microsoft.com/office/drawing/2014/main" id="{00000000-0008-0000-0200-00001A000000}"/>
            </a:ext>
          </a:extLst>
        </xdr:cNvPr>
        <xdr:cNvCxnSpPr/>
      </xdr:nvCxnSpPr>
      <xdr:spPr>
        <a:xfrm rot="5400000">
          <a:off x="-2301240" y="6477000"/>
          <a:ext cx="16809720" cy="7879080"/>
        </a:xfrm>
        <a:prstGeom prst="bentConnector3">
          <a:avLst>
            <a:gd name="adj1" fmla="val 23073"/>
          </a:avLst>
        </a:prstGeom>
        <a:ln w="53975">
          <a:solidFill>
            <a:schemeClr val="tx2">
              <a:lumMod val="60000"/>
              <a:lumOff val="40000"/>
            </a:schemeClr>
          </a:solidFill>
          <a:headEnd type="diamond" w="lg" len="lg"/>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1361026</xdr:colOff>
      <xdr:row>4</xdr:row>
      <xdr:rowOff>377190</xdr:rowOff>
    </xdr:from>
    <xdr:to>
      <xdr:col>8</xdr:col>
      <xdr:colOff>81279</xdr:colOff>
      <xdr:row>13</xdr:row>
      <xdr:rowOff>118756</xdr:rowOff>
    </xdr:to>
    <xdr:grpSp>
      <xdr:nvGrpSpPr>
        <xdr:cNvPr id="27" name="Group 26">
          <a:extLst>
            <a:ext uri="{FF2B5EF4-FFF2-40B4-BE49-F238E27FC236}">
              <a16:creationId xmlns:a16="http://schemas.microsoft.com/office/drawing/2014/main" id="{00000000-0008-0000-0200-00001B000000}"/>
            </a:ext>
          </a:extLst>
        </xdr:cNvPr>
        <xdr:cNvGrpSpPr/>
      </xdr:nvGrpSpPr>
      <xdr:grpSpPr>
        <a:xfrm>
          <a:off x="5694901" y="1263015"/>
          <a:ext cx="4501928" cy="2256166"/>
          <a:chOff x="8205631" y="316877"/>
          <a:chExt cx="3086100" cy="1504950"/>
        </a:xfrm>
      </xdr:grpSpPr>
      <xdr:sp macro="" textlink="">
        <xdr:nvSpPr>
          <xdr:cNvPr id="28" name="Rectangle 27">
            <a:extLst>
              <a:ext uri="{FF2B5EF4-FFF2-40B4-BE49-F238E27FC236}">
                <a16:creationId xmlns:a16="http://schemas.microsoft.com/office/drawing/2014/main" id="{00000000-0008-0000-0200-00001C000000}"/>
              </a:ext>
            </a:extLst>
          </xdr:cNvPr>
          <xdr:cNvSpPr/>
        </xdr:nvSpPr>
        <xdr:spPr>
          <a:xfrm>
            <a:off x="8205631" y="316877"/>
            <a:ext cx="3086100" cy="1504950"/>
          </a:xfrm>
          <a:prstGeom prst="rect">
            <a:avLst/>
          </a:prstGeom>
          <a:solidFill>
            <a:schemeClr val="accent1">
              <a:lumMod val="40000"/>
              <a:lumOff val="60000"/>
            </a:schemeClr>
          </a:solidFill>
          <a:ln w="6350">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a:solidFill>
                  <a:schemeClr val="accent1"/>
                </a:solidFill>
                <a:latin typeface="+mn-lt"/>
                <a:ea typeface="+mn-ea"/>
                <a:cs typeface="+mn-cs"/>
              </a:rPr>
              <a:t>                                            MINE</a:t>
            </a:r>
          </a:p>
          <a:p>
            <a:pPr marL="0" indent="0" algn="l"/>
            <a:r>
              <a:rPr lang="en-US" sz="1800" b="1">
                <a:solidFill>
                  <a:schemeClr val="accent1"/>
                </a:solidFill>
                <a:latin typeface="+mn-lt"/>
                <a:ea typeface="+mn-ea"/>
                <a:cs typeface="+mn-cs"/>
              </a:rPr>
              <a:t>                                            AREA</a:t>
            </a:r>
          </a:p>
        </xdr:txBody>
      </xdr:sp>
      <xdr:pic>
        <xdr:nvPicPr>
          <xdr:cNvPr id="29" name="Picture 28">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3">
            <a:extLst>
              <a:ext uri="{BEBA8EAE-BF5A-486C-A8C5-ECC9F3942E4B}">
                <a14:imgProps xmlns:a14="http://schemas.microsoft.com/office/drawing/2010/main">
                  <a14:imgLayer r:embed="rId14">
                    <a14:imgEffect>
                      <a14:sharpenSoften amount="-50000"/>
                    </a14:imgEffect>
                  </a14:imgLayer>
                </a14:imgProps>
              </a:ext>
            </a:extLst>
          </a:blip>
          <a:stretch>
            <a:fillRect/>
          </a:stretch>
        </xdr:blipFill>
        <xdr:spPr>
          <a:xfrm>
            <a:off x="8255487" y="582087"/>
            <a:ext cx="1406775" cy="114741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grpSp>
    <xdr:clientData/>
  </xdr:twoCellAnchor>
  <xdr:twoCellAnchor>
    <xdr:from>
      <xdr:col>16</xdr:col>
      <xdr:colOff>521970</xdr:colOff>
      <xdr:row>21</xdr:row>
      <xdr:rowOff>0</xdr:rowOff>
    </xdr:from>
    <xdr:to>
      <xdr:col>21</xdr:col>
      <xdr:colOff>213360</xdr:colOff>
      <xdr:row>28</xdr:row>
      <xdr:rowOff>182880</xdr:rowOff>
    </xdr:to>
    <xdr:grpSp>
      <xdr:nvGrpSpPr>
        <xdr:cNvPr id="31" name="Group 30">
          <a:extLst>
            <a:ext uri="{FF2B5EF4-FFF2-40B4-BE49-F238E27FC236}">
              <a16:creationId xmlns:a16="http://schemas.microsoft.com/office/drawing/2014/main" id="{00000000-0008-0000-0200-00001F000000}"/>
            </a:ext>
          </a:extLst>
        </xdr:cNvPr>
        <xdr:cNvGrpSpPr/>
      </xdr:nvGrpSpPr>
      <xdr:grpSpPr>
        <a:xfrm>
          <a:off x="22458045" y="5524500"/>
          <a:ext cx="7368540" cy="1935480"/>
          <a:chOff x="3298370" y="2004698"/>
          <a:chExt cx="1482538" cy="487797"/>
        </a:xfrm>
      </xdr:grpSpPr>
      <xdr:sp macro="" textlink="">
        <xdr:nvSpPr>
          <xdr:cNvPr id="32" name="Rectangle 31">
            <a:extLst>
              <a:ext uri="{FF2B5EF4-FFF2-40B4-BE49-F238E27FC236}">
                <a16:creationId xmlns:a16="http://schemas.microsoft.com/office/drawing/2014/main" id="{00000000-0008-0000-0200-000020000000}"/>
              </a:ext>
            </a:extLst>
          </xdr:cNvPr>
          <xdr:cNvSpPr/>
        </xdr:nvSpPr>
        <xdr:spPr>
          <a:xfrm>
            <a:off x="3298370" y="2004698"/>
            <a:ext cx="1482538" cy="487797"/>
          </a:xfrm>
          <a:prstGeom prst="rect">
            <a:avLst/>
          </a:prstGeom>
          <a:solidFill>
            <a:schemeClr val="accent1">
              <a:lumMod val="40000"/>
              <a:lumOff val="60000"/>
            </a:schemeClr>
          </a:solidFill>
          <a:ln w="6350">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2400" b="1">
                <a:solidFill>
                  <a:schemeClr val="accent1"/>
                </a:solidFill>
                <a:latin typeface="+mn-lt"/>
                <a:ea typeface="+mn-ea"/>
                <a:cs typeface="+mn-cs"/>
              </a:rPr>
              <a:t>ROM STOCK</a:t>
            </a:r>
          </a:p>
        </xdr:txBody>
      </xdr:sp>
      <xdr:grpSp>
        <xdr:nvGrpSpPr>
          <xdr:cNvPr id="33" name="Group 32">
            <a:extLst>
              <a:ext uri="{FF2B5EF4-FFF2-40B4-BE49-F238E27FC236}">
                <a16:creationId xmlns:a16="http://schemas.microsoft.com/office/drawing/2014/main" id="{00000000-0008-0000-0200-000021000000}"/>
              </a:ext>
            </a:extLst>
          </xdr:cNvPr>
          <xdr:cNvGrpSpPr/>
        </xdr:nvGrpSpPr>
        <xdr:grpSpPr>
          <a:xfrm>
            <a:off x="3341915" y="2054644"/>
            <a:ext cx="901027" cy="394641"/>
            <a:chOff x="10591800" y="3491559"/>
            <a:chExt cx="901027" cy="394641"/>
          </a:xfrm>
        </xdr:grpSpPr>
        <xdr:sp macro="" textlink="">
          <xdr:nvSpPr>
            <xdr:cNvPr id="34" name="Isosceles Triangle 33">
              <a:extLst>
                <a:ext uri="{FF2B5EF4-FFF2-40B4-BE49-F238E27FC236}">
                  <a16:creationId xmlns:a16="http://schemas.microsoft.com/office/drawing/2014/main" id="{00000000-0008-0000-0200-000022000000}"/>
                </a:ext>
              </a:extLst>
            </xdr:cNvPr>
            <xdr:cNvSpPr/>
          </xdr:nvSpPr>
          <xdr:spPr>
            <a:xfrm>
              <a:off x="10591800" y="3491559"/>
              <a:ext cx="639644" cy="351099"/>
            </a:xfrm>
            <a:prstGeom prst="triangle">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35" name="Isosceles Triangle 34">
              <a:extLst>
                <a:ext uri="{FF2B5EF4-FFF2-40B4-BE49-F238E27FC236}">
                  <a16:creationId xmlns:a16="http://schemas.microsoft.com/office/drawing/2014/main" id="{00000000-0008-0000-0200-000023000000}"/>
                </a:ext>
              </a:extLst>
            </xdr:cNvPr>
            <xdr:cNvSpPr/>
          </xdr:nvSpPr>
          <xdr:spPr>
            <a:xfrm>
              <a:off x="10831287" y="3552533"/>
              <a:ext cx="566943" cy="311896"/>
            </a:xfrm>
            <a:prstGeom prst="triangle">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36" name="Isosceles Triangle 35">
              <a:extLst>
                <a:ext uri="{FF2B5EF4-FFF2-40B4-BE49-F238E27FC236}">
                  <a16:creationId xmlns:a16="http://schemas.microsoft.com/office/drawing/2014/main" id="{00000000-0008-0000-0200-000024000000}"/>
                </a:ext>
              </a:extLst>
            </xdr:cNvPr>
            <xdr:cNvSpPr/>
          </xdr:nvSpPr>
          <xdr:spPr>
            <a:xfrm>
              <a:off x="11070773" y="3635829"/>
              <a:ext cx="422054" cy="250371"/>
            </a:xfrm>
            <a:prstGeom prst="triangle">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21</xdr:col>
      <xdr:colOff>685800</xdr:colOff>
      <xdr:row>27</xdr:row>
      <xdr:rowOff>57150</xdr:rowOff>
    </xdr:from>
    <xdr:to>
      <xdr:col>25</xdr:col>
      <xdr:colOff>274320</xdr:colOff>
      <xdr:row>47</xdr:row>
      <xdr:rowOff>121920</xdr:rowOff>
    </xdr:to>
    <xdr:cxnSp macro="">
      <xdr:nvCxnSpPr>
        <xdr:cNvPr id="37" name="Elbow Connector 36">
          <a:extLst>
            <a:ext uri="{FF2B5EF4-FFF2-40B4-BE49-F238E27FC236}">
              <a16:creationId xmlns:a16="http://schemas.microsoft.com/office/drawing/2014/main" id="{00000000-0008-0000-0200-000025000000}"/>
            </a:ext>
          </a:extLst>
        </xdr:cNvPr>
        <xdr:cNvCxnSpPr/>
      </xdr:nvCxnSpPr>
      <xdr:spPr>
        <a:xfrm rot="16200000" flipH="1">
          <a:off x="18720435" y="6604635"/>
          <a:ext cx="4895850" cy="4572000"/>
        </a:xfrm>
        <a:prstGeom prst="bentConnector3">
          <a:avLst>
            <a:gd name="adj1" fmla="val 506"/>
          </a:avLst>
        </a:prstGeom>
        <a:ln w="53975">
          <a:solidFill>
            <a:schemeClr val="tx2">
              <a:lumMod val="60000"/>
              <a:lumOff val="40000"/>
            </a:schemeClr>
          </a:solidFill>
          <a:headEnd type="diamond" w="lg" len="lg"/>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278130</xdr:colOff>
      <xdr:row>33</xdr:row>
      <xdr:rowOff>133350</xdr:rowOff>
    </xdr:from>
    <xdr:to>
      <xdr:col>16</xdr:col>
      <xdr:colOff>38100</xdr:colOff>
      <xdr:row>45</xdr:row>
      <xdr:rowOff>38100</xdr:rowOff>
    </xdr:to>
    <xdr:cxnSp macro="">
      <xdr:nvCxnSpPr>
        <xdr:cNvPr id="38" name="Elbow Connector 37">
          <a:extLst>
            <a:ext uri="{FF2B5EF4-FFF2-40B4-BE49-F238E27FC236}">
              <a16:creationId xmlns:a16="http://schemas.microsoft.com/office/drawing/2014/main" id="{00000000-0008-0000-0200-000026000000}"/>
            </a:ext>
          </a:extLst>
        </xdr:cNvPr>
        <xdr:cNvCxnSpPr/>
      </xdr:nvCxnSpPr>
      <xdr:spPr>
        <a:xfrm flipV="1">
          <a:off x="19461480" y="9105900"/>
          <a:ext cx="3131820" cy="3067050"/>
        </a:xfrm>
        <a:prstGeom prst="bentConnector3">
          <a:avLst>
            <a:gd name="adj1" fmla="val 50000"/>
          </a:avLst>
        </a:prstGeom>
        <a:ln w="53975">
          <a:solidFill>
            <a:schemeClr val="tx2">
              <a:lumMod val="60000"/>
              <a:lumOff val="40000"/>
            </a:schemeClr>
          </a:solidFill>
          <a:headEnd type="diamond" w="lg" len="lg"/>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106680</xdr:colOff>
      <xdr:row>77</xdr:row>
      <xdr:rowOff>186689</xdr:rowOff>
    </xdr:from>
    <xdr:to>
      <xdr:col>27</xdr:col>
      <xdr:colOff>716280</xdr:colOff>
      <xdr:row>86</xdr:row>
      <xdr:rowOff>144780</xdr:rowOff>
    </xdr:to>
    <xdr:sp macro="" textlink="">
      <xdr:nvSpPr>
        <xdr:cNvPr id="41" name="Rectangle 40">
          <a:extLst>
            <a:ext uri="{FF2B5EF4-FFF2-40B4-BE49-F238E27FC236}">
              <a16:creationId xmlns:a16="http://schemas.microsoft.com/office/drawing/2014/main" id="{00000000-0008-0000-0200-000029000000}"/>
            </a:ext>
          </a:extLst>
        </xdr:cNvPr>
        <xdr:cNvSpPr/>
      </xdr:nvSpPr>
      <xdr:spPr>
        <a:xfrm>
          <a:off x="21930360" y="18413729"/>
          <a:ext cx="3276600" cy="2152651"/>
        </a:xfrm>
        <a:prstGeom prst="rect">
          <a:avLst/>
        </a:prstGeom>
        <a:solidFill>
          <a:schemeClr val="accent1">
            <a:lumMod val="40000"/>
            <a:lumOff val="60000"/>
          </a:schemeClr>
        </a:solidFill>
        <a:ln w="6350">
          <a:solidFill>
            <a:schemeClr val="accent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2000" b="1">
              <a:solidFill>
                <a:schemeClr val="accent1"/>
              </a:solidFill>
              <a:latin typeface="+mn-lt"/>
              <a:ea typeface="+mn-ea"/>
              <a:cs typeface="+mn-cs"/>
            </a:rPr>
            <a:t>BARGES</a:t>
          </a:r>
        </a:p>
      </xdr:txBody>
    </xdr:sp>
    <xdr:clientData/>
  </xdr:twoCellAnchor>
  <xdr:twoCellAnchor>
    <xdr:from>
      <xdr:col>26</xdr:col>
      <xdr:colOff>438149</xdr:colOff>
      <xdr:row>57</xdr:row>
      <xdr:rowOff>182880</xdr:rowOff>
    </xdr:from>
    <xdr:to>
      <xdr:col>26</xdr:col>
      <xdr:colOff>441960</xdr:colOff>
      <xdr:row>63</xdr:row>
      <xdr:rowOff>213359</xdr:rowOff>
    </xdr:to>
    <xdr:cxnSp macro="">
      <xdr:nvCxnSpPr>
        <xdr:cNvPr id="43" name="Elbow Connector 42">
          <a:extLst>
            <a:ext uri="{FF2B5EF4-FFF2-40B4-BE49-F238E27FC236}">
              <a16:creationId xmlns:a16="http://schemas.microsoft.com/office/drawing/2014/main" id="{00000000-0008-0000-0200-00002B000000}"/>
            </a:ext>
          </a:extLst>
        </xdr:cNvPr>
        <xdr:cNvCxnSpPr/>
      </xdr:nvCxnSpPr>
      <xdr:spPr>
        <a:xfrm rot="16200000" flipH="1">
          <a:off x="22919055" y="14384654"/>
          <a:ext cx="1402079" cy="3811"/>
        </a:xfrm>
        <a:prstGeom prst="bentConnector3">
          <a:avLst>
            <a:gd name="adj1" fmla="val 50000"/>
          </a:avLst>
        </a:prstGeom>
        <a:ln w="53975">
          <a:solidFill>
            <a:schemeClr val="tx2">
              <a:lumMod val="60000"/>
              <a:lumOff val="40000"/>
            </a:schemeClr>
          </a:solidFill>
          <a:headEnd type="diamond" w="lg" len="lg"/>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327659</xdr:colOff>
      <xdr:row>80</xdr:row>
      <xdr:rowOff>19048</xdr:rowOff>
    </xdr:from>
    <xdr:to>
      <xdr:col>27</xdr:col>
      <xdr:colOff>617280</xdr:colOff>
      <xdr:row>84</xdr:row>
      <xdr:rowOff>211685</xdr:rowOff>
    </xdr:to>
    <xdr:pic>
      <xdr:nvPicPr>
        <xdr:cNvPr id="46" name="Picture 45">
          <a:extLst>
            <a:ext uri="{FF2B5EF4-FFF2-40B4-BE49-F238E27FC236}">
              <a16:creationId xmlns:a16="http://schemas.microsoft.com/office/drawing/2014/main" id="{00000000-0008-0000-0200-00002E000000}"/>
            </a:ext>
          </a:extLst>
        </xdr:cNvPr>
        <xdr:cNvPicPr>
          <a:picLocks noChangeAspect="1"/>
        </xdr:cNvPicPr>
      </xdr:nvPicPr>
      <xdr:blipFill>
        <a:blip xmlns:r="http://schemas.openxmlformats.org/officeDocument/2006/relationships" r:embed="rId15"/>
        <a:stretch>
          <a:fillRect/>
        </a:stretch>
      </xdr:blipFill>
      <xdr:spPr>
        <a:xfrm>
          <a:off x="22151339" y="18931888"/>
          <a:ext cx="2956621" cy="1258571"/>
        </a:xfrm>
        <a:prstGeom prst="rect">
          <a:avLst/>
        </a:prstGeom>
      </xdr:spPr>
    </xdr:pic>
    <xdr:clientData/>
  </xdr:twoCellAnchor>
  <xdr:twoCellAnchor>
    <xdr:from>
      <xdr:col>20</xdr:col>
      <xdr:colOff>198120</xdr:colOff>
      <xdr:row>17</xdr:row>
      <xdr:rowOff>213360</xdr:rowOff>
    </xdr:from>
    <xdr:to>
      <xdr:col>26</xdr:col>
      <xdr:colOff>685800</xdr:colOff>
      <xdr:row>47</xdr:row>
      <xdr:rowOff>137160</xdr:rowOff>
    </xdr:to>
    <xdr:cxnSp macro="">
      <xdr:nvCxnSpPr>
        <xdr:cNvPr id="52" name="Elbow Connector 51">
          <a:extLst>
            <a:ext uri="{FF2B5EF4-FFF2-40B4-BE49-F238E27FC236}">
              <a16:creationId xmlns:a16="http://schemas.microsoft.com/office/drawing/2014/main" id="{00000000-0008-0000-0200-000034000000}"/>
            </a:ext>
          </a:extLst>
        </xdr:cNvPr>
        <xdr:cNvCxnSpPr/>
      </xdr:nvCxnSpPr>
      <xdr:spPr>
        <a:xfrm>
          <a:off x="17175480" y="4312920"/>
          <a:ext cx="7299960" cy="7010400"/>
        </a:xfrm>
        <a:prstGeom prst="bentConnector3">
          <a:avLst>
            <a:gd name="adj1" fmla="val 100104"/>
          </a:avLst>
        </a:prstGeom>
        <a:ln w="53975">
          <a:solidFill>
            <a:schemeClr val="tx2">
              <a:lumMod val="60000"/>
              <a:lumOff val="40000"/>
            </a:schemeClr>
          </a:solidFill>
          <a:headEnd type="diamond" w="lg" len="lg"/>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30480</xdr:colOff>
      <xdr:row>22</xdr:row>
      <xdr:rowOff>45729</xdr:rowOff>
    </xdr:from>
    <xdr:to>
      <xdr:col>25</xdr:col>
      <xdr:colOff>209550</xdr:colOff>
      <xdr:row>26</xdr:row>
      <xdr:rowOff>30480</xdr:rowOff>
    </xdr:to>
    <xdr:grpSp>
      <xdr:nvGrpSpPr>
        <xdr:cNvPr id="44" name="Group 43">
          <a:extLst>
            <a:ext uri="{FF2B5EF4-FFF2-40B4-BE49-F238E27FC236}">
              <a16:creationId xmlns:a16="http://schemas.microsoft.com/office/drawing/2014/main" id="{00000000-0008-0000-0200-00002C000000}"/>
            </a:ext>
          </a:extLst>
        </xdr:cNvPr>
        <xdr:cNvGrpSpPr>
          <a:grpSpLocks/>
        </xdr:cNvGrpSpPr>
      </xdr:nvGrpSpPr>
      <xdr:grpSpPr bwMode="auto">
        <a:xfrm>
          <a:off x="30996255" y="5760729"/>
          <a:ext cx="3931920" cy="1013451"/>
          <a:chOff x="1944" y="3504"/>
          <a:chExt cx="1608" cy="384"/>
        </a:xfrm>
      </xdr:grpSpPr>
      <xdr:sp macro="" textlink="">
        <xdr:nvSpPr>
          <xdr:cNvPr id="45" name="Freeform 44">
            <a:extLst>
              <a:ext uri="{FF2B5EF4-FFF2-40B4-BE49-F238E27FC236}">
                <a16:creationId xmlns:a16="http://schemas.microsoft.com/office/drawing/2014/main" id="{00000000-0008-0000-0200-00002D000000}"/>
              </a:ext>
            </a:extLst>
          </xdr:cNvPr>
          <xdr:cNvSpPr>
            <a:spLocks/>
          </xdr:cNvSpPr>
        </xdr:nvSpPr>
        <xdr:spPr bwMode="auto">
          <a:xfrm>
            <a:off x="3262" y="3504"/>
            <a:ext cx="290" cy="292"/>
          </a:xfrm>
          <a:custGeom>
            <a:avLst/>
            <a:gdLst>
              <a:gd name="T0" fmla="*/ 28 w 290"/>
              <a:gd name="T1" fmla="*/ 256 h 292"/>
              <a:gd name="T2" fmla="*/ 40 w 290"/>
              <a:gd name="T3" fmla="*/ 0 h 292"/>
              <a:gd name="T4" fmla="*/ 200 w 290"/>
              <a:gd name="T5" fmla="*/ 12 h 292"/>
              <a:gd name="T6" fmla="*/ 244 w 290"/>
              <a:gd name="T7" fmla="*/ 108 h 292"/>
              <a:gd name="T8" fmla="*/ 256 w 290"/>
              <a:gd name="T9" fmla="*/ 148 h 292"/>
              <a:gd name="T10" fmla="*/ 204 w 290"/>
              <a:gd name="T11" fmla="*/ 280 h 292"/>
              <a:gd name="T12" fmla="*/ 140 w 290"/>
              <a:gd name="T13" fmla="*/ 224 h 292"/>
              <a:gd name="T14" fmla="*/ 80 w 290"/>
              <a:gd name="T15" fmla="*/ 284 h 292"/>
              <a:gd name="T16" fmla="*/ 0 w 290"/>
              <a:gd name="T17" fmla="*/ 292 h 29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290"/>
              <a:gd name="T28" fmla="*/ 0 h 292"/>
              <a:gd name="T29" fmla="*/ 290 w 290"/>
              <a:gd name="T30" fmla="*/ 292 h 292"/>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290" h="292">
                <a:moveTo>
                  <a:pt x="28" y="256"/>
                </a:moveTo>
                <a:cubicBezTo>
                  <a:pt x="40" y="171"/>
                  <a:pt x="28" y="85"/>
                  <a:pt x="40" y="0"/>
                </a:cubicBezTo>
                <a:cubicBezTo>
                  <a:pt x="93" y="4"/>
                  <a:pt x="147" y="8"/>
                  <a:pt x="200" y="12"/>
                </a:cubicBezTo>
                <a:cubicBezTo>
                  <a:pt x="226" y="38"/>
                  <a:pt x="224" y="78"/>
                  <a:pt x="244" y="108"/>
                </a:cubicBezTo>
                <a:cubicBezTo>
                  <a:pt x="247" y="122"/>
                  <a:pt x="256" y="148"/>
                  <a:pt x="256" y="148"/>
                </a:cubicBezTo>
                <a:cubicBezTo>
                  <a:pt x="252" y="277"/>
                  <a:pt x="290" y="290"/>
                  <a:pt x="204" y="280"/>
                </a:cubicBezTo>
                <a:cubicBezTo>
                  <a:pt x="197" y="238"/>
                  <a:pt x="179" y="234"/>
                  <a:pt x="140" y="224"/>
                </a:cubicBezTo>
                <a:cubicBezTo>
                  <a:pt x="39" y="232"/>
                  <a:pt x="110" y="224"/>
                  <a:pt x="80" y="284"/>
                </a:cubicBezTo>
                <a:cubicBezTo>
                  <a:pt x="77" y="290"/>
                  <a:pt x="7" y="292"/>
                  <a:pt x="0" y="292"/>
                </a:cubicBezTo>
              </a:path>
            </a:pathLst>
          </a:custGeom>
          <a:solidFill>
            <a:srgbClr val="0000FF"/>
          </a:solidFill>
          <a:ln w="9525">
            <a:solidFill>
              <a:schemeClr val="bg2"/>
            </a:solidFill>
            <a:round/>
            <a:headEnd/>
            <a:tailEnd/>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grpSp>
        <xdr:nvGrpSpPr>
          <xdr:cNvPr id="47" name="Group 46">
            <a:extLst>
              <a:ext uri="{FF2B5EF4-FFF2-40B4-BE49-F238E27FC236}">
                <a16:creationId xmlns:a16="http://schemas.microsoft.com/office/drawing/2014/main" id="{00000000-0008-0000-0200-00002F000000}"/>
              </a:ext>
            </a:extLst>
          </xdr:cNvPr>
          <xdr:cNvGrpSpPr>
            <a:grpSpLocks/>
          </xdr:cNvGrpSpPr>
        </xdr:nvGrpSpPr>
        <xdr:grpSpPr bwMode="auto">
          <a:xfrm>
            <a:off x="1944" y="3552"/>
            <a:ext cx="1512" cy="336"/>
            <a:chOff x="3048" y="3552"/>
            <a:chExt cx="1512" cy="336"/>
          </a:xfrm>
        </xdr:grpSpPr>
        <xdr:sp macro="" textlink="">
          <xdr:nvSpPr>
            <xdr:cNvPr id="48" name="Rectangle 47">
              <a:extLst>
                <a:ext uri="{FF2B5EF4-FFF2-40B4-BE49-F238E27FC236}">
                  <a16:creationId xmlns:a16="http://schemas.microsoft.com/office/drawing/2014/main" id="{00000000-0008-0000-0200-000030000000}"/>
                </a:ext>
              </a:extLst>
            </xdr:cNvPr>
            <xdr:cNvSpPr>
              <a:spLocks noChangeArrowheads="1"/>
            </xdr:cNvSpPr>
          </xdr:nvSpPr>
          <xdr:spPr bwMode="auto">
            <a:xfrm>
              <a:off x="3048" y="3552"/>
              <a:ext cx="1320" cy="240"/>
            </a:xfrm>
            <a:prstGeom prst="rect">
              <a:avLst/>
            </a:prstGeom>
            <a:solidFill>
              <a:schemeClr val="bg1">
                <a:lumMod val="75000"/>
              </a:schemeClr>
            </a:solidFill>
            <a:ln w="9525">
              <a:solidFill>
                <a:schemeClr val="tx1"/>
              </a:solidFill>
              <a:miter lim="800000"/>
              <a:headEnd/>
              <a:tailEnd/>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eaLnBrk="1" hangingPunct="1"/>
              <a:endParaRPr lang="en-US" altLang="en-US" sz="2200"/>
            </a:p>
          </xdr:txBody>
        </xdr:sp>
        <xdr:sp macro="" textlink="">
          <xdr:nvSpPr>
            <xdr:cNvPr id="49" name="Oval 48">
              <a:extLst>
                <a:ext uri="{FF2B5EF4-FFF2-40B4-BE49-F238E27FC236}">
                  <a16:creationId xmlns:a16="http://schemas.microsoft.com/office/drawing/2014/main" id="{00000000-0008-0000-0200-000031000000}"/>
                </a:ext>
              </a:extLst>
            </xdr:cNvPr>
            <xdr:cNvSpPr>
              <a:spLocks noChangeArrowheads="1"/>
            </xdr:cNvSpPr>
          </xdr:nvSpPr>
          <xdr:spPr bwMode="auto">
            <a:xfrm>
              <a:off x="3072" y="3744"/>
              <a:ext cx="144" cy="144"/>
            </a:xfrm>
            <a:prstGeom prst="ellipse">
              <a:avLst/>
            </a:prstGeom>
            <a:solidFill>
              <a:schemeClr val="tx1"/>
            </a:solidFill>
            <a:ln w="9525">
              <a:solidFill>
                <a:schemeClr val="bg2"/>
              </a:solidFill>
              <a:round/>
              <a:headEnd/>
              <a:tailEnd/>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eaLnBrk="1" hangingPunct="1"/>
              <a:endParaRPr lang="en-US" altLang="en-US" sz="2200"/>
            </a:p>
          </xdr:txBody>
        </xdr:sp>
        <xdr:sp macro="" textlink="">
          <xdr:nvSpPr>
            <xdr:cNvPr id="50" name="Oval 49">
              <a:extLst>
                <a:ext uri="{FF2B5EF4-FFF2-40B4-BE49-F238E27FC236}">
                  <a16:creationId xmlns:a16="http://schemas.microsoft.com/office/drawing/2014/main" id="{00000000-0008-0000-0200-000032000000}"/>
                </a:ext>
              </a:extLst>
            </xdr:cNvPr>
            <xdr:cNvSpPr>
              <a:spLocks noChangeArrowheads="1"/>
            </xdr:cNvSpPr>
          </xdr:nvSpPr>
          <xdr:spPr bwMode="auto">
            <a:xfrm>
              <a:off x="3216" y="3744"/>
              <a:ext cx="144" cy="144"/>
            </a:xfrm>
            <a:prstGeom prst="ellipse">
              <a:avLst/>
            </a:prstGeom>
            <a:solidFill>
              <a:schemeClr val="tx1"/>
            </a:solidFill>
            <a:ln w="9525">
              <a:solidFill>
                <a:schemeClr val="bg2"/>
              </a:solidFill>
              <a:round/>
              <a:headEnd/>
              <a:tailEnd/>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eaLnBrk="1" hangingPunct="1"/>
              <a:endParaRPr lang="en-US" altLang="en-US" sz="2200"/>
            </a:p>
          </xdr:txBody>
        </xdr:sp>
        <xdr:sp macro="" textlink="">
          <xdr:nvSpPr>
            <xdr:cNvPr id="51" name="Oval 50">
              <a:extLst>
                <a:ext uri="{FF2B5EF4-FFF2-40B4-BE49-F238E27FC236}">
                  <a16:creationId xmlns:a16="http://schemas.microsoft.com/office/drawing/2014/main" id="{00000000-0008-0000-0200-000033000000}"/>
                </a:ext>
              </a:extLst>
            </xdr:cNvPr>
            <xdr:cNvSpPr>
              <a:spLocks noChangeArrowheads="1"/>
            </xdr:cNvSpPr>
          </xdr:nvSpPr>
          <xdr:spPr bwMode="auto">
            <a:xfrm>
              <a:off x="3504" y="3744"/>
              <a:ext cx="144" cy="144"/>
            </a:xfrm>
            <a:prstGeom prst="ellipse">
              <a:avLst/>
            </a:prstGeom>
            <a:solidFill>
              <a:schemeClr val="tx1"/>
            </a:solidFill>
            <a:ln w="9525">
              <a:solidFill>
                <a:schemeClr val="bg2"/>
              </a:solidFill>
              <a:round/>
              <a:headEnd/>
              <a:tailEnd/>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eaLnBrk="1" hangingPunct="1"/>
              <a:endParaRPr lang="en-US" altLang="en-US" sz="2200"/>
            </a:p>
          </xdr:txBody>
        </xdr:sp>
        <xdr:sp macro="" textlink="">
          <xdr:nvSpPr>
            <xdr:cNvPr id="53" name="Oval 52">
              <a:extLst>
                <a:ext uri="{FF2B5EF4-FFF2-40B4-BE49-F238E27FC236}">
                  <a16:creationId xmlns:a16="http://schemas.microsoft.com/office/drawing/2014/main" id="{00000000-0008-0000-0200-000035000000}"/>
                </a:ext>
              </a:extLst>
            </xdr:cNvPr>
            <xdr:cNvSpPr>
              <a:spLocks noChangeArrowheads="1"/>
            </xdr:cNvSpPr>
          </xdr:nvSpPr>
          <xdr:spPr bwMode="auto">
            <a:xfrm>
              <a:off x="3840" y="3744"/>
              <a:ext cx="144" cy="144"/>
            </a:xfrm>
            <a:prstGeom prst="ellipse">
              <a:avLst/>
            </a:prstGeom>
            <a:solidFill>
              <a:schemeClr val="tx1"/>
            </a:solidFill>
            <a:ln w="9525">
              <a:solidFill>
                <a:schemeClr val="bg2"/>
              </a:solidFill>
              <a:round/>
              <a:headEnd/>
              <a:tailEnd/>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eaLnBrk="1" hangingPunct="1"/>
              <a:endParaRPr lang="en-US" altLang="en-US" sz="2200"/>
            </a:p>
          </xdr:txBody>
        </xdr:sp>
        <xdr:sp macro="" textlink="">
          <xdr:nvSpPr>
            <xdr:cNvPr id="54" name="Oval 53">
              <a:extLst>
                <a:ext uri="{FF2B5EF4-FFF2-40B4-BE49-F238E27FC236}">
                  <a16:creationId xmlns:a16="http://schemas.microsoft.com/office/drawing/2014/main" id="{00000000-0008-0000-0200-000036000000}"/>
                </a:ext>
              </a:extLst>
            </xdr:cNvPr>
            <xdr:cNvSpPr>
              <a:spLocks noChangeArrowheads="1"/>
            </xdr:cNvSpPr>
          </xdr:nvSpPr>
          <xdr:spPr bwMode="auto">
            <a:xfrm>
              <a:off x="4176" y="3744"/>
              <a:ext cx="144" cy="144"/>
            </a:xfrm>
            <a:prstGeom prst="ellipse">
              <a:avLst/>
            </a:prstGeom>
            <a:solidFill>
              <a:schemeClr val="tx1"/>
            </a:solidFill>
            <a:ln w="9525">
              <a:solidFill>
                <a:schemeClr val="bg2"/>
              </a:solidFill>
              <a:round/>
              <a:headEnd/>
              <a:tailEnd/>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eaLnBrk="1" hangingPunct="1"/>
              <a:endParaRPr lang="en-US" altLang="en-US" sz="2200"/>
            </a:p>
          </xdr:txBody>
        </xdr:sp>
        <xdr:sp macro="" textlink="">
          <xdr:nvSpPr>
            <xdr:cNvPr id="55" name="Oval 54">
              <a:extLst>
                <a:ext uri="{FF2B5EF4-FFF2-40B4-BE49-F238E27FC236}">
                  <a16:creationId xmlns:a16="http://schemas.microsoft.com/office/drawing/2014/main" id="{00000000-0008-0000-0200-000037000000}"/>
                </a:ext>
              </a:extLst>
            </xdr:cNvPr>
            <xdr:cNvSpPr>
              <a:spLocks noChangeArrowheads="1"/>
            </xdr:cNvSpPr>
          </xdr:nvSpPr>
          <xdr:spPr bwMode="auto">
            <a:xfrm>
              <a:off x="3120" y="3792"/>
              <a:ext cx="48" cy="48"/>
            </a:xfrm>
            <a:prstGeom prst="ellipse">
              <a:avLst/>
            </a:prstGeom>
            <a:solidFill>
              <a:schemeClr val="accent1"/>
            </a:solidFill>
            <a:ln w="9525">
              <a:solidFill>
                <a:schemeClr val="bg2"/>
              </a:solidFill>
              <a:round/>
              <a:headEnd/>
              <a:tailEnd/>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eaLnBrk="1" hangingPunct="1"/>
              <a:endParaRPr lang="en-US" altLang="en-US" sz="2200"/>
            </a:p>
          </xdr:txBody>
        </xdr:sp>
        <xdr:sp macro="" textlink="">
          <xdr:nvSpPr>
            <xdr:cNvPr id="56" name="Oval 55">
              <a:extLst>
                <a:ext uri="{FF2B5EF4-FFF2-40B4-BE49-F238E27FC236}">
                  <a16:creationId xmlns:a16="http://schemas.microsoft.com/office/drawing/2014/main" id="{00000000-0008-0000-0200-000038000000}"/>
                </a:ext>
              </a:extLst>
            </xdr:cNvPr>
            <xdr:cNvSpPr>
              <a:spLocks noChangeArrowheads="1"/>
            </xdr:cNvSpPr>
          </xdr:nvSpPr>
          <xdr:spPr bwMode="auto">
            <a:xfrm>
              <a:off x="3264" y="3792"/>
              <a:ext cx="48" cy="48"/>
            </a:xfrm>
            <a:prstGeom prst="ellipse">
              <a:avLst/>
            </a:prstGeom>
            <a:solidFill>
              <a:schemeClr val="accent1"/>
            </a:solidFill>
            <a:ln w="9525">
              <a:solidFill>
                <a:schemeClr val="bg2"/>
              </a:solidFill>
              <a:round/>
              <a:headEnd/>
              <a:tailEnd/>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eaLnBrk="1" hangingPunct="1"/>
              <a:endParaRPr lang="en-US" altLang="en-US" sz="2200"/>
            </a:p>
          </xdr:txBody>
        </xdr:sp>
        <xdr:sp macro="" textlink="">
          <xdr:nvSpPr>
            <xdr:cNvPr id="57" name="Oval 56">
              <a:extLst>
                <a:ext uri="{FF2B5EF4-FFF2-40B4-BE49-F238E27FC236}">
                  <a16:creationId xmlns:a16="http://schemas.microsoft.com/office/drawing/2014/main" id="{00000000-0008-0000-0200-000039000000}"/>
                </a:ext>
              </a:extLst>
            </xdr:cNvPr>
            <xdr:cNvSpPr>
              <a:spLocks noChangeArrowheads="1"/>
            </xdr:cNvSpPr>
          </xdr:nvSpPr>
          <xdr:spPr bwMode="auto">
            <a:xfrm>
              <a:off x="3888" y="3792"/>
              <a:ext cx="48" cy="48"/>
            </a:xfrm>
            <a:prstGeom prst="ellipse">
              <a:avLst/>
            </a:prstGeom>
            <a:solidFill>
              <a:schemeClr val="accent1"/>
            </a:solidFill>
            <a:ln w="9525">
              <a:solidFill>
                <a:schemeClr val="bg2"/>
              </a:solidFill>
              <a:round/>
              <a:headEnd/>
              <a:tailEnd/>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eaLnBrk="1" hangingPunct="1"/>
              <a:endParaRPr lang="en-US" altLang="en-US" sz="2200"/>
            </a:p>
          </xdr:txBody>
        </xdr:sp>
        <xdr:sp macro="" textlink="">
          <xdr:nvSpPr>
            <xdr:cNvPr id="58" name="Oval 57">
              <a:extLst>
                <a:ext uri="{FF2B5EF4-FFF2-40B4-BE49-F238E27FC236}">
                  <a16:creationId xmlns:a16="http://schemas.microsoft.com/office/drawing/2014/main" id="{00000000-0008-0000-0200-00003A000000}"/>
                </a:ext>
              </a:extLst>
            </xdr:cNvPr>
            <xdr:cNvSpPr>
              <a:spLocks noChangeArrowheads="1"/>
            </xdr:cNvSpPr>
          </xdr:nvSpPr>
          <xdr:spPr bwMode="auto">
            <a:xfrm>
              <a:off x="4224" y="3792"/>
              <a:ext cx="48" cy="48"/>
            </a:xfrm>
            <a:prstGeom prst="ellipse">
              <a:avLst/>
            </a:prstGeom>
            <a:solidFill>
              <a:schemeClr val="accent1"/>
            </a:solidFill>
            <a:ln w="9525">
              <a:solidFill>
                <a:schemeClr val="bg2"/>
              </a:solidFill>
              <a:round/>
              <a:headEnd/>
              <a:tailEnd/>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eaLnBrk="1" hangingPunct="1"/>
              <a:endParaRPr lang="en-US" altLang="en-US" sz="2200"/>
            </a:p>
          </xdr:txBody>
        </xdr:sp>
        <xdr:sp macro="" textlink="">
          <xdr:nvSpPr>
            <xdr:cNvPr id="59" name="Oval 58">
              <a:extLst>
                <a:ext uri="{FF2B5EF4-FFF2-40B4-BE49-F238E27FC236}">
                  <a16:creationId xmlns:a16="http://schemas.microsoft.com/office/drawing/2014/main" id="{00000000-0008-0000-0200-00003B000000}"/>
                </a:ext>
              </a:extLst>
            </xdr:cNvPr>
            <xdr:cNvSpPr>
              <a:spLocks noChangeArrowheads="1"/>
            </xdr:cNvSpPr>
          </xdr:nvSpPr>
          <xdr:spPr bwMode="auto">
            <a:xfrm>
              <a:off x="3552" y="3792"/>
              <a:ext cx="48" cy="48"/>
            </a:xfrm>
            <a:prstGeom prst="ellipse">
              <a:avLst/>
            </a:prstGeom>
            <a:solidFill>
              <a:schemeClr val="accent1"/>
            </a:solidFill>
            <a:ln w="9525">
              <a:solidFill>
                <a:schemeClr val="bg2"/>
              </a:solidFill>
              <a:round/>
              <a:headEnd/>
              <a:tailEnd/>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eaLnBrk="1" hangingPunct="1"/>
              <a:endParaRPr lang="en-US" altLang="en-US" sz="2200"/>
            </a:p>
          </xdr:txBody>
        </xdr:sp>
        <xdr:sp macro="" textlink="">
          <xdr:nvSpPr>
            <xdr:cNvPr id="60" name="Line 208">
              <a:extLst>
                <a:ext uri="{FF2B5EF4-FFF2-40B4-BE49-F238E27FC236}">
                  <a16:creationId xmlns:a16="http://schemas.microsoft.com/office/drawing/2014/main" id="{00000000-0008-0000-0200-00003C000000}"/>
                </a:ext>
              </a:extLst>
            </xdr:cNvPr>
            <xdr:cNvSpPr>
              <a:spLocks noChangeShapeType="1"/>
            </xdr:cNvSpPr>
          </xdr:nvSpPr>
          <xdr:spPr bwMode="auto">
            <a:xfrm>
              <a:off x="3696" y="3792"/>
              <a:ext cx="96" cy="0"/>
            </a:xfrm>
            <a:prstGeom prst="line">
              <a:avLst/>
            </a:prstGeom>
            <a:noFill/>
            <a:ln w="28575">
              <a:solidFill>
                <a:schemeClr val="bg2"/>
              </a:solidFill>
              <a:round/>
              <a:headEnd/>
              <a:tailEnd/>
            </a:ln>
            <a:extLst>
              <a:ext uri="{909E8E84-426E-40DD-AFC4-6F175D3DCCD1}">
                <a14:hiddenFill xmlns:a14="http://schemas.microsoft.com/office/drawing/2010/main">
                  <a:noFill/>
                </a14:hiddenFill>
              </a:ext>
            </a:ex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61" name="Freeform 60">
              <a:extLst>
                <a:ext uri="{FF2B5EF4-FFF2-40B4-BE49-F238E27FC236}">
                  <a16:creationId xmlns:a16="http://schemas.microsoft.com/office/drawing/2014/main" id="{00000000-0008-0000-0200-00003D000000}"/>
                </a:ext>
              </a:extLst>
            </xdr:cNvPr>
            <xdr:cNvSpPr>
              <a:spLocks/>
            </xdr:cNvSpPr>
          </xdr:nvSpPr>
          <xdr:spPr bwMode="auto">
            <a:xfrm>
              <a:off x="3696" y="3776"/>
              <a:ext cx="109" cy="54"/>
            </a:xfrm>
            <a:custGeom>
              <a:avLst/>
              <a:gdLst>
                <a:gd name="T0" fmla="*/ 0 w 109"/>
                <a:gd name="T1" fmla="*/ 20 h 54"/>
                <a:gd name="T2" fmla="*/ 88 w 109"/>
                <a:gd name="T3" fmla="*/ 36 h 54"/>
                <a:gd name="T4" fmla="*/ 80 w 109"/>
                <a:gd name="T5" fmla="*/ 52 h 54"/>
                <a:gd name="T6" fmla="*/ 68 w 109"/>
                <a:gd name="T7" fmla="*/ 48 h 54"/>
                <a:gd name="T8" fmla="*/ 104 w 109"/>
                <a:gd name="T9" fmla="*/ 28 h 54"/>
                <a:gd name="T10" fmla="*/ 104 w 109"/>
                <a:gd name="T11" fmla="*/ 0 h 54"/>
                <a:gd name="T12" fmla="*/ 0 60000 65536"/>
                <a:gd name="T13" fmla="*/ 0 60000 65536"/>
                <a:gd name="T14" fmla="*/ 0 60000 65536"/>
                <a:gd name="T15" fmla="*/ 0 60000 65536"/>
                <a:gd name="T16" fmla="*/ 0 60000 65536"/>
                <a:gd name="T17" fmla="*/ 0 60000 65536"/>
                <a:gd name="T18" fmla="*/ 0 w 109"/>
                <a:gd name="T19" fmla="*/ 0 h 54"/>
                <a:gd name="T20" fmla="*/ 109 w 109"/>
                <a:gd name="T21" fmla="*/ 54 h 54"/>
              </a:gdLst>
              <a:ahLst/>
              <a:cxnLst>
                <a:cxn ang="T12">
                  <a:pos x="T0" y="T1"/>
                </a:cxn>
                <a:cxn ang="T13">
                  <a:pos x="T2" y="T3"/>
                </a:cxn>
                <a:cxn ang="T14">
                  <a:pos x="T4" y="T5"/>
                </a:cxn>
                <a:cxn ang="T15">
                  <a:pos x="T6" y="T7"/>
                </a:cxn>
                <a:cxn ang="T16">
                  <a:pos x="T8" y="T9"/>
                </a:cxn>
                <a:cxn ang="T17">
                  <a:pos x="T10" y="T11"/>
                </a:cxn>
              </a:cxnLst>
              <a:rect l="T18" t="T19" r="T20" b="T21"/>
              <a:pathLst>
                <a:path w="109" h="54">
                  <a:moveTo>
                    <a:pt x="0" y="20"/>
                  </a:moveTo>
                  <a:cubicBezTo>
                    <a:pt x="41" y="34"/>
                    <a:pt x="19" y="32"/>
                    <a:pt x="88" y="36"/>
                  </a:cubicBezTo>
                  <a:cubicBezTo>
                    <a:pt x="85" y="41"/>
                    <a:pt x="85" y="49"/>
                    <a:pt x="80" y="52"/>
                  </a:cubicBezTo>
                  <a:cubicBezTo>
                    <a:pt x="76" y="54"/>
                    <a:pt x="68" y="52"/>
                    <a:pt x="68" y="48"/>
                  </a:cubicBezTo>
                  <a:cubicBezTo>
                    <a:pt x="68" y="34"/>
                    <a:pt x="104" y="28"/>
                    <a:pt x="104" y="28"/>
                  </a:cubicBezTo>
                  <a:cubicBezTo>
                    <a:pt x="109" y="14"/>
                    <a:pt x="104" y="13"/>
                    <a:pt x="104" y="0"/>
                  </a:cubicBezTo>
                </a:path>
              </a:pathLst>
            </a:custGeom>
            <a:noFill/>
            <a:ln w="9525">
              <a:solidFill>
                <a:schemeClr val="bg2"/>
              </a:solidFill>
              <a:round/>
              <a:headEnd/>
              <a:tailEnd/>
            </a:ln>
            <a:extLst>
              <a:ext uri="{909E8E84-426E-40DD-AFC4-6F175D3DCCD1}">
                <a14:hiddenFill xmlns:a14="http://schemas.microsoft.com/office/drawing/2010/main">
                  <a:solidFill>
                    <a:srgbClr val="FFFFFF"/>
                  </a:solidFill>
                </a14:hiddenFill>
              </a:ext>
            </a:ex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62" name="Oval 61">
              <a:extLst>
                <a:ext uri="{FF2B5EF4-FFF2-40B4-BE49-F238E27FC236}">
                  <a16:creationId xmlns:a16="http://schemas.microsoft.com/office/drawing/2014/main" id="{00000000-0008-0000-0200-00003E000000}"/>
                </a:ext>
              </a:extLst>
            </xdr:cNvPr>
            <xdr:cNvSpPr>
              <a:spLocks noChangeArrowheads="1"/>
            </xdr:cNvSpPr>
          </xdr:nvSpPr>
          <xdr:spPr bwMode="auto">
            <a:xfrm>
              <a:off x="4416" y="3744"/>
              <a:ext cx="144" cy="144"/>
            </a:xfrm>
            <a:prstGeom prst="ellipse">
              <a:avLst/>
            </a:prstGeom>
            <a:solidFill>
              <a:schemeClr val="tx1"/>
            </a:solidFill>
            <a:ln w="9525">
              <a:solidFill>
                <a:schemeClr val="bg2"/>
              </a:solidFill>
              <a:round/>
              <a:headEnd/>
              <a:tailEnd/>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eaLnBrk="1" hangingPunct="1"/>
              <a:endParaRPr lang="en-US" altLang="en-US" sz="2200"/>
            </a:p>
          </xdr:txBody>
        </xdr:sp>
        <xdr:sp macro="" textlink="">
          <xdr:nvSpPr>
            <xdr:cNvPr id="63" name="Oval 62">
              <a:extLst>
                <a:ext uri="{FF2B5EF4-FFF2-40B4-BE49-F238E27FC236}">
                  <a16:creationId xmlns:a16="http://schemas.microsoft.com/office/drawing/2014/main" id="{00000000-0008-0000-0200-00003F000000}"/>
                </a:ext>
              </a:extLst>
            </xdr:cNvPr>
            <xdr:cNvSpPr>
              <a:spLocks noChangeArrowheads="1"/>
            </xdr:cNvSpPr>
          </xdr:nvSpPr>
          <xdr:spPr bwMode="auto">
            <a:xfrm>
              <a:off x="4464" y="3792"/>
              <a:ext cx="48" cy="48"/>
            </a:xfrm>
            <a:prstGeom prst="ellipse">
              <a:avLst/>
            </a:prstGeom>
            <a:solidFill>
              <a:schemeClr val="accent1"/>
            </a:solidFill>
            <a:ln w="9525">
              <a:solidFill>
                <a:schemeClr val="bg2"/>
              </a:solidFill>
              <a:round/>
              <a:headEnd/>
              <a:tailEnd/>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eaLnBrk="1" hangingPunct="1"/>
              <a:endParaRPr lang="en-US" altLang="en-US" sz="2200"/>
            </a:p>
          </xdr:txBody>
        </xdr:sp>
      </xdr:grpSp>
    </xdr:grpSp>
    <xdr:clientData/>
  </xdr:twoCellAnchor>
  <xdr:twoCellAnchor>
    <xdr:from>
      <xdr:col>22</xdr:col>
      <xdr:colOff>396240</xdr:colOff>
      <xdr:row>21</xdr:row>
      <xdr:rowOff>91440</xdr:rowOff>
    </xdr:from>
    <xdr:to>
      <xdr:col>23</xdr:col>
      <xdr:colOff>478958</xdr:colOff>
      <xdr:row>22</xdr:row>
      <xdr:rowOff>137160</xdr:rowOff>
    </xdr:to>
    <xdr:sp macro="" textlink="">
      <xdr:nvSpPr>
        <xdr:cNvPr id="64" name="AutoShape 122">
          <a:extLst>
            <a:ext uri="{FF2B5EF4-FFF2-40B4-BE49-F238E27FC236}">
              <a16:creationId xmlns:a16="http://schemas.microsoft.com/office/drawing/2014/main" id="{00000000-0008-0000-0200-000040000000}"/>
            </a:ext>
          </a:extLst>
        </xdr:cNvPr>
        <xdr:cNvSpPr>
          <a:spLocks noChangeArrowheads="1"/>
        </xdr:cNvSpPr>
      </xdr:nvSpPr>
      <xdr:spPr bwMode="auto">
        <a:xfrm rot="10800000">
          <a:off x="19720560" y="5105400"/>
          <a:ext cx="1332398" cy="274320"/>
        </a:xfrm>
        <a:custGeom>
          <a:avLst/>
          <a:gdLst>
            <a:gd name="T0" fmla="*/ 561658 w 21600"/>
            <a:gd name="T1" fmla="*/ 115094 h 21600"/>
            <a:gd name="T2" fmla="*/ 368300 w 21600"/>
            <a:gd name="T3" fmla="*/ 230188 h 21600"/>
            <a:gd name="T4" fmla="*/ 174943 w 21600"/>
            <a:gd name="T5" fmla="*/ 115094 h 21600"/>
            <a:gd name="T6" fmla="*/ 368300 w 21600"/>
            <a:gd name="T7" fmla="*/ 0 h 21600"/>
            <a:gd name="T8" fmla="*/ 0 60000 65536"/>
            <a:gd name="T9" fmla="*/ 0 60000 65536"/>
            <a:gd name="T10" fmla="*/ 0 60000 65536"/>
            <a:gd name="T11" fmla="*/ 0 60000 65536"/>
            <a:gd name="T12" fmla="*/ 6930 w 21600"/>
            <a:gd name="T13" fmla="*/ 6930 h 21600"/>
            <a:gd name="T14" fmla="*/ 14670 w 21600"/>
            <a:gd name="T15" fmla="*/ 14670 h 21600"/>
          </a:gdLst>
          <a:ahLst/>
          <a:cxnLst>
            <a:cxn ang="T8">
              <a:pos x="T0" y="T1"/>
            </a:cxn>
            <a:cxn ang="T9">
              <a:pos x="T2" y="T3"/>
            </a:cxn>
            <a:cxn ang="T10">
              <a:pos x="T4" y="T5"/>
            </a:cxn>
            <a:cxn ang="T11">
              <a:pos x="T6" y="T7"/>
            </a:cxn>
          </a:cxnLst>
          <a:rect l="T12" t="T13" r="T14" b="T15"/>
          <a:pathLst>
            <a:path w="21600" h="21600">
              <a:moveTo>
                <a:pt x="0" y="0"/>
              </a:moveTo>
              <a:lnTo>
                <a:pt x="10260" y="21600"/>
              </a:lnTo>
              <a:lnTo>
                <a:pt x="11340" y="21600"/>
              </a:lnTo>
              <a:lnTo>
                <a:pt x="21600" y="0"/>
              </a:lnTo>
              <a:lnTo>
                <a:pt x="0" y="0"/>
              </a:lnTo>
              <a:close/>
            </a:path>
          </a:pathLst>
        </a:custGeom>
        <a:solidFill>
          <a:schemeClr val="tx1"/>
        </a:solidFill>
        <a:ln w="9525">
          <a:solidFill>
            <a:schemeClr val="tx1"/>
          </a:solidFill>
          <a:miter lim="800000"/>
          <a:headEnd/>
          <a:tailEnd/>
        </a:ln>
        <a:effectLst/>
        <a:extLs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23</xdr:col>
      <xdr:colOff>487678</xdr:colOff>
      <xdr:row>21</xdr:row>
      <xdr:rowOff>-1</xdr:rowOff>
    </xdr:from>
    <xdr:to>
      <xdr:col>24</xdr:col>
      <xdr:colOff>624839</xdr:colOff>
      <xdr:row>22</xdr:row>
      <xdr:rowOff>121920</xdr:rowOff>
    </xdr:to>
    <xdr:sp macro="" textlink="">
      <xdr:nvSpPr>
        <xdr:cNvPr id="65" name="AutoShape 1050">
          <a:extLst>
            <a:ext uri="{FF2B5EF4-FFF2-40B4-BE49-F238E27FC236}">
              <a16:creationId xmlns:a16="http://schemas.microsoft.com/office/drawing/2014/main" id="{00000000-0008-0000-0200-000041000000}"/>
            </a:ext>
          </a:extLst>
        </xdr:cNvPr>
        <xdr:cNvSpPr>
          <a:spLocks noChangeArrowheads="1"/>
        </xdr:cNvSpPr>
      </xdr:nvSpPr>
      <xdr:spPr bwMode="auto">
        <a:xfrm rot="10800000">
          <a:off x="21061678" y="5013959"/>
          <a:ext cx="1386841" cy="350521"/>
        </a:xfrm>
        <a:custGeom>
          <a:avLst/>
          <a:gdLst>
            <a:gd name="T0" fmla="*/ 2147483647 w 21600"/>
            <a:gd name="T1" fmla="*/ 2147483647 h 21600"/>
            <a:gd name="T2" fmla="*/ 2147483647 w 21600"/>
            <a:gd name="T3" fmla="*/ 2147483647 h 21600"/>
            <a:gd name="T4" fmla="*/ 2147483647 w 21600"/>
            <a:gd name="T5" fmla="*/ 2147483647 h 21600"/>
            <a:gd name="T6" fmla="*/ 2147483647 w 21600"/>
            <a:gd name="T7" fmla="*/ 0 h 21600"/>
            <a:gd name="T8" fmla="*/ 0 60000 65536"/>
            <a:gd name="T9" fmla="*/ 0 60000 65536"/>
            <a:gd name="T10" fmla="*/ 0 60000 65536"/>
            <a:gd name="T11" fmla="*/ 0 60000 65536"/>
            <a:gd name="T12" fmla="*/ 6840 w 21600"/>
            <a:gd name="T13" fmla="*/ 6840 h 21600"/>
            <a:gd name="T14" fmla="*/ 14760 w 21600"/>
            <a:gd name="T15" fmla="*/ 14760 h 21600"/>
          </a:gdLst>
          <a:ahLst/>
          <a:cxnLst>
            <a:cxn ang="T8">
              <a:pos x="T0" y="T1"/>
            </a:cxn>
            <a:cxn ang="T9">
              <a:pos x="T2" y="T3"/>
            </a:cxn>
            <a:cxn ang="T10">
              <a:pos x="T4" y="T5"/>
            </a:cxn>
            <a:cxn ang="T11">
              <a:pos x="T6" y="T7"/>
            </a:cxn>
          </a:cxnLst>
          <a:rect l="T12" t="T13" r="T14" b="T15"/>
          <a:pathLst>
            <a:path w="21600" h="21600">
              <a:moveTo>
                <a:pt x="0" y="0"/>
              </a:moveTo>
              <a:lnTo>
                <a:pt x="10080" y="21600"/>
              </a:lnTo>
              <a:lnTo>
                <a:pt x="11520" y="21600"/>
              </a:lnTo>
              <a:lnTo>
                <a:pt x="21600" y="0"/>
              </a:lnTo>
              <a:lnTo>
                <a:pt x="0" y="0"/>
              </a:lnTo>
              <a:close/>
            </a:path>
          </a:pathLst>
        </a:custGeom>
        <a:solidFill>
          <a:srgbClr val="000000"/>
        </a:solidFill>
        <a:ln w="9525">
          <a:solidFill>
            <a:srgbClr val="000000"/>
          </a:solidFill>
          <a:miter lim="800000"/>
          <a:headEnd/>
          <a:tailEnd/>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7</xdr:col>
      <xdr:colOff>1249680</xdr:colOff>
      <xdr:row>157</xdr:row>
      <xdr:rowOff>160020</xdr:rowOff>
    </xdr:from>
    <xdr:to>
      <xdr:col>26</xdr:col>
      <xdr:colOff>441960</xdr:colOff>
      <xdr:row>190</xdr:row>
      <xdr:rowOff>167640</xdr:rowOff>
    </xdr:to>
    <xdr:graphicFrame macro="">
      <xdr:nvGraphicFramePr>
        <xdr:cNvPr id="66" name="Chart 65">
          <a:extLst>
            <a:ext uri="{FF2B5EF4-FFF2-40B4-BE49-F238E27FC236}">
              <a16:creationId xmlns:a16="http://schemas.microsoft.com/office/drawing/2014/main" id="{00000000-0008-0000-0200-00004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9525</xdr:colOff>
      <xdr:row>0</xdr:row>
      <xdr:rowOff>19050</xdr:rowOff>
    </xdr:from>
    <xdr:to>
      <xdr:col>4</xdr:col>
      <xdr:colOff>48117</xdr:colOff>
      <xdr:row>2</xdr:row>
      <xdr:rowOff>113579</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438150" y="19050"/>
          <a:ext cx="1286367" cy="4755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9525</xdr:colOff>
      <xdr:row>0</xdr:row>
      <xdr:rowOff>19050</xdr:rowOff>
    </xdr:from>
    <xdr:ext cx="1299520" cy="475529"/>
    <xdr:pic>
      <xdr:nvPicPr>
        <xdr:cNvPr id="2" name="Picture 1">
          <a:extLst>
            <a:ext uri="{FF2B5EF4-FFF2-40B4-BE49-F238E27FC236}">
              <a16:creationId xmlns:a16="http://schemas.microsoft.com/office/drawing/2014/main" id="{3DB9A508-E3B4-4729-9115-8D0D5965CD9F}"/>
            </a:ext>
          </a:extLst>
        </xdr:cNvPr>
        <xdr:cNvPicPr>
          <a:picLocks noChangeAspect="1"/>
        </xdr:cNvPicPr>
      </xdr:nvPicPr>
      <xdr:blipFill>
        <a:blip xmlns:r="http://schemas.openxmlformats.org/officeDocument/2006/relationships" r:embed="rId1"/>
        <a:stretch>
          <a:fillRect/>
        </a:stretch>
      </xdr:blipFill>
      <xdr:spPr>
        <a:xfrm>
          <a:off x="672465" y="19050"/>
          <a:ext cx="1299520" cy="475529"/>
        </a:xfrm>
        <a:prstGeom prst="rect">
          <a:avLst/>
        </a:prstGeom>
      </xdr:spPr>
    </xdr:pic>
    <xdr:clientData/>
  </xdr:oneCellAnchor>
  <xdr:oneCellAnchor>
    <xdr:from>
      <xdr:col>2</xdr:col>
      <xdr:colOff>9525</xdr:colOff>
      <xdr:row>0</xdr:row>
      <xdr:rowOff>19050</xdr:rowOff>
    </xdr:from>
    <xdr:ext cx="1292717" cy="475529"/>
    <xdr:pic>
      <xdr:nvPicPr>
        <xdr:cNvPr id="3" name="Picture 2">
          <a:extLst>
            <a:ext uri="{FF2B5EF4-FFF2-40B4-BE49-F238E27FC236}">
              <a16:creationId xmlns:a16="http://schemas.microsoft.com/office/drawing/2014/main" id="{D6A2CC61-E733-456D-AFFB-488B556C85FF}"/>
            </a:ext>
          </a:extLst>
        </xdr:cNvPr>
        <xdr:cNvPicPr>
          <a:picLocks noChangeAspect="1"/>
        </xdr:cNvPicPr>
      </xdr:nvPicPr>
      <xdr:blipFill>
        <a:blip xmlns:r="http://schemas.openxmlformats.org/officeDocument/2006/relationships" r:embed="rId1"/>
        <a:stretch>
          <a:fillRect/>
        </a:stretch>
      </xdr:blipFill>
      <xdr:spPr>
        <a:xfrm>
          <a:off x="672465" y="19050"/>
          <a:ext cx="1292717" cy="475529"/>
        </a:xfrm>
        <a:prstGeom prst="rect">
          <a:avLst/>
        </a:prstGeom>
      </xdr:spPr>
    </xdr:pic>
    <xdr:clientData/>
  </xdr:oneCellAnchor>
  <xdr:oneCellAnchor>
    <xdr:from>
      <xdr:col>2</xdr:col>
      <xdr:colOff>9525</xdr:colOff>
      <xdr:row>0</xdr:row>
      <xdr:rowOff>19050</xdr:rowOff>
    </xdr:from>
    <xdr:ext cx="1280811" cy="475529"/>
    <xdr:pic>
      <xdr:nvPicPr>
        <xdr:cNvPr id="4" name="Picture 3">
          <a:extLst>
            <a:ext uri="{FF2B5EF4-FFF2-40B4-BE49-F238E27FC236}">
              <a16:creationId xmlns:a16="http://schemas.microsoft.com/office/drawing/2014/main" id="{110E7A75-7FA4-4A0B-9AFD-98D5D65FF2D8}"/>
            </a:ext>
          </a:extLst>
        </xdr:cNvPr>
        <xdr:cNvPicPr>
          <a:picLocks noChangeAspect="1"/>
        </xdr:cNvPicPr>
      </xdr:nvPicPr>
      <xdr:blipFill>
        <a:blip xmlns:r="http://schemas.openxmlformats.org/officeDocument/2006/relationships" r:embed="rId1"/>
        <a:stretch>
          <a:fillRect/>
        </a:stretch>
      </xdr:blipFill>
      <xdr:spPr>
        <a:xfrm>
          <a:off x="672465" y="19050"/>
          <a:ext cx="1280811" cy="475529"/>
        </a:xfrm>
        <a:prstGeom prst="rect">
          <a:avLst/>
        </a:prstGeom>
      </xdr:spPr>
    </xdr:pic>
    <xdr:clientData/>
  </xdr:oneCellAnchor>
  <xdr:twoCellAnchor>
    <xdr:from>
      <xdr:col>83</xdr:col>
      <xdr:colOff>25400</xdr:colOff>
      <xdr:row>0</xdr:row>
      <xdr:rowOff>19050</xdr:rowOff>
    </xdr:from>
    <xdr:to>
      <xdr:col>83</xdr:col>
      <xdr:colOff>25400</xdr:colOff>
      <xdr:row>2</xdr:row>
      <xdr:rowOff>58318</xdr:rowOff>
    </xdr:to>
    <xdr:pic>
      <xdr:nvPicPr>
        <xdr:cNvPr id="5" name="Picture 4">
          <a:extLst>
            <a:ext uri="{FF2B5EF4-FFF2-40B4-BE49-F238E27FC236}">
              <a16:creationId xmlns:a16="http://schemas.microsoft.com/office/drawing/2014/main" id="{D12C2D9D-4D6A-4633-B2FB-411223F3FF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971240" y="19050"/>
          <a:ext cx="0" cy="405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9525</xdr:colOff>
      <xdr:row>0</xdr:row>
      <xdr:rowOff>19050</xdr:rowOff>
    </xdr:from>
    <xdr:ext cx="1407017" cy="475529"/>
    <xdr:pic>
      <xdr:nvPicPr>
        <xdr:cNvPr id="6" name="Picture 5">
          <a:extLst>
            <a:ext uri="{FF2B5EF4-FFF2-40B4-BE49-F238E27FC236}">
              <a16:creationId xmlns:a16="http://schemas.microsoft.com/office/drawing/2014/main" id="{8DC882ED-6A5F-429F-A90E-2C9C62128E4B}"/>
            </a:ext>
          </a:extLst>
        </xdr:cNvPr>
        <xdr:cNvPicPr>
          <a:picLocks noChangeAspect="1"/>
        </xdr:cNvPicPr>
      </xdr:nvPicPr>
      <xdr:blipFill>
        <a:blip xmlns:r="http://schemas.openxmlformats.org/officeDocument/2006/relationships" r:embed="rId1"/>
        <a:stretch>
          <a:fillRect/>
        </a:stretch>
      </xdr:blipFill>
      <xdr:spPr>
        <a:xfrm>
          <a:off x="672465" y="19050"/>
          <a:ext cx="1407017" cy="475529"/>
        </a:xfrm>
        <a:prstGeom prst="rect">
          <a:avLst/>
        </a:prstGeom>
      </xdr:spPr>
    </xdr:pic>
    <xdr:clientData/>
  </xdr:oneCellAnchor>
  <xdr:twoCellAnchor editAs="oneCell">
    <xdr:from>
      <xdr:col>205</xdr:col>
      <xdr:colOff>0</xdr:colOff>
      <xdr:row>44</xdr:row>
      <xdr:rowOff>156473</xdr:rowOff>
    </xdr:from>
    <xdr:to>
      <xdr:col>207</xdr:col>
      <xdr:colOff>57726</xdr:colOff>
      <xdr:row>208</xdr:row>
      <xdr:rowOff>57304</xdr:rowOff>
    </xdr:to>
    <xdr:pic>
      <xdr:nvPicPr>
        <xdr:cNvPr id="7" name="Picture 6">
          <a:extLst>
            <a:ext uri="{FF2B5EF4-FFF2-40B4-BE49-F238E27FC236}">
              <a16:creationId xmlns:a16="http://schemas.microsoft.com/office/drawing/2014/main" id="{D30C5434-91A5-4FD6-8AD2-0DFDCEAFCF05}"/>
            </a:ext>
          </a:extLst>
        </xdr:cNvPr>
        <xdr:cNvPicPr>
          <a:picLocks noChangeAspect="1"/>
        </xdr:cNvPicPr>
      </xdr:nvPicPr>
      <xdr:blipFill>
        <a:blip xmlns:r="http://schemas.openxmlformats.org/officeDocument/2006/relationships" r:embed="rId3"/>
        <a:stretch>
          <a:fillRect/>
        </a:stretch>
      </xdr:blipFill>
      <xdr:spPr>
        <a:xfrm>
          <a:off x="102260400" y="9148073"/>
          <a:ext cx="1078807" cy="6323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479795</xdr:colOff>
      <xdr:row>2</xdr:row>
      <xdr:rowOff>79290</xdr:rowOff>
    </xdr:from>
    <xdr:to>
      <xdr:col>3</xdr:col>
      <xdr:colOff>401044</xdr:colOff>
      <xdr:row>6</xdr:row>
      <xdr:rowOff>28575</xdr:rowOff>
    </xdr:to>
    <xdr:pic>
      <xdr:nvPicPr>
        <xdr:cNvPr id="2" name="Picture 1">
          <a:extLst>
            <a:ext uri="{FF2B5EF4-FFF2-40B4-BE49-F238E27FC236}">
              <a16:creationId xmlns:a16="http://schemas.microsoft.com/office/drawing/2014/main" id="{DA62823A-EDE6-4595-B67C-847BA7AF11B1}"/>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7168" r="7168"/>
        <a:stretch/>
      </xdr:blipFill>
      <xdr:spPr bwMode="auto">
        <a:xfrm>
          <a:off x="639815" y="445050"/>
          <a:ext cx="1475729" cy="680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568654</xdr:colOff>
      <xdr:row>7</xdr:row>
      <xdr:rowOff>2132</xdr:rowOff>
    </xdr:from>
    <xdr:to>
      <xdr:col>2</xdr:col>
      <xdr:colOff>376340</xdr:colOff>
      <xdr:row>11</xdr:row>
      <xdr:rowOff>129996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14629" b="45530"/>
        <a:stretch/>
      </xdr:blipFill>
      <xdr:spPr>
        <a:xfrm>
          <a:off x="568654" y="1435147"/>
          <a:ext cx="999699" cy="992222"/>
        </a:xfrm>
        <a:prstGeom prst="rect">
          <a:avLst/>
        </a:prstGeom>
      </xdr:spPr>
    </xdr:pic>
    <xdr:clientData/>
  </xdr:twoCellAnchor>
  <xdr:twoCellAnchor editAs="oneCell">
    <xdr:from>
      <xdr:col>2</xdr:col>
      <xdr:colOff>178445</xdr:colOff>
      <xdr:row>7</xdr:row>
      <xdr:rowOff>159564</xdr:rowOff>
    </xdr:from>
    <xdr:to>
      <xdr:col>4</xdr:col>
      <xdr:colOff>54594</xdr:colOff>
      <xdr:row>11</xdr:row>
      <xdr:rowOff>29673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8725" r="1502" b="1"/>
        <a:stretch/>
      </xdr:blipFill>
      <xdr:spPr>
        <a:xfrm>
          <a:off x="1406744" y="1592579"/>
          <a:ext cx="1104448" cy="734467"/>
        </a:xfrm>
        <a:prstGeom prst="rect">
          <a:avLst/>
        </a:prstGeom>
      </xdr:spPr>
    </xdr:pic>
    <xdr:clientData/>
  </xdr:twoCellAnchor>
  <xdr:twoCellAnchor editAs="oneCell">
    <xdr:from>
      <xdr:col>0</xdr:col>
      <xdr:colOff>274320</xdr:colOff>
      <xdr:row>11</xdr:row>
      <xdr:rowOff>91440</xdr:rowOff>
    </xdr:from>
    <xdr:to>
      <xdr:col>4</xdr:col>
      <xdr:colOff>9294</xdr:colOff>
      <xdr:row>17</xdr:row>
      <xdr:rowOff>41563</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4028" t="2870" r="3958" b="30265"/>
        <a:stretch/>
      </xdr:blipFill>
      <xdr:spPr>
        <a:xfrm>
          <a:off x="274320" y="2225040"/>
          <a:ext cx="1817321" cy="1183638"/>
        </a:xfrm>
        <a:prstGeom prst="rect">
          <a:avLst/>
        </a:prstGeom>
      </xdr:spPr>
    </xdr:pic>
    <xdr:clientData/>
  </xdr:twoCellAnchor>
  <xdr:oneCellAnchor>
    <xdr:from>
      <xdr:col>0</xdr:col>
      <xdr:colOff>340995</xdr:colOff>
      <xdr:row>30</xdr:row>
      <xdr:rowOff>152400</xdr:rowOff>
    </xdr:from>
    <xdr:ext cx="990600" cy="994639"/>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14629" b="45530"/>
        <a:stretch/>
      </xdr:blipFill>
      <xdr:spPr>
        <a:xfrm>
          <a:off x="340995" y="5924550"/>
          <a:ext cx="990600" cy="994639"/>
        </a:xfrm>
        <a:prstGeom prst="rect">
          <a:avLst/>
        </a:prstGeom>
      </xdr:spPr>
    </xdr:pic>
    <xdr:clientData/>
  </xdr:oneCellAnchor>
  <xdr:oneCellAnchor>
    <xdr:from>
      <xdr:col>2</xdr:col>
      <xdr:colOff>81915</xdr:colOff>
      <xdr:row>31</xdr:row>
      <xdr:rowOff>59055</xdr:rowOff>
    </xdr:from>
    <xdr:ext cx="1099899" cy="737879"/>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8725" r="1502" b="1"/>
        <a:stretch/>
      </xdr:blipFill>
      <xdr:spPr>
        <a:xfrm>
          <a:off x="1301115" y="6012180"/>
          <a:ext cx="1099899" cy="737879"/>
        </a:xfrm>
        <a:prstGeom prst="rect">
          <a:avLst/>
        </a:prstGeom>
      </xdr:spPr>
    </xdr:pic>
    <xdr:clientData/>
  </xdr:oneCellAnchor>
  <xdr:oneCellAnchor>
    <xdr:from>
      <xdr:col>0</xdr:col>
      <xdr:colOff>464820</xdr:colOff>
      <xdr:row>35</xdr:row>
      <xdr:rowOff>85725</xdr:rowOff>
    </xdr:from>
    <xdr:ext cx="1754505" cy="844548"/>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4028" t="21949" r="7417" b="30264"/>
        <a:stretch/>
      </xdr:blipFill>
      <xdr:spPr>
        <a:xfrm>
          <a:off x="464820" y="6858000"/>
          <a:ext cx="1754505" cy="844548"/>
        </a:xfrm>
        <a:prstGeom prst="rect">
          <a:avLst/>
        </a:prstGeom>
      </xdr:spPr>
    </xdr:pic>
    <xdr:clientData/>
  </xdr:oneCellAnchor>
  <xdr:twoCellAnchor editAs="oneCell">
    <xdr:from>
      <xdr:col>1</xdr:col>
      <xdr:colOff>162667</xdr:colOff>
      <xdr:row>4</xdr:row>
      <xdr:rowOff>204479</xdr:rowOff>
    </xdr:from>
    <xdr:to>
      <xdr:col>3</xdr:col>
      <xdr:colOff>211177</xdr:colOff>
      <xdr:row>6</xdr:row>
      <xdr:rowOff>236229</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4" cstate="print"/>
        <a:stretch>
          <a:fillRect/>
        </a:stretch>
      </xdr:blipFill>
      <xdr:spPr>
        <a:xfrm>
          <a:off x="356631" y="924915"/>
          <a:ext cx="1267710" cy="475096"/>
        </a:xfrm>
        <a:prstGeom prst="rect">
          <a:avLst/>
        </a:prstGeom>
      </xdr:spPr>
    </xdr:pic>
    <xdr:clientData/>
  </xdr:twoCellAnchor>
  <xdr:twoCellAnchor editAs="oneCell">
    <xdr:from>
      <xdr:col>1</xdr:col>
      <xdr:colOff>138791</xdr:colOff>
      <xdr:row>23</xdr:row>
      <xdr:rowOff>142874</xdr:rowOff>
    </xdr:from>
    <xdr:to>
      <xdr:col>4</xdr:col>
      <xdr:colOff>106413</xdr:colOff>
      <xdr:row>28</xdr:row>
      <xdr:rowOff>69466</xdr:rowOff>
    </xdr:to>
    <xdr:pic>
      <xdr:nvPicPr>
        <xdr:cNvPr id="13" name="Picture 12">
          <a:extLst>
            <a:ext uri="{FF2B5EF4-FFF2-40B4-BE49-F238E27FC236}">
              <a16:creationId xmlns:a16="http://schemas.microsoft.com/office/drawing/2014/main" id="{00000000-0008-0000-0400-00000D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t="7168" r="7168"/>
        <a:stretch/>
      </xdr:blipFill>
      <xdr:spPr bwMode="auto">
        <a:xfrm>
          <a:off x="392791" y="5349874"/>
          <a:ext cx="1761497" cy="873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45720</xdr:colOff>
      <xdr:row>0</xdr:row>
      <xdr:rowOff>91440</xdr:rowOff>
    </xdr:from>
    <xdr:to>
      <xdr:col>1</xdr:col>
      <xdr:colOff>1235844</xdr:colOff>
      <xdr:row>0</xdr:row>
      <xdr:rowOff>394395</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45720" y="91440"/>
          <a:ext cx="1267710" cy="3029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22861</xdr:colOff>
      <xdr:row>0</xdr:row>
      <xdr:rowOff>0</xdr:rowOff>
    </xdr:from>
    <xdr:to>
      <xdr:col>1</xdr:col>
      <xdr:colOff>662941</xdr:colOff>
      <xdr:row>0</xdr:row>
      <xdr:rowOff>516440</xdr:rowOff>
    </xdr:to>
    <xdr:pic>
      <xdr:nvPicPr>
        <xdr:cNvPr id="3" name="Picture 2">
          <a:extLst>
            <a:ext uri="{FF2B5EF4-FFF2-40B4-BE49-F238E27FC236}">
              <a16:creationId xmlns:a16="http://schemas.microsoft.com/office/drawing/2014/main" id="{00000000-0008-0000-1400-000003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7168" r="7168"/>
        <a:stretch/>
      </xdr:blipFill>
      <xdr:spPr bwMode="auto">
        <a:xfrm>
          <a:off x="22861" y="0"/>
          <a:ext cx="1097280" cy="516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14</xdr:col>
      <xdr:colOff>619125</xdr:colOff>
      <xdr:row>45</xdr:row>
      <xdr:rowOff>180974</xdr:rowOff>
    </xdr:from>
    <xdr:to>
      <xdr:col>22</xdr:col>
      <xdr:colOff>752475</xdr:colOff>
      <xdr:row>65</xdr:row>
      <xdr:rowOff>119062</xdr:rowOff>
    </xdr:to>
    <xdr:graphicFrame macro="">
      <xdr:nvGraphicFramePr>
        <xdr:cNvPr id="28" name="Chart 27">
          <a:extLst>
            <a:ext uri="{FF2B5EF4-FFF2-40B4-BE49-F238E27FC236}">
              <a16:creationId xmlns:a16="http://schemas.microsoft.com/office/drawing/2014/main" id="{00000000-0008-0000-05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9525</xdr:colOff>
      <xdr:row>2</xdr:row>
      <xdr:rowOff>19048</xdr:rowOff>
    </xdr:from>
    <xdr:to>
      <xdr:col>23</xdr:col>
      <xdr:colOff>28575</xdr:colOff>
      <xdr:row>3</xdr:row>
      <xdr:rowOff>9523</xdr:rowOff>
    </xdr:to>
    <xdr:grpSp>
      <xdr:nvGrpSpPr>
        <xdr:cNvPr id="26" name="Group 25">
          <a:extLst>
            <a:ext uri="{FF2B5EF4-FFF2-40B4-BE49-F238E27FC236}">
              <a16:creationId xmlns:a16="http://schemas.microsoft.com/office/drawing/2014/main" id="{00000000-0008-0000-0500-00001A000000}"/>
            </a:ext>
          </a:extLst>
        </xdr:cNvPr>
        <xdr:cNvGrpSpPr/>
      </xdr:nvGrpSpPr>
      <xdr:grpSpPr>
        <a:xfrm>
          <a:off x="18709005" y="438148"/>
          <a:ext cx="6419850" cy="219075"/>
          <a:chOff x="5891117" y="4762469"/>
          <a:chExt cx="6220573" cy="344908"/>
        </a:xfrm>
      </xdr:grpSpPr>
      <xdr:sp macro="" textlink="">
        <xdr:nvSpPr>
          <xdr:cNvPr id="23" name="TextBox 22">
            <a:extLst>
              <a:ext uri="{FF2B5EF4-FFF2-40B4-BE49-F238E27FC236}">
                <a16:creationId xmlns:a16="http://schemas.microsoft.com/office/drawing/2014/main" id="{00000000-0008-0000-0500-000017000000}"/>
              </a:ext>
            </a:extLst>
          </xdr:cNvPr>
          <xdr:cNvSpPr txBox="1"/>
        </xdr:nvSpPr>
        <xdr:spPr>
          <a:xfrm>
            <a:off x="8010525" y="4772025"/>
            <a:ext cx="166193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Scroll</a:t>
            </a:r>
            <a:r>
              <a:rPr lang="en-US" sz="1100" baseline="0"/>
              <a:t> Here To Select Date</a:t>
            </a:r>
            <a:endParaRPr lang="en-US" sz="1100"/>
          </a:p>
        </xdr:txBody>
      </xdr:sp>
    </xdr:grpSp>
    <xdr:clientData/>
  </xdr:twoCellAnchor>
  <xdr:twoCellAnchor>
    <xdr:from>
      <xdr:col>15</xdr:col>
      <xdr:colOff>0</xdr:colOff>
      <xdr:row>4</xdr:row>
      <xdr:rowOff>4761</xdr:rowOff>
    </xdr:from>
    <xdr:to>
      <xdr:col>22</xdr:col>
      <xdr:colOff>762000</xdr:colOff>
      <xdr:row>24</xdr:row>
      <xdr:rowOff>180974</xdr:rowOff>
    </xdr:to>
    <xdr:grpSp>
      <xdr:nvGrpSpPr>
        <xdr:cNvPr id="13" name="Group 12">
          <a:extLst>
            <a:ext uri="{FF2B5EF4-FFF2-40B4-BE49-F238E27FC236}">
              <a16:creationId xmlns:a16="http://schemas.microsoft.com/office/drawing/2014/main" id="{00000000-0008-0000-0500-00000D000000}"/>
            </a:ext>
          </a:extLst>
        </xdr:cNvPr>
        <xdr:cNvGrpSpPr/>
      </xdr:nvGrpSpPr>
      <xdr:grpSpPr>
        <a:xfrm>
          <a:off x="18699480" y="881061"/>
          <a:ext cx="6362700" cy="4755833"/>
          <a:chOff x="10429875" y="976311"/>
          <a:chExt cx="6229350" cy="3795713"/>
        </a:xfrm>
      </xdr:grpSpPr>
      <xdr:graphicFrame macro="">
        <xdr:nvGraphicFramePr>
          <xdr:cNvPr id="22" name="Chart 21">
            <a:extLst>
              <a:ext uri="{FF2B5EF4-FFF2-40B4-BE49-F238E27FC236}">
                <a16:creationId xmlns:a16="http://schemas.microsoft.com/office/drawing/2014/main" id="{00000000-0008-0000-0500-000016000000}"/>
              </a:ext>
            </a:extLst>
          </xdr:cNvPr>
          <xdr:cNvGraphicFramePr/>
        </xdr:nvGraphicFramePr>
        <xdr:xfrm>
          <a:off x="10429875" y="976311"/>
          <a:ext cx="6229350" cy="379571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15</xdr:col>
      <xdr:colOff>0</xdr:colOff>
      <xdr:row>25</xdr:row>
      <xdr:rowOff>76200</xdr:rowOff>
    </xdr:from>
    <xdr:to>
      <xdr:col>22</xdr:col>
      <xdr:colOff>762000</xdr:colOff>
      <xdr:row>45</xdr:row>
      <xdr:rowOff>61913</xdr:rowOff>
    </xdr:to>
    <xdr:grpSp>
      <xdr:nvGrpSpPr>
        <xdr:cNvPr id="31" name="Group 30">
          <a:extLst>
            <a:ext uri="{FF2B5EF4-FFF2-40B4-BE49-F238E27FC236}">
              <a16:creationId xmlns:a16="http://schemas.microsoft.com/office/drawing/2014/main" id="{00000000-0008-0000-0500-00001F000000}"/>
            </a:ext>
          </a:extLst>
        </xdr:cNvPr>
        <xdr:cNvGrpSpPr/>
      </xdr:nvGrpSpPr>
      <xdr:grpSpPr>
        <a:xfrm>
          <a:off x="18699480" y="5760720"/>
          <a:ext cx="6362700" cy="4687253"/>
          <a:chOff x="5876925" y="9429750"/>
          <a:chExt cx="6229350" cy="3795713"/>
        </a:xfrm>
      </xdr:grpSpPr>
      <xdr:graphicFrame macro="">
        <xdr:nvGraphicFramePr>
          <xdr:cNvPr id="32" name="Chart 31">
            <a:extLst>
              <a:ext uri="{FF2B5EF4-FFF2-40B4-BE49-F238E27FC236}">
                <a16:creationId xmlns:a16="http://schemas.microsoft.com/office/drawing/2014/main" id="{00000000-0008-0000-0500-000020000000}"/>
              </a:ext>
            </a:extLst>
          </xdr:cNvPr>
          <xdr:cNvGraphicFramePr>
            <a:graphicFrameLocks/>
          </xdr:cNvGraphicFramePr>
        </xdr:nvGraphicFramePr>
        <xdr:xfrm>
          <a:off x="5876925" y="9429750"/>
          <a:ext cx="6229350" cy="3795713"/>
        </xdr:xfrm>
        <a:graphic>
          <a:graphicData uri="http://schemas.openxmlformats.org/drawingml/2006/chart">
            <c:chart xmlns:c="http://schemas.openxmlformats.org/drawingml/2006/chart" xmlns:r="http://schemas.openxmlformats.org/officeDocument/2006/relationships" r:id="rId3"/>
          </a:graphicData>
        </a:graphic>
      </xdr:graphicFrame>
      <xdr:pic>
        <xdr:nvPicPr>
          <xdr:cNvPr id="33" name="Picture 32">
            <a:extLst>
              <a:ext uri="{FF2B5EF4-FFF2-40B4-BE49-F238E27FC236}">
                <a16:creationId xmlns:a16="http://schemas.microsoft.com/office/drawing/2014/main" id="{00000000-0008-0000-0500-000021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839325" y="9534525"/>
            <a:ext cx="1228725" cy="2000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23</xdr:col>
      <xdr:colOff>438151</xdr:colOff>
      <xdr:row>25</xdr:row>
      <xdr:rowOff>139065</xdr:rowOff>
    </xdr:from>
    <xdr:to>
      <xdr:col>30</xdr:col>
      <xdr:colOff>259081</xdr:colOff>
      <xdr:row>45</xdr:row>
      <xdr:rowOff>115254</xdr:rowOff>
    </xdr:to>
    <xdr:graphicFrame macro="">
      <xdr:nvGraphicFramePr>
        <xdr:cNvPr id="25" name="Chart 24">
          <a:extLst>
            <a:ext uri="{FF2B5EF4-FFF2-40B4-BE49-F238E27FC236}">
              <a16:creationId xmlns:a16="http://schemas.microsoft.com/office/drawing/2014/main" id="{00000000-0008-0000-05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769619</xdr:colOff>
      <xdr:row>48</xdr:row>
      <xdr:rowOff>121920</xdr:rowOff>
    </xdr:from>
    <xdr:to>
      <xdr:col>31</xdr:col>
      <xdr:colOff>657224</xdr:colOff>
      <xdr:row>68</xdr:row>
      <xdr:rowOff>31434</xdr:rowOff>
    </xdr:to>
    <xdr:grpSp>
      <xdr:nvGrpSpPr>
        <xdr:cNvPr id="10" name="Group 9">
          <a:extLst>
            <a:ext uri="{FF2B5EF4-FFF2-40B4-BE49-F238E27FC236}">
              <a16:creationId xmlns:a16="http://schemas.microsoft.com/office/drawing/2014/main" id="{00000000-0008-0000-0500-00000A000000}"/>
            </a:ext>
            <a:ext uri="{147F2762-F138-4A5C-976F-8EAC2B608ADB}">
              <a16:predDERef xmlns:a16="http://schemas.microsoft.com/office/drawing/2014/main" pred="{00000000-0008-0000-0500-000019000000}"/>
            </a:ext>
          </a:extLst>
        </xdr:cNvPr>
        <xdr:cNvGrpSpPr/>
      </xdr:nvGrpSpPr>
      <xdr:grpSpPr>
        <a:xfrm>
          <a:off x="26327099" y="11193780"/>
          <a:ext cx="5153025" cy="4519614"/>
          <a:chOff x="13220924" y="5552676"/>
          <a:chExt cx="4019550" cy="3786189"/>
        </a:xfrm>
      </xdr:grpSpPr>
      <xdr:graphicFrame macro="">
        <xdr:nvGraphicFramePr>
          <xdr:cNvPr id="39" name="Chart 38">
            <a:extLst>
              <a:ext uri="{FF2B5EF4-FFF2-40B4-BE49-F238E27FC236}">
                <a16:creationId xmlns:a16="http://schemas.microsoft.com/office/drawing/2014/main" id="{00000000-0008-0000-0500-000027000000}"/>
              </a:ext>
            </a:extLst>
          </xdr:cNvPr>
          <xdr:cNvGraphicFramePr>
            <a:graphicFrameLocks/>
          </xdr:cNvGraphicFramePr>
        </xdr:nvGraphicFramePr>
        <xdr:xfrm>
          <a:off x="13220924" y="5552676"/>
          <a:ext cx="4019550" cy="3786189"/>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7" name="TextBox 26">
            <a:extLst>
              <a:ext uri="{FF2B5EF4-FFF2-40B4-BE49-F238E27FC236}">
                <a16:creationId xmlns:a16="http://schemas.microsoft.com/office/drawing/2014/main" id="{00000000-0008-0000-0500-00001B000000}"/>
              </a:ext>
            </a:extLst>
          </xdr:cNvPr>
          <xdr:cNvSpPr txBox="1"/>
        </xdr:nvSpPr>
        <xdr:spPr>
          <a:xfrm rot="16200000">
            <a:off x="13114961" y="6792290"/>
            <a:ext cx="792507" cy="352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i="0"/>
              <a:t>KTON</a:t>
            </a:r>
          </a:p>
        </xdr:txBody>
      </xdr:sp>
    </xdr:grpSp>
    <xdr:clientData/>
  </xdr:twoCellAnchor>
  <xdr:twoCellAnchor>
    <xdr:from>
      <xdr:col>31</xdr:col>
      <xdr:colOff>0</xdr:colOff>
      <xdr:row>45</xdr:row>
      <xdr:rowOff>123825</xdr:rowOff>
    </xdr:from>
    <xdr:to>
      <xdr:col>36</xdr:col>
      <xdr:colOff>704851</xdr:colOff>
      <xdr:row>65</xdr:row>
      <xdr:rowOff>85725</xdr:rowOff>
    </xdr:to>
    <xdr:grpSp>
      <xdr:nvGrpSpPr>
        <xdr:cNvPr id="6" name="Group 5">
          <a:extLst>
            <a:ext uri="{FF2B5EF4-FFF2-40B4-BE49-F238E27FC236}">
              <a16:creationId xmlns:a16="http://schemas.microsoft.com/office/drawing/2014/main" id="{00000000-0008-0000-0500-000006000000}"/>
            </a:ext>
          </a:extLst>
        </xdr:cNvPr>
        <xdr:cNvGrpSpPr/>
      </xdr:nvGrpSpPr>
      <xdr:grpSpPr>
        <a:xfrm>
          <a:off x="30822900" y="10509885"/>
          <a:ext cx="4362451" cy="4564380"/>
          <a:chOff x="21478876" y="5543550"/>
          <a:chExt cx="4019550" cy="3786189"/>
        </a:xfrm>
      </xdr:grpSpPr>
      <xdr:grpSp>
        <xdr:nvGrpSpPr>
          <xdr:cNvPr id="47" name="Group 46">
            <a:extLst>
              <a:ext uri="{FF2B5EF4-FFF2-40B4-BE49-F238E27FC236}">
                <a16:creationId xmlns:a16="http://schemas.microsoft.com/office/drawing/2014/main" id="{00000000-0008-0000-0500-00002F000000}"/>
              </a:ext>
            </a:extLst>
          </xdr:cNvPr>
          <xdr:cNvGrpSpPr/>
        </xdr:nvGrpSpPr>
        <xdr:grpSpPr>
          <a:xfrm>
            <a:off x="21478876" y="5543550"/>
            <a:ext cx="4019550" cy="3786189"/>
            <a:chOff x="13258801" y="5429250"/>
            <a:chExt cx="4019550" cy="3786189"/>
          </a:xfrm>
        </xdr:grpSpPr>
        <xdr:graphicFrame macro="">
          <xdr:nvGraphicFramePr>
            <xdr:cNvPr id="48" name="Chart 47">
              <a:extLst>
                <a:ext uri="{FF2B5EF4-FFF2-40B4-BE49-F238E27FC236}">
                  <a16:creationId xmlns:a16="http://schemas.microsoft.com/office/drawing/2014/main" id="{00000000-0008-0000-0500-000030000000}"/>
                </a:ext>
              </a:extLst>
            </xdr:cNvPr>
            <xdr:cNvGraphicFramePr>
              <a:graphicFrameLocks/>
            </xdr:cNvGraphicFramePr>
          </xdr:nvGraphicFramePr>
          <xdr:xfrm>
            <a:off x="13258801" y="5429250"/>
            <a:ext cx="4019550" cy="3786189"/>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51" name="TextBox 50">
              <a:extLst>
                <a:ext uri="{FF2B5EF4-FFF2-40B4-BE49-F238E27FC236}">
                  <a16:creationId xmlns:a16="http://schemas.microsoft.com/office/drawing/2014/main" id="{00000000-0008-0000-0500-000033000000}"/>
                </a:ext>
              </a:extLst>
            </xdr:cNvPr>
            <xdr:cNvSpPr txBox="1"/>
          </xdr:nvSpPr>
          <xdr:spPr>
            <a:xfrm rot="16200000">
              <a:off x="13114961" y="6792290"/>
              <a:ext cx="792507" cy="352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i="0"/>
                <a:t>KTON</a:t>
              </a:r>
            </a:p>
          </xdr:txBody>
        </xdr:sp>
      </xdr:grpSp>
    </xdr:grpSp>
    <xdr:clientData/>
  </xdr:twoCellAnchor>
  <xdr:twoCellAnchor>
    <xdr:from>
      <xdr:col>14</xdr:col>
      <xdr:colOff>606878</xdr:colOff>
      <xdr:row>66</xdr:row>
      <xdr:rowOff>70757</xdr:rowOff>
    </xdr:from>
    <xdr:to>
      <xdr:col>22</xdr:col>
      <xdr:colOff>751114</xdr:colOff>
      <xdr:row>94</xdr:row>
      <xdr:rowOff>75520</xdr:rowOff>
    </xdr:to>
    <xdr:graphicFrame macro="">
      <xdr:nvGraphicFramePr>
        <xdr:cNvPr id="55" name="Chart 54">
          <a:extLst>
            <a:ext uri="{FF2B5EF4-FFF2-40B4-BE49-F238E27FC236}">
              <a16:creationId xmlns:a16="http://schemas.microsoft.com/office/drawing/2014/main" id="{00000000-0008-0000-05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384810</xdr:colOff>
      <xdr:row>66</xdr:row>
      <xdr:rowOff>79375</xdr:rowOff>
    </xdr:from>
    <xdr:to>
      <xdr:col>30</xdr:col>
      <xdr:colOff>260985</xdr:colOff>
      <xdr:row>94</xdr:row>
      <xdr:rowOff>98425</xdr:rowOff>
    </xdr:to>
    <xdr:grpSp>
      <xdr:nvGrpSpPr>
        <xdr:cNvPr id="12" name="Group 11">
          <a:extLst>
            <a:ext uri="{FF2B5EF4-FFF2-40B4-BE49-F238E27FC236}">
              <a16:creationId xmlns:a16="http://schemas.microsoft.com/office/drawing/2014/main" id="{00000000-0008-0000-0500-00000C000000}"/>
            </a:ext>
          </a:extLst>
        </xdr:cNvPr>
        <xdr:cNvGrpSpPr/>
      </xdr:nvGrpSpPr>
      <xdr:grpSpPr>
        <a:xfrm>
          <a:off x="25485090" y="15296515"/>
          <a:ext cx="5156835" cy="5788025"/>
          <a:chOff x="16869211" y="12600313"/>
          <a:chExt cx="4354941" cy="3717154"/>
        </a:xfrm>
      </xdr:grpSpPr>
      <xdr:graphicFrame macro="">
        <xdr:nvGraphicFramePr>
          <xdr:cNvPr id="94" name="Chart 93">
            <a:extLst>
              <a:ext uri="{FF2B5EF4-FFF2-40B4-BE49-F238E27FC236}">
                <a16:creationId xmlns:a16="http://schemas.microsoft.com/office/drawing/2014/main" id="{00000000-0008-0000-0500-00005E000000}"/>
              </a:ext>
            </a:extLst>
          </xdr:cNvPr>
          <xdr:cNvGraphicFramePr>
            <a:graphicFrameLocks/>
          </xdr:cNvGraphicFramePr>
        </xdr:nvGraphicFramePr>
        <xdr:xfrm>
          <a:off x="16869211" y="12600313"/>
          <a:ext cx="4354941" cy="3717154"/>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23</xdr:col>
      <xdr:colOff>202847</xdr:colOff>
      <xdr:row>4</xdr:row>
      <xdr:rowOff>80356</xdr:rowOff>
    </xdr:from>
    <xdr:to>
      <xdr:col>30</xdr:col>
      <xdr:colOff>415636</xdr:colOff>
      <xdr:row>24</xdr:row>
      <xdr:rowOff>222538</xdr:rowOff>
    </xdr:to>
    <xdr:grpSp>
      <xdr:nvGrpSpPr>
        <xdr:cNvPr id="11" name="Group 10">
          <a:extLst>
            <a:ext uri="{FF2B5EF4-FFF2-40B4-BE49-F238E27FC236}">
              <a16:creationId xmlns:a16="http://schemas.microsoft.com/office/drawing/2014/main" id="{00000000-0008-0000-0500-00000B000000}"/>
            </a:ext>
          </a:extLst>
        </xdr:cNvPr>
        <xdr:cNvGrpSpPr/>
      </xdr:nvGrpSpPr>
      <xdr:grpSpPr>
        <a:xfrm>
          <a:off x="25303127" y="956656"/>
          <a:ext cx="5493449" cy="4721802"/>
          <a:chOff x="16922977" y="816132"/>
          <a:chExt cx="4591182" cy="3786189"/>
        </a:xfrm>
      </xdr:grpSpPr>
      <xdr:grpSp>
        <xdr:nvGrpSpPr>
          <xdr:cNvPr id="9" name="Group 8">
            <a:extLst>
              <a:ext uri="{FF2B5EF4-FFF2-40B4-BE49-F238E27FC236}">
                <a16:creationId xmlns:a16="http://schemas.microsoft.com/office/drawing/2014/main" id="{00000000-0008-0000-0500-000009000000}"/>
              </a:ext>
            </a:extLst>
          </xdr:cNvPr>
          <xdr:cNvGrpSpPr/>
        </xdr:nvGrpSpPr>
        <xdr:grpSpPr>
          <a:xfrm>
            <a:off x="16922977" y="816132"/>
            <a:ext cx="4591182" cy="3786189"/>
            <a:chOff x="13337885" y="701832"/>
            <a:chExt cx="4325322" cy="3786189"/>
          </a:xfrm>
        </xdr:grpSpPr>
        <xdr:graphicFrame macro="">
          <xdr:nvGraphicFramePr>
            <xdr:cNvPr id="2049" name="Chart 2048">
              <a:extLst>
                <a:ext uri="{FF2B5EF4-FFF2-40B4-BE49-F238E27FC236}">
                  <a16:creationId xmlns:a16="http://schemas.microsoft.com/office/drawing/2014/main" id="{00000000-0008-0000-0500-000001080000}"/>
                </a:ext>
              </a:extLst>
            </xdr:cNvPr>
            <xdr:cNvGraphicFramePr/>
          </xdr:nvGraphicFramePr>
          <xdr:xfrm>
            <a:off x="13643657" y="701832"/>
            <a:ext cx="4019550" cy="3786189"/>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3" name="TextBox 2">
              <a:extLst>
                <a:ext uri="{FF2B5EF4-FFF2-40B4-BE49-F238E27FC236}">
                  <a16:creationId xmlns:a16="http://schemas.microsoft.com/office/drawing/2014/main" id="{00000000-0008-0000-0500-000003000000}"/>
                </a:ext>
              </a:extLst>
            </xdr:cNvPr>
            <xdr:cNvSpPr txBox="1"/>
          </xdr:nvSpPr>
          <xdr:spPr>
            <a:xfrm rot="16200000">
              <a:off x="12941687" y="2430578"/>
              <a:ext cx="10726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i="0"/>
                <a:t>KBCM</a:t>
              </a:r>
              <a:r>
                <a:rPr lang="en-US" sz="1200" b="1" i="0" baseline="0"/>
                <a:t> / KTON</a:t>
              </a:r>
              <a:endParaRPr lang="en-US" sz="1200" b="1" i="0"/>
            </a:p>
          </xdr:txBody>
        </xdr:sp>
      </xdr:grpSp>
    </xdr:grpSp>
    <xdr:clientData/>
  </xdr:twoCellAnchor>
  <xdr:twoCellAnchor>
    <xdr:from>
      <xdr:col>30</xdr:col>
      <xdr:colOff>342900</xdr:colOff>
      <xdr:row>66</xdr:row>
      <xdr:rowOff>74930</xdr:rowOff>
    </xdr:from>
    <xdr:to>
      <xdr:col>36</xdr:col>
      <xdr:colOff>704850</xdr:colOff>
      <xdr:row>94</xdr:row>
      <xdr:rowOff>70169</xdr:rowOff>
    </xdr:to>
    <xdr:grpSp>
      <xdr:nvGrpSpPr>
        <xdr:cNvPr id="35" name="Group 34">
          <a:extLst>
            <a:ext uri="{FF2B5EF4-FFF2-40B4-BE49-F238E27FC236}">
              <a16:creationId xmlns:a16="http://schemas.microsoft.com/office/drawing/2014/main" id="{00000000-0008-0000-0500-000023000000}"/>
            </a:ext>
          </a:extLst>
        </xdr:cNvPr>
        <xdr:cNvGrpSpPr/>
      </xdr:nvGrpSpPr>
      <xdr:grpSpPr>
        <a:xfrm>
          <a:off x="30723840" y="15292070"/>
          <a:ext cx="4461510" cy="5792470"/>
          <a:chOff x="21297900" y="12620625"/>
          <a:chExt cx="4286250" cy="3786189"/>
        </a:xfrm>
      </xdr:grpSpPr>
      <xdr:grpSp>
        <xdr:nvGrpSpPr>
          <xdr:cNvPr id="30" name="Group 29">
            <a:extLst>
              <a:ext uri="{FF2B5EF4-FFF2-40B4-BE49-F238E27FC236}">
                <a16:creationId xmlns:a16="http://schemas.microsoft.com/office/drawing/2014/main" id="{00000000-0008-0000-0500-00001E000000}"/>
              </a:ext>
            </a:extLst>
          </xdr:cNvPr>
          <xdr:cNvGrpSpPr/>
        </xdr:nvGrpSpPr>
        <xdr:grpSpPr>
          <a:xfrm>
            <a:off x="21297900" y="12620625"/>
            <a:ext cx="4286250" cy="3786189"/>
            <a:chOff x="21297900" y="12620625"/>
            <a:chExt cx="4286250" cy="3786189"/>
          </a:xfrm>
        </xdr:grpSpPr>
        <xdr:graphicFrame macro="">
          <xdr:nvGraphicFramePr>
            <xdr:cNvPr id="80" name="Chart 79">
              <a:extLst>
                <a:ext uri="{FF2B5EF4-FFF2-40B4-BE49-F238E27FC236}">
                  <a16:creationId xmlns:a16="http://schemas.microsoft.com/office/drawing/2014/main" id="{00000000-0008-0000-0500-000050000000}"/>
                </a:ext>
              </a:extLst>
            </xdr:cNvPr>
            <xdr:cNvGraphicFramePr>
              <a:graphicFrameLocks/>
            </xdr:cNvGraphicFramePr>
          </xdr:nvGraphicFramePr>
          <xdr:xfrm>
            <a:off x="21297900" y="12620625"/>
            <a:ext cx="4286250" cy="3786189"/>
          </xdr:xfrm>
          <a:graphic>
            <a:graphicData uri="http://schemas.openxmlformats.org/drawingml/2006/chart">
              <c:chart xmlns:c="http://schemas.openxmlformats.org/drawingml/2006/chart" xmlns:r="http://schemas.openxmlformats.org/officeDocument/2006/relationships" r:id="rId11"/>
            </a:graphicData>
          </a:graphic>
        </xdr:graphicFrame>
      </xdr:grpSp>
    </xdr:grpSp>
    <xdr:clientData/>
  </xdr:twoCellAnchor>
  <xdr:twoCellAnchor>
    <xdr:from>
      <xdr:col>31</xdr:col>
      <xdr:colOff>0</xdr:colOff>
      <xdr:row>25</xdr:row>
      <xdr:rowOff>85725</xdr:rowOff>
    </xdr:from>
    <xdr:to>
      <xdr:col>37</xdr:col>
      <xdr:colOff>0</xdr:colOff>
      <xdr:row>45</xdr:row>
      <xdr:rowOff>61914</xdr:rowOff>
    </xdr:to>
    <xdr:graphicFrame macro="">
      <xdr:nvGraphicFramePr>
        <xdr:cNvPr id="91" name="Chart 90">
          <a:extLst>
            <a:ext uri="{FF2B5EF4-FFF2-40B4-BE49-F238E27FC236}">
              <a16:creationId xmlns:a16="http://schemas.microsoft.com/office/drawing/2014/main" id="{00000000-0008-0000-0500-00005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31</xdr:col>
      <xdr:colOff>91133</xdr:colOff>
      <xdr:row>5</xdr:row>
      <xdr:rowOff>73586</xdr:rowOff>
    </xdr:from>
    <xdr:to>
      <xdr:col>37</xdr:col>
      <xdr:colOff>92778</xdr:colOff>
      <xdr:row>24</xdr:row>
      <xdr:rowOff>173143</xdr:rowOff>
    </xdr:to>
    <xdr:grpSp>
      <xdr:nvGrpSpPr>
        <xdr:cNvPr id="5" name="Group 4">
          <a:extLst>
            <a:ext uri="{FF2B5EF4-FFF2-40B4-BE49-F238E27FC236}">
              <a16:creationId xmlns:a16="http://schemas.microsoft.com/office/drawing/2014/main" id="{00000000-0008-0000-0500-000005000000}"/>
            </a:ext>
          </a:extLst>
        </xdr:cNvPr>
        <xdr:cNvGrpSpPr/>
      </xdr:nvGrpSpPr>
      <xdr:grpSpPr>
        <a:xfrm>
          <a:off x="30914033" y="1178486"/>
          <a:ext cx="4390765" cy="4450577"/>
          <a:chOff x="20866581" y="896643"/>
          <a:chExt cx="4064962" cy="3267648"/>
        </a:xfrm>
      </xdr:grpSpPr>
      <xdr:grpSp>
        <xdr:nvGrpSpPr>
          <xdr:cNvPr id="4" name="Group 3">
            <a:extLst>
              <a:ext uri="{FF2B5EF4-FFF2-40B4-BE49-F238E27FC236}">
                <a16:creationId xmlns:a16="http://schemas.microsoft.com/office/drawing/2014/main" id="{00000000-0008-0000-0500-000004000000}"/>
              </a:ext>
            </a:extLst>
          </xdr:cNvPr>
          <xdr:cNvGrpSpPr/>
        </xdr:nvGrpSpPr>
        <xdr:grpSpPr>
          <a:xfrm>
            <a:off x="20866581" y="896643"/>
            <a:ext cx="4064962" cy="3267648"/>
            <a:chOff x="20378269" y="896001"/>
            <a:chExt cx="3812032" cy="3292497"/>
          </a:xfrm>
        </xdr:grpSpPr>
        <xdr:grpSp>
          <xdr:nvGrpSpPr>
            <xdr:cNvPr id="29" name="Group 28">
              <a:extLst>
                <a:ext uri="{FF2B5EF4-FFF2-40B4-BE49-F238E27FC236}">
                  <a16:creationId xmlns:a16="http://schemas.microsoft.com/office/drawing/2014/main" id="{00000000-0008-0000-0500-00001D000000}"/>
                </a:ext>
              </a:extLst>
            </xdr:cNvPr>
            <xdr:cNvGrpSpPr/>
          </xdr:nvGrpSpPr>
          <xdr:grpSpPr>
            <a:xfrm>
              <a:off x="20378269" y="896001"/>
              <a:ext cx="3812032" cy="3292497"/>
              <a:chOff x="12167719" y="786462"/>
              <a:chExt cx="3812032" cy="3292497"/>
            </a:xfrm>
          </xdr:grpSpPr>
          <xdr:graphicFrame macro="">
            <xdr:nvGraphicFramePr>
              <xdr:cNvPr id="34" name="Chart 33">
                <a:extLst>
                  <a:ext uri="{FF2B5EF4-FFF2-40B4-BE49-F238E27FC236}">
                    <a16:creationId xmlns:a16="http://schemas.microsoft.com/office/drawing/2014/main" id="{00000000-0008-0000-0500-000022000000}"/>
                  </a:ext>
                </a:extLst>
              </xdr:cNvPr>
              <xdr:cNvGraphicFramePr/>
            </xdr:nvGraphicFramePr>
            <xdr:xfrm>
              <a:off x="12170069" y="786462"/>
              <a:ext cx="3809682" cy="3292497"/>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37" name="TextBox 36">
                <a:extLst>
                  <a:ext uri="{FF2B5EF4-FFF2-40B4-BE49-F238E27FC236}">
                    <a16:creationId xmlns:a16="http://schemas.microsoft.com/office/drawing/2014/main" id="{00000000-0008-0000-0500-000025000000}"/>
                  </a:ext>
                </a:extLst>
              </xdr:cNvPr>
              <xdr:cNvSpPr txBox="1"/>
            </xdr:nvSpPr>
            <xdr:spPr>
              <a:xfrm rot="16200000">
                <a:off x="11771521" y="2198027"/>
                <a:ext cx="10726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i="0"/>
                  <a:t>KBCM</a:t>
                </a:r>
                <a:r>
                  <a:rPr lang="en-US" sz="1200" b="1" i="0" baseline="0"/>
                  <a:t> / KTON</a:t>
                </a:r>
                <a:endParaRPr lang="en-US" sz="1200" b="1" i="0"/>
              </a:p>
            </xdr:txBody>
          </xdr:sp>
        </xdr:grpSp>
      </xdr:grpSp>
    </xdr:grpSp>
    <xdr:clientData/>
  </xdr:twoCellAnchor>
  <mc:AlternateContent xmlns:mc="http://schemas.openxmlformats.org/markup-compatibility/2006">
    <mc:Choice xmlns:a14="http://schemas.microsoft.com/office/drawing/2010/main" Requires="a14">
      <xdr:twoCellAnchor editAs="oneCell">
        <xdr:from>
          <xdr:col>15</xdr:col>
          <xdr:colOff>45720</xdr:colOff>
          <xdr:row>2</xdr:row>
          <xdr:rowOff>76200</xdr:rowOff>
        </xdr:from>
        <xdr:to>
          <xdr:col>23</xdr:col>
          <xdr:colOff>365760</xdr:colOff>
          <xdr:row>3</xdr:row>
          <xdr:rowOff>182880</xdr:rowOff>
        </xdr:to>
        <xdr:sp macro="" textlink="">
          <xdr:nvSpPr>
            <xdr:cNvPr id="2066" name="ScrollBar1" hidden="1">
              <a:extLst>
                <a:ext uri="{63B3BB69-23CF-44E3-9099-C40C66FF867C}">
                  <a14:compatExt spid="_x0000_s2066"/>
                </a:ext>
                <a:ext uri="{FF2B5EF4-FFF2-40B4-BE49-F238E27FC236}">
                  <a16:creationId xmlns:a16="http://schemas.microsoft.com/office/drawing/2014/main" id="{00000000-0008-0000-0900-00001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632460</xdr:colOff>
          <xdr:row>66</xdr:row>
          <xdr:rowOff>190500</xdr:rowOff>
        </xdr:from>
        <xdr:to>
          <xdr:col>28</xdr:col>
          <xdr:colOff>289560</xdr:colOff>
          <xdr:row>67</xdr:row>
          <xdr:rowOff>213360</xdr:rowOff>
        </xdr:to>
        <xdr:sp macro="" textlink="">
          <xdr:nvSpPr>
            <xdr:cNvPr id="43581" name="Group Box 3645" hidden="1">
              <a:extLst>
                <a:ext uri="{63B3BB69-23CF-44E3-9099-C40C66FF867C}">
                  <a14:compatExt spid="_x0000_s43581"/>
                </a:ext>
                <a:ext uri="{FF2B5EF4-FFF2-40B4-BE49-F238E27FC236}">
                  <a16:creationId xmlns:a16="http://schemas.microsoft.com/office/drawing/2014/main" id="{00000000-0008-0000-0900-00003DAA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en-GB" sz="800" b="0" i="0" u="none" strike="noStrike" baseline="0">
                  <a:solidFill>
                    <a:srgbClr val="000000"/>
                  </a:solidFill>
                  <a:latin typeface="Tahoma"/>
                  <a:ea typeface="Tahoma"/>
                  <a:cs typeface="Tahoma"/>
                </a:rPr>
                <a:t>Quality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731520</xdr:colOff>
          <xdr:row>67</xdr:row>
          <xdr:rowOff>0</xdr:rowOff>
        </xdr:from>
        <xdr:to>
          <xdr:col>27</xdr:col>
          <xdr:colOff>213360</xdr:colOff>
          <xdr:row>68</xdr:row>
          <xdr:rowOff>0</xdr:rowOff>
        </xdr:to>
        <xdr:sp macro="" textlink="">
          <xdr:nvSpPr>
            <xdr:cNvPr id="43582" name="Option Button 3646" hidden="1">
              <a:extLst>
                <a:ext uri="{63B3BB69-23CF-44E3-9099-C40C66FF867C}">
                  <a14:compatExt spid="_x0000_s43582"/>
                </a:ext>
                <a:ext uri="{FF2B5EF4-FFF2-40B4-BE49-F238E27FC236}">
                  <a16:creationId xmlns:a16="http://schemas.microsoft.com/office/drawing/2014/main" id="{00000000-0008-0000-0900-00003EA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CV</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38100</xdr:colOff>
          <xdr:row>67</xdr:row>
          <xdr:rowOff>0</xdr:rowOff>
        </xdr:from>
        <xdr:to>
          <xdr:col>28</xdr:col>
          <xdr:colOff>0</xdr:colOff>
          <xdr:row>68</xdr:row>
          <xdr:rowOff>0</xdr:rowOff>
        </xdr:to>
        <xdr:sp macro="" textlink="">
          <xdr:nvSpPr>
            <xdr:cNvPr id="43583" name="Option Button 3647" hidden="1">
              <a:extLst>
                <a:ext uri="{63B3BB69-23CF-44E3-9099-C40C66FF867C}">
                  <a14:compatExt spid="_x0000_s43583"/>
                </a:ext>
                <a:ext uri="{FF2B5EF4-FFF2-40B4-BE49-F238E27FC236}">
                  <a16:creationId xmlns:a16="http://schemas.microsoft.com/office/drawing/2014/main" id="{00000000-0008-0000-0900-00003FA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731520</xdr:colOff>
          <xdr:row>67</xdr:row>
          <xdr:rowOff>0</xdr:rowOff>
        </xdr:from>
        <xdr:to>
          <xdr:col>28</xdr:col>
          <xdr:colOff>213360</xdr:colOff>
          <xdr:row>68</xdr:row>
          <xdr:rowOff>0</xdr:rowOff>
        </xdr:to>
        <xdr:sp macro="" textlink="">
          <xdr:nvSpPr>
            <xdr:cNvPr id="43584" name="Option Button 3648" hidden="1">
              <a:extLst>
                <a:ext uri="{63B3BB69-23CF-44E3-9099-C40C66FF867C}">
                  <a14:compatExt spid="_x0000_s43584"/>
                </a:ext>
                <a:ext uri="{FF2B5EF4-FFF2-40B4-BE49-F238E27FC236}">
                  <a16:creationId xmlns:a16="http://schemas.microsoft.com/office/drawing/2014/main" id="{00000000-0008-0000-0900-000040A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ASH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609600</xdr:colOff>
          <xdr:row>66</xdr:row>
          <xdr:rowOff>182880</xdr:rowOff>
        </xdr:from>
        <xdr:to>
          <xdr:col>35</xdr:col>
          <xdr:colOff>289560</xdr:colOff>
          <xdr:row>67</xdr:row>
          <xdr:rowOff>213360</xdr:rowOff>
        </xdr:to>
        <xdr:sp macro="" textlink="">
          <xdr:nvSpPr>
            <xdr:cNvPr id="69749" name="Group Box 5237" hidden="1">
              <a:extLst>
                <a:ext uri="{63B3BB69-23CF-44E3-9099-C40C66FF867C}">
                  <a14:compatExt spid="_x0000_s69749"/>
                </a:ext>
                <a:ext uri="{FF2B5EF4-FFF2-40B4-BE49-F238E27FC236}">
                  <a16:creationId xmlns:a16="http://schemas.microsoft.com/office/drawing/2014/main" id="{00000000-0008-0000-0900-0000751001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en-GB" sz="800" b="0" i="0" u="none" strike="noStrike" baseline="0">
                  <a:solidFill>
                    <a:srgbClr val="000000"/>
                  </a:solidFill>
                  <a:latin typeface="Tahoma"/>
                  <a:ea typeface="Tahoma"/>
                  <a:cs typeface="Tahoma"/>
                </a:rPr>
                <a:t>Quality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670560</xdr:colOff>
          <xdr:row>67</xdr:row>
          <xdr:rowOff>0</xdr:rowOff>
        </xdr:from>
        <xdr:to>
          <xdr:col>34</xdr:col>
          <xdr:colOff>106680</xdr:colOff>
          <xdr:row>68</xdr:row>
          <xdr:rowOff>0</xdr:rowOff>
        </xdr:to>
        <xdr:sp macro="" textlink="">
          <xdr:nvSpPr>
            <xdr:cNvPr id="69750" name="Option Button 5238" hidden="1">
              <a:extLst>
                <a:ext uri="{63B3BB69-23CF-44E3-9099-C40C66FF867C}">
                  <a14:compatExt spid="_x0000_s69750"/>
                </a:ext>
                <a:ext uri="{FF2B5EF4-FFF2-40B4-BE49-F238E27FC236}">
                  <a16:creationId xmlns:a16="http://schemas.microsoft.com/office/drawing/2014/main" id="{00000000-0008-0000-0900-0000761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CV</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0</xdr:colOff>
          <xdr:row>67</xdr:row>
          <xdr:rowOff>0</xdr:rowOff>
        </xdr:from>
        <xdr:to>
          <xdr:col>35</xdr:col>
          <xdr:colOff>30480</xdr:colOff>
          <xdr:row>68</xdr:row>
          <xdr:rowOff>0</xdr:rowOff>
        </xdr:to>
        <xdr:sp macro="" textlink="">
          <xdr:nvSpPr>
            <xdr:cNvPr id="69751" name="Option Button 5239" hidden="1">
              <a:extLst>
                <a:ext uri="{63B3BB69-23CF-44E3-9099-C40C66FF867C}">
                  <a14:compatExt spid="_x0000_s69751"/>
                </a:ext>
                <a:ext uri="{FF2B5EF4-FFF2-40B4-BE49-F238E27FC236}">
                  <a16:creationId xmlns:a16="http://schemas.microsoft.com/office/drawing/2014/main" id="{00000000-0008-0000-0900-0000771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632460</xdr:colOff>
          <xdr:row>67</xdr:row>
          <xdr:rowOff>0</xdr:rowOff>
        </xdr:from>
        <xdr:to>
          <xdr:col>35</xdr:col>
          <xdr:colOff>106680</xdr:colOff>
          <xdr:row>68</xdr:row>
          <xdr:rowOff>0</xdr:rowOff>
        </xdr:to>
        <xdr:sp macro="" textlink="">
          <xdr:nvSpPr>
            <xdr:cNvPr id="69753" name="Option Button 5241" hidden="1">
              <a:extLst>
                <a:ext uri="{63B3BB69-23CF-44E3-9099-C40C66FF867C}">
                  <a14:compatExt spid="_x0000_s69753"/>
                </a:ext>
                <a:ext uri="{FF2B5EF4-FFF2-40B4-BE49-F238E27FC236}">
                  <a16:creationId xmlns:a16="http://schemas.microsoft.com/office/drawing/2014/main" id="{00000000-0008-0000-0900-0000791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ASH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342900</xdr:colOff>
          <xdr:row>2</xdr:row>
          <xdr:rowOff>99060</xdr:rowOff>
        </xdr:from>
        <xdr:to>
          <xdr:col>32</xdr:col>
          <xdr:colOff>175260</xdr:colOff>
          <xdr:row>3</xdr:row>
          <xdr:rowOff>144780</xdr:rowOff>
        </xdr:to>
        <xdr:sp macro="" textlink="">
          <xdr:nvSpPr>
            <xdr:cNvPr id="30238" name="OptionButton1" hidden="1">
              <a:extLst>
                <a:ext uri="{63B3BB69-23CF-44E3-9099-C40C66FF867C}">
                  <a14:compatExt spid="_x0000_s30238"/>
                </a:ext>
                <a:ext uri="{FF2B5EF4-FFF2-40B4-BE49-F238E27FC236}">
                  <a16:creationId xmlns:a16="http://schemas.microsoft.com/office/drawing/2014/main" id="{00000000-0008-0000-0900-00001E7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312420</xdr:colOff>
          <xdr:row>2</xdr:row>
          <xdr:rowOff>106680</xdr:rowOff>
        </xdr:from>
        <xdr:to>
          <xdr:col>33</xdr:col>
          <xdr:colOff>152400</xdr:colOff>
          <xdr:row>3</xdr:row>
          <xdr:rowOff>152400</xdr:rowOff>
        </xdr:to>
        <xdr:sp macro="" textlink="">
          <xdr:nvSpPr>
            <xdr:cNvPr id="30239" name="OptionButton2" hidden="1">
              <a:extLst>
                <a:ext uri="{63B3BB69-23CF-44E3-9099-C40C66FF867C}">
                  <a14:compatExt spid="_x0000_s30239"/>
                </a:ext>
                <a:ext uri="{FF2B5EF4-FFF2-40B4-BE49-F238E27FC236}">
                  <a16:creationId xmlns:a16="http://schemas.microsoft.com/office/drawing/2014/main" id="{00000000-0008-0000-0900-00001F7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487680</xdr:colOff>
          <xdr:row>2</xdr:row>
          <xdr:rowOff>114300</xdr:rowOff>
        </xdr:from>
        <xdr:to>
          <xdr:col>34</xdr:col>
          <xdr:colOff>320040</xdr:colOff>
          <xdr:row>3</xdr:row>
          <xdr:rowOff>175260</xdr:rowOff>
        </xdr:to>
        <xdr:sp macro="" textlink="">
          <xdr:nvSpPr>
            <xdr:cNvPr id="30240" name="OptionButton3" hidden="1">
              <a:extLst>
                <a:ext uri="{63B3BB69-23CF-44E3-9099-C40C66FF867C}">
                  <a14:compatExt spid="_x0000_s30240"/>
                </a:ext>
                <a:ext uri="{FF2B5EF4-FFF2-40B4-BE49-F238E27FC236}">
                  <a16:creationId xmlns:a16="http://schemas.microsoft.com/office/drawing/2014/main" id="{00000000-0008-0000-0900-0000207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160020</xdr:colOff>
          <xdr:row>2</xdr:row>
          <xdr:rowOff>83820</xdr:rowOff>
        </xdr:from>
        <xdr:to>
          <xdr:col>34</xdr:col>
          <xdr:colOff>708660</xdr:colOff>
          <xdr:row>3</xdr:row>
          <xdr:rowOff>129540</xdr:rowOff>
        </xdr:to>
        <xdr:sp macro="" textlink="">
          <xdr:nvSpPr>
            <xdr:cNvPr id="30241" name="OptionButton4" hidden="1">
              <a:extLst>
                <a:ext uri="{63B3BB69-23CF-44E3-9099-C40C66FF867C}">
                  <a14:compatExt spid="_x0000_s30241"/>
                </a:ext>
                <a:ext uri="{FF2B5EF4-FFF2-40B4-BE49-F238E27FC236}">
                  <a16:creationId xmlns:a16="http://schemas.microsoft.com/office/drawing/2014/main" id="{00000000-0008-0000-0900-0000217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121920</xdr:colOff>
          <xdr:row>2</xdr:row>
          <xdr:rowOff>106680</xdr:rowOff>
        </xdr:from>
        <xdr:to>
          <xdr:col>36</xdr:col>
          <xdr:colOff>15240</xdr:colOff>
          <xdr:row>3</xdr:row>
          <xdr:rowOff>167640</xdr:rowOff>
        </xdr:to>
        <xdr:sp macro="" textlink="">
          <xdr:nvSpPr>
            <xdr:cNvPr id="30242" name="OptionButton5" hidden="1">
              <a:extLst>
                <a:ext uri="{63B3BB69-23CF-44E3-9099-C40C66FF867C}">
                  <a14:compatExt spid="_x0000_s30242"/>
                </a:ext>
                <a:ext uri="{FF2B5EF4-FFF2-40B4-BE49-F238E27FC236}">
                  <a16:creationId xmlns:a16="http://schemas.microsoft.com/office/drawing/2014/main" id="{00000000-0008-0000-0900-0000227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68580</xdr:colOff>
          <xdr:row>3</xdr:row>
          <xdr:rowOff>45720</xdr:rowOff>
        </xdr:from>
        <xdr:to>
          <xdr:col>15</xdr:col>
          <xdr:colOff>320040</xdr:colOff>
          <xdr:row>3</xdr:row>
          <xdr:rowOff>190500</xdr:rowOff>
        </xdr:to>
        <xdr:sp macro="" textlink="">
          <xdr:nvSpPr>
            <xdr:cNvPr id="2897" name="CommandButton1" hidden="1">
              <a:extLst>
                <a:ext uri="{63B3BB69-23CF-44E3-9099-C40C66FF867C}">
                  <a14:compatExt spid="_x0000_s2897"/>
                </a:ext>
                <a:ext uri="{FF2B5EF4-FFF2-40B4-BE49-F238E27FC236}">
                  <a16:creationId xmlns:a16="http://schemas.microsoft.com/office/drawing/2014/main" id="{00000000-0008-0000-0900-0000510B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518160</xdr:colOff>
          <xdr:row>3</xdr:row>
          <xdr:rowOff>0</xdr:rowOff>
        </xdr:from>
        <xdr:to>
          <xdr:col>29</xdr:col>
          <xdr:colOff>693420</xdr:colOff>
          <xdr:row>4</xdr:row>
          <xdr:rowOff>68580</xdr:rowOff>
        </xdr:to>
        <xdr:sp macro="" textlink="">
          <xdr:nvSpPr>
            <xdr:cNvPr id="2128" name="ComboBox1" hidden="1">
              <a:extLst>
                <a:ext uri="{63B3BB69-23CF-44E3-9099-C40C66FF867C}">
                  <a14:compatExt spid="_x0000_s2128"/>
                </a:ext>
                <a:ext uri="{FF2B5EF4-FFF2-40B4-BE49-F238E27FC236}">
                  <a16:creationId xmlns:a16="http://schemas.microsoft.com/office/drawing/2014/main" id="{00000000-0008-0000-0900-000050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518160</xdr:colOff>
          <xdr:row>66</xdr:row>
          <xdr:rowOff>152400</xdr:rowOff>
        </xdr:from>
        <xdr:to>
          <xdr:col>21</xdr:col>
          <xdr:colOff>594360</xdr:colOff>
          <xdr:row>68</xdr:row>
          <xdr:rowOff>106680</xdr:rowOff>
        </xdr:to>
        <xdr:sp macro="" textlink="">
          <xdr:nvSpPr>
            <xdr:cNvPr id="43529" name="Group Box 3593" hidden="1">
              <a:extLst>
                <a:ext uri="{63B3BB69-23CF-44E3-9099-C40C66FF867C}">
                  <a14:compatExt spid="_x0000_s43529"/>
                </a:ext>
                <a:ext uri="{FF2B5EF4-FFF2-40B4-BE49-F238E27FC236}">
                  <a16:creationId xmlns:a16="http://schemas.microsoft.com/office/drawing/2014/main" id="{00000000-0008-0000-0900-000009AA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en-GB" sz="800" b="0" i="0" u="none" strike="noStrike" baseline="0">
                  <a:solidFill>
                    <a:srgbClr val="000000"/>
                  </a:solidFill>
                  <a:latin typeface="Tahoma"/>
                  <a:ea typeface="Tahoma"/>
                  <a:cs typeface="Tahoma"/>
                </a:rPr>
                <a:t>Product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647700</xdr:colOff>
          <xdr:row>66</xdr:row>
          <xdr:rowOff>228600</xdr:rowOff>
        </xdr:from>
        <xdr:to>
          <xdr:col>18</xdr:col>
          <xdr:colOff>259080</xdr:colOff>
          <xdr:row>67</xdr:row>
          <xdr:rowOff>182880</xdr:rowOff>
        </xdr:to>
        <xdr:sp macro="" textlink="">
          <xdr:nvSpPr>
            <xdr:cNvPr id="43530" name="Option Button 3594" hidden="1">
              <a:extLst>
                <a:ext uri="{63B3BB69-23CF-44E3-9099-C40C66FF867C}">
                  <a14:compatExt spid="_x0000_s43530"/>
                </a:ext>
                <a:ext uri="{FF2B5EF4-FFF2-40B4-BE49-F238E27FC236}">
                  <a16:creationId xmlns:a16="http://schemas.microsoft.com/office/drawing/2014/main" id="{00000000-0008-0000-0900-00000AA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HCV.LS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342900</xdr:colOff>
          <xdr:row>67</xdr:row>
          <xdr:rowOff>0</xdr:rowOff>
        </xdr:from>
        <xdr:to>
          <xdr:col>19</xdr:col>
          <xdr:colOff>213360</xdr:colOff>
          <xdr:row>67</xdr:row>
          <xdr:rowOff>213360</xdr:rowOff>
        </xdr:to>
        <xdr:sp macro="" textlink="">
          <xdr:nvSpPr>
            <xdr:cNvPr id="43531" name="Option Button 3595" hidden="1">
              <a:extLst>
                <a:ext uri="{63B3BB69-23CF-44E3-9099-C40C66FF867C}">
                  <a14:compatExt spid="_x0000_s43531"/>
                </a:ext>
                <a:ext uri="{FF2B5EF4-FFF2-40B4-BE49-F238E27FC236}">
                  <a16:creationId xmlns:a16="http://schemas.microsoft.com/office/drawing/2014/main" id="{00000000-0008-0000-0900-00000BAA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HCV.HS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45720</xdr:rowOff>
        </xdr:from>
        <xdr:to>
          <xdr:col>1</xdr:col>
          <xdr:colOff>220980</xdr:colOff>
          <xdr:row>3</xdr:row>
          <xdr:rowOff>190500</xdr:rowOff>
        </xdr:to>
        <xdr:sp macro="" textlink="">
          <xdr:nvSpPr>
            <xdr:cNvPr id="29903" name="CommandButton2" hidden="1">
              <a:extLst>
                <a:ext uri="{63B3BB69-23CF-44E3-9099-C40C66FF867C}">
                  <a14:compatExt spid="_x0000_s29903"/>
                </a:ext>
                <a:ext uri="{FF2B5EF4-FFF2-40B4-BE49-F238E27FC236}">
                  <a16:creationId xmlns:a16="http://schemas.microsoft.com/office/drawing/2014/main" id="{00000000-0008-0000-0900-0000CF7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114300</xdr:colOff>
          <xdr:row>6</xdr:row>
          <xdr:rowOff>137160</xdr:rowOff>
        </xdr:from>
        <xdr:to>
          <xdr:col>22</xdr:col>
          <xdr:colOff>678181</xdr:colOff>
          <xdr:row>7</xdr:row>
          <xdr:rowOff>92337</xdr:rowOff>
        </xdr:to>
        <xdr:pic>
          <xdr:nvPicPr>
            <xdr:cNvPr id="2342400" name="Picture 23">
              <a:extLst>
                <a:ext uri="{FF2B5EF4-FFF2-40B4-BE49-F238E27FC236}">
                  <a16:creationId xmlns:a16="http://schemas.microsoft.com/office/drawing/2014/main" id="{00000000-0008-0000-0500-000000BE2300}"/>
                </a:ext>
              </a:extLst>
            </xdr:cNvPr>
            <xdr:cNvPicPr>
              <a:picLocks noChangeAspect="1" noChangeArrowheads="1"/>
              <a:extLst>
                <a:ext uri="{84589F7E-364E-4C9E-8A38-B11213B215E9}">
                  <a14:cameraTool cellRange="$Q$152:$W$152" spid="_x0000_s13091970"/>
                </a:ext>
              </a:extLst>
            </xdr:cNvPicPr>
          </xdr:nvPicPr>
          <xdr:blipFill>
            <a:blip xmlns:r="http://schemas.openxmlformats.org/officeDocument/2006/relationships" r:embed="rId14"/>
            <a:srcRect/>
            <a:stretch>
              <a:fillRect/>
            </a:stretch>
          </xdr:blipFill>
          <xdr:spPr bwMode="auto">
            <a:xfrm>
              <a:off x="12595860" y="1455420"/>
              <a:ext cx="5364480" cy="1828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38100</xdr:colOff>
          <xdr:row>47</xdr:row>
          <xdr:rowOff>0</xdr:rowOff>
        </xdr:from>
        <xdr:to>
          <xdr:col>27</xdr:col>
          <xdr:colOff>38099</xdr:colOff>
          <xdr:row>47</xdr:row>
          <xdr:rowOff>190500</xdr:rowOff>
        </xdr:to>
        <xdr:pic>
          <xdr:nvPicPr>
            <xdr:cNvPr id="2342401" name="Picture 43">
              <a:extLst>
                <a:ext uri="{FF2B5EF4-FFF2-40B4-BE49-F238E27FC236}">
                  <a16:creationId xmlns:a16="http://schemas.microsoft.com/office/drawing/2014/main" id="{00000000-0008-0000-0500-000001BE2300}"/>
                </a:ext>
              </a:extLst>
            </xdr:cNvPr>
            <xdr:cNvPicPr>
              <a:picLocks noChangeAspect="1" noChangeArrowheads="1"/>
              <a:extLst>
                <a:ext uri="{84589F7E-364E-4C9E-8A38-B11213B215E9}">
                  <a14:cameraTool cellRange="$AC$145:$AD$145" spid="_x0000_s13091971"/>
                </a:ext>
              </a:extLst>
            </xdr:cNvPicPr>
          </xdr:nvPicPr>
          <xdr:blipFill>
            <a:blip xmlns:r="http://schemas.openxmlformats.org/officeDocument/2006/relationships" r:embed="rId15"/>
            <a:srcRect/>
            <a:stretch>
              <a:fillRect/>
            </a:stretch>
          </xdr:blipFill>
          <xdr:spPr bwMode="auto">
            <a:xfrm>
              <a:off x="22974300" y="8534400"/>
              <a:ext cx="1473200" cy="1778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297180</xdr:colOff>
          <xdr:row>47</xdr:row>
          <xdr:rowOff>0</xdr:rowOff>
        </xdr:from>
        <xdr:to>
          <xdr:col>29</xdr:col>
          <xdr:colOff>297181</xdr:colOff>
          <xdr:row>47</xdr:row>
          <xdr:rowOff>190500</xdr:rowOff>
        </xdr:to>
        <xdr:pic>
          <xdr:nvPicPr>
            <xdr:cNvPr id="2342402" name="Picture 45">
              <a:extLst>
                <a:ext uri="{FF2B5EF4-FFF2-40B4-BE49-F238E27FC236}">
                  <a16:creationId xmlns:a16="http://schemas.microsoft.com/office/drawing/2014/main" id="{00000000-0008-0000-0500-000002BE2300}"/>
                </a:ext>
              </a:extLst>
            </xdr:cNvPr>
            <xdr:cNvPicPr>
              <a:picLocks noChangeAspect="1" noChangeArrowheads="1"/>
              <a:extLst>
                <a:ext uri="{84589F7E-364E-4C9E-8A38-B11213B215E9}">
                  <a14:cameraTool cellRange="$AC$146:$AD$146" spid="_x0000_s13091972"/>
                </a:ext>
              </a:extLst>
            </xdr:cNvPicPr>
          </xdr:nvPicPr>
          <xdr:blipFill>
            <a:blip xmlns:r="http://schemas.openxmlformats.org/officeDocument/2006/relationships" r:embed="rId15"/>
            <a:srcRect/>
            <a:stretch>
              <a:fillRect/>
            </a:stretch>
          </xdr:blipFill>
          <xdr:spPr bwMode="auto">
            <a:xfrm>
              <a:off x="24706580" y="8534400"/>
              <a:ext cx="1473200" cy="1778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365760</xdr:colOff>
          <xdr:row>47</xdr:row>
          <xdr:rowOff>7620</xdr:rowOff>
        </xdr:from>
        <xdr:to>
          <xdr:col>33</xdr:col>
          <xdr:colOff>411482</xdr:colOff>
          <xdr:row>47</xdr:row>
          <xdr:rowOff>204265</xdr:rowOff>
        </xdr:to>
        <xdr:pic>
          <xdr:nvPicPr>
            <xdr:cNvPr id="2342403" name="Picture 51">
              <a:extLst>
                <a:ext uri="{FF2B5EF4-FFF2-40B4-BE49-F238E27FC236}">
                  <a16:creationId xmlns:a16="http://schemas.microsoft.com/office/drawing/2014/main" id="{00000000-0008-0000-0500-000003BE2300}"/>
                </a:ext>
              </a:extLst>
            </xdr:cNvPr>
            <xdr:cNvPicPr>
              <a:picLocks noChangeAspect="1" noChangeArrowheads="1"/>
              <a:extLst>
                <a:ext uri="{84589F7E-364E-4C9E-8A38-B11213B215E9}">
                  <a14:cameraTool cellRange="$AB$154" spid="_x0000_s13091973"/>
                </a:ext>
              </a:extLst>
            </xdr:cNvPicPr>
          </xdr:nvPicPr>
          <xdr:blipFill>
            <a:blip xmlns:r="http://schemas.openxmlformats.org/officeDocument/2006/relationships" r:embed="rId16"/>
            <a:srcRect/>
            <a:stretch>
              <a:fillRect/>
            </a:stretch>
          </xdr:blipFill>
          <xdr:spPr bwMode="auto">
            <a:xfrm>
              <a:off x="24797385" y="8665845"/>
              <a:ext cx="779144" cy="18859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518160</xdr:colOff>
          <xdr:row>47</xdr:row>
          <xdr:rowOff>7620</xdr:rowOff>
        </xdr:from>
        <xdr:to>
          <xdr:col>35</xdr:col>
          <xdr:colOff>563884</xdr:colOff>
          <xdr:row>47</xdr:row>
          <xdr:rowOff>204265</xdr:rowOff>
        </xdr:to>
        <xdr:pic>
          <xdr:nvPicPr>
            <xdr:cNvPr id="2342404" name="Picture 52">
              <a:extLst>
                <a:ext uri="{FF2B5EF4-FFF2-40B4-BE49-F238E27FC236}">
                  <a16:creationId xmlns:a16="http://schemas.microsoft.com/office/drawing/2014/main" id="{00000000-0008-0000-0500-000004BE2300}"/>
                </a:ext>
              </a:extLst>
            </xdr:cNvPr>
            <xdr:cNvPicPr>
              <a:picLocks noChangeAspect="1" noChangeArrowheads="1"/>
              <a:extLst>
                <a:ext uri="{84589F7E-364E-4C9E-8A38-B11213B215E9}">
                  <a14:cameraTool cellRange="$AB$155" spid="_x0000_s13091974"/>
                </a:ext>
              </a:extLst>
            </xdr:cNvPicPr>
          </xdr:nvPicPr>
          <xdr:blipFill>
            <a:blip xmlns:r="http://schemas.openxmlformats.org/officeDocument/2006/relationships" r:embed="rId17"/>
            <a:srcRect/>
            <a:stretch>
              <a:fillRect/>
            </a:stretch>
          </xdr:blipFill>
          <xdr:spPr bwMode="auto">
            <a:xfrm>
              <a:off x="25519380" y="8641080"/>
              <a:ext cx="77724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678180</xdr:colOff>
          <xdr:row>68</xdr:row>
          <xdr:rowOff>68580</xdr:rowOff>
        </xdr:from>
        <xdr:to>
          <xdr:col>26</xdr:col>
          <xdr:colOff>240030</xdr:colOff>
          <xdr:row>69</xdr:row>
          <xdr:rowOff>23755</xdr:rowOff>
        </xdr:to>
        <xdr:pic>
          <xdr:nvPicPr>
            <xdr:cNvPr id="2342405" name="Picture 66">
              <a:extLst>
                <a:ext uri="{FF2B5EF4-FFF2-40B4-BE49-F238E27FC236}">
                  <a16:creationId xmlns:a16="http://schemas.microsoft.com/office/drawing/2014/main" id="{00000000-0008-0000-0500-000005BE2300}"/>
                </a:ext>
              </a:extLst>
            </xdr:cNvPr>
            <xdr:cNvPicPr>
              <a:picLocks noChangeAspect="1" noChangeArrowheads="1"/>
              <a:extLst>
                <a:ext uri="{84589F7E-364E-4C9E-8A38-B11213B215E9}">
                  <a14:cameraTool cellRange="$AA$160:$AB$160" spid="_x0000_s13091975"/>
                </a:ext>
              </a:extLst>
            </xdr:cNvPicPr>
          </xdr:nvPicPr>
          <xdr:blipFill>
            <a:blip xmlns:r="http://schemas.openxmlformats.org/officeDocument/2006/relationships" r:embed="rId18"/>
            <a:srcRect/>
            <a:stretch>
              <a:fillRect/>
            </a:stretch>
          </xdr:blipFill>
          <xdr:spPr bwMode="auto">
            <a:xfrm>
              <a:off x="22776180" y="13022580"/>
              <a:ext cx="144780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327660</xdr:colOff>
          <xdr:row>68</xdr:row>
          <xdr:rowOff>76200</xdr:rowOff>
        </xdr:from>
        <xdr:to>
          <xdr:col>28</xdr:col>
          <xdr:colOff>327660</xdr:colOff>
          <xdr:row>69</xdr:row>
          <xdr:rowOff>69475</xdr:rowOff>
        </xdr:to>
        <xdr:pic>
          <xdr:nvPicPr>
            <xdr:cNvPr id="2342406" name="Picture 67">
              <a:extLst>
                <a:ext uri="{FF2B5EF4-FFF2-40B4-BE49-F238E27FC236}">
                  <a16:creationId xmlns:a16="http://schemas.microsoft.com/office/drawing/2014/main" id="{00000000-0008-0000-0500-000006BE2300}"/>
                </a:ext>
              </a:extLst>
            </xdr:cNvPr>
            <xdr:cNvPicPr>
              <a:picLocks noChangeAspect="1" noChangeArrowheads="1"/>
              <a:extLst>
                <a:ext uri="{84589F7E-364E-4C9E-8A38-B11213B215E9}">
                  <a14:cameraTool cellRange="$AA$161:$AB$161" spid="_x0000_s13091976"/>
                </a:ext>
              </a:extLst>
            </xdr:cNvPicPr>
          </xdr:nvPicPr>
          <xdr:blipFill>
            <a:blip xmlns:r="http://schemas.openxmlformats.org/officeDocument/2006/relationships" r:embed="rId19"/>
            <a:srcRect/>
            <a:stretch>
              <a:fillRect/>
            </a:stretch>
          </xdr:blipFill>
          <xdr:spPr bwMode="auto">
            <a:xfrm>
              <a:off x="24006810" y="13030200"/>
              <a:ext cx="144780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83820</xdr:colOff>
          <xdr:row>5</xdr:row>
          <xdr:rowOff>129540</xdr:rowOff>
        </xdr:from>
        <xdr:to>
          <xdr:col>27</xdr:col>
          <xdr:colOff>83820</xdr:colOff>
          <xdr:row>6</xdr:row>
          <xdr:rowOff>110490</xdr:rowOff>
        </xdr:to>
        <xdr:pic>
          <xdr:nvPicPr>
            <xdr:cNvPr id="2342407" name="Picture 40">
              <a:extLst>
                <a:ext uri="{FF2B5EF4-FFF2-40B4-BE49-F238E27FC236}">
                  <a16:creationId xmlns:a16="http://schemas.microsoft.com/office/drawing/2014/main" id="{00000000-0008-0000-0500-000007BE2300}"/>
                </a:ext>
              </a:extLst>
            </xdr:cNvPr>
            <xdr:cNvPicPr>
              <a:picLocks noChangeAspect="1" noChangeArrowheads="1"/>
              <a:extLst>
                <a:ext uri="{84589F7E-364E-4C9E-8A38-B11213B215E9}">
                  <a14:cameraTool cellRange="$AC$143:$AD$143" spid="_x0000_s13091977"/>
                </a:ext>
              </a:extLst>
            </xdr:cNvPicPr>
          </xdr:nvPicPr>
          <xdr:blipFill>
            <a:blip xmlns:r="http://schemas.openxmlformats.org/officeDocument/2006/relationships" r:embed="rId20"/>
            <a:srcRect/>
            <a:stretch>
              <a:fillRect/>
            </a:stretch>
          </xdr:blipFill>
          <xdr:spPr bwMode="auto">
            <a:xfrm>
              <a:off x="25934670" y="1539240"/>
              <a:ext cx="144780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281940</xdr:colOff>
          <xdr:row>14</xdr:row>
          <xdr:rowOff>114300</xdr:rowOff>
        </xdr:from>
        <xdr:to>
          <xdr:col>29</xdr:col>
          <xdr:colOff>281941</xdr:colOff>
          <xdr:row>15</xdr:row>
          <xdr:rowOff>114302</xdr:rowOff>
        </xdr:to>
        <xdr:pic>
          <xdr:nvPicPr>
            <xdr:cNvPr id="2342408" name="Picture 42">
              <a:extLst>
                <a:ext uri="{FF2B5EF4-FFF2-40B4-BE49-F238E27FC236}">
                  <a16:creationId xmlns:a16="http://schemas.microsoft.com/office/drawing/2014/main" id="{00000000-0008-0000-0500-000008BE2300}"/>
                </a:ext>
              </a:extLst>
            </xdr:cNvPr>
            <xdr:cNvPicPr>
              <a:picLocks noChangeAspect="1" noChangeArrowheads="1"/>
              <a:extLst>
                <a:ext uri="{84589F7E-364E-4C9E-8A38-B11213B215E9}">
                  <a14:cameraTool cellRange="$AC$144:$AD$144" spid="_x0000_s13091978"/>
                </a:ext>
              </a:extLst>
            </xdr:cNvPicPr>
          </xdr:nvPicPr>
          <xdr:blipFill>
            <a:blip xmlns:r="http://schemas.openxmlformats.org/officeDocument/2006/relationships" r:embed="rId21"/>
            <a:srcRect/>
            <a:stretch>
              <a:fillRect/>
            </a:stretch>
          </xdr:blipFill>
          <xdr:spPr bwMode="auto">
            <a:xfrm>
              <a:off x="24340969" y="3868271"/>
              <a:ext cx="1434353" cy="23532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594360</xdr:colOff>
          <xdr:row>21</xdr:row>
          <xdr:rowOff>137160</xdr:rowOff>
        </xdr:from>
        <xdr:to>
          <xdr:col>27</xdr:col>
          <xdr:colOff>594359</xdr:colOff>
          <xdr:row>22</xdr:row>
          <xdr:rowOff>92337</xdr:rowOff>
        </xdr:to>
        <xdr:pic>
          <xdr:nvPicPr>
            <xdr:cNvPr id="2342409" name="Picture 70">
              <a:extLst>
                <a:ext uri="{FF2B5EF4-FFF2-40B4-BE49-F238E27FC236}">
                  <a16:creationId xmlns:a16="http://schemas.microsoft.com/office/drawing/2014/main" id="{00000000-0008-0000-0500-000009BE2300}"/>
                </a:ext>
              </a:extLst>
            </xdr:cNvPr>
            <xdr:cNvPicPr>
              <a:picLocks noChangeAspect="1" noChangeArrowheads="1"/>
              <a:extLst>
                <a:ext uri="{84589F7E-364E-4C9E-8A38-B11213B215E9}">
                  <a14:cameraTool cellRange="$Z$149" spid="_x0000_s13091979"/>
                </a:ext>
              </a:extLst>
            </xdr:cNvPicPr>
          </xdr:nvPicPr>
          <xdr:blipFill>
            <a:blip xmlns:r="http://schemas.openxmlformats.org/officeDocument/2006/relationships" r:embed="rId22"/>
            <a:srcRect/>
            <a:stretch>
              <a:fillRect/>
            </a:stretch>
          </xdr:blipFill>
          <xdr:spPr bwMode="auto">
            <a:xfrm>
              <a:off x="24267160" y="3972560"/>
              <a:ext cx="736600" cy="1778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674370</xdr:colOff>
          <xdr:row>20</xdr:row>
          <xdr:rowOff>76200</xdr:rowOff>
        </xdr:from>
        <xdr:to>
          <xdr:col>28</xdr:col>
          <xdr:colOff>64770</xdr:colOff>
          <xdr:row>21</xdr:row>
          <xdr:rowOff>31376</xdr:rowOff>
        </xdr:to>
        <xdr:pic>
          <xdr:nvPicPr>
            <xdr:cNvPr id="2342410" name="Picture 71">
              <a:extLst>
                <a:ext uri="{FF2B5EF4-FFF2-40B4-BE49-F238E27FC236}">
                  <a16:creationId xmlns:a16="http://schemas.microsoft.com/office/drawing/2014/main" id="{00000000-0008-0000-0500-00000ABE2300}"/>
                </a:ext>
              </a:extLst>
            </xdr:cNvPr>
            <xdr:cNvPicPr>
              <a:picLocks noChangeAspect="1" noChangeArrowheads="1"/>
              <a:extLst>
                <a:ext uri="{84589F7E-364E-4C9E-8A38-B11213B215E9}">
                  <a14:cameraTool cellRange="$Y$149" spid="_x0000_s13091980"/>
                </a:ext>
              </a:extLst>
            </xdr:cNvPicPr>
          </xdr:nvPicPr>
          <xdr:blipFill>
            <a:blip xmlns:r="http://schemas.openxmlformats.org/officeDocument/2006/relationships" r:embed="rId23"/>
            <a:srcRect/>
            <a:stretch>
              <a:fillRect/>
            </a:stretch>
          </xdr:blipFill>
          <xdr:spPr bwMode="auto">
            <a:xfrm>
              <a:off x="24393352" y="3761509"/>
              <a:ext cx="858982" cy="18010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586740</xdr:colOff>
          <xdr:row>22</xdr:row>
          <xdr:rowOff>144780</xdr:rowOff>
        </xdr:from>
        <xdr:to>
          <xdr:col>27</xdr:col>
          <xdr:colOff>586739</xdr:colOff>
          <xdr:row>23</xdr:row>
          <xdr:rowOff>99956</xdr:rowOff>
        </xdr:to>
        <xdr:pic>
          <xdr:nvPicPr>
            <xdr:cNvPr id="2342411" name="Picture 73">
              <a:extLst>
                <a:ext uri="{FF2B5EF4-FFF2-40B4-BE49-F238E27FC236}">
                  <a16:creationId xmlns:a16="http://schemas.microsoft.com/office/drawing/2014/main" id="{00000000-0008-0000-0500-00000BBE2300}"/>
                </a:ext>
              </a:extLst>
            </xdr:cNvPr>
            <xdr:cNvPicPr>
              <a:picLocks noChangeAspect="1" noChangeArrowheads="1"/>
              <a:extLst>
                <a:ext uri="{84589F7E-364E-4C9E-8A38-B11213B215E9}">
                  <a14:cameraTool cellRange="$AB$149" spid="_x0000_s13091981"/>
                </a:ext>
              </a:extLst>
            </xdr:cNvPicPr>
          </xdr:nvPicPr>
          <xdr:blipFill>
            <a:blip xmlns:r="http://schemas.openxmlformats.org/officeDocument/2006/relationships" r:embed="rId24"/>
            <a:srcRect/>
            <a:stretch>
              <a:fillRect/>
            </a:stretch>
          </xdr:blipFill>
          <xdr:spPr bwMode="auto">
            <a:xfrm>
              <a:off x="24259540" y="4157980"/>
              <a:ext cx="736600" cy="1778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0</xdr:colOff>
          <xdr:row>23</xdr:row>
          <xdr:rowOff>144780</xdr:rowOff>
        </xdr:from>
        <xdr:to>
          <xdr:col>28</xdr:col>
          <xdr:colOff>2802</xdr:colOff>
          <xdr:row>24</xdr:row>
          <xdr:rowOff>87256</xdr:rowOff>
        </xdr:to>
        <xdr:pic>
          <xdr:nvPicPr>
            <xdr:cNvPr id="2342412" name="Picture 76">
              <a:extLst>
                <a:ext uri="{FF2B5EF4-FFF2-40B4-BE49-F238E27FC236}">
                  <a16:creationId xmlns:a16="http://schemas.microsoft.com/office/drawing/2014/main" id="{00000000-0008-0000-0500-00000CBE2300}"/>
                </a:ext>
              </a:extLst>
            </xdr:cNvPr>
            <xdr:cNvPicPr>
              <a:picLocks noChangeAspect="1" noChangeArrowheads="1"/>
              <a:extLst>
                <a:ext uri="{84589F7E-364E-4C9E-8A38-B11213B215E9}">
                  <a14:cameraTool cellRange="$AA$149" spid="_x0000_s13091982"/>
                </a:ext>
              </a:extLst>
            </xdr:cNvPicPr>
          </xdr:nvPicPr>
          <xdr:blipFill>
            <a:blip xmlns:r="http://schemas.openxmlformats.org/officeDocument/2006/relationships" r:embed="rId25"/>
            <a:srcRect/>
            <a:stretch>
              <a:fillRect/>
            </a:stretch>
          </xdr:blipFill>
          <xdr:spPr bwMode="auto">
            <a:xfrm>
              <a:off x="24409400" y="4335780"/>
              <a:ext cx="736600" cy="1778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205740</xdr:colOff>
          <xdr:row>69</xdr:row>
          <xdr:rowOff>7620</xdr:rowOff>
        </xdr:from>
        <xdr:to>
          <xdr:col>33</xdr:col>
          <xdr:colOff>160022</xdr:colOff>
          <xdr:row>69</xdr:row>
          <xdr:rowOff>215041</xdr:rowOff>
        </xdr:to>
        <xdr:pic>
          <xdr:nvPicPr>
            <xdr:cNvPr id="2342413" name="Picture 87">
              <a:extLst>
                <a:ext uri="{FF2B5EF4-FFF2-40B4-BE49-F238E27FC236}">
                  <a16:creationId xmlns:a16="http://schemas.microsoft.com/office/drawing/2014/main" id="{00000000-0008-0000-0500-00000DBE2300}"/>
                </a:ext>
              </a:extLst>
            </xdr:cNvPr>
            <xdr:cNvPicPr>
              <a:picLocks noChangeAspect="1" noChangeArrowheads="1"/>
              <a:extLst>
                <a:ext uri="{84589F7E-364E-4C9E-8A38-B11213B215E9}">
                  <a14:cameraTool cellRange="$AA$170" spid="_x0000_s13091983"/>
                </a:ext>
              </a:extLst>
            </xdr:cNvPicPr>
          </xdr:nvPicPr>
          <xdr:blipFill>
            <a:blip xmlns:r="http://schemas.openxmlformats.org/officeDocument/2006/relationships" r:embed="rId26"/>
            <a:srcRect/>
            <a:stretch>
              <a:fillRect/>
            </a:stretch>
          </xdr:blipFill>
          <xdr:spPr bwMode="auto">
            <a:xfrm>
              <a:off x="23743920" y="12664440"/>
              <a:ext cx="685800" cy="1981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601980</xdr:colOff>
          <xdr:row>69</xdr:row>
          <xdr:rowOff>7620</xdr:rowOff>
        </xdr:from>
        <xdr:to>
          <xdr:col>34</xdr:col>
          <xdr:colOff>533398</xdr:colOff>
          <xdr:row>69</xdr:row>
          <xdr:rowOff>215041</xdr:rowOff>
        </xdr:to>
        <xdr:pic>
          <xdr:nvPicPr>
            <xdr:cNvPr id="2342414" name="Picture 88">
              <a:extLst>
                <a:ext uri="{FF2B5EF4-FFF2-40B4-BE49-F238E27FC236}">
                  <a16:creationId xmlns:a16="http://schemas.microsoft.com/office/drawing/2014/main" id="{00000000-0008-0000-0500-00000EBE2300}"/>
                </a:ext>
              </a:extLst>
            </xdr:cNvPr>
            <xdr:cNvPicPr>
              <a:picLocks noChangeAspect="1" noChangeArrowheads="1"/>
              <a:extLst>
                <a:ext uri="{84589F7E-364E-4C9E-8A38-B11213B215E9}">
                  <a14:cameraTool cellRange="$AA$171" spid="_x0000_s13091984"/>
                </a:ext>
              </a:extLst>
            </xdr:cNvPicPr>
          </xdr:nvPicPr>
          <xdr:blipFill>
            <a:blip xmlns:r="http://schemas.openxmlformats.org/officeDocument/2006/relationships" r:embed="rId27"/>
            <a:srcRect/>
            <a:stretch>
              <a:fillRect/>
            </a:stretch>
          </xdr:blipFill>
          <xdr:spPr bwMode="auto">
            <a:xfrm>
              <a:off x="24871680" y="12664440"/>
              <a:ext cx="662940" cy="1981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30480</xdr:colOff>
          <xdr:row>5</xdr:row>
          <xdr:rowOff>137160</xdr:rowOff>
        </xdr:from>
        <xdr:to>
          <xdr:col>34</xdr:col>
          <xdr:colOff>121918</xdr:colOff>
          <xdr:row>6</xdr:row>
          <xdr:rowOff>101045</xdr:rowOff>
        </xdr:to>
        <xdr:pic>
          <xdr:nvPicPr>
            <xdr:cNvPr id="2342415" name="Picture 41">
              <a:extLst>
                <a:ext uri="{FF2B5EF4-FFF2-40B4-BE49-F238E27FC236}">
                  <a16:creationId xmlns:a16="http://schemas.microsoft.com/office/drawing/2014/main" id="{00000000-0008-0000-0500-00000FBE2300}"/>
                </a:ext>
              </a:extLst>
            </xdr:cNvPr>
            <xdr:cNvPicPr>
              <a:picLocks noChangeAspect="1" noChangeArrowheads="1"/>
              <a:extLst>
                <a:ext uri="{84589F7E-364E-4C9E-8A38-B11213B215E9}">
                  <a14:cameraTool cellRange="$AB$152" spid="_x0000_s13091985"/>
                </a:ext>
              </a:extLst>
            </xdr:cNvPicPr>
          </xdr:nvPicPr>
          <xdr:blipFill>
            <a:blip xmlns:r="http://schemas.openxmlformats.org/officeDocument/2006/relationships" r:embed="rId28"/>
            <a:srcRect/>
            <a:stretch>
              <a:fillRect/>
            </a:stretch>
          </xdr:blipFill>
          <xdr:spPr bwMode="auto">
            <a:xfrm>
              <a:off x="24300180" y="1272540"/>
              <a:ext cx="822960" cy="2133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198120</xdr:colOff>
          <xdr:row>16</xdr:row>
          <xdr:rowOff>68580</xdr:rowOff>
        </xdr:from>
        <xdr:to>
          <xdr:col>36</xdr:col>
          <xdr:colOff>289557</xdr:colOff>
          <xdr:row>17</xdr:row>
          <xdr:rowOff>61857</xdr:rowOff>
        </xdr:to>
        <xdr:pic>
          <xdr:nvPicPr>
            <xdr:cNvPr id="2342416" name="Picture 44">
              <a:extLst>
                <a:ext uri="{FF2B5EF4-FFF2-40B4-BE49-F238E27FC236}">
                  <a16:creationId xmlns:a16="http://schemas.microsoft.com/office/drawing/2014/main" id="{00000000-0008-0000-0500-000010BE2300}"/>
                </a:ext>
              </a:extLst>
            </xdr:cNvPr>
            <xdr:cNvPicPr>
              <a:picLocks noChangeAspect="1" noChangeArrowheads="1"/>
              <a:extLst>
                <a:ext uri="{84589F7E-364E-4C9E-8A38-B11213B215E9}">
                  <a14:cameraTool cellRange="$AB$153" spid="_x0000_s13091986"/>
                </a:ext>
              </a:extLst>
            </xdr:cNvPicPr>
          </xdr:nvPicPr>
          <xdr:blipFill>
            <a:blip xmlns:r="http://schemas.openxmlformats.org/officeDocument/2006/relationships" r:embed="rId16"/>
            <a:srcRect/>
            <a:stretch>
              <a:fillRect/>
            </a:stretch>
          </xdr:blipFill>
          <xdr:spPr bwMode="auto">
            <a:xfrm>
              <a:off x="25930860" y="3215640"/>
              <a:ext cx="822960" cy="2209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67</xdr:row>
          <xdr:rowOff>0</xdr:rowOff>
        </xdr:from>
        <xdr:to>
          <xdr:col>20</xdr:col>
          <xdr:colOff>487680</xdr:colOff>
          <xdr:row>68</xdr:row>
          <xdr:rowOff>0</xdr:rowOff>
        </xdr:to>
        <xdr:sp macro="" textlink="">
          <xdr:nvSpPr>
            <xdr:cNvPr id="2342420" name="Option Button 157204" hidden="1">
              <a:extLst>
                <a:ext uri="{63B3BB69-23CF-44E3-9099-C40C66FF867C}">
                  <a14:compatExt spid="_x0000_s2342420"/>
                </a:ext>
                <a:ext uri="{FF2B5EF4-FFF2-40B4-BE49-F238E27FC236}">
                  <a16:creationId xmlns:a16="http://schemas.microsoft.com/office/drawing/2014/main" id="{00000000-0008-0000-0900-000014BE2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HCV.MS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220980</xdr:colOff>
          <xdr:row>69</xdr:row>
          <xdr:rowOff>30480</xdr:rowOff>
        </xdr:from>
        <xdr:to>
          <xdr:col>36</xdr:col>
          <xdr:colOff>220980</xdr:colOff>
          <xdr:row>70</xdr:row>
          <xdr:rowOff>68580</xdr:rowOff>
        </xdr:to>
        <xdr:pic>
          <xdr:nvPicPr>
            <xdr:cNvPr id="73" name="Picture 72">
              <a:extLst>
                <a:ext uri="{FF2B5EF4-FFF2-40B4-BE49-F238E27FC236}">
                  <a16:creationId xmlns:a16="http://schemas.microsoft.com/office/drawing/2014/main" id="{00000000-0008-0000-0500-000049000000}"/>
                </a:ext>
              </a:extLst>
            </xdr:cNvPr>
            <xdr:cNvPicPr>
              <a:picLocks noChangeAspect="1" noChangeArrowheads="1"/>
              <a:extLst>
                <a:ext uri="{84589F7E-364E-4C9E-8A38-B11213B215E9}">
                  <a14:cameraTool cellRange="$AB$171" spid="_x0000_s13091987"/>
                </a:ext>
              </a:extLst>
            </xdr:cNvPicPr>
          </xdr:nvPicPr>
          <xdr:blipFill>
            <a:blip xmlns:r="http://schemas.openxmlformats.org/officeDocument/2006/relationships" r:embed="rId29"/>
            <a:srcRect/>
            <a:stretch>
              <a:fillRect/>
            </a:stretch>
          </xdr:blipFill>
          <xdr:spPr bwMode="auto">
            <a:xfrm>
              <a:off x="33348930" y="15365730"/>
              <a:ext cx="723900" cy="2667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693420</xdr:colOff>
          <xdr:row>68</xdr:row>
          <xdr:rowOff>68580</xdr:rowOff>
        </xdr:from>
        <xdr:to>
          <xdr:col>29</xdr:col>
          <xdr:colOff>693421</xdr:colOff>
          <xdr:row>69</xdr:row>
          <xdr:rowOff>23755</xdr:rowOff>
        </xdr:to>
        <xdr:pic>
          <xdr:nvPicPr>
            <xdr:cNvPr id="74" name="Picture 73">
              <a:extLst>
                <a:ext uri="{FF2B5EF4-FFF2-40B4-BE49-F238E27FC236}">
                  <a16:creationId xmlns:a16="http://schemas.microsoft.com/office/drawing/2014/main" id="{00000000-0008-0000-0500-00004A000000}"/>
                </a:ext>
              </a:extLst>
            </xdr:cNvPr>
            <xdr:cNvPicPr>
              <a:picLocks noChangeAspect="1" noChangeArrowheads="1"/>
              <a:extLst>
                <a:ext uri="{84589F7E-364E-4C9E-8A38-B11213B215E9}">
                  <a14:cameraTool cellRange="$AC$160:$AD$160" spid="_x0000_s13091988"/>
                </a:ext>
              </a:extLst>
            </xdr:cNvPicPr>
          </xdr:nvPicPr>
          <xdr:blipFill>
            <a:blip xmlns:r="http://schemas.openxmlformats.org/officeDocument/2006/relationships" r:embed="rId30"/>
            <a:srcRect/>
            <a:stretch>
              <a:fillRect/>
            </a:stretch>
          </xdr:blipFill>
          <xdr:spPr bwMode="auto">
            <a:xfrm>
              <a:off x="25096470" y="13022580"/>
              <a:ext cx="144780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xdr:col>
      <xdr:colOff>249782</xdr:colOff>
      <xdr:row>1</xdr:row>
      <xdr:rowOff>171316</xdr:rowOff>
    </xdr:from>
    <xdr:to>
      <xdr:col>1</xdr:col>
      <xdr:colOff>1517492</xdr:colOff>
      <xdr:row>3</xdr:row>
      <xdr:rowOff>3216</xdr:rowOff>
    </xdr:to>
    <xdr:pic>
      <xdr:nvPicPr>
        <xdr:cNvPr id="75" name="Picture 74">
          <a:extLst>
            <a:ext uri="{FF2B5EF4-FFF2-40B4-BE49-F238E27FC236}">
              <a16:creationId xmlns:a16="http://schemas.microsoft.com/office/drawing/2014/main" id="{00000000-0008-0000-0500-00004B000000}"/>
            </a:ext>
          </a:extLst>
        </xdr:cNvPr>
        <xdr:cNvPicPr>
          <a:picLocks noChangeAspect="1"/>
        </xdr:cNvPicPr>
      </xdr:nvPicPr>
      <xdr:blipFill>
        <a:blip xmlns:r="http://schemas.openxmlformats.org/officeDocument/2006/relationships" r:embed="rId31" cstate="print"/>
        <a:stretch>
          <a:fillRect/>
        </a:stretch>
      </xdr:blipFill>
      <xdr:spPr>
        <a:xfrm>
          <a:off x="467019" y="355132"/>
          <a:ext cx="1267710" cy="304432"/>
        </a:xfrm>
        <a:prstGeom prst="rect">
          <a:avLst/>
        </a:prstGeom>
      </xdr:spPr>
    </xdr:pic>
    <xdr:clientData/>
  </xdr:twoCellAnchor>
  <xdr:twoCellAnchor>
    <xdr:from>
      <xdr:col>31</xdr:col>
      <xdr:colOff>28575</xdr:colOff>
      <xdr:row>4</xdr:row>
      <xdr:rowOff>95250</xdr:rowOff>
    </xdr:from>
    <xdr:to>
      <xdr:col>33</xdr:col>
      <xdr:colOff>152400</xdr:colOff>
      <xdr:row>5</xdr:row>
      <xdr:rowOff>152400</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5288875" y="1047750"/>
          <a:ext cx="159067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INCLUDE  VOID PROJECT</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0.01497</cdr:x>
      <cdr:y>0.00808</cdr:y>
    </cdr:from>
    <cdr:to>
      <cdr:x>0.29192</cdr:x>
      <cdr:y>0.07692</cdr:y>
    </cdr:to>
    <cdr:sp macro="" textlink="">
      <cdr:nvSpPr>
        <cdr:cNvPr id="2" name="TextBox 1"/>
        <cdr:cNvSpPr txBox="1"/>
      </cdr:nvSpPr>
      <cdr:spPr>
        <a:xfrm xmlns:a="http://schemas.openxmlformats.org/drawingml/2006/main">
          <a:off x="95250" y="29515"/>
          <a:ext cx="1762125" cy="251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I</a:t>
          </a:r>
          <a:r>
            <a:rPr lang="en-US" sz="1100" b="1"/>
            <a:t>NCLUDE</a:t>
          </a:r>
          <a:r>
            <a:rPr lang="en-US" sz="1100" b="1" baseline="0"/>
            <a:t> VOID PROJECT</a:t>
          </a:r>
          <a:endParaRPr lang="en-US" sz="1100" b="1"/>
        </a:p>
      </cdr:txBody>
    </cdr:sp>
  </cdr:relSizeAnchor>
</c:userShapes>
</file>

<file path=xl/drawings/drawing10.xml><?xml version="1.0" encoding="utf-8"?>
<c:userShapes xmlns:c="http://schemas.openxmlformats.org/drawingml/2006/chart">
  <cdr:relSizeAnchor xmlns:cdr="http://schemas.openxmlformats.org/drawingml/2006/chartDrawing">
    <cdr:from>
      <cdr:x>0.01497</cdr:x>
      <cdr:y>0.00808</cdr:y>
    </cdr:from>
    <cdr:to>
      <cdr:x>0.43742</cdr:x>
      <cdr:y>0.07692</cdr:y>
    </cdr:to>
    <cdr:sp macro="" textlink="">
      <cdr:nvSpPr>
        <cdr:cNvPr id="2" name="TextBox 1"/>
        <cdr:cNvSpPr txBox="1"/>
      </cdr:nvSpPr>
      <cdr:spPr>
        <a:xfrm xmlns:a="http://schemas.openxmlformats.org/drawingml/2006/main">
          <a:off x="67150" y="29438"/>
          <a:ext cx="1894999" cy="2508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I</a:t>
          </a:r>
          <a:r>
            <a:rPr lang="en-US" sz="1100" b="1"/>
            <a:t>NCLUDE</a:t>
          </a:r>
          <a:r>
            <a:rPr lang="en-US" sz="1100" b="1" baseline="0"/>
            <a:t> VOID PROJECT</a:t>
          </a:r>
          <a:endParaRPr lang="en-US" sz="1100" b="1"/>
        </a:p>
      </cdr:txBody>
    </cdr:sp>
  </cdr:relSizeAnchor>
</c:userShapes>
</file>

<file path=xl/drawings/drawing11.xml><?xml version="1.0" encoding="utf-8"?>
<xdr:wsDr xmlns:xdr="http://schemas.openxmlformats.org/drawingml/2006/spreadsheetDrawing" xmlns:a="http://schemas.openxmlformats.org/drawingml/2006/main">
  <xdr:twoCellAnchor editAs="oneCell">
    <xdr:from>
      <xdr:col>1</xdr:col>
      <xdr:colOff>231109</xdr:colOff>
      <xdr:row>0</xdr:row>
      <xdr:rowOff>228019</xdr:rowOff>
    </xdr:from>
    <xdr:to>
      <xdr:col>2</xdr:col>
      <xdr:colOff>1463290</xdr:colOff>
      <xdr:row>2</xdr:row>
      <xdr:rowOff>401338</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7168" r="7168"/>
        <a:stretch/>
      </xdr:blipFill>
      <xdr:spPr bwMode="auto">
        <a:xfrm>
          <a:off x="821659" y="228019"/>
          <a:ext cx="2089431" cy="9924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2</xdr:col>
      <xdr:colOff>9525</xdr:colOff>
      <xdr:row>0</xdr:row>
      <xdr:rowOff>19050</xdr:rowOff>
    </xdr:from>
    <xdr:ext cx="1299520" cy="475529"/>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198245" y="19050"/>
          <a:ext cx="1299520" cy="475529"/>
        </a:xfrm>
        <a:prstGeom prst="rect">
          <a:avLst/>
        </a:prstGeom>
      </xdr:spPr>
    </xdr:pic>
    <xdr:clientData/>
  </xdr:oneCellAnchor>
  <xdr:oneCellAnchor>
    <xdr:from>
      <xdr:col>2</xdr:col>
      <xdr:colOff>9525</xdr:colOff>
      <xdr:row>0</xdr:row>
      <xdr:rowOff>19050</xdr:rowOff>
    </xdr:from>
    <xdr:ext cx="1292717" cy="475529"/>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1198245" y="19050"/>
          <a:ext cx="1292717" cy="475529"/>
        </a:xfrm>
        <a:prstGeom prst="rect">
          <a:avLst/>
        </a:prstGeom>
      </xdr:spPr>
    </xdr:pic>
    <xdr:clientData/>
  </xdr:oneCellAnchor>
  <xdr:oneCellAnchor>
    <xdr:from>
      <xdr:col>2</xdr:col>
      <xdr:colOff>9525</xdr:colOff>
      <xdr:row>0</xdr:row>
      <xdr:rowOff>19050</xdr:rowOff>
    </xdr:from>
    <xdr:ext cx="1280811" cy="475529"/>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1198245" y="19050"/>
          <a:ext cx="1280811" cy="475529"/>
        </a:xfrm>
        <a:prstGeom prst="rect">
          <a:avLst/>
        </a:prstGeom>
      </xdr:spPr>
    </xdr:pic>
    <xdr:clientData/>
  </xdr:oneCellAnchor>
  <xdr:twoCellAnchor>
    <xdr:from>
      <xdr:col>82</xdr:col>
      <xdr:colOff>25400</xdr:colOff>
      <xdr:row>0</xdr:row>
      <xdr:rowOff>19050</xdr:rowOff>
    </xdr:from>
    <xdr:to>
      <xdr:col>82</xdr:col>
      <xdr:colOff>25400</xdr:colOff>
      <xdr:row>2</xdr:row>
      <xdr:rowOff>58318</xdr:rowOff>
    </xdr:to>
    <xdr:pic>
      <xdr:nvPicPr>
        <xdr:cNvPr id="5" name="Picture 4">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762920" y="19050"/>
          <a:ext cx="0" cy="405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9525</xdr:colOff>
      <xdr:row>0</xdr:row>
      <xdr:rowOff>19050</xdr:rowOff>
    </xdr:from>
    <xdr:ext cx="1407017" cy="475529"/>
    <xdr:pic>
      <xdr:nvPicPr>
        <xdr:cNvPr id="6" name="Picture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stretch>
          <a:fillRect/>
        </a:stretch>
      </xdr:blipFill>
      <xdr:spPr>
        <a:xfrm>
          <a:off x="1198245" y="19050"/>
          <a:ext cx="1407017" cy="475529"/>
        </a:xfrm>
        <a:prstGeom prst="rect">
          <a:avLst/>
        </a:prstGeom>
      </xdr:spPr>
    </xdr:pic>
    <xdr:clientData/>
  </xdr:oneCellAnchor>
  <xdr:twoCellAnchor editAs="oneCell">
    <xdr:from>
      <xdr:col>213</xdr:col>
      <xdr:colOff>0</xdr:colOff>
      <xdr:row>44</xdr:row>
      <xdr:rowOff>0</xdr:rowOff>
    </xdr:from>
    <xdr:to>
      <xdr:col>216</xdr:col>
      <xdr:colOff>762708</xdr:colOff>
      <xdr:row>49</xdr:row>
      <xdr:rowOff>80917</xdr:rowOff>
    </xdr:to>
    <xdr:pic>
      <xdr:nvPicPr>
        <xdr:cNvPr id="7" name="Picture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3"/>
        <a:stretch>
          <a:fillRect/>
        </a:stretch>
      </xdr:blipFill>
      <xdr:spPr>
        <a:xfrm>
          <a:off x="113480273" y="9051636"/>
          <a:ext cx="3223539" cy="1143099"/>
        </a:xfrm>
        <a:prstGeom prst="rect">
          <a:avLst/>
        </a:prstGeom>
      </xdr:spPr>
    </xdr:pic>
    <xdr:clientData/>
  </xdr:twoCellAnchor>
  <xdr:twoCellAnchor editAs="oneCell">
    <xdr:from>
      <xdr:col>241</xdr:col>
      <xdr:colOff>0</xdr:colOff>
      <xdr:row>43</xdr:row>
      <xdr:rowOff>0</xdr:rowOff>
    </xdr:from>
    <xdr:to>
      <xdr:col>243</xdr:col>
      <xdr:colOff>334525</xdr:colOff>
      <xdr:row>46</xdr:row>
      <xdr:rowOff>146919</xdr:rowOff>
    </xdr:to>
    <xdr:pic>
      <xdr:nvPicPr>
        <xdr:cNvPr id="11" name="Picture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4"/>
        <a:stretch>
          <a:fillRect/>
        </a:stretch>
      </xdr:blipFill>
      <xdr:spPr>
        <a:xfrm>
          <a:off x="123582545" y="8866909"/>
          <a:ext cx="1950889" cy="701101"/>
        </a:xfrm>
        <a:prstGeom prst="rect">
          <a:avLst/>
        </a:prstGeom>
      </xdr:spPr>
    </xdr:pic>
    <xdr:clientData/>
  </xdr:twoCellAnchor>
  <xdr:twoCellAnchor editAs="oneCell">
    <xdr:from>
      <xdr:col>204</xdr:col>
      <xdr:colOff>0</xdr:colOff>
      <xdr:row>44</xdr:row>
      <xdr:rowOff>156473</xdr:rowOff>
    </xdr:from>
    <xdr:to>
      <xdr:col>206</xdr:col>
      <xdr:colOff>57727</xdr:colOff>
      <xdr:row>48</xdr:row>
      <xdr:rowOff>57304</xdr:rowOff>
    </xdr:to>
    <xdr:pic>
      <xdr:nvPicPr>
        <xdr:cNvPr id="13" name="Picture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a:stretch>
          <a:fillRect/>
        </a:stretch>
      </xdr:blipFill>
      <xdr:spPr>
        <a:xfrm>
          <a:off x="106333636" y="9208109"/>
          <a:ext cx="1085273" cy="639740"/>
        </a:xfrm>
        <a:prstGeom prst="rect">
          <a:avLst/>
        </a:prstGeom>
      </xdr:spPr>
    </xdr:pic>
    <xdr:clientData/>
  </xdr:twoCellAnchor>
  <xdr:twoCellAnchor editAs="oneCell">
    <xdr:from>
      <xdr:col>216</xdr:col>
      <xdr:colOff>796635</xdr:colOff>
      <xdr:row>44</xdr:row>
      <xdr:rowOff>0</xdr:rowOff>
    </xdr:from>
    <xdr:to>
      <xdr:col>219</xdr:col>
      <xdr:colOff>265545</xdr:colOff>
      <xdr:row>48</xdr:row>
      <xdr:rowOff>272472</xdr:rowOff>
    </xdr:to>
    <xdr:pic>
      <xdr:nvPicPr>
        <xdr:cNvPr id="15" name="Picture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6"/>
        <a:stretch>
          <a:fillRect/>
        </a:stretch>
      </xdr:blipFill>
      <xdr:spPr>
        <a:xfrm>
          <a:off x="116666817" y="9051636"/>
          <a:ext cx="1685637" cy="1011381"/>
        </a:xfrm>
        <a:prstGeom prst="rect">
          <a:avLst/>
        </a:prstGeom>
      </xdr:spPr>
    </xdr:pic>
    <xdr:clientData/>
  </xdr:twoCellAnchor>
  <xdr:twoCellAnchor editAs="oneCell">
    <xdr:from>
      <xdr:col>316</xdr:col>
      <xdr:colOff>217714</xdr:colOff>
      <xdr:row>44</xdr:row>
      <xdr:rowOff>0</xdr:rowOff>
    </xdr:from>
    <xdr:to>
      <xdr:col>318</xdr:col>
      <xdr:colOff>787928</xdr:colOff>
      <xdr:row>228</xdr:row>
      <xdr:rowOff>61587</xdr:rowOff>
    </xdr:to>
    <xdr:pic>
      <xdr:nvPicPr>
        <xdr:cNvPr id="8" name="Picture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7"/>
        <a:stretch>
          <a:fillRect/>
        </a:stretch>
      </xdr:blipFill>
      <xdr:spPr>
        <a:xfrm>
          <a:off x="173131238" y="8950476"/>
          <a:ext cx="2154691" cy="164606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2</xdr:col>
      <xdr:colOff>9525</xdr:colOff>
      <xdr:row>0</xdr:row>
      <xdr:rowOff>19050</xdr:rowOff>
    </xdr:from>
    <xdr:ext cx="1299520" cy="475529"/>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672465" y="19050"/>
          <a:ext cx="1299520" cy="475529"/>
        </a:xfrm>
        <a:prstGeom prst="rect">
          <a:avLst/>
        </a:prstGeom>
      </xdr:spPr>
    </xdr:pic>
    <xdr:clientData/>
  </xdr:oneCellAnchor>
  <xdr:oneCellAnchor>
    <xdr:from>
      <xdr:col>2</xdr:col>
      <xdr:colOff>9525</xdr:colOff>
      <xdr:row>0</xdr:row>
      <xdr:rowOff>19050</xdr:rowOff>
    </xdr:from>
    <xdr:ext cx="1292717" cy="475529"/>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672465" y="19050"/>
          <a:ext cx="1292717" cy="475529"/>
        </a:xfrm>
        <a:prstGeom prst="rect">
          <a:avLst/>
        </a:prstGeom>
      </xdr:spPr>
    </xdr:pic>
    <xdr:clientData/>
  </xdr:oneCellAnchor>
  <xdr:oneCellAnchor>
    <xdr:from>
      <xdr:col>2</xdr:col>
      <xdr:colOff>9525</xdr:colOff>
      <xdr:row>0</xdr:row>
      <xdr:rowOff>19050</xdr:rowOff>
    </xdr:from>
    <xdr:ext cx="1280811" cy="475529"/>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stretch>
          <a:fillRect/>
        </a:stretch>
      </xdr:blipFill>
      <xdr:spPr>
        <a:xfrm>
          <a:off x="672465" y="19050"/>
          <a:ext cx="1280811" cy="475529"/>
        </a:xfrm>
        <a:prstGeom prst="rect">
          <a:avLst/>
        </a:prstGeom>
      </xdr:spPr>
    </xdr:pic>
    <xdr:clientData/>
  </xdr:oneCellAnchor>
  <xdr:twoCellAnchor>
    <xdr:from>
      <xdr:col>82</xdr:col>
      <xdr:colOff>25400</xdr:colOff>
      <xdr:row>0</xdr:row>
      <xdr:rowOff>19050</xdr:rowOff>
    </xdr:from>
    <xdr:to>
      <xdr:col>82</xdr:col>
      <xdr:colOff>25400</xdr:colOff>
      <xdr:row>2</xdr:row>
      <xdr:rowOff>58318</xdr:rowOff>
    </xdr:to>
    <xdr:pic>
      <xdr:nvPicPr>
        <xdr:cNvPr id="5" name="Picture 4">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3566100" y="19050"/>
          <a:ext cx="0" cy="405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9525</xdr:colOff>
      <xdr:row>0</xdr:row>
      <xdr:rowOff>19050</xdr:rowOff>
    </xdr:from>
    <xdr:ext cx="1407017" cy="475529"/>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1"/>
        <a:stretch>
          <a:fillRect/>
        </a:stretch>
      </xdr:blipFill>
      <xdr:spPr>
        <a:xfrm>
          <a:off x="672465" y="19050"/>
          <a:ext cx="1407017" cy="475529"/>
        </a:xfrm>
        <a:prstGeom prst="rect">
          <a:avLst/>
        </a:prstGeom>
      </xdr:spPr>
    </xdr:pic>
    <xdr:clientData/>
  </xdr:oneCellAnchor>
  <xdr:twoCellAnchor editAs="oneCell">
    <xdr:from>
      <xdr:col>204</xdr:col>
      <xdr:colOff>0</xdr:colOff>
      <xdr:row>44</xdr:row>
      <xdr:rowOff>156473</xdr:rowOff>
    </xdr:from>
    <xdr:to>
      <xdr:col>206</xdr:col>
      <xdr:colOff>57727</xdr:colOff>
      <xdr:row>48</xdr:row>
      <xdr:rowOff>57304</xdr:rowOff>
    </xdr:to>
    <xdr:pic>
      <xdr:nvPicPr>
        <xdr:cNvPr id="10" name="Picture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3"/>
        <a:stretch>
          <a:fillRect/>
        </a:stretch>
      </xdr:blipFill>
      <xdr:spPr>
        <a:xfrm>
          <a:off x="106596180" y="9140453"/>
          <a:ext cx="1078807" cy="63235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479795</xdr:colOff>
      <xdr:row>2</xdr:row>
      <xdr:rowOff>79290</xdr:rowOff>
    </xdr:from>
    <xdr:to>
      <xdr:col>3</xdr:col>
      <xdr:colOff>401044</xdr:colOff>
      <xdr:row>6</xdr:row>
      <xdr:rowOff>28575</xdr:rowOff>
    </xdr:to>
    <xdr:pic>
      <xdr:nvPicPr>
        <xdr:cNvPr id="2" name="Picture 1">
          <a:extLst>
            <a:ext uri="{FF2B5EF4-FFF2-40B4-BE49-F238E27FC236}">
              <a16:creationId xmlns:a16="http://schemas.microsoft.com/office/drawing/2014/main" id="{00000000-0008-0000-0A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7168" r="7168"/>
        <a:stretch/>
      </xdr:blipFill>
      <xdr:spPr bwMode="auto">
        <a:xfrm>
          <a:off x="639815" y="445050"/>
          <a:ext cx="1475729" cy="680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oneCellAnchor>
    <xdr:from>
      <xdr:col>2</xdr:col>
      <xdr:colOff>9525</xdr:colOff>
      <xdr:row>0</xdr:row>
      <xdr:rowOff>19050</xdr:rowOff>
    </xdr:from>
    <xdr:ext cx="1299520" cy="475529"/>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672465" y="19050"/>
          <a:ext cx="1299520" cy="475529"/>
        </a:xfrm>
        <a:prstGeom prst="rect">
          <a:avLst/>
        </a:prstGeom>
      </xdr:spPr>
    </xdr:pic>
    <xdr:clientData/>
  </xdr:oneCellAnchor>
  <xdr:oneCellAnchor>
    <xdr:from>
      <xdr:col>2</xdr:col>
      <xdr:colOff>9525</xdr:colOff>
      <xdr:row>0</xdr:row>
      <xdr:rowOff>19050</xdr:rowOff>
    </xdr:from>
    <xdr:ext cx="1292717" cy="475529"/>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xfrm>
          <a:off x="672465" y="19050"/>
          <a:ext cx="1292717" cy="475529"/>
        </a:xfrm>
        <a:prstGeom prst="rect">
          <a:avLst/>
        </a:prstGeom>
      </xdr:spPr>
    </xdr:pic>
    <xdr:clientData/>
  </xdr:oneCellAnchor>
  <xdr:oneCellAnchor>
    <xdr:from>
      <xdr:col>2</xdr:col>
      <xdr:colOff>9525</xdr:colOff>
      <xdr:row>0</xdr:row>
      <xdr:rowOff>19050</xdr:rowOff>
    </xdr:from>
    <xdr:ext cx="1280811" cy="475529"/>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1"/>
        <a:stretch>
          <a:fillRect/>
        </a:stretch>
      </xdr:blipFill>
      <xdr:spPr>
        <a:xfrm>
          <a:off x="672465" y="19050"/>
          <a:ext cx="1280811" cy="475529"/>
        </a:xfrm>
        <a:prstGeom prst="rect">
          <a:avLst/>
        </a:prstGeom>
      </xdr:spPr>
    </xdr:pic>
    <xdr:clientData/>
  </xdr:oneCellAnchor>
  <xdr:twoCellAnchor>
    <xdr:from>
      <xdr:col>82</xdr:col>
      <xdr:colOff>25400</xdr:colOff>
      <xdr:row>0</xdr:row>
      <xdr:rowOff>19050</xdr:rowOff>
    </xdr:from>
    <xdr:to>
      <xdr:col>82</xdr:col>
      <xdr:colOff>25400</xdr:colOff>
      <xdr:row>2</xdr:row>
      <xdr:rowOff>58318</xdr:rowOff>
    </xdr:to>
    <xdr:pic>
      <xdr:nvPicPr>
        <xdr:cNvPr id="5" name="Picture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242000" y="19050"/>
          <a:ext cx="0" cy="405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9525</xdr:colOff>
      <xdr:row>0</xdr:row>
      <xdr:rowOff>19050</xdr:rowOff>
    </xdr:from>
    <xdr:ext cx="1407017" cy="475529"/>
    <xdr:pic>
      <xdr:nvPicPr>
        <xdr:cNvPr id="6" name="Picture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1"/>
        <a:stretch>
          <a:fillRect/>
        </a:stretch>
      </xdr:blipFill>
      <xdr:spPr>
        <a:xfrm>
          <a:off x="672465" y="19050"/>
          <a:ext cx="1407017" cy="475529"/>
        </a:xfrm>
        <a:prstGeom prst="rect">
          <a:avLst/>
        </a:prstGeom>
      </xdr:spPr>
    </xdr:pic>
    <xdr:clientData/>
  </xdr:oneCellAnchor>
  <xdr:twoCellAnchor editAs="oneCell">
    <xdr:from>
      <xdr:col>204</xdr:col>
      <xdr:colOff>0</xdr:colOff>
      <xdr:row>44</xdr:row>
      <xdr:rowOff>156473</xdr:rowOff>
    </xdr:from>
    <xdr:to>
      <xdr:col>206</xdr:col>
      <xdr:colOff>57727</xdr:colOff>
      <xdr:row>208</xdr:row>
      <xdr:rowOff>57304</xdr:rowOff>
    </xdr:to>
    <xdr:pic>
      <xdr:nvPicPr>
        <xdr:cNvPr id="7" name="Picture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3"/>
        <a:stretch>
          <a:fillRect/>
        </a:stretch>
      </xdr:blipFill>
      <xdr:spPr>
        <a:xfrm>
          <a:off x="104272080" y="9140453"/>
          <a:ext cx="1078807" cy="63235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479795</xdr:colOff>
      <xdr:row>2</xdr:row>
      <xdr:rowOff>79290</xdr:rowOff>
    </xdr:from>
    <xdr:to>
      <xdr:col>3</xdr:col>
      <xdr:colOff>401044</xdr:colOff>
      <xdr:row>6</xdr:row>
      <xdr:rowOff>28575</xdr:rowOff>
    </xdr:to>
    <xdr:pic>
      <xdr:nvPicPr>
        <xdr:cNvPr id="2" name="Picture 1">
          <a:extLst>
            <a:ext uri="{FF2B5EF4-FFF2-40B4-BE49-F238E27FC236}">
              <a16:creationId xmlns:a16="http://schemas.microsoft.com/office/drawing/2014/main" id="{00000000-0008-0000-0E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7168" r="7168"/>
        <a:stretch/>
      </xdr:blipFill>
      <xdr:spPr bwMode="auto">
        <a:xfrm>
          <a:off x="639815" y="445050"/>
          <a:ext cx="1475729" cy="680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479795</xdr:colOff>
      <xdr:row>2</xdr:row>
      <xdr:rowOff>79290</xdr:rowOff>
    </xdr:from>
    <xdr:to>
      <xdr:col>3</xdr:col>
      <xdr:colOff>401044</xdr:colOff>
      <xdr:row>6</xdr:row>
      <xdr:rowOff>28575</xdr:rowOff>
    </xdr:to>
    <xdr:pic>
      <xdr:nvPicPr>
        <xdr:cNvPr id="2" name="Picture 1">
          <a:extLst>
            <a:ext uri="{FF2B5EF4-FFF2-40B4-BE49-F238E27FC236}">
              <a16:creationId xmlns:a16="http://schemas.microsoft.com/office/drawing/2014/main" id="{00000000-0008-0000-0F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7168" r="7168"/>
        <a:stretch/>
      </xdr:blipFill>
      <xdr:spPr bwMode="auto">
        <a:xfrm>
          <a:off x="639815" y="445050"/>
          <a:ext cx="1475729" cy="680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oneCellAnchor>
    <xdr:from>
      <xdr:col>2</xdr:col>
      <xdr:colOff>9525</xdr:colOff>
      <xdr:row>0</xdr:row>
      <xdr:rowOff>19050</xdr:rowOff>
    </xdr:from>
    <xdr:ext cx="1299520" cy="475529"/>
    <xdr:pic>
      <xdr:nvPicPr>
        <xdr:cNvPr id="2" name="Picture 1">
          <a:extLst>
            <a:ext uri="{FF2B5EF4-FFF2-40B4-BE49-F238E27FC236}">
              <a16:creationId xmlns:a16="http://schemas.microsoft.com/office/drawing/2014/main" id="{898B43B4-FD18-47BA-9A40-474DE2F3E26C}"/>
            </a:ext>
          </a:extLst>
        </xdr:cNvPr>
        <xdr:cNvPicPr>
          <a:picLocks noChangeAspect="1"/>
        </xdr:cNvPicPr>
      </xdr:nvPicPr>
      <xdr:blipFill>
        <a:blip xmlns:r="http://schemas.openxmlformats.org/officeDocument/2006/relationships" r:embed="rId1"/>
        <a:stretch>
          <a:fillRect/>
        </a:stretch>
      </xdr:blipFill>
      <xdr:spPr>
        <a:xfrm>
          <a:off x="672465" y="19050"/>
          <a:ext cx="1299520" cy="475529"/>
        </a:xfrm>
        <a:prstGeom prst="rect">
          <a:avLst/>
        </a:prstGeom>
      </xdr:spPr>
    </xdr:pic>
    <xdr:clientData/>
  </xdr:oneCellAnchor>
  <xdr:oneCellAnchor>
    <xdr:from>
      <xdr:col>2</xdr:col>
      <xdr:colOff>9525</xdr:colOff>
      <xdr:row>0</xdr:row>
      <xdr:rowOff>19050</xdr:rowOff>
    </xdr:from>
    <xdr:ext cx="1292717" cy="475529"/>
    <xdr:pic>
      <xdr:nvPicPr>
        <xdr:cNvPr id="3" name="Picture 2">
          <a:extLst>
            <a:ext uri="{FF2B5EF4-FFF2-40B4-BE49-F238E27FC236}">
              <a16:creationId xmlns:a16="http://schemas.microsoft.com/office/drawing/2014/main" id="{0AD539C4-5646-4BF0-B556-C299A836DA10}"/>
            </a:ext>
          </a:extLst>
        </xdr:cNvPr>
        <xdr:cNvPicPr>
          <a:picLocks noChangeAspect="1"/>
        </xdr:cNvPicPr>
      </xdr:nvPicPr>
      <xdr:blipFill>
        <a:blip xmlns:r="http://schemas.openxmlformats.org/officeDocument/2006/relationships" r:embed="rId1"/>
        <a:stretch>
          <a:fillRect/>
        </a:stretch>
      </xdr:blipFill>
      <xdr:spPr>
        <a:xfrm>
          <a:off x="672465" y="19050"/>
          <a:ext cx="1292717" cy="475529"/>
        </a:xfrm>
        <a:prstGeom prst="rect">
          <a:avLst/>
        </a:prstGeom>
      </xdr:spPr>
    </xdr:pic>
    <xdr:clientData/>
  </xdr:oneCellAnchor>
  <xdr:oneCellAnchor>
    <xdr:from>
      <xdr:col>2</xdr:col>
      <xdr:colOff>9525</xdr:colOff>
      <xdr:row>0</xdr:row>
      <xdr:rowOff>19050</xdr:rowOff>
    </xdr:from>
    <xdr:ext cx="1280811" cy="475529"/>
    <xdr:pic>
      <xdr:nvPicPr>
        <xdr:cNvPr id="4" name="Picture 3">
          <a:extLst>
            <a:ext uri="{FF2B5EF4-FFF2-40B4-BE49-F238E27FC236}">
              <a16:creationId xmlns:a16="http://schemas.microsoft.com/office/drawing/2014/main" id="{7518BCEA-1D9F-4778-9AB8-F2CD0741B9D8}"/>
            </a:ext>
          </a:extLst>
        </xdr:cNvPr>
        <xdr:cNvPicPr>
          <a:picLocks noChangeAspect="1"/>
        </xdr:cNvPicPr>
      </xdr:nvPicPr>
      <xdr:blipFill>
        <a:blip xmlns:r="http://schemas.openxmlformats.org/officeDocument/2006/relationships" r:embed="rId1"/>
        <a:stretch>
          <a:fillRect/>
        </a:stretch>
      </xdr:blipFill>
      <xdr:spPr>
        <a:xfrm>
          <a:off x="672465" y="19050"/>
          <a:ext cx="1280811" cy="475529"/>
        </a:xfrm>
        <a:prstGeom prst="rect">
          <a:avLst/>
        </a:prstGeom>
      </xdr:spPr>
    </xdr:pic>
    <xdr:clientData/>
  </xdr:oneCellAnchor>
  <xdr:twoCellAnchor>
    <xdr:from>
      <xdr:col>82</xdr:col>
      <xdr:colOff>25400</xdr:colOff>
      <xdr:row>0</xdr:row>
      <xdr:rowOff>19050</xdr:rowOff>
    </xdr:from>
    <xdr:to>
      <xdr:col>82</xdr:col>
      <xdr:colOff>25400</xdr:colOff>
      <xdr:row>2</xdr:row>
      <xdr:rowOff>58318</xdr:rowOff>
    </xdr:to>
    <xdr:pic>
      <xdr:nvPicPr>
        <xdr:cNvPr id="5" name="Picture 4">
          <a:extLst>
            <a:ext uri="{FF2B5EF4-FFF2-40B4-BE49-F238E27FC236}">
              <a16:creationId xmlns:a16="http://schemas.microsoft.com/office/drawing/2014/main" id="{2CAA79A5-EE81-49D5-B722-3A10AF10DD9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242000" y="19050"/>
          <a:ext cx="0" cy="405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9525</xdr:colOff>
      <xdr:row>0</xdr:row>
      <xdr:rowOff>19050</xdr:rowOff>
    </xdr:from>
    <xdr:ext cx="1407017" cy="475529"/>
    <xdr:pic>
      <xdr:nvPicPr>
        <xdr:cNvPr id="6" name="Picture 5">
          <a:extLst>
            <a:ext uri="{FF2B5EF4-FFF2-40B4-BE49-F238E27FC236}">
              <a16:creationId xmlns:a16="http://schemas.microsoft.com/office/drawing/2014/main" id="{47E8820E-78F2-4004-85CA-D7356B63433F}"/>
            </a:ext>
          </a:extLst>
        </xdr:cNvPr>
        <xdr:cNvPicPr>
          <a:picLocks noChangeAspect="1"/>
        </xdr:cNvPicPr>
      </xdr:nvPicPr>
      <xdr:blipFill>
        <a:blip xmlns:r="http://schemas.openxmlformats.org/officeDocument/2006/relationships" r:embed="rId1"/>
        <a:stretch>
          <a:fillRect/>
        </a:stretch>
      </xdr:blipFill>
      <xdr:spPr>
        <a:xfrm>
          <a:off x="672465" y="19050"/>
          <a:ext cx="1407017" cy="475529"/>
        </a:xfrm>
        <a:prstGeom prst="rect">
          <a:avLst/>
        </a:prstGeom>
      </xdr:spPr>
    </xdr:pic>
    <xdr:clientData/>
  </xdr:oneCellAnchor>
  <xdr:twoCellAnchor editAs="oneCell">
    <xdr:from>
      <xdr:col>204</xdr:col>
      <xdr:colOff>0</xdr:colOff>
      <xdr:row>44</xdr:row>
      <xdr:rowOff>156473</xdr:rowOff>
    </xdr:from>
    <xdr:to>
      <xdr:col>206</xdr:col>
      <xdr:colOff>57727</xdr:colOff>
      <xdr:row>209</xdr:row>
      <xdr:rowOff>57304</xdr:rowOff>
    </xdr:to>
    <xdr:pic>
      <xdr:nvPicPr>
        <xdr:cNvPr id="7" name="Picture 6">
          <a:extLst>
            <a:ext uri="{FF2B5EF4-FFF2-40B4-BE49-F238E27FC236}">
              <a16:creationId xmlns:a16="http://schemas.microsoft.com/office/drawing/2014/main" id="{4C380A56-0CD3-4E6F-985B-FF86F05A8679}"/>
            </a:ext>
          </a:extLst>
        </xdr:cNvPr>
        <xdr:cNvPicPr>
          <a:picLocks noChangeAspect="1"/>
        </xdr:cNvPicPr>
      </xdr:nvPicPr>
      <xdr:blipFill>
        <a:blip xmlns:r="http://schemas.openxmlformats.org/officeDocument/2006/relationships" r:embed="rId3"/>
        <a:stretch>
          <a:fillRect/>
        </a:stretch>
      </xdr:blipFill>
      <xdr:spPr>
        <a:xfrm>
          <a:off x="104401620" y="9140453"/>
          <a:ext cx="1078807" cy="63235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479795</xdr:colOff>
      <xdr:row>2</xdr:row>
      <xdr:rowOff>79290</xdr:rowOff>
    </xdr:from>
    <xdr:to>
      <xdr:col>3</xdr:col>
      <xdr:colOff>401044</xdr:colOff>
      <xdr:row>6</xdr:row>
      <xdr:rowOff>28575</xdr:rowOff>
    </xdr:to>
    <xdr:pic>
      <xdr:nvPicPr>
        <xdr:cNvPr id="2" name="Picture 1">
          <a:extLst>
            <a:ext uri="{FF2B5EF4-FFF2-40B4-BE49-F238E27FC236}">
              <a16:creationId xmlns:a16="http://schemas.microsoft.com/office/drawing/2014/main" id="{A3BF6D83-5AE0-43B7-80B0-188C9B12254E}"/>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7168" r="7168"/>
        <a:stretch/>
      </xdr:blipFill>
      <xdr:spPr bwMode="auto">
        <a:xfrm>
          <a:off x="639815" y="445050"/>
          <a:ext cx="1475729" cy="680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oneCellAnchor>
    <xdr:from>
      <xdr:col>2</xdr:col>
      <xdr:colOff>9525</xdr:colOff>
      <xdr:row>0</xdr:row>
      <xdr:rowOff>19050</xdr:rowOff>
    </xdr:from>
    <xdr:ext cx="1299520" cy="475529"/>
    <xdr:pic>
      <xdr:nvPicPr>
        <xdr:cNvPr id="2" name="Picture 1">
          <a:extLst>
            <a:ext uri="{FF2B5EF4-FFF2-40B4-BE49-F238E27FC236}">
              <a16:creationId xmlns:a16="http://schemas.microsoft.com/office/drawing/2014/main" id="{DC81176C-C217-4B47-96B5-BD73E05D30A7}"/>
            </a:ext>
          </a:extLst>
        </xdr:cNvPr>
        <xdr:cNvPicPr>
          <a:picLocks noChangeAspect="1"/>
        </xdr:cNvPicPr>
      </xdr:nvPicPr>
      <xdr:blipFill>
        <a:blip xmlns:r="http://schemas.openxmlformats.org/officeDocument/2006/relationships" r:embed="rId1"/>
        <a:stretch>
          <a:fillRect/>
        </a:stretch>
      </xdr:blipFill>
      <xdr:spPr>
        <a:xfrm>
          <a:off x="672465" y="19050"/>
          <a:ext cx="1299520" cy="475529"/>
        </a:xfrm>
        <a:prstGeom prst="rect">
          <a:avLst/>
        </a:prstGeom>
      </xdr:spPr>
    </xdr:pic>
    <xdr:clientData/>
  </xdr:oneCellAnchor>
  <xdr:oneCellAnchor>
    <xdr:from>
      <xdr:col>2</xdr:col>
      <xdr:colOff>9525</xdr:colOff>
      <xdr:row>0</xdr:row>
      <xdr:rowOff>19050</xdr:rowOff>
    </xdr:from>
    <xdr:ext cx="1292717" cy="475529"/>
    <xdr:pic>
      <xdr:nvPicPr>
        <xdr:cNvPr id="3" name="Picture 2">
          <a:extLst>
            <a:ext uri="{FF2B5EF4-FFF2-40B4-BE49-F238E27FC236}">
              <a16:creationId xmlns:a16="http://schemas.microsoft.com/office/drawing/2014/main" id="{6C10C50C-0824-4DF6-B37B-7299EA55A1FF}"/>
            </a:ext>
          </a:extLst>
        </xdr:cNvPr>
        <xdr:cNvPicPr>
          <a:picLocks noChangeAspect="1"/>
        </xdr:cNvPicPr>
      </xdr:nvPicPr>
      <xdr:blipFill>
        <a:blip xmlns:r="http://schemas.openxmlformats.org/officeDocument/2006/relationships" r:embed="rId1"/>
        <a:stretch>
          <a:fillRect/>
        </a:stretch>
      </xdr:blipFill>
      <xdr:spPr>
        <a:xfrm>
          <a:off x="672465" y="19050"/>
          <a:ext cx="1292717" cy="475529"/>
        </a:xfrm>
        <a:prstGeom prst="rect">
          <a:avLst/>
        </a:prstGeom>
      </xdr:spPr>
    </xdr:pic>
    <xdr:clientData/>
  </xdr:oneCellAnchor>
  <xdr:oneCellAnchor>
    <xdr:from>
      <xdr:col>2</xdr:col>
      <xdr:colOff>9525</xdr:colOff>
      <xdr:row>0</xdr:row>
      <xdr:rowOff>19050</xdr:rowOff>
    </xdr:from>
    <xdr:ext cx="1280811" cy="475529"/>
    <xdr:pic>
      <xdr:nvPicPr>
        <xdr:cNvPr id="4" name="Picture 3">
          <a:extLst>
            <a:ext uri="{FF2B5EF4-FFF2-40B4-BE49-F238E27FC236}">
              <a16:creationId xmlns:a16="http://schemas.microsoft.com/office/drawing/2014/main" id="{DDC7FAD0-47B5-48A4-8722-BCF48B50C65B}"/>
            </a:ext>
          </a:extLst>
        </xdr:cNvPr>
        <xdr:cNvPicPr>
          <a:picLocks noChangeAspect="1"/>
        </xdr:cNvPicPr>
      </xdr:nvPicPr>
      <xdr:blipFill>
        <a:blip xmlns:r="http://schemas.openxmlformats.org/officeDocument/2006/relationships" r:embed="rId1"/>
        <a:stretch>
          <a:fillRect/>
        </a:stretch>
      </xdr:blipFill>
      <xdr:spPr>
        <a:xfrm>
          <a:off x="672465" y="19050"/>
          <a:ext cx="1280811" cy="475529"/>
        </a:xfrm>
        <a:prstGeom prst="rect">
          <a:avLst/>
        </a:prstGeom>
      </xdr:spPr>
    </xdr:pic>
    <xdr:clientData/>
  </xdr:oneCellAnchor>
  <xdr:twoCellAnchor>
    <xdr:from>
      <xdr:col>83</xdr:col>
      <xdr:colOff>25400</xdr:colOff>
      <xdr:row>0</xdr:row>
      <xdr:rowOff>19050</xdr:rowOff>
    </xdr:from>
    <xdr:to>
      <xdr:col>83</xdr:col>
      <xdr:colOff>25400</xdr:colOff>
      <xdr:row>2</xdr:row>
      <xdr:rowOff>58318</xdr:rowOff>
    </xdr:to>
    <xdr:pic>
      <xdr:nvPicPr>
        <xdr:cNvPr id="5" name="Picture 4">
          <a:extLst>
            <a:ext uri="{FF2B5EF4-FFF2-40B4-BE49-F238E27FC236}">
              <a16:creationId xmlns:a16="http://schemas.microsoft.com/office/drawing/2014/main" id="{34EDCBA6-CA28-4321-B312-7FAE3ECD925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033980" y="19050"/>
          <a:ext cx="0" cy="405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9525</xdr:colOff>
      <xdr:row>0</xdr:row>
      <xdr:rowOff>19050</xdr:rowOff>
    </xdr:from>
    <xdr:ext cx="1407017" cy="475529"/>
    <xdr:pic>
      <xdr:nvPicPr>
        <xdr:cNvPr id="6" name="Picture 5">
          <a:extLst>
            <a:ext uri="{FF2B5EF4-FFF2-40B4-BE49-F238E27FC236}">
              <a16:creationId xmlns:a16="http://schemas.microsoft.com/office/drawing/2014/main" id="{F64840D6-3AE0-4EAA-BA0D-59AEF12AAFEA}"/>
            </a:ext>
          </a:extLst>
        </xdr:cNvPr>
        <xdr:cNvPicPr>
          <a:picLocks noChangeAspect="1"/>
        </xdr:cNvPicPr>
      </xdr:nvPicPr>
      <xdr:blipFill>
        <a:blip xmlns:r="http://schemas.openxmlformats.org/officeDocument/2006/relationships" r:embed="rId1"/>
        <a:stretch>
          <a:fillRect/>
        </a:stretch>
      </xdr:blipFill>
      <xdr:spPr>
        <a:xfrm>
          <a:off x="672465" y="19050"/>
          <a:ext cx="1407017" cy="475529"/>
        </a:xfrm>
        <a:prstGeom prst="rect">
          <a:avLst/>
        </a:prstGeom>
      </xdr:spPr>
    </xdr:pic>
    <xdr:clientData/>
  </xdr:oneCellAnchor>
  <xdr:twoCellAnchor editAs="oneCell">
    <xdr:from>
      <xdr:col>205</xdr:col>
      <xdr:colOff>0</xdr:colOff>
      <xdr:row>44</xdr:row>
      <xdr:rowOff>156473</xdr:rowOff>
    </xdr:from>
    <xdr:to>
      <xdr:col>207</xdr:col>
      <xdr:colOff>57727</xdr:colOff>
      <xdr:row>211</xdr:row>
      <xdr:rowOff>57304</xdr:rowOff>
    </xdr:to>
    <xdr:pic>
      <xdr:nvPicPr>
        <xdr:cNvPr id="7" name="Picture 6">
          <a:extLst>
            <a:ext uri="{FF2B5EF4-FFF2-40B4-BE49-F238E27FC236}">
              <a16:creationId xmlns:a16="http://schemas.microsoft.com/office/drawing/2014/main" id="{220E580E-5895-4168-A680-322151A24935}"/>
            </a:ext>
          </a:extLst>
        </xdr:cNvPr>
        <xdr:cNvPicPr>
          <a:picLocks noChangeAspect="1"/>
        </xdr:cNvPicPr>
      </xdr:nvPicPr>
      <xdr:blipFill>
        <a:blip xmlns:r="http://schemas.openxmlformats.org/officeDocument/2006/relationships" r:embed="rId3"/>
        <a:stretch>
          <a:fillRect/>
        </a:stretch>
      </xdr:blipFill>
      <xdr:spPr>
        <a:xfrm>
          <a:off x="101201220" y="9140453"/>
          <a:ext cx="1078807" cy="63235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479795</xdr:colOff>
      <xdr:row>2</xdr:row>
      <xdr:rowOff>79290</xdr:rowOff>
    </xdr:from>
    <xdr:to>
      <xdr:col>3</xdr:col>
      <xdr:colOff>401044</xdr:colOff>
      <xdr:row>6</xdr:row>
      <xdr:rowOff>28575</xdr:rowOff>
    </xdr:to>
    <xdr:pic>
      <xdr:nvPicPr>
        <xdr:cNvPr id="2" name="Picture 1">
          <a:extLst>
            <a:ext uri="{FF2B5EF4-FFF2-40B4-BE49-F238E27FC236}">
              <a16:creationId xmlns:a16="http://schemas.microsoft.com/office/drawing/2014/main" id="{D5AB96C1-17B9-4F66-A6F5-EB60EB40491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7168" r="7168"/>
        <a:stretch/>
      </xdr:blipFill>
      <xdr:spPr bwMode="auto">
        <a:xfrm>
          <a:off x="639815" y="445050"/>
          <a:ext cx="1475729" cy="680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oneCellAnchor>
    <xdr:from>
      <xdr:col>2</xdr:col>
      <xdr:colOff>9525</xdr:colOff>
      <xdr:row>0</xdr:row>
      <xdr:rowOff>19050</xdr:rowOff>
    </xdr:from>
    <xdr:ext cx="1299520" cy="475529"/>
    <xdr:pic>
      <xdr:nvPicPr>
        <xdr:cNvPr id="2" name="Picture 1">
          <a:extLst>
            <a:ext uri="{FF2B5EF4-FFF2-40B4-BE49-F238E27FC236}">
              <a16:creationId xmlns:a16="http://schemas.microsoft.com/office/drawing/2014/main" id="{BA99AA82-7351-4981-8477-9FC19129EC60}"/>
            </a:ext>
          </a:extLst>
        </xdr:cNvPr>
        <xdr:cNvPicPr>
          <a:picLocks noChangeAspect="1"/>
        </xdr:cNvPicPr>
      </xdr:nvPicPr>
      <xdr:blipFill>
        <a:blip xmlns:r="http://schemas.openxmlformats.org/officeDocument/2006/relationships" r:embed="rId1"/>
        <a:stretch>
          <a:fillRect/>
        </a:stretch>
      </xdr:blipFill>
      <xdr:spPr>
        <a:xfrm>
          <a:off x="672465" y="19050"/>
          <a:ext cx="1299520" cy="475529"/>
        </a:xfrm>
        <a:prstGeom prst="rect">
          <a:avLst/>
        </a:prstGeom>
      </xdr:spPr>
    </xdr:pic>
    <xdr:clientData/>
  </xdr:oneCellAnchor>
  <xdr:oneCellAnchor>
    <xdr:from>
      <xdr:col>2</xdr:col>
      <xdr:colOff>9525</xdr:colOff>
      <xdr:row>0</xdr:row>
      <xdr:rowOff>19050</xdr:rowOff>
    </xdr:from>
    <xdr:ext cx="1292717" cy="475529"/>
    <xdr:pic>
      <xdr:nvPicPr>
        <xdr:cNvPr id="3" name="Picture 2">
          <a:extLst>
            <a:ext uri="{FF2B5EF4-FFF2-40B4-BE49-F238E27FC236}">
              <a16:creationId xmlns:a16="http://schemas.microsoft.com/office/drawing/2014/main" id="{D1DA83DE-5774-4AA0-AA54-AEEAD7FB8950}"/>
            </a:ext>
          </a:extLst>
        </xdr:cNvPr>
        <xdr:cNvPicPr>
          <a:picLocks noChangeAspect="1"/>
        </xdr:cNvPicPr>
      </xdr:nvPicPr>
      <xdr:blipFill>
        <a:blip xmlns:r="http://schemas.openxmlformats.org/officeDocument/2006/relationships" r:embed="rId1"/>
        <a:stretch>
          <a:fillRect/>
        </a:stretch>
      </xdr:blipFill>
      <xdr:spPr>
        <a:xfrm>
          <a:off x="672465" y="19050"/>
          <a:ext cx="1292717" cy="475529"/>
        </a:xfrm>
        <a:prstGeom prst="rect">
          <a:avLst/>
        </a:prstGeom>
      </xdr:spPr>
    </xdr:pic>
    <xdr:clientData/>
  </xdr:oneCellAnchor>
  <xdr:oneCellAnchor>
    <xdr:from>
      <xdr:col>2</xdr:col>
      <xdr:colOff>9525</xdr:colOff>
      <xdr:row>0</xdr:row>
      <xdr:rowOff>19050</xdr:rowOff>
    </xdr:from>
    <xdr:ext cx="1280811" cy="475529"/>
    <xdr:pic>
      <xdr:nvPicPr>
        <xdr:cNvPr id="4" name="Picture 3">
          <a:extLst>
            <a:ext uri="{FF2B5EF4-FFF2-40B4-BE49-F238E27FC236}">
              <a16:creationId xmlns:a16="http://schemas.microsoft.com/office/drawing/2014/main" id="{D03BBEEE-98A4-4238-B710-370721E0628C}"/>
            </a:ext>
          </a:extLst>
        </xdr:cNvPr>
        <xdr:cNvPicPr>
          <a:picLocks noChangeAspect="1"/>
        </xdr:cNvPicPr>
      </xdr:nvPicPr>
      <xdr:blipFill>
        <a:blip xmlns:r="http://schemas.openxmlformats.org/officeDocument/2006/relationships" r:embed="rId1"/>
        <a:stretch>
          <a:fillRect/>
        </a:stretch>
      </xdr:blipFill>
      <xdr:spPr>
        <a:xfrm>
          <a:off x="672465" y="19050"/>
          <a:ext cx="1280811" cy="475529"/>
        </a:xfrm>
        <a:prstGeom prst="rect">
          <a:avLst/>
        </a:prstGeom>
      </xdr:spPr>
    </xdr:pic>
    <xdr:clientData/>
  </xdr:oneCellAnchor>
  <xdr:twoCellAnchor>
    <xdr:from>
      <xdr:col>83</xdr:col>
      <xdr:colOff>25400</xdr:colOff>
      <xdr:row>0</xdr:row>
      <xdr:rowOff>19050</xdr:rowOff>
    </xdr:from>
    <xdr:to>
      <xdr:col>83</xdr:col>
      <xdr:colOff>25400</xdr:colOff>
      <xdr:row>2</xdr:row>
      <xdr:rowOff>58318</xdr:rowOff>
    </xdr:to>
    <xdr:pic>
      <xdr:nvPicPr>
        <xdr:cNvPr id="5" name="Picture 4">
          <a:extLst>
            <a:ext uri="{FF2B5EF4-FFF2-40B4-BE49-F238E27FC236}">
              <a16:creationId xmlns:a16="http://schemas.microsoft.com/office/drawing/2014/main" id="{37186CE0-D537-41F7-AF8D-D348D69D8CF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938980" y="19050"/>
          <a:ext cx="0" cy="405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9525</xdr:colOff>
      <xdr:row>0</xdr:row>
      <xdr:rowOff>19050</xdr:rowOff>
    </xdr:from>
    <xdr:ext cx="1407017" cy="475529"/>
    <xdr:pic>
      <xdr:nvPicPr>
        <xdr:cNvPr id="6" name="Picture 5">
          <a:extLst>
            <a:ext uri="{FF2B5EF4-FFF2-40B4-BE49-F238E27FC236}">
              <a16:creationId xmlns:a16="http://schemas.microsoft.com/office/drawing/2014/main" id="{E6A3D8CE-9F87-4232-907E-1C7B89386FB4}"/>
            </a:ext>
          </a:extLst>
        </xdr:cNvPr>
        <xdr:cNvPicPr>
          <a:picLocks noChangeAspect="1"/>
        </xdr:cNvPicPr>
      </xdr:nvPicPr>
      <xdr:blipFill>
        <a:blip xmlns:r="http://schemas.openxmlformats.org/officeDocument/2006/relationships" r:embed="rId1"/>
        <a:stretch>
          <a:fillRect/>
        </a:stretch>
      </xdr:blipFill>
      <xdr:spPr>
        <a:xfrm>
          <a:off x="672465" y="19050"/>
          <a:ext cx="1407017" cy="475529"/>
        </a:xfrm>
        <a:prstGeom prst="rect">
          <a:avLst/>
        </a:prstGeom>
      </xdr:spPr>
    </xdr:pic>
    <xdr:clientData/>
  </xdr:oneCellAnchor>
  <xdr:twoCellAnchor editAs="oneCell">
    <xdr:from>
      <xdr:col>205</xdr:col>
      <xdr:colOff>0</xdr:colOff>
      <xdr:row>44</xdr:row>
      <xdr:rowOff>156473</xdr:rowOff>
    </xdr:from>
    <xdr:to>
      <xdr:col>207</xdr:col>
      <xdr:colOff>57727</xdr:colOff>
      <xdr:row>290</xdr:row>
      <xdr:rowOff>57304</xdr:rowOff>
    </xdr:to>
    <xdr:pic>
      <xdr:nvPicPr>
        <xdr:cNvPr id="7" name="Picture 6">
          <a:extLst>
            <a:ext uri="{FF2B5EF4-FFF2-40B4-BE49-F238E27FC236}">
              <a16:creationId xmlns:a16="http://schemas.microsoft.com/office/drawing/2014/main" id="{31FB671F-18B6-4A99-9DBD-B113CFCEB959}"/>
            </a:ext>
          </a:extLst>
        </xdr:cNvPr>
        <xdr:cNvPicPr>
          <a:picLocks noChangeAspect="1"/>
        </xdr:cNvPicPr>
      </xdr:nvPicPr>
      <xdr:blipFill>
        <a:blip xmlns:r="http://schemas.openxmlformats.org/officeDocument/2006/relationships" r:embed="rId3"/>
        <a:stretch>
          <a:fillRect/>
        </a:stretch>
      </xdr:blipFill>
      <xdr:spPr>
        <a:xfrm>
          <a:off x="103228140" y="9178553"/>
          <a:ext cx="1078807" cy="63235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2</xdr:col>
      <xdr:colOff>9525</xdr:colOff>
      <xdr:row>0</xdr:row>
      <xdr:rowOff>19050</xdr:rowOff>
    </xdr:from>
    <xdr:ext cx="1299520" cy="475529"/>
    <xdr:pic>
      <xdr:nvPicPr>
        <xdr:cNvPr id="2" name="Picture 1">
          <a:extLst>
            <a:ext uri="{FF2B5EF4-FFF2-40B4-BE49-F238E27FC236}">
              <a16:creationId xmlns:a16="http://schemas.microsoft.com/office/drawing/2014/main" id="{5E43379E-1572-4784-97D0-FB0FFBF1FD80}"/>
            </a:ext>
          </a:extLst>
        </xdr:cNvPr>
        <xdr:cNvPicPr>
          <a:picLocks noChangeAspect="1"/>
        </xdr:cNvPicPr>
      </xdr:nvPicPr>
      <xdr:blipFill>
        <a:blip xmlns:r="http://schemas.openxmlformats.org/officeDocument/2006/relationships" r:embed="rId1"/>
        <a:stretch>
          <a:fillRect/>
        </a:stretch>
      </xdr:blipFill>
      <xdr:spPr>
        <a:xfrm>
          <a:off x="672465" y="19050"/>
          <a:ext cx="1299520" cy="475529"/>
        </a:xfrm>
        <a:prstGeom prst="rect">
          <a:avLst/>
        </a:prstGeom>
      </xdr:spPr>
    </xdr:pic>
    <xdr:clientData/>
  </xdr:oneCellAnchor>
  <xdr:oneCellAnchor>
    <xdr:from>
      <xdr:col>2</xdr:col>
      <xdr:colOff>9525</xdr:colOff>
      <xdr:row>0</xdr:row>
      <xdr:rowOff>19050</xdr:rowOff>
    </xdr:from>
    <xdr:ext cx="1292717" cy="475529"/>
    <xdr:pic>
      <xdr:nvPicPr>
        <xdr:cNvPr id="3" name="Picture 2">
          <a:extLst>
            <a:ext uri="{FF2B5EF4-FFF2-40B4-BE49-F238E27FC236}">
              <a16:creationId xmlns:a16="http://schemas.microsoft.com/office/drawing/2014/main" id="{7B0778AD-871A-4A15-B6A6-05E11D27B3B5}"/>
            </a:ext>
          </a:extLst>
        </xdr:cNvPr>
        <xdr:cNvPicPr>
          <a:picLocks noChangeAspect="1"/>
        </xdr:cNvPicPr>
      </xdr:nvPicPr>
      <xdr:blipFill>
        <a:blip xmlns:r="http://schemas.openxmlformats.org/officeDocument/2006/relationships" r:embed="rId1"/>
        <a:stretch>
          <a:fillRect/>
        </a:stretch>
      </xdr:blipFill>
      <xdr:spPr>
        <a:xfrm>
          <a:off x="672465" y="19050"/>
          <a:ext cx="1292717" cy="475529"/>
        </a:xfrm>
        <a:prstGeom prst="rect">
          <a:avLst/>
        </a:prstGeom>
      </xdr:spPr>
    </xdr:pic>
    <xdr:clientData/>
  </xdr:oneCellAnchor>
  <xdr:oneCellAnchor>
    <xdr:from>
      <xdr:col>2</xdr:col>
      <xdr:colOff>9525</xdr:colOff>
      <xdr:row>0</xdr:row>
      <xdr:rowOff>19050</xdr:rowOff>
    </xdr:from>
    <xdr:ext cx="1280811" cy="475529"/>
    <xdr:pic>
      <xdr:nvPicPr>
        <xdr:cNvPr id="4" name="Picture 3">
          <a:extLst>
            <a:ext uri="{FF2B5EF4-FFF2-40B4-BE49-F238E27FC236}">
              <a16:creationId xmlns:a16="http://schemas.microsoft.com/office/drawing/2014/main" id="{91FAE32B-A459-494E-B5B3-B8039CFA6BE5}"/>
            </a:ext>
          </a:extLst>
        </xdr:cNvPr>
        <xdr:cNvPicPr>
          <a:picLocks noChangeAspect="1"/>
        </xdr:cNvPicPr>
      </xdr:nvPicPr>
      <xdr:blipFill>
        <a:blip xmlns:r="http://schemas.openxmlformats.org/officeDocument/2006/relationships" r:embed="rId1"/>
        <a:stretch>
          <a:fillRect/>
        </a:stretch>
      </xdr:blipFill>
      <xdr:spPr>
        <a:xfrm>
          <a:off x="672465" y="19050"/>
          <a:ext cx="1280811" cy="475529"/>
        </a:xfrm>
        <a:prstGeom prst="rect">
          <a:avLst/>
        </a:prstGeom>
      </xdr:spPr>
    </xdr:pic>
    <xdr:clientData/>
  </xdr:oneCellAnchor>
  <xdr:twoCellAnchor>
    <xdr:from>
      <xdr:col>83</xdr:col>
      <xdr:colOff>25400</xdr:colOff>
      <xdr:row>0</xdr:row>
      <xdr:rowOff>19050</xdr:rowOff>
    </xdr:from>
    <xdr:to>
      <xdr:col>83</xdr:col>
      <xdr:colOff>25400</xdr:colOff>
      <xdr:row>2</xdr:row>
      <xdr:rowOff>58318</xdr:rowOff>
    </xdr:to>
    <xdr:pic>
      <xdr:nvPicPr>
        <xdr:cNvPr id="5" name="Picture 4">
          <a:extLst>
            <a:ext uri="{FF2B5EF4-FFF2-40B4-BE49-F238E27FC236}">
              <a16:creationId xmlns:a16="http://schemas.microsoft.com/office/drawing/2014/main" id="{229ECE8A-DC5F-40FE-98DC-5AC8BBEBB4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5676840" y="19050"/>
          <a:ext cx="0" cy="405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9525</xdr:colOff>
      <xdr:row>0</xdr:row>
      <xdr:rowOff>19050</xdr:rowOff>
    </xdr:from>
    <xdr:ext cx="1407017" cy="475529"/>
    <xdr:pic>
      <xdr:nvPicPr>
        <xdr:cNvPr id="6" name="Picture 5">
          <a:extLst>
            <a:ext uri="{FF2B5EF4-FFF2-40B4-BE49-F238E27FC236}">
              <a16:creationId xmlns:a16="http://schemas.microsoft.com/office/drawing/2014/main" id="{9034A5B3-F140-4240-B6FA-5B9E98E8EBC9}"/>
            </a:ext>
          </a:extLst>
        </xdr:cNvPr>
        <xdr:cNvPicPr>
          <a:picLocks noChangeAspect="1"/>
        </xdr:cNvPicPr>
      </xdr:nvPicPr>
      <xdr:blipFill>
        <a:blip xmlns:r="http://schemas.openxmlformats.org/officeDocument/2006/relationships" r:embed="rId1"/>
        <a:stretch>
          <a:fillRect/>
        </a:stretch>
      </xdr:blipFill>
      <xdr:spPr>
        <a:xfrm>
          <a:off x="672465" y="19050"/>
          <a:ext cx="1407017" cy="475529"/>
        </a:xfrm>
        <a:prstGeom prst="rect">
          <a:avLst/>
        </a:prstGeom>
      </xdr:spPr>
    </xdr:pic>
    <xdr:clientData/>
  </xdr:oneCellAnchor>
  <xdr:twoCellAnchor editAs="oneCell">
    <xdr:from>
      <xdr:col>206</xdr:col>
      <xdr:colOff>0</xdr:colOff>
      <xdr:row>44</xdr:row>
      <xdr:rowOff>156473</xdr:rowOff>
    </xdr:from>
    <xdr:to>
      <xdr:col>208</xdr:col>
      <xdr:colOff>57728</xdr:colOff>
      <xdr:row>209</xdr:row>
      <xdr:rowOff>57303</xdr:rowOff>
    </xdr:to>
    <xdr:pic>
      <xdr:nvPicPr>
        <xdr:cNvPr id="7" name="Picture 6">
          <a:extLst>
            <a:ext uri="{FF2B5EF4-FFF2-40B4-BE49-F238E27FC236}">
              <a16:creationId xmlns:a16="http://schemas.microsoft.com/office/drawing/2014/main" id="{B54500C4-AC35-415B-BBB4-5163F54F83C7}"/>
            </a:ext>
          </a:extLst>
        </xdr:cNvPr>
        <xdr:cNvPicPr>
          <a:picLocks noChangeAspect="1"/>
        </xdr:cNvPicPr>
      </xdr:nvPicPr>
      <xdr:blipFill>
        <a:blip xmlns:r="http://schemas.openxmlformats.org/officeDocument/2006/relationships" r:embed="rId3"/>
        <a:stretch>
          <a:fillRect/>
        </a:stretch>
      </xdr:blipFill>
      <xdr:spPr>
        <a:xfrm>
          <a:off x="108966000" y="9178553"/>
          <a:ext cx="1078807" cy="63235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479795</xdr:colOff>
      <xdr:row>2</xdr:row>
      <xdr:rowOff>79290</xdr:rowOff>
    </xdr:from>
    <xdr:to>
      <xdr:col>3</xdr:col>
      <xdr:colOff>401044</xdr:colOff>
      <xdr:row>6</xdr:row>
      <xdr:rowOff>28575</xdr:rowOff>
    </xdr:to>
    <xdr:pic>
      <xdr:nvPicPr>
        <xdr:cNvPr id="2" name="Picture 1">
          <a:extLst>
            <a:ext uri="{FF2B5EF4-FFF2-40B4-BE49-F238E27FC236}">
              <a16:creationId xmlns:a16="http://schemas.microsoft.com/office/drawing/2014/main" id="{F36F1460-70BB-472B-97E7-8D600CC9056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7168" r="7168"/>
        <a:stretch/>
      </xdr:blipFill>
      <xdr:spPr bwMode="auto">
        <a:xfrm>
          <a:off x="639815" y="445050"/>
          <a:ext cx="1475729" cy="680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oneCellAnchor>
    <xdr:from>
      <xdr:col>2</xdr:col>
      <xdr:colOff>9525</xdr:colOff>
      <xdr:row>0</xdr:row>
      <xdr:rowOff>19050</xdr:rowOff>
    </xdr:from>
    <xdr:ext cx="1299520" cy="475529"/>
    <xdr:pic>
      <xdr:nvPicPr>
        <xdr:cNvPr id="2" name="Picture 1">
          <a:extLst>
            <a:ext uri="{FF2B5EF4-FFF2-40B4-BE49-F238E27FC236}">
              <a16:creationId xmlns:a16="http://schemas.microsoft.com/office/drawing/2014/main" id="{5E43379E-1572-4784-97D0-FB0FFBF1FD80}"/>
            </a:ext>
          </a:extLst>
        </xdr:cNvPr>
        <xdr:cNvPicPr>
          <a:picLocks noChangeAspect="1"/>
        </xdr:cNvPicPr>
      </xdr:nvPicPr>
      <xdr:blipFill>
        <a:blip xmlns:r="http://schemas.openxmlformats.org/officeDocument/2006/relationships" r:embed="rId1"/>
        <a:stretch>
          <a:fillRect/>
        </a:stretch>
      </xdr:blipFill>
      <xdr:spPr>
        <a:xfrm>
          <a:off x="672465" y="19050"/>
          <a:ext cx="1299520" cy="475529"/>
        </a:xfrm>
        <a:prstGeom prst="rect">
          <a:avLst/>
        </a:prstGeom>
      </xdr:spPr>
    </xdr:pic>
    <xdr:clientData/>
  </xdr:oneCellAnchor>
  <xdr:oneCellAnchor>
    <xdr:from>
      <xdr:col>2</xdr:col>
      <xdr:colOff>9525</xdr:colOff>
      <xdr:row>0</xdr:row>
      <xdr:rowOff>19050</xdr:rowOff>
    </xdr:from>
    <xdr:ext cx="1292717" cy="475529"/>
    <xdr:pic>
      <xdr:nvPicPr>
        <xdr:cNvPr id="3" name="Picture 2">
          <a:extLst>
            <a:ext uri="{FF2B5EF4-FFF2-40B4-BE49-F238E27FC236}">
              <a16:creationId xmlns:a16="http://schemas.microsoft.com/office/drawing/2014/main" id="{7B0778AD-871A-4A15-B6A6-05E11D27B3B5}"/>
            </a:ext>
          </a:extLst>
        </xdr:cNvPr>
        <xdr:cNvPicPr>
          <a:picLocks noChangeAspect="1"/>
        </xdr:cNvPicPr>
      </xdr:nvPicPr>
      <xdr:blipFill>
        <a:blip xmlns:r="http://schemas.openxmlformats.org/officeDocument/2006/relationships" r:embed="rId1"/>
        <a:stretch>
          <a:fillRect/>
        </a:stretch>
      </xdr:blipFill>
      <xdr:spPr>
        <a:xfrm>
          <a:off x="672465" y="19050"/>
          <a:ext cx="1292717" cy="475529"/>
        </a:xfrm>
        <a:prstGeom prst="rect">
          <a:avLst/>
        </a:prstGeom>
      </xdr:spPr>
    </xdr:pic>
    <xdr:clientData/>
  </xdr:oneCellAnchor>
  <xdr:oneCellAnchor>
    <xdr:from>
      <xdr:col>2</xdr:col>
      <xdr:colOff>9525</xdr:colOff>
      <xdr:row>0</xdr:row>
      <xdr:rowOff>19050</xdr:rowOff>
    </xdr:from>
    <xdr:ext cx="1280811" cy="475529"/>
    <xdr:pic>
      <xdr:nvPicPr>
        <xdr:cNvPr id="4" name="Picture 3">
          <a:extLst>
            <a:ext uri="{FF2B5EF4-FFF2-40B4-BE49-F238E27FC236}">
              <a16:creationId xmlns:a16="http://schemas.microsoft.com/office/drawing/2014/main" id="{91FAE32B-A459-494E-B5B3-B8039CFA6BE5}"/>
            </a:ext>
          </a:extLst>
        </xdr:cNvPr>
        <xdr:cNvPicPr>
          <a:picLocks noChangeAspect="1"/>
        </xdr:cNvPicPr>
      </xdr:nvPicPr>
      <xdr:blipFill>
        <a:blip xmlns:r="http://schemas.openxmlformats.org/officeDocument/2006/relationships" r:embed="rId1"/>
        <a:stretch>
          <a:fillRect/>
        </a:stretch>
      </xdr:blipFill>
      <xdr:spPr>
        <a:xfrm>
          <a:off x="672465" y="19050"/>
          <a:ext cx="1280811" cy="475529"/>
        </a:xfrm>
        <a:prstGeom prst="rect">
          <a:avLst/>
        </a:prstGeom>
      </xdr:spPr>
    </xdr:pic>
    <xdr:clientData/>
  </xdr:oneCellAnchor>
  <xdr:twoCellAnchor>
    <xdr:from>
      <xdr:col>83</xdr:col>
      <xdr:colOff>25400</xdr:colOff>
      <xdr:row>0</xdr:row>
      <xdr:rowOff>19050</xdr:rowOff>
    </xdr:from>
    <xdr:to>
      <xdr:col>83</xdr:col>
      <xdr:colOff>25400</xdr:colOff>
      <xdr:row>2</xdr:row>
      <xdr:rowOff>58318</xdr:rowOff>
    </xdr:to>
    <xdr:pic>
      <xdr:nvPicPr>
        <xdr:cNvPr id="5" name="Picture 4">
          <a:extLst>
            <a:ext uri="{FF2B5EF4-FFF2-40B4-BE49-F238E27FC236}">
              <a16:creationId xmlns:a16="http://schemas.microsoft.com/office/drawing/2014/main" id="{229ECE8A-DC5F-40FE-98DC-5AC8BBEBB4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5676840" y="19050"/>
          <a:ext cx="0" cy="405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9525</xdr:colOff>
      <xdr:row>0</xdr:row>
      <xdr:rowOff>19050</xdr:rowOff>
    </xdr:from>
    <xdr:ext cx="1407017" cy="475529"/>
    <xdr:pic>
      <xdr:nvPicPr>
        <xdr:cNvPr id="6" name="Picture 5">
          <a:extLst>
            <a:ext uri="{FF2B5EF4-FFF2-40B4-BE49-F238E27FC236}">
              <a16:creationId xmlns:a16="http://schemas.microsoft.com/office/drawing/2014/main" id="{9034A5B3-F140-4240-B6FA-5B9E98E8EBC9}"/>
            </a:ext>
          </a:extLst>
        </xdr:cNvPr>
        <xdr:cNvPicPr>
          <a:picLocks noChangeAspect="1"/>
        </xdr:cNvPicPr>
      </xdr:nvPicPr>
      <xdr:blipFill>
        <a:blip xmlns:r="http://schemas.openxmlformats.org/officeDocument/2006/relationships" r:embed="rId1"/>
        <a:stretch>
          <a:fillRect/>
        </a:stretch>
      </xdr:blipFill>
      <xdr:spPr>
        <a:xfrm>
          <a:off x="672465" y="19050"/>
          <a:ext cx="1407017" cy="475529"/>
        </a:xfrm>
        <a:prstGeom prst="rect">
          <a:avLst/>
        </a:prstGeom>
      </xdr:spPr>
    </xdr:pic>
    <xdr:clientData/>
  </xdr:oneCellAnchor>
  <xdr:twoCellAnchor editAs="oneCell">
    <xdr:from>
      <xdr:col>206</xdr:col>
      <xdr:colOff>0</xdr:colOff>
      <xdr:row>44</xdr:row>
      <xdr:rowOff>156473</xdr:rowOff>
    </xdr:from>
    <xdr:to>
      <xdr:col>208</xdr:col>
      <xdr:colOff>57727</xdr:colOff>
      <xdr:row>209</xdr:row>
      <xdr:rowOff>57303</xdr:rowOff>
    </xdr:to>
    <xdr:pic>
      <xdr:nvPicPr>
        <xdr:cNvPr id="7" name="Picture 6">
          <a:extLst>
            <a:ext uri="{FF2B5EF4-FFF2-40B4-BE49-F238E27FC236}">
              <a16:creationId xmlns:a16="http://schemas.microsoft.com/office/drawing/2014/main" id="{B54500C4-AC35-415B-BBB4-5163F54F83C7}"/>
            </a:ext>
          </a:extLst>
        </xdr:cNvPr>
        <xdr:cNvPicPr>
          <a:picLocks noChangeAspect="1"/>
        </xdr:cNvPicPr>
      </xdr:nvPicPr>
      <xdr:blipFill>
        <a:blip xmlns:r="http://schemas.openxmlformats.org/officeDocument/2006/relationships" r:embed="rId3"/>
        <a:stretch>
          <a:fillRect/>
        </a:stretch>
      </xdr:blipFill>
      <xdr:spPr>
        <a:xfrm>
          <a:off x="109811820" y="9269993"/>
          <a:ext cx="1078807" cy="63235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479795</xdr:colOff>
      <xdr:row>2</xdr:row>
      <xdr:rowOff>79290</xdr:rowOff>
    </xdr:from>
    <xdr:to>
      <xdr:col>3</xdr:col>
      <xdr:colOff>401044</xdr:colOff>
      <xdr:row>6</xdr:row>
      <xdr:rowOff>28575</xdr:rowOff>
    </xdr:to>
    <xdr:pic>
      <xdr:nvPicPr>
        <xdr:cNvPr id="2" name="Picture 1">
          <a:extLst>
            <a:ext uri="{FF2B5EF4-FFF2-40B4-BE49-F238E27FC236}">
              <a16:creationId xmlns:a16="http://schemas.microsoft.com/office/drawing/2014/main" id="{82F26BAA-4797-48F3-AFAF-583BE448FD7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7168" r="7168"/>
        <a:stretch/>
      </xdr:blipFill>
      <xdr:spPr bwMode="auto">
        <a:xfrm>
          <a:off x="639815" y="445050"/>
          <a:ext cx="1475729" cy="680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479795</xdr:colOff>
      <xdr:row>2</xdr:row>
      <xdr:rowOff>79290</xdr:rowOff>
    </xdr:from>
    <xdr:to>
      <xdr:col>3</xdr:col>
      <xdr:colOff>401044</xdr:colOff>
      <xdr:row>6</xdr:row>
      <xdr:rowOff>28575</xdr:rowOff>
    </xdr:to>
    <xdr:pic>
      <xdr:nvPicPr>
        <xdr:cNvPr id="2" name="Picture 1">
          <a:extLst>
            <a:ext uri="{FF2B5EF4-FFF2-40B4-BE49-F238E27FC236}">
              <a16:creationId xmlns:a16="http://schemas.microsoft.com/office/drawing/2014/main" id="{82F26BAA-4797-48F3-AFAF-583BE448FD7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7168" r="7168"/>
        <a:stretch/>
      </xdr:blipFill>
      <xdr:spPr bwMode="auto">
        <a:xfrm>
          <a:off x="639815" y="445050"/>
          <a:ext cx="1475729" cy="680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emawati_l\Downloads\12_TCM%20&amp;%20TIS%20Production%20Report%20as%20of%2030%20December%202024%20.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August%20TC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Lemawati_l\Downloads\12_TCM%20&amp;%20TIS%20Production%20Report%20as%20of%2019%20December%202024%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Dashboard TCM"/>
      <sheetName val="To Date Sumary TCM &amp; TIS"/>
      <sheetName val="Summary TCM"/>
      <sheetName val="YTD"/>
      <sheetName val="January TCM"/>
      <sheetName val="February TCM"/>
      <sheetName val="January TIS"/>
      <sheetName val="March TCM"/>
      <sheetName val="February TIS"/>
      <sheetName val="April TCM"/>
      <sheetName val="March TIS"/>
      <sheetName val="April TIS"/>
      <sheetName val="May TCM"/>
      <sheetName val="May TIS "/>
      <sheetName val="June TIS "/>
      <sheetName val="June TCM"/>
      <sheetName val="July TCM"/>
      <sheetName val="August TCM"/>
      <sheetName val="July TIS"/>
      <sheetName val="August TIS"/>
      <sheetName val="September TCM"/>
      <sheetName val="October TCM"/>
      <sheetName val="September TIS"/>
      <sheetName val="October TIS"/>
      <sheetName val="November TCM"/>
      <sheetName val="Summary TIS"/>
      <sheetName val="December TCM"/>
      <sheetName val="November TIS"/>
      <sheetName val="December TIS"/>
      <sheetName val="TCM"/>
      <sheetName val="TIS"/>
      <sheetName val="Sheet3"/>
    </sheetNames>
    <sheetDataSet>
      <sheetData sheetId="0" refreshError="1"/>
      <sheetData sheetId="1" refreshError="1"/>
      <sheetData sheetId="2" refreshError="1"/>
      <sheetData sheetId="3" refreshError="1"/>
      <sheetData sheetId="4" refreshError="1">
        <row r="4">
          <cell r="B4">
            <v>29</v>
          </cell>
        </row>
        <row r="140">
          <cell r="AB140">
            <v>31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44">
          <cell r="AB44">
            <v>0</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gust TCM"/>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Dashboard TCM"/>
      <sheetName val="To Date Sumary TCM &amp; TIS"/>
      <sheetName val="Summary TCM"/>
      <sheetName val="Summary TIS"/>
      <sheetName val="YTD"/>
      <sheetName val="January TCM"/>
      <sheetName val="February TCM"/>
      <sheetName val="January TIS"/>
      <sheetName val="March TCM"/>
      <sheetName val="February TIS"/>
      <sheetName val="April TCM"/>
      <sheetName val="March TIS"/>
      <sheetName val="April TIS"/>
      <sheetName val="May TCM"/>
      <sheetName val="May TIS "/>
      <sheetName val="June TIS "/>
      <sheetName val="June TCM"/>
      <sheetName val="July TCM"/>
      <sheetName val="August TCM"/>
      <sheetName val="July TIS"/>
      <sheetName val="August TIS"/>
      <sheetName val="September TCM"/>
      <sheetName val="October TCM"/>
      <sheetName val="September TIS"/>
      <sheetName val="October TIS"/>
      <sheetName val="November TCM"/>
      <sheetName val="December TCM"/>
      <sheetName val="November TIS"/>
      <sheetName val="December TIS"/>
      <sheetName val="TCM"/>
      <sheetName val="TIS"/>
    </sheetNames>
    <sheetDataSet>
      <sheetData sheetId="0"/>
      <sheetData sheetId="1"/>
      <sheetData sheetId="2"/>
      <sheetData sheetId="3"/>
      <sheetData sheetId="4">
        <row r="131">
          <cell r="D131">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 dockstate="right" visibility="0" width="438" row="7">
    <wetp:webextensionref xmlns:r="http://schemas.openxmlformats.org/officeDocument/2006/relationships" r:id="rId3"/>
  </wetp:taskpane>
  <wetp:taskpane dockstate="right" visibility="0" width="438" row="7">
    <wetp:webextensionref xmlns:r="http://schemas.openxmlformats.org/officeDocument/2006/relationships" r:id="rId4"/>
  </wetp:taskpane>
</wetp:taskpanes>
</file>

<file path=xl/webextensions/webextension1.xml><?xml version="1.0" encoding="utf-8"?>
<we:webextension xmlns:we="http://schemas.microsoft.com/office/webextensions/webextension/2010/11" id="{98D8E093-2EE0-4FC6-AD78-49AC955BF415}">
  <we:reference id="WA200005669" version="2.0.0.0" store="Omex" storeType="OMEX"/>
  <we:alternateReferences>
    <we:reference id="WA200005669" version="2.0.0.0" store="WA200005669" storeType="OMEX"/>
  </we:alternateReferences>
  <we:properties/>
  <we:bindings/>
  <we:snapshot xmlns:r="http://schemas.openxmlformats.org/officeDocument/2006/relationships"/>
  <we:extLst>
    <a:ext xmlns:a="http://schemas.openxmlformats.org/drawingml/2006/main" uri="{D87F86FE-615C-45B5-9D79-34F1136793EB}">
      <we:containsCustomFunctions xmlns=""/>
    </a:ext>
  </we:extLst>
</we:webextension>
</file>

<file path=xl/webextensions/webextension2.xml><?xml version="1.0" encoding="utf-8"?>
<we:webextension xmlns:we="http://schemas.microsoft.com/office/webextensions/webextension/2010/11" id="{8294D96D-6A0C-4CB1-B495-C569C67D9A63}">
  <we:reference id="WA200009404" version="1.0.0.8" store="Omex" storeType="OMEX"/>
  <we:alternateReferences>
    <we:reference id="WA200009404" version="1.0.0.8" store="WA200009404" storeType="OMEX"/>
  </we:alternateReferences>
  <we:properties>
    <we:property name="claude.fileId" value="&quot;f09191bb-a570-4e9b-86e5-c278e346bb0a&quot;"/>
  </we:properties>
  <we:bindings/>
  <we:snapshot xmlns:r="http://schemas.openxmlformats.org/officeDocument/2006/relationships"/>
  <we:extLst>
    <a:ext xmlns:a="http://schemas.openxmlformats.org/drawingml/2006/main" uri="{D87F86FE-615C-45B5-9D79-34F1136793EB}">
      <we:containsCustomFunctions xmlns=""/>
    </a:ext>
  </we:extLst>
</we:webextension>
</file>

<file path=xl/webextensions/webextension3.xml><?xml version="1.0" encoding="utf-8"?>
<we:webextension xmlns:we="http://schemas.microsoft.com/office/webextensions/webextension/2010/11" id="{5B893A5B-F2C6-4E34-95FA-644D2B4ECED8}">
  <we:reference id="WA200007447" version="1.1.6.6" store="Omex" storeType="OMEX"/>
  <we:alternateReferences>
    <we:reference id="WA200007447" version="1.1.6.6"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xmlns=""/>
    </a:ext>
    <a:ext xmlns:a="http://schemas.openxmlformats.org/drawingml/2006/main" uri="{7C84B067-C214-45C3-A712-C9D94CD141B2}">
      <we:customFunctionIdList xmlns="">
        <we:customFunctionIds>_xldudf_BOARDFLARE_EXEC</we:customFunctionIds>
        <we:customFunctionIds>_xldudf_BOARDFLARE_RUNPY</we:customFunctionIds>
      </we:customFunctionIdList>
    </a:ext>
  </we:extLst>
</we:webextension>
</file>

<file path=xl/webextensions/webextension4.xml><?xml version="1.0" encoding="utf-8"?>
<we:webextension xmlns:we="http://schemas.microsoft.com/office/webextensions/webextension/2010/11" id="{3E1159B3-846A-4E00-98D3-8D828885F908}">
  <we:reference id="WA200005271" version="3.0.0.0" store="Omex" storeType="OMEX"/>
  <we:alternateReferences>
    <we:reference id="WA200005271" version="3.0.0.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xmlns=""/>
    </a:ext>
    <a:ext xmlns:a="http://schemas.openxmlformats.org/drawingml/2006/main" uri="{7C84B067-C214-45C3-A712-C9D94CD141B2}">
      <we:customFunctionIdList xmlns="">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image" Target="../media/image20.emf"/><Relationship Id="rId18" Type="http://schemas.openxmlformats.org/officeDocument/2006/relationships/control" Target="../activeX/activeX8.xml"/><Relationship Id="rId26" Type="http://schemas.openxmlformats.org/officeDocument/2006/relationships/ctrlProp" Target="../ctrlProps/ctrlProp5.xml"/><Relationship Id="rId3" Type="http://schemas.openxmlformats.org/officeDocument/2006/relationships/vmlDrawing" Target="../drawings/vmlDrawing3.vml"/><Relationship Id="rId21" Type="http://schemas.openxmlformats.org/officeDocument/2006/relationships/image" Target="../media/image24.emf"/><Relationship Id="rId34" Type="http://schemas.openxmlformats.org/officeDocument/2006/relationships/comments" Target="../comments3.xml"/><Relationship Id="rId7" Type="http://schemas.openxmlformats.org/officeDocument/2006/relationships/image" Target="../media/image17.emf"/><Relationship Id="rId12" Type="http://schemas.openxmlformats.org/officeDocument/2006/relationships/control" Target="../activeX/activeX5.xml"/><Relationship Id="rId17" Type="http://schemas.openxmlformats.org/officeDocument/2006/relationships/image" Target="../media/image22.emf"/><Relationship Id="rId25" Type="http://schemas.openxmlformats.org/officeDocument/2006/relationships/ctrlProp" Target="../ctrlProps/ctrlProp4.xml"/><Relationship Id="rId33" Type="http://schemas.openxmlformats.org/officeDocument/2006/relationships/ctrlProp" Target="../ctrlProps/ctrlProp12.xml"/><Relationship Id="rId2" Type="http://schemas.openxmlformats.org/officeDocument/2006/relationships/drawing" Target="../drawings/drawing8.xml"/><Relationship Id="rId16" Type="http://schemas.openxmlformats.org/officeDocument/2006/relationships/control" Target="../activeX/activeX7.xml"/><Relationship Id="rId20" Type="http://schemas.openxmlformats.org/officeDocument/2006/relationships/control" Target="../activeX/activeX9.xml"/><Relationship Id="rId29" Type="http://schemas.openxmlformats.org/officeDocument/2006/relationships/ctrlProp" Target="../ctrlProps/ctrlProp8.xml"/><Relationship Id="rId1" Type="http://schemas.openxmlformats.org/officeDocument/2006/relationships/printerSettings" Target="../printerSettings/printerSettings10.bin"/><Relationship Id="rId6" Type="http://schemas.openxmlformats.org/officeDocument/2006/relationships/control" Target="../activeX/activeX2.xml"/><Relationship Id="rId11" Type="http://schemas.openxmlformats.org/officeDocument/2006/relationships/image" Target="../media/image19.emf"/><Relationship Id="rId24" Type="http://schemas.openxmlformats.org/officeDocument/2006/relationships/ctrlProp" Target="../ctrlProps/ctrlProp3.xml"/><Relationship Id="rId32" Type="http://schemas.openxmlformats.org/officeDocument/2006/relationships/ctrlProp" Target="../ctrlProps/ctrlProp11.xml"/><Relationship Id="rId5" Type="http://schemas.openxmlformats.org/officeDocument/2006/relationships/image" Target="../media/image16.emf"/><Relationship Id="rId15" Type="http://schemas.openxmlformats.org/officeDocument/2006/relationships/image" Target="../media/image21.emf"/><Relationship Id="rId23" Type="http://schemas.openxmlformats.org/officeDocument/2006/relationships/ctrlProp" Target="../ctrlProps/ctrlProp2.xml"/><Relationship Id="rId28" Type="http://schemas.openxmlformats.org/officeDocument/2006/relationships/ctrlProp" Target="../ctrlProps/ctrlProp7.xml"/><Relationship Id="rId10" Type="http://schemas.openxmlformats.org/officeDocument/2006/relationships/control" Target="../activeX/activeX4.xml"/><Relationship Id="rId19" Type="http://schemas.openxmlformats.org/officeDocument/2006/relationships/image" Target="../media/image23.emf"/><Relationship Id="rId31" Type="http://schemas.openxmlformats.org/officeDocument/2006/relationships/ctrlProp" Target="../ctrlProps/ctrlProp10.xml"/><Relationship Id="rId4" Type="http://schemas.openxmlformats.org/officeDocument/2006/relationships/control" Target="../activeX/activeX1.xml"/><Relationship Id="rId9" Type="http://schemas.openxmlformats.org/officeDocument/2006/relationships/image" Target="../media/image18.emf"/><Relationship Id="rId14" Type="http://schemas.openxmlformats.org/officeDocument/2006/relationships/control" Target="../activeX/activeX6.xml"/><Relationship Id="rId22" Type="http://schemas.openxmlformats.org/officeDocument/2006/relationships/ctrlProp" Target="../ctrlProps/ctrlProp1.xml"/><Relationship Id="rId27" Type="http://schemas.openxmlformats.org/officeDocument/2006/relationships/ctrlProp" Target="../ctrlProps/ctrlProp6.xml"/><Relationship Id="rId30" Type="http://schemas.openxmlformats.org/officeDocument/2006/relationships/ctrlProp" Target="../ctrlProps/ctrlProp9.xml"/><Relationship Id="rId8" Type="http://schemas.openxmlformats.org/officeDocument/2006/relationships/control" Target="../activeX/activeX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5.xml"/><Relationship Id="rId1" Type="http://schemas.openxmlformats.org/officeDocument/2006/relationships/printerSettings" Target="../printerSettings/printerSettings15.bin"/><Relationship Id="rId4" Type="http://schemas.openxmlformats.org/officeDocument/2006/relationships/comments" Target="../comments7.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6.xml"/><Relationship Id="rId1" Type="http://schemas.openxmlformats.org/officeDocument/2006/relationships/printerSettings" Target="../printerSettings/printerSettings16.bin"/><Relationship Id="rId4" Type="http://schemas.openxmlformats.org/officeDocument/2006/relationships/comments" Target="../comments8.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7.xml"/><Relationship Id="rId1" Type="http://schemas.openxmlformats.org/officeDocument/2006/relationships/printerSettings" Target="../printerSettings/printerSettings17.bin"/><Relationship Id="rId4" Type="http://schemas.openxmlformats.org/officeDocument/2006/relationships/comments" Target="../comments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8.xml"/><Relationship Id="rId1" Type="http://schemas.openxmlformats.org/officeDocument/2006/relationships/printerSettings" Target="../printerSettings/printerSettings18.bin"/><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0.xml"/><Relationship Id="rId1" Type="http://schemas.openxmlformats.org/officeDocument/2006/relationships/printerSettings" Target="../printerSettings/printerSettings20.bin"/><Relationship Id="rId4" Type="http://schemas.openxmlformats.org/officeDocument/2006/relationships/comments" Target="../comments11.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 Id="rId4" Type="http://schemas.openxmlformats.org/officeDocument/2006/relationships/comments" Target="../comments12.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 Id="rId4" Type="http://schemas.openxmlformats.org/officeDocument/2006/relationships/comments" Target="../comments13.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5.bin"/><Relationship Id="rId4" Type="http://schemas.openxmlformats.org/officeDocument/2006/relationships/comments" Target="../comments14.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4:M35"/>
  <sheetViews>
    <sheetView showGridLines="0" zoomScaleNormal="100" workbookViewId="0">
      <selection activeCell="B44" sqref="B44"/>
    </sheetView>
  </sheetViews>
  <sheetFormatPr defaultRowHeight="14.4"/>
  <cols>
    <col min="1" max="1" width="9.6640625" customWidth="1"/>
    <col min="2" max="2" width="9" bestFit="1" customWidth="1"/>
    <col min="3" max="3" width="10.33203125" bestFit="1" customWidth="1"/>
    <col min="4" max="4" width="11.109375" bestFit="1" customWidth="1"/>
  </cols>
  <sheetData>
    <row r="4" spans="1:13">
      <c r="A4" s="2558" t="s">
        <v>0</v>
      </c>
      <c r="B4" s="2558"/>
      <c r="C4" s="2558"/>
      <c r="D4" s="2558"/>
      <c r="E4" s="2558"/>
      <c r="F4" s="2558"/>
      <c r="G4" s="2558"/>
      <c r="H4" s="2558"/>
      <c r="I4" s="2558"/>
      <c r="J4" s="2558"/>
      <c r="K4" s="2558"/>
      <c r="L4" s="2558"/>
      <c r="M4" s="2558"/>
    </row>
    <row r="5" spans="1:13">
      <c r="B5" s="92"/>
    </row>
    <row r="6" spans="1:13">
      <c r="B6" s="466" t="s">
        <v>1</v>
      </c>
    </row>
    <row r="7" spans="1:13">
      <c r="B7" s="468" t="e">
        <f ca="1">B35</f>
        <v>#REF!</v>
      </c>
    </row>
    <row r="28" spans="1:4">
      <c r="A28" t="s">
        <v>2</v>
      </c>
    </row>
    <row r="29" spans="1:4">
      <c r="A29" t="s">
        <v>3</v>
      </c>
      <c r="B29" s="92" t="s">
        <v>4</v>
      </c>
      <c r="C29" s="92" t="s">
        <v>5</v>
      </c>
      <c r="D29" s="92" t="s">
        <v>6</v>
      </c>
    </row>
    <row r="30" spans="1:4">
      <c r="A30" t="str">
        <f>'Summary TCM'!C11</f>
        <v>PAMA</v>
      </c>
      <c r="B30">
        <f ca="1">'Summary TCM'!E11</f>
        <v>88536</v>
      </c>
      <c r="C30" s="467">
        <f ca="1">'Summary TCM'!F11/31</f>
        <v>106290.32258064517</v>
      </c>
      <c r="D30" s="467">
        <f ca="1">'Summary TCM'!G11/31</f>
        <v>79032.258064516136</v>
      </c>
    </row>
    <row r="31" spans="1:4">
      <c r="A31" t="e">
        <f>'Summary TCM'!#REF!</f>
        <v>#REF!</v>
      </c>
      <c r="B31" t="e">
        <f>'Summary TCM'!#REF!</f>
        <v>#REF!</v>
      </c>
      <c r="C31" s="467" t="e">
        <f>'Summary TCM'!#REF!/31</f>
        <v>#REF!</v>
      </c>
      <c r="D31" s="467" t="e">
        <f>'Summary TCM'!#REF!/31</f>
        <v>#REF!</v>
      </c>
    </row>
    <row r="32" spans="1:4">
      <c r="A32" t="str">
        <f>'Summary TCM'!C12</f>
        <v>MAP</v>
      </c>
      <c r="B32">
        <f ca="1">'Summary TCM'!E12</f>
        <v>35470</v>
      </c>
      <c r="C32" s="467">
        <f ca="1">'Summary TCM'!F12/31</f>
        <v>32580.645161290322</v>
      </c>
      <c r="D32" s="467">
        <f ca="1">'Summary TCM'!G12/31</f>
        <v>29032.258064516129</v>
      </c>
    </row>
    <row r="33" spans="1:4">
      <c r="A33" t="e">
        <f>'Summary TCM'!#REF!</f>
        <v>#REF!</v>
      </c>
      <c r="B33" t="e">
        <f>'Summary TCM'!#REF!</f>
        <v>#REF!</v>
      </c>
      <c r="C33" s="467" t="e">
        <f>'Summary TCM'!#REF!/31</f>
        <v>#REF!</v>
      </c>
      <c r="D33" s="467" t="e">
        <f>'Summary TCM'!#REF!/31</f>
        <v>#REF!</v>
      </c>
    </row>
    <row r="34" spans="1:4">
      <c r="A34" t="str">
        <f>'Summary TCM'!C125</f>
        <v>PJPN</v>
      </c>
      <c r="B34">
        <f ca="1">'Summary TCM'!E122</f>
        <v>20096</v>
      </c>
      <c r="C34" s="467">
        <f ca="1">'Summary TCM'!F122/31</f>
        <v>23225.806451612902</v>
      </c>
      <c r="D34" s="467">
        <f ca="1">'Summary TCM'!G122/31</f>
        <v>16129.032258064517</v>
      </c>
    </row>
    <row r="35" spans="1:4">
      <c r="A35" s="39" t="s">
        <v>7</v>
      </c>
      <c r="B35" s="467" t="e">
        <f ca="1">SUM(B30:B34)</f>
        <v>#REF!</v>
      </c>
      <c r="C35" s="1" t="e">
        <f ca="1">SUM(C30:C34)</f>
        <v>#REF!</v>
      </c>
      <c r="D35" s="1" t="e">
        <f ca="1">SUM(D30:D34)</f>
        <v>#REF!</v>
      </c>
    </row>
  </sheetData>
  <mergeCells count="1">
    <mergeCell ref="A4:M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C7:M20"/>
  <sheetViews>
    <sheetView workbookViewId="0">
      <selection activeCell="E13" sqref="E13"/>
    </sheetView>
  </sheetViews>
  <sheetFormatPr defaultRowHeight="14.4"/>
  <cols>
    <col min="3" max="3" width="18" customWidth="1"/>
    <col min="4" max="13" width="13" customWidth="1"/>
  </cols>
  <sheetData>
    <row r="7" spans="3:13" ht="21">
      <c r="C7" s="1381">
        <v>45047.454896180556</v>
      </c>
      <c r="D7" s="2559" t="s">
        <v>8</v>
      </c>
      <c r="E7" s="2560"/>
      <c r="F7" s="2560"/>
      <c r="G7" s="2559" t="s">
        <v>9</v>
      </c>
      <c r="H7" s="2561"/>
      <c r="I7" s="2562" t="s">
        <v>10</v>
      </c>
      <c r="J7" s="2563"/>
      <c r="K7" s="2563"/>
      <c r="L7" s="2564" t="s">
        <v>9</v>
      </c>
      <c r="M7" s="2565"/>
    </row>
    <row r="8" spans="3:13">
      <c r="C8" s="888"/>
      <c r="D8" s="889" t="s">
        <v>11</v>
      </c>
      <c r="E8" s="889" t="s">
        <v>12</v>
      </c>
      <c r="F8" s="890" t="s">
        <v>13</v>
      </c>
      <c r="G8" s="889" t="s">
        <v>14</v>
      </c>
      <c r="H8" s="891" t="s">
        <v>15</v>
      </c>
      <c r="I8" s="892" t="s">
        <v>11</v>
      </c>
      <c r="J8" s="893" t="s">
        <v>12</v>
      </c>
      <c r="K8" s="894" t="s">
        <v>13</v>
      </c>
      <c r="L8" s="893" t="s">
        <v>14</v>
      </c>
      <c r="M8" s="893" t="s">
        <v>15</v>
      </c>
    </row>
    <row r="10" spans="3:13">
      <c r="C10" s="895" t="s">
        <v>3</v>
      </c>
      <c r="D10" s="896"/>
      <c r="E10" s="896"/>
      <c r="F10" s="897"/>
      <c r="G10" s="898"/>
      <c r="H10" s="899"/>
      <c r="I10" s="900"/>
      <c r="J10" s="896"/>
      <c r="K10" s="897"/>
      <c r="L10" s="898"/>
      <c r="M10" s="898"/>
    </row>
    <row r="11" spans="3:13">
      <c r="C11" s="930" t="s">
        <v>16</v>
      </c>
      <c r="D11" s="901"/>
      <c r="E11" s="901"/>
      <c r="F11" s="902"/>
      <c r="G11" s="903"/>
      <c r="H11" s="904"/>
      <c r="I11" s="905"/>
      <c r="J11" s="901"/>
      <c r="K11" s="902"/>
      <c r="L11" s="903"/>
      <c r="M11" s="903"/>
    </row>
    <row r="12" spans="3:13">
      <c r="C12" s="931" t="s">
        <v>17</v>
      </c>
      <c r="D12" s="906"/>
      <c r="E12" s="906"/>
      <c r="F12" s="907"/>
      <c r="G12" s="908"/>
      <c r="H12" s="909"/>
      <c r="I12" s="910"/>
      <c r="J12" s="906"/>
      <c r="K12" s="907"/>
      <c r="L12" s="908"/>
      <c r="M12" s="908"/>
    </row>
    <row r="13" spans="3:13">
      <c r="C13" s="932" t="s">
        <v>18</v>
      </c>
      <c r="D13" s="911"/>
      <c r="E13" s="911"/>
      <c r="F13" s="912"/>
      <c r="G13" s="913"/>
      <c r="H13" s="914"/>
      <c r="I13" s="915"/>
      <c r="J13" s="911"/>
      <c r="K13" s="912"/>
      <c r="L13" s="913"/>
      <c r="M13" s="913"/>
    </row>
    <row r="14" spans="3:13">
      <c r="C14" s="933" t="s">
        <v>19</v>
      </c>
      <c r="D14" s="916"/>
      <c r="E14" s="916"/>
      <c r="F14" s="459"/>
      <c r="G14" s="459"/>
      <c r="H14" s="459"/>
      <c r="I14" s="917"/>
      <c r="J14" s="916"/>
      <c r="K14" s="459"/>
      <c r="L14" s="918"/>
      <c r="M14" s="459"/>
    </row>
    <row r="15" spans="3:13">
      <c r="D15" s="916"/>
      <c r="E15" s="916"/>
      <c r="F15" s="459"/>
      <c r="G15" s="459"/>
      <c r="H15" s="459"/>
      <c r="I15" s="917"/>
      <c r="J15" s="916"/>
      <c r="K15" s="459"/>
      <c r="L15" s="459"/>
      <c r="M15" s="459"/>
    </row>
    <row r="16" spans="3:13">
      <c r="C16" s="895" t="s">
        <v>20</v>
      </c>
      <c r="D16" s="896"/>
      <c r="E16" s="896"/>
      <c r="F16" s="897"/>
      <c r="G16" s="898"/>
      <c r="H16" s="899"/>
      <c r="I16" s="900"/>
      <c r="J16" s="896"/>
      <c r="K16" s="897"/>
      <c r="L16" s="898"/>
      <c r="M16" s="898"/>
    </row>
    <row r="17" spans="3:13">
      <c r="C17" s="930" t="s">
        <v>16</v>
      </c>
      <c r="D17" s="901"/>
      <c r="E17" s="919"/>
      <c r="F17" s="902"/>
      <c r="G17" s="903"/>
      <c r="H17" s="904"/>
      <c r="I17" s="905"/>
      <c r="J17" s="901"/>
      <c r="K17" s="902"/>
      <c r="L17" s="903"/>
      <c r="M17" s="903"/>
    </row>
    <row r="18" spans="3:13">
      <c r="C18" s="931" t="s">
        <v>17</v>
      </c>
      <c r="D18" s="920"/>
      <c r="E18" s="920"/>
      <c r="F18" s="921"/>
      <c r="G18" s="922"/>
      <c r="H18" s="923"/>
      <c r="I18" s="924"/>
      <c r="J18" s="920"/>
      <c r="K18" s="921"/>
      <c r="L18" s="922"/>
      <c r="M18" s="922"/>
    </row>
    <row r="19" spans="3:13">
      <c r="C19" s="932" t="s">
        <v>18</v>
      </c>
      <c r="D19" s="925"/>
      <c r="E19" s="925"/>
      <c r="F19" s="926"/>
      <c r="G19" s="927"/>
      <c r="H19" s="928"/>
      <c r="I19" s="929"/>
      <c r="J19" s="925"/>
      <c r="K19" s="926"/>
      <c r="L19" s="927"/>
      <c r="M19" s="927"/>
    </row>
    <row r="20" spans="3:13">
      <c r="C20" s="934" t="s">
        <v>19</v>
      </c>
    </row>
  </sheetData>
  <mergeCells count="4">
    <mergeCell ref="D7:F7"/>
    <mergeCell ref="G7:H7"/>
    <mergeCell ref="I7:K7"/>
    <mergeCell ref="L7:M7"/>
  </mergeCells>
  <conditionalFormatting sqref="G10:H19 L10:M19">
    <cfRule type="iconSet" priority="1">
      <iconSet iconSet="3Symbols">
        <cfvo type="percent" val="0"/>
        <cfvo type="num" val="0.75"/>
        <cfvo type="num" val="0.95"/>
      </iconSet>
    </cfRule>
  </conditionalFormatting>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66FF66"/>
  </sheetPr>
  <dimension ref="A2:AO207"/>
  <sheetViews>
    <sheetView showGridLines="0" zoomScale="40" zoomScaleNormal="40" workbookViewId="0">
      <selection activeCell="W45" sqref="W45"/>
    </sheetView>
  </sheetViews>
  <sheetFormatPr defaultColWidth="8.88671875" defaultRowHeight="17.399999999999999"/>
  <cols>
    <col min="1" max="1" width="10.44140625" style="174" customWidth="1"/>
    <col min="2" max="2" width="8.88671875" style="174"/>
    <col min="3" max="3" width="11.109375" style="174" customWidth="1"/>
    <col min="4" max="4" width="8.88671875" style="174"/>
    <col min="5" max="5" width="25.6640625" style="174" customWidth="1"/>
    <col min="6" max="6" width="24.6640625" style="174" customWidth="1"/>
    <col min="7" max="7" width="25.33203125" style="174" customWidth="1"/>
    <col min="8" max="8" width="36.6640625" style="174" customWidth="1"/>
    <col min="9" max="9" width="34.33203125" style="174" customWidth="1"/>
    <col min="10" max="10" width="34.5546875" style="174" customWidth="1"/>
    <col min="11" max="11" width="22.5546875" style="174" customWidth="1"/>
    <col min="12" max="13" width="18.44140625" style="174" customWidth="1"/>
    <col min="14" max="14" width="15.5546875" style="174" customWidth="1"/>
    <col min="15" max="15" width="16" style="174" customWidth="1"/>
    <col min="16" max="16" width="17.44140625" style="174" customWidth="1"/>
    <col min="17" max="17" width="25.6640625" style="174" customWidth="1"/>
    <col min="18" max="18" width="36.33203125" style="174" customWidth="1"/>
    <col min="19" max="21" width="17.6640625" style="174" customWidth="1"/>
    <col min="22" max="22" width="20.33203125" style="174" customWidth="1"/>
    <col min="23" max="24" width="18.33203125" style="174" bestFit="1" customWidth="1"/>
    <col min="25" max="25" width="19.6640625" style="174" customWidth="1"/>
    <col min="26" max="26" width="8.88671875" style="174" customWidth="1"/>
    <col min="27" max="27" width="10.109375" style="174" customWidth="1"/>
    <col min="28" max="28" width="11.6640625" style="174" customWidth="1"/>
    <col min="29" max="29" width="22.33203125" style="174" customWidth="1"/>
    <col min="30" max="30" width="30.88671875" style="174" bestFit="1" customWidth="1"/>
    <col min="31" max="31" width="20.6640625" style="174" bestFit="1" customWidth="1"/>
    <col min="32" max="32" width="25.6640625" style="174" customWidth="1"/>
    <col min="33" max="33" width="17.88671875" style="174" customWidth="1"/>
    <col min="34" max="34" width="16" style="174" customWidth="1"/>
    <col min="35" max="35" width="10" style="174" bestFit="1" customWidth="1"/>
    <col min="36" max="36" width="3.6640625" style="174" customWidth="1"/>
    <col min="37" max="37" width="12.88671875" style="174" customWidth="1"/>
    <col min="38" max="16384" width="8.88671875" style="174"/>
  </cols>
  <sheetData>
    <row r="2" spans="1:36" ht="18" thickBot="1">
      <c r="D2" s="178"/>
    </row>
    <row r="3" spans="1:36" ht="17.399999999999999" customHeight="1">
      <c r="D3" s="2579"/>
      <c r="E3" s="2580"/>
      <c r="F3" s="2580"/>
      <c r="G3" s="2580"/>
      <c r="H3" s="2580"/>
      <c r="I3" s="2580"/>
      <c r="J3" s="2580"/>
      <c r="K3" s="2580"/>
      <c r="L3" s="2580"/>
      <c r="M3" s="2580"/>
      <c r="N3" s="2580"/>
      <c r="O3" s="2580"/>
      <c r="P3" s="2580"/>
      <c r="Q3" s="2580"/>
      <c r="R3" s="2580"/>
      <c r="S3" s="2580"/>
      <c r="T3" s="2580"/>
      <c r="U3" s="2580"/>
      <c r="V3" s="2580"/>
      <c r="W3" s="2580"/>
      <c r="X3" s="2580"/>
      <c r="Y3" s="2580"/>
      <c r="Z3" s="2580"/>
      <c r="AA3" s="2580"/>
      <c r="AB3" s="2580"/>
      <c r="AC3" s="2580"/>
      <c r="AD3" s="2580"/>
      <c r="AE3" s="2580"/>
      <c r="AF3" s="2580"/>
      <c r="AG3" s="2580"/>
      <c r="AH3" s="2580"/>
      <c r="AI3" s="2580"/>
      <c r="AJ3" s="2581"/>
    </row>
    <row r="4" spans="1:36" ht="17.399999999999999" customHeight="1">
      <c r="D4" s="2582"/>
      <c r="E4" s="2583"/>
      <c r="F4" s="2583"/>
      <c r="G4" s="2583"/>
      <c r="H4" s="2583"/>
      <c r="I4" s="2583"/>
      <c r="J4" s="2583"/>
      <c r="K4" s="2583"/>
      <c r="L4" s="2583"/>
      <c r="M4" s="2583"/>
      <c r="N4" s="2583"/>
      <c r="O4" s="2583"/>
      <c r="P4" s="2583"/>
      <c r="Q4" s="2583"/>
      <c r="R4" s="2583"/>
      <c r="S4" s="2583"/>
      <c r="T4" s="2583"/>
      <c r="U4" s="2583"/>
      <c r="V4" s="2583"/>
      <c r="W4" s="2583"/>
      <c r="X4" s="2583"/>
      <c r="Y4" s="2583"/>
      <c r="Z4" s="2583"/>
      <c r="AA4" s="2583"/>
      <c r="AB4" s="2583"/>
      <c r="AC4" s="2583"/>
      <c r="AD4" s="2583"/>
      <c r="AE4" s="2583"/>
      <c r="AF4" s="2583"/>
      <c r="AG4" s="2583"/>
      <c r="AH4" s="2583"/>
      <c r="AI4" s="2583"/>
      <c r="AJ4" s="2584"/>
    </row>
    <row r="5" spans="1:36" ht="31.2" customHeight="1" thickBot="1">
      <c r="D5" s="2582"/>
      <c r="E5" s="2583"/>
      <c r="F5" s="2583"/>
      <c r="G5" s="2583"/>
      <c r="H5" s="2583"/>
      <c r="I5" s="2583"/>
      <c r="J5" s="2583"/>
      <c r="K5" s="2583"/>
      <c r="L5" s="2583"/>
      <c r="M5" s="2583"/>
      <c r="N5" s="2583"/>
      <c r="O5" s="2583"/>
      <c r="P5" s="2583"/>
      <c r="Q5" s="2583"/>
      <c r="R5" s="2583"/>
      <c r="S5" s="2583"/>
      <c r="T5" s="2583"/>
      <c r="U5" s="2583"/>
      <c r="V5" s="2583"/>
      <c r="W5" s="2583"/>
      <c r="X5" s="2583"/>
      <c r="Y5" s="2583"/>
      <c r="Z5" s="2583"/>
      <c r="AA5" s="2583"/>
      <c r="AB5" s="2583"/>
      <c r="AC5" s="2583"/>
      <c r="AD5" s="2583"/>
      <c r="AE5" s="2583"/>
      <c r="AF5" s="2583"/>
      <c r="AG5" s="2583"/>
      <c r="AH5" s="2583"/>
      <c r="AI5" s="2583"/>
      <c r="AJ5" s="2584"/>
    </row>
    <row r="6" spans="1:36" ht="21">
      <c r="D6" s="175"/>
      <c r="E6" s="732"/>
      <c r="F6" s="732"/>
      <c r="G6" s="732"/>
      <c r="H6" s="732"/>
      <c r="I6" s="732"/>
      <c r="J6" s="732"/>
      <c r="K6" s="732"/>
      <c r="L6" s="732"/>
      <c r="M6" s="732"/>
      <c r="N6" s="732"/>
      <c r="O6" s="732"/>
      <c r="P6" s="732"/>
      <c r="Q6" s="732"/>
      <c r="R6" s="732"/>
      <c r="S6" s="732"/>
      <c r="T6" s="732"/>
      <c r="U6" s="732"/>
      <c r="V6" s="732"/>
      <c r="W6" s="732"/>
      <c r="X6" s="732"/>
      <c r="Y6" s="732"/>
      <c r="Z6" s="732"/>
      <c r="AA6" s="732"/>
      <c r="AB6" s="732"/>
      <c r="AC6" s="2588" t="s">
        <v>21</v>
      </c>
      <c r="AD6" s="2589"/>
      <c r="AE6" s="2590"/>
      <c r="AF6" s="733"/>
      <c r="AG6" s="732"/>
      <c r="AH6" s="732"/>
      <c r="AI6" s="648"/>
      <c r="AJ6" s="734"/>
    </row>
    <row r="7" spans="1:36" ht="21.6" thickBot="1">
      <c r="D7" s="175"/>
      <c r="E7" s="732"/>
      <c r="F7" s="732"/>
      <c r="G7" s="732"/>
      <c r="H7" s="732"/>
      <c r="I7" s="732"/>
      <c r="J7" s="732"/>
      <c r="K7" s="732"/>
      <c r="L7" s="732"/>
      <c r="M7" s="732"/>
      <c r="N7" s="732"/>
      <c r="O7" s="732"/>
      <c r="P7" s="732"/>
      <c r="Q7" s="732"/>
      <c r="R7" s="732"/>
      <c r="S7" s="732"/>
      <c r="T7" s="732"/>
      <c r="U7" s="732"/>
      <c r="V7" s="732"/>
      <c r="W7" s="732"/>
      <c r="X7" s="732"/>
      <c r="Y7" s="732"/>
      <c r="Z7" s="732"/>
      <c r="AA7" s="732"/>
      <c r="AB7" s="732"/>
      <c r="AC7" s="2591" t="str">
        <f ca="1">+'Summary TCM'!F2</f>
        <v>September</v>
      </c>
      <c r="AD7" s="2592"/>
      <c r="AE7" s="735">
        <f ca="1">TODAY()-1</f>
        <v>46272</v>
      </c>
      <c r="AF7" s="736">
        <v>10</v>
      </c>
      <c r="AG7" s="732"/>
      <c r="AH7" s="732"/>
      <c r="AI7" s="648"/>
      <c r="AJ7" s="734"/>
    </row>
    <row r="8" spans="1:36" ht="21">
      <c r="A8" s="465">
        <f ca="1">'Summary TCM'!A8</f>
        <v>0.23333333333333334</v>
      </c>
      <c r="D8" s="175"/>
      <c r="E8" s="732"/>
      <c r="F8" s="732"/>
      <c r="G8" s="732"/>
      <c r="H8" s="732"/>
      <c r="I8" s="732"/>
      <c r="J8" s="732"/>
      <c r="K8" s="732"/>
      <c r="L8" s="732"/>
      <c r="M8" s="732"/>
      <c r="N8" s="732"/>
      <c r="O8" s="732"/>
      <c r="P8" s="732"/>
      <c r="Q8" s="732"/>
      <c r="R8" s="732"/>
      <c r="S8" s="732"/>
      <c r="T8" s="732"/>
      <c r="U8" s="732"/>
      <c r="V8" s="732"/>
      <c r="W8" s="732"/>
      <c r="X8" s="732"/>
      <c r="Y8" s="648"/>
      <c r="Z8" s="648"/>
      <c r="AA8" s="648"/>
      <c r="AB8" s="732"/>
      <c r="AC8" s="732"/>
      <c r="AD8" s="732"/>
      <c r="AE8" s="732"/>
      <c r="AF8" s="732"/>
      <c r="AG8" s="732"/>
      <c r="AH8" s="732"/>
      <c r="AI8" s="648"/>
      <c r="AJ8" s="734"/>
    </row>
    <row r="9" spans="1:36" ht="21">
      <c r="A9" s="465">
        <f ca="1">'Summary TCM'!A9</f>
        <v>0.13333333333333333</v>
      </c>
      <c r="D9" s="175"/>
      <c r="E9" s="732"/>
      <c r="F9" s="732"/>
      <c r="G9" s="732"/>
      <c r="H9" s="732"/>
      <c r="I9" s="732"/>
      <c r="J9" s="732"/>
      <c r="K9" s="732"/>
      <c r="L9" s="732"/>
      <c r="M9" s="732"/>
      <c r="N9" s="732"/>
      <c r="O9" s="732"/>
      <c r="P9" s="732"/>
      <c r="Q9" s="732"/>
      <c r="R9" s="732"/>
      <c r="S9" s="732"/>
      <c r="T9" s="732"/>
      <c r="U9" s="732"/>
      <c r="V9" s="732"/>
      <c r="W9" s="732"/>
      <c r="X9" s="732"/>
      <c r="Y9" s="648"/>
      <c r="Z9" s="648"/>
      <c r="AA9" s="648"/>
      <c r="AB9" s="732"/>
      <c r="AC9" s="737" t="s">
        <v>22</v>
      </c>
      <c r="AD9" s="738" t="s">
        <v>23</v>
      </c>
      <c r="AE9" s="739" t="s">
        <v>24</v>
      </c>
      <c r="AF9" s="740" t="s">
        <v>25</v>
      </c>
      <c r="AG9" s="732"/>
      <c r="AH9" s="732"/>
      <c r="AI9" s="648"/>
      <c r="AJ9" s="734"/>
    </row>
    <row r="10" spans="1:36" ht="21">
      <c r="D10" s="175"/>
      <c r="E10" s="732"/>
      <c r="F10" s="732"/>
      <c r="G10" s="732"/>
      <c r="H10" s="732"/>
      <c r="I10" s="732"/>
      <c r="J10" s="732"/>
      <c r="K10" s="732"/>
      <c r="L10" s="732"/>
      <c r="M10" s="732"/>
      <c r="N10" s="732"/>
      <c r="O10" s="732"/>
      <c r="P10" s="732"/>
      <c r="Q10" s="732"/>
      <c r="R10" s="732"/>
      <c r="S10" s="732"/>
      <c r="T10" s="732"/>
      <c r="U10" s="732"/>
      <c r="V10" s="732"/>
      <c r="W10" s="732"/>
      <c r="X10" s="732"/>
      <c r="Y10" s="648"/>
      <c r="Z10" s="648"/>
      <c r="AA10" s="648"/>
      <c r="AB10" s="732"/>
      <c r="AC10" s="661" t="s">
        <v>26</v>
      </c>
      <c r="AD10" s="660">
        <f ca="1">+'Summary TCM'!K29</f>
        <v>3075000</v>
      </c>
      <c r="AE10" s="661"/>
      <c r="AF10" s="741"/>
      <c r="AG10" s="732"/>
      <c r="AH10" s="732"/>
      <c r="AI10" s="648"/>
      <c r="AJ10" s="734"/>
    </row>
    <row r="11" spans="1:36" ht="21">
      <c r="D11" s="175"/>
      <c r="E11" s="733"/>
      <c r="F11" s="733"/>
      <c r="G11" s="733"/>
      <c r="H11" s="733"/>
      <c r="I11" s="733"/>
      <c r="J11" s="733"/>
      <c r="K11" s="733"/>
      <c r="L11" s="733"/>
      <c r="M11" s="733"/>
      <c r="N11" s="733"/>
      <c r="O11" s="733"/>
      <c r="P11" s="733"/>
      <c r="Q11" s="733"/>
      <c r="R11" s="733"/>
      <c r="S11" s="733"/>
      <c r="T11" s="733"/>
      <c r="U11" s="733"/>
      <c r="V11" s="733"/>
      <c r="W11" s="733"/>
      <c r="X11" s="733"/>
      <c r="Y11" s="648"/>
      <c r="Z11" s="648"/>
      <c r="AA11" s="648"/>
      <c r="AB11" s="648"/>
      <c r="AC11" s="661" t="s">
        <v>27</v>
      </c>
      <c r="AD11" s="660">
        <f ca="1">+'Summary TCM'!L29</f>
        <v>2469984.13</v>
      </c>
      <c r="AE11" s="661"/>
      <c r="AF11" s="661"/>
      <c r="AG11" s="648"/>
      <c r="AH11" s="648"/>
      <c r="AI11" s="648"/>
      <c r="AJ11" s="734"/>
    </row>
    <row r="12" spans="1:36" ht="21">
      <c r="D12" s="175"/>
      <c r="E12" s="733"/>
      <c r="F12" s="733"/>
      <c r="G12" s="733"/>
      <c r="H12" s="733"/>
      <c r="I12" s="733"/>
      <c r="J12" s="733"/>
      <c r="K12" s="733"/>
      <c r="L12" s="733"/>
      <c r="M12" s="733"/>
      <c r="N12" s="733"/>
      <c r="O12" s="733"/>
      <c r="P12" s="733"/>
      <c r="Q12" s="733"/>
      <c r="R12" s="733"/>
      <c r="S12" s="733"/>
      <c r="T12" s="733"/>
      <c r="U12" s="733"/>
      <c r="V12" s="733"/>
      <c r="W12" s="733"/>
      <c r="X12" s="733"/>
      <c r="Y12" s="648"/>
      <c r="Z12" s="648"/>
      <c r="AA12" s="648"/>
      <c r="AB12" s="648"/>
      <c r="AC12" s="662" t="s">
        <v>10</v>
      </c>
      <c r="AD12" s="660">
        <f ca="1">+'Summary TCM'!M29</f>
        <v>2249549.8899999997</v>
      </c>
      <c r="AE12" s="661"/>
      <c r="AF12" s="661"/>
      <c r="AG12" s="648"/>
      <c r="AH12" s="648"/>
      <c r="AI12" s="648"/>
      <c r="AJ12" s="734"/>
    </row>
    <row r="13" spans="1:36" ht="20.399999999999999">
      <c r="D13" s="175"/>
      <c r="E13" s="648"/>
      <c r="F13" s="648"/>
      <c r="G13" s="648"/>
      <c r="H13" s="648"/>
      <c r="I13" s="648"/>
      <c r="J13" s="648"/>
      <c r="K13" s="648"/>
      <c r="L13" s="648"/>
      <c r="M13" s="648"/>
      <c r="N13" s="648"/>
      <c r="O13" s="648"/>
      <c r="P13" s="648"/>
      <c r="Q13" s="648"/>
      <c r="R13" s="648"/>
      <c r="S13" s="648"/>
      <c r="T13" s="648"/>
      <c r="U13" s="648"/>
      <c r="V13" s="648"/>
      <c r="W13" s="648"/>
      <c r="X13" s="648"/>
      <c r="Y13" s="648"/>
      <c r="Z13" s="648"/>
      <c r="AA13" s="648"/>
      <c r="AB13" s="648"/>
      <c r="AC13" s="661" t="s">
        <v>28</v>
      </c>
      <c r="AD13" s="660">
        <f ca="1">+'Summary TCM'!F29</f>
        <v>360000</v>
      </c>
      <c r="AE13" s="661"/>
      <c r="AF13" s="661"/>
      <c r="AG13" s="648"/>
      <c r="AH13" s="648"/>
      <c r="AI13" s="648"/>
      <c r="AJ13" s="734"/>
    </row>
    <row r="14" spans="1:36" ht="20.399999999999999">
      <c r="D14" s="175"/>
      <c r="E14" s="648"/>
      <c r="F14" s="648"/>
      <c r="G14" s="648"/>
      <c r="H14" s="648"/>
      <c r="I14" s="648"/>
      <c r="J14" s="648"/>
      <c r="K14" s="648"/>
      <c r="L14" s="648"/>
      <c r="M14" s="648"/>
      <c r="N14" s="648"/>
      <c r="O14" s="648"/>
      <c r="P14" s="648"/>
      <c r="Q14" s="648"/>
      <c r="R14" s="648"/>
      <c r="S14" s="648"/>
      <c r="T14" s="648"/>
      <c r="U14" s="648"/>
      <c r="V14" s="648"/>
      <c r="W14" s="648"/>
      <c r="X14" s="648"/>
      <c r="Y14" s="648"/>
      <c r="Z14" s="648"/>
      <c r="AA14" s="648"/>
      <c r="AB14" s="648"/>
      <c r="AC14" s="661" t="s">
        <v>29</v>
      </c>
      <c r="AD14" s="660">
        <f ca="1">+'Summary TCM'!G29</f>
        <v>270000</v>
      </c>
      <c r="AE14" s="661"/>
      <c r="AF14" s="661"/>
      <c r="AG14" s="648"/>
      <c r="AH14" s="648"/>
      <c r="AI14" s="648"/>
      <c r="AJ14" s="734"/>
    </row>
    <row r="15" spans="1:36" ht="21">
      <c r="D15" s="175"/>
      <c r="E15" s="648"/>
      <c r="F15" s="648"/>
      <c r="G15" s="648"/>
      <c r="H15" s="648"/>
      <c r="I15" s="648"/>
      <c r="J15" s="648"/>
      <c r="K15" s="648"/>
      <c r="L15" s="648"/>
      <c r="M15" s="648"/>
      <c r="N15" s="648"/>
      <c r="O15" s="648"/>
      <c r="P15" s="648"/>
      <c r="Q15" s="2604" t="s">
        <v>30</v>
      </c>
      <c r="R15" s="2604"/>
      <c r="S15" s="2604"/>
      <c r="T15" s="742" t="s">
        <v>31</v>
      </c>
      <c r="U15" s="743"/>
      <c r="V15" s="744"/>
      <c r="W15" s="648"/>
      <c r="X15" s="648"/>
      <c r="Y15" s="648"/>
      <c r="Z15" s="648"/>
      <c r="AA15" s="648"/>
      <c r="AB15" s="648"/>
      <c r="AC15" s="662" t="s">
        <v>8</v>
      </c>
      <c r="AD15" s="660">
        <f>+'Summary TCM'!H29</f>
        <v>49565.759999999995</v>
      </c>
      <c r="AE15" s="661">
        <f ca="1">+AD15/AD13</f>
        <v>0.13768266666666665</v>
      </c>
      <c r="AF15" s="661">
        <f ca="1">+AD15/AD14</f>
        <v>0.18357688888888887</v>
      </c>
      <c r="AG15" s="648"/>
      <c r="AH15" s="648"/>
      <c r="AI15" s="648"/>
      <c r="AJ15" s="734"/>
    </row>
    <row r="16" spans="1:36" ht="21">
      <c r="D16" s="175"/>
      <c r="E16" s="644" t="s">
        <v>13</v>
      </c>
      <c r="F16" s="645" t="s">
        <v>2</v>
      </c>
      <c r="G16" s="2602" t="s">
        <v>8</v>
      </c>
      <c r="H16" s="2603"/>
      <c r="I16" s="1337"/>
      <c r="J16" s="647"/>
      <c r="K16" s="647"/>
      <c r="L16" s="647"/>
      <c r="M16" s="648"/>
      <c r="N16" s="648"/>
      <c r="O16" s="648"/>
      <c r="P16" s="648"/>
      <c r="Q16" s="745" t="s">
        <v>32</v>
      </c>
      <c r="R16" s="746" t="s">
        <v>23</v>
      </c>
      <c r="S16" s="746" t="s">
        <v>33</v>
      </c>
      <c r="T16" s="747"/>
      <c r="U16" s="748"/>
      <c r="V16" s="744"/>
      <c r="W16" s="648"/>
      <c r="X16" s="648"/>
      <c r="Y16" s="648"/>
      <c r="Z16" s="648"/>
      <c r="AA16" s="648"/>
      <c r="AB16" s="648"/>
      <c r="AC16" s="662" t="s">
        <v>34</v>
      </c>
      <c r="AD16" s="660">
        <f>'Summary TCM'!AS57</f>
        <v>685563.46000000008</v>
      </c>
      <c r="AE16" s="661"/>
      <c r="AF16" s="661"/>
      <c r="AG16" s="648"/>
      <c r="AH16" s="648"/>
      <c r="AI16" s="648"/>
      <c r="AJ16" s="734"/>
    </row>
    <row r="17" spans="1:36" ht="21">
      <c r="D17" s="175"/>
      <c r="E17" s="649" t="s">
        <v>35</v>
      </c>
      <c r="F17" s="650" t="str">
        <f ca="1">'Summary TCM'!E119</f>
        <v>0mm/0h/0%</v>
      </c>
      <c r="G17" s="2586" t="str">
        <f ca="1">'Summary TCM'!H119</f>
        <v>0mm/0h/0%</v>
      </c>
      <c r="H17" s="2587"/>
      <c r="I17" s="651"/>
      <c r="J17" s="651"/>
      <c r="K17" s="651"/>
      <c r="L17" s="651"/>
      <c r="M17" s="648"/>
      <c r="N17" s="648"/>
      <c r="O17" s="648"/>
      <c r="P17" s="648"/>
      <c r="Q17" s="661" t="s">
        <v>29</v>
      </c>
      <c r="R17" s="661"/>
      <c r="S17" s="661"/>
      <c r="T17" s="661"/>
      <c r="U17" s="648"/>
      <c r="V17" s="648"/>
      <c r="W17" s="648"/>
      <c r="X17" s="648"/>
      <c r="Y17" s="648"/>
      <c r="Z17" s="648"/>
      <c r="AA17" s="648"/>
      <c r="AB17" s="648"/>
      <c r="AC17" s="661" t="s">
        <v>2</v>
      </c>
      <c r="AD17" s="749">
        <f ca="1">'Summary TCM'!E29</f>
        <v>16810.91</v>
      </c>
      <c r="AE17" s="661"/>
      <c r="AF17" s="661"/>
      <c r="AG17" s="648"/>
      <c r="AH17" s="648"/>
      <c r="AI17" s="648"/>
      <c r="AJ17" s="734"/>
    </row>
    <row r="18" spans="1:36" ht="21">
      <c r="D18" s="175"/>
      <c r="E18" s="649" t="str">
        <f>E19</f>
        <v>SB2</v>
      </c>
      <c r="F18" s="652" t="str">
        <f ca="1">F19</f>
        <v>0mm/0h/0%</v>
      </c>
      <c r="G18" s="2587" t="str">
        <f ca="1">G19</f>
        <v>73mm/10h/6%</v>
      </c>
      <c r="H18" s="2593"/>
      <c r="I18" s="651"/>
      <c r="J18" s="651"/>
      <c r="K18" s="651"/>
      <c r="L18" s="651"/>
      <c r="M18" s="648"/>
      <c r="N18" s="648"/>
      <c r="O18" s="648"/>
      <c r="P18" s="648"/>
      <c r="Q18" s="661" t="s">
        <v>8</v>
      </c>
      <c r="R18" s="750">
        <f>'Summary TCM'!H35</f>
        <v>1949.15</v>
      </c>
      <c r="S18" s="661"/>
      <c r="T18" s="660" t="e">
        <f>MarchPQ42</f>
        <v>#NAME?</v>
      </c>
      <c r="U18" s="691"/>
      <c r="V18" s="691"/>
      <c r="W18" s="648"/>
      <c r="X18" s="648"/>
      <c r="Y18" s="648"/>
      <c r="Z18" s="648"/>
      <c r="AA18" s="648"/>
      <c r="AB18" s="648"/>
      <c r="AC18" s="661" t="s">
        <v>36</v>
      </c>
      <c r="AD18" s="751">
        <f ca="1">+'Summary TCM'!E36</f>
        <v>7369.26</v>
      </c>
      <c r="AE18" s="661"/>
      <c r="AF18" s="752"/>
      <c r="AG18" s="648"/>
      <c r="AH18" s="648"/>
      <c r="AI18" s="648"/>
      <c r="AJ18" s="734"/>
    </row>
    <row r="19" spans="1:36" ht="21">
      <c r="D19" s="175"/>
      <c r="E19" s="1339" t="s">
        <v>37</v>
      </c>
      <c r="F19" s="1340" t="str">
        <f ca="1">'Summary TCM'!E7</f>
        <v>0mm/0h/0%</v>
      </c>
      <c r="G19" s="2594" t="str">
        <f ca="1">'Summary TCM'!H7</f>
        <v>73mm/10h/6%</v>
      </c>
      <c r="H19" s="2595"/>
      <c r="I19" s="651"/>
      <c r="J19" s="651"/>
      <c r="K19" s="651"/>
      <c r="L19" s="651"/>
      <c r="M19" s="648"/>
      <c r="N19" s="648"/>
      <c r="O19" s="648"/>
      <c r="P19" s="648"/>
      <c r="Q19" s="661" t="s">
        <v>2</v>
      </c>
      <c r="R19" s="750">
        <f ca="1">'Summary TCM'!E35</f>
        <v>297.35000000000002</v>
      </c>
      <c r="S19" s="661"/>
      <c r="T19" s="661"/>
      <c r="U19" s="648"/>
      <c r="V19" s="691"/>
      <c r="W19" s="648"/>
      <c r="X19" s="648"/>
      <c r="Y19" s="648"/>
      <c r="Z19" s="648"/>
      <c r="AA19" s="648"/>
      <c r="AB19" s="648"/>
      <c r="AC19" s="753" t="s">
        <v>38</v>
      </c>
      <c r="AD19" s="754">
        <f ca="1">+'Summary TCM'!E37</f>
        <v>0</v>
      </c>
      <c r="AE19" s="677"/>
      <c r="AF19" s="661"/>
      <c r="AG19" s="648"/>
      <c r="AH19" s="648"/>
      <c r="AI19" s="648"/>
      <c r="AJ19" s="734"/>
    </row>
    <row r="20" spans="1:36" ht="21">
      <c r="D20" s="175"/>
      <c r="E20" s="1382"/>
      <c r="F20" s="1382"/>
      <c r="G20" s="2596" t="str">
        <f>+ROUND('Summary TCM'!BL130,0)&amp;"mm/"&amp;ROUND('Summary TCM'!BL131,0)&amp;"h/"&amp;ROUND('Summary TCM'!BL132*100,0)&amp;"%"</f>
        <v>0mm/0h/0%</v>
      </c>
      <c r="H20" s="2596"/>
      <c r="I20" s="709"/>
      <c r="J20" s="651"/>
      <c r="K20" s="651"/>
      <c r="L20" s="651"/>
      <c r="M20" s="648"/>
      <c r="N20" s="648"/>
      <c r="O20" s="648"/>
      <c r="P20" s="648"/>
      <c r="Q20" s="648"/>
      <c r="R20" s="648"/>
      <c r="S20" s="648"/>
      <c r="T20" s="648"/>
      <c r="U20" s="648"/>
      <c r="V20" s="648"/>
      <c r="W20" s="648"/>
      <c r="X20" s="648"/>
      <c r="Y20" s="648"/>
      <c r="Z20" s="648"/>
      <c r="AA20" s="648"/>
      <c r="AB20" s="648"/>
      <c r="AC20" s="753" t="s">
        <v>39</v>
      </c>
      <c r="AD20" s="754" t="e">
        <f>+'Summary TCM'!#REF!</f>
        <v>#REF!</v>
      </c>
      <c r="AE20" s="677"/>
      <c r="AF20" s="661"/>
      <c r="AG20" s="648"/>
      <c r="AH20" s="648"/>
      <c r="AI20" s="648"/>
      <c r="AJ20" s="734"/>
    </row>
    <row r="21" spans="1:36" ht="21">
      <c r="D21" s="175"/>
      <c r="E21" s="2611" t="s">
        <v>40</v>
      </c>
      <c r="F21" s="2612"/>
      <c r="G21" s="2597" t="str">
        <f ca="1">'Summary TCM'!F6</f>
        <v>205mm/71h/10%</v>
      </c>
      <c r="H21" s="2598"/>
      <c r="I21" s="1338"/>
      <c r="J21" s="651"/>
      <c r="K21" s="651"/>
      <c r="L21" s="651"/>
      <c r="M21" s="648"/>
      <c r="N21" s="648"/>
      <c r="O21" s="648"/>
      <c r="P21" s="648"/>
      <c r="Q21" s="648"/>
      <c r="R21" s="648"/>
      <c r="S21" s="648"/>
      <c r="T21" s="648"/>
      <c r="U21" s="648"/>
      <c r="V21" s="648"/>
      <c r="W21" s="648"/>
      <c r="X21" s="648"/>
      <c r="Y21" s="648"/>
      <c r="Z21" s="648"/>
      <c r="AA21" s="648"/>
      <c r="AB21" s="648"/>
      <c r="AC21" s="753" t="s">
        <v>41</v>
      </c>
      <c r="AD21" s="754">
        <f ca="1">+'Summary TCM'!E38</f>
        <v>0</v>
      </c>
      <c r="AE21" s="677"/>
      <c r="AF21" s="661"/>
      <c r="AG21" s="648"/>
      <c r="AH21" s="648"/>
      <c r="AI21" s="648"/>
      <c r="AJ21" s="734"/>
    </row>
    <row r="22" spans="1:36" ht="15" customHeight="1">
      <c r="D22" s="175"/>
      <c r="E22" s="648"/>
      <c r="F22" s="653"/>
      <c r="G22" s="2585"/>
      <c r="H22" s="2585"/>
      <c r="I22" s="653"/>
      <c r="J22" s="653"/>
      <c r="K22" s="653"/>
      <c r="L22" s="653"/>
      <c r="M22" s="648"/>
      <c r="N22" s="648"/>
      <c r="O22" s="648"/>
      <c r="P22" s="648"/>
      <c r="Q22" s="648"/>
      <c r="R22" s="648"/>
      <c r="S22" s="648"/>
      <c r="T22" s="648"/>
      <c r="U22" s="648"/>
      <c r="V22" s="648"/>
      <c r="W22" s="648"/>
      <c r="X22" s="648"/>
      <c r="Y22" s="648"/>
      <c r="Z22" s="648"/>
      <c r="AA22" s="648"/>
      <c r="AB22" s="648"/>
      <c r="AC22" s="753" t="s">
        <v>42</v>
      </c>
      <c r="AD22" s="754" t="e">
        <f>+'Summary TCM'!#REF!</f>
        <v>#REF!</v>
      </c>
      <c r="AE22" s="677"/>
      <c r="AF22" s="661"/>
      <c r="AG22" s="648"/>
      <c r="AH22" s="648"/>
      <c r="AI22" s="648"/>
      <c r="AJ22" s="734"/>
    </row>
    <row r="23" spans="1:36" ht="20.399999999999999">
      <c r="D23" s="175"/>
      <c r="E23" s="648"/>
      <c r="F23" s="653"/>
      <c r="G23" s="2585"/>
      <c r="H23" s="2585"/>
      <c r="I23" s="653"/>
      <c r="J23" s="653"/>
      <c r="K23" s="653"/>
      <c r="L23" s="653"/>
      <c r="M23" s="648"/>
      <c r="N23" s="648"/>
      <c r="O23" s="648"/>
      <c r="P23" s="648"/>
      <c r="Q23" s="648"/>
      <c r="R23" s="648"/>
      <c r="S23" s="648"/>
      <c r="T23" s="648"/>
      <c r="U23" s="648"/>
      <c r="V23" s="648"/>
      <c r="W23" s="648"/>
      <c r="X23" s="648"/>
      <c r="Y23" s="648"/>
      <c r="Z23" s="648"/>
      <c r="AA23" s="648"/>
      <c r="AB23" s="648"/>
      <c r="AC23" s="753" t="s">
        <v>43</v>
      </c>
      <c r="AD23" s="754">
        <f ca="1">+'Summary TCM'!E39</f>
        <v>0</v>
      </c>
      <c r="AE23" s="677"/>
      <c r="AF23" s="661"/>
      <c r="AG23" s="648"/>
      <c r="AH23" s="648"/>
      <c r="AI23" s="648"/>
      <c r="AJ23" s="734"/>
    </row>
    <row r="24" spans="1:36" ht="20.399999999999999">
      <c r="A24" s="174" t="s">
        <v>44</v>
      </c>
      <c r="D24" s="175"/>
      <c r="E24" s="648"/>
      <c r="F24" s="653"/>
      <c r="G24" s="2585"/>
      <c r="H24" s="2585"/>
      <c r="I24" s="653"/>
      <c r="J24" s="653"/>
      <c r="K24" s="653"/>
      <c r="L24" s="653"/>
      <c r="M24" s="648"/>
      <c r="N24" s="648"/>
      <c r="O24" s="648"/>
      <c r="P24" s="648"/>
      <c r="Q24" s="648"/>
      <c r="R24" s="648"/>
      <c r="S24" s="648"/>
      <c r="T24" s="648"/>
      <c r="U24" s="648"/>
      <c r="V24" s="648"/>
      <c r="W24" s="648"/>
      <c r="X24" s="648"/>
      <c r="Y24" s="648"/>
      <c r="Z24" s="648"/>
      <c r="AA24" s="648"/>
      <c r="AB24" s="648"/>
      <c r="AC24" s="753" t="s">
        <v>45</v>
      </c>
      <c r="AD24" s="754" t="e">
        <f>+'Summary TCM'!#REF!</f>
        <v>#REF!</v>
      </c>
      <c r="AE24" s="677"/>
      <c r="AF24" s="661"/>
      <c r="AG24" s="648"/>
      <c r="AH24" s="648"/>
      <c r="AI24" s="648"/>
      <c r="AJ24" s="734"/>
    </row>
    <row r="25" spans="1:36" ht="20.399999999999999">
      <c r="D25" s="175"/>
      <c r="E25" s="648"/>
      <c r="F25" s="653"/>
      <c r="G25" s="653"/>
      <c r="H25" s="653"/>
      <c r="I25" s="653"/>
      <c r="J25" s="653"/>
      <c r="K25" s="653"/>
      <c r="L25" s="653"/>
      <c r="M25" s="648"/>
      <c r="N25" s="648"/>
      <c r="O25" s="648"/>
      <c r="P25" s="648"/>
      <c r="Q25" s="648"/>
      <c r="R25" s="648"/>
      <c r="S25" s="648"/>
      <c r="T25" s="648"/>
      <c r="U25" s="648"/>
      <c r="V25" s="648"/>
      <c r="W25" s="648"/>
      <c r="X25" s="648"/>
      <c r="Y25" s="648"/>
      <c r="Z25" s="648"/>
      <c r="AA25" s="648"/>
      <c r="AB25" s="648"/>
      <c r="AC25" s="753" t="s">
        <v>46</v>
      </c>
      <c r="AD25" s="754">
        <f ca="1">+'Summary TCM'!E40</f>
        <v>2180.4699999999998</v>
      </c>
      <c r="AE25" s="677"/>
      <c r="AF25" s="661"/>
      <c r="AG25" s="648"/>
      <c r="AH25" s="648"/>
      <c r="AI25" s="648"/>
      <c r="AJ25" s="734"/>
    </row>
    <row r="26" spans="1:36" ht="20.399999999999999">
      <c r="D26" s="175"/>
      <c r="E26" s="648"/>
      <c r="F26" s="648"/>
      <c r="G26" s="648"/>
      <c r="H26" s="648"/>
      <c r="I26" s="648"/>
      <c r="J26" s="648"/>
      <c r="K26" s="648"/>
      <c r="L26" s="648"/>
      <c r="M26" s="648"/>
      <c r="N26" s="648"/>
      <c r="O26" s="648"/>
      <c r="P26" s="648"/>
      <c r="Q26" s="648"/>
      <c r="R26" s="648"/>
      <c r="S26" s="648"/>
      <c r="T26" s="648"/>
      <c r="U26" s="648"/>
      <c r="V26" s="648"/>
      <c r="W26" s="648"/>
      <c r="X26" s="648"/>
      <c r="Y26" s="648"/>
      <c r="Z26" s="648"/>
      <c r="AA26" s="648"/>
      <c r="AB26" s="648"/>
      <c r="AC26" s="753" t="s">
        <v>47</v>
      </c>
      <c r="AD26" s="754" t="e">
        <f>+'Summary TCM'!#REF!</f>
        <v>#REF!</v>
      </c>
      <c r="AE26" s="677"/>
      <c r="AF26" s="661"/>
      <c r="AG26" s="648"/>
      <c r="AH26" s="648"/>
      <c r="AI26" s="648"/>
      <c r="AJ26" s="755"/>
    </row>
    <row r="27" spans="1:36" ht="21">
      <c r="D27" s="175"/>
      <c r="E27" s="2605" t="s">
        <v>48</v>
      </c>
      <c r="F27" s="2606"/>
      <c r="G27" s="2607"/>
      <c r="H27" s="654"/>
      <c r="I27" s="648"/>
      <c r="J27" s="2605" t="s">
        <v>49</v>
      </c>
      <c r="K27" s="2606"/>
      <c r="L27" s="2607"/>
      <c r="M27" s="648"/>
      <c r="N27" s="648"/>
      <c r="O27" s="648"/>
      <c r="P27" s="648"/>
      <c r="Q27" s="648"/>
      <c r="R27" s="648"/>
      <c r="S27" s="648"/>
      <c r="T27" s="648"/>
      <c r="U27" s="648"/>
      <c r="V27" s="648"/>
      <c r="W27" s="648"/>
      <c r="X27" s="648"/>
      <c r="Y27" s="648"/>
      <c r="Z27" s="648"/>
      <c r="AA27" s="648"/>
      <c r="AB27" s="648"/>
      <c r="AC27" s="648"/>
      <c r="AD27" s="753" t="s">
        <v>50</v>
      </c>
      <c r="AE27" s="754">
        <f ca="1">+'Summary TCM'!E41</f>
        <v>0</v>
      </c>
      <c r="AF27" s="677"/>
      <c r="AG27" s="648"/>
      <c r="AH27" s="648"/>
      <c r="AI27" s="648"/>
      <c r="AJ27" s="755"/>
    </row>
    <row r="28" spans="1:36" ht="21">
      <c r="D28" s="175"/>
      <c r="E28" s="655" t="s">
        <v>32</v>
      </c>
      <c r="F28" s="656" t="s">
        <v>51</v>
      </c>
      <c r="G28" s="656" t="s">
        <v>24</v>
      </c>
      <c r="H28" s="657" t="s">
        <v>25</v>
      </c>
      <c r="I28" s="648"/>
      <c r="J28" s="655" t="s">
        <v>32</v>
      </c>
      <c r="K28" s="656" t="s">
        <v>51</v>
      </c>
      <c r="L28" s="658" t="s">
        <v>24</v>
      </c>
      <c r="M28" s="657" t="s">
        <v>25</v>
      </c>
      <c r="N28" s="648"/>
      <c r="O28" s="648"/>
      <c r="P28" s="648"/>
      <c r="Q28" s="648"/>
      <c r="R28" s="648"/>
      <c r="S28" s="648"/>
      <c r="T28" s="648"/>
      <c r="U28" s="648"/>
      <c r="V28" s="648"/>
      <c r="W28" s="648"/>
      <c r="X28" s="648"/>
      <c r="Y28" s="648"/>
      <c r="Z28" s="648"/>
      <c r="AA28" s="648"/>
      <c r="AB28" s="648"/>
      <c r="AC28" s="648"/>
      <c r="AD28" s="753" t="s">
        <v>52</v>
      </c>
      <c r="AE28" s="754" t="e">
        <f>+'Summary TCM'!#REF!</f>
        <v>#REF!</v>
      </c>
      <c r="AF28" s="677"/>
      <c r="AG28" s="648"/>
      <c r="AH28" s="648"/>
      <c r="AI28" s="648"/>
      <c r="AJ28" s="755"/>
    </row>
    <row r="29" spans="1:36" ht="20.399999999999999">
      <c r="D29" s="175"/>
      <c r="E29" s="659" t="s">
        <v>26</v>
      </c>
      <c r="F29" s="660">
        <f ca="1">+'Summary TCM'!K10</f>
        <v>35970227.39000003</v>
      </c>
      <c r="G29" s="661"/>
      <c r="H29" s="661"/>
      <c r="I29" s="648"/>
      <c r="J29" s="659" t="s">
        <v>26</v>
      </c>
      <c r="K29" s="660">
        <f ca="1">'Summary TCM'!K120</f>
        <v>6420000</v>
      </c>
      <c r="L29" s="661"/>
      <c r="M29" s="661"/>
      <c r="N29" s="648"/>
      <c r="O29" s="648"/>
      <c r="P29" s="648"/>
      <c r="Q29" s="648"/>
      <c r="R29" s="648"/>
      <c r="S29" s="648"/>
      <c r="T29" s="648"/>
      <c r="U29" s="648"/>
      <c r="V29" s="648"/>
      <c r="W29" s="648"/>
      <c r="X29" s="648"/>
      <c r="Y29" s="648"/>
      <c r="Z29" s="648"/>
      <c r="AA29" s="648"/>
      <c r="AB29" s="648"/>
      <c r="AC29" s="648"/>
      <c r="AD29" s="753" t="s">
        <v>53</v>
      </c>
      <c r="AE29" s="754">
        <f ca="1">+'Summary TCM'!E42</f>
        <v>5188.7900000000009</v>
      </c>
      <c r="AF29" s="677"/>
      <c r="AG29" s="648"/>
      <c r="AH29" s="648"/>
      <c r="AI29" s="648"/>
      <c r="AJ29" s="755"/>
    </row>
    <row r="30" spans="1:36" ht="21">
      <c r="D30" s="175"/>
      <c r="E30" s="661" t="s">
        <v>27</v>
      </c>
      <c r="F30" s="660">
        <f ca="1">+'Summary TCM'!L10</f>
        <v>31821732.375840001</v>
      </c>
      <c r="G30" s="661"/>
      <c r="H30" s="661"/>
      <c r="I30" s="648"/>
      <c r="J30" s="661" t="s">
        <v>27</v>
      </c>
      <c r="K30" s="660">
        <f ca="1">'Summary TCM'!L120</f>
        <v>5931483.2116999989</v>
      </c>
      <c r="L30" s="661"/>
      <c r="M30" s="661"/>
      <c r="N30" s="648"/>
      <c r="O30" s="648"/>
      <c r="P30" s="648"/>
      <c r="Q30" s="648"/>
      <c r="R30" s="648"/>
      <c r="S30" s="648"/>
      <c r="T30" s="648"/>
      <c r="U30" s="648"/>
      <c r="V30" s="648"/>
      <c r="W30" s="2567" t="s">
        <v>54</v>
      </c>
      <c r="X30" s="2567"/>
      <c r="Y30" s="2567"/>
      <c r="Z30" s="648"/>
      <c r="AA30" s="648"/>
      <c r="AB30" s="648"/>
      <c r="AC30" s="648"/>
      <c r="AD30" s="753" t="s">
        <v>55</v>
      </c>
      <c r="AE30" s="754" t="e">
        <f>+'Summary TCM'!#REF!</f>
        <v>#REF!</v>
      </c>
      <c r="AF30" s="677"/>
      <c r="AG30" s="648"/>
      <c r="AH30" s="648"/>
      <c r="AI30" s="648"/>
      <c r="AJ30" s="755"/>
    </row>
    <row r="31" spans="1:36" ht="42">
      <c r="D31" s="175"/>
      <c r="E31" s="662" t="s">
        <v>10</v>
      </c>
      <c r="F31" s="663">
        <f ca="1">+'Summary TCM'!M10</f>
        <v>29226543.375840001</v>
      </c>
      <c r="G31" s="662"/>
      <c r="H31" s="662"/>
      <c r="I31" s="648"/>
      <c r="J31" s="662" t="s">
        <v>10</v>
      </c>
      <c r="K31" s="663">
        <f ca="1">'Summary TCM'!M120</f>
        <v>5589174.2116999989</v>
      </c>
      <c r="L31" s="662"/>
      <c r="M31" s="662"/>
      <c r="N31" s="648"/>
      <c r="O31" s="648"/>
      <c r="P31" s="648"/>
      <c r="Q31" s="756" t="s">
        <v>56</v>
      </c>
      <c r="R31" s="756" t="s">
        <v>57</v>
      </c>
      <c r="S31" s="646" t="s">
        <v>58</v>
      </c>
      <c r="T31" s="646" t="s">
        <v>59</v>
      </c>
      <c r="U31" s="757" t="s">
        <v>60</v>
      </c>
      <c r="V31" s="756" t="s">
        <v>61</v>
      </c>
      <c r="W31" s="756" t="s">
        <v>62</v>
      </c>
      <c r="X31" s="756" t="s">
        <v>63</v>
      </c>
      <c r="Z31" s="648"/>
      <c r="AA31" s="648"/>
      <c r="AB31" s="648"/>
      <c r="AC31" s="648"/>
      <c r="AD31" s="677" t="s">
        <v>30</v>
      </c>
      <c r="AE31" s="754">
        <f ca="1">'Summary TCM'!E33</f>
        <v>2323.6600000000003</v>
      </c>
      <c r="AF31" s="677"/>
      <c r="AG31" s="648"/>
      <c r="AH31" s="648"/>
      <c r="AI31" s="648"/>
      <c r="AJ31" s="755"/>
    </row>
    <row r="32" spans="1:36" ht="21">
      <c r="D32" s="175"/>
      <c r="E32" s="661" t="s">
        <v>28</v>
      </c>
      <c r="F32" s="660">
        <f ca="1">+'Summary TCM'!F10</f>
        <v>4305000</v>
      </c>
      <c r="G32" s="661"/>
      <c r="H32" s="661"/>
      <c r="I32" s="648"/>
      <c r="J32" s="661" t="s">
        <v>28</v>
      </c>
      <c r="K32" s="660">
        <f ca="1">'Summary TCM'!F120</f>
        <v>720000</v>
      </c>
      <c r="L32" s="661"/>
      <c r="M32" s="661"/>
      <c r="N32" s="648"/>
      <c r="O32" s="648"/>
      <c r="P32" s="648"/>
      <c r="Q32" s="758" t="s">
        <v>29</v>
      </c>
      <c r="R32" s="752"/>
      <c r="S32" s="759"/>
      <c r="T32" s="759"/>
      <c r="U32" s="759"/>
      <c r="V32" s="758"/>
      <c r="W32" s="758"/>
      <c r="X32" s="758"/>
      <c r="Z32" s="648"/>
      <c r="AA32" s="648"/>
      <c r="AB32" s="648"/>
      <c r="AC32" s="648"/>
      <c r="AD32" s="661" t="s">
        <v>64</v>
      </c>
      <c r="AE32" s="751">
        <f ca="1">+'Summary TCM'!E43</f>
        <v>4978.22</v>
      </c>
      <c r="AF32" s="661"/>
      <c r="AG32" s="648"/>
      <c r="AH32" s="648"/>
      <c r="AI32" s="648"/>
      <c r="AJ32" s="755"/>
    </row>
    <row r="33" spans="1:36" ht="20.399999999999999" customHeight="1">
      <c r="A33" s="176"/>
      <c r="B33" s="176"/>
      <c r="C33" s="176"/>
      <c r="D33" s="177"/>
      <c r="E33" s="661" t="s">
        <v>29</v>
      </c>
      <c r="F33" s="660">
        <f ca="1">+'Summary TCM'!G10</f>
        <v>3530000</v>
      </c>
      <c r="G33" s="661"/>
      <c r="H33" s="661"/>
      <c r="I33" s="648"/>
      <c r="J33" s="661" t="s">
        <v>29</v>
      </c>
      <c r="K33" s="660">
        <f ca="1">'Summary TCM'!G120</f>
        <v>500000</v>
      </c>
      <c r="L33" s="661"/>
      <c r="M33" s="661"/>
      <c r="N33" s="648"/>
      <c r="O33" s="648"/>
      <c r="P33" s="648"/>
      <c r="Q33" s="758" t="s">
        <v>8</v>
      </c>
      <c r="R33" s="760">
        <f ca="1">'Summary TCM'!E76</f>
        <v>191595.15302645115</v>
      </c>
      <c r="S33" s="760">
        <f ca="1">+'Summary TCM'!F76</f>
        <v>149516.49794214853</v>
      </c>
      <c r="T33" s="760">
        <f>+'Summary TCM'!G76</f>
        <v>600000</v>
      </c>
      <c r="U33" s="760">
        <f ca="1">+'Summary TCM'!H76</f>
        <v>637988.36201856809</v>
      </c>
      <c r="V33" s="758"/>
      <c r="W33" s="758"/>
      <c r="X33" s="758"/>
      <c r="Z33" s="648"/>
      <c r="AA33" s="648"/>
      <c r="AB33" s="648"/>
      <c r="AC33" s="648"/>
      <c r="AD33" s="753" t="s">
        <v>38</v>
      </c>
      <c r="AE33" s="754">
        <f ca="1">+'Summary TCM'!E44</f>
        <v>0</v>
      </c>
      <c r="AF33" s="677"/>
      <c r="AG33" s="761"/>
      <c r="AH33" s="648"/>
      <c r="AI33" s="648"/>
      <c r="AJ33" s="755"/>
    </row>
    <row r="34" spans="1:36" ht="18.600000000000001" customHeight="1">
      <c r="D34" s="175"/>
      <c r="E34" s="664" t="s">
        <v>8</v>
      </c>
      <c r="F34" s="665">
        <f>+'Summary TCM'!H10</f>
        <v>934811</v>
      </c>
      <c r="G34" s="664">
        <f ca="1">+F34/F32</f>
        <v>0.21714541231126597</v>
      </c>
      <c r="H34" s="664">
        <f ca="1">+F34/F33</f>
        <v>0.26481898016997168</v>
      </c>
      <c r="I34" s="648"/>
      <c r="J34" s="662" t="s">
        <v>8</v>
      </c>
      <c r="K34" s="663">
        <f>'Summary TCM'!H120</f>
        <v>157691</v>
      </c>
      <c r="L34" s="662">
        <f ca="1">+K34/K32</f>
        <v>0.21901527777777777</v>
      </c>
      <c r="M34" s="662">
        <f ca="1">+K34/K33</f>
        <v>0.315382</v>
      </c>
      <c r="N34" s="648"/>
      <c r="O34" s="648"/>
      <c r="P34" s="648"/>
      <c r="Q34" s="762" t="s">
        <v>35</v>
      </c>
      <c r="R34" s="763">
        <f ca="1">'Summary TCM'!E77</f>
        <v>62363.345753346628</v>
      </c>
      <c r="S34" s="763">
        <f ca="1">R34</f>
        <v>62363.345753346628</v>
      </c>
      <c r="T34" s="763">
        <f>'Summary TCM'!G77</f>
        <v>130000</v>
      </c>
      <c r="U34" s="764">
        <f ca="1">+'Summary TCM'!H77</f>
        <v>261661.46372667534</v>
      </c>
      <c r="V34" s="765"/>
      <c r="W34" s="765"/>
      <c r="X34" s="765"/>
      <c r="Z34" s="648"/>
      <c r="AA34" s="648"/>
      <c r="AB34" s="648"/>
      <c r="AC34" s="648"/>
      <c r="AD34" s="753" t="s">
        <v>39</v>
      </c>
      <c r="AE34" s="754" t="e">
        <f>+'Summary TCM'!#REF!</f>
        <v>#REF!</v>
      </c>
      <c r="AF34" s="677"/>
      <c r="AG34" s="761"/>
      <c r="AH34" s="648"/>
      <c r="AI34" s="648"/>
      <c r="AJ34" s="755"/>
    </row>
    <row r="35" spans="1:36" ht="21">
      <c r="D35" s="175"/>
      <c r="E35" s="662" t="s">
        <v>34</v>
      </c>
      <c r="F35" s="660">
        <f>'Summary TCM'!AS17</f>
        <v>8845580.1455000006</v>
      </c>
      <c r="G35" s="662"/>
      <c r="H35" s="662"/>
      <c r="I35" s="648"/>
      <c r="J35" s="662" t="s">
        <v>34</v>
      </c>
      <c r="K35" s="660">
        <f>'Summary TCM'!AS101</f>
        <v>1544241.1366999999</v>
      </c>
      <c r="L35" s="661"/>
      <c r="M35" s="661"/>
      <c r="N35" s="648"/>
      <c r="O35" s="648"/>
      <c r="P35" s="648"/>
      <c r="Q35" s="766" t="str">
        <f>'Summary TCM'!C78</f>
        <v xml:space="preserve">   ROM 1</v>
      </c>
      <c r="R35" s="702">
        <f ca="1">+'Summary TCM'!E79</f>
        <v>8443.1982322711574</v>
      </c>
      <c r="S35" s="702">
        <f ca="1">+'Summary TCM'!F79</f>
        <v>-313.35000000000036</v>
      </c>
      <c r="T35" s="767">
        <f>+'Summary TCM'!G79</f>
        <v>70000</v>
      </c>
      <c r="U35" s="767">
        <f ca="1">+'Summary TCM'!H79</f>
        <v>61556.801767728844</v>
      </c>
      <c r="V35" s="702">
        <f>'Summary TCM'!I79</f>
        <v>5073</v>
      </c>
      <c r="W35" s="677">
        <f>'Summary TCM'!J79</f>
        <v>0.27</v>
      </c>
      <c r="X35" s="677">
        <f>'Summary TCM'!K79</f>
        <v>10.19</v>
      </c>
      <c r="Z35" s="648"/>
      <c r="AA35" s="648"/>
      <c r="AB35" s="648"/>
      <c r="AC35" s="648"/>
      <c r="AD35" s="753" t="s">
        <v>41</v>
      </c>
      <c r="AE35" s="754">
        <f ca="1">+'Summary TCM'!E45</f>
        <v>0</v>
      </c>
      <c r="AF35" s="677"/>
      <c r="AG35" s="761"/>
      <c r="AH35" s="648"/>
      <c r="AI35" s="648"/>
      <c r="AJ35" s="755"/>
    </row>
    <row r="36" spans="1:36" ht="21">
      <c r="D36" s="175"/>
      <c r="E36" s="661" t="s">
        <v>2</v>
      </c>
      <c r="F36" s="666">
        <f ca="1">SUM(F37:F40)</f>
        <v>133670</v>
      </c>
      <c r="G36" s="661"/>
      <c r="H36" s="661"/>
      <c r="I36" s="648"/>
      <c r="J36" s="661" t="s">
        <v>2</v>
      </c>
      <c r="K36" s="666">
        <f ca="1">SUM(K37:K39)</f>
        <v>20096</v>
      </c>
      <c r="L36" s="661"/>
      <c r="M36" s="661"/>
      <c r="N36" s="648"/>
      <c r="O36" s="648"/>
      <c r="P36" s="648"/>
      <c r="Q36" s="1383" t="str">
        <f>'Summary TCM'!C80</f>
        <v xml:space="preserve">   ROM 3</v>
      </c>
      <c r="R36" s="702">
        <v>0</v>
      </c>
      <c r="S36" s="677">
        <v>0</v>
      </c>
      <c r="T36" s="767">
        <v>0</v>
      </c>
      <c r="U36" s="767">
        <v>0</v>
      </c>
      <c r="V36" s="702"/>
      <c r="W36" s="677"/>
      <c r="X36" s="677"/>
      <c r="Z36" s="648"/>
      <c r="AA36" s="648"/>
      <c r="AB36" s="648"/>
      <c r="AC36" s="648"/>
      <c r="AD36" s="753" t="s">
        <v>42</v>
      </c>
      <c r="AE36" s="754" t="e">
        <f>+'Summary TCM'!#REF!</f>
        <v>#REF!</v>
      </c>
      <c r="AF36" s="677"/>
      <c r="AG36" s="761"/>
      <c r="AH36" s="648"/>
      <c r="AI36" s="648"/>
      <c r="AJ36" s="755"/>
    </row>
    <row r="37" spans="1:36" ht="20.399999999999999">
      <c r="D37" s="175"/>
      <c r="E37" s="667" t="s">
        <v>65</v>
      </c>
      <c r="F37" s="661">
        <f ca="1">+'Summary TCM'!E11</f>
        <v>88536</v>
      </c>
      <c r="G37" s="661"/>
      <c r="H37" s="661"/>
      <c r="I37" s="648"/>
      <c r="J37" s="667" t="s">
        <v>66</v>
      </c>
      <c r="K37" s="661">
        <f>'Summary TCM'!E121</f>
        <v>0</v>
      </c>
      <c r="L37" s="661"/>
      <c r="M37" s="661"/>
      <c r="N37" s="648"/>
      <c r="O37" s="648"/>
      <c r="P37" s="648"/>
      <c r="Q37" s="1383" t="str">
        <f>'Summary TCM'!C81</f>
        <v xml:space="preserve">   ROM 5</v>
      </c>
      <c r="R37" s="702">
        <f>+'Summary TCM'!E80</f>
        <v>0</v>
      </c>
      <c r="S37" s="702">
        <f>+'Summary TCM'!F80</f>
        <v>0</v>
      </c>
      <c r="T37" s="767">
        <v>0</v>
      </c>
      <c r="U37" s="767">
        <v>0</v>
      </c>
      <c r="V37" s="702">
        <f>+'Summary TCM'!I80</f>
        <v>0</v>
      </c>
      <c r="W37" s="677">
        <f>+'Summary TCM'!K80</f>
        <v>0</v>
      </c>
      <c r="X37" s="677">
        <f>+'Summary TCM'!L80</f>
        <v>0</v>
      </c>
      <c r="Z37" s="648"/>
      <c r="AA37" s="648"/>
      <c r="AB37" s="648"/>
      <c r="AC37" s="648"/>
      <c r="AD37" s="753" t="s">
        <v>43</v>
      </c>
      <c r="AE37" s="754">
        <f ca="1">+'Summary TCM'!E46</f>
        <v>0</v>
      </c>
      <c r="AF37" s="677"/>
      <c r="AG37" s="761"/>
      <c r="AH37" s="648"/>
      <c r="AI37" s="648"/>
      <c r="AJ37" s="755"/>
    </row>
    <row r="38" spans="1:36" ht="20.399999999999999">
      <c r="D38" s="175"/>
      <c r="E38" s="667" t="s">
        <v>17</v>
      </c>
      <c r="F38" s="661">
        <f ca="1">+'Summary TCM'!E12</f>
        <v>35470</v>
      </c>
      <c r="G38" s="661"/>
      <c r="H38" s="661"/>
      <c r="I38" s="648"/>
      <c r="J38" s="667" t="s">
        <v>18</v>
      </c>
      <c r="K38" s="661">
        <f ca="1">'Summary TCM'!E122</f>
        <v>20096</v>
      </c>
      <c r="L38" s="661"/>
      <c r="M38" s="661"/>
      <c r="N38" s="648"/>
      <c r="O38" s="648"/>
      <c r="P38" s="648"/>
      <c r="Q38" s="1383" t="str">
        <f>'Summary TCM'!C83</f>
        <v xml:space="preserve">   ROM 6</v>
      </c>
      <c r="R38" s="702">
        <f ca="1">+'Summary TCM'!E83</f>
        <v>9895.3380410535083</v>
      </c>
      <c r="S38" s="702">
        <f ca="1">+'Summary TCM'!F83</f>
        <v>8765.226320482514</v>
      </c>
      <c r="T38" s="767">
        <f>+'Summary TCM'!G83</f>
        <v>110000</v>
      </c>
      <c r="U38" s="767">
        <f ca="1">+'Summary TCM'!H83</f>
        <v>100104.6619589465</v>
      </c>
      <c r="V38" s="702">
        <f>+'Summary TCM'!I83</f>
        <v>6896</v>
      </c>
      <c r="W38" s="677">
        <f>'Summary TCM'!J83</f>
        <v>2.4300000000000002</v>
      </c>
      <c r="X38" s="677">
        <f>'Summary TCM'!K83</f>
        <v>6.45</v>
      </c>
      <c r="Z38" s="648"/>
      <c r="AA38" s="648"/>
      <c r="AB38" s="648"/>
      <c r="AC38" s="648"/>
      <c r="AD38" s="753" t="s">
        <v>45</v>
      </c>
      <c r="AE38" s="754" t="e">
        <f>+'Summary TCM'!#REF!</f>
        <v>#REF!</v>
      </c>
      <c r="AF38" s="677"/>
      <c r="AG38" s="761"/>
      <c r="AH38" s="648"/>
      <c r="AI38" s="648"/>
      <c r="AJ38" s="755"/>
    </row>
    <row r="39" spans="1:36" ht="20.399999999999999">
      <c r="D39" s="175"/>
      <c r="E39" s="668" t="s">
        <v>66</v>
      </c>
      <c r="F39" s="661"/>
      <c r="G39" s="661"/>
      <c r="H39" s="661"/>
      <c r="I39" s="648"/>
      <c r="J39" s="668"/>
      <c r="K39" s="661"/>
      <c r="L39" s="661"/>
      <c r="M39" s="661"/>
      <c r="N39" s="648"/>
      <c r="O39" s="648"/>
      <c r="P39" s="648"/>
      <c r="Q39" s="768"/>
      <c r="R39" s="1384"/>
      <c r="S39" s="1384"/>
      <c r="T39" s="1384"/>
      <c r="U39" s="1384"/>
      <c r="V39" s="1385"/>
      <c r="W39" s="1385"/>
      <c r="X39" s="769"/>
      <c r="Z39" s="648"/>
      <c r="AA39" s="648"/>
      <c r="AB39" s="648"/>
      <c r="AC39" s="648"/>
      <c r="AD39" s="753" t="s">
        <v>46</v>
      </c>
      <c r="AE39" s="702">
        <f ca="1">+'Summary TCM'!E47</f>
        <v>0</v>
      </c>
      <c r="AF39" s="677"/>
      <c r="AG39" s="761"/>
      <c r="AH39" s="648"/>
      <c r="AI39" s="648"/>
      <c r="AJ39" s="755"/>
    </row>
    <row r="40" spans="1:36" ht="21">
      <c r="B40" s="174">
        <f>'Summary TCM'!A29</f>
        <v>0</v>
      </c>
      <c r="D40" s="175"/>
      <c r="E40" s="668" t="s">
        <v>18</v>
      </c>
      <c r="F40" s="1386">
        <f ca="1">'Summary TCM'!E13</f>
        <v>9664</v>
      </c>
      <c r="G40" s="669"/>
      <c r="H40" s="661"/>
      <c r="I40" s="648"/>
      <c r="J40" s="670"/>
      <c r="K40" s="648"/>
      <c r="L40" s="648"/>
      <c r="M40" s="648"/>
      <c r="N40" s="671"/>
      <c r="O40" s="671"/>
      <c r="P40" s="671"/>
      <c r="Q40" s="770" t="s">
        <v>67</v>
      </c>
      <c r="R40" s="771">
        <f ca="1">'Summary TCM'!E84</f>
        <v>61599.908758681253</v>
      </c>
      <c r="S40" s="772">
        <f ca="1">'Summary TCM'!F84</f>
        <v>59053.163019186832</v>
      </c>
      <c r="T40" s="771">
        <f>'Summary TCM'!G84</f>
        <v>130000</v>
      </c>
      <c r="U40" s="771">
        <f ca="1">'Summary TCM'!H84</f>
        <v>103958.79680631596</v>
      </c>
      <c r="V40" s="773"/>
      <c r="W40" s="773"/>
      <c r="X40" s="773"/>
      <c r="Z40" s="648"/>
      <c r="AA40" s="648"/>
      <c r="AB40" s="648"/>
      <c r="AC40" s="648"/>
      <c r="AD40" s="753" t="s">
        <v>47</v>
      </c>
      <c r="AE40" s="702" t="e">
        <f>+'Summary TCM'!#REF!</f>
        <v>#REF!</v>
      </c>
      <c r="AF40" s="677"/>
      <c r="AG40" s="761"/>
      <c r="AH40" s="648"/>
      <c r="AI40" s="648"/>
      <c r="AJ40" s="755"/>
    </row>
    <row r="41" spans="1:36" ht="20.399999999999999">
      <c r="D41" s="175"/>
      <c r="E41" s="648"/>
      <c r="F41" s="672"/>
      <c r="G41" s="673"/>
      <c r="H41" s="673"/>
      <c r="I41" s="648"/>
      <c r="J41" s="648"/>
      <c r="K41" s="648"/>
      <c r="L41" s="648"/>
      <c r="M41" s="648"/>
      <c r="N41" s="648"/>
      <c r="O41" s="648"/>
      <c r="P41" s="648"/>
      <c r="Q41" s="774" t="e">
        <f ca="1">R41/R40</f>
        <v>#REF!</v>
      </c>
      <c r="R41" s="775" t="e">
        <f ca="1">SUM(R42:R47)</f>
        <v>#REF!</v>
      </c>
      <c r="S41" s="775"/>
      <c r="T41" s="775"/>
      <c r="U41" s="775"/>
      <c r="V41" s="776"/>
      <c r="W41" s="776"/>
      <c r="X41" s="776"/>
      <c r="Y41" s="648"/>
      <c r="Z41" s="648"/>
      <c r="AA41" s="648"/>
      <c r="AB41" s="648"/>
      <c r="AC41" s="753" t="s">
        <v>50</v>
      </c>
      <c r="AD41" s="702">
        <f ca="1">+'Summary TCM'!E48</f>
        <v>3539.67</v>
      </c>
      <c r="AE41" s="677"/>
      <c r="AF41" s="761"/>
      <c r="AG41" s="648"/>
      <c r="AH41" s="648"/>
      <c r="AI41" s="648"/>
      <c r="AJ41" s="755"/>
    </row>
    <row r="42" spans="1:36" ht="21">
      <c r="D42" s="175"/>
      <c r="E42" s="648"/>
      <c r="F42" s="648"/>
      <c r="G42" s="2608" t="s">
        <v>68</v>
      </c>
      <c r="H42" s="2609"/>
      <c r="I42" s="2610"/>
      <c r="J42" s="648"/>
      <c r="K42" s="648"/>
      <c r="L42" s="648"/>
      <c r="M42" s="648"/>
      <c r="N42" s="648"/>
      <c r="O42" s="648"/>
      <c r="P42" s="648"/>
      <c r="Q42" s="777" t="s">
        <v>69</v>
      </c>
      <c r="R42" s="778">
        <f ca="1">+'Summary TCM'!E85</f>
        <v>12611.886475620366</v>
      </c>
      <c r="S42" s="778">
        <f ca="1">'Summary TCM'!E85</f>
        <v>12611.886475620366</v>
      </c>
      <c r="T42" s="778">
        <f ca="1">'Summary TCM'!F85</f>
        <v>11193.960096830322</v>
      </c>
      <c r="U42" s="778">
        <f>'Summary TCM'!G85</f>
        <v>65000</v>
      </c>
      <c r="V42" s="778">
        <f>'Summary TCM'!I85</f>
        <v>7106</v>
      </c>
      <c r="W42" s="668">
        <f>'Summary TCM'!J85</f>
        <v>1.26</v>
      </c>
      <c r="X42" s="668">
        <f>'Summary TCM'!K85</f>
        <v>2.36</v>
      </c>
      <c r="Y42" s="648"/>
      <c r="Z42" s="648"/>
      <c r="AA42" s="648"/>
      <c r="AB42" s="648"/>
      <c r="AC42" s="753" t="s">
        <v>52</v>
      </c>
      <c r="AD42" s="702" t="e">
        <f>+'Summary TCM'!#REF!</f>
        <v>#REF!</v>
      </c>
      <c r="AE42" s="677"/>
      <c r="AF42" s="761"/>
      <c r="AG42" s="648"/>
      <c r="AH42" s="648"/>
      <c r="AI42" s="648"/>
      <c r="AJ42" s="755"/>
    </row>
    <row r="43" spans="1:36" ht="21">
      <c r="D43" s="175"/>
      <c r="E43" s="648"/>
      <c r="F43" s="648"/>
      <c r="G43" s="674" t="s">
        <v>32</v>
      </c>
      <c r="H43" s="675" t="s">
        <v>51</v>
      </c>
      <c r="I43" s="676" t="s">
        <v>24</v>
      </c>
      <c r="J43" s="676" t="s">
        <v>25</v>
      </c>
      <c r="K43" s="648"/>
      <c r="L43" s="648"/>
      <c r="M43" s="648"/>
      <c r="N43" s="648"/>
      <c r="O43" s="648"/>
      <c r="P43" s="648"/>
      <c r="Q43" s="777"/>
      <c r="R43" s="778">
        <f ca="1">+'Summary TCM'!E86</f>
        <v>35558.705564997217</v>
      </c>
      <c r="S43" s="778">
        <f ca="1">+'Summary TCM'!F86</f>
        <v>34429.886204292845</v>
      </c>
      <c r="T43" s="778">
        <f>+'Summary TCM'!G86</f>
        <v>0</v>
      </c>
      <c r="U43" s="778">
        <f>+'Summary TCM'!H86</f>
        <v>0</v>
      </c>
      <c r="V43" s="778">
        <f>+'Summary TCM'!I86</f>
        <v>6958</v>
      </c>
      <c r="W43" s="668">
        <f>+'Summary TCM'!K86</f>
        <v>2.5499999999999998</v>
      </c>
      <c r="X43" s="668">
        <f>+'Summary TCM'!L86</f>
        <v>7</v>
      </c>
      <c r="Y43" s="648"/>
      <c r="Z43" s="648"/>
      <c r="AA43" s="648"/>
      <c r="AB43" s="648"/>
      <c r="AC43" s="753" t="s">
        <v>53</v>
      </c>
      <c r="AD43" s="702">
        <f ca="1">+'Summary TCM'!E49</f>
        <v>1438.5500000000002</v>
      </c>
      <c r="AE43" s="677"/>
      <c r="AF43" s="761"/>
      <c r="AG43" s="648"/>
      <c r="AH43" s="648"/>
      <c r="AI43" s="648"/>
      <c r="AJ43" s="755"/>
    </row>
    <row r="44" spans="1:36" ht="20.399999999999999">
      <c r="D44" s="175"/>
      <c r="E44" s="648"/>
      <c r="F44" s="648"/>
      <c r="G44" s="659" t="s">
        <v>26</v>
      </c>
      <c r="H44" s="660">
        <f t="shared" ref="H44:H49" ca="1" si="0">F29+K29</f>
        <v>42390227.39000003</v>
      </c>
      <c r="I44" s="661"/>
      <c r="J44" s="661"/>
      <c r="K44" s="648"/>
      <c r="L44" s="648"/>
      <c r="M44" s="648"/>
      <c r="N44" s="648"/>
      <c r="O44" s="648"/>
      <c r="P44" s="648"/>
      <c r="Q44" s="777"/>
      <c r="R44" s="778" t="e">
        <f>+'Summary TCM'!#REF!</f>
        <v>#REF!</v>
      </c>
      <c r="S44" s="778" t="e">
        <f>'Summary TCM'!#REF!</f>
        <v>#REF!</v>
      </c>
      <c r="T44" s="778" t="e">
        <f>'Summary TCM'!#REF!</f>
        <v>#REF!</v>
      </c>
      <c r="U44" s="778" t="e">
        <f>'Summary TCM'!#REF!</f>
        <v>#REF!</v>
      </c>
      <c r="V44" s="778" t="e">
        <f>+'Summary TCM'!#REF!</f>
        <v>#REF!</v>
      </c>
      <c r="W44" s="668" t="e">
        <f>+'Summary TCM'!#REF!</f>
        <v>#REF!</v>
      </c>
      <c r="X44" s="668" t="e">
        <f>+'Summary TCM'!#REF!</f>
        <v>#REF!</v>
      </c>
      <c r="Y44" s="648"/>
      <c r="Z44" s="648"/>
      <c r="AA44" s="648"/>
      <c r="AB44" s="648"/>
      <c r="AC44" s="753" t="s">
        <v>55</v>
      </c>
      <c r="AD44" s="702" t="e">
        <f>+'Summary TCM'!#REF!</f>
        <v>#REF!</v>
      </c>
      <c r="AE44" s="677"/>
      <c r="AF44" s="761"/>
      <c r="AG44" s="648"/>
      <c r="AH44" s="648"/>
      <c r="AI44" s="648"/>
      <c r="AJ44" s="755"/>
    </row>
    <row r="45" spans="1:36" ht="21">
      <c r="D45" s="175"/>
      <c r="E45" s="648"/>
      <c r="F45" s="648"/>
      <c r="G45" s="661" t="s">
        <v>27</v>
      </c>
      <c r="H45" s="660">
        <f t="shared" ca="1" si="0"/>
        <v>37753215.587540001</v>
      </c>
      <c r="I45" s="661"/>
      <c r="J45" s="661"/>
      <c r="K45" s="648"/>
      <c r="L45" s="648"/>
      <c r="M45" s="648"/>
      <c r="N45" s="648"/>
      <c r="O45" s="648"/>
      <c r="P45" s="648"/>
      <c r="Q45" s="1387"/>
      <c r="R45" s="778" t="e">
        <f>+'Summary TCM'!#REF!</f>
        <v>#REF!</v>
      </c>
      <c r="S45" s="778" t="e">
        <f>+'Summary TCM'!#REF!</f>
        <v>#REF!</v>
      </c>
      <c r="T45" s="778" t="e">
        <f>+'Summary TCM'!#REF!</f>
        <v>#REF!</v>
      </c>
      <c r="U45" s="778" t="e">
        <f>+'Summary TCM'!#REF!</f>
        <v>#REF!</v>
      </c>
      <c r="V45" s="778" t="e">
        <f>+'Summary TCM'!#REF!</f>
        <v>#REF!</v>
      </c>
      <c r="W45" s="668" t="e">
        <f>+'Summary TCM'!#REF!</f>
        <v>#REF!</v>
      </c>
      <c r="X45" s="668" t="e">
        <f>+'Summary TCM'!#REF!</f>
        <v>#REF!</v>
      </c>
      <c r="Y45" s="648"/>
      <c r="Z45" s="648"/>
      <c r="AA45" s="648"/>
      <c r="AB45" s="648"/>
      <c r="AC45" s="668" t="s">
        <v>30</v>
      </c>
      <c r="AD45" s="779">
        <f ca="1">'Summary TCM'!E35</f>
        <v>297.35000000000002</v>
      </c>
      <c r="AE45" s="677"/>
      <c r="AF45" s="761"/>
      <c r="AG45" s="648"/>
      <c r="AH45" s="648"/>
      <c r="AI45" s="648"/>
      <c r="AJ45" s="755"/>
    </row>
    <row r="46" spans="1:36" ht="21">
      <c r="D46" s="175"/>
      <c r="E46" s="648"/>
      <c r="F46" s="648"/>
      <c r="G46" s="662" t="s">
        <v>10</v>
      </c>
      <c r="H46" s="663">
        <f t="shared" ca="1" si="0"/>
        <v>34815717.587540001</v>
      </c>
      <c r="I46" s="662"/>
      <c r="J46" s="662"/>
      <c r="K46" s="648"/>
      <c r="L46" s="648"/>
      <c r="M46" s="648"/>
      <c r="N46" s="648"/>
      <c r="O46" s="648"/>
      <c r="P46" s="648"/>
      <c r="Q46" s="1387"/>
      <c r="R46" s="778" t="e">
        <f>+'Summary TCM'!#REF!</f>
        <v>#REF!</v>
      </c>
      <c r="S46" s="778" t="e">
        <f>'Summary TCM'!#REF!</f>
        <v>#REF!</v>
      </c>
      <c r="T46" s="778" t="e">
        <f>'Summary TCM'!#REF!</f>
        <v>#REF!</v>
      </c>
      <c r="U46" s="778" t="e">
        <f>'Summary TCM'!#REF!</f>
        <v>#REF!</v>
      </c>
      <c r="V46" s="778" t="e">
        <f>+'Summary TCM'!#REF!</f>
        <v>#REF!</v>
      </c>
      <c r="W46" s="668" t="e">
        <f>+'Summary TCM'!#REF!</f>
        <v>#REF!</v>
      </c>
      <c r="X46" s="668" t="e">
        <f>+'Summary TCM'!#REF!</f>
        <v>#REF!</v>
      </c>
      <c r="Y46" s="648"/>
      <c r="Z46" s="648"/>
      <c r="AA46" s="648"/>
      <c r="AB46" s="648"/>
      <c r="AC46" s="677" t="s">
        <v>35</v>
      </c>
      <c r="AD46" s="780">
        <f ca="1">'Summary TCM'!E30</f>
        <v>4166.08</v>
      </c>
      <c r="AE46" s="661"/>
      <c r="AF46" s="648"/>
      <c r="AG46" s="648"/>
      <c r="AH46" s="648"/>
      <c r="AI46" s="648"/>
      <c r="AJ46" s="734"/>
    </row>
    <row r="47" spans="1:36" ht="20.399999999999999">
      <c r="D47" s="175"/>
      <c r="E47" s="648"/>
      <c r="F47" s="648"/>
      <c r="G47" s="661" t="s">
        <v>28</v>
      </c>
      <c r="H47" s="660">
        <f t="shared" ca="1" si="0"/>
        <v>5025000</v>
      </c>
      <c r="I47" s="661"/>
      <c r="J47" s="661"/>
      <c r="K47" s="648"/>
      <c r="L47" s="648"/>
      <c r="M47" s="648"/>
      <c r="N47" s="648"/>
      <c r="O47" s="648"/>
      <c r="P47" s="648"/>
      <c r="Q47" s="1387"/>
      <c r="R47" s="778" t="e">
        <f>+'Summary TCM'!#REF!</f>
        <v>#REF!</v>
      </c>
      <c r="S47" s="778" t="e">
        <f>'Summary TCM'!#REF!</f>
        <v>#REF!</v>
      </c>
      <c r="T47" s="778" t="e">
        <f>+'Summary TCM'!#REF!</f>
        <v>#REF!</v>
      </c>
      <c r="U47" s="778" t="e">
        <f>+'Summary TCM'!#REF!</f>
        <v>#REF!</v>
      </c>
      <c r="V47" s="778" t="e">
        <f>+'Summary TCM'!#REF!</f>
        <v>#REF!</v>
      </c>
      <c r="W47" s="668" t="e">
        <f>+'Summary TCM'!#REF!</f>
        <v>#REF!</v>
      </c>
      <c r="X47" s="668" t="e">
        <f>+'Summary TCM'!#REF!</f>
        <v>#REF!</v>
      </c>
      <c r="Y47" s="648"/>
      <c r="Z47" s="648"/>
      <c r="AA47" s="648"/>
      <c r="AB47" s="648"/>
      <c r="AC47" s="668" t="s">
        <v>30</v>
      </c>
      <c r="AD47" s="661">
        <f ca="1">'Summary TCM'!E35</f>
        <v>297.35000000000002</v>
      </c>
      <c r="AE47" s="661"/>
      <c r="AF47" s="648"/>
      <c r="AG47" s="648"/>
      <c r="AH47" s="648"/>
      <c r="AI47" s="648"/>
      <c r="AJ47" s="734"/>
    </row>
    <row r="48" spans="1:36" ht="21">
      <c r="D48" s="175"/>
      <c r="E48" s="648"/>
      <c r="F48" s="648"/>
      <c r="G48" s="661" t="s">
        <v>29</v>
      </c>
      <c r="H48" s="660">
        <f t="shared" ca="1" si="0"/>
        <v>4030000</v>
      </c>
      <c r="I48" s="661"/>
      <c r="J48" s="661"/>
      <c r="K48" s="648"/>
      <c r="L48" s="648"/>
      <c r="M48" s="648"/>
      <c r="N48" s="648"/>
      <c r="O48" s="648"/>
      <c r="P48" s="648"/>
      <c r="Q48" s="781"/>
      <c r="R48" s="1388"/>
      <c r="S48" s="1388"/>
      <c r="T48" s="1388"/>
      <c r="U48" s="1388"/>
      <c r="V48" s="1388"/>
      <c r="W48" s="1389"/>
      <c r="X48" s="782"/>
      <c r="Y48" s="648"/>
      <c r="Z48" s="648"/>
      <c r="AA48" s="648"/>
      <c r="AB48" s="648"/>
      <c r="AC48" s="648"/>
      <c r="AD48" s="648"/>
      <c r="AE48" s="648"/>
      <c r="AF48" s="733"/>
      <c r="AG48" s="648"/>
      <c r="AH48" s="648"/>
      <c r="AI48" s="648"/>
      <c r="AJ48" s="734"/>
    </row>
    <row r="49" spans="4:41" ht="21">
      <c r="D49" s="175"/>
      <c r="E49" s="648"/>
      <c r="F49" s="648"/>
      <c r="G49" s="662" t="s">
        <v>8</v>
      </c>
      <c r="H49" s="660">
        <f t="shared" si="0"/>
        <v>1092502</v>
      </c>
      <c r="I49" s="661">
        <f ca="1">+H49/H47</f>
        <v>0.21741333333333332</v>
      </c>
      <c r="J49" s="662">
        <f ca="1">+H49/H48</f>
        <v>0.27109230769230769</v>
      </c>
      <c r="K49" s="648"/>
      <c r="L49" s="648"/>
      <c r="M49" s="648"/>
      <c r="N49" s="648"/>
      <c r="O49" s="648"/>
      <c r="P49" s="648"/>
      <c r="Q49" s="783" t="e">
        <f ca="1">R49/R40</f>
        <v>#REF!</v>
      </c>
      <c r="R49" s="784" t="e">
        <f ca="1">SUM(R50:R55)</f>
        <v>#REF!</v>
      </c>
      <c r="S49" s="785"/>
      <c r="T49" s="785"/>
      <c r="U49" s="785"/>
      <c r="V49" s="785"/>
      <c r="W49" s="785"/>
      <c r="X49" s="785"/>
      <c r="Y49" s="648"/>
      <c r="Z49" s="648"/>
      <c r="AA49" s="648"/>
      <c r="AB49" s="648"/>
      <c r="AC49" s="756" t="s">
        <v>70</v>
      </c>
      <c r="AD49" s="756" t="s">
        <v>23</v>
      </c>
      <c r="AE49" s="739" t="s">
        <v>24</v>
      </c>
      <c r="AF49" s="740" t="s">
        <v>25</v>
      </c>
      <c r="AG49" s="648"/>
      <c r="AH49" s="648"/>
      <c r="AI49" s="648"/>
      <c r="AJ49" s="734"/>
    </row>
    <row r="50" spans="4:41" ht="21">
      <c r="D50" s="175"/>
      <c r="E50" s="648"/>
      <c r="F50" s="648"/>
      <c r="G50" s="662" t="s">
        <v>34</v>
      </c>
      <c r="H50" s="660">
        <f>'Summary TCM'!AS7</f>
        <v>10389821.282200001</v>
      </c>
      <c r="I50" s="661"/>
      <c r="J50" s="661"/>
      <c r="K50" s="648"/>
      <c r="L50" s="648"/>
      <c r="M50" s="648"/>
      <c r="N50" s="648"/>
      <c r="O50" s="648"/>
      <c r="P50" s="648"/>
      <c r="Q50" s="786" t="s">
        <v>71</v>
      </c>
      <c r="R50" s="778">
        <f ca="1">+'Summary TCM'!E87</f>
        <v>13429.316718063665</v>
      </c>
      <c r="S50" s="778">
        <f ca="1">'Summary TCM'!E87</f>
        <v>13429.316718063665</v>
      </c>
      <c r="T50" s="778">
        <f ca="1">'Summary TCM'!F87</f>
        <v>13429.316718063665</v>
      </c>
      <c r="U50" s="778">
        <f>'Summary TCM'!G87</f>
        <v>65000</v>
      </c>
      <c r="V50" s="668">
        <f>'Summary TCM'!I87</f>
        <v>7198</v>
      </c>
      <c r="W50" s="668">
        <f>'Summary TCM'!J87</f>
        <v>1</v>
      </c>
      <c r="X50" s="668">
        <f>'Summary TCM'!K87</f>
        <v>1.91</v>
      </c>
      <c r="Y50" s="648"/>
      <c r="Z50" s="648"/>
      <c r="AA50" s="648"/>
      <c r="AB50" s="648"/>
      <c r="AC50" s="756"/>
      <c r="AD50" s="756"/>
      <c r="AE50" s="787"/>
      <c r="AF50" s="661"/>
      <c r="AG50" s="648"/>
      <c r="AH50" s="648"/>
      <c r="AI50" s="648"/>
      <c r="AJ50" s="734"/>
    </row>
    <row r="51" spans="4:41" ht="21">
      <c r="D51" s="175"/>
      <c r="E51" s="648"/>
      <c r="F51" s="648"/>
      <c r="G51" s="661" t="s">
        <v>2</v>
      </c>
      <c r="H51" s="666">
        <f ca="1">SUM(H52:H56)</f>
        <v>153766</v>
      </c>
      <c r="I51" s="661"/>
      <c r="J51" s="661"/>
      <c r="K51" s="648"/>
      <c r="L51" s="648"/>
      <c r="M51" s="648"/>
      <c r="N51" s="648"/>
      <c r="O51" s="648"/>
      <c r="P51" s="648"/>
      <c r="Q51" s="786"/>
      <c r="R51" s="778" t="e">
        <f>+'Summary TCM'!#REF!</f>
        <v>#REF!</v>
      </c>
      <c r="S51" s="778" t="e">
        <f>+'Summary TCM'!#REF!</f>
        <v>#REF!</v>
      </c>
      <c r="T51" s="778" t="e">
        <f>+'Summary TCM'!#REF!</f>
        <v>#REF!</v>
      </c>
      <c r="U51" s="778" t="e">
        <f>+'Summary TCM'!#REF!</f>
        <v>#REF!</v>
      </c>
      <c r="V51" s="778" t="e">
        <f>+'Summary TCM'!#REF!</f>
        <v>#REF!</v>
      </c>
      <c r="W51" s="668" t="e">
        <f>+'Summary TCM'!#REF!</f>
        <v>#REF!</v>
      </c>
      <c r="X51" s="668" t="e">
        <f>+'Summary TCM'!#REF!</f>
        <v>#REF!</v>
      </c>
      <c r="Y51" s="648"/>
      <c r="Z51" s="648"/>
      <c r="AA51" s="648"/>
      <c r="AB51" s="648"/>
      <c r="AC51" s="661" t="s">
        <v>26</v>
      </c>
      <c r="AD51" s="660">
        <f ca="1">+'Summary TCM'!K50</f>
        <v>3075000</v>
      </c>
      <c r="AE51" s="661"/>
      <c r="AF51" s="661"/>
      <c r="AG51" s="648"/>
      <c r="AH51" s="648"/>
      <c r="AI51" s="648"/>
      <c r="AJ51" s="734"/>
    </row>
    <row r="52" spans="4:41" ht="20.399999999999999">
      <c r="D52" s="175"/>
      <c r="E52" s="648"/>
      <c r="F52" s="648"/>
      <c r="G52" s="667" t="s">
        <v>65</v>
      </c>
      <c r="H52" s="661">
        <f ca="1">F37</f>
        <v>88536</v>
      </c>
      <c r="I52" s="661"/>
      <c r="J52" s="661"/>
      <c r="K52" s="648"/>
      <c r="L52" s="648"/>
      <c r="M52" s="648"/>
      <c r="N52" s="648"/>
      <c r="O52" s="648"/>
      <c r="P52" s="648"/>
      <c r="Q52" s="786"/>
      <c r="R52" s="778" t="e">
        <f>+'Summary TCM'!#REF!</f>
        <v>#REF!</v>
      </c>
      <c r="S52" s="778" t="e">
        <f>'Summary TCM'!#REF!</f>
        <v>#REF!</v>
      </c>
      <c r="T52" s="778" t="e">
        <f>'Summary TCM'!#REF!</f>
        <v>#REF!</v>
      </c>
      <c r="U52" s="778" t="e">
        <f>'Summary TCM'!#REF!</f>
        <v>#REF!</v>
      </c>
      <c r="V52" s="778" t="e">
        <f>+'Summary TCM'!#REF!</f>
        <v>#REF!</v>
      </c>
      <c r="W52" s="668" t="e">
        <f>+'Summary TCM'!#REF!</f>
        <v>#REF!</v>
      </c>
      <c r="X52" s="668" t="e">
        <f>+'Summary TCM'!#REF!</f>
        <v>#REF!</v>
      </c>
      <c r="Y52" s="648"/>
      <c r="Z52" s="648"/>
      <c r="AA52" s="648"/>
      <c r="AB52" s="648"/>
      <c r="AC52" s="661" t="s">
        <v>27</v>
      </c>
      <c r="AD52" s="660">
        <f ca="1">+'Summary TCM'!L50</f>
        <v>2469984.13</v>
      </c>
      <c r="AE52" s="661"/>
      <c r="AF52" s="661"/>
      <c r="AG52" s="648"/>
      <c r="AH52" s="648"/>
      <c r="AI52" s="648"/>
      <c r="AJ52" s="734"/>
    </row>
    <row r="53" spans="4:41" ht="21">
      <c r="D53" s="175"/>
      <c r="E53" s="648"/>
      <c r="F53" s="648"/>
      <c r="G53" s="667" t="s">
        <v>17</v>
      </c>
      <c r="H53" s="661">
        <f ca="1">F38</f>
        <v>35470</v>
      </c>
      <c r="I53" s="661"/>
      <c r="J53" s="661"/>
      <c r="K53" s="648"/>
      <c r="L53" s="648"/>
      <c r="M53" s="648"/>
      <c r="N53" s="648"/>
      <c r="O53" s="648"/>
      <c r="P53" s="648"/>
      <c r="Q53" s="786"/>
      <c r="R53" s="778" t="e">
        <f>+'Summary TCM'!#REF!</f>
        <v>#REF!</v>
      </c>
      <c r="S53" s="778" t="e">
        <f>+'Summary TCM'!#REF!</f>
        <v>#REF!</v>
      </c>
      <c r="T53" s="778" t="e">
        <f>+'Summary TCM'!#REF!</f>
        <v>#REF!</v>
      </c>
      <c r="U53" s="778" t="e">
        <f>+'Summary TCM'!#REF!</f>
        <v>#REF!</v>
      </c>
      <c r="V53" s="778" t="e">
        <f>+'Summary TCM'!#REF!</f>
        <v>#REF!</v>
      </c>
      <c r="W53" s="668" t="e">
        <f>+'Summary TCM'!#REF!</f>
        <v>#REF!</v>
      </c>
      <c r="X53" s="668" t="e">
        <f>+'Summary TCM'!#REF!</f>
        <v>#REF!</v>
      </c>
      <c r="Y53" s="648"/>
      <c r="Z53" s="648"/>
      <c r="AA53" s="648"/>
      <c r="AB53" s="648"/>
      <c r="AC53" s="662" t="s">
        <v>10</v>
      </c>
      <c r="AD53" s="660">
        <f ca="1">+'Summary TCM'!M50</f>
        <v>2249549.8899999997</v>
      </c>
      <c r="AE53" s="661"/>
      <c r="AF53" s="661"/>
      <c r="AG53" s="648"/>
      <c r="AH53" s="648"/>
      <c r="AI53" s="648"/>
      <c r="AJ53" s="734"/>
    </row>
    <row r="54" spans="4:41" ht="20.399999999999999">
      <c r="D54" s="175"/>
      <c r="E54" s="648"/>
      <c r="F54" s="648"/>
      <c r="G54" s="668" t="s">
        <v>66</v>
      </c>
      <c r="H54" s="661">
        <f>F39+K37</f>
        <v>0</v>
      </c>
      <c r="I54" s="661"/>
      <c r="J54" s="661"/>
      <c r="K54" s="648"/>
      <c r="L54" s="648"/>
      <c r="M54" s="648"/>
      <c r="N54" s="648"/>
      <c r="O54" s="648"/>
      <c r="P54" s="648"/>
      <c r="Q54" s="786"/>
      <c r="R54" s="778" t="e">
        <f>+'Summary TCM'!#REF!</f>
        <v>#REF!</v>
      </c>
      <c r="S54" s="778" t="e">
        <f>'Summary TCM'!#REF!</f>
        <v>#REF!</v>
      </c>
      <c r="T54" s="778" t="e">
        <f>'Summary TCM'!#REF!</f>
        <v>#REF!</v>
      </c>
      <c r="U54" s="778" t="e">
        <f>'Summary TCM'!#REF!</f>
        <v>#REF!</v>
      </c>
      <c r="V54" s="778" t="e">
        <f>+'Summary TCM'!#REF!</f>
        <v>#REF!</v>
      </c>
      <c r="W54" s="668" t="e">
        <f>+'Summary TCM'!#REF!</f>
        <v>#REF!</v>
      </c>
      <c r="X54" s="668" t="e">
        <f>+'Summary TCM'!#REF!</f>
        <v>#REF!</v>
      </c>
      <c r="Y54" s="648"/>
      <c r="Z54" s="648"/>
      <c r="AA54" s="648"/>
      <c r="AB54" s="648"/>
      <c r="AC54" s="661" t="s">
        <v>28</v>
      </c>
      <c r="AD54" s="660">
        <f ca="1">+'Summary TCM'!F50</f>
        <v>360000</v>
      </c>
      <c r="AE54" s="661"/>
      <c r="AF54" s="661"/>
      <c r="AG54" s="648"/>
      <c r="AH54" s="648"/>
      <c r="AI54" s="648"/>
      <c r="AJ54" s="734"/>
    </row>
    <row r="55" spans="4:41" ht="20.399999999999999">
      <c r="D55" s="175"/>
      <c r="E55" s="648"/>
      <c r="F55" s="648"/>
      <c r="G55" s="677" t="s">
        <v>18</v>
      </c>
      <c r="H55" s="678">
        <f ca="1">'Summary TCM'!E122+'Summary TCM'!E13</f>
        <v>29760</v>
      </c>
      <c r="I55" s="661"/>
      <c r="J55" s="661"/>
      <c r="K55" s="648"/>
      <c r="L55" s="648"/>
      <c r="M55" s="648"/>
      <c r="N55" s="648"/>
      <c r="O55" s="648"/>
      <c r="P55" s="648"/>
      <c r="Q55" s="786"/>
      <c r="R55" s="778" t="e">
        <f>+'Summary TCM'!#REF!</f>
        <v>#REF!</v>
      </c>
      <c r="S55" s="778" t="e">
        <f>'Summary TCM'!#REF!</f>
        <v>#REF!</v>
      </c>
      <c r="T55" s="778" t="e">
        <f>'Summary TCM'!#REF!</f>
        <v>#REF!</v>
      </c>
      <c r="U55" s="778" t="e">
        <f>+'Summary TCM'!#REF!</f>
        <v>#REF!</v>
      </c>
      <c r="V55" s="778" t="e">
        <f>+'Summary TCM'!#REF!</f>
        <v>#REF!</v>
      </c>
      <c r="W55" s="668" t="e">
        <f>+'Summary TCM'!#REF!</f>
        <v>#REF!</v>
      </c>
      <c r="X55" s="668" t="e">
        <f>+'Summary TCM'!#REF!</f>
        <v>#REF!</v>
      </c>
      <c r="Y55" s="648"/>
      <c r="Z55" s="648"/>
      <c r="AA55" s="648"/>
      <c r="AB55" s="648"/>
      <c r="AC55" s="661" t="s">
        <v>29</v>
      </c>
      <c r="AD55" s="660">
        <f ca="1">+'Summary TCM'!G50</f>
        <v>270000</v>
      </c>
      <c r="AE55" s="661"/>
      <c r="AF55" s="661"/>
      <c r="AG55" s="648"/>
      <c r="AH55" s="648"/>
      <c r="AI55" s="648"/>
      <c r="AJ55" s="734"/>
    </row>
    <row r="56" spans="4:41" ht="21">
      <c r="D56" s="175"/>
      <c r="E56" s="648"/>
      <c r="F56" s="648"/>
      <c r="G56" s="677" t="s">
        <v>72</v>
      </c>
      <c r="H56" s="678"/>
      <c r="I56" s="661"/>
      <c r="J56" s="661"/>
      <c r="K56" s="648"/>
      <c r="L56" s="648"/>
      <c r="M56" s="648"/>
      <c r="N56" s="648"/>
      <c r="O56" s="648"/>
      <c r="P56" s="648"/>
      <c r="Q56" s="762" t="s">
        <v>73</v>
      </c>
      <c r="R56" s="763">
        <f ca="1">'Summary TCM'!E88</f>
        <v>67631.898514423272</v>
      </c>
      <c r="S56" s="763">
        <f ca="1">'Summary TCM'!F88</f>
        <v>61131.083360760182</v>
      </c>
      <c r="T56" s="763">
        <f ca="1">'Summary TCM'!F88</f>
        <v>61131.083360760182</v>
      </c>
      <c r="U56" s="763">
        <f ca="1">'Summary TCM'!H88</f>
        <v>172368.10148557671</v>
      </c>
      <c r="V56" s="765"/>
      <c r="W56" s="765"/>
      <c r="X56" s="765"/>
      <c r="Y56" s="648"/>
      <c r="Z56" s="648"/>
      <c r="AA56" s="648"/>
      <c r="AB56" s="648"/>
      <c r="AC56" s="662" t="s">
        <v>8</v>
      </c>
      <c r="AD56" s="660">
        <f>+'Summary TCM'!H50</f>
        <v>49565.759999999995</v>
      </c>
      <c r="AE56" s="661">
        <f ca="1">+AD56/AD54</f>
        <v>0.13768266666666665</v>
      </c>
      <c r="AF56" s="661">
        <f ca="1">+AD56/AD55</f>
        <v>0.18357688888888887</v>
      </c>
      <c r="AG56" s="648"/>
      <c r="AH56" s="648"/>
      <c r="AI56" s="648"/>
      <c r="AJ56" s="734"/>
    </row>
    <row r="57" spans="4:41" ht="21">
      <c r="D57" s="175"/>
      <c r="E57" s="648"/>
      <c r="F57" s="648"/>
      <c r="G57" s="648"/>
      <c r="H57" s="648"/>
      <c r="I57" s="648"/>
      <c r="J57" s="1390"/>
      <c r="K57" s="679"/>
      <c r="L57" s="648"/>
      <c r="M57" s="648"/>
      <c r="N57" s="648"/>
      <c r="O57" s="648"/>
      <c r="P57" s="648"/>
      <c r="Q57" s="788" t="e">
        <f ca="1">R57/R56</f>
        <v>#REF!</v>
      </c>
      <c r="R57" s="789" t="e">
        <f>SUM(R58:R63)</f>
        <v>#REF!</v>
      </c>
      <c r="S57" s="790"/>
      <c r="T57" s="790"/>
      <c r="U57" s="790"/>
      <c r="V57" s="790"/>
      <c r="W57" s="790"/>
      <c r="X57" s="790"/>
      <c r="Y57" s="648"/>
      <c r="Z57" s="648"/>
      <c r="AA57" s="648"/>
      <c r="AB57" s="648"/>
      <c r="AC57" s="662" t="s">
        <v>34</v>
      </c>
      <c r="AD57" s="660">
        <f>AD16</f>
        <v>685563.46000000008</v>
      </c>
      <c r="AE57" s="661"/>
      <c r="AF57" s="661"/>
      <c r="AG57" s="648"/>
      <c r="AH57" s="648"/>
      <c r="AI57" s="648"/>
      <c r="AJ57" s="755"/>
    </row>
    <row r="58" spans="4:41" ht="21">
      <c r="D58" s="175"/>
      <c r="E58" s="2574" t="s">
        <v>74</v>
      </c>
      <c r="F58" s="2574"/>
      <c r="G58" s="2574"/>
      <c r="H58" s="2574"/>
      <c r="I58" s="648"/>
      <c r="J58" s="680" t="s">
        <v>75</v>
      </c>
      <c r="K58" s="681" t="s">
        <v>23</v>
      </c>
      <c r="L58" s="681" t="s">
        <v>24</v>
      </c>
      <c r="M58" s="681" t="s">
        <v>25</v>
      </c>
      <c r="N58" s="648"/>
      <c r="O58" s="648"/>
      <c r="P58" s="648"/>
      <c r="Q58" s="791"/>
      <c r="R58" s="702" t="e">
        <f>'Summary TCM'!#REF!</f>
        <v>#REF!</v>
      </c>
      <c r="S58" s="702" t="e">
        <f>'Summary TCM'!#REF!</f>
        <v>#REF!</v>
      </c>
      <c r="T58" s="702" t="e">
        <f>+'Summary TCM'!#REF!</f>
        <v>#REF!</v>
      </c>
      <c r="U58" s="702" t="e">
        <f>+'Summary TCM'!#REF!</f>
        <v>#REF!</v>
      </c>
      <c r="V58" s="702" t="e">
        <f>+'Summary TCM'!#REF!</f>
        <v>#REF!</v>
      </c>
      <c r="W58" s="677" t="e">
        <f>+'Summary TCM'!#REF!</f>
        <v>#REF!</v>
      </c>
      <c r="X58" s="677" t="e">
        <f>+'Summary TCM'!#REF!</f>
        <v>#REF!</v>
      </c>
      <c r="Z58" s="648"/>
      <c r="AA58" s="648"/>
      <c r="AB58" s="648"/>
      <c r="AC58" s="648"/>
      <c r="AD58" s="661" t="s">
        <v>2</v>
      </c>
      <c r="AE58" s="792">
        <f ca="1">+'Summary TCM'!E50</f>
        <v>16810.91</v>
      </c>
      <c r="AF58" s="661"/>
      <c r="AG58" s="761"/>
      <c r="AH58" s="648"/>
      <c r="AI58" s="648"/>
      <c r="AJ58" s="755"/>
    </row>
    <row r="59" spans="4:41" ht="21">
      <c r="D59" s="175"/>
      <c r="E59" s="682" t="s">
        <v>32</v>
      </c>
      <c r="F59" s="681" t="s">
        <v>23</v>
      </c>
      <c r="G59" s="681" t="s">
        <v>24</v>
      </c>
      <c r="H59" s="681" t="s">
        <v>25</v>
      </c>
      <c r="I59" s="648"/>
      <c r="J59" s="661" t="s">
        <v>26</v>
      </c>
      <c r="K59" s="660">
        <f ca="1">'Summary TCM'!K123</f>
        <v>620000</v>
      </c>
      <c r="L59" s="661"/>
      <c r="M59" s="661"/>
      <c r="N59" s="648"/>
      <c r="O59" s="648"/>
      <c r="P59" s="648"/>
      <c r="Q59" s="791"/>
      <c r="R59" s="702" t="e">
        <f>+'Summary TCM'!#REF!</f>
        <v>#REF!</v>
      </c>
      <c r="S59" s="702" t="e">
        <f>+'Summary TCM'!#REF!</f>
        <v>#REF!</v>
      </c>
      <c r="T59" s="702" t="e">
        <f>+'Summary TCM'!#REF!</f>
        <v>#REF!</v>
      </c>
      <c r="U59" s="702" t="e">
        <f>+'Summary TCM'!#REF!</f>
        <v>#REF!</v>
      </c>
      <c r="V59" s="702" t="e">
        <f>+'Summary TCM'!#REF!</f>
        <v>#REF!</v>
      </c>
      <c r="W59" s="677" t="e">
        <f>+'Summary TCM'!#REF!</f>
        <v>#REF!</v>
      </c>
      <c r="X59" s="677" t="e">
        <f>+'Summary TCM'!#REF!</f>
        <v>#REF!</v>
      </c>
      <c r="Z59" s="648"/>
      <c r="AA59" s="648"/>
      <c r="AB59" s="648"/>
      <c r="AC59" s="648"/>
      <c r="AD59" s="677" t="s">
        <v>76</v>
      </c>
      <c r="AE59" s="702">
        <f ca="1">+'Summary TCM'!E51</f>
        <v>8295.73</v>
      </c>
      <c r="AF59" s="793"/>
      <c r="AG59" s="761"/>
      <c r="AH59" s="648"/>
      <c r="AI59" s="648"/>
      <c r="AJ59" s="755"/>
    </row>
    <row r="60" spans="4:41" ht="20.399999999999999">
      <c r="D60" s="175"/>
      <c r="E60" s="661" t="s">
        <v>26</v>
      </c>
      <c r="F60" s="660">
        <f ca="1">+'Summary TCM'!K16</f>
        <v>2365000</v>
      </c>
      <c r="G60" s="661"/>
      <c r="H60" s="661"/>
      <c r="I60" s="648"/>
      <c r="J60" s="661" t="s">
        <v>27</v>
      </c>
      <c r="K60" s="660">
        <f ca="1">'Summary TCM'!L123</f>
        <v>437673.9002418028</v>
      </c>
      <c r="L60" s="661"/>
      <c r="M60" s="661"/>
      <c r="N60" s="648"/>
      <c r="O60" s="648"/>
      <c r="P60" s="648"/>
      <c r="Q60" s="791"/>
      <c r="R60" s="702" t="e">
        <f>'Summary TCM'!#REF!</f>
        <v>#REF!</v>
      </c>
      <c r="S60" s="702" t="e">
        <f>+'Summary TCM'!#REF!</f>
        <v>#REF!</v>
      </c>
      <c r="T60" s="702" t="e">
        <f>+'Summary TCM'!#REF!</f>
        <v>#REF!</v>
      </c>
      <c r="U60" s="702" t="e">
        <f>+'Summary TCM'!#REF!</f>
        <v>#REF!</v>
      </c>
      <c r="V60" s="702" t="e">
        <f>+'Summary TCM'!#REF!</f>
        <v>#REF!</v>
      </c>
      <c r="W60" s="677" t="e">
        <f>+'Summary TCM'!#REF!</f>
        <v>#REF!</v>
      </c>
      <c r="X60" s="677" t="e">
        <f>+'Summary TCM'!#REF!</f>
        <v>#REF!</v>
      </c>
      <c r="Z60" s="648"/>
      <c r="AA60" s="648"/>
      <c r="AB60" s="648"/>
      <c r="AC60" s="648"/>
      <c r="AD60" s="677" t="s">
        <v>77</v>
      </c>
      <c r="AE60" s="794">
        <f ca="1">+'Summary TCM'!E55</f>
        <v>8515.18</v>
      </c>
      <c r="AF60" s="793"/>
      <c r="AG60" s="761"/>
      <c r="AH60" s="648"/>
      <c r="AI60" s="648"/>
      <c r="AJ60" s="755"/>
    </row>
    <row r="61" spans="4:41" ht="21">
      <c r="D61" s="175"/>
      <c r="E61" s="661" t="s">
        <v>27</v>
      </c>
      <c r="F61" s="660">
        <f ca="1">+'Summary TCM'!L16</f>
        <v>1980727.9067214839</v>
      </c>
      <c r="G61" s="661"/>
      <c r="H61" s="661"/>
      <c r="I61" s="648"/>
      <c r="J61" s="662" t="s">
        <v>10</v>
      </c>
      <c r="K61" s="660">
        <f ca="1">'Summary TCM'!M123</f>
        <v>416967.9002418028</v>
      </c>
      <c r="L61" s="661"/>
      <c r="M61" s="661"/>
      <c r="N61" s="648"/>
      <c r="O61" s="648"/>
      <c r="P61" s="648"/>
      <c r="Q61" s="1391"/>
      <c r="R61" s="702" t="e">
        <f>+'Summary TCM'!#REF!</f>
        <v>#REF!</v>
      </c>
      <c r="S61" s="702" t="e">
        <f>+'Summary TCM'!#REF!</f>
        <v>#REF!</v>
      </c>
      <c r="T61" s="702" t="e">
        <f>+'Summary TCM'!#REF!</f>
        <v>#REF!</v>
      </c>
      <c r="U61" s="702" t="e">
        <f>+'Summary TCM'!#REF!</f>
        <v>#REF!</v>
      </c>
      <c r="V61" s="702" t="e">
        <f>+'Summary TCM'!#REF!</f>
        <v>#REF!</v>
      </c>
      <c r="W61" s="677" t="e">
        <f>+'Summary TCM'!#REF!</f>
        <v>#REF!</v>
      </c>
      <c r="X61" s="677" t="e">
        <f>+'Summary TCM'!#REF!</f>
        <v>#REF!</v>
      </c>
      <c r="Z61" s="648"/>
      <c r="AA61" s="648"/>
      <c r="AB61" s="648"/>
      <c r="AC61" s="648"/>
      <c r="AD61" s="677" t="s">
        <v>78</v>
      </c>
      <c r="AE61" s="702">
        <f>+'Summary TCM'!E59</f>
        <v>0</v>
      </c>
      <c r="AF61" s="793"/>
      <c r="AG61" s="648"/>
      <c r="AH61" s="648"/>
      <c r="AI61" s="648"/>
      <c r="AJ61" s="755"/>
      <c r="AO61" s="174" t="s">
        <v>79</v>
      </c>
    </row>
    <row r="62" spans="4:41" ht="21">
      <c r="D62" s="175"/>
      <c r="E62" s="662" t="s">
        <v>10</v>
      </c>
      <c r="F62" s="660">
        <f ca="1">+'Summary TCM'!M16</f>
        <v>1734921.1667214842</v>
      </c>
      <c r="G62" s="661"/>
      <c r="H62" s="661"/>
      <c r="I62" s="648"/>
      <c r="J62" s="661" t="s">
        <v>28</v>
      </c>
      <c r="K62" s="660">
        <f ca="1">'Summary TCM'!F123</f>
        <v>70000</v>
      </c>
      <c r="L62" s="661"/>
      <c r="M62" s="661"/>
      <c r="N62" s="648"/>
      <c r="O62" s="648"/>
      <c r="P62" s="648"/>
      <c r="Q62" s="1391" t="s">
        <v>69</v>
      </c>
      <c r="R62" s="702">
        <f ca="1">'Summary TCM'!E89</f>
        <v>54054.217649249818</v>
      </c>
      <c r="S62" s="702">
        <f ca="1">'Summary TCM'!F89</f>
        <v>48539.003612013301</v>
      </c>
      <c r="T62" s="702">
        <f>+'Summary TCM'!G89</f>
        <v>120000</v>
      </c>
      <c r="U62" s="702">
        <f ca="1">+'Summary TCM'!H89</f>
        <v>65945.782350750174</v>
      </c>
      <c r="V62" s="798">
        <f>'Summary TCM'!I89</f>
        <v>6737</v>
      </c>
      <c r="W62" s="798">
        <f>'Summary TCM'!J89</f>
        <v>0.35</v>
      </c>
      <c r="X62" s="798">
        <f>'Summary TCM'!K89</f>
        <v>4.88</v>
      </c>
      <c r="Z62" s="648"/>
      <c r="AA62" s="648"/>
      <c r="AB62" s="648"/>
      <c r="AC62" s="648"/>
      <c r="AD62" s="648"/>
      <c r="AE62" s="648"/>
      <c r="AF62" s="648"/>
      <c r="AG62" s="648"/>
      <c r="AH62" s="648"/>
      <c r="AI62" s="648"/>
      <c r="AJ62" s="755"/>
    </row>
    <row r="63" spans="4:41" ht="20.399999999999999">
      <c r="D63" s="175"/>
      <c r="E63" s="661" t="s">
        <v>28</v>
      </c>
      <c r="F63" s="660">
        <f ca="1">+'Summary TCM'!F16</f>
        <v>290000</v>
      </c>
      <c r="G63" s="661"/>
      <c r="H63" s="661"/>
      <c r="I63" s="648"/>
      <c r="J63" s="661" t="s">
        <v>29</v>
      </c>
      <c r="K63" s="660">
        <f ca="1">'Summary TCM'!G123</f>
        <v>35000</v>
      </c>
      <c r="L63" s="661"/>
      <c r="M63" s="661"/>
      <c r="N63" s="648"/>
      <c r="O63" s="648"/>
      <c r="P63" s="648"/>
      <c r="Q63" s="1391"/>
      <c r="R63" s="702" t="e">
        <f>+'Summary TCM'!#REF!</f>
        <v>#REF!</v>
      </c>
      <c r="S63" s="702" t="e">
        <f>+'Summary TCM'!#REF!</f>
        <v>#REF!</v>
      </c>
      <c r="T63" s="702" t="e">
        <f>+'Summary TCM'!#REF!</f>
        <v>#REF!</v>
      </c>
      <c r="U63" s="702" t="e">
        <f>+'Summary TCM'!#REF!</f>
        <v>#REF!</v>
      </c>
      <c r="V63" s="702" t="e">
        <f>+'Summary TCM'!#REF!</f>
        <v>#REF!</v>
      </c>
      <c r="W63" s="677" t="e">
        <f>+'Summary TCM'!#REF!</f>
        <v>#REF!</v>
      </c>
      <c r="X63" s="677" t="e">
        <f>+'Summary TCM'!#REF!</f>
        <v>#REF!</v>
      </c>
      <c r="Z63" s="648"/>
      <c r="AA63" s="648"/>
      <c r="AB63" s="648"/>
      <c r="AC63" s="648"/>
      <c r="AD63" s="648"/>
      <c r="AE63" s="648"/>
      <c r="AF63" s="648"/>
      <c r="AG63" s="648"/>
      <c r="AH63" s="648"/>
      <c r="AI63" s="648"/>
      <c r="AJ63" s="755"/>
    </row>
    <row r="64" spans="4:41" ht="21">
      <c r="D64" s="175"/>
      <c r="E64" s="661" t="s">
        <v>29</v>
      </c>
      <c r="F64" s="660">
        <f ca="1">+'Summary TCM'!G16</f>
        <v>290000</v>
      </c>
      <c r="G64" s="661"/>
      <c r="H64" s="661"/>
      <c r="I64" s="648"/>
      <c r="J64" s="662" t="s">
        <v>8</v>
      </c>
      <c r="K64" s="660">
        <f>'Summary TCM'!H123</f>
        <v>14294</v>
      </c>
      <c r="L64" s="661">
        <f ca="1">+K64/K62</f>
        <v>0.20419999999999999</v>
      </c>
      <c r="M64" s="661">
        <f ca="1">+K64/K63</f>
        <v>0.40839999999999999</v>
      </c>
      <c r="N64" s="648"/>
      <c r="O64" s="648"/>
      <c r="P64" s="648"/>
      <c r="Q64" s="768"/>
      <c r="R64" s="1384"/>
      <c r="S64" s="1384"/>
      <c r="T64" s="1384"/>
      <c r="U64" s="1384"/>
      <c r="V64" s="1384"/>
      <c r="W64" s="1385"/>
      <c r="X64" s="769"/>
      <c r="Z64" s="648"/>
      <c r="AA64" s="648"/>
      <c r="AB64" s="648"/>
      <c r="AC64" s="648"/>
      <c r="AD64" s="648"/>
      <c r="AE64" s="648"/>
      <c r="AF64" s="648"/>
      <c r="AG64" s="648"/>
      <c r="AH64" s="648"/>
      <c r="AI64" s="648"/>
      <c r="AJ64" s="755"/>
    </row>
    <row r="65" spans="4:36" ht="21">
      <c r="D65" s="175"/>
      <c r="E65" s="662" t="s">
        <v>8</v>
      </c>
      <c r="F65" s="660">
        <f>+'Summary TCM'!H16</f>
        <v>44193.26</v>
      </c>
      <c r="G65" s="662">
        <f ca="1">+F65/F63</f>
        <v>0.15239055172413793</v>
      </c>
      <c r="H65" s="662">
        <f ca="1">+F65/F64</f>
        <v>0.15239055172413793</v>
      </c>
      <c r="I65" s="648"/>
      <c r="J65" s="662" t="s">
        <v>34</v>
      </c>
      <c r="K65" s="660">
        <f>'Summary TCM'!AS111</f>
        <v>131341.65820000001</v>
      </c>
      <c r="L65" s="661"/>
      <c r="M65" s="661"/>
      <c r="N65" s="648"/>
      <c r="O65" s="648"/>
      <c r="P65" s="648"/>
      <c r="Q65" s="795" t="e">
        <f ca="1">R65/R56</f>
        <v>#REF!</v>
      </c>
      <c r="R65" s="796" t="e">
        <f>SUM(R66:R71)</f>
        <v>#REF!</v>
      </c>
      <c r="S65" s="796" t="e">
        <f>SUM(S66:S71)</f>
        <v>#REF!</v>
      </c>
      <c r="T65" s="796" t="e">
        <f>SUM(T66:T71)</f>
        <v>#REF!</v>
      </c>
      <c r="U65" s="796" t="e">
        <f>SUM(U66:U71)</f>
        <v>#REF!</v>
      </c>
      <c r="V65" s="797"/>
      <c r="W65" s="797"/>
      <c r="X65" s="797"/>
      <c r="Z65" s="648"/>
      <c r="AA65" s="648"/>
      <c r="AB65" s="648"/>
      <c r="AC65" s="648"/>
      <c r="AD65" s="648"/>
      <c r="AE65" s="648"/>
      <c r="AF65" s="648"/>
      <c r="AG65" s="648"/>
      <c r="AH65" s="648"/>
      <c r="AI65" s="648"/>
      <c r="AJ65" s="755"/>
    </row>
    <row r="66" spans="4:36" ht="17.399999999999999" customHeight="1">
      <c r="D66" s="175"/>
      <c r="E66" s="662" t="s">
        <v>34</v>
      </c>
      <c r="F66" s="660">
        <f>'Summary TCM'!AS35</f>
        <v>552626.9</v>
      </c>
      <c r="G66" s="661"/>
      <c r="H66" s="661"/>
      <c r="I66" s="648"/>
      <c r="J66" s="661" t="s">
        <v>2</v>
      </c>
      <c r="K66" s="666">
        <f ca="1">SUM(K67:K68)</f>
        <v>2800</v>
      </c>
      <c r="L66" s="661"/>
      <c r="M66" s="661"/>
      <c r="N66" s="648"/>
      <c r="O66" s="648"/>
      <c r="P66" s="648"/>
      <c r="Q66" s="753"/>
      <c r="R66" s="798" t="e">
        <f>'Summary TCM'!#REF!</f>
        <v>#REF!</v>
      </c>
      <c r="S66" s="798" t="e">
        <f>'Summary TCM'!#REF!</f>
        <v>#REF!</v>
      </c>
      <c r="T66" s="702" t="e">
        <f>+'Summary TCM'!#REF!</f>
        <v>#REF!</v>
      </c>
      <c r="U66" s="702" t="e">
        <f>+'Summary TCM'!#REF!</f>
        <v>#REF!</v>
      </c>
      <c r="V66" s="702" t="e">
        <f>+'Summary TCM'!#REF!</f>
        <v>#REF!</v>
      </c>
      <c r="W66" s="677" t="e">
        <f>+'Summary TCM'!#REF!</f>
        <v>#REF!</v>
      </c>
      <c r="X66" s="677" t="e">
        <f>+'Summary TCM'!#REF!</f>
        <v>#REF!</v>
      </c>
      <c r="Z66" s="648"/>
      <c r="AA66" s="648"/>
      <c r="AB66" s="648"/>
      <c r="AC66" s="648"/>
      <c r="AD66" s="799" t="s">
        <v>80</v>
      </c>
      <c r="AE66" s="800"/>
      <c r="AF66" s="648"/>
      <c r="AG66" s="648"/>
      <c r="AH66" s="648"/>
      <c r="AI66" s="648"/>
      <c r="AJ66" s="755"/>
    </row>
    <row r="67" spans="4:36" ht="21">
      <c r="D67" s="175"/>
      <c r="E67" s="661" t="s">
        <v>2</v>
      </c>
      <c r="F67" s="666">
        <f ca="1">SUM(F70:F73)</f>
        <v>4846.78</v>
      </c>
      <c r="G67" s="661"/>
      <c r="H67" s="661"/>
      <c r="I67" s="648"/>
      <c r="J67" s="667" t="s">
        <v>66</v>
      </c>
      <c r="K67" s="683">
        <f>'Summary TCM'!E124</f>
        <v>0</v>
      </c>
      <c r="L67" s="661"/>
      <c r="M67" s="661"/>
      <c r="N67" s="648"/>
      <c r="O67" s="648"/>
      <c r="P67" s="648"/>
      <c r="Q67" s="753"/>
      <c r="R67" s="798" t="e">
        <f>+'Summary TCM'!#REF!</f>
        <v>#REF!</v>
      </c>
      <c r="S67" s="798" t="e">
        <f>+'Summary TCM'!#REF!</f>
        <v>#REF!</v>
      </c>
      <c r="T67" s="702" t="e">
        <f>+'Summary TCM'!#REF!</f>
        <v>#REF!</v>
      </c>
      <c r="U67" s="702" t="e">
        <f>+'Summary TCM'!#REF!</f>
        <v>#REF!</v>
      </c>
      <c r="V67" s="677" t="e">
        <f>+'Summary TCM'!#REF!</f>
        <v>#REF!</v>
      </c>
      <c r="W67" s="677" t="e">
        <f>+'Summary TCM'!#REF!</f>
        <v>#REF!</v>
      </c>
      <c r="X67" s="677" t="e">
        <f>+'Summary TCM'!#REF!</f>
        <v>#REF!</v>
      </c>
      <c r="Z67" s="648"/>
      <c r="AA67" s="648"/>
      <c r="AB67" s="648"/>
      <c r="AC67" s="648"/>
      <c r="AD67" s="662" t="s">
        <v>10</v>
      </c>
      <c r="AE67" s="661"/>
      <c r="AF67" s="648"/>
      <c r="AG67" s="648"/>
      <c r="AH67" s="648"/>
      <c r="AI67" s="648"/>
      <c r="AJ67" s="755"/>
    </row>
    <row r="68" spans="4:36" ht="21">
      <c r="D68" s="175"/>
      <c r="E68" s="649" t="s">
        <v>81</v>
      </c>
      <c r="F68" s="683" t="e">
        <f ca="1">LOOKUP('Summary TCM'!$B$4,#REF!,#REF!)</f>
        <v>#REF!</v>
      </c>
      <c r="G68" s="661"/>
      <c r="H68" s="661"/>
      <c r="I68" s="648"/>
      <c r="J68" s="667" t="s">
        <v>18</v>
      </c>
      <c r="K68" s="684">
        <f ca="1">'Summary TCM'!E125</f>
        <v>2800</v>
      </c>
      <c r="L68" s="661"/>
      <c r="M68" s="661"/>
      <c r="N68" s="648"/>
      <c r="O68" s="648"/>
      <c r="P68" s="648"/>
      <c r="Q68" s="753"/>
      <c r="R68" s="798" t="e">
        <f>+'Summary TCM'!#REF!</f>
        <v>#REF!</v>
      </c>
      <c r="S68" s="798" t="e">
        <f>+'Summary TCM'!#REF!</f>
        <v>#REF!</v>
      </c>
      <c r="T68" s="702" t="e">
        <f>+'Summary TCM'!#REF!</f>
        <v>#REF!</v>
      </c>
      <c r="U68" s="702" t="e">
        <f>+'Summary TCM'!#REF!</f>
        <v>#REF!</v>
      </c>
      <c r="V68" s="677" t="e">
        <f>+'Summary TCM'!#REF!</f>
        <v>#REF!</v>
      </c>
      <c r="W68" s="677" t="e">
        <f>+'Summary TCM'!#REF!</f>
        <v>#REF!</v>
      </c>
      <c r="X68" s="677" t="e">
        <f>+'Summary TCM'!#REF!</f>
        <v>#REF!</v>
      </c>
      <c r="Z68" s="648"/>
      <c r="AA68" s="648"/>
      <c r="AB68" s="648"/>
      <c r="AC68" s="648"/>
      <c r="AD68" s="661"/>
      <c r="AE68" s="661"/>
      <c r="AF68" s="648"/>
      <c r="AG68" s="648"/>
      <c r="AH68" s="648"/>
      <c r="AI68" s="648"/>
      <c r="AJ68" s="755"/>
    </row>
    <row r="69" spans="4:36" ht="21">
      <c r="D69" s="175"/>
      <c r="E69" s="649" t="s">
        <v>37</v>
      </c>
      <c r="F69" s="684" t="e">
        <f ca="1">LOOKUP('Summary TCM'!$B$4,#REF!,#REF!)</f>
        <v>#REF!</v>
      </c>
      <c r="G69" s="661"/>
      <c r="H69" s="661"/>
      <c r="I69" s="648"/>
      <c r="J69" s="667"/>
      <c r="K69" s="661"/>
      <c r="L69" s="661"/>
      <c r="M69" s="661"/>
      <c r="N69" s="648"/>
      <c r="O69" s="648"/>
      <c r="P69" s="648"/>
      <c r="Q69" s="753"/>
      <c r="R69" s="798" t="e">
        <f>+'Summary TCM'!#REF!</f>
        <v>#REF!</v>
      </c>
      <c r="S69" s="798" t="e">
        <f>+'Summary TCM'!#REF!</f>
        <v>#REF!</v>
      </c>
      <c r="T69" s="702" t="e">
        <f>+'Summary TCM'!#REF!</f>
        <v>#REF!</v>
      </c>
      <c r="U69" s="702" t="e">
        <f>+'Summary TCM'!#REF!</f>
        <v>#REF!</v>
      </c>
      <c r="V69" s="677" t="e">
        <f>+'Summary TCM'!#REF!</f>
        <v>#REF!</v>
      </c>
      <c r="W69" s="677" t="e">
        <f>+'Summary TCM'!#REF!</f>
        <v>#REF!</v>
      </c>
      <c r="X69" s="677" t="e">
        <f>+'Summary TCM'!#REF!</f>
        <v>#REF!</v>
      </c>
      <c r="Z69" s="648"/>
      <c r="AA69" s="648"/>
      <c r="AB69" s="648"/>
      <c r="AC69" s="648"/>
      <c r="AD69" s="661" t="s">
        <v>12</v>
      </c>
      <c r="AE69" s="801" t="s">
        <v>82</v>
      </c>
      <c r="AF69" s="802" t="s">
        <v>59</v>
      </c>
      <c r="AG69" s="803" t="s">
        <v>60</v>
      </c>
      <c r="AH69" s="2599" t="s">
        <v>54</v>
      </c>
      <c r="AI69" s="2600"/>
      <c r="AJ69" s="2601"/>
    </row>
    <row r="70" spans="4:36" ht="21">
      <c r="D70" s="175"/>
      <c r="E70" s="667" t="s">
        <v>16</v>
      </c>
      <c r="F70" s="661">
        <f ca="1">+'Summary TCM'!E17</f>
        <v>3374.08</v>
      </c>
      <c r="G70" s="661"/>
      <c r="H70" s="661"/>
      <c r="I70" s="648"/>
      <c r="J70" s="667"/>
      <c r="K70" s="661"/>
      <c r="L70" s="661"/>
      <c r="M70" s="661"/>
      <c r="N70" s="648"/>
      <c r="O70" s="648"/>
      <c r="P70" s="648"/>
      <c r="Q70" s="753" t="s">
        <v>71</v>
      </c>
      <c r="R70" s="798">
        <f ca="1">+'Summary TCM'!E90</f>
        <v>13577.680865173457</v>
      </c>
      <c r="S70" s="798">
        <f ca="1">+'Summary TCM'!F90</f>
        <v>12592.079748746883</v>
      </c>
      <c r="T70" s="702">
        <f>+'Summary TCM'!G90</f>
        <v>120000</v>
      </c>
      <c r="U70" s="702">
        <f ca="1">+'Summary TCM'!H90</f>
        <v>106422.31913482654</v>
      </c>
      <c r="V70" s="677">
        <f>'Summary TCM'!I90</f>
        <v>6876</v>
      </c>
      <c r="W70" s="677">
        <f>'Summary TCM'!J90</f>
        <v>1.35</v>
      </c>
      <c r="X70" s="677">
        <f>'Summary TCM'!K90</f>
        <v>6.45</v>
      </c>
      <c r="Z70" s="648"/>
      <c r="AA70" s="648"/>
      <c r="AB70" s="648"/>
      <c r="AC70" s="648"/>
      <c r="AD70" s="662" t="s">
        <v>8</v>
      </c>
      <c r="AE70" s="663">
        <f ca="1">SUM(AE71:AE73)</f>
        <v>377341.84766611259</v>
      </c>
      <c r="AF70" s="804" t="e">
        <f>'Summary TCM'!#REF!</f>
        <v>#REF!</v>
      </c>
      <c r="AG70" s="804" t="e">
        <f ca="1">AF70-AE70</f>
        <v>#REF!</v>
      </c>
      <c r="AH70" s="805" t="s">
        <v>61</v>
      </c>
      <c r="AI70" s="806" t="s">
        <v>62</v>
      </c>
      <c r="AJ70" s="806" t="s">
        <v>63</v>
      </c>
    </row>
    <row r="71" spans="4:36" ht="20.399999999999999">
      <c r="D71" s="175"/>
      <c r="E71" s="667" t="s">
        <v>17</v>
      </c>
      <c r="F71" s="661">
        <f ca="1">+'Summary TCM'!E18</f>
        <v>1472.7</v>
      </c>
      <c r="G71" s="661"/>
      <c r="H71" s="661"/>
      <c r="I71" s="648"/>
      <c r="J71" s="685"/>
      <c r="K71" s="661"/>
      <c r="L71" s="661"/>
      <c r="M71" s="661"/>
      <c r="N71" s="648"/>
      <c r="O71" s="686"/>
      <c r="P71" s="686"/>
      <c r="Q71" s="753"/>
      <c r="R71" s="798">
        <f ca="1">+'Summary TCM'!E91</f>
        <v>0</v>
      </c>
      <c r="S71" s="798">
        <f ca="1">+'Summary TCM'!F91</f>
        <v>0</v>
      </c>
      <c r="T71" s="702">
        <f>+'Summary TCM'!G91</f>
        <v>0</v>
      </c>
      <c r="U71" s="702">
        <f>+'Summary TCM'!H91</f>
        <v>0</v>
      </c>
      <c r="V71" s="677">
        <f>+'Summary TCM'!I91</f>
        <v>0</v>
      </c>
      <c r="W71" s="677">
        <f>+'Summary TCM'!K91</f>
        <v>0</v>
      </c>
      <c r="X71" s="677">
        <f>+'Summary TCM'!L91</f>
        <v>0</v>
      </c>
      <c r="Z71" s="648"/>
      <c r="AA71" s="648"/>
      <c r="AB71" s="648"/>
      <c r="AC71" s="648"/>
      <c r="AD71" s="677" t="s">
        <v>76</v>
      </c>
      <c r="AE71" s="702">
        <f ca="1">+'Summary TCM'!E100</f>
        <v>207724.34280113198</v>
      </c>
      <c r="AF71" s="702">
        <f>+'Summary TCM'!G100</f>
        <v>120000</v>
      </c>
      <c r="AG71" s="702">
        <f ca="1">+'Summary TCM'!H100</f>
        <v>-87724.342801131977</v>
      </c>
      <c r="AH71" s="702">
        <f>+'Summary TCM'!I100</f>
        <v>0</v>
      </c>
      <c r="AI71" s="677">
        <f>+'Summary TCM'!K100</f>
        <v>0</v>
      </c>
      <c r="AJ71" s="677">
        <f>+'Summary TCM'!L100</f>
        <v>0</v>
      </c>
    </row>
    <row r="72" spans="4:36" ht="21">
      <c r="D72" s="175"/>
      <c r="E72" s="668" t="s">
        <v>83</v>
      </c>
      <c r="F72" s="661">
        <f>'Summary TCM'!E20</f>
        <v>0</v>
      </c>
      <c r="G72" s="661"/>
      <c r="H72" s="661"/>
      <c r="I72" s="648"/>
      <c r="J72" s="672"/>
      <c r="K72" s="648"/>
      <c r="L72" s="648"/>
      <c r="M72" s="648"/>
      <c r="N72" s="648"/>
      <c r="O72" s="686"/>
      <c r="P72" s="686"/>
      <c r="Q72" s="1323" t="s">
        <v>84</v>
      </c>
      <c r="R72" s="1324">
        <f ca="1">'Summary TIS'!D43</f>
        <v>41431</v>
      </c>
      <c r="S72" s="1324" t="e">
        <f ca="1">S74+S75</f>
        <v>#REF!</v>
      </c>
      <c r="T72" s="1392">
        <f>T74+T75</f>
        <v>180000</v>
      </c>
      <c r="U72" s="1392" t="e">
        <f ca="1">T72-S72</f>
        <v>#REF!</v>
      </c>
      <c r="V72" s="1393"/>
      <c r="W72" s="1393"/>
      <c r="X72" s="1393"/>
      <c r="Z72" s="648"/>
      <c r="AA72" s="648"/>
      <c r="AB72" s="648"/>
      <c r="AC72" s="648"/>
      <c r="AD72" s="677" t="s">
        <v>77</v>
      </c>
      <c r="AE72" s="702">
        <f ca="1">+'Summary TCM'!E101</f>
        <v>169617.50486498058</v>
      </c>
      <c r="AF72" s="702">
        <f>+'Summary TCM'!G101</f>
        <v>120000</v>
      </c>
      <c r="AG72" s="702">
        <f ca="1">+'Summary TCM'!H101</f>
        <v>-49617.504864980583</v>
      </c>
      <c r="AH72" s="702">
        <f>+'Summary TCM'!I101</f>
        <v>0</v>
      </c>
      <c r="AI72" s="677">
        <f>+'Summary TCM'!K101</f>
        <v>0</v>
      </c>
      <c r="AJ72" s="677">
        <f>+'Summary TCM'!L101</f>
        <v>0</v>
      </c>
    </row>
    <row r="73" spans="4:36" ht="20.399999999999999">
      <c r="D73" s="175"/>
      <c r="E73" s="677" t="s">
        <v>18</v>
      </c>
      <c r="F73" s="661">
        <f ca="1">'Summary TCM'!E19</f>
        <v>0</v>
      </c>
      <c r="G73" s="661"/>
      <c r="H73" s="661"/>
      <c r="I73" s="648"/>
      <c r="J73" s="648"/>
      <c r="K73" s="648"/>
      <c r="L73" s="648"/>
      <c r="M73" s="648"/>
      <c r="N73" s="648"/>
      <c r="O73" s="686"/>
      <c r="P73" s="686"/>
      <c r="Q73" s="648"/>
      <c r="R73" s="807"/>
      <c r="S73" s="789">
        <f>SUM(R74:R76)</f>
        <v>0</v>
      </c>
      <c r="T73" s="790"/>
      <c r="U73" s="790"/>
      <c r="V73" s="790"/>
      <c r="W73" s="790"/>
      <c r="X73" s="790"/>
      <c r="Y73" s="790"/>
      <c r="Z73" s="648"/>
      <c r="AA73" s="648"/>
      <c r="AB73" s="648"/>
      <c r="AC73" s="648"/>
      <c r="AD73" s="677" t="s">
        <v>78</v>
      </c>
      <c r="AE73" s="702">
        <f ca="1">+'Summary TCM'!E102</f>
        <v>0</v>
      </c>
      <c r="AF73" s="702">
        <f>+'Summary TCM'!G102</f>
        <v>120000</v>
      </c>
      <c r="AG73" s="702">
        <f ca="1">+'Summary TCM'!H102</f>
        <v>120000</v>
      </c>
      <c r="AH73" s="702">
        <f>+'Summary TCM'!I102</f>
        <v>0</v>
      </c>
      <c r="AI73" s="677">
        <f>+'Summary TCM'!K102</f>
        <v>0</v>
      </c>
      <c r="AJ73" s="677">
        <f>+'Summary TCM'!L102</f>
        <v>0</v>
      </c>
    </row>
    <row r="74" spans="4:36" ht="23.4" customHeight="1">
      <c r="D74" s="175"/>
      <c r="E74" s="648"/>
      <c r="F74" s="648"/>
      <c r="G74" s="648"/>
      <c r="H74" s="648"/>
      <c r="I74" s="648"/>
      <c r="J74" s="648"/>
      <c r="K74" s="648"/>
      <c r="L74" s="648"/>
      <c r="M74" s="648"/>
      <c r="N74" s="686"/>
      <c r="O74" s="686"/>
      <c r="P74" s="648"/>
      <c r="Q74" s="677" t="s">
        <v>71</v>
      </c>
      <c r="R74" s="702"/>
      <c r="S74" s="702">
        <f ca="1">'Summary TIS'!D43</f>
        <v>41431</v>
      </c>
      <c r="T74" s="702">
        <f>'Summary TIS'!F46</f>
        <v>80000</v>
      </c>
      <c r="U74" s="702">
        <f>+'Summary TCM'!H93</f>
        <v>0</v>
      </c>
      <c r="V74" s="702">
        <f>+'Summary TCM'!I93</f>
        <v>0</v>
      </c>
      <c r="W74" s="677">
        <f>+'Summary TCM'!K93</f>
        <v>0</v>
      </c>
      <c r="X74" s="677">
        <f>+'Summary TCM'!L93</f>
        <v>0</v>
      </c>
      <c r="Y74" s="648"/>
      <c r="Z74" s="648"/>
      <c r="AA74" s="648"/>
      <c r="AB74" s="648"/>
      <c r="AC74" s="648"/>
      <c r="AD74" s="648"/>
      <c r="AE74" s="648"/>
      <c r="AF74" s="648"/>
      <c r="AG74" s="648"/>
      <c r="AH74" s="648"/>
      <c r="AI74" s="648"/>
      <c r="AJ74" s="734"/>
    </row>
    <row r="75" spans="4:36" ht="17.399999999999999" customHeight="1">
      <c r="D75" s="175"/>
      <c r="E75" s="648"/>
      <c r="F75" s="648"/>
      <c r="G75" s="2575" t="s">
        <v>85</v>
      </c>
      <c r="H75" s="2576"/>
      <c r="I75" s="2576"/>
      <c r="J75" s="2576"/>
      <c r="K75" s="648"/>
      <c r="L75" s="648"/>
      <c r="M75" s="648"/>
      <c r="N75" s="686"/>
      <c r="O75" s="686"/>
      <c r="P75" s="648"/>
      <c r="Q75" s="677" t="s">
        <v>86</v>
      </c>
      <c r="R75" s="702">
        <f>+'Summary TCM'!E95</f>
        <v>0</v>
      </c>
      <c r="S75" s="702" t="e">
        <f>#REF!+#REF!</f>
        <v>#REF!</v>
      </c>
      <c r="T75" s="702">
        <f>'Summary TIS'!F47</f>
        <v>100000</v>
      </c>
      <c r="U75" s="702">
        <f>+'Summary TCM'!H95</f>
        <v>0</v>
      </c>
      <c r="V75" s="702">
        <f>+'Summary TCM'!I95</f>
        <v>0</v>
      </c>
      <c r="W75" s="677">
        <f>+'Summary TCM'!K95</f>
        <v>0</v>
      </c>
      <c r="X75" s="677">
        <f>+'Summary TCM'!L95</f>
        <v>0</v>
      </c>
      <c r="Y75" s="648"/>
      <c r="Z75" s="648"/>
      <c r="AA75" s="648"/>
      <c r="AB75" s="648"/>
      <c r="AC75" s="648"/>
      <c r="AD75" s="648"/>
      <c r="AE75" s="648"/>
      <c r="AF75" s="648"/>
      <c r="AG75" s="648"/>
      <c r="AH75" s="648"/>
      <c r="AI75" s="648"/>
      <c r="AJ75" s="734"/>
    </row>
    <row r="76" spans="4:36" ht="23.4" customHeight="1">
      <c r="D76" s="175"/>
      <c r="E76" s="648"/>
      <c r="F76" s="648"/>
      <c r="G76" s="687" t="s">
        <v>32</v>
      </c>
      <c r="H76" s="688" t="s">
        <v>87</v>
      </c>
      <c r="I76" s="688" t="s">
        <v>24</v>
      </c>
      <c r="J76" s="688" t="s">
        <v>25</v>
      </c>
      <c r="K76" s="648"/>
      <c r="L76" s="648"/>
      <c r="M76" s="648"/>
      <c r="N76" s="689"/>
      <c r="O76" s="689"/>
      <c r="P76" s="648"/>
      <c r="Q76" s="677"/>
      <c r="R76" s="702">
        <f>+'Summary TCM'!E97</f>
        <v>0</v>
      </c>
      <c r="S76" s="702">
        <f>+'Summary TCM'!F97</f>
        <v>0</v>
      </c>
      <c r="T76" s="702">
        <f>+'Summary TCM'!G97</f>
        <v>0</v>
      </c>
      <c r="U76" s="702">
        <f>+'Summary TCM'!H97</f>
        <v>0</v>
      </c>
      <c r="V76" s="702">
        <f>+'Summary TCM'!I97</f>
        <v>0</v>
      </c>
      <c r="W76" s="677">
        <f>+'Summary TCM'!K97</f>
        <v>0</v>
      </c>
      <c r="X76" s="677">
        <f>+'Summary TCM'!L97</f>
        <v>0</v>
      </c>
      <c r="Y76" s="648"/>
      <c r="Z76" s="648"/>
      <c r="AA76" s="648"/>
      <c r="AB76" s="648"/>
      <c r="AC76" s="648"/>
      <c r="AD76" s="648"/>
      <c r="AE76" s="648"/>
      <c r="AF76" s="648"/>
      <c r="AG76" s="648"/>
      <c r="AH76" s="648"/>
      <c r="AI76" s="648"/>
      <c r="AJ76" s="734"/>
    </row>
    <row r="77" spans="4:36" ht="21">
      <c r="D77" s="175"/>
      <c r="E77" s="648"/>
      <c r="F77" s="648"/>
      <c r="G77" s="659" t="s">
        <v>26</v>
      </c>
      <c r="H77" s="660">
        <f t="shared" ref="H77:H82" ca="1" si="1">F60+K59</f>
        <v>2985000</v>
      </c>
      <c r="I77" s="661"/>
      <c r="J77" s="661"/>
      <c r="K77" s="648"/>
      <c r="L77" s="648"/>
      <c r="M77" s="648"/>
      <c r="N77" s="690"/>
      <c r="O77" s="690"/>
      <c r="P77" s="648"/>
      <c r="Q77" s="808"/>
      <c r="R77" s="809">
        <f>SUM(R78:R80)</f>
        <v>0</v>
      </c>
      <c r="S77" s="809"/>
      <c r="T77" s="809"/>
      <c r="U77" s="809"/>
      <c r="V77" s="809"/>
      <c r="W77" s="809"/>
      <c r="X77" s="809"/>
      <c r="Y77" s="648"/>
      <c r="Z77" s="648"/>
      <c r="AA77" s="648"/>
      <c r="AB77" s="648"/>
      <c r="AC77" s="756" t="s">
        <v>88</v>
      </c>
      <c r="AD77" s="756" t="s">
        <v>23</v>
      </c>
      <c r="AE77" s="739" t="s">
        <v>24</v>
      </c>
      <c r="AF77" s="740" t="s">
        <v>25</v>
      </c>
      <c r="AG77" s="648"/>
      <c r="AH77" s="648"/>
      <c r="AI77" s="648"/>
      <c r="AJ77" s="734"/>
    </row>
    <row r="78" spans="4:36" ht="20.399999999999999">
      <c r="D78" s="175"/>
      <c r="E78" s="648"/>
      <c r="F78" s="648"/>
      <c r="G78" s="661" t="s">
        <v>27</v>
      </c>
      <c r="H78" s="660">
        <f t="shared" ca="1" si="1"/>
        <v>2418401.8069632868</v>
      </c>
      <c r="I78" s="661"/>
      <c r="J78" s="661"/>
      <c r="K78" s="648"/>
      <c r="L78" s="648"/>
      <c r="M78" s="648"/>
      <c r="N78" s="691"/>
      <c r="O78" s="691"/>
      <c r="P78" s="648"/>
      <c r="Q78" s="677"/>
      <c r="R78" s="702">
        <f>+'Summary TCM'!E94</f>
        <v>0</v>
      </c>
      <c r="S78" s="702">
        <f>+'Summary TCM'!F94</f>
        <v>0</v>
      </c>
      <c r="T78" s="702">
        <f>+'Summary TCM'!G94</f>
        <v>0</v>
      </c>
      <c r="U78" s="702">
        <f>+'Summary TCM'!H94</f>
        <v>0</v>
      </c>
      <c r="V78" s="702">
        <f>+'Summary TCM'!I94</f>
        <v>0</v>
      </c>
      <c r="W78" s="702">
        <f>+'Summary TCM'!K94</f>
        <v>0</v>
      </c>
      <c r="X78" s="702">
        <f>+'Summary TCM'!L94</f>
        <v>0</v>
      </c>
      <c r="Y78" s="648"/>
      <c r="Z78" s="648"/>
      <c r="AA78" s="648"/>
      <c r="AB78" s="648"/>
      <c r="AC78" s="661" t="s">
        <v>26</v>
      </c>
      <c r="AD78" s="702">
        <f ca="1">+'Summary TCM'!K63</f>
        <v>3010000</v>
      </c>
      <c r="AE78" s="677"/>
      <c r="AF78" s="677"/>
      <c r="AG78" s="648"/>
      <c r="AH78" s="648"/>
      <c r="AI78" s="648"/>
      <c r="AJ78" s="734"/>
    </row>
    <row r="79" spans="4:36" ht="21">
      <c r="D79" s="175"/>
      <c r="E79" s="648"/>
      <c r="F79" s="648"/>
      <c r="G79" s="662" t="s">
        <v>10</v>
      </c>
      <c r="H79" s="663">
        <f t="shared" ca="1" si="1"/>
        <v>2151889.0669632871</v>
      </c>
      <c r="I79" s="662"/>
      <c r="J79" s="662"/>
      <c r="K79" s="648"/>
      <c r="L79" s="648"/>
      <c r="M79" s="648"/>
      <c r="N79" s="648"/>
      <c r="O79" s="648"/>
      <c r="P79" s="648"/>
      <c r="Q79" s="677"/>
      <c r="R79" s="702">
        <f>+'Summary TCM'!E96</f>
        <v>0</v>
      </c>
      <c r="S79" s="702">
        <f>+'Summary TCM'!F96</f>
        <v>0</v>
      </c>
      <c r="T79" s="702">
        <f>+'Summary TCM'!G96</f>
        <v>0</v>
      </c>
      <c r="U79" s="702">
        <f>+'Summary TCM'!H96</f>
        <v>0</v>
      </c>
      <c r="V79" s="702">
        <f>+'Summary TCM'!I96</f>
        <v>0</v>
      </c>
      <c r="W79" s="702">
        <f>+'Summary TCM'!K96</f>
        <v>0</v>
      </c>
      <c r="X79" s="702">
        <f>+'Summary TCM'!L96</f>
        <v>0</v>
      </c>
      <c r="Y79" s="648"/>
      <c r="Z79" s="648"/>
      <c r="AA79" s="648"/>
      <c r="AB79" s="648"/>
      <c r="AC79" s="661" t="s">
        <v>27</v>
      </c>
      <c r="AD79" s="702">
        <f ca="1">+'Summary TCM'!L63</f>
        <v>2496103.2064999999</v>
      </c>
      <c r="AE79" s="677"/>
      <c r="AF79" s="677"/>
      <c r="AG79" s="648"/>
      <c r="AH79" s="648"/>
      <c r="AI79" s="648"/>
      <c r="AJ79" s="734"/>
    </row>
    <row r="80" spans="4:36" ht="21">
      <c r="D80" s="175"/>
      <c r="E80" s="648"/>
      <c r="F80" s="648"/>
      <c r="G80" s="661" t="s">
        <v>28</v>
      </c>
      <c r="H80" s="660">
        <f t="shared" ca="1" si="1"/>
        <v>360000</v>
      </c>
      <c r="I80" s="661"/>
      <c r="J80" s="661"/>
      <c r="K80" s="648"/>
      <c r="L80" s="648"/>
      <c r="M80" s="648"/>
      <c r="N80" s="648"/>
      <c r="O80" s="648"/>
      <c r="P80" s="755"/>
      <c r="Q80" s="677"/>
      <c r="R80" s="702">
        <f>+'Summary TCM'!E98</f>
        <v>0</v>
      </c>
      <c r="S80" s="702">
        <f>+'Summary TCM'!F98</f>
        <v>0</v>
      </c>
      <c r="T80" s="702">
        <f>+'Summary TCM'!G98</f>
        <v>0</v>
      </c>
      <c r="U80" s="702">
        <f>+'Summary TCM'!H98</f>
        <v>0</v>
      </c>
      <c r="V80" s="702">
        <f>+'Summary TCM'!I98</f>
        <v>0</v>
      </c>
      <c r="W80" s="702">
        <f>+'Summary TCM'!K98</f>
        <v>0</v>
      </c>
      <c r="X80" s="702">
        <f>+'Summary TCM'!L98</f>
        <v>0</v>
      </c>
      <c r="Y80" s="810"/>
      <c r="Z80" s="648"/>
      <c r="AA80" s="648"/>
      <c r="AB80" s="648"/>
      <c r="AC80" s="662" t="s">
        <v>10</v>
      </c>
      <c r="AD80" s="702">
        <f ca="1">+'Summary TCM'!M63</f>
        <v>2154084.6365</v>
      </c>
      <c r="AE80" s="677"/>
      <c r="AF80" s="677"/>
      <c r="AG80" s="648"/>
      <c r="AH80" s="648"/>
      <c r="AI80" s="648"/>
      <c r="AJ80" s="734"/>
    </row>
    <row r="81" spans="4:36" ht="21">
      <c r="D81" s="175"/>
      <c r="E81" s="648"/>
      <c r="F81" s="648"/>
      <c r="G81" s="661" t="s">
        <v>29</v>
      </c>
      <c r="H81" s="660">
        <f t="shared" ca="1" si="1"/>
        <v>325000</v>
      </c>
      <c r="I81" s="661"/>
      <c r="J81" s="661"/>
      <c r="K81" s="648"/>
      <c r="L81" s="648"/>
      <c r="M81" s="648"/>
      <c r="N81" s="648"/>
      <c r="O81" s="648"/>
      <c r="P81" s="648"/>
      <c r="Q81" s="2578" t="s">
        <v>89</v>
      </c>
      <c r="R81" s="2578"/>
      <c r="S81" s="761"/>
      <c r="T81" s="761"/>
      <c r="U81" s="761"/>
      <c r="V81" s="761"/>
      <c r="W81" s="761"/>
      <c r="X81" s="761"/>
      <c r="Y81" s="648"/>
      <c r="Z81" s="648"/>
      <c r="AA81" s="648"/>
      <c r="AB81" s="648"/>
      <c r="AC81" s="661" t="s">
        <v>28</v>
      </c>
      <c r="AD81" s="702">
        <f ca="1">+'Summary TCM'!F63</f>
        <v>380000</v>
      </c>
      <c r="AE81" s="677"/>
      <c r="AF81" s="677"/>
      <c r="AG81" s="648"/>
      <c r="AH81" s="648"/>
      <c r="AI81" s="648"/>
      <c r="AJ81" s="734"/>
    </row>
    <row r="82" spans="4:36" ht="21">
      <c r="D82" s="175"/>
      <c r="E82" s="648"/>
      <c r="F82" s="648"/>
      <c r="G82" s="662" t="s">
        <v>8</v>
      </c>
      <c r="H82" s="663">
        <f t="shared" si="1"/>
        <v>58487.26</v>
      </c>
      <c r="I82" s="661">
        <f ca="1">+H82/H80</f>
        <v>0.16246461111111113</v>
      </c>
      <c r="J82" s="661">
        <f ca="1">+H82/H81</f>
        <v>0.1799608</v>
      </c>
      <c r="K82" s="648"/>
      <c r="L82" s="648"/>
      <c r="M82" s="648"/>
      <c r="N82" s="648"/>
      <c r="O82" s="648"/>
      <c r="P82" s="648"/>
      <c r="Q82" s="2577" t="s">
        <v>90</v>
      </c>
      <c r="R82" s="1239" t="s">
        <v>91</v>
      </c>
      <c r="S82" s="660">
        <f ca="1">'Summary TCM'!E104</f>
        <v>38895.633435124721</v>
      </c>
      <c r="T82" s="648"/>
      <c r="U82" s="648"/>
      <c r="V82" s="648"/>
      <c r="W82" s="648"/>
      <c r="X82" s="648"/>
      <c r="Y82" s="648"/>
      <c r="Z82" s="648"/>
      <c r="AA82" s="648"/>
      <c r="AB82" s="648"/>
      <c r="AC82" s="661" t="s">
        <v>29</v>
      </c>
      <c r="AD82" s="702">
        <f ca="1">+'Summary TCM'!G63</f>
        <v>370000</v>
      </c>
      <c r="AE82" s="677"/>
      <c r="AF82" s="677"/>
      <c r="AG82" s="648"/>
      <c r="AH82" s="648"/>
      <c r="AI82" s="648"/>
      <c r="AJ82" s="734"/>
    </row>
    <row r="83" spans="4:36" ht="21">
      <c r="D83" s="175"/>
      <c r="E83" s="648"/>
      <c r="F83" s="648"/>
      <c r="G83" s="662" t="s">
        <v>34</v>
      </c>
      <c r="H83" s="660">
        <f>F66+K65</f>
        <v>683968.55820000009</v>
      </c>
      <c r="I83" s="661"/>
      <c r="J83" s="661"/>
      <c r="K83" s="648"/>
      <c r="L83" s="648"/>
      <c r="M83" s="648"/>
      <c r="N83" s="648"/>
      <c r="O83" s="648"/>
      <c r="P83" s="648"/>
      <c r="Q83" s="2577"/>
      <c r="R83" s="1239" t="s">
        <v>92</v>
      </c>
      <c r="S83" s="660">
        <f ca="1">'Summary TCM'!E105</f>
        <v>27294.683787707359</v>
      </c>
      <c r="T83" s="648"/>
      <c r="U83" s="648"/>
      <c r="V83" s="648"/>
      <c r="W83" s="648"/>
      <c r="X83" s="648"/>
      <c r="Y83" s="648"/>
      <c r="Z83" s="648"/>
      <c r="AA83" s="648"/>
      <c r="AB83" s="648"/>
      <c r="AC83" s="662" t="s">
        <v>8</v>
      </c>
      <c r="AD83" s="660">
        <f>+'Summary TCM'!H63</f>
        <v>27981.43</v>
      </c>
      <c r="AE83" s="677">
        <f ca="1">+AD83/AD81</f>
        <v>7.3635342105263152E-2</v>
      </c>
      <c r="AF83" s="677">
        <f ca="1">+AD83/AD82</f>
        <v>7.5625486486486482E-2</v>
      </c>
      <c r="AG83" s="648"/>
      <c r="AH83" s="648"/>
      <c r="AI83" s="648"/>
      <c r="AJ83" s="734"/>
    </row>
    <row r="84" spans="4:36" ht="21">
      <c r="D84" s="175"/>
      <c r="E84" s="648"/>
      <c r="F84" s="648"/>
      <c r="G84" s="661" t="s">
        <v>2</v>
      </c>
      <c r="H84" s="666">
        <f ca="1">SUM(H85:H89)</f>
        <v>7646.78</v>
      </c>
      <c r="I84" s="661"/>
      <c r="J84" s="661"/>
      <c r="K84" s="648"/>
      <c r="L84" s="648"/>
      <c r="M84" s="648"/>
      <c r="N84" s="648"/>
      <c r="O84" s="648"/>
      <c r="P84" s="648"/>
      <c r="Q84" s="648"/>
      <c r="R84" s="648"/>
      <c r="S84" s="648"/>
      <c r="T84" s="648"/>
      <c r="U84" s="648"/>
      <c r="V84" s="648"/>
      <c r="W84" s="648"/>
      <c r="X84" s="648"/>
      <c r="Y84" s="648"/>
      <c r="Z84" s="648"/>
      <c r="AA84" s="648"/>
      <c r="AB84" s="648"/>
      <c r="AC84" s="662" t="s">
        <v>34</v>
      </c>
      <c r="AD84" s="660">
        <f>'Summary TCM'!AS78</f>
        <v>529529.84</v>
      </c>
      <c r="AE84" s="677"/>
      <c r="AF84" s="677"/>
      <c r="AG84" s="648"/>
      <c r="AH84" s="648"/>
      <c r="AI84" s="648"/>
      <c r="AJ84" s="734"/>
    </row>
    <row r="85" spans="4:36" ht="21">
      <c r="D85" s="175"/>
      <c r="E85" s="648"/>
      <c r="F85" s="648"/>
      <c r="G85" s="667" t="s">
        <v>65</v>
      </c>
      <c r="H85" s="661">
        <f ca="1">F70</f>
        <v>3374.08</v>
      </c>
      <c r="I85" s="661"/>
      <c r="J85" s="661"/>
      <c r="K85" s="648"/>
      <c r="L85" s="648"/>
      <c r="M85" s="648"/>
      <c r="N85" s="648"/>
      <c r="O85" s="648"/>
      <c r="P85" s="648"/>
      <c r="Q85" s="648"/>
      <c r="R85" s="648"/>
      <c r="S85" s="648"/>
      <c r="T85" s="648"/>
      <c r="U85" s="648"/>
      <c r="V85" s="648"/>
      <c r="W85" s="648"/>
      <c r="X85" s="648"/>
      <c r="Y85" s="648"/>
      <c r="Z85" s="648"/>
      <c r="AA85" s="648"/>
      <c r="AB85" s="648"/>
      <c r="AC85" s="661" t="s">
        <v>2</v>
      </c>
      <c r="AD85" s="811">
        <f ca="1">+'Summary TCM'!E63</f>
        <v>18242.48</v>
      </c>
      <c r="AE85" s="776" t="s">
        <v>93</v>
      </c>
      <c r="AF85" s="670"/>
      <c r="AG85" s="648"/>
      <c r="AH85" s="648"/>
      <c r="AI85" s="648"/>
      <c r="AJ85" s="734"/>
    </row>
    <row r="86" spans="4:36" ht="21">
      <c r="D86" s="175"/>
      <c r="E86" s="648"/>
      <c r="F86" s="648"/>
      <c r="G86" s="667" t="s">
        <v>17</v>
      </c>
      <c r="H86" s="661">
        <f ca="1">F71</f>
        <v>1472.7</v>
      </c>
      <c r="I86" s="661"/>
      <c r="J86" s="661"/>
      <c r="K86" s="648"/>
      <c r="L86" s="648"/>
      <c r="M86" s="648"/>
      <c r="N86" s="648"/>
      <c r="O86" s="648"/>
      <c r="P86" s="648"/>
      <c r="Q86" s="648"/>
      <c r="R86" s="648"/>
      <c r="S86" s="648"/>
      <c r="T86" s="648"/>
      <c r="U86" s="648"/>
      <c r="V86" s="648"/>
      <c r="W86" s="648"/>
      <c r="X86" s="648"/>
      <c r="Y86" s="648"/>
      <c r="Z86" s="648"/>
      <c r="AA86" s="648"/>
      <c r="AB86" s="648"/>
      <c r="AC86" s="786" t="s">
        <v>76</v>
      </c>
      <c r="AD86" s="660">
        <f ca="1">+'Summary TCM'!E64</f>
        <v>11864.444</v>
      </c>
      <c r="AE86" s="812">
        <f ca="1">+'Summary TCM'!E72</f>
        <v>0</v>
      </c>
      <c r="AF86" s="813"/>
      <c r="AG86" s="648"/>
      <c r="AH86" s="648"/>
      <c r="AI86" s="648"/>
      <c r="AJ86" s="734"/>
    </row>
    <row r="87" spans="4:36" ht="21.6" thickBot="1">
      <c r="D87" s="175"/>
      <c r="E87" s="648"/>
      <c r="F87" s="648"/>
      <c r="G87" s="668" t="s">
        <v>83</v>
      </c>
      <c r="H87" s="661">
        <f>F72+K67</f>
        <v>0</v>
      </c>
      <c r="I87" s="661"/>
      <c r="J87" s="661"/>
      <c r="K87" s="648"/>
      <c r="L87" s="648"/>
      <c r="M87" s="648"/>
      <c r="N87" s="648"/>
      <c r="O87" s="648"/>
      <c r="P87" s="648"/>
      <c r="Q87" s="648"/>
      <c r="R87" s="648"/>
      <c r="S87" s="648"/>
      <c r="T87" s="648"/>
      <c r="U87" s="648"/>
      <c r="V87" s="648"/>
      <c r="W87" s="648"/>
      <c r="X87" s="648"/>
      <c r="Y87" s="648"/>
      <c r="Z87" s="648"/>
      <c r="AA87" s="648"/>
      <c r="AB87" s="648"/>
      <c r="AC87" s="814" t="s">
        <v>77</v>
      </c>
      <c r="AD87" s="815">
        <f ca="1">+'Summary TCM'!E65</f>
        <v>6378.0360000000001</v>
      </c>
      <c r="AE87" s="816"/>
      <c r="AF87" s="817"/>
      <c r="AG87" s="648"/>
      <c r="AH87" s="648"/>
      <c r="AI87" s="648"/>
      <c r="AJ87" s="734"/>
    </row>
    <row r="88" spans="4:36" ht="23.4" customHeight="1">
      <c r="D88" s="175"/>
      <c r="E88" s="648"/>
      <c r="F88" s="648"/>
      <c r="G88" s="677" t="s">
        <v>18</v>
      </c>
      <c r="H88" s="678">
        <f ca="1">'Summary TCM'!E19+'Summary TCM'!E125</f>
        <v>2800</v>
      </c>
      <c r="I88" s="661"/>
      <c r="J88" s="661"/>
      <c r="K88" s="648"/>
      <c r="L88" s="692"/>
      <c r="M88" s="2571" t="s">
        <v>8</v>
      </c>
      <c r="N88" s="2572"/>
      <c r="O88" s="2573"/>
      <c r="P88" s="648"/>
      <c r="Q88" s="648"/>
      <c r="R88" s="648"/>
      <c r="S88" s="648"/>
      <c r="T88" s="648"/>
      <c r="U88" s="648"/>
      <c r="V88" s="648"/>
      <c r="W88" s="648"/>
      <c r="X88" s="648"/>
      <c r="Y88" s="648"/>
      <c r="Z88" s="648"/>
      <c r="AA88" s="648"/>
      <c r="AB88" s="648"/>
      <c r="AC88" s="659" t="s">
        <v>78</v>
      </c>
      <c r="AD88" s="660">
        <f ca="1">'Summary TCM'!E66</f>
        <v>0</v>
      </c>
      <c r="AE88" s="818"/>
      <c r="AF88" s="817"/>
      <c r="AG88" s="648"/>
      <c r="AH88" s="648"/>
      <c r="AI88" s="648"/>
      <c r="AJ88" s="734"/>
    </row>
    <row r="89" spans="4:36" ht="24.6" customHeight="1">
      <c r="D89" s="175"/>
      <c r="E89" s="648"/>
      <c r="F89" s="648"/>
      <c r="G89" s="677"/>
      <c r="H89" s="661"/>
      <c r="I89" s="661"/>
      <c r="J89" s="661"/>
      <c r="K89" s="693"/>
      <c r="L89" s="694" t="s">
        <v>94</v>
      </c>
      <c r="M89" s="695" t="s">
        <v>28</v>
      </c>
      <c r="N89" s="695" t="s">
        <v>95</v>
      </c>
      <c r="O89" s="696" t="s">
        <v>33</v>
      </c>
      <c r="P89" s="648"/>
      <c r="Q89" s="648"/>
      <c r="R89" s="648"/>
      <c r="S89" s="648"/>
      <c r="T89" s="648"/>
      <c r="U89" s="648"/>
      <c r="V89" s="648"/>
      <c r="W89" s="648"/>
      <c r="X89" s="648"/>
      <c r="Y89" s="648"/>
      <c r="Z89" s="648"/>
      <c r="AA89" s="648"/>
      <c r="AB89" s="648"/>
      <c r="AC89" s="819"/>
      <c r="AD89" s="691"/>
      <c r="AE89" s="820"/>
      <c r="AF89" s="817"/>
      <c r="AG89" s="648"/>
      <c r="AH89" s="648"/>
      <c r="AI89" s="648"/>
      <c r="AJ89" s="734"/>
    </row>
    <row r="90" spans="4:36" ht="24.6" customHeight="1">
      <c r="D90" s="175"/>
      <c r="E90" s="693"/>
      <c r="F90" s="692"/>
      <c r="G90" s="2568" t="s">
        <v>8</v>
      </c>
      <c r="H90" s="2569"/>
      <c r="I90" s="2570"/>
      <c r="J90" s="697"/>
      <c r="K90" s="698" t="s">
        <v>96</v>
      </c>
      <c r="L90" s="677">
        <f ca="1">'Summary TCM'!E126</f>
        <v>7.177142857142857</v>
      </c>
      <c r="M90" s="699">
        <f ca="1">'Summary TCM'!F126</f>
        <v>10.285714285714286</v>
      </c>
      <c r="N90" s="700">
        <f>'Summary TCM'!H126</f>
        <v>11.031971456555198</v>
      </c>
      <c r="O90" s="701">
        <f ca="1">+IFERROR(N90/M90,"")</f>
        <v>1.0725527804984218</v>
      </c>
      <c r="P90" s="648"/>
      <c r="Q90" s="648"/>
      <c r="R90" s="648"/>
      <c r="S90" s="648"/>
      <c r="T90" s="648"/>
      <c r="U90" s="648"/>
      <c r="V90" s="648"/>
      <c r="W90" s="648"/>
      <c r="X90" s="648"/>
      <c r="Y90" s="648"/>
      <c r="Z90" s="648"/>
      <c r="AA90" s="648"/>
      <c r="AB90" s="648"/>
      <c r="AC90" s="819"/>
      <c r="AD90" s="691"/>
      <c r="AE90" s="820"/>
      <c r="AF90" s="817"/>
      <c r="AG90" s="648"/>
      <c r="AH90" s="648"/>
      <c r="AI90" s="648"/>
      <c r="AJ90" s="734"/>
    </row>
    <row r="91" spans="4:36" ht="24.6" customHeight="1">
      <c r="D91" s="175"/>
      <c r="E91" s="648"/>
      <c r="F91" s="694" t="s">
        <v>94</v>
      </c>
      <c r="G91" s="695" t="s">
        <v>28</v>
      </c>
      <c r="H91" s="695" t="s">
        <v>95</v>
      </c>
      <c r="I91" s="696" t="s">
        <v>33</v>
      </c>
      <c r="J91" s="692"/>
      <c r="K91" s="661" t="s">
        <v>66</v>
      </c>
      <c r="L91" s="677" t="str">
        <f>'Summary TCM'!E127</f>
        <v/>
      </c>
      <c r="M91" s="677"/>
      <c r="N91" s="700" t="str">
        <f>'Summary TCM'!H127</f>
        <v/>
      </c>
      <c r="O91" s="701" t="str">
        <f>+IFERROR(N91/March,"")</f>
        <v/>
      </c>
      <c r="P91" s="648"/>
      <c r="Q91" s="648"/>
      <c r="R91" s="648"/>
      <c r="S91" s="648"/>
      <c r="T91" s="648"/>
      <c r="U91" s="648"/>
      <c r="V91" s="648"/>
      <c r="W91" s="648"/>
      <c r="X91" s="648"/>
      <c r="Y91" s="648"/>
      <c r="Z91" s="648"/>
      <c r="AA91" s="648"/>
      <c r="AB91" s="648"/>
      <c r="AC91" s="819"/>
      <c r="AD91" s="691"/>
      <c r="AE91" s="820"/>
      <c r="AF91" s="817"/>
      <c r="AG91" s="648"/>
      <c r="AH91" s="648"/>
      <c r="AI91" s="648"/>
      <c r="AJ91" s="734"/>
    </row>
    <row r="92" spans="4:36" ht="24.6" customHeight="1">
      <c r="D92" s="175"/>
      <c r="E92" s="698" t="s">
        <v>97</v>
      </c>
      <c r="F92" s="702">
        <f ca="1">'Summary TCM'!E23</f>
        <v>27.57913501334907</v>
      </c>
      <c r="G92" s="699">
        <f ca="1">'Summary TCM'!F23</f>
        <v>14.844827586206897</v>
      </c>
      <c r="H92" s="700">
        <f>'Summary TCM'!H23</f>
        <v>21.152795697805502</v>
      </c>
      <c r="I92" s="701">
        <f ca="1">+IFERROR(H92/G92,"")</f>
        <v>1.4249270040333555</v>
      </c>
      <c r="J92" s="703"/>
      <c r="K92" s="661" t="s">
        <v>18</v>
      </c>
      <c r="L92" s="677">
        <f ca="1">'Summary TCM'!E128</f>
        <v>7.177142857142857</v>
      </c>
      <c r="M92" s="677"/>
      <c r="N92" s="700">
        <f>'Summary TCM'!H128</f>
        <v>11.031971456555198</v>
      </c>
      <c r="O92" s="701" t="str">
        <f>+IFERROR(N92/March,"")</f>
        <v/>
      </c>
      <c r="P92" s="648"/>
      <c r="Q92" s="648"/>
      <c r="R92" s="648"/>
      <c r="S92" s="648"/>
      <c r="T92" s="648"/>
      <c r="U92" s="648"/>
      <c r="V92" s="648"/>
      <c r="W92" s="648"/>
      <c r="X92" s="648"/>
      <c r="Y92" s="648"/>
      <c r="Z92" s="648"/>
      <c r="AA92" s="648"/>
      <c r="AB92" s="648"/>
      <c r="AC92" s="819"/>
      <c r="AD92" s="691"/>
      <c r="AE92" s="820"/>
      <c r="AF92" s="817"/>
      <c r="AG92" s="648"/>
      <c r="AH92" s="648"/>
      <c r="AI92" s="648"/>
      <c r="AJ92" s="734"/>
    </row>
    <row r="93" spans="4:36" ht="24.6" customHeight="1">
      <c r="D93" s="175"/>
      <c r="E93" s="661" t="s">
        <v>16</v>
      </c>
      <c r="F93" s="702">
        <f ca="1">'Summary TCM'!E24</f>
        <v>26.240041729893779</v>
      </c>
      <c r="G93" s="699">
        <f ca="1">'Summary TCM'!F24</f>
        <v>14.021276595744681</v>
      </c>
      <c r="H93" s="700">
        <f>'Summary TCM'!H24</f>
        <v>23.08783544154155</v>
      </c>
      <c r="I93" s="701">
        <f ca="1">+IFERROR(H93/G93,"")</f>
        <v>1.6466286278489422</v>
      </c>
      <c r="J93" s="703"/>
      <c r="K93" s="673"/>
      <c r="L93" s="704"/>
      <c r="M93" s="705"/>
      <c r="N93" s="706"/>
      <c r="O93" s="707"/>
      <c r="P93" s="648"/>
      <c r="Q93" s="648"/>
      <c r="R93" s="648"/>
      <c r="S93" s="648"/>
      <c r="T93" s="648"/>
      <c r="U93" s="648"/>
      <c r="V93" s="648"/>
      <c r="W93" s="648"/>
      <c r="X93" s="648"/>
      <c r="Y93" s="648"/>
      <c r="Z93" s="648"/>
      <c r="AA93" s="648"/>
      <c r="AB93" s="648"/>
      <c r="AC93" s="819"/>
      <c r="AD93" s="691"/>
      <c r="AE93" s="820"/>
      <c r="AF93" s="817"/>
      <c r="AG93" s="648"/>
      <c r="AH93" s="648"/>
      <c r="AI93" s="648"/>
      <c r="AJ93" s="734"/>
    </row>
    <row r="94" spans="4:36" ht="24.6" customHeight="1">
      <c r="D94" s="175"/>
      <c r="E94" s="661"/>
      <c r="F94" s="702"/>
      <c r="G94" s="699"/>
      <c r="H94" s="700"/>
      <c r="I94" s="701" t="str">
        <f>+IFERROR(H94/G94,"")</f>
        <v/>
      </c>
      <c r="J94" s="703"/>
      <c r="K94" s="648"/>
      <c r="L94" s="708"/>
      <c r="M94" s="651"/>
      <c r="N94" s="648"/>
      <c r="O94" s="648"/>
      <c r="P94" s="648"/>
      <c r="Q94" s="648"/>
      <c r="R94" s="648"/>
      <c r="S94" s="648"/>
      <c r="T94" s="648"/>
      <c r="U94" s="648"/>
      <c r="V94" s="648"/>
      <c r="W94" s="648"/>
      <c r="X94" s="648"/>
      <c r="Y94" s="648"/>
      <c r="Z94" s="648"/>
      <c r="AA94" s="648"/>
      <c r="AB94" s="648"/>
      <c r="AC94" s="819"/>
      <c r="AD94" s="691"/>
      <c r="AE94" s="820"/>
      <c r="AF94" s="817"/>
      <c r="AG94" s="648"/>
      <c r="AH94" s="648"/>
      <c r="AI94" s="648"/>
      <c r="AJ94" s="734"/>
    </row>
    <row r="95" spans="4:36" ht="24.6" customHeight="1">
      <c r="D95" s="175"/>
      <c r="E95" s="661" t="s">
        <v>17</v>
      </c>
      <c r="F95" s="702">
        <f ca="1">'Summary TCM'!E25</f>
        <v>24.085013920010862</v>
      </c>
      <c r="G95" s="699">
        <f ca="1">'Summary TCM'!F25</f>
        <v>18.363636363636363</v>
      </c>
      <c r="H95" s="700">
        <f>'Summary TCM'!H25</f>
        <v>15.821289357697166</v>
      </c>
      <c r="I95" s="701">
        <f ca="1">+IFERROR(H95/G95,"")</f>
        <v>0.86155536106271702</v>
      </c>
      <c r="J95" s="708"/>
      <c r="K95" s="708"/>
      <c r="L95" s="648"/>
      <c r="M95" s="648"/>
      <c r="N95" s="648"/>
      <c r="O95" s="648"/>
      <c r="P95" s="648"/>
      <c r="Q95" s="648"/>
      <c r="R95" s="648"/>
      <c r="S95" s="648"/>
      <c r="T95" s="648"/>
      <c r="U95" s="648"/>
      <c r="V95" s="648"/>
      <c r="W95" s="648"/>
      <c r="X95" s="648"/>
      <c r="Y95" s="648"/>
      <c r="Z95" s="648"/>
      <c r="AA95" s="648"/>
      <c r="AB95" s="648"/>
      <c r="AC95" s="819"/>
      <c r="AD95" s="691"/>
      <c r="AE95" s="820"/>
      <c r="AF95" s="817"/>
      <c r="AG95" s="648"/>
      <c r="AH95" s="648"/>
      <c r="AI95" s="648"/>
      <c r="AJ95" s="734"/>
    </row>
    <row r="96" spans="4:36" ht="24.6" customHeight="1">
      <c r="D96" s="175"/>
      <c r="E96" s="661" t="s">
        <v>18</v>
      </c>
      <c r="F96" s="702" t="str">
        <f ca="1">'Summary TCM'!E26</f>
        <v/>
      </c>
      <c r="G96" s="699"/>
      <c r="H96" s="700">
        <f>'Summary TCM'!H26</f>
        <v>48.749425863292828</v>
      </c>
      <c r="I96" s="701" t="str">
        <f>+IFERROR(H96/G96,"")</f>
        <v/>
      </c>
      <c r="J96" s="708"/>
      <c r="K96" s="708"/>
      <c r="L96" s="648"/>
      <c r="M96" s="648"/>
      <c r="N96" s="648"/>
      <c r="O96" s="648"/>
      <c r="P96" s="648"/>
      <c r="Q96" s="648"/>
      <c r="R96" s="648"/>
      <c r="S96" s="648"/>
      <c r="T96" s="648"/>
      <c r="U96" s="648"/>
      <c r="V96" s="648"/>
      <c r="W96" s="648"/>
      <c r="X96" s="648"/>
      <c r="Y96" s="648"/>
      <c r="Z96" s="648"/>
      <c r="AA96" s="648"/>
      <c r="AB96" s="648"/>
      <c r="AC96" s="819"/>
      <c r="AD96" s="821"/>
      <c r="AE96" s="820"/>
      <c r="AF96" s="817"/>
      <c r="AG96" s="648"/>
      <c r="AH96" s="648"/>
      <c r="AI96" s="648"/>
      <c r="AJ96" s="734"/>
    </row>
    <row r="97" spans="4:36" ht="24.6" customHeight="1" thickBot="1">
      <c r="D97" s="175"/>
      <c r="E97" s="709"/>
      <c r="F97" s="691"/>
      <c r="G97" s="648"/>
      <c r="H97" s="710"/>
      <c r="I97" s="708"/>
      <c r="J97" s="711"/>
      <c r="K97" s="711"/>
      <c r="L97" s="648"/>
      <c r="M97" s="648"/>
      <c r="N97" s="648"/>
      <c r="O97" s="648"/>
      <c r="P97" s="648"/>
      <c r="Q97" s="648"/>
      <c r="R97" s="648"/>
      <c r="S97" s="648"/>
      <c r="T97" s="648"/>
      <c r="U97" s="648"/>
      <c r="V97" s="648"/>
      <c r="W97" s="648"/>
      <c r="X97" s="648"/>
      <c r="Y97" s="648"/>
      <c r="Z97" s="648"/>
      <c r="AA97" s="648"/>
      <c r="AB97" s="648"/>
      <c r="AC97" s="819"/>
      <c r="AD97" s="691"/>
      <c r="AE97" s="820"/>
      <c r="AF97" s="817"/>
      <c r="AG97" s="648"/>
      <c r="AH97" s="648"/>
      <c r="AI97" s="648"/>
      <c r="AJ97" s="734"/>
    </row>
    <row r="98" spans="4:36" ht="24.6" customHeight="1">
      <c r="D98" s="175"/>
      <c r="E98" s="709"/>
      <c r="F98" s="691"/>
      <c r="G98" s="693"/>
      <c r="H98" s="692"/>
      <c r="I98" s="712" t="s">
        <v>8</v>
      </c>
      <c r="J98" s="713"/>
      <c r="K98" s="714"/>
      <c r="L98" s="648"/>
      <c r="M98" s="648"/>
      <c r="N98" s="648"/>
      <c r="O98" s="648"/>
      <c r="P98" s="648"/>
      <c r="Q98" s="648"/>
      <c r="R98" s="648"/>
      <c r="S98" s="648"/>
      <c r="T98" s="648"/>
      <c r="U98" s="648"/>
      <c r="V98" s="648"/>
      <c r="W98" s="648"/>
      <c r="X98" s="648"/>
      <c r="Y98" s="648"/>
      <c r="Z98" s="648"/>
      <c r="AA98" s="648"/>
      <c r="AB98" s="648"/>
      <c r="AC98" s="819"/>
      <c r="AD98" s="691"/>
      <c r="AE98" s="820"/>
      <c r="AF98" s="817"/>
      <c r="AG98" s="648"/>
      <c r="AH98" s="648"/>
      <c r="AI98" s="648"/>
      <c r="AJ98" s="734"/>
    </row>
    <row r="99" spans="4:36" ht="24.6" customHeight="1">
      <c r="D99" s="175"/>
      <c r="E99" s="648"/>
      <c r="F99" s="715"/>
      <c r="G99" s="648"/>
      <c r="H99" s="716" t="s">
        <v>94</v>
      </c>
      <c r="I99" s="695" t="s">
        <v>28</v>
      </c>
      <c r="J99" s="695" t="s">
        <v>95</v>
      </c>
      <c r="K99" s="696" t="s">
        <v>33</v>
      </c>
      <c r="L99" s="648"/>
      <c r="M99" s="648"/>
      <c r="N99" s="648"/>
      <c r="O99" s="648"/>
      <c r="P99" s="648"/>
      <c r="Q99" s="651"/>
      <c r="R99" s="651"/>
      <c r="S99" s="648"/>
      <c r="T99" s="648"/>
      <c r="U99" s="648"/>
      <c r="V99" s="648"/>
      <c r="W99" s="648"/>
      <c r="X99" s="648"/>
      <c r="Y99" s="648"/>
      <c r="Z99" s="648"/>
      <c r="AA99" s="648"/>
      <c r="AB99" s="648"/>
      <c r="AC99" s="819"/>
      <c r="AD99" s="691"/>
      <c r="AE99" s="820"/>
      <c r="AF99" s="817"/>
      <c r="AG99" s="648"/>
      <c r="AH99" s="648"/>
      <c r="AI99" s="648"/>
      <c r="AJ99" s="734"/>
    </row>
    <row r="100" spans="4:36" ht="24.6" customHeight="1">
      <c r="D100" s="175"/>
      <c r="E100" s="717"/>
      <c r="F100" s="718"/>
      <c r="G100" s="719" t="s">
        <v>98</v>
      </c>
      <c r="H100" s="720">
        <f ca="1">IFERROR(H51/H84,"")</f>
        <v>20.108594728761648</v>
      </c>
      <c r="I100" s="721">
        <f ca="1">'Summary TCM'!F28</f>
        <v>13.958333333333334</v>
      </c>
      <c r="J100" s="722">
        <f>'Summary TCM'!H28</f>
        <v>18.679315803133878</v>
      </c>
      <c r="K100" s="701">
        <f t="shared" ref="K100:K105" ca="1" si="2">+IFERROR(J100/I100,"")</f>
        <v>1.3382196396275017</v>
      </c>
      <c r="L100" s="648"/>
      <c r="M100" s="648"/>
      <c r="N100" s="648"/>
      <c r="O100" s="648"/>
      <c r="P100" s="707"/>
      <c r="Q100" s="707"/>
      <c r="R100" s="651"/>
      <c r="S100" s="822"/>
      <c r="T100" s="648"/>
      <c r="U100" s="648"/>
      <c r="V100" s="648"/>
      <c r="W100" s="648"/>
      <c r="X100" s="648"/>
      <c r="Y100" s="648"/>
      <c r="Z100" s="648"/>
      <c r="AA100" s="648"/>
      <c r="AB100" s="648"/>
      <c r="AC100" s="819"/>
      <c r="AD100" s="691"/>
      <c r="AE100" s="820"/>
      <c r="AF100" s="817"/>
      <c r="AG100" s="648"/>
      <c r="AH100" s="648"/>
      <c r="AI100" s="648"/>
      <c r="AJ100" s="734"/>
    </row>
    <row r="101" spans="4:36" ht="24.6" customHeight="1">
      <c r="D101" s="175"/>
      <c r="E101" s="717"/>
      <c r="F101" s="715"/>
      <c r="G101" s="661" t="s">
        <v>16</v>
      </c>
      <c r="H101" s="677">
        <f ca="1">F93</f>
        <v>26.240041729893779</v>
      </c>
      <c r="I101" s="699">
        <f ca="1">G92</f>
        <v>14.844827586206897</v>
      </c>
      <c r="J101" s="723">
        <f>'Summary TCM'!H24</f>
        <v>23.08783544154155</v>
      </c>
      <c r="K101" s="701">
        <f t="shared" ca="1" si="2"/>
        <v>1.5552781133674911</v>
      </c>
      <c r="L101" s="648"/>
      <c r="M101" s="648"/>
      <c r="N101" s="648"/>
      <c r="O101" s="648"/>
      <c r="P101" s="707"/>
      <c r="Q101" s="707" t="e">
        <f>'Summary TCM'!March+'Summary TCM'!F121</f>
        <v>#NAME?</v>
      </c>
      <c r="R101" s="651"/>
      <c r="S101" s="822" t="e">
        <f>'Summary TCM'!March+'Summary TCM'!H121</f>
        <v>#NAME?</v>
      </c>
      <c r="T101" s="648"/>
      <c r="U101" s="648"/>
      <c r="V101" s="648"/>
      <c r="W101" s="648"/>
      <c r="X101" s="648"/>
      <c r="Y101" s="648"/>
      <c r="Z101" s="648"/>
      <c r="AA101" s="648"/>
      <c r="AB101" s="648"/>
      <c r="AC101" s="819"/>
      <c r="AD101" s="691"/>
      <c r="AE101" s="820"/>
      <c r="AF101" s="817"/>
      <c r="AG101" s="648"/>
      <c r="AH101" s="648"/>
      <c r="AI101" s="648"/>
      <c r="AJ101" s="734"/>
    </row>
    <row r="102" spans="4:36" ht="21">
      <c r="D102" s="175"/>
      <c r="E102" s="724"/>
      <c r="F102" s="648"/>
      <c r="G102" s="661" t="s">
        <v>17</v>
      </c>
      <c r="H102" s="677">
        <f ca="1">F95</f>
        <v>24.085013920010862</v>
      </c>
      <c r="I102" s="699">
        <f ca="1">G93</f>
        <v>14.021276595744681</v>
      </c>
      <c r="J102" s="725">
        <f>'Summary TCM'!H25</f>
        <v>15.821289357697166</v>
      </c>
      <c r="K102" s="726">
        <f t="shared" ca="1" si="2"/>
        <v>1.1283772379541226</v>
      </c>
      <c r="L102" s="648"/>
      <c r="M102" s="648"/>
      <c r="N102" s="648"/>
      <c r="O102" s="648"/>
      <c r="P102" s="707"/>
      <c r="Q102" s="707" t="e">
        <f>'Summary TCM'!F124+'Summary TCM'!March</f>
        <v>#NAME?</v>
      </c>
      <c r="R102" s="651"/>
      <c r="S102" s="822" t="e">
        <f>'Summary TCM'!March+'Summary TCM'!H124</f>
        <v>#NAME?</v>
      </c>
      <c r="T102" s="648"/>
      <c r="U102" s="648"/>
      <c r="V102" s="648"/>
      <c r="W102" s="648"/>
      <c r="X102" s="648"/>
      <c r="Y102" s="648"/>
      <c r="Z102" s="648"/>
      <c r="AA102" s="648"/>
      <c r="AB102" s="648"/>
      <c r="AC102" s="819"/>
      <c r="AD102" s="691"/>
      <c r="AE102" s="820"/>
      <c r="AF102" s="817"/>
      <c r="AG102" s="648"/>
      <c r="AH102" s="648"/>
      <c r="AI102" s="648"/>
      <c r="AJ102" s="734"/>
    </row>
    <row r="103" spans="4:36" ht="21">
      <c r="D103" s="175"/>
      <c r="E103" s="724"/>
      <c r="F103" s="648"/>
      <c r="G103" s="661"/>
      <c r="H103" s="727" t="str">
        <f>IFERROR(H54/H87,"")</f>
        <v/>
      </c>
      <c r="I103" s="725" t="str">
        <f>IFERROR(Q201/Q202,"")</f>
        <v/>
      </c>
      <c r="J103" s="699"/>
      <c r="K103" s="701" t="str">
        <f t="shared" si="2"/>
        <v/>
      </c>
      <c r="L103" s="648"/>
      <c r="M103" s="648"/>
      <c r="N103" s="648"/>
      <c r="O103" s="648"/>
      <c r="P103" s="707"/>
      <c r="Q103" s="707"/>
      <c r="R103" s="651"/>
      <c r="S103" s="822"/>
      <c r="T103" s="648"/>
      <c r="U103" s="648"/>
      <c r="V103" s="648"/>
      <c r="W103" s="648"/>
      <c r="X103" s="648"/>
      <c r="Y103" s="648"/>
      <c r="Z103" s="648"/>
      <c r="AA103" s="648"/>
      <c r="AB103" s="648"/>
      <c r="AC103" s="819"/>
      <c r="AD103" s="691"/>
      <c r="AE103" s="820"/>
      <c r="AF103" s="817"/>
      <c r="AG103" s="648"/>
      <c r="AH103" s="648"/>
      <c r="AI103" s="648"/>
      <c r="AJ103" s="734"/>
    </row>
    <row r="104" spans="4:36" ht="21">
      <c r="D104" s="175"/>
      <c r="E104" s="670"/>
      <c r="F104" s="648"/>
      <c r="G104" s="728" t="s">
        <v>18</v>
      </c>
      <c r="H104" s="729">
        <f ca="1">IFERROR(H55/H88,"")</f>
        <v>10.628571428571428</v>
      </c>
      <c r="I104" s="730">
        <f ca="1">'Summary TCM'!F128</f>
        <v>10.285714285714286</v>
      </c>
      <c r="J104" s="731">
        <f>('Summary TCM'!H13+'Summary TCM'!H122)/('Summary TCM'!H19+'Summary TCM'!H125)</f>
        <v>13.400966170905248</v>
      </c>
      <c r="K104" s="701">
        <f t="shared" ca="1" si="2"/>
        <v>1.3028717110602324</v>
      </c>
      <c r="L104" s="648"/>
      <c r="M104" s="648"/>
      <c r="N104" s="648"/>
      <c r="O104" s="648"/>
      <c r="P104" s="648"/>
      <c r="Q104" s="651"/>
      <c r="R104" s="651"/>
      <c r="S104" s="648"/>
      <c r="T104" s="648"/>
      <c r="U104" s="648"/>
      <c r="V104" s="648"/>
      <c r="W104" s="648"/>
      <c r="X104" s="648"/>
      <c r="Y104" s="648"/>
      <c r="Z104" s="648"/>
      <c r="AA104" s="648"/>
      <c r="AB104" s="648"/>
      <c r="AC104" s="823"/>
      <c r="AD104" s="691"/>
      <c r="AE104" s="820"/>
      <c r="AF104" s="817"/>
      <c r="AG104" s="648"/>
      <c r="AH104" s="648"/>
      <c r="AI104" s="648"/>
      <c r="AJ104" s="734"/>
    </row>
    <row r="105" spans="4:36" ht="20.399999999999999">
      <c r="D105" s="175"/>
      <c r="E105" s="648"/>
      <c r="F105" s="648"/>
      <c r="G105" s="661"/>
      <c r="H105" s="824"/>
      <c r="I105" s="824"/>
      <c r="J105" s="824"/>
      <c r="K105" s="701" t="str">
        <f t="shared" si="2"/>
        <v/>
      </c>
      <c r="L105" s="648"/>
      <c r="M105" s="648"/>
      <c r="N105" s="648"/>
      <c r="O105" s="648"/>
      <c r="P105" s="648"/>
      <c r="Q105" s="651"/>
      <c r="R105" s="651"/>
      <c r="S105" s="648"/>
      <c r="T105" s="648"/>
      <c r="U105" s="648"/>
      <c r="V105" s="648"/>
      <c r="W105" s="648"/>
      <c r="X105" s="648"/>
      <c r="Y105" s="648"/>
      <c r="Z105" s="648"/>
      <c r="AA105" s="648"/>
      <c r="AB105" s="648"/>
      <c r="AC105" s="648"/>
      <c r="AD105" s="648"/>
      <c r="AE105" s="648"/>
      <c r="AF105" s="648"/>
      <c r="AG105" s="648"/>
      <c r="AH105" s="648"/>
      <c r="AI105" s="648"/>
      <c r="AJ105" s="734"/>
    </row>
    <row r="106" spans="4:36" ht="20.399999999999999">
      <c r="D106" s="175"/>
      <c r="E106" s="648"/>
      <c r="F106" s="648"/>
      <c r="G106" s="648"/>
      <c r="H106" s="648"/>
      <c r="I106" s="648"/>
      <c r="J106" s="648"/>
      <c r="K106" s="648"/>
      <c r="L106" s="648"/>
      <c r="M106" s="648"/>
      <c r="N106" s="648"/>
      <c r="O106" s="648"/>
      <c r="P106" s="648"/>
      <c r="Q106" s="648"/>
      <c r="R106" s="648"/>
      <c r="S106" s="648"/>
      <c r="T106" s="648"/>
      <c r="U106" s="648"/>
      <c r="V106" s="648"/>
      <c r="W106" s="648"/>
      <c r="X106" s="648"/>
      <c r="Y106" s="648"/>
      <c r="Z106" s="648"/>
      <c r="AA106" s="648"/>
      <c r="AB106" s="648"/>
      <c r="AC106" s="648"/>
      <c r="AD106" s="648"/>
      <c r="AE106" s="648"/>
      <c r="AF106" s="648"/>
      <c r="AG106" s="648"/>
      <c r="AH106" s="648"/>
      <c r="AI106" s="648"/>
      <c r="AJ106" s="734"/>
    </row>
    <row r="107" spans="4:36" ht="20.399999999999999">
      <c r="D107" s="175"/>
      <c r="E107" s="648"/>
      <c r="F107" s="648"/>
      <c r="G107" s="648"/>
      <c r="H107" s="648"/>
      <c r="I107" s="648"/>
      <c r="J107" s="648"/>
      <c r="K107" s="648"/>
      <c r="L107" s="648"/>
      <c r="M107" s="648"/>
      <c r="N107" s="648"/>
      <c r="O107" s="648"/>
      <c r="P107" s="648"/>
      <c r="Q107" s="648"/>
      <c r="R107" s="648"/>
      <c r="S107" s="648"/>
      <c r="T107" s="648"/>
      <c r="U107" s="648"/>
      <c r="V107" s="648"/>
      <c r="W107" s="648"/>
      <c r="X107" s="648"/>
      <c r="Y107" s="648"/>
      <c r="Z107" s="648"/>
      <c r="AA107" s="648"/>
      <c r="AB107" s="648"/>
      <c r="AC107" s="648"/>
      <c r="AD107" s="648"/>
      <c r="AE107" s="648"/>
      <c r="AF107" s="648"/>
      <c r="AG107" s="648"/>
      <c r="AH107" s="648"/>
      <c r="AI107" s="648"/>
      <c r="AJ107" s="734"/>
    </row>
    <row r="108" spans="4:36" ht="21" thickBot="1">
      <c r="D108" s="302"/>
      <c r="E108" s="825"/>
      <c r="F108" s="825"/>
      <c r="G108" s="825"/>
      <c r="H108" s="825"/>
      <c r="I108" s="825"/>
      <c r="J108" s="825"/>
      <c r="K108" s="825"/>
      <c r="L108" s="825"/>
      <c r="M108" s="825"/>
      <c r="N108" s="825"/>
      <c r="O108" s="825"/>
      <c r="P108" s="825"/>
      <c r="Q108" s="825"/>
      <c r="R108" s="825"/>
      <c r="S108" s="825"/>
      <c r="T108" s="825"/>
      <c r="U108" s="825"/>
      <c r="V108" s="825"/>
      <c r="W108" s="825"/>
      <c r="X108" s="825"/>
      <c r="Y108" s="825"/>
      <c r="Z108" s="825"/>
      <c r="AA108" s="825"/>
      <c r="AB108" s="825"/>
      <c r="AC108" s="825"/>
      <c r="AD108" s="825"/>
      <c r="AE108" s="825"/>
      <c r="AF108" s="825"/>
      <c r="AG108" s="825"/>
      <c r="AH108" s="825"/>
      <c r="AI108" s="825"/>
      <c r="AJ108" s="826"/>
    </row>
    <row r="116" spans="4:13">
      <c r="D116" s="827"/>
      <c r="E116" s="827"/>
      <c r="F116" s="827"/>
      <c r="G116" s="827"/>
      <c r="H116" s="827"/>
    </row>
    <row r="117" spans="4:13" ht="18" hidden="1" customHeight="1" thickBot="1">
      <c r="D117" s="827"/>
      <c r="E117" s="827"/>
      <c r="F117" s="827"/>
      <c r="G117" s="827"/>
      <c r="H117" s="827"/>
    </row>
    <row r="118" spans="4:13" ht="18" hidden="1" customHeight="1" thickBot="1">
      <c r="D118" s="827"/>
      <c r="E118" s="827"/>
      <c r="F118" s="827"/>
      <c r="G118" s="827"/>
      <c r="H118" s="827"/>
    </row>
    <row r="119" spans="4:13" ht="18" hidden="1" customHeight="1" thickBot="1">
      <c r="D119" s="828" t="s">
        <v>99</v>
      </c>
      <c r="E119" s="827"/>
      <c r="F119" s="827"/>
      <c r="G119" s="827"/>
      <c r="H119" s="827"/>
    </row>
    <row r="120" spans="4:13" ht="18" hidden="1" customHeight="1" thickBot="1">
      <c r="D120" s="827"/>
      <c r="E120" s="827"/>
      <c r="F120" s="827"/>
      <c r="G120" s="827"/>
      <c r="H120" s="827"/>
      <c r="M120" s="334" t="s">
        <v>100</v>
      </c>
    </row>
    <row r="121" spans="4:13" ht="18" hidden="1" customHeight="1" thickBot="1">
      <c r="D121" s="829">
        <v>1</v>
      </c>
      <c r="E121" s="827"/>
      <c r="F121" s="827"/>
      <c r="G121" s="827"/>
      <c r="H121" s="827"/>
    </row>
    <row r="122" spans="4:13" ht="18" hidden="1" customHeight="1" thickBot="1">
      <c r="D122" s="829">
        <v>2</v>
      </c>
      <c r="E122" s="827"/>
      <c r="F122" s="828" t="s">
        <v>101</v>
      </c>
      <c r="G122" s="827"/>
      <c r="H122" s="828" t="s">
        <v>102</v>
      </c>
      <c r="M122" s="336" t="e">
        <f t="shared" ref="M122:M152" si="3">IF(E124=0,$E$157,E124)</f>
        <v>#REF!</v>
      </c>
    </row>
    <row r="123" spans="4:13" ht="18" hidden="1" customHeight="1" thickBot="1">
      <c r="D123" s="829">
        <v>3</v>
      </c>
      <c r="E123" s="827"/>
      <c r="F123" s="827"/>
      <c r="G123" s="827">
        <f>264000/31</f>
        <v>8516.1290322580644</v>
      </c>
      <c r="H123" s="827"/>
      <c r="M123" s="336" t="e">
        <f t="shared" si="3"/>
        <v>#REF!</v>
      </c>
    </row>
    <row r="124" spans="4:13" ht="18" hidden="1" customHeight="1" thickBot="1">
      <c r="D124" s="829">
        <v>4</v>
      </c>
      <c r="E124" s="827" t="e">
        <f>#REF!+#REF!+#REF!+E123</f>
        <v>#REF!</v>
      </c>
      <c r="F124" s="830" t="e">
        <f t="shared" ref="F124:F154" si="4">IF(E124=0,$E$155,E124)</f>
        <v>#REF!</v>
      </c>
      <c r="G124" s="827">
        <f>$G$123</f>
        <v>8516.1290322580644</v>
      </c>
      <c r="H124" s="831" t="e">
        <f>IF(E124=0,$G$123,E124)+H123</f>
        <v>#REF!</v>
      </c>
      <c r="M124" s="336" t="e">
        <f t="shared" si="3"/>
        <v>#REF!</v>
      </c>
    </row>
    <row r="125" spans="4:13" ht="18" hidden="1" customHeight="1" thickBot="1">
      <c r="D125" s="829">
        <v>5</v>
      </c>
      <c r="E125" s="827" t="e">
        <f>#REF!+#REF!+#REF!+E124</f>
        <v>#REF!</v>
      </c>
      <c r="F125" s="830" t="e">
        <f t="shared" si="4"/>
        <v>#REF!</v>
      </c>
      <c r="G125" s="827">
        <f t="shared" ref="G125:G154" si="5">$G$123</f>
        <v>8516.1290322580644</v>
      </c>
      <c r="H125" s="831" t="e">
        <f t="shared" ref="H125:H154" si="6">IF(E125=0,$G$123,E125)</f>
        <v>#REF!</v>
      </c>
      <c r="M125" s="336" t="e">
        <f t="shared" si="3"/>
        <v>#REF!</v>
      </c>
    </row>
    <row r="126" spans="4:13" ht="18" hidden="1" customHeight="1" thickBot="1">
      <c r="D126" s="829">
        <v>6</v>
      </c>
      <c r="E126" s="827" t="e">
        <f>#REF!+#REF!+#REF!+E125</f>
        <v>#REF!</v>
      </c>
      <c r="F126" s="830" t="e">
        <f t="shared" si="4"/>
        <v>#REF!</v>
      </c>
      <c r="G126" s="827">
        <f t="shared" si="5"/>
        <v>8516.1290322580644</v>
      </c>
      <c r="H126" s="831" t="e">
        <f t="shared" si="6"/>
        <v>#REF!</v>
      </c>
      <c r="M126" s="336" t="e">
        <f t="shared" si="3"/>
        <v>#REF!</v>
      </c>
    </row>
    <row r="127" spans="4:13" ht="18" hidden="1" customHeight="1" thickBot="1">
      <c r="D127" s="829">
        <v>7</v>
      </c>
      <c r="E127" s="827" t="e">
        <f>#REF!+#REF!+#REF!+E126</f>
        <v>#REF!</v>
      </c>
      <c r="F127" s="830" t="e">
        <f t="shared" si="4"/>
        <v>#REF!</v>
      </c>
      <c r="G127" s="827">
        <f t="shared" si="5"/>
        <v>8516.1290322580644</v>
      </c>
      <c r="H127" s="831" t="e">
        <f t="shared" si="6"/>
        <v>#REF!</v>
      </c>
      <c r="M127" s="336" t="e">
        <f t="shared" si="3"/>
        <v>#REF!</v>
      </c>
    </row>
    <row r="128" spans="4:13" ht="18" hidden="1" customHeight="1" thickBot="1">
      <c r="D128" s="829">
        <v>8</v>
      </c>
      <c r="E128" s="827" t="e">
        <f>#REF!+#REF!+#REF!+E127</f>
        <v>#REF!</v>
      </c>
      <c r="F128" s="830" t="e">
        <f t="shared" si="4"/>
        <v>#REF!</v>
      </c>
      <c r="G128" s="827">
        <f t="shared" si="5"/>
        <v>8516.1290322580644</v>
      </c>
      <c r="H128" s="831" t="e">
        <f t="shared" si="6"/>
        <v>#REF!</v>
      </c>
      <c r="M128" s="336" t="e">
        <f t="shared" si="3"/>
        <v>#REF!</v>
      </c>
    </row>
    <row r="129" spans="4:13" ht="18" hidden="1" customHeight="1" thickBot="1">
      <c r="D129" s="829">
        <v>9</v>
      </c>
      <c r="E129" s="827" t="e">
        <f>#REF!+#REF!+#REF!+E128</f>
        <v>#REF!</v>
      </c>
      <c r="F129" s="830" t="e">
        <f t="shared" si="4"/>
        <v>#REF!</v>
      </c>
      <c r="G129" s="827">
        <f t="shared" si="5"/>
        <v>8516.1290322580644</v>
      </c>
      <c r="H129" s="831" t="e">
        <f t="shared" si="6"/>
        <v>#REF!</v>
      </c>
      <c r="M129" s="336" t="e">
        <f t="shared" si="3"/>
        <v>#REF!</v>
      </c>
    </row>
    <row r="130" spans="4:13" ht="18" hidden="1" customHeight="1" thickBot="1">
      <c r="D130" s="829">
        <v>10</v>
      </c>
      <c r="E130" s="827" t="e">
        <f>#REF!+#REF!+#REF!+E129</f>
        <v>#REF!</v>
      </c>
      <c r="F130" s="830" t="e">
        <f t="shared" si="4"/>
        <v>#REF!</v>
      </c>
      <c r="G130" s="827">
        <f t="shared" si="5"/>
        <v>8516.1290322580644</v>
      </c>
      <c r="H130" s="831" t="e">
        <f t="shared" si="6"/>
        <v>#REF!</v>
      </c>
      <c r="M130" s="336" t="e">
        <f t="shared" si="3"/>
        <v>#REF!</v>
      </c>
    </row>
    <row r="131" spans="4:13" ht="18" hidden="1" customHeight="1" thickBot="1">
      <c r="D131" s="829">
        <v>11</v>
      </c>
      <c r="E131" s="827" t="e">
        <f>#REF!+#REF!+#REF!+E130</f>
        <v>#REF!</v>
      </c>
      <c r="F131" s="830" t="e">
        <f t="shared" si="4"/>
        <v>#REF!</v>
      </c>
      <c r="G131" s="827">
        <f t="shared" si="5"/>
        <v>8516.1290322580644</v>
      </c>
      <c r="H131" s="831" t="e">
        <f t="shared" si="6"/>
        <v>#REF!</v>
      </c>
      <c r="M131" s="336" t="e">
        <f t="shared" si="3"/>
        <v>#REF!</v>
      </c>
    </row>
    <row r="132" spans="4:13" ht="18" hidden="1" customHeight="1" thickBot="1">
      <c r="D132" s="829">
        <v>12</v>
      </c>
      <c r="E132" s="827" t="e">
        <f>#REF!+#REF!+#REF!+E131</f>
        <v>#REF!</v>
      </c>
      <c r="F132" s="830" t="e">
        <f t="shared" si="4"/>
        <v>#REF!</v>
      </c>
      <c r="G132" s="827">
        <f t="shared" si="5"/>
        <v>8516.1290322580644</v>
      </c>
      <c r="H132" s="831" t="e">
        <f t="shared" si="6"/>
        <v>#REF!</v>
      </c>
      <c r="M132" s="336" t="e">
        <f t="shared" si="3"/>
        <v>#REF!</v>
      </c>
    </row>
    <row r="133" spans="4:13" ht="18" hidden="1" customHeight="1" thickBot="1">
      <c r="D133" s="829">
        <v>13</v>
      </c>
      <c r="E133" s="827" t="e">
        <f>#REF!+#REF!+#REF!+E132</f>
        <v>#REF!</v>
      </c>
      <c r="F133" s="830" t="e">
        <f t="shared" si="4"/>
        <v>#REF!</v>
      </c>
      <c r="G133" s="827">
        <f t="shared" si="5"/>
        <v>8516.1290322580644</v>
      </c>
      <c r="H133" s="831" t="e">
        <f t="shared" si="6"/>
        <v>#REF!</v>
      </c>
      <c r="M133" s="336" t="e">
        <f t="shared" si="3"/>
        <v>#REF!</v>
      </c>
    </row>
    <row r="134" spans="4:13" ht="18" hidden="1" customHeight="1" thickBot="1">
      <c r="D134" s="829">
        <v>14</v>
      </c>
      <c r="E134" s="827" t="e">
        <f>#REF!+#REF!+#REF!+E133</f>
        <v>#REF!</v>
      </c>
      <c r="F134" s="830" t="e">
        <f t="shared" si="4"/>
        <v>#REF!</v>
      </c>
      <c r="G134" s="827">
        <f t="shared" si="5"/>
        <v>8516.1290322580644</v>
      </c>
      <c r="H134" s="831" t="e">
        <f t="shared" si="6"/>
        <v>#REF!</v>
      </c>
      <c r="M134" s="336" t="e">
        <f t="shared" si="3"/>
        <v>#REF!</v>
      </c>
    </row>
    <row r="135" spans="4:13" ht="18" hidden="1" customHeight="1" thickBot="1">
      <c r="D135" s="829">
        <v>15</v>
      </c>
      <c r="E135" s="827" t="e">
        <f>#REF!+#REF!+#REF!+E134</f>
        <v>#REF!</v>
      </c>
      <c r="F135" s="830" t="e">
        <f t="shared" si="4"/>
        <v>#REF!</v>
      </c>
      <c r="G135" s="827">
        <f t="shared" si="5"/>
        <v>8516.1290322580644</v>
      </c>
      <c r="H135" s="831" t="e">
        <f t="shared" si="6"/>
        <v>#REF!</v>
      </c>
      <c r="M135" s="336" t="e">
        <f t="shared" si="3"/>
        <v>#REF!</v>
      </c>
    </row>
    <row r="136" spans="4:13" ht="18" hidden="1" customHeight="1" thickBot="1">
      <c r="D136" s="829">
        <v>16</v>
      </c>
      <c r="E136" s="827" t="e">
        <f>#REF!+#REF!+#REF!+E135</f>
        <v>#REF!</v>
      </c>
      <c r="F136" s="830" t="e">
        <f t="shared" si="4"/>
        <v>#REF!</v>
      </c>
      <c r="G136" s="827">
        <f t="shared" si="5"/>
        <v>8516.1290322580644</v>
      </c>
      <c r="H136" s="831" t="e">
        <f t="shared" si="6"/>
        <v>#REF!</v>
      </c>
      <c r="M136" s="336" t="e">
        <f t="shared" si="3"/>
        <v>#REF!</v>
      </c>
    </row>
    <row r="137" spans="4:13" ht="18" hidden="1" customHeight="1" thickBot="1">
      <c r="D137" s="829">
        <v>17</v>
      </c>
      <c r="E137" s="827" t="e">
        <f>#REF!+#REF!+#REF!+E136</f>
        <v>#REF!</v>
      </c>
      <c r="F137" s="830" t="e">
        <f t="shared" si="4"/>
        <v>#REF!</v>
      </c>
      <c r="G137" s="827">
        <f t="shared" si="5"/>
        <v>8516.1290322580644</v>
      </c>
      <c r="H137" s="831" t="e">
        <f t="shared" si="6"/>
        <v>#REF!</v>
      </c>
      <c r="M137" s="336" t="e">
        <f t="shared" si="3"/>
        <v>#REF!</v>
      </c>
    </row>
    <row r="138" spans="4:13" ht="18" hidden="1" customHeight="1" thickBot="1">
      <c r="D138" s="829">
        <v>18</v>
      </c>
      <c r="E138" s="827" t="e">
        <f>#REF!+#REF!+#REF!+E137</f>
        <v>#REF!</v>
      </c>
      <c r="F138" s="830" t="e">
        <f t="shared" si="4"/>
        <v>#REF!</v>
      </c>
      <c r="G138" s="827">
        <f t="shared" si="5"/>
        <v>8516.1290322580644</v>
      </c>
      <c r="H138" s="831" t="e">
        <f t="shared" si="6"/>
        <v>#REF!</v>
      </c>
      <c r="M138" s="336" t="e">
        <f t="shared" si="3"/>
        <v>#REF!</v>
      </c>
    </row>
    <row r="139" spans="4:13" ht="18" hidden="1" customHeight="1" thickBot="1">
      <c r="D139" s="829">
        <v>19</v>
      </c>
      <c r="E139" s="827" t="e">
        <f>#REF!+#REF!+#REF!+E138</f>
        <v>#REF!</v>
      </c>
      <c r="F139" s="830" t="e">
        <f t="shared" si="4"/>
        <v>#REF!</v>
      </c>
      <c r="G139" s="827">
        <f t="shared" si="5"/>
        <v>8516.1290322580644</v>
      </c>
      <c r="H139" s="831" t="e">
        <f t="shared" si="6"/>
        <v>#REF!</v>
      </c>
      <c r="M139" s="336" t="e">
        <f t="shared" si="3"/>
        <v>#REF!</v>
      </c>
    </row>
    <row r="140" spans="4:13" ht="18" hidden="1" customHeight="1" thickBot="1">
      <c r="D140" s="829">
        <v>20</v>
      </c>
      <c r="E140" s="827" t="e">
        <f>#REF!+#REF!+#REF!+E139</f>
        <v>#REF!</v>
      </c>
      <c r="F140" s="830" t="e">
        <f t="shared" si="4"/>
        <v>#REF!</v>
      </c>
      <c r="G140" s="827">
        <f t="shared" si="5"/>
        <v>8516.1290322580644</v>
      </c>
      <c r="H140" s="831" t="e">
        <f t="shared" si="6"/>
        <v>#REF!</v>
      </c>
      <c r="M140" s="336" t="e">
        <f t="shared" si="3"/>
        <v>#REF!</v>
      </c>
    </row>
    <row r="141" spans="4:13" ht="18" hidden="1" customHeight="1" thickBot="1">
      <c r="D141" s="829">
        <v>21</v>
      </c>
      <c r="E141" s="827" t="e">
        <f>#REF!+#REF!+#REF!+E140</f>
        <v>#REF!</v>
      </c>
      <c r="F141" s="830" t="e">
        <f t="shared" si="4"/>
        <v>#REF!</v>
      </c>
      <c r="G141" s="827">
        <f t="shared" si="5"/>
        <v>8516.1290322580644</v>
      </c>
      <c r="H141" s="831" t="e">
        <f t="shared" si="6"/>
        <v>#REF!</v>
      </c>
      <c r="M141" s="336" t="e">
        <f t="shared" si="3"/>
        <v>#REF!</v>
      </c>
    </row>
    <row r="142" spans="4:13" ht="18" hidden="1" customHeight="1" thickBot="1">
      <c r="D142" s="829">
        <v>22</v>
      </c>
      <c r="E142" s="827" t="e">
        <f>#REF!+#REF!+#REF!+E141</f>
        <v>#REF!</v>
      </c>
      <c r="F142" s="830" t="e">
        <f t="shared" si="4"/>
        <v>#REF!</v>
      </c>
      <c r="G142" s="827">
        <f t="shared" si="5"/>
        <v>8516.1290322580644</v>
      </c>
      <c r="H142" s="831" t="e">
        <f t="shared" si="6"/>
        <v>#REF!</v>
      </c>
      <c r="M142" s="336" t="e">
        <f t="shared" si="3"/>
        <v>#REF!</v>
      </c>
    </row>
    <row r="143" spans="4:13" ht="18" hidden="1" customHeight="1" thickBot="1">
      <c r="D143" s="829">
        <v>23</v>
      </c>
      <c r="E143" s="827" t="e">
        <f>#REF!+#REF!+#REF!+E142</f>
        <v>#REF!</v>
      </c>
      <c r="F143" s="830" t="e">
        <f t="shared" si="4"/>
        <v>#REF!</v>
      </c>
      <c r="G143" s="827">
        <f t="shared" si="5"/>
        <v>8516.1290322580644</v>
      </c>
      <c r="H143" s="831" t="e">
        <f t="shared" si="6"/>
        <v>#REF!</v>
      </c>
      <c r="M143" s="336" t="e">
        <f t="shared" si="3"/>
        <v>#REF!</v>
      </c>
    </row>
    <row r="144" spans="4:13" ht="18" hidden="1" customHeight="1" thickBot="1">
      <c r="D144" s="829">
        <v>24</v>
      </c>
      <c r="E144" s="827" t="e">
        <f>#REF!+#REF!+#REF!+E143</f>
        <v>#REF!</v>
      </c>
      <c r="F144" s="830" t="e">
        <f t="shared" si="4"/>
        <v>#REF!</v>
      </c>
      <c r="G144" s="827">
        <f t="shared" si="5"/>
        <v>8516.1290322580644</v>
      </c>
      <c r="H144" s="831" t="e">
        <f t="shared" si="6"/>
        <v>#REF!</v>
      </c>
      <c r="M144" s="336" t="e">
        <f t="shared" si="3"/>
        <v>#REF!</v>
      </c>
    </row>
    <row r="145" spans="4:13" ht="18" hidden="1" customHeight="1" thickBot="1">
      <c r="D145" s="829">
        <v>25</v>
      </c>
      <c r="E145" s="827" t="e">
        <f>#REF!+#REF!+#REF!+E144</f>
        <v>#REF!</v>
      </c>
      <c r="F145" s="830" t="e">
        <f t="shared" si="4"/>
        <v>#REF!</v>
      </c>
      <c r="G145" s="827">
        <f t="shared" si="5"/>
        <v>8516.1290322580644</v>
      </c>
      <c r="H145" s="831" t="e">
        <f t="shared" si="6"/>
        <v>#REF!</v>
      </c>
      <c r="M145" s="336" t="e">
        <f t="shared" si="3"/>
        <v>#REF!</v>
      </c>
    </row>
    <row r="146" spans="4:13" ht="18" hidden="1" customHeight="1" thickBot="1">
      <c r="D146" s="829">
        <v>26</v>
      </c>
      <c r="E146" s="827" t="e">
        <f>#REF!+#REF!+#REF!+E145</f>
        <v>#REF!</v>
      </c>
      <c r="F146" s="830" t="e">
        <f t="shared" si="4"/>
        <v>#REF!</v>
      </c>
      <c r="G146" s="827">
        <f t="shared" si="5"/>
        <v>8516.1290322580644</v>
      </c>
      <c r="H146" s="831" t="e">
        <f t="shared" si="6"/>
        <v>#REF!</v>
      </c>
      <c r="M146" s="336" t="e">
        <f t="shared" si="3"/>
        <v>#REF!</v>
      </c>
    </row>
    <row r="147" spans="4:13" ht="18" hidden="1" customHeight="1" thickBot="1">
      <c r="D147" s="829">
        <v>27</v>
      </c>
      <c r="E147" s="827" t="e">
        <f>#REF!+#REF!+#REF!+E146</f>
        <v>#REF!</v>
      </c>
      <c r="F147" s="830" t="e">
        <f t="shared" si="4"/>
        <v>#REF!</v>
      </c>
      <c r="G147" s="827">
        <f t="shared" si="5"/>
        <v>8516.1290322580644</v>
      </c>
      <c r="H147" s="831" t="e">
        <f t="shared" si="6"/>
        <v>#REF!</v>
      </c>
      <c r="M147" s="336" t="e">
        <f t="shared" si="3"/>
        <v>#REF!</v>
      </c>
    </row>
    <row r="148" spans="4:13" ht="18" hidden="1" customHeight="1" thickBot="1">
      <c r="D148" s="829">
        <v>28</v>
      </c>
      <c r="E148" s="827" t="e">
        <f>#REF!+#REF!+#REF!+E147</f>
        <v>#REF!</v>
      </c>
      <c r="F148" s="830" t="e">
        <f t="shared" si="4"/>
        <v>#REF!</v>
      </c>
      <c r="G148" s="827">
        <f t="shared" si="5"/>
        <v>8516.1290322580644</v>
      </c>
      <c r="H148" s="831" t="e">
        <f t="shared" si="6"/>
        <v>#REF!</v>
      </c>
      <c r="M148" s="336" t="e">
        <f t="shared" si="3"/>
        <v>#REF!</v>
      </c>
    </row>
    <row r="149" spans="4:13" ht="18" hidden="1" customHeight="1" thickBot="1">
      <c r="D149" s="829">
        <v>29</v>
      </c>
      <c r="E149" s="827" t="e">
        <f>#REF!+#REF!+#REF!+E148</f>
        <v>#REF!</v>
      </c>
      <c r="F149" s="830" t="e">
        <f t="shared" si="4"/>
        <v>#REF!</v>
      </c>
      <c r="G149" s="827">
        <f t="shared" si="5"/>
        <v>8516.1290322580644</v>
      </c>
      <c r="H149" s="831" t="e">
        <f t="shared" si="6"/>
        <v>#REF!</v>
      </c>
      <c r="M149" s="336" t="e">
        <f t="shared" si="3"/>
        <v>#REF!</v>
      </c>
    </row>
    <row r="150" spans="4:13" ht="18" hidden="1" customHeight="1" thickBot="1">
      <c r="D150" s="829">
        <v>30</v>
      </c>
      <c r="E150" s="827" t="e">
        <f>#REF!+#REF!+#REF!+E149</f>
        <v>#REF!</v>
      </c>
      <c r="F150" s="830" t="e">
        <f t="shared" si="4"/>
        <v>#REF!</v>
      </c>
      <c r="G150" s="827">
        <f t="shared" si="5"/>
        <v>8516.1290322580644</v>
      </c>
      <c r="H150" s="831" t="e">
        <f t="shared" si="6"/>
        <v>#REF!</v>
      </c>
      <c r="M150" s="336" t="e">
        <f t="shared" si="3"/>
        <v>#REF!</v>
      </c>
    </row>
    <row r="151" spans="4:13" ht="18" hidden="1" customHeight="1" thickBot="1">
      <c r="D151" s="829">
        <v>31</v>
      </c>
      <c r="E151" s="827" t="e">
        <f>#REF!+#REF!+#REF!+E150</f>
        <v>#REF!</v>
      </c>
      <c r="F151" s="830" t="e">
        <f t="shared" si="4"/>
        <v>#REF!</v>
      </c>
      <c r="G151" s="827">
        <f t="shared" si="5"/>
        <v>8516.1290322580644</v>
      </c>
      <c r="H151" s="831" t="e">
        <f t="shared" si="6"/>
        <v>#REF!</v>
      </c>
      <c r="M151" s="336" t="e">
        <f t="shared" si="3"/>
        <v>#REF!</v>
      </c>
    </row>
    <row r="152" spans="4:13" ht="18" hidden="1" customHeight="1" thickBot="1">
      <c r="D152" s="827" t="s">
        <v>7</v>
      </c>
      <c r="E152" s="827" t="e">
        <f>#REF!+#REF!+#REF!+E151</f>
        <v>#REF!</v>
      </c>
      <c r="F152" s="830" t="e">
        <f t="shared" si="4"/>
        <v>#REF!</v>
      </c>
      <c r="G152" s="827">
        <f t="shared" si="5"/>
        <v>8516.1290322580644</v>
      </c>
      <c r="H152" s="831" t="e">
        <f t="shared" si="6"/>
        <v>#REF!</v>
      </c>
      <c r="M152" s="336" t="e">
        <f t="shared" si="3"/>
        <v>#REF!</v>
      </c>
    </row>
    <row r="153" spans="4:13" ht="18" hidden="1" customHeight="1" thickBot="1">
      <c r="D153" s="827"/>
      <c r="E153" s="827" t="e">
        <f>#REF!+#REF!+#REF!+E152</f>
        <v>#REF!</v>
      </c>
      <c r="F153" s="830" t="e">
        <f t="shared" si="4"/>
        <v>#REF!</v>
      </c>
      <c r="G153" s="827">
        <f t="shared" si="5"/>
        <v>8516.1290322580644</v>
      </c>
      <c r="H153" s="831" t="e">
        <f t="shared" si="6"/>
        <v>#REF!</v>
      </c>
      <c r="M153" s="335" t="e">
        <f>SUM(M122:M152)</f>
        <v>#REF!</v>
      </c>
    </row>
    <row r="154" spans="4:13" ht="18" hidden="1" customHeight="1" thickBot="1">
      <c r="D154" s="827"/>
      <c r="E154" s="827" t="e">
        <f>#REF!+#REF!+#REF!+E153</f>
        <v>#REF!</v>
      </c>
      <c r="F154" s="830" t="e">
        <f t="shared" si="4"/>
        <v>#REF!</v>
      </c>
      <c r="G154" s="827">
        <f t="shared" si="5"/>
        <v>8516.1290322580644</v>
      </c>
      <c r="H154" s="831" t="e">
        <f t="shared" si="6"/>
        <v>#REF!</v>
      </c>
    </row>
    <row r="155" spans="4:13" ht="18" hidden="1" customHeight="1" thickBot="1">
      <c r="D155" s="827"/>
      <c r="E155" s="832" t="e">
        <f>AVERAGEIF(E124:E154,"&lt;&gt;0")</f>
        <v>#REF!</v>
      </c>
      <c r="F155" s="830" t="e">
        <f>SUM(F124:F154)</f>
        <v>#REF!</v>
      </c>
      <c r="G155" s="833">
        <f>SUM(G124:G154)</f>
        <v>263999.99999999994</v>
      </c>
      <c r="H155" s="830" t="e">
        <f>SUM(H124:H154)</f>
        <v>#REF!</v>
      </c>
    </row>
    <row r="156" spans="4:13" ht="18" hidden="1" customHeight="1" thickBot="1">
      <c r="D156" s="827"/>
      <c r="E156" s="834" t="e">
        <f>G155-E155</f>
        <v>#REF!</v>
      </c>
      <c r="F156" s="827"/>
      <c r="G156" s="835">
        <f ca="1">31-'Summary TCM'!B4</f>
        <v>24</v>
      </c>
      <c r="H156" s="827"/>
    </row>
    <row r="157" spans="4:13" ht="18" hidden="1" customHeight="1" thickBot="1">
      <c r="D157" s="827"/>
      <c r="E157" s="834" t="e">
        <f ca="1">E156/G156</f>
        <v>#REF!</v>
      </c>
      <c r="F157" s="827"/>
      <c r="G157" s="827"/>
      <c r="H157" s="827"/>
    </row>
    <row r="158" spans="4:13" ht="18" hidden="1" customHeight="1" thickBot="1">
      <c r="D158" s="827"/>
      <c r="E158" s="827"/>
      <c r="F158" s="827"/>
      <c r="G158" s="827"/>
      <c r="H158" s="827"/>
    </row>
    <row r="159" spans="4:13" ht="41.4" hidden="1" customHeight="1">
      <c r="D159" s="836" t="s">
        <v>99</v>
      </c>
      <c r="E159" s="827"/>
      <c r="F159" s="827"/>
      <c r="G159" s="827"/>
      <c r="H159" s="827"/>
    </row>
    <row r="160" spans="4:13" ht="18" hidden="1" customHeight="1" thickBot="1">
      <c r="D160" s="827">
        <f>D121</f>
        <v>1</v>
      </c>
      <c r="E160" s="827"/>
      <c r="F160" s="827"/>
      <c r="G160" s="827"/>
      <c r="H160" s="827"/>
    </row>
    <row r="161" spans="4:8" ht="18" hidden="1" customHeight="1" thickBot="1">
      <c r="D161" s="827">
        <f t="shared" ref="D161:D190" si="7">D122</f>
        <v>2</v>
      </c>
      <c r="E161" s="827"/>
      <c r="F161" s="827"/>
      <c r="G161" s="827"/>
      <c r="H161" s="827"/>
    </row>
    <row r="162" spans="4:8" ht="18" hidden="1" customHeight="1" thickBot="1">
      <c r="D162" s="827">
        <f t="shared" si="7"/>
        <v>3</v>
      </c>
      <c r="E162" s="837" t="s">
        <v>101</v>
      </c>
      <c r="F162" s="838" t="s">
        <v>102</v>
      </c>
      <c r="G162" s="837" t="s">
        <v>100</v>
      </c>
      <c r="H162" s="827"/>
    </row>
    <row r="163" spans="4:8" ht="18" hidden="1" customHeight="1" thickBot="1">
      <c r="D163" s="827">
        <f t="shared" si="7"/>
        <v>4</v>
      </c>
      <c r="E163" s="839" t="e">
        <f>F124</f>
        <v>#REF!</v>
      </c>
      <c r="F163" s="840" t="e">
        <f>H124</f>
        <v>#REF!</v>
      </c>
      <c r="G163" s="827" t="e">
        <f>M122</f>
        <v>#REF!</v>
      </c>
      <c r="H163" s="827"/>
    </row>
    <row r="164" spans="4:8" ht="18" hidden="1" customHeight="1" thickBot="1">
      <c r="D164" s="827">
        <f t="shared" si="7"/>
        <v>5</v>
      </c>
      <c r="E164" s="839" t="e">
        <f t="shared" ref="E164:E193" si="8">F125</f>
        <v>#REF!</v>
      </c>
      <c r="F164" s="840" t="e">
        <f t="shared" ref="F164:F193" si="9">H125</f>
        <v>#REF!</v>
      </c>
      <c r="G164" s="827" t="e">
        <f t="shared" ref="G164:G193" si="10">M123</f>
        <v>#REF!</v>
      </c>
      <c r="H164" s="827"/>
    </row>
    <row r="165" spans="4:8" ht="18" hidden="1" customHeight="1" thickBot="1">
      <c r="D165" s="827">
        <f t="shared" si="7"/>
        <v>6</v>
      </c>
      <c r="E165" s="839" t="e">
        <f t="shared" si="8"/>
        <v>#REF!</v>
      </c>
      <c r="F165" s="840" t="e">
        <f t="shared" si="9"/>
        <v>#REF!</v>
      </c>
      <c r="G165" s="827" t="e">
        <f t="shared" si="10"/>
        <v>#REF!</v>
      </c>
      <c r="H165" s="827"/>
    </row>
    <row r="166" spans="4:8" ht="18" hidden="1" customHeight="1" thickBot="1">
      <c r="D166" s="827">
        <f t="shared" si="7"/>
        <v>7</v>
      </c>
      <c r="E166" s="839" t="e">
        <f t="shared" si="8"/>
        <v>#REF!</v>
      </c>
      <c r="F166" s="840" t="e">
        <f t="shared" si="9"/>
        <v>#REF!</v>
      </c>
      <c r="G166" s="827" t="e">
        <f t="shared" si="10"/>
        <v>#REF!</v>
      </c>
      <c r="H166" s="827"/>
    </row>
    <row r="167" spans="4:8" ht="18" hidden="1" customHeight="1" thickBot="1">
      <c r="D167" s="827">
        <f t="shared" si="7"/>
        <v>8</v>
      </c>
      <c r="E167" s="839" t="e">
        <f t="shared" si="8"/>
        <v>#REF!</v>
      </c>
      <c r="F167" s="840" t="e">
        <f t="shared" si="9"/>
        <v>#REF!</v>
      </c>
      <c r="G167" s="827" t="e">
        <f t="shared" si="10"/>
        <v>#REF!</v>
      </c>
      <c r="H167" s="827"/>
    </row>
    <row r="168" spans="4:8" ht="18" hidden="1" customHeight="1" thickBot="1">
      <c r="D168" s="827">
        <f t="shared" si="7"/>
        <v>9</v>
      </c>
      <c r="E168" s="839" t="e">
        <f t="shared" si="8"/>
        <v>#REF!</v>
      </c>
      <c r="F168" s="840" t="e">
        <f t="shared" si="9"/>
        <v>#REF!</v>
      </c>
      <c r="G168" s="827" t="e">
        <f t="shared" si="10"/>
        <v>#REF!</v>
      </c>
      <c r="H168" s="827"/>
    </row>
    <row r="169" spans="4:8" ht="18" hidden="1" customHeight="1" thickBot="1">
      <c r="D169" s="827">
        <f t="shared" si="7"/>
        <v>10</v>
      </c>
      <c r="E169" s="839" t="e">
        <f t="shared" si="8"/>
        <v>#REF!</v>
      </c>
      <c r="F169" s="840" t="e">
        <f t="shared" si="9"/>
        <v>#REF!</v>
      </c>
      <c r="G169" s="827" t="e">
        <f t="shared" si="10"/>
        <v>#REF!</v>
      </c>
      <c r="H169" s="827"/>
    </row>
    <row r="170" spans="4:8" hidden="1">
      <c r="D170" s="827">
        <f t="shared" si="7"/>
        <v>11</v>
      </c>
      <c r="E170" s="839" t="e">
        <f t="shared" si="8"/>
        <v>#REF!</v>
      </c>
      <c r="F170" s="840" t="e">
        <f t="shared" si="9"/>
        <v>#REF!</v>
      </c>
      <c r="G170" s="827" t="e">
        <f t="shared" si="10"/>
        <v>#REF!</v>
      </c>
      <c r="H170" s="827"/>
    </row>
    <row r="171" spans="4:8" hidden="1">
      <c r="D171" s="827">
        <f t="shared" si="7"/>
        <v>12</v>
      </c>
      <c r="E171" s="839" t="e">
        <f t="shared" si="8"/>
        <v>#REF!</v>
      </c>
      <c r="F171" s="840" t="e">
        <f t="shared" si="9"/>
        <v>#REF!</v>
      </c>
      <c r="G171" s="827" t="e">
        <f t="shared" si="10"/>
        <v>#REF!</v>
      </c>
      <c r="H171" s="827"/>
    </row>
    <row r="172" spans="4:8" hidden="1">
      <c r="D172" s="827">
        <f t="shared" si="7"/>
        <v>13</v>
      </c>
      <c r="E172" s="839" t="e">
        <f t="shared" si="8"/>
        <v>#REF!</v>
      </c>
      <c r="F172" s="840" t="e">
        <f t="shared" si="9"/>
        <v>#REF!</v>
      </c>
      <c r="G172" s="827" t="e">
        <f t="shared" si="10"/>
        <v>#REF!</v>
      </c>
      <c r="H172" s="827"/>
    </row>
    <row r="173" spans="4:8" hidden="1">
      <c r="D173" s="827">
        <f t="shared" si="7"/>
        <v>14</v>
      </c>
      <c r="E173" s="839" t="e">
        <f t="shared" si="8"/>
        <v>#REF!</v>
      </c>
      <c r="F173" s="840" t="e">
        <f t="shared" si="9"/>
        <v>#REF!</v>
      </c>
      <c r="G173" s="827" t="e">
        <f t="shared" si="10"/>
        <v>#REF!</v>
      </c>
      <c r="H173" s="827"/>
    </row>
    <row r="174" spans="4:8" hidden="1">
      <c r="D174" s="827">
        <f t="shared" si="7"/>
        <v>15</v>
      </c>
      <c r="E174" s="839" t="e">
        <f t="shared" si="8"/>
        <v>#REF!</v>
      </c>
      <c r="F174" s="840" t="e">
        <f t="shared" si="9"/>
        <v>#REF!</v>
      </c>
      <c r="G174" s="827" t="e">
        <f t="shared" si="10"/>
        <v>#REF!</v>
      </c>
      <c r="H174" s="827"/>
    </row>
    <row r="175" spans="4:8" hidden="1">
      <c r="D175" s="827">
        <f t="shared" si="7"/>
        <v>16</v>
      </c>
      <c r="E175" s="839" t="e">
        <f t="shared" si="8"/>
        <v>#REF!</v>
      </c>
      <c r="F175" s="840" t="e">
        <f t="shared" si="9"/>
        <v>#REF!</v>
      </c>
      <c r="G175" s="827" t="e">
        <f t="shared" si="10"/>
        <v>#REF!</v>
      </c>
      <c r="H175" s="827"/>
    </row>
    <row r="176" spans="4:8" hidden="1">
      <c r="D176" s="827">
        <f t="shared" si="7"/>
        <v>17</v>
      </c>
      <c r="E176" s="839" t="e">
        <f t="shared" si="8"/>
        <v>#REF!</v>
      </c>
      <c r="F176" s="840" t="e">
        <f t="shared" si="9"/>
        <v>#REF!</v>
      </c>
      <c r="G176" s="827" t="e">
        <f t="shared" si="10"/>
        <v>#REF!</v>
      </c>
      <c r="H176" s="827"/>
    </row>
    <row r="177" spans="4:8" hidden="1">
      <c r="D177" s="827">
        <f t="shared" si="7"/>
        <v>18</v>
      </c>
      <c r="E177" s="839" t="e">
        <f t="shared" si="8"/>
        <v>#REF!</v>
      </c>
      <c r="F177" s="840" t="e">
        <f t="shared" si="9"/>
        <v>#REF!</v>
      </c>
      <c r="G177" s="827" t="e">
        <f t="shared" si="10"/>
        <v>#REF!</v>
      </c>
      <c r="H177" s="827"/>
    </row>
    <row r="178" spans="4:8" hidden="1">
      <c r="D178" s="827">
        <f t="shared" si="7"/>
        <v>19</v>
      </c>
      <c r="E178" s="839" t="e">
        <f t="shared" si="8"/>
        <v>#REF!</v>
      </c>
      <c r="F178" s="840" t="e">
        <f t="shared" si="9"/>
        <v>#REF!</v>
      </c>
      <c r="G178" s="827" t="e">
        <f t="shared" si="10"/>
        <v>#REF!</v>
      </c>
      <c r="H178" s="827"/>
    </row>
    <row r="179" spans="4:8" hidden="1">
      <c r="D179" s="827">
        <f t="shared" si="7"/>
        <v>20</v>
      </c>
      <c r="E179" s="839" t="e">
        <f t="shared" si="8"/>
        <v>#REF!</v>
      </c>
      <c r="F179" s="840" t="e">
        <f t="shared" si="9"/>
        <v>#REF!</v>
      </c>
      <c r="G179" s="827" t="e">
        <f t="shared" si="10"/>
        <v>#REF!</v>
      </c>
      <c r="H179" s="827"/>
    </row>
    <row r="180" spans="4:8" hidden="1">
      <c r="D180" s="827">
        <f t="shared" si="7"/>
        <v>21</v>
      </c>
      <c r="E180" s="839" t="e">
        <f t="shared" si="8"/>
        <v>#REF!</v>
      </c>
      <c r="F180" s="840" t="e">
        <f t="shared" si="9"/>
        <v>#REF!</v>
      </c>
      <c r="G180" s="827" t="e">
        <f t="shared" si="10"/>
        <v>#REF!</v>
      </c>
      <c r="H180" s="827"/>
    </row>
    <row r="181" spans="4:8" hidden="1">
      <c r="D181" s="827">
        <f t="shared" si="7"/>
        <v>22</v>
      </c>
      <c r="E181" s="839" t="e">
        <f t="shared" si="8"/>
        <v>#REF!</v>
      </c>
      <c r="F181" s="840" t="e">
        <f t="shared" si="9"/>
        <v>#REF!</v>
      </c>
      <c r="G181" s="827" t="e">
        <f t="shared" si="10"/>
        <v>#REF!</v>
      </c>
      <c r="H181" s="827"/>
    </row>
    <row r="182" spans="4:8" hidden="1">
      <c r="D182" s="827">
        <f t="shared" si="7"/>
        <v>23</v>
      </c>
      <c r="E182" s="839" t="e">
        <f t="shared" si="8"/>
        <v>#REF!</v>
      </c>
      <c r="F182" s="840" t="e">
        <f t="shared" si="9"/>
        <v>#REF!</v>
      </c>
      <c r="G182" s="827" t="e">
        <f t="shared" si="10"/>
        <v>#REF!</v>
      </c>
      <c r="H182" s="827"/>
    </row>
    <row r="183" spans="4:8" hidden="1">
      <c r="D183" s="827">
        <f t="shared" si="7"/>
        <v>24</v>
      </c>
      <c r="E183" s="839" t="e">
        <f t="shared" si="8"/>
        <v>#REF!</v>
      </c>
      <c r="F183" s="840" t="e">
        <f t="shared" si="9"/>
        <v>#REF!</v>
      </c>
      <c r="G183" s="827" t="e">
        <f t="shared" si="10"/>
        <v>#REF!</v>
      </c>
      <c r="H183" s="827"/>
    </row>
    <row r="184" spans="4:8" hidden="1">
      <c r="D184" s="827">
        <f t="shared" si="7"/>
        <v>25</v>
      </c>
      <c r="E184" s="839" t="e">
        <f t="shared" si="8"/>
        <v>#REF!</v>
      </c>
      <c r="F184" s="840" t="e">
        <f t="shared" si="9"/>
        <v>#REF!</v>
      </c>
      <c r="G184" s="827" t="e">
        <f t="shared" si="10"/>
        <v>#REF!</v>
      </c>
      <c r="H184" s="827"/>
    </row>
    <row r="185" spans="4:8" hidden="1">
      <c r="D185" s="827">
        <f t="shared" si="7"/>
        <v>26</v>
      </c>
      <c r="E185" s="839" t="e">
        <f t="shared" si="8"/>
        <v>#REF!</v>
      </c>
      <c r="F185" s="840" t="e">
        <f t="shared" si="9"/>
        <v>#REF!</v>
      </c>
      <c r="G185" s="827" t="e">
        <f t="shared" si="10"/>
        <v>#REF!</v>
      </c>
      <c r="H185" s="827"/>
    </row>
    <row r="186" spans="4:8" hidden="1">
      <c r="D186" s="827">
        <f t="shared" si="7"/>
        <v>27</v>
      </c>
      <c r="E186" s="839" t="e">
        <f t="shared" si="8"/>
        <v>#REF!</v>
      </c>
      <c r="F186" s="840" t="e">
        <f t="shared" si="9"/>
        <v>#REF!</v>
      </c>
      <c r="G186" s="827" t="e">
        <f t="shared" si="10"/>
        <v>#REF!</v>
      </c>
      <c r="H186" s="827"/>
    </row>
    <row r="187" spans="4:8" hidden="1">
      <c r="D187" s="827">
        <f>D148</f>
        <v>28</v>
      </c>
      <c r="E187" s="839" t="e">
        <f t="shared" si="8"/>
        <v>#REF!</v>
      </c>
      <c r="F187" s="840" t="e">
        <f t="shared" si="9"/>
        <v>#REF!</v>
      </c>
      <c r="G187" s="827" t="e">
        <f t="shared" si="10"/>
        <v>#REF!</v>
      </c>
      <c r="H187" s="827"/>
    </row>
    <row r="188" spans="4:8" hidden="1">
      <c r="D188" s="827">
        <f t="shared" si="7"/>
        <v>29</v>
      </c>
      <c r="E188" s="839" t="e">
        <f t="shared" si="8"/>
        <v>#REF!</v>
      </c>
      <c r="F188" s="840" t="e">
        <f t="shared" si="9"/>
        <v>#REF!</v>
      </c>
      <c r="G188" s="827" t="e">
        <f t="shared" si="10"/>
        <v>#REF!</v>
      </c>
      <c r="H188" s="827"/>
    </row>
    <row r="189" spans="4:8" hidden="1">
      <c r="D189" s="827">
        <f t="shared" si="7"/>
        <v>30</v>
      </c>
      <c r="E189" s="839" t="e">
        <f t="shared" si="8"/>
        <v>#REF!</v>
      </c>
      <c r="F189" s="840" t="e">
        <f t="shared" si="9"/>
        <v>#REF!</v>
      </c>
      <c r="G189" s="827" t="e">
        <f t="shared" si="10"/>
        <v>#REF!</v>
      </c>
      <c r="H189" s="827"/>
    </row>
    <row r="190" spans="4:8" hidden="1">
      <c r="D190" s="827">
        <f t="shared" si="7"/>
        <v>31</v>
      </c>
      <c r="E190" s="839" t="e">
        <f t="shared" si="8"/>
        <v>#REF!</v>
      </c>
      <c r="F190" s="840" t="e">
        <f t="shared" si="9"/>
        <v>#REF!</v>
      </c>
      <c r="G190" s="827" t="e">
        <f t="shared" si="10"/>
        <v>#REF!</v>
      </c>
      <c r="H190" s="827"/>
    </row>
    <row r="191" spans="4:8" hidden="1">
      <c r="D191" s="827"/>
      <c r="E191" s="839" t="e">
        <f t="shared" si="8"/>
        <v>#REF!</v>
      </c>
      <c r="F191" s="840" t="e">
        <f t="shared" si="9"/>
        <v>#REF!</v>
      </c>
      <c r="G191" s="827" t="e">
        <f t="shared" si="10"/>
        <v>#REF!</v>
      </c>
      <c r="H191" s="827"/>
    </row>
    <row r="192" spans="4:8">
      <c r="D192" s="827"/>
      <c r="E192" s="839" t="e">
        <f t="shared" si="8"/>
        <v>#REF!</v>
      </c>
      <c r="F192" s="840" t="e">
        <f t="shared" si="9"/>
        <v>#REF!</v>
      </c>
      <c r="G192" s="827" t="e">
        <f t="shared" si="10"/>
        <v>#REF!</v>
      </c>
      <c r="H192" s="827"/>
    </row>
    <row r="193" spans="4:13">
      <c r="D193" s="827"/>
      <c r="E193" s="839" t="e">
        <f t="shared" si="8"/>
        <v>#REF!</v>
      </c>
      <c r="F193" s="840" t="e">
        <f t="shared" si="9"/>
        <v>#REF!</v>
      </c>
      <c r="G193" s="827" t="e">
        <f t="shared" si="10"/>
        <v>#REF!</v>
      </c>
      <c r="H193" s="827"/>
    </row>
    <row r="194" spans="4:13">
      <c r="D194" s="827"/>
      <c r="E194" s="827"/>
      <c r="F194" s="827"/>
      <c r="G194" s="827"/>
      <c r="H194" s="827"/>
      <c r="L194" s="433"/>
      <c r="M194" s="433"/>
    </row>
    <row r="195" spans="4:13">
      <c r="D195" s="827"/>
      <c r="E195" s="827"/>
      <c r="F195" s="827"/>
      <c r="G195" s="827"/>
      <c r="H195" s="827"/>
      <c r="J195" s="433"/>
      <c r="K195" s="433"/>
      <c r="L195" s="433"/>
      <c r="M195" s="433"/>
    </row>
    <row r="196" spans="4:13">
      <c r="D196" s="827"/>
      <c r="E196" s="841"/>
      <c r="F196" s="841"/>
      <c r="G196" s="841"/>
      <c r="H196" s="841"/>
      <c r="I196" s="433"/>
      <c r="J196" s="433"/>
      <c r="K196" s="433"/>
      <c r="L196" s="354"/>
      <c r="M196" s="354"/>
    </row>
    <row r="197" spans="4:13">
      <c r="E197" s="2566"/>
      <c r="F197" s="2566"/>
      <c r="G197" s="2566"/>
      <c r="H197" s="433"/>
      <c r="I197" s="433"/>
      <c r="J197" s="354"/>
      <c r="K197" s="354"/>
      <c r="L197" s="352"/>
      <c r="M197" s="296"/>
    </row>
    <row r="198" spans="4:13">
      <c r="E198" s="297"/>
      <c r="F198" s="354"/>
      <c r="G198" s="354"/>
      <c r="H198" s="297"/>
      <c r="I198" s="354"/>
      <c r="J198" s="352"/>
      <c r="K198" s="352"/>
      <c r="L198" s="352"/>
      <c r="M198" s="296"/>
    </row>
    <row r="199" spans="4:13">
      <c r="E199" s="297"/>
      <c r="F199" s="352"/>
      <c r="G199" s="297"/>
      <c r="H199" s="297"/>
      <c r="I199" s="352"/>
      <c r="J199" s="352"/>
      <c r="K199" s="352"/>
      <c r="L199" s="352"/>
      <c r="M199" s="297"/>
    </row>
    <row r="200" spans="4:13">
      <c r="E200" s="297"/>
      <c r="F200" s="352"/>
      <c r="G200" s="297"/>
      <c r="H200" s="297"/>
      <c r="I200" s="352"/>
      <c r="J200" s="352"/>
      <c r="K200" s="352"/>
      <c r="L200" s="296"/>
      <c r="M200" s="296"/>
    </row>
    <row r="201" spans="4:13">
      <c r="E201" s="353"/>
      <c r="F201" s="352"/>
      <c r="G201" s="297"/>
      <c r="H201" s="353"/>
      <c r="I201" s="352"/>
      <c r="J201" s="296"/>
      <c r="K201" s="296"/>
      <c r="L201" s="296"/>
      <c r="M201" s="296"/>
    </row>
    <row r="202" spans="4:13">
      <c r="E202" s="297"/>
      <c r="F202" s="296"/>
      <c r="G202" s="296"/>
      <c r="H202" s="297"/>
      <c r="I202" s="296"/>
      <c r="J202" s="296"/>
      <c r="K202" s="296"/>
      <c r="L202" s="352"/>
      <c r="M202" s="297"/>
    </row>
    <row r="203" spans="4:13">
      <c r="E203" s="297"/>
      <c r="F203" s="296"/>
      <c r="G203" s="296"/>
      <c r="H203" s="297"/>
      <c r="I203" s="296"/>
      <c r="J203" s="352"/>
      <c r="K203" s="352"/>
      <c r="L203" s="352"/>
      <c r="M203" s="297"/>
    </row>
    <row r="204" spans="4:13">
      <c r="E204" s="353"/>
      <c r="F204" s="296"/>
      <c r="G204" s="297"/>
      <c r="H204" s="353"/>
      <c r="I204" s="352"/>
      <c r="J204" s="352"/>
      <c r="K204" s="352"/>
      <c r="L204" s="355"/>
      <c r="M204" s="351"/>
    </row>
    <row r="205" spans="4:13">
      <c r="E205" s="353"/>
      <c r="F205" s="296"/>
      <c r="G205" s="297"/>
      <c r="H205" s="353"/>
      <c r="I205" s="352"/>
      <c r="J205" s="355"/>
      <c r="K205" s="355"/>
      <c r="L205" s="351"/>
      <c r="M205" s="351"/>
    </row>
    <row r="206" spans="4:13">
      <c r="E206" s="351"/>
      <c r="F206" s="355"/>
      <c r="G206" s="355"/>
      <c r="H206" s="351"/>
      <c r="I206" s="355"/>
      <c r="J206" s="351"/>
      <c r="K206" s="351"/>
    </row>
    <row r="207" spans="4:13">
      <c r="E207" s="351"/>
      <c r="F207" s="351"/>
      <c r="G207" s="351"/>
      <c r="H207" s="351"/>
      <c r="I207" s="351"/>
    </row>
  </sheetData>
  <mergeCells count="26">
    <mergeCell ref="AH69:AJ69"/>
    <mergeCell ref="G16:H16"/>
    <mergeCell ref="Q15:S15"/>
    <mergeCell ref="E27:G27"/>
    <mergeCell ref="J27:L27"/>
    <mergeCell ref="G42:I42"/>
    <mergeCell ref="E21:F21"/>
    <mergeCell ref="D3:AJ5"/>
    <mergeCell ref="G24:H24"/>
    <mergeCell ref="G17:H17"/>
    <mergeCell ref="AC6:AE6"/>
    <mergeCell ref="AC7:AD7"/>
    <mergeCell ref="G18:H18"/>
    <mergeCell ref="G19:H19"/>
    <mergeCell ref="G20:H20"/>
    <mergeCell ref="G21:H21"/>
    <mergeCell ref="G22:H22"/>
    <mergeCell ref="G23:H23"/>
    <mergeCell ref="E197:G197"/>
    <mergeCell ref="W30:Y30"/>
    <mergeCell ref="G90:I90"/>
    <mergeCell ref="M88:O88"/>
    <mergeCell ref="E58:H58"/>
    <mergeCell ref="G75:J75"/>
    <mergeCell ref="Q82:Q83"/>
    <mergeCell ref="Q81:R81"/>
  </mergeCells>
  <conditionalFormatting sqref="G97">
    <cfRule type="iconSet" priority="16">
      <iconSet iconSet="3Arrows">
        <cfvo type="percent" val="0"/>
        <cfvo type="num" val="0.95"/>
        <cfvo type="num" val="1"/>
      </iconSet>
    </cfRule>
  </conditionalFormatting>
  <conditionalFormatting sqref="I46:I50">
    <cfRule type="iconSet" priority="19">
      <iconSet>
        <cfvo type="percent" val="0"/>
        <cfvo type="formula" val="$A$9"/>
        <cfvo type="formula" val="$A$8"/>
      </iconSet>
    </cfRule>
  </conditionalFormatting>
  <conditionalFormatting sqref="I79:I83">
    <cfRule type="iconSet" priority="17">
      <iconSet>
        <cfvo type="percent" val="0"/>
        <cfvo type="formula" val="$A$9"/>
        <cfvo type="formula" val="$A$8"/>
      </iconSet>
    </cfRule>
  </conditionalFormatting>
  <conditionalFormatting sqref="I92:I96">
    <cfRule type="iconSet" priority="15">
      <iconSet reverse="1">
        <cfvo type="percent" val="0"/>
        <cfvo type="num" val="$A$9"/>
        <cfvo type="formula" val="$A$8"/>
      </iconSet>
    </cfRule>
  </conditionalFormatting>
  <conditionalFormatting sqref="J46">
    <cfRule type="iconSet" priority="7">
      <iconSet>
        <cfvo type="percent" val="0"/>
        <cfvo type="formula" val="$A$9"/>
        <cfvo type="formula" val="$A$8"/>
      </iconSet>
    </cfRule>
  </conditionalFormatting>
  <conditionalFormatting sqref="J49">
    <cfRule type="iconSet" priority="6">
      <iconSet>
        <cfvo type="percent" val="0"/>
        <cfvo type="formula" val="$A$9"/>
        <cfvo type="formula" val="$A$8"/>
      </iconSet>
    </cfRule>
  </conditionalFormatting>
  <conditionalFormatting sqref="J79:J83">
    <cfRule type="iconSet" priority="1">
      <iconSet>
        <cfvo type="percent" val="0"/>
        <cfvo type="formula" val="$A$9"/>
        <cfvo type="formula" val="$A$8"/>
      </iconSet>
    </cfRule>
  </conditionalFormatting>
  <conditionalFormatting sqref="K100:K102">
    <cfRule type="iconSet" priority="13">
      <iconSet reverse="1">
        <cfvo type="percent" val="0"/>
        <cfvo type="formula" val="$A$9"/>
        <cfvo type="formula" val="$A$8"/>
      </iconSet>
    </cfRule>
  </conditionalFormatting>
  <conditionalFormatting sqref="K103">
    <cfRule type="iconSet" priority="12">
      <iconSet reverse="1">
        <cfvo type="percent" val="0"/>
        <cfvo type="formula" val="$A$9"/>
        <cfvo type="formula" val="$A$8"/>
      </iconSet>
    </cfRule>
  </conditionalFormatting>
  <conditionalFormatting sqref="K104">
    <cfRule type="iconSet" priority="11">
      <iconSet reverse="1">
        <cfvo type="percent" val="0"/>
        <cfvo type="formula" val="$A$9"/>
        <cfvo type="formula" val="$A$8"/>
      </iconSet>
    </cfRule>
  </conditionalFormatting>
  <conditionalFormatting sqref="K105">
    <cfRule type="iconSet" priority="10">
      <iconSet reverse="1">
        <cfvo type="percent" val="0"/>
        <cfvo type="formula" val="$A$9"/>
        <cfvo type="formula" val="$A$8"/>
      </iconSet>
    </cfRule>
  </conditionalFormatting>
  <conditionalFormatting sqref="L31:L35">
    <cfRule type="iconSet" priority="20">
      <iconSet>
        <cfvo type="percent" val="0"/>
        <cfvo type="formula" val="$A$9"/>
        <cfvo type="formula" val="$A$8"/>
      </iconSet>
    </cfRule>
  </conditionalFormatting>
  <conditionalFormatting sqref="L61:L65">
    <cfRule type="iconSet" priority="18">
      <iconSet>
        <cfvo type="percent" val="0"/>
        <cfvo type="formula" val="$A$9"/>
        <cfvo type="formula" val="$A$8"/>
      </iconSet>
    </cfRule>
  </conditionalFormatting>
  <conditionalFormatting sqref="M31">
    <cfRule type="iconSet" priority="9">
      <iconSet>
        <cfvo type="percent" val="0"/>
        <cfvo type="formula" val="$A$9"/>
        <cfvo type="formula" val="$A$8"/>
      </iconSet>
    </cfRule>
  </conditionalFormatting>
  <conditionalFormatting sqref="M34">
    <cfRule type="iconSet" priority="8">
      <iconSet>
        <cfvo type="percent" val="0"/>
        <cfvo type="formula" val="$A$9"/>
        <cfvo type="formula" val="$A$8"/>
      </iconSet>
    </cfRule>
  </conditionalFormatting>
  <conditionalFormatting sqref="M61:M65">
    <cfRule type="iconSet" priority="5">
      <iconSet>
        <cfvo type="percent" val="0"/>
        <cfvo type="formula" val="$A$9"/>
        <cfvo type="formula" val="$A$8"/>
      </iconSet>
    </cfRule>
  </conditionalFormatting>
  <conditionalFormatting sqref="M94">
    <cfRule type="iconSet" priority="21">
      <iconSet iconSet="3Arrows" reverse="1">
        <cfvo type="percent" val="0"/>
        <cfvo type="num" val="0.95"/>
        <cfvo type="num" val="1"/>
      </iconSet>
    </cfRule>
  </conditionalFormatting>
  <conditionalFormatting sqref="M199:M203 AE80:AE84 AE12:AE16 AE53:AE57 G201:G205 G31:H35 G62:H66">
    <cfRule type="iconSet" priority="24">
      <iconSet>
        <cfvo type="percent" val="0"/>
        <cfvo type="formula" val="$A$9"/>
        <cfvo type="formula" val="$A$8"/>
      </iconSet>
    </cfRule>
  </conditionalFormatting>
  <conditionalFormatting sqref="O90:O93">
    <cfRule type="iconSet" priority="14">
      <iconSet reverse="1">
        <cfvo type="percent" val="0"/>
        <cfvo type="formula" val="$A$9"/>
        <cfvo type="formula" val="$A$8"/>
      </iconSet>
    </cfRule>
  </conditionalFormatting>
  <conditionalFormatting sqref="AF15">
    <cfRule type="iconSet" priority="4">
      <iconSet>
        <cfvo type="percent" val="0"/>
        <cfvo type="formula" val="$A$9"/>
        <cfvo type="formula" val="$A$8"/>
      </iconSet>
    </cfRule>
  </conditionalFormatting>
  <conditionalFormatting sqref="AF56">
    <cfRule type="iconSet" priority="3">
      <iconSet>
        <cfvo type="percent" val="0"/>
        <cfvo type="formula" val="$A$9"/>
        <cfvo type="formula" val="$A$8"/>
      </iconSet>
    </cfRule>
  </conditionalFormatting>
  <conditionalFormatting sqref="AF80:AF84">
    <cfRule type="iconSet" priority="2">
      <iconSet>
        <cfvo type="percent" val="0"/>
        <cfvo type="formula" val="$A$9"/>
        <cfvo type="formula" val="$A$8"/>
      </iconSet>
    </cfRule>
  </conditionalFormatting>
  <pageMargins left="0.7" right="0.7" top="0.75" bottom="0.75" header="0.3" footer="0.3"/>
  <pageSetup orientation="portrait" horizontalDpi="4294967295" verticalDpi="4294967295" r:id="rId1"/>
  <ignoredErrors>
    <ignoredError sqref="Q41 Q49" evalError="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dimension ref="A4:NA47"/>
  <sheetViews>
    <sheetView showGridLines="0" zoomScale="60" zoomScaleNormal="60" workbookViewId="0">
      <pane xSplit="2" ySplit="9" topLeftCell="AF10" activePane="bottomRight" state="frozen"/>
      <selection pane="topRight" activeCell="BU25" sqref="BU25"/>
      <selection pane="bottomLeft" activeCell="BU25" sqref="BU25"/>
      <selection pane="bottomRight" activeCell="P49" sqref="P49"/>
    </sheetView>
  </sheetViews>
  <sheetFormatPr defaultRowHeight="14.4"/>
  <cols>
    <col min="1" max="1" width="2.33203125" customWidth="1"/>
    <col min="2" max="2" width="5.33203125" bestFit="1" customWidth="1"/>
    <col min="3" max="3" width="10.44140625" bestFit="1" customWidth="1"/>
    <col min="5" max="5" width="10.44140625" bestFit="1" customWidth="1"/>
    <col min="10" max="10" width="1.33203125" customWidth="1"/>
    <col min="11" max="11" width="12" bestFit="1" customWidth="1"/>
    <col min="12" max="12" width="11.5546875" bestFit="1" customWidth="1"/>
    <col min="19" max="22" width="9.109375" customWidth="1"/>
    <col min="24" max="24" width="11.5546875" bestFit="1" customWidth="1"/>
    <col min="31" max="31" width="1.33203125" customWidth="1"/>
    <col min="32" max="32" width="12" bestFit="1" customWidth="1"/>
    <col min="35" max="37" width="9.109375" customWidth="1"/>
    <col min="39" max="39" width="11.44140625" bestFit="1" customWidth="1"/>
    <col min="50" max="52" width="9.109375" customWidth="1"/>
    <col min="59" max="59" width="12" bestFit="1" customWidth="1"/>
    <col min="60" max="60" width="11.5546875" customWidth="1"/>
    <col min="65" max="66" width="9.109375" customWidth="1"/>
    <col min="67" max="73" width="9.33203125" customWidth="1"/>
    <col min="74" max="74" width="7.88671875" bestFit="1" customWidth="1"/>
    <col min="82" max="82" width="1.33203125" customWidth="1"/>
    <col min="83" max="83" width="6.6640625" customWidth="1"/>
    <col min="90" max="90" width="11.5546875" bestFit="1" customWidth="1"/>
    <col min="91" max="91" width="1.33203125" customWidth="1"/>
    <col min="98" max="98" width="11.109375" bestFit="1" customWidth="1"/>
    <col min="105" max="105" width="11.109375" bestFit="1" customWidth="1"/>
    <col min="106" max="106" width="9.5546875" bestFit="1" customWidth="1"/>
    <col min="120" max="120" width="1.33203125" customWidth="1"/>
    <col min="121" max="121" width="6.6640625" customWidth="1"/>
    <col min="127" max="127" width="1.33203125" customWidth="1"/>
    <col min="149" max="149" width="1.33203125" customWidth="1"/>
    <col min="150" max="150" width="6.6640625" customWidth="1"/>
    <col min="155" max="155" width="10.109375" bestFit="1" customWidth="1"/>
    <col min="157" max="157" width="37.44140625" customWidth="1"/>
    <col min="158" max="158" width="1.33203125" customWidth="1"/>
    <col min="159" max="159" width="13.33203125" bestFit="1" customWidth="1"/>
    <col min="160" max="160" width="12.109375" bestFit="1" customWidth="1"/>
    <col min="161" max="161" width="13.33203125" hidden="1" customWidth="1"/>
    <col min="162" max="162" width="12.109375" hidden="1" customWidth="1"/>
    <col min="164" max="164" width="1.33203125" customWidth="1"/>
    <col min="165" max="165" width="10.6640625" bestFit="1" customWidth="1"/>
    <col min="192" max="192" width="1.33203125" customWidth="1"/>
    <col min="193" max="193" width="6.6640625" customWidth="1"/>
    <col min="194" max="194" width="9.109375" bestFit="1" customWidth="1"/>
    <col min="195" max="195" width="9.33203125" bestFit="1" customWidth="1"/>
    <col min="196" max="196" width="15.5546875" bestFit="1" customWidth="1"/>
    <col min="197" max="197" width="11.109375" bestFit="1" customWidth="1"/>
    <col min="199" max="199" width="1.33203125" customWidth="1"/>
    <col min="208" max="215" width="8.88671875" customWidth="1"/>
    <col min="225" max="225" width="1.33203125" customWidth="1"/>
    <col min="231" max="235" width="8.88671875" customWidth="1"/>
    <col min="242" max="242" width="1.33203125" customWidth="1"/>
    <col min="243" max="243" width="6.6640625" customWidth="1"/>
    <col min="244" max="244" width="9.109375" bestFit="1" customWidth="1"/>
    <col min="245" max="245" width="9.33203125" bestFit="1" customWidth="1"/>
    <col min="246" max="246" width="15.5546875" bestFit="1" customWidth="1"/>
    <col min="253" max="253" width="39.44140625" customWidth="1"/>
    <col min="254" max="254" width="1.33203125" customWidth="1"/>
    <col min="255" max="255" width="9.109375" bestFit="1" customWidth="1"/>
    <col min="256" max="256" width="9.33203125" bestFit="1" customWidth="1"/>
    <col min="257" max="257" width="15.5546875" bestFit="1" customWidth="1"/>
    <col min="258" max="258" width="9.44140625" bestFit="1" customWidth="1"/>
    <col min="259" max="259" width="9.6640625" bestFit="1" customWidth="1"/>
    <col min="260" max="260" width="13.5546875" hidden="1" customWidth="1"/>
    <col min="261" max="261" width="9.109375" bestFit="1" customWidth="1"/>
    <col min="262" max="262" width="9.33203125" bestFit="1" customWidth="1"/>
    <col min="263" max="263" width="15.5546875" bestFit="1" customWidth="1"/>
    <col min="264" max="264" width="9.44140625" bestFit="1" customWidth="1"/>
    <col min="265" max="265" width="9.6640625" bestFit="1" customWidth="1"/>
    <col min="266" max="266" width="9.109375" bestFit="1" customWidth="1"/>
    <col min="267" max="267" width="9.33203125" bestFit="1" customWidth="1"/>
    <col min="268" max="268" width="15.5546875" bestFit="1" customWidth="1"/>
    <col min="269" max="269" width="9.44140625" bestFit="1" customWidth="1"/>
    <col min="270" max="270" width="9.6640625" bestFit="1" customWidth="1"/>
    <col min="271" max="271" width="13.5546875" hidden="1" customWidth="1"/>
    <col min="272" max="272" width="9.109375" bestFit="1" customWidth="1"/>
    <col min="273" max="273" width="9.33203125" bestFit="1" customWidth="1"/>
    <col min="274" max="274" width="15.5546875" bestFit="1" customWidth="1"/>
    <col min="275" max="275" width="9.44140625" bestFit="1" customWidth="1"/>
    <col min="276" max="276" width="9.6640625" bestFit="1" customWidth="1"/>
    <col min="277" max="277" width="13.5546875" hidden="1" customWidth="1"/>
    <col min="278" max="278" width="9.109375" bestFit="1" customWidth="1"/>
    <col min="279" max="279" width="9.33203125" bestFit="1" customWidth="1"/>
    <col min="280" max="280" width="15.5546875" bestFit="1" customWidth="1"/>
    <col min="281" max="281" width="9.44140625" bestFit="1" customWidth="1"/>
    <col min="282" max="282" width="9.6640625" bestFit="1" customWidth="1"/>
    <col min="283" max="283" width="0" hidden="1" customWidth="1"/>
    <col min="284" max="284" width="1.33203125" customWidth="1"/>
    <col min="285" max="285" width="6.6640625" customWidth="1"/>
    <col min="290" max="290" width="1.33203125" customWidth="1"/>
    <col min="291" max="291" width="11.109375" bestFit="1" customWidth="1"/>
    <col min="292" max="292" width="13.88671875" customWidth="1"/>
    <col min="293" max="293" width="15.109375" bestFit="1" customWidth="1"/>
    <col min="294" max="294" width="10.44140625" bestFit="1" customWidth="1"/>
    <col min="295" max="300" width="9.33203125" bestFit="1" customWidth="1"/>
    <col min="301" max="301" width="11.5546875" bestFit="1" customWidth="1"/>
    <col min="302" max="302" width="9.5546875" bestFit="1" customWidth="1"/>
    <col min="303" max="303" width="9.33203125" bestFit="1" customWidth="1"/>
    <col min="304" max="308" width="10.44140625" bestFit="1" customWidth="1"/>
    <col min="309" max="310" width="9.5546875" bestFit="1" customWidth="1"/>
    <col min="311" max="311" width="10.44140625" bestFit="1" customWidth="1"/>
    <col min="312" max="314" width="9.33203125" bestFit="1" customWidth="1"/>
    <col min="315" max="315" width="10.44140625" bestFit="1" customWidth="1"/>
    <col min="316" max="316" width="9.33203125" customWidth="1"/>
    <col min="317" max="317" width="9.5546875" customWidth="1"/>
    <col min="318" max="321" width="9.33203125" customWidth="1"/>
    <col min="322" max="322" width="9.5546875" customWidth="1"/>
    <col min="323" max="328" width="8.88671875" customWidth="1"/>
    <col min="329" max="329" width="9.109375" customWidth="1"/>
    <col min="330" max="330" width="1.33203125" customWidth="1"/>
    <col min="331" max="331" width="6.6640625" customWidth="1"/>
    <col min="337" max="337" width="1.33203125" customWidth="1"/>
    <col min="338" max="338" width="6.6640625" customWidth="1"/>
    <col min="342" max="342" width="10.6640625" customWidth="1"/>
    <col min="343" max="343" width="12" bestFit="1" customWidth="1"/>
    <col min="345" max="345" width="1.33203125" customWidth="1"/>
  </cols>
  <sheetData>
    <row r="4" spans="2:365" s="39" customFormat="1">
      <c r="B4" s="2625" t="s">
        <v>103</v>
      </c>
      <c r="C4" s="2642" t="s">
        <v>104</v>
      </c>
      <c r="D4" s="2643"/>
      <c r="E4" s="2643"/>
      <c r="F4" s="2643"/>
      <c r="G4" s="2643"/>
      <c r="H4" s="2643"/>
      <c r="I4" s="2643"/>
      <c r="J4" s="2643"/>
      <c r="K4" s="2643"/>
      <c r="L4" s="2643"/>
      <c r="M4" s="2643"/>
      <c r="N4" s="2643"/>
      <c r="O4" s="2643"/>
      <c r="P4" s="2643"/>
      <c r="Q4" s="2643"/>
      <c r="R4" s="2643"/>
      <c r="S4" s="2643"/>
      <c r="T4" s="2643"/>
      <c r="U4" s="2643"/>
      <c r="V4" s="2643"/>
      <c r="W4" s="2643"/>
      <c r="X4" s="2643"/>
      <c r="Y4" s="2643"/>
      <c r="Z4" s="2643"/>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643"/>
      <c r="BE4" s="2643"/>
      <c r="BF4" s="2643"/>
      <c r="BG4" s="2643"/>
      <c r="BH4" s="2643"/>
      <c r="BI4" s="2643"/>
      <c r="BJ4" s="2643"/>
      <c r="BK4" s="2643"/>
      <c r="BL4" s="2643"/>
      <c r="BM4" s="2643"/>
      <c r="BN4" s="2643"/>
      <c r="BO4" s="2643"/>
      <c r="BP4" s="2643"/>
      <c r="BQ4" s="2643"/>
      <c r="BR4" s="2643"/>
      <c r="BS4" s="2643"/>
      <c r="BT4" s="2643"/>
      <c r="BU4" s="2643"/>
      <c r="BV4" s="2643"/>
      <c r="BW4" s="2643"/>
      <c r="BX4" s="2643"/>
      <c r="BY4" s="2643"/>
      <c r="BZ4" s="2643"/>
      <c r="CA4" s="2643"/>
      <c r="CB4" s="2643"/>
      <c r="CC4" s="2643"/>
      <c r="CD4" s="2644"/>
      <c r="CF4" s="2646" t="s">
        <v>105</v>
      </c>
      <c r="CG4" s="2647"/>
      <c r="CH4" s="2647"/>
      <c r="CI4" s="2647"/>
      <c r="CJ4" s="2647"/>
      <c r="CK4" s="2647"/>
      <c r="CL4" s="2647"/>
      <c r="CM4" s="2647"/>
      <c r="CN4" s="2647"/>
      <c r="CO4" s="2647"/>
      <c r="CP4" s="2647"/>
      <c r="CQ4" s="2647"/>
      <c r="CR4" s="2647"/>
      <c r="CS4" s="2647"/>
      <c r="CT4" s="2647"/>
      <c r="CU4" s="2647"/>
      <c r="CV4" s="2647"/>
      <c r="CW4" s="2647"/>
      <c r="CX4" s="2647"/>
      <c r="CY4" s="2647"/>
      <c r="CZ4" s="2647"/>
      <c r="DA4" s="2647"/>
      <c r="DB4" s="2647"/>
      <c r="DC4" s="2647"/>
      <c r="DD4" s="2647"/>
      <c r="DE4" s="2647"/>
      <c r="DF4" s="2647"/>
      <c r="DG4" s="2647"/>
      <c r="DH4" s="2647"/>
      <c r="DI4" s="2647"/>
      <c r="DJ4" s="2647"/>
      <c r="DK4" s="2647"/>
      <c r="DL4" s="2647"/>
      <c r="DM4" s="2647"/>
      <c r="DN4" s="2647"/>
      <c r="DO4" s="2647"/>
      <c r="DP4" s="2648"/>
      <c r="DR4" s="2649" t="s">
        <v>106</v>
      </c>
      <c r="DS4" s="2650"/>
      <c r="DT4" s="2650"/>
      <c r="DU4" s="2650"/>
      <c r="DV4" s="2650"/>
      <c r="DW4" s="2650"/>
      <c r="DX4" s="2650"/>
      <c r="DY4" s="2650"/>
      <c r="DZ4" s="2650"/>
      <c r="EA4" s="2650"/>
      <c r="EB4" s="2650"/>
      <c r="EC4" s="2650"/>
      <c r="ED4" s="2650"/>
      <c r="EE4" s="2650"/>
      <c r="EF4" s="2650"/>
      <c r="EG4" s="2650"/>
      <c r="EH4" s="2650"/>
      <c r="EI4" s="2650"/>
      <c r="EJ4" s="2650"/>
      <c r="EK4" s="2650"/>
      <c r="EL4" s="2650"/>
      <c r="EM4" s="2650"/>
      <c r="EN4" s="2650"/>
      <c r="EO4" s="2650"/>
      <c r="EP4" s="2650"/>
      <c r="EQ4" s="2650"/>
      <c r="ER4" s="2650"/>
      <c r="ES4" s="2651"/>
      <c r="EU4" s="2652" t="s">
        <v>22</v>
      </c>
      <c r="EV4" s="2653"/>
      <c r="EW4" s="2653"/>
      <c r="EX4" s="2653"/>
      <c r="EY4" s="2653"/>
      <c r="EZ4" s="2653"/>
      <c r="FA4" s="2653"/>
      <c r="FB4" s="2653"/>
      <c r="FC4" s="2653"/>
      <c r="FD4" s="2653"/>
      <c r="FE4" s="2653"/>
      <c r="FF4" s="2653"/>
      <c r="FG4" s="2653"/>
      <c r="FH4" s="2653"/>
      <c r="FI4" s="2653"/>
      <c r="FJ4" s="2653"/>
      <c r="FK4" s="2653"/>
      <c r="FL4" s="2653"/>
      <c r="FM4" s="2653"/>
      <c r="FN4" s="2653"/>
      <c r="FO4" s="2653"/>
      <c r="FP4" s="2653"/>
      <c r="FQ4" s="2653"/>
      <c r="FR4" s="2653"/>
      <c r="FS4" s="2653"/>
      <c r="FT4" s="2653"/>
      <c r="FU4" s="2653"/>
      <c r="FV4" s="2653"/>
      <c r="FW4" s="2653"/>
      <c r="FX4" s="2653"/>
      <c r="FY4" s="2653"/>
      <c r="FZ4" s="2653"/>
      <c r="GA4" s="2653"/>
      <c r="GB4" s="2653"/>
      <c r="GC4" s="2653"/>
      <c r="GD4" s="2653"/>
      <c r="GE4" s="2653"/>
      <c r="GF4" s="2653"/>
      <c r="GG4" s="2653"/>
      <c r="GH4" s="2653"/>
      <c r="GI4" s="2653"/>
      <c r="GJ4" s="2654"/>
      <c r="GL4" s="2655" t="s">
        <v>107</v>
      </c>
      <c r="GM4" s="2656"/>
      <c r="GN4" s="2656"/>
      <c r="GO4" s="2656"/>
      <c r="GP4" s="2656"/>
      <c r="GQ4" s="2656"/>
      <c r="GR4" s="2656"/>
      <c r="GS4" s="2656"/>
      <c r="GT4" s="2656"/>
      <c r="GU4" s="2656"/>
      <c r="GV4" s="2656"/>
      <c r="GW4" s="2656"/>
      <c r="GX4" s="2656"/>
      <c r="GY4" s="2656"/>
      <c r="GZ4" s="2656"/>
      <c r="HA4" s="2656"/>
      <c r="HB4" s="2656"/>
      <c r="HC4" s="2656"/>
      <c r="HD4" s="2656"/>
      <c r="HE4" s="2656"/>
      <c r="HF4" s="2656"/>
      <c r="HG4" s="2656"/>
      <c r="HH4" s="2656"/>
      <c r="HI4" s="2656"/>
      <c r="HJ4" s="2656"/>
      <c r="HK4" s="2656"/>
      <c r="HL4" s="2656"/>
      <c r="HM4" s="2656"/>
      <c r="HN4" s="2656"/>
      <c r="HO4" s="2656"/>
      <c r="HP4" s="2656"/>
      <c r="HQ4" s="2656"/>
      <c r="HR4" s="2656"/>
      <c r="HS4" s="2656"/>
      <c r="HT4" s="2656"/>
      <c r="HU4" s="2656"/>
      <c r="HV4" s="2656"/>
      <c r="HW4" s="2656"/>
      <c r="HX4" s="2656"/>
      <c r="HY4" s="2656"/>
      <c r="HZ4" s="2656"/>
      <c r="IA4" s="2656"/>
      <c r="IB4" s="2656"/>
      <c r="IC4" s="2656"/>
      <c r="ID4" s="2656"/>
      <c r="IE4" s="2656"/>
      <c r="IF4" s="2656"/>
      <c r="IG4" s="2656"/>
      <c r="IH4" s="2657"/>
      <c r="IJ4" s="2658" t="s">
        <v>108</v>
      </c>
      <c r="IK4" s="2659"/>
      <c r="IL4" s="2659"/>
      <c r="IM4" s="2659"/>
      <c r="IN4" s="2659"/>
      <c r="IO4" s="2659"/>
      <c r="IP4" s="2659"/>
      <c r="IQ4" s="2659"/>
      <c r="IR4" s="2659"/>
      <c r="IS4" s="2659"/>
      <c r="IT4" s="2659"/>
      <c r="IU4" s="2659"/>
      <c r="IV4" s="2659"/>
      <c r="IW4" s="2659"/>
      <c r="IX4" s="2659"/>
      <c r="IY4" s="2659"/>
      <c r="IZ4" s="2659"/>
      <c r="JA4" s="2659"/>
      <c r="JB4" s="2659"/>
      <c r="JC4" s="2659"/>
      <c r="JD4" s="2659"/>
      <c r="JE4" s="2659"/>
      <c r="JF4" s="2659"/>
      <c r="JG4" s="2659"/>
      <c r="JH4" s="2659"/>
      <c r="JI4" s="2659"/>
      <c r="JJ4" s="2659"/>
      <c r="JK4" s="2659"/>
      <c r="JL4" s="2659"/>
      <c r="JM4" s="2659"/>
      <c r="JN4" s="2659"/>
      <c r="JO4" s="2659"/>
      <c r="JP4" s="2659"/>
      <c r="JQ4" s="2659"/>
      <c r="JR4" s="2659"/>
      <c r="JS4" s="2659"/>
      <c r="JT4" s="2659"/>
      <c r="JU4" s="2659"/>
      <c r="JV4" s="2659"/>
      <c r="JW4" s="2659"/>
      <c r="JX4" s="2660"/>
      <c r="JZ4" s="2661" t="s">
        <v>109</v>
      </c>
      <c r="KA4" s="2662"/>
      <c r="KB4" s="2662"/>
      <c r="KC4" s="2662"/>
      <c r="KD4" s="2662"/>
      <c r="KE4" s="2662"/>
      <c r="KF4" s="2662"/>
      <c r="KG4" s="2662"/>
      <c r="KH4" s="2662"/>
      <c r="KI4" s="2662"/>
      <c r="KJ4" s="2662"/>
      <c r="KK4" s="2662"/>
      <c r="KL4" s="2662"/>
      <c r="KM4" s="2662"/>
      <c r="KN4" s="2662"/>
      <c r="KO4" s="2662"/>
      <c r="KP4" s="2662"/>
      <c r="KQ4" s="2662"/>
      <c r="KR4" s="2662"/>
      <c r="KS4" s="2662"/>
      <c r="KT4" s="2662"/>
      <c r="KU4" s="2662"/>
      <c r="KV4" s="2662"/>
      <c r="KW4" s="2662"/>
      <c r="KX4" s="2662"/>
      <c r="KY4" s="2662"/>
      <c r="KZ4" s="2662"/>
      <c r="LA4" s="2662"/>
      <c r="LB4" s="2662"/>
      <c r="LC4" s="2662"/>
      <c r="LD4" s="2662"/>
      <c r="LE4" s="2662"/>
      <c r="LF4" s="2662"/>
      <c r="LG4" s="2662"/>
      <c r="LH4" s="2662"/>
      <c r="LI4" s="2662"/>
      <c r="LJ4" s="2662"/>
      <c r="LK4" s="2662"/>
      <c r="LL4" s="2662"/>
      <c r="LM4" s="2662"/>
      <c r="LN4" s="2662"/>
      <c r="LO4" s="2662"/>
      <c r="LP4" s="2662"/>
      <c r="LQ4" s="2662"/>
      <c r="LR4" s="2663"/>
      <c r="LT4" s="2664" t="s">
        <v>110</v>
      </c>
      <c r="LU4" s="2665"/>
      <c r="LV4" s="2665"/>
      <c r="LW4" s="2665"/>
      <c r="LX4" s="2665"/>
      <c r="LY4" s="2666"/>
      <c r="MA4" s="2677" t="s">
        <v>30</v>
      </c>
      <c r="MB4" s="2678"/>
      <c r="MC4" s="2678"/>
      <c r="MD4" s="2678"/>
      <c r="ME4" s="2678"/>
      <c r="MF4" s="2678"/>
      <c r="MG4" s="2679"/>
    </row>
    <row r="5" spans="2:365" s="40" customFormat="1" ht="15" customHeight="1">
      <c r="B5" s="2626"/>
      <c r="C5" s="2624" t="s">
        <v>111</v>
      </c>
      <c r="D5" s="2628"/>
      <c r="E5" s="2628"/>
      <c r="F5" s="2628"/>
      <c r="G5" s="2628"/>
      <c r="H5" s="2628"/>
      <c r="I5" s="2628"/>
      <c r="J5" s="2629"/>
      <c r="K5" s="2631" t="s">
        <v>112</v>
      </c>
      <c r="L5" s="2623"/>
      <c r="M5" s="2623"/>
      <c r="N5" s="2623"/>
      <c r="O5" s="2623"/>
      <c r="P5" s="2623"/>
      <c r="Q5" s="2623"/>
      <c r="R5" s="2623"/>
      <c r="S5" s="2623"/>
      <c r="T5" s="2623"/>
      <c r="U5" s="2623"/>
      <c r="V5" s="2623"/>
      <c r="W5" s="2623"/>
      <c r="X5" s="2623"/>
      <c r="Y5" s="2623"/>
      <c r="Z5" s="2623"/>
      <c r="AA5" s="2623"/>
      <c r="AB5" s="2623"/>
      <c r="AC5" s="2623"/>
      <c r="AD5" s="2624"/>
      <c r="AE5" s="2629"/>
      <c r="AF5" s="2680" t="s">
        <v>113</v>
      </c>
      <c r="AG5" s="2681"/>
      <c r="AH5" s="2681"/>
      <c r="AI5" s="2681"/>
      <c r="AJ5" s="2681"/>
      <c r="AK5" s="2681"/>
      <c r="AL5" s="2681"/>
      <c r="AM5" s="2681"/>
      <c r="AN5" s="2681"/>
      <c r="AO5" s="2681"/>
      <c r="AP5" s="2681"/>
      <c r="AQ5" s="2681"/>
      <c r="AR5" s="2681"/>
      <c r="AS5" s="2681"/>
      <c r="AT5" s="2681"/>
      <c r="AU5" s="2681"/>
      <c r="AV5" s="2681"/>
      <c r="AW5" s="2681"/>
      <c r="AX5" s="2681"/>
      <c r="AY5" s="2681"/>
      <c r="AZ5" s="2681"/>
      <c r="BA5" s="2681"/>
      <c r="BB5" s="2681"/>
      <c r="BC5" s="2681"/>
      <c r="BD5" s="2681"/>
      <c r="BE5" s="2681"/>
      <c r="BF5" s="2681"/>
      <c r="BG5" s="2681"/>
      <c r="BH5" s="2681"/>
      <c r="BI5" s="2681"/>
      <c r="BJ5" s="2681"/>
      <c r="BK5" s="2681"/>
      <c r="BL5" s="2681"/>
      <c r="BM5" s="2681"/>
      <c r="BN5" s="2681"/>
      <c r="BO5" s="2681"/>
      <c r="BP5" s="2681"/>
      <c r="BQ5" s="2681"/>
      <c r="BR5" s="2681"/>
      <c r="BS5" s="2681"/>
      <c r="BT5" s="2681"/>
      <c r="BU5" s="2682"/>
      <c r="BV5" s="147"/>
      <c r="BW5" s="2631" t="s">
        <v>114</v>
      </c>
      <c r="BX5" s="2623"/>
      <c r="BY5" s="2623"/>
      <c r="BZ5" s="2623"/>
      <c r="CA5" s="2623"/>
      <c r="CB5" s="2623"/>
      <c r="CC5" s="2624"/>
      <c r="CD5" s="2683"/>
      <c r="CE5" s="41"/>
      <c r="CF5" s="2623" t="s">
        <v>111</v>
      </c>
      <c r="CG5" s="2623"/>
      <c r="CH5" s="2623"/>
      <c r="CI5" s="2623"/>
      <c r="CJ5" s="2623"/>
      <c r="CK5" s="2623"/>
      <c r="CL5" s="2624"/>
      <c r="CM5" s="2685"/>
      <c r="CN5" s="2631" t="s">
        <v>115</v>
      </c>
      <c r="CO5" s="2623"/>
      <c r="CP5" s="2623"/>
      <c r="CQ5" s="2623"/>
      <c r="CR5" s="2623"/>
      <c r="CS5" s="2623"/>
      <c r="CT5" s="2623"/>
      <c r="CU5" s="2623"/>
      <c r="CV5" s="2623"/>
      <c r="CW5" s="2623"/>
      <c r="CX5" s="2623"/>
      <c r="CY5" s="2623"/>
      <c r="CZ5" s="2623"/>
      <c r="DA5" s="2623"/>
      <c r="DB5" s="2623"/>
      <c r="DC5" s="2623"/>
      <c r="DD5" s="2623"/>
      <c r="DE5" s="2623"/>
      <c r="DF5" s="2623"/>
      <c r="DG5" s="2623"/>
      <c r="DH5" s="2623"/>
      <c r="DI5" s="2623"/>
      <c r="DJ5" s="2623"/>
      <c r="DK5" s="2623"/>
      <c r="DL5" s="2623"/>
      <c r="DM5" s="2623"/>
      <c r="DN5" s="2623"/>
      <c r="DO5" s="2624"/>
      <c r="DP5" s="2685"/>
      <c r="DR5" s="2623" t="s">
        <v>111</v>
      </c>
      <c r="DS5" s="2623"/>
      <c r="DT5" s="2623"/>
      <c r="DU5" s="2623"/>
      <c r="DV5" s="2624"/>
      <c r="DW5" s="2674"/>
      <c r="DX5" s="2631" t="s">
        <v>116</v>
      </c>
      <c r="DY5" s="2623"/>
      <c r="DZ5" s="2623"/>
      <c r="EA5" s="2623"/>
      <c r="EB5" s="2623"/>
      <c r="EC5" s="2623"/>
      <c r="ED5" s="2623"/>
      <c r="EE5" s="2623"/>
      <c r="EF5" s="2623"/>
      <c r="EG5" s="2623"/>
      <c r="EH5" s="2623"/>
      <c r="EI5" s="2623"/>
      <c r="EJ5" s="2623"/>
      <c r="EK5" s="2623"/>
      <c r="EL5" s="2623"/>
      <c r="EM5" s="2623"/>
      <c r="EN5" s="2623"/>
      <c r="EO5" s="2623"/>
      <c r="EP5" s="2623"/>
      <c r="EQ5" s="2623"/>
      <c r="ER5" s="2624"/>
      <c r="ES5" s="2674"/>
      <c r="EU5" s="2623" t="s">
        <v>111</v>
      </c>
      <c r="EV5" s="2623"/>
      <c r="EW5" s="2623"/>
      <c r="EX5" s="2623"/>
      <c r="EY5" s="2623"/>
      <c r="EZ5" s="2623"/>
      <c r="FA5" s="2624"/>
      <c r="FB5" s="2667"/>
      <c r="FC5" s="2631" t="s">
        <v>112</v>
      </c>
      <c r="FD5" s="2623"/>
      <c r="FE5" s="2623"/>
      <c r="FF5" s="2623"/>
      <c r="FG5" s="2624"/>
      <c r="FH5" s="2667"/>
      <c r="FI5" s="2631" t="s">
        <v>117</v>
      </c>
      <c r="FJ5" s="2623"/>
      <c r="FK5" s="2623"/>
      <c r="FL5" s="2623"/>
      <c r="FM5" s="2623"/>
      <c r="FN5" s="2623"/>
      <c r="FO5" s="2623"/>
      <c r="FP5" s="2623"/>
      <c r="FQ5" s="2623"/>
      <c r="FR5" s="2623"/>
      <c r="FS5" s="2623"/>
      <c r="FT5" s="2623"/>
      <c r="FU5" s="2623"/>
      <c r="FV5" s="2623"/>
      <c r="FW5" s="2623"/>
      <c r="FX5" s="2623"/>
      <c r="FY5" s="2623"/>
      <c r="FZ5" s="2623"/>
      <c r="GA5" s="2623"/>
      <c r="GB5" s="2623"/>
      <c r="GC5" s="2623"/>
      <c r="GD5" s="2623"/>
      <c r="GE5" s="2623"/>
      <c r="GF5" s="2623"/>
      <c r="GG5" s="2623"/>
      <c r="GH5" s="2623"/>
      <c r="GI5" s="2624"/>
      <c r="GJ5" s="2667"/>
      <c r="GL5" s="2623" t="s">
        <v>111</v>
      </c>
      <c r="GM5" s="2623"/>
      <c r="GN5" s="2623"/>
      <c r="GO5" s="2623"/>
      <c r="GP5" s="2624"/>
      <c r="GQ5" s="2669"/>
      <c r="GR5" s="2631" t="s">
        <v>118</v>
      </c>
      <c r="GS5" s="2623"/>
      <c r="GT5" s="2623"/>
      <c r="GU5" s="2623"/>
      <c r="GV5" s="2623"/>
      <c r="GW5" s="2623"/>
      <c r="GX5" s="2623"/>
      <c r="GY5" s="2623"/>
      <c r="GZ5" s="2623"/>
      <c r="HA5" s="2623"/>
      <c r="HB5" s="2623"/>
      <c r="HC5" s="2623"/>
      <c r="HD5" s="2623"/>
      <c r="HE5" s="2623"/>
      <c r="HF5" s="2623"/>
      <c r="HG5" s="2623"/>
      <c r="HH5" s="2623"/>
      <c r="HI5" s="2623"/>
      <c r="HJ5" s="2623"/>
      <c r="HK5" s="2623"/>
      <c r="HL5" s="2623"/>
      <c r="HM5" s="2623"/>
      <c r="HN5" s="2623"/>
      <c r="HO5" s="2623"/>
      <c r="HP5" s="2624"/>
      <c r="HQ5" s="2669"/>
      <c r="HR5" s="2631" t="s">
        <v>119</v>
      </c>
      <c r="HS5" s="2623"/>
      <c r="HT5" s="2623"/>
      <c r="HU5" s="2623"/>
      <c r="HV5" s="2623"/>
      <c r="HW5" s="2623"/>
      <c r="HX5" s="2623"/>
      <c r="HY5" s="2623"/>
      <c r="HZ5" s="2623"/>
      <c r="IA5" s="2623"/>
      <c r="IB5" s="2623"/>
      <c r="IC5" s="2623"/>
      <c r="ID5" s="2623"/>
      <c r="IE5" s="2623"/>
      <c r="IF5" s="2623"/>
      <c r="IG5" s="2624"/>
      <c r="IH5" s="2669"/>
      <c r="IJ5" s="2623" t="s">
        <v>111</v>
      </c>
      <c r="IK5" s="2623"/>
      <c r="IL5" s="2623"/>
      <c r="IM5" s="2623"/>
      <c r="IN5" s="2623"/>
      <c r="IO5" s="2623"/>
      <c r="IP5" s="2623"/>
      <c r="IQ5" s="2623"/>
      <c r="IR5" s="2623"/>
      <c r="IS5" s="2624"/>
      <c r="IT5" s="2688"/>
      <c r="IU5" s="2631" t="s">
        <v>120</v>
      </c>
      <c r="IV5" s="2631"/>
      <c r="IW5" s="2623"/>
      <c r="IX5" s="2623"/>
      <c r="IY5" s="2623"/>
      <c r="IZ5" s="2623"/>
      <c r="JA5" s="2623"/>
      <c r="JB5" s="2623"/>
      <c r="JC5" s="2623"/>
      <c r="JD5" s="2623"/>
      <c r="JE5" s="2623"/>
      <c r="JF5" s="2623"/>
      <c r="JG5" s="2623"/>
      <c r="JH5" s="2623"/>
      <c r="JI5" s="2623"/>
      <c r="JJ5" s="2623"/>
      <c r="JK5" s="2623"/>
      <c r="JL5" s="2623"/>
      <c r="JM5" s="2623"/>
      <c r="JN5" s="2623"/>
      <c r="JO5" s="2623"/>
      <c r="JP5" s="2623"/>
      <c r="JQ5" s="2623"/>
      <c r="JR5" s="2623"/>
      <c r="JS5" s="2623"/>
      <c r="JT5" s="2623"/>
      <c r="JU5" s="2623"/>
      <c r="JV5" s="2623"/>
      <c r="JW5" s="2624"/>
      <c r="JX5" s="2688"/>
      <c r="JZ5" s="2623" t="s">
        <v>111</v>
      </c>
      <c r="KA5" s="2623"/>
      <c r="KB5" s="2623"/>
      <c r="KC5" s="2624"/>
      <c r="KD5" s="2621"/>
      <c r="KE5" s="2631" t="s">
        <v>121</v>
      </c>
      <c r="KF5" s="2631"/>
      <c r="KG5" s="2623"/>
      <c r="KH5" s="2623"/>
      <c r="KI5" s="2623"/>
      <c r="KJ5" s="2623"/>
      <c r="KK5" s="2623"/>
      <c r="KL5" s="2623"/>
      <c r="KM5" s="2623"/>
      <c r="KN5" s="2623"/>
      <c r="KO5" s="2623"/>
      <c r="KP5" s="2623"/>
      <c r="KQ5" s="2623"/>
      <c r="KR5" s="2623"/>
      <c r="KS5" s="2623"/>
      <c r="KT5" s="2623"/>
      <c r="KU5" s="2623"/>
      <c r="KV5" s="2623"/>
      <c r="KW5" s="2623"/>
      <c r="KX5" s="2623"/>
      <c r="KY5" s="2623"/>
      <c r="KZ5" s="2623"/>
      <c r="LA5" s="2623"/>
      <c r="LB5" s="2623"/>
      <c r="LC5" s="2623"/>
      <c r="LD5" s="2623"/>
      <c r="LE5" s="2623"/>
      <c r="LF5" s="2623"/>
      <c r="LG5" s="2623"/>
      <c r="LH5" s="2623"/>
      <c r="LI5" s="2623"/>
      <c r="LJ5" s="2623"/>
      <c r="LK5" s="2623"/>
      <c r="LL5" s="2623"/>
      <c r="LM5" s="2623"/>
      <c r="LN5" s="2623"/>
      <c r="LO5" s="2623"/>
      <c r="LP5" s="2623"/>
      <c r="LQ5" s="2624"/>
      <c r="LR5" s="2621"/>
      <c r="LT5" s="2623" t="s">
        <v>111</v>
      </c>
      <c r="LU5" s="2623"/>
      <c r="LV5" s="2623"/>
      <c r="LW5" s="2624"/>
      <c r="LX5" s="2624"/>
      <c r="LY5" s="2615"/>
      <c r="MA5" s="2613" t="s">
        <v>111</v>
      </c>
      <c r="MB5" s="2613"/>
      <c r="MC5" s="2613"/>
      <c r="MD5" s="2613"/>
      <c r="ME5" s="2614"/>
      <c r="MF5" s="2614"/>
      <c r="MG5" s="2615"/>
      <c r="MI5" s="2617" t="s">
        <v>122</v>
      </c>
      <c r="MJ5" s="2617"/>
      <c r="ML5" s="2617" t="s">
        <v>123</v>
      </c>
      <c r="MM5" s="2617"/>
      <c r="MO5" s="2618" t="s">
        <v>124</v>
      </c>
      <c r="MP5" s="2618"/>
      <c r="MQ5" s="2618"/>
      <c r="MR5" s="2618"/>
      <c r="MS5" s="2618"/>
      <c r="MT5" s="2618"/>
      <c r="MU5" s="89"/>
      <c r="MV5" s="2618" t="s">
        <v>125</v>
      </c>
      <c r="MW5" s="2618"/>
      <c r="MX5" s="2618"/>
      <c r="MY5" s="2618"/>
      <c r="MZ5" s="2618"/>
      <c r="NA5" s="2618"/>
    </row>
    <row r="6" spans="2:365" s="42" customFormat="1" ht="15" customHeight="1">
      <c r="B6" s="2626"/>
      <c r="C6" s="2632" t="s">
        <v>3</v>
      </c>
      <c r="D6" s="2632" t="s">
        <v>126</v>
      </c>
      <c r="E6" s="2632" t="s">
        <v>127</v>
      </c>
      <c r="F6" s="2633" t="s">
        <v>128</v>
      </c>
      <c r="G6" s="2634"/>
      <c r="H6" s="2633" t="s">
        <v>129</v>
      </c>
      <c r="I6" s="2635"/>
      <c r="J6" s="2629"/>
      <c r="K6" s="2636" t="s">
        <v>16</v>
      </c>
      <c r="L6" s="2637"/>
      <c r="M6" s="2637"/>
      <c r="N6" s="2637"/>
      <c r="O6" s="2638" t="s">
        <v>17</v>
      </c>
      <c r="P6" s="2638"/>
      <c r="Q6" s="2638"/>
      <c r="R6" s="2638"/>
      <c r="S6" s="2632" t="s">
        <v>18</v>
      </c>
      <c r="T6" s="2632"/>
      <c r="U6" s="2632"/>
      <c r="V6" s="2632"/>
      <c r="W6" s="2639" t="s">
        <v>66</v>
      </c>
      <c r="X6" s="2639"/>
      <c r="Y6" s="2639"/>
      <c r="Z6" s="2639"/>
      <c r="AA6" s="2640" t="s">
        <v>130</v>
      </c>
      <c r="AB6" s="2640"/>
      <c r="AC6" s="2640"/>
      <c r="AD6" s="2641"/>
      <c r="AE6" s="2629"/>
      <c r="AF6" s="2636" t="s">
        <v>131</v>
      </c>
      <c r="AG6" s="2637"/>
      <c r="AH6" s="2637"/>
      <c r="AI6" s="2637" t="s">
        <v>132</v>
      </c>
      <c r="AJ6" s="2637"/>
      <c r="AK6" s="2637"/>
      <c r="AL6" s="2637" t="s">
        <v>133</v>
      </c>
      <c r="AM6" s="2637"/>
      <c r="AN6" s="2637"/>
      <c r="AO6" s="2637" t="s">
        <v>134</v>
      </c>
      <c r="AP6" s="2637"/>
      <c r="AQ6" s="2637"/>
      <c r="AR6" s="2637" t="s">
        <v>135</v>
      </c>
      <c r="AS6" s="2637"/>
      <c r="AT6" s="2637"/>
      <c r="AU6" s="2637" t="s">
        <v>136</v>
      </c>
      <c r="AV6" s="2637"/>
      <c r="AW6" s="2637"/>
      <c r="AX6" s="2687" t="s">
        <v>137</v>
      </c>
      <c r="AY6" s="2687"/>
      <c r="AZ6" s="2687"/>
      <c r="BA6" s="2687" t="s">
        <v>138</v>
      </c>
      <c r="BB6" s="2687"/>
      <c r="BC6" s="2687"/>
      <c r="BD6" s="2639" t="s">
        <v>139</v>
      </c>
      <c r="BE6" s="2639"/>
      <c r="BF6" s="2639"/>
      <c r="BG6" s="2639" t="s">
        <v>140</v>
      </c>
      <c r="BH6" s="2639"/>
      <c r="BI6" s="2639"/>
      <c r="BJ6" s="2638" t="s">
        <v>141</v>
      </c>
      <c r="BK6" s="2638"/>
      <c r="BL6" s="2638"/>
      <c r="BM6" s="2638" t="s">
        <v>142</v>
      </c>
      <c r="BN6" s="2638"/>
      <c r="BO6" s="2645"/>
      <c r="BP6" s="2638" t="s">
        <v>143</v>
      </c>
      <c r="BQ6" s="2638"/>
      <c r="BR6" s="2645"/>
      <c r="BS6" s="2632" t="s">
        <v>144</v>
      </c>
      <c r="BT6" s="2632"/>
      <c r="BU6" s="2633"/>
      <c r="BV6" s="147"/>
      <c r="BW6" s="2634" t="s">
        <v>16</v>
      </c>
      <c r="BX6" s="2632" t="s">
        <v>17</v>
      </c>
      <c r="BY6" s="2632" t="s">
        <v>18</v>
      </c>
      <c r="BZ6" s="2632" t="s">
        <v>66</v>
      </c>
      <c r="CA6" s="2632" t="s">
        <v>130</v>
      </c>
      <c r="CB6" s="2671" t="s">
        <v>7</v>
      </c>
      <c r="CC6" s="2633" t="s">
        <v>145</v>
      </c>
      <c r="CD6" s="2683"/>
      <c r="CF6" s="2632" t="s">
        <v>146</v>
      </c>
      <c r="CG6" s="2632" t="s">
        <v>147</v>
      </c>
      <c r="CH6" s="2632" t="s">
        <v>148</v>
      </c>
      <c r="CI6" s="2632" t="s">
        <v>149</v>
      </c>
      <c r="CJ6" s="2632" t="s">
        <v>69</v>
      </c>
      <c r="CK6" s="2632" t="s">
        <v>71</v>
      </c>
      <c r="CL6" s="2633" t="s">
        <v>7</v>
      </c>
      <c r="CM6" s="2685"/>
      <c r="CN6" s="2634" t="s">
        <v>150</v>
      </c>
      <c r="CO6" s="2632"/>
      <c r="CP6" s="2632"/>
      <c r="CQ6" s="2632"/>
      <c r="CR6" s="2632"/>
      <c r="CS6" s="2633"/>
      <c r="CT6" s="2676" t="s">
        <v>151</v>
      </c>
      <c r="CU6" s="2632" t="s">
        <v>152</v>
      </c>
      <c r="CV6" s="2632"/>
      <c r="CW6" s="2632"/>
      <c r="CX6" s="2632"/>
      <c r="CY6" s="2632"/>
      <c r="CZ6" s="2633"/>
      <c r="DA6" s="2676" t="s">
        <v>151</v>
      </c>
      <c r="DB6" s="2632" t="s">
        <v>153</v>
      </c>
      <c r="DC6" s="2632"/>
      <c r="DD6" s="2632"/>
      <c r="DE6" s="2632"/>
      <c r="DF6" s="2632"/>
      <c r="DG6" s="2633"/>
      <c r="DH6" s="2676" t="s">
        <v>151</v>
      </c>
      <c r="DI6" s="2632" t="s">
        <v>154</v>
      </c>
      <c r="DJ6" s="2632"/>
      <c r="DK6" s="2632"/>
      <c r="DL6" s="2632"/>
      <c r="DM6" s="2632"/>
      <c r="DN6" s="2633"/>
      <c r="DO6" s="2673" t="s">
        <v>151</v>
      </c>
      <c r="DP6" s="2685"/>
      <c r="DR6" s="2620" t="s">
        <v>155</v>
      </c>
      <c r="DS6" s="2620" t="s">
        <v>156</v>
      </c>
      <c r="DT6" s="2620" t="s">
        <v>157</v>
      </c>
      <c r="DU6" s="2632" t="s">
        <v>7</v>
      </c>
      <c r="DV6" s="2633" t="s">
        <v>145</v>
      </c>
      <c r="DW6" s="2674"/>
      <c r="DX6" s="2634" t="s">
        <v>158</v>
      </c>
      <c r="DY6" s="2632"/>
      <c r="DZ6" s="2632"/>
      <c r="EA6" s="2632"/>
      <c r="EB6" s="2632"/>
      <c r="EC6" s="2633"/>
      <c r="ED6" s="2676" t="s">
        <v>151</v>
      </c>
      <c r="EE6" s="2632" t="s">
        <v>159</v>
      </c>
      <c r="EF6" s="2632"/>
      <c r="EG6" s="2632"/>
      <c r="EH6" s="2632"/>
      <c r="EI6" s="2632"/>
      <c r="EJ6" s="2633"/>
      <c r="EK6" s="2676" t="s">
        <v>151</v>
      </c>
      <c r="EL6" s="2632" t="s">
        <v>160</v>
      </c>
      <c r="EM6" s="2632"/>
      <c r="EN6" s="2632"/>
      <c r="EO6" s="2632"/>
      <c r="EP6" s="2632"/>
      <c r="EQ6" s="2633"/>
      <c r="ER6" s="2673" t="s">
        <v>151</v>
      </c>
      <c r="ES6" s="2674"/>
      <c r="EU6" s="2632" t="s">
        <v>161</v>
      </c>
      <c r="EV6" s="2632"/>
      <c r="EW6" s="2633"/>
      <c r="EX6" s="2634" t="s">
        <v>7</v>
      </c>
      <c r="EY6" s="181" t="s">
        <v>162</v>
      </c>
      <c r="EZ6" s="181" t="s">
        <v>163</v>
      </c>
      <c r="FA6" s="2633" t="s">
        <v>145</v>
      </c>
      <c r="FB6" s="2667"/>
      <c r="FC6" s="2634" t="s">
        <v>130</v>
      </c>
      <c r="FD6" s="2632" t="s">
        <v>164</v>
      </c>
      <c r="FE6" s="2632" t="s">
        <v>165</v>
      </c>
      <c r="FF6" s="2632" t="s">
        <v>166</v>
      </c>
      <c r="FG6" s="2619" t="s">
        <v>7</v>
      </c>
      <c r="FH6" s="2667"/>
      <c r="FI6" s="2634" t="s">
        <v>35</v>
      </c>
      <c r="FJ6" s="2632"/>
      <c r="FK6" s="2632"/>
      <c r="FL6" s="2632"/>
      <c r="FM6" s="2632"/>
      <c r="FN6" s="2632"/>
      <c r="FO6" s="2632"/>
      <c r="FP6" s="2633"/>
      <c r="FQ6" s="2676" t="s">
        <v>151</v>
      </c>
      <c r="FR6" s="2632" t="s">
        <v>67</v>
      </c>
      <c r="FS6" s="2632"/>
      <c r="FT6" s="2632"/>
      <c r="FU6" s="2632"/>
      <c r="FV6" s="2632"/>
      <c r="FW6" s="2632"/>
      <c r="FX6" s="2632"/>
      <c r="FY6" s="2633"/>
      <c r="FZ6" s="2676" t="s">
        <v>151</v>
      </c>
      <c r="GA6" s="2632" t="s">
        <v>73</v>
      </c>
      <c r="GB6" s="2632"/>
      <c r="GC6" s="2632"/>
      <c r="GD6" s="2632"/>
      <c r="GE6" s="2632"/>
      <c r="GF6" s="2632"/>
      <c r="GG6" s="2632"/>
      <c r="GH6" s="2633"/>
      <c r="GI6" s="2673" t="s">
        <v>151</v>
      </c>
      <c r="GJ6" s="2667"/>
      <c r="GL6" s="2632" t="s">
        <v>167</v>
      </c>
      <c r="GM6" s="2671" t="s">
        <v>168</v>
      </c>
      <c r="GN6" s="2632" t="s">
        <v>169</v>
      </c>
      <c r="GO6" s="2632" t="s">
        <v>7</v>
      </c>
      <c r="GP6" s="2633" t="s">
        <v>145</v>
      </c>
      <c r="GQ6" s="2669"/>
      <c r="GR6" s="2634" t="s">
        <v>167</v>
      </c>
      <c r="GS6" s="2632"/>
      <c r="GT6" s="2632"/>
      <c r="GU6" s="2632"/>
      <c r="GV6" s="2632"/>
      <c r="GW6" s="2632"/>
      <c r="GX6" s="2632"/>
      <c r="GY6" s="2632"/>
      <c r="GZ6" s="2634" t="s">
        <v>168</v>
      </c>
      <c r="HA6" s="2632"/>
      <c r="HB6" s="2632"/>
      <c r="HC6" s="2632"/>
      <c r="HD6" s="2632"/>
      <c r="HE6" s="2632"/>
      <c r="HF6" s="2632"/>
      <c r="HG6" s="2632"/>
      <c r="HH6" s="2632" t="s">
        <v>169</v>
      </c>
      <c r="HI6" s="2632"/>
      <c r="HJ6" s="2632"/>
      <c r="HK6" s="2632"/>
      <c r="HL6" s="2632"/>
      <c r="HM6" s="2632"/>
      <c r="HN6" s="2632"/>
      <c r="HO6" s="2632"/>
      <c r="HP6" s="2633" t="s">
        <v>145</v>
      </c>
      <c r="HQ6" s="2669"/>
      <c r="HR6" s="2634" t="s">
        <v>167</v>
      </c>
      <c r="HS6" s="2632"/>
      <c r="HT6" s="2632"/>
      <c r="HU6" s="2632"/>
      <c r="HV6" s="2632"/>
      <c r="HW6" s="2634" t="s">
        <v>168</v>
      </c>
      <c r="HX6" s="2632"/>
      <c r="HY6" s="2632"/>
      <c r="HZ6" s="2632"/>
      <c r="IA6" s="2632"/>
      <c r="IB6" s="2632" t="s">
        <v>169</v>
      </c>
      <c r="IC6" s="2632"/>
      <c r="ID6" s="2632"/>
      <c r="IE6" s="2632"/>
      <c r="IF6" s="2632"/>
      <c r="IG6" s="2633" t="s">
        <v>145</v>
      </c>
      <c r="IH6" s="2669"/>
      <c r="IJ6" s="2633" t="s">
        <v>170</v>
      </c>
      <c r="IK6" s="2635"/>
      <c r="IL6" s="2635"/>
      <c r="IM6" s="2634"/>
      <c r="IN6" s="2619" t="s">
        <v>171</v>
      </c>
      <c r="IO6" s="2673"/>
      <c r="IP6" s="2673"/>
      <c r="IQ6" s="2673"/>
      <c r="IR6" s="2690" t="s">
        <v>172</v>
      </c>
      <c r="IS6" s="2633" t="s">
        <v>145</v>
      </c>
      <c r="IT6" s="2688"/>
      <c r="IU6" s="2634" t="s">
        <v>173</v>
      </c>
      <c r="IV6" s="2634"/>
      <c r="IW6" s="2632"/>
      <c r="IX6" s="2632"/>
      <c r="IY6" s="2632"/>
      <c r="IZ6" s="2620" t="s">
        <v>151</v>
      </c>
      <c r="JA6" s="2632" t="s">
        <v>174</v>
      </c>
      <c r="JB6" s="2632"/>
      <c r="JC6" s="2632"/>
      <c r="JD6" s="2632"/>
      <c r="JE6" s="2632"/>
      <c r="JF6" s="2632" t="s">
        <v>175</v>
      </c>
      <c r="JG6" s="2632"/>
      <c r="JH6" s="2632"/>
      <c r="JI6" s="2632"/>
      <c r="JJ6" s="2632"/>
      <c r="JK6" s="2620" t="s">
        <v>151</v>
      </c>
      <c r="JL6" s="2632" t="s">
        <v>176</v>
      </c>
      <c r="JM6" s="2632"/>
      <c r="JN6" s="2632"/>
      <c r="JO6" s="2632"/>
      <c r="JP6" s="2632"/>
      <c r="JQ6" s="2620" t="s">
        <v>151</v>
      </c>
      <c r="JR6" s="2632" t="s">
        <v>177</v>
      </c>
      <c r="JS6" s="2632"/>
      <c r="JT6" s="2632"/>
      <c r="JU6" s="2632"/>
      <c r="JV6" s="2632"/>
      <c r="JW6" s="2619" t="s">
        <v>151</v>
      </c>
      <c r="JX6" s="2688"/>
      <c r="JZ6" s="2632" t="s">
        <v>178</v>
      </c>
      <c r="KA6" s="2632" t="s">
        <v>126</v>
      </c>
      <c r="KB6" s="2632" t="s">
        <v>179</v>
      </c>
      <c r="KC6" s="2633" t="s">
        <v>180</v>
      </c>
      <c r="KD6" s="2621"/>
      <c r="KE6" s="2634" t="s">
        <v>181</v>
      </c>
      <c r="KF6" s="2634"/>
      <c r="KG6" s="2632"/>
      <c r="KH6" s="2632" t="s">
        <v>7</v>
      </c>
      <c r="KI6" s="2632" t="s">
        <v>35</v>
      </c>
      <c r="KJ6" s="2632"/>
      <c r="KK6" s="2632"/>
      <c r="KL6" s="2632"/>
      <c r="KM6" s="2632"/>
      <c r="KN6" s="2632"/>
      <c r="KO6" s="2620" t="s">
        <v>151</v>
      </c>
      <c r="KP6" s="2632" t="s">
        <v>67</v>
      </c>
      <c r="KQ6" s="2632"/>
      <c r="KR6" s="2632"/>
      <c r="KS6" s="2632"/>
      <c r="KT6" s="2632"/>
      <c r="KU6" s="2632"/>
      <c r="KV6" s="2620" t="s">
        <v>151</v>
      </c>
      <c r="KW6" s="2632" t="s">
        <v>73</v>
      </c>
      <c r="KX6" s="2632"/>
      <c r="KY6" s="2632"/>
      <c r="KZ6" s="2632"/>
      <c r="LA6" s="2632"/>
      <c r="LB6" s="2632"/>
      <c r="LC6" s="2620" t="s">
        <v>151</v>
      </c>
      <c r="LD6" s="2632" t="s">
        <v>182</v>
      </c>
      <c r="LE6" s="2632"/>
      <c r="LF6" s="2632"/>
      <c r="LG6" s="2632"/>
      <c r="LH6" s="2632"/>
      <c r="LI6" s="2632"/>
      <c r="LJ6" s="2620" t="s">
        <v>151</v>
      </c>
      <c r="LK6" s="2632" t="s">
        <v>183</v>
      </c>
      <c r="LL6" s="2632"/>
      <c r="LM6" s="2632"/>
      <c r="LN6" s="2632"/>
      <c r="LO6" s="2632"/>
      <c r="LP6" s="2632"/>
      <c r="LQ6" s="2619" t="s">
        <v>151</v>
      </c>
      <c r="LR6" s="2621"/>
      <c r="LT6" s="2620" t="s">
        <v>184</v>
      </c>
      <c r="LU6" s="2620" t="s">
        <v>185</v>
      </c>
      <c r="LV6" s="2620" t="s">
        <v>186</v>
      </c>
      <c r="LW6" s="2619" t="s">
        <v>187</v>
      </c>
      <c r="LX6" s="2619" t="s">
        <v>145</v>
      </c>
      <c r="LY6" s="2615"/>
      <c r="MA6" s="2620" t="s">
        <v>188</v>
      </c>
      <c r="MB6" s="2620" t="s">
        <v>184</v>
      </c>
      <c r="MC6" s="2620" t="s">
        <v>189</v>
      </c>
      <c r="MD6" s="2620" t="s">
        <v>190</v>
      </c>
      <c r="ME6" s="2619" t="s">
        <v>191</v>
      </c>
      <c r="MF6" s="2619" t="s">
        <v>145</v>
      </c>
      <c r="MG6" s="2615"/>
      <c r="ML6" s="105" t="s">
        <v>192</v>
      </c>
      <c r="MM6" s="105">
        <v>13000</v>
      </c>
    </row>
    <row r="7" spans="2:365" s="42" customFormat="1" ht="27.6">
      <c r="B7" s="2627"/>
      <c r="C7" s="2632"/>
      <c r="D7" s="2632"/>
      <c r="E7" s="2632"/>
      <c r="F7" s="181" t="s">
        <v>193</v>
      </c>
      <c r="G7" s="181" t="s">
        <v>194</v>
      </c>
      <c r="H7" s="181" t="s">
        <v>193</v>
      </c>
      <c r="I7" s="182" t="s">
        <v>194</v>
      </c>
      <c r="J7" s="2629"/>
      <c r="K7" s="183" t="s">
        <v>3</v>
      </c>
      <c r="L7" s="181" t="s">
        <v>126</v>
      </c>
      <c r="M7" s="181" t="s">
        <v>127</v>
      </c>
      <c r="N7" s="181" t="s">
        <v>145</v>
      </c>
      <c r="O7" s="181" t="s">
        <v>3</v>
      </c>
      <c r="P7" s="181" t="s">
        <v>126</v>
      </c>
      <c r="Q7" s="181" t="s">
        <v>127</v>
      </c>
      <c r="R7" s="181" t="s">
        <v>145</v>
      </c>
      <c r="S7" s="181" t="s">
        <v>3</v>
      </c>
      <c r="T7" s="181" t="s">
        <v>126</v>
      </c>
      <c r="U7" s="181" t="s">
        <v>127</v>
      </c>
      <c r="V7" s="181" t="s">
        <v>145</v>
      </c>
      <c r="W7" s="181" t="s">
        <v>3</v>
      </c>
      <c r="X7" s="181" t="s">
        <v>126</v>
      </c>
      <c r="Y7" s="181" t="s">
        <v>127</v>
      </c>
      <c r="Z7" s="181" t="s">
        <v>145</v>
      </c>
      <c r="AA7" s="181" t="s">
        <v>3</v>
      </c>
      <c r="AB7" s="181" t="s">
        <v>126</v>
      </c>
      <c r="AC7" s="181" t="s">
        <v>127</v>
      </c>
      <c r="AD7" s="182" t="s">
        <v>145</v>
      </c>
      <c r="AE7" s="2629"/>
      <c r="AF7" s="183" t="s">
        <v>3</v>
      </c>
      <c r="AG7" s="181" t="s">
        <v>126</v>
      </c>
      <c r="AH7" s="181" t="s">
        <v>127</v>
      </c>
      <c r="AI7" s="181" t="s">
        <v>3</v>
      </c>
      <c r="AJ7" s="181" t="s">
        <v>126</v>
      </c>
      <c r="AK7" s="181" t="s">
        <v>127</v>
      </c>
      <c r="AL7" s="181" t="s">
        <v>3</v>
      </c>
      <c r="AM7" s="181" t="s">
        <v>126</v>
      </c>
      <c r="AN7" s="181" t="s">
        <v>127</v>
      </c>
      <c r="AO7" s="181" t="s">
        <v>3</v>
      </c>
      <c r="AP7" s="181" t="s">
        <v>126</v>
      </c>
      <c r="AQ7" s="181" t="s">
        <v>127</v>
      </c>
      <c r="AR7" s="181" t="s">
        <v>3</v>
      </c>
      <c r="AS7" s="181" t="s">
        <v>126</v>
      </c>
      <c r="AT7" s="181" t="s">
        <v>127</v>
      </c>
      <c r="AU7" s="181" t="s">
        <v>3</v>
      </c>
      <c r="AV7" s="181" t="s">
        <v>126</v>
      </c>
      <c r="AW7" s="181" t="s">
        <v>127</v>
      </c>
      <c r="AX7" s="181" t="s">
        <v>3</v>
      </c>
      <c r="AY7" s="181" t="s">
        <v>126</v>
      </c>
      <c r="AZ7" s="181" t="s">
        <v>127</v>
      </c>
      <c r="BA7" s="181" t="s">
        <v>3</v>
      </c>
      <c r="BB7" s="181" t="s">
        <v>126</v>
      </c>
      <c r="BC7" s="181" t="s">
        <v>127</v>
      </c>
      <c r="BD7" s="181" t="s">
        <v>3</v>
      </c>
      <c r="BE7" s="181" t="s">
        <v>126</v>
      </c>
      <c r="BF7" s="181" t="s">
        <v>127</v>
      </c>
      <c r="BG7" s="181" t="s">
        <v>3</v>
      </c>
      <c r="BH7" s="181" t="s">
        <v>126</v>
      </c>
      <c r="BI7" s="181" t="s">
        <v>127</v>
      </c>
      <c r="BJ7" s="181" t="s">
        <v>3</v>
      </c>
      <c r="BK7" s="181" t="s">
        <v>126</v>
      </c>
      <c r="BL7" s="181" t="s">
        <v>127</v>
      </c>
      <c r="BM7" s="181" t="s">
        <v>3</v>
      </c>
      <c r="BN7" s="181" t="s">
        <v>126</v>
      </c>
      <c r="BO7" s="182" t="s">
        <v>127</v>
      </c>
      <c r="BP7" s="181" t="s">
        <v>3</v>
      </c>
      <c r="BQ7" s="181" t="s">
        <v>126</v>
      </c>
      <c r="BR7" s="182" t="s">
        <v>127</v>
      </c>
      <c r="BS7" s="181" t="s">
        <v>3</v>
      </c>
      <c r="BT7" s="181" t="s">
        <v>126</v>
      </c>
      <c r="BU7" s="182" t="s">
        <v>127</v>
      </c>
      <c r="BV7" s="148"/>
      <c r="BW7" s="2634"/>
      <c r="BX7" s="2632"/>
      <c r="BY7" s="2632"/>
      <c r="BZ7" s="2632"/>
      <c r="CA7" s="2632"/>
      <c r="CB7" s="2672"/>
      <c r="CC7" s="2633"/>
      <c r="CD7" s="2683"/>
      <c r="CF7" s="2632"/>
      <c r="CG7" s="2632"/>
      <c r="CH7" s="2632"/>
      <c r="CI7" s="2632"/>
      <c r="CJ7" s="2632"/>
      <c r="CK7" s="2632"/>
      <c r="CL7" s="2633"/>
      <c r="CM7" s="2685"/>
      <c r="CN7" s="183" t="s">
        <v>146</v>
      </c>
      <c r="CO7" s="181" t="s">
        <v>147</v>
      </c>
      <c r="CP7" s="181" t="s">
        <v>148</v>
      </c>
      <c r="CQ7" s="181" t="s">
        <v>149</v>
      </c>
      <c r="CR7" s="181" t="s">
        <v>69</v>
      </c>
      <c r="CS7" s="181" t="s">
        <v>71</v>
      </c>
      <c r="CT7" s="2620"/>
      <c r="CU7" s="181" t="s">
        <v>146</v>
      </c>
      <c r="CV7" s="181" t="s">
        <v>147</v>
      </c>
      <c r="CW7" s="181" t="s">
        <v>148</v>
      </c>
      <c r="CX7" s="181" t="s">
        <v>149</v>
      </c>
      <c r="CY7" s="181" t="s">
        <v>69</v>
      </c>
      <c r="CZ7" s="181" t="s">
        <v>71</v>
      </c>
      <c r="DA7" s="2620"/>
      <c r="DB7" s="181" t="s">
        <v>146</v>
      </c>
      <c r="DC7" s="181" t="s">
        <v>147</v>
      </c>
      <c r="DD7" s="181" t="s">
        <v>148</v>
      </c>
      <c r="DE7" s="181" t="s">
        <v>149</v>
      </c>
      <c r="DF7" s="181" t="s">
        <v>69</v>
      </c>
      <c r="DG7" s="181" t="s">
        <v>71</v>
      </c>
      <c r="DH7" s="2620"/>
      <c r="DI7" s="181" t="s">
        <v>146</v>
      </c>
      <c r="DJ7" s="181" t="s">
        <v>147</v>
      </c>
      <c r="DK7" s="181" t="s">
        <v>148</v>
      </c>
      <c r="DL7" s="181" t="s">
        <v>149</v>
      </c>
      <c r="DM7" s="181" t="s">
        <v>69</v>
      </c>
      <c r="DN7" s="181" t="s">
        <v>71</v>
      </c>
      <c r="DO7" s="2619"/>
      <c r="DP7" s="2685"/>
      <c r="DR7" s="2620"/>
      <c r="DS7" s="2620"/>
      <c r="DT7" s="2620"/>
      <c r="DU7" s="2632"/>
      <c r="DV7" s="2633"/>
      <c r="DW7" s="2674"/>
      <c r="DX7" s="183" t="s">
        <v>146</v>
      </c>
      <c r="DY7" s="181" t="s">
        <v>147</v>
      </c>
      <c r="DZ7" s="181" t="s">
        <v>148</v>
      </c>
      <c r="EA7" s="181" t="s">
        <v>149</v>
      </c>
      <c r="EB7" s="181" t="s">
        <v>69</v>
      </c>
      <c r="EC7" s="181" t="s">
        <v>71</v>
      </c>
      <c r="ED7" s="2620"/>
      <c r="EE7" s="181" t="s">
        <v>146</v>
      </c>
      <c r="EF7" s="181" t="s">
        <v>147</v>
      </c>
      <c r="EG7" s="181" t="s">
        <v>148</v>
      </c>
      <c r="EH7" s="181" t="s">
        <v>149</v>
      </c>
      <c r="EI7" s="181" t="s">
        <v>69</v>
      </c>
      <c r="EJ7" s="181" t="s">
        <v>71</v>
      </c>
      <c r="EK7" s="2620"/>
      <c r="EL7" s="181" t="s">
        <v>146</v>
      </c>
      <c r="EM7" s="181" t="s">
        <v>147</v>
      </c>
      <c r="EN7" s="181" t="s">
        <v>148</v>
      </c>
      <c r="EO7" s="181" t="s">
        <v>149</v>
      </c>
      <c r="EP7" s="181" t="s">
        <v>69</v>
      </c>
      <c r="EQ7" s="181" t="s">
        <v>71</v>
      </c>
      <c r="ER7" s="2619"/>
      <c r="ES7" s="2674"/>
      <c r="EU7" s="181" t="s">
        <v>35</v>
      </c>
      <c r="EV7" s="181" t="s">
        <v>81</v>
      </c>
      <c r="EW7" s="181" t="s">
        <v>37</v>
      </c>
      <c r="EX7" s="2632"/>
      <c r="EY7" s="181" t="s">
        <v>195</v>
      </c>
      <c r="EZ7" s="181" t="s">
        <v>195</v>
      </c>
      <c r="FA7" s="2633"/>
      <c r="FB7" s="2667"/>
      <c r="FC7" s="2634"/>
      <c r="FD7" s="2632"/>
      <c r="FE7" s="2632"/>
      <c r="FF7" s="2632"/>
      <c r="FG7" s="2619"/>
      <c r="FH7" s="2667"/>
      <c r="FI7" s="183" t="s">
        <v>146</v>
      </c>
      <c r="FJ7" s="181" t="s">
        <v>147</v>
      </c>
      <c r="FK7" s="181" t="s">
        <v>148</v>
      </c>
      <c r="FL7" s="181" t="s">
        <v>149</v>
      </c>
      <c r="FM7" s="181" t="s">
        <v>69</v>
      </c>
      <c r="FN7" s="181" t="s">
        <v>71</v>
      </c>
      <c r="FO7" s="181" t="s">
        <v>179</v>
      </c>
      <c r="FP7" s="181" t="s">
        <v>30</v>
      </c>
      <c r="FQ7" s="2620"/>
      <c r="FR7" s="181" t="s">
        <v>146</v>
      </c>
      <c r="FS7" s="181" t="s">
        <v>147</v>
      </c>
      <c r="FT7" s="181" t="s">
        <v>148</v>
      </c>
      <c r="FU7" s="181" t="s">
        <v>149</v>
      </c>
      <c r="FV7" s="181" t="s">
        <v>69</v>
      </c>
      <c r="FW7" s="181" t="s">
        <v>71</v>
      </c>
      <c r="FX7" s="181" t="s">
        <v>179</v>
      </c>
      <c r="FY7" s="181" t="s">
        <v>30</v>
      </c>
      <c r="FZ7" s="2620"/>
      <c r="GA7" s="181" t="s">
        <v>146</v>
      </c>
      <c r="GB7" s="181" t="s">
        <v>147</v>
      </c>
      <c r="GC7" s="181" t="s">
        <v>148</v>
      </c>
      <c r="GD7" s="181" t="s">
        <v>149</v>
      </c>
      <c r="GE7" s="181" t="s">
        <v>69</v>
      </c>
      <c r="GF7" s="181" t="s">
        <v>71</v>
      </c>
      <c r="GG7" s="181" t="s">
        <v>179</v>
      </c>
      <c r="GH7" s="181" t="s">
        <v>30</v>
      </c>
      <c r="GI7" s="2619"/>
      <c r="GJ7" s="2667"/>
      <c r="GL7" s="2632"/>
      <c r="GM7" s="2672"/>
      <c r="GN7" s="2632"/>
      <c r="GO7" s="2632"/>
      <c r="GP7" s="2633"/>
      <c r="GQ7" s="2669"/>
      <c r="GR7" s="183" t="s">
        <v>146</v>
      </c>
      <c r="GS7" s="181" t="s">
        <v>147</v>
      </c>
      <c r="GT7" s="181" t="s">
        <v>148</v>
      </c>
      <c r="GU7" s="181" t="s">
        <v>149</v>
      </c>
      <c r="GV7" s="181" t="s">
        <v>69</v>
      </c>
      <c r="GW7" s="181" t="s">
        <v>71</v>
      </c>
      <c r="GX7" s="181" t="s">
        <v>179</v>
      </c>
      <c r="GY7" s="181" t="s">
        <v>30</v>
      </c>
      <c r="GZ7" s="183" t="s">
        <v>146</v>
      </c>
      <c r="HA7" s="181" t="s">
        <v>147</v>
      </c>
      <c r="HB7" s="181" t="s">
        <v>148</v>
      </c>
      <c r="HC7" s="181" t="s">
        <v>149</v>
      </c>
      <c r="HD7" s="181" t="s">
        <v>69</v>
      </c>
      <c r="HE7" s="181" t="s">
        <v>71</v>
      </c>
      <c r="HF7" s="181" t="s">
        <v>179</v>
      </c>
      <c r="HG7" s="181" t="s">
        <v>30</v>
      </c>
      <c r="HH7" s="181" t="s">
        <v>146</v>
      </c>
      <c r="HI7" s="181" t="s">
        <v>147</v>
      </c>
      <c r="HJ7" s="181" t="s">
        <v>148</v>
      </c>
      <c r="HK7" s="181" t="s">
        <v>149</v>
      </c>
      <c r="HL7" s="181" t="s">
        <v>69</v>
      </c>
      <c r="HM7" s="181" t="s">
        <v>71</v>
      </c>
      <c r="HN7" s="181" t="s">
        <v>179</v>
      </c>
      <c r="HO7" s="181" t="s">
        <v>30</v>
      </c>
      <c r="HP7" s="2633"/>
      <c r="HQ7" s="2669"/>
      <c r="HR7" s="183" t="s">
        <v>61</v>
      </c>
      <c r="HS7" s="181" t="s">
        <v>62</v>
      </c>
      <c r="HT7" s="181" t="s">
        <v>63</v>
      </c>
      <c r="HU7" s="181" t="s">
        <v>196</v>
      </c>
      <c r="HV7" s="181" t="s">
        <v>197</v>
      </c>
      <c r="HW7" s="183" t="s">
        <v>61</v>
      </c>
      <c r="HX7" s="181" t="s">
        <v>62</v>
      </c>
      <c r="HY7" s="181" t="s">
        <v>63</v>
      </c>
      <c r="HZ7" s="181" t="s">
        <v>196</v>
      </c>
      <c r="IA7" s="181" t="s">
        <v>197</v>
      </c>
      <c r="IB7" s="181" t="s">
        <v>61</v>
      </c>
      <c r="IC7" s="181" t="s">
        <v>62</v>
      </c>
      <c r="ID7" s="181" t="s">
        <v>63</v>
      </c>
      <c r="IE7" s="181" t="s">
        <v>196</v>
      </c>
      <c r="IF7" s="181" t="s">
        <v>197</v>
      </c>
      <c r="IG7" s="2633"/>
      <c r="IH7" s="2669"/>
      <c r="IJ7" s="184" t="s">
        <v>167</v>
      </c>
      <c r="IK7" s="184" t="s">
        <v>168</v>
      </c>
      <c r="IL7" s="184" t="s">
        <v>169</v>
      </c>
      <c r="IM7" s="184" t="s">
        <v>7</v>
      </c>
      <c r="IN7" s="43" t="s">
        <v>198</v>
      </c>
      <c r="IO7" s="43" t="s">
        <v>199</v>
      </c>
      <c r="IP7" s="44" t="s">
        <v>200</v>
      </c>
      <c r="IQ7" s="45" t="s">
        <v>201</v>
      </c>
      <c r="IR7" s="2691"/>
      <c r="IS7" s="2633"/>
      <c r="IT7" s="2688"/>
      <c r="IU7" s="183" t="s">
        <v>167</v>
      </c>
      <c r="IV7" s="184" t="s">
        <v>168</v>
      </c>
      <c r="IW7" s="181" t="s">
        <v>169</v>
      </c>
      <c r="IX7" s="181" t="s">
        <v>202</v>
      </c>
      <c r="IY7" s="181" t="s">
        <v>203</v>
      </c>
      <c r="IZ7" s="2620"/>
      <c r="JA7" s="181" t="s">
        <v>167</v>
      </c>
      <c r="JB7" s="184" t="s">
        <v>168</v>
      </c>
      <c r="JC7" s="181" t="s">
        <v>169</v>
      </c>
      <c r="JD7" s="181" t="s">
        <v>202</v>
      </c>
      <c r="JE7" s="181" t="s">
        <v>203</v>
      </c>
      <c r="JF7" s="181" t="s">
        <v>167</v>
      </c>
      <c r="JG7" s="184" t="s">
        <v>168</v>
      </c>
      <c r="JH7" s="181" t="s">
        <v>169</v>
      </c>
      <c r="JI7" s="181" t="s">
        <v>202</v>
      </c>
      <c r="JJ7" s="181" t="s">
        <v>203</v>
      </c>
      <c r="JK7" s="2620"/>
      <c r="JL7" s="181" t="s">
        <v>167</v>
      </c>
      <c r="JM7" s="181" t="s">
        <v>168</v>
      </c>
      <c r="JN7" s="181" t="s">
        <v>169</v>
      </c>
      <c r="JO7" s="181" t="s">
        <v>202</v>
      </c>
      <c r="JP7" s="181" t="s">
        <v>203</v>
      </c>
      <c r="JQ7" s="2620"/>
      <c r="JR7" s="181" t="s">
        <v>167</v>
      </c>
      <c r="JS7" s="184" t="s">
        <v>168</v>
      </c>
      <c r="JT7" s="181" t="s">
        <v>169</v>
      </c>
      <c r="JU7" s="181" t="s">
        <v>202</v>
      </c>
      <c r="JV7" s="181" t="s">
        <v>203</v>
      </c>
      <c r="JW7" s="2619"/>
      <c r="JX7" s="2688"/>
      <c r="JZ7" s="2632"/>
      <c r="KA7" s="2632"/>
      <c r="KB7" s="2632"/>
      <c r="KC7" s="2633"/>
      <c r="KD7" s="2621"/>
      <c r="KE7" s="183" t="s">
        <v>167</v>
      </c>
      <c r="KF7" s="183" t="s">
        <v>168</v>
      </c>
      <c r="KG7" s="181" t="s">
        <v>169</v>
      </c>
      <c r="KH7" s="2632"/>
      <c r="KI7" s="181" t="s">
        <v>146</v>
      </c>
      <c r="KJ7" s="181" t="s">
        <v>147</v>
      </c>
      <c r="KK7" s="181" t="s">
        <v>148</v>
      </c>
      <c r="KL7" s="181" t="s">
        <v>149</v>
      </c>
      <c r="KM7" s="181" t="s">
        <v>69</v>
      </c>
      <c r="KN7" s="181" t="s">
        <v>71</v>
      </c>
      <c r="KO7" s="2620"/>
      <c r="KP7" s="181" t="s">
        <v>146</v>
      </c>
      <c r="KQ7" s="181" t="s">
        <v>147</v>
      </c>
      <c r="KR7" s="181" t="s">
        <v>148</v>
      </c>
      <c r="KS7" s="181" t="s">
        <v>149</v>
      </c>
      <c r="KT7" s="181" t="s">
        <v>69</v>
      </c>
      <c r="KU7" s="181" t="s">
        <v>71</v>
      </c>
      <c r="KV7" s="2620"/>
      <c r="KW7" s="181" t="s">
        <v>146</v>
      </c>
      <c r="KX7" s="181" t="s">
        <v>147</v>
      </c>
      <c r="KY7" s="181" t="s">
        <v>148</v>
      </c>
      <c r="KZ7" s="181" t="s">
        <v>149</v>
      </c>
      <c r="LA7" s="181" t="s">
        <v>69</v>
      </c>
      <c r="LB7" s="181" t="s">
        <v>71</v>
      </c>
      <c r="LC7" s="2620"/>
      <c r="LD7" s="181" t="s">
        <v>146</v>
      </c>
      <c r="LE7" s="181" t="s">
        <v>147</v>
      </c>
      <c r="LF7" s="181" t="s">
        <v>148</v>
      </c>
      <c r="LG7" s="181" t="s">
        <v>149</v>
      </c>
      <c r="LH7" s="181" t="s">
        <v>69</v>
      </c>
      <c r="LI7" s="181" t="s">
        <v>71</v>
      </c>
      <c r="LJ7" s="2620"/>
      <c r="LK7" s="181" t="s">
        <v>146</v>
      </c>
      <c r="LL7" s="181" t="s">
        <v>147</v>
      </c>
      <c r="LM7" s="181" t="s">
        <v>148</v>
      </c>
      <c r="LN7" s="181" t="s">
        <v>149</v>
      </c>
      <c r="LO7" s="181" t="s">
        <v>69</v>
      </c>
      <c r="LP7" s="181" t="s">
        <v>71</v>
      </c>
      <c r="LQ7" s="2619"/>
      <c r="LR7" s="2621"/>
      <c r="LT7" s="2620"/>
      <c r="LU7" s="2620"/>
      <c r="LV7" s="2620"/>
      <c r="LW7" s="2619"/>
      <c r="LX7" s="2619"/>
      <c r="LY7" s="2615"/>
      <c r="MA7" s="2620"/>
      <c r="MB7" s="2620"/>
      <c r="MC7" s="2620"/>
      <c r="MD7" s="2620"/>
      <c r="ME7" s="2619"/>
      <c r="MF7" s="2619"/>
      <c r="MG7" s="2615"/>
      <c r="MI7" s="181" t="s">
        <v>204</v>
      </c>
      <c r="MJ7" s="181" t="s">
        <v>205</v>
      </c>
      <c r="ML7" s="181" t="s">
        <v>204</v>
      </c>
      <c r="MM7" s="181" t="s">
        <v>205</v>
      </c>
      <c r="MO7" s="89" t="s">
        <v>146</v>
      </c>
      <c r="MP7" s="89" t="s">
        <v>147</v>
      </c>
      <c r="MQ7" s="89" t="s">
        <v>148</v>
      </c>
      <c r="MR7" s="89" t="s">
        <v>149</v>
      </c>
      <c r="MS7" s="89" t="s">
        <v>69</v>
      </c>
      <c r="MT7" s="89" t="s">
        <v>71</v>
      </c>
      <c r="MU7" s="89"/>
      <c r="MV7" s="89" t="s">
        <v>146</v>
      </c>
      <c r="MW7" s="89" t="s">
        <v>147</v>
      </c>
      <c r="MX7" s="89" t="s">
        <v>148</v>
      </c>
      <c r="MY7" s="89" t="s">
        <v>149</v>
      </c>
      <c r="MZ7" s="89" t="s">
        <v>69</v>
      </c>
      <c r="NA7" s="89" t="s">
        <v>71</v>
      </c>
    </row>
    <row r="8" spans="2:365" s="89" customFormat="1" ht="15" customHeight="1">
      <c r="C8" s="1395"/>
      <c r="D8" s="1395"/>
      <c r="E8" s="1395"/>
      <c r="F8" s="1395"/>
      <c r="G8" s="1395"/>
      <c r="H8" s="1395"/>
      <c r="I8" s="1395"/>
      <c r="J8" s="2629"/>
      <c r="K8" s="1395"/>
      <c r="L8" s="1395"/>
      <c r="M8" s="1395"/>
      <c r="N8" s="1395"/>
      <c r="O8" s="1395"/>
      <c r="P8" s="1395"/>
      <c r="Q8" s="1395"/>
      <c r="R8" s="1395"/>
      <c r="S8" s="1395"/>
      <c r="T8" s="1395"/>
      <c r="U8" s="1395"/>
      <c r="V8" s="1395"/>
      <c r="W8" s="1395"/>
      <c r="X8" s="1395"/>
      <c r="Y8" s="1395"/>
      <c r="Z8" s="1395"/>
      <c r="AA8" s="1395"/>
      <c r="AB8" s="1395"/>
      <c r="AC8" s="1395"/>
      <c r="AD8" s="1395"/>
      <c r="AE8" s="2629"/>
      <c r="AF8" s="1395"/>
      <c r="AG8" s="1395"/>
      <c r="AH8" s="1395"/>
      <c r="AI8" s="1395"/>
      <c r="AJ8" s="1395"/>
      <c r="AK8" s="1395"/>
      <c r="AL8" s="1395"/>
      <c r="AM8" s="1395"/>
      <c r="AN8" s="1395"/>
      <c r="AO8" s="1395"/>
      <c r="AP8" s="1395"/>
      <c r="AQ8" s="1395"/>
      <c r="AR8" s="1395"/>
      <c r="AS8" s="1395"/>
      <c r="AT8" s="1395"/>
      <c r="AU8" s="1395"/>
      <c r="AV8" s="1395"/>
      <c r="AW8" s="1395"/>
      <c r="AX8" s="1395"/>
      <c r="AY8" s="1395"/>
      <c r="AZ8" s="1395"/>
      <c r="BA8" s="1395"/>
      <c r="BB8" s="1395"/>
      <c r="BC8" s="1395"/>
      <c r="BD8" s="1395"/>
      <c r="BE8" s="1395"/>
      <c r="BF8" s="1395"/>
      <c r="BG8" s="1395"/>
      <c r="BH8" s="1395"/>
      <c r="BI8" s="1395"/>
      <c r="BJ8" s="1395"/>
      <c r="BK8" s="1395"/>
      <c r="BL8" s="1395"/>
      <c r="BM8" s="1395"/>
      <c r="BN8" s="1395"/>
      <c r="BO8" s="1395"/>
      <c r="BV8" s="147"/>
      <c r="BW8" s="1395"/>
      <c r="BX8" s="1395"/>
      <c r="BY8" s="1395"/>
      <c r="BZ8" s="1395"/>
      <c r="CA8" s="1395"/>
      <c r="CC8" s="1395"/>
      <c r="CD8" s="2683"/>
      <c r="CF8" s="1395"/>
      <c r="CG8" s="1395"/>
      <c r="CH8" s="1395"/>
      <c r="CI8" s="1395"/>
      <c r="CJ8" s="1395"/>
      <c r="CK8" s="1395"/>
      <c r="CL8" s="1395"/>
      <c r="CM8" s="2685"/>
      <c r="CN8" s="1395"/>
      <c r="CO8" s="1395"/>
      <c r="CP8" s="1395"/>
      <c r="CQ8" s="1395"/>
      <c r="CR8" s="1395"/>
      <c r="CS8" s="1395"/>
      <c r="CT8" s="1396"/>
      <c r="CU8" s="1395"/>
      <c r="CV8" s="1395"/>
      <c r="CW8" s="1395"/>
      <c r="CX8" s="1395"/>
      <c r="CY8" s="1395"/>
      <c r="CZ8" s="1395"/>
      <c r="DA8" s="1396"/>
      <c r="DB8" s="1395"/>
      <c r="DC8" s="1395"/>
      <c r="DD8" s="1395"/>
      <c r="DE8" s="1395"/>
      <c r="DF8" s="1395"/>
      <c r="DG8" s="1395"/>
      <c r="DH8" s="1396"/>
      <c r="DI8" s="1395"/>
      <c r="DJ8" s="1395"/>
      <c r="DK8" s="1395"/>
      <c r="DL8" s="1395"/>
      <c r="DM8" s="1395"/>
      <c r="DN8" s="1395"/>
      <c r="DO8" s="1396"/>
      <c r="DP8" s="2685"/>
      <c r="DR8" s="1396"/>
      <c r="DS8" s="1396"/>
      <c r="DT8" s="1396"/>
      <c r="DU8" s="1395"/>
      <c r="DV8" s="1395"/>
      <c r="DW8" s="2674"/>
      <c r="DX8" s="1395"/>
      <c r="DY8" s="1395"/>
      <c r="DZ8" s="1395"/>
      <c r="EA8" s="1395"/>
      <c r="EB8" s="1395"/>
      <c r="EC8" s="1395"/>
      <c r="ED8" s="1396"/>
      <c r="EE8" s="1395"/>
      <c r="EF8" s="1395"/>
      <c r="EG8" s="1395"/>
      <c r="EH8" s="1395"/>
      <c r="EI8" s="1395"/>
      <c r="EJ8" s="1395"/>
      <c r="EK8" s="1396"/>
      <c r="EL8" s="1395"/>
      <c r="EM8" s="1395"/>
      <c r="EN8" s="1395"/>
      <c r="EO8" s="1395"/>
      <c r="EP8" s="1395"/>
      <c r="EQ8" s="1395"/>
      <c r="ER8" s="1396"/>
      <c r="ES8" s="2674"/>
      <c r="EU8" s="1395"/>
      <c r="EV8" s="1395"/>
      <c r="EW8" s="1395"/>
      <c r="EX8" s="1395"/>
      <c r="EY8" s="1395"/>
      <c r="EZ8" s="1395"/>
      <c r="FA8" s="1395"/>
      <c r="FB8" s="2667"/>
      <c r="FC8" s="1395"/>
      <c r="FD8" s="1395"/>
      <c r="FE8" s="1395"/>
      <c r="FF8" s="1395"/>
      <c r="FG8" s="1396"/>
      <c r="FH8" s="2667"/>
      <c r="FI8" s="1395"/>
      <c r="FJ8" s="1395"/>
      <c r="FK8" s="1395"/>
      <c r="FL8" s="1395"/>
      <c r="FM8" s="1395"/>
      <c r="FN8" s="1395"/>
      <c r="FO8" s="1395"/>
      <c r="FP8" s="1395"/>
      <c r="FQ8" s="1396"/>
      <c r="FR8" s="1395"/>
      <c r="FS8" s="1395"/>
      <c r="FT8" s="1395"/>
      <c r="FU8" s="1395"/>
      <c r="FV8" s="1395"/>
      <c r="FW8" s="1395"/>
      <c r="FX8" s="1395"/>
      <c r="FY8" s="1395"/>
      <c r="FZ8" s="1396"/>
      <c r="GA8" s="1395"/>
      <c r="GB8" s="1395"/>
      <c r="GC8" s="1395"/>
      <c r="GD8" s="1395"/>
      <c r="GE8" s="1395"/>
      <c r="GF8" s="1395"/>
      <c r="GG8" s="1395"/>
      <c r="GH8" s="1395"/>
      <c r="GI8" s="1396"/>
      <c r="GJ8" s="2667"/>
      <c r="GL8" s="1395"/>
      <c r="GM8" s="1395"/>
      <c r="GN8" s="1395"/>
      <c r="GO8" s="1395"/>
      <c r="GP8" s="1395"/>
      <c r="GQ8" s="2669"/>
      <c r="GR8" s="1395"/>
      <c r="GS8" s="1395"/>
      <c r="GT8" s="1395"/>
      <c r="GU8" s="1395"/>
      <c r="GV8" s="1395"/>
      <c r="GW8" s="1395"/>
      <c r="GX8" s="1395"/>
      <c r="GY8" s="1395"/>
      <c r="GZ8" s="1395"/>
      <c r="HA8" s="1395"/>
      <c r="HB8" s="1395"/>
      <c r="HC8" s="1395"/>
      <c r="HD8" s="1395"/>
      <c r="HE8" s="1395"/>
      <c r="HF8" s="1395"/>
      <c r="HG8" s="1395"/>
      <c r="HH8" s="1395"/>
      <c r="HI8" s="1395"/>
      <c r="HJ8" s="1395"/>
      <c r="HK8" s="1395"/>
      <c r="HL8" s="1395"/>
      <c r="HM8" s="1395"/>
      <c r="HN8" s="1395"/>
      <c r="HO8" s="1395"/>
      <c r="HP8" s="1395"/>
      <c r="HQ8" s="2669"/>
      <c r="HR8" s="1395"/>
      <c r="HS8" s="1395"/>
      <c r="HT8" s="1395"/>
      <c r="HU8" s="1395"/>
      <c r="HV8" s="1395"/>
      <c r="HW8" s="1395"/>
      <c r="HX8" s="1395"/>
      <c r="HY8" s="1395"/>
      <c r="HZ8" s="1395"/>
      <c r="IA8" s="1395"/>
      <c r="IB8" s="1395"/>
      <c r="IC8" s="1395"/>
      <c r="ID8" s="1395"/>
      <c r="IE8" s="1395"/>
      <c r="IF8" s="1395"/>
      <c r="IG8" s="1395"/>
      <c r="IH8" s="2669"/>
      <c r="IJ8" s="1395"/>
      <c r="IK8" s="1395"/>
      <c r="IL8" s="1395"/>
      <c r="IM8" s="1395"/>
      <c r="IN8" s="17"/>
      <c r="IO8" s="18"/>
      <c r="IP8" s="1397"/>
      <c r="IQ8" s="17"/>
      <c r="IR8" s="17"/>
      <c r="IS8" s="1395"/>
      <c r="IT8" s="2688"/>
      <c r="IU8" s="1395"/>
      <c r="IV8" s="1395"/>
      <c r="IW8" s="1395"/>
      <c r="IX8" s="1395"/>
      <c r="IY8" s="1395"/>
      <c r="IZ8" s="1396"/>
      <c r="JA8" s="1395"/>
      <c r="JB8" s="1395"/>
      <c r="JC8" s="1395"/>
      <c r="JD8" s="1395"/>
      <c r="JE8" s="1395"/>
      <c r="JF8" s="1395"/>
      <c r="JG8" s="1395"/>
      <c r="JH8" s="1395"/>
      <c r="JI8" s="1395"/>
      <c r="JJ8" s="1395"/>
      <c r="JK8" s="1396"/>
      <c r="JL8" s="1395"/>
      <c r="JM8" s="1395"/>
      <c r="JN8" s="1395"/>
      <c r="JO8" s="1395"/>
      <c r="JP8" s="1395"/>
      <c r="JQ8" s="1396"/>
      <c r="JR8" s="1395"/>
      <c r="JS8" s="1395"/>
      <c r="JT8" s="1395"/>
      <c r="JU8" s="1395"/>
      <c r="JV8" s="1395"/>
      <c r="JW8" s="1396"/>
      <c r="JX8" s="2688"/>
      <c r="KD8" s="2621"/>
      <c r="KH8" s="89">
        <f>SUM(KE8:KG8)</f>
        <v>0</v>
      </c>
      <c r="KO8" s="19">
        <f>SUM(KI8:KN8)</f>
        <v>0</v>
      </c>
      <c r="KV8" s="19">
        <f>SUM(KP8:KU8)</f>
        <v>0</v>
      </c>
      <c r="LC8" s="19">
        <f>SUM(KW8:LB8)</f>
        <v>0</v>
      </c>
      <c r="LJ8" s="19"/>
      <c r="LQ8" s="19"/>
      <c r="LR8" s="2621"/>
      <c r="LY8" s="2615"/>
      <c r="MG8" s="2615"/>
    </row>
    <row r="9" spans="2:365" s="89" customFormat="1" ht="15" customHeight="1">
      <c r="B9" s="89">
        <f>COUNTIF(JZ10:MF40,"&lt;"&amp;0)</f>
        <v>0</v>
      </c>
      <c r="J9" s="2629"/>
      <c r="AE9" s="2629"/>
      <c r="BV9" s="147"/>
      <c r="CD9" s="2683"/>
      <c r="CM9" s="2685"/>
      <c r="CT9" s="19"/>
      <c r="DA9" s="19"/>
      <c r="DH9" s="19"/>
      <c r="DO9" s="19"/>
      <c r="DP9" s="2685"/>
      <c r="DR9" s="19"/>
      <c r="DS9" s="19"/>
      <c r="DT9" s="19"/>
      <c r="DW9" s="2674"/>
      <c r="ED9" s="19"/>
      <c r="EK9" s="19"/>
      <c r="ER9" s="19"/>
      <c r="ES9" s="2674"/>
      <c r="FB9" s="2667"/>
      <c r="FG9" s="19"/>
      <c r="FH9" s="2667"/>
      <c r="FQ9" s="19"/>
      <c r="FZ9" s="19"/>
      <c r="GI9" s="19"/>
      <c r="GJ9" s="2667"/>
      <c r="GQ9" s="2669"/>
      <c r="HQ9" s="2669"/>
      <c r="IH9" s="2669"/>
      <c r="IN9" s="17"/>
      <c r="IO9" s="18"/>
      <c r="IP9" s="180"/>
      <c r="IQ9" s="17"/>
      <c r="IR9" s="17"/>
      <c r="IT9" s="2688"/>
      <c r="IZ9" s="19"/>
      <c r="JK9" s="19"/>
      <c r="JQ9" s="19"/>
      <c r="JW9" s="19"/>
      <c r="JX9" s="2688"/>
      <c r="KD9" s="2621"/>
      <c r="KH9" s="89">
        <f>SUM(KE9:KG9)</f>
        <v>0</v>
      </c>
      <c r="KO9" s="19">
        <f>SUM(KI9:KN9)</f>
        <v>0</v>
      </c>
      <c r="KV9" s="89">
        <f>SUM(KP9:KU9)</f>
        <v>0</v>
      </c>
      <c r="LC9" s="89">
        <f>SUM(KW9:LB9)</f>
        <v>0</v>
      </c>
      <c r="LJ9" s="89">
        <f>SUM(LD9:LI9)</f>
        <v>0</v>
      </c>
      <c r="LQ9" s="19"/>
      <c r="LR9" s="2621"/>
      <c r="LY9" s="2615"/>
      <c r="MG9" s="2615"/>
      <c r="MI9" s="105"/>
      <c r="MJ9" s="105"/>
    </row>
    <row r="10" spans="2:365" s="1" customFormat="1">
      <c r="B10" s="46">
        <v>1</v>
      </c>
      <c r="C10" s="2" t="e">
        <f t="shared" ref="C10:C40" si="0">+K10+O10+S10+W10+AA10</f>
        <v>#REF!</v>
      </c>
      <c r="D10" s="3" t="e">
        <f t="shared" ref="D10:D40" si="1">+L10+P10+T10+X10+AB10</f>
        <v>#REF!</v>
      </c>
      <c r="E10" s="60">
        <f>IFERROR(C10/D10,0)</f>
        <v>0</v>
      </c>
      <c r="F10" s="48"/>
      <c r="G10" s="49"/>
      <c r="H10" s="49"/>
      <c r="I10" s="50"/>
      <c r="J10" s="2629"/>
      <c r="K10" s="8" t="e">
        <f>+SUM(AF10,AO10,AR10,AU10+AI10+AL10)</f>
        <v>#REF!</v>
      </c>
      <c r="L10" s="3" t="e">
        <f t="shared" ref="L10:L40" si="2">+SUM(AG10,AP10,AS10,AV10+AJ10+AM10)</f>
        <v>#REF!</v>
      </c>
      <c r="M10" s="63">
        <f>IFERROR(K10/L10,0)</f>
        <v>0</v>
      </c>
      <c r="N10" s="25"/>
      <c r="O10" s="35" t="e">
        <f>+SUM(BM10+BJ10)</f>
        <v>#REF!</v>
      </c>
      <c r="P10" s="24" t="e">
        <f>+SUM(BB10+BK10)</f>
        <v>#REF!</v>
      </c>
      <c r="Q10" s="49">
        <f>IFERROR(O10/P10,0)</f>
        <v>0</v>
      </c>
      <c r="R10" s="25"/>
      <c r="S10" s="35" t="e">
        <f>+BS10</f>
        <v>#REF!</v>
      </c>
      <c r="T10" s="35" t="e">
        <f>+BT10</f>
        <v>#REF!</v>
      </c>
      <c r="U10" s="49">
        <f t="shared" ref="U10:U40" si="3">IFERROR(S10/T10,0)</f>
        <v>0</v>
      </c>
      <c r="V10" s="25"/>
      <c r="W10" s="35" t="e">
        <f>+BD10+BG10</f>
        <v>#REF!</v>
      </c>
      <c r="X10" s="24" t="e">
        <f t="shared" ref="X10:X40" si="4">+BE10+BH10</f>
        <v>#REF!</v>
      </c>
      <c r="Y10" s="49">
        <f>IFERROR(W10/X10,0)</f>
        <v>0</v>
      </c>
      <c r="Z10" s="25"/>
      <c r="AA10" s="23" t="e">
        <f>+AX10+BA10</f>
        <v>#REF!</v>
      </c>
      <c r="AB10" s="24" t="e">
        <f>+AY10+BB10</f>
        <v>#REF!</v>
      </c>
      <c r="AC10" s="49">
        <f>IFERROR(AA10/AB10,0)</f>
        <v>0</v>
      </c>
      <c r="AD10" s="32"/>
      <c r="AE10" s="2629"/>
      <c r="AF10" s="8" t="e">
        <f>+#REF!+#REF!+#REF!+#REF!+#REF!+#REF!+#REF!+#REF!+#REF!+#REF!+#REF!+#REF!</f>
        <v>#REF!</v>
      </c>
      <c r="AG10" s="3" t="e">
        <f>+#REF!+#REF!+#REF!+#REF!+#REF!+#REF!+#REF!+#REF!+#REF!+#REF!+#REF!+#REF!</f>
        <v>#REF!</v>
      </c>
      <c r="AH10" s="60">
        <f>IFERROR(AF10/AG10,0)</f>
        <v>0</v>
      </c>
      <c r="AI10" s="35" t="e">
        <f>+#REF!+#REF!+#REF!+#REF!+#REF!+#REF!+#REF!+#REF!+#REF!+#REF!+#REF!+#REF!</f>
        <v>#REF!</v>
      </c>
      <c r="AJ10" s="24" t="e">
        <f>+#REF!+#REF!+#REF!+#REF!+#REF!+#REF!+#REF!+#REF!+#REF!+#REF!+#REF!+#REF!</f>
        <v>#REF!</v>
      </c>
      <c r="AK10" s="60">
        <f>IFERROR(AI10/AJ10,0)</f>
        <v>0</v>
      </c>
      <c r="AL10" s="35" t="e">
        <f>+#REF!+#REF!+#REF!+#REF!+#REF!+#REF!+#REF!+#REF!+#REF!+#REF!+#REF!+#REF!</f>
        <v>#REF!</v>
      </c>
      <c r="AM10" s="24" t="e">
        <f>+#REF!+#REF!+#REF!+#REF!+#REF!+#REF!+#REF!+#REF!+#REF!+#REF!+#REF!+#REF!</f>
        <v>#REF!</v>
      </c>
      <c r="AN10" s="60">
        <f>IFERROR(AL10/AM10,0)</f>
        <v>0</v>
      </c>
      <c r="AO10" s="35" t="e">
        <f>+#REF!+#REF!+#REF!+#REF!+#REF!+#REF!+#REF!+#REF!+#REF!+#REF!+#REF!+#REF!</f>
        <v>#REF!</v>
      </c>
      <c r="AP10" s="24" t="e">
        <f>+#REF!+#REF!+#REF!+#REF!+#REF!+#REF!+#REF!+#REF!+#REF!+#REF!+#REF!+#REF!</f>
        <v>#REF!</v>
      </c>
      <c r="AQ10" s="60">
        <f>IFERROR(AO10/AP10,0)</f>
        <v>0</v>
      </c>
      <c r="AR10" s="35" t="e">
        <f>+#REF!+#REF!+#REF!+#REF!+#REF!+#REF!+#REF!+#REF!+#REF!+#REF!+#REF!+#REF!</f>
        <v>#REF!</v>
      </c>
      <c r="AS10" s="24" t="e">
        <f>+#REF!+#REF!+#REF!+#REF!+#REF!+#REF!+#REF!+#REF!+#REF!+#REF!+#REF!+#REF!</f>
        <v>#REF!</v>
      </c>
      <c r="AT10" s="60">
        <f>IFERROR(AR10/AS10,0)</f>
        <v>0</v>
      </c>
      <c r="AU10" s="35" t="e">
        <f>+#REF!+#REF!+#REF!+#REF!+#REF!+#REF!+#REF!+#REF!+#REF!+#REF!+#REF!+#REF!</f>
        <v>#REF!</v>
      </c>
      <c r="AV10" s="24" t="e">
        <f>+#REF!+#REF!+#REF!+#REF!+#REF!+#REF!+#REF!+#REF!+#REF!+#REF!+#REF!+#REF!</f>
        <v>#REF!</v>
      </c>
      <c r="AW10" s="60">
        <f>IFERROR(AU10/AV10,0)</f>
        <v>0</v>
      </c>
      <c r="AX10" s="35" t="e">
        <f>+#REF!+#REF!+#REF!+#REF!+#REF!+#REF!+#REF!+#REF!+#REF!+#REF!+#REF!+#REF!</f>
        <v>#REF!</v>
      </c>
      <c r="AY10" s="24" t="e">
        <f>+#REF!+#REF!+#REF!+#REF!+#REF!+#REF!+#REF!+#REF!+#REF!+#REF!+#REF!+#REF!</f>
        <v>#REF!</v>
      </c>
      <c r="AZ10" s="60">
        <f>IFERROR(AX10/AY10,0)</f>
        <v>0</v>
      </c>
      <c r="BA10" s="35" t="e">
        <f>+#REF!+#REF!+#REF!+#REF!+#REF!+#REF!+#REF!+#REF!+#REF!+#REF!+#REF!+#REF!</f>
        <v>#REF!</v>
      </c>
      <c r="BB10" s="24" t="e">
        <f>+#REF!+#REF!+#REF!+#REF!+#REF!+#REF!+#REF!+#REF!+#REF!+#REF!+#REF!+#REF!</f>
        <v>#REF!</v>
      </c>
      <c r="BC10" s="60">
        <f>IFERROR(BA10/BB10,0)</f>
        <v>0</v>
      </c>
      <c r="BD10" s="35" t="e">
        <f>+#REF!+#REF!+#REF!+#REF!+#REF!+#REF!+#REF!+#REF!+#REF!+#REF!+#REF!+#REF!</f>
        <v>#REF!</v>
      </c>
      <c r="BE10" s="24" t="e">
        <f>+#REF!+#REF!+#REF!+#REF!+#REF!+#REF!+#REF!+#REF!+#REF!+#REF!+#REF!+#REF!</f>
        <v>#REF!</v>
      </c>
      <c r="BF10" s="60">
        <f>IFERROR(BD10/BE10,0)</f>
        <v>0</v>
      </c>
      <c r="BG10" s="35" t="e">
        <f>+#REF!+#REF!+#REF!+#REF!+#REF!+#REF!+#REF!+#REF!+#REF!+#REF!+#REF!+#REF!</f>
        <v>#REF!</v>
      </c>
      <c r="BH10" s="24" t="e">
        <f>+#REF!+#REF!+#REF!+#REF!+#REF!+#REF!+#REF!+#REF!+#REF!+#REF!+#REF!+#REF!</f>
        <v>#REF!</v>
      </c>
      <c r="BI10" s="60">
        <f>IFERROR(BG10/BH10,0)</f>
        <v>0</v>
      </c>
      <c r="BJ10" s="35" t="e">
        <f>+#REF!+#REF!+#REF!+#REF!+#REF!+#REF!+#REF!+#REF!+#REF!+#REF!+#REF!+#REF!</f>
        <v>#REF!</v>
      </c>
      <c r="BK10" s="49" t="e">
        <f>+#REF!+#REF!+#REF!+#REF!+#REF!+#REF!+#REF!+#REF!+#REF!+#REF!+#REF!+#REF!</f>
        <v>#REF!</v>
      </c>
      <c r="BL10" s="60">
        <f>IFERROR(BJ10/BK10,0)</f>
        <v>0</v>
      </c>
      <c r="BM10" s="35" t="e">
        <f>+#REF!+#REF!+#REF!+#REF!+#REF!+#REF!+#REF!+#REF!+#REF!+#REF!+#REF!+#REF!</f>
        <v>#REF!</v>
      </c>
      <c r="BN10" s="24" t="e">
        <f>+#REF!+#REF!+#REF!+#REF!+#REF!+#REF!+#REF!+#REF!+#REF!+#REF!+#REF!+#REF!</f>
        <v>#REF!</v>
      </c>
      <c r="BO10" s="50">
        <f>IFERROR(BM10/BN10,0)</f>
        <v>0</v>
      </c>
      <c r="BP10" s="23" t="e">
        <f>+#REF!+#REF!+#REF!+#REF!+#REF!+#REF!+#REF!+#REF!+#REF!+#REF!+#REF!+#REF!</f>
        <v>#REF!</v>
      </c>
      <c r="BQ10" s="24" t="e">
        <f>+#REF!+#REF!+#REF!+#REF!+#REF!+#REF!+#REF!+#REF!+#REF!+#REF!+#REF!+#REF!</f>
        <v>#REF!</v>
      </c>
      <c r="BR10" s="60">
        <f>IFERROR(BP10/BQ10,0)</f>
        <v>0</v>
      </c>
      <c r="BS10" s="23" t="e">
        <f>+#REF!+#REF!+#REF!+#REF!+#REF!+#REF!+#REF!+#REF!+#REF!+#REF!+#REF!+#REF!</f>
        <v>#REF!</v>
      </c>
      <c r="BT10" s="24" t="e">
        <f>+#REF!+#REF!+#REF!+#REF!+#REF!+#REF!+#REF!+#REF!+#REF!+#REF!+#REF!+#REF!</f>
        <v>#REF!</v>
      </c>
      <c r="BU10" s="60">
        <f>IFERROR(BS10/BT10,0)</f>
        <v>0</v>
      </c>
      <c r="BV10" s="149"/>
      <c r="BW10" s="8" t="e">
        <f>+#REF!+#REF!+#REF!+#REF!+#REF!+#REF!+#REF!+#REF!+#REF!+#REF!+#REF!+#REF!</f>
        <v>#REF!</v>
      </c>
      <c r="BX10" s="3" t="e">
        <f>+#REF!+#REF!+#REF!+#REF!+#REF!+#REF!+#REF!+#REF!+#REF!+#REF!+#REF!+#REF!</f>
        <v>#REF!</v>
      </c>
      <c r="BY10" s="3" t="e">
        <f>+#REF!+#REF!+#REF!+#REF!+#REF!+#REF!+#REF!+#REF!+#REF!+#REF!+#REF!+#REF!</f>
        <v>#REF!</v>
      </c>
      <c r="BZ10" s="3" t="e">
        <f>+#REF!+#REF!+#REF!+#REF!+#REF!+#REF!+#REF!+#REF!+#REF!+#REF!+#REF!+#REF!</f>
        <v>#REF!</v>
      </c>
      <c r="CA10" s="3" t="e">
        <f>+#REF!+#REF!+#REF!+#REF!+#REF!+#REF!+#REF!+#REF!+#REF!+#REF!+#REF!+#REF!</f>
        <v>#REF!</v>
      </c>
      <c r="CB10" s="3" t="e">
        <f>SUM(BW10:CA10)</f>
        <v>#REF!</v>
      </c>
      <c r="CC10" s="32"/>
      <c r="CD10" s="2683"/>
      <c r="CF10" s="2" t="e">
        <f>SUM(CN10,CU10,DB10,DI10)</f>
        <v>#REF!</v>
      </c>
      <c r="CG10" s="3" t="e">
        <f t="shared" ref="CG10:CK40" si="5">SUM(CO10,CV10,DC10,DJ10)</f>
        <v>#REF!</v>
      </c>
      <c r="CH10" s="3" t="e">
        <f t="shared" si="5"/>
        <v>#REF!</v>
      </c>
      <c r="CI10" s="3" t="e">
        <f t="shared" si="5"/>
        <v>#REF!</v>
      </c>
      <c r="CJ10" s="3" t="e">
        <f t="shared" si="5"/>
        <v>#REF!</v>
      </c>
      <c r="CK10" s="3" t="e">
        <f t="shared" si="5"/>
        <v>#REF!</v>
      </c>
      <c r="CL10" s="32" t="e">
        <f>SUM(CF10:CK10)</f>
        <v>#REF!</v>
      </c>
      <c r="CM10" s="2685"/>
      <c r="CN10" s="8" t="e">
        <f>+#REF!+#REF!+#REF!+#REF!+#REF!+#REF!+#REF!+#REF!+#REF!+#REF!+#REF!+#REF!</f>
        <v>#REF!</v>
      </c>
      <c r="CO10" s="3" t="e">
        <f>+#REF!+#REF!+#REF!+#REF!+#REF!+#REF!+#REF!+#REF!+#REF!+#REF!+#REF!+#REF!</f>
        <v>#REF!</v>
      </c>
      <c r="CP10" s="3" t="e">
        <f>+#REF!+#REF!+#REF!+#REF!+#REF!+#REF!+#REF!+#REF!+#REF!+#REF!+#REF!+#REF!</f>
        <v>#REF!</v>
      </c>
      <c r="CQ10" s="3" t="e">
        <f>+#REF!+#REF!+#REF!+#REF!+#REF!+#REF!+#REF!+#REF!+#REF!+#REF!+#REF!+#REF!</f>
        <v>#REF!</v>
      </c>
      <c r="CR10" s="3" t="e">
        <f>+#REF!+#REF!+#REF!+#REF!+#REF!+#REF!+#REF!+#REF!+#REF!+#REF!+#REF!+#REF!</f>
        <v>#REF!</v>
      </c>
      <c r="CS10" s="3" t="e">
        <f>+#REF!+#REF!+#REF!+#REF!+#REF!+#REF!+#REF!+#REF!+#REF!+#REF!+#REF!+#REF!</f>
        <v>#REF!</v>
      </c>
      <c r="CT10" s="25" t="e">
        <f>SUM(CN10:CS10)</f>
        <v>#REF!</v>
      </c>
      <c r="CU10" s="35" t="e">
        <f>+#REF!+#REF!+#REF!+#REF!+#REF!+#REF!+#REF!+#REF!+#REF!+#REF!+#REF!+#REF!</f>
        <v>#REF!</v>
      </c>
      <c r="CV10" s="24" t="e">
        <f>+#REF!+#REF!+#REF!+#REF!+#REF!+#REF!+#REF!+#REF!+#REF!+#REF!+#REF!+#REF!</f>
        <v>#REF!</v>
      </c>
      <c r="CW10" s="24" t="e">
        <f>+#REF!+#REF!+#REF!+#REF!+#REF!+#REF!+#REF!+#REF!+#REF!+#REF!+#REF!+#REF!</f>
        <v>#REF!</v>
      </c>
      <c r="CX10" s="24" t="e">
        <f>+#REF!+#REF!+#REF!+#REF!+#REF!+#REF!+#REF!+#REF!+#REF!+#REF!+#REF!+#REF!</f>
        <v>#REF!</v>
      </c>
      <c r="CY10" s="24" t="e">
        <f>+#REF!+#REF!+#REF!+#REF!+#REF!+#REF!+#REF!+#REF!+#REF!+#REF!+#REF!+#REF!</f>
        <v>#REF!</v>
      </c>
      <c r="CZ10" s="24" t="e">
        <f>+#REF!+#REF!+#REF!+#REF!+#REF!+#REF!+#REF!+#REF!+#REF!+#REF!+#REF!+#REF!</f>
        <v>#REF!</v>
      </c>
      <c r="DA10" s="25" t="e">
        <f>SUM(CU10:CZ10)</f>
        <v>#REF!</v>
      </c>
      <c r="DB10" s="35" t="e">
        <f>+#REF!+#REF!+#REF!+#REF!+#REF!+#REF!+#REF!+#REF!+#REF!+#REF!+#REF!+#REF!</f>
        <v>#REF!</v>
      </c>
      <c r="DC10" s="24" t="e">
        <f>+#REF!+#REF!+#REF!+#REF!+#REF!+#REF!+#REF!+#REF!+#REF!+#REF!+#REF!+#REF!</f>
        <v>#REF!</v>
      </c>
      <c r="DD10" s="24" t="e">
        <f>+#REF!+#REF!+#REF!+#REF!+#REF!+#REF!+#REF!+#REF!+#REF!+#REF!+#REF!+#REF!</f>
        <v>#REF!</v>
      </c>
      <c r="DE10" s="24" t="e">
        <f>+#REF!+#REF!+#REF!+#REF!+#REF!+#REF!+#REF!+#REF!+#REF!+#REF!+#REF!+#REF!</f>
        <v>#REF!</v>
      </c>
      <c r="DF10" s="24" t="e">
        <f>+#REF!+#REF!+#REF!+#REF!+#REF!+#REF!+#REF!+#REF!+#REF!+#REF!+#REF!+#REF!</f>
        <v>#REF!</v>
      </c>
      <c r="DG10" s="24" t="e">
        <f>+#REF!+#REF!+#REF!+#REF!+#REF!+#REF!+#REF!+#REF!+#REF!+#REF!+#REF!+#REF!</f>
        <v>#REF!</v>
      </c>
      <c r="DH10" s="25" t="e">
        <f>SUM(DB10:DG10)</f>
        <v>#REF!</v>
      </c>
      <c r="DI10" s="35" t="e">
        <f>+#REF!+#REF!+#REF!+#REF!+#REF!+#REF!+#REF!+#REF!+#REF!+#REF!+#REF!+#REF!</f>
        <v>#REF!</v>
      </c>
      <c r="DJ10" s="24" t="e">
        <f>+#REF!+#REF!+#REF!+#REF!+#REF!+#REF!+#REF!+#REF!+#REF!+#REF!+#REF!+#REF!</f>
        <v>#REF!</v>
      </c>
      <c r="DK10" s="24" t="e">
        <f>+#REF!+#REF!+#REF!+#REF!+#REF!+#REF!+#REF!+#REF!+#REF!+#REF!+#REF!+#REF!</f>
        <v>#REF!</v>
      </c>
      <c r="DL10" s="24" t="e">
        <f>+#REF!+#REF!+#REF!+#REF!+#REF!+#REF!+#REF!+#REF!+#REF!+#REF!+#REF!+#REF!</f>
        <v>#REF!</v>
      </c>
      <c r="DM10" s="24" t="e">
        <f>+#REF!+#REF!+#REF!+#REF!+#REF!+#REF!+#REF!+#REF!+#REF!+#REF!+#REF!+#REF!</f>
        <v>#REF!</v>
      </c>
      <c r="DN10" s="24" t="e">
        <f>+#REF!+#REF!+#REF!+#REF!+#REF!+#REF!+#REF!+#REF!+#REF!+#REF!+#REF!+#REF!</f>
        <v>#REF!</v>
      </c>
      <c r="DO10" s="32" t="e">
        <f>SUM(DI10:DN10)</f>
        <v>#REF!</v>
      </c>
      <c r="DP10" s="2685"/>
      <c r="DR10" s="2" t="e">
        <f>+ED10</f>
        <v>#REF!</v>
      </c>
      <c r="DS10" s="3" t="e">
        <f>+EK10</f>
        <v>#REF!</v>
      </c>
      <c r="DT10" s="3" t="e">
        <f>+ER10</f>
        <v>#REF!</v>
      </c>
      <c r="DU10" s="11" t="e">
        <f>SUM(DR10:DT10)</f>
        <v>#REF!</v>
      </c>
      <c r="DV10" s="32"/>
      <c r="DW10" s="2674"/>
      <c r="DX10" s="8" t="e">
        <f>+#REF!+#REF!+#REF!+#REF!+#REF!+#REF!+#REF!+#REF!+#REF!+#REF!+#REF!+#REF!</f>
        <v>#REF!</v>
      </c>
      <c r="DY10" s="3" t="e">
        <f>+#REF!+#REF!+#REF!+#REF!+#REF!+#REF!+#REF!+#REF!+#REF!+#REF!+#REF!+#REF!</f>
        <v>#REF!</v>
      </c>
      <c r="DZ10" s="3" t="e">
        <f>+#REF!+#REF!+#REF!+#REF!+#REF!+#REF!+#REF!+#REF!+#REF!+#REF!+#REF!+#REF!</f>
        <v>#REF!</v>
      </c>
      <c r="EA10" s="3" t="e">
        <f>+#REF!+#REF!+#REF!+#REF!+#REF!+#REF!+#REF!+#REF!+#REF!+#REF!+#REF!+#REF!</f>
        <v>#REF!</v>
      </c>
      <c r="EB10" s="3" t="e">
        <f>+#REF!+#REF!+#REF!+#REF!+#REF!+#REF!+#REF!+#REF!+#REF!+#REF!+#REF!+#REF!</f>
        <v>#REF!</v>
      </c>
      <c r="EC10" s="24" t="e">
        <f>+#REF!+#REF!+#REF!+#REF!+#REF!+#REF!+#REF!+#REF!+#REF!+#REF!+#REF!+#REF!</f>
        <v>#REF!</v>
      </c>
      <c r="ED10" s="25" t="e">
        <f>SUM(DX10:EC10)</f>
        <v>#REF!</v>
      </c>
      <c r="EE10" s="35" t="e">
        <f>+#REF!+#REF!+#REF!+#REF!+#REF!+#REF!+#REF!+#REF!+#REF!+#REF!+#REF!+#REF!</f>
        <v>#REF!</v>
      </c>
      <c r="EF10" s="24" t="e">
        <f>+#REF!+#REF!+#REF!+#REF!+#REF!+#REF!+#REF!+#REF!+#REF!+#REF!+#REF!+#REF!</f>
        <v>#REF!</v>
      </c>
      <c r="EG10" s="24" t="e">
        <f>+#REF!+#REF!+#REF!+#REF!+#REF!+#REF!+#REF!+#REF!+#REF!+#REF!+#REF!+#REF!</f>
        <v>#REF!</v>
      </c>
      <c r="EH10" s="24" t="e">
        <f>+#REF!+#REF!+#REF!+#REF!+#REF!+#REF!+#REF!+#REF!+#REF!+#REF!+#REF!+#REF!</f>
        <v>#REF!</v>
      </c>
      <c r="EI10" s="24" t="e">
        <f>+#REF!+#REF!+#REF!+#REF!+#REF!+#REF!+#REF!+#REF!+#REF!+#REF!+#REF!+#REF!</f>
        <v>#REF!</v>
      </c>
      <c r="EJ10" s="24" t="e">
        <f>+#REF!+#REF!+#REF!+#REF!+#REF!+#REF!+#REF!+#REF!+#REF!+#REF!+#REF!+#REF!</f>
        <v>#REF!</v>
      </c>
      <c r="EK10" s="25" t="e">
        <f>SUM(EE10:EJ10)</f>
        <v>#REF!</v>
      </c>
      <c r="EL10" s="35" t="e">
        <f>+#REF!+#REF!+#REF!+#REF!+#REF!+#REF!+#REF!+#REF!+#REF!+#REF!+#REF!+#REF!</f>
        <v>#REF!</v>
      </c>
      <c r="EM10" s="24" t="e">
        <f>+#REF!+#REF!+#REF!+#REF!+#REF!+#REF!+#REF!+#REF!+#REF!+#REF!+#REF!+#REF!</f>
        <v>#REF!</v>
      </c>
      <c r="EN10" s="24" t="e">
        <f>+#REF!+#REF!+#REF!+#REF!+#REF!+#REF!+#REF!+#REF!+#REF!+#REF!+#REF!+#REF!</f>
        <v>#REF!</v>
      </c>
      <c r="EO10" s="24" t="e">
        <f>+#REF!+#REF!+#REF!+#REF!+#REF!+#REF!+#REF!+#REF!+#REF!+#REF!+#REF!+#REF!</f>
        <v>#REF!</v>
      </c>
      <c r="EP10" s="24" t="e">
        <f>+#REF!+#REF!+#REF!+#REF!+#REF!+#REF!+#REF!+#REF!+#REF!+#REF!+#REF!+#REF!</f>
        <v>#REF!</v>
      </c>
      <c r="EQ10" s="24" t="e">
        <f>+#REF!+#REF!+#REF!+#REF!+#REF!+#REF!+#REF!+#REF!+#REF!+#REF!+#REF!+#REF!</f>
        <v>#REF!</v>
      </c>
      <c r="ER10" s="32" t="e">
        <f>SUM(EL10:EQ10)</f>
        <v>#REF!</v>
      </c>
      <c r="ES10" s="2674"/>
      <c r="EU10" s="2" t="e">
        <f>FQ10</f>
        <v>#REF!</v>
      </c>
      <c r="EV10" s="3" t="e">
        <f>+FZ10</f>
        <v>#REF!</v>
      </c>
      <c r="EW10" s="24" t="e">
        <f>+GI10</f>
        <v>#REF!</v>
      </c>
      <c r="EX10" s="24" t="e">
        <f>SUM(EU10:EW10)</f>
        <v>#REF!</v>
      </c>
      <c r="EY10" s="140"/>
      <c r="EZ10" s="140"/>
      <c r="FA10" s="32"/>
      <c r="FB10" s="2667"/>
      <c r="FC10" s="35" t="e">
        <f>+#REF!+#REF!+#REF!+#REF!+#REF!+#REF!+#REF!+#REF!+#REF!+#REF!+#REF!+#REF!</f>
        <v>#REF!</v>
      </c>
      <c r="FD10" s="24" t="e">
        <f>+#REF!+#REF!+#REF!+#REF!+#REF!+#REF!+#REF!+#REF!+#REF!+#REF!+#REF!+#REF!</f>
        <v>#REF!</v>
      </c>
      <c r="FE10" s="24"/>
      <c r="FF10" s="24"/>
      <c r="FG10" s="32" t="e">
        <f>SUM(FC10:FF10)</f>
        <v>#REF!</v>
      </c>
      <c r="FH10" s="2667"/>
      <c r="FI10" s="35" t="e">
        <f>+#REF!+#REF!+#REF!+#REF!+#REF!+#REF!+#REF!+#REF!+#REF!+#REF!+#REF!+#REF!</f>
        <v>#REF!</v>
      </c>
      <c r="FJ10" s="24" t="e">
        <f>+#REF!+#REF!+#REF!+#REF!+#REF!+#REF!+#REF!+#REF!+#REF!+#REF!+#REF!+#REF!</f>
        <v>#REF!</v>
      </c>
      <c r="FK10" s="24" t="e">
        <f>+#REF!+#REF!+#REF!+#REF!+#REF!+#REF!+#REF!+#REF!+#REF!+#REF!+#REF!+#REF!</f>
        <v>#REF!</v>
      </c>
      <c r="FL10" s="24" t="e">
        <f>+#REF!+#REF!+#REF!+#REF!+#REF!+#REF!+#REF!+#REF!+#REF!+#REF!+#REF!+#REF!</f>
        <v>#REF!</v>
      </c>
      <c r="FM10" s="24" t="e">
        <f>+#REF!+#REF!+#REF!+#REF!+#REF!+#REF!+#REF!+#REF!+#REF!+#REF!+#REF!+#REF!</f>
        <v>#REF!</v>
      </c>
      <c r="FN10" s="24" t="e">
        <f>+#REF!+#REF!+#REF!+#REF!+#REF!+#REF!+#REF!+#REF!+#REF!+#REF!+#REF!+#REF!</f>
        <v>#REF!</v>
      </c>
      <c r="FO10" s="24" t="e">
        <f>+#REF!+#REF!+#REF!+#REF!+#REF!+#REF!+#REF!+#REF!+#REF!+#REF!+#REF!+#REF!</f>
        <v>#REF!</v>
      </c>
      <c r="FP10" s="24" t="e">
        <f>+#REF!+#REF!+#REF!+#REF!+#REF!+#REF!+#REF!+#REF!+#REF!+#REF!+#REF!+#REF!</f>
        <v>#REF!</v>
      </c>
      <c r="FQ10" s="25" t="e">
        <f>SUM(FI10:FP10)</f>
        <v>#REF!</v>
      </c>
      <c r="FR10" s="23" t="e">
        <f>+#REF!+#REF!+#REF!+#REF!+#REF!+#REF!+#REF!+#REF!+#REF!+#REF!+#REF!+#REF!</f>
        <v>#REF!</v>
      </c>
      <c r="FS10" s="24" t="e">
        <f>+#REF!+#REF!+#REF!+#REF!+#REF!+#REF!+#REF!+#REF!+#REF!+#REF!+#REF!+#REF!</f>
        <v>#REF!</v>
      </c>
      <c r="FT10" s="24" t="e">
        <f>+#REF!+#REF!+#REF!+#REF!+#REF!+#REF!+#REF!+#REF!+#REF!+#REF!+#REF!+#REF!</f>
        <v>#REF!</v>
      </c>
      <c r="FU10" s="24" t="e">
        <f>+#REF!+#REF!+#REF!+#REF!+#REF!+#REF!+#REF!+#REF!+#REF!+#REF!+#REF!+#REF!</f>
        <v>#REF!</v>
      </c>
      <c r="FV10" s="24" t="e">
        <f>+#REF!+#REF!+#REF!+#REF!+#REF!+#REF!+#REF!+#REF!+#REF!+#REF!+#REF!+#REF!</f>
        <v>#REF!</v>
      </c>
      <c r="FW10" s="24" t="e">
        <f>+#REF!+#REF!+#REF!+#REF!+#REF!+#REF!+#REF!+#REF!+#REF!+#REF!+#REF!+#REF!</f>
        <v>#REF!</v>
      </c>
      <c r="FX10" s="24" t="e">
        <f>+#REF!+#REF!+#REF!+#REF!+#REF!+#REF!+#REF!+#REF!+#REF!+#REF!+#REF!+#REF!</f>
        <v>#REF!</v>
      </c>
      <c r="FY10" s="24" t="e">
        <f>+#REF!+#REF!+#REF!+#REF!+#REF!+#REF!+#REF!+#REF!+#REF!+#REF!+#REF!+#REF!</f>
        <v>#REF!</v>
      </c>
      <c r="FZ10" s="25" t="e">
        <f>SUM(FR10:FY10)</f>
        <v>#REF!</v>
      </c>
      <c r="GA10" s="35" t="e">
        <f>+#REF!+#REF!+#REF!+#REF!+#REF!+#REF!+#REF!+#REF!+#REF!+#REF!+#REF!+#REF!</f>
        <v>#REF!</v>
      </c>
      <c r="GB10" s="24" t="e">
        <f>+#REF!+#REF!+#REF!+#REF!+#REF!+#REF!+#REF!+#REF!+#REF!+#REF!+#REF!+#REF!</f>
        <v>#REF!</v>
      </c>
      <c r="GC10" s="24" t="e">
        <f>+#REF!+#REF!+#REF!+#REF!+#REF!+#REF!+#REF!+#REF!+#REF!+#REF!+#REF!+#REF!</f>
        <v>#REF!</v>
      </c>
      <c r="GD10" s="24" t="e">
        <f>+#REF!+#REF!+#REF!+#REF!+#REF!+#REF!+#REF!+#REF!+#REF!+#REF!+#REF!+#REF!</f>
        <v>#REF!</v>
      </c>
      <c r="GE10" s="24" t="e">
        <f>+#REF!+#REF!+#REF!+#REF!+#REF!+#REF!+#REF!+#REF!+#REF!+#REF!+#REF!+#REF!</f>
        <v>#REF!</v>
      </c>
      <c r="GF10" s="24" t="e">
        <f>+#REF!+#REF!+#REF!+#REF!+#REF!+#REF!+#REF!+#REF!+#REF!+#REF!+#REF!+#REF!</f>
        <v>#REF!</v>
      </c>
      <c r="GG10" s="24" t="e">
        <f>+#REF!+#REF!+#REF!+#REF!+#REF!+#REF!+#REF!+#REF!+#REF!+#REF!+#REF!+#REF!</f>
        <v>#REF!</v>
      </c>
      <c r="GH10" s="24" t="e">
        <f>+#REF!+#REF!+#REF!+#REF!+#REF!+#REF!+#REF!+#REF!+#REF!+#REF!+#REF!+#REF!</f>
        <v>#REF!</v>
      </c>
      <c r="GI10" s="32" t="e">
        <f>SUM(GA10:GH10)</f>
        <v>#REF!</v>
      </c>
      <c r="GJ10" s="2667"/>
      <c r="GL10" s="23" t="e">
        <f>+#REF!+#REF!+#REF!+#REF!+#REF!+#REF!+#REF!+#REF!+#REF!+#REF!+#REF!+#REF!</f>
        <v>#REF!</v>
      </c>
      <c r="GM10" s="35" t="e">
        <f>+#REF!+#REF!+#REF!+#REF!+#REF!+#REF!+#REF!+#REF!+#REF!+#REF!+#REF!+#REF!</f>
        <v>#REF!</v>
      </c>
      <c r="GN10" s="24" t="e">
        <f>+#REF!+#REF!+#REF!+#REF!+#REF!+#REF!+#REF!+#REF!+#REF!+#REF!+#REF!+#REF!</f>
        <v>#REF!</v>
      </c>
      <c r="GO10" s="24" t="e">
        <f>+GL10+GN10+GM10</f>
        <v>#REF!</v>
      </c>
      <c r="GP10" s="32"/>
      <c r="GQ10" s="2669"/>
      <c r="GR10" s="66"/>
      <c r="GS10" s="67"/>
      <c r="GT10" s="67"/>
      <c r="GU10" s="67"/>
      <c r="GV10" s="67"/>
      <c r="GW10" s="67"/>
      <c r="GX10" s="67"/>
      <c r="GY10" s="68"/>
      <c r="GZ10" s="66"/>
      <c r="HA10" s="67"/>
      <c r="HB10" s="67"/>
      <c r="HC10" s="67"/>
      <c r="HD10" s="67"/>
      <c r="HE10" s="67"/>
      <c r="HF10" s="67"/>
      <c r="HG10" s="68"/>
      <c r="HH10" s="66"/>
      <c r="HI10" s="67"/>
      <c r="HJ10" s="67"/>
      <c r="HK10" s="67"/>
      <c r="HL10" s="67"/>
      <c r="HM10" s="67"/>
      <c r="HN10" s="67"/>
      <c r="HO10" s="67"/>
      <c r="HP10" s="32"/>
      <c r="HQ10" s="2669"/>
      <c r="HR10" s="35"/>
      <c r="HS10" s="49"/>
      <c r="HT10" s="49"/>
      <c r="HU10" s="49"/>
      <c r="HV10" s="60"/>
      <c r="HW10" s="35"/>
      <c r="HX10" s="49"/>
      <c r="HY10" s="49"/>
      <c r="HZ10" s="49"/>
      <c r="IA10" s="60"/>
      <c r="IB10" s="35"/>
      <c r="IC10" s="49"/>
      <c r="ID10" s="49"/>
      <c r="IE10" s="49"/>
      <c r="IF10" s="49"/>
      <c r="IG10" s="32"/>
      <c r="IH10" s="2669"/>
      <c r="IJ10" s="171" t="e">
        <f>SUM(IU10,JA10,JL10,JR10+JF10)</f>
        <v>#REF!</v>
      </c>
      <c r="IK10" s="24" t="e">
        <f t="shared" ref="IK10:IL40" si="6">SUM(IV10,JB10,JM10,JS10+JG10)</f>
        <v>#REF!</v>
      </c>
      <c r="IL10" s="24" t="e">
        <f t="shared" si="6"/>
        <v>#REF!</v>
      </c>
      <c r="IM10" s="25" t="e">
        <f>SUM(IJ10:IL10)</f>
        <v>#REF!</v>
      </c>
      <c r="IN10" s="35"/>
      <c r="IO10" s="24"/>
      <c r="IP10" s="24"/>
      <c r="IQ10" s="32"/>
      <c r="IR10" s="51"/>
      <c r="IS10" s="20"/>
      <c r="IT10" s="2688"/>
      <c r="IU10" s="35" t="e">
        <f>+#REF!+#REF!+#REF!+#REF!+#REF!+#REF!+#REF!+#REF!+#REF!+#REF!+#REF!+#REF!</f>
        <v>#REF!</v>
      </c>
      <c r="IV10" s="35" t="e">
        <f>+#REF!+#REF!+#REF!+#REF!+#REF!+#REF!+#REF!+#REF!+#REF!+#REF!+#REF!+#REF!</f>
        <v>#REF!</v>
      </c>
      <c r="IW10" s="24" t="e">
        <f>+#REF!+#REF!+#REF!+#REF!+#REF!+#REF!+#REF!+#REF!+#REF!+#REF!+#REF!+#REF!</f>
        <v>#REF!</v>
      </c>
      <c r="IX10" s="24" t="e">
        <f>+#REF!+#REF!+#REF!+#REF!+#REF!+#REF!+#REF!+#REF!+#REF!+#REF!+#REF!+#REF!</f>
        <v>#REF!</v>
      </c>
      <c r="IY10" s="24" t="e">
        <f>+#REF!+#REF!+#REF!+#REF!+#REF!+#REF!+#REF!+#REF!+#REF!+#REF!+#REF!+#REF!</f>
        <v>#REF!</v>
      </c>
      <c r="IZ10" s="25" t="e">
        <f>SUM(IU10:IY10)</f>
        <v>#REF!</v>
      </c>
      <c r="JA10" s="23" t="e">
        <f>+#REF!+#REF!+#REF!+#REF!+#REF!+#REF!+#REF!+#REF!+#REF!+#REF!+#REF!+#REF!</f>
        <v>#REF!</v>
      </c>
      <c r="JB10" s="35" t="e">
        <f>+#REF!+#REF!+#REF!+#REF!+#REF!+#REF!+#REF!+#REF!+#REF!+#REF!+#REF!+#REF!</f>
        <v>#REF!</v>
      </c>
      <c r="JC10" s="24" t="e">
        <f>+#REF!+#REF!+#REF!+#REF!+#REF!+#REF!+#REF!+#REF!+#REF!+#REF!+#REF!+#REF!</f>
        <v>#REF!</v>
      </c>
      <c r="JD10" s="24" t="e">
        <f>+#REF!+#REF!+#REF!+#REF!+#REF!+#REF!+#REF!+#REF!+#REF!+#REF!+#REF!+#REF!</f>
        <v>#REF!</v>
      </c>
      <c r="JE10" s="25" t="e">
        <f>+#REF!+#REF!+#REF!+#REF!+#REF!+#REF!+#REF!+#REF!+#REF!+#REF!+#REF!+#REF!</f>
        <v>#REF!</v>
      </c>
      <c r="JF10" s="23" t="e">
        <f>+#REF!+#REF!+#REF!+#REF!+#REF!+#REF!+#REF!+#REF!+#REF!+#REF!+#REF!+#REF!</f>
        <v>#REF!</v>
      </c>
      <c r="JG10" s="35" t="e">
        <f>+#REF!+#REF!+#REF!+#REF!+#REF!+#REF!+#REF!+#REF!+#REF!+#REF!+#REF!+#REF!</f>
        <v>#REF!</v>
      </c>
      <c r="JH10" s="24" t="e">
        <f>+#REF!+#REF!+#REF!+#REF!+#REF!+#REF!+#REF!+#REF!+#REF!+#REF!+#REF!+#REF!</f>
        <v>#REF!</v>
      </c>
      <c r="JI10" s="24" t="e">
        <f>+#REF!+#REF!+#REF!+#REF!+#REF!+#REF!+#REF!+#REF!+#REF!+#REF!+#REF!+#REF!</f>
        <v>#REF!</v>
      </c>
      <c r="JJ10" s="24" t="e">
        <f>+#REF!+#REF!+#REF!+#REF!+#REF!+#REF!+#REF!+#REF!+#REF!+#REF!+#REF!+#REF!</f>
        <v>#REF!</v>
      </c>
      <c r="JK10" s="25" t="e">
        <f>SUM(JF10:JJ10)</f>
        <v>#REF!</v>
      </c>
      <c r="JL10" s="23" t="e">
        <f>+#REF!+#REF!+#REF!+#REF!+#REF!+#REF!+#REF!+#REF!+#REF!+#REF!+#REF!+#REF!</f>
        <v>#REF!</v>
      </c>
      <c r="JM10" s="35" t="e">
        <f>+#REF!+#REF!+#REF!+#REF!+#REF!+#REF!+#REF!+#REF!+#REF!+#REF!+#REF!+#REF!</f>
        <v>#REF!</v>
      </c>
      <c r="JN10" s="24" t="e">
        <f>+#REF!+#REF!+#REF!+#REF!+#REF!+#REF!+#REF!+#REF!+#REF!+#REF!+#REF!+#REF!</f>
        <v>#REF!</v>
      </c>
      <c r="JO10" s="24" t="e">
        <f>+#REF!+#REF!+#REF!+#REF!+#REF!+#REF!+#REF!+#REF!+#REF!+#REF!+#REF!+#REF!</f>
        <v>#REF!</v>
      </c>
      <c r="JP10" s="25" t="e">
        <f>+#REF!+#REF!+#REF!+#REF!+#REF!+#REF!+#REF!+#REF!+#REF!+#REF!+#REF!+#REF!</f>
        <v>#REF!</v>
      </c>
      <c r="JQ10" s="274" t="e">
        <f>SUM(JL10:JP10)</f>
        <v>#REF!</v>
      </c>
      <c r="JR10" s="35" t="e">
        <f>+#REF!+#REF!+#REF!+#REF!+#REF!+#REF!+#REF!+#REF!+#REF!+#REF!+#REF!+#REF!</f>
        <v>#REF!</v>
      </c>
      <c r="JS10" s="35" t="e">
        <f>+#REF!+#REF!+#REF!+#REF!+#REF!+#REF!+#REF!+#REF!+#REF!+#REF!+#REF!+#REF!</f>
        <v>#REF!</v>
      </c>
      <c r="JT10" s="24" t="e">
        <f>+#REF!+#REF!+#REF!+#REF!+#REF!+#REF!+#REF!+#REF!+#REF!+#REF!+#REF!+#REF!</f>
        <v>#REF!</v>
      </c>
      <c r="JU10" s="24" t="e">
        <f>+#REF!+#REF!+#REF!+#REF!+#REF!+#REF!+#REF!+#REF!+#REF!+#REF!+#REF!+#REF!</f>
        <v>#REF!</v>
      </c>
      <c r="JV10" s="24" t="e">
        <f>+#REF!+#REF!+#REF!+#REF!+#REF!+#REF!+#REF!+#REF!+#REF!+#REF!+#REF!+#REF!</f>
        <v>#REF!</v>
      </c>
      <c r="JW10" s="32" t="e">
        <f>SUM(JR10:JV10)</f>
        <v>#REF!</v>
      </c>
      <c r="JX10" s="2688"/>
      <c r="JZ10" s="23" t="e">
        <f>+KH10</f>
        <v>#REF!</v>
      </c>
      <c r="KA10" s="24" t="e">
        <f>+SUM(KO10,KV10,LC10,LJ10,LQ10)</f>
        <v>#REF!</v>
      </c>
      <c r="KB10" s="24" t="e">
        <f>+LW10</f>
        <v>#REF!</v>
      </c>
      <c r="KC10" s="32" t="e">
        <f>+KC9+MC10-FP10</f>
        <v>#REF!</v>
      </c>
      <c r="KD10" s="2621"/>
      <c r="KE10" s="35" t="e">
        <f t="shared" ref="KE10:KG25" si="7">+KE9+GL10-IJ10</f>
        <v>#REF!</v>
      </c>
      <c r="KF10" s="35" t="e">
        <f t="shared" si="7"/>
        <v>#REF!</v>
      </c>
      <c r="KG10" s="24" t="e">
        <f>+KG9+GN10-IL10</f>
        <v>#REF!</v>
      </c>
      <c r="KH10" s="25" t="e">
        <f>SUM(KE10:KG10)</f>
        <v>#REF!</v>
      </c>
      <c r="KI10" s="35" t="e">
        <f>+KI8+DB10-FI10</f>
        <v>#REF!</v>
      </c>
      <c r="KJ10" s="24" t="e">
        <f t="shared" ref="KJ10:KN25" si="8">+KJ9-FJ10</f>
        <v>#REF!</v>
      </c>
      <c r="KK10" s="24" t="e">
        <f t="shared" si="8"/>
        <v>#REF!</v>
      </c>
      <c r="KL10" s="24" t="e">
        <f t="shared" si="8"/>
        <v>#REF!</v>
      </c>
      <c r="KM10" s="24" t="e">
        <f t="shared" si="8"/>
        <v>#REF!</v>
      </c>
      <c r="KN10" s="24" t="e">
        <f t="shared" si="8"/>
        <v>#REF!</v>
      </c>
      <c r="KO10" s="25" t="e">
        <f>SUM(KI10:KN10)</f>
        <v>#REF!</v>
      </c>
      <c r="KP10" s="35" t="e">
        <f t="shared" ref="KP10:KU25" si="9">+KP9+CN10+EE10+EL10-FR10</f>
        <v>#REF!</v>
      </c>
      <c r="KQ10" s="24" t="e">
        <f t="shared" si="9"/>
        <v>#REF!</v>
      </c>
      <c r="KR10" s="24" t="e">
        <f t="shared" si="9"/>
        <v>#REF!</v>
      </c>
      <c r="KS10" s="24" t="e">
        <f t="shared" si="9"/>
        <v>#REF!</v>
      </c>
      <c r="KT10" s="24" t="e">
        <f t="shared" si="9"/>
        <v>#REF!</v>
      </c>
      <c r="KU10" s="24" t="e">
        <f t="shared" si="9"/>
        <v>#REF!</v>
      </c>
      <c r="KV10" s="25" t="e">
        <f>SUM(KP10:KU10)</f>
        <v>#REF!</v>
      </c>
      <c r="KW10" s="35" t="e">
        <f t="shared" ref="KW10:LB25" si="10">+KW9+CU10+DX10-GA10</f>
        <v>#REF!</v>
      </c>
      <c r="KX10" s="24" t="e">
        <f t="shared" si="10"/>
        <v>#REF!</v>
      </c>
      <c r="KY10" s="49" t="e">
        <f t="shared" si="10"/>
        <v>#REF!</v>
      </c>
      <c r="KZ10" s="24" t="e">
        <f t="shared" si="10"/>
        <v>#REF!</v>
      </c>
      <c r="LA10" s="24" t="e">
        <f t="shared" si="10"/>
        <v>#REF!</v>
      </c>
      <c r="LB10" s="24" t="e">
        <f t="shared" si="10"/>
        <v>#REF!</v>
      </c>
      <c r="LC10" s="25" t="e">
        <f>SUM(KW10:LB10)</f>
        <v>#REF!</v>
      </c>
      <c r="LD10" s="35"/>
      <c r="LE10" s="24"/>
      <c r="LF10" s="24"/>
      <c r="LG10" s="24"/>
      <c r="LH10" s="24"/>
      <c r="LI10" s="24"/>
      <c r="LJ10" s="25">
        <f>SUM(LD10:LI10)</f>
        <v>0</v>
      </c>
      <c r="LK10" s="35" t="e">
        <f t="shared" ref="LK10:LP25" si="11">+LK9+DI10-EL10</f>
        <v>#REF!</v>
      </c>
      <c r="LL10" s="24" t="e">
        <f t="shared" si="11"/>
        <v>#REF!</v>
      </c>
      <c r="LM10" s="24" t="e">
        <f t="shared" si="11"/>
        <v>#REF!</v>
      </c>
      <c r="LN10" s="24" t="e">
        <f t="shared" si="11"/>
        <v>#REF!</v>
      </c>
      <c r="LO10" s="24" t="e">
        <f t="shared" si="11"/>
        <v>#REF!</v>
      </c>
      <c r="LP10" s="24" t="e">
        <f t="shared" si="11"/>
        <v>#REF!</v>
      </c>
      <c r="LQ10" s="32" t="e">
        <f>SUM(LK10:LP10)</f>
        <v>#REF!</v>
      </c>
      <c r="LR10" s="2621"/>
      <c r="LT10" s="2" t="e">
        <f>+#REF!+#REF!+#REF!+#REF!+#REF!+#REF!+#REF!+#REF!+#REF!+#REF!+#REF!+#REF!</f>
        <v>#REF!</v>
      </c>
      <c r="LU10" s="3" t="e">
        <f>+#REF!+#REF!+#REF!+#REF!+#REF!+#REF!+#REF!+#REF!+#REF!+#REF!+#REF!+#REF!</f>
        <v>#REF!</v>
      </c>
      <c r="LV10" s="3" t="e">
        <f>+FO10</f>
        <v>#REF!</v>
      </c>
      <c r="LW10" s="11" t="e">
        <f>+LW9+LU10-LV10</f>
        <v>#REF!</v>
      </c>
      <c r="LX10" s="14"/>
      <c r="LY10" s="2615"/>
      <c r="MA10" s="2" t="e">
        <f>+#REF!+#REF!+#REF!+#REF!+#REF!+#REF!+#REF!+#REF!+#REF!+#REF!+#REF!+#REF!</f>
        <v>#REF!</v>
      </c>
      <c r="MB10" s="3" t="e">
        <f>+LT10</f>
        <v>#REF!</v>
      </c>
      <c r="MC10" s="3" t="e">
        <f>+#REF!+#REF!+#REF!+#REF!+#REF!+#REF!+#REF!+#REF!+#REF!+#REF!+#REF!+#REF!</f>
        <v>#REF!</v>
      </c>
      <c r="MD10" s="3" t="e">
        <f>+FP10+FY10+GH10</f>
        <v>#REF!</v>
      </c>
      <c r="ME10" s="11" t="e">
        <f>+ME9+MA10-MB10-MC10-MD10</f>
        <v>#REF!</v>
      </c>
      <c r="MF10" s="11"/>
      <c r="MG10" s="2615"/>
      <c r="MI10" s="139" t="e">
        <f>IF(GL10=0,"",(IFERROR(IF(1-ABS(1-(GR10/GR$43))&lt;0,0,1-ABS(1-(GR10/GR$43))),0)*GR$43)+(IFERROR(IF(1-ABS(1-(GS10/GS$43))&lt;0,0,1-ABS(1-(GS10/GS$43))),0)*GS$43)+(IFERROR(IF(1-ABS(1-(GT10/GT$43))&lt;0,0,1-ABS(1-(GT10/GT$43))),0)*GT$43)+(IFERROR(IF(1-ABS(1-(GU10/GU$43))&lt;0,0,1-ABS(1-(GU10/GU$43))),0)*GU$43)+(IFERROR(IF(1-ABS(1-(GV10/GV$43))&lt;0,0,1-ABS(1-(GV10/GV$43))),0)*GV$43)+(IFERROR(IF(1-ABS(1-(GW10/GW$43))&lt;0,0,1-ABS(1-(GW10/GW$43))),0)*GW$43)+(IFERROR(IF(1-ABS(1-(GX10/GX$43))&lt;0,0,1-ABS(1-(GX10/GX$43))),0)*GX$43)+(IFERROR(IF(1-ABS(1-(GY10/GY$43))&lt;0,0,1-ABS(1-(GY10/GY$43))),0)*GY$43))</f>
        <v>#REF!</v>
      </c>
      <c r="MJ10" s="139" t="e">
        <f>IF(GN10=0,"",(IFERROR(IF(1-ABS(1-(HH10/HH$43))&lt;0,0,1-ABS(1-(HH10/HH$43))),0)*HH$43)+(IFERROR(IF(1-ABS(1-(HI10/HI$43))&lt;0,0,1-ABS(1-(HI10/HI$43))),0)*HI$43)+(IFERROR(IF(1-ABS(1-(HJ10/HJ$43))&lt;0,0,1-ABS(1-(HJ10/HJ$43))),0)*HJ$43)+(IFERROR(IF(1-ABS(1-(HK10/HK$43))&lt;0,0,1-ABS(1-(HK10/HK$43))),0)*HK$43)+(IFERROR(IF(1-ABS(1-(HL10/HL$43))&lt;0,0,1-ABS(1-(HL10/HL$43))),0)*HL$43)+(IFERROR(IF(1-ABS(1-(HM10/HM$43))&lt;0,0,1-ABS(1-(HM10/HM$43))),0)*HM$43)+(IFERROR(IF(1-ABS(1-(HN10/HN$43))&lt;0,0,1-ABS(1-(HN10/HN$43))),0)*HN$43)+(IFERROR(IF(1-ABS(1-(HO10/HO$43))&lt;0,0,1-ABS(1-(HO10/HO$43))),0)*HO$43))</f>
        <v>#REF!</v>
      </c>
      <c r="ML10" s="139" t="e">
        <f>IF(GO10&gt;0,SUMPRODUCT(MO10:MT10,$GR$43:$GW$43),"")</f>
        <v>#REF!</v>
      </c>
      <c r="MM10" s="139" t="e">
        <f>IF(GO10&gt;0,SUMPRODUCT(MV10:NA10,$HH$43:$HM$43),"")</f>
        <v>#REF!</v>
      </c>
      <c r="MO10" s="1">
        <f t="shared" ref="MO10:MT25" si="12">IF(KP$43=0,0,IF(SUM(KP10,KW10)-KP$8-KW$8&gt;KP$43,1,(SUM(KP10,KW10)-KP$8-KW$8)/KP$43))</f>
        <v>0</v>
      </c>
      <c r="MP10" s="1">
        <f t="shared" si="12"/>
        <v>0</v>
      </c>
      <c r="MQ10" s="1">
        <f>IF(KR$43=0,0,IF(SUM(KR10,KY10)-KR$8-KY$8&gt;KR$43,1,(SUM(KR10,KY10)-KR$8-KY$8)/KR$43))</f>
        <v>0</v>
      </c>
      <c r="MR10" s="1">
        <f t="shared" si="12"/>
        <v>0</v>
      </c>
      <c r="MS10" s="1">
        <f t="shared" si="12"/>
        <v>0</v>
      </c>
      <c r="MT10" s="1">
        <f t="shared" si="12"/>
        <v>0</v>
      </c>
      <c r="MV10" s="1">
        <f t="shared" ref="MV10:NA25" si="13">+IF(KP$43=0,0,IF(SUM(KP10,KW10)-KP$8-KW$8&gt;KP$43,1,(SUM(KP10,KW10)-KP$8-KW$8)/KP$43))</f>
        <v>0</v>
      </c>
      <c r="MW10" s="1">
        <f t="shared" si="13"/>
        <v>0</v>
      </c>
      <c r="MX10" s="1">
        <f t="shared" si="13"/>
        <v>0</v>
      </c>
      <c r="MY10" s="1">
        <f t="shared" si="13"/>
        <v>0</v>
      </c>
      <c r="MZ10" s="1">
        <f t="shared" si="13"/>
        <v>0</v>
      </c>
      <c r="NA10" s="1">
        <f t="shared" si="13"/>
        <v>0</v>
      </c>
    </row>
    <row r="11" spans="2:365" s="1" customFormat="1">
      <c r="B11" s="46">
        <v>2</v>
      </c>
      <c r="C11" s="4" t="e">
        <f t="shared" si="0"/>
        <v>#REF!</v>
      </c>
      <c r="D11" s="5" t="e">
        <f t="shared" si="1"/>
        <v>#REF!</v>
      </c>
      <c r="E11" s="61">
        <f t="shared" ref="E11:E42" si="14">IFERROR(C11/D11,0)</f>
        <v>0</v>
      </c>
      <c r="F11" s="52"/>
      <c r="G11" s="53"/>
      <c r="H11" s="53"/>
      <c r="I11" s="54"/>
      <c r="J11" s="2629"/>
      <c r="K11" s="9" t="e">
        <f t="shared" ref="K11:K40" si="15">+SUM(AF11,AO11,AR11,AU11+AI11+AL11)</f>
        <v>#REF!</v>
      </c>
      <c r="L11" s="5" t="e">
        <f t="shared" si="2"/>
        <v>#REF!</v>
      </c>
      <c r="M11" s="64">
        <f t="shared" ref="M11:M40" si="16">IFERROR(K11/L11,0)</f>
        <v>0</v>
      </c>
      <c r="N11" s="28"/>
      <c r="O11" s="36" t="e">
        <f t="shared" ref="O11:P40" si="17">+SUM(BA11+BJ11)</f>
        <v>#REF!</v>
      </c>
      <c r="P11" s="27" t="e">
        <f t="shared" si="17"/>
        <v>#REF!</v>
      </c>
      <c r="Q11" s="53">
        <f t="shared" ref="Q11:Q40" si="18">IFERROR(O11/P11,0)</f>
        <v>0</v>
      </c>
      <c r="R11" s="28"/>
      <c r="S11" s="36" t="e">
        <f t="shared" ref="S11:T40" si="19">+BS11</f>
        <v>#REF!</v>
      </c>
      <c r="T11" s="27" t="e">
        <f t="shared" si="19"/>
        <v>#REF!</v>
      </c>
      <c r="U11" s="53">
        <f t="shared" si="3"/>
        <v>0</v>
      </c>
      <c r="V11" s="28"/>
      <c r="W11" s="36" t="e">
        <f t="shared" ref="W11:W40" si="20">+BD11+BG11</f>
        <v>#REF!</v>
      </c>
      <c r="X11" s="27" t="e">
        <f t="shared" si="4"/>
        <v>#REF!</v>
      </c>
      <c r="Y11" s="53">
        <f t="shared" ref="Y11:Y40" si="21">IFERROR(W11/X11,0)</f>
        <v>0</v>
      </c>
      <c r="Z11" s="28"/>
      <c r="AA11" s="26" t="e">
        <f t="shared" ref="AA11:AB37" si="22">+AX11+BA11</f>
        <v>#REF!</v>
      </c>
      <c r="AB11" s="27" t="e">
        <f t="shared" si="22"/>
        <v>#REF!</v>
      </c>
      <c r="AC11" s="53">
        <f t="shared" ref="AC11:AC40" si="23">IFERROR(AA11/AB11,0)</f>
        <v>0</v>
      </c>
      <c r="AD11" s="33"/>
      <c r="AE11" s="2629"/>
      <c r="AF11" s="9" t="e">
        <f>+#REF!+#REF!+#REF!+#REF!+#REF!+#REF!+#REF!+#REF!+#REF!+#REF!+#REF!+#REF!</f>
        <v>#REF!</v>
      </c>
      <c r="AG11" s="5" t="e">
        <f>+#REF!+#REF!+#REF!+#REF!+#REF!+#REF!+#REF!+#REF!+#REF!+#REF!+#REF!+#REF!</f>
        <v>#REF!</v>
      </c>
      <c r="AH11" s="61">
        <f t="shared" ref="AH11:AH40" si="24">IFERROR(AF11/AG11,0)</f>
        <v>0</v>
      </c>
      <c r="AI11" s="36" t="e">
        <f>+#REF!+#REF!+#REF!+#REF!+#REF!+#REF!+#REF!+#REF!+#REF!+#REF!+#REF!+#REF!</f>
        <v>#REF!</v>
      </c>
      <c r="AJ11" s="27" t="e">
        <f>+#REF!+#REF!+#REF!+#REF!+#REF!+#REF!+#REF!+#REF!+#REF!+#REF!+#REF!+#REF!</f>
        <v>#REF!</v>
      </c>
      <c r="AK11" s="61">
        <f t="shared" ref="AK11:AK40" si="25">IFERROR(AI11/AJ11,0)</f>
        <v>0</v>
      </c>
      <c r="AL11" s="36" t="e">
        <f>+#REF!+#REF!+#REF!+#REF!+#REF!+#REF!+#REF!+#REF!+#REF!+#REF!+#REF!+#REF!</f>
        <v>#REF!</v>
      </c>
      <c r="AM11" s="27" t="e">
        <f>+#REF!+#REF!+#REF!+#REF!+#REF!+#REF!+#REF!+#REF!+#REF!+#REF!+#REF!+#REF!</f>
        <v>#REF!</v>
      </c>
      <c r="AN11" s="61">
        <f t="shared" ref="AN11:AN40" si="26">IFERROR(AL11/AM11,0)</f>
        <v>0</v>
      </c>
      <c r="AO11" s="36" t="e">
        <f>+#REF!+#REF!+#REF!+#REF!+#REF!+#REF!+#REF!+#REF!+#REF!+#REF!+#REF!+#REF!</f>
        <v>#REF!</v>
      </c>
      <c r="AP11" s="27" t="e">
        <f>+#REF!+#REF!+#REF!+#REF!+#REF!+#REF!+#REF!+#REF!+#REF!+#REF!+#REF!+#REF!</f>
        <v>#REF!</v>
      </c>
      <c r="AQ11" s="61">
        <f t="shared" ref="AQ11:AQ40" si="27">IFERROR(AO11/AP11,0)</f>
        <v>0</v>
      </c>
      <c r="AR11" s="36" t="e">
        <f>+#REF!+#REF!+#REF!+#REF!+#REF!+#REF!+#REF!+#REF!+#REF!+#REF!+#REF!+#REF!</f>
        <v>#REF!</v>
      </c>
      <c r="AS11" s="27" t="e">
        <f>+#REF!+#REF!+#REF!+#REF!+#REF!+#REF!+#REF!+#REF!+#REF!+#REF!+#REF!+#REF!</f>
        <v>#REF!</v>
      </c>
      <c r="AT11" s="61">
        <f t="shared" ref="AT11:AT40" si="28">IFERROR(AR11/AS11,0)</f>
        <v>0</v>
      </c>
      <c r="AU11" s="36" t="e">
        <f>+#REF!+#REF!+#REF!+#REF!+#REF!+#REF!+#REF!+#REF!+#REF!+#REF!+#REF!+#REF!</f>
        <v>#REF!</v>
      </c>
      <c r="AV11" s="27" t="e">
        <f>+#REF!+#REF!+#REF!+#REF!+#REF!+#REF!+#REF!+#REF!+#REF!+#REF!+#REF!+#REF!</f>
        <v>#REF!</v>
      </c>
      <c r="AW11" s="61">
        <f t="shared" ref="AW11:AW40" si="29">IFERROR(AU11/AV11,0)</f>
        <v>0</v>
      </c>
      <c r="AX11" s="36" t="e">
        <f>+#REF!+#REF!+#REF!+#REF!+#REF!+#REF!+#REF!+#REF!+#REF!+#REF!+#REF!+#REF!</f>
        <v>#REF!</v>
      </c>
      <c r="AY11" s="27" t="e">
        <f>+#REF!+#REF!+#REF!+#REF!+#REF!+#REF!+#REF!+#REF!+#REF!+#REF!+#REF!+#REF!</f>
        <v>#REF!</v>
      </c>
      <c r="AZ11" s="61">
        <f t="shared" ref="AZ11:AZ40" si="30">IFERROR(AX11/AY11,0)</f>
        <v>0</v>
      </c>
      <c r="BA11" s="36" t="e">
        <f>+#REF!+#REF!+#REF!+#REF!+#REF!+#REF!+#REF!+#REF!+#REF!+#REF!+#REF!+#REF!</f>
        <v>#REF!</v>
      </c>
      <c r="BB11" s="27" t="e">
        <f>+#REF!+#REF!+#REF!+#REF!+#REF!+#REF!+#REF!+#REF!+#REF!+#REF!+#REF!+#REF!</f>
        <v>#REF!</v>
      </c>
      <c r="BC11" s="61">
        <f t="shared" ref="BC11:BC40" si="31">IFERROR(BA11/BB11,0)</f>
        <v>0</v>
      </c>
      <c r="BD11" s="36" t="e">
        <f>+#REF!+#REF!+#REF!+#REF!+#REF!+#REF!+#REF!+#REF!+#REF!+#REF!+#REF!+#REF!</f>
        <v>#REF!</v>
      </c>
      <c r="BE11" s="27" t="e">
        <f>+#REF!+#REF!+#REF!+#REF!+#REF!+#REF!+#REF!+#REF!+#REF!+#REF!+#REF!+#REF!</f>
        <v>#REF!</v>
      </c>
      <c r="BF11" s="61">
        <f t="shared" ref="BF11:BF40" si="32">IFERROR(BD11/BE11,0)</f>
        <v>0</v>
      </c>
      <c r="BG11" s="36" t="e">
        <f>+#REF!+#REF!+#REF!+#REF!+#REF!+#REF!+#REF!+#REF!+#REF!+#REF!+#REF!+#REF!</f>
        <v>#REF!</v>
      </c>
      <c r="BH11" s="27" t="e">
        <f>+#REF!+#REF!+#REF!+#REF!+#REF!+#REF!+#REF!+#REF!+#REF!+#REF!+#REF!+#REF!</f>
        <v>#REF!</v>
      </c>
      <c r="BI11" s="61">
        <f t="shared" ref="BI11:BI40" si="33">IFERROR(BG11/BH11,0)</f>
        <v>0</v>
      </c>
      <c r="BJ11" s="36" t="e">
        <f>+#REF!+#REF!+#REF!+#REF!+#REF!+#REF!+#REF!+#REF!+#REF!+#REF!+#REF!+#REF!</f>
        <v>#REF!</v>
      </c>
      <c r="BK11" s="27" t="e">
        <f>+#REF!+#REF!+#REF!+#REF!+#REF!+#REF!+#REF!+#REF!+#REF!+#REF!+#REF!+#REF!</f>
        <v>#REF!</v>
      </c>
      <c r="BL11" s="61">
        <f t="shared" ref="BL11:BL40" si="34">IFERROR(BJ11/BK11,0)</f>
        <v>0</v>
      </c>
      <c r="BM11" s="36" t="e">
        <f>+#REF!+#REF!+#REF!+#REF!+#REF!+#REF!+#REF!+#REF!+#REF!+#REF!+#REF!+#REF!</f>
        <v>#REF!</v>
      </c>
      <c r="BN11" s="27" t="e">
        <f>+#REF!+#REF!+#REF!+#REF!+#REF!+#REF!+#REF!+#REF!+#REF!+#REF!+#REF!+#REF!</f>
        <v>#REF!</v>
      </c>
      <c r="BO11" s="54">
        <f t="shared" ref="BO11:BO40" si="35">IFERROR(BM11/BN11,0)</f>
        <v>0</v>
      </c>
      <c r="BP11" s="26" t="e">
        <f>+#REF!+#REF!+#REF!+#REF!+#REF!+#REF!+#REF!+#REF!+#REF!+#REF!+#REF!+#REF!</f>
        <v>#REF!</v>
      </c>
      <c r="BQ11" s="27" t="e">
        <f>+#REF!+#REF!+#REF!+#REF!+#REF!+#REF!+#REF!+#REF!+#REF!+#REF!+#REF!+#REF!</f>
        <v>#REF!</v>
      </c>
      <c r="BR11" s="61">
        <f t="shared" ref="BR11:BR40" si="36">IFERROR(BP11/BQ11,0)</f>
        <v>0</v>
      </c>
      <c r="BS11" s="26" t="e">
        <f>+#REF!+#REF!+#REF!+#REF!+#REF!+#REF!+#REF!+#REF!+#REF!+#REF!+#REF!+#REF!</f>
        <v>#REF!</v>
      </c>
      <c r="BT11" s="27" t="e">
        <f>+#REF!+#REF!+#REF!+#REF!+#REF!+#REF!+#REF!+#REF!+#REF!+#REF!+#REF!+#REF!</f>
        <v>#REF!</v>
      </c>
      <c r="BU11" s="61">
        <f t="shared" ref="BU11:BU40" si="37">IFERROR(BS11/BT11,0)</f>
        <v>0</v>
      </c>
      <c r="BV11" s="149"/>
      <c r="BW11" s="9" t="e">
        <f>+#REF!+#REF!+#REF!+#REF!+#REF!+#REF!+#REF!+#REF!+#REF!+#REF!+#REF!+#REF!</f>
        <v>#REF!</v>
      </c>
      <c r="BX11" s="5" t="e">
        <f>+#REF!+#REF!+#REF!+#REF!+#REF!+#REF!+#REF!+#REF!+#REF!+#REF!+#REF!+#REF!</f>
        <v>#REF!</v>
      </c>
      <c r="BY11" s="5" t="e">
        <f>+#REF!+#REF!+#REF!+#REF!+#REF!+#REF!+#REF!+#REF!+#REF!+#REF!+#REF!+#REF!</f>
        <v>#REF!</v>
      </c>
      <c r="BZ11" s="5" t="e">
        <f>+#REF!+#REF!+#REF!+#REF!+#REF!+#REF!+#REF!+#REF!+#REF!+#REF!+#REF!+#REF!</f>
        <v>#REF!</v>
      </c>
      <c r="CA11" s="5" t="e">
        <f>+#REF!+#REF!+#REF!+#REF!+#REF!+#REF!+#REF!+#REF!+#REF!+#REF!+#REF!+#REF!</f>
        <v>#REF!</v>
      </c>
      <c r="CB11" s="5" t="e">
        <f t="shared" ref="CB11:CB42" si="38">SUM(BW11:CA11)</f>
        <v>#REF!</v>
      </c>
      <c r="CC11" s="33"/>
      <c r="CD11" s="2683"/>
      <c r="CF11" s="4" t="e">
        <f t="shared" ref="CF11:CF40" si="39">SUM(CN11,CU11,DB11,DI11)</f>
        <v>#REF!</v>
      </c>
      <c r="CG11" s="5" t="e">
        <f t="shared" si="5"/>
        <v>#REF!</v>
      </c>
      <c r="CH11" s="5" t="e">
        <f t="shared" si="5"/>
        <v>#REF!</v>
      </c>
      <c r="CI11" s="5" t="e">
        <f t="shared" si="5"/>
        <v>#REF!</v>
      </c>
      <c r="CJ11" s="5" t="e">
        <f t="shared" si="5"/>
        <v>#REF!</v>
      </c>
      <c r="CK11" s="5" t="e">
        <f t="shared" si="5"/>
        <v>#REF!</v>
      </c>
      <c r="CL11" s="33" t="e">
        <f t="shared" ref="CL11:CL40" si="40">SUM(CF11:CK11)</f>
        <v>#REF!</v>
      </c>
      <c r="CM11" s="2685"/>
      <c r="CN11" s="9" t="e">
        <f>+#REF!+#REF!+#REF!+#REF!+#REF!+#REF!+#REF!+#REF!+#REF!+#REF!+#REF!+#REF!</f>
        <v>#REF!</v>
      </c>
      <c r="CO11" s="5" t="e">
        <f>+#REF!+#REF!+#REF!+#REF!+#REF!+#REF!+#REF!+#REF!+#REF!+#REF!+#REF!+#REF!</f>
        <v>#REF!</v>
      </c>
      <c r="CP11" s="5" t="e">
        <f>+#REF!+#REF!+#REF!+#REF!+#REF!+#REF!+#REF!+#REF!+#REF!+#REF!+#REF!+#REF!</f>
        <v>#REF!</v>
      </c>
      <c r="CQ11" s="5" t="e">
        <f>+#REF!+#REF!+#REF!+#REF!+#REF!+#REF!+#REF!+#REF!+#REF!+#REF!+#REF!+#REF!</f>
        <v>#REF!</v>
      </c>
      <c r="CR11" s="5" t="e">
        <f>+#REF!+#REF!+#REF!+#REF!+#REF!+#REF!+#REF!+#REF!+#REF!+#REF!+#REF!+#REF!</f>
        <v>#REF!</v>
      </c>
      <c r="CS11" s="5" t="e">
        <f>+#REF!+#REF!+#REF!+#REF!+#REF!+#REF!+#REF!+#REF!+#REF!+#REF!+#REF!+#REF!</f>
        <v>#REF!</v>
      </c>
      <c r="CT11" s="28" t="e">
        <f t="shared" ref="CT11:CT40" si="41">SUM(CN11:CS11)</f>
        <v>#REF!</v>
      </c>
      <c r="CU11" s="36" t="e">
        <f>+#REF!+#REF!+#REF!+#REF!+#REF!+#REF!+#REF!+#REF!+#REF!+#REF!+#REF!+#REF!</f>
        <v>#REF!</v>
      </c>
      <c r="CV11" s="27" t="e">
        <f>+#REF!+#REF!+#REF!+#REF!+#REF!+#REF!+#REF!+#REF!+#REF!+#REF!+#REF!+#REF!</f>
        <v>#REF!</v>
      </c>
      <c r="CW11" s="27" t="e">
        <f>+#REF!+#REF!+#REF!+#REF!+#REF!+#REF!+#REF!+#REF!+#REF!+#REF!+#REF!+#REF!</f>
        <v>#REF!</v>
      </c>
      <c r="CX11" s="27" t="e">
        <f>+#REF!+#REF!+#REF!+#REF!+#REF!+#REF!+#REF!+#REF!+#REF!+#REF!+#REF!+#REF!</f>
        <v>#REF!</v>
      </c>
      <c r="CY11" s="27" t="e">
        <f>+#REF!+#REF!+#REF!+#REF!+#REF!+#REF!+#REF!+#REF!+#REF!+#REF!+#REF!+#REF!</f>
        <v>#REF!</v>
      </c>
      <c r="CZ11" s="27" t="e">
        <f>+#REF!+#REF!+#REF!+#REF!+#REF!+#REF!+#REF!+#REF!+#REF!+#REF!+#REF!+#REF!</f>
        <v>#REF!</v>
      </c>
      <c r="DA11" s="28" t="e">
        <f t="shared" ref="DA11:DA40" si="42">SUM(CU11:CZ11)</f>
        <v>#REF!</v>
      </c>
      <c r="DB11" s="36" t="e">
        <f>+#REF!+#REF!+#REF!+#REF!+#REF!+#REF!+#REF!+#REF!+#REF!+#REF!+#REF!+#REF!</f>
        <v>#REF!</v>
      </c>
      <c r="DC11" s="27" t="e">
        <f>+#REF!+#REF!+#REF!+#REF!+#REF!+#REF!+#REF!+#REF!+#REF!+#REF!+#REF!+#REF!</f>
        <v>#REF!</v>
      </c>
      <c r="DD11" s="27" t="e">
        <f>+#REF!+#REF!+#REF!+#REF!+#REF!+#REF!+#REF!+#REF!+#REF!+#REF!+#REF!+#REF!</f>
        <v>#REF!</v>
      </c>
      <c r="DE11" s="27" t="e">
        <f>+#REF!+#REF!+#REF!+#REF!+#REF!+#REF!+#REF!+#REF!+#REF!+#REF!+#REF!+#REF!</f>
        <v>#REF!</v>
      </c>
      <c r="DF11" s="27" t="e">
        <f>+#REF!+#REF!+#REF!+#REF!+#REF!+#REF!+#REF!+#REF!+#REF!+#REF!+#REF!+#REF!</f>
        <v>#REF!</v>
      </c>
      <c r="DG11" s="27" t="e">
        <f>+#REF!+#REF!+#REF!+#REF!+#REF!+#REF!+#REF!+#REF!+#REF!+#REF!+#REF!+#REF!</f>
        <v>#REF!</v>
      </c>
      <c r="DH11" s="28" t="e">
        <f t="shared" ref="DH11:DH40" si="43">SUM(DB11:DG11)</f>
        <v>#REF!</v>
      </c>
      <c r="DI11" s="36" t="e">
        <f>+#REF!+#REF!+#REF!+#REF!+#REF!+#REF!+#REF!+#REF!+#REF!+#REF!+#REF!+#REF!</f>
        <v>#REF!</v>
      </c>
      <c r="DJ11" s="27" t="e">
        <f>+#REF!+#REF!+#REF!+#REF!+#REF!+#REF!+#REF!+#REF!+#REF!+#REF!+#REF!+#REF!</f>
        <v>#REF!</v>
      </c>
      <c r="DK11" s="27" t="e">
        <f>+#REF!+#REF!+#REF!+#REF!+#REF!+#REF!+#REF!+#REF!+#REF!+#REF!+#REF!+#REF!</f>
        <v>#REF!</v>
      </c>
      <c r="DL11" s="27" t="e">
        <f>+#REF!+#REF!+#REF!+#REF!+#REF!+#REF!+#REF!+#REF!+#REF!+#REF!+#REF!+#REF!</f>
        <v>#REF!</v>
      </c>
      <c r="DM11" s="27" t="e">
        <f>+#REF!+#REF!+#REF!+#REF!+#REF!+#REF!+#REF!+#REF!+#REF!+#REF!+#REF!+#REF!</f>
        <v>#REF!</v>
      </c>
      <c r="DN11" s="27" t="e">
        <f>+#REF!+#REF!+#REF!+#REF!+#REF!+#REF!+#REF!+#REF!+#REF!+#REF!+#REF!+#REF!</f>
        <v>#REF!</v>
      </c>
      <c r="DO11" s="33" t="e">
        <f t="shared" ref="DO11:DO40" si="44">SUM(DI11:DN11)</f>
        <v>#REF!</v>
      </c>
      <c r="DP11" s="2685"/>
      <c r="DR11" s="4" t="e">
        <f t="shared" ref="DR11:DR40" si="45">+ED11</f>
        <v>#REF!</v>
      </c>
      <c r="DS11" s="5" t="e">
        <f t="shared" ref="DS11:DS40" si="46">+EK11</f>
        <v>#REF!</v>
      </c>
      <c r="DT11" s="5" t="e">
        <f t="shared" ref="DT11:DT40" si="47">+ER11</f>
        <v>#REF!</v>
      </c>
      <c r="DU11" s="12" t="e">
        <f t="shared" ref="DU11:DU40" si="48">SUM(DR11:DT11)</f>
        <v>#REF!</v>
      </c>
      <c r="DV11" s="33"/>
      <c r="DW11" s="2674"/>
      <c r="DX11" s="9" t="e">
        <f>+#REF!+#REF!+#REF!+#REF!+#REF!+#REF!+#REF!+#REF!+#REF!+#REF!+#REF!+#REF!</f>
        <v>#REF!</v>
      </c>
      <c r="DY11" s="5" t="e">
        <f>+#REF!+#REF!+#REF!+#REF!+#REF!+#REF!+#REF!+#REF!+#REF!+#REF!+#REF!+#REF!</f>
        <v>#REF!</v>
      </c>
      <c r="DZ11" s="5" t="e">
        <f>+#REF!+#REF!+#REF!+#REF!+#REF!+#REF!+#REF!+#REF!+#REF!+#REF!+#REF!+#REF!</f>
        <v>#REF!</v>
      </c>
      <c r="EA11" s="5" t="e">
        <f>+#REF!+#REF!+#REF!+#REF!+#REF!+#REF!+#REF!+#REF!+#REF!+#REF!+#REF!+#REF!</f>
        <v>#REF!</v>
      </c>
      <c r="EB11" s="5" t="e">
        <f>+#REF!+#REF!+#REF!+#REF!+#REF!+#REF!+#REF!+#REF!+#REF!+#REF!+#REF!+#REF!</f>
        <v>#REF!</v>
      </c>
      <c r="EC11" s="27" t="e">
        <f>+#REF!+#REF!+#REF!+#REF!+#REF!+#REF!+#REF!+#REF!+#REF!+#REF!+#REF!+#REF!</f>
        <v>#REF!</v>
      </c>
      <c r="ED11" s="28" t="e">
        <f t="shared" ref="ED11:ED40" si="49">SUM(DX11:EC11)</f>
        <v>#REF!</v>
      </c>
      <c r="EE11" s="36" t="e">
        <f>+#REF!+#REF!+#REF!+#REF!+#REF!+#REF!+#REF!+#REF!+#REF!+#REF!+#REF!+#REF!</f>
        <v>#REF!</v>
      </c>
      <c r="EF11" s="27" t="e">
        <f>+#REF!+#REF!+#REF!+#REF!+#REF!+#REF!+#REF!+#REF!+#REF!+#REF!+#REF!+#REF!</f>
        <v>#REF!</v>
      </c>
      <c r="EG11" s="27" t="e">
        <f>+#REF!+#REF!+#REF!+#REF!+#REF!+#REF!+#REF!+#REF!+#REF!+#REF!+#REF!+#REF!</f>
        <v>#REF!</v>
      </c>
      <c r="EH11" s="27" t="e">
        <f>+#REF!+#REF!+#REF!+#REF!+#REF!+#REF!+#REF!+#REF!+#REF!+#REF!+#REF!+#REF!</f>
        <v>#REF!</v>
      </c>
      <c r="EI11" s="27" t="e">
        <f>+#REF!+#REF!+#REF!+#REF!+#REF!+#REF!+#REF!+#REF!+#REF!+#REF!+#REF!+#REF!</f>
        <v>#REF!</v>
      </c>
      <c r="EJ11" s="27" t="e">
        <f>+#REF!+#REF!+#REF!+#REF!+#REF!+#REF!+#REF!+#REF!+#REF!+#REF!+#REF!+#REF!</f>
        <v>#REF!</v>
      </c>
      <c r="EK11" s="28" t="e">
        <f t="shared" ref="EK11:EK40" si="50">SUM(EE11:EJ11)</f>
        <v>#REF!</v>
      </c>
      <c r="EL11" s="36" t="e">
        <f>+#REF!+#REF!+#REF!+#REF!+#REF!+#REF!+#REF!+#REF!+#REF!+#REF!+#REF!+#REF!</f>
        <v>#REF!</v>
      </c>
      <c r="EM11" s="27" t="e">
        <f>+#REF!+#REF!+#REF!+#REF!+#REF!+#REF!+#REF!+#REF!+#REF!+#REF!+#REF!+#REF!</f>
        <v>#REF!</v>
      </c>
      <c r="EN11" s="27" t="e">
        <f>+#REF!+#REF!+#REF!+#REF!+#REF!+#REF!+#REF!+#REF!+#REF!+#REF!+#REF!+#REF!</f>
        <v>#REF!</v>
      </c>
      <c r="EO11" s="27" t="e">
        <f>+#REF!+#REF!+#REF!+#REF!+#REF!+#REF!+#REF!+#REF!+#REF!+#REF!+#REF!+#REF!</f>
        <v>#REF!</v>
      </c>
      <c r="EP11" s="27" t="e">
        <f>+#REF!+#REF!+#REF!+#REF!+#REF!+#REF!+#REF!+#REF!+#REF!+#REF!+#REF!+#REF!</f>
        <v>#REF!</v>
      </c>
      <c r="EQ11" s="27" t="e">
        <f>+#REF!+#REF!+#REF!+#REF!+#REF!+#REF!+#REF!+#REF!+#REF!+#REF!+#REF!+#REF!</f>
        <v>#REF!</v>
      </c>
      <c r="ER11" s="33" t="e">
        <f t="shared" ref="ER11:ER40" si="51">SUM(EL11:EQ11)</f>
        <v>#REF!</v>
      </c>
      <c r="ES11" s="2674"/>
      <c r="EU11" s="4" t="e">
        <f t="shared" ref="EU11:EU40" si="52">FQ11</f>
        <v>#REF!</v>
      </c>
      <c r="EV11" s="5" t="e">
        <f t="shared" ref="EV11:EV40" si="53">+FZ11</f>
        <v>#REF!</v>
      </c>
      <c r="EW11" s="27" t="e">
        <f t="shared" ref="EW11:EW40" si="54">+GI11</f>
        <v>#REF!</v>
      </c>
      <c r="EX11" s="27" t="e">
        <f t="shared" ref="EX11:EX40" si="55">SUM(EU11:EW11)</f>
        <v>#REF!</v>
      </c>
      <c r="EY11" s="141"/>
      <c r="EZ11" s="141"/>
      <c r="FA11" s="33"/>
      <c r="FB11" s="2667"/>
      <c r="FC11" s="36" t="e">
        <f>+#REF!+#REF!+#REF!+#REF!+#REF!+#REF!+#REF!+#REF!+#REF!+#REF!+#REF!+#REF!</f>
        <v>#REF!</v>
      </c>
      <c r="FD11" s="27" t="e">
        <f>+#REF!+#REF!+#REF!+#REF!+#REF!+#REF!+#REF!+#REF!+#REF!+#REF!+#REF!+#REF!</f>
        <v>#REF!</v>
      </c>
      <c r="FE11" s="27"/>
      <c r="FF11" s="27"/>
      <c r="FG11" s="33" t="e">
        <f t="shared" ref="FG11:FG40" si="56">SUM(FC11:FF11)</f>
        <v>#REF!</v>
      </c>
      <c r="FH11" s="2667"/>
      <c r="FI11" s="36" t="e">
        <f>+#REF!+#REF!+#REF!+#REF!+#REF!+#REF!+#REF!+#REF!+#REF!+#REF!+#REF!+#REF!</f>
        <v>#REF!</v>
      </c>
      <c r="FJ11" s="27" t="e">
        <f>+#REF!+#REF!+#REF!+#REF!+#REF!+#REF!+#REF!+#REF!+#REF!+#REF!+#REF!+#REF!</f>
        <v>#REF!</v>
      </c>
      <c r="FK11" s="27" t="e">
        <f>+#REF!+#REF!+#REF!+#REF!+#REF!+#REF!+#REF!+#REF!+#REF!+#REF!+#REF!+#REF!</f>
        <v>#REF!</v>
      </c>
      <c r="FL11" s="27" t="e">
        <f>+#REF!+#REF!+#REF!+#REF!+#REF!+#REF!+#REF!+#REF!+#REF!+#REF!+#REF!+#REF!</f>
        <v>#REF!</v>
      </c>
      <c r="FM11" s="27" t="e">
        <f>+#REF!+#REF!+#REF!+#REF!+#REF!+#REF!+#REF!+#REF!+#REF!+#REF!+#REF!+#REF!</f>
        <v>#REF!</v>
      </c>
      <c r="FN11" s="27" t="e">
        <f>+#REF!+#REF!+#REF!+#REF!+#REF!+#REF!+#REF!+#REF!+#REF!+#REF!+#REF!+#REF!</f>
        <v>#REF!</v>
      </c>
      <c r="FO11" s="27" t="e">
        <f>+#REF!+#REF!+#REF!+#REF!+#REF!+#REF!+#REF!+#REF!+#REF!+#REF!+#REF!+#REF!</f>
        <v>#REF!</v>
      </c>
      <c r="FP11" s="27" t="e">
        <f>+#REF!+#REF!+#REF!+#REF!+#REF!+#REF!+#REF!+#REF!+#REF!+#REF!+#REF!+#REF!</f>
        <v>#REF!</v>
      </c>
      <c r="FQ11" s="28" t="e">
        <f>SUM(FI11:FP11)</f>
        <v>#REF!</v>
      </c>
      <c r="FR11" s="26" t="e">
        <f>+#REF!+#REF!+#REF!+#REF!+#REF!+#REF!+#REF!+#REF!+#REF!+#REF!+#REF!+#REF!</f>
        <v>#REF!</v>
      </c>
      <c r="FS11" s="27" t="e">
        <f>+#REF!+#REF!+#REF!+#REF!+#REF!+#REF!+#REF!+#REF!+#REF!+#REF!+#REF!+#REF!</f>
        <v>#REF!</v>
      </c>
      <c r="FT11" s="27" t="e">
        <f>+#REF!+#REF!+#REF!+#REF!+#REF!+#REF!+#REF!+#REF!+#REF!+#REF!+#REF!+#REF!</f>
        <v>#REF!</v>
      </c>
      <c r="FU11" s="27" t="e">
        <f>+#REF!+#REF!+#REF!+#REF!+#REF!+#REF!+#REF!+#REF!+#REF!+#REF!+#REF!+#REF!</f>
        <v>#REF!</v>
      </c>
      <c r="FV11" s="27" t="e">
        <f>+#REF!+#REF!+#REF!+#REF!+#REF!+#REF!+#REF!+#REF!+#REF!+#REF!+#REF!+#REF!</f>
        <v>#REF!</v>
      </c>
      <c r="FW11" s="27" t="e">
        <f>+#REF!+#REF!+#REF!+#REF!+#REF!+#REF!+#REF!+#REF!+#REF!+#REF!+#REF!+#REF!</f>
        <v>#REF!</v>
      </c>
      <c r="FX11" s="27" t="e">
        <f>+#REF!+#REF!+#REF!+#REF!+#REF!+#REF!+#REF!+#REF!+#REF!+#REF!+#REF!+#REF!</f>
        <v>#REF!</v>
      </c>
      <c r="FY11" s="27" t="e">
        <f>+#REF!+#REF!+#REF!+#REF!+#REF!+#REF!+#REF!+#REF!+#REF!+#REF!+#REF!+#REF!</f>
        <v>#REF!</v>
      </c>
      <c r="FZ11" s="28" t="e">
        <f t="shared" ref="FZ11:FZ42" si="57">SUM(FR11:FY11)</f>
        <v>#REF!</v>
      </c>
      <c r="GA11" s="36" t="e">
        <f>+#REF!+#REF!+#REF!+#REF!+#REF!+#REF!+#REF!+#REF!+#REF!+#REF!+#REF!+#REF!</f>
        <v>#REF!</v>
      </c>
      <c r="GB11" s="27" t="e">
        <f>+#REF!+#REF!+#REF!+#REF!+#REF!+#REF!+#REF!+#REF!+#REF!+#REF!+#REF!+#REF!</f>
        <v>#REF!</v>
      </c>
      <c r="GC11" s="27" t="e">
        <f>+#REF!+#REF!+#REF!+#REF!+#REF!+#REF!+#REF!+#REF!+#REF!+#REF!+#REF!+#REF!</f>
        <v>#REF!</v>
      </c>
      <c r="GD11" s="27" t="e">
        <f>+#REF!+#REF!+#REF!+#REF!+#REF!+#REF!+#REF!+#REF!+#REF!+#REF!+#REF!+#REF!</f>
        <v>#REF!</v>
      </c>
      <c r="GE11" s="27" t="e">
        <f>+#REF!+#REF!+#REF!+#REF!+#REF!+#REF!+#REF!+#REF!+#REF!+#REF!+#REF!+#REF!</f>
        <v>#REF!</v>
      </c>
      <c r="GF11" s="27" t="e">
        <f>+#REF!+#REF!+#REF!+#REF!+#REF!+#REF!+#REF!+#REF!+#REF!+#REF!+#REF!+#REF!</f>
        <v>#REF!</v>
      </c>
      <c r="GG11" s="27" t="e">
        <f>+#REF!+#REF!+#REF!+#REF!+#REF!+#REF!+#REF!+#REF!+#REF!+#REF!+#REF!+#REF!</f>
        <v>#REF!</v>
      </c>
      <c r="GH11" s="27" t="e">
        <f>+#REF!+#REF!+#REF!+#REF!+#REF!+#REF!+#REF!+#REF!+#REF!+#REF!+#REF!+#REF!</f>
        <v>#REF!</v>
      </c>
      <c r="GI11" s="33" t="e">
        <f t="shared" ref="GI11:GI42" si="58">SUM(GA11:GH11)</f>
        <v>#REF!</v>
      </c>
      <c r="GJ11" s="2667"/>
      <c r="GL11" s="26" t="e">
        <f>+#REF!+#REF!+#REF!+#REF!+#REF!+#REF!+#REF!+#REF!+#REF!+#REF!+#REF!+#REF!</f>
        <v>#REF!</v>
      </c>
      <c r="GM11" s="36" t="e">
        <f>+#REF!+#REF!+#REF!+#REF!+#REF!+#REF!+#REF!+#REF!+#REF!+#REF!+#REF!+#REF!</f>
        <v>#REF!</v>
      </c>
      <c r="GN11" s="27" t="e">
        <f>+#REF!+#REF!+#REF!+#REF!+#REF!+#REF!+#REF!+#REF!+#REF!+#REF!+#REF!+#REF!</f>
        <v>#REF!</v>
      </c>
      <c r="GO11" s="27" t="e">
        <f t="shared" ref="GO11:GO40" si="59">+GL11+GN11+GM11</f>
        <v>#REF!</v>
      </c>
      <c r="GP11" s="33"/>
      <c r="GQ11" s="2669"/>
      <c r="GR11" s="69"/>
      <c r="GS11" s="70"/>
      <c r="GT11" s="70"/>
      <c r="GU11" s="70"/>
      <c r="GV11" s="70"/>
      <c r="GW11" s="70"/>
      <c r="GX11" s="70"/>
      <c r="GY11" s="71"/>
      <c r="GZ11" s="69"/>
      <c r="HA11" s="70"/>
      <c r="HB11" s="70"/>
      <c r="HC11" s="70"/>
      <c r="HD11" s="70"/>
      <c r="HE11" s="70"/>
      <c r="HF11" s="70"/>
      <c r="HG11" s="71"/>
      <c r="HH11" s="69"/>
      <c r="HI11" s="70"/>
      <c r="HJ11" s="70"/>
      <c r="HK11" s="70"/>
      <c r="HL11" s="70"/>
      <c r="HM11" s="70"/>
      <c r="HN11" s="70"/>
      <c r="HO11" s="70"/>
      <c r="HP11" s="33"/>
      <c r="HQ11" s="2669"/>
      <c r="HR11" s="36"/>
      <c r="HS11" s="53"/>
      <c r="HT11" s="53"/>
      <c r="HU11" s="53"/>
      <c r="HV11" s="61"/>
      <c r="HW11" s="36"/>
      <c r="HX11" s="53"/>
      <c r="HY11" s="53"/>
      <c r="HZ11" s="53"/>
      <c r="IA11" s="61"/>
      <c r="IB11" s="36"/>
      <c r="IC11" s="53"/>
      <c r="ID11" s="53"/>
      <c r="IE11" s="53"/>
      <c r="IF11" s="53"/>
      <c r="IG11" s="33"/>
      <c r="IH11" s="2669"/>
      <c r="IJ11" s="26" t="e">
        <f t="shared" ref="IJ11:IJ40" si="60">SUM(IU11,JA11,JL11,JR11+JF11)</f>
        <v>#REF!</v>
      </c>
      <c r="IK11" s="36" t="e">
        <f t="shared" si="6"/>
        <v>#REF!</v>
      </c>
      <c r="IL11" s="27" t="e">
        <f t="shared" si="6"/>
        <v>#REF!</v>
      </c>
      <c r="IM11" s="28" t="e">
        <f t="shared" ref="IM11:IM40" si="61">SUM(IJ11:IL11)</f>
        <v>#REF!</v>
      </c>
      <c r="IN11" s="36"/>
      <c r="IO11" s="27"/>
      <c r="IP11" s="27"/>
      <c r="IQ11" s="33"/>
      <c r="IR11" s="55"/>
      <c r="IS11" s="21"/>
      <c r="IT11" s="2688"/>
      <c r="IU11" s="36" t="e">
        <f>+#REF!+#REF!+#REF!+#REF!+#REF!+#REF!+#REF!+#REF!+#REF!+#REF!+#REF!+#REF!</f>
        <v>#REF!</v>
      </c>
      <c r="IV11" s="36" t="e">
        <f>+#REF!+#REF!+#REF!+#REF!+#REF!+#REF!+#REF!+#REF!+#REF!+#REF!+#REF!+#REF!</f>
        <v>#REF!</v>
      </c>
      <c r="IW11" s="27" t="e">
        <f>+#REF!+#REF!+#REF!+#REF!+#REF!+#REF!+#REF!+#REF!+#REF!+#REF!+#REF!+#REF!</f>
        <v>#REF!</v>
      </c>
      <c r="IX11" s="27" t="e">
        <f>+#REF!+#REF!+#REF!+#REF!+#REF!+#REF!+#REF!+#REF!+#REF!+#REF!+#REF!+#REF!</f>
        <v>#REF!</v>
      </c>
      <c r="IY11" s="27" t="e">
        <f>+#REF!+#REF!+#REF!+#REF!+#REF!+#REF!+#REF!+#REF!+#REF!+#REF!+#REF!+#REF!</f>
        <v>#REF!</v>
      </c>
      <c r="IZ11" s="28" t="e">
        <f t="shared" ref="IZ11:IZ40" si="62">SUM(IU11:IY11)</f>
        <v>#REF!</v>
      </c>
      <c r="JA11" s="26" t="e">
        <f>+#REF!+#REF!+#REF!+#REF!+#REF!+#REF!+#REF!+#REF!+#REF!+#REF!+#REF!+#REF!</f>
        <v>#REF!</v>
      </c>
      <c r="JB11" s="36" t="e">
        <f>+#REF!+#REF!+#REF!+#REF!+#REF!+#REF!+#REF!+#REF!+#REF!+#REF!+#REF!+#REF!</f>
        <v>#REF!</v>
      </c>
      <c r="JC11" s="27" t="e">
        <f>+#REF!+#REF!+#REF!+#REF!+#REF!+#REF!+#REF!+#REF!+#REF!+#REF!+#REF!+#REF!</f>
        <v>#REF!</v>
      </c>
      <c r="JD11" s="27" t="e">
        <f>+#REF!+#REF!+#REF!+#REF!+#REF!+#REF!+#REF!+#REF!+#REF!+#REF!+#REF!+#REF!</f>
        <v>#REF!</v>
      </c>
      <c r="JE11" s="28" t="e">
        <f>+#REF!+#REF!+#REF!+#REF!+#REF!+#REF!+#REF!+#REF!+#REF!+#REF!+#REF!+#REF!</f>
        <v>#REF!</v>
      </c>
      <c r="JF11" s="26" t="e">
        <f>+#REF!+#REF!+#REF!+#REF!+#REF!+#REF!+#REF!+#REF!+#REF!+#REF!+#REF!+#REF!</f>
        <v>#REF!</v>
      </c>
      <c r="JG11" s="36" t="e">
        <f>+#REF!+#REF!+#REF!+#REF!+#REF!+#REF!+#REF!+#REF!+#REF!+#REF!+#REF!+#REF!</f>
        <v>#REF!</v>
      </c>
      <c r="JH11" s="27" t="e">
        <f>+#REF!+#REF!+#REF!+#REF!+#REF!+#REF!+#REF!+#REF!+#REF!+#REF!+#REF!+#REF!</f>
        <v>#REF!</v>
      </c>
      <c r="JI11" s="27" t="e">
        <f>+#REF!+#REF!+#REF!+#REF!+#REF!+#REF!+#REF!+#REF!+#REF!+#REF!+#REF!+#REF!</f>
        <v>#REF!</v>
      </c>
      <c r="JJ11" s="27" t="e">
        <f>+#REF!+#REF!+#REF!+#REF!+#REF!+#REF!+#REF!+#REF!+#REF!+#REF!+#REF!+#REF!</f>
        <v>#REF!</v>
      </c>
      <c r="JK11" s="28" t="e">
        <f t="shared" ref="JK11:JK40" si="63">SUM(JF11:JJ11)</f>
        <v>#REF!</v>
      </c>
      <c r="JL11" s="26" t="e">
        <f>+#REF!+#REF!+#REF!+#REF!+#REF!+#REF!+#REF!+#REF!+#REF!+#REF!+#REF!+#REF!</f>
        <v>#REF!</v>
      </c>
      <c r="JM11" s="36" t="e">
        <f>+#REF!+#REF!+#REF!+#REF!+#REF!+#REF!+#REF!+#REF!+#REF!+#REF!+#REF!+#REF!</f>
        <v>#REF!</v>
      </c>
      <c r="JN11" s="27" t="e">
        <f>+#REF!+#REF!+#REF!+#REF!+#REF!+#REF!+#REF!+#REF!+#REF!+#REF!+#REF!+#REF!</f>
        <v>#REF!</v>
      </c>
      <c r="JO11" s="27" t="e">
        <f>+#REF!+#REF!+#REF!+#REF!+#REF!+#REF!+#REF!+#REF!+#REF!+#REF!+#REF!+#REF!</f>
        <v>#REF!</v>
      </c>
      <c r="JP11" s="28" t="e">
        <f>+#REF!+#REF!+#REF!+#REF!+#REF!+#REF!+#REF!+#REF!+#REF!+#REF!+#REF!+#REF!</f>
        <v>#REF!</v>
      </c>
      <c r="JQ11" s="275" t="e">
        <f t="shared" ref="JQ11:JQ40" si="64">SUM(JL11:JP11)</f>
        <v>#REF!</v>
      </c>
      <c r="JR11" s="36" t="e">
        <f>+#REF!+#REF!+#REF!+#REF!+#REF!+#REF!+#REF!+#REF!+#REF!+#REF!+#REF!+#REF!</f>
        <v>#REF!</v>
      </c>
      <c r="JS11" s="36" t="e">
        <f>+#REF!+#REF!+#REF!+#REF!+#REF!+#REF!+#REF!+#REF!+#REF!+#REF!+#REF!+#REF!</f>
        <v>#REF!</v>
      </c>
      <c r="JT11" s="27" t="e">
        <f>+#REF!+#REF!+#REF!+#REF!+#REF!+#REF!+#REF!+#REF!+#REF!+#REF!+#REF!+#REF!</f>
        <v>#REF!</v>
      </c>
      <c r="JU11" s="27" t="e">
        <f>+#REF!+#REF!+#REF!+#REF!+#REF!+#REF!+#REF!+#REF!+#REF!+#REF!+#REF!+#REF!</f>
        <v>#REF!</v>
      </c>
      <c r="JV11" s="27" t="e">
        <f>+#REF!+#REF!+#REF!+#REF!+#REF!+#REF!+#REF!+#REF!+#REF!+#REF!+#REF!+#REF!</f>
        <v>#REF!</v>
      </c>
      <c r="JW11" s="33" t="e">
        <f t="shared" ref="JW11:JW40" si="65">SUM(JR11:JV11)</f>
        <v>#REF!</v>
      </c>
      <c r="JX11" s="2688"/>
      <c r="JZ11" s="26" t="e">
        <f t="shared" ref="JZ11:JZ40" si="66">+KH11</f>
        <v>#REF!</v>
      </c>
      <c r="KA11" s="27" t="e">
        <f t="shared" ref="KA11:KA40" si="67">+SUM(KO11,KV11,LC11,LJ11,LQ11)</f>
        <v>#REF!</v>
      </c>
      <c r="KB11" s="27" t="e">
        <f t="shared" ref="KB11:KB40" si="68">+LW11</f>
        <v>#REF!</v>
      </c>
      <c r="KC11" s="33" t="e">
        <f t="shared" ref="KC11:KC42" si="69">+KC10+MC11-FP11</f>
        <v>#REF!</v>
      </c>
      <c r="KD11" s="2621"/>
      <c r="KE11" s="36" t="e">
        <f t="shared" si="7"/>
        <v>#REF!</v>
      </c>
      <c r="KF11" s="36" t="e">
        <f t="shared" si="7"/>
        <v>#REF!</v>
      </c>
      <c r="KG11" s="27" t="e">
        <f t="shared" si="7"/>
        <v>#REF!</v>
      </c>
      <c r="KH11" s="28" t="e">
        <f>SUM(KE11:KG11)</f>
        <v>#REF!</v>
      </c>
      <c r="KI11" s="36" t="e">
        <f>+KI10+DB11-FI11</f>
        <v>#REF!</v>
      </c>
      <c r="KJ11" s="27" t="e">
        <f t="shared" si="8"/>
        <v>#REF!</v>
      </c>
      <c r="KK11" s="27" t="e">
        <f t="shared" si="8"/>
        <v>#REF!</v>
      </c>
      <c r="KL11" s="27" t="e">
        <f t="shared" si="8"/>
        <v>#REF!</v>
      </c>
      <c r="KM11" s="27" t="e">
        <f t="shared" si="8"/>
        <v>#REF!</v>
      </c>
      <c r="KN11" s="27" t="e">
        <f t="shared" si="8"/>
        <v>#REF!</v>
      </c>
      <c r="KO11" s="28" t="e">
        <f>SUM(KI11:KN11)</f>
        <v>#REF!</v>
      </c>
      <c r="KP11" s="36" t="e">
        <f t="shared" si="9"/>
        <v>#REF!</v>
      </c>
      <c r="KQ11" s="27" t="e">
        <f t="shared" si="9"/>
        <v>#REF!</v>
      </c>
      <c r="KR11" s="27" t="e">
        <f t="shared" si="9"/>
        <v>#REF!</v>
      </c>
      <c r="KS11" s="27" t="e">
        <f t="shared" si="9"/>
        <v>#REF!</v>
      </c>
      <c r="KT11" s="27" t="e">
        <f t="shared" si="9"/>
        <v>#REF!</v>
      </c>
      <c r="KU11" s="27" t="e">
        <f t="shared" si="9"/>
        <v>#REF!</v>
      </c>
      <c r="KV11" s="28" t="e">
        <f>SUM(KP11:KU11)</f>
        <v>#REF!</v>
      </c>
      <c r="KW11" s="36" t="e">
        <f t="shared" si="10"/>
        <v>#REF!</v>
      </c>
      <c r="KX11" s="27" t="e">
        <f t="shared" si="10"/>
        <v>#REF!</v>
      </c>
      <c r="KY11" s="53" t="e">
        <f t="shared" si="10"/>
        <v>#REF!</v>
      </c>
      <c r="KZ11" s="27" t="e">
        <f t="shared" si="10"/>
        <v>#REF!</v>
      </c>
      <c r="LA11" s="27" t="e">
        <f t="shared" si="10"/>
        <v>#REF!</v>
      </c>
      <c r="LB11" s="27" t="e">
        <f t="shared" si="10"/>
        <v>#REF!</v>
      </c>
      <c r="LC11" s="28" t="e">
        <f>SUM(KW11:LB11)</f>
        <v>#REF!</v>
      </c>
      <c r="LD11" s="36"/>
      <c r="LE11" s="27"/>
      <c r="LF11" s="27"/>
      <c r="LG11" s="27"/>
      <c r="LH11" s="27"/>
      <c r="LI11" s="27"/>
      <c r="LJ11" s="28">
        <f t="shared" ref="LJ11:LJ40" si="70">SUM(LD11:LI11)</f>
        <v>0</v>
      </c>
      <c r="LK11" s="36" t="e">
        <f t="shared" si="11"/>
        <v>#REF!</v>
      </c>
      <c r="LL11" s="27" t="e">
        <f t="shared" si="11"/>
        <v>#REF!</v>
      </c>
      <c r="LM11" s="27" t="e">
        <f t="shared" si="11"/>
        <v>#REF!</v>
      </c>
      <c r="LN11" s="27" t="e">
        <f t="shared" si="11"/>
        <v>#REF!</v>
      </c>
      <c r="LO11" s="27" t="e">
        <f t="shared" si="11"/>
        <v>#REF!</v>
      </c>
      <c r="LP11" s="27" t="e">
        <f t="shared" si="11"/>
        <v>#REF!</v>
      </c>
      <c r="LQ11" s="33" t="e">
        <f t="shared" ref="LQ11:LQ40" si="71">SUM(LK11:LP11)</f>
        <v>#REF!</v>
      </c>
      <c r="LR11" s="2621"/>
      <c r="LT11" s="4" t="e">
        <f>+#REF!+#REF!+#REF!+#REF!+#REF!+#REF!+#REF!+#REF!+#REF!+#REF!+#REF!+#REF!</f>
        <v>#REF!</v>
      </c>
      <c r="LU11" s="5" t="e">
        <f>+#REF!+#REF!+#REF!+#REF!+#REF!+#REF!+#REF!+#REF!+#REF!+#REF!+#REF!+#REF!</f>
        <v>#REF!</v>
      </c>
      <c r="LV11" s="5" t="e">
        <f t="shared" ref="LV11:LV40" si="72">+FO11</f>
        <v>#REF!</v>
      </c>
      <c r="LW11" s="12" t="e">
        <f>+LW10+LU11-LV11</f>
        <v>#REF!</v>
      </c>
      <c r="LX11" s="15"/>
      <c r="LY11" s="2615"/>
      <c r="MA11" s="4" t="e">
        <f>+#REF!+#REF!+#REF!+#REF!+#REF!+#REF!+#REF!+#REF!+#REF!+#REF!+#REF!+#REF!</f>
        <v>#REF!</v>
      </c>
      <c r="MB11" s="5" t="e">
        <f t="shared" ref="MB11:MB40" si="73">+LT11</f>
        <v>#REF!</v>
      </c>
      <c r="MC11" s="5" t="e">
        <f>+#REF!+#REF!+#REF!+#REF!+#REF!+#REF!+#REF!+#REF!+#REF!+#REF!+#REF!+#REF!</f>
        <v>#REF!</v>
      </c>
      <c r="MD11" s="5" t="e">
        <f t="shared" ref="MD11:MD40" si="74">+FP11+FY11+GH11</f>
        <v>#REF!</v>
      </c>
      <c r="ME11" s="12" t="e">
        <f t="shared" ref="ME11:ME40" si="75">+ME10+MA11-MB11-MC11-MD11</f>
        <v>#REF!</v>
      </c>
      <c r="MF11" s="12"/>
      <c r="MG11" s="2615"/>
      <c r="MI11" s="139" t="e">
        <f t="shared" ref="MI11:MI40" si="76">IF(GL11=0,"",(IFERROR(IF(1-ABS(1-(GR11/GR$43))&lt;0,0,1-ABS(1-(GR11/GR$43))),0)*GR$43)+(IFERROR(IF(1-ABS(1-(GS11/GS$43))&lt;0,0,1-ABS(1-(GS11/GS$43))),0)*GS$43)+(IFERROR(IF(1-ABS(1-(GT11/GT$43))&lt;0,0,1-ABS(1-(GT11/GT$43))),0)*GT$43)+(IFERROR(IF(1-ABS(1-(GU11/GU$43))&lt;0,0,1-ABS(1-(GU11/GU$43))),0)*GU$43)+(IFERROR(IF(1-ABS(1-(GV11/GV$43))&lt;0,0,1-ABS(1-(GV11/GV$43))),0)*GV$43)+(IFERROR(IF(1-ABS(1-(GW11/GW$43))&lt;0,0,1-ABS(1-(GW11/GW$43))),0)*GW$43)+(IFERROR(IF(1-ABS(1-(GX11/GX$43))&lt;0,0,1-ABS(1-(GX11/GX$43))),0)*GX$43)+(IFERROR(IF(1-ABS(1-(GY11/GY$43))&lt;0,0,1-ABS(1-(GY11/GY$43))),0)*GY$43))</f>
        <v>#REF!</v>
      </c>
      <c r="MJ11" s="139" t="e">
        <f t="shared" ref="MJ11:MJ40" si="77">IF(GN11=0,"",(IFERROR(IF(1-ABS(1-(HH11/HH$43))&lt;0,0,1-ABS(1-(HH11/HH$43))),0)*HH$43)+(IFERROR(IF(1-ABS(1-(HI11/HI$43))&lt;0,0,1-ABS(1-(HI11/HI$43))),0)*HI$43)+(IFERROR(IF(1-ABS(1-(HJ11/HJ$43))&lt;0,0,1-ABS(1-(HJ11/HJ$43))),0)*HJ$43)+(IFERROR(IF(1-ABS(1-(HK11/HK$43))&lt;0,0,1-ABS(1-(HK11/HK$43))),0)*HK$43)+(IFERROR(IF(1-ABS(1-(HL11/HL$43))&lt;0,0,1-ABS(1-(HL11/HL$43))),0)*HL$43)+(IFERROR(IF(1-ABS(1-(HM11/HM$43))&lt;0,0,1-ABS(1-(HM11/HM$43))),0)*HM$43)+(IFERROR(IF(1-ABS(1-(HN11/HN$43))&lt;0,0,1-ABS(1-(HN11/HN$43))),0)*HN$43)+(IFERROR(IF(1-ABS(1-(HO11/HO$43))&lt;0,0,1-ABS(1-(HO11/HO$43))),0)*HO$43))</f>
        <v>#REF!</v>
      </c>
      <c r="ML11" s="139" t="e">
        <f t="shared" ref="ML11:ML40" si="78">IF(GO11&gt;0,SUMPRODUCT(MO11:MT11,$GR$43:$GW$43),"")</f>
        <v>#REF!</v>
      </c>
      <c r="MM11" s="139" t="e">
        <f t="shared" ref="MM11:MM40" si="79">IF(GO11&gt;0,SUMPRODUCT(MV11:NA11,$HH$43:$HM$43),"")</f>
        <v>#REF!</v>
      </c>
      <c r="MO11" s="1">
        <f t="shared" si="12"/>
        <v>0</v>
      </c>
      <c r="MP11" s="1">
        <f t="shared" si="12"/>
        <v>0</v>
      </c>
      <c r="MQ11" s="1">
        <f>IF(KR$43=0,0,IF(SUM(KR11,KY11)-KR$8-KY$8&gt;KR$43,1,(SUM(KR11,KY11)-KR$8-KY$8)/KR$43))</f>
        <v>0</v>
      </c>
      <c r="MR11" s="1">
        <f t="shared" si="12"/>
        <v>0</v>
      </c>
      <c r="MS11" s="1">
        <f t="shared" si="12"/>
        <v>0</v>
      </c>
      <c r="MT11" s="1">
        <f t="shared" si="12"/>
        <v>0</v>
      </c>
      <c r="MV11" s="1">
        <f t="shared" si="13"/>
        <v>0</v>
      </c>
      <c r="MW11" s="1">
        <f t="shared" si="13"/>
        <v>0</v>
      </c>
      <c r="MX11" s="1">
        <f t="shared" si="13"/>
        <v>0</v>
      </c>
      <c r="MY11" s="1">
        <f t="shared" si="13"/>
        <v>0</v>
      </c>
      <c r="MZ11" s="1">
        <f t="shared" si="13"/>
        <v>0</v>
      </c>
      <c r="NA11" s="1">
        <f t="shared" si="13"/>
        <v>0</v>
      </c>
    </row>
    <row r="12" spans="2:365" s="1" customFormat="1">
      <c r="B12" s="46">
        <v>3</v>
      </c>
      <c r="C12" s="4" t="e">
        <f t="shared" si="0"/>
        <v>#REF!</v>
      </c>
      <c r="D12" s="5" t="e">
        <f t="shared" si="1"/>
        <v>#REF!</v>
      </c>
      <c r="E12" s="61">
        <f t="shared" si="14"/>
        <v>0</v>
      </c>
      <c r="F12" s="52"/>
      <c r="G12" s="53"/>
      <c r="H12" s="53"/>
      <c r="I12" s="54"/>
      <c r="J12" s="2629"/>
      <c r="K12" s="9" t="e">
        <f t="shared" si="15"/>
        <v>#REF!</v>
      </c>
      <c r="L12" s="5" t="e">
        <f t="shared" si="2"/>
        <v>#REF!</v>
      </c>
      <c r="M12" s="64">
        <f t="shared" si="16"/>
        <v>0</v>
      </c>
      <c r="N12" s="28"/>
      <c r="O12" s="36" t="e">
        <f t="shared" si="17"/>
        <v>#REF!</v>
      </c>
      <c r="P12" s="27" t="e">
        <f t="shared" si="17"/>
        <v>#REF!</v>
      </c>
      <c r="Q12" s="53">
        <f t="shared" si="18"/>
        <v>0</v>
      </c>
      <c r="R12" s="28"/>
      <c r="S12" s="36" t="e">
        <f t="shared" si="19"/>
        <v>#REF!</v>
      </c>
      <c r="T12" s="27" t="e">
        <f t="shared" si="19"/>
        <v>#REF!</v>
      </c>
      <c r="U12" s="53">
        <f t="shared" si="3"/>
        <v>0</v>
      </c>
      <c r="V12" s="28"/>
      <c r="W12" s="36" t="e">
        <f t="shared" si="20"/>
        <v>#REF!</v>
      </c>
      <c r="X12" s="27" t="e">
        <f t="shared" si="4"/>
        <v>#REF!</v>
      </c>
      <c r="Y12" s="53">
        <f t="shared" si="21"/>
        <v>0</v>
      </c>
      <c r="Z12" s="28"/>
      <c r="AA12" s="26" t="e">
        <f t="shared" si="22"/>
        <v>#REF!</v>
      </c>
      <c r="AB12" s="27" t="e">
        <f t="shared" si="22"/>
        <v>#REF!</v>
      </c>
      <c r="AC12" s="53">
        <f t="shared" si="23"/>
        <v>0</v>
      </c>
      <c r="AD12" s="33"/>
      <c r="AE12" s="2629"/>
      <c r="AF12" s="9" t="e">
        <f>+#REF!+#REF!+#REF!+#REF!+#REF!+#REF!+#REF!+#REF!+#REF!+#REF!+#REF!+#REF!</f>
        <v>#REF!</v>
      </c>
      <c r="AG12" s="5" t="e">
        <f>+#REF!+#REF!+#REF!+#REF!+#REF!+#REF!+#REF!+#REF!+#REF!+#REF!+#REF!+#REF!</f>
        <v>#REF!</v>
      </c>
      <c r="AH12" s="61">
        <f t="shared" si="24"/>
        <v>0</v>
      </c>
      <c r="AI12" s="36" t="e">
        <f>+#REF!+#REF!+#REF!+#REF!+#REF!+#REF!+#REF!+#REF!+#REF!+#REF!+#REF!+#REF!</f>
        <v>#REF!</v>
      </c>
      <c r="AJ12" s="27" t="e">
        <f>+#REF!+#REF!+#REF!+#REF!+#REF!+#REF!+#REF!+#REF!+#REF!+#REF!+#REF!+#REF!</f>
        <v>#REF!</v>
      </c>
      <c r="AK12" s="61">
        <f t="shared" si="25"/>
        <v>0</v>
      </c>
      <c r="AL12" s="36" t="e">
        <f>+#REF!+#REF!+#REF!+#REF!+#REF!+#REF!+#REF!+#REF!+#REF!+#REF!+#REF!+#REF!</f>
        <v>#REF!</v>
      </c>
      <c r="AM12" s="27" t="e">
        <f>+#REF!+#REF!+#REF!+#REF!+#REF!+#REF!+#REF!+#REF!+#REF!+#REF!+#REF!+#REF!</f>
        <v>#REF!</v>
      </c>
      <c r="AN12" s="61">
        <f t="shared" si="26"/>
        <v>0</v>
      </c>
      <c r="AO12" s="36" t="e">
        <f>+#REF!+#REF!+#REF!+#REF!+#REF!+#REF!+#REF!+#REF!+#REF!+#REF!+#REF!+#REF!</f>
        <v>#REF!</v>
      </c>
      <c r="AP12" s="27" t="e">
        <f>+#REF!+#REF!+#REF!+#REF!+#REF!+#REF!+#REF!+#REF!+#REF!+#REF!+#REF!+#REF!</f>
        <v>#REF!</v>
      </c>
      <c r="AQ12" s="61">
        <f t="shared" si="27"/>
        <v>0</v>
      </c>
      <c r="AR12" s="36" t="e">
        <f>+#REF!+#REF!+#REF!+#REF!+#REF!+#REF!+#REF!+#REF!+#REF!+#REF!+#REF!+#REF!</f>
        <v>#REF!</v>
      </c>
      <c r="AS12" s="27" t="e">
        <f>+#REF!+#REF!+#REF!+#REF!+#REF!+#REF!+#REF!+#REF!+#REF!+#REF!+#REF!+#REF!</f>
        <v>#REF!</v>
      </c>
      <c r="AT12" s="61">
        <f t="shared" si="28"/>
        <v>0</v>
      </c>
      <c r="AU12" s="36" t="e">
        <f>+#REF!+#REF!+#REF!+#REF!+#REF!+#REF!+#REF!+#REF!+#REF!+#REF!+#REF!+#REF!</f>
        <v>#REF!</v>
      </c>
      <c r="AV12" s="27" t="e">
        <f>+#REF!+#REF!+#REF!+#REF!+#REF!+#REF!+#REF!+#REF!+#REF!+#REF!+#REF!+#REF!</f>
        <v>#REF!</v>
      </c>
      <c r="AW12" s="61">
        <f t="shared" si="29"/>
        <v>0</v>
      </c>
      <c r="AX12" s="36" t="e">
        <f>+#REF!+#REF!+#REF!+#REF!+#REF!+#REF!+#REF!+#REF!+#REF!+#REF!+#REF!+#REF!</f>
        <v>#REF!</v>
      </c>
      <c r="AY12" s="27" t="e">
        <f>+#REF!+#REF!+#REF!+#REF!+#REF!+#REF!+#REF!+#REF!+#REF!+#REF!+#REF!+#REF!</f>
        <v>#REF!</v>
      </c>
      <c r="AZ12" s="61">
        <f t="shared" si="30"/>
        <v>0</v>
      </c>
      <c r="BA12" s="36" t="e">
        <f>+#REF!+#REF!+#REF!+#REF!+#REF!+#REF!+#REF!+#REF!+#REF!+#REF!+#REF!+#REF!</f>
        <v>#REF!</v>
      </c>
      <c r="BB12" s="27" t="e">
        <f>+#REF!+#REF!+#REF!+#REF!+#REF!+#REF!+#REF!+#REF!+#REF!+#REF!+#REF!+#REF!</f>
        <v>#REF!</v>
      </c>
      <c r="BC12" s="61">
        <f t="shared" si="31"/>
        <v>0</v>
      </c>
      <c r="BD12" s="36" t="e">
        <f>+#REF!+#REF!+#REF!+#REF!+#REF!+#REF!+#REF!+#REF!+#REF!+#REF!+#REF!+#REF!</f>
        <v>#REF!</v>
      </c>
      <c r="BE12" s="27" t="e">
        <f>+#REF!+#REF!+#REF!+#REF!+#REF!+#REF!+#REF!+#REF!+#REF!+#REF!+#REF!+#REF!</f>
        <v>#REF!</v>
      </c>
      <c r="BF12" s="61">
        <f t="shared" si="32"/>
        <v>0</v>
      </c>
      <c r="BG12" s="36" t="e">
        <f>+#REF!+#REF!+#REF!+#REF!+#REF!+#REF!+#REF!+#REF!+#REF!+#REF!+#REF!+#REF!</f>
        <v>#REF!</v>
      </c>
      <c r="BH12" s="27" t="e">
        <f>+#REF!+#REF!+#REF!+#REF!+#REF!+#REF!+#REF!+#REF!+#REF!+#REF!+#REF!+#REF!</f>
        <v>#REF!</v>
      </c>
      <c r="BI12" s="61">
        <f t="shared" si="33"/>
        <v>0</v>
      </c>
      <c r="BJ12" s="36" t="e">
        <f>+#REF!+#REF!+#REF!+#REF!+#REF!+#REF!+#REF!+#REF!+#REF!+#REF!+#REF!+#REF!</f>
        <v>#REF!</v>
      </c>
      <c r="BK12" s="27" t="e">
        <f>+#REF!+#REF!+#REF!+#REF!+#REF!+#REF!+#REF!+#REF!+#REF!+#REF!+#REF!+#REF!</f>
        <v>#REF!</v>
      </c>
      <c r="BL12" s="61">
        <f t="shared" si="34"/>
        <v>0</v>
      </c>
      <c r="BM12" s="36" t="e">
        <f>+#REF!+#REF!+#REF!+#REF!+#REF!+#REF!+#REF!+#REF!+#REF!+#REF!+#REF!+#REF!</f>
        <v>#REF!</v>
      </c>
      <c r="BN12" s="27" t="e">
        <f>+#REF!+#REF!+#REF!+#REF!+#REF!+#REF!+#REF!+#REF!+#REF!+#REF!+#REF!+#REF!</f>
        <v>#REF!</v>
      </c>
      <c r="BO12" s="54">
        <f t="shared" si="35"/>
        <v>0</v>
      </c>
      <c r="BP12" s="26" t="e">
        <f>+#REF!+#REF!+#REF!+#REF!+#REF!+#REF!+#REF!+#REF!+#REF!+#REF!+#REF!+#REF!</f>
        <v>#REF!</v>
      </c>
      <c r="BQ12" s="27" t="e">
        <f>+#REF!+#REF!+#REF!+#REF!+#REF!+#REF!+#REF!+#REF!+#REF!+#REF!+#REF!+#REF!</f>
        <v>#REF!</v>
      </c>
      <c r="BR12" s="61">
        <f t="shared" si="36"/>
        <v>0</v>
      </c>
      <c r="BS12" s="26" t="e">
        <f>+#REF!+#REF!+#REF!+#REF!+#REF!+#REF!+#REF!+#REF!+#REF!+#REF!+#REF!+#REF!</f>
        <v>#REF!</v>
      </c>
      <c r="BT12" s="27" t="e">
        <f>+#REF!+#REF!+#REF!+#REF!+#REF!+#REF!+#REF!+#REF!+#REF!+#REF!+#REF!+#REF!</f>
        <v>#REF!</v>
      </c>
      <c r="BU12" s="61">
        <f t="shared" si="37"/>
        <v>0</v>
      </c>
      <c r="BV12" s="150"/>
      <c r="BW12" s="9" t="e">
        <f>+#REF!+#REF!+#REF!+#REF!+#REF!+#REF!+#REF!+#REF!+#REF!+#REF!+#REF!+#REF!</f>
        <v>#REF!</v>
      </c>
      <c r="BX12" s="5" t="e">
        <f>+#REF!+#REF!+#REF!+#REF!+#REF!+#REF!+#REF!+#REF!+#REF!+#REF!+#REF!+#REF!</f>
        <v>#REF!</v>
      </c>
      <c r="BY12" s="5" t="e">
        <f>+#REF!+#REF!+#REF!+#REF!+#REF!+#REF!+#REF!+#REF!+#REF!+#REF!+#REF!+#REF!</f>
        <v>#REF!</v>
      </c>
      <c r="BZ12" s="5" t="e">
        <f>+#REF!+#REF!+#REF!+#REF!+#REF!+#REF!+#REF!+#REF!+#REF!+#REF!+#REF!+#REF!</f>
        <v>#REF!</v>
      </c>
      <c r="CA12" s="5" t="e">
        <f>+#REF!+#REF!+#REF!+#REF!+#REF!+#REF!+#REF!+#REF!+#REF!+#REF!+#REF!+#REF!</f>
        <v>#REF!</v>
      </c>
      <c r="CB12" s="5" t="e">
        <f t="shared" si="38"/>
        <v>#REF!</v>
      </c>
      <c r="CC12" s="33"/>
      <c r="CD12" s="2683"/>
      <c r="CF12" s="4" t="e">
        <f t="shared" si="39"/>
        <v>#REF!</v>
      </c>
      <c r="CG12" s="5" t="e">
        <f t="shared" si="5"/>
        <v>#REF!</v>
      </c>
      <c r="CH12" s="5" t="e">
        <f t="shared" si="5"/>
        <v>#REF!</v>
      </c>
      <c r="CI12" s="5" t="e">
        <f t="shared" si="5"/>
        <v>#REF!</v>
      </c>
      <c r="CJ12" s="5" t="e">
        <f t="shared" si="5"/>
        <v>#REF!</v>
      </c>
      <c r="CK12" s="5" t="e">
        <f t="shared" si="5"/>
        <v>#REF!</v>
      </c>
      <c r="CL12" s="33" t="e">
        <f t="shared" si="40"/>
        <v>#REF!</v>
      </c>
      <c r="CM12" s="2685"/>
      <c r="CN12" s="9" t="e">
        <f>+#REF!+#REF!+#REF!+#REF!+#REF!+#REF!+#REF!+#REF!+#REF!+#REF!+#REF!+#REF!</f>
        <v>#REF!</v>
      </c>
      <c r="CO12" s="5" t="e">
        <f>+#REF!+#REF!+#REF!+#REF!+#REF!+#REF!+#REF!+#REF!+#REF!+#REF!+#REF!+#REF!</f>
        <v>#REF!</v>
      </c>
      <c r="CP12" s="5" t="e">
        <f>+#REF!+#REF!+#REF!+#REF!+#REF!+#REF!+#REF!+#REF!+#REF!+#REF!+#REF!+#REF!</f>
        <v>#REF!</v>
      </c>
      <c r="CQ12" s="5" t="e">
        <f>+#REF!+#REF!+#REF!+#REF!+#REF!+#REF!+#REF!+#REF!+#REF!+#REF!+#REF!+#REF!</f>
        <v>#REF!</v>
      </c>
      <c r="CR12" s="5" t="e">
        <f>+#REF!+#REF!+#REF!+#REF!+#REF!+#REF!+#REF!+#REF!+#REF!+#REF!+#REF!+#REF!</f>
        <v>#REF!</v>
      </c>
      <c r="CS12" s="5" t="e">
        <f>+#REF!+#REF!+#REF!+#REF!+#REF!+#REF!+#REF!+#REF!+#REF!+#REF!+#REF!+#REF!</f>
        <v>#REF!</v>
      </c>
      <c r="CT12" s="28" t="e">
        <f t="shared" si="41"/>
        <v>#REF!</v>
      </c>
      <c r="CU12" s="36" t="e">
        <f>+#REF!+#REF!+#REF!+#REF!+#REF!+#REF!+#REF!+#REF!+#REF!+#REF!+#REF!+#REF!</f>
        <v>#REF!</v>
      </c>
      <c r="CV12" s="27" t="e">
        <f>+#REF!+#REF!+#REF!+#REF!+#REF!+#REF!+#REF!+#REF!+#REF!+#REF!+#REF!+#REF!</f>
        <v>#REF!</v>
      </c>
      <c r="CW12" s="27" t="e">
        <f>+#REF!+#REF!+#REF!+#REF!+#REF!+#REF!+#REF!+#REF!+#REF!+#REF!+#REF!+#REF!</f>
        <v>#REF!</v>
      </c>
      <c r="CX12" s="27" t="e">
        <f>+#REF!+#REF!+#REF!+#REF!+#REF!+#REF!+#REF!+#REF!+#REF!+#REF!+#REF!+#REF!</f>
        <v>#REF!</v>
      </c>
      <c r="CY12" s="27" t="e">
        <f>+#REF!+#REF!+#REF!+#REF!+#REF!+#REF!+#REF!+#REF!+#REF!+#REF!+#REF!+#REF!</f>
        <v>#REF!</v>
      </c>
      <c r="CZ12" s="27" t="e">
        <f>+#REF!+#REF!+#REF!+#REF!+#REF!+#REF!+#REF!+#REF!+#REF!+#REF!+#REF!+#REF!</f>
        <v>#REF!</v>
      </c>
      <c r="DA12" s="28" t="e">
        <f t="shared" si="42"/>
        <v>#REF!</v>
      </c>
      <c r="DB12" s="36" t="e">
        <f>+#REF!+#REF!+#REF!+#REF!+#REF!+#REF!+#REF!+#REF!+#REF!+#REF!+#REF!+#REF!</f>
        <v>#REF!</v>
      </c>
      <c r="DC12" s="27" t="e">
        <f>+#REF!+#REF!+#REF!+#REF!+#REF!+#REF!+#REF!+#REF!+#REF!+#REF!+#REF!+#REF!</f>
        <v>#REF!</v>
      </c>
      <c r="DD12" s="27" t="e">
        <f>+#REF!+#REF!+#REF!+#REF!+#REF!+#REF!+#REF!+#REF!+#REF!+#REF!+#REF!+#REF!</f>
        <v>#REF!</v>
      </c>
      <c r="DE12" s="27" t="e">
        <f>+#REF!+#REF!+#REF!+#REF!+#REF!+#REF!+#REF!+#REF!+#REF!+#REF!+#REF!+#REF!</f>
        <v>#REF!</v>
      </c>
      <c r="DF12" s="27" t="e">
        <f>+#REF!+#REF!+#REF!+#REF!+#REF!+#REF!+#REF!+#REF!+#REF!+#REF!+#REF!+#REF!</f>
        <v>#REF!</v>
      </c>
      <c r="DG12" s="27" t="e">
        <f>+#REF!+#REF!+#REF!+#REF!+#REF!+#REF!+#REF!+#REF!+#REF!+#REF!+#REF!+#REF!</f>
        <v>#REF!</v>
      </c>
      <c r="DH12" s="28" t="e">
        <f t="shared" si="43"/>
        <v>#REF!</v>
      </c>
      <c r="DI12" s="36" t="e">
        <f>+#REF!+#REF!+#REF!+#REF!+#REF!+#REF!+#REF!+#REF!+#REF!+#REF!+#REF!+#REF!</f>
        <v>#REF!</v>
      </c>
      <c r="DJ12" s="27" t="e">
        <f>+#REF!+#REF!+#REF!+#REF!+#REF!+#REF!+#REF!+#REF!+#REF!+#REF!+#REF!+#REF!</f>
        <v>#REF!</v>
      </c>
      <c r="DK12" s="27" t="e">
        <f>+#REF!+#REF!+#REF!+#REF!+#REF!+#REF!+#REF!+#REF!+#REF!+#REF!+#REF!+#REF!</f>
        <v>#REF!</v>
      </c>
      <c r="DL12" s="27" t="e">
        <f>+#REF!+#REF!+#REF!+#REF!+#REF!+#REF!+#REF!+#REF!+#REF!+#REF!+#REF!+#REF!</f>
        <v>#REF!</v>
      </c>
      <c r="DM12" s="27" t="e">
        <f>+#REF!+#REF!+#REF!+#REF!+#REF!+#REF!+#REF!+#REF!+#REF!+#REF!+#REF!+#REF!</f>
        <v>#REF!</v>
      </c>
      <c r="DN12" s="27" t="e">
        <f>+#REF!+#REF!+#REF!+#REF!+#REF!+#REF!+#REF!+#REF!+#REF!+#REF!+#REF!+#REF!</f>
        <v>#REF!</v>
      </c>
      <c r="DO12" s="33" t="e">
        <f t="shared" si="44"/>
        <v>#REF!</v>
      </c>
      <c r="DP12" s="2685"/>
      <c r="DR12" s="4" t="e">
        <f t="shared" si="45"/>
        <v>#REF!</v>
      </c>
      <c r="DS12" s="5" t="e">
        <f t="shared" si="46"/>
        <v>#REF!</v>
      </c>
      <c r="DT12" s="5" t="e">
        <f t="shared" si="47"/>
        <v>#REF!</v>
      </c>
      <c r="DU12" s="12" t="e">
        <f t="shared" si="48"/>
        <v>#REF!</v>
      </c>
      <c r="DV12" s="33"/>
      <c r="DW12" s="2674"/>
      <c r="DX12" s="9" t="e">
        <f>+#REF!+#REF!+#REF!+#REF!+#REF!+#REF!+#REF!+#REF!+#REF!+#REF!+#REF!+#REF!</f>
        <v>#REF!</v>
      </c>
      <c r="DY12" s="5" t="e">
        <f>+#REF!+#REF!+#REF!+#REF!+#REF!+#REF!+#REF!+#REF!+#REF!+#REF!+#REF!+#REF!</f>
        <v>#REF!</v>
      </c>
      <c r="DZ12" s="5" t="e">
        <f>+#REF!+#REF!+#REF!+#REF!+#REF!+#REF!+#REF!+#REF!+#REF!+#REF!+#REF!+#REF!</f>
        <v>#REF!</v>
      </c>
      <c r="EA12" s="5" t="e">
        <f>+#REF!+#REF!+#REF!+#REF!+#REF!+#REF!+#REF!+#REF!+#REF!+#REF!+#REF!+#REF!</f>
        <v>#REF!</v>
      </c>
      <c r="EB12" s="5" t="e">
        <f>+#REF!+#REF!+#REF!+#REF!+#REF!+#REF!+#REF!+#REF!+#REF!+#REF!+#REF!+#REF!</f>
        <v>#REF!</v>
      </c>
      <c r="EC12" s="27" t="e">
        <f>+#REF!+#REF!+#REF!+#REF!+#REF!+#REF!+#REF!+#REF!+#REF!+#REF!+#REF!+#REF!</f>
        <v>#REF!</v>
      </c>
      <c r="ED12" s="28" t="e">
        <f t="shared" si="49"/>
        <v>#REF!</v>
      </c>
      <c r="EE12" s="36" t="e">
        <f>+#REF!+#REF!+#REF!+#REF!+#REF!+#REF!+#REF!+#REF!+#REF!+#REF!+#REF!+#REF!</f>
        <v>#REF!</v>
      </c>
      <c r="EF12" s="27" t="e">
        <f>+#REF!+#REF!+#REF!+#REF!+#REF!+#REF!+#REF!+#REF!+#REF!+#REF!+#REF!+#REF!</f>
        <v>#REF!</v>
      </c>
      <c r="EG12" s="27" t="e">
        <f>+#REF!+#REF!+#REF!+#REF!+#REF!+#REF!+#REF!+#REF!+#REF!+#REF!+#REF!+#REF!</f>
        <v>#REF!</v>
      </c>
      <c r="EH12" s="27" t="e">
        <f>+#REF!+#REF!+#REF!+#REF!+#REF!+#REF!+#REF!+#REF!+#REF!+#REF!+#REF!+#REF!</f>
        <v>#REF!</v>
      </c>
      <c r="EI12" s="27" t="e">
        <f>+#REF!+#REF!+#REF!+#REF!+#REF!+#REF!+#REF!+#REF!+#REF!+#REF!+#REF!+#REF!</f>
        <v>#REF!</v>
      </c>
      <c r="EJ12" s="27" t="e">
        <f>+#REF!+#REF!+#REF!+#REF!+#REF!+#REF!+#REF!+#REF!+#REF!+#REF!+#REF!+#REF!</f>
        <v>#REF!</v>
      </c>
      <c r="EK12" s="28" t="e">
        <f t="shared" si="50"/>
        <v>#REF!</v>
      </c>
      <c r="EL12" s="36" t="e">
        <f>+#REF!+#REF!+#REF!+#REF!+#REF!+#REF!+#REF!+#REF!+#REF!+#REF!+#REF!+#REF!</f>
        <v>#REF!</v>
      </c>
      <c r="EM12" s="27" t="e">
        <f>+#REF!+#REF!+#REF!+#REF!+#REF!+#REF!+#REF!+#REF!+#REF!+#REF!+#REF!+#REF!</f>
        <v>#REF!</v>
      </c>
      <c r="EN12" s="27" t="e">
        <f>+#REF!+#REF!+#REF!+#REF!+#REF!+#REF!+#REF!+#REF!+#REF!+#REF!+#REF!+#REF!</f>
        <v>#REF!</v>
      </c>
      <c r="EO12" s="27" t="e">
        <f>+#REF!+#REF!+#REF!+#REF!+#REF!+#REF!+#REF!+#REF!+#REF!+#REF!+#REF!+#REF!</f>
        <v>#REF!</v>
      </c>
      <c r="EP12" s="27" t="e">
        <f>+#REF!+#REF!+#REF!+#REF!+#REF!+#REF!+#REF!+#REF!+#REF!+#REF!+#REF!+#REF!</f>
        <v>#REF!</v>
      </c>
      <c r="EQ12" s="27" t="e">
        <f>+#REF!+#REF!+#REF!+#REF!+#REF!+#REF!+#REF!+#REF!+#REF!+#REF!+#REF!+#REF!</f>
        <v>#REF!</v>
      </c>
      <c r="ER12" s="33" t="e">
        <f t="shared" si="51"/>
        <v>#REF!</v>
      </c>
      <c r="ES12" s="2674"/>
      <c r="EU12" s="4" t="e">
        <f t="shared" si="52"/>
        <v>#REF!</v>
      </c>
      <c r="EV12" s="5" t="e">
        <f t="shared" si="53"/>
        <v>#REF!</v>
      </c>
      <c r="EW12" s="27" t="e">
        <f t="shared" si="54"/>
        <v>#REF!</v>
      </c>
      <c r="EX12" s="27" t="e">
        <f t="shared" si="55"/>
        <v>#REF!</v>
      </c>
      <c r="EY12" s="141"/>
      <c r="EZ12" s="141"/>
      <c r="FA12" s="33"/>
      <c r="FB12" s="2667"/>
      <c r="FC12" s="36" t="e">
        <f>+#REF!+#REF!+#REF!+#REF!+#REF!+#REF!+#REF!+#REF!+#REF!+#REF!+#REF!+#REF!</f>
        <v>#REF!</v>
      </c>
      <c r="FD12" s="27" t="e">
        <f>+#REF!+#REF!+#REF!+#REF!+#REF!+#REF!+#REF!+#REF!+#REF!+#REF!+#REF!+#REF!</f>
        <v>#REF!</v>
      </c>
      <c r="FE12" s="27"/>
      <c r="FF12" s="27"/>
      <c r="FG12" s="33" t="e">
        <f t="shared" si="56"/>
        <v>#REF!</v>
      </c>
      <c r="FH12" s="2667"/>
      <c r="FI12" s="36" t="e">
        <f>+#REF!+#REF!+#REF!+#REF!+#REF!+#REF!+#REF!+#REF!+#REF!+#REF!+#REF!+#REF!</f>
        <v>#REF!</v>
      </c>
      <c r="FJ12" s="27" t="e">
        <f>+#REF!+#REF!+#REF!+#REF!+#REF!+#REF!+#REF!+#REF!+#REF!+#REF!+#REF!+#REF!</f>
        <v>#REF!</v>
      </c>
      <c r="FK12" s="27" t="e">
        <f>+#REF!+#REF!+#REF!+#REF!+#REF!+#REF!+#REF!+#REF!+#REF!+#REF!+#REF!+#REF!</f>
        <v>#REF!</v>
      </c>
      <c r="FL12" s="27" t="e">
        <f>+#REF!+#REF!+#REF!+#REF!+#REF!+#REF!+#REF!+#REF!+#REF!+#REF!+#REF!+#REF!</f>
        <v>#REF!</v>
      </c>
      <c r="FM12" s="27" t="e">
        <f>+#REF!+#REF!+#REF!+#REF!+#REF!+#REF!+#REF!+#REF!+#REF!+#REF!+#REF!+#REF!</f>
        <v>#REF!</v>
      </c>
      <c r="FN12" s="27" t="e">
        <f>+#REF!+#REF!+#REF!+#REF!+#REF!+#REF!+#REF!+#REF!+#REF!+#REF!+#REF!+#REF!</f>
        <v>#REF!</v>
      </c>
      <c r="FO12" s="27" t="e">
        <f>+#REF!+#REF!+#REF!+#REF!+#REF!+#REF!+#REF!+#REF!+#REF!+#REF!+#REF!+#REF!</f>
        <v>#REF!</v>
      </c>
      <c r="FP12" s="27" t="e">
        <f>+#REF!+#REF!+#REF!+#REF!+#REF!+#REF!+#REF!+#REF!+#REF!+#REF!+#REF!+#REF!</f>
        <v>#REF!</v>
      </c>
      <c r="FQ12" s="28" t="e">
        <f t="shared" ref="FQ12:FQ39" si="80">SUM(FI12:FP12)</f>
        <v>#REF!</v>
      </c>
      <c r="FR12" s="26" t="e">
        <f>+#REF!+#REF!+#REF!+#REF!+#REF!+#REF!+#REF!+#REF!+#REF!+#REF!+#REF!+#REF!</f>
        <v>#REF!</v>
      </c>
      <c r="FS12" s="27" t="e">
        <f>+#REF!+#REF!+#REF!+#REF!+#REF!+#REF!+#REF!+#REF!+#REF!+#REF!+#REF!+#REF!</f>
        <v>#REF!</v>
      </c>
      <c r="FT12" s="27" t="e">
        <f>+#REF!+#REF!+#REF!+#REF!+#REF!+#REF!+#REF!+#REF!+#REF!+#REF!+#REF!+#REF!</f>
        <v>#REF!</v>
      </c>
      <c r="FU12" s="27" t="e">
        <f>+#REF!+#REF!+#REF!+#REF!+#REF!+#REF!+#REF!+#REF!+#REF!+#REF!+#REF!+#REF!</f>
        <v>#REF!</v>
      </c>
      <c r="FV12" s="27" t="e">
        <f>+#REF!+#REF!+#REF!+#REF!+#REF!+#REF!+#REF!+#REF!+#REF!+#REF!+#REF!+#REF!</f>
        <v>#REF!</v>
      </c>
      <c r="FW12" s="27" t="e">
        <f>+#REF!+#REF!+#REF!+#REF!+#REF!+#REF!+#REF!+#REF!+#REF!+#REF!+#REF!+#REF!</f>
        <v>#REF!</v>
      </c>
      <c r="FX12" s="27" t="e">
        <f>+#REF!+#REF!+#REF!+#REF!+#REF!+#REF!+#REF!+#REF!+#REF!+#REF!+#REF!+#REF!</f>
        <v>#REF!</v>
      </c>
      <c r="FY12" s="27" t="e">
        <f>+#REF!+#REF!+#REF!+#REF!+#REF!+#REF!+#REF!+#REF!+#REF!+#REF!+#REF!+#REF!</f>
        <v>#REF!</v>
      </c>
      <c r="FZ12" s="28" t="e">
        <f t="shared" si="57"/>
        <v>#REF!</v>
      </c>
      <c r="GA12" s="36" t="e">
        <f>+#REF!+#REF!+#REF!+#REF!+#REF!+#REF!+#REF!+#REF!+#REF!+#REF!+#REF!+#REF!</f>
        <v>#REF!</v>
      </c>
      <c r="GB12" s="27" t="e">
        <f>+#REF!+#REF!+#REF!+#REF!+#REF!+#REF!+#REF!+#REF!+#REF!+#REF!+#REF!+#REF!</f>
        <v>#REF!</v>
      </c>
      <c r="GC12" s="27" t="e">
        <f>+#REF!+#REF!+#REF!+#REF!+#REF!+#REF!+#REF!+#REF!+#REF!+#REF!+#REF!+#REF!</f>
        <v>#REF!</v>
      </c>
      <c r="GD12" s="27" t="e">
        <f>+#REF!+#REF!+#REF!+#REF!+#REF!+#REF!+#REF!+#REF!+#REF!+#REF!+#REF!+#REF!</f>
        <v>#REF!</v>
      </c>
      <c r="GE12" s="27" t="e">
        <f>+#REF!+#REF!+#REF!+#REF!+#REF!+#REF!+#REF!+#REF!+#REF!+#REF!+#REF!+#REF!</f>
        <v>#REF!</v>
      </c>
      <c r="GF12" s="27" t="e">
        <f>+#REF!+#REF!+#REF!+#REF!+#REF!+#REF!+#REF!+#REF!+#REF!+#REF!+#REF!+#REF!</f>
        <v>#REF!</v>
      </c>
      <c r="GG12" s="27" t="e">
        <f>+#REF!+#REF!+#REF!+#REF!+#REF!+#REF!+#REF!+#REF!+#REF!+#REF!+#REF!+#REF!</f>
        <v>#REF!</v>
      </c>
      <c r="GH12" s="27" t="e">
        <f>+#REF!+#REF!+#REF!+#REF!+#REF!+#REF!+#REF!+#REF!+#REF!+#REF!+#REF!+#REF!</f>
        <v>#REF!</v>
      </c>
      <c r="GI12" s="33" t="e">
        <f t="shared" si="58"/>
        <v>#REF!</v>
      </c>
      <c r="GJ12" s="2667"/>
      <c r="GL12" s="26" t="e">
        <f>+#REF!+#REF!+#REF!+#REF!+#REF!+#REF!+#REF!+#REF!+#REF!+#REF!+#REF!+#REF!</f>
        <v>#REF!</v>
      </c>
      <c r="GM12" s="36" t="e">
        <f>+#REF!+#REF!+#REF!+#REF!+#REF!+#REF!+#REF!+#REF!+#REF!+#REF!+#REF!+#REF!</f>
        <v>#REF!</v>
      </c>
      <c r="GN12" s="27" t="e">
        <f>+#REF!+#REF!+#REF!+#REF!+#REF!+#REF!+#REF!+#REF!+#REF!+#REF!+#REF!+#REF!</f>
        <v>#REF!</v>
      </c>
      <c r="GO12" s="27" t="e">
        <f t="shared" si="59"/>
        <v>#REF!</v>
      </c>
      <c r="GP12" s="33"/>
      <c r="GQ12" s="2669"/>
      <c r="GR12" s="69"/>
      <c r="GS12" s="70"/>
      <c r="GT12" s="70"/>
      <c r="GU12" s="70"/>
      <c r="GV12" s="70"/>
      <c r="GW12" s="70"/>
      <c r="GX12" s="70"/>
      <c r="GY12" s="71"/>
      <c r="GZ12" s="69"/>
      <c r="HA12" s="70"/>
      <c r="HB12" s="70"/>
      <c r="HC12" s="70"/>
      <c r="HD12" s="70"/>
      <c r="HE12" s="70"/>
      <c r="HF12" s="70"/>
      <c r="HG12" s="71"/>
      <c r="HH12" s="69"/>
      <c r="HI12" s="70"/>
      <c r="HJ12" s="70"/>
      <c r="HK12" s="70"/>
      <c r="HL12" s="70"/>
      <c r="HM12" s="70"/>
      <c r="HN12" s="70"/>
      <c r="HO12" s="70"/>
      <c r="HP12" s="33"/>
      <c r="HQ12" s="2669"/>
      <c r="HR12" s="36"/>
      <c r="HS12" s="53"/>
      <c r="HT12" s="53"/>
      <c r="HU12" s="53"/>
      <c r="HV12" s="61"/>
      <c r="HW12" s="36"/>
      <c r="HX12" s="53"/>
      <c r="HY12" s="53"/>
      <c r="HZ12" s="53"/>
      <c r="IA12" s="61"/>
      <c r="IB12" s="36"/>
      <c r="IC12" s="53"/>
      <c r="ID12" s="53"/>
      <c r="IE12" s="53"/>
      <c r="IF12" s="53"/>
      <c r="IG12" s="33"/>
      <c r="IH12" s="2669"/>
      <c r="IJ12" s="26" t="e">
        <f t="shared" si="60"/>
        <v>#REF!</v>
      </c>
      <c r="IK12" s="36" t="e">
        <f t="shared" si="6"/>
        <v>#REF!</v>
      </c>
      <c r="IL12" s="27" t="e">
        <f t="shared" si="6"/>
        <v>#REF!</v>
      </c>
      <c r="IM12" s="28" t="e">
        <f t="shared" si="61"/>
        <v>#REF!</v>
      </c>
      <c r="IN12" s="36"/>
      <c r="IO12" s="27"/>
      <c r="IP12" s="27"/>
      <c r="IQ12" s="33"/>
      <c r="IR12" s="55"/>
      <c r="IS12" s="21"/>
      <c r="IT12" s="2688"/>
      <c r="IU12" s="36" t="e">
        <f>+#REF!+#REF!+#REF!+#REF!+#REF!+#REF!+#REF!+#REF!+#REF!+#REF!+#REF!+#REF!</f>
        <v>#REF!</v>
      </c>
      <c r="IV12" s="36" t="e">
        <f>+#REF!+#REF!+#REF!+#REF!+#REF!+#REF!+#REF!+#REF!+#REF!+#REF!+#REF!+#REF!</f>
        <v>#REF!</v>
      </c>
      <c r="IW12" s="27" t="e">
        <f>+#REF!+#REF!+#REF!+#REF!+#REF!+#REF!+#REF!+#REF!+#REF!+#REF!+#REF!+#REF!</f>
        <v>#REF!</v>
      </c>
      <c r="IX12" s="27" t="e">
        <f>+#REF!+#REF!+#REF!+#REF!+#REF!+#REF!+#REF!+#REF!+#REF!+#REF!+#REF!+#REF!</f>
        <v>#REF!</v>
      </c>
      <c r="IY12" s="27" t="e">
        <f>+#REF!+#REF!+#REF!+#REF!+#REF!+#REF!+#REF!+#REF!+#REF!+#REF!+#REF!+#REF!</f>
        <v>#REF!</v>
      </c>
      <c r="IZ12" s="28" t="e">
        <f t="shared" si="62"/>
        <v>#REF!</v>
      </c>
      <c r="JA12" s="26" t="e">
        <f>+#REF!+#REF!+#REF!+#REF!+#REF!+#REF!+#REF!+#REF!+#REF!+#REF!+#REF!+#REF!</f>
        <v>#REF!</v>
      </c>
      <c r="JB12" s="36" t="e">
        <f>+#REF!+#REF!+#REF!+#REF!+#REF!+#REF!+#REF!+#REF!+#REF!+#REF!+#REF!+#REF!</f>
        <v>#REF!</v>
      </c>
      <c r="JC12" s="27" t="e">
        <f>+#REF!+#REF!+#REF!+#REF!+#REF!+#REF!+#REF!+#REF!+#REF!+#REF!+#REF!+#REF!</f>
        <v>#REF!</v>
      </c>
      <c r="JD12" s="27" t="e">
        <f>+#REF!+#REF!+#REF!+#REF!+#REF!+#REF!+#REF!+#REF!+#REF!+#REF!+#REF!+#REF!</f>
        <v>#REF!</v>
      </c>
      <c r="JE12" s="28" t="e">
        <f>+#REF!+#REF!+#REF!+#REF!+#REF!+#REF!+#REF!+#REF!+#REF!+#REF!+#REF!+#REF!</f>
        <v>#REF!</v>
      </c>
      <c r="JF12" s="26" t="e">
        <f>+#REF!+#REF!+#REF!+#REF!+#REF!+#REF!+#REF!+#REF!+#REF!+#REF!+#REF!+#REF!</f>
        <v>#REF!</v>
      </c>
      <c r="JG12" s="36" t="e">
        <f>+#REF!+#REF!+#REF!+#REF!+#REF!+#REF!+#REF!+#REF!+#REF!+#REF!+#REF!+#REF!</f>
        <v>#REF!</v>
      </c>
      <c r="JH12" s="27" t="e">
        <f>+#REF!+#REF!+#REF!+#REF!+#REF!+#REF!+#REF!+#REF!+#REF!+#REF!+#REF!+#REF!</f>
        <v>#REF!</v>
      </c>
      <c r="JI12" s="27" t="e">
        <f>+#REF!+#REF!+#REF!+#REF!+#REF!+#REF!+#REF!+#REF!+#REF!+#REF!+#REF!+#REF!</f>
        <v>#REF!</v>
      </c>
      <c r="JJ12" s="27" t="e">
        <f>+#REF!+#REF!+#REF!+#REF!+#REF!+#REF!+#REF!+#REF!+#REF!+#REF!+#REF!+#REF!</f>
        <v>#REF!</v>
      </c>
      <c r="JK12" s="28" t="e">
        <f t="shared" si="63"/>
        <v>#REF!</v>
      </c>
      <c r="JL12" s="26" t="e">
        <f>+#REF!+#REF!+#REF!+#REF!+#REF!+#REF!+#REF!+#REF!+#REF!+#REF!+#REF!+#REF!</f>
        <v>#REF!</v>
      </c>
      <c r="JM12" s="36" t="e">
        <f>+#REF!+#REF!+#REF!+#REF!+#REF!+#REF!+#REF!+#REF!+#REF!+#REF!+#REF!+#REF!</f>
        <v>#REF!</v>
      </c>
      <c r="JN12" s="27" t="e">
        <f>+#REF!+#REF!+#REF!+#REF!+#REF!+#REF!+#REF!+#REF!+#REF!+#REF!+#REF!+#REF!</f>
        <v>#REF!</v>
      </c>
      <c r="JO12" s="27" t="e">
        <f>+#REF!+#REF!+#REF!+#REF!+#REF!+#REF!+#REF!+#REF!+#REF!+#REF!+#REF!+#REF!</f>
        <v>#REF!</v>
      </c>
      <c r="JP12" s="28" t="e">
        <f>+#REF!+#REF!+#REF!+#REF!+#REF!+#REF!+#REF!+#REF!+#REF!+#REF!+#REF!+#REF!</f>
        <v>#REF!</v>
      </c>
      <c r="JQ12" s="275" t="e">
        <f t="shared" si="64"/>
        <v>#REF!</v>
      </c>
      <c r="JR12" s="36" t="e">
        <f>+#REF!+#REF!+#REF!+#REF!+#REF!+#REF!+#REF!+#REF!+#REF!+#REF!+#REF!+#REF!</f>
        <v>#REF!</v>
      </c>
      <c r="JS12" s="36" t="e">
        <f>+#REF!+#REF!+#REF!+#REF!+#REF!+#REF!+#REF!+#REF!+#REF!+#REF!+#REF!+#REF!</f>
        <v>#REF!</v>
      </c>
      <c r="JT12" s="27" t="e">
        <f>+#REF!+#REF!+#REF!+#REF!+#REF!+#REF!+#REF!+#REF!+#REF!+#REF!+#REF!+#REF!</f>
        <v>#REF!</v>
      </c>
      <c r="JU12" s="27" t="e">
        <f>+#REF!+#REF!+#REF!+#REF!+#REF!+#REF!+#REF!+#REF!+#REF!+#REF!+#REF!+#REF!</f>
        <v>#REF!</v>
      </c>
      <c r="JV12" s="27" t="e">
        <f>+#REF!+#REF!+#REF!+#REF!+#REF!+#REF!+#REF!+#REF!+#REF!+#REF!+#REF!+#REF!</f>
        <v>#REF!</v>
      </c>
      <c r="JW12" s="33" t="e">
        <f t="shared" si="65"/>
        <v>#REF!</v>
      </c>
      <c r="JX12" s="2688"/>
      <c r="JZ12" s="26" t="e">
        <f t="shared" si="66"/>
        <v>#REF!</v>
      </c>
      <c r="KA12" s="27" t="e">
        <f t="shared" si="67"/>
        <v>#REF!</v>
      </c>
      <c r="KB12" s="27" t="e">
        <f t="shared" si="68"/>
        <v>#REF!</v>
      </c>
      <c r="KC12" s="33" t="e">
        <f t="shared" si="69"/>
        <v>#REF!</v>
      </c>
      <c r="KD12" s="2621"/>
      <c r="KE12" s="36" t="e">
        <f t="shared" si="7"/>
        <v>#REF!</v>
      </c>
      <c r="KF12" s="36" t="e">
        <f t="shared" si="7"/>
        <v>#REF!</v>
      </c>
      <c r="KG12" s="27" t="e">
        <f t="shared" si="7"/>
        <v>#REF!</v>
      </c>
      <c r="KH12" s="28" t="e">
        <f t="shared" ref="KH12:KH42" si="81">SUM(KE12:KG12)</f>
        <v>#REF!</v>
      </c>
      <c r="KI12" s="36" t="e">
        <f t="shared" ref="KI12:KI40" si="82">+KI11+DB12-FI12</f>
        <v>#REF!</v>
      </c>
      <c r="KJ12" s="27" t="e">
        <f t="shared" si="8"/>
        <v>#REF!</v>
      </c>
      <c r="KK12" s="27" t="e">
        <f t="shared" si="8"/>
        <v>#REF!</v>
      </c>
      <c r="KL12" s="27" t="e">
        <f t="shared" si="8"/>
        <v>#REF!</v>
      </c>
      <c r="KM12" s="27" t="e">
        <f t="shared" si="8"/>
        <v>#REF!</v>
      </c>
      <c r="KN12" s="27" t="e">
        <f t="shared" si="8"/>
        <v>#REF!</v>
      </c>
      <c r="KO12" s="28" t="e">
        <f t="shared" ref="KO12:KO40" si="83">SUM(KI12:KN12)</f>
        <v>#REF!</v>
      </c>
      <c r="KP12" s="36" t="e">
        <f t="shared" si="9"/>
        <v>#REF!</v>
      </c>
      <c r="KQ12" s="27" t="e">
        <f t="shared" si="9"/>
        <v>#REF!</v>
      </c>
      <c r="KR12" s="27" t="e">
        <f t="shared" si="9"/>
        <v>#REF!</v>
      </c>
      <c r="KS12" s="27" t="e">
        <f t="shared" si="9"/>
        <v>#REF!</v>
      </c>
      <c r="KT12" s="27" t="e">
        <f t="shared" si="9"/>
        <v>#REF!</v>
      </c>
      <c r="KU12" s="27" t="e">
        <f t="shared" si="9"/>
        <v>#REF!</v>
      </c>
      <c r="KV12" s="28" t="e">
        <f t="shared" ref="KV12:KV40" si="84">SUM(KP12:KU12)</f>
        <v>#REF!</v>
      </c>
      <c r="KW12" s="36" t="e">
        <f t="shared" si="10"/>
        <v>#REF!</v>
      </c>
      <c r="KX12" s="27" t="e">
        <f t="shared" si="10"/>
        <v>#REF!</v>
      </c>
      <c r="KY12" s="53" t="e">
        <f t="shared" si="10"/>
        <v>#REF!</v>
      </c>
      <c r="KZ12" s="27" t="e">
        <f t="shared" si="10"/>
        <v>#REF!</v>
      </c>
      <c r="LA12" s="27" t="e">
        <f t="shared" si="10"/>
        <v>#REF!</v>
      </c>
      <c r="LB12" s="27" t="e">
        <f t="shared" si="10"/>
        <v>#REF!</v>
      </c>
      <c r="LC12" s="28" t="e">
        <f t="shared" ref="LC12:LC40" si="85">SUM(KW12:LB12)</f>
        <v>#REF!</v>
      </c>
      <c r="LD12" s="36"/>
      <c r="LE12" s="27"/>
      <c r="LF12" s="27"/>
      <c r="LG12" s="27"/>
      <c r="LH12" s="27"/>
      <c r="LI12" s="27"/>
      <c r="LJ12" s="28">
        <f t="shared" si="70"/>
        <v>0</v>
      </c>
      <c r="LK12" s="36" t="e">
        <f t="shared" si="11"/>
        <v>#REF!</v>
      </c>
      <c r="LL12" s="27" t="e">
        <f t="shared" si="11"/>
        <v>#REF!</v>
      </c>
      <c r="LM12" s="27" t="e">
        <f t="shared" si="11"/>
        <v>#REF!</v>
      </c>
      <c r="LN12" s="27" t="e">
        <f t="shared" si="11"/>
        <v>#REF!</v>
      </c>
      <c r="LO12" s="27" t="e">
        <f t="shared" si="11"/>
        <v>#REF!</v>
      </c>
      <c r="LP12" s="27" t="e">
        <f t="shared" si="11"/>
        <v>#REF!</v>
      </c>
      <c r="LQ12" s="33" t="e">
        <f t="shared" si="71"/>
        <v>#REF!</v>
      </c>
      <c r="LR12" s="2621"/>
      <c r="LT12" s="4" t="e">
        <f>+#REF!+#REF!+#REF!+#REF!+#REF!+#REF!+#REF!+#REF!+#REF!+#REF!+#REF!+#REF!</f>
        <v>#REF!</v>
      </c>
      <c r="LU12" s="5" t="e">
        <f>+#REF!+#REF!+#REF!+#REF!+#REF!+#REF!+#REF!+#REF!+#REF!+#REF!+#REF!+#REF!</f>
        <v>#REF!</v>
      </c>
      <c r="LV12" s="5" t="e">
        <f t="shared" si="72"/>
        <v>#REF!</v>
      </c>
      <c r="LW12" s="12" t="e">
        <f t="shared" ref="LW12:LW40" si="86">+LW11+LU12-LV12</f>
        <v>#REF!</v>
      </c>
      <c r="LX12" s="15"/>
      <c r="LY12" s="2615"/>
      <c r="MA12" s="4" t="e">
        <f>+#REF!+#REF!+#REF!+#REF!+#REF!+#REF!+#REF!+#REF!+#REF!+#REF!+#REF!+#REF!</f>
        <v>#REF!</v>
      </c>
      <c r="MB12" s="5" t="e">
        <f t="shared" si="73"/>
        <v>#REF!</v>
      </c>
      <c r="MC12" s="5" t="e">
        <f>+#REF!+#REF!+#REF!+#REF!+#REF!+#REF!+#REF!+#REF!+#REF!+#REF!+#REF!+#REF!</f>
        <v>#REF!</v>
      </c>
      <c r="MD12" s="5" t="e">
        <f t="shared" si="74"/>
        <v>#REF!</v>
      </c>
      <c r="ME12" s="12" t="e">
        <f t="shared" si="75"/>
        <v>#REF!</v>
      </c>
      <c r="MF12" s="12"/>
      <c r="MG12" s="2615"/>
      <c r="MI12" s="139" t="e">
        <f t="shared" si="76"/>
        <v>#REF!</v>
      </c>
      <c r="MJ12" s="139" t="e">
        <f t="shared" si="77"/>
        <v>#REF!</v>
      </c>
      <c r="ML12" s="139" t="e">
        <f t="shared" si="78"/>
        <v>#REF!</v>
      </c>
      <c r="MM12" s="139" t="e">
        <f t="shared" si="79"/>
        <v>#REF!</v>
      </c>
      <c r="MO12" s="1">
        <f t="shared" si="12"/>
        <v>0</v>
      </c>
      <c r="MP12" s="1">
        <f t="shared" si="12"/>
        <v>0</v>
      </c>
      <c r="MQ12" s="1">
        <f t="shared" si="12"/>
        <v>0</v>
      </c>
      <c r="MR12" s="1">
        <f t="shared" si="12"/>
        <v>0</v>
      </c>
      <c r="MS12" s="1">
        <f t="shared" si="12"/>
        <v>0</v>
      </c>
      <c r="MT12" s="1">
        <f t="shared" si="12"/>
        <v>0</v>
      </c>
      <c r="MV12" s="1">
        <f t="shared" si="13"/>
        <v>0</v>
      </c>
      <c r="MW12" s="1">
        <f t="shared" si="13"/>
        <v>0</v>
      </c>
      <c r="MX12" s="1">
        <f t="shared" si="13"/>
        <v>0</v>
      </c>
      <c r="MY12" s="1">
        <f t="shared" si="13"/>
        <v>0</v>
      </c>
      <c r="MZ12" s="1">
        <f t="shared" si="13"/>
        <v>0</v>
      </c>
      <c r="NA12" s="1">
        <f t="shared" si="13"/>
        <v>0</v>
      </c>
    </row>
    <row r="13" spans="2:365" s="1" customFormat="1">
      <c r="B13" s="46">
        <v>4</v>
      </c>
      <c r="C13" s="4" t="e">
        <f t="shared" si="0"/>
        <v>#REF!</v>
      </c>
      <c r="D13" s="5" t="e">
        <f t="shared" si="1"/>
        <v>#REF!</v>
      </c>
      <c r="E13" s="61">
        <f t="shared" si="14"/>
        <v>0</v>
      </c>
      <c r="F13" s="52"/>
      <c r="G13" s="53"/>
      <c r="H13" s="53"/>
      <c r="I13" s="54"/>
      <c r="J13" s="2629"/>
      <c r="K13" s="9" t="e">
        <f t="shared" si="15"/>
        <v>#REF!</v>
      </c>
      <c r="L13" s="5" t="e">
        <f t="shared" si="2"/>
        <v>#REF!</v>
      </c>
      <c r="M13" s="64">
        <f t="shared" si="16"/>
        <v>0</v>
      </c>
      <c r="N13" s="28"/>
      <c r="O13" s="36" t="e">
        <f t="shared" si="17"/>
        <v>#REF!</v>
      </c>
      <c r="P13" s="27" t="e">
        <f t="shared" si="17"/>
        <v>#REF!</v>
      </c>
      <c r="Q13" s="53">
        <f t="shared" si="18"/>
        <v>0</v>
      </c>
      <c r="R13" s="28"/>
      <c r="S13" s="36" t="e">
        <f t="shared" si="19"/>
        <v>#REF!</v>
      </c>
      <c r="T13" s="27" t="e">
        <f t="shared" si="19"/>
        <v>#REF!</v>
      </c>
      <c r="U13" s="53">
        <f t="shared" si="3"/>
        <v>0</v>
      </c>
      <c r="V13" s="28"/>
      <c r="W13" s="36" t="e">
        <f t="shared" si="20"/>
        <v>#REF!</v>
      </c>
      <c r="X13" s="27" t="e">
        <f t="shared" si="4"/>
        <v>#REF!</v>
      </c>
      <c r="Y13" s="53">
        <f t="shared" si="21"/>
        <v>0</v>
      </c>
      <c r="Z13" s="28"/>
      <c r="AA13" s="26" t="e">
        <f t="shared" si="22"/>
        <v>#REF!</v>
      </c>
      <c r="AB13" s="27" t="e">
        <f t="shared" si="22"/>
        <v>#REF!</v>
      </c>
      <c r="AC13" s="53">
        <f t="shared" si="23"/>
        <v>0</v>
      </c>
      <c r="AD13" s="33"/>
      <c r="AE13" s="2629"/>
      <c r="AF13" s="9" t="e">
        <f>+#REF!+#REF!+#REF!+#REF!+#REF!+#REF!+#REF!+#REF!+#REF!+#REF!+#REF!+#REF!</f>
        <v>#REF!</v>
      </c>
      <c r="AG13" s="5" t="e">
        <f>+#REF!+#REF!+#REF!+#REF!+#REF!+#REF!+#REF!+#REF!+#REF!+#REF!+#REF!+#REF!</f>
        <v>#REF!</v>
      </c>
      <c r="AH13" s="61">
        <f t="shared" si="24"/>
        <v>0</v>
      </c>
      <c r="AI13" s="36" t="e">
        <f>+#REF!+#REF!+#REF!+#REF!+#REF!+#REF!+#REF!+#REF!+#REF!+#REF!+#REF!+#REF!</f>
        <v>#REF!</v>
      </c>
      <c r="AJ13" s="27" t="e">
        <f>+#REF!+#REF!+#REF!+#REF!+#REF!+#REF!+#REF!+#REF!+#REF!+#REF!+#REF!+#REF!</f>
        <v>#REF!</v>
      </c>
      <c r="AK13" s="61">
        <f t="shared" si="25"/>
        <v>0</v>
      </c>
      <c r="AL13" s="36" t="e">
        <f>+#REF!+#REF!+#REF!+#REF!+#REF!+#REF!+#REF!+#REF!+#REF!+#REF!+#REF!+#REF!</f>
        <v>#REF!</v>
      </c>
      <c r="AM13" s="27" t="e">
        <f>+#REF!+#REF!+#REF!+#REF!+#REF!+#REF!+#REF!+#REF!+#REF!+#REF!+#REF!+#REF!</f>
        <v>#REF!</v>
      </c>
      <c r="AN13" s="61">
        <f t="shared" si="26"/>
        <v>0</v>
      </c>
      <c r="AO13" s="36" t="e">
        <f>+#REF!+#REF!+#REF!+#REF!+#REF!+#REF!+#REF!+#REF!+#REF!+#REF!+#REF!+#REF!</f>
        <v>#REF!</v>
      </c>
      <c r="AP13" s="27" t="e">
        <f>+#REF!+#REF!+#REF!+#REF!+#REF!+#REF!+#REF!+#REF!+#REF!+#REF!+#REF!+#REF!</f>
        <v>#REF!</v>
      </c>
      <c r="AQ13" s="61">
        <f t="shared" si="27"/>
        <v>0</v>
      </c>
      <c r="AR13" s="36" t="e">
        <f>+#REF!+#REF!+#REF!+#REF!+#REF!+#REF!+#REF!+#REF!+#REF!+#REF!+#REF!+#REF!</f>
        <v>#REF!</v>
      </c>
      <c r="AS13" s="27" t="e">
        <f>+#REF!+#REF!+#REF!+#REF!+#REF!+#REF!+#REF!+#REF!+#REF!+#REF!+#REF!+#REF!</f>
        <v>#REF!</v>
      </c>
      <c r="AT13" s="61">
        <f t="shared" si="28"/>
        <v>0</v>
      </c>
      <c r="AU13" s="36" t="e">
        <f>+#REF!+#REF!+#REF!+#REF!+#REF!+#REF!+#REF!+#REF!+#REF!+#REF!+#REF!+#REF!</f>
        <v>#REF!</v>
      </c>
      <c r="AV13" s="27" t="e">
        <f>+#REF!+#REF!+#REF!+#REF!+#REF!+#REF!+#REF!+#REF!+#REF!+#REF!+#REF!+#REF!</f>
        <v>#REF!</v>
      </c>
      <c r="AW13" s="61">
        <f t="shared" si="29"/>
        <v>0</v>
      </c>
      <c r="AX13" s="36" t="e">
        <f>+#REF!+#REF!+#REF!+#REF!+#REF!+#REF!+#REF!+#REF!+#REF!+#REF!+#REF!+#REF!</f>
        <v>#REF!</v>
      </c>
      <c r="AY13" s="27" t="e">
        <f>+#REF!+#REF!+#REF!+#REF!+#REF!+#REF!+#REF!+#REF!+#REF!+#REF!+#REF!+#REF!</f>
        <v>#REF!</v>
      </c>
      <c r="AZ13" s="61">
        <f t="shared" si="30"/>
        <v>0</v>
      </c>
      <c r="BA13" s="36" t="e">
        <f>+#REF!+#REF!+#REF!+#REF!+#REF!+#REF!+#REF!+#REF!+#REF!+#REF!+#REF!+#REF!</f>
        <v>#REF!</v>
      </c>
      <c r="BB13" s="27" t="e">
        <f>+#REF!+#REF!+#REF!+#REF!+#REF!+#REF!+#REF!+#REF!+#REF!+#REF!+#REF!+#REF!</f>
        <v>#REF!</v>
      </c>
      <c r="BC13" s="61">
        <f t="shared" si="31"/>
        <v>0</v>
      </c>
      <c r="BD13" s="36" t="e">
        <f>+#REF!+#REF!+#REF!+#REF!+#REF!+#REF!+#REF!+#REF!+#REF!+#REF!+#REF!+#REF!</f>
        <v>#REF!</v>
      </c>
      <c r="BE13" s="27" t="e">
        <f>+#REF!+#REF!+#REF!+#REF!+#REF!+#REF!+#REF!+#REF!+#REF!+#REF!+#REF!+#REF!</f>
        <v>#REF!</v>
      </c>
      <c r="BF13" s="61">
        <f t="shared" si="32"/>
        <v>0</v>
      </c>
      <c r="BG13" s="36" t="e">
        <f>+#REF!+#REF!+#REF!+#REF!+#REF!+#REF!+#REF!+#REF!+#REF!+#REF!+#REF!+#REF!</f>
        <v>#REF!</v>
      </c>
      <c r="BH13" s="27" t="e">
        <f>+#REF!+#REF!+#REF!+#REF!+#REF!+#REF!+#REF!+#REF!+#REF!+#REF!+#REF!+#REF!</f>
        <v>#REF!</v>
      </c>
      <c r="BI13" s="61">
        <f t="shared" si="33"/>
        <v>0</v>
      </c>
      <c r="BJ13" s="36" t="e">
        <f>+#REF!+#REF!+#REF!+#REF!+#REF!+#REF!+#REF!+#REF!+#REF!+#REF!+#REF!+#REF!</f>
        <v>#REF!</v>
      </c>
      <c r="BK13" s="27" t="e">
        <f>+#REF!+#REF!+#REF!+#REF!+#REF!+#REF!+#REF!+#REF!+#REF!+#REF!+#REF!+#REF!</f>
        <v>#REF!</v>
      </c>
      <c r="BL13" s="61">
        <f t="shared" si="34"/>
        <v>0</v>
      </c>
      <c r="BM13" s="36" t="e">
        <f>+#REF!+#REF!+#REF!+#REF!+#REF!+#REF!+#REF!+#REF!+#REF!+#REF!+#REF!+#REF!</f>
        <v>#REF!</v>
      </c>
      <c r="BN13" s="27" t="e">
        <f>+#REF!+#REF!+#REF!+#REF!+#REF!+#REF!+#REF!+#REF!+#REF!+#REF!+#REF!+#REF!</f>
        <v>#REF!</v>
      </c>
      <c r="BO13" s="54">
        <f t="shared" si="35"/>
        <v>0</v>
      </c>
      <c r="BP13" s="26" t="e">
        <f>+#REF!+#REF!+#REF!+#REF!+#REF!+#REF!+#REF!+#REF!+#REF!+#REF!+#REF!+#REF!</f>
        <v>#REF!</v>
      </c>
      <c r="BQ13" s="27" t="e">
        <f>+#REF!+#REF!+#REF!+#REF!+#REF!+#REF!+#REF!+#REF!+#REF!+#REF!+#REF!+#REF!</f>
        <v>#REF!</v>
      </c>
      <c r="BR13" s="61">
        <f t="shared" si="36"/>
        <v>0</v>
      </c>
      <c r="BS13" s="26" t="e">
        <f>+#REF!+#REF!+#REF!+#REF!+#REF!+#REF!+#REF!+#REF!+#REF!+#REF!+#REF!+#REF!</f>
        <v>#REF!</v>
      </c>
      <c r="BT13" s="27" t="e">
        <f>+#REF!+#REF!+#REF!+#REF!+#REF!+#REF!+#REF!+#REF!+#REF!+#REF!+#REF!+#REF!</f>
        <v>#REF!</v>
      </c>
      <c r="BU13" s="61">
        <f t="shared" si="37"/>
        <v>0</v>
      </c>
      <c r="BV13" s="150"/>
      <c r="BW13" s="9" t="e">
        <f>+#REF!+#REF!+#REF!+#REF!+#REF!+#REF!+#REF!+#REF!+#REF!+#REF!+#REF!+#REF!</f>
        <v>#REF!</v>
      </c>
      <c r="BX13" s="5" t="e">
        <f>+#REF!+#REF!+#REF!+#REF!+#REF!+#REF!+#REF!+#REF!+#REF!+#REF!+#REF!+#REF!</f>
        <v>#REF!</v>
      </c>
      <c r="BY13" s="5" t="e">
        <f>+#REF!+#REF!+#REF!+#REF!+#REF!+#REF!+#REF!+#REF!+#REF!+#REF!+#REF!+#REF!</f>
        <v>#REF!</v>
      </c>
      <c r="BZ13" s="5" t="e">
        <f>+#REF!+#REF!+#REF!+#REF!+#REF!+#REF!+#REF!+#REF!+#REF!+#REF!+#REF!+#REF!</f>
        <v>#REF!</v>
      </c>
      <c r="CA13" s="5" t="e">
        <f>+#REF!+#REF!+#REF!+#REF!+#REF!+#REF!+#REF!+#REF!+#REF!+#REF!+#REF!+#REF!</f>
        <v>#REF!</v>
      </c>
      <c r="CB13" s="5" t="e">
        <f t="shared" si="38"/>
        <v>#REF!</v>
      </c>
      <c r="CC13" s="33"/>
      <c r="CD13" s="2683"/>
      <c r="CF13" s="4" t="e">
        <f t="shared" si="39"/>
        <v>#REF!</v>
      </c>
      <c r="CG13" s="5" t="e">
        <f t="shared" si="5"/>
        <v>#REF!</v>
      </c>
      <c r="CH13" s="5" t="e">
        <f t="shared" si="5"/>
        <v>#REF!</v>
      </c>
      <c r="CI13" s="5" t="e">
        <f t="shared" si="5"/>
        <v>#REF!</v>
      </c>
      <c r="CJ13" s="5" t="e">
        <f t="shared" si="5"/>
        <v>#REF!</v>
      </c>
      <c r="CK13" s="5" t="e">
        <f t="shared" si="5"/>
        <v>#REF!</v>
      </c>
      <c r="CL13" s="33" t="e">
        <f t="shared" si="40"/>
        <v>#REF!</v>
      </c>
      <c r="CM13" s="2685"/>
      <c r="CN13" s="9" t="e">
        <f>+#REF!+#REF!+#REF!+#REF!+#REF!+#REF!+#REF!+#REF!+#REF!+#REF!+#REF!+#REF!</f>
        <v>#REF!</v>
      </c>
      <c r="CO13" s="5" t="e">
        <f>+#REF!+#REF!+#REF!+#REF!+#REF!+#REF!+#REF!+#REF!+#REF!+#REF!+#REF!+#REF!</f>
        <v>#REF!</v>
      </c>
      <c r="CP13" s="5" t="e">
        <f>+#REF!+#REF!+#REF!+#REF!+#REF!+#REF!+#REF!+#REF!+#REF!+#REF!+#REF!+#REF!</f>
        <v>#REF!</v>
      </c>
      <c r="CQ13" s="5" t="e">
        <f>+#REF!+#REF!+#REF!+#REF!+#REF!+#REF!+#REF!+#REF!+#REF!+#REF!+#REF!+#REF!</f>
        <v>#REF!</v>
      </c>
      <c r="CR13" s="5" t="e">
        <f>+#REF!+#REF!+#REF!+#REF!+#REF!+#REF!+#REF!+#REF!+#REF!+#REF!+#REF!+#REF!</f>
        <v>#REF!</v>
      </c>
      <c r="CS13" s="5" t="e">
        <f>+#REF!+#REF!+#REF!+#REF!+#REF!+#REF!+#REF!+#REF!+#REF!+#REF!+#REF!+#REF!</f>
        <v>#REF!</v>
      </c>
      <c r="CT13" s="28" t="e">
        <f t="shared" si="41"/>
        <v>#REF!</v>
      </c>
      <c r="CU13" s="36" t="e">
        <f>+#REF!+#REF!+#REF!+#REF!+#REF!+#REF!+#REF!+#REF!+#REF!+#REF!+#REF!+#REF!</f>
        <v>#REF!</v>
      </c>
      <c r="CV13" s="27" t="e">
        <f>+#REF!+#REF!+#REF!+#REF!+#REF!+#REF!+#REF!+#REF!+#REF!+#REF!+#REF!+#REF!</f>
        <v>#REF!</v>
      </c>
      <c r="CW13" s="27" t="e">
        <f>+#REF!+#REF!+#REF!+#REF!+#REF!+#REF!+#REF!+#REF!+#REF!+#REF!+#REF!+#REF!</f>
        <v>#REF!</v>
      </c>
      <c r="CX13" s="27" t="e">
        <f>+#REF!+#REF!+#REF!+#REF!+#REF!+#REF!+#REF!+#REF!+#REF!+#REF!+#REF!+#REF!</f>
        <v>#REF!</v>
      </c>
      <c r="CY13" s="27" t="e">
        <f>+#REF!+#REF!+#REF!+#REF!+#REF!+#REF!+#REF!+#REF!+#REF!+#REF!+#REF!+#REF!</f>
        <v>#REF!</v>
      </c>
      <c r="CZ13" s="27" t="e">
        <f>+#REF!+#REF!+#REF!+#REF!+#REF!+#REF!+#REF!+#REF!+#REF!+#REF!+#REF!+#REF!</f>
        <v>#REF!</v>
      </c>
      <c r="DA13" s="28" t="e">
        <f t="shared" si="42"/>
        <v>#REF!</v>
      </c>
      <c r="DB13" s="36" t="e">
        <f>+#REF!+#REF!+#REF!+#REF!+#REF!+#REF!+#REF!+#REF!+#REF!+#REF!+#REF!+#REF!</f>
        <v>#REF!</v>
      </c>
      <c r="DC13" s="27" t="e">
        <f>+#REF!+#REF!+#REF!+#REF!+#REF!+#REF!+#REF!+#REF!+#REF!+#REF!+#REF!+#REF!</f>
        <v>#REF!</v>
      </c>
      <c r="DD13" s="27" t="e">
        <f>+#REF!+#REF!+#REF!+#REF!+#REF!+#REF!+#REF!+#REF!+#REF!+#REF!+#REF!+#REF!</f>
        <v>#REF!</v>
      </c>
      <c r="DE13" s="27" t="e">
        <f>+#REF!+#REF!+#REF!+#REF!+#REF!+#REF!+#REF!+#REF!+#REF!+#REF!+#REF!+#REF!</f>
        <v>#REF!</v>
      </c>
      <c r="DF13" s="27" t="e">
        <f>+#REF!+#REF!+#REF!+#REF!+#REF!+#REF!+#REF!+#REF!+#REF!+#REF!+#REF!+#REF!</f>
        <v>#REF!</v>
      </c>
      <c r="DG13" s="27" t="e">
        <f>+#REF!+#REF!+#REF!+#REF!+#REF!+#REF!+#REF!+#REF!+#REF!+#REF!+#REF!+#REF!</f>
        <v>#REF!</v>
      </c>
      <c r="DH13" s="28" t="e">
        <f t="shared" si="43"/>
        <v>#REF!</v>
      </c>
      <c r="DI13" s="36" t="e">
        <f>+#REF!+#REF!+#REF!+#REF!+#REF!+#REF!+#REF!+#REF!+#REF!+#REF!+#REF!+#REF!</f>
        <v>#REF!</v>
      </c>
      <c r="DJ13" s="27" t="e">
        <f>+#REF!+#REF!+#REF!+#REF!+#REF!+#REF!+#REF!+#REF!+#REF!+#REF!+#REF!+#REF!</f>
        <v>#REF!</v>
      </c>
      <c r="DK13" s="27" t="e">
        <f>+#REF!+#REF!+#REF!+#REF!+#REF!+#REF!+#REF!+#REF!+#REF!+#REF!+#REF!+#REF!</f>
        <v>#REF!</v>
      </c>
      <c r="DL13" s="27" t="e">
        <f>+#REF!+#REF!+#REF!+#REF!+#REF!+#REF!+#REF!+#REF!+#REF!+#REF!+#REF!+#REF!</f>
        <v>#REF!</v>
      </c>
      <c r="DM13" s="27" t="e">
        <f>+#REF!+#REF!+#REF!+#REF!+#REF!+#REF!+#REF!+#REF!+#REF!+#REF!+#REF!+#REF!</f>
        <v>#REF!</v>
      </c>
      <c r="DN13" s="27" t="e">
        <f>+#REF!+#REF!+#REF!+#REF!+#REF!+#REF!+#REF!+#REF!+#REF!+#REF!+#REF!+#REF!</f>
        <v>#REF!</v>
      </c>
      <c r="DO13" s="33" t="e">
        <f t="shared" si="44"/>
        <v>#REF!</v>
      </c>
      <c r="DP13" s="2685"/>
      <c r="DR13" s="4" t="e">
        <f t="shared" si="45"/>
        <v>#REF!</v>
      </c>
      <c r="DS13" s="5" t="e">
        <f t="shared" si="46"/>
        <v>#REF!</v>
      </c>
      <c r="DT13" s="5" t="e">
        <f t="shared" si="47"/>
        <v>#REF!</v>
      </c>
      <c r="DU13" s="12" t="e">
        <f t="shared" si="48"/>
        <v>#REF!</v>
      </c>
      <c r="DV13" s="33"/>
      <c r="DW13" s="2674"/>
      <c r="DX13" s="9" t="e">
        <f>+#REF!+#REF!+#REF!+#REF!+#REF!+#REF!+#REF!+#REF!+#REF!+#REF!+#REF!+#REF!</f>
        <v>#REF!</v>
      </c>
      <c r="DY13" s="5" t="e">
        <f>+#REF!+#REF!+#REF!+#REF!+#REF!+#REF!+#REF!+#REF!+#REF!+#REF!+#REF!+#REF!</f>
        <v>#REF!</v>
      </c>
      <c r="DZ13" s="5" t="e">
        <f>+#REF!+#REF!+#REF!+#REF!+#REF!+#REF!+#REF!+#REF!+#REF!+#REF!+#REF!+#REF!</f>
        <v>#REF!</v>
      </c>
      <c r="EA13" s="5" t="e">
        <f>+#REF!+#REF!+#REF!+#REF!+#REF!+#REF!+#REF!+#REF!+#REF!+#REF!+#REF!+#REF!</f>
        <v>#REF!</v>
      </c>
      <c r="EB13" s="5" t="e">
        <f>+#REF!+#REF!+#REF!+#REF!+#REF!+#REF!+#REF!+#REF!+#REF!+#REF!+#REF!+#REF!</f>
        <v>#REF!</v>
      </c>
      <c r="EC13" s="27" t="e">
        <f>+#REF!+#REF!+#REF!+#REF!+#REF!+#REF!+#REF!+#REF!+#REF!+#REF!+#REF!+#REF!</f>
        <v>#REF!</v>
      </c>
      <c r="ED13" s="28" t="e">
        <f t="shared" si="49"/>
        <v>#REF!</v>
      </c>
      <c r="EE13" s="36" t="e">
        <f>+#REF!+#REF!+#REF!+#REF!+#REF!+#REF!+#REF!+#REF!+#REF!+#REF!+#REF!+#REF!</f>
        <v>#REF!</v>
      </c>
      <c r="EF13" s="27" t="e">
        <f>+#REF!+#REF!+#REF!+#REF!+#REF!+#REF!+#REF!+#REF!+#REF!+#REF!+#REF!+#REF!</f>
        <v>#REF!</v>
      </c>
      <c r="EG13" s="27" t="e">
        <f>+#REF!+#REF!+#REF!+#REF!+#REF!+#REF!+#REF!+#REF!+#REF!+#REF!+#REF!+#REF!</f>
        <v>#REF!</v>
      </c>
      <c r="EH13" s="27" t="e">
        <f>+#REF!+#REF!+#REF!+#REF!+#REF!+#REF!+#REF!+#REF!+#REF!+#REF!+#REF!+#REF!</f>
        <v>#REF!</v>
      </c>
      <c r="EI13" s="27" t="e">
        <f>+#REF!+#REF!+#REF!+#REF!+#REF!+#REF!+#REF!+#REF!+#REF!+#REF!+#REF!+#REF!</f>
        <v>#REF!</v>
      </c>
      <c r="EJ13" s="27" t="e">
        <f>+#REF!+#REF!+#REF!+#REF!+#REF!+#REF!+#REF!+#REF!+#REF!+#REF!+#REF!+#REF!</f>
        <v>#REF!</v>
      </c>
      <c r="EK13" s="28" t="e">
        <f t="shared" si="50"/>
        <v>#REF!</v>
      </c>
      <c r="EL13" s="36" t="e">
        <f>+#REF!+#REF!+#REF!+#REF!+#REF!+#REF!+#REF!+#REF!+#REF!+#REF!+#REF!+#REF!</f>
        <v>#REF!</v>
      </c>
      <c r="EM13" s="27" t="e">
        <f>+#REF!+#REF!+#REF!+#REF!+#REF!+#REF!+#REF!+#REF!+#REF!+#REF!+#REF!+#REF!</f>
        <v>#REF!</v>
      </c>
      <c r="EN13" s="27" t="e">
        <f>+#REF!+#REF!+#REF!+#REF!+#REF!+#REF!+#REF!+#REF!+#REF!+#REF!+#REF!+#REF!</f>
        <v>#REF!</v>
      </c>
      <c r="EO13" s="27" t="e">
        <f>+#REF!+#REF!+#REF!+#REF!+#REF!+#REF!+#REF!+#REF!+#REF!+#REF!+#REF!+#REF!</f>
        <v>#REF!</v>
      </c>
      <c r="EP13" s="27" t="e">
        <f>+#REF!+#REF!+#REF!+#REF!+#REF!+#REF!+#REF!+#REF!+#REF!+#REF!+#REF!+#REF!</f>
        <v>#REF!</v>
      </c>
      <c r="EQ13" s="27" t="e">
        <f>+#REF!+#REF!+#REF!+#REF!+#REF!+#REF!+#REF!+#REF!+#REF!+#REF!+#REF!+#REF!</f>
        <v>#REF!</v>
      </c>
      <c r="ER13" s="33" t="e">
        <f t="shared" si="51"/>
        <v>#REF!</v>
      </c>
      <c r="ES13" s="2674"/>
      <c r="EU13" s="4" t="e">
        <f t="shared" si="52"/>
        <v>#REF!</v>
      </c>
      <c r="EV13" s="5" t="e">
        <f t="shared" si="53"/>
        <v>#REF!</v>
      </c>
      <c r="EW13" s="27" t="e">
        <f t="shared" si="54"/>
        <v>#REF!</v>
      </c>
      <c r="EX13" s="27" t="e">
        <f t="shared" si="55"/>
        <v>#REF!</v>
      </c>
      <c r="EY13" s="141"/>
      <c r="EZ13" s="141"/>
      <c r="FA13" s="33"/>
      <c r="FB13" s="2667"/>
      <c r="FC13" s="36" t="e">
        <f>+#REF!+#REF!+#REF!+#REF!+#REF!+#REF!+#REF!+#REF!+#REF!+#REF!+#REF!+#REF!</f>
        <v>#REF!</v>
      </c>
      <c r="FD13" s="27" t="e">
        <f>+#REF!+#REF!+#REF!+#REF!+#REF!+#REF!+#REF!+#REF!+#REF!+#REF!+#REF!+#REF!</f>
        <v>#REF!</v>
      </c>
      <c r="FE13" s="27"/>
      <c r="FF13" s="27"/>
      <c r="FG13" s="33" t="e">
        <f t="shared" si="56"/>
        <v>#REF!</v>
      </c>
      <c r="FH13" s="2667"/>
      <c r="FI13" s="36" t="e">
        <f>+#REF!+#REF!+#REF!+#REF!+#REF!+#REF!+#REF!+#REF!+#REF!+#REF!+#REF!+#REF!</f>
        <v>#REF!</v>
      </c>
      <c r="FJ13" s="27" t="e">
        <f>+#REF!+#REF!+#REF!+#REF!+#REF!+#REF!+#REF!+#REF!+#REF!+#REF!+#REF!+#REF!</f>
        <v>#REF!</v>
      </c>
      <c r="FK13" s="27" t="e">
        <f>+#REF!+#REF!+#REF!+#REF!+#REF!+#REF!+#REF!+#REF!+#REF!+#REF!+#REF!+#REF!</f>
        <v>#REF!</v>
      </c>
      <c r="FL13" s="27" t="e">
        <f>+#REF!+#REF!+#REF!+#REF!+#REF!+#REF!+#REF!+#REF!+#REF!+#REF!+#REF!+#REF!</f>
        <v>#REF!</v>
      </c>
      <c r="FM13" s="27" t="e">
        <f>+#REF!+#REF!+#REF!+#REF!+#REF!+#REF!+#REF!+#REF!+#REF!+#REF!+#REF!+#REF!</f>
        <v>#REF!</v>
      </c>
      <c r="FN13" s="27" t="e">
        <f>+#REF!+#REF!+#REF!+#REF!+#REF!+#REF!+#REF!+#REF!+#REF!+#REF!+#REF!+#REF!</f>
        <v>#REF!</v>
      </c>
      <c r="FO13" s="27" t="e">
        <f>+#REF!+#REF!+#REF!+#REF!+#REF!+#REF!+#REF!+#REF!+#REF!+#REF!+#REF!+#REF!</f>
        <v>#REF!</v>
      </c>
      <c r="FP13" s="27" t="e">
        <f>+#REF!+#REF!+#REF!+#REF!+#REF!+#REF!+#REF!+#REF!+#REF!+#REF!+#REF!+#REF!</f>
        <v>#REF!</v>
      </c>
      <c r="FQ13" s="28" t="e">
        <f t="shared" si="80"/>
        <v>#REF!</v>
      </c>
      <c r="FR13" s="26" t="e">
        <f>+#REF!+#REF!+#REF!+#REF!+#REF!+#REF!+#REF!+#REF!+#REF!+#REF!+#REF!+#REF!</f>
        <v>#REF!</v>
      </c>
      <c r="FS13" s="27" t="e">
        <f>+#REF!+#REF!+#REF!+#REF!+#REF!+#REF!+#REF!+#REF!+#REF!+#REF!+#REF!+#REF!</f>
        <v>#REF!</v>
      </c>
      <c r="FT13" s="27" t="e">
        <f>+#REF!+#REF!+#REF!+#REF!+#REF!+#REF!+#REF!+#REF!+#REF!+#REF!+#REF!+#REF!</f>
        <v>#REF!</v>
      </c>
      <c r="FU13" s="27" t="e">
        <f>+#REF!+#REF!+#REF!+#REF!+#REF!+#REF!+#REF!+#REF!+#REF!+#REF!+#REF!+#REF!</f>
        <v>#REF!</v>
      </c>
      <c r="FV13" s="27" t="e">
        <f>+#REF!+#REF!+#REF!+#REF!+#REF!+#REF!+#REF!+#REF!+#REF!+#REF!+#REF!+#REF!</f>
        <v>#REF!</v>
      </c>
      <c r="FW13" s="27" t="e">
        <f>+#REF!+#REF!+#REF!+#REF!+#REF!+#REF!+#REF!+#REF!+#REF!+#REF!+#REF!+#REF!</f>
        <v>#REF!</v>
      </c>
      <c r="FX13" s="27" t="e">
        <f>+#REF!+#REF!+#REF!+#REF!+#REF!+#REF!+#REF!+#REF!+#REF!+#REF!+#REF!+#REF!</f>
        <v>#REF!</v>
      </c>
      <c r="FY13" s="27" t="e">
        <f>+#REF!+#REF!+#REF!+#REF!+#REF!+#REF!+#REF!+#REF!+#REF!+#REF!+#REF!+#REF!</f>
        <v>#REF!</v>
      </c>
      <c r="FZ13" s="28" t="e">
        <f t="shared" si="57"/>
        <v>#REF!</v>
      </c>
      <c r="GA13" s="36" t="e">
        <f>+#REF!+#REF!+#REF!+#REF!+#REF!+#REF!+#REF!+#REF!+#REF!+#REF!+#REF!+#REF!</f>
        <v>#REF!</v>
      </c>
      <c r="GB13" s="27" t="e">
        <f>+#REF!+#REF!+#REF!+#REF!+#REF!+#REF!+#REF!+#REF!+#REF!+#REF!+#REF!+#REF!</f>
        <v>#REF!</v>
      </c>
      <c r="GC13" s="27" t="e">
        <f>+#REF!+#REF!+#REF!+#REF!+#REF!+#REF!+#REF!+#REF!+#REF!+#REF!+#REF!+#REF!</f>
        <v>#REF!</v>
      </c>
      <c r="GD13" s="27" t="e">
        <f>+#REF!+#REF!+#REF!+#REF!+#REF!+#REF!+#REF!+#REF!+#REF!+#REF!+#REF!+#REF!</f>
        <v>#REF!</v>
      </c>
      <c r="GE13" s="27" t="e">
        <f>+#REF!+#REF!+#REF!+#REF!+#REF!+#REF!+#REF!+#REF!+#REF!+#REF!+#REF!+#REF!</f>
        <v>#REF!</v>
      </c>
      <c r="GF13" s="27" t="e">
        <f>+#REF!+#REF!+#REF!+#REF!+#REF!+#REF!+#REF!+#REF!+#REF!+#REF!+#REF!+#REF!</f>
        <v>#REF!</v>
      </c>
      <c r="GG13" s="27" t="e">
        <f>+#REF!+#REF!+#REF!+#REF!+#REF!+#REF!+#REF!+#REF!+#REF!+#REF!+#REF!+#REF!</f>
        <v>#REF!</v>
      </c>
      <c r="GH13" s="27" t="e">
        <f>+#REF!+#REF!+#REF!+#REF!+#REF!+#REF!+#REF!+#REF!+#REF!+#REF!+#REF!+#REF!</f>
        <v>#REF!</v>
      </c>
      <c r="GI13" s="33" t="e">
        <f t="shared" si="58"/>
        <v>#REF!</v>
      </c>
      <c r="GJ13" s="2667"/>
      <c r="GL13" s="26" t="e">
        <f>+#REF!+#REF!+#REF!+#REF!+#REF!+#REF!+#REF!+#REF!+#REF!+#REF!+#REF!+#REF!</f>
        <v>#REF!</v>
      </c>
      <c r="GM13" s="36" t="e">
        <f>+#REF!+#REF!+#REF!+#REF!+#REF!+#REF!+#REF!+#REF!+#REF!+#REF!+#REF!+#REF!</f>
        <v>#REF!</v>
      </c>
      <c r="GN13" s="27" t="e">
        <f>+#REF!+#REF!+#REF!+#REF!+#REF!+#REF!+#REF!+#REF!+#REF!+#REF!+#REF!+#REF!</f>
        <v>#REF!</v>
      </c>
      <c r="GO13" s="27" t="e">
        <f t="shared" si="59"/>
        <v>#REF!</v>
      </c>
      <c r="GP13" s="33"/>
      <c r="GQ13" s="2669"/>
      <c r="GR13" s="69"/>
      <c r="GS13" s="70"/>
      <c r="GT13" s="70"/>
      <c r="GU13" s="70"/>
      <c r="GV13" s="70"/>
      <c r="GW13" s="70"/>
      <c r="GX13" s="70"/>
      <c r="GY13" s="71"/>
      <c r="GZ13" s="69"/>
      <c r="HA13" s="70"/>
      <c r="HB13" s="70"/>
      <c r="HC13" s="70"/>
      <c r="HD13" s="70"/>
      <c r="HE13" s="70"/>
      <c r="HF13" s="70"/>
      <c r="HG13" s="71"/>
      <c r="HH13" s="69"/>
      <c r="HI13" s="70"/>
      <c r="HJ13" s="70"/>
      <c r="HK13" s="70"/>
      <c r="HL13" s="70"/>
      <c r="HM13" s="70"/>
      <c r="HN13" s="70"/>
      <c r="HO13" s="70"/>
      <c r="HP13" s="33"/>
      <c r="HQ13" s="2669"/>
      <c r="HR13" s="36"/>
      <c r="HS13" s="53"/>
      <c r="HT13" s="53"/>
      <c r="HU13" s="53"/>
      <c r="HV13" s="61"/>
      <c r="HW13" s="36"/>
      <c r="HX13" s="53"/>
      <c r="HY13" s="53"/>
      <c r="HZ13" s="53"/>
      <c r="IA13" s="61"/>
      <c r="IB13" s="36"/>
      <c r="IC13" s="53"/>
      <c r="ID13" s="53"/>
      <c r="IE13" s="53"/>
      <c r="IF13" s="53"/>
      <c r="IG13" s="33"/>
      <c r="IH13" s="2669"/>
      <c r="IJ13" s="26" t="e">
        <f t="shared" si="60"/>
        <v>#REF!</v>
      </c>
      <c r="IK13" s="36" t="e">
        <f t="shared" si="6"/>
        <v>#REF!</v>
      </c>
      <c r="IL13" s="27" t="e">
        <f t="shared" si="6"/>
        <v>#REF!</v>
      </c>
      <c r="IM13" s="28" t="e">
        <f t="shared" si="61"/>
        <v>#REF!</v>
      </c>
      <c r="IN13" s="36"/>
      <c r="IO13" s="27"/>
      <c r="IP13" s="27"/>
      <c r="IQ13" s="33"/>
      <c r="IR13" s="55"/>
      <c r="IS13" s="21"/>
      <c r="IT13" s="2688"/>
      <c r="IU13" s="36" t="e">
        <f>+#REF!+#REF!+#REF!+#REF!+#REF!+#REF!+#REF!+#REF!+#REF!+#REF!+#REF!+#REF!</f>
        <v>#REF!</v>
      </c>
      <c r="IV13" s="36" t="e">
        <f>+#REF!+#REF!+#REF!+#REF!+#REF!+#REF!+#REF!+#REF!+#REF!+#REF!+#REF!+#REF!</f>
        <v>#REF!</v>
      </c>
      <c r="IW13" s="27" t="e">
        <f>+#REF!+#REF!+#REF!+#REF!+#REF!+#REF!+#REF!+#REF!+#REF!+#REF!+#REF!+#REF!</f>
        <v>#REF!</v>
      </c>
      <c r="IX13" s="27" t="e">
        <f>+#REF!+#REF!+#REF!+#REF!+#REF!+#REF!+#REF!+#REF!+#REF!+#REF!+#REF!+#REF!</f>
        <v>#REF!</v>
      </c>
      <c r="IY13" s="27" t="e">
        <f>+#REF!+#REF!+#REF!+#REF!+#REF!+#REF!+#REF!+#REF!+#REF!+#REF!+#REF!+#REF!</f>
        <v>#REF!</v>
      </c>
      <c r="IZ13" s="28" t="e">
        <f t="shared" si="62"/>
        <v>#REF!</v>
      </c>
      <c r="JA13" s="26" t="e">
        <f>+#REF!+#REF!+#REF!+#REF!+#REF!+#REF!+#REF!+#REF!+#REF!+#REF!+#REF!+#REF!</f>
        <v>#REF!</v>
      </c>
      <c r="JB13" s="36" t="e">
        <f>+#REF!+#REF!+#REF!+#REF!+#REF!+#REF!+#REF!+#REF!+#REF!+#REF!+#REF!+#REF!</f>
        <v>#REF!</v>
      </c>
      <c r="JC13" s="27" t="e">
        <f>+#REF!+#REF!+#REF!+#REF!+#REF!+#REF!+#REF!+#REF!+#REF!+#REF!+#REF!+#REF!</f>
        <v>#REF!</v>
      </c>
      <c r="JD13" s="27" t="e">
        <f>+#REF!+#REF!+#REF!+#REF!+#REF!+#REF!+#REF!+#REF!+#REF!+#REF!+#REF!+#REF!</f>
        <v>#REF!</v>
      </c>
      <c r="JE13" s="28" t="e">
        <f>+#REF!+#REF!+#REF!+#REF!+#REF!+#REF!+#REF!+#REF!+#REF!+#REF!+#REF!+#REF!</f>
        <v>#REF!</v>
      </c>
      <c r="JF13" s="26" t="e">
        <f>+#REF!+#REF!+#REF!+#REF!+#REF!+#REF!+#REF!+#REF!+#REF!+#REF!+#REF!+#REF!</f>
        <v>#REF!</v>
      </c>
      <c r="JG13" s="36" t="e">
        <f>+#REF!+#REF!+#REF!+#REF!+#REF!+#REF!+#REF!+#REF!+#REF!+#REF!+#REF!+#REF!</f>
        <v>#REF!</v>
      </c>
      <c r="JH13" s="27" t="e">
        <f>+#REF!+#REF!+#REF!+#REF!+#REF!+#REF!+#REF!+#REF!+#REF!+#REF!+#REF!+#REF!</f>
        <v>#REF!</v>
      </c>
      <c r="JI13" s="27" t="e">
        <f>+#REF!+#REF!+#REF!+#REF!+#REF!+#REF!+#REF!+#REF!+#REF!+#REF!+#REF!+#REF!</f>
        <v>#REF!</v>
      </c>
      <c r="JJ13" s="27" t="e">
        <f>+#REF!+#REF!+#REF!+#REF!+#REF!+#REF!+#REF!+#REF!+#REF!+#REF!+#REF!+#REF!</f>
        <v>#REF!</v>
      </c>
      <c r="JK13" s="28" t="e">
        <f t="shared" si="63"/>
        <v>#REF!</v>
      </c>
      <c r="JL13" s="26" t="e">
        <f>+#REF!+#REF!+#REF!+#REF!+#REF!+#REF!+#REF!+#REF!+#REF!+#REF!+#REF!+#REF!</f>
        <v>#REF!</v>
      </c>
      <c r="JM13" s="36" t="e">
        <f>+#REF!+#REF!+#REF!+#REF!+#REF!+#REF!+#REF!+#REF!+#REF!+#REF!+#REF!+#REF!</f>
        <v>#REF!</v>
      </c>
      <c r="JN13" s="27" t="e">
        <f>+#REF!+#REF!+#REF!+#REF!+#REF!+#REF!+#REF!+#REF!+#REF!+#REF!+#REF!+#REF!</f>
        <v>#REF!</v>
      </c>
      <c r="JO13" s="27" t="e">
        <f>+#REF!+#REF!+#REF!+#REF!+#REF!+#REF!+#REF!+#REF!+#REF!+#REF!+#REF!+#REF!</f>
        <v>#REF!</v>
      </c>
      <c r="JP13" s="28" t="e">
        <f>+#REF!+#REF!+#REF!+#REF!+#REF!+#REF!+#REF!+#REF!+#REF!+#REF!+#REF!+#REF!</f>
        <v>#REF!</v>
      </c>
      <c r="JQ13" s="275" t="e">
        <f t="shared" si="64"/>
        <v>#REF!</v>
      </c>
      <c r="JR13" s="36" t="e">
        <f>+#REF!+#REF!+#REF!+#REF!+#REF!+#REF!+#REF!+#REF!+#REF!+#REF!+#REF!+#REF!</f>
        <v>#REF!</v>
      </c>
      <c r="JS13" s="36" t="e">
        <f>+#REF!+#REF!+#REF!+#REF!+#REF!+#REF!+#REF!+#REF!+#REF!+#REF!+#REF!+#REF!</f>
        <v>#REF!</v>
      </c>
      <c r="JT13" s="27" t="e">
        <f>+#REF!+#REF!+#REF!+#REF!+#REF!+#REF!+#REF!+#REF!+#REF!+#REF!+#REF!+#REF!</f>
        <v>#REF!</v>
      </c>
      <c r="JU13" s="27" t="e">
        <f>+#REF!+#REF!+#REF!+#REF!+#REF!+#REF!+#REF!+#REF!+#REF!+#REF!+#REF!+#REF!</f>
        <v>#REF!</v>
      </c>
      <c r="JV13" s="27" t="e">
        <f>+#REF!+#REF!+#REF!+#REF!+#REF!+#REF!+#REF!+#REF!+#REF!+#REF!+#REF!+#REF!</f>
        <v>#REF!</v>
      </c>
      <c r="JW13" s="33" t="e">
        <f t="shared" si="65"/>
        <v>#REF!</v>
      </c>
      <c r="JX13" s="2688"/>
      <c r="JZ13" s="26" t="e">
        <f t="shared" si="66"/>
        <v>#REF!</v>
      </c>
      <c r="KA13" s="27" t="e">
        <f t="shared" si="67"/>
        <v>#REF!</v>
      </c>
      <c r="KB13" s="27" t="e">
        <f t="shared" si="68"/>
        <v>#REF!</v>
      </c>
      <c r="KC13" s="33" t="e">
        <f t="shared" si="69"/>
        <v>#REF!</v>
      </c>
      <c r="KD13" s="2621"/>
      <c r="KE13" s="36" t="e">
        <f t="shared" si="7"/>
        <v>#REF!</v>
      </c>
      <c r="KF13" s="36" t="e">
        <f t="shared" si="7"/>
        <v>#REF!</v>
      </c>
      <c r="KG13" s="27" t="e">
        <f t="shared" si="7"/>
        <v>#REF!</v>
      </c>
      <c r="KH13" s="28" t="e">
        <f t="shared" si="81"/>
        <v>#REF!</v>
      </c>
      <c r="KI13" s="36" t="e">
        <f t="shared" si="82"/>
        <v>#REF!</v>
      </c>
      <c r="KJ13" s="27" t="e">
        <f t="shared" si="8"/>
        <v>#REF!</v>
      </c>
      <c r="KK13" s="27" t="e">
        <f t="shared" si="8"/>
        <v>#REF!</v>
      </c>
      <c r="KL13" s="27" t="e">
        <f t="shared" si="8"/>
        <v>#REF!</v>
      </c>
      <c r="KM13" s="27" t="e">
        <f t="shared" si="8"/>
        <v>#REF!</v>
      </c>
      <c r="KN13" s="27" t="e">
        <f t="shared" si="8"/>
        <v>#REF!</v>
      </c>
      <c r="KO13" s="28" t="e">
        <f t="shared" si="83"/>
        <v>#REF!</v>
      </c>
      <c r="KP13" s="36" t="e">
        <f t="shared" si="9"/>
        <v>#REF!</v>
      </c>
      <c r="KQ13" s="27" t="e">
        <f t="shared" si="9"/>
        <v>#REF!</v>
      </c>
      <c r="KR13" s="27" t="e">
        <f t="shared" si="9"/>
        <v>#REF!</v>
      </c>
      <c r="KS13" s="27" t="e">
        <f t="shared" si="9"/>
        <v>#REF!</v>
      </c>
      <c r="KT13" s="27" t="e">
        <f t="shared" si="9"/>
        <v>#REF!</v>
      </c>
      <c r="KU13" s="27" t="e">
        <f t="shared" si="9"/>
        <v>#REF!</v>
      </c>
      <c r="KV13" s="28" t="e">
        <f t="shared" si="84"/>
        <v>#REF!</v>
      </c>
      <c r="KW13" s="36" t="e">
        <f t="shared" si="10"/>
        <v>#REF!</v>
      </c>
      <c r="KX13" s="27" t="e">
        <f t="shared" si="10"/>
        <v>#REF!</v>
      </c>
      <c r="KY13" s="27" t="e">
        <f t="shared" si="10"/>
        <v>#REF!</v>
      </c>
      <c r="KZ13" s="27" t="e">
        <f t="shared" si="10"/>
        <v>#REF!</v>
      </c>
      <c r="LA13" s="27" t="e">
        <f t="shared" si="10"/>
        <v>#REF!</v>
      </c>
      <c r="LB13" s="27" t="e">
        <f t="shared" si="10"/>
        <v>#REF!</v>
      </c>
      <c r="LC13" s="28" t="e">
        <f t="shared" si="85"/>
        <v>#REF!</v>
      </c>
      <c r="LD13" s="36"/>
      <c r="LE13" s="27"/>
      <c r="LF13" s="27"/>
      <c r="LG13" s="27"/>
      <c r="LH13" s="27"/>
      <c r="LI13" s="27"/>
      <c r="LJ13" s="28">
        <f t="shared" si="70"/>
        <v>0</v>
      </c>
      <c r="LK13" s="36" t="e">
        <f t="shared" si="11"/>
        <v>#REF!</v>
      </c>
      <c r="LL13" s="27" t="e">
        <f t="shared" si="11"/>
        <v>#REF!</v>
      </c>
      <c r="LM13" s="27" t="e">
        <f t="shared" si="11"/>
        <v>#REF!</v>
      </c>
      <c r="LN13" s="27" t="e">
        <f t="shared" si="11"/>
        <v>#REF!</v>
      </c>
      <c r="LO13" s="27" t="e">
        <f t="shared" si="11"/>
        <v>#REF!</v>
      </c>
      <c r="LP13" s="27" t="e">
        <f t="shared" si="11"/>
        <v>#REF!</v>
      </c>
      <c r="LQ13" s="33" t="e">
        <f t="shared" si="71"/>
        <v>#REF!</v>
      </c>
      <c r="LR13" s="2621"/>
      <c r="LT13" s="4" t="e">
        <f>+#REF!+#REF!+#REF!+#REF!+#REF!+#REF!+#REF!+#REF!+#REF!+#REF!+#REF!+#REF!</f>
        <v>#REF!</v>
      </c>
      <c r="LU13" s="5" t="e">
        <f>+#REF!+#REF!+#REF!+#REF!+#REF!+#REF!+#REF!+#REF!+#REF!+#REF!+#REF!+#REF!</f>
        <v>#REF!</v>
      </c>
      <c r="LV13" s="5" t="e">
        <f t="shared" si="72"/>
        <v>#REF!</v>
      </c>
      <c r="LW13" s="12" t="e">
        <f t="shared" si="86"/>
        <v>#REF!</v>
      </c>
      <c r="LX13" s="15"/>
      <c r="LY13" s="2615"/>
      <c r="MA13" s="4" t="e">
        <f>+#REF!+#REF!+#REF!+#REF!+#REF!+#REF!+#REF!+#REF!+#REF!+#REF!+#REF!+#REF!</f>
        <v>#REF!</v>
      </c>
      <c r="MB13" s="5" t="e">
        <f t="shared" si="73"/>
        <v>#REF!</v>
      </c>
      <c r="MC13" s="5" t="e">
        <f>+#REF!+#REF!+#REF!+#REF!+#REF!+#REF!+#REF!+#REF!+#REF!+#REF!+#REF!+#REF!</f>
        <v>#REF!</v>
      </c>
      <c r="MD13" s="5" t="e">
        <f t="shared" si="74"/>
        <v>#REF!</v>
      </c>
      <c r="ME13" s="12" t="e">
        <f t="shared" si="75"/>
        <v>#REF!</v>
      </c>
      <c r="MF13" s="12"/>
      <c r="MG13" s="2615"/>
      <c r="MI13" s="139" t="e">
        <f t="shared" si="76"/>
        <v>#REF!</v>
      </c>
      <c r="MJ13" s="139" t="e">
        <f t="shared" si="77"/>
        <v>#REF!</v>
      </c>
      <c r="ML13" s="139" t="e">
        <f t="shared" si="78"/>
        <v>#REF!</v>
      </c>
      <c r="MM13" s="139" t="e">
        <f>IF(GO13&gt;0,SUMPRODUCT(MV13:NA13,$HH$43:$HM$43),"")</f>
        <v>#REF!</v>
      </c>
      <c r="MO13" s="1">
        <f t="shared" si="12"/>
        <v>0</v>
      </c>
      <c r="MP13" s="1">
        <f t="shared" si="12"/>
        <v>0</v>
      </c>
      <c r="MQ13" s="1">
        <f t="shared" si="12"/>
        <v>0</v>
      </c>
      <c r="MR13" s="1">
        <f t="shared" si="12"/>
        <v>0</v>
      </c>
      <c r="MS13" s="1">
        <f t="shared" si="12"/>
        <v>0</v>
      </c>
      <c r="MT13" s="1">
        <f t="shared" si="12"/>
        <v>0</v>
      </c>
      <c r="MV13" s="1">
        <f t="shared" si="13"/>
        <v>0</v>
      </c>
      <c r="MW13" s="1">
        <f t="shared" si="13"/>
        <v>0</v>
      </c>
      <c r="MX13" s="1">
        <f t="shared" si="13"/>
        <v>0</v>
      </c>
      <c r="MY13" s="1">
        <f t="shared" si="13"/>
        <v>0</v>
      </c>
      <c r="MZ13" s="1">
        <f t="shared" si="13"/>
        <v>0</v>
      </c>
      <c r="NA13" s="1">
        <f t="shared" si="13"/>
        <v>0</v>
      </c>
    </row>
    <row r="14" spans="2:365" s="1" customFormat="1">
      <c r="B14" s="46">
        <v>5</v>
      </c>
      <c r="C14" s="4" t="e">
        <f t="shared" si="0"/>
        <v>#REF!</v>
      </c>
      <c r="D14" s="5" t="e">
        <f t="shared" si="1"/>
        <v>#REF!</v>
      </c>
      <c r="E14" s="61">
        <f t="shared" si="14"/>
        <v>0</v>
      </c>
      <c r="F14" s="52"/>
      <c r="G14" s="53"/>
      <c r="H14" s="53"/>
      <c r="I14" s="54"/>
      <c r="J14" s="2629"/>
      <c r="K14" s="9" t="e">
        <f t="shared" si="15"/>
        <v>#REF!</v>
      </c>
      <c r="L14" s="5" t="e">
        <f t="shared" si="2"/>
        <v>#REF!</v>
      </c>
      <c r="M14" s="64">
        <f t="shared" si="16"/>
        <v>0</v>
      </c>
      <c r="N14" s="28"/>
      <c r="O14" s="36" t="e">
        <f t="shared" si="17"/>
        <v>#REF!</v>
      </c>
      <c r="P14" s="27" t="e">
        <f t="shared" si="17"/>
        <v>#REF!</v>
      </c>
      <c r="Q14" s="53">
        <f t="shared" si="18"/>
        <v>0</v>
      </c>
      <c r="R14" s="28"/>
      <c r="S14" s="36" t="e">
        <f t="shared" si="19"/>
        <v>#REF!</v>
      </c>
      <c r="T14" s="27" t="e">
        <f t="shared" si="19"/>
        <v>#REF!</v>
      </c>
      <c r="U14" s="53">
        <f t="shared" si="3"/>
        <v>0</v>
      </c>
      <c r="V14" s="28"/>
      <c r="W14" s="36" t="e">
        <f t="shared" si="20"/>
        <v>#REF!</v>
      </c>
      <c r="X14" s="27" t="e">
        <f t="shared" si="4"/>
        <v>#REF!</v>
      </c>
      <c r="Y14" s="53">
        <f t="shared" si="21"/>
        <v>0</v>
      </c>
      <c r="Z14" s="28"/>
      <c r="AA14" s="26" t="e">
        <f t="shared" si="22"/>
        <v>#REF!</v>
      </c>
      <c r="AB14" s="27" t="e">
        <f t="shared" si="22"/>
        <v>#REF!</v>
      </c>
      <c r="AC14" s="53">
        <f t="shared" si="23"/>
        <v>0</v>
      </c>
      <c r="AD14" s="33"/>
      <c r="AE14" s="2629"/>
      <c r="AF14" s="9" t="e">
        <f>+#REF!+#REF!+#REF!+#REF!+#REF!+#REF!+#REF!+#REF!+#REF!+#REF!+#REF!+#REF!</f>
        <v>#REF!</v>
      </c>
      <c r="AG14" s="5" t="e">
        <f>+#REF!+#REF!+#REF!+#REF!+#REF!+#REF!+#REF!+#REF!+#REF!+#REF!+#REF!+#REF!</f>
        <v>#REF!</v>
      </c>
      <c r="AH14" s="61">
        <f t="shared" si="24"/>
        <v>0</v>
      </c>
      <c r="AI14" s="36" t="e">
        <f>+#REF!+#REF!+#REF!+#REF!+#REF!+#REF!+#REF!+#REF!+#REF!+#REF!+#REF!+#REF!</f>
        <v>#REF!</v>
      </c>
      <c r="AJ14" s="27" t="e">
        <f>+#REF!+#REF!+#REF!+#REF!+#REF!+#REF!+#REF!+#REF!+#REF!+#REF!+#REF!+#REF!</f>
        <v>#REF!</v>
      </c>
      <c r="AK14" s="61">
        <f t="shared" si="25"/>
        <v>0</v>
      </c>
      <c r="AL14" s="36" t="e">
        <f>+#REF!+#REF!+#REF!+#REF!+#REF!+#REF!+#REF!+#REF!+#REF!+#REF!+#REF!+#REF!</f>
        <v>#REF!</v>
      </c>
      <c r="AM14" s="27" t="e">
        <f>+#REF!+#REF!+#REF!+#REF!+#REF!+#REF!+#REF!+#REF!+#REF!+#REF!+#REF!+#REF!</f>
        <v>#REF!</v>
      </c>
      <c r="AN14" s="61">
        <f t="shared" si="26"/>
        <v>0</v>
      </c>
      <c r="AO14" s="36" t="e">
        <f>+#REF!+#REF!+#REF!+#REF!+#REF!+#REF!+#REF!+#REF!+#REF!+#REF!+#REF!+#REF!</f>
        <v>#REF!</v>
      </c>
      <c r="AP14" s="27" t="e">
        <f>+#REF!+#REF!+#REF!+#REF!+#REF!+#REF!+#REF!+#REF!+#REF!+#REF!+#REF!+#REF!</f>
        <v>#REF!</v>
      </c>
      <c r="AQ14" s="61">
        <f t="shared" si="27"/>
        <v>0</v>
      </c>
      <c r="AR14" s="36" t="e">
        <f>+#REF!+#REF!+#REF!+#REF!+#REF!+#REF!+#REF!+#REF!+#REF!+#REF!+#REF!+#REF!</f>
        <v>#REF!</v>
      </c>
      <c r="AS14" s="27" t="e">
        <f>+#REF!+#REF!+#REF!+#REF!+#REF!+#REF!+#REF!+#REF!+#REF!+#REF!+#REF!+#REF!</f>
        <v>#REF!</v>
      </c>
      <c r="AT14" s="61">
        <f t="shared" si="28"/>
        <v>0</v>
      </c>
      <c r="AU14" s="36" t="e">
        <f>+#REF!+#REF!+#REF!+#REF!+#REF!+#REF!+#REF!+#REF!+#REF!+#REF!+#REF!+#REF!</f>
        <v>#REF!</v>
      </c>
      <c r="AV14" s="27" t="e">
        <f>+#REF!+#REF!+#REF!+#REF!+#REF!+#REF!+#REF!+#REF!+#REF!+#REF!+#REF!+#REF!</f>
        <v>#REF!</v>
      </c>
      <c r="AW14" s="61">
        <f t="shared" si="29"/>
        <v>0</v>
      </c>
      <c r="AX14" s="36" t="e">
        <f>+#REF!+#REF!+#REF!+#REF!+#REF!+#REF!+#REF!+#REF!+#REF!+#REF!+#REF!+#REF!</f>
        <v>#REF!</v>
      </c>
      <c r="AY14" s="27" t="e">
        <f>+#REF!+#REF!+#REF!+#REF!+#REF!+#REF!+#REF!+#REF!+#REF!+#REF!+#REF!+#REF!</f>
        <v>#REF!</v>
      </c>
      <c r="AZ14" s="61">
        <f t="shared" si="30"/>
        <v>0</v>
      </c>
      <c r="BA14" s="36" t="e">
        <f>+#REF!+#REF!+#REF!+#REF!+#REF!+#REF!+#REF!+#REF!+#REF!+#REF!+#REF!+#REF!</f>
        <v>#REF!</v>
      </c>
      <c r="BB14" s="27" t="e">
        <f>+#REF!+#REF!+#REF!+#REF!+#REF!+#REF!+#REF!+#REF!+#REF!+#REF!+#REF!+#REF!</f>
        <v>#REF!</v>
      </c>
      <c r="BC14" s="61">
        <f t="shared" si="31"/>
        <v>0</v>
      </c>
      <c r="BD14" s="36" t="e">
        <f>+#REF!+#REF!+#REF!+#REF!+#REF!+#REF!+#REF!+#REF!+#REF!+#REF!+#REF!+#REF!</f>
        <v>#REF!</v>
      </c>
      <c r="BE14" s="27" t="e">
        <f>+#REF!+#REF!+#REF!+#REF!+#REF!+#REF!+#REF!+#REF!+#REF!+#REF!+#REF!+#REF!</f>
        <v>#REF!</v>
      </c>
      <c r="BF14" s="61">
        <f t="shared" si="32"/>
        <v>0</v>
      </c>
      <c r="BG14" s="36" t="e">
        <f>+#REF!+#REF!+#REF!+#REF!+#REF!+#REF!+#REF!+#REF!+#REF!+#REF!+#REF!+#REF!</f>
        <v>#REF!</v>
      </c>
      <c r="BH14" s="27" t="e">
        <f>+#REF!+#REF!+#REF!+#REF!+#REF!+#REF!+#REF!+#REF!+#REF!+#REF!+#REF!+#REF!</f>
        <v>#REF!</v>
      </c>
      <c r="BI14" s="61">
        <f t="shared" si="33"/>
        <v>0</v>
      </c>
      <c r="BJ14" s="36" t="e">
        <f>+#REF!+#REF!+#REF!+#REF!+#REF!+#REF!+#REF!+#REF!+#REF!+#REF!+#REF!+#REF!</f>
        <v>#REF!</v>
      </c>
      <c r="BK14" s="27" t="e">
        <f>+#REF!+#REF!+#REF!+#REF!+#REF!+#REF!+#REF!+#REF!+#REF!+#REF!+#REF!+#REF!</f>
        <v>#REF!</v>
      </c>
      <c r="BL14" s="61">
        <f t="shared" si="34"/>
        <v>0</v>
      </c>
      <c r="BM14" s="36" t="e">
        <f>+#REF!+#REF!+#REF!+#REF!+#REF!+#REF!+#REF!+#REF!+#REF!+#REF!+#REF!+#REF!</f>
        <v>#REF!</v>
      </c>
      <c r="BN14" s="27" t="e">
        <f>+#REF!+#REF!+#REF!+#REF!+#REF!+#REF!+#REF!+#REF!+#REF!+#REF!+#REF!+#REF!</f>
        <v>#REF!</v>
      </c>
      <c r="BO14" s="54">
        <f t="shared" si="35"/>
        <v>0</v>
      </c>
      <c r="BP14" s="26" t="e">
        <f>+#REF!+#REF!+#REF!+#REF!+#REF!+#REF!+#REF!+#REF!+#REF!+#REF!+#REF!+#REF!</f>
        <v>#REF!</v>
      </c>
      <c r="BQ14" s="27" t="e">
        <f>+#REF!+#REF!+#REF!+#REF!+#REF!+#REF!+#REF!+#REF!+#REF!+#REF!+#REF!+#REF!</f>
        <v>#REF!</v>
      </c>
      <c r="BR14" s="61">
        <f t="shared" si="36"/>
        <v>0</v>
      </c>
      <c r="BS14" s="26" t="e">
        <f>+#REF!+#REF!+#REF!+#REF!+#REF!+#REF!+#REF!+#REF!+#REF!+#REF!+#REF!+#REF!</f>
        <v>#REF!</v>
      </c>
      <c r="BT14" s="27" t="e">
        <f>+#REF!+#REF!+#REF!+#REF!+#REF!+#REF!+#REF!+#REF!+#REF!+#REF!+#REF!+#REF!</f>
        <v>#REF!</v>
      </c>
      <c r="BU14" s="61">
        <f t="shared" si="37"/>
        <v>0</v>
      </c>
      <c r="BV14" s="150"/>
      <c r="BW14" s="9" t="e">
        <f>+#REF!+#REF!+#REF!+#REF!+#REF!+#REF!+#REF!+#REF!+#REF!+#REF!+#REF!+#REF!</f>
        <v>#REF!</v>
      </c>
      <c r="BX14" s="5" t="e">
        <f>+#REF!+#REF!+#REF!+#REF!+#REF!+#REF!+#REF!+#REF!+#REF!+#REF!+#REF!+#REF!</f>
        <v>#REF!</v>
      </c>
      <c r="BY14" s="5" t="e">
        <f>+#REF!+#REF!+#REF!+#REF!+#REF!+#REF!+#REF!+#REF!+#REF!+#REF!+#REF!+#REF!</f>
        <v>#REF!</v>
      </c>
      <c r="BZ14" s="5" t="e">
        <f>+#REF!+#REF!+#REF!+#REF!+#REF!+#REF!+#REF!+#REF!+#REF!+#REF!+#REF!+#REF!</f>
        <v>#REF!</v>
      </c>
      <c r="CA14" s="5" t="e">
        <f>+#REF!+#REF!+#REF!+#REF!+#REF!+#REF!+#REF!+#REF!+#REF!+#REF!+#REF!+#REF!</f>
        <v>#REF!</v>
      </c>
      <c r="CB14" s="5" t="e">
        <f t="shared" si="38"/>
        <v>#REF!</v>
      </c>
      <c r="CC14" s="33"/>
      <c r="CD14" s="2683"/>
      <c r="CF14" s="4" t="e">
        <f t="shared" si="39"/>
        <v>#REF!</v>
      </c>
      <c r="CG14" s="5" t="e">
        <f t="shared" si="5"/>
        <v>#REF!</v>
      </c>
      <c r="CH14" s="5" t="e">
        <f t="shared" si="5"/>
        <v>#REF!</v>
      </c>
      <c r="CI14" s="5" t="e">
        <f t="shared" si="5"/>
        <v>#REF!</v>
      </c>
      <c r="CJ14" s="5" t="e">
        <f t="shared" si="5"/>
        <v>#REF!</v>
      </c>
      <c r="CK14" s="5" t="e">
        <f t="shared" si="5"/>
        <v>#REF!</v>
      </c>
      <c r="CL14" s="33" t="e">
        <f t="shared" si="40"/>
        <v>#REF!</v>
      </c>
      <c r="CM14" s="2685"/>
      <c r="CN14" s="9" t="e">
        <f>+#REF!+#REF!+#REF!+#REF!+#REF!+#REF!+#REF!+#REF!+#REF!+#REF!+#REF!+#REF!</f>
        <v>#REF!</v>
      </c>
      <c r="CO14" s="5" t="e">
        <f>+#REF!+#REF!+#REF!+#REF!+#REF!+#REF!+#REF!+#REF!+#REF!+#REF!+#REF!+#REF!</f>
        <v>#REF!</v>
      </c>
      <c r="CP14" s="5" t="e">
        <f>+#REF!+#REF!+#REF!+#REF!+#REF!+#REF!+#REF!+#REF!+#REF!+#REF!+#REF!+#REF!</f>
        <v>#REF!</v>
      </c>
      <c r="CQ14" s="5" t="e">
        <f>+#REF!+#REF!+#REF!+#REF!+#REF!+#REF!+#REF!+#REF!+#REF!+#REF!+#REF!+#REF!</f>
        <v>#REF!</v>
      </c>
      <c r="CR14" s="5" t="e">
        <f>+#REF!+#REF!+#REF!+#REF!+#REF!+#REF!+#REF!+#REF!+#REF!+#REF!+#REF!+#REF!</f>
        <v>#REF!</v>
      </c>
      <c r="CS14" s="5" t="e">
        <f>+#REF!+#REF!+#REF!+#REF!+#REF!+#REF!+#REF!+#REF!+#REF!+#REF!+#REF!+#REF!</f>
        <v>#REF!</v>
      </c>
      <c r="CT14" s="28" t="e">
        <f t="shared" si="41"/>
        <v>#REF!</v>
      </c>
      <c r="CU14" s="36" t="e">
        <f>+#REF!+#REF!+#REF!+#REF!+#REF!+#REF!+#REF!+#REF!+#REF!+#REF!+#REF!+#REF!</f>
        <v>#REF!</v>
      </c>
      <c r="CV14" s="27" t="e">
        <f>+#REF!+#REF!+#REF!+#REF!+#REF!+#REF!+#REF!+#REF!+#REF!+#REF!+#REF!+#REF!</f>
        <v>#REF!</v>
      </c>
      <c r="CW14" s="27" t="e">
        <f>+#REF!+#REF!+#REF!+#REF!+#REF!+#REF!+#REF!+#REF!+#REF!+#REF!+#REF!+#REF!</f>
        <v>#REF!</v>
      </c>
      <c r="CX14" s="27" t="e">
        <f>+#REF!+#REF!+#REF!+#REF!+#REF!+#REF!+#REF!+#REF!+#REF!+#REF!+#REF!+#REF!</f>
        <v>#REF!</v>
      </c>
      <c r="CY14" s="27" t="e">
        <f>+#REF!+#REF!+#REF!+#REF!+#REF!+#REF!+#REF!+#REF!+#REF!+#REF!+#REF!+#REF!</f>
        <v>#REF!</v>
      </c>
      <c r="CZ14" s="27" t="e">
        <f>+#REF!+#REF!+#REF!+#REF!+#REF!+#REF!+#REF!+#REF!+#REF!+#REF!+#REF!+#REF!</f>
        <v>#REF!</v>
      </c>
      <c r="DA14" s="28" t="e">
        <f t="shared" si="42"/>
        <v>#REF!</v>
      </c>
      <c r="DB14" s="36" t="e">
        <f>+#REF!+#REF!+#REF!+#REF!+#REF!+#REF!+#REF!+#REF!+#REF!+#REF!+#REF!+#REF!</f>
        <v>#REF!</v>
      </c>
      <c r="DC14" s="27" t="e">
        <f>+#REF!+#REF!+#REF!+#REF!+#REF!+#REF!+#REF!+#REF!+#REF!+#REF!+#REF!+#REF!</f>
        <v>#REF!</v>
      </c>
      <c r="DD14" s="27" t="e">
        <f>+#REF!+#REF!+#REF!+#REF!+#REF!+#REF!+#REF!+#REF!+#REF!+#REF!+#REF!+#REF!</f>
        <v>#REF!</v>
      </c>
      <c r="DE14" s="27" t="e">
        <f>+#REF!+#REF!+#REF!+#REF!+#REF!+#REF!+#REF!+#REF!+#REF!+#REF!+#REF!+#REF!</f>
        <v>#REF!</v>
      </c>
      <c r="DF14" s="27" t="e">
        <f>+#REF!+#REF!+#REF!+#REF!+#REF!+#REF!+#REF!+#REF!+#REF!+#REF!+#REF!+#REF!</f>
        <v>#REF!</v>
      </c>
      <c r="DG14" s="27" t="e">
        <f>+#REF!+#REF!+#REF!+#REF!+#REF!+#REF!+#REF!+#REF!+#REF!+#REF!+#REF!+#REF!</f>
        <v>#REF!</v>
      </c>
      <c r="DH14" s="28" t="e">
        <f t="shared" si="43"/>
        <v>#REF!</v>
      </c>
      <c r="DI14" s="36" t="e">
        <f>+#REF!+#REF!+#REF!+#REF!+#REF!+#REF!+#REF!+#REF!+#REF!+#REF!+#REF!+#REF!</f>
        <v>#REF!</v>
      </c>
      <c r="DJ14" s="27" t="e">
        <f>+#REF!+#REF!+#REF!+#REF!+#REF!+#REF!+#REF!+#REF!+#REF!+#REF!+#REF!+#REF!</f>
        <v>#REF!</v>
      </c>
      <c r="DK14" s="27" t="e">
        <f>+#REF!+#REF!+#REF!+#REF!+#REF!+#REF!+#REF!+#REF!+#REF!+#REF!+#REF!+#REF!</f>
        <v>#REF!</v>
      </c>
      <c r="DL14" s="27" t="e">
        <f>+#REF!+#REF!+#REF!+#REF!+#REF!+#REF!+#REF!+#REF!+#REF!+#REF!+#REF!+#REF!</f>
        <v>#REF!</v>
      </c>
      <c r="DM14" s="27" t="e">
        <f>+#REF!+#REF!+#REF!+#REF!+#REF!+#REF!+#REF!+#REF!+#REF!+#REF!+#REF!+#REF!</f>
        <v>#REF!</v>
      </c>
      <c r="DN14" s="27" t="e">
        <f>+#REF!+#REF!+#REF!+#REF!+#REF!+#REF!+#REF!+#REF!+#REF!+#REF!+#REF!+#REF!</f>
        <v>#REF!</v>
      </c>
      <c r="DO14" s="33" t="e">
        <f t="shared" si="44"/>
        <v>#REF!</v>
      </c>
      <c r="DP14" s="2685"/>
      <c r="DR14" s="4" t="e">
        <f t="shared" si="45"/>
        <v>#REF!</v>
      </c>
      <c r="DS14" s="5" t="e">
        <f t="shared" si="46"/>
        <v>#REF!</v>
      </c>
      <c r="DT14" s="5" t="e">
        <f t="shared" si="47"/>
        <v>#REF!</v>
      </c>
      <c r="DU14" s="12" t="e">
        <f t="shared" si="48"/>
        <v>#REF!</v>
      </c>
      <c r="DV14" s="33"/>
      <c r="DW14" s="2674"/>
      <c r="DX14" s="9" t="e">
        <f>+#REF!+#REF!+#REF!+#REF!+#REF!+#REF!+#REF!+#REF!+#REF!+#REF!+#REF!+#REF!</f>
        <v>#REF!</v>
      </c>
      <c r="DY14" s="5" t="e">
        <f>+#REF!+#REF!+#REF!+#REF!+#REF!+#REF!+#REF!+#REF!+#REF!+#REF!+#REF!+#REF!</f>
        <v>#REF!</v>
      </c>
      <c r="DZ14" s="5" t="e">
        <f>+#REF!+#REF!+#REF!+#REF!+#REF!+#REF!+#REF!+#REF!+#REF!+#REF!+#REF!+#REF!</f>
        <v>#REF!</v>
      </c>
      <c r="EA14" s="5" t="e">
        <f>+#REF!+#REF!+#REF!+#REF!+#REF!+#REF!+#REF!+#REF!+#REF!+#REF!+#REF!+#REF!</f>
        <v>#REF!</v>
      </c>
      <c r="EB14" s="5" t="e">
        <f>+#REF!+#REF!+#REF!+#REF!+#REF!+#REF!+#REF!+#REF!+#REF!+#REF!+#REF!+#REF!</f>
        <v>#REF!</v>
      </c>
      <c r="EC14" s="27" t="e">
        <f>+#REF!+#REF!+#REF!+#REF!+#REF!+#REF!+#REF!+#REF!+#REF!+#REF!+#REF!+#REF!</f>
        <v>#REF!</v>
      </c>
      <c r="ED14" s="28" t="e">
        <f t="shared" si="49"/>
        <v>#REF!</v>
      </c>
      <c r="EE14" s="36" t="e">
        <f>+#REF!+#REF!+#REF!+#REF!+#REF!+#REF!+#REF!+#REF!+#REF!+#REF!+#REF!+#REF!</f>
        <v>#REF!</v>
      </c>
      <c r="EF14" s="27" t="e">
        <f>+#REF!+#REF!+#REF!+#REF!+#REF!+#REF!+#REF!+#REF!+#REF!+#REF!+#REF!+#REF!</f>
        <v>#REF!</v>
      </c>
      <c r="EG14" s="27" t="e">
        <f>+#REF!+#REF!+#REF!+#REF!+#REF!+#REF!+#REF!+#REF!+#REF!+#REF!+#REF!+#REF!</f>
        <v>#REF!</v>
      </c>
      <c r="EH14" s="27" t="e">
        <f>+#REF!+#REF!+#REF!+#REF!+#REF!+#REF!+#REF!+#REF!+#REF!+#REF!+#REF!+#REF!</f>
        <v>#REF!</v>
      </c>
      <c r="EI14" s="27" t="e">
        <f>+#REF!+#REF!+#REF!+#REF!+#REF!+#REF!+#REF!+#REF!+#REF!+#REF!+#REF!+#REF!</f>
        <v>#REF!</v>
      </c>
      <c r="EJ14" s="27" t="e">
        <f>+#REF!+#REF!+#REF!+#REF!+#REF!+#REF!+#REF!+#REF!+#REF!+#REF!+#REF!+#REF!</f>
        <v>#REF!</v>
      </c>
      <c r="EK14" s="28" t="e">
        <f t="shared" si="50"/>
        <v>#REF!</v>
      </c>
      <c r="EL14" s="36" t="e">
        <f>+#REF!+#REF!+#REF!+#REF!+#REF!+#REF!+#REF!+#REF!+#REF!+#REF!+#REF!+#REF!</f>
        <v>#REF!</v>
      </c>
      <c r="EM14" s="27" t="e">
        <f>+#REF!+#REF!+#REF!+#REF!+#REF!+#REF!+#REF!+#REF!+#REF!+#REF!+#REF!+#REF!</f>
        <v>#REF!</v>
      </c>
      <c r="EN14" s="27" t="e">
        <f>+#REF!+#REF!+#REF!+#REF!+#REF!+#REF!+#REF!+#REF!+#REF!+#REF!+#REF!+#REF!</f>
        <v>#REF!</v>
      </c>
      <c r="EO14" s="27" t="e">
        <f>+#REF!+#REF!+#REF!+#REF!+#REF!+#REF!+#REF!+#REF!+#REF!+#REF!+#REF!+#REF!</f>
        <v>#REF!</v>
      </c>
      <c r="EP14" s="27" t="e">
        <f>+#REF!+#REF!+#REF!+#REF!+#REF!+#REF!+#REF!+#REF!+#REF!+#REF!+#REF!+#REF!</f>
        <v>#REF!</v>
      </c>
      <c r="EQ14" s="27" t="e">
        <f>+#REF!+#REF!+#REF!+#REF!+#REF!+#REF!+#REF!+#REF!+#REF!+#REF!+#REF!+#REF!</f>
        <v>#REF!</v>
      </c>
      <c r="ER14" s="33" t="e">
        <f t="shared" si="51"/>
        <v>#REF!</v>
      </c>
      <c r="ES14" s="2674"/>
      <c r="EU14" s="4" t="e">
        <f t="shared" si="52"/>
        <v>#REF!</v>
      </c>
      <c r="EV14" s="5" t="e">
        <f t="shared" si="53"/>
        <v>#REF!</v>
      </c>
      <c r="EW14" s="27" t="e">
        <f t="shared" si="54"/>
        <v>#REF!</v>
      </c>
      <c r="EX14" s="27" t="e">
        <f t="shared" si="55"/>
        <v>#REF!</v>
      </c>
      <c r="EY14" s="141"/>
      <c r="EZ14" s="141"/>
      <c r="FA14" s="33"/>
      <c r="FB14" s="2667"/>
      <c r="FC14" s="36" t="e">
        <f>+#REF!+#REF!+#REF!+#REF!+#REF!+#REF!+#REF!+#REF!+#REF!+#REF!+#REF!+#REF!</f>
        <v>#REF!</v>
      </c>
      <c r="FD14" s="27" t="e">
        <f>+#REF!+#REF!+#REF!+#REF!+#REF!+#REF!+#REF!+#REF!+#REF!+#REF!+#REF!+#REF!</f>
        <v>#REF!</v>
      </c>
      <c r="FE14" s="27"/>
      <c r="FF14" s="27"/>
      <c r="FG14" s="33" t="e">
        <f t="shared" si="56"/>
        <v>#REF!</v>
      </c>
      <c r="FH14" s="2667"/>
      <c r="FI14" s="36" t="e">
        <f>+#REF!+#REF!+#REF!+#REF!+#REF!+#REF!+#REF!+#REF!+#REF!+#REF!+#REF!+#REF!</f>
        <v>#REF!</v>
      </c>
      <c r="FJ14" s="27" t="e">
        <f>+#REF!+#REF!+#REF!+#REF!+#REF!+#REF!+#REF!+#REF!+#REF!+#REF!+#REF!+#REF!</f>
        <v>#REF!</v>
      </c>
      <c r="FK14" s="27" t="e">
        <f>+#REF!+#REF!+#REF!+#REF!+#REF!+#REF!+#REF!+#REF!+#REF!+#REF!+#REF!+#REF!</f>
        <v>#REF!</v>
      </c>
      <c r="FL14" s="27" t="e">
        <f>+#REF!+#REF!+#REF!+#REF!+#REF!+#REF!+#REF!+#REF!+#REF!+#REF!+#REF!+#REF!</f>
        <v>#REF!</v>
      </c>
      <c r="FM14" s="27" t="e">
        <f>+#REF!+#REF!+#REF!+#REF!+#REF!+#REF!+#REF!+#REF!+#REF!+#REF!+#REF!+#REF!</f>
        <v>#REF!</v>
      </c>
      <c r="FN14" s="27" t="e">
        <f>+#REF!+#REF!+#REF!+#REF!+#REF!+#REF!+#REF!+#REF!+#REF!+#REF!+#REF!+#REF!</f>
        <v>#REF!</v>
      </c>
      <c r="FO14" s="27" t="e">
        <f>+#REF!+#REF!+#REF!+#REF!+#REF!+#REF!+#REF!+#REF!+#REF!+#REF!+#REF!+#REF!</f>
        <v>#REF!</v>
      </c>
      <c r="FP14" s="27" t="e">
        <f>+#REF!+#REF!+#REF!+#REF!+#REF!+#REF!+#REF!+#REF!+#REF!+#REF!+#REF!+#REF!</f>
        <v>#REF!</v>
      </c>
      <c r="FQ14" s="28" t="e">
        <f t="shared" si="80"/>
        <v>#REF!</v>
      </c>
      <c r="FR14" s="26" t="e">
        <f>+#REF!+#REF!+#REF!+#REF!+#REF!+#REF!+#REF!+#REF!+#REF!+#REF!+#REF!+#REF!</f>
        <v>#REF!</v>
      </c>
      <c r="FS14" s="27" t="e">
        <f>+#REF!+#REF!+#REF!+#REF!+#REF!+#REF!+#REF!+#REF!+#REF!+#REF!+#REF!+#REF!</f>
        <v>#REF!</v>
      </c>
      <c r="FT14" s="27" t="e">
        <f>+#REF!+#REF!+#REF!+#REF!+#REF!+#REF!+#REF!+#REF!+#REF!+#REF!+#REF!+#REF!</f>
        <v>#REF!</v>
      </c>
      <c r="FU14" s="27" t="e">
        <f>+#REF!+#REF!+#REF!+#REF!+#REF!+#REF!+#REF!+#REF!+#REF!+#REF!+#REF!+#REF!</f>
        <v>#REF!</v>
      </c>
      <c r="FV14" s="27" t="e">
        <f>+#REF!+#REF!+#REF!+#REF!+#REF!+#REF!+#REF!+#REF!+#REF!+#REF!+#REF!+#REF!</f>
        <v>#REF!</v>
      </c>
      <c r="FW14" s="27" t="e">
        <f>+#REF!+#REF!+#REF!+#REF!+#REF!+#REF!+#REF!+#REF!+#REF!+#REF!+#REF!+#REF!</f>
        <v>#REF!</v>
      </c>
      <c r="FX14" s="27" t="e">
        <f>+#REF!+#REF!+#REF!+#REF!+#REF!+#REF!+#REF!+#REF!+#REF!+#REF!+#REF!+#REF!</f>
        <v>#REF!</v>
      </c>
      <c r="FY14" s="27" t="e">
        <f>+#REF!+#REF!+#REF!+#REF!+#REF!+#REF!+#REF!+#REF!+#REF!+#REF!+#REF!+#REF!</f>
        <v>#REF!</v>
      </c>
      <c r="FZ14" s="28" t="e">
        <f t="shared" si="57"/>
        <v>#REF!</v>
      </c>
      <c r="GA14" s="36" t="e">
        <f>+#REF!+#REF!+#REF!+#REF!+#REF!+#REF!+#REF!+#REF!+#REF!+#REF!+#REF!+#REF!</f>
        <v>#REF!</v>
      </c>
      <c r="GB14" s="27" t="e">
        <f>+#REF!+#REF!+#REF!+#REF!+#REF!+#REF!+#REF!+#REF!+#REF!+#REF!+#REF!+#REF!</f>
        <v>#REF!</v>
      </c>
      <c r="GC14" s="27" t="e">
        <f>+#REF!+#REF!+#REF!+#REF!+#REF!+#REF!+#REF!+#REF!+#REF!+#REF!+#REF!+#REF!</f>
        <v>#REF!</v>
      </c>
      <c r="GD14" s="27" t="e">
        <f>+#REF!+#REF!+#REF!+#REF!+#REF!+#REF!+#REF!+#REF!+#REF!+#REF!+#REF!+#REF!</f>
        <v>#REF!</v>
      </c>
      <c r="GE14" s="27" t="e">
        <f>+#REF!+#REF!+#REF!+#REF!+#REF!+#REF!+#REF!+#REF!+#REF!+#REF!+#REF!+#REF!</f>
        <v>#REF!</v>
      </c>
      <c r="GF14" s="27" t="e">
        <f>+#REF!+#REF!+#REF!+#REF!+#REF!+#REF!+#REF!+#REF!+#REF!+#REF!+#REF!+#REF!</f>
        <v>#REF!</v>
      </c>
      <c r="GG14" s="27" t="e">
        <f>+#REF!+#REF!+#REF!+#REF!+#REF!+#REF!+#REF!+#REF!+#REF!+#REF!+#REF!+#REF!</f>
        <v>#REF!</v>
      </c>
      <c r="GH14" s="27" t="e">
        <f>+#REF!+#REF!+#REF!+#REF!+#REF!+#REF!+#REF!+#REF!+#REF!+#REF!+#REF!+#REF!</f>
        <v>#REF!</v>
      </c>
      <c r="GI14" s="33" t="e">
        <f t="shared" si="58"/>
        <v>#REF!</v>
      </c>
      <c r="GJ14" s="2667"/>
      <c r="GL14" s="26" t="e">
        <f>+#REF!+#REF!+#REF!+#REF!+#REF!+#REF!+#REF!+#REF!+#REF!+#REF!+#REF!+#REF!</f>
        <v>#REF!</v>
      </c>
      <c r="GM14" s="36" t="e">
        <f>+#REF!+#REF!+#REF!+#REF!+#REF!+#REF!+#REF!+#REF!+#REF!+#REF!+#REF!+#REF!</f>
        <v>#REF!</v>
      </c>
      <c r="GN14" s="27" t="e">
        <f>+#REF!+#REF!+#REF!+#REF!+#REF!+#REF!+#REF!+#REF!+#REF!+#REF!+#REF!+#REF!</f>
        <v>#REF!</v>
      </c>
      <c r="GO14" s="27" t="e">
        <f t="shared" si="59"/>
        <v>#REF!</v>
      </c>
      <c r="GP14" s="33"/>
      <c r="GQ14" s="2669"/>
      <c r="GR14" s="69"/>
      <c r="GS14" s="70"/>
      <c r="GT14" s="70"/>
      <c r="GU14" s="70"/>
      <c r="GV14" s="70"/>
      <c r="GW14" s="70"/>
      <c r="GX14" s="70"/>
      <c r="GY14" s="71"/>
      <c r="GZ14" s="69"/>
      <c r="HA14" s="70"/>
      <c r="HB14" s="70"/>
      <c r="HC14" s="70"/>
      <c r="HD14" s="70"/>
      <c r="HE14" s="70"/>
      <c r="HF14" s="70"/>
      <c r="HG14" s="71"/>
      <c r="HH14" s="69"/>
      <c r="HI14" s="70"/>
      <c r="HJ14" s="70"/>
      <c r="HK14" s="70"/>
      <c r="HL14" s="70"/>
      <c r="HM14" s="70"/>
      <c r="HN14" s="70"/>
      <c r="HO14" s="70"/>
      <c r="HP14" s="33"/>
      <c r="HQ14" s="2669"/>
      <c r="HR14" s="36"/>
      <c r="HS14" s="53"/>
      <c r="HT14" s="53"/>
      <c r="HU14" s="53"/>
      <c r="HV14" s="61"/>
      <c r="HW14" s="36"/>
      <c r="HX14" s="53"/>
      <c r="HY14" s="53"/>
      <c r="HZ14" s="53"/>
      <c r="IA14" s="61"/>
      <c r="IB14" s="36"/>
      <c r="IC14" s="53"/>
      <c r="ID14" s="53"/>
      <c r="IE14" s="53"/>
      <c r="IF14" s="53"/>
      <c r="IG14" s="33"/>
      <c r="IH14" s="2669"/>
      <c r="IJ14" s="26" t="e">
        <f t="shared" si="60"/>
        <v>#REF!</v>
      </c>
      <c r="IK14" s="36" t="e">
        <f t="shared" si="6"/>
        <v>#REF!</v>
      </c>
      <c r="IL14" s="27" t="e">
        <f t="shared" si="6"/>
        <v>#REF!</v>
      </c>
      <c r="IM14" s="28" t="e">
        <f t="shared" si="61"/>
        <v>#REF!</v>
      </c>
      <c r="IN14" s="36"/>
      <c r="IO14" s="27"/>
      <c r="IP14" s="27"/>
      <c r="IQ14" s="33"/>
      <c r="IR14" s="55"/>
      <c r="IS14" s="21"/>
      <c r="IT14" s="2688"/>
      <c r="IU14" s="36" t="e">
        <f>+#REF!+#REF!+#REF!+#REF!+#REF!+#REF!+#REF!+#REF!+#REF!+#REF!+#REF!+#REF!</f>
        <v>#REF!</v>
      </c>
      <c r="IV14" s="36" t="e">
        <f>+#REF!+#REF!+#REF!+#REF!+#REF!+#REF!+#REF!+#REF!+#REF!+#REF!+#REF!+#REF!</f>
        <v>#REF!</v>
      </c>
      <c r="IW14" s="27" t="e">
        <f>+#REF!+#REF!+#REF!+#REF!+#REF!+#REF!+#REF!+#REF!+#REF!+#REF!+#REF!+#REF!</f>
        <v>#REF!</v>
      </c>
      <c r="IX14" s="27" t="e">
        <f>+#REF!+#REF!+#REF!+#REF!+#REF!+#REF!+#REF!+#REF!+#REF!+#REF!+#REF!+#REF!</f>
        <v>#REF!</v>
      </c>
      <c r="IY14" s="27" t="e">
        <f>+#REF!+#REF!+#REF!+#REF!+#REF!+#REF!+#REF!+#REF!+#REF!+#REF!+#REF!+#REF!</f>
        <v>#REF!</v>
      </c>
      <c r="IZ14" s="28" t="e">
        <f t="shared" si="62"/>
        <v>#REF!</v>
      </c>
      <c r="JA14" s="26" t="e">
        <f>+#REF!+#REF!+#REF!+#REF!+#REF!+#REF!+#REF!+#REF!+#REF!+#REF!+#REF!+#REF!</f>
        <v>#REF!</v>
      </c>
      <c r="JB14" s="36" t="e">
        <f>+#REF!+#REF!+#REF!+#REF!+#REF!+#REF!+#REF!+#REF!+#REF!+#REF!+#REF!+#REF!</f>
        <v>#REF!</v>
      </c>
      <c r="JC14" s="27" t="e">
        <f>+#REF!+#REF!+#REF!+#REF!+#REF!+#REF!+#REF!+#REF!+#REF!+#REF!+#REF!+#REF!</f>
        <v>#REF!</v>
      </c>
      <c r="JD14" s="27" t="e">
        <f>+#REF!+#REF!+#REF!+#REF!+#REF!+#REF!+#REF!+#REF!+#REF!+#REF!+#REF!+#REF!</f>
        <v>#REF!</v>
      </c>
      <c r="JE14" s="28" t="e">
        <f>+#REF!+#REF!+#REF!+#REF!+#REF!+#REF!+#REF!+#REF!+#REF!+#REF!+#REF!+#REF!</f>
        <v>#REF!</v>
      </c>
      <c r="JF14" s="26" t="e">
        <f>+#REF!+#REF!+#REF!+#REF!+#REF!+#REF!+#REF!+#REF!+#REF!+#REF!+#REF!+#REF!</f>
        <v>#REF!</v>
      </c>
      <c r="JG14" s="36" t="e">
        <f>+#REF!+#REF!+#REF!+#REF!+#REF!+#REF!+#REF!+#REF!+#REF!+#REF!+#REF!+#REF!</f>
        <v>#REF!</v>
      </c>
      <c r="JH14" s="27" t="e">
        <f>+#REF!+#REF!+#REF!+#REF!+#REF!+#REF!+#REF!+#REF!+#REF!+#REF!+#REF!+#REF!</f>
        <v>#REF!</v>
      </c>
      <c r="JI14" s="27" t="e">
        <f>+#REF!+#REF!+#REF!+#REF!+#REF!+#REF!+#REF!+#REF!+#REF!+#REF!+#REF!+#REF!</f>
        <v>#REF!</v>
      </c>
      <c r="JJ14" s="27" t="e">
        <f>+#REF!+#REF!+#REF!+#REF!+#REF!+#REF!+#REF!+#REF!+#REF!+#REF!+#REF!+#REF!</f>
        <v>#REF!</v>
      </c>
      <c r="JK14" s="28" t="e">
        <f t="shared" si="63"/>
        <v>#REF!</v>
      </c>
      <c r="JL14" s="26" t="e">
        <f>+#REF!+#REF!+#REF!+#REF!+#REF!+#REF!+#REF!+#REF!+#REF!+#REF!+#REF!+#REF!</f>
        <v>#REF!</v>
      </c>
      <c r="JM14" s="36" t="e">
        <f>+#REF!+#REF!+#REF!+#REF!+#REF!+#REF!+#REF!+#REF!+#REF!+#REF!+#REF!+#REF!</f>
        <v>#REF!</v>
      </c>
      <c r="JN14" s="27" t="e">
        <f>+#REF!+#REF!+#REF!+#REF!+#REF!+#REF!+#REF!+#REF!+#REF!+#REF!+#REF!+#REF!</f>
        <v>#REF!</v>
      </c>
      <c r="JO14" s="27" t="e">
        <f>+#REF!+#REF!+#REF!+#REF!+#REF!+#REF!+#REF!+#REF!+#REF!+#REF!+#REF!+#REF!</f>
        <v>#REF!</v>
      </c>
      <c r="JP14" s="28" t="e">
        <f>+#REF!+#REF!+#REF!+#REF!+#REF!+#REF!+#REF!+#REF!+#REF!+#REF!+#REF!+#REF!</f>
        <v>#REF!</v>
      </c>
      <c r="JQ14" s="275" t="e">
        <f t="shared" si="64"/>
        <v>#REF!</v>
      </c>
      <c r="JR14" s="36" t="e">
        <f>+#REF!+#REF!+#REF!+#REF!+#REF!+#REF!+#REF!+#REF!+#REF!+#REF!+#REF!+#REF!</f>
        <v>#REF!</v>
      </c>
      <c r="JS14" s="36" t="e">
        <f>+#REF!+#REF!+#REF!+#REF!+#REF!+#REF!+#REF!+#REF!+#REF!+#REF!+#REF!+#REF!</f>
        <v>#REF!</v>
      </c>
      <c r="JT14" s="27" t="e">
        <f>+#REF!+#REF!+#REF!+#REF!+#REF!+#REF!+#REF!+#REF!+#REF!+#REF!+#REF!+#REF!</f>
        <v>#REF!</v>
      </c>
      <c r="JU14" s="27" t="e">
        <f>+#REF!+#REF!+#REF!+#REF!+#REF!+#REF!+#REF!+#REF!+#REF!+#REF!+#REF!+#REF!</f>
        <v>#REF!</v>
      </c>
      <c r="JV14" s="27" t="e">
        <f>+#REF!+#REF!+#REF!+#REF!+#REF!+#REF!+#REF!+#REF!+#REF!+#REF!+#REF!+#REF!</f>
        <v>#REF!</v>
      </c>
      <c r="JW14" s="33" t="e">
        <f t="shared" si="65"/>
        <v>#REF!</v>
      </c>
      <c r="JX14" s="2688"/>
      <c r="JZ14" s="26" t="e">
        <f t="shared" si="66"/>
        <v>#REF!</v>
      </c>
      <c r="KA14" s="27" t="e">
        <f t="shared" si="67"/>
        <v>#REF!</v>
      </c>
      <c r="KB14" s="27" t="e">
        <f t="shared" si="68"/>
        <v>#REF!</v>
      </c>
      <c r="KC14" s="33" t="e">
        <f t="shared" si="69"/>
        <v>#REF!</v>
      </c>
      <c r="KD14" s="2621"/>
      <c r="KE14" s="36" t="e">
        <f t="shared" si="7"/>
        <v>#REF!</v>
      </c>
      <c r="KF14" s="36" t="e">
        <f t="shared" si="7"/>
        <v>#REF!</v>
      </c>
      <c r="KG14" s="27" t="e">
        <f t="shared" si="7"/>
        <v>#REF!</v>
      </c>
      <c r="KH14" s="28" t="e">
        <f t="shared" si="81"/>
        <v>#REF!</v>
      </c>
      <c r="KI14" s="36" t="e">
        <f t="shared" si="82"/>
        <v>#REF!</v>
      </c>
      <c r="KJ14" s="27" t="e">
        <f t="shared" si="8"/>
        <v>#REF!</v>
      </c>
      <c r="KK14" s="27" t="e">
        <f t="shared" si="8"/>
        <v>#REF!</v>
      </c>
      <c r="KL14" s="27" t="e">
        <f t="shared" si="8"/>
        <v>#REF!</v>
      </c>
      <c r="KM14" s="27" t="e">
        <f t="shared" si="8"/>
        <v>#REF!</v>
      </c>
      <c r="KN14" s="27" t="e">
        <f t="shared" si="8"/>
        <v>#REF!</v>
      </c>
      <c r="KO14" s="28" t="e">
        <f t="shared" si="83"/>
        <v>#REF!</v>
      </c>
      <c r="KP14" s="36" t="e">
        <f t="shared" si="9"/>
        <v>#REF!</v>
      </c>
      <c r="KQ14" s="27" t="e">
        <f t="shared" si="9"/>
        <v>#REF!</v>
      </c>
      <c r="KR14" s="27" t="e">
        <f t="shared" si="9"/>
        <v>#REF!</v>
      </c>
      <c r="KS14" s="27" t="e">
        <f t="shared" si="9"/>
        <v>#REF!</v>
      </c>
      <c r="KT14" s="27" t="e">
        <f t="shared" si="9"/>
        <v>#REF!</v>
      </c>
      <c r="KU14" s="27" t="e">
        <f t="shared" si="9"/>
        <v>#REF!</v>
      </c>
      <c r="KV14" s="28" t="e">
        <f t="shared" si="84"/>
        <v>#REF!</v>
      </c>
      <c r="KW14" s="36" t="e">
        <f t="shared" si="10"/>
        <v>#REF!</v>
      </c>
      <c r="KX14" s="27" t="e">
        <f t="shared" si="10"/>
        <v>#REF!</v>
      </c>
      <c r="KY14" s="27" t="e">
        <f t="shared" si="10"/>
        <v>#REF!</v>
      </c>
      <c r="KZ14" s="27" t="e">
        <f t="shared" si="10"/>
        <v>#REF!</v>
      </c>
      <c r="LA14" s="27" t="e">
        <f t="shared" si="10"/>
        <v>#REF!</v>
      </c>
      <c r="LB14" s="27" t="e">
        <f t="shared" si="10"/>
        <v>#REF!</v>
      </c>
      <c r="LC14" s="28" t="e">
        <f t="shared" si="85"/>
        <v>#REF!</v>
      </c>
      <c r="LD14" s="36"/>
      <c r="LE14" s="27"/>
      <c r="LF14" s="27"/>
      <c r="LG14" s="27"/>
      <c r="LH14" s="27"/>
      <c r="LI14" s="27"/>
      <c r="LJ14" s="28">
        <f t="shared" si="70"/>
        <v>0</v>
      </c>
      <c r="LK14" s="36" t="e">
        <f t="shared" si="11"/>
        <v>#REF!</v>
      </c>
      <c r="LL14" s="27" t="e">
        <f t="shared" si="11"/>
        <v>#REF!</v>
      </c>
      <c r="LM14" s="27" t="e">
        <f t="shared" si="11"/>
        <v>#REF!</v>
      </c>
      <c r="LN14" s="27" t="e">
        <f t="shared" si="11"/>
        <v>#REF!</v>
      </c>
      <c r="LO14" s="27" t="e">
        <f t="shared" si="11"/>
        <v>#REF!</v>
      </c>
      <c r="LP14" s="27" t="e">
        <f t="shared" si="11"/>
        <v>#REF!</v>
      </c>
      <c r="LQ14" s="33" t="e">
        <f t="shared" si="71"/>
        <v>#REF!</v>
      </c>
      <c r="LR14" s="2621"/>
      <c r="LT14" s="4" t="e">
        <f>+#REF!+#REF!+#REF!+#REF!+#REF!+#REF!+#REF!+#REF!+#REF!+#REF!+#REF!+#REF!</f>
        <v>#REF!</v>
      </c>
      <c r="LU14" s="5" t="e">
        <f>+#REF!+#REF!+#REF!+#REF!+#REF!+#REF!+#REF!+#REF!+#REF!+#REF!+#REF!+#REF!</f>
        <v>#REF!</v>
      </c>
      <c r="LV14" s="5" t="e">
        <f t="shared" si="72"/>
        <v>#REF!</v>
      </c>
      <c r="LW14" s="12" t="e">
        <f t="shared" si="86"/>
        <v>#REF!</v>
      </c>
      <c r="LX14" s="15"/>
      <c r="LY14" s="2615"/>
      <c r="MA14" s="4" t="e">
        <f>+#REF!+#REF!+#REF!+#REF!+#REF!+#REF!+#REF!+#REF!+#REF!+#REF!+#REF!+#REF!</f>
        <v>#REF!</v>
      </c>
      <c r="MB14" s="5" t="e">
        <f t="shared" si="73"/>
        <v>#REF!</v>
      </c>
      <c r="MC14" s="5" t="e">
        <f>+#REF!+#REF!+#REF!+#REF!+#REF!+#REF!+#REF!+#REF!+#REF!+#REF!+#REF!+#REF!</f>
        <v>#REF!</v>
      </c>
      <c r="MD14" s="5" t="e">
        <f t="shared" si="74"/>
        <v>#REF!</v>
      </c>
      <c r="ME14" s="12" t="e">
        <f>+ME13+MA14-MB14-MC14-MD14</f>
        <v>#REF!</v>
      </c>
      <c r="MF14" s="12"/>
      <c r="MG14" s="2615"/>
      <c r="MI14" s="139" t="e">
        <f t="shared" si="76"/>
        <v>#REF!</v>
      </c>
      <c r="MJ14" s="139" t="e">
        <f t="shared" si="77"/>
        <v>#REF!</v>
      </c>
      <c r="ML14" s="139" t="e">
        <f t="shared" si="78"/>
        <v>#REF!</v>
      </c>
      <c r="MM14" s="139" t="e">
        <f t="shared" si="79"/>
        <v>#REF!</v>
      </c>
      <c r="MO14" s="1">
        <f t="shared" si="12"/>
        <v>0</v>
      </c>
      <c r="MP14" s="1">
        <f t="shared" si="12"/>
        <v>0</v>
      </c>
      <c r="MQ14" s="1">
        <f t="shared" si="12"/>
        <v>0</v>
      </c>
      <c r="MR14" s="1">
        <f t="shared" si="12"/>
        <v>0</v>
      </c>
      <c r="MS14" s="1">
        <f t="shared" si="12"/>
        <v>0</v>
      </c>
      <c r="MT14" s="1">
        <f t="shared" si="12"/>
        <v>0</v>
      </c>
      <c r="MV14" s="1">
        <f t="shared" si="13"/>
        <v>0</v>
      </c>
      <c r="MW14" s="1">
        <f t="shared" si="13"/>
        <v>0</v>
      </c>
      <c r="MX14" s="1">
        <f t="shared" si="13"/>
        <v>0</v>
      </c>
      <c r="MY14" s="1">
        <f t="shared" si="13"/>
        <v>0</v>
      </c>
      <c r="MZ14" s="1">
        <f t="shared" si="13"/>
        <v>0</v>
      </c>
      <c r="NA14" s="1">
        <f t="shared" si="13"/>
        <v>0</v>
      </c>
    </row>
    <row r="15" spans="2:365" s="1" customFormat="1">
      <c r="B15" s="46">
        <v>6</v>
      </c>
      <c r="C15" s="4" t="e">
        <f t="shared" si="0"/>
        <v>#REF!</v>
      </c>
      <c r="D15" s="5" t="e">
        <f t="shared" si="1"/>
        <v>#REF!</v>
      </c>
      <c r="E15" s="61">
        <f t="shared" si="14"/>
        <v>0</v>
      </c>
      <c r="F15" s="52"/>
      <c r="G15" s="53"/>
      <c r="H15" s="53"/>
      <c r="I15" s="54"/>
      <c r="J15" s="2629"/>
      <c r="K15" s="9" t="e">
        <f t="shared" si="15"/>
        <v>#REF!</v>
      </c>
      <c r="L15" s="5" t="e">
        <f t="shared" si="2"/>
        <v>#REF!</v>
      </c>
      <c r="M15" s="64">
        <f t="shared" si="16"/>
        <v>0</v>
      </c>
      <c r="N15" s="28"/>
      <c r="O15" s="36" t="e">
        <f t="shared" si="17"/>
        <v>#REF!</v>
      </c>
      <c r="P15" s="27" t="e">
        <f t="shared" si="17"/>
        <v>#REF!</v>
      </c>
      <c r="Q15" s="53">
        <f t="shared" si="18"/>
        <v>0</v>
      </c>
      <c r="R15" s="28"/>
      <c r="S15" s="36" t="e">
        <f t="shared" si="19"/>
        <v>#REF!</v>
      </c>
      <c r="T15" s="27" t="e">
        <f t="shared" si="19"/>
        <v>#REF!</v>
      </c>
      <c r="U15" s="53">
        <f t="shared" si="3"/>
        <v>0</v>
      </c>
      <c r="V15" s="28"/>
      <c r="W15" s="36" t="e">
        <f t="shared" si="20"/>
        <v>#REF!</v>
      </c>
      <c r="X15" s="27" t="e">
        <f t="shared" si="4"/>
        <v>#REF!</v>
      </c>
      <c r="Y15" s="53">
        <f t="shared" si="21"/>
        <v>0</v>
      </c>
      <c r="Z15" s="28"/>
      <c r="AA15" s="26" t="e">
        <f t="shared" si="22"/>
        <v>#REF!</v>
      </c>
      <c r="AB15" s="27" t="e">
        <f t="shared" si="22"/>
        <v>#REF!</v>
      </c>
      <c r="AC15" s="53">
        <f t="shared" si="23"/>
        <v>0</v>
      </c>
      <c r="AD15" s="33"/>
      <c r="AE15" s="2629"/>
      <c r="AF15" s="9" t="e">
        <f>+#REF!+#REF!+#REF!+#REF!+#REF!+#REF!+#REF!+#REF!+#REF!+#REF!+#REF!+#REF!</f>
        <v>#REF!</v>
      </c>
      <c r="AG15" s="5" t="e">
        <f>+#REF!+#REF!+#REF!+#REF!+#REF!+#REF!+#REF!+#REF!+#REF!+#REF!+#REF!+#REF!</f>
        <v>#REF!</v>
      </c>
      <c r="AH15" s="61">
        <f t="shared" si="24"/>
        <v>0</v>
      </c>
      <c r="AI15" s="36" t="e">
        <f>+#REF!+#REF!+#REF!+#REF!+#REF!+#REF!+#REF!+#REF!+#REF!+#REF!+#REF!+#REF!</f>
        <v>#REF!</v>
      </c>
      <c r="AJ15" s="27" t="e">
        <f>+#REF!+#REF!+#REF!+#REF!+#REF!+#REF!+#REF!+#REF!+#REF!+#REF!+#REF!+#REF!</f>
        <v>#REF!</v>
      </c>
      <c r="AK15" s="61">
        <f t="shared" si="25"/>
        <v>0</v>
      </c>
      <c r="AL15" s="36" t="e">
        <f>+#REF!+#REF!+#REF!+#REF!+#REF!+#REF!+#REF!+#REF!+#REF!+#REF!+#REF!+#REF!</f>
        <v>#REF!</v>
      </c>
      <c r="AM15" s="27" t="e">
        <f>+#REF!+#REF!+#REF!+#REF!+#REF!+#REF!+#REF!+#REF!+#REF!+#REF!+#REF!+#REF!</f>
        <v>#REF!</v>
      </c>
      <c r="AN15" s="61">
        <f t="shared" si="26"/>
        <v>0</v>
      </c>
      <c r="AO15" s="36" t="e">
        <f>+#REF!+#REF!+#REF!+#REF!+#REF!+#REF!+#REF!+#REF!+#REF!+#REF!+#REF!+#REF!</f>
        <v>#REF!</v>
      </c>
      <c r="AP15" s="27" t="e">
        <f>+#REF!+#REF!+#REF!+#REF!+#REF!+#REF!+#REF!+#REF!+#REF!+#REF!+#REF!+#REF!</f>
        <v>#REF!</v>
      </c>
      <c r="AQ15" s="61">
        <f t="shared" si="27"/>
        <v>0</v>
      </c>
      <c r="AR15" s="36" t="e">
        <f>+#REF!+#REF!+#REF!+#REF!+#REF!+#REF!+#REF!+#REF!+#REF!+#REF!+#REF!+#REF!</f>
        <v>#REF!</v>
      </c>
      <c r="AS15" s="27" t="e">
        <f>+#REF!+#REF!+#REF!+#REF!+#REF!+#REF!+#REF!+#REF!+#REF!+#REF!+#REF!+#REF!</f>
        <v>#REF!</v>
      </c>
      <c r="AT15" s="61">
        <f t="shared" si="28"/>
        <v>0</v>
      </c>
      <c r="AU15" s="36" t="e">
        <f>+#REF!+#REF!+#REF!+#REF!+#REF!+#REF!+#REF!+#REF!+#REF!+#REF!+#REF!+#REF!</f>
        <v>#REF!</v>
      </c>
      <c r="AV15" s="27" t="e">
        <f>+#REF!+#REF!+#REF!+#REF!+#REF!+#REF!+#REF!+#REF!+#REF!+#REF!+#REF!+#REF!</f>
        <v>#REF!</v>
      </c>
      <c r="AW15" s="61">
        <f t="shared" si="29"/>
        <v>0</v>
      </c>
      <c r="AX15" s="36" t="e">
        <f>+#REF!+#REF!+#REF!+#REF!+#REF!+#REF!+#REF!+#REF!+#REF!+#REF!+#REF!+#REF!</f>
        <v>#REF!</v>
      </c>
      <c r="AY15" s="27" t="e">
        <f>+#REF!+#REF!+#REF!+#REF!+#REF!+#REF!+#REF!+#REF!+#REF!+#REF!+#REF!+#REF!</f>
        <v>#REF!</v>
      </c>
      <c r="AZ15" s="61">
        <f t="shared" si="30"/>
        <v>0</v>
      </c>
      <c r="BA15" s="36" t="e">
        <f>+#REF!+#REF!+#REF!+#REF!+#REF!+#REF!+#REF!+#REF!+#REF!+#REF!+#REF!+#REF!</f>
        <v>#REF!</v>
      </c>
      <c r="BB15" s="27" t="e">
        <f>+#REF!+#REF!+#REF!+#REF!+#REF!+#REF!+#REF!+#REF!+#REF!+#REF!+#REF!+#REF!</f>
        <v>#REF!</v>
      </c>
      <c r="BC15" s="61">
        <f t="shared" si="31"/>
        <v>0</v>
      </c>
      <c r="BD15" s="36" t="e">
        <f>+#REF!+#REF!+#REF!+#REF!+#REF!+#REF!+#REF!+#REF!+#REF!+#REF!+#REF!+#REF!</f>
        <v>#REF!</v>
      </c>
      <c r="BE15" s="27" t="e">
        <f>+#REF!+#REF!+#REF!+#REF!+#REF!+#REF!+#REF!+#REF!+#REF!+#REF!+#REF!+#REF!</f>
        <v>#REF!</v>
      </c>
      <c r="BF15" s="61">
        <f t="shared" si="32"/>
        <v>0</v>
      </c>
      <c r="BG15" s="36" t="e">
        <f>+#REF!+#REF!+#REF!+#REF!+#REF!+#REF!+#REF!+#REF!+#REF!+#REF!+#REF!+#REF!</f>
        <v>#REF!</v>
      </c>
      <c r="BH15" s="27" t="e">
        <f>+#REF!+#REF!+#REF!+#REF!+#REF!+#REF!+#REF!+#REF!+#REF!+#REF!+#REF!+#REF!</f>
        <v>#REF!</v>
      </c>
      <c r="BI15" s="61">
        <f t="shared" si="33"/>
        <v>0</v>
      </c>
      <c r="BJ15" s="36" t="e">
        <f>+#REF!+#REF!+#REF!+#REF!+#REF!+#REF!+#REF!+#REF!+#REF!+#REF!+#REF!+#REF!</f>
        <v>#REF!</v>
      </c>
      <c r="BK15" s="27" t="e">
        <f>+#REF!+#REF!+#REF!+#REF!+#REF!+#REF!+#REF!+#REF!+#REF!+#REF!+#REF!+#REF!</f>
        <v>#REF!</v>
      </c>
      <c r="BL15" s="61">
        <f t="shared" si="34"/>
        <v>0</v>
      </c>
      <c r="BM15" s="36" t="e">
        <f>+#REF!+#REF!+#REF!+#REF!+#REF!+#REF!+#REF!+#REF!+#REF!+#REF!+#REF!+#REF!</f>
        <v>#REF!</v>
      </c>
      <c r="BN15" s="27" t="e">
        <f>+#REF!+#REF!+#REF!+#REF!+#REF!+#REF!+#REF!+#REF!+#REF!+#REF!+#REF!+#REF!</f>
        <v>#REF!</v>
      </c>
      <c r="BO15" s="54">
        <f t="shared" si="35"/>
        <v>0</v>
      </c>
      <c r="BP15" s="26" t="e">
        <f>+#REF!+#REF!+#REF!+#REF!+#REF!+#REF!+#REF!+#REF!+#REF!+#REF!+#REF!+#REF!</f>
        <v>#REF!</v>
      </c>
      <c r="BQ15" s="27" t="e">
        <f>+#REF!+#REF!+#REF!+#REF!+#REF!+#REF!+#REF!+#REF!+#REF!+#REF!+#REF!+#REF!</f>
        <v>#REF!</v>
      </c>
      <c r="BR15" s="61">
        <f t="shared" si="36"/>
        <v>0</v>
      </c>
      <c r="BS15" s="26" t="e">
        <f>+#REF!+#REF!+#REF!+#REF!+#REF!+#REF!+#REF!+#REF!+#REF!+#REF!+#REF!+#REF!</f>
        <v>#REF!</v>
      </c>
      <c r="BT15" s="27" t="e">
        <f>+#REF!+#REF!+#REF!+#REF!+#REF!+#REF!+#REF!+#REF!+#REF!+#REF!+#REF!+#REF!</f>
        <v>#REF!</v>
      </c>
      <c r="BU15" s="61">
        <f t="shared" si="37"/>
        <v>0</v>
      </c>
      <c r="BV15" s="149"/>
      <c r="BW15" s="9" t="e">
        <f>+#REF!+#REF!+#REF!+#REF!+#REF!+#REF!+#REF!+#REF!+#REF!+#REF!+#REF!+#REF!</f>
        <v>#REF!</v>
      </c>
      <c r="BX15" s="5" t="e">
        <f>+#REF!+#REF!+#REF!+#REF!+#REF!+#REF!+#REF!+#REF!+#REF!+#REF!+#REF!+#REF!</f>
        <v>#REF!</v>
      </c>
      <c r="BY15" s="5" t="e">
        <f>+#REF!+#REF!+#REF!+#REF!+#REF!+#REF!+#REF!+#REF!+#REF!+#REF!+#REF!+#REF!</f>
        <v>#REF!</v>
      </c>
      <c r="BZ15" s="5" t="e">
        <f>+#REF!+#REF!+#REF!+#REF!+#REF!+#REF!+#REF!+#REF!+#REF!+#REF!+#REF!+#REF!</f>
        <v>#REF!</v>
      </c>
      <c r="CA15" s="5" t="e">
        <f>+#REF!+#REF!+#REF!+#REF!+#REF!+#REF!+#REF!+#REF!+#REF!+#REF!+#REF!+#REF!</f>
        <v>#REF!</v>
      </c>
      <c r="CB15" s="5" t="e">
        <f t="shared" si="38"/>
        <v>#REF!</v>
      </c>
      <c r="CC15" s="33"/>
      <c r="CD15" s="2683"/>
      <c r="CF15" s="4" t="e">
        <f t="shared" si="39"/>
        <v>#REF!</v>
      </c>
      <c r="CG15" s="5" t="e">
        <f t="shared" si="5"/>
        <v>#REF!</v>
      </c>
      <c r="CH15" s="5" t="e">
        <f t="shared" si="5"/>
        <v>#REF!</v>
      </c>
      <c r="CI15" s="5" t="e">
        <f t="shared" si="5"/>
        <v>#REF!</v>
      </c>
      <c r="CJ15" s="5" t="e">
        <f t="shared" si="5"/>
        <v>#REF!</v>
      </c>
      <c r="CK15" s="5" t="e">
        <f t="shared" si="5"/>
        <v>#REF!</v>
      </c>
      <c r="CL15" s="33" t="e">
        <f t="shared" si="40"/>
        <v>#REF!</v>
      </c>
      <c r="CM15" s="2685"/>
      <c r="CN15" s="9" t="e">
        <f>+#REF!+#REF!+#REF!+#REF!+#REF!+#REF!+#REF!+#REF!+#REF!+#REF!+#REF!+#REF!</f>
        <v>#REF!</v>
      </c>
      <c r="CO15" s="5" t="e">
        <f>+#REF!+#REF!+#REF!+#REF!+#REF!+#REF!+#REF!+#REF!+#REF!+#REF!+#REF!+#REF!</f>
        <v>#REF!</v>
      </c>
      <c r="CP15" s="5" t="e">
        <f>+#REF!+#REF!+#REF!+#REF!+#REF!+#REF!+#REF!+#REF!+#REF!+#REF!+#REF!+#REF!</f>
        <v>#REF!</v>
      </c>
      <c r="CQ15" s="5" t="e">
        <f>+#REF!+#REF!+#REF!+#REF!+#REF!+#REF!+#REF!+#REF!+#REF!+#REF!+#REF!+#REF!</f>
        <v>#REF!</v>
      </c>
      <c r="CR15" s="5" t="e">
        <f>+#REF!+#REF!+#REF!+#REF!+#REF!+#REF!+#REF!+#REF!+#REF!+#REF!+#REF!+#REF!</f>
        <v>#REF!</v>
      </c>
      <c r="CS15" s="5" t="e">
        <f>+#REF!+#REF!+#REF!+#REF!+#REF!+#REF!+#REF!+#REF!+#REF!+#REF!+#REF!+#REF!</f>
        <v>#REF!</v>
      </c>
      <c r="CT15" s="28" t="e">
        <f t="shared" si="41"/>
        <v>#REF!</v>
      </c>
      <c r="CU15" s="36" t="e">
        <f>+#REF!+#REF!+#REF!+#REF!+#REF!+#REF!+#REF!+#REF!+#REF!+#REF!+#REF!+#REF!</f>
        <v>#REF!</v>
      </c>
      <c r="CV15" s="27" t="e">
        <f>+#REF!+#REF!+#REF!+#REF!+#REF!+#REF!+#REF!+#REF!+#REF!+#REF!+#REF!+#REF!</f>
        <v>#REF!</v>
      </c>
      <c r="CW15" s="27" t="e">
        <f>+#REF!+#REF!+#REF!+#REF!+#REF!+#REF!+#REF!+#REF!+#REF!+#REF!+#REF!+#REF!</f>
        <v>#REF!</v>
      </c>
      <c r="CX15" s="27" t="e">
        <f>+#REF!+#REF!+#REF!+#REF!+#REF!+#REF!+#REF!+#REF!+#REF!+#REF!+#REF!+#REF!</f>
        <v>#REF!</v>
      </c>
      <c r="CY15" s="27" t="e">
        <f>+#REF!+#REF!+#REF!+#REF!+#REF!+#REF!+#REF!+#REF!+#REF!+#REF!+#REF!+#REF!</f>
        <v>#REF!</v>
      </c>
      <c r="CZ15" s="27" t="e">
        <f>+#REF!+#REF!+#REF!+#REF!+#REF!+#REF!+#REF!+#REF!+#REF!+#REF!+#REF!+#REF!</f>
        <v>#REF!</v>
      </c>
      <c r="DA15" s="28" t="e">
        <f t="shared" si="42"/>
        <v>#REF!</v>
      </c>
      <c r="DB15" s="36" t="e">
        <f>+#REF!+#REF!+#REF!+#REF!+#REF!+#REF!+#REF!+#REF!+#REF!+#REF!+#REF!+#REF!</f>
        <v>#REF!</v>
      </c>
      <c r="DC15" s="27" t="e">
        <f>+#REF!+#REF!+#REF!+#REF!+#REF!+#REF!+#REF!+#REF!+#REF!+#REF!+#REF!+#REF!</f>
        <v>#REF!</v>
      </c>
      <c r="DD15" s="27" t="e">
        <f>+#REF!+#REF!+#REF!+#REF!+#REF!+#REF!+#REF!+#REF!+#REF!+#REF!+#REF!+#REF!</f>
        <v>#REF!</v>
      </c>
      <c r="DE15" s="27" t="e">
        <f>+#REF!+#REF!+#REF!+#REF!+#REF!+#REF!+#REF!+#REF!+#REF!+#REF!+#REF!+#REF!</f>
        <v>#REF!</v>
      </c>
      <c r="DF15" s="27" t="e">
        <f>+#REF!+#REF!+#REF!+#REF!+#REF!+#REF!+#REF!+#REF!+#REF!+#REF!+#REF!+#REF!</f>
        <v>#REF!</v>
      </c>
      <c r="DG15" s="27" t="e">
        <f>+#REF!+#REF!+#REF!+#REF!+#REF!+#REF!+#REF!+#REF!+#REF!+#REF!+#REF!+#REF!</f>
        <v>#REF!</v>
      </c>
      <c r="DH15" s="28" t="e">
        <f t="shared" si="43"/>
        <v>#REF!</v>
      </c>
      <c r="DI15" s="36" t="e">
        <f>+#REF!+#REF!+#REF!+#REF!+#REF!+#REF!+#REF!+#REF!+#REF!+#REF!+#REF!+#REF!</f>
        <v>#REF!</v>
      </c>
      <c r="DJ15" s="27" t="e">
        <f>+#REF!+#REF!+#REF!+#REF!+#REF!+#REF!+#REF!+#REF!+#REF!+#REF!+#REF!+#REF!</f>
        <v>#REF!</v>
      </c>
      <c r="DK15" s="27" t="e">
        <f>+#REF!+#REF!+#REF!+#REF!+#REF!+#REF!+#REF!+#REF!+#REF!+#REF!+#REF!+#REF!</f>
        <v>#REF!</v>
      </c>
      <c r="DL15" s="27" t="e">
        <f>+#REF!+#REF!+#REF!+#REF!+#REF!+#REF!+#REF!+#REF!+#REF!+#REF!+#REF!+#REF!</f>
        <v>#REF!</v>
      </c>
      <c r="DM15" s="27" t="e">
        <f>+#REF!+#REF!+#REF!+#REF!+#REF!+#REF!+#REF!+#REF!+#REF!+#REF!+#REF!+#REF!</f>
        <v>#REF!</v>
      </c>
      <c r="DN15" s="27" t="e">
        <f>+#REF!+#REF!+#REF!+#REF!+#REF!+#REF!+#REF!+#REF!+#REF!+#REF!+#REF!+#REF!</f>
        <v>#REF!</v>
      </c>
      <c r="DO15" s="33" t="e">
        <f t="shared" si="44"/>
        <v>#REF!</v>
      </c>
      <c r="DP15" s="2685"/>
      <c r="DR15" s="4" t="e">
        <f t="shared" si="45"/>
        <v>#REF!</v>
      </c>
      <c r="DS15" s="5" t="e">
        <f t="shared" si="46"/>
        <v>#REF!</v>
      </c>
      <c r="DT15" s="5" t="e">
        <f t="shared" si="47"/>
        <v>#REF!</v>
      </c>
      <c r="DU15" s="12" t="e">
        <f t="shared" si="48"/>
        <v>#REF!</v>
      </c>
      <c r="DV15" s="33"/>
      <c r="DW15" s="2674"/>
      <c r="DX15" s="9" t="e">
        <f>+#REF!+#REF!+#REF!+#REF!+#REF!+#REF!+#REF!+#REF!+#REF!+#REF!+#REF!+#REF!</f>
        <v>#REF!</v>
      </c>
      <c r="DY15" s="5" t="e">
        <f>+#REF!+#REF!+#REF!+#REF!+#REF!+#REF!+#REF!+#REF!+#REF!+#REF!+#REF!+#REF!</f>
        <v>#REF!</v>
      </c>
      <c r="DZ15" s="5" t="e">
        <f>+#REF!+#REF!+#REF!+#REF!+#REF!+#REF!+#REF!+#REF!+#REF!+#REF!+#REF!+#REF!</f>
        <v>#REF!</v>
      </c>
      <c r="EA15" s="5" t="e">
        <f>+#REF!+#REF!+#REF!+#REF!+#REF!+#REF!+#REF!+#REF!+#REF!+#REF!+#REF!+#REF!</f>
        <v>#REF!</v>
      </c>
      <c r="EB15" s="5" t="e">
        <f>+#REF!+#REF!+#REF!+#REF!+#REF!+#REF!+#REF!+#REF!+#REF!+#REF!+#REF!+#REF!</f>
        <v>#REF!</v>
      </c>
      <c r="EC15" s="27" t="e">
        <f>+#REF!+#REF!+#REF!+#REF!+#REF!+#REF!+#REF!+#REF!+#REF!+#REF!+#REF!+#REF!</f>
        <v>#REF!</v>
      </c>
      <c r="ED15" s="28" t="e">
        <f t="shared" si="49"/>
        <v>#REF!</v>
      </c>
      <c r="EE15" s="36" t="e">
        <f>+#REF!+#REF!+#REF!+#REF!+#REF!+#REF!+#REF!+#REF!+#REF!+#REF!+#REF!+#REF!</f>
        <v>#REF!</v>
      </c>
      <c r="EF15" s="27" t="e">
        <f>+#REF!+#REF!+#REF!+#REF!+#REF!+#REF!+#REF!+#REF!+#REF!+#REF!+#REF!+#REF!</f>
        <v>#REF!</v>
      </c>
      <c r="EG15" s="27" t="e">
        <f>+#REF!+#REF!+#REF!+#REF!+#REF!+#REF!+#REF!+#REF!+#REF!+#REF!+#REF!+#REF!</f>
        <v>#REF!</v>
      </c>
      <c r="EH15" s="27" t="e">
        <f>+#REF!+#REF!+#REF!+#REF!+#REF!+#REF!+#REF!+#REF!+#REF!+#REF!+#REF!+#REF!</f>
        <v>#REF!</v>
      </c>
      <c r="EI15" s="27" t="e">
        <f>+#REF!+#REF!+#REF!+#REF!+#REF!+#REF!+#REF!+#REF!+#REF!+#REF!+#REF!+#REF!</f>
        <v>#REF!</v>
      </c>
      <c r="EJ15" s="27" t="e">
        <f>+#REF!+#REF!+#REF!+#REF!+#REF!+#REF!+#REF!+#REF!+#REF!+#REF!+#REF!+#REF!</f>
        <v>#REF!</v>
      </c>
      <c r="EK15" s="28" t="e">
        <f t="shared" si="50"/>
        <v>#REF!</v>
      </c>
      <c r="EL15" s="36" t="e">
        <f>+#REF!+#REF!+#REF!+#REF!+#REF!+#REF!+#REF!+#REF!+#REF!+#REF!+#REF!+#REF!</f>
        <v>#REF!</v>
      </c>
      <c r="EM15" s="27" t="e">
        <f>+#REF!+#REF!+#REF!+#REF!+#REF!+#REF!+#REF!+#REF!+#REF!+#REF!+#REF!+#REF!</f>
        <v>#REF!</v>
      </c>
      <c r="EN15" s="27" t="e">
        <f>+#REF!+#REF!+#REF!+#REF!+#REF!+#REF!+#REF!+#REF!+#REF!+#REF!+#REF!+#REF!</f>
        <v>#REF!</v>
      </c>
      <c r="EO15" s="27" t="e">
        <f>+#REF!+#REF!+#REF!+#REF!+#REF!+#REF!+#REF!+#REF!+#REF!+#REF!+#REF!+#REF!</f>
        <v>#REF!</v>
      </c>
      <c r="EP15" s="27" t="e">
        <f>+#REF!+#REF!+#REF!+#REF!+#REF!+#REF!+#REF!+#REF!+#REF!+#REF!+#REF!+#REF!</f>
        <v>#REF!</v>
      </c>
      <c r="EQ15" s="27" t="e">
        <f>+#REF!+#REF!+#REF!+#REF!+#REF!+#REF!+#REF!+#REF!+#REF!+#REF!+#REF!+#REF!</f>
        <v>#REF!</v>
      </c>
      <c r="ER15" s="33" t="e">
        <f t="shared" si="51"/>
        <v>#REF!</v>
      </c>
      <c r="ES15" s="2674"/>
      <c r="EU15" s="4" t="e">
        <f t="shared" si="52"/>
        <v>#REF!</v>
      </c>
      <c r="EV15" s="5" t="e">
        <f t="shared" si="53"/>
        <v>#REF!</v>
      </c>
      <c r="EW15" s="27" t="e">
        <f t="shared" si="54"/>
        <v>#REF!</v>
      </c>
      <c r="EX15" s="27" t="e">
        <f t="shared" si="55"/>
        <v>#REF!</v>
      </c>
      <c r="EY15" s="141"/>
      <c r="EZ15" s="141"/>
      <c r="FA15" s="33"/>
      <c r="FB15" s="2667"/>
      <c r="FC15" s="36" t="e">
        <f>+#REF!+#REF!+#REF!+#REF!+#REF!+#REF!+#REF!+#REF!+#REF!+#REF!+#REF!+#REF!</f>
        <v>#REF!</v>
      </c>
      <c r="FD15" s="27" t="e">
        <f>+#REF!+#REF!+#REF!+#REF!+#REF!+#REF!+#REF!+#REF!+#REF!+#REF!+#REF!+#REF!</f>
        <v>#REF!</v>
      </c>
      <c r="FE15" s="27"/>
      <c r="FF15" s="27"/>
      <c r="FG15" s="33" t="e">
        <f t="shared" si="56"/>
        <v>#REF!</v>
      </c>
      <c r="FH15" s="2667"/>
      <c r="FI15" s="36" t="e">
        <f>+#REF!+#REF!+#REF!+#REF!+#REF!+#REF!+#REF!+#REF!+#REF!+#REF!+#REF!+#REF!</f>
        <v>#REF!</v>
      </c>
      <c r="FJ15" s="27" t="e">
        <f>+#REF!+#REF!+#REF!+#REF!+#REF!+#REF!+#REF!+#REF!+#REF!+#REF!+#REF!+#REF!</f>
        <v>#REF!</v>
      </c>
      <c r="FK15" s="27" t="e">
        <f>+#REF!+#REF!+#REF!+#REF!+#REF!+#REF!+#REF!+#REF!+#REF!+#REF!+#REF!+#REF!</f>
        <v>#REF!</v>
      </c>
      <c r="FL15" s="27" t="e">
        <f>+#REF!+#REF!+#REF!+#REF!+#REF!+#REF!+#REF!+#REF!+#REF!+#REF!+#REF!+#REF!</f>
        <v>#REF!</v>
      </c>
      <c r="FM15" s="27" t="e">
        <f>+#REF!+#REF!+#REF!+#REF!+#REF!+#REF!+#REF!+#REF!+#REF!+#REF!+#REF!+#REF!</f>
        <v>#REF!</v>
      </c>
      <c r="FN15" s="27" t="e">
        <f>+#REF!+#REF!+#REF!+#REF!+#REF!+#REF!+#REF!+#REF!+#REF!+#REF!+#REF!+#REF!</f>
        <v>#REF!</v>
      </c>
      <c r="FO15" s="27" t="e">
        <f>+#REF!+#REF!+#REF!+#REF!+#REF!+#REF!+#REF!+#REF!+#REF!+#REF!+#REF!+#REF!</f>
        <v>#REF!</v>
      </c>
      <c r="FP15" s="27" t="e">
        <f>+#REF!+#REF!+#REF!+#REF!+#REF!+#REF!+#REF!+#REF!+#REF!+#REF!+#REF!+#REF!</f>
        <v>#REF!</v>
      </c>
      <c r="FQ15" s="28" t="e">
        <f t="shared" si="80"/>
        <v>#REF!</v>
      </c>
      <c r="FR15" s="26" t="e">
        <f>+#REF!+#REF!+#REF!+#REF!+#REF!+#REF!+#REF!+#REF!+#REF!+#REF!+#REF!+#REF!</f>
        <v>#REF!</v>
      </c>
      <c r="FS15" s="27" t="e">
        <f>+#REF!+#REF!+#REF!+#REF!+#REF!+#REF!+#REF!+#REF!+#REF!+#REF!+#REF!+#REF!</f>
        <v>#REF!</v>
      </c>
      <c r="FT15" s="27" t="e">
        <f>+#REF!+#REF!+#REF!+#REF!+#REF!+#REF!+#REF!+#REF!+#REF!+#REF!+#REF!+#REF!</f>
        <v>#REF!</v>
      </c>
      <c r="FU15" s="27" t="e">
        <f>+#REF!+#REF!+#REF!+#REF!+#REF!+#REF!+#REF!+#REF!+#REF!+#REF!+#REF!+#REF!</f>
        <v>#REF!</v>
      </c>
      <c r="FV15" s="27" t="e">
        <f>+#REF!+#REF!+#REF!+#REF!+#REF!+#REF!+#REF!+#REF!+#REF!+#REF!+#REF!+#REF!</f>
        <v>#REF!</v>
      </c>
      <c r="FW15" s="27" t="e">
        <f>+#REF!+#REF!+#REF!+#REF!+#REF!+#REF!+#REF!+#REF!+#REF!+#REF!+#REF!+#REF!</f>
        <v>#REF!</v>
      </c>
      <c r="FX15" s="27" t="e">
        <f>+#REF!+#REF!+#REF!+#REF!+#REF!+#REF!+#REF!+#REF!+#REF!+#REF!+#REF!+#REF!</f>
        <v>#REF!</v>
      </c>
      <c r="FY15" s="27" t="e">
        <f>+#REF!+#REF!+#REF!+#REF!+#REF!+#REF!+#REF!+#REF!+#REF!+#REF!+#REF!+#REF!</f>
        <v>#REF!</v>
      </c>
      <c r="FZ15" s="28" t="e">
        <f t="shared" si="57"/>
        <v>#REF!</v>
      </c>
      <c r="GA15" s="36" t="e">
        <f>+#REF!+#REF!+#REF!+#REF!+#REF!+#REF!+#REF!+#REF!+#REF!+#REF!+#REF!+#REF!</f>
        <v>#REF!</v>
      </c>
      <c r="GB15" s="27" t="e">
        <f>+#REF!+#REF!+#REF!+#REF!+#REF!+#REF!+#REF!+#REF!+#REF!+#REF!+#REF!+#REF!</f>
        <v>#REF!</v>
      </c>
      <c r="GC15" s="27" t="e">
        <f>+#REF!+#REF!+#REF!+#REF!+#REF!+#REF!+#REF!+#REF!+#REF!+#REF!+#REF!+#REF!</f>
        <v>#REF!</v>
      </c>
      <c r="GD15" s="27" t="e">
        <f>+#REF!+#REF!+#REF!+#REF!+#REF!+#REF!+#REF!+#REF!+#REF!+#REF!+#REF!+#REF!</f>
        <v>#REF!</v>
      </c>
      <c r="GE15" s="27" t="e">
        <f>+#REF!+#REF!+#REF!+#REF!+#REF!+#REF!+#REF!+#REF!+#REF!+#REF!+#REF!+#REF!</f>
        <v>#REF!</v>
      </c>
      <c r="GF15" s="27" t="e">
        <f>+#REF!+#REF!+#REF!+#REF!+#REF!+#REF!+#REF!+#REF!+#REF!+#REF!+#REF!+#REF!</f>
        <v>#REF!</v>
      </c>
      <c r="GG15" s="27" t="e">
        <f>+#REF!+#REF!+#REF!+#REF!+#REF!+#REF!+#REF!+#REF!+#REF!+#REF!+#REF!+#REF!</f>
        <v>#REF!</v>
      </c>
      <c r="GH15" s="27" t="e">
        <f>+#REF!+#REF!+#REF!+#REF!+#REF!+#REF!+#REF!+#REF!+#REF!+#REF!+#REF!+#REF!</f>
        <v>#REF!</v>
      </c>
      <c r="GI15" s="33" t="e">
        <f t="shared" si="58"/>
        <v>#REF!</v>
      </c>
      <c r="GJ15" s="2667"/>
      <c r="GL15" s="26" t="e">
        <f>+#REF!+#REF!+#REF!+#REF!+#REF!+#REF!+#REF!+#REF!+#REF!+#REF!+#REF!+#REF!</f>
        <v>#REF!</v>
      </c>
      <c r="GM15" s="36" t="e">
        <f>+#REF!+#REF!+#REF!+#REF!+#REF!+#REF!+#REF!+#REF!+#REF!+#REF!+#REF!+#REF!</f>
        <v>#REF!</v>
      </c>
      <c r="GN15" s="27" t="e">
        <f>+#REF!+#REF!+#REF!+#REF!+#REF!+#REF!+#REF!+#REF!+#REF!+#REF!+#REF!+#REF!</f>
        <v>#REF!</v>
      </c>
      <c r="GO15" s="27" t="e">
        <f t="shared" si="59"/>
        <v>#REF!</v>
      </c>
      <c r="GP15" s="33"/>
      <c r="GQ15" s="2669"/>
      <c r="GR15" s="69"/>
      <c r="GS15" s="70"/>
      <c r="GT15" s="70"/>
      <c r="GU15" s="70"/>
      <c r="GV15" s="70"/>
      <c r="GW15" s="70"/>
      <c r="GX15" s="70"/>
      <c r="GY15" s="71"/>
      <c r="GZ15" s="69"/>
      <c r="HA15" s="70"/>
      <c r="HB15" s="70"/>
      <c r="HC15" s="70"/>
      <c r="HD15" s="70"/>
      <c r="HE15" s="70"/>
      <c r="HF15" s="70"/>
      <c r="HG15" s="71"/>
      <c r="HH15" s="69"/>
      <c r="HI15" s="70"/>
      <c r="HJ15" s="70"/>
      <c r="HK15" s="70"/>
      <c r="HL15" s="70"/>
      <c r="HM15" s="70"/>
      <c r="HN15" s="70"/>
      <c r="HO15" s="70"/>
      <c r="HP15" s="33"/>
      <c r="HQ15" s="2669"/>
      <c r="HR15" s="36"/>
      <c r="HS15" s="53"/>
      <c r="HT15" s="53"/>
      <c r="HU15" s="53"/>
      <c r="HV15" s="61"/>
      <c r="HW15" s="36"/>
      <c r="HX15" s="53"/>
      <c r="HY15" s="53"/>
      <c r="HZ15" s="53"/>
      <c r="IA15" s="61"/>
      <c r="IB15" s="36"/>
      <c r="IC15" s="53"/>
      <c r="ID15" s="53"/>
      <c r="IE15" s="53"/>
      <c r="IF15" s="53"/>
      <c r="IG15" s="33"/>
      <c r="IH15" s="2669"/>
      <c r="IJ15" s="26" t="e">
        <f t="shared" si="60"/>
        <v>#REF!</v>
      </c>
      <c r="IK15" s="36" t="e">
        <f t="shared" si="6"/>
        <v>#REF!</v>
      </c>
      <c r="IL15" s="27" t="e">
        <f t="shared" si="6"/>
        <v>#REF!</v>
      </c>
      <c r="IM15" s="28" t="e">
        <f t="shared" si="61"/>
        <v>#REF!</v>
      </c>
      <c r="IN15" s="36"/>
      <c r="IO15" s="27"/>
      <c r="IP15" s="27"/>
      <c r="IQ15" s="33"/>
      <c r="IR15" s="55"/>
      <c r="IS15" s="21"/>
      <c r="IT15" s="2688"/>
      <c r="IU15" s="36" t="e">
        <f>+#REF!+#REF!+#REF!+#REF!+#REF!+#REF!+#REF!+#REF!+#REF!+#REF!+#REF!+#REF!</f>
        <v>#REF!</v>
      </c>
      <c r="IV15" s="36" t="e">
        <f>+#REF!+#REF!+#REF!+#REF!+#REF!+#REF!+#REF!+#REF!+#REF!+#REF!+#REF!+#REF!</f>
        <v>#REF!</v>
      </c>
      <c r="IW15" s="27" t="e">
        <f>+#REF!+#REF!+#REF!+#REF!+#REF!+#REF!+#REF!+#REF!+#REF!+#REF!+#REF!+#REF!</f>
        <v>#REF!</v>
      </c>
      <c r="IX15" s="27" t="e">
        <f>+#REF!+#REF!+#REF!+#REF!+#REF!+#REF!+#REF!+#REF!+#REF!+#REF!+#REF!+#REF!</f>
        <v>#REF!</v>
      </c>
      <c r="IY15" s="27" t="e">
        <f>+#REF!+#REF!+#REF!+#REF!+#REF!+#REF!+#REF!+#REF!+#REF!+#REF!+#REF!+#REF!</f>
        <v>#REF!</v>
      </c>
      <c r="IZ15" s="28" t="e">
        <f t="shared" si="62"/>
        <v>#REF!</v>
      </c>
      <c r="JA15" s="26" t="e">
        <f>+#REF!+#REF!+#REF!+#REF!+#REF!+#REF!+#REF!+#REF!+#REF!+#REF!+#REF!+#REF!</f>
        <v>#REF!</v>
      </c>
      <c r="JB15" s="36" t="e">
        <f>+#REF!+#REF!+#REF!+#REF!+#REF!+#REF!+#REF!+#REF!+#REF!+#REF!+#REF!+#REF!</f>
        <v>#REF!</v>
      </c>
      <c r="JC15" s="27" t="e">
        <f>+#REF!+#REF!+#REF!+#REF!+#REF!+#REF!+#REF!+#REF!+#REF!+#REF!+#REF!+#REF!</f>
        <v>#REF!</v>
      </c>
      <c r="JD15" s="27" t="e">
        <f>+#REF!+#REF!+#REF!+#REF!+#REF!+#REF!+#REF!+#REF!+#REF!+#REF!+#REF!+#REF!</f>
        <v>#REF!</v>
      </c>
      <c r="JE15" s="28" t="e">
        <f>+#REF!+#REF!+#REF!+#REF!+#REF!+#REF!+#REF!+#REF!+#REF!+#REF!+#REF!+#REF!</f>
        <v>#REF!</v>
      </c>
      <c r="JF15" s="26" t="e">
        <f>+#REF!+#REF!+#REF!+#REF!+#REF!+#REF!+#REF!+#REF!+#REF!+#REF!+#REF!+#REF!</f>
        <v>#REF!</v>
      </c>
      <c r="JG15" s="36" t="e">
        <f>+#REF!+#REF!+#REF!+#REF!+#REF!+#REF!+#REF!+#REF!+#REF!+#REF!+#REF!+#REF!</f>
        <v>#REF!</v>
      </c>
      <c r="JH15" s="27" t="e">
        <f>+#REF!+#REF!+#REF!+#REF!+#REF!+#REF!+#REF!+#REF!+#REF!+#REF!+#REF!+#REF!</f>
        <v>#REF!</v>
      </c>
      <c r="JI15" s="27" t="e">
        <f>+#REF!+#REF!+#REF!+#REF!+#REF!+#REF!+#REF!+#REF!+#REF!+#REF!+#REF!+#REF!</f>
        <v>#REF!</v>
      </c>
      <c r="JJ15" s="27" t="e">
        <f>+#REF!+#REF!+#REF!+#REF!+#REF!+#REF!+#REF!+#REF!+#REF!+#REF!+#REF!+#REF!</f>
        <v>#REF!</v>
      </c>
      <c r="JK15" s="28" t="e">
        <f t="shared" si="63"/>
        <v>#REF!</v>
      </c>
      <c r="JL15" s="26" t="e">
        <f>+#REF!+#REF!+#REF!+#REF!+#REF!+#REF!+#REF!+#REF!+#REF!+#REF!+#REF!+#REF!</f>
        <v>#REF!</v>
      </c>
      <c r="JM15" s="36" t="e">
        <f>+#REF!+#REF!+#REF!+#REF!+#REF!+#REF!+#REF!+#REF!+#REF!+#REF!+#REF!+#REF!</f>
        <v>#REF!</v>
      </c>
      <c r="JN15" s="27" t="e">
        <f>+#REF!+#REF!+#REF!+#REF!+#REF!+#REF!+#REF!+#REF!+#REF!+#REF!+#REF!+#REF!</f>
        <v>#REF!</v>
      </c>
      <c r="JO15" s="27" t="e">
        <f>+#REF!+#REF!+#REF!+#REF!+#REF!+#REF!+#REF!+#REF!+#REF!+#REF!+#REF!+#REF!</f>
        <v>#REF!</v>
      </c>
      <c r="JP15" s="28" t="e">
        <f>+#REF!+#REF!+#REF!+#REF!+#REF!+#REF!+#REF!+#REF!+#REF!+#REF!+#REF!+#REF!</f>
        <v>#REF!</v>
      </c>
      <c r="JQ15" s="275" t="e">
        <f t="shared" si="64"/>
        <v>#REF!</v>
      </c>
      <c r="JR15" s="36" t="e">
        <f>+#REF!+#REF!+#REF!+#REF!+#REF!+#REF!+#REF!+#REF!+#REF!+#REF!+#REF!+#REF!</f>
        <v>#REF!</v>
      </c>
      <c r="JS15" s="36" t="e">
        <f>+#REF!+#REF!+#REF!+#REF!+#REF!+#REF!+#REF!+#REF!+#REF!+#REF!+#REF!+#REF!</f>
        <v>#REF!</v>
      </c>
      <c r="JT15" s="27" t="e">
        <f>+#REF!+#REF!+#REF!+#REF!+#REF!+#REF!+#REF!+#REF!+#REF!+#REF!+#REF!+#REF!</f>
        <v>#REF!</v>
      </c>
      <c r="JU15" s="27" t="e">
        <f>+#REF!+#REF!+#REF!+#REF!+#REF!+#REF!+#REF!+#REF!+#REF!+#REF!+#REF!+#REF!</f>
        <v>#REF!</v>
      </c>
      <c r="JV15" s="27" t="e">
        <f>+#REF!+#REF!+#REF!+#REF!+#REF!+#REF!+#REF!+#REF!+#REF!+#REF!+#REF!+#REF!</f>
        <v>#REF!</v>
      </c>
      <c r="JW15" s="33" t="e">
        <f t="shared" si="65"/>
        <v>#REF!</v>
      </c>
      <c r="JX15" s="2688"/>
      <c r="JZ15" s="26" t="e">
        <f t="shared" si="66"/>
        <v>#REF!</v>
      </c>
      <c r="KA15" s="27" t="e">
        <f t="shared" si="67"/>
        <v>#REF!</v>
      </c>
      <c r="KB15" s="27" t="e">
        <f t="shared" si="68"/>
        <v>#REF!</v>
      </c>
      <c r="KC15" s="33" t="e">
        <f t="shared" si="69"/>
        <v>#REF!</v>
      </c>
      <c r="KD15" s="2621"/>
      <c r="KE15" s="36" t="e">
        <f t="shared" si="7"/>
        <v>#REF!</v>
      </c>
      <c r="KF15" s="36" t="e">
        <f t="shared" si="7"/>
        <v>#REF!</v>
      </c>
      <c r="KG15" s="27" t="e">
        <f t="shared" si="7"/>
        <v>#REF!</v>
      </c>
      <c r="KH15" s="28" t="e">
        <f t="shared" si="81"/>
        <v>#REF!</v>
      </c>
      <c r="KI15" s="36" t="e">
        <f t="shared" si="82"/>
        <v>#REF!</v>
      </c>
      <c r="KJ15" s="27" t="e">
        <f t="shared" si="8"/>
        <v>#REF!</v>
      </c>
      <c r="KK15" s="27" t="e">
        <f t="shared" si="8"/>
        <v>#REF!</v>
      </c>
      <c r="KL15" s="27" t="e">
        <f t="shared" si="8"/>
        <v>#REF!</v>
      </c>
      <c r="KM15" s="27" t="e">
        <f t="shared" si="8"/>
        <v>#REF!</v>
      </c>
      <c r="KN15" s="27" t="e">
        <f t="shared" si="8"/>
        <v>#REF!</v>
      </c>
      <c r="KO15" s="28" t="e">
        <f t="shared" si="83"/>
        <v>#REF!</v>
      </c>
      <c r="KP15" s="36" t="e">
        <f t="shared" si="9"/>
        <v>#REF!</v>
      </c>
      <c r="KQ15" s="27" t="e">
        <f t="shared" si="9"/>
        <v>#REF!</v>
      </c>
      <c r="KR15" s="27" t="e">
        <f t="shared" si="9"/>
        <v>#REF!</v>
      </c>
      <c r="KS15" s="27" t="e">
        <f t="shared" si="9"/>
        <v>#REF!</v>
      </c>
      <c r="KT15" s="27" t="e">
        <f t="shared" si="9"/>
        <v>#REF!</v>
      </c>
      <c r="KU15" s="27" t="e">
        <f t="shared" si="9"/>
        <v>#REF!</v>
      </c>
      <c r="KV15" s="28" t="e">
        <f t="shared" si="84"/>
        <v>#REF!</v>
      </c>
      <c r="KW15" s="36" t="e">
        <f t="shared" si="10"/>
        <v>#REF!</v>
      </c>
      <c r="KX15" s="27" t="e">
        <f t="shared" si="10"/>
        <v>#REF!</v>
      </c>
      <c r="KY15" s="27" t="e">
        <f t="shared" si="10"/>
        <v>#REF!</v>
      </c>
      <c r="KZ15" s="27" t="e">
        <f t="shared" si="10"/>
        <v>#REF!</v>
      </c>
      <c r="LA15" s="27" t="e">
        <f t="shared" si="10"/>
        <v>#REF!</v>
      </c>
      <c r="LB15" s="27" t="e">
        <f t="shared" si="10"/>
        <v>#REF!</v>
      </c>
      <c r="LC15" s="28" t="e">
        <f t="shared" si="85"/>
        <v>#REF!</v>
      </c>
      <c r="LD15" s="36"/>
      <c r="LE15" s="27"/>
      <c r="LF15" s="27"/>
      <c r="LG15" s="27"/>
      <c r="LH15" s="27"/>
      <c r="LI15" s="27"/>
      <c r="LJ15" s="28">
        <f t="shared" si="70"/>
        <v>0</v>
      </c>
      <c r="LK15" s="36" t="e">
        <f t="shared" si="11"/>
        <v>#REF!</v>
      </c>
      <c r="LL15" s="27" t="e">
        <f t="shared" si="11"/>
        <v>#REF!</v>
      </c>
      <c r="LM15" s="27" t="e">
        <f t="shared" si="11"/>
        <v>#REF!</v>
      </c>
      <c r="LN15" s="27" t="e">
        <f t="shared" si="11"/>
        <v>#REF!</v>
      </c>
      <c r="LO15" s="27" t="e">
        <f t="shared" si="11"/>
        <v>#REF!</v>
      </c>
      <c r="LP15" s="27" t="e">
        <f t="shared" si="11"/>
        <v>#REF!</v>
      </c>
      <c r="LQ15" s="33" t="e">
        <f t="shared" si="71"/>
        <v>#REF!</v>
      </c>
      <c r="LR15" s="2621"/>
      <c r="LT15" s="4" t="e">
        <f>+#REF!+#REF!+#REF!+#REF!+#REF!+#REF!+#REF!+#REF!+#REF!+#REF!+#REF!+#REF!</f>
        <v>#REF!</v>
      </c>
      <c r="LU15" s="5" t="e">
        <f>+#REF!+#REF!+#REF!+#REF!+#REF!+#REF!+#REF!+#REF!+#REF!+#REF!+#REF!+#REF!</f>
        <v>#REF!</v>
      </c>
      <c r="LV15" s="5" t="e">
        <f t="shared" si="72"/>
        <v>#REF!</v>
      </c>
      <c r="LW15" s="12" t="e">
        <f t="shared" si="86"/>
        <v>#REF!</v>
      </c>
      <c r="LX15" s="15"/>
      <c r="LY15" s="2615"/>
      <c r="MA15" s="4" t="e">
        <f>+#REF!+#REF!+#REF!+#REF!+#REF!+#REF!+#REF!+#REF!+#REF!+#REF!+#REF!+#REF!</f>
        <v>#REF!</v>
      </c>
      <c r="MB15" s="5" t="e">
        <f t="shared" si="73"/>
        <v>#REF!</v>
      </c>
      <c r="MC15" s="5" t="e">
        <f>+#REF!+#REF!+#REF!+#REF!+#REF!+#REF!+#REF!+#REF!+#REF!+#REF!+#REF!+#REF!</f>
        <v>#REF!</v>
      </c>
      <c r="MD15" s="5" t="e">
        <f t="shared" si="74"/>
        <v>#REF!</v>
      </c>
      <c r="ME15" s="12" t="e">
        <f t="shared" si="75"/>
        <v>#REF!</v>
      </c>
      <c r="MF15" s="12"/>
      <c r="MG15" s="2615"/>
      <c r="MI15" s="139" t="e">
        <f>IF(GL15=0,"",(IFERROR(IF(1-ABS(1-(GR15/GR$43))&lt;0,0,1-ABS(1-(GR15/GR$43))),0)*GR$43)+(IFERROR(IF(1-ABS(1-(GS15/GS$43))&lt;0,0,1-ABS(1-(GS15/GS$43))),0)*GS$43)+(IFERROR(IF(1-ABS(1-(GT15/GT$43))&lt;0,0,1-ABS(1-(GT15/GT$43))),0)*GT$43)+(IFERROR(IF(1-ABS(1-(GU15/GU$43))&lt;0,0,1-ABS(1-(GU15/GU$43))),0)*GU$43)+(IFERROR(IF(1-ABS(1-(GV15/GV$43))&lt;0,0,1-ABS(1-(GV15/GV$43))),0)*GV$43)+(IFERROR(IF(1-ABS(1-(GW15/GW$43))&lt;0,0,1-ABS(1-(GW15/GW$43))),0)*GW$43)+(IFERROR(IF(1-ABS(1-(GX15/GX$43))&lt;0,0,1-ABS(1-(GX15/GX$43))),0)*GX$43)+(IFERROR(IF(1-ABS(1-(GY15/GY$43))&lt;0,0,1-ABS(1-(GY15/GY$43))),0)*GY$43))</f>
        <v>#REF!</v>
      </c>
      <c r="MJ15" s="139" t="e">
        <f t="shared" si="77"/>
        <v>#REF!</v>
      </c>
      <c r="ML15" s="139" t="e">
        <f t="shared" si="78"/>
        <v>#REF!</v>
      </c>
      <c r="MM15" s="139" t="e">
        <f t="shared" si="79"/>
        <v>#REF!</v>
      </c>
      <c r="MO15" s="1">
        <f t="shared" si="12"/>
        <v>0</v>
      </c>
      <c r="MP15" s="1">
        <f t="shared" si="12"/>
        <v>0</v>
      </c>
      <c r="MQ15" s="1">
        <f t="shared" si="12"/>
        <v>0</v>
      </c>
      <c r="MR15" s="1">
        <f t="shared" si="12"/>
        <v>0</v>
      </c>
      <c r="MS15" s="1">
        <f t="shared" si="12"/>
        <v>0</v>
      </c>
      <c r="MT15" s="1">
        <f t="shared" si="12"/>
        <v>0</v>
      </c>
      <c r="MV15" s="1">
        <f t="shared" si="13"/>
        <v>0</v>
      </c>
      <c r="MW15" s="1">
        <f t="shared" si="13"/>
        <v>0</v>
      </c>
      <c r="MX15" s="1">
        <f t="shared" si="13"/>
        <v>0</v>
      </c>
      <c r="MY15" s="1">
        <f t="shared" si="13"/>
        <v>0</v>
      </c>
      <c r="MZ15" s="1">
        <f t="shared" si="13"/>
        <v>0</v>
      </c>
      <c r="NA15" s="1">
        <f t="shared" si="13"/>
        <v>0</v>
      </c>
    </row>
    <row r="16" spans="2:365" s="1" customFormat="1">
      <c r="B16" s="46">
        <v>7</v>
      </c>
      <c r="C16" s="4" t="e">
        <f t="shared" si="0"/>
        <v>#REF!</v>
      </c>
      <c r="D16" s="5" t="e">
        <f t="shared" si="1"/>
        <v>#REF!</v>
      </c>
      <c r="E16" s="61">
        <f t="shared" si="14"/>
        <v>0</v>
      </c>
      <c r="F16" s="52"/>
      <c r="G16" s="53"/>
      <c r="H16" s="53"/>
      <c r="I16" s="54"/>
      <c r="J16" s="2629"/>
      <c r="K16" s="9" t="e">
        <f t="shared" si="15"/>
        <v>#REF!</v>
      </c>
      <c r="L16" s="5" t="e">
        <f t="shared" si="2"/>
        <v>#REF!</v>
      </c>
      <c r="M16" s="64">
        <f t="shared" si="16"/>
        <v>0</v>
      </c>
      <c r="N16" s="28"/>
      <c r="O16" s="36" t="e">
        <f t="shared" si="17"/>
        <v>#REF!</v>
      </c>
      <c r="P16" s="27" t="e">
        <f t="shared" si="17"/>
        <v>#REF!</v>
      </c>
      <c r="Q16" s="53">
        <f t="shared" si="18"/>
        <v>0</v>
      </c>
      <c r="R16" s="28"/>
      <c r="S16" s="36" t="e">
        <f t="shared" si="19"/>
        <v>#REF!</v>
      </c>
      <c r="T16" s="27" t="e">
        <f t="shared" si="19"/>
        <v>#REF!</v>
      </c>
      <c r="U16" s="53">
        <f t="shared" si="3"/>
        <v>0</v>
      </c>
      <c r="V16" s="28"/>
      <c r="W16" s="36" t="e">
        <f t="shared" si="20"/>
        <v>#REF!</v>
      </c>
      <c r="X16" s="27" t="e">
        <f t="shared" si="4"/>
        <v>#REF!</v>
      </c>
      <c r="Y16" s="53">
        <f t="shared" si="21"/>
        <v>0</v>
      </c>
      <c r="Z16" s="28"/>
      <c r="AA16" s="26" t="e">
        <f t="shared" si="22"/>
        <v>#REF!</v>
      </c>
      <c r="AB16" s="27" t="e">
        <f t="shared" si="22"/>
        <v>#REF!</v>
      </c>
      <c r="AC16" s="53">
        <f t="shared" si="23"/>
        <v>0</v>
      </c>
      <c r="AD16" s="33"/>
      <c r="AE16" s="2629"/>
      <c r="AF16" s="9" t="e">
        <f>+#REF!+#REF!+#REF!+#REF!+#REF!+#REF!+#REF!+#REF!+#REF!+#REF!+#REF!+#REF!</f>
        <v>#REF!</v>
      </c>
      <c r="AG16" s="5" t="e">
        <f>+#REF!+#REF!+#REF!+#REF!+#REF!+#REF!+#REF!+#REF!+#REF!+#REF!+#REF!+#REF!</f>
        <v>#REF!</v>
      </c>
      <c r="AH16" s="61">
        <f t="shared" si="24"/>
        <v>0</v>
      </c>
      <c r="AI16" s="36" t="e">
        <f>+#REF!+#REF!+#REF!+#REF!+#REF!+#REF!+#REF!+#REF!+#REF!+#REF!+#REF!+#REF!</f>
        <v>#REF!</v>
      </c>
      <c r="AJ16" s="27" t="e">
        <f>+#REF!+#REF!+#REF!+#REF!+#REF!+#REF!+#REF!+#REF!+#REF!+#REF!+#REF!+#REF!</f>
        <v>#REF!</v>
      </c>
      <c r="AK16" s="61">
        <f t="shared" si="25"/>
        <v>0</v>
      </c>
      <c r="AL16" s="36" t="e">
        <f>+#REF!+#REF!+#REF!+#REF!+#REF!+#REF!+#REF!+#REF!+#REF!+#REF!+#REF!+#REF!</f>
        <v>#REF!</v>
      </c>
      <c r="AM16" s="27" t="e">
        <f>+#REF!+#REF!+#REF!+#REF!+#REF!+#REF!+#REF!+#REF!+#REF!+#REF!+#REF!+#REF!</f>
        <v>#REF!</v>
      </c>
      <c r="AN16" s="61">
        <f t="shared" si="26"/>
        <v>0</v>
      </c>
      <c r="AO16" s="36" t="e">
        <f>+#REF!+#REF!+#REF!+#REF!+#REF!+#REF!+#REF!+#REF!+#REF!+#REF!+#REF!+#REF!</f>
        <v>#REF!</v>
      </c>
      <c r="AP16" s="27" t="e">
        <f>+#REF!+#REF!+#REF!+#REF!+#REF!+#REF!+#REF!+#REF!+#REF!+#REF!+#REF!+#REF!</f>
        <v>#REF!</v>
      </c>
      <c r="AQ16" s="61">
        <f t="shared" si="27"/>
        <v>0</v>
      </c>
      <c r="AR16" s="36" t="e">
        <f>+#REF!+#REF!+#REF!+#REF!+#REF!+#REF!+#REF!+#REF!+#REF!+#REF!+#REF!+#REF!</f>
        <v>#REF!</v>
      </c>
      <c r="AS16" s="27" t="e">
        <f>+#REF!+#REF!+#REF!+#REF!+#REF!+#REF!+#REF!+#REF!+#REF!+#REF!+#REF!+#REF!</f>
        <v>#REF!</v>
      </c>
      <c r="AT16" s="61">
        <f t="shared" si="28"/>
        <v>0</v>
      </c>
      <c r="AU16" s="36" t="e">
        <f>+#REF!+#REF!+#REF!+#REF!+#REF!+#REF!+#REF!+#REF!+#REF!+#REF!+#REF!+#REF!</f>
        <v>#REF!</v>
      </c>
      <c r="AV16" s="27" t="e">
        <f>+#REF!+#REF!+#REF!+#REF!+#REF!+#REF!+#REF!+#REF!+#REF!+#REF!+#REF!+#REF!</f>
        <v>#REF!</v>
      </c>
      <c r="AW16" s="61">
        <f t="shared" si="29"/>
        <v>0</v>
      </c>
      <c r="AX16" s="36" t="e">
        <f>+#REF!+#REF!+#REF!+#REF!+#REF!+#REF!+#REF!+#REF!+#REF!+#REF!+#REF!+#REF!</f>
        <v>#REF!</v>
      </c>
      <c r="AY16" s="27" t="e">
        <f>+#REF!+#REF!+#REF!+#REF!+#REF!+#REF!+#REF!+#REF!+#REF!+#REF!+#REF!+#REF!</f>
        <v>#REF!</v>
      </c>
      <c r="AZ16" s="61">
        <f t="shared" si="30"/>
        <v>0</v>
      </c>
      <c r="BA16" s="36" t="e">
        <f>+#REF!+#REF!+#REF!+#REF!+#REF!+#REF!+#REF!+#REF!+#REF!+#REF!+#REF!+#REF!</f>
        <v>#REF!</v>
      </c>
      <c r="BB16" s="27" t="e">
        <f>+#REF!+#REF!+#REF!+#REF!+#REF!+#REF!+#REF!+#REF!+#REF!+#REF!+#REF!+#REF!</f>
        <v>#REF!</v>
      </c>
      <c r="BC16" s="61">
        <f t="shared" si="31"/>
        <v>0</v>
      </c>
      <c r="BD16" s="36" t="e">
        <f>+#REF!+#REF!+#REF!+#REF!+#REF!+#REF!+#REF!+#REF!+#REF!+#REF!+#REF!+#REF!</f>
        <v>#REF!</v>
      </c>
      <c r="BE16" s="27" t="e">
        <f>+#REF!+#REF!+#REF!+#REF!+#REF!+#REF!+#REF!+#REF!+#REF!+#REF!+#REF!+#REF!</f>
        <v>#REF!</v>
      </c>
      <c r="BF16" s="61">
        <f t="shared" si="32"/>
        <v>0</v>
      </c>
      <c r="BG16" s="36" t="e">
        <f>+#REF!+#REF!+#REF!+#REF!+#REF!+#REF!+#REF!+#REF!+#REF!+#REF!+#REF!+#REF!</f>
        <v>#REF!</v>
      </c>
      <c r="BH16" s="27" t="e">
        <f>+#REF!+#REF!+#REF!+#REF!+#REF!+#REF!+#REF!+#REF!+#REF!+#REF!+#REF!+#REF!</f>
        <v>#REF!</v>
      </c>
      <c r="BI16" s="61">
        <f t="shared" si="33"/>
        <v>0</v>
      </c>
      <c r="BJ16" s="36" t="e">
        <f>+#REF!+#REF!+#REF!+#REF!+#REF!+#REF!+#REF!+#REF!+#REF!+#REF!+#REF!+#REF!</f>
        <v>#REF!</v>
      </c>
      <c r="BK16" s="27" t="e">
        <f>+#REF!+#REF!+#REF!+#REF!+#REF!+#REF!+#REF!+#REF!+#REF!+#REF!+#REF!+#REF!</f>
        <v>#REF!</v>
      </c>
      <c r="BL16" s="61">
        <f t="shared" si="34"/>
        <v>0</v>
      </c>
      <c r="BM16" s="36" t="e">
        <f>+#REF!+#REF!+#REF!+#REF!+#REF!+#REF!+#REF!+#REF!+#REF!+#REF!+#REF!+#REF!</f>
        <v>#REF!</v>
      </c>
      <c r="BN16" s="27" t="e">
        <f>+#REF!+#REF!+#REF!+#REF!+#REF!+#REF!+#REF!+#REF!+#REF!+#REF!+#REF!+#REF!</f>
        <v>#REF!</v>
      </c>
      <c r="BO16" s="54">
        <f t="shared" si="35"/>
        <v>0</v>
      </c>
      <c r="BP16" s="26" t="e">
        <f>+#REF!+#REF!+#REF!+#REF!+#REF!+#REF!+#REF!+#REF!+#REF!+#REF!+#REF!+#REF!</f>
        <v>#REF!</v>
      </c>
      <c r="BQ16" s="27" t="e">
        <f>+#REF!+#REF!+#REF!+#REF!+#REF!+#REF!+#REF!+#REF!+#REF!+#REF!+#REF!+#REF!</f>
        <v>#REF!</v>
      </c>
      <c r="BR16" s="61">
        <f t="shared" si="36"/>
        <v>0</v>
      </c>
      <c r="BS16" s="26" t="e">
        <f>+#REF!+#REF!+#REF!+#REF!+#REF!+#REF!+#REF!+#REF!+#REF!+#REF!+#REF!+#REF!</f>
        <v>#REF!</v>
      </c>
      <c r="BT16" s="27" t="e">
        <f>+#REF!+#REF!+#REF!+#REF!+#REF!+#REF!+#REF!+#REF!+#REF!+#REF!+#REF!+#REF!</f>
        <v>#REF!</v>
      </c>
      <c r="BU16" s="61">
        <f t="shared" si="37"/>
        <v>0</v>
      </c>
      <c r="BV16" s="150"/>
      <c r="BW16" s="9" t="e">
        <f>+#REF!+#REF!+#REF!+#REF!+#REF!+#REF!+#REF!+#REF!+#REF!+#REF!+#REF!+#REF!</f>
        <v>#REF!</v>
      </c>
      <c r="BX16" s="5" t="e">
        <f>+#REF!+#REF!+#REF!+#REF!+#REF!+#REF!+#REF!+#REF!+#REF!+#REF!+#REF!+#REF!</f>
        <v>#REF!</v>
      </c>
      <c r="BY16" s="5" t="e">
        <f>+#REF!+#REF!+#REF!+#REF!+#REF!+#REF!+#REF!+#REF!+#REF!+#REF!+#REF!+#REF!</f>
        <v>#REF!</v>
      </c>
      <c r="BZ16" s="5" t="e">
        <f>+#REF!+#REF!+#REF!+#REF!+#REF!+#REF!+#REF!+#REF!+#REF!+#REF!+#REF!+#REF!</f>
        <v>#REF!</v>
      </c>
      <c r="CA16" s="5" t="e">
        <f>+#REF!+#REF!+#REF!+#REF!+#REF!+#REF!+#REF!+#REF!+#REF!+#REF!+#REF!+#REF!</f>
        <v>#REF!</v>
      </c>
      <c r="CB16" s="5" t="e">
        <f t="shared" si="38"/>
        <v>#REF!</v>
      </c>
      <c r="CC16" s="33"/>
      <c r="CD16" s="2683"/>
      <c r="CF16" s="4" t="e">
        <f t="shared" si="39"/>
        <v>#REF!</v>
      </c>
      <c r="CG16" s="5" t="e">
        <f t="shared" si="5"/>
        <v>#REF!</v>
      </c>
      <c r="CH16" s="5" t="e">
        <f t="shared" si="5"/>
        <v>#REF!</v>
      </c>
      <c r="CI16" s="5" t="e">
        <f t="shared" si="5"/>
        <v>#REF!</v>
      </c>
      <c r="CJ16" s="5" t="e">
        <f t="shared" si="5"/>
        <v>#REF!</v>
      </c>
      <c r="CK16" s="5" t="e">
        <f t="shared" si="5"/>
        <v>#REF!</v>
      </c>
      <c r="CL16" s="33" t="e">
        <f t="shared" si="40"/>
        <v>#REF!</v>
      </c>
      <c r="CM16" s="2685"/>
      <c r="CN16" s="9" t="e">
        <f>+#REF!+#REF!+#REF!+#REF!+#REF!+#REF!+#REF!+#REF!+#REF!+#REF!+#REF!+#REF!</f>
        <v>#REF!</v>
      </c>
      <c r="CO16" s="5" t="e">
        <f>+#REF!+#REF!+#REF!+#REF!+#REF!+#REF!+#REF!+#REF!+#REF!+#REF!+#REF!+#REF!</f>
        <v>#REF!</v>
      </c>
      <c r="CP16" s="5" t="e">
        <f>+#REF!+#REF!+#REF!+#REF!+#REF!+#REF!+#REF!+#REF!+#REF!+#REF!+#REF!+#REF!</f>
        <v>#REF!</v>
      </c>
      <c r="CQ16" s="5" t="e">
        <f>+#REF!+#REF!+#REF!+#REF!+#REF!+#REF!+#REF!+#REF!+#REF!+#REF!+#REF!+#REF!</f>
        <v>#REF!</v>
      </c>
      <c r="CR16" s="5" t="e">
        <f>+#REF!+#REF!+#REF!+#REF!+#REF!+#REF!+#REF!+#REF!+#REF!+#REF!+#REF!+#REF!</f>
        <v>#REF!</v>
      </c>
      <c r="CS16" s="5" t="e">
        <f>+#REF!+#REF!+#REF!+#REF!+#REF!+#REF!+#REF!+#REF!+#REF!+#REF!+#REF!+#REF!</f>
        <v>#REF!</v>
      </c>
      <c r="CT16" s="28" t="e">
        <f t="shared" si="41"/>
        <v>#REF!</v>
      </c>
      <c r="CU16" s="36" t="e">
        <f>+#REF!+#REF!+#REF!+#REF!+#REF!+#REF!+#REF!+#REF!+#REF!+#REF!+#REF!+#REF!</f>
        <v>#REF!</v>
      </c>
      <c r="CV16" s="27" t="e">
        <f>+#REF!+#REF!+#REF!+#REF!+#REF!+#REF!+#REF!+#REF!+#REF!+#REF!+#REF!+#REF!</f>
        <v>#REF!</v>
      </c>
      <c r="CW16" s="27" t="e">
        <f>+#REF!+#REF!+#REF!+#REF!+#REF!+#REF!+#REF!+#REF!+#REF!+#REF!+#REF!+#REF!</f>
        <v>#REF!</v>
      </c>
      <c r="CX16" s="27" t="e">
        <f>+#REF!+#REF!+#REF!+#REF!+#REF!+#REF!+#REF!+#REF!+#REF!+#REF!+#REF!+#REF!</f>
        <v>#REF!</v>
      </c>
      <c r="CY16" s="27" t="e">
        <f>+#REF!+#REF!+#REF!+#REF!+#REF!+#REF!+#REF!+#REF!+#REF!+#REF!+#REF!+#REF!</f>
        <v>#REF!</v>
      </c>
      <c r="CZ16" s="27" t="e">
        <f>+#REF!+#REF!+#REF!+#REF!+#REF!+#REF!+#REF!+#REF!+#REF!+#REF!+#REF!+#REF!</f>
        <v>#REF!</v>
      </c>
      <c r="DA16" s="28" t="e">
        <f t="shared" si="42"/>
        <v>#REF!</v>
      </c>
      <c r="DB16" s="36" t="e">
        <f>+#REF!+#REF!+#REF!+#REF!+#REF!+#REF!+#REF!+#REF!+#REF!+#REF!+#REF!+#REF!</f>
        <v>#REF!</v>
      </c>
      <c r="DC16" s="27" t="e">
        <f>+#REF!+#REF!+#REF!+#REF!+#REF!+#REF!+#REF!+#REF!+#REF!+#REF!+#REF!+#REF!</f>
        <v>#REF!</v>
      </c>
      <c r="DD16" s="27" t="e">
        <f>+#REF!+#REF!+#REF!+#REF!+#REF!+#REF!+#REF!+#REF!+#REF!+#REF!+#REF!+#REF!</f>
        <v>#REF!</v>
      </c>
      <c r="DE16" s="27" t="e">
        <f>+#REF!+#REF!+#REF!+#REF!+#REF!+#REF!+#REF!+#REF!+#REF!+#REF!+#REF!+#REF!</f>
        <v>#REF!</v>
      </c>
      <c r="DF16" s="27" t="e">
        <f>+#REF!+#REF!+#REF!+#REF!+#REF!+#REF!+#REF!+#REF!+#REF!+#REF!+#REF!+#REF!</f>
        <v>#REF!</v>
      </c>
      <c r="DG16" s="27" t="e">
        <f>+#REF!+#REF!+#REF!+#REF!+#REF!+#REF!+#REF!+#REF!+#REF!+#REF!+#REF!+#REF!</f>
        <v>#REF!</v>
      </c>
      <c r="DH16" s="28" t="e">
        <f t="shared" si="43"/>
        <v>#REF!</v>
      </c>
      <c r="DI16" s="36" t="e">
        <f>+#REF!+#REF!+#REF!+#REF!+#REF!+#REF!+#REF!+#REF!+#REF!+#REF!+#REF!+#REF!</f>
        <v>#REF!</v>
      </c>
      <c r="DJ16" s="27" t="e">
        <f>+#REF!+#REF!+#REF!+#REF!+#REF!+#REF!+#REF!+#REF!+#REF!+#REF!+#REF!+#REF!</f>
        <v>#REF!</v>
      </c>
      <c r="DK16" s="27" t="e">
        <f>+#REF!+#REF!+#REF!+#REF!+#REF!+#REF!+#REF!+#REF!+#REF!+#REF!+#REF!+#REF!</f>
        <v>#REF!</v>
      </c>
      <c r="DL16" s="27" t="e">
        <f>+#REF!+#REF!+#REF!+#REF!+#REF!+#REF!+#REF!+#REF!+#REF!+#REF!+#REF!+#REF!</f>
        <v>#REF!</v>
      </c>
      <c r="DM16" s="27" t="e">
        <f>+#REF!+#REF!+#REF!+#REF!+#REF!+#REF!+#REF!+#REF!+#REF!+#REF!+#REF!+#REF!</f>
        <v>#REF!</v>
      </c>
      <c r="DN16" s="27" t="e">
        <f>+#REF!+#REF!+#REF!+#REF!+#REF!+#REF!+#REF!+#REF!+#REF!+#REF!+#REF!+#REF!</f>
        <v>#REF!</v>
      </c>
      <c r="DO16" s="33" t="e">
        <f t="shared" si="44"/>
        <v>#REF!</v>
      </c>
      <c r="DP16" s="2685"/>
      <c r="DR16" s="4" t="e">
        <f t="shared" si="45"/>
        <v>#REF!</v>
      </c>
      <c r="DS16" s="5" t="e">
        <f t="shared" si="46"/>
        <v>#REF!</v>
      </c>
      <c r="DT16" s="5" t="e">
        <f t="shared" si="47"/>
        <v>#REF!</v>
      </c>
      <c r="DU16" s="12" t="e">
        <f t="shared" si="48"/>
        <v>#REF!</v>
      </c>
      <c r="DV16" s="33"/>
      <c r="DW16" s="2674"/>
      <c r="DX16" s="9" t="e">
        <f>+#REF!+#REF!+#REF!+#REF!+#REF!+#REF!+#REF!+#REF!+#REF!+#REF!+#REF!+#REF!</f>
        <v>#REF!</v>
      </c>
      <c r="DY16" s="5" t="e">
        <f>+#REF!+#REF!+#REF!+#REF!+#REF!+#REF!+#REF!+#REF!+#REF!+#REF!+#REF!+#REF!</f>
        <v>#REF!</v>
      </c>
      <c r="DZ16" s="5" t="e">
        <f>+#REF!+#REF!+#REF!+#REF!+#REF!+#REF!+#REF!+#REF!+#REF!+#REF!+#REF!+#REF!</f>
        <v>#REF!</v>
      </c>
      <c r="EA16" s="5" t="e">
        <f>+#REF!+#REF!+#REF!+#REF!+#REF!+#REF!+#REF!+#REF!+#REF!+#REF!+#REF!+#REF!</f>
        <v>#REF!</v>
      </c>
      <c r="EB16" s="5" t="e">
        <f>+#REF!+#REF!+#REF!+#REF!+#REF!+#REF!+#REF!+#REF!+#REF!+#REF!+#REF!+#REF!</f>
        <v>#REF!</v>
      </c>
      <c r="EC16" s="27" t="e">
        <f>+#REF!+#REF!+#REF!+#REF!+#REF!+#REF!+#REF!+#REF!+#REF!+#REF!+#REF!+#REF!</f>
        <v>#REF!</v>
      </c>
      <c r="ED16" s="28" t="e">
        <f t="shared" si="49"/>
        <v>#REF!</v>
      </c>
      <c r="EE16" s="36" t="e">
        <f>+#REF!+#REF!+#REF!+#REF!+#REF!+#REF!+#REF!+#REF!+#REF!+#REF!+#REF!+#REF!</f>
        <v>#REF!</v>
      </c>
      <c r="EF16" s="27" t="e">
        <f>+#REF!+#REF!+#REF!+#REF!+#REF!+#REF!+#REF!+#REF!+#REF!+#REF!+#REF!+#REF!</f>
        <v>#REF!</v>
      </c>
      <c r="EG16" s="27" t="e">
        <f>+#REF!+#REF!+#REF!+#REF!+#REF!+#REF!+#REF!+#REF!+#REF!+#REF!+#REF!+#REF!</f>
        <v>#REF!</v>
      </c>
      <c r="EH16" s="27" t="e">
        <f>+#REF!+#REF!+#REF!+#REF!+#REF!+#REF!+#REF!+#REF!+#REF!+#REF!+#REF!+#REF!</f>
        <v>#REF!</v>
      </c>
      <c r="EI16" s="27" t="e">
        <f>+#REF!+#REF!+#REF!+#REF!+#REF!+#REF!+#REF!+#REF!+#REF!+#REF!+#REF!+#REF!</f>
        <v>#REF!</v>
      </c>
      <c r="EJ16" s="27" t="e">
        <f>+#REF!+#REF!+#REF!+#REF!+#REF!+#REF!+#REF!+#REF!+#REF!+#REF!+#REF!+#REF!</f>
        <v>#REF!</v>
      </c>
      <c r="EK16" s="28" t="e">
        <f t="shared" si="50"/>
        <v>#REF!</v>
      </c>
      <c r="EL16" s="36" t="e">
        <f>+#REF!+#REF!+#REF!+#REF!+#REF!+#REF!+#REF!+#REF!+#REF!+#REF!+#REF!+#REF!</f>
        <v>#REF!</v>
      </c>
      <c r="EM16" s="27" t="e">
        <f>+#REF!+#REF!+#REF!+#REF!+#REF!+#REF!+#REF!+#REF!+#REF!+#REF!+#REF!+#REF!</f>
        <v>#REF!</v>
      </c>
      <c r="EN16" s="27" t="e">
        <f>+#REF!+#REF!+#REF!+#REF!+#REF!+#REF!+#REF!+#REF!+#REF!+#REF!+#REF!+#REF!</f>
        <v>#REF!</v>
      </c>
      <c r="EO16" s="27" t="e">
        <f>+#REF!+#REF!+#REF!+#REF!+#REF!+#REF!+#REF!+#REF!+#REF!+#REF!+#REF!+#REF!</f>
        <v>#REF!</v>
      </c>
      <c r="EP16" s="27" t="e">
        <f>+#REF!+#REF!+#REF!+#REF!+#REF!+#REF!+#REF!+#REF!+#REF!+#REF!+#REF!+#REF!</f>
        <v>#REF!</v>
      </c>
      <c r="EQ16" s="27" t="e">
        <f>+#REF!+#REF!+#REF!+#REF!+#REF!+#REF!+#REF!+#REF!+#REF!+#REF!+#REF!+#REF!</f>
        <v>#REF!</v>
      </c>
      <c r="ER16" s="33" t="e">
        <f t="shared" si="51"/>
        <v>#REF!</v>
      </c>
      <c r="ES16" s="2674"/>
      <c r="EU16" s="4" t="e">
        <f t="shared" si="52"/>
        <v>#REF!</v>
      </c>
      <c r="EV16" s="5" t="e">
        <f t="shared" si="53"/>
        <v>#REF!</v>
      </c>
      <c r="EW16" s="27" t="e">
        <f t="shared" si="54"/>
        <v>#REF!</v>
      </c>
      <c r="EX16" s="27" t="e">
        <f t="shared" si="55"/>
        <v>#REF!</v>
      </c>
      <c r="EY16" s="141"/>
      <c r="EZ16" s="141"/>
      <c r="FA16" s="33"/>
      <c r="FB16" s="2667"/>
      <c r="FC16" s="36" t="e">
        <f>+#REF!+#REF!+#REF!+#REF!+#REF!+#REF!+#REF!+#REF!+#REF!+#REF!+#REF!+#REF!</f>
        <v>#REF!</v>
      </c>
      <c r="FD16" s="27" t="e">
        <f>+#REF!+#REF!+#REF!+#REF!+#REF!+#REF!+#REF!+#REF!+#REF!+#REF!+#REF!+#REF!</f>
        <v>#REF!</v>
      </c>
      <c r="FE16" s="27"/>
      <c r="FF16" s="27"/>
      <c r="FG16" s="33" t="e">
        <f t="shared" si="56"/>
        <v>#REF!</v>
      </c>
      <c r="FH16" s="2667"/>
      <c r="FI16" s="36" t="e">
        <f>+#REF!+#REF!+#REF!+#REF!+#REF!+#REF!+#REF!+#REF!+#REF!+#REF!+#REF!+#REF!</f>
        <v>#REF!</v>
      </c>
      <c r="FJ16" s="27" t="e">
        <f>+#REF!+#REF!+#REF!+#REF!+#REF!+#REF!+#REF!+#REF!+#REF!+#REF!+#REF!+#REF!</f>
        <v>#REF!</v>
      </c>
      <c r="FK16" s="27" t="e">
        <f>+#REF!+#REF!+#REF!+#REF!+#REF!+#REF!+#REF!+#REF!+#REF!+#REF!+#REF!+#REF!</f>
        <v>#REF!</v>
      </c>
      <c r="FL16" s="27" t="e">
        <f>+#REF!+#REF!+#REF!+#REF!+#REF!+#REF!+#REF!+#REF!+#REF!+#REF!+#REF!+#REF!</f>
        <v>#REF!</v>
      </c>
      <c r="FM16" s="27" t="e">
        <f>+#REF!+#REF!+#REF!+#REF!+#REF!+#REF!+#REF!+#REF!+#REF!+#REF!+#REF!+#REF!</f>
        <v>#REF!</v>
      </c>
      <c r="FN16" s="27" t="e">
        <f>+#REF!+#REF!+#REF!+#REF!+#REF!+#REF!+#REF!+#REF!+#REF!+#REF!+#REF!+#REF!</f>
        <v>#REF!</v>
      </c>
      <c r="FO16" s="27" t="e">
        <f>+#REF!+#REF!+#REF!+#REF!+#REF!+#REF!+#REF!+#REF!+#REF!+#REF!+#REF!+#REF!</f>
        <v>#REF!</v>
      </c>
      <c r="FP16" s="27" t="e">
        <f>+#REF!+#REF!+#REF!+#REF!+#REF!+#REF!+#REF!+#REF!+#REF!+#REF!+#REF!+#REF!</f>
        <v>#REF!</v>
      </c>
      <c r="FQ16" s="28" t="e">
        <f t="shared" si="80"/>
        <v>#REF!</v>
      </c>
      <c r="FR16" s="26" t="e">
        <f>+#REF!+#REF!+#REF!+#REF!+#REF!+#REF!+#REF!+#REF!+#REF!+#REF!+#REF!+#REF!</f>
        <v>#REF!</v>
      </c>
      <c r="FS16" s="27" t="e">
        <f>+#REF!+#REF!+#REF!+#REF!+#REF!+#REF!+#REF!+#REF!+#REF!+#REF!+#REF!+#REF!</f>
        <v>#REF!</v>
      </c>
      <c r="FT16" s="27" t="e">
        <f>+#REF!+#REF!+#REF!+#REF!+#REF!+#REF!+#REF!+#REF!+#REF!+#REF!+#REF!+#REF!</f>
        <v>#REF!</v>
      </c>
      <c r="FU16" s="27" t="e">
        <f>+#REF!+#REF!+#REF!+#REF!+#REF!+#REF!+#REF!+#REF!+#REF!+#REF!+#REF!+#REF!</f>
        <v>#REF!</v>
      </c>
      <c r="FV16" s="27" t="e">
        <f>+#REF!+#REF!+#REF!+#REF!+#REF!+#REF!+#REF!+#REF!+#REF!+#REF!+#REF!+#REF!</f>
        <v>#REF!</v>
      </c>
      <c r="FW16" s="27" t="e">
        <f>+#REF!+#REF!+#REF!+#REF!+#REF!+#REF!+#REF!+#REF!+#REF!+#REF!+#REF!+#REF!</f>
        <v>#REF!</v>
      </c>
      <c r="FX16" s="27" t="e">
        <f>+#REF!+#REF!+#REF!+#REF!+#REF!+#REF!+#REF!+#REF!+#REF!+#REF!+#REF!+#REF!</f>
        <v>#REF!</v>
      </c>
      <c r="FY16" s="27" t="e">
        <f>+#REF!+#REF!+#REF!+#REF!+#REF!+#REF!+#REF!+#REF!+#REF!+#REF!+#REF!+#REF!</f>
        <v>#REF!</v>
      </c>
      <c r="FZ16" s="28" t="e">
        <f t="shared" si="57"/>
        <v>#REF!</v>
      </c>
      <c r="GA16" s="36" t="e">
        <f>+#REF!+#REF!+#REF!+#REF!+#REF!+#REF!+#REF!+#REF!+#REF!+#REF!+#REF!+#REF!</f>
        <v>#REF!</v>
      </c>
      <c r="GB16" s="27" t="e">
        <f>+#REF!+#REF!+#REF!+#REF!+#REF!+#REF!+#REF!+#REF!+#REF!+#REF!+#REF!+#REF!</f>
        <v>#REF!</v>
      </c>
      <c r="GC16" s="27" t="e">
        <f>+#REF!+#REF!+#REF!+#REF!+#REF!+#REF!+#REF!+#REF!+#REF!+#REF!+#REF!+#REF!</f>
        <v>#REF!</v>
      </c>
      <c r="GD16" s="27" t="e">
        <f>+#REF!+#REF!+#REF!+#REF!+#REF!+#REF!+#REF!+#REF!+#REF!+#REF!+#REF!+#REF!</f>
        <v>#REF!</v>
      </c>
      <c r="GE16" s="27" t="e">
        <f>+#REF!+#REF!+#REF!+#REF!+#REF!+#REF!+#REF!+#REF!+#REF!+#REF!+#REF!+#REF!</f>
        <v>#REF!</v>
      </c>
      <c r="GF16" s="27" t="e">
        <f>+#REF!+#REF!+#REF!+#REF!+#REF!+#REF!+#REF!+#REF!+#REF!+#REF!+#REF!+#REF!</f>
        <v>#REF!</v>
      </c>
      <c r="GG16" s="27" t="e">
        <f>+#REF!+#REF!+#REF!+#REF!+#REF!+#REF!+#REF!+#REF!+#REF!+#REF!+#REF!+#REF!</f>
        <v>#REF!</v>
      </c>
      <c r="GH16" s="27" t="e">
        <f>+#REF!+#REF!+#REF!+#REF!+#REF!+#REF!+#REF!+#REF!+#REF!+#REF!+#REF!+#REF!</f>
        <v>#REF!</v>
      </c>
      <c r="GI16" s="33" t="e">
        <f t="shared" si="58"/>
        <v>#REF!</v>
      </c>
      <c r="GJ16" s="2667"/>
      <c r="GL16" s="26" t="e">
        <f>+#REF!+#REF!+#REF!+#REF!+#REF!+#REF!+#REF!+#REF!+#REF!+#REF!+#REF!+#REF!</f>
        <v>#REF!</v>
      </c>
      <c r="GM16" s="36" t="e">
        <f>+#REF!+#REF!+#REF!+#REF!+#REF!+#REF!+#REF!+#REF!+#REF!+#REF!+#REF!+#REF!</f>
        <v>#REF!</v>
      </c>
      <c r="GN16" s="27" t="e">
        <f>+#REF!+#REF!+#REF!+#REF!+#REF!+#REF!+#REF!+#REF!+#REF!+#REF!+#REF!+#REF!</f>
        <v>#REF!</v>
      </c>
      <c r="GO16" s="27" t="e">
        <f t="shared" si="59"/>
        <v>#REF!</v>
      </c>
      <c r="GP16" s="33"/>
      <c r="GQ16" s="2669"/>
      <c r="GR16" s="69"/>
      <c r="GS16" s="70"/>
      <c r="GT16" s="70"/>
      <c r="GU16" s="70"/>
      <c r="GV16" s="70"/>
      <c r="GW16" s="70"/>
      <c r="GX16" s="70"/>
      <c r="GY16" s="71"/>
      <c r="GZ16" s="69"/>
      <c r="HA16" s="70"/>
      <c r="HB16" s="70"/>
      <c r="HC16" s="70"/>
      <c r="HD16" s="70"/>
      <c r="HE16" s="70"/>
      <c r="HF16" s="70"/>
      <c r="HG16" s="71"/>
      <c r="HH16" s="69"/>
      <c r="HI16" s="70"/>
      <c r="HJ16" s="70"/>
      <c r="HK16" s="70"/>
      <c r="HL16" s="70"/>
      <c r="HM16" s="70"/>
      <c r="HN16" s="70"/>
      <c r="HO16" s="70"/>
      <c r="HP16" s="33"/>
      <c r="HQ16" s="2669"/>
      <c r="HR16" s="36"/>
      <c r="HS16" s="53"/>
      <c r="HT16" s="53"/>
      <c r="HU16" s="53"/>
      <c r="HV16" s="61"/>
      <c r="HW16" s="36"/>
      <c r="HX16" s="53"/>
      <c r="HY16" s="53"/>
      <c r="HZ16" s="53"/>
      <c r="IA16" s="61"/>
      <c r="IB16" s="36"/>
      <c r="IC16" s="53"/>
      <c r="ID16" s="53"/>
      <c r="IE16" s="53"/>
      <c r="IF16" s="53"/>
      <c r="IG16" s="33"/>
      <c r="IH16" s="2669"/>
      <c r="IJ16" s="26" t="e">
        <f t="shared" si="60"/>
        <v>#REF!</v>
      </c>
      <c r="IK16" s="36" t="e">
        <f t="shared" si="6"/>
        <v>#REF!</v>
      </c>
      <c r="IL16" s="27" t="e">
        <f t="shared" si="6"/>
        <v>#REF!</v>
      </c>
      <c r="IM16" s="28" t="e">
        <f t="shared" si="61"/>
        <v>#REF!</v>
      </c>
      <c r="IN16" s="36"/>
      <c r="IO16" s="27"/>
      <c r="IP16" s="27"/>
      <c r="IQ16" s="33"/>
      <c r="IR16" s="55"/>
      <c r="IS16" s="21"/>
      <c r="IT16" s="2688"/>
      <c r="IU16" s="36" t="e">
        <f>+#REF!+#REF!+#REF!+#REF!+#REF!+#REF!+#REF!+#REF!+#REF!+#REF!+#REF!+#REF!</f>
        <v>#REF!</v>
      </c>
      <c r="IV16" s="36" t="e">
        <f>+#REF!+#REF!+#REF!+#REF!+#REF!+#REF!+#REF!+#REF!+#REF!+#REF!+#REF!+#REF!</f>
        <v>#REF!</v>
      </c>
      <c r="IW16" s="27" t="e">
        <f>+#REF!+#REF!+#REF!+#REF!+#REF!+#REF!+#REF!+#REF!+#REF!+#REF!+#REF!+#REF!</f>
        <v>#REF!</v>
      </c>
      <c r="IX16" s="27" t="e">
        <f>+#REF!+#REF!+#REF!+#REF!+#REF!+#REF!+#REF!+#REF!+#REF!+#REF!+#REF!+#REF!</f>
        <v>#REF!</v>
      </c>
      <c r="IY16" s="27" t="e">
        <f>+#REF!+#REF!+#REF!+#REF!+#REF!+#REF!+#REF!+#REF!+#REF!+#REF!+#REF!+#REF!</f>
        <v>#REF!</v>
      </c>
      <c r="IZ16" s="28" t="e">
        <f t="shared" si="62"/>
        <v>#REF!</v>
      </c>
      <c r="JA16" s="26" t="e">
        <f>+#REF!+#REF!+#REF!+#REF!+#REF!+#REF!+#REF!+#REF!+#REF!+#REF!+#REF!+#REF!</f>
        <v>#REF!</v>
      </c>
      <c r="JB16" s="36" t="e">
        <f>+#REF!+#REF!+#REF!+#REF!+#REF!+#REF!+#REF!+#REF!+#REF!+#REF!+#REF!+#REF!</f>
        <v>#REF!</v>
      </c>
      <c r="JC16" s="27" t="e">
        <f>+#REF!+#REF!+#REF!+#REF!+#REF!+#REF!+#REF!+#REF!+#REF!+#REF!+#REF!+#REF!</f>
        <v>#REF!</v>
      </c>
      <c r="JD16" s="27" t="e">
        <f>+#REF!+#REF!+#REF!+#REF!+#REF!+#REF!+#REF!+#REF!+#REF!+#REF!+#REF!+#REF!</f>
        <v>#REF!</v>
      </c>
      <c r="JE16" s="28" t="e">
        <f>+#REF!+#REF!+#REF!+#REF!+#REF!+#REF!+#REF!+#REF!+#REF!+#REF!+#REF!+#REF!</f>
        <v>#REF!</v>
      </c>
      <c r="JF16" s="26" t="e">
        <f>+#REF!+#REF!+#REF!+#REF!+#REF!+#REF!+#REF!+#REF!+#REF!+#REF!+#REF!+#REF!</f>
        <v>#REF!</v>
      </c>
      <c r="JG16" s="36" t="e">
        <f>+#REF!+#REF!+#REF!+#REF!+#REF!+#REF!+#REF!+#REF!+#REF!+#REF!+#REF!+#REF!</f>
        <v>#REF!</v>
      </c>
      <c r="JH16" s="27" t="e">
        <f>+#REF!+#REF!+#REF!+#REF!+#REF!+#REF!+#REF!+#REF!+#REF!+#REF!+#REF!+#REF!</f>
        <v>#REF!</v>
      </c>
      <c r="JI16" s="27" t="e">
        <f>+#REF!+#REF!+#REF!+#REF!+#REF!+#REF!+#REF!+#REF!+#REF!+#REF!+#REF!+#REF!</f>
        <v>#REF!</v>
      </c>
      <c r="JJ16" s="27" t="e">
        <f>+#REF!+#REF!+#REF!+#REF!+#REF!+#REF!+#REF!+#REF!+#REF!+#REF!+#REF!+#REF!</f>
        <v>#REF!</v>
      </c>
      <c r="JK16" s="28" t="e">
        <f t="shared" si="63"/>
        <v>#REF!</v>
      </c>
      <c r="JL16" s="26" t="e">
        <f>+#REF!+#REF!+#REF!+#REF!+#REF!+#REF!+#REF!+#REF!+#REF!+#REF!+#REF!+#REF!</f>
        <v>#REF!</v>
      </c>
      <c r="JM16" s="36" t="e">
        <f>+#REF!+#REF!+#REF!+#REF!+#REF!+#REF!+#REF!+#REF!+#REF!+#REF!+#REF!+#REF!</f>
        <v>#REF!</v>
      </c>
      <c r="JN16" s="27" t="e">
        <f>+#REF!+#REF!+#REF!+#REF!+#REF!+#REF!+#REF!+#REF!+#REF!+#REF!+#REF!+#REF!</f>
        <v>#REF!</v>
      </c>
      <c r="JO16" s="27" t="e">
        <f>+#REF!+#REF!+#REF!+#REF!+#REF!+#REF!+#REF!+#REF!+#REF!+#REF!+#REF!+#REF!</f>
        <v>#REF!</v>
      </c>
      <c r="JP16" s="28" t="e">
        <f>+#REF!+#REF!+#REF!+#REF!+#REF!+#REF!+#REF!+#REF!+#REF!+#REF!+#REF!+#REF!</f>
        <v>#REF!</v>
      </c>
      <c r="JQ16" s="275" t="e">
        <f t="shared" si="64"/>
        <v>#REF!</v>
      </c>
      <c r="JR16" s="36" t="e">
        <f>+#REF!+#REF!+#REF!+#REF!+#REF!+#REF!+#REF!+#REF!+#REF!+#REF!+#REF!+#REF!</f>
        <v>#REF!</v>
      </c>
      <c r="JS16" s="36" t="e">
        <f>+#REF!+#REF!+#REF!+#REF!+#REF!+#REF!+#REF!+#REF!+#REF!+#REF!+#REF!+#REF!</f>
        <v>#REF!</v>
      </c>
      <c r="JT16" s="27" t="e">
        <f>+#REF!+#REF!+#REF!+#REF!+#REF!+#REF!+#REF!+#REF!+#REF!+#REF!+#REF!+#REF!</f>
        <v>#REF!</v>
      </c>
      <c r="JU16" s="27" t="e">
        <f>+#REF!+#REF!+#REF!+#REF!+#REF!+#REF!+#REF!+#REF!+#REF!+#REF!+#REF!+#REF!</f>
        <v>#REF!</v>
      </c>
      <c r="JV16" s="27" t="e">
        <f>+#REF!+#REF!+#REF!+#REF!+#REF!+#REF!+#REF!+#REF!+#REF!+#REF!+#REF!+#REF!</f>
        <v>#REF!</v>
      </c>
      <c r="JW16" s="33" t="e">
        <f t="shared" si="65"/>
        <v>#REF!</v>
      </c>
      <c r="JX16" s="2688"/>
      <c r="JZ16" s="26" t="e">
        <f t="shared" si="66"/>
        <v>#REF!</v>
      </c>
      <c r="KA16" s="27" t="e">
        <f t="shared" si="67"/>
        <v>#REF!</v>
      </c>
      <c r="KB16" s="27" t="e">
        <f t="shared" si="68"/>
        <v>#REF!</v>
      </c>
      <c r="KC16" s="33" t="e">
        <f t="shared" si="69"/>
        <v>#REF!</v>
      </c>
      <c r="KD16" s="2621"/>
      <c r="KE16" s="36" t="e">
        <f t="shared" si="7"/>
        <v>#REF!</v>
      </c>
      <c r="KF16" s="36" t="e">
        <f t="shared" si="7"/>
        <v>#REF!</v>
      </c>
      <c r="KG16" s="27" t="e">
        <f t="shared" si="7"/>
        <v>#REF!</v>
      </c>
      <c r="KH16" s="28" t="e">
        <f t="shared" si="81"/>
        <v>#REF!</v>
      </c>
      <c r="KI16" s="36">
        <v>0</v>
      </c>
      <c r="KJ16" s="27" t="e">
        <f t="shared" si="8"/>
        <v>#REF!</v>
      </c>
      <c r="KK16" s="27" t="e">
        <f t="shared" si="8"/>
        <v>#REF!</v>
      </c>
      <c r="KL16" s="27" t="e">
        <f t="shared" si="8"/>
        <v>#REF!</v>
      </c>
      <c r="KM16" s="27" t="e">
        <f t="shared" si="8"/>
        <v>#REF!</v>
      </c>
      <c r="KN16" s="27" t="e">
        <f t="shared" si="8"/>
        <v>#REF!</v>
      </c>
      <c r="KO16" s="28" t="e">
        <f t="shared" si="83"/>
        <v>#REF!</v>
      </c>
      <c r="KP16" s="36" t="e">
        <f t="shared" si="9"/>
        <v>#REF!</v>
      </c>
      <c r="KQ16" s="27" t="e">
        <f t="shared" si="9"/>
        <v>#REF!</v>
      </c>
      <c r="KR16" s="27" t="e">
        <f t="shared" si="9"/>
        <v>#REF!</v>
      </c>
      <c r="KS16" s="27" t="e">
        <f t="shared" si="9"/>
        <v>#REF!</v>
      </c>
      <c r="KT16" s="27" t="e">
        <f t="shared" si="9"/>
        <v>#REF!</v>
      </c>
      <c r="KU16" s="27" t="e">
        <f t="shared" si="9"/>
        <v>#REF!</v>
      </c>
      <c r="KV16" s="28" t="e">
        <f t="shared" si="84"/>
        <v>#REF!</v>
      </c>
      <c r="KW16" s="36" t="e">
        <f t="shared" si="10"/>
        <v>#REF!</v>
      </c>
      <c r="KX16" s="27" t="e">
        <f t="shared" si="10"/>
        <v>#REF!</v>
      </c>
      <c r="KY16" s="27" t="e">
        <f t="shared" si="10"/>
        <v>#REF!</v>
      </c>
      <c r="KZ16" s="27" t="e">
        <f t="shared" si="10"/>
        <v>#REF!</v>
      </c>
      <c r="LA16" s="27" t="e">
        <f t="shared" si="10"/>
        <v>#REF!</v>
      </c>
      <c r="LB16" s="27" t="e">
        <f t="shared" si="10"/>
        <v>#REF!</v>
      </c>
      <c r="LC16" s="28" t="e">
        <f t="shared" si="85"/>
        <v>#REF!</v>
      </c>
      <c r="LD16" s="36"/>
      <c r="LE16" s="27"/>
      <c r="LF16" s="27"/>
      <c r="LG16" s="27"/>
      <c r="LH16" s="27"/>
      <c r="LI16" s="27"/>
      <c r="LJ16" s="28">
        <f t="shared" si="70"/>
        <v>0</v>
      </c>
      <c r="LK16" s="36" t="e">
        <f t="shared" si="11"/>
        <v>#REF!</v>
      </c>
      <c r="LL16" s="27" t="e">
        <f t="shared" si="11"/>
        <v>#REF!</v>
      </c>
      <c r="LM16" s="27" t="e">
        <f t="shared" si="11"/>
        <v>#REF!</v>
      </c>
      <c r="LN16" s="27" t="e">
        <f t="shared" si="11"/>
        <v>#REF!</v>
      </c>
      <c r="LO16" s="27" t="e">
        <f t="shared" si="11"/>
        <v>#REF!</v>
      </c>
      <c r="LP16" s="27" t="e">
        <f t="shared" si="11"/>
        <v>#REF!</v>
      </c>
      <c r="LQ16" s="33" t="e">
        <f t="shared" si="71"/>
        <v>#REF!</v>
      </c>
      <c r="LR16" s="2621"/>
      <c r="LT16" s="4" t="e">
        <f>+#REF!+#REF!+#REF!+#REF!+#REF!+#REF!+#REF!+#REF!+#REF!+#REF!+#REF!+#REF!</f>
        <v>#REF!</v>
      </c>
      <c r="LU16" s="5" t="e">
        <f>+#REF!+#REF!+#REF!+#REF!+#REF!+#REF!+#REF!+#REF!+#REF!+#REF!+#REF!+#REF!</f>
        <v>#REF!</v>
      </c>
      <c r="LV16" s="5" t="e">
        <f t="shared" si="72"/>
        <v>#REF!</v>
      </c>
      <c r="LW16" s="12" t="e">
        <f t="shared" si="86"/>
        <v>#REF!</v>
      </c>
      <c r="LX16" s="15"/>
      <c r="LY16" s="2615"/>
      <c r="MA16" s="4" t="e">
        <f>+#REF!+#REF!+#REF!+#REF!+#REF!+#REF!+#REF!+#REF!+#REF!+#REF!+#REF!+#REF!</f>
        <v>#REF!</v>
      </c>
      <c r="MB16" s="5" t="e">
        <f t="shared" si="73"/>
        <v>#REF!</v>
      </c>
      <c r="MC16" s="5" t="e">
        <f>+#REF!+#REF!+#REF!+#REF!+#REF!+#REF!+#REF!+#REF!+#REF!+#REF!+#REF!+#REF!</f>
        <v>#REF!</v>
      </c>
      <c r="MD16" s="5" t="e">
        <f t="shared" si="74"/>
        <v>#REF!</v>
      </c>
      <c r="ME16" s="12" t="e">
        <f t="shared" si="75"/>
        <v>#REF!</v>
      </c>
      <c r="MF16" s="12"/>
      <c r="MG16" s="2615"/>
      <c r="MI16" s="139" t="e">
        <f t="shared" si="76"/>
        <v>#REF!</v>
      </c>
      <c r="MJ16" s="139" t="e">
        <f t="shared" si="77"/>
        <v>#REF!</v>
      </c>
      <c r="ML16" s="139" t="e">
        <f t="shared" si="78"/>
        <v>#REF!</v>
      </c>
      <c r="MM16" s="139" t="e">
        <f t="shared" si="79"/>
        <v>#REF!</v>
      </c>
      <c r="MO16" s="1">
        <f t="shared" si="12"/>
        <v>0</v>
      </c>
      <c r="MP16" s="1">
        <f t="shared" si="12"/>
        <v>0</v>
      </c>
      <c r="MQ16" s="1">
        <f t="shared" si="12"/>
        <v>0</v>
      </c>
      <c r="MR16" s="1">
        <f t="shared" si="12"/>
        <v>0</v>
      </c>
      <c r="MS16" s="1">
        <f t="shared" si="12"/>
        <v>0</v>
      </c>
      <c r="MT16" s="1">
        <f t="shared" si="12"/>
        <v>0</v>
      </c>
      <c r="MV16" s="1">
        <f t="shared" si="13"/>
        <v>0</v>
      </c>
      <c r="MW16" s="1">
        <f t="shared" si="13"/>
        <v>0</v>
      </c>
      <c r="MX16" s="1">
        <f t="shared" si="13"/>
        <v>0</v>
      </c>
      <c r="MY16" s="1">
        <f t="shared" si="13"/>
        <v>0</v>
      </c>
      <c r="MZ16" s="1">
        <f t="shared" si="13"/>
        <v>0</v>
      </c>
      <c r="NA16" s="1">
        <f t="shared" si="13"/>
        <v>0</v>
      </c>
    </row>
    <row r="17" spans="2:365" s="1" customFormat="1">
      <c r="B17" s="46">
        <v>8</v>
      </c>
      <c r="C17" s="4" t="e">
        <f t="shared" si="0"/>
        <v>#REF!</v>
      </c>
      <c r="D17" s="5" t="e">
        <f t="shared" si="1"/>
        <v>#REF!</v>
      </c>
      <c r="E17" s="61">
        <f t="shared" si="14"/>
        <v>0</v>
      </c>
      <c r="F17" s="52"/>
      <c r="G17" s="53"/>
      <c r="H17" s="53"/>
      <c r="I17" s="54"/>
      <c r="J17" s="2629"/>
      <c r="K17" s="9" t="e">
        <f t="shared" si="15"/>
        <v>#REF!</v>
      </c>
      <c r="L17" s="5" t="e">
        <f t="shared" si="2"/>
        <v>#REF!</v>
      </c>
      <c r="M17" s="64">
        <f t="shared" si="16"/>
        <v>0</v>
      </c>
      <c r="N17" s="28"/>
      <c r="O17" s="36" t="e">
        <f t="shared" si="17"/>
        <v>#REF!</v>
      </c>
      <c r="P17" s="27" t="e">
        <f t="shared" si="17"/>
        <v>#REF!</v>
      </c>
      <c r="Q17" s="53">
        <f t="shared" si="18"/>
        <v>0</v>
      </c>
      <c r="R17" s="28"/>
      <c r="S17" s="36" t="e">
        <f t="shared" si="19"/>
        <v>#REF!</v>
      </c>
      <c r="T17" s="27" t="e">
        <f t="shared" si="19"/>
        <v>#REF!</v>
      </c>
      <c r="U17" s="53">
        <f t="shared" si="3"/>
        <v>0</v>
      </c>
      <c r="V17" s="28"/>
      <c r="W17" s="36" t="e">
        <f t="shared" si="20"/>
        <v>#REF!</v>
      </c>
      <c r="X17" s="27" t="e">
        <f t="shared" si="4"/>
        <v>#REF!</v>
      </c>
      <c r="Y17" s="53">
        <f t="shared" si="21"/>
        <v>0</v>
      </c>
      <c r="Z17" s="28"/>
      <c r="AA17" s="26" t="e">
        <f t="shared" si="22"/>
        <v>#REF!</v>
      </c>
      <c r="AB17" s="27" t="e">
        <f t="shared" si="22"/>
        <v>#REF!</v>
      </c>
      <c r="AC17" s="53">
        <f t="shared" si="23"/>
        <v>0</v>
      </c>
      <c r="AD17" s="33"/>
      <c r="AE17" s="2629"/>
      <c r="AF17" s="9" t="e">
        <f>+#REF!+#REF!+#REF!+#REF!+#REF!+#REF!+#REF!+#REF!+#REF!+#REF!+#REF!+#REF!</f>
        <v>#REF!</v>
      </c>
      <c r="AG17" s="5" t="e">
        <f>+#REF!+#REF!+#REF!+#REF!+#REF!+#REF!+#REF!+#REF!+#REF!+#REF!+#REF!+#REF!</f>
        <v>#REF!</v>
      </c>
      <c r="AH17" s="61">
        <f t="shared" si="24"/>
        <v>0</v>
      </c>
      <c r="AI17" s="36" t="e">
        <f>+#REF!+#REF!+#REF!+#REF!+#REF!+#REF!+#REF!+#REF!+#REF!+#REF!+#REF!+#REF!</f>
        <v>#REF!</v>
      </c>
      <c r="AJ17" s="27" t="e">
        <f>+#REF!+#REF!+#REF!+#REF!+#REF!+#REF!+#REF!+#REF!+#REF!+#REF!+#REF!+#REF!</f>
        <v>#REF!</v>
      </c>
      <c r="AK17" s="61">
        <f t="shared" si="25"/>
        <v>0</v>
      </c>
      <c r="AL17" s="36" t="e">
        <f>+#REF!+#REF!+#REF!+#REF!+#REF!+#REF!+#REF!+#REF!+#REF!+#REF!+#REF!+#REF!</f>
        <v>#REF!</v>
      </c>
      <c r="AM17" s="27" t="e">
        <f>+#REF!+#REF!+#REF!+#REF!+#REF!+#REF!+#REF!+#REF!+#REF!+#REF!+#REF!+#REF!</f>
        <v>#REF!</v>
      </c>
      <c r="AN17" s="61">
        <f t="shared" si="26"/>
        <v>0</v>
      </c>
      <c r="AO17" s="36" t="e">
        <f>+#REF!+#REF!+#REF!+#REF!+#REF!+#REF!+#REF!+#REF!+#REF!+#REF!+#REF!+#REF!</f>
        <v>#REF!</v>
      </c>
      <c r="AP17" s="27" t="e">
        <f>+#REF!+#REF!+#REF!+#REF!+#REF!+#REF!+#REF!+#REF!+#REF!+#REF!+#REF!+#REF!</f>
        <v>#REF!</v>
      </c>
      <c r="AQ17" s="61">
        <f t="shared" si="27"/>
        <v>0</v>
      </c>
      <c r="AR17" s="36" t="e">
        <f>+#REF!+#REF!+#REF!+#REF!+#REF!+#REF!+#REF!+#REF!+#REF!+#REF!+#REF!+#REF!</f>
        <v>#REF!</v>
      </c>
      <c r="AS17" s="27" t="e">
        <f>+#REF!+#REF!+#REF!+#REF!+#REF!+#REF!+#REF!+#REF!+#REF!+#REF!+#REF!+#REF!</f>
        <v>#REF!</v>
      </c>
      <c r="AT17" s="61">
        <f t="shared" si="28"/>
        <v>0</v>
      </c>
      <c r="AU17" s="36" t="e">
        <f>+#REF!+#REF!+#REF!+#REF!+#REF!+#REF!+#REF!+#REF!+#REF!+#REF!+#REF!+#REF!</f>
        <v>#REF!</v>
      </c>
      <c r="AV17" s="27" t="e">
        <f>+#REF!+#REF!+#REF!+#REF!+#REF!+#REF!+#REF!+#REF!+#REF!+#REF!+#REF!+#REF!</f>
        <v>#REF!</v>
      </c>
      <c r="AW17" s="61">
        <f t="shared" si="29"/>
        <v>0</v>
      </c>
      <c r="AX17" s="36" t="e">
        <f>+#REF!+#REF!+#REF!+#REF!+#REF!+#REF!+#REF!+#REF!+#REF!+#REF!+#REF!+#REF!</f>
        <v>#REF!</v>
      </c>
      <c r="AY17" s="27" t="e">
        <f>+#REF!+#REF!+#REF!+#REF!+#REF!+#REF!+#REF!+#REF!+#REF!+#REF!+#REF!+#REF!</f>
        <v>#REF!</v>
      </c>
      <c r="AZ17" s="61">
        <f t="shared" si="30"/>
        <v>0</v>
      </c>
      <c r="BA17" s="36" t="e">
        <f>+#REF!+#REF!+#REF!+#REF!+#REF!+#REF!+#REF!+#REF!+#REF!+#REF!+#REF!+#REF!</f>
        <v>#REF!</v>
      </c>
      <c r="BB17" s="27" t="e">
        <f>+#REF!+#REF!+#REF!+#REF!+#REF!+#REF!+#REF!+#REF!+#REF!+#REF!+#REF!+#REF!</f>
        <v>#REF!</v>
      </c>
      <c r="BC17" s="61">
        <f t="shared" si="31"/>
        <v>0</v>
      </c>
      <c r="BD17" s="36" t="e">
        <f>+#REF!+#REF!+#REF!+#REF!+#REF!+#REF!+#REF!+#REF!+#REF!+#REF!+#REF!+#REF!</f>
        <v>#REF!</v>
      </c>
      <c r="BE17" s="27" t="e">
        <f>+#REF!+#REF!+#REF!+#REF!+#REF!+#REF!+#REF!+#REF!+#REF!+#REF!+#REF!+#REF!</f>
        <v>#REF!</v>
      </c>
      <c r="BF17" s="61">
        <f t="shared" si="32"/>
        <v>0</v>
      </c>
      <c r="BG17" s="36" t="e">
        <f>+#REF!+#REF!+#REF!+#REF!+#REF!+#REF!+#REF!+#REF!+#REF!+#REF!+#REF!+#REF!</f>
        <v>#REF!</v>
      </c>
      <c r="BH17" s="27" t="e">
        <f>+#REF!+#REF!+#REF!+#REF!+#REF!+#REF!+#REF!+#REF!+#REF!+#REF!+#REF!+#REF!</f>
        <v>#REF!</v>
      </c>
      <c r="BI17" s="61">
        <f t="shared" si="33"/>
        <v>0</v>
      </c>
      <c r="BJ17" s="36" t="e">
        <f>+#REF!+#REF!+#REF!+#REF!+#REF!+#REF!+#REF!+#REF!+#REF!+#REF!+#REF!+#REF!</f>
        <v>#REF!</v>
      </c>
      <c r="BK17" s="27" t="e">
        <f>+#REF!+#REF!+#REF!+#REF!+#REF!+#REF!+#REF!+#REF!+#REF!+#REF!+#REF!+#REF!</f>
        <v>#REF!</v>
      </c>
      <c r="BL17" s="61">
        <f t="shared" si="34"/>
        <v>0</v>
      </c>
      <c r="BM17" s="36" t="e">
        <f>+#REF!+#REF!+#REF!+#REF!+#REF!+#REF!+#REF!+#REF!+#REF!+#REF!+#REF!+#REF!</f>
        <v>#REF!</v>
      </c>
      <c r="BN17" s="27" t="e">
        <f>+#REF!+#REF!+#REF!+#REF!+#REF!+#REF!+#REF!+#REF!+#REF!+#REF!+#REF!+#REF!</f>
        <v>#REF!</v>
      </c>
      <c r="BO17" s="54">
        <f t="shared" si="35"/>
        <v>0</v>
      </c>
      <c r="BP17" s="26" t="e">
        <f>+#REF!+#REF!+#REF!+#REF!+#REF!+#REF!+#REF!+#REF!+#REF!+#REF!+#REF!+#REF!</f>
        <v>#REF!</v>
      </c>
      <c r="BQ17" s="27" t="e">
        <f>+#REF!+#REF!+#REF!+#REF!+#REF!+#REF!+#REF!+#REF!+#REF!+#REF!+#REF!+#REF!</f>
        <v>#REF!</v>
      </c>
      <c r="BR17" s="61">
        <f t="shared" si="36"/>
        <v>0</v>
      </c>
      <c r="BS17" s="26" t="e">
        <f>+#REF!+#REF!+#REF!+#REF!+#REF!+#REF!+#REF!+#REF!+#REF!+#REF!+#REF!+#REF!</f>
        <v>#REF!</v>
      </c>
      <c r="BT17" s="27" t="e">
        <f>+#REF!+#REF!+#REF!+#REF!+#REF!+#REF!+#REF!+#REF!+#REF!+#REF!+#REF!+#REF!</f>
        <v>#REF!</v>
      </c>
      <c r="BU17" s="61">
        <f t="shared" si="37"/>
        <v>0</v>
      </c>
      <c r="BV17" s="150"/>
      <c r="BW17" s="9" t="e">
        <f>+#REF!+#REF!+#REF!+#REF!+#REF!+#REF!+#REF!+#REF!+#REF!+#REF!+#REF!+#REF!</f>
        <v>#REF!</v>
      </c>
      <c r="BX17" s="5" t="e">
        <f>+#REF!+#REF!+#REF!+#REF!+#REF!+#REF!+#REF!+#REF!+#REF!+#REF!+#REF!+#REF!</f>
        <v>#REF!</v>
      </c>
      <c r="BY17" s="5" t="e">
        <f>+#REF!+#REF!+#REF!+#REF!+#REF!+#REF!+#REF!+#REF!+#REF!+#REF!+#REF!+#REF!</f>
        <v>#REF!</v>
      </c>
      <c r="BZ17" s="5" t="e">
        <f>+#REF!+#REF!+#REF!+#REF!+#REF!+#REF!+#REF!+#REF!+#REF!+#REF!+#REF!+#REF!</f>
        <v>#REF!</v>
      </c>
      <c r="CA17" s="5" t="e">
        <f>+#REF!+#REF!+#REF!+#REF!+#REF!+#REF!+#REF!+#REF!+#REF!+#REF!+#REF!+#REF!</f>
        <v>#REF!</v>
      </c>
      <c r="CB17" s="5" t="e">
        <f t="shared" si="38"/>
        <v>#REF!</v>
      </c>
      <c r="CC17" s="33"/>
      <c r="CD17" s="2683"/>
      <c r="CF17" s="4" t="e">
        <f t="shared" si="39"/>
        <v>#REF!</v>
      </c>
      <c r="CG17" s="5" t="e">
        <f t="shared" si="5"/>
        <v>#REF!</v>
      </c>
      <c r="CH17" s="5" t="e">
        <f t="shared" si="5"/>
        <v>#REF!</v>
      </c>
      <c r="CI17" s="5" t="e">
        <f t="shared" si="5"/>
        <v>#REF!</v>
      </c>
      <c r="CJ17" s="5" t="e">
        <f t="shared" si="5"/>
        <v>#REF!</v>
      </c>
      <c r="CK17" s="5" t="e">
        <f t="shared" si="5"/>
        <v>#REF!</v>
      </c>
      <c r="CL17" s="33" t="e">
        <f t="shared" si="40"/>
        <v>#REF!</v>
      </c>
      <c r="CM17" s="2685"/>
      <c r="CN17" s="9" t="e">
        <f>+#REF!+#REF!+#REF!+#REF!+#REF!+#REF!+#REF!+#REF!+#REF!+#REF!+#REF!+#REF!</f>
        <v>#REF!</v>
      </c>
      <c r="CO17" s="5" t="e">
        <f>+#REF!+#REF!+#REF!+#REF!+#REF!+#REF!+#REF!+#REF!+#REF!+#REF!+#REF!+#REF!</f>
        <v>#REF!</v>
      </c>
      <c r="CP17" s="5" t="e">
        <f>+#REF!+#REF!+#REF!+#REF!+#REF!+#REF!+#REF!+#REF!+#REF!+#REF!+#REF!+#REF!</f>
        <v>#REF!</v>
      </c>
      <c r="CQ17" s="5" t="e">
        <f>+#REF!+#REF!+#REF!+#REF!+#REF!+#REF!+#REF!+#REF!+#REF!+#REF!+#REF!+#REF!</f>
        <v>#REF!</v>
      </c>
      <c r="CR17" s="5" t="e">
        <f>+#REF!+#REF!+#REF!+#REF!+#REF!+#REF!+#REF!+#REF!+#REF!+#REF!+#REF!+#REF!</f>
        <v>#REF!</v>
      </c>
      <c r="CS17" s="5" t="e">
        <f>+#REF!+#REF!+#REF!+#REF!+#REF!+#REF!+#REF!+#REF!+#REF!+#REF!+#REF!+#REF!</f>
        <v>#REF!</v>
      </c>
      <c r="CT17" s="28" t="e">
        <f t="shared" si="41"/>
        <v>#REF!</v>
      </c>
      <c r="CU17" s="36" t="e">
        <f>+#REF!+#REF!+#REF!+#REF!+#REF!+#REF!+#REF!+#REF!+#REF!+#REF!+#REF!+#REF!</f>
        <v>#REF!</v>
      </c>
      <c r="CV17" s="27" t="e">
        <f>+#REF!+#REF!+#REF!+#REF!+#REF!+#REF!+#REF!+#REF!+#REF!+#REF!+#REF!+#REF!</f>
        <v>#REF!</v>
      </c>
      <c r="CW17" s="27" t="e">
        <f>+#REF!+#REF!+#REF!+#REF!+#REF!+#REF!+#REF!+#REF!+#REF!+#REF!+#REF!+#REF!</f>
        <v>#REF!</v>
      </c>
      <c r="CX17" s="27" t="e">
        <f>+#REF!+#REF!+#REF!+#REF!+#REF!+#REF!+#REF!+#REF!+#REF!+#REF!+#REF!+#REF!</f>
        <v>#REF!</v>
      </c>
      <c r="CY17" s="27" t="e">
        <f>+#REF!+#REF!+#REF!+#REF!+#REF!+#REF!+#REF!+#REF!+#REF!+#REF!+#REF!+#REF!</f>
        <v>#REF!</v>
      </c>
      <c r="CZ17" s="27" t="e">
        <f>+#REF!+#REF!+#REF!+#REF!+#REF!+#REF!+#REF!+#REF!+#REF!+#REF!+#REF!+#REF!</f>
        <v>#REF!</v>
      </c>
      <c r="DA17" s="28" t="e">
        <f t="shared" si="42"/>
        <v>#REF!</v>
      </c>
      <c r="DB17" s="36" t="e">
        <f>+#REF!+#REF!+#REF!+#REF!+#REF!+#REF!+#REF!+#REF!+#REF!+#REF!+#REF!+#REF!</f>
        <v>#REF!</v>
      </c>
      <c r="DC17" s="27" t="e">
        <f>+#REF!+#REF!+#REF!+#REF!+#REF!+#REF!+#REF!+#REF!+#REF!+#REF!+#REF!+#REF!</f>
        <v>#REF!</v>
      </c>
      <c r="DD17" s="27" t="e">
        <f>+#REF!+#REF!+#REF!+#REF!+#REF!+#REF!+#REF!+#REF!+#REF!+#REF!+#REF!+#REF!</f>
        <v>#REF!</v>
      </c>
      <c r="DE17" s="27" t="e">
        <f>+#REF!+#REF!+#REF!+#REF!+#REF!+#REF!+#REF!+#REF!+#REF!+#REF!+#REF!+#REF!</f>
        <v>#REF!</v>
      </c>
      <c r="DF17" s="27" t="e">
        <f>+#REF!+#REF!+#REF!+#REF!+#REF!+#REF!+#REF!+#REF!+#REF!+#REF!+#REF!+#REF!</f>
        <v>#REF!</v>
      </c>
      <c r="DG17" s="27" t="e">
        <f>+#REF!+#REF!+#REF!+#REF!+#REF!+#REF!+#REF!+#REF!+#REF!+#REF!+#REF!+#REF!</f>
        <v>#REF!</v>
      </c>
      <c r="DH17" s="28" t="e">
        <f t="shared" si="43"/>
        <v>#REF!</v>
      </c>
      <c r="DI17" s="36" t="e">
        <f>+#REF!+#REF!+#REF!+#REF!+#REF!+#REF!+#REF!+#REF!+#REF!+#REF!+#REF!+#REF!</f>
        <v>#REF!</v>
      </c>
      <c r="DJ17" s="27" t="e">
        <f>+#REF!+#REF!+#REF!+#REF!+#REF!+#REF!+#REF!+#REF!+#REF!+#REF!+#REF!+#REF!</f>
        <v>#REF!</v>
      </c>
      <c r="DK17" s="27" t="e">
        <f>+#REF!+#REF!+#REF!+#REF!+#REF!+#REF!+#REF!+#REF!+#REF!+#REF!+#REF!+#REF!</f>
        <v>#REF!</v>
      </c>
      <c r="DL17" s="27" t="e">
        <f>+#REF!+#REF!+#REF!+#REF!+#REF!+#REF!+#REF!+#REF!+#REF!+#REF!+#REF!+#REF!</f>
        <v>#REF!</v>
      </c>
      <c r="DM17" s="27" t="e">
        <f>+#REF!+#REF!+#REF!+#REF!+#REF!+#REF!+#REF!+#REF!+#REF!+#REF!+#REF!+#REF!</f>
        <v>#REF!</v>
      </c>
      <c r="DN17" s="27" t="e">
        <f>+#REF!+#REF!+#REF!+#REF!+#REF!+#REF!+#REF!+#REF!+#REF!+#REF!+#REF!+#REF!</f>
        <v>#REF!</v>
      </c>
      <c r="DO17" s="33" t="e">
        <f t="shared" si="44"/>
        <v>#REF!</v>
      </c>
      <c r="DP17" s="2685"/>
      <c r="DR17" s="4" t="e">
        <f t="shared" si="45"/>
        <v>#REF!</v>
      </c>
      <c r="DS17" s="5" t="e">
        <f t="shared" si="46"/>
        <v>#REF!</v>
      </c>
      <c r="DT17" s="5" t="e">
        <f t="shared" si="47"/>
        <v>#REF!</v>
      </c>
      <c r="DU17" s="12" t="e">
        <f t="shared" si="48"/>
        <v>#REF!</v>
      </c>
      <c r="DV17" s="33"/>
      <c r="DW17" s="2674"/>
      <c r="DX17" s="9" t="e">
        <f>+#REF!+#REF!+#REF!+#REF!+#REF!+#REF!+#REF!+#REF!+#REF!+#REF!+#REF!+#REF!</f>
        <v>#REF!</v>
      </c>
      <c r="DY17" s="5" t="e">
        <f>+#REF!+#REF!+#REF!+#REF!+#REF!+#REF!+#REF!+#REF!+#REF!+#REF!+#REF!+#REF!</f>
        <v>#REF!</v>
      </c>
      <c r="DZ17" s="5" t="e">
        <f>+#REF!+#REF!+#REF!+#REF!+#REF!+#REF!+#REF!+#REF!+#REF!+#REF!+#REF!+#REF!</f>
        <v>#REF!</v>
      </c>
      <c r="EA17" s="5" t="e">
        <f>+#REF!+#REF!+#REF!+#REF!+#REF!+#REF!+#REF!+#REF!+#REF!+#REF!+#REF!+#REF!</f>
        <v>#REF!</v>
      </c>
      <c r="EB17" s="5" t="e">
        <f>+#REF!+#REF!+#REF!+#REF!+#REF!+#REF!+#REF!+#REF!+#REF!+#REF!+#REF!+#REF!</f>
        <v>#REF!</v>
      </c>
      <c r="EC17" s="27" t="e">
        <f>+#REF!+#REF!+#REF!+#REF!+#REF!+#REF!+#REF!+#REF!+#REF!+#REF!+#REF!+#REF!</f>
        <v>#REF!</v>
      </c>
      <c r="ED17" s="28" t="e">
        <f t="shared" si="49"/>
        <v>#REF!</v>
      </c>
      <c r="EE17" s="36" t="e">
        <f>+#REF!+#REF!+#REF!+#REF!+#REF!+#REF!+#REF!+#REF!+#REF!+#REF!+#REF!+#REF!</f>
        <v>#REF!</v>
      </c>
      <c r="EF17" s="27" t="e">
        <f>+#REF!+#REF!+#REF!+#REF!+#REF!+#REF!+#REF!+#REF!+#REF!+#REF!+#REF!+#REF!</f>
        <v>#REF!</v>
      </c>
      <c r="EG17" s="27" t="e">
        <f>+#REF!+#REF!+#REF!+#REF!+#REF!+#REF!+#REF!+#REF!+#REF!+#REF!+#REF!+#REF!</f>
        <v>#REF!</v>
      </c>
      <c r="EH17" s="27" t="e">
        <f>+#REF!+#REF!+#REF!+#REF!+#REF!+#REF!+#REF!+#REF!+#REF!+#REF!+#REF!+#REF!</f>
        <v>#REF!</v>
      </c>
      <c r="EI17" s="27" t="e">
        <f>+#REF!+#REF!+#REF!+#REF!+#REF!+#REF!+#REF!+#REF!+#REF!+#REF!+#REF!+#REF!</f>
        <v>#REF!</v>
      </c>
      <c r="EJ17" s="27" t="e">
        <f>+#REF!+#REF!+#REF!+#REF!+#REF!+#REF!+#REF!+#REF!+#REF!+#REF!+#REF!+#REF!</f>
        <v>#REF!</v>
      </c>
      <c r="EK17" s="28" t="e">
        <f t="shared" si="50"/>
        <v>#REF!</v>
      </c>
      <c r="EL17" s="36" t="e">
        <f>+#REF!+#REF!+#REF!+#REF!+#REF!+#REF!+#REF!+#REF!+#REF!+#REF!+#REF!+#REF!</f>
        <v>#REF!</v>
      </c>
      <c r="EM17" s="27" t="e">
        <f>+#REF!+#REF!+#REF!+#REF!+#REF!+#REF!+#REF!+#REF!+#REF!+#REF!+#REF!+#REF!</f>
        <v>#REF!</v>
      </c>
      <c r="EN17" s="27" t="e">
        <f>+#REF!+#REF!+#REF!+#REF!+#REF!+#REF!+#REF!+#REF!+#REF!+#REF!+#REF!+#REF!</f>
        <v>#REF!</v>
      </c>
      <c r="EO17" s="27" t="e">
        <f>+#REF!+#REF!+#REF!+#REF!+#REF!+#REF!+#REF!+#REF!+#REF!+#REF!+#REF!+#REF!</f>
        <v>#REF!</v>
      </c>
      <c r="EP17" s="27" t="e">
        <f>+#REF!+#REF!+#REF!+#REF!+#REF!+#REF!+#REF!+#REF!+#REF!+#REF!+#REF!+#REF!</f>
        <v>#REF!</v>
      </c>
      <c r="EQ17" s="27" t="e">
        <f>+#REF!+#REF!+#REF!+#REF!+#REF!+#REF!+#REF!+#REF!+#REF!+#REF!+#REF!+#REF!</f>
        <v>#REF!</v>
      </c>
      <c r="ER17" s="33" t="e">
        <f t="shared" si="51"/>
        <v>#REF!</v>
      </c>
      <c r="ES17" s="2674"/>
      <c r="EU17" s="4" t="e">
        <f t="shared" si="52"/>
        <v>#REF!</v>
      </c>
      <c r="EV17" s="5" t="e">
        <f t="shared" si="53"/>
        <v>#REF!</v>
      </c>
      <c r="EW17" s="27" t="e">
        <f t="shared" si="54"/>
        <v>#REF!</v>
      </c>
      <c r="EX17" s="27" t="e">
        <f t="shared" si="55"/>
        <v>#REF!</v>
      </c>
      <c r="EY17" s="141"/>
      <c r="EZ17" s="141"/>
      <c r="FA17" s="33"/>
      <c r="FB17" s="2667"/>
      <c r="FC17" s="36" t="e">
        <f>+#REF!+#REF!+#REF!+#REF!+#REF!+#REF!+#REF!+#REF!+#REF!+#REF!+#REF!+#REF!</f>
        <v>#REF!</v>
      </c>
      <c r="FD17" s="27" t="e">
        <f>+#REF!+#REF!+#REF!+#REF!+#REF!+#REF!+#REF!+#REF!+#REF!+#REF!+#REF!+#REF!</f>
        <v>#REF!</v>
      </c>
      <c r="FE17" s="27"/>
      <c r="FF17" s="27"/>
      <c r="FG17" s="33" t="e">
        <f t="shared" si="56"/>
        <v>#REF!</v>
      </c>
      <c r="FH17" s="2667"/>
      <c r="FI17" s="36" t="e">
        <f>+#REF!+#REF!+#REF!+#REF!+#REF!+#REF!+#REF!+#REF!+#REF!+#REF!+#REF!+#REF!</f>
        <v>#REF!</v>
      </c>
      <c r="FJ17" s="27" t="e">
        <f>+#REF!+#REF!+#REF!+#REF!+#REF!+#REF!+#REF!+#REF!+#REF!+#REF!+#REF!+#REF!</f>
        <v>#REF!</v>
      </c>
      <c r="FK17" s="27" t="e">
        <f>+#REF!+#REF!+#REF!+#REF!+#REF!+#REF!+#REF!+#REF!+#REF!+#REF!+#REF!+#REF!</f>
        <v>#REF!</v>
      </c>
      <c r="FL17" s="27" t="e">
        <f>+#REF!+#REF!+#REF!+#REF!+#REF!+#REF!+#REF!+#REF!+#REF!+#REF!+#REF!+#REF!</f>
        <v>#REF!</v>
      </c>
      <c r="FM17" s="27" t="e">
        <f>+#REF!+#REF!+#REF!+#REF!+#REF!+#REF!+#REF!+#REF!+#REF!+#REF!+#REF!+#REF!</f>
        <v>#REF!</v>
      </c>
      <c r="FN17" s="27" t="e">
        <f>+#REF!+#REF!+#REF!+#REF!+#REF!+#REF!+#REF!+#REF!+#REF!+#REF!+#REF!+#REF!</f>
        <v>#REF!</v>
      </c>
      <c r="FO17" s="27" t="e">
        <f>+#REF!+#REF!+#REF!+#REF!+#REF!+#REF!+#REF!+#REF!+#REF!+#REF!+#REF!+#REF!</f>
        <v>#REF!</v>
      </c>
      <c r="FP17" s="27" t="e">
        <f>+#REF!+#REF!+#REF!+#REF!+#REF!+#REF!+#REF!+#REF!+#REF!+#REF!+#REF!+#REF!</f>
        <v>#REF!</v>
      </c>
      <c r="FQ17" s="28" t="e">
        <f t="shared" si="80"/>
        <v>#REF!</v>
      </c>
      <c r="FR17" s="26" t="e">
        <f>+#REF!+#REF!+#REF!+#REF!+#REF!+#REF!+#REF!+#REF!+#REF!+#REF!+#REF!+#REF!</f>
        <v>#REF!</v>
      </c>
      <c r="FS17" s="27" t="e">
        <f>+#REF!+#REF!+#REF!+#REF!+#REF!+#REF!+#REF!+#REF!+#REF!+#REF!+#REF!+#REF!</f>
        <v>#REF!</v>
      </c>
      <c r="FT17" s="27" t="e">
        <f>+#REF!+#REF!+#REF!+#REF!+#REF!+#REF!+#REF!+#REF!+#REF!+#REF!+#REF!+#REF!</f>
        <v>#REF!</v>
      </c>
      <c r="FU17" s="27" t="e">
        <f>+#REF!+#REF!+#REF!+#REF!+#REF!+#REF!+#REF!+#REF!+#REF!+#REF!+#REF!+#REF!</f>
        <v>#REF!</v>
      </c>
      <c r="FV17" s="27" t="e">
        <f>+#REF!+#REF!+#REF!+#REF!+#REF!+#REF!+#REF!+#REF!+#REF!+#REF!+#REF!+#REF!</f>
        <v>#REF!</v>
      </c>
      <c r="FW17" s="27" t="e">
        <f>+#REF!+#REF!+#REF!+#REF!+#REF!+#REF!+#REF!+#REF!+#REF!+#REF!+#REF!+#REF!</f>
        <v>#REF!</v>
      </c>
      <c r="FX17" s="27" t="e">
        <f>+#REF!+#REF!+#REF!+#REF!+#REF!+#REF!+#REF!+#REF!+#REF!+#REF!+#REF!+#REF!</f>
        <v>#REF!</v>
      </c>
      <c r="FY17" s="27" t="e">
        <f>+#REF!+#REF!+#REF!+#REF!+#REF!+#REF!+#REF!+#REF!+#REF!+#REF!+#REF!+#REF!</f>
        <v>#REF!</v>
      </c>
      <c r="FZ17" s="28" t="e">
        <f t="shared" si="57"/>
        <v>#REF!</v>
      </c>
      <c r="GA17" s="36" t="e">
        <f>+#REF!+#REF!+#REF!+#REF!+#REF!+#REF!+#REF!+#REF!+#REF!+#REF!+#REF!+#REF!</f>
        <v>#REF!</v>
      </c>
      <c r="GB17" s="27" t="e">
        <f>+#REF!+#REF!+#REF!+#REF!+#REF!+#REF!+#REF!+#REF!+#REF!+#REF!+#REF!+#REF!</f>
        <v>#REF!</v>
      </c>
      <c r="GC17" s="27" t="e">
        <f>+#REF!+#REF!+#REF!+#REF!+#REF!+#REF!+#REF!+#REF!+#REF!+#REF!+#REF!+#REF!</f>
        <v>#REF!</v>
      </c>
      <c r="GD17" s="27" t="e">
        <f>+#REF!+#REF!+#REF!+#REF!+#REF!+#REF!+#REF!+#REF!+#REF!+#REF!+#REF!+#REF!</f>
        <v>#REF!</v>
      </c>
      <c r="GE17" s="27" t="e">
        <f>+#REF!+#REF!+#REF!+#REF!+#REF!+#REF!+#REF!+#REF!+#REF!+#REF!+#REF!+#REF!</f>
        <v>#REF!</v>
      </c>
      <c r="GF17" s="27" t="e">
        <f>+#REF!+#REF!+#REF!+#REF!+#REF!+#REF!+#REF!+#REF!+#REF!+#REF!+#REF!+#REF!</f>
        <v>#REF!</v>
      </c>
      <c r="GG17" s="27" t="e">
        <f>+#REF!+#REF!+#REF!+#REF!+#REF!+#REF!+#REF!+#REF!+#REF!+#REF!+#REF!+#REF!</f>
        <v>#REF!</v>
      </c>
      <c r="GH17" s="27" t="e">
        <f>+#REF!+#REF!+#REF!+#REF!+#REF!+#REF!+#REF!+#REF!+#REF!+#REF!+#REF!+#REF!</f>
        <v>#REF!</v>
      </c>
      <c r="GI17" s="33" t="e">
        <f t="shared" si="58"/>
        <v>#REF!</v>
      </c>
      <c r="GJ17" s="2667"/>
      <c r="GL17" s="26" t="e">
        <f>+#REF!+#REF!+#REF!+#REF!+#REF!+#REF!+#REF!+#REF!+#REF!+#REF!+#REF!+#REF!</f>
        <v>#REF!</v>
      </c>
      <c r="GM17" s="36" t="e">
        <f>+#REF!+#REF!+#REF!+#REF!+#REF!+#REF!+#REF!+#REF!+#REF!+#REF!+#REF!+#REF!</f>
        <v>#REF!</v>
      </c>
      <c r="GN17" s="27" t="e">
        <f>+#REF!+#REF!+#REF!+#REF!+#REF!+#REF!+#REF!+#REF!+#REF!+#REF!+#REF!+#REF!</f>
        <v>#REF!</v>
      </c>
      <c r="GO17" s="27" t="e">
        <f t="shared" si="59"/>
        <v>#REF!</v>
      </c>
      <c r="GP17" s="33"/>
      <c r="GQ17" s="2669"/>
      <c r="GR17" s="69"/>
      <c r="GS17" s="70"/>
      <c r="GT17" s="70"/>
      <c r="GU17" s="70"/>
      <c r="GV17" s="70"/>
      <c r="GW17" s="70"/>
      <c r="GX17" s="70"/>
      <c r="GY17" s="71"/>
      <c r="GZ17" s="69"/>
      <c r="HA17" s="70"/>
      <c r="HB17" s="70"/>
      <c r="HC17" s="70"/>
      <c r="HD17" s="70"/>
      <c r="HE17" s="70"/>
      <c r="HF17" s="70"/>
      <c r="HG17" s="71"/>
      <c r="HH17" s="69"/>
      <c r="HI17" s="70"/>
      <c r="HJ17" s="70"/>
      <c r="HK17" s="70"/>
      <c r="HL17" s="70"/>
      <c r="HM17" s="70"/>
      <c r="HN17" s="70"/>
      <c r="HO17" s="70"/>
      <c r="HP17" s="33"/>
      <c r="HQ17" s="2669"/>
      <c r="HR17" s="36"/>
      <c r="HS17" s="53"/>
      <c r="HT17" s="53"/>
      <c r="HU17" s="53"/>
      <c r="HV17" s="61"/>
      <c r="HW17" s="36"/>
      <c r="HX17" s="53"/>
      <c r="HY17" s="53"/>
      <c r="HZ17" s="53"/>
      <c r="IA17" s="61"/>
      <c r="IB17" s="36"/>
      <c r="IC17" s="53"/>
      <c r="ID17" s="53"/>
      <c r="IE17" s="53"/>
      <c r="IF17" s="53"/>
      <c r="IG17" s="33"/>
      <c r="IH17" s="2669"/>
      <c r="IJ17" s="26" t="e">
        <f t="shared" si="60"/>
        <v>#REF!</v>
      </c>
      <c r="IK17" s="36" t="e">
        <f t="shared" si="6"/>
        <v>#REF!</v>
      </c>
      <c r="IL17" s="27" t="e">
        <f t="shared" si="6"/>
        <v>#REF!</v>
      </c>
      <c r="IM17" s="28" t="e">
        <f t="shared" si="61"/>
        <v>#REF!</v>
      </c>
      <c r="IN17" s="36"/>
      <c r="IO17" s="27"/>
      <c r="IP17" s="27"/>
      <c r="IQ17" s="33"/>
      <c r="IR17" s="55"/>
      <c r="IS17" s="21"/>
      <c r="IT17" s="2688"/>
      <c r="IU17" s="36" t="e">
        <f>+#REF!+#REF!+#REF!+#REF!+#REF!+#REF!+#REF!+#REF!+#REF!+#REF!+#REF!+#REF!</f>
        <v>#REF!</v>
      </c>
      <c r="IV17" s="36" t="e">
        <f>+#REF!+#REF!+#REF!+#REF!+#REF!+#REF!+#REF!+#REF!+#REF!+#REF!+#REF!+#REF!</f>
        <v>#REF!</v>
      </c>
      <c r="IW17" s="27" t="e">
        <f>+#REF!+#REF!+#REF!+#REF!+#REF!+#REF!+#REF!+#REF!+#REF!+#REF!+#REF!+#REF!</f>
        <v>#REF!</v>
      </c>
      <c r="IX17" s="27" t="e">
        <f>+#REF!+#REF!+#REF!+#REF!+#REF!+#REF!+#REF!+#REF!+#REF!+#REF!+#REF!+#REF!</f>
        <v>#REF!</v>
      </c>
      <c r="IY17" s="27" t="e">
        <f>+#REF!+#REF!+#REF!+#REF!+#REF!+#REF!+#REF!+#REF!+#REF!+#REF!+#REF!+#REF!</f>
        <v>#REF!</v>
      </c>
      <c r="IZ17" s="28" t="e">
        <f t="shared" si="62"/>
        <v>#REF!</v>
      </c>
      <c r="JA17" s="26" t="e">
        <f>+#REF!+#REF!+#REF!+#REF!+#REF!+#REF!+#REF!+#REF!+#REF!+#REF!+#REF!+#REF!</f>
        <v>#REF!</v>
      </c>
      <c r="JB17" s="36" t="e">
        <f>+#REF!+#REF!+#REF!+#REF!+#REF!+#REF!+#REF!+#REF!+#REF!+#REF!+#REF!+#REF!</f>
        <v>#REF!</v>
      </c>
      <c r="JC17" s="27" t="e">
        <f>+#REF!+#REF!+#REF!+#REF!+#REF!+#REF!+#REF!+#REF!+#REF!+#REF!+#REF!+#REF!</f>
        <v>#REF!</v>
      </c>
      <c r="JD17" s="27" t="e">
        <f>+#REF!+#REF!+#REF!+#REF!+#REF!+#REF!+#REF!+#REF!+#REF!+#REF!+#REF!+#REF!</f>
        <v>#REF!</v>
      </c>
      <c r="JE17" s="28" t="e">
        <f>+#REF!+#REF!+#REF!+#REF!+#REF!+#REF!+#REF!+#REF!+#REF!+#REF!+#REF!+#REF!</f>
        <v>#REF!</v>
      </c>
      <c r="JF17" s="26" t="e">
        <f>+#REF!+#REF!+#REF!+#REF!+#REF!+#REF!+#REF!+#REF!+#REF!+#REF!+#REF!+#REF!</f>
        <v>#REF!</v>
      </c>
      <c r="JG17" s="36" t="e">
        <f>+#REF!+#REF!+#REF!+#REF!+#REF!+#REF!+#REF!+#REF!+#REF!+#REF!+#REF!+#REF!</f>
        <v>#REF!</v>
      </c>
      <c r="JH17" s="27" t="e">
        <f>+#REF!+#REF!+#REF!+#REF!+#REF!+#REF!+#REF!+#REF!+#REF!+#REF!+#REF!+#REF!</f>
        <v>#REF!</v>
      </c>
      <c r="JI17" s="27" t="e">
        <f>+#REF!+#REF!+#REF!+#REF!+#REF!+#REF!+#REF!+#REF!+#REF!+#REF!+#REF!+#REF!</f>
        <v>#REF!</v>
      </c>
      <c r="JJ17" s="27" t="e">
        <f>+#REF!+#REF!+#REF!+#REF!+#REF!+#REF!+#REF!+#REF!+#REF!+#REF!+#REF!+#REF!</f>
        <v>#REF!</v>
      </c>
      <c r="JK17" s="28" t="e">
        <f t="shared" si="63"/>
        <v>#REF!</v>
      </c>
      <c r="JL17" s="26" t="e">
        <f>+#REF!+#REF!+#REF!+#REF!+#REF!+#REF!+#REF!+#REF!+#REF!+#REF!+#REF!+#REF!</f>
        <v>#REF!</v>
      </c>
      <c r="JM17" s="36" t="e">
        <f>+#REF!+#REF!+#REF!+#REF!+#REF!+#REF!+#REF!+#REF!+#REF!+#REF!+#REF!+#REF!</f>
        <v>#REF!</v>
      </c>
      <c r="JN17" s="27" t="e">
        <f>+#REF!+#REF!+#REF!+#REF!+#REF!+#REF!+#REF!+#REF!+#REF!+#REF!+#REF!+#REF!</f>
        <v>#REF!</v>
      </c>
      <c r="JO17" s="27" t="e">
        <f>+#REF!+#REF!+#REF!+#REF!+#REF!+#REF!+#REF!+#REF!+#REF!+#REF!+#REF!+#REF!</f>
        <v>#REF!</v>
      </c>
      <c r="JP17" s="28" t="e">
        <f>+#REF!+#REF!+#REF!+#REF!+#REF!+#REF!+#REF!+#REF!+#REF!+#REF!+#REF!+#REF!</f>
        <v>#REF!</v>
      </c>
      <c r="JQ17" s="275" t="e">
        <f t="shared" si="64"/>
        <v>#REF!</v>
      </c>
      <c r="JR17" s="36" t="e">
        <f>+#REF!+#REF!+#REF!+#REF!+#REF!+#REF!+#REF!+#REF!+#REF!+#REF!+#REF!+#REF!</f>
        <v>#REF!</v>
      </c>
      <c r="JS17" s="36" t="e">
        <f>+#REF!+#REF!+#REF!+#REF!+#REF!+#REF!+#REF!+#REF!+#REF!+#REF!+#REF!+#REF!</f>
        <v>#REF!</v>
      </c>
      <c r="JT17" s="27" t="e">
        <f>+#REF!+#REF!+#REF!+#REF!+#REF!+#REF!+#REF!+#REF!+#REF!+#REF!+#REF!+#REF!</f>
        <v>#REF!</v>
      </c>
      <c r="JU17" s="27" t="e">
        <f>+#REF!+#REF!+#REF!+#REF!+#REF!+#REF!+#REF!+#REF!+#REF!+#REF!+#REF!+#REF!</f>
        <v>#REF!</v>
      </c>
      <c r="JV17" s="27" t="e">
        <f>+#REF!+#REF!+#REF!+#REF!+#REF!+#REF!+#REF!+#REF!+#REF!+#REF!+#REF!+#REF!</f>
        <v>#REF!</v>
      </c>
      <c r="JW17" s="33" t="e">
        <f t="shared" si="65"/>
        <v>#REF!</v>
      </c>
      <c r="JX17" s="2688"/>
      <c r="JZ17" s="26" t="e">
        <f t="shared" si="66"/>
        <v>#REF!</v>
      </c>
      <c r="KA17" s="27" t="e">
        <f t="shared" si="67"/>
        <v>#REF!</v>
      </c>
      <c r="KB17" s="27" t="e">
        <f t="shared" si="68"/>
        <v>#REF!</v>
      </c>
      <c r="KC17" s="33" t="e">
        <f t="shared" si="69"/>
        <v>#REF!</v>
      </c>
      <c r="KD17" s="2621"/>
      <c r="KE17" s="36" t="e">
        <f t="shared" si="7"/>
        <v>#REF!</v>
      </c>
      <c r="KF17" s="36" t="e">
        <f t="shared" si="7"/>
        <v>#REF!</v>
      </c>
      <c r="KG17" s="27" t="e">
        <f t="shared" si="7"/>
        <v>#REF!</v>
      </c>
      <c r="KH17" s="28" t="e">
        <f t="shared" si="81"/>
        <v>#REF!</v>
      </c>
      <c r="KI17" s="36" t="e">
        <f t="shared" si="82"/>
        <v>#REF!</v>
      </c>
      <c r="KJ17" s="27" t="e">
        <f t="shared" si="8"/>
        <v>#REF!</v>
      </c>
      <c r="KK17" s="27" t="e">
        <f t="shared" si="8"/>
        <v>#REF!</v>
      </c>
      <c r="KL17" s="27" t="e">
        <f t="shared" si="8"/>
        <v>#REF!</v>
      </c>
      <c r="KM17" s="27" t="e">
        <f t="shared" si="8"/>
        <v>#REF!</v>
      </c>
      <c r="KN17" s="27" t="e">
        <f t="shared" si="8"/>
        <v>#REF!</v>
      </c>
      <c r="KO17" s="28" t="e">
        <f t="shared" si="83"/>
        <v>#REF!</v>
      </c>
      <c r="KP17" s="36" t="e">
        <f t="shared" si="9"/>
        <v>#REF!</v>
      </c>
      <c r="KQ17" s="27" t="e">
        <f t="shared" si="9"/>
        <v>#REF!</v>
      </c>
      <c r="KR17" s="27" t="e">
        <f t="shared" si="9"/>
        <v>#REF!</v>
      </c>
      <c r="KS17" s="27" t="e">
        <f t="shared" si="9"/>
        <v>#REF!</v>
      </c>
      <c r="KT17" s="27" t="e">
        <f t="shared" si="9"/>
        <v>#REF!</v>
      </c>
      <c r="KU17" s="27" t="e">
        <f t="shared" si="9"/>
        <v>#REF!</v>
      </c>
      <c r="KV17" s="28" t="e">
        <f t="shared" si="84"/>
        <v>#REF!</v>
      </c>
      <c r="KW17" s="36" t="e">
        <f t="shared" si="10"/>
        <v>#REF!</v>
      </c>
      <c r="KX17" s="27" t="e">
        <f t="shared" si="10"/>
        <v>#REF!</v>
      </c>
      <c r="KY17" s="27" t="e">
        <f t="shared" si="10"/>
        <v>#REF!</v>
      </c>
      <c r="KZ17" s="27" t="e">
        <f t="shared" si="10"/>
        <v>#REF!</v>
      </c>
      <c r="LA17" s="27" t="e">
        <f t="shared" si="10"/>
        <v>#REF!</v>
      </c>
      <c r="LB17" s="27" t="e">
        <f t="shared" si="10"/>
        <v>#REF!</v>
      </c>
      <c r="LC17" s="28" t="e">
        <f t="shared" si="85"/>
        <v>#REF!</v>
      </c>
      <c r="LD17" s="36"/>
      <c r="LE17" s="27"/>
      <c r="LF17" s="27"/>
      <c r="LG17" s="27"/>
      <c r="LH17" s="27"/>
      <c r="LI17" s="27"/>
      <c r="LJ17" s="28">
        <f t="shared" si="70"/>
        <v>0</v>
      </c>
      <c r="LK17" s="36" t="e">
        <f t="shared" si="11"/>
        <v>#REF!</v>
      </c>
      <c r="LL17" s="27" t="e">
        <f t="shared" si="11"/>
        <v>#REF!</v>
      </c>
      <c r="LM17" s="27" t="e">
        <f t="shared" si="11"/>
        <v>#REF!</v>
      </c>
      <c r="LN17" s="27" t="e">
        <f t="shared" si="11"/>
        <v>#REF!</v>
      </c>
      <c r="LO17" s="27" t="e">
        <f t="shared" si="11"/>
        <v>#REF!</v>
      </c>
      <c r="LP17" s="27" t="e">
        <f t="shared" si="11"/>
        <v>#REF!</v>
      </c>
      <c r="LQ17" s="33" t="e">
        <f t="shared" si="71"/>
        <v>#REF!</v>
      </c>
      <c r="LR17" s="2621"/>
      <c r="LT17" s="4" t="e">
        <f>+#REF!+#REF!+#REF!+#REF!+#REF!+#REF!+#REF!+#REF!+#REF!+#REF!+#REF!+#REF!</f>
        <v>#REF!</v>
      </c>
      <c r="LU17" s="5" t="e">
        <f>+#REF!+#REF!+#REF!+#REF!+#REF!+#REF!+#REF!+#REF!+#REF!+#REF!+#REF!+#REF!</f>
        <v>#REF!</v>
      </c>
      <c r="LV17" s="5" t="e">
        <f t="shared" si="72"/>
        <v>#REF!</v>
      </c>
      <c r="LW17" s="12" t="e">
        <f t="shared" si="86"/>
        <v>#REF!</v>
      </c>
      <c r="LX17" s="15"/>
      <c r="LY17" s="2615"/>
      <c r="MA17" s="4" t="e">
        <f>+#REF!+#REF!+#REF!+#REF!+#REF!+#REF!+#REF!+#REF!+#REF!+#REF!+#REF!+#REF!</f>
        <v>#REF!</v>
      </c>
      <c r="MB17" s="5" t="e">
        <f t="shared" si="73"/>
        <v>#REF!</v>
      </c>
      <c r="MC17" s="5" t="e">
        <f>+#REF!+#REF!+#REF!+#REF!+#REF!+#REF!+#REF!+#REF!+#REF!+#REF!+#REF!+#REF!</f>
        <v>#REF!</v>
      </c>
      <c r="MD17" s="5" t="e">
        <f t="shared" si="74"/>
        <v>#REF!</v>
      </c>
      <c r="ME17" s="12" t="e">
        <f>+ME16+MA17-MB17-MC17-MD17</f>
        <v>#REF!</v>
      </c>
      <c r="MF17" s="12"/>
      <c r="MG17" s="2615"/>
      <c r="MI17" s="139" t="e">
        <f t="shared" si="76"/>
        <v>#REF!</v>
      </c>
      <c r="MJ17" s="139" t="e">
        <f t="shared" si="77"/>
        <v>#REF!</v>
      </c>
      <c r="ML17" s="139" t="e">
        <f t="shared" si="78"/>
        <v>#REF!</v>
      </c>
      <c r="MM17" s="139" t="e">
        <f t="shared" si="79"/>
        <v>#REF!</v>
      </c>
      <c r="MO17" s="1">
        <f t="shared" si="12"/>
        <v>0</v>
      </c>
      <c r="MP17" s="1">
        <f t="shared" si="12"/>
        <v>0</v>
      </c>
      <c r="MQ17" s="1">
        <f t="shared" si="12"/>
        <v>0</v>
      </c>
      <c r="MR17" s="1">
        <f t="shared" si="12"/>
        <v>0</v>
      </c>
      <c r="MS17" s="1">
        <f t="shared" si="12"/>
        <v>0</v>
      </c>
      <c r="MT17" s="1">
        <f t="shared" si="12"/>
        <v>0</v>
      </c>
      <c r="MV17" s="1">
        <f t="shared" si="13"/>
        <v>0</v>
      </c>
      <c r="MW17" s="1">
        <f t="shared" si="13"/>
        <v>0</v>
      </c>
      <c r="MX17" s="1">
        <f t="shared" si="13"/>
        <v>0</v>
      </c>
      <c r="MY17" s="1">
        <f t="shared" si="13"/>
        <v>0</v>
      </c>
      <c r="MZ17" s="1">
        <f t="shared" si="13"/>
        <v>0</v>
      </c>
      <c r="NA17" s="1">
        <f t="shared" si="13"/>
        <v>0</v>
      </c>
    </row>
    <row r="18" spans="2:365" s="1" customFormat="1">
      <c r="B18" s="46">
        <v>9</v>
      </c>
      <c r="C18" s="4" t="e">
        <f t="shared" si="0"/>
        <v>#REF!</v>
      </c>
      <c r="D18" s="5" t="e">
        <f t="shared" si="1"/>
        <v>#REF!</v>
      </c>
      <c r="E18" s="61">
        <f t="shared" si="14"/>
        <v>0</v>
      </c>
      <c r="F18" s="52"/>
      <c r="G18" s="53"/>
      <c r="H18" s="53"/>
      <c r="I18" s="54"/>
      <c r="J18" s="2629"/>
      <c r="K18" s="9" t="e">
        <f t="shared" si="15"/>
        <v>#REF!</v>
      </c>
      <c r="L18" s="5" t="e">
        <f t="shared" si="2"/>
        <v>#REF!</v>
      </c>
      <c r="M18" s="64">
        <f t="shared" si="16"/>
        <v>0</v>
      </c>
      <c r="N18" s="28"/>
      <c r="O18" s="36" t="e">
        <f t="shared" si="17"/>
        <v>#REF!</v>
      </c>
      <c r="P18" s="27" t="e">
        <f t="shared" si="17"/>
        <v>#REF!</v>
      </c>
      <c r="Q18" s="53">
        <f t="shared" si="18"/>
        <v>0</v>
      </c>
      <c r="R18" s="28"/>
      <c r="S18" s="36" t="e">
        <f t="shared" si="19"/>
        <v>#REF!</v>
      </c>
      <c r="T18" s="27" t="e">
        <f t="shared" si="19"/>
        <v>#REF!</v>
      </c>
      <c r="U18" s="53">
        <f t="shared" si="3"/>
        <v>0</v>
      </c>
      <c r="V18" s="28"/>
      <c r="W18" s="36" t="e">
        <f t="shared" si="20"/>
        <v>#REF!</v>
      </c>
      <c r="X18" s="27" t="e">
        <f t="shared" si="4"/>
        <v>#REF!</v>
      </c>
      <c r="Y18" s="53">
        <f t="shared" si="21"/>
        <v>0</v>
      </c>
      <c r="Z18" s="28"/>
      <c r="AA18" s="26" t="e">
        <f t="shared" si="22"/>
        <v>#REF!</v>
      </c>
      <c r="AB18" s="27" t="e">
        <f t="shared" si="22"/>
        <v>#REF!</v>
      </c>
      <c r="AC18" s="53">
        <f t="shared" si="23"/>
        <v>0</v>
      </c>
      <c r="AD18" s="33"/>
      <c r="AE18" s="2629"/>
      <c r="AF18" s="9" t="e">
        <f>+#REF!+#REF!+#REF!+#REF!+#REF!+#REF!+#REF!+#REF!+#REF!+#REF!+#REF!+#REF!</f>
        <v>#REF!</v>
      </c>
      <c r="AG18" s="5" t="e">
        <f>+#REF!+#REF!+#REF!+#REF!+#REF!+#REF!+#REF!+#REF!+#REF!+#REF!+#REF!+#REF!</f>
        <v>#REF!</v>
      </c>
      <c r="AH18" s="61">
        <f t="shared" si="24"/>
        <v>0</v>
      </c>
      <c r="AI18" s="36" t="e">
        <f>+#REF!+#REF!+#REF!+#REF!+#REF!+#REF!+#REF!+#REF!+#REF!+#REF!+#REF!+#REF!</f>
        <v>#REF!</v>
      </c>
      <c r="AJ18" s="27" t="e">
        <f>+#REF!+#REF!+#REF!+#REF!+#REF!+#REF!+#REF!+#REF!+#REF!+#REF!+#REF!+#REF!</f>
        <v>#REF!</v>
      </c>
      <c r="AK18" s="61">
        <f t="shared" si="25"/>
        <v>0</v>
      </c>
      <c r="AL18" s="36" t="e">
        <f>+#REF!+#REF!+#REF!+#REF!+#REF!+#REF!+#REF!+#REF!+#REF!+#REF!+#REF!+#REF!</f>
        <v>#REF!</v>
      </c>
      <c r="AM18" s="27" t="e">
        <f>+#REF!+#REF!+#REF!+#REF!+#REF!+#REF!+#REF!+#REF!+#REF!+#REF!+#REF!+#REF!</f>
        <v>#REF!</v>
      </c>
      <c r="AN18" s="61">
        <f t="shared" si="26"/>
        <v>0</v>
      </c>
      <c r="AO18" s="36" t="e">
        <f>+#REF!+#REF!+#REF!+#REF!+#REF!+#REF!+#REF!+#REF!+#REF!+#REF!+#REF!+#REF!</f>
        <v>#REF!</v>
      </c>
      <c r="AP18" s="27" t="e">
        <f>+#REF!+#REF!+#REF!+#REF!+#REF!+#REF!+#REF!+#REF!+#REF!+#REF!+#REF!+#REF!</f>
        <v>#REF!</v>
      </c>
      <c r="AQ18" s="61">
        <f t="shared" si="27"/>
        <v>0</v>
      </c>
      <c r="AR18" s="36" t="e">
        <f>+#REF!+#REF!+#REF!+#REF!+#REF!+#REF!+#REF!+#REF!+#REF!+#REF!+#REF!+#REF!</f>
        <v>#REF!</v>
      </c>
      <c r="AS18" s="27" t="e">
        <f>+#REF!+#REF!+#REF!+#REF!+#REF!+#REF!+#REF!+#REF!+#REF!+#REF!+#REF!+#REF!</f>
        <v>#REF!</v>
      </c>
      <c r="AT18" s="61">
        <f t="shared" si="28"/>
        <v>0</v>
      </c>
      <c r="AU18" s="36" t="e">
        <f>+#REF!+#REF!+#REF!+#REF!+#REF!+#REF!+#REF!+#REF!+#REF!+#REF!+#REF!+#REF!</f>
        <v>#REF!</v>
      </c>
      <c r="AV18" s="27" t="e">
        <f>+#REF!+#REF!+#REF!+#REF!+#REF!+#REF!+#REF!+#REF!+#REF!+#REF!+#REF!+#REF!</f>
        <v>#REF!</v>
      </c>
      <c r="AW18" s="61">
        <f t="shared" si="29"/>
        <v>0</v>
      </c>
      <c r="AX18" s="36" t="e">
        <f>+#REF!+#REF!+#REF!+#REF!+#REF!+#REF!+#REF!+#REF!+#REF!+#REF!+#REF!+#REF!</f>
        <v>#REF!</v>
      </c>
      <c r="AY18" s="27" t="e">
        <f>+#REF!+#REF!+#REF!+#REF!+#REF!+#REF!+#REF!+#REF!+#REF!+#REF!+#REF!+#REF!</f>
        <v>#REF!</v>
      </c>
      <c r="AZ18" s="61">
        <f t="shared" si="30"/>
        <v>0</v>
      </c>
      <c r="BA18" s="36" t="e">
        <f>+#REF!+#REF!+#REF!+#REF!+#REF!+#REF!+#REF!+#REF!+#REF!+#REF!+#REF!+#REF!</f>
        <v>#REF!</v>
      </c>
      <c r="BB18" s="27" t="e">
        <f>+#REF!+#REF!+#REF!+#REF!+#REF!+#REF!+#REF!+#REF!+#REF!+#REF!+#REF!+#REF!</f>
        <v>#REF!</v>
      </c>
      <c r="BC18" s="61">
        <f t="shared" si="31"/>
        <v>0</v>
      </c>
      <c r="BD18" s="36" t="e">
        <f>+#REF!+#REF!+#REF!+#REF!+#REF!+#REF!+#REF!+#REF!+#REF!+#REF!+#REF!+#REF!</f>
        <v>#REF!</v>
      </c>
      <c r="BE18" s="27" t="e">
        <f>+#REF!+#REF!+#REF!+#REF!+#REF!+#REF!+#REF!+#REF!+#REF!+#REF!+#REF!+#REF!</f>
        <v>#REF!</v>
      </c>
      <c r="BF18" s="61">
        <f t="shared" si="32"/>
        <v>0</v>
      </c>
      <c r="BG18" s="36" t="e">
        <f>+#REF!+#REF!+#REF!+#REF!+#REF!+#REF!+#REF!+#REF!+#REF!+#REF!+#REF!+#REF!</f>
        <v>#REF!</v>
      </c>
      <c r="BH18" s="27" t="e">
        <f>+#REF!+#REF!+#REF!+#REF!+#REF!+#REF!+#REF!+#REF!+#REF!+#REF!+#REF!+#REF!</f>
        <v>#REF!</v>
      </c>
      <c r="BI18" s="61">
        <f t="shared" si="33"/>
        <v>0</v>
      </c>
      <c r="BJ18" s="36" t="e">
        <f>+#REF!+#REF!+#REF!+#REF!+#REF!+#REF!+#REF!+#REF!+#REF!+#REF!+#REF!+#REF!</f>
        <v>#REF!</v>
      </c>
      <c r="BK18" s="27" t="e">
        <f>+#REF!+#REF!+#REF!+#REF!+#REF!+#REF!+#REF!+#REF!+#REF!+#REF!+#REF!+#REF!</f>
        <v>#REF!</v>
      </c>
      <c r="BL18" s="61">
        <f t="shared" si="34"/>
        <v>0</v>
      </c>
      <c r="BM18" s="36" t="e">
        <f>+#REF!+#REF!+#REF!+#REF!+#REF!+#REF!+#REF!+#REF!+#REF!+#REF!+#REF!+#REF!</f>
        <v>#REF!</v>
      </c>
      <c r="BN18" s="27" t="e">
        <f>+#REF!+#REF!+#REF!+#REF!+#REF!+#REF!+#REF!+#REF!+#REF!+#REF!+#REF!+#REF!</f>
        <v>#REF!</v>
      </c>
      <c r="BO18" s="54">
        <f t="shared" si="35"/>
        <v>0</v>
      </c>
      <c r="BP18" s="26" t="e">
        <f>+#REF!+#REF!+#REF!+#REF!+#REF!+#REF!+#REF!+#REF!+#REF!+#REF!+#REF!+#REF!</f>
        <v>#REF!</v>
      </c>
      <c r="BQ18" s="27" t="e">
        <f>+#REF!+#REF!+#REF!+#REF!+#REF!+#REF!+#REF!+#REF!+#REF!+#REF!+#REF!+#REF!</f>
        <v>#REF!</v>
      </c>
      <c r="BR18" s="61">
        <f t="shared" si="36"/>
        <v>0</v>
      </c>
      <c r="BS18" s="26" t="e">
        <f>+#REF!+#REF!+#REF!+#REF!+#REF!+#REF!+#REF!+#REF!+#REF!+#REF!+#REF!+#REF!</f>
        <v>#REF!</v>
      </c>
      <c r="BT18" s="27" t="e">
        <f>+#REF!+#REF!+#REF!+#REF!+#REF!+#REF!+#REF!+#REF!+#REF!+#REF!+#REF!+#REF!</f>
        <v>#REF!</v>
      </c>
      <c r="BU18" s="61">
        <f t="shared" si="37"/>
        <v>0</v>
      </c>
      <c r="BV18" s="150"/>
      <c r="BW18" s="9" t="e">
        <f>+#REF!+#REF!+#REF!+#REF!+#REF!+#REF!+#REF!+#REF!+#REF!+#REF!+#REF!+#REF!</f>
        <v>#REF!</v>
      </c>
      <c r="BX18" s="5" t="e">
        <f>+#REF!+#REF!+#REF!+#REF!+#REF!+#REF!+#REF!+#REF!+#REF!+#REF!+#REF!+#REF!</f>
        <v>#REF!</v>
      </c>
      <c r="BY18" s="5" t="e">
        <f>+#REF!+#REF!+#REF!+#REF!+#REF!+#REF!+#REF!+#REF!+#REF!+#REF!+#REF!+#REF!</f>
        <v>#REF!</v>
      </c>
      <c r="BZ18" s="5" t="e">
        <f>+#REF!+#REF!+#REF!+#REF!+#REF!+#REF!+#REF!+#REF!+#REF!+#REF!+#REF!+#REF!</f>
        <v>#REF!</v>
      </c>
      <c r="CA18" s="5" t="e">
        <f>+#REF!+#REF!+#REF!+#REF!+#REF!+#REF!+#REF!+#REF!+#REF!+#REF!+#REF!+#REF!</f>
        <v>#REF!</v>
      </c>
      <c r="CB18" s="5" t="e">
        <f t="shared" si="38"/>
        <v>#REF!</v>
      </c>
      <c r="CC18" s="33"/>
      <c r="CD18" s="2683"/>
      <c r="CF18" s="4" t="e">
        <f t="shared" si="39"/>
        <v>#REF!</v>
      </c>
      <c r="CG18" s="5" t="e">
        <f t="shared" si="5"/>
        <v>#REF!</v>
      </c>
      <c r="CH18" s="5" t="e">
        <f t="shared" si="5"/>
        <v>#REF!</v>
      </c>
      <c r="CI18" s="5" t="e">
        <f t="shared" si="5"/>
        <v>#REF!</v>
      </c>
      <c r="CJ18" s="5" t="e">
        <f t="shared" si="5"/>
        <v>#REF!</v>
      </c>
      <c r="CK18" s="5" t="e">
        <f t="shared" si="5"/>
        <v>#REF!</v>
      </c>
      <c r="CL18" s="33" t="e">
        <f t="shared" si="40"/>
        <v>#REF!</v>
      </c>
      <c r="CM18" s="2685"/>
      <c r="CN18" s="9" t="e">
        <f>+#REF!+#REF!+#REF!+#REF!+#REF!+#REF!+#REF!+#REF!+#REF!+#REF!+#REF!+#REF!</f>
        <v>#REF!</v>
      </c>
      <c r="CO18" s="5" t="e">
        <f>+#REF!+#REF!+#REF!+#REF!+#REF!+#REF!+#REF!+#REF!+#REF!+#REF!+#REF!+#REF!</f>
        <v>#REF!</v>
      </c>
      <c r="CP18" s="5" t="e">
        <f>+#REF!+#REF!+#REF!+#REF!+#REF!+#REF!+#REF!+#REF!+#REF!+#REF!+#REF!+#REF!</f>
        <v>#REF!</v>
      </c>
      <c r="CQ18" s="5" t="e">
        <f>+#REF!+#REF!+#REF!+#REF!+#REF!+#REF!+#REF!+#REF!+#REF!+#REF!+#REF!+#REF!</f>
        <v>#REF!</v>
      </c>
      <c r="CR18" s="5" t="e">
        <f>+#REF!+#REF!+#REF!+#REF!+#REF!+#REF!+#REF!+#REF!+#REF!+#REF!+#REF!+#REF!</f>
        <v>#REF!</v>
      </c>
      <c r="CS18" s="5" t="e">
        <f>+#REF!+#REF!+#REF!+#REF!+#REF!+#REF!+#REF!+#REF!+#REF!+#REF!+#REF!+#REF!</f>
        <v>#REF!</v>
      </c>
      <c r="CT18" s="28" t="e">
        <f t="shared" si="41"/>
        <v>#REF!</v>
      </c>
      <c r="CU18" s="36" t="e">
        <f>+#REF!+#REF!+#REF!+#REF!+#REF!+#REF!+#REF!+#REF!+#REF!+#REF!+#REF!+#REF!</f>
        <v>#REF!</v>
      </c>
      <c r="CV18" s="27" t="e">
        <f>+#REF!+#REF!+#REF!+#REF!+#REF!+#REF!+#REF!+#REF!+#REF!+#REF!+#REF!+#REF!</f>
        <v>#REF!</v>
      </c>
      <c r="CW18" s="27" t="e">
        <f>+#REF!+#REF!+#REF!+#REF!+#REF!+#REF!+#REF!+#REF!+#REF!+#REF!+#REF!+#REF!</f>
        <v>#REF!</v>
      </c>
      <c r="CX18" s="27" t="e">
        <f>+#REF!+#REF!+#REF!+#REF!+#REF!+#REF!+#REF!+#REF!+#REF!+#REF!+#REF!+#REF!</f>
        <v>#REF!</v>
      </c>
      <c r="CY18" s="27" t="e">
        <f>+#REF!+#REF!+#REF!+#REF!+#REF!+#REF!+#REF!+#REF!+#REF!+#REF!+#REF!+#REF!</f>
        <v>#REF!</v>
      </c>
      <c r="CZ18" s="27" t="e">
        <f>+#REF!+#REF!+#REF!+#REF!+#REF!+#REF!+#REF!+#REF!+#REF!+#REF!+#REF!+#REF!</f>
        <v>#REF!</v>
      </c>
      <c r="DA18" s="28" t="e">
        <f t="shared" si="42"/>
        <v>#REF!</v>
      </c>
      <c r="DB18" s="36" t="e">
        <f>+#REF!+#REF!+#REF!+#REF!+#REF!+#REF!+#REF!+#REF!+#REF!+#REF!+#REF!+#REF!</f>
        <v>#REF!</v>
      </c>
      <c r="DC18" s="27" t="e">
        <f>+#REF!+#REF!+#REF!+#REF!+#REF!+#REF!+#REF!+#REF!+#REF!+#REF!+#REF!+#REF!</f>
        <v>#REF!</v>
      </c>
      <c r="DD18" s="27" t="e">
        <f>+#REF!+#REF!+#REF!+#REF!+#REF!+#REF!+#REF!+#REF!+#REF!+#REF!+#REF!+#REF!</f>
        <v>#REF!</v>
      </c>
      <c r="DE18" s="27" t="e">
        <f>+#REF!+#REF!+#REF!+#REF!+#REF!+#REF!+#REF!+#REF!+#REF!+#REF!+#REF!+#REF!</f>
        <v>#REF!</v>
      </c>
      <c r="DF18" s="27" t="e">
        <f>+#REF!+#REF!+#REF!+#REF!+#REF!+#REF!+#REF!+#REF!+#REF!+#REF!+#REF!+#REF!</f>
        <v>#REF!</v>
      </c>
      <c r="DG18" s="27" t="e">
        <f>+#REF!+#REF!+#REF!+#REF!+#REF!+#REF!+#REF!+#REF!+#REF!+#REF!+#REF!+#REF!</f>
        <v>#REF!</v>
      </c>
      <c r="DH18" s="28" t="e">
        <f t="shared" si="43"/>
        <v>#REF!</v>
      </c>
      <c r="DI18" s="36" t="e">
        <f>+#REF!+#REF!+#REF!+#REF!+#REF!+#REF!+#REF!+#REF!+#REF!+#REF!+#REF!+#REF!</f>
        <v>#REF!</v>
      </c>
      <c r="DJ18" s="27" t="e">
        <f>+#REF!+#REF!+#REF!+#REF!+#REF!+#REF!+#REF!+#REF!+#REF!+#REF!+#REF!+#REF!</f>
        <v>#REF!</v>
      </c>
      <c r="DK18" s="27" t="e">
        <f>+#REF!+#REF!+#REF!+#REF!+#REF!+#REF!+#REF!+#REF!+#REF!+#REF!+#REF!+#REF!</f>
        <v>#REF!</v>
      </c>
      <c r="DL18" s="27" t="e">
        <f>+#REF!+#REF!+#REF!+#REF!+#REF!+#REF!+#REF!+#REF!+#REF!+#REF!+#REF!+#REF!</f>
        <v>#REF!</v>
      </c>
      <c r="DM18" s="27" t="e">
        <f>+#REF!+#REF!+#REF!+#REF!+#REF!+#REF!+#REF!+#REF!+#REF!+#REF!+#REF!+#REF!</f>
        <v>#REF!</v>
      </c>
      <c r="DN18" s="27" t="e">
        <f>+#REF!+#REF!+#REF!+#REF!+#REF!+#REF!+#REF!+#REF!+#REF!+#REF!+#REF!+#REF!</f>
        <v>#REF!</v>
      </c>
      <c r="DO18" s="33" t="e">
        <f t="shared" si="44"/>
        <v>#REF!</v>
      </c>
      <c r="DP18" s="2685"/>
      <c r="DR18" s="4" t="e">
        <f t="shared" si="45"/>
        <v>#REF!</v>
      </c>
      <c r="DS18" s="5" t="e">
        <f t="shared" si="46"/>
        <v>#REF!</v>
      </c>
      <c r="DT18" s="5" t="e">
        <f t="shared" si="47"/>
        <v>#REF!</v>
      </c>
      <c r="DU18" s="12" t="e">
        <f t="shared" si="48"/>
        <v>#REF!</v>
      </c>
      <c r="DV18" s="33"/>
      <c r="DW18" s="2674"/>
      <c r="DX18" s="9" t="e">
        <f>+#REF!+#REF!+#REF!+#REF!+#REF!+#REF!+#REF!+#REF!+#REF!+#REF!+#REF!+#REF!</f>
        <v>#REF!</v>
      </c>
      <c r="DY18" s="5" t="e">
        <f>+#REF!+#REF!+#REF!+#REF!+#REF!+#REF!+#REF!+#REF!+#REF!+#REF!+#REF!+#REF!</f>
        <v>#REF!</v>
      </c>
      <c r="DZ18" s="5" t="e">
        <f>+#REF!+#REF!+#REF!+#REF!+#REF!+#REF!+#REF!+#REF!+#REF!+#REF!+#REF!+#REF!</f>
        <v>#REF!</v>
      </c>
      <c r="EA18" s="5" t="e">
        <f>+#REF!+#REF!+#REF!+#REF!+#REF!+#REF!+#REF!+#REF!+#REF!+#REF!+#REF!+#REF!</f>
        <v>#REF!</v>
      </c>
      <c r="EB18" s="5" t="e">
        <f>+#REF!+#REF!+#REF!+#REF!+#REF!+#REF!+#REF!+#REF!+#REF!+#REF!+#REF!+#REF!</f>
        <v>#REF!</v>
      </c>
      <c r="EC18" s="27" t="e">
        <f>+#REF!+#REF!+#REF!+#REF!+#REF!+#REF!+#REF!+#REF!+#REF!+#REF!+#REF!+#REF!</f>
        <v>#REF!</v>
      </c>
      <c r="ED18" s="28" t="e">
        <f t="shared" si="49"/>
        <v>#REF!</v>
      </c>
      <c r="EE18" s="36" t="e">
        <f>+#REF!+#REF!+#REF!+#REF!+#REF!+#REF!+#REF!+#REF!+#REF!+#REF!+#REF!+#REF!</f>
        <v>#REF!</v>
      </c>
      <c r="EF18" s="27" t="e">
        <f>+#REF!+#REF!+#REF!+#REF!+#REF!+#REF!+#REF!+#REF!+#REF!+#REF!+#REF!+#REF!</f>
        <v>#REF!</v>
      </c>
      <c r="EG18" s="27" t="e">
        <f>+#REF!+#REF!+#REF!+#REF!+#REF!+#REF!+#REF!+#REF!+#REF!+#REF!+#REF!+#REF!</f>
        <v>#REF!</v>
      </c>
      <c r="EH18" s="27" t="e">
        <f>+#REF!+#REF!+#REF!+#REF!+#REF!+#REF!+#REF!+#REF!+#REF!+#REF!+#REF!+#REF!</f>
        <v>#REF!</v>
      </c>
      <c r="EI18" s="27" t="e">
        <f>+#REF!+#REF!+#REF!+#REF!+#REF!+#REF!+#REF!+#REF!+#REF!+#REF!+#REF!+#REF!</f>
        <v>#REF!</v>
      </c>
      <c r="EJ18" s="27" t="e">
        <f>+#REF!+#REF!+#REF!+#REF!+#REF!+#REF!+#REF!+#REF!+#REF!+#REF!+#REF!+#REF!</f>
        <v>#REF!</v>
      </c>
      <c r="EK18" s="28" t="e">
        <f t="shared" si="50"/>
        <v>#REF!</v>
      </c>
      <c r="EL18" s="36" t="e">
        <f>+#REF!+#REF!+#REF!+#REF!+#REF!+#REF!+#REF!+#REF!+#REF!+#REF!+#REF!+#REF!</f>
        <v>#REF!</v>
      </c>
      <c r="EM18" s="27" t="e">
        <f>+#REF!+#REF!+#REF!+#REF!+#REF!+#REF!+#REF!+#REF!+#REF!+#REF!+#REF!+#REF!</f>
        <v>#REF!</v>
      </c>
      <c r="EN18" s="27" t="e">
        <f>+#REF!+#REF!+#REF!+#REF!+#REF!+#REF!+#REF!+#REF!+#REF!+#REF!+#REF!+#REF!</f>
        <v>#REF!</v>
      </c>
      <c r="EO18" s="27" t="e">
        <f>+#REF!+#REF!+#REF!+#REF!+#REF!+#REF!+#REF!+#REF!+#REF!+#REF!+#REF!+#REF!</f>
        <v>#REF!</v>
      </c>
      <c r="EP18" s="27" t="e">
        <f>+#REF!+#REF!+#REF!+#REF!+#REF!+#REF!+#REF!+#REF!+#REF!+#REF!+#REF!+#REF!</f>
        <v>#REF!</v>
      </c>
      <c r="EQ18" s="27" t="e">
        <f>+#REF!+#REF!+#REF!+#REF!+#REF!+#REF!+#REF!+#REF!+#REF!+#REF!+#REF!+#REF!</f>
        <v>#REF!</v>
      </c>
      <c r="ER18" s="33" t="e">
        <f t="shared" si="51"/>
        <v>#REF!</v>
      </c>
      <c r="ES18" s="2674"/>
      <c r="EU18" s="4" t="e">
        <f t="shared" si="52"/>
        <v>#REF!</v>
      </c>
      <c r="EV18" s="5" t="e">
        <f t="shared" si="53"/>
        <v>#REF!</v>
      </c>
      <c r="EW18" s="27" t="e">
        <f t="shared" si="54"/>
        <v>#REF!</v>
      </c>
      <c r="EX18" s="27" t="e">
        <f t="shared" si="55"/>
        <v>#REF!</v>
      </c>
      <c r="EY18" s="141"/>
      <c r="EZ18" s="141"/>
      <c r="FA18" s="33"/>
      <c r="FB18" s="2667"/>
      <c r="FC18" s="36" t="e">
        <f>+#REF!+#REF!+#REF!+#REF!+#REF!+#REF!+#REF!+#REF!+#REF!+#REF!+#REF!+#REF!</f>
        <v>#REF!</v>
      </c>
      <c r="FD18" s="27" t="e">
        <f>+#REF!+#REF!+#REF!+#REF!+#REF!+#REF!+#REF!+#REF!+#REF!+#REF!+#REF!+#REF!</f>
        <v>#REF!</v>
      </c>
      <c r="FE18" s="27"/>
      <c r="FF18" s="27"/>
      <c r="FG18" s="33" t="e">
        <f t="shared" si="56"/>
        <v>#REF!</v>
      </c>
      <c r="FH18" s="2667"/>
      <c r="FI18" s="36" t="e">
        <f>+#REF!+#REF!+#REF!+#REF!+#REF!+#REF!+#REF!+#REF!+#REF!+#REF!+#REF!+#REF!</f>
        <v>#REF!</v>
      </c>
      <c r="FJ18" s="27" t="e">
        <f>+#REF!+#REF!+#REF!+#REF!+#REF!+#REF!+#REF!+#REF!+#REF!+#REF!+#REF!+#REF!</f>
        <v>#REF!</v>
      </c>
      <c r="FK18" s="27" t="e">
        <f>+#REF!+#REF!+#REF!+#REF!+#REF!+#REF!+#REF!+#REF!+#REF!+#REF!+#REF!+#REF!</f>
        <v>#REF!</v>
      </c>
      <c r="FL18" s="27" t="e">
        <f>+#REF!+#REF!+#REF!+#REF!+#REF!+#REF!+#REF!+#REF!+#REF!+#REF!+#REF!+#REF!</f>
        <v>#REF!</v>
      </c>
      <c r="FM18" s="27" t="e">
        <f>+#REF!+#REF!+#REF!+#REF!+#REF!+#REF!+#REF!+#REF!+#REF!+#REF!+#REF!+#REF!</f>
        <v>#REF!</v>
      </c>
      <c r="FN18" s="27" t="e">
        <f>+#REF!+#REF!+#REF!+#REF!+#REF!+#REF!+#REF!+#REF!+#REF!+#REF!+#REF!+#REF!</f>
        <v>#REF!</v>
      </c>
      <c r="FO18" s="27" t="e">
        <f>+#REF!+#REF!+#REF!+#REF!+#REF!+#REF!+#REF!+#REF!+#REF!+#REF!+#REF!+#REF!</f>
        <v>#REF!</v>
      </c>
      <c r="FP18" s="27" t="e">
        <f>+#REF!+#REF!+#REF!+#REF!+#REF!+#REF!+#REF!+#REF!+#REF!+#REF!+#REF!+#REF!</f>
        <v>#REF!</v>
      </c>
      <c r="FQ18" s="28" t="e">
        <f t="shared" si="80"/>
        <v>#REF!</v>
      </c>
      <c r="FR18" s="26" t="e">
        <f>+#REF!+#REF!+#REF!+#REF!+#REF!+#REF!+#REF!+#REF!+#REF!+#REF!+#REF!+#REF!</f>
        <v>#REF!</v>
      </c>
      <c r="FS18" s="27" t="e">
        <f>+#REF!+#REF!+#REF!+#REF!+#REF!+#REF!+#REF!+#REF!+#REF!+#REF!+#REF!+#REF!</f>
        <v>#REF!</v>
      </c>
      <c r="FT18" s="27" t="e">
        <f>+#REF!+#REF!+#REF!+#REF!+#REF!+#REF!+#REF!+#REF!+#REF!+#REF!+#REF!+#REF!</f>
        <v>#REF!</v>
      </c>
      <c r="FU18" s="27" t="e">
        <f>+#REF!+#REF!+#REF!+#REF!+#REF!+#REF!+#REF!+#REF!+#REF!+#REF!+#REF!+#REF!</f>
        <v>#REF!</v>
      </c>
      <c r="FV18" s="27" t="e">
        <f>+#REF!+#REF!+#REF!+#REF!+#REF!+#REF!+#REF!+#REF!+#REF!+#REF!+#REF!+#REF!</f>
        <v>#REF!</v>
      </c>
      <c r="FW18" s="27" t="e">
        <f>+#REF!+#REF!+#REF!+#REF!+#REF!+#REF!+#REF!+#REF!+#REF!+#REF!+#REF!+#REF!</f>
        <v>#REF!</v>
      </c>
      <c r="FX18" s="27" t="e">
        <f>+#REF!+#REF!+#REF!+#REF!+#REF!+#REF!+#REF!+#REF!+#REF!+#REF!+#REF!+#REF!</f>
        <v>#REF!</v>
      </c>
      <c r="FY18" s="27" t="e">
        <f>+#REF!+#REF!+#REF!+#REF!+#REF!+#REF!+#REF!+#REF!+#REF!+#REF!+#REF!+#REF!</f>
        <v>#REF!</v>
      </c>
      <c r="FZ18" s="28" t="e">
        <f t="shared" si="57"/>
        <v>#REF!</v>
      </c>
      <c r="GA18" s="36" t="e">
        <f>+#REF!+#REF!+#REF!+#REF!+#REF!+#REF!+#REF!+#REF!+#REF!+#REF!+#REF!+#REF!</f>
        <v>#REF!</v>
      </c>
      <c r="GB18" s="27" t="e">
        <f>+#REF!+#REF!+#REF!+#REF!+#REF!+#REF!+#REF!+#REF!+#REF!+#REF!+#REF!+#REF!</f>
        <v>#REF!</v>
      </c>
      <c r="GC18" s="27" t="e">
        <f>+#REF!+#REF!+#REF!+#REF!+#REF!+#REF!+#REF!+#REF!+#REF!+#REF!+#REF!+#REF!</f>
        <v>#REF!</v>
      </c>
      <c r="GD18" s="27" t="e">
        <f>+#REF!+#REF!+#REF!+#REF!+#REF!+#REF!+#REF!+#REF!+#REF!+#REF!+#REF!+#REF!</f>
        <v>#REF!</v>
      </c>
      <c r="GE18" s="27" t="e">
        <f>+#REF!+#REF!+#REF!+#REF!+#REF!+#REF!+#REF!+#REF!+#REF!+#REF!+#REF!+#REF!</f>
        <v>#REF!</v>
      </c>
      <c r="GF18" s="27" t="e">
        <f>+#REF!+#REF!+#REF!+#REF!+#REF!+#REF!+#REF!+#REF!+#REF!+#REF!+#REF!+#REF!</f>
        <v>#REF!</v>
      </c>
      <c r="GG18" s="27" t="e">
        <f>+#REF!+#REF!+#REF!+#REF!+#REF!+#REF!+#REF!+#REF!+#REF!+#REF!+#REF!+#REF!</f>
        <v>#REF!</v>
      </c>
      <c r="GH18" s="27" t="e">
        <f>+#REF!+#REF!+#REF!+#REF!+#REF!+#REF!+#REF!+#REF!+#REF!+#REF!+#REF!+#REF!</f>
        <v>#REF!</v>
      </c>
      <c r="GI18" s="33" t="e">
        <f t="shared" si="58"/>
        <v>#REF!</v>
      </c>
      <c r="GJ18" s="2667"/>
      <c r="GL18" s="26" t="e">
        <f>+#REF!+#REF!+#REF!+#REF!+#REF!+#REF!+#REF!+#REF!+#REF!+#REF!+#REF!+#REF!</f>
        <v>#REF!</v>
      </c>
      <c r="GM18" s="36" t="e">
        <f>+#REF!+#REF!+#REF!+#REF!+#REF!+#REF!+#REF!+#REF!+#REF!+#REF!+#REF!+#REF!</f>
        <v>#REF!</v>
      </c>
      <c r="GN18" s="27" t="e">
        <f>+#REF!+#REF!+#REF!+#REF!+#REF!+#REF!+#REF!+#REF!+#REF!+#REF!+#REF!+#REF!</f>
        <v>#REF!</v>
      </c>
      <c r="GO18" s="27" t="e">
        <f t="shared" si="59"/>
        <v>#REF!</v>
      </c>
      <c r="GP18" s="33"/>
      <c r="GQ18" s="2669"/>
      <c r="GR18" s="69"/>
      <c r="GS18" s="70"/>
      <c r="GT18" s="70"/>
      <c r="GU18" s="70"/>
      <c r="GV18" s="70"/>
      <c r="GW18" s="70"/>
      <c r="GX18" s="70"/>
      <c r="GY18" s="71"/>
      <c r="GZ18" s="69"/>
      <c r="HA18" s="70"/>
      <c r="HB18" s="70"/>
      <c r="HC18" s="70"/>
      <c r="HD18" s="70"/>
      <c r="HE18" s="70"/>
      <c r="HF18" s="70"/>
      <c r="HG18" s="71"/>
      <c r="HH18" s="69"/>
      <c r="HI18" s="70"/>
      <c r="HJ18" s="70"/>
      <c r="HK18" s="70"/>
      <c r="HL18" s="70"/>
      <c r="HM18" s="70"/>
      <c r="HN18" s="70"/>
      <c r="HO18" s="70"/>
      <c r="HP18" s="33"/>
      <c r="HQ18" s="2669"/>
      <c r="HR18" s="36"/>
      <c r="HS18" s="53"/>
      <c r="HT18" s="53"/>
      <c r="HU18" s="53"/>
      <c r="HV18" s="61"/>
      <c r="HW18" s="36"/>
      <c r="HX18" s="53"/>
      <c r="HY18" s="53"/>
      <c r="HZ18" s="53"/>
      <c r="IA18" s="61"/>
      <c r="IB18" s="36"/>
      <c r="IC18" s="53"/>
      <c r="ID18" s="53"/>
      <c r="IE18" s="53"/>
      <c r="IF18" s="53"/>
      <c r="IG18" s="33"/>
      <c r="IH18" s="2669"/>
      <c r="IJ18" s="26" t="e">
        <f t="shared" si="60"/>
        <v>#REF!</v>
      </c>
      <c r="IK18" s="36" t="e">
        <f t="shared" si="6"/>
        <v>#REF!</v>
      </c>
      <c r="IL18" s="27" t="e">
        <f t="shared" si="6"/>
        <v>#REF!</v>
      </c>
      <c r="IM18" s="28" t="e">
        <f t="shared" si="61"/>
        <v>#REF!</v>
      </c>
      <c r="IN18" s="36"/>
      <c r="IO18" s="27"/>
      <c r="IP18" s="27"/>
      <c r="IQ18" s="33"/>
      <c r="IR18" s="55"/>
      <c r="IS18" s="21"/>
      <c r="IT18" s="2688"/>
      <c r="IU18" s="36" t="e">
        <f>+#REF!+#REF!+#REF!+#REF!+#REF!+#REF!+#REF!+#REF!+#REF!+#REF!+#REF!+#REF!</f>
        <v>#REF!</v>
      </c>
      <c r="IV18" s="36" t="e">
        <f>+#REF!+#REF!+#REF!+#REF!+#REF!+#REF!+#REF!+#REF!+#REF!+#REF!+#REF!+#REF!</f>
        <v>#REF!</v>
      </c>
      <c r="IW18" s="27" t="e">
        <f>+#REF!+#REF!+#REF!+#REF!+#REF!+#REF!+#REF!+#REF!+#REF!+#REF!+#REF!+#REF!</f>
        <v>#REF!</v>
      </c>
      <c r="IX18" s="27" t="e">
        <f>+#REF!+#REF!+#REF!+#REF!+#REF!+#REF!+#REF!+#REF!+#REF!+#REF!+#REF!+#REF!</f>
        <v>#REF!</v>
      </c>
      <c r="IY18" s="27" t="e">
        <f>+#REF!+#REF!+#REF!+#REF!+#REF!+#REF!+#REF!+#REF!+#REF!+#REF!+#REF!+#REF!</f>
        <v>#REF!</v>
      </c>
      <c r="IZ18" s="28" t="e">
        <f t="shared" si="62"/>
        <v>#REF!</v>
      </c>
      <c r="JA18" s="26" t="e">
        <f>+#REF!+#REF!+#REF!+#REF!+#REF!+#REF!+#REF!+#REF!+#REF!+#REF!+#REF!+#REF!</f>
        <v>#REF!</v>
      </c>
      <c r="JB18" s="36" t="e">
        <f>+#REF!+#REF!+#REF!+#REF!+#REF!+#REF!+#REF!+#REF!+#REF!+#REF!+#REF!+#REF!</f>
        <v>#REF!</v>
      </c>
      <c r="JC18" s="27" t="e">
        <f>+#REF!+#REF!+#REF!+#REF!+#REF!+#REF!+#REF!+#REF!+#REF!+#REF!+#REF!+#REF!</f>
        <v>#REF!</v>
      </c>
      <c r="JD18" s="27" t="e">
        <f>+#REF!+#REF!+#REF!+#REF!+#REF!+#REF!+#REF!+#REF!+#REF!+#REF!+#REF!+#REF!</f>
        <v>#REF!</v>
      </c>
      <c r="JE18" s="28" t="e">
        <f>+#REF!+#REF!+#REF!+#REF!+#REF!+#REF!+#REF!+#REF!+#REF!+#REF!+#REF!+#REF!</f>
        <v>#REF!</v>
      </c>
      <c r="JF18" s="26" t="e">
        <f>+#REF!+#REF!+#REF!+#REF!+#REF!+#REF!+#REF!+#REF!+#REF!+#REF!+#REF!+#REF!</f>
        <v>#REF!</v>
      </c>
      <c r="JG18" s="36" t="e">
        <f>+#REF!+#REF!+#REF!+#REF!+#REF!+#REF!+#REF!+#REF!+#REF!+#REF!+#REF!+#REF!</f>
        <v>#REF!</v>
      </c>
      <c r="JH18" s="27" t="e">
        <f>+#REF!+#REF!+#REF!+#REF!+#REF!+#REF!+#REF!+#REF!+#REF!+#REF!+#REF!+#REF!</f>
        <v>#REF!</v>
      </c>
      <c r="JI18" s="27" t="e">
        <f>+#REF!+#REF!+#REF!+#REF!+#REF!+#REF!+#REF!+#REF!+#REF!+#REF!+#REF!+#REF!</f>
        <v>#REF!</v>
      </c>
      <c r="JJ18" s="27" t="e">
        <f>+#REF!+#REF!+#REF!+#REF!+#REF!+#REF!+#REF!+#REF!+#REF!+#REF!+#REF!+#REF!</f>
        <v>#REF!</v>
      </c>
      <c r="JK18" s="28" t="e">
        <f t="shared" si="63"/>
        <v>#REF!</v>
      </c>
      <c r="JL18" s="26" t="e">
        <f>+#REF!+#REF!+#REF!+#REF!+#REF!+#REF!+#REF!+#REF!+#REF!+#REF!+#REF!+#REF!</f>
        <v>#REF!</v>
      </c>
      <c r="JM18" s="36" t="e">
        <f>+#REF!+#REF!+#REF!+#REF!+#REF!+#REF!+#REF!+#REF!+#REF!+#REF!+#REF!+#REF!</f>
        <v>#REF!</v>
      </c>
      <c r="JN18" s="27" t="e">
        <f>+#REF!+#REF!+#REF!+#REF!+#REF!+#REF!+#REF!+#REF!+#REF!+#REF!+#REF!+#REF!</f>
        <v>#REF!</v>
      </c>
      <c r="JO18" s="27" t="e">
        <f>+#REF!+#REF!+#REF!+#REF!+#REF!+#REF!+#REF!+#REF!+#REF!+#REF!+#REF!+#REF!</f>
        <v>#REF!</v>
      </c>
      <c r="JP18" s="28" t="e">
        <f>+#REF!+#REF!+#REF!+#REF!+#REF!+#REF!+#REF!+#REF!+#REF!+#REF!+#REF!+#REF!</f>
        <v>#REF!</v>
      </c>
      <c r="JQ18" s="275" t="e">
        <f t="shared" si="64"/>
        <v>#REF!</v>
      </c>
      <c r="JR18" s="36" t="e">
        <f>+#REF!+#REF!+#REF!+#REF!+#REF!+#REF!+#REF!+#REF!+#REF!+#REF!+#REF!+#REF!</f>
        <v>#REF!</v>
      </c>
      <c r="JS18" s="36" t="e">
        <f>+#REF!+#REF!+#REF!+#REF!+#REF!+#REF!+#REF!+#REF!+#REF!+#REF!+#REF!+#REF!</f>
        <v>#REF!</v>
      </c>
      <c r="JT18" s="27" t="e">
        <f>+#REF!+#REF!+#REF!+#REF!+#REF!+#REF!+#REF!+#REF!+#REF!+#REF!+#REF!+#REF!</f>
        <v>#REF!</v>
      </c>
      <c r="JU18" s="27" t="e">
        <f>+#REF!+#REF!+#REF!+#REF!+#REF!+#REF!+#REF!+#REF!+#REF!+#REF!+#REF!+#REF!</f>
        <v>#REF!</v>
      </c>
      <c r="JV18" s="27" t="e">
        <f>+#REF!+#REF!+#REF!+#REF!+#REF!+#REF!+#REF!+#REF!+#REF!+#REF!+#REF!+#REF!</f>
        <v>#REF!</v>
      </c>
      <c r="JW18" s="33" t="e">
        <f t="shared" si="65"/>
        <v>#REF!</v>
      </c>
      <c r="JX18" s="2688"/>
      <c r="JZ18" s="26" t="e">
        <f t="shared" si="66"/>
        <v>#REF!</v>
      </c>
      <c r="KA18" s="27" t="e">
        <f t="shared" si="67"/>
        <v>#REF!</v>
      </c>
      <c r="KB18" s="27" t="e">
        <f t="shared" si="68"/>
        <v>#REF!</v>
      </c>
      <c r="KC18" s="33" t="e">
        <f t="shared" si="69"/>
        <v>#REF!</v>
      </c>
      <c r="KD18" s="2621"/>
      <c r="KE18" s="36" t="e">
        <f t="shared" si="7"/>
        <v>#REF!</v>
      </c>
      <c r="KF18" s="36" t="e">
        <f t="shared" si="7"/>
        <v>#REF!</v>
      </c>
      <c r="KG18" s="27" t="e">
        <f t="shared" si="7"/>
        <v>#REF!</v>
      </c>
      <c r="KH18" s="28" t="e">
        <f t="shared" si="81"/>
        <v>#REF!</v>
      </c>
      <c r="KI18" s="36" t="e">
        <f>+KI17+DB18-FI18</f>
        <v>#REF!</v>
      </c>
      <c r="KJ18" s="27" t="e">
        <f t="shared" si="8"/>
        <v>#REF!</v>
      </c>
      <c r="KK18" s="27" t="e">
        <f t="shared" si="8"/>
        <v>#REF!</v>
      </c>
      <c r="KL18" s="27" t="e">
        <f t="shared" si="8"/>
        <v>#REF!</v>
      </c>
      <c r="KM18" s="27" t="e">
        <f t="shared" si="8"/>
        <v>#REF!</v>
      </c>
      <c r="KN18" s="27" t="e">
        <f t="shared" si="8"/>
        <v>#REF!</v>
      </c>
      <c r="KO18" s="28" t="e">
        <f t="shared" si="83"/>
        <v>#REF!</v>
      </c>
      <c r="KP18" s="36" t="e">
        <f t="shared" si="9"/>
        <v>#REF!</v>
      </c>
      <c r="KQ18" s="27" t="e">
        <f t="shared" si="9"/>
        <v>#REF!</v>
      </c>
      <c r="KR18" s="27" t="e">
        <f t="shared" si="9"/>
        <v>#REF!</v>
      </c>
      <c r="KS18" s="27" t="e">
        <f t="shared" si="9"/>
        <v>#REF!</v>
      </c>
      <c r="KT18" s="27" t="e">
        <f t="shared" si="9"/>
        <v>#REF!</v>
      </c>
      <c r="KU18" s="27" t="e">
        <f t="shared" si="9"/>
        <v>#REF!</v>
      </c>
      <c r="KV18" s="28" t="e">
        <f t="shared" si="84"/>
        <v>#REF!</v>
      </c>
      <c r="KW18" s="36" t="e">
        <f t="shared" si="10"/>
        <v>#REF!</v>
      </c>
      <c r="KX18" s="27" t="e">
        <f t="shared" si="10"/>
        <v>#REF!</v>
      </c>
      <c r="KY18" s="27" t="e">
        <f t="shared" si="10"/>
        <v>#REF!</v>
      </c>
      <c r="KZ18" s="27" t="e">
        <f t="shared" si="10"/>
        <v>#REF!</v>
      </c>
      <c r="LA18" s="27" t="e">
        <f t="shared" si="10"/>
        <v>#REF!</v>
      </c>
      <c r="LB18" s="27" t="e">
        <f t="shared" si="10"/>
        <v>#REF!</v>
      </c>
      <c r="LC18" s="28" t="e">
        <f t="shared" si="85"/>
        <v>#REF!</v>
      </c>
      <c r="LD18" s="36"/>
      <c r="LE18" s="27"/>
      <c r="LF18" s="27"/>
      <c r="LG18" s="27"/>
      <c r="LH18" s="27"/>
      <c r="LI18" s="27"/>
      <c r="LJ18" s="28">
        <f t="shared" si="70"/>
        <v>0</v>
      </c>
      <c r="LK18" s="36" t="e">
        <f t="shared" si="11"/>
        <v>#REF!</v>
      </c>
      <c r="LL18" s="27" t="e">
        <f t="shared" si="11"/>
        <v>#REF!</v>
      </c>
      <c r="LM18" s="27" t="e">
        <f t="shared" si="11"/>
        <v>#REF!</v>
      </c>
      <c r="LN18" s="27" t="e">
        <f t="shared" si="11"/>
        <v>#REF!</v>
      </c>
      <c r="LO18" s="27" t="e">
        <f t="shared" si="11"/>
        <v>#REF!</v>
      </c>
      <c r="LP18" s="27" t="e">
        <f t="shared" si="11"/>
        <v>#REF!</v>
      </c>
      <c r="LQ18" s="33" t="e">
        <f t="shared" si="71"/>
        <v>#REF!</v>
      </c>
      <c r="LR18" s="2621"/>
      <c r="LT18" s="4" t="e">
        <f>+#REF!+#REF!+#REF!+#REF!+#REF!+#REF!+#REF!+#REF!+#REF!+#REF!+#REF!+#REF!</f>
        <v>#REF!</v>
      </c>
      <c r="LU18" s="5" t="e">
        <f>+#REF!+#REF!+#REF!+#REF!+#REF!+#REF!+#REF!+#REF!+#REF!+#REF!+#REF!+#REF!</f>
        <v>#REF!</v>
      </c>
      <c r="LV18" s="5" t="e">
        <f t="shared" si="72"/>
        <v>#REF!</v>
      </c>
      <c r="LW18" s="12" t="e">
        <f t="shared" si="86"/>
        <v>#REF!</v>
      </c>
      <c r="LX18" s="15"/>
      <c r="LY18" s="2615"/>
      <c r="MA18" s="4" t="e">
        <f>+#REF!+#REF!+#REF!+#REF!+#REF!+#REF!+#REF!+#REF!+#REF!+#REF!+#REF!+#REF!</f>
        <v>#REF!</v>
      </c>
      <c r="MB18" s="5" t="e">
        <f t="shared" si="73"/>
        <v>#REF!</v>
      </c>
      <c r="MC18" s="5" t="e">
        <f>+#REF!+#REF!+#REF!+#REF!+#REF!+#REF!+#REF!+#REF!+#REF!+#REF!+#REF!+#REF!</f>
        <v>#REF!</v>
      </c>
      <c r="MD18" s="5" t="e">
        <f t="shared" si="74"/>
        <v>#REF!</v>
      </c>
      <c r="ME18" s="12" t="e">
        <f t="shared" si="75"/>
        <v>#REF!</v>
      </c>
      <c r="MF18" s="12"/>
      <c r="MG18" s="2615"/>
      <c r="MI18" s="139" t="e">
        <f t="shared" si="76"/>
        <v>#REF!</v>
      </c>
      <c r="MJ18" s="139" t="e">
        <f t="shared" si="77"/>
        <v>#REF!</v>
      </c>
      <c r="ML18" s="139" t="e">
        <f t="shared" si="78"/>
        <v>#REF!</v>
      </c>
      <c r="MM18" s="139" t="e">
        <f t="shared" si="79"/>
        <v>#REF!</v>
      </c>
      <c r="MO18" s="1">
        <f t="shared" si="12"/>
        <v>0</v>
      </c>
      <c r="MP18" s="1">
        <f t="shared" si="12"/>
        <v>0</v>
      </c>
      <c r="MQ18" s="1">
        <f t="shared" si="12"/>
        <v>0</v>
      </c>
      <c r="MR18" s="1">
        <f t="shared" si="12"/>
        <v>0</v>
      </c>
      <c r="MS18" s="1">
        <f t="shared" si="12"/>
        <v>0</v>
      </c>
      <c r="MT18" s="1">
        <f t="shared" si="12"/>
        <v>0</v>
      </c>
      <c r="MV18" s="1">
        <f t="shared" si="13"/>
        <v>0</v>
      </c>
      <c r="MW18" s="1">
        <f t="shared" si="13"/>
        <v>0</v>
      </c>
      <c r="MX18" s="1">
        <f t="shared" si="13"/>
        <v>0</v>
      </c>
      <c r="MY18" s="1">
        <f t="shared" si="13"/>
        <v>0</v>
      </c>
      <c r="MZ18" s="1">
        <f t="shared" si="13"/>
        <v>0</v>
      </c>
      <c r="NA18" s="1">
        <f t="shared" si="13"/>
        <v>0</v>
      </c>
    </row>
    <row r="19" spans="2:365" s="1" customFormat="1">
      <c r="B19" s="46">
        <v>10</v>
      </c>
      <c r="C19" s="4" t="e">
        <f t="shared" si="0"/>
        <v>#REF!</v>
      </c>
      <c r="D19" s="5" t="e">
        <f t="shared" si="1"/>
        <v>#REF!</v>
      </c>
      <c r="E19" s="61">
        <f t="shared" si="14"/>
        <v>0</v>
      </c>
      <c r="F19" s="52"/>
      <c r="G19" s="53"/>
      <c r="H19" s="53"/>
      <c r="I19" s="54"/>
      <c r="J19" s="2629"/>
      <c r="K19" s="9" t="e">
        <f t="shared" si="15"/>
        <v>#REF!</v>
      </c>
      <c r="L19" s="5" t="e">
        <f t="shared" si="2"/>
        <v>#REF!</v>
      </c>
      <c r="M19" s="64">
        <f t="shared" si="16"/>
        <v>0</v>
      </c>
      <c r="N19" s="28"/>
      <c r="O19" s="36" t="e">
        <f t="shared" si="17"/>
        <v>#REF!</v>
      </c>
      <c r="P19" s="27" t="e">
        <f t="shared" si="17"/>
        <v>#REF!</v>
      </c>
      <c r="Q19" s="53">
        <f t="shared" si="18"/>
        <v>0</v>
      </c>
      <c r="R19" s="28"/>
      <c r="S19" s="36" t="e">
        <f t="shared" si="19"/>
        <v>#REF!</v>
      </c>
      <c r="T19" s="27" t="e">
        <f t="shared" si="19"/>
        <v>#REF!</v>
      </c>
      <c r="U19" s="53">
        <f t="shared" si="3"/>
        <v>0</v>
      </c>
      <c r="V19" s="28"/>
      <c r="W19" s="36" t="e">
        <f t="shared" si="20"/>
        <v>#REF!</v>
      </c>
      <c r="X19" s="27" t="e">
        <f t="shared" si="4"/>
        <v>#REF!</v>
      </c>
      <c r="Y19" s="53">
        <f t="shared" si="21"/>
        <v>0</v>
      </c>
      <c r="Z19" s="28"/>
      <c r="AA19" s="26" t="e">
        <f t="shared" si="22"/>
        <v>#REF!</v>
      </c>
      <c r="AB19" s="27" t="e">
        <f t="shared" si="22"/>
        <v>#REF!</v>
      </c>
      <c r="AC19" s="53">
        <f t="shared" si="23"/>
        <v>0</v>
      </c>
      <c r="AD19" s="33"/>
      <c r="AE19" s="2629"/>
      <c r="AF19" s="9" t="e">
        <f>+#REF!+#REF!+#REF!+#REF!+#REF!+#REF!+#REF!+#REF!+#REF!+#REF!+#REF!+#REF!</f>
        <v>#REF!</v>
      </c>
      <c r="AG19" s="5" t="e">
        <f>+#REF!+#REF!+#REF!+#REF!+#REF!+#REF!+#REF!+#REF!+#REF!+#REF!+#REF!+#REF!</f>
        <v>#REF!</v>
      </c>
      <c r="AH19" s="61">
        <f t="shared" si="24"/>
        <v>0</v>
      </c>
      <c r="AI19" s="36" t="e">
        <f>+#REF!+#REF!+#REF!+#REF!+#REF!+#REF!+#REF!+#REF!+#REF!+#REF!+#REF!+#REF!</f>
        <v>#REF!</v>
      </c>
      <c r="AJ19" s="27" t="e">
        <f>+#REF!+#REF!+#REF!+#REF!+#REF!+#REF!+#REF!+#REF!+#REF!+#REF!+#REF!+#REF!</f>
        <v>#REF!</v>
      </c>
      <c r="AK19" s="61">
        <f t="shared" si="25"/>
        <v>0</v>
      </c>
      <c r="AL19" s="36" t="e">
        <f>+#REF!+#REF!+#REF!+#REF!+#REF!+#REF!+#REF!+#REF!+#REF!+#REF!+#REF!+#REF!</f>
        <v>#REF!</v>
      </c>
      <c r="AM19" s="27" t="e">
        <f>+#REF!+#REF!+#REF!+#REF!+#REF!+#REF!+#REF!+#REF!+#REF!+#REF!+#REF!+#REF!</f>
        <v>#REF!</v>
      </c>
      <c r="AN19" s="61">
        <f t="shared" si="26"/>
        <v>0</v>
      </c>
      <c r="AO19" s="36" t="e">
        <f>+#REF!+#REF!+#REF!+#REF!+#REF!+#REF!+#REF!+#REF!+#REF!+#REF!+#REF!+#REF!</f>
        <v>#REF!</v>
      </c>
      <c r="AP19" s="27" t="e">
        <f>+#REF!+#REF!+#REF!+#REF!+#REF!+#REF!+#REF!+#REF!+#REF!+#REF!+#REF!+#REF!</f>
        <v>#REF!</v>
      </c>
      <c r="AQ19" s="61">
        <f t="shared" si="27"/>
        <v>0</v>
      </c>
      <c r="AR19" s="36" t="e">
        <f>+#REF!+#REF!+#REF!+#REF!+#REF!+#REF!+#REF!+#REF!+#REF!+#REF!+#REF!+#REF!</f>
        <v>#REF!</v>
      </c>
      <c r="AS19" s="27" t="e">
        <f>+#REF!+#REF!+#REF!+#REF!+#REF!+#REF!+#REF!+#REF!+#REF!+#REF!+#REF!+#REF!</f>
        <v>#REF!</v>
      </c>
      <c r="AT19" s="61">
        <f t="shared" si="28"/>
        <v>0</v>
      </c>
      <c r="AU19" s="36" t="e">
        <f>+#REF!+#REF!+#REF!+#REF!+#REF!+#REF!+#REF!+#REF!+#REF!+#REF!+#REF!+#REF!</f>
        <v>#REF!</v>
      </c>
      <c r="AV19" s="27" t="e">
        <f>+#REF!+#REF!+#REF!+#REF!+#REF!+#REF!+#REF!+#REF!+#REF!+#REF!+#REF!+#REF!</f>
        <v>#REF!</v>
      </c>
      <c r="AW19" s="61">
        <f t="shared" si="29"/>
        <v>0</v>
      </c>
      <c r="AX19" s="36" t="e">
        <f>+#REF!+#REF!+#REF!+#REF!+#REF!+#REF!+#REF!+#REF!+#REF!+#REF!+#REF!+#REF!</f>
        <v>#REF!</v>
      </c>
      <c r="AY19" s="27" t="e">
        <f>+#REF!+#REF!+#REF!+#REF!+#REF!+#REF!+#REF!+#REF!+#REF!+#REF!+#REF!+#REF!</f>
        <v>#REF!</v>
      </c>
      <c r="AZ19" s="61">
        <f t="shared" si="30"/>
        <v>0</v>
      </c>
      <c r="BA19" s="36" t="e">
        <f>+#REF!+#REF!+#REF!+#REF!+#REF!+#REF!+#REF!+#REF!+#REF!+#REF!+#REF!+#REF!</f>
        <v>#REF!</v>
      </c>
      <c r="BB19" s="27" t="e">
        <f>+#REF!+#REF!+#REF!+#REF!+#REF!+#REF!+#REF!+#REF!+#REF!+#REF!+#REF!+#REF!</f>
        <v>#REF!</v>
      </c>
      <c r="BC19" s="61">
        <f t="shared" si="31"/>
        <v>0</v>
      </c>
      <c r="BD19" s="36" t="e">
        <f>+#REF!+#REF!+#REF!+#REF!+#REF!+#REF!+#REF!+#REF!+#REF!+#REF!+#REF!+#REF!</f>
        <v>#REF!</v>
      </c>
      <c r="BE19" s="27" t="e">
        <f>+#REF!+#REF!+#REF!+#REF!+#REF!+#REF!+#REF!+#REF!+#REF!+#REF!+#REF!+#REF!</f>
        <v>#REF!</v>
      </c>
      <c r="BF19" s="61">
        <f t="shared" si="32"/>
        <v>0</v>
      </c>
      <c r="BG19" s="36" t="e">
        <f>+#REF!+#REF!+#REF!+#REF!+#REF!+#REF!+#REF!+#REF!+#REF!+#REF!+#REF!+#REF!</f>
        <v>#REF!</v>
      </c>
      <c r="BH19" s="27" t="e">
        <f>+#REF!+#REF!+#REF!+#REF!+#REF!+#REF!+#REF!+#REF!+#REF!+#REF!+#REF!+#REF!</f>
        <v>#REF!</v>
      </c>
      <c r="BI19" s="61">
        <f t="shared" si="33"/>
        <v>0</v>
      </c>
      <c r="BJ19" s="36" t="e">
        <f>+#REF!+#REF!+#REF!+#REF!+#REF!+#REF!+#REF!+#REF!+#REF!+#REF!+#REF!+#REF!</f>
        <v>#REF!</v>
      </c>
      <c r="BK19" s="27" t="e">
        <f>+#REF!+#REF!+#REF!+#REF!+#REF!+#REF!+#REF!+#REF!+#REF!+#REF!+#REF!+#REF!</f>
        <v>#REF!</v>
      </c>
      <c r="BL19" s="61">
        <f t="shared" si="34"/>
        <v>0</v>
      </c>
      <c r="BM19" s="36" t="e">
        <f>+#REF!+#REF!+#REF!+#REF!+#REF!+#REF!+#REF!+#REF!+#REF!+#REF!+#REF!+#REF!</f>
        <v>#REF!</v>
      </c>
      <c r="BN19" s="27" t="e">
        <f>+#REF!+#REF!+#REF!+#REF!+#REF!+#REF!+#REF!+#REF!+#REF!+#REF!+#REF!+#REF!</f>
        <v>#REF!</v>
      </c>
      <c r="BO19" s="54">
        <f t="shared" si="35"/>
        <v>0</v>
      </c>
      <c r="BP19" s="26" t="e">
        <f>+#REF!+#REF!+#REF!+#REF!+#REF!+#REF!+#REF!+#REF!+#REF!+#REF!+#REF!+#REF!</f>
        <v>#REF!</v>
      </c>
      <c r="BQ19" s="27" t="e">
        <f>+#REF!+#REF!+#REF!+#REF!+#REF!+#REF!+#REF!+#REF!+#REF!+#REF!+#REF!+#REF!</f>
        <v>#REF!</v>
      </c>
      <c r="BR19" s="61">
        <f t="shared" si="36"/>
        <v>0</v>
      </c>
      <c r="BS19" s="26" t="e">
        <f>+#REF!+#REF!+#REF!+#REF!+#REF!+#REF!+#REF!+#REF!+#REF!+#REF!+#REF!+#REF!</f>
        <v>#REF!</v>
      </c>
      <c r="BT19" s="27" t="e">
        <f>+#REF!+#REF!+#REF!+#REF!+#REF!+#REF!+#REF!+#REF!+#REF!+#REF!+#REF!+#REF!</f>
        <v>#REF!</v>
      </c>
      <c r="BU19" s="61">
        <f t="shared" si="37"/>
        <v>0</v>
      </c>
      <c r="BV19" s="150"/>
      <c r="BW19" s="9" t="e">
        <f>+#REF!+#REF!+#REF!+#REF!+#REF!+#REF!+#REF!+#REF!+#REF!+#REF!+#REF!+#REF!</f>
        <v>#REF!</v>
      </c>
      <c r="BX19" s="5" t="e">
        <f>+#REF!+#REF!+#REF!+#REF!+#REF!+#REF!+#REF!+#REF!+#REF!+#REF!+#REF!+#REF!</f>
        <v>#REF!</v>
      </c>
      <c r="BY19" s="5" t="e">
        <f>+#REF!+#REF!+#REF!+#REF!+#REF!+#REF!+#REF!+#REF!+#REF!+#REF!+#REF!+#REF!</f>
        <v>#REF!</v>
      </c>
      <c r="BZ19" s="5" t="e">
        <f>+#REF!+#REF!+#REF!+#REF!+#REF!+#REF!+#REF!+#REF!+#REF!+#REF!+#REF!+#REF!</f>
        <v>#REF!</v>
      </c>
      <c r="CA19" s="5" t="e">
        <f>+#REF!+#REF!+#REF!+#REF!+#REF!+#REF!+#REF!+#REF!+#REF!+#REF!+#REF!+#REF!</f>
        <v>#REF!</v>
      </c>
      <c r="CB19" s="5" t="e">
        <f t="shared" si="38"/>
        <v>#REF!</v>
      </c>
      <c r="CC19" s="33"/>
      <c r="CD19" s="2683"/>
      <c r="CF19" s="4" t="e">
        <f t="shared" si="39"/>
        <v>#REF!</v>
      </c>
      <c r="CG19" s="5" t="e">
        <f t="shared" si="5"/>
        <v>#REF!</v>
      </c>
      <c r="CH19" s="5" t="e">
        <f t="shared" si="5"/>
        <v>#REF!</v>
      </c>
      <c r="CI19" s="5" t="e">
        <f t="shared" si="5"/>
        <v>#REF!</v>
      </c>
      <c r="CJ19" s="5" t="e">
        <f t="shared" si="5"/>
        <v>#REF!</v>
      </c>
      <c r="CK19" s="5" t="e">
        <f t="shared" si="5"/>
        <v>#REF!</v>
      </c>
      <c r="CL19" s="33" t="e">
        <f t="shared" si="40"/>
        <v>#REF!</v>
      </c>
      <c r="CM19" s="2685"/>
      <c r="CN19" s="9" t="e">
        <f>+#REF!+#REF!+#REF!+#REF!+#REF!+#REF!+#REF!+#REF!+#REF!+#REF!+#REF!+#REF!</f>
        <v>#REF!</v>
      </c>
      <c r="CO19" s="5" t="e">
        <f>+#REF!+#REF!+#REF!+#REF!+#REF!+#REF!+#REF!+#REF!+#REF!+#REF!+#REF!+#REF!</f>
        <v>#REF!</v>
      </c>
      <c r="CP19" s="5" t="e">
        <f>+#REF!+#REF!+#REF!+#REF!+#REF!+#REF!+#REF!+#REF!+#REF!+#REF!+#REF!+#REF!</f>
        <v>#REF!</v>
      </c>
      <c r="CQ19" s="5" t="e">
        <f>+#REF!+#REF!+#REF!+#REF!+#REF!+#REF!+#REF!+#REF!+#REF!+#REF!+#REF!+#REF!</f>
        <v>#REF!</v>
      </c>
      <c r="CR19" s="5" t="e">
        <f>+#REF!+#REF!+#REF!+#REF!+#REF!+#REF!+#REF!+#REF!+#REF!+#REF!+#REF!+#REF!</f>
        <v>#REF!</v>
      </c>
      <c r="CS19" s="5" t="e">
        <f>+#REF!+#REF!+#REF!+#REF!+#REF!+#REF!+#REF!+#REF!+#REF!+#REF!+#REF!+#REF!</f>
        <v>#REF!</v>
      </c>
      <c r="CT19" s="28" t="e">
        <f t="shared" si="41"/>
        <v>#REF!</v>
      </c>
      <c r="CU19" s="36" t="e">
        <f>+#REF!+#REF!+#REF!+#REF!+#REF!+#REF!+#REF!+#REF!+#REF!+#REF!+#REF!+#REF!</f>
        <v>#REF!</v>
      </c>
      <c r="CV19" s="27" t="e">
        <f>+#REF!+#REF!+#REF!+#REF!+#REF!+#REF!+#REF!+#REF!+#REF!+#REF!+#REF!+#REF!</f>
        <v>#REF!</v>
      </c>
      <c r="CW19" s="27" t="e">
        <f>+#REF!+#REF!+#REF!+#REF!+#REF!+#REF!+#REF!+#REF!+#REF!+#REF!+#REF!+#REF!</f>
        <v>#REF!</v>
      </c>
      <c r="CX19" s="27" t="e">
        <f>+#REF!+#REF!+#REF!+#REF!+#REF!+#REF!+#REF!+#REF!+#REF!+#REF!+#REF!+#REF!</f>
        <v>#REF!</v>
      </c>
      <c r="CY19" s="27" t="e">
        <f>+#REF!+#REF!+#REF!+#REF!+#REF!+#REF!+#REF!+#REF!+#REF!+#REF!+#REF!+#REF!</f>
        <v>#REF!</v>
      </c>
      <c r="CZ19" s="27" t="e">
        <f>+#REF!+#REF!+#REF!+#REF!+#REF!+#REF!+#REF!+#REF!+#REF!+#REF!+#REF!+#REF!</f>
        <v>#REF!</v>
      </c>
      <c r="DA19" s="28" t="e">
        <f t="shared" si="42"/>
        <v>#REF!</v>
      </c>
      <c r="DB19" s="36" t="e">
        <f>+#REF!+#REF!+#REF!+#REF!+#REF!+#REF!+#REF!+#REF!+#REF!+#REF!+#REF!+#REF!</f>
        <v>#REF!</v>
      </c>
      <c r="DC19" s="27" t="e">
        <f>+#REF!+#REF!+#REF!+#REF!+#REF!+#REF!+#REF!+#REF!+#REF!+#REF!+#REF!+#REF!</f>
        <v>#REF!</v>
      </c>
      <c r="DD19" s="27" t="e">
        <f>+#REF!+#REF!+#REF!+#REF!+#REF!+#REF!+#REF!+#REF!+#REF!+#REF!+#REF!+#REF!</f>
        <v>#REF!</v>
      </c>
      <c r="DE19" s="27" t="e">
        <f>+#REF!+#REF!+#REF!+#REF!+#REF!+#REF!+#REF!+#REF!+#REF!+#REF!+#REF!+#REF!</f>
        <v>#REF!</v>
      </c>
      <c r="DF19" s="27" t="e">
        <f>+#REF!+#REF!+#REF!+#REF!+#REF!+#REF!+#REF!+#REF!+#REF!+#REF!+#REF!+#REF!</f>
        <v>#REF!</v>
      </c>
      <c r="DG19" s="27" t="e">
        <f>+#REF!+#REF!+#REF!+#REF!+#REF!+#REF!+#REF!+#REF!+#REF!+#REF!+#REF!+#REF!</f>
        <v>#REF!</v>
      </c>
      <c r="DH19" s="28" t="e">
        <f t="shared" si="43"/>
        <v>#REF!</v>
      </c>
      <c r="DI19" s="36" t="e">
        <f>+#REF!+#REF!+#REF!+#REF!+#REF!+#REF!+#REF!+#REF!+#REF!+#REF!+#REF!+#REF!</f>
        <v>#REF!</v>
      </c>
      <c r="DJ19" s="27" t="e">
        <f>+#REF!+#REF!+#REF!+#REF!+#REF!+#REF!+#REF!+#REF!+#REF!+#REF!+#REF!+#REF!</f>
        <v>#REF!</v>
      </c>
      <c r="DK19" s="27" t="e">
        <f>+#REF!+#REF!+#REF!+#REF!+#REF!+#REF!+#REF!+#REF!+#REF!+#REF!+#REF!+#REF!</f>
        <v>#REF!</v>
      </c>
      <c r="DL19" s="27" t="e">
        <f>+#REF!+#REF!+#REF!+#REF!+#REF!+#REF!+#REF!+#REF!+#REF!+#REF!+#REF!+#REF!</f>
        <v>#REF!</v>
      </c>
      <c r="DM19" s="27" t="e">
        <f>+#REF!+#REF!+#REF!+#REF!+#REF!+#REF!+#REF!+#REF!+#REF!+#REF!+#REF!+#REF!</f>
        <v>#REF!</v>
      </c>
      <c r="DN19" s="27" t="e">
        <f>+#REF!+#REF!+#REF!+#REF!+#REF!+#REF!+#REF!+#REF!+#REF!+#REF!+#REF!+#REF!</f>
        <v>#REF!</v>
      </c>
      <c r="DO19" s="33" t="e">
        <f t="shared" si="44"/>
        <v>#REF!</v>
      </c>
      <c r="DP19" s="2685"/>
      <c r="DR19" s="4" t="e">
        <f t="shared" si="45"/>
        <v>#REF!</v>
      </c>
      <c r="DS19" s="5" t="e">
        <f t="shared" si="46"/>
        <v>#REF!</v>
      </c>
      <c r="DT19" s="5" t="e">
        <f t="shared" si="47"/>
        <v>#REF!</v>
      </c>
      <c r="DU19" s="12" t="e">
        <f t="shared" si="48"/>
        <v>#REF!</v>
      </c>
      <c r="DV19" s="33"/>
      <c r="DW19" s="2674"/>
      <c r="DX19" s="9" t="e">
        <f>+#REF!+#REF!+#REF!+#REF!+#REF!+#REF!+#REF!+#REF!+#REF!+#REF!+#REF!+#REF!</f>
        <v>#REF!</v>
      </c>
      <c r="DY19" s="5" t="e">
        <f>+#REF!+#REF!+#REF!+#REF!+#REF!+#REF!+#REF!+#REF!+#REF!+#REF!+#REF!+#REF!</f>
        <v>#REF!</v>
      </c>
      <c r="DZ19" s="5" t="e">
        <f>+#REF!+#REF!+#REF!+#REF!+#REF!+#REF!+#REF!+#REF!+#REF!+#REF!+#REF!+#REF!</f>
        <v>#REF!</v>
      </c>
      <c r="EA19" s="5" t="e">
        <f>+#REF!+#REF!+#REF!+#REF!+#REF!+#REF!+#REF!+#REF!+#REF!+#REF!+#REF!+#REF!</f>
        <v>#REF!</v>
      </c>
      <c r="EB19" s="5" t="e">
        <f>+#REF!+#REF!+#REF!+#REF!+#REF!+#REF!+#REF!+#REF!+#REF!+#REF!+#REF!+#REF!</f>
        <v>#REF!</v>
      </c>
      <c r="EC19" s="27" t="e">
        <f>+#REF!+#REF!+#REF!+#REF!+#REF!+#REF!+#REF!+#REF!+#REF!+#REF!+#REF!+#REF!</f>
        <v>#REF!</v>
      </c>
      <c r="ED19" s="28" t="e">
        <f t="shared" si="49"/>
        <v>#REF!</v>
      </c>
      <c r="EE19" s="36" t="e">
        <f>+#REF!+#REF!+#REF!+#REF!+#REF!+#REF!+#REF!+#REF!+#REF!+#REF!+#REF!+#REF!</f>
        <v>#REF!</v>
      </c>
      <c r="EF19" s="27" t="e">
        <f>+#REF!+#REF!+#REF!+#REF!+#REF!+#REF!+#REF!+#REF!+#REF!+#REF!+#REF!+#REF!</f>
        <v>#REF!</v>
      </c>
      <c r="EG19" s="27" t="e">
        <f>+#REF!+#REF!+#REF!+#REF!+#REF!+#REF!+#REF!+#REF!+#REF!+#REF!+#REF!+#REF!</f>
        <v>#REF!</v>
      </c>
      <c r="EH19" s="27" t="e">
        <f>+#REF!+#REF!+#REF!+#REF!+#REF!+#REF!+#REF!+#REF!+#REF!+#REF!+#REF!+#REF!</f>
        <v>#REF!</v>
      </c>
      <c r="EI19" s="27" t="e">
        <f>+#REF!+#REF!+#REF!+#REF!+#REF!+#REF!+#REF!+#REF!+#REF!+#REF!+#REF!+#REF!</f>
        <v>#REF!</v>
      </c>
      <c r="EJ19" s="27" t="e">
        <f>+#REF!+#REF!+#REF!+#REF!+#REF!+#REF!+#REF!+#REF!+#REF!+#REF!+#REF!+#REF!</f>
        <v>#REF!</v>
      </c>
      <c r="EK19" s="28" t="e">
        <f t="shared" si="50"/>
        <v>#REF!</v>
      </c>
      <c r="EL19" s="36" t="e">
        <f>+#REF!+#REF!+#REF!+#REF!+#REF!+#REF!+#REF!+#REF!+#REF!+#REF!+#REF!+#REF!</f>
        <v>#REF!</v>
      </c>
      <c r="EM19" s="27" t="e">
        <f>+#REF!+#REF!+#REF!+#REF!+#REF!+#REF!+#REF!+#REF!+#REF!+#REF!+#REF!+#REF!</f>
        <v>#REF!</v>
      </c>
      <c r="EN19" s="27" t="e">
        <f>+#REF!+#REF!+#REF!+#REF!+#REF!+#REF!+#REF!+#REF!+#REF!+#REF!+#REF!+#REF!</f>
        <v>#REF!</v>
      </c>
      <c r="EO19" s="27" t="e">
        <f>+#REF!+#REF!+#REF!+#REF!+#REF!+#REF!+#REF!+#REF!+#REF!+#REF!+#REF!+#REF!</f>
        <v>#REF!</v>
      </c>
      <c r="EP19" s="27" t="e">
        <f>+#REF!+#REF!+#REF!+#REF!+#REF!+#REF!+#REF!+#REF!+#REF!+#REF!+#REF!+#REF!</f>
        <v>#REF!</v>
      </c>
      <c r="EQ19" s="27" t="e">
        <f>+#REF!+#REF!+#REF!+#REF!+#REF!+#REF!+#REF!+#REF!+#REF!+#REF!+#REF!+#REF!</f>
        <v>#REF!</v>
      </c>
      <c r="ER19" s="33" t="e">
        <f t="shared" si="51"/>
        <v>#REF!</v>
      </c>
      <c r="ES19" s="2674"/>
      <c r="EU19" s="4" t="e">
        <f t="shared" si="52"/>
        <v>#REF!</v>
      </c>
      <c r="EV19" s="5" t="e">
        <f t="shared" si="53"/>
        <v>#REF!</v>
      </c>
      <c r="EW19" s="27" t="e">
        <f t="shared" si="54"/>
        <v>#REF!</v>
      </c>
      <c r="EX19" s="27" t="e">
        <f t="shared" si="55"/>
        <v>#REF!</v>
      </c>
      <c r="EY19" s="141"/>
      <c r="EZ19" s="141"/>
      <c r="FA19" s="33"/>
      <c r="FB19" s="2667"/>
      <c r="FC19" s="36" t="e">
        <f>+#REF!+#REF!+#REF!+#REF!+#REF!+#REF!+#REF!+#REF!+#REF!+#REF!+#REF!+#REF!</f>
        <v>#REF!</v>
      </c>
      <c r="FD19" s="27" t="e">
        <f>+#REF!+#REF!+#REF!+#REF!+#REF!+#REF!+#REF!+#REF!+#REF!+#REF!+#REF!+#REF!</f>
        <v>#REF!</v>
      </c>
      <c r="FE19" s="27"/>
      <c r="FF19" s="27"/>
      <c r="FG19" s="33" t="e">
        <f t="shared" si="56"/>
        <v>#REF!</v>
      </c>
      <c r="FH19" s="2667"/>
      <c r="FI19" s="36" t="e">
        <f>+#REF!+#REF!+#REF!+#REF!+#REF!+#REF!+#REF!+#REF!+#REF!+#REF!+#REF!+#REF!</f>
        <v>#REF!</v>
      </c>
      <c r="FJ19" s="27" t="e">
        <f>+#REF!+#REF!+#REF!+#REF!+#REF!+#REF!+#REF!+#REF!+#REF!+#REF!+#REF!+#REF!</f>
        <v>#REF!</v>
      </c>
      <c r="FK19" s="27" t="e">
        <f>+#REF!+#REF!+#REF!+#REF!+#REF!+#REF!+#REF!+#REF!+#REF!+#REF!+#REF!+#REF!</f>
        <v>#REF!</v>
      </c>
      <c r="FL19" s="27" t="e">
        <f>+#REF!+#REF!+#REF!+#REF!+#REF!+#REF!+#REF!+#REF!+#REF!+#REF!+#REF!+#REF!</f>
        <v>#REF!</v>
      </c>
      <c r="FM19" s="27" t="e">
        <f>+#REF!+#REF!+#REF!+#REF!+#REF!+#REF!+#REF!+#REF!+#REF!+#REF!+#REF!+#REF!</f>
        <v>#REF!</v>
      </c>
      <c r="FN19" s="27" t="e">
        <f>+#REF!+#REF!+#REF!+#REF!+#REF!+#REF!+#REF!+#REF!+#REF!+#REF!+#REF!+#REF!</f>
        <v>#REF!</v>
      </c>
      <c r="FO19" s="27" t="e">
        <f>+#REF!+#REF!+#REF!+#REF!+#REF!+#REF!+#REF!+#REF!+#REF!+#REF!+#REF!+#REF!</f>
        <v>#REF!</v>
      </c>
      <c r="FP19" s="27" t="e">
        <f>+#REF!+#REF!+#REF!+#REF!+#REF!+#REF!+#REF!+#REF!+#REF!+#REF!+#REF!+#REF!</f>
        <v>#REF!</v>
      </c>
      <c r="FQ19" s="28" t="e">
        <f t="shared" si="80"/>
        <v>#REF!</v>
      </c>
      <c r="FR19" s="26" t="e">
        <f>+#REF!+#REF!+#REF!+#REF!+#REF!+#REF!+#REF!+#REF!+#REF!+#REF!+#REF!+#REF!</f>
        <v>#REF!</v>
      </c>
      <c r="FS19" s="27" t="e">
        <f>+#REF!+#REF!+#REF!+#REF!+#REF!+#REF!+#REF!+#REF!+#REF!+#REF!+#REF!+#REF!</f>
        <v>#REF!</v>
      </c>
      <c r="FT19" s="27" t="e">
        <f>+#REF!+#REF!+#REF!+#REF!+#REF!+#REF!+#REF!+#REF!+#REF!+#REF!+#REF!+#REF!</f>
        <v>#REF!</v>
      </c>
      <c r="FU19" s="27" t="e">
        <f>+#REF!+#REF!+#REF!+#REF!+#REF!+#REF!+#REF!+#REF!+#REF!+#REF!+#REF!+#REF!</f>
        <v>#REF!</v>
      </c>
      <c r="FV19" s="27" t="e">
        <f>+#REF!+#REF!+#REF!+#REF!+#REF!+#REF!+#REF!+#REF!+#REF!+#REF!+#REF!+#REF!</f>
        <v>#REF!</v>
      </c>
      <c r="FW19" s="27" t="e">
        <f>+#REF!+#REF!+#REF!+#REF!+#REF!+#REF!+#REF!+#REF!+#REF!+#REF!+#REF!+#REF!</f>
        <v>#REF!</v>
      </c>
      <c r="FX19" s="27" t="e">
        <f>+#REF!+#REF!+#REF!+#REF!+#REF!+#REF!+#REF!+#REF!+#REF!+#REF!+#REF!+#REF!</f>
        <v>#REF!</v>
      </c>
      <c r="FY19" s="27" t="e">
        <f>+#REF!+#REF!+#REF!+#REF!+#REF!+#REF!+#REF!+#REF!+#REF!+#REF!+#REF!+#REF!</f>
        <v>#REF!</v>
      </c>
      <c r="FZ19" s="28" t="e">
        <f t="shared" si="57"/>
        <v>#REF!</v>
      </c>
      <c r="GA19" s="36" t="e">
        <f>+#REF!+#REF!+#REF!+#REF!+#REF!+#REF!+#REF!+#REF!+#REF!+#REF!+#REF!+#REF!</f>
        <v>#REF!</v>
      </c>
      <c r="GB19" s="27" t="e">
        <f>+#REF!+#REF!+#REF!+#REF!+#REF!+#REF!+#REF!+#REF!+#REF!+#REF!+#REF!+#REF!</f>
        <v>#REF!</v>
      </c>
      <c r="GC19" s="27" t="e">
        <f>+#REF!+#REF!+#REF!+#REF!+#REF!+#REF!+#REF!+#REF!+#REF!+#REF!+#REF!+#REF!</f>
        <v>#REF!</v>
      </c>
      <c r="GD19" s="27" t="e">
        <f>+#REF!+#REF!+#REF!+#REF!+#REF!+#REF!+#REF!+#REF!+#REF!+#REF!+#REF!+#REF!</f>
        <v>#REF!</v>
      </c>
      <c r="GE19" s="27" t="e">
        <f>+#REF!+#REF!+#REF!+#REF!+#REF!+#REF!+#REF!+#REF!+#REF!+#REF!+#REF!+#REF!</f>
        <v>#REF!</v>
      </c>
      <c r="GF19" s="27" t="e">
        <f>+#REF!+#REF!+#REF!+#REF!+#REF!+#REF!+#REF!+#REF!+#REF!+#REF!+#REF!+#REF!</f>
        <v>#REF!</v>
      </c>
      <c r="GG19" s="27" t="e">
        <f>+#REF!+#REF!+#REF!+#REF!+#REF!+#REF!+#REF!+#REF!+#REF!+#REF!+#REF!+#REF!</f>
        <v>#REF!</v>
      </c>
      <c r="GH19" s="27" t="e">
        <f>+#REF!+#REF!+#REF!+#REF!+#REF!+#REF!+#REF!+#REF!+#REF!+#REF!+#REF!+#REF!</f>
        <v>#REF!</v>
      </c>
      <c r="GI19" s="33" t="e">
        <f t="shared" si="58"/>
        <v>#REF!</v>
      </c>
      <c r="GJ19" s="2667"/>
      <c r="GL19" s="26" t="e">
        <f>+#REF!+#REF!+#REF!+#REF!+#REF!+#REF!+#REF!+#REF!+#REF!+#REF!+#REF!+#REF!</f>
        <v>#REF!</v>
      </c>
      <c r="GM19" s="36" t="e">
        <f>+#REF!+#REF!+#REF!+#REF!+#REF!+#REF!+#REF!+#REF!+#REF!+#REF!+#REF!+#REF!</f>
        <v>#REF!</v>
      </c>
      <c r="GN19" s="27" t="e">
        <f>+#REF!+#REF!+#REF!+#REF!+#REF!+#REF!+#REF!+#REF!+#REF!+#REF!+#REF!+#REF!</f>
        <v>#REF!</v>
      </c>
      <c r="GO19" s="27" t="e">
        <f t="shared" si="59"/>
        <v>#REF!</v>
      </c>
      <c r="GP19" s="33"/>
      <c r="GQ19" s="2669"/>
      <c r="GR19" s="69"/>
      <c r="GS19" s="70"/>
      <c r="GT19" s="70"/>
      <c r="GU19" s="70"/>
      <c r="GV19" s="70"/>
      <c r="GW19" s="70"/>
      <c r="GX19" s="70"/>
      <c r="GY19" s="71"/>
      <c r="GZ19" s="69"/>
      <c r="HA19" s="70"/>
      <c r="HB19" s="70"/>
      <c r="HC19" s="70"/>
      <c r="HD19" s="70"/>
      <c r="HE19" s="70"/>
      <c r="HF19" s="70"/>
      <c r="HG19" s="71"/>
      <c r="HH19" s="69"/>
      <c r="HI19" s="70"/>
      <c r="HJ19" s="70"/>
      <c r="HK19" s="70"/>
      <c r="HL19" s="70"/>
      <c r="HM19" s="70"/>
      <c r="HN19" s="70"/>
      <c r="HO19" s="70"/>
      <c r="HP19" s="33"/>
      <c r="HQ19" s="2669"/>
      <c r="HR19" s="36"/>
      <c r="HS19" s="53"/>
      <c r="HT19" s="53"/>
      <c r="HU19" s="53"/>
      <c r="HV19" s="61"/>
      <c r="HW19" s="36"/>
      <c r="HX19" s="53"/>
      <c r="HY19" s="53"/>
      <c r="HZ19" s="53"/>
      <c r="IA19" s="61"/>
      <c r="IB19" s="36"/>
      <c r="IC19" s="53"/>
      <c r="ID19" s="53"/>
      <c r="IE19" s="53"/>
      <c r="IF19" s="53"/>
      <c r="IG19" s="33"/>
      <c r="IH19" s="2669"/>
      <c r="IJ19" s="26" t="e">
        <f t="shared" si="60"/>
        <v>#REF!</v>
      </c>
      <c r="IK19" s="36" t="e">
        <f t="shared" si="6"/>
        <v>#REF!</v>
      </c>
      <c r="IL19" s="27" t="e">
        <f t="shared" si="6"/>
        <v>#REF!</v>
      </c>
      <c r="IM19" s="28" t="e">
        <f t="shared" si="61"/>
        <v>#REF!</v>
      </c>
      <c r="IN19" s="36"/>
      <c r="IO19" s="27"/>
      <c r="IP19" s="27"/>
      <c r="IQ19" s="33"/>
      <c r="IR19" s="55"/>
      <c r="IS19" s="21"/>
      <c r="IT19" s="2688"/>
      <c r="IU19" s="36" t="e">
        <f>+#REF!+#REF!+#REF!+#REF!+#REF!+#REF!+#REF!+#REF!+#REF!+#REF!+#REF!+#REF!</f>
        <v>#REF!</v>
      </c>
      <c r="IV19" s="36" t="e">
        <f>+#REF!+#REF!+#REF!+#REF!+#REF!+#REF!+#REF!+#REF!+#REF!+#REF!+#REF!+#REF!</f>
        <v>#REF!</v>
      </c>
      <c r="IW19" s="27" t="e">
        <f>+#REF!+#REF!+#REF!+#REF!+#REF!+#REF!+#REF!+#REF!+#REF!+#REF!+#REF!+#REF!</f>
        <v>#REF!</v>
      </c>
      <c r="IX19" s="27" t="e">
        <f>+#REF!+#REF!+#REF!+#REF!+#REF!+#REF!+#REF!+#REF!+#REF!+#REF!+#REF!+#REF!</f>
        <v>#REF!</v>
      </c>
      <c r="IY19" s="27" t="e">
        <f>+#REF!+#REF!+#REF!+#REF!+#REF!+#REF!+#REF!+#REF!+#REF!+#REF!+#REF!+#REF!</f>
        <v>#REF!</v>
      </c>
      <c r="IZ19" s="28" t="e">
        <f t="shared" si="62"/>
        <v>#REF!</v>
      </c>
      <c r="JA19" s="26" t="e">
        <f>+#REF!+#REF!+#REF!+#REF!+#REF!+#REF!+#REF!+#REF!+#REF!+#REF!+#REF!+#REF!</f>
        <v>#REF!</v>
      </c>
      <c r="JB19" s="36" t="e">
        <f>+#REF!+#REF!+#REF!+#REF!+#REF!+#REF!+#REF!+#REF!+#REF!+#REF!+#REF!+#REF!</f>
        <v>#REF!</v>
      </c>
      <c r="JC19" s="27" t="e">
        <f>+#REF!+#REF!+#REF!+#REF!+#REF!+#REF!+#REF!+#REF!+#REF!+#REF!+#REF!+#REF!</f>
        <v>#REF!</v>
      </c>
      <c r="JD19" s="27" t="e">
        <f>+#REF!+#REF!+#REF!+#REF!+#REF!+#REF!+#REF!+#REF!+#REF!+#REF!+#REF!+#REF!</f>
        <v>#REF!</v>
      </c>
      <c r="JE19" s="28" t="e">
        <f>+#REF!+#REF!+#REF!+#REF!+#REF!+#REF!+#REF!+#REF!+#REF!+#REF!+#REF!+#REF!</f>
        <v>#REF!</v>
      </c>
      <c r="JF19" s="26" t="e">
        <f>+#REF!+#REF!+#REF!+#REF!+#REF!+#REF!+#REF!+#REF!+#REF!+#REF!+#REF!+#REF!</f>
        <v>#REF!</v>
      </c>
      <c r="JG19" s="36" t="e">
        <f>+#REF!+#REF!+#REF!+#REF!+#REF!+#REF!+#REF!+#REF!+#REF!+#REF!+#REF!+#REF!</f>
        <v>#REF!</v>
      </c>
      <c r="JH19" s="27" t="e">
        <f>+#REF!+#REF!+#REF!+#REF!+#REF!+#REF!+#REF!+#REF!+#REF!+#REF!+#REF!+#REF!</f>
        <v>#REF!</v>
      </c>
      <c r="JI19" s="27" t="e">
        <f>+#REF!+#REF!+#REF!+#REF!+#REF!+#REF!+#REF!+#REF!+#REF!+#REF!+#REF!+#REF!</f>
        <v>#REF!</v>
      </c>
      <c r="JJ19" s="27" t="e">
        <f>+#REF!+#REF!+#REF!+#REF!+#REF!+#REF!+#REF!+#REF!+#REF!+#REF!+#REF!+#REF!</f>
        <v>#REF!</v>
      </c>
      <c r="JK19" s="28" t="e">
        <f t="shared" si="63"/>
        <v>#REF!</v>
      </c>
      <c r="JL19" s="26" t="e">
        <f>+#REF!+#REF!+#REF!+#REF!+#REF!+#REF!+#REF!+#REF!+#REF!+#REF!+#REF!+#REF!</f>
        <v>#REF!</v>
      </c>
      <c r="JM19" s="36" t="e">
        <f>+#REF!+#REF!+#REF!+#REF!+#REF!+#REF!+#REF!+#REF!+#REF!+#REF!+#REF!+#REF!</f>
        <v>#REF!</v>
      </c>
      <c r="JN19" s="27" t="e">
        <f>+#REF!+#REF!+#REF!+#REF!+#REF!+#REF!+#REF!+#REF!+#REF!+#REF!+#REF!+#REF!</f>
        <v>#REF!</v>
      </c>
      <c r="JO19" s="27" t="e">
        <f>+#REF!+#REF!+#REF!+#REF!+#REF!+#REF!+#REF!+#REF!+#REF!+#REF!+#REF!+#REF!</f>
        <v>#REF!</v>
      </c>
      <c r="JP19" s="28" t="e">
        <f>+#REF!+#REF!+#REF!+#REF!+#REF!+#REF!+#REF!+#REF!+#REF!+#REF!+#REF!+#REF!</f>
        <v>#REF!</v>
      </c>
      <c r="JQ19" s="275" t="e">
        <f t="shared" si="64"/>
        <v>#REF!</v>
      </c>
      <c r="JR19" s="36" t="e">
        <f>+#REF!+#REF!+#REF!+#REF!+#REF!+#REF!+#REF!+#REF!+#REF!+#REF!+#REF!+#REF!</f>
        <v>#REF!</v>
      </c>
      <c r="JS19" s="36" t="e">
        <f>+#REF!+#REF!+#REF!+#REF!+#REF!+#REF!+#REF!+#REF!+#REF!+#REF!+#REF!+#REF!</f>
        <v>#REF!</v>
      </c>
      <c r="JT19" s="27" t="e">
        <f>+#REF!+#REF!+#REF!+#REF!+#REF!+#REF!+#REF!+#REF!+#REF!+#REF!+#REF!+#REF!</f>
        <v>#REF!</v>
      </c>
      <c r="JU19" s="27" t="e">
        <f>+#REF!+#REF!+#REF!+#REF!+#REF!+#REF!+#REF!+#REF!+#REF!+#REF!+#REF!+#REF!</f>
        <v>#REF!</v>
      </c>
      <c r="JV19" s="27" t="e">
        <f>+#REF!+#REF!+#REF!+#REF!+#REF!+#REF!+#REF!+#REF!+#REF!+#REF!+#REF!+#REF!</f>
        <v>#REF!</v>
      </c>
      <c r="JW19" s="33" t="e">
        <f t="shared" si="65"/>
        <v>#REF!</v>
      </c>
      <c r="JX19" s="2688"/>
      <c r="JZ19" s="26" t="e">
        <f t="shared" si="66"/>
        <v>#REF!</v>
      </c>
      <c r="KA19" s="27" t="e">
        <f t="shared" si="67"/>
        <v>#REF!</v>
      </c>
      <c r="KB19" s="27" t="e">
        <f t="shared" si="68"/>
        <v>#REF!</v>
      </c>
      <c r="KC19" s="33" t="e">
        <f t="shared" si="69"/>
        <v>#REF!</v>
      </c>
      <c r="KD19" s="2621"/>
      <c r="KE19" s="36" t="e">
        <f t="shared" si="7"/>
        <v>#REF!</v>
      </c>
      <c r="KF19" s="36" t="e">
        <f t="shared" si="7"/>
        <v>#REF!</v>
      </c>
      <c r="KG19" s="27" t="e">
        <f t="shared" si="7"/>
        <v>#REF!</v>
      </c>
      <c r="KH19" s="28" t="e">
        <f t="shared" si="81"/>
        <v>#REF!</v>
      </c>
      <c r="KI19" s="36" t="e">
        <f t="shared" si="82"/>
        <v>#REF!</v>
      </c>
      <c r="KJ19" s="27" t="e">
        <f t="shared" si="8"/>
        <v>#REF!</v>
      </c>
      <c r="KK19" s="27" t="e">
        <f t="shared" si="8"/>
        <v>#REF!</v>
      </c>
      <c r="KL19" s="27" t="e">
        <f t="shared" si="8"/>
        <v>#REF!</v>
      </c>
      <c r="KM19" s="27" t="e">
        <f t="shared" si="8"/>
        <v>#REF!</v>
      </c>
      <c r="KN19" s="27" t="e">
        <f t="shared" si="8"/>
        <v>#REF!</v>
      </c>
      <c r="KO19" s="28" t="e">
        <f t="shared" si="83"/>
        <v>#REF!</v>
      </c>
      <c r="KP19" s="36" t="e">
        <f t="shared" si="9"/>
        <v>#REF!</v>
      </c>
      <c r="KQ19" s="27" t="e">
        <f t="shared" si="9"/>
        <v>#REF!</v>
      </c>
      <c r="KR19" s="27" t="e">
        <f t="shared" si="9"/>
        <v>#REF!</v>
      </c>
      <c r="KS19" s="27" t="e">
        <f t="shared" si="9"/>
        <v>#REF!</v>
      </c>
      <c r="KT19" s="27" t="e">
        <f t="shared" si="9"/>
        <v>#REF!</v>
      </c>
      <c r="KU19" s="27" t="e">
        <f t="shared" si="9"/>
        <v>#REF!</v>
      </c>
      <c r="KV19" s="28" t="e">
        <f t="shared" si="84"/>
        <v>#REF!</v>
      </c>
      <c r="KW19" s="36" t="e">
        <f t="shared" si="10"/>
        <v>#REF!</v>
      </c>
      <c r="KX19" s="27" t="e">
        <f t="shared" si="10"/>
        <v>#REF!</v>
      </c>
      <c r="KY19" s="27" t="e">
        <f t="shared" si="10"/>
        <v>#REF!</v>
      </c>
      <c r="KZ19" s="27" t="e">
        <f t="shared" si="10"/>
        <v>#REF!</v>
      </c>
      <c r="LA19" s="27" t="e">
        <f t="shared" si="10"/>
        <v>#REF!</v>
      </c>
      <c r="LB19" s="27" t="e">
        <f t="shared" si="10"/>
        <v>#REF!</v>
      </c>
      <c r="LC19" s="28" t="e">
        <f t="shared" si="85"/>
        <v>#REF!</v>
      </c>
      <c r="LD19" s="36"/>
      <c r="LE19" s="27"/>
      <c r="LF19" s="27"/>
      <c r="LG19" s="27"/>
      <c r="LH19" s="27"/>
      <c r="LI19" s="27"/>
      <c r="LJ19" s="28">
        <f t="shared" si="70"/>
        <v>0</v>
      </c>
      <c r="LK19" s="36" t="e">
        <f t="shared" si="11"/>
        <v>#REF!</v>
      </c>
      <c r="LL19" s="27" t="e">
        <f t="shared" si="11"/>
        <v>#REF!</v>
      </c>
      <c r="LM19" s="27" t="e">
        <f t="shared" si="11"/>
        <v>#REF!</v>
      </c>
      <c r="LN19" s="27" t="e">
        <f t="shared" si="11"/>
        <v>#REF!</v>
      </c>
      <c r="LO19" s="27" t="e">
        <f t="shared" si="11"/>
        <v>#REF!</v>
      </c>
      <c r="LP19" s="27" t="e">
        <f t="shared" si="11"/>
        <v>#REF!</v>
      </c>
      <c r="LQ19" s="33" t="e">
        <f t="shared" si="71"/>
        <v>#REF!</v>
      </c>
      <c r="LR19" s="2621"/>
      <c r="LT19" s="4" t="e">
        <f>+#REF!+#REF!+#REF!+#REF!+#REF!+#REF!+#REF!+#REF!+#REF!+#REF!+#REF!+#REF!</f>
        <v>#REF!</v>
      </c>
      <c r="LU19" s="5" t="e">
        <f>+#REF!+#REF!+#REF!+#REF!+#REF!+#REF!+#REF!+#REF!+#REF!+#REF!+#REF!+#REF!</f>
        <v>#REF!</v>
      </c>
      <c r="LV19" s="5" t="e">
        <f t="shared" si="72"/>
        <v>#REF!</v>
      </c>
      <c r="LW19" s="12" t="e">
        <f t="shared" si="86"/>
        <v>#REF!</v>
      </c>
      <c r="LX19" s="15"/>
      <c r="LY19" s="2615"/>
      <c r="MA19" s="4" t="e">
        <f>+#REF!+#REF!+#REF!+#REF!+#REF!+#REF!+#REF!+#REF!+#REF!+#REF!+#REF!+#REF!</f>
        <v>#REF!</v>
      </c>
      <c r="MB19" s="5" t="e">
        <f t="shared" si="73"/>
        <v>#REF!</v>
      </c>
      <c r="MC19" s="5" t="e">
        <f>+#REF!+#REF!+#REF!+#REF!+#REF!+#REF!+#REF!+#REF!+#REF!+#REF!+#REF!+#REF!</f>
        <v>#REF!</v>
      </c>
      <c r="MD19" s="5" t="e">
        <f t="shared" si="74"/>
        <v>#REF!</v>
      </c>
      <c r="ME19" s="12" t="e">
        <f>+ME18+MA19-MB19-MC19-MD19</f>
        <v>#REF!</v>
      </c>
      <c r="MF19" s="12"/>
      <c r="MG19" s="2615"/>
      <c r="MI19" s="139" t="e">
        <f t="shared" si="76"/>
        <v>#REF!</v>
      </c>
      <c r="MJ19" s="139" t="e">
        <f t="shared" si="77"/>
        <v>#REF!</v>
      </c>
      <c r="ML19" s="139" t="e">
        <f t="shared" si="78"/>
        <v>#REF!</v>
      </c>
      <c r="MM19" s="139" t="e">
        <f t="shared" si="79"/>
        <v>#REF!</v>
      </c>
      <c r="MO19" s="1">
        <f t="shared" si="12"/>
        <v>0</v>
      </c>
      <c r="MP19" s="1">
        <f t="shared" si="12"/>
        <v>0</v>
      </c>
      <c r="MQ19" s="1">
        <f t="shared" si="12"/>
        <v>0</v>
      </c>
      <c r="MR19" s="1">
        <f t="shared" si="12"/>
        <v>0</v>
      </c>
      <c r="MS19" s="1">
        <f t="shared" si="12"/>
        <v>0</v>
      </c>
      <c r="MT19" s="1">
        <f t="shared" si="12"/>
        <v>0</v>
      </c>
      <c r="MV19" s="1">
        <f t="shared" si="13"/>
        <v>0</v>
      </c>
      <c r="MW19" s="1">
        <f t="shared" si="13"/>
        <v>0</v>
      </c>
      <c r="MX19" s="1">
        <f t="shared" si="13"/>
        <v>0</v>
      </c>
      <c r="MY19" s="1">
        <f t="shared" si="13"/>
        <v>0</v>
      </c>
      <c r="MZ19" s="1">
        <f t="shared" si="13"/>
        <v>0</v>
      </c>
      <c r="NA19" s="1">
        <f t="shared" si="13"/>
        <v>0</v>
      </c>
    </row>
    <row r="20" spans="2:365" s="1" customFormat="1">
      <c r="B20" s="46">
        <v>11</v>
      </c>
      <c r="C20" s="4" t="e">
        <f t="shared" si="0"/>
        <v>#REF!</v>
      </c>
      <c r="D20" s="5" t="e">
        <f t="shared" si="1"/>
        <v>#REF!</v>
      </c>
      <c r="E20" s="61">
        <f t="shared" si="14"/>
        <v>0</v>
      </c>
      <c r="F20" s="52"/>
      <c r="G20" s="53"/>
      <c r="H20" s="53"/>
      <c r="I20" s="54"/>
      <c r="J20" s="2629"/>
      <c r="K20" s="9" t="e">
        <f t="shared" si="15"/>
        <v>#REF!</v>
      </c>
      <c r="L20" s="5" t="e">
        <f t="shared" si="2"/>
        <v>#REF!</v>
      </c>
      <c r="M20" s="64">
        <f t="shared" si="16"/>
        <v>0</v>
      </c>
      <c r="N20" s="28"/>
      <c r="O20" s="36" t="e">
        <f t="shared" si="17"/>
        <v>#REF!</v>
      </c>
      <c r="P20" s="27" t="e">
        <f t="shared" si="17"/>
        <v>#REF!</v>
      </c>
      <c r="Q20" s="53">
        <f t="shared" si="18"/>
        <v>0</v>
      </c>
      <c r="R20" s="28"/>
      <c r="S20" s="36" t="e">
        <f t="shared" si="19"/>
        <v>#REF!</v>
      </c>
      <c r="T20" s="27" t="e">
        <f t="shared" si="19"/>
        <v>#REF!</v>
      </c>
      <c r="U20" s="53">
        <f t="shared" si="3"/>
        <v>0</v>
      </c>
      <c r="V20" s="28"/>
      <c r="W20" s="36" t="e">
        <f t="shared" si="20"/>
        <v>#REF!</v>
      </c>
      <c r="X20" s="27" t="e">
        <f t="shared" si="4"/>
        <v>#REF!</v>
      </c>
      <c r="Y20" s="53">
        <f t="shared" si="21"/>
        <v>0</v>
      </c>
      <c r="Z20" s="28"/>
      <c r="AA20" s="26" t="e">
        <f t="shared" si="22"/>
        <v>#REF!</v>
      </c>
      <c r="AB20" s="27" t="e">
        <f t="shared" si="22"/>
        <v>#REF!</v>
      </c>
      <c r="AC20" s="53">
        <f t="shared" si="23"/>
        <v>0</v>
      </c>
      <c r="AD20" s="33"/>
      <c r="AE20" s="2629"/>
      <c r="AF20" s="9" t="e">
        <f>+#REF!+#REF!+#REF!+#REF!+#REF!+#REF!+#REF!+#REF!+#REF!+#REF!+#REF!+#REF!</f>
        <v>#REF!</v>
      </c>
      <c r="AG20" s="5" t="e">
        <f>+#REF!+#REF!+#REF!+#REF!+#REF!+#REF!+#REF!+#REF!+#REF!+#REF!+#REF!+#REF!</f>
        <v>#REF!</v>
      </c>
      <c r="AH20" s="61">
        <f t="shared" si="24"/>
        <v>0</v>
      </c>
      <c r="AI20" s="36" t="e">
        <f>+#REF!+#REF!+#REF!+#REF!+#REF!+#REF!+#REF!+#REF!+#REF!+#REF!+#REF!+#REF!</f>
        <v>#REF!</v>
      </c>
      <c r="AJ20" s="27" t="e">
        <f>+#REF!+#REF!+#REF!+#REF!+#REF!+#REF!+#REF!+#REF!+#REF!+#REF!+#REF!+#REF!</f>
        <v>#REF!</v>
      </c>
      <c r="AK20" s="61">
        <f t="shared" si="25"/>
        <v>0</v>
      </c>
      <c r="AL20" s="36" t="e">
        <f>+#REF!+#REF!+#REF!+#REF!+#REF!+#REF!+#REF!+#REF!+#REF!+#REF!+#REF!+#REF!</f>
        <v>#REF!</v>
      </c>
      <c r="AM20" s="27" t="e">
        <f>+#REF!+#REF!+#REF!+#REF!+#REF!+#REF!+#REF!+#REF!+#REF!+#REF!+#REF!+#REF!</f>
        <v>#REF!</v>
      </c>
      <c r="AN20" s="61">
        <f t="shared" si="26"/>
        <v>0</v>
      </c>
      <c r="AO20" s="36" t="e">
        <f>+#REF!+#REF!+#REF!+#REF!+#REF!+#REF!+#REF!+#REF!+#REF!+#REF!+#REF!+#REF!</f>
        <v>#REF!</v>
      </c>
      <c r="AP20" s="27" t="e">
        <f>+#REF!+#REF!+#REF!+#REF!+#REF!+#REF!+#REF!+#REF!+#REF!+#REF!+#REF!+#REF!</f>
        <v>#REF!</v>
      </c>
      <c r="AQ20" s="61">
        <f t="shared" si="27"/>
        <v>0</v>
      </c>
      <c r="AR20" s="36" t="e">
        <f>+#REF!+#REF!+#REF!+#REF!+#REF!+#REF!+#REF!+#REF!+#REF!+#REF!+#REF!+#REF!</f>
        <v>#REF!</v>
      </c>
      <c r="AS20" s="27" t="e">
        <f>+#REF!+#REF!+#REF!+#REF!+#REF!+#REF!+#REF!+#REF!+#REF!+#REF!+#REF!+#REF!</f>
        <v>#REF!</v>
      </c>
      <c r="AT20" s="61">
        <f t="shared" si="28"/>
        <v>0</v>
      </c>
      <c r="AU20" s="36" t="e">
        <f>+#REF!+#REF!+#REF!+#REF!+#REF!+#REF!+#REF!+#REF!+#REF!+#REF!+#REF!+#REF!</f>
        <v>#REF!</v>
      </c>
      <c r="AV20" s="27" t="e">
        <f>+#REF!+#REF!+#REF!+#REF!+#REF!+#REF!+#REF!+#REF!+#REF!+#REF!+#REF!+#REF!</f>
        <v>#REF!</v>
      </c>
      <c r="AW20" s="61">
        <f t="shared" si="29"/>
        <v>0</v>
      </c>
      <c r="AX20" s="36" t="e">
        <f>+#REF!+#REF!+#REF!+#REF!+#REF!+#REF!+#REF!+#REF!+#REF!+#REF!+#REF!+#REF!</f>
        <v>#REF!</v>
      </c>
      <c r="AY20" s="27" t="e">
        <f>+#REF!+#REF!+#REF!+#REF!+#REF!+#REF!+#REF!+#REF!+#REF!+#REF!+#REF!+#REF!</f>
        <v>#REF!</v>
      </c>
      <c r="AZ20" s="61">
        <f t="shared" si="30"/>
        <v>0</v>
      </c>
      <c r="BA20" s="36" t="e">
        <f>+#REF!+#REF!+#REF!+#REF!+#REF!+#REF!+#REF!+#REF!+#REF!+#REF!+#REF!+#REF!</f>
        <v>#REF!</v>
      </c>
      <c r="BB20" s="27" t="e">
        <f>+#REF!+#REF!+#REF!+#REF!+#REF!+#REF!+#REF!+#REF!+#REF!+#REF!+#REF!+#REF!</f>
        <v>#REF!</v>
      </c>
      <c r="BC20" s="61">
        <f t="shared" si="31"/>
        <v>0</v>
      </c>
      <c r="BD20" s="36" t="e">
        <f>+#REF!+#REF!+#REF!+#REF!+#REF!+#REF!+#REF!+#REF!+#REF!+#REF!+#REF!+#REF!</f>
        <v>#REF!</v>
      </c>
      <c r="BE20" s="27" t="e">
        <f>+#REF!+#REF!+#REF!+#REF!+#REF!+#REF!+#REF!+#REF!+#REF!+#REF!+#REF!+#REF!</f>
        <v>#REF!</v>
      </c>
      <c r="BF20" s="61">
        <f t="shared" si="32"/>
        <v>0</v>
      </c>
      <c r="BG20" s="36" t="e">
        <f>+#REF!+#REF!+#REF!+#REF!+#REF!+#REF!+#REF!+#REF!+#REF!+#REF!+#REF!+#REF!</f>
        <v>#REF!</v>
      </c>
      <c r="BH20" s="27" t="e">
        <f>+#REF!+#REF!+#REF!+#REF!+#REF!+#REF!+#REF!+#REF!+#REF!+#REF!+#REF!+#REF!</f>
        <v>#REF!</v>
      </c>
      <c r="BI20" s="61">
        <f t="shared" si="33"/>
        <v>0</v>
      </c>
      <c r="BJ20" s="36" t="e">
        <f>+#REF!+#REF!+#REF!+#REF!+#REF!+#REF!+#REF!+#REF!+#REF!+#REF!+#REF!+#REF!</f>
        <v>#REF!</v>
      </c>
      <c r="BK20" s="27" t="e">
        <f>+#REF!+#REF!+#REF!+#REF!+#REF!+#REF!+#REF!+#REF!+#REF!+#REF!+#REF!+#REF!</f>
        <v>#REF!</v>
      </c>
      <c r="BL20" s="61">
        <f t="shared" si="34"/>
        <v>0</v>
      </c>
      <c r="BM20" s="36" t="e">
        <f>+#REF!+#REF!+#REF!+#REF!+#REF!+#REF!+#REF!+#REF!+#REF!+#REF!+#REF!+#REF!</f>
        <v>#REF!</v>
      </c>
      <c r="BN20" s="27" t="e">
        <f>+#REF!+#REF!+#REF!+#REF!+#REF!+#REF!+#REF!+#REF!+#REF!+#REF!+#REF!+#REF!</f>
        <v>#REF!</v>
      </c>
      <c r="BO20" s="54">
        <f t="shared" si="35"/>
        <v>0</v>
      </c>
      <c r="BP20" s="26" t="e">
        <f>+#REF!+#REF!+#REF!+#REF!+#REF!+#REF!+#REF!+#REF!+#REF!+#REF!+#REF!+#REF!</f>
        <v>#REF!</v>
      </c>
      <c r="BQ20" s="27" t="e">
        <f>+#REF!+#REF!+#REF!+#REF!+#REF!+#REF!+#REF!+#REF!+#REF!+#REF!+#REF!+#REF!</f>
        <v>#REF!</v>
      </c>
      <c r="BR20" s="61">
        <f t="shared" si="36"/>
        <v>0</v>
      </c>
      <c r="BS20" s="26" t="e">
        <f>+#REF!+#REF!+#REF!+#REF!+#REF!+#REF!+#REF!+#REF!+#REF!+#REF!+#REF!+#REF!</f>
        <v>#REF!</v>
      </c>
      <c r="BT20" s="27" t="e">
        <f>+#REF!+#REF!+#REF!+#REF!+#REF!+#REF!+#REF!+#REF!+#REF!+#REF!+#REF!+#REF!</f>
        <v>#REF!</v>
      </c>
      <c r="BU20" s="61">
        <f t="shared" si="37"/>
        <v>0</v>
      </c>
      <c r="BV20" s="150"/>
      <c r="BW20" s="9" t="e">
        <f>+#REF!+#REF!+#REF!+#REF!+#REF!+#REF!+#REF!+#REF!+#REF!+#REF!+#REF!+#REF!</f>
        <v>#REF!</v>
      </c>
      <c r="BX20" s="5" t="e">
        <f>+#REF!+#REF!+#REF!+#REF!+#REF!+#REF!+#REF!+#REF!+#REF!+#REF!+#REF!+#REF!</f>
        <v>#REF!</v>
      </c>
      <c r="BY20" s="5" t="e">
        <f>+#REF!+#REF!+#REF!+#REF!+#REF!+#REF!+#REF!+#REF!+#REF!+#REF!+#REF!+#REF!</f>
        <v>#REF!</v>
      </c>
      <c r="BZ20" s="5" t="e">
        <f>+#REF!+#REF!+#REF!+#REF!+#REF!+#REF!+#REF!+#REF!+#REF!+#REF!+#REF!+#REF!</f>
        <v>#REF!</v>
      </c>
      <c r="CA20" s="5" t="e">
        <f>+#REF!+#REF!+#REF!+#REF!+#REF!+#REF!+#REF!+#REF!+#REF!+#REF!+#REF!+#REF!</f>
        <v>#REF!</v>
      </c>
      <c r="CB20" s="5" t="e">
        <f t="shared" si="38"/>
        <v>#REF!</v>
      </c>
      <c r="CC20" s="33"/>
      <c r="CD20" s="2683"/>
      <c r="CF20" s="4" t="e">
        <f t="shared" si="39"/>
        <v>#REF!</v>
      </c>
      <c r="CG20" s="5" t="e">
        <f t="shared" si="5"/>
        <v>#REF!</v>
      </c>
      <c r="CH20" s="5" t="e">
        <f t="shared" si="5"/>
        <v>#REF!</v>
      </c>
      <c r="CI20" s="5" t="e">
        <f t="shared" si="5"/>
        <v>#REF!</v>
      </c>
      <c r="CJ20" s="5" t="e">
        <f t="shared" si="5"/>
        <v>#REF!</v>
      </c>
      <c r="CK20" s="5" t="e">
        <f t="shared" si="5"/>
        <v>#REF!</v>
      </c>
      <c r="CL20" s="33" t="e">
        <f t="shared" si="40"/>
        <v>#REF!</v>
      </c>
      <c r="CM20" s="2685"/>
      <c r="CN20" s="9" t="e">
        <f>+#REF!+#REF!+#REF!+#REF!+#REF!+#REF!+#REF!+#REF!+#REF!+#REF!+#REF!+#REF!</f>
        <v>#REF!</v>
      </c>
      <c r="CO20" s="5" t="e">
        <f>+#REF!+#REF!+#REF!+#REF!+#REF!+#REF!+#REF!+#REF!+#REF!+#REF!+#REF!+#REF!</f>
        <v>#REF!</v>
      </c>
      <c r="CP20" s="5" t="e">
        <f>+#REF!+#REF!+#REF!+#REF!+#REF!+#REF!+#REF!+#REF!+#REF!+#REF!+#REF!+#REF!</f>
        <v>#REF!</v>
      </c>
      <c r="CQ20" s="5" t="e">
        <f>+#REF!+#REF!+#REF!+#REF!+#REF!+#REF!+#REF!+#REF!+#REF!+#REF!+#REF!+#REF!</f>
        <v>#REF!</v>
      </c>
      <c r="CR20" s="5" t="e">
        <f>+#REF!+#REF!+#REF!+#REF!+#REF!+#REF!+#REF!+#REF!+#REF!+#REF!+#REF!+#REF!</f>
        <v>#REF!</v>
      </c>
      <c r="CS20" s="5" t="e">
        <f>+#REF!+#REF!+#REF!+#REF!+#REF!+#REF!+#REF!+#REF!+#REF!+#REF!+#REF!+#REF!</f>
        <v>#REF!</v>
      </c>
      <c r="CT20" s="28" t="e">
        <f t="shared" si="41"/>
        <v>#REF!</v>
      </c>
      <c r="CU20" s="36" t="e">
        <f>+#REF!+#REF!+#REF!+#REF!+#REF!+#REF!+#REF!+#REF!+#REF!+#REF!+#REF!+#REF!</f>
        <v>#REF!</v>
      </c>
      <c r="CV20" s="27" t="e">
        <f>+#REF!+#REF!+#REF!+#REF!+#REF!+#REF!+#REF!+#REF!+#REF!+#REF!+#REF!+#REF!</f>
        <v>#REF!</v>
      </c>
      <c r="CW20" s="27" t="e">
        <f>+#REF!+#REF!+#REF!+#REF!+#REF!+#REF!+#REF!+#REF!+#REF!+#REF!+#REF!+#REF!</f>
        <v>#REF!</v>
      </c>
      <c r="CX20" s="27" t="e">
        <f>+#REF!+#REF!+#REF!+#REF!+#REF!+#REF!+#REF!+#REF!+#REF!+#REF!+#REF!+#REF!</f>
        <v>#REF!</v>
      </c>
      <c r="CY20" s="27" t="e">
        <f>+#REF!+#REF!+#REF!+#REF!+#REF!+#REF!+#REF!+#REF!+#REF!+#REF!+#REF!+#REF!</f>
        <v>#REF!</v>
      </c>
      <c r="CZ20" s="27" t="e">
        <f>+#REF!+#REF!+#REF!+#REF!+#REF!+#REF!+#REF!+#REF!+#REF!+#REF!+#REF!+#REF!</f>
        <v>#REF!</v>
      </c>
      <c r="DA20" s="28" t="e">
        <f t="shared" si="42"/>
        <v>#REF!</v>
      </c>
      <c r="DB20" s="36" t="e">
        <f>+#REF!+#REF!+#REF!+#REF!+#REF!+#REF!+#REF!+#REF!+#REF!+#REF!+#REF!+#REF!</f>
        <v>#REF!</v>
      </c>
      <c r="DC20" s="27" t="e">
        <f>+#REF!+#REF!+#REF!+#REF!+#REF!+#REF!+#REF!+#REF!+#REF!+#REF!+#REF!+#REF!</f>
        <v>#REF!</v>
      </c>
      <c r="DD20" s="27" t="e">
        <f>+#REF!+#REF!+#REF!+#REF!+#REF!+#REF!+#REF!+#REF!+#REF!+#REF!+#REF!+#REF!</f>
        <v>#REF!</v>
      </c>
      <c r="DE20" s="27" t="e">
        <f>+#REF!+#REF!+#REF!+#REF!+#REF!+#REF!+#REF!+#REF!+#REF!+#REF!+#REF!+#REF!</f>
        <v>#REF!</v>
      </c>
      <c r="DF20" s="27" t="e">
        <f>+#REF!+#REF!+#REF!+#REF!+#REF!+#REF!+#REF!+#REF!+#REF!+#REF!+#REF!+#REF!</f>
        <v>#REF!</v>
      </c>
      <c r="DG20" s="27" t="e">
        <f>+#REF!+#REF!+#REF!+#REF!+#REF!+#REF!+#REF!+#REF!+#REF!+#REF!+#REF!+#REF!</f>
        <v>#REF!</v>
      </c>
      <c r="DH20" s="28" t="e">
        <f t="shared" si="43"/>
        <v>#REF!</v>
      </c>
      <c r="DI20" s="36" t="e">
        <f>+#REF!+#REF!+#REF!+#REF!+#REF!+#REF!+#REF!+#REF!+#REF!+#REF!+#REF!+#REF!</f>
        <v>#REF!</v>
      </c>
      <c r="DJ20" s="27" t="e">
        <f>+#REF!+#REF!+#REF!+#REF!+#REF!+#REF!+#REF!+#REF!+#REF!+#REF!+#REF!+#REF!</f>
        <v>#REF!</v>
      </c>
      <c r="DK20" s="27" t="e">
        <f>+#REF!+#REF!+#REF!+#REF!+#REF!+#REF!+#REF!+#REF!+#REF!+#REF!+#REF!+#REF!</f>
        <v>#REF!</v>
      </c>
      <c r="DL20" s="27" t="e">
        <f>+#REF!+#REF!+#REF!+#REF!+#REF!+#REF!+#REF!+#REF!+#REF!+#REF!+#REF!+#REF!</f>
        <v>#REF!</v>
      </c>
      <c r="DM20" s="27" t="e">
        <f>+#REF!+#REF!+#REF!+#REF!+#REF!+#REF!+#REF!+#REF!+#REF!+#REF!+#REF!+#REF!</f>
        <v>#REF!</v>
      </c>
      <c r="DN20" s="27" t="e">
        <f>+#REF!+#REF!+#REF!+#REF!+#REF!+#REF!+#REF!+#REF!+#REF!+#REF!+#REF!+#REF!</f>
        <v>#REF!</v>
      </c>
      <c r="DO20" s="33" t="e">
        <f t="shared" si="44"/>
        <v>#REF!</v>
      </c>
      <c r="DP20" s="2685"/>
      <c r="DR20" s="4" t="e">
        <f t="shared" si="45"/>
        <v>#REF!</v>
      </c>
      <c r="DS20" s="5" t="e">
        <f t="shared" si="46"/>
        <v>#REF!</v>
      </c>
      <c r="DT20" s="5" t="e">
        <f t="shared" si="47"/>
        <v>#REF!</v>
      </c>
      <c r="DU20" s="12" t="e">
        <f t="shared" si="48"/>
        <v>#REF!</v>
      </c>
      <c r="DV20" s="33"/>
      <c r="DW20" s="2674"/>
      <c r="DX20" s="9" t="e">
        <f>+#REF!+#REF!+#REF!+#REF!+#REF!+#REF!+#REF!+#REF!+#REF!+#REF!+#REF!+#REF!</f>
        <v>#REF!</v>
      </c>
      <c r="DY20" s="5" t="e">
        <f>+#REF!+#REF!+#REF!+#REF!+#REF!+#REF!+#REF!+#REF!+#REF!+#REF!+#REF!+#REF!</f>
        <v>#REF!</v>
      </c>
      <c r="DZ20" s="5" t="e">
        <f>+#REF!+#REF!+#REF!+#REF!+#REF!+#REF!+#REF!+#REF!+#REF!+#REF!+#REF!+#REF!</f>
        <v>#REF!</v>
      </c>
      <c r="EA20" s="5" t="e">
        <f>+#REF!+#REF!+#REF!+#REF!+#REF!+#REF!+#REF!+#REF!+#REF!+#REF!+#REF!+#REF!</f>
        <v>#REF!</v>
      </c>
      <c r="EB20" s="5" t="e">
        <f>+#REF!+#REF!+#REF!+#REF!+#REF!+#REF!+#REF!+#REF!+#REF!+#REF!+#REF!+#REF!</f>
        <v>#REF!</v>
      </c>
      <c r="EC20" s="27" t="e">
        <f>+#REF!+#REF!+#REF!+#REF!+#REF!+#REF!+#REF!+#REF!+#REF!+#REF!+#REF!+#REF!</f>
        <v>#REF!</v>
      </c>
      <c r="ED20" s="28" t="e">
        <f t="shared" si="49"/>
        <v>#REF!</v>
      </c>
      <c r="EE20" s="36" t="e">
        <f>+#REF!+#REF!+#REF!+#REF!+#REF!+#REF!+#REF!+#REF!+#REF!+#REF!+#REF!+#REF!</f>
        <v>#REF!</v>
      </c>
      <c r="EF20" s="27" t="e">
        <f>+#REF!+#REF!+#REF!+#REF!+#REF!+#REF!+#REF!+#REF!+#REF!+#REF!+#REF!+#REF!</f>
        <v>#REF!</v>
      </c>
      <c r="EG20" s="27" t="e">
        <f>+#REF!+#REF!+#REF!+#REF!+#REF!+#REF!+#REF!+#REF!+#REF!+#REF!+#REF!+#REF!</f>
        <v>#REF!</v>
      </c>
      <c r="EH20" s="27" t="e">
        <f>+#REF!+#REF!+#REF!+#REF!+#REF!+#REF!+#REF!+#REF!+#REF!+#REF!+#REF!+#REF!</f>
        <v>#REF!</v>
      </c>
      <c r="EI20" s="27" t="e">
        <f>+#REF!+#REF!+#REF!+#REF!+#REF!+#REF!+#REF!+#REF!+#REF!+#REF!+#REF!+#REF!</f>
        <v>#REF!</v>
      </c>
      <c r="EJ20" s="27" t="e">
        <f>+#REF!+#REF!+#REF!+#REF!+#REF!+#REF!+#REF!+#REF!+#REF!+#REF!+#REF!+#REF!</f>
        <v>#REF!</v>
      </c>
      <c r="EK20" s="28" t="e">
        <f t="shared" si="50"/>
        <v>#REF!</v>
      </c>
      <c r="EL20" s="36" t="e">
        <f>+#REF!+#REF!+#REF!+#REF!+#REF!+#REF!+#REF!+#REF!+#REF!+#REF!+#REF!+#REF!</f>
        <v>#REF!</v>
      </c>
      <c r="EM20" s="27" t="e">
        <f>+#REF!+#REF!+#REF!+#REF!+#REF!+#REF!+#REF!+#REF!+#REF!+#REF!+#REF!+#REF!</f>
        <v>#REF!</v>
      </c>
      <c r="EN20" s="27" t="e">
        <f>+#REF!+#REF!+#REF!+#REF!+#REF!+#REF!+#REF!+#REF!+#REF!+#REF!+#REF!+#REF!</f>
        <v>#REF!</v>
      </c>
      <c r="EO20" s="27" t="e">
        <f>+#REF!+#REF!+#REF!+#REF!+#REF!+#REF!+#REF!+#REF!+#REF!+#REF!+#REF!+#REF!</f>
        <v>#REF!</v>
      </c>
      <c r="EP20" s="27" t="e">
        <f>+#REF!+#REF!+#REF!+#REF!+#REF!+#REF!+#REF!+#REF!+#REF!+#REF!+#REF!+#REF!</f>
        <v>#REF!</v>
      </c>
      <c r="EQ20" s="27" t="e">
        <f>+#REF!+#REF!+#REF!+#REF!+#REF!+#REF!+#REF!+#REF!+#REF!+#REF!+#REF!+#REF!</f>
        <v>#REF!</v>
      </c>
      <c r="ER20" s="33" t="e">
        <f t="shared" si="51"/>
        <v>#REF!</v>
      </c>
      <c r="ES20" s="2674"/>
      <c r="EU20" s="4" t="e">
        <f t="shared" si="52"/>
        <v>#REF!</v>
      </c>
      <c r="EV20" s="5" t="e">
        <f t="shared" si="53"/>
        <v>#REF!</v>
      </c>
      <c r="EW20" s="27" t="e">
        <f t="shared" si="54"/>
        <v>#REF!</v>
      </c>
      <c r="EX20" s="27" t="e">
        <f t="shared" si="55"/>
        <v>#REF!</v>
      </c>
      <c r="EY20" s="141"/>
      <c r="EZ20" s="141"/>
      <c r="FA20" s="33"/>
      <c r="FB20" s="2667"/>
      <c r="FC20" s="36" t="e">
        <f>+#REF!+#REF!+#REF!+#REF!+#REF!+#REF!+#REF!+#REF!+#REF!+#REF!+#REF!+#REF!</f>
        <v>#REF!</v>
      </c>
      <c r="FD20" s="27" t="e">
        <f>+#REF!+#REF!+#REF!+#REF!+#REF!+#REF!+#REF!+#REF!+#REF!+#REF!+#REF!+#REF!</f>
        <v>#REF!</v>
      </c>
      <c r="FE20" s="27"/>
      <c r="FF20" s="27"/>
      <c r="FG20" s="33" t="e">
        <f t="shared" si="56"/>
        <v>#REF!</v>
      </c>
      <c r="FH20" s="2667"/>
      <c r="FI20" s="36" t="e">
        <f>+#REF!+#REF!+#REF!+#REF!+#REF!+#REF!+#REF!+#REF!+#REF!+#REF!+#REF!+#REF!</f>
        <v>#REF!</v>
      </c>
      <c r="FJ20" s="27" t="e">
        <f>+#REF!+#REF!+#REF!+#REF!+#REF!+#REF!+#REF!+#REF!+#REF!+#REF!+#REF!+#REF!</f>
        <v>#REF!</v>
      </c>
      <c r="FK20" s="27" t="e">
        <f>+#REF!+#REF!+#REF!+#REF!+#REF!+#REF!+#REF!+#REF!+#REF!+#REF!+#REF!+#REF!</f>
        <v>#REF!</v>
      </c>
      <c r="FL20" s="27" t="e">
        <f>+#REF!+#REF!+#REF!+#REF!+#REF!+#REF!+#REF!+#REF!+#REF!+#REF!+#REF!+#REF!</f>
        <v>#REF!</v>
      </c>
      <c r="FM20" s="27" t="e">
        <f>+#REF!+#REF!+#REF!+#REF!+#REF!+#REF!+#REF!+#REF!+#REF!+#REF!+#REF!+#REF!</f>
        <v>#REF!</v>
      </c>
      <c r="FN20" s="27" t="e">
        <f>+#REF!+#REF!+#REF!+#REF!+#REF!+#REF!+#REF!+#REF!+#REF!+#REF!+#REF!+#REF!</f>
        <v>#REF!</v>
      </c>
      <c r="FO20" s="27" t="e">
        <f>+#REF!+#REF!+#REF!+#REF!+#REF!+#REF!+#REF!+#REF!+#REF!+#REF!+#REF!+#REF!</f>
        <v>#REF!</v>
      </c>
      <c r="FP20" s="27" t="e">
        <f>+#REF!+#REF!+#REF!+#REF!+#REF!+#REF!+#REF!+#REF!+#REF!+#REF!+#REF!+#REF!</f>
        <v>#REF!</v>
      </c>
      <c r="FQ20" s="28" t="e">
        <f t="shared" si="80"/>
        <v>#REF!</v>
      </c>
      <c r="FR20" s="26" t="e">
        <f>+#REF!+#REF!+#REF!+#REF!+#REF!+#REF!+#REF!+#REF!+#REF!+#REF!+#REF!+#REF!</f>
        <v>#REF!</v>
      </c>
      <c r="FS20" s="27" t="e">
        <f>+#REF!+#REF!+#REF!+#REF!+#REF!+#REF!+#REF!+#REF!+#REF!+#REF!+#REF!+#REF!</f>
        <v>#REF!</v>
      </c>
      <c r="FT20" s="27" t="e">
        <f>+#REF!+#REF!+#REF!+#REF!+#REF!+#REF!+#REF!+#REF!+#REF!+#REF!+#REF!+#REF!</f>
        <v>#REF!</v>
      </c>
      <c r="FU20" s="27" t="e">
        <f>+#REF!+#REF!+#REF!+#REF!+#REF!+#REF!+#REF!+#REF!+#REF!+#REF!+#REF!+#REF!</f>
        <v>#REF!</v>
      </c>
      <c r="FV20" s="27" t="e">
        <f>+#REF!+#REF!+#REF!+#REF!+#REF!+#REF!+#REF!+#REF!+#REF!+#REF!+#REF!+#REF!</f>
        <v>#REF!</v>
      </c>
      <c r="FW20" s="27" t="e">
        <f>+#REF!+#REF!+#REF!+#REF!+#REF!+#REF!+#REF!+#REF!+#REF!+#REF!+#REF!+#REF!</f>
        <v>#REF!</v>
      </c>
      <c r="FX20" s="27" t="e">
        <f>+#REF!+#REF!+#REF!+#REF!+#REF!+#REF!+#REF!+#REF!+#REF!+#REF!+#REF!+#REF!</f>
        <v>#REF!</v>
      </c>
      <c r="FY20" s="27" t="e">
        <f>+#REF!+#REF!+#REF!+#REF!+#REF!+#REF!+#REF!+#REF!+#REF!+#REF!+#REF!+#REF!</f>
        <v>#REF!</v>
      </c>
      <c r="FZ20" s="28" t="e">
        <f t="shared" si="57"/>
        <v>#REF!</v>
      </c>
      <c r="GA20" s="36" t="e">
        <f>+#REF!+#REF!+#REF!+#REF!+#REF!+#REF!+#REF!+#REF!+#REF!+#REF!+#REF!+#REF!</f>
        <v>#REF!</v>
      </c>
      <c r="GB20" s="27" t="e">
        <f>+#REF!+#REF!+#REF!+#REF!+#REF!+#REF!+#REF!+#REF!+#REF!+#REF!+#REF!+#REF!</f>
        <v>#REF!</v>
      </c>
      <c r="GC20" s="27" t="e">
        <f>+#REF!+#REF!+#REF!+#REF!+#REF!+#REF!+#REF!+#REF!+#REF!+#REF!+#REF!+#REF!</f>
        <v>#REF!</v>
      </c>
      <c r="GD20" s="27" t="e">
        <f>+#REF!+#REF!+#REF!+#REF!+#REF!+#REF!+#REF!+#REF!+#REF!+#REF!+#REF!+#REF!</f>
        <v>#REF!</v>
      </c>
      <c r="GE20" s="27" t="e">
        <f>+#REF!+#REF!+#REF!+#REF!+#REF!+#REF!+#REF!+#REF!+#REF!+#REF!+#REF!+#REF!</f>
        <v>#REF!</v>
      </c>
      <c r="GF20" s="27" t="e">
        <f>+#REF!+#REF!+#REF!+#REF!+#REF!+#REF!+#REF!+#REF!+#REF!+#REF!+#REF!+#REF!</f>
        <v>#REF!</v>
      </c>
      <c r="GG20" s="27" t="e">
        <f>+#REF!+#REF!+#REF!+#REF!+#REF!+#REF!+#REF!+#REF!+#REF!+#REF!+#REF!+#REF!</f>
        <v>#REF!</v>
      </c>
      <c r="GH20" s="27" t="e">
        <f>+#REF!+#REF!+#REF!+#REF!+#REF!+#REF!+#REF!+#REF!+#REF!+#REF!+#REF!+#REF!</f>
        <v>#REF!</v>
      </c>
      <c r="GI20" s="33" t="e">
        <f t="shared" si="58"/>
        <v>#REF!</v>
      </c>
      <c r="GJ20" s="2667"/>
      <c r="GL20" s="26" t="e">
        <f>+#REF!+#REF!+#REF!+#REF!+#REF!+#REF!+#REF!+#REF!+#REF!+#REF!+#REF!+#REF!</f>
        <v>#REF!</v>
      </c>
      <c r="GM20" s="36" t="e">
        <f>+#REF!+#REF!+#REF!+#REF!+#REF!+#REF!+#REF!+#REF!+#REF!+#REF!+#REF!+#REF!</f>
        <v>#REF!</v>
      </c>
      <c r="GN20" s="27" t="e">
        <f>+#REF!+#REF!+#REF!+#REF!+#REF!+#REF!+#REF!+#REF!+#REF!+#REF!+#REF!+#REF!</f>
        <v>#REF!</v>
      </c>
      <c r="GO20" s="27" t="e">
        <f t="shared" si="59"/>
        <v>#REF!</v>
      </c>
      <c r="GP20" s="33"/>
      <c r="GQ20" s="2669"/>
      <c r="GR20" s="69"/>
      <c r="GS20" s="70"/>
      <c r="GT20" s="70"/>
      <c r="GU20" s="70"/>
      <c r="GV20" s="70"/>
      <c r="GW20" s="70"/>
      <c r="GX20" s="70"/>
      <c r="GY20" s="71"/>
      <c r="GZ20" s="69"/>
      <c r="HA20" s="70"/>
      <c r="HB20" s="70"/>
      <c r="HC20" s="70"/>
      <c r="HD20" s="70"/>
      <c r="HE20" s="70"/>
      <c r="HF20" s="70"/>
      <c r="HG20" s="71"/>
      <c r="HH20" s="69"/>
      <c r="HI20" s="70"/>
      <c r="HJ20" s="70"/>
      <c r="HK20" s="70"/>
      <c r="HL20" s="70"/>
      <c r="HM20" s="70"/>
      <c r="HN20" s="70"/>
      <c r="HO20" s="70"/>
      <c r="HP20" s="33"/>
      <c r="HQ20" s="2669"/>
      <c r="HR20" s="36"/>
      <c r="HS20" s="53"/>
      <c r="HT20" s="53"/>
      <c r="HU20" s="53"/>
      <c r="HV20" s="61"/>
      <c r="HW20" s="36"/>
      <c r="HX20" s="53"/>
      <c r="HY20" s="53"/>
      <c r="HZ20" s="53"/>
      <c r="IA20" s="61"/>
      <c r="IB20" s="36"/>
      <c r="IC20" s="53"/>
      <c r="ID20" s="53"/>
      <c r="IE20" s="53"/>
      <c r="IF20" s="53"/>
      <c r="IG20" s="33"/>
      <c r="IH20" s="2669"/>
      <c r="IJ20" s="26" t="e">
        <f t="shared" si="60"/>
        <v>#REF!</v>
      </c>
      <c r="IK20" s="36" t="e">
        <f t="shared" si="6"/>
        <v>#REF!</v>
      </c>
      <c r="IL20" s="27" t="e">
        <f t="shared" si="6"/>
        <v>#REF!</v>
      </c>
      <c r="IM20" s="28" t="e">
        <f t="shared" si="61"/>
        <v>#REF!</v>
      </c>
      <c r="IN20" s="36"/>
      <c r="IO20" s="27"/>
      <c r="IP20" s="27"/>
      <c r="IQ20" s="33"/>
      <c r="IR20" s="55"/>
      <c r="IS20" s="21"/>
      <c r="IT20" s="2688"/>
      <c r="IU20" s="36" t="e">
        <f>+#REF!+#REF!+#REF!+#REF!+#REF!+#REF!+#REF!+#REF!+#REF!+#REF!+#REF!+#REF!</f>
        <v>#REF!</v>
      </c>
      <c r="IV20" s="36" t="e">
        <f>+#REF!+#REF!+#REF!+#REF!+#REF!+#REF!+#REF!+#REF!+#REF!+#REF!+#REF!+#REF!</f>
        <v>#REF!</v>
      </c>
      <c r="IW20" s="27" t="e">
        <f>+#REF!+#REF!+#REF!+#REF!+#REF!+#REF!+#REF!+#REF!+#REF!+#REF!+#REF!+#REF!</f>
        <v>#REF!</v>
      </c>
      <c r="IX20" s="27" t="e">
        <f>+#REF!+#REF!+#REF!+#REF!+#REF!+#REF!+#REF!+#REF!+#REF!+#REF!+#REF!+#REF!</f>
        <v>#REF!</v>
      </c>
      <c r="IY20" s="27" t="e">
        <f>+#REF!+#REF!+#REF!+#REF!+#REF!+#REF!+#REF!+#REF!+#REF!+#REF!+#REF!+#REF!</f>
        <v>#REF!</v>
      </c>
      <c r="IZ20" s="28" t="e">
        <f t="shared" si="62"/>
        <v>#REF!</v>
      </c>
      <c r="JA20" s="26" t="e">
        <f>+#REF!+#REF!+#REF!+#REF!+#REF!+#REF!+#REF!+#REF!+#REF!+#REF!+#REF!+#REF!</f>
        <v>#REF!</v>
      </c>
      <c r="JB20" s="36" t="e">
        <f>+#REF!+#REF!+#REF!+#REF!+#REF!+#REF!+#REF!+#REF!+#REF!+#REF!+#REF!+#REF!</f>
        <v>#REF!</v>
      </c>
      <c r="JC20" s="27" t="e">
        <f>+#REF!+#REF!+#REF!+#REF!+#REF!+#REF!+#REF!+#REF!+#REF!+#REF!+#REF!+#REF!</f>
        <v>#REF!</v>
      </c>
      <c r="JD20" s="27" t="e">
        <f>+#REF!+#REF!+#REF!+#REF!+#REF!+#REF!+#REF!+#REF!+#REF!+#REF!+#REF!+#REF!</f>
        <v>#REF!</v>
      </c>
      <c r="JE20" s="28" t="e">
        <f>+#REF!+#REF!+#REF!+#REF!+#REF!+#REF!+#REF!+#REF!+#REF!+#REF!+#REF!+#REF!</f>
        <v>#REF!</v>
      </c>
      <c r="JF20" s="26" t="e">
        <f>+#REF!+#REF!+#REF!+#REF!+#REF!+#REF!+#REF!+#REF!+#REF!+#REF!+#REF!+#REF!</f>
        <v>#REF!</v>
      </c>
      <c r="JG20" s="36" t="e">
        <f>+#REF!+#REF!+#REF!+#REF!+#REF!+#REF!+#REF!+#REF!+#REF!+#REF!+#REF!+#REF!</f>
        <v>#REF!</v>
      </c>
      <c r="JH20" s="27" t="e">
        <f>+#REF!+#REF!+#REF!+#REF!+#REF!+#REF!+#REF!+#REF!+#REF!+#REF!+#REF!+#REF!</f>
        <v>#REF!</v>
      </c>
      <c r="JI20" s="27" t="e">
        <f>+#REF!+#REF!+#REF!+#REF!+#REF!+#REF!+#REF!+#REF!+#REF!+#REF!+#REF!+#REF!</f>
        <v>#REF!</v>
      </c>
      <c r="JJ20" s="27" t="e">
        <f>+#REF!+#REF!+#REF!+#REF!+#REF!+#REF!+#REF!+#REF!+#REF!+#REF!+#REF!+#REF!</f>
        <v>#REF!</v>
      </c>
      <c r="JK20" s="28" t="e">
        <f t="shared" si="63"/>
        <v>#REF!</v>
      </c>
      <c r="JL20" s="26" t="e">
        <f>+#REF!+#REF!+#REF!+#REF!+#REF!+#REF!+#REF!+#REF!+#REF!+#REF!+#REF!+#REF!</f>
        <v>#REF!</v>
      </c>
      <c r="JM20" s="36" t="e">
        <f>+#REF!+#REF!+#REF!+#REF!+#REF!+#REF!+#REF!+#REF!+#REF!+#REF!+#REF!+#REF!</f>
        <v>#REF!</v>
      </c>
      <c r="JN20" s="27" t="e">
        <f>+#REF!+#REF!+#REF!+#REF!+#REF!+#REF!+#REF!+#REF!+#REF!+#REF!+#REF!+#REF!</f>
        <v>#REF!</v>
      </c>
      <c r="JO20" s="27" t="e">
        <f>+#REF!+#REF!+#REF!+#REF!+#REF!+#REF!+#REF!+#REF!+#REF!+#REF!+#REF!+#REF!</f>
        <v>#REF!</v>
      </c>
      <c r="JP20" s="28" t="e">
        <f>+#REF!+#REF!+#REF!+#REF!+#REF!+#REF!+#REF!+#REF!+#REF!+#REF!+#REF!+#REF!</f>
        <v>#REF!</v>
      </c>
      <c r="JQ20" s="275" t="e">
        <f t="shared" si="64"/>
        <v>#REF!</v>
      </c>
      <c r="JR20" s="36" t="e">
        <f>+#REF!+#REF!+#REF!+#REF!+#REF!+#REF!+#REF!+#REF!+#REF!+#REF!+#REF!+#REF!</f>
        <v>#REF!</v>
      </c>
      <c r="JS20" s="36" t="e">
        <f>+#REF!+#REF!+#REF!+#REF!+#REF!+#REF!+#REF!+#REF!+#REF!+#REF!+#REF!+#REF!</f>
        <v>#REF!</v>
      </c>
      <c r="JT20" s="27" t="e">
        <f>+#REF!+#REF!+#REF!+#REF!+#REF!+#REF!+#REF!+#REF!+#REF!+#REF!+#REF!+#REF!</f>
        <v>#REF!</v>
      </c>
      <c r="JU20" s="27" t="e">
        <f>+#REF!+#REF!+#REF!+#REF!+#REF!+#REF!+#REF!+#REF!+#REF!+#REF!+#REF!+#REF!</f>
        <v>#REF!</v>
      </c>
      <c r="JV20" s="27" t="e">
        <f>+#REF!+#REF!+#REF!+#REF!+#REF!+#REF!+#REF!+#REF!+#REF!+#REF!+#REF!+#REF!</f>
        <v>#REF!</v>
      </c>
      <c r="JW20" s="33" t="e">
        <f t="shared" si="65"/>
        <v>#REF!</v>
      </c>
      <c r="JX20" s="2688"/>
      <c r="JZ20" s="26" t="e">
        <f t="shared" si="66"/>
        <v>#REF!</v>
      </c>
      <c r="KA20" s="27" t="e">
        <f t="shared" si="67"/>
        <v>#REF!</v>
      </c>
      <c r="KB20" s="27" t="e">
        <f t="shared" si="68"/>
        <v>#REF!</v>
      </c>
      <c r="KC20" s="33" t="e">
        <f t="shared" si="69"/>
        <v>#REF!</v>
      </c>
      <c r="KD20" s="2621"/>
      <c r="KE20" s="36" t="e">
        <f t="shared" si="7"/>
        <v>#REF!</v>
      </c>
      <c r="KF20" s="36" t="e">
        <f t="shared" si="7"/>
        <v>#REF!</v>
      </c>
      <c r="KG20" s="27" t="e">
        <f t="shared" si="7"/>
        <v>#REF!</v>
      </c>
      <c r="KH20" s="28" t="e">
        <f t="shared" si="81"/>
        <v>#REF!</v>
      </c>
      <c r="KI20" s="36" t="e">
        <f t="shared" si="82"/>
        <v>#REF!</v>
      </c>
      <c r="KJ20" s="27" t="e">
        <f t="shared" si="8"/>
        <v>#REF!</v>
      </c>
      <c r="KK20" s="27" t="e">
        <f t="shared" si="8"/>
        <v>#REF!</v>
      </c>
      <c r="KL20" s="27" t="e">
        <f t="shared" si="8"/>
        <v>#REF!</v>
      </c>
      <c r="KM20" s="27" t="e">
        <f t="shared" si="8"/>
        <v>#REF!</v>
      </c>
      <c r="KN20" s="27" t="e">
        <f t="shared" si="8"/>
        <v>#REF!</v>
      </c>
      <c r="KO20" s="28" t="e">
        <f t="shared" si="83"/>
        <v>#REF!</v>
      </c>
      <c r="KP20" s="36" t="e">
        <f t="shared" si="9"/>
        <v>#REF!</v>
      </c>
      <c r="KQ20" s="27" t="e">
        <f t="shared" si="9"/>
        <v>#REF!</v>
      </c>
      <c r="KR20" s="27" t="e">
        <f t="shared" si="9"/>
        <v>#REF!</v>
      </c>
      <c r="KS20" s="27" t="e">
        <f t="shared" si="9"/>
        <v>#REF!</v>
      </c>
      <c r="KT20" s="27" t="e">
        <f t="shared" si="9"/>
        <v>#REF!</v>
      </c>
      <c r="KU20" s="27" t="e">
        <f t="shared" si="9"/>
        <v>#REF!</v>
      </c>
      <c r="KV20" s="28" t="e">
        <f t="shared" si="84"/>
        <v>#REF!</v>
      </c>
      <c r="KW20" s="36" t="e">
        <f t="shared" si="10"/>
        <v>#REF!</v>
      </c>
      <c r="KX20" s="27" t="e">
        <f t="shared" si="10"/>
        <v>#REF!</v>
      </c>
      <c r="KY20" s="27" t="e">
        <f t="shared" si="10"/>
        <v>#REF!</v>
      </c>
      <c r="KZ20" s="27" t="e">
        <f t="shared" si="10"/>
        <v>#REF!</v>
      </c>
      <c r="LA20" s="27" t="e">
        <f t="shared" si="10"/>
        <v>#REF!</v>
      </c>
      <c r="LB20" s="27" t="e">
        <f t="shared" si="10"/>
        <v>#REF!</v>
      </c>
      <c r="LC20" s="28" t="e">
        <f t="shared" si="85"/>
        <v>#REF!</v>
      </c>
      <c r="LD20" s="36"/>
      <c r="LE20" s="27"/>
      <c r="LF20" s="27"/>
      <c r="LG20" s="27"/>
      <c r="LH20" s="27"/>
      <c r="LI20" s="27"/>
      <c r="LJ20" s="28">
        <f t="shared" si="70"/>
        <v>0</v>
      </c>
      <c r="LK20" s="36" t="e">
        <f t="shared" si="11"/>
        <v>#REF!</v>
      </c>
      <c r="LL20" s="27" t="e">
        <f t="shared" si="11"/>
        <v>#REF!</v>
      </c>
      <c r="LM20" s="27" t="e">
        <f t="shared" si="11"/>
        <v>#REF!</v>
      </c>
      <c r="LN20" s="27" t="e">
        <f t="shared" si="11"/>
        <v>#REF!</v>
      </c>
      <c r="LO20" s="27" t="e">
        <f t="shared" si="11"/>
        <v>#REF!</v>
      </c>
      <c r="LP20" s="27" t="e">
        <f t="shared" si="11"/>
        <v>#REF!</v>
      </c>
      <c r="LQ20" s="33" t="e">
        <f t="shared" si="71"/>
        <v>#REF!</v>
      </c>
      <c r="LR20" s="2621"/>
      <c r="LT20" s="4" t="e">
        <f>+#REF!+#REF!+#REF!+#REF!+#REF!+#REF!+#REF!+#REF!+#REF!+#REF!+#REF!+#REF!</f>
        <v>#REF!</v>
      </c>
      <c r="LU20" s="5" t="e">
        <f>+#REF!+#REF!+#REF!+#REF!+#REF!+#REF!+#REF!+#REF!+#REF!+#REF!+#REF!+#REF!</f>
        <v>#REF!</v>
      </c>
      <c r="LV20" s="5" t="e">
        <f t="shared" si="72"/>
        <v>#REF!</v>
      </c>
      <c r="LW20" s="12" t="e">
        <f t="shared" si="86"/>
        <v>#REF!</v>
      </c>
      <c r="LX20" s="15"/>
      <c r="LY20" s="2615"/>
      <c r="MA20" s="4" t="e">
        <f>+#REF!+#REF!+#REF!+#REF!+#REF!+#REF!+#REF!+#REF!+#REF!+#REF!+#REF!+#REF!</f>
        <v>#REF!</v>
      </c>
      <c r="MB20" s="5" t="e">
        <f t="shared" si="73"/>
        <v>#REF!</v>
      </c>
      <c r="MC20" s="5" t="e">
        <f>+#REF!+#REF!+#REF!+#REF!+#REF!+#REF!+#REF!+#REF!+#REF!+#REF!+#REF!+#REF!</f>
        <v>#REF!</v>
      </c>
      <c r="MD20" s="5" t="e">
        <f t="shared" si="74"/>
        <v>#REF!</v>
      </c>
      <c r="ME20" s="12" t="e">
        <f>+ME19+MA20-MB20-MC20-MD20</f>
        <v>#REF!</v>
      </c>
      <c r="MF20" s="12"/>
      <c r="MG20" s="2615"/>
      <c r="MI20" s="139" t="e">
        <f t="shared" si="76"/>
        <v>#REF!</v>
      </c>
      <c r="MJ20" s="139" t="e">
        <f t="shared" si="77"/>
        <v>#REF!</v>
      </c>
      <c r="ML20" s="139" t="e">
        <f t="shared" si="78"/>
        <v>#REF!</v>
      </c>
      <c r="MM20" s="139" t="e">
        <f t="shared" si="79"/>
        <v>#REF!</v>
      </c>
      <c r="MO20" s="1">
        <f t="shared" si="12"/>
        <v>0</v>
      </c>
      <c r="MP20" s="1">
        <f t="shared" si="12"/>
        <v>0</v>
      </c>
      <c r="MQ20" s="1">
        <f t="shared" si="12"/>
        <v>0</v>
      </c>
      <c r="MR20" s="1">
        <f t="shared" si="12"/>
        <v>0</v>
      </c>
      <c r="MS20" s="1">
        <f t="shared" si="12"/>
        <v>0</v>
      </c>
      <c r="MT20" s="1">
        <f t="shared" si="12"/>
        <v>0</v>
      </c>
      <c r="MV20" s="1">
        <f t="shared" si="13"/>
        <v>0</v>
      </c>
      <c r="MW20" s="1">
        <f t="shared" si="13"/>
        <v>0</v>
      </c>
      <c r="MX20" s="1">
        <f t="shared" si="13"/>
        <v>0</v>
      </c>
      <c r="MY20" s="1">
        <f t="shared" si="13"/>
        <v>0</v>
      </c>
      <c r="MZ20" s="1">
        <f t="shared" si="13"/>
        <v>0</v>
      </c>
      <c r="NA20" s="1">
        <f t="shared" si="13"/>
        <v>0</v>
      </c>
    </row>
    <row r="21" spans="2:365" s="1" customFormat="1">
      <c r="B21" s="46">
        <v>12</v>
      </c>
      <c r="C21" s="4" t="e">
        <f t="shared" si="0"/>
        <v>#REF!</v>
      </c>
      <c r="D21" s="5" t="e">
        <f t="shared" si="1"/>
        <v>#REF!</v>
      </c>
      <c r="E21" s="61">
        <f t="shared" si="14"/>
        <v>0</v>
      </c>
      <c r="F21" s="52"/>
      <c r="G21" s="53"/>
      <c r="H21" s="53"/>
      <c r="I21" s="54"/>
      <c r="J21" s="2629"/>
      <c r="K21" s="9" t="e">
        <f t="shared" si="15"/>
        <v>#REF!</v>
      </c>
      <c r="L21" s="5" t="e">
        <f t="shared" si="2"/>
        <v>#REF!</v>
      </c>
      <c r="M21" s="64">
        <f t="shared" si="16"/>
        <v>0</v>
      </c>
      <c r="N21" s="28"/>
      <c r="O21" s="36" t="e">
        <f t="shared" si="17"/>
        <v>#REF!</v>
      </c>
      <c r="P21" s="27" t="e">
        <f t="shared" si="17"/>
        <v>#REF!</v>
      </c>
      <c r="Q21" s="53">
        <f t="shared" si="18"/>
        <v>0</v>
      </c>
      <c r="R21" s="28"/>
      <c r="S21" s="36" t="e">
        <f t="shared" si="19"/>
        <v>#REF!</v>
      </c>
      <c r="T21" s="27" t="e">
        <f t="shared" si="19"/>
        <v>#REF!</v>
      </c>
      <c r="U21" s="53">
        <f t="shared" si="3"/>
        <v>0</v>
      </c>
      <c r="V21" s="28"/>
      <c r="W21" s="36" t="e">
        <f t="shared" si="20"/>
        <v>#REF!</v>
      </c>
      <c r="X21" s="27" t="e">
        <f t="shared" si="4"/>
        <v>#REF!</v>
      </c>
      <c r="Y21" s="53">
        <f t="shared" si="21"/>
        <v>0</v>
      </c>
      <c r="Z21" s="28"/>
      <c r="AA21" s="26" t="e">
        <f t="shared" si="22"/>
        <v>#REF!</v>
      </c>
      <c r="AB21" s="27" t="e">
        <f t="shared" si="22"/>
        <v>#REF!</v>
      </c>
      <c r="AC21" s="53">
        <f t="shared" si="23"/>
        <v>0</v>
      </c>
      <c r="AD21" s="33"/>
      <c r="AE21" s="2629"/>
      <c r="AF21" s="9" t="e">
        <f>+#REF!+#REF!+#REF!+#REF!+#REF!+#REF!+#REF!+#REF!+#REF!+#REF!+#REF!+#REF!</f>
        <v>#REF!</v>
      </c>
      <c r="AG21" s="5" t="e">
        <f>+#REF!+#REF!+#REF!+#REF!+#REF!+#REF!+#REF!+#REF!+#REF!+#REF!+#REF!+#REF!</f>
        <v>#REF!</v>
      </c>
      <c r="AH21" s="61">
        <f t="shared" si="24"/>
        <v>0</v>
      </c>
      <c r="AI21" s="36" t="e">
        <f>+#REF!+#REF!+#REF!+#REF!+#REF!+#REF!+#REF!+#REF!+#REF!+#REF!+#REF!+#REF!</f>
        <v>#REF!</v>
      </c>
      <c r="AJ21" s="27" t="e">
        <f>+#REF!+#REF!+#REF!+#REF!+#REF!+#REF!+#REF!+#REF!+#REF!+#REF!+#REF!+#REF!</f>
        <v>#REF!</v>
      </c>
      <c r="AK21" s="61">
        <f t="shared" si="25"/>
        <v>0</v>
      </c>
      <c r="AL21" s="36" t="e">
        <f>+#REF!+#REF!+#REF!+#REF!+#REF!+#REF!+#REF!+#REF!+#REF!+#REF!+#REF!+#REF!</f>
        <v>#REF!</v>
      </c>
      <c r="AM21" s="27" t="e">
        <f>+#REF!+#REF!+#REF!+#REF!+#REF!+#REF!+#REF!+#REF!+#REF!+#REF!+#REF!+#REF!</f>
        <v>#REF!</v>
      </c>
      <c r="AN21" s="61">
        <f t="shared" si="26"/>
        <v>0</v>
      </c>
      <c r="AO21" s="36" t="e">
        <f>+#REF!+#REF!+#REF!+#REF!+#REF!+#REF!+#REF!+#REF!+#REF!+#REF!+#REF!+#REF!</f>
        <v>#REF!</v>
      </c>
      <c r="AP21" s="27" t="e">
        <f>+#REF!+#REF!+#REF!+#REF!+#REF!+#REF!+#REF!+#REF!+#REF!+#REF!+#REF!+#REF!</f>
        <v>#REF!</v>
      </c>
      <c r="AQ21" s="61">
        <f t="shared" si="27"/>
        <v>0</v>
      </c>
      <c r="AR21" s="36" t="e">
        <f>+#REF!+#REF!+#REF!+#REF!+#REF!+#REF!+#REF!+#REF!+#REF!+#REF!+#REF!+#REF!</f>
        <v>#REF!</v>
      </c>
      <c r="AS21" s="27" t="e">
        <f>+#REF!+#REF!+#REF!+#REF!+#REF!+#REF!+#REF!+#REF!+#REF!+#REF!+#REF!+#REF!</f>
        <v>#REF!</v>
      </c>
      <c r="AT21" s="61">
        <f t="shared" si="28"/>
        <v>0</v>
      </c>
      <c r="AU21" s="36" t="e">
        <f>+#REF!+#REF!+#REF!+#REF!+#REF!+#REF!+#REF!+#REF!+#REF!+#REF!+#REF!+#REF!</f>
        <v>#REF!</v>
      </c>
      <c r="AV21" s="27" t="e">
        <f>+#REF!+#REF!+#REF!+#REF!+#REF!+#REF!+#REF!+#REF!+#REF!+#REF!+#REF!+#REF!</f>
        <v>#REF!</v>
      </c>
      <c r="AW21" s="61">
        <f t="shared" si="29"/>
        <v>0</v>
      </c>
      <c r="AX21" s="36" t="e">
        <f>+#REF!+#REF!+#REF!+#REF!+#REF!+#REF!+#REF!+#REF!+#REF!+#REF!+#REF!+#REF!</f>
        <v>#REF!</v>
      </c>
      <c r="AY21" s="27" t="e">
        <f>+#REF!+#REF!+#REF!+#REF!+#REF!+#REF!+#REF!+#REF!+#REF!+#REF!+#REF!+#REF!</f>
        <v>#REF!</v>
      </c>
      <c r="AZ21" s="61">
        <f t="shared" si="30"/>
        <v>0</v>
      </c>
      <c r="BA21" s="36" t="e">
        <f>+#REF!+#REF!+#REF!+#REF!+#REF!+#REF!+#REF!+#REF!+#REF!+#REF!+#REF!+#REF!</f>
        <v>#REF!</v>
      </c>
      <c r="BB21" s="27" t="e">
        <f>+#REF!+#REF!+#REF!+#REF!+#REF!+#REF!+#REF!+#REF!+#REF!+#REF!+#REF!+#REF!</f>
        <v>#REF!</v>
      </c>
      <c r="BC21" s="61">
        <f t="shared" si="31"/>
        <v>0</v>
      </c>
      <c r="BD21" s="36" t="e">
        <f>+#REF!+#REF!+#REF!+#REF!+#REF!+#REF!+#REF!+#REF!+#REF!+#REF!+#REF!+#REF!</f>
        <v>#REF!</v>
      </c>
      <c r="BE21" s="27" t="e">
        <f>+#REF!+#REF!+#REF!+#REF!+#REF!+#REF!+#REF!+#REF!+#REF!+#REF!+#REF!+#REF!</f>
        <v>#REF!</v>
      </c>
      <c r="BF21" s="61">
        <f t="shared" si="32"/>
        <v>0</v>
      </c>
      <c r="BG21" s="36" t="e">
        <f>+#REF!+#REF!+#REF!+#REF!+#REF!+#REF!+#REF!+#REF!+#REF!+#REF!+#REF!+#REF!</f>
        <v>#REF!</v>
      </c>
      <c r="BH21" s="27" t="e">
        <f>+#REF!+#REF!+#REF!+#REF!+#REF!+#REF!+#REF!+#REF!+#REF!+#REF!+#REF!+#REF!</f>
        <v>#REF!</v>
      </c>
      <c r="BI21" s="61">
        <f t="shared" si="33"/>
        <v>0</v>
      </c>
      <c r="BJ21" s="36" t="e">
        <f>+#REF!+#REF!+#REF!+#REF!+#REF!+#REF!+#REF!+#REF!+#REF!+#REF!+#REF!+#REF!</f>
        <v>#REF!</v>
      </c>
      <c r="BK21" s="27" t="e">
        <f>+#REF!+#REF!+#REF!+#REF!+#REF!+#REF!+#REF!+#REF!+#REF!+#REF!+#REF!+#REF!</f>
        <v>#REF!</v>
      </c>
      <c r="BL21" s="61">
        <f t="shared" si="34"/>
        <v>0</v>
      </c>
      <c r="BM21" s="36" t="e">
        <f>+#REF!+#REF!+#REF!+#REF!+#REF!+#REF!+#REF!+#REF!+#REF!+#REF!+#REF!+#REF!</f>
        <v>#REF!</v>
      </c>
      <c r="BN21" s="27" t="e">
        <f>+#REF!+#REF!+#REF!+#REF!+#REF!+#REF!+#REF!+#REF!+#REF!+#REF!+#REF!+#REF!</f>
        <v>#REF!</v>
      </c>
      <c r="BO21" s="54">
        <f t="shared" si="35"/>
        <v>0</v>
      </c>
      <c r="BP21" s="26" t="e">
        <f>+#REF!+#REF!+#REF!+#REF!+#REF!+#REF!+#REF!+#REF!+#REF!+#REF!+#REF!+#REF!</f>
        <v>#REF!</v>
      </c>
      <c r="BQ21" s="27" t="e">
        <f>+#REF!+#REF!+#REF!+#REF!+#REF!+#REF!+#REF!+#REF!+#REF!+#REF!+#REF!+#REF!</f>
        <v>#REF!</v>
      </c>
      <c r="BR21" s="61">
        <f t="shared" si="36"/>
        <v>0</v>
      </c>
      <c r="BS21" s="26" t="e">
        <f>+#REF!+#REF!+#REF!+#REF!+#REF!+#REF!+#REF!+#REF!+#REF!+#REF!+#REF!+#REF!</f>
        <v>#REF!</v>
      </c>
      <c r="BT21" s="27" t="e">
        <f>+#REF!+#REF!+#REF!+#REF!+#REF!+#REF!+#REF!+#REF!+#REF!+#REF!+#REF!+#REF!</f>
        <v>#REF!</v>
      </c>
      <c r="BU21" s="61">
        <f t="shared" si="37"/>
        <v>0</v>
      </c>
      <c r="BV21" s="150"/>
      <c r="BW21" s="9" t="e">
        <f>+#REF!+#REF!+#REF!+#REF!+#REF!+#REF!+#REF!+#REF!+#REF!+#REF!+#REF!+#REF!</f>
        <v>#REF!</v>
      </c>
      <c r="BX21" s="5" t="e">
        <f>+#REF!+#REF!+#REF!+#REF!+#REF!+#REF!+#REF!+#REF!+#REF!+#REF!+#REF!+#REF!</f>
        <v>#REF!</v>
      </c>
      <c r="BY21" s="5" t="e">
        <f>+#REF!+#REF!+#REF!+#REF!+#REF!+#REF!+#REF!+#REF!+#REF!+#REF!+#REF!+#REF!</f>
        <v>#REF!</v>
      </c>
      <c r="BZ21" s="5" t="e">
        <f>+#REF!+#REF!+#REF!+#REF!+#REF!+#REF!+#REF!+#REF!+#REF!+#REF!+#REF!+#REF!</f>
        <v>#REF!</v>
      </c>
      <c r="CA21" s="5" t="e">
        <f>+#REF!+#REF!+#REF!+#REF!+#REF!+#REF!+#REF!+#REF!+#REF!+#REF!+#REF!+#REF!</f>
        <v>#REF!</v>
      </c>
      <c r="CB21" s="5" t="e">
        <f t="shared" si="38"/>
        <v>#REF!</v>
      </c>
      <c r="CC21" s="33"/>
      <c r="CD21" s="2683"/>
      <c r="CF21" s="4" t="e">
        <f t="shared" si="39"/>
        <v>#REF!</v>
      </c>
      <c r="CG21" s="5" t="e">
        <f t="shared" si="5"/>
        <v>#REF!</v>
      </c>
      <c r="CH21" s="5" t="e">
        <f t="shared" si="5"/>
        <v>#REF!</v>
      </c>
      <c r="CI21" s="5" t="e">
        <f t="shared" si="5"/>
        <v>#REF!</v>
      </c>
      <c r="CJ21" s="5" t="e">
        <f t="shared" si="5"/>
        <v>#REF!</v>
      </c>
      <c r="CK21" s="5" t="e">
        <f t="shared" si="5"/>
        <v>#REF!</v>
      </c>
      <c r="CL21" s="33" t="e">
        <f t="shared" si="40"/>
        <v>#REF!</v>
      </c>
      <c r="CM21" s="2685"/>
      <c r="CN21" s="9" t="e">
        <f>+#REF!+#REF!+#REF!+#REF!+#REF!+#REF!+#REF!+#REF!+#REF!+#REF!+#REF!+#REF!</f>
        <v>#REF!</v>
      </c>
      <c r="CO21" s="5" t="e">
        <f>+#REF!+#REF!+#REF!+#REF!+#REF!+#REF!+#REF!+#REF!+#REF!+#REF!+#REF!+#REF!</f>
        <v>#REF!</v>
      </c>
      <c r="CP21" s="5" t="e">
        <f>+#REF!+#REF!+#REF!+#REF!+#REF!+#REF!+#REF!+#REF!+#REF!+#REF!+#REF!+#REF!</f>
        <v>#REF!</v>
      </c>
      <c r="CQ21" s="5" t="e">
        <f>+#REF!+#REF!+#REF!+#REF!+#REF!+#REF!+#REF!+#REF!+#REF!+#REF!+#REF!+#REF!</f>
        <v>#REF!</v>
      </c>
      <c r="CR21" s="5" t="e">
        <f>+#REF!+#REF!+#REF!+#REF!+#REF!+#REF!+#REF!+#REF!+#REF!+#REF!+#REF!+#REF!</f>
        <v>#REF!</v>
      </c>
      <c r="CS21" s="5" t="e">
        <f>+#REF!+#REF!+#REF!+#REF!+#REF!+#REF!+#REF!+#REF!+#REF!+#REF!+#REF!+#REF!</f>
        <v>#REF!</v>
      </c>
      <c r="CT21" s="28" t="e">
        <f t="shared" si="41"/>
        <v>#REF!</v>
      </c>
      <c r="CU21" s="36" t="e">
        <f>+#REF!+#REF!+#REF!+#REF!+#REF!+#REF!+#REF!+#REF!+#REF!+#REF!+#REF!+#REF!</f>
        <v>#REF!</v>
      </c>
      <c r="CV21" s="27" t="e">
        <f>+#REF!+#REF!+#REF!+#REF!+#REF!+#REF!+#REF!+#REF!+#REF!+#REF!+#REF!+#REF!</f>
        <v>#REF!</v>
      </c>
      <c r="CW21" s="27" t="e">
        <f>+#REF!+#REF!+#REF!+#REF!+#REF!+#REF!+#REF!+#REF!+#REF!+#REF!+#REF!+#REF!</f>
        <v>#REF!</v>
      </c>
      <c r="CX21" s="27" t="e">
        <f>+#REF!+#REF!+#REF!+#REF!+#REF!+#REF!+#REF!+#REF!+#REF!+#REF!+#REF!+#REF!</f>
        <v>#REF!</v>
      </c>
      <c r="CY21" s="27" t="e">
        <f>+#REF!+#REF!+#REF!+#REF!+#REF!+#REF!+#REF!+#REF!+#REF!+#REF!+#REF!+#REF!</f>
        <v>#REF!</v>
      </c>
      <c r="CZ21" s="27" t="e">
        <f>+#REF!+#REF!+#REF!+#REF!+#REF!+#REF!+#REF!+#REF!+#REF!+#REF!+#REF!+#REF!</f>
        <v>#REF!</v>
      </c>
      <c r="DA21" s="28" t="e">
        <f t="shared" si="42"/>
        <v>#REF!</v>
      </c>
      <c r="DB21" s="36" t="e">
        <f>+#REF!+#REF!+#REF!+#REF!+#REF!+#REF!+#REF!+#REF!+#REF!+#REF!+#REF!+#REF!</f>
        <v>#REF!</v>
      </c>
      <c r="DC21" s="27" t="e">
        <f>+#REF!+#REF!+#REF!+#REF!+#REF!+#REF!+#REF!+#REF!+#REF!+#REF!+#REF!+#REF!</f>
        <v>#REF!</v>
      </c>
      <c r="DD21" s="27" t="e">
        <f>+#REF!+#REF!+#REF!+#REF!+#REF!+#REF!+#REF!+#REF!+#REF!+#REF!+#REF!+#REF!</f>
        <v>#REF!</v>
      </c>
      <c r="DE21" s="27" t="e">
        <f>+#REF!+#REF!+#REF!+#REF!+#REF!+#REF!+#REF!+#REF!+#REF!+#REF!+#REF!+#REF!</f>
        <v>#REF!</v>
      </c>
      <c r="DF21" s="27" t="e">
        <f>+#REF!+#REF!+#REF!+#REF!+#REF!+#REF!+#REF!+#REF!+#REF!+#REF!+#REF!+#REF!</f>
        <v>#REF!</v>
      </c>
      <c r="DG21" s="27" t="e">
        <f>+#REF!+#REF!+#REF!+#REF!+#REF!+#REF!+#REF!+#REF!+#REF!+#REF!+#REF!+#REF!</f>
        <v>#REF!</v>
      </c>
      <c r="DH21" s="28" t="e">
        <f t="shared" si="43"/>
        <v>#REF!</v>
      </c>
      <c r="DI21" s="36" t="e">
        <f>+#REF!+#REF!+#REF!+#REF!+#REF!+#REF!+#REF!+#REF!+#REF!+#REF!+#REF!+#REF!</f>
        <v>#REF!</v>
      </c>
      <c r="DJ21" s="27" t="e">
        <f>+#REF!+#REF!+#REF!+#REF!+#REF!+#REF!+#REF!+#REF!+#REF!+#REF!+#REF!+#REF!</f>
        <v>#REF!</v>
      </c>
      <c r="DK21" s="27" t="e">
        <f>+#REF!+#REF!+#REF!+#REF!+#REF!+#REF!+#REF!+#REF!+#REF!+#REF!+#REF!+#REF!</f>
        <v>#REF!</v>
      </c>
      <c r="DL21" s="27" t="e">
        <f>+#REF!+#REF!+#REF!+#REF!+#REF!+#REF!+#REF!+#REF!+#REF!+#REF!+#REF!+#REF!</f>
        <v>#REF!</v>
      </c>
      <c r="DM21" s="27" t="e">
        <f>+#REF!+#REF!+#REF!+#REF!+#REF!+#REF!+#REF!+#REF!+#REF!+#REF!+#REF!+#REF!</f>
        <v>#REF!</v>
      </c>
      <c r="DN21" s="27" t="e">
        <f>+#REF!+#REF!+#REF!+#REF!+#REF!+#REF!+#REF!+#REF!+#REF!+#REF!+#REF!+#REF!</f>
        <v>#REF!</v>
      </c>
      <c r="DO21" s="33" t="e">
        <f t="shared" si="44"/>
        <v>#REF!</v>
      </c>
      <c r="DP21" s="2685"/>
      <c r="DR21" s="4" t="e">
        <f t="shared" si="45"/>
        <v>#REF!</v>
      </c>
      <c r="DS21" s="5" t="e">
        <f t="shared" si="46"/>
        <v>#REF!</v>
      </c>
      <c r="DT21" s="5" t="e">
        <f t="shared" si="47"/>
        <v>#REF!</v>
      </c>
      <c r="DU21" s="12" t="e">
        <f t="shared" si="48"/>
        <v>#REF!</v>
      </c>
      <c r="DV21" s="33"/>
      <c r="DW21" s="2674"/>
      <c r="DX21" s="9" t="e">
        <f>+#REF!+#REF!+#REF!+#REF!+#REF!+#REF!+#REF!+#REF!+#REF!+#REF!+#REF!+#REF!</f>
        <v>#REF!</v>
      </c>
      <c r="DY21" s="5" t="e">
        <f>+#REF!+#REF!+#REF!+#REF!+#REF!+#REF!+#REF!+#REF!+#REF!+#REF!+#REF!+#REF!</f>
        <v>#REF!</v>
      </c>
      <c r="DZ21" s="5" t="e">
        <f>+#REF!+#REF!+#REF!+#REF!+#REF!+#REF!+#REF!+#REF!+#REF!+#REF!+#REF!+#REF!</f>
        <v>#REF!</v>
      </c>
      <c r="EA21" s="5" t="e">
        <f>+#REF!+#REF!+#REF!+#REF!+#REF!+#REF!+#REF!+#REF!+#REF!+#REF!+#REF!+#REF!</f>
        <v>#REF!</v>
      </c>
      <c r="EB21" s="5" t="e">
        <f>+#REF!+#REF!+#REF!+#REF!+#REF!+#REF!+#REF!+#REF!+#REF!+#REF!+#REF!+#REF!</f>
        <v>#REF!</v>
      </c>
      <c r="EC21" s="27" t="e">
        <f>+#REF!+#REF!+#REF!+#REF!+#REF!+#REF!+#REF!+#REF!+#REF!+#REF!+#REF!+#REF!</f>
        <v>#REF!</v>
      </c>
      <c r="ED21" s="28" t="e">
        <f t="shared" si="49"/>
        <v>#REF!</v>
      </c>
      <c r="EE21" s="36" t="e">
        <f>+#REF!+#REF!+#REF!+#REF!+#REF!+#REF!+#REF!+#REF!+#REF!+#REF!+#REF!+#REF!</f>
        <v>#REF!</v>
      </c>
      <c r="EF21" s="27" t="e">
        <f>+#REF!+#REF!+#REF!+#REF!+#REF!+#REF!+#REF!+#REF!+#REF!+#REF!+#REF!+#REF!</f>
        <v>#REF!</v>
      </c>
      <c r="EG21" s="27" t="e">
        <f>+#REF!+#REF!+#REF!+#REF!+#REF!+#REF!+#REF!+#REF!+#REF!+#REF!+#REF!+#REF!</f>
        <v>#REF!</v>
      </c>
      <c r="EH21" s="27" t="e">
        <f>+#REF!+#REF!+#REF!+#REF!+#REF!+#REF!+#REF!+#REF!+#REF!+#REF!+#REF!+#REF!</f>
        <v>#REF!</v>
      </c>
      <c r="EI21" s="27" t="e">
        <f>+#REF!+#REF!+#REF!+#REF!+#REF!+#REF!+#REF!+#REF!+#REF!+#REF!+#REF!+#REF!</f>
        <v>#REF!</v>
      </c>
      <c r="EJ21" s="27" t="e">
        <f>+#REF!+#REF!+#REF!+#REF!+#REF!+#REF!+#REF!+#REF!+#REF!+#REF!+#REF!+#REF!</f>
        <v>#REF!</v>
      </c>
      <c r="EK21" s="28" t="e">
        <f t="shared" si="50"/>
        <v>#REF!</v>
      </c>
      <c r="EL21" s="36" t="e">
        <f>+#REF!+#REF!+#REF!+#REF!+#REF!+#REF!+#REF!+#REF!+#REF!+#REF!+#REF!+#REF!</f>
        <v>#REF!</v>
      </c>
      <c r="EM21" s="27" t="e">
        <f>+#REF!+#REF!+#REF!+#REF!+#REF!+#REF!+#REF!+#REF!+#REF!+#REF!+#REF!+#REF!</f>
        <v>#REF!</v>
      </c>
      <c r="EN21" s="27" t="e">
        <f>+#REF!+#REF!+#REF!+#REF!+#REF!+#REF!+#REF!+#REF!+#REF!+#REF!+#REF!+#REF!</f>
        <v>#REF!</v>
      </c>
      <c r="EO21" s="27" t="e">
        <f>+#REF!+#REF!+#REF!+#REF!+#REF!+#REF!+#REF!+#REF!+#REF!+#REF!+#REF!+#REF!</f>
        <v>#REF!</v>
      </c>
      <c r="EP21" s="27" t="e">
        <f>+#REF!+#REF!+#REF!+#REF!+#REF!+#REF!+#REF!+#REF!+#REF!+#REF!+#REF!+#REF!</f>
        <v>#REF!</v>
      </c>
      <c r="EQ21" s="27" t="e">
        <f>+#REF!+#REF!+#REF!+#REF!+#REF!+#REF!+#REF!+#REF!+#REF!+#REF!+#REF!+#REF!</f>
        <v>#REF!</v>
      </c>
      <c r="ER21" s="33" t="e">
        <f t="shared" si="51"/>
        <v>#REF!</v>
      </c>
      <c r="ES21" s="2674"/>
      <c r="EU21" s="4" t="e">
        <f t="shared" si="52"/>
        <v>#REF!</v>
      </c>
      <c r="EV21" s="5" t="e">
        <f t="shared" si="53"/>
        <v>#REF!</v>
      </c>
      <c r="EW21" s="27" t="e">
        <f t="shared" si="54"/>
        <v>#REF!</v>
      </c>
      <c r="EX21" s="27" t="e">
        <f t="shared" si="55"/>
        <v>#REF!</v>
      </c>
      <c r="EY21" s="141"/>
      <c r="EZ21" s="141"/>
      <c r="FA21" s="33"/>
      <c r="FB21" s="2667"/>
      <c r="FC21" s="36" t="e">
        <f>+#REF!+#REF!+#REF!+#REF!+#REF!+#REF!+#REF!+#REF!+#REF!+#REF!+#REF!+#REF!</f>
        <v>#REF!</v>
      </c>
      <c r="FD21" s="27" t="e">
        <f>+#REF!+#REF!+#REF!+#REF!+#REF!+#REF!+#REF!+#REF!+#REF!+#REF!+#REF!+#REF!</f>
        <v>#REF!</v>
      </c>
      <c r="FE21" s="27"/>
      <c r="FF21" s="27"/>
      <c r="FG21" s="33" t="e">
        <f t="shared" si="56"/>
        <v>#REF!</v>
      </c>
      <c r="FH21" s="2667"/>
      <c r="FI21" s="36" t="e">
        <f>+#REF!+#REF!+#REF!+#REF!+#REF!+#REF!+#REF!+#REF!+#REF!+#REF!+#REF!+#REF!</f>
        <v>#REF!</v>
      </c>
      <c r="FJ21" s="27" t="e">
        <f>+#REF!+#REF!+#REF!+#REF!+#REF!+#REF!+#REF!+#REF!+#REF!+#REF!+#REF!+#REF!</f>
        <v>#REF!</v>
      </c>
      <c r="FK21" s="27" t="e">
        <f>+#REF!+#REF!+#REF!+#REF!+#REF!+#REF!+#REF!+#REF!+#REF!+#REF!+#REF!+#REF!</f>
        <v>#REF!</v>
      </c>
      <c r="FL21" s="27" t="e">
        <f>+#REF!+#REF!+#REF!+#REF!+#REF!+#REF!+#REF!+#REF!+#REF!+#REF!+#REF!+#REF!</f>
        <v>#REF!</v>
      </c>
      <c r="FM21" s="27" t="e">
        <f>+#REF!+#REF!+#REF!+#REF!+#REF!+#REF!+#REF!+#REF!+#REF!+#REF!+#REF!+#REF!</f>
        <v>#REF!</v>
      </c>
      <c r="FN21" s="27" t="e">
        <f>+#REF!+#REF!+#REF!+#REF!+#REF!+#REF!+#REF!+#REF!+#REF!+#REF!+#REF!+#REF!</f>
        <v>#REF!</v>
      </c>
      <c r="FO21" s="27" t="e">
        <f>+#REF!+#REF!+#REF!+#REF!+#REF!+#REF!+#REF!+#REF!+#REF!+#REF!+#REF!+#REF!</f>
        <v>#REF!</v>
      </c>
      <c r="FP21" s="27" t="e">
        <f>+#REF!+#REF!+#REF!+#REF!+#REF!+#REF!+#REF!+#REF!+#REF!+#REF!+#REF!+#REF!</f>
        <v>#REF!</v>
      </c>
      <c r="FQ21" s="28" t="e">
        <f t="shared" si="80"/>
        <v>#REF!</v>
      </c>
      <c r="FR21" s="26" t="e">
        <f>+#REF!+#REF!+#REF!+#REF!+#REF!+#REF!+#REF!+#REF!+#REF!+#REF!+#REF!+#REF!</f>
        <v>#REF!</v>
      </c>
      <c r="FS21" s="27" t="e">
        <f>+#REF!+#REF!+#REF!+#REF!+#REF!+#REF!+#REF!+#REF!+#REF!+#REF!+#REF!+#REF!</f>
        <v>#REF!</v>
      </c>
      <c r="FT21" s="27" t="e">
        <f>+#REF!+#REF!+#REF!+#REF!+#REF!+#REF!+#REF!+#REF!+#REF!+#REF!+#REF!+#REF!</f>
        <v>#REF!</v>
      </c>
      <c r="FU21" s="27" t="e">
        <f>+#REF!+#REF!+#REF!+#REF!+#REF!+#REF!+#REF!+#REF!+#REF!+#REF!+#REF!+#REF!</f>
        <v>#REF!</v>
      </c>
      <c r="FV21" s="27" t="e">
        <f>+#REF!+#REF!+#REF!+#REF!+#REF!+#REF!+#REF!+#REF!+#REF!+#REF!+#REF!+#REF!</f>
        <v>#REF!</v>
      </c>
      <c r="FW21" s="27" t="e">
        <f>+#REF!+#REF!+#REF!+#REF!+#REF!+#REF!+#REF!+#REF!+#REF!+#REF!+#REF!+#REF!</f>
        <v>#REF!</v>
      </c>
      <c r="FX21" s="27" t="e">
        <f>+#REF!+#REF!+#REF!+#REF!+#REF!+#REF!+#REF!+#REF!+#REF!+#REF!+#REF!+#REF!</f>
        <v>#REF!</v>
      </c>
      <c r="FY21" s="27" t="e">
        <f>+#REF!+#REF!+#REF!+#REF!+#REF!+#REF!+#REF!+#REF!+#REF!+#REF!+#REF!+#REF!</f>
        <v>#REF!</v>
      </c>
      <c r="FZ21" s="28" t="e">
        <f t="shared" si="57"/>
        <v>#REF!</v>
      </c>
      <c r="GA21" s="36" t="e">
        <f>+#REF!+#REF!+#REF!+#REF!+#REF!+#REF!+#REF!+#REF!+#REF!+#REF!+#REF!+#REF!</f>
        <v>#REF!</v>
      </c>
      <c r="GB21" s="27" t="e">
        <f>+#REF!+#REF!+#REF!+#REF!+#REF!+#REF!+#REF!+#REF!+#REF!+#REF!+#REF!+#REF!</f>
        <v>#REF!</v>
      </c>
      <c r="GC21" s="27" t="e">
        <f>+#REF!+#REF!+#REF!+#REF!+#REF!+#REF!+#REF!+#REF!+#REF!+#REF!+#REF!+#REF!</f>
        <v>#REF!</v>
      </c>
      <c r="GD21" s="27" t="e">
        <f>+#REF!+#REF!+#REF!+#REF!+#REF!+#REF!+#REF!+#REF!+#REF!+#REF!+#REF!+#REF!</f>
        <v>#REF!</v>
      </c>
      <c r="GE21" s="27" t="e">
        <f>+#REF!+#REF!+#REF!+#REF!+#REF!+#REF!+#REF!+#REF!+#REF!+#REF!+#REF!+#REF!</f>
        <v>#REF!</v>
      </c>
      <c r="GF21" s="27" t="e">
        <f>+#REF!+#REF!+#REF!+#REF!+#REF!+#REF!+#REF!+#REF!+#REF!+#REF!+#REF!+#REF!</f>
        <v>#REF!</v>
      </c>
      <c r="GG21" s="27" t="e">
        <f>+#REF!+#REF!+#REF!+#REF!+#REF!+#REF!+#REF!+#REF!+#REF!+#REF!+#REF!+#REF!</f>
        <v>#REF!</v>
      </c>
      <c r="GH21" s="27" t="e">
        <f>+#REF!+#REF!+#REF!+#REF!+#REF!+#REF!+#REF!+#REF!+#REF!+#REF!+#REF!+#REF!</f>
        <v>#REF!</v>
      </c>
      <c r="GI21" s="33" t="e">
        <f t="shared" si="58"/>
        <v>#REF!</v>
      </c>
      <c r="GJ21" s="2667"/>
      <c r="GL21" s="26" t="e">
        <f>+#REF!+#REF!+#REF!+#REF!+#REF!+#REF!+#REF!+#REF!+#REF!+#REF!+#REF!+#REF!</f>
        <v>#REF!</v>
      </c>
      <c r="GM21" s="36" t="e">
        <f>+#REF!+#REF!+#REF!+#REF!+#REF!+#REF!+#REF!+#REF!+#REF!+#REF!+#REF!+#REF!</f>
        <v>#REF!</v>
      </c>
      <c r="GN21" s="27" t="e">
        <f>+#REF!+#REF!+#REF!+#REF!+#REF!+#REF!+#REF!+#REF!+#REF!+#REF!+#REF!+#REF!</f>
        <v>#REF!</v>
      </c>
      <c r="GO21" s="27" t="e">
        <f t="shared" si="59"/>
        <v>#REF!</v>
      </c>
      <c r="GP21" s="33"/>
      <c r="GQ21" s="2669"/>
      <c r="GR21" s="69"/>
      <c r="GS21" s="70"/>
      <c r="GT21" s="70"/>
      <c r="GU21" s="70"/>
      <c r="GV21" s="70"/>
      <c r="GW21" s="70"/>
      <c r="GX21" s="70"/>
      <c r="GY21" s="71"/>
      <c r="GZ21" s="69"/>
      <c r="HA21" s="70"/>
      <c r="HB21" s="70"/>
      <c r="HC21" s="70"/>
      <c r="HD21" s="70"/>
      <c r="HE21" s="70"/>
      <c r="HF21" s="70"/>
      <c r="HG21" s="71"/>
      <c r="HH21" s="69"/>
      <c r="HI21" s="70"/>
      <c r="HJ21" s="70"/>
      <c r="HK21" s="70"/>
      <c r="HL21" s="70"/>
      <c r="HM21" s="70"/>
      <c r="HN21" s="70"/>
      <c r="HO21" s="70"/>
      <c r="HP21" s="33"/>
      <c r="HQ21" s="2669"/>
      <c r="HR21" s="36"/>
      <c r="HS21" s="53"/>
      <c r="HT21" s="53"/>
      <c r="HU21" s="53"/>
      <c r="HV21" s="61"/>
      <c r="HW21" s="36"/>
      <c r="HX21" s="53"/>
      <c r="HY21" s="53"/>
      <c r="HZ21" s="53"/>
      <c r="IA21" s="61"/>
      <c r="IB21" s="36"/>
      <c r="IC21" s="53"/>
      <c r="ID21" s="53"/>
      <c r="IE21" s="53"/>
      <c r="IF21" s="53"/>
      <c r="IG21" s="33"/>
      <c r="IH21" s="2669"/>
      <c r="IJ21" s="26" t="e">
        <f t="shared" si="60"/>
        <v>#REF!</v>
      </c>
      <c r="IK21" s="36" t="e">
        <f t="shared" si="6"/>
        <v>#REF!</v>
      </c>
      <c r="IL21" s="27" t="e">
        <f t="shared" si="6"/>
        <v>#REF!</v>
      </c>
      <c r="IM21" s="28" t="e">
        <f t="shared" si="61"/>
        <v>#REF!</v>
      </c>
      <c r="IN21" s="36"/>
      <c r="IO21" s="27"/>
      <c r="IP21" s="27"/>
      <c r="IQ21" s="33"/>
      <c r="IR21" s="55"/>
      <c r="IS21" s="21"/>
      <c r="IT21" s="2688"/>
      <c r="IU21" s="36" t="e">
        <f>+#REF!+#REF!+#REF!+#REF!+#REF!+#REF!+#REF!+#REF!+#REF!+#REF!+#REF!+#REF!</f>
        <v>#REF!</v>
      </c>
      <c r="IV21" s="36" t="e">
        <f>+#REF!+#REF!+#REF!+#REF!+#REF!+#REF!+#REF!+#REF!+#REF!+#REF!+#REF!+#REF!</f>
        <v>#REF!</v>
      </c>
      <c r="IW21" s="27" t="e">
        <f>+#REF!+#REF!+#REF!+#REF!+#REF!+#REF!+#REF!+#REF!+#REF!+#REF!+#REF!+#REF!</f>
        <v>#REF!</v>
      </c>
      <c r="IX21" s="27" t="e">
        <f>+#REF!+#REF!+#REF!+#REF!+#REF!+#REF!+#REF!+#REF!+#REF!+#REF!+#REF!+#REF!</f>
        <v>#REF!</v>
      </c>
      <c r="IY21" s="27" t="e">
        <f>+#REF!+#REF!+#REF!+#REF!+#REF!+#REF!+#REF!+#REF!+#REF!+#REF!+#REF!+#REF!</f>
        <v>#REF!</v>
      </c>
      <c r="IZ21" s="28" t="e">
        <f t="shared" si="62"/>
        <v>#REF!</v>
      </c>
      <c r="JA21" s="26" t="e">
        <f>+#REF!+#REF!+#REF!+#REF!+#REF!+#REF!+#REF!+#REF!+#REF!+#REF!+#REF!+#REF!</f>
        <v>#REF!</v>
      </c>
      <c r="JB21" s="36" t="e">
        <f>+#REF!+#REF!+#REF!+#REF!+#REF!+#REF!+#REF!+#REF!+#REF!+#REF!+#REF!+#REF!</f>
        <v>#REF!</v>
      </c>
      <c r="JC21" s="27" t="e">
        <f>+#REF!+#REF!+#REF!+#REF!+#REF!+#REF!+#REF!+#REF!+#REF!+#REF!+#REF!+#REF!</f>
        <v>#REF!</v>
      </c>
      <c r="JD21" s="27" t="e">
        <f>+#REF!+#REF!+#REF!+#REF!+#REF!+#REF!+#REF!+#REF!+#REF!+#REF!+#REF!+#REF!</f>
        <v>#REF!</v>
      </c>
      <c r="JE21" s="28" t="e">
        <f>+#REF!+#REF!+#REF!+#REF!+#REF!+#REF!+#REF!+#REF!+#REF!+#REF!+#REF!+#REF!</f>
        <v>#REF!</v>
      </c>
      <c r="JF21" s="26" t="e">
        <f>+#REF!+#REF!+#REF!+#REF!+#REF!+#REF!+#REF!+#REF!+#REF!+#REF!+#REF!+#REF!</f>
        <v>#REF!</v>
      </c>
      <c r="JG21" s="36" t="e">
        <f>+#REF!+#REF!+#REF!+#REF!+#REF!+#REF!+#REF!+#REF!+#REF!+#REF!+#REF!+#REF!</f>
        <v>#REF!</v>
      </c>
      <c r="JH21" s="27" t="e">
        <f>+#REF!+#REF!+#REF!+#REF!+#REF!+#REF!+#REF!+#REF!+#REF!+#REF!+#REF!+#REF!</f>
        <v>#REF!</v>
      </c>
      <c r="JI21" s="27" t="e">
        <f>+#REF!+#REF!+#REF!+#REF!+#REF!+#REF!+#REF!+#REF!+#REF!+#REF!+#REF!+#REF!</f>
        <v>#REF!</v>
      </c>
      <c r="JJ21" s="27" t="e">
        <f>+#REF!+#REF!+#REF!+#REF!+#REF!+#REF!+#REF!+#REF!+#REF!+#REF!+#REF!+#REF!</f>
        <v>#REF!</v>
      </c>
      <c r="JK21" s="28" t="e">
        <f t="shared" si="63"/>
        <v>#REF!</v>
      </c>
      <c r="JL21" s="26" t="e">
        <f>+#REF!+#REF!+#REF!+#REF!+#REF!+#REF!+#REF!+#REF!+#REF!+#REF!+#REF!+#REF!</f>
        <v>#REF!</v>
      </c>
      <c r="JM21" s="36" t="e">
        <f>+#REF!+#REF!+#REF!+#REF!+#REF!+#REF!+#REF!+#REF!+#REF!+#REF!+#REF!+#REF!</f>
        <v>#REF!</v>
      </c>
      <c r="JN21" s="27" t="e">
        <f>+#REF!+#REF!+#REF!+#REF!+#REF!+#REF!+#REF!+#REF!+#REF!+#REF!+#REF!+#REF!</f>
        <v>#REF!</v>
      </c>
      <c r="JO21" s="27" t="e">
        <f>+#REF!+#REF!+#REF!+#REF!+#REF!+#REF!+#REF!+#REF!+#REF!+#REF!+#REF!+#REF!</f>
        <v>#REF!</v>
      </c>
      <c r="JP21" s="28" t="e">
        <f>+#REF!+#REF!+#REF!+#REF!+#REF!+#REF!+#REF!+#REF!+#REF!+#REF!+#REF!+#REF!</f>
        <v>#REF!</v>
      </c>
      <c r="JQ21" s="275" t="e">
        <f t="shared" si="64"/>
        <v>#REF!</v>
      </c>
      <c r="JR21" s="36" t="e">
        <f>+#REF!+#REF!+#REF!+#REF!+#REF!+#REF!+#REF!+#REF!+#REF!+#REF!+#REF!+#REF!</f>
        <v>#REF!</v>
      </c>
      <c r="JS21" s="36" t="e">
        <f>+#REF!+#REF!+#REF!+#REF!+#REF!+#REF!+#REF!+#REF!+#REF!+#REF!+#REF!+#REF!</f>
        <v>#REF!</v>
      </c>
      <c r="JT21" s="27" t="e">
        <f>+#REF!+#REF!+#REF!+#REF!+#REF!+#REF!+#REF!+#REF!+#REF!+#REF!+#REF!+#REF!</f>
        <v>#REF!</v>
      </c>
      <c r="JU21" s="27" t="e">
        <f>+#REF!+#REF!+#REF!+#REF!+#REF!+#REF!+#REF!+#REF!+#REF!+#REF!+#REF!+#REF!</f>
        <v>#REF!</v>
      </c>
      <c r="JV21" s="27" t="e">
        <f>+#REF!+#REF!+#REF!+#REF!+#REF!+#REF!+#REF!+#REF!+#REF!+#REF!+#REF!+#REF!</f>
        <v>#REF!</v>
      </c>
      <c r="JW21" s="33" t="e">
        <f t="shared" si="65"/>
        <v>#REF!</v>
      </c>
      <c r="JX21" s="2688"/>
      <c r="JZ21" s="26" t="e">
        <f t="shared" si="66"/>
        <v>#REF!</v>
      </c>
      <c r="KA21" s="27" t="e">
        <f t="shared" si="67"/>
        <v>#REF!</v>
      </c>
      <c r="KB21" s="27" t="e">
        <f t="shared" si="68"/>
        <v>#REF!</v>
      </c>
      <c r="KC21" s="33" t="e">
        <f t="shared" si="69"/>
        <v>#REF!</v>
      </c>
      <c r="KD21" s="2621"/>
      <c r="KE21" s="36" t="e">
        <f t="shared" si="7"/>
        <v>#REF!</v>
      </c>
      <c r="KF21" s="36" t="e">
        <f t="shared" si="7"/>
        <v>#REF!</v>
      </c>
      <c r="KG21" s="27" t="e">
        <f t="shared" si="7"/>
        <v>#REF!</v>
      </c>
      <c r="KH21" s="28" t="e">
        <f t="shared" si="81"/>
        <v>#REF!</v>
      </c>
      <c r="KI21" s="36" t="e">
        <f t="shared" si="82"/>
        <v>#REF!</v>
      </c>
      <c r="KJ21" s="27" t="e">
        <f t="shared" si="8"/>
        <v>#REF!</v>
      </c>
      <c r="KK21" s="27" t="e">
        <f t="shared" si="8"/>
        <v>#REF!</v>
      </c>
      <c r="KL21" s="27" t="e">
        <f t="shared" si="8"/>
        <v>#REF!</v>
      </c>
      <c r="KM21" s="27" t="e">
        <f t="shared" si="8"/>
        <v>#REF!</v>
      </c>
      <c r="KN21" s="27" t="e">
        <f t="shared" si="8"/>
        <v>#REF!</v>
      </c>
      <c r="KO21" s="28" t="e">
        <f t="shared" si="83"/>
        <v>#REF!</v>
      </c>
      <c r="KP21" s="36" t="e">
        <f t="shared" si="9"/>
        <v>#REF!</v>
      </c>
      <c r="KQ21" s="27" t="e">
        <f t="shared" si="9"/>
        <v>#REF!</v>
      </c>
      <c r="KR21" s="27" t="e">
        <f t="shared" si="9"/>
        <v>#REF!</v>
      </c>
      <c r="KS21" s="27" t="e">
        <f t="shared" si="9"/>
        <v>#REF!</v>
      </c>
      <c r="KT21" s="27" t="e">
        <f t="shared" si="9"/>
        <v>#REF!</v>
      </c>
      <c r="KU21" s="27" t="e">
        <f t="shared" si="9"/>
        <v>#REF!</v>
      </c>
      <c r="KV21" s="28" t="e">
        <f t="shared" si="84"/>
        <v>#REF!</v>
      </c>
      <c r="KW21" s="36" t="e">
        <f t="shared" si="10"/>
        <v>#REF!</v>
      </c>
      <c r="KX21" s="27" t="e">
        <f t="shared" si="10"/>
        <v>#REF!</v>
      </c>
      <c r="KY21" s="27" t="e">
        <f t="shared" si="10"/>
        <v>#REF!</v>
      </c>
      <c r="KZ21" s="27" t="e">
        <f t="shared" si="10"/>
        <v>#REF!</v>
      </c>
      <c r="LA21" s="27" t="e">
        <f t="shared" si="10"/>
        <v>#REF!</v>
      </c>
      <c r="LB21" s="27" t="e">
        <f t="shared" si="10"/>
        <v>#REF!</v>
      </c>
      <c r="LC21" s="28" t="e">
        <f t="shared" si="85"/>
        <v>#REF!</v>
      </c>
      <c r="LD21" s="36"/>
      <c r="LE21" s="27"/>
      <c r="LF21" s="27"/>
      <c r="LG21" s="27"/>
      <c r="LH21" s="27"/>
      <c r="LI21" s="27"/>
      <c r="LJ21" s="28">
        <f t="shared" si="70"/>
        <v>0</v>
      </c>
      <c r="LK21" s="36" t="e">
        <f t="shared" si="11"/>
        <v>#REF!</v>
      </c>
      <c r="LL21" s="27" t="e">
        <f t="shared" si="11"/>
        <v>#REF!</v>
      </c>
      <c r="LM21" s="27" t="e">
        <f t="shared" si="11"/>
        <v>#REF!</v>
      </c>
      <c r="LN21" s="27" t="e">
        <f t="shared" si="11"/>
        <v>#REF!</v>
      </c>
      <c r="LO21" s="27" t="e">
        <f t="shared" si="11"/>
        <v>#REF!</v>
      </c>
      <c r="LP21" s="27" t="e">
        <f t="shared" si="11"/>
        <v>#REF!</v>
      </c>
      <c r="LQ21" s="33" t="e">
        <f t="shared" si="71"/>
        <v>#REF!</v>
      </c>
      <c r="LR21" s="2621"/>
      <c r="LT21" s="4" t="e">
        <f>+#REF!+#REF!+#REF!+#REF!+#REF!+#REF!+#REF!+#REF!+#REF!+#REF!+#REF!+#REF!</f>
        <v>#REF!</v>
      </c>
      <c r="LU21" s="5" t="e">
        <f>+#REF!+#REF!+#REF!+#REF!+#REF!+#REF!+#REF!+#REF!+#REF!+#REF!+#REF!+#REF!</f>
        <v>#REF!</v>
      </c>
      <c r="LV21" s="5" t="e">
        <f t="shared" si="72"/>
        <v>#REF!</v>
      </c>
      <c r="LW21" s="12" t="e">
        <f t="shared" si="86"/>
        <v>#REF!</v>
      </c>
      <c r="LX21" s="15"/>
      <c r="LY21" s="2615"/>
      <c r="MA21" s="4" t="e">
        <f>+#REF!+#REF!+#REF!+#REF!+#REF!+#REF!+#REF!+#REF!+#REF!+#REF!+#REF!+#REF!</f>
        <v>#REF!</v>
      </c>
      <c r="MB21" s="5" t="e">
        <f t="shared" si="73"/>
        <v>#REF!</v>
      </c>
      <c r="MC21" s="5" t="e">
        <f>+#REF!+#REF!+#REF!+#REF!+#REF!+#REF!+#REF!+#REF!+#REF!+#REF!+#REF!+#REF!</f>
        <v>#REF!</v>
      </c>
      <c r="MD21" s="5" t="e">
        <f t="shared" si="74"/>
        <v>#REF!</v>
      </c>
      <c r="ME21" s="12" t="e">
        <f t="shared" si="75"/>
        <v>#REF!</v>
      </c>
      <c r="MF21" s="12"/>
      <c r="MG21" s="2615"/>
      <c r="MI21" s="139" t="e">
        <f t="shared" si="76"/>
        <v>#REF!</v>
      </c>
      <c r="MJ21" s="139" t="e">
        <f t="shared" si="77"/>
        <v>#REF!</v>
      </c>
      <c r="ML21" s="139" t="e">
        <f t="shared" si="78"/>
        <v>#REF!</v>
      </c>
      <c r="MM21" s="139" t="e">
        <f t="shared" si="79"/>
        <v>#REF!</v>
      </c>
      <c r="MO21" s="1">
        <f t="shared" si="12"/>
        <v>0</v>
      </c>
      <c r="MP21" s="1">
        <f t="shared" si="12"/>
        <v>0</v>
      </c>
      <c r="MQ21" s="1">
        <f t="shared" si="12"/>
        <v>0</v>
      </c>
      <c r="MR21" s="1">
        <f t="shared" si="12"/>
        <v>0</v>
      </c>
      <c r="MS21" s="1">
        <f t="shared" si="12"/>
        <v>0</v>
      </c>
      <c r="MT21" s="1">
        <f t="shared" si="12"/>
        <v>0</v>
      </c>
      <c r="MV21" s="1">
        <f t="shared" si="13"/>
        <v>0</v>
      </c>
      <c r="MW21" s="1">
        <f t="shared" si="13"/>
        <v>0</v>
      </c>
      <c r="MX21" s="1">
        <f t="shared" si="13"/>
        <v>0</v>
      </c>
      <c r="MY21" s="1">
        <f t="shared" si="13"/>
        <v>0</v>
      </c>
      <c r="MZ21" s="1">
        <f t="shared" si="13"/>
        <v>0</v>
      </c>
      <c r="NA21" s="1">
        <f t="shared" si="13"/>
        <v>0</v>
      </c>
    </row>
    <row r="22" spans="2:365" s="1" customFormat="1">
      <c r="B22" s="46">
        <v>13</v>
      </c>
      <c r="C22" s="4" t="e">
        <f t="shared" si="0"/>
        <v>#REF!</v>
      </c>
      <c r="D22" s="5" t="e">
        <f t="shared" si="1"/>
        <v>#REF!</v>
      </c>
      <c r="E22" s="61">
        <f t="shared" si="14"/>
        <v>0</v>
      </c>
      <c r="F22" s="52"/>
      <c r="G22" s="53"/>
      <c r="H22" s="53"/>
      <c r="I22" s="54"/>
      <c r="J22" s="2629"/>
      <c r="K22" s="9" t="e">
        <f t="shared" si="15"/>
        <v>#REF!</v>
      </c>
      <c r="L22" s="5" t="e">
        <f t="shared" si="2"/>
        <v>#REF!</v>
      </c>
      <c r="M22" s="64">
        <f t="shared" si="16"/>
        <v>0</v>
      </c>
      <c r="N22" s="28"/>
      <c r="O22" s="36" t="e">
        <f t="shared" si="17"/>
        <v>#REF!</v>
      </c>
      <c r="P22" s="27" t="e">
        <f t="shared" si="17"/>
        <v>#REF!</v>
      </c>
      <c r="Q22" s="53">
        <f t="shared" si="18"/>
        <v>0</v>
      </c>
      <c r="R22" s="28"/>
      <c r="S22" s="36" t="e">
        <f t="shared" si="19"/>
        <v>#REF!</v>
      </c>
      <c r="T22" s="27" t="e">
        <f t="shared" si="19"/>
        <v>#REF!</v>
      </c>
      <c r="U22" s="53">
        <f t="shared" si="3"/>
        <v>0</v>
      </c>
      <c r="V22" s="28"/>
      <c r="W22" s="36" t="e">
        <f t="shared" si="20"/>
        <v>#REF!</v>
      </c>
      <c r="X22" s="27" t="e">
        <f t="shared" si="4"/>
        <v>#REF!</v>
      </c>
      <c r="Y22" s="53">
        <f t="shared" si="21"/>
        <v>0</v>
      </c>
      <c r="Z22" s="28"/>
      <c r="AA22" s="26" t="e">
        <f t="shared" si="22"/>
        <v>#REF!</v>
      </c>
      <c r="AB22" s="27" t="e">
        <f t="shared" si="22"/>
        <v>#REF!</v>
      </c>
      <c r="AC22" s="53">
        <f t="shared" si="23"/>
        <v>0</v>
      </c>
      <c r="AD22" s="33"/>
      <c r="AE22" s="2629"/>
      <c r="AF22" s="9" t="e">
        <f>+#REF!+#REF!+#REF!+#REF!+#REF!+#REF!+#REF!+#REF!+#REF!+#REF!+#REF!+#REF!</f>
        <v>#REF!</v>
      </c>
      <c r="AG22" s="5" t="e">
        <f>+#REF!+#REF!+#REF!+#REF!+#REF!+#REF!+#REF!+#REF!+#REF!+#REF!+#REF!+#REF!</f>
        <v>#REF!</v>
      </c>
      <c r="AH22" s="61">
        <f t="shared" si="24"/>
        <v>0</v>
      </c>
      <c r="AI22" s="36" t="e">
        <f>+#REF!+#REF!+#REF!+#REF!+#REF!+#REF!+#REF!+#REF!+#REF!+#REF!+#REF!+#REF!</f>
        <v>#REF!</v>
      </c>
      <c r="AJ22" s="27" t="e">
        <f>+#REF!+#REF!+#REF!+#REF!+#REF!+#REF!+#REF!+#REF!+#REF!+#REF!+#REF!+#REF!</f>
        <v>#REF!</v>
      </c>
      <c r="AK22" s="61">
        <f t="shared" si="25"/>
        <v>0</v>
      </c>
      <c r="AL22" s="36" t="e">
        <f>+#REF!+#REF!+#REF!+#REF!+#REF!+#REF!+#REF!+#REF!+#REF!+#REF!+#REF!+#REF!</f>
        <v>#REF!</v>
      </c>
      <c r="AM22" s="27" t="e">
        <f>+#REF!+#REF!+#REF!+#REF!+#REF!+#REF!+#REF!+#REF!+#REF!+#REF!+#REF!+#REF!</f>
        <v>#REF!</v>
      </c>
      <c r="AN22" s="61">
        <f t="shared" si="26"/>
        <v>0</v>
      </c>
      <c r="AO22" s="36" t="e">
        <f>+#REF!+#REF!+#REF!+#REF!+#REF!+#REF!+#REF!+#REF!+#REF!+#REF!+#REF!+#REF!</f>
        <v>#REF!</v>
      </c>
      <c r="AP22" s="27" t="e">
        <f>+#REF!+#REF!+#REF!+#REF!+#REF!+#REF!+#REF!+#REF!+#REF!+#REF!+#REF!+#REF!</f>
        <v>#REF!</v>
      </c>
      <c r="AQ22" s="61">
        <f t="shared" si="27"/>
        <v>0</v>
      </c>
      <c r="AR22" s="36" t="e">
        <f>+#REF!+#REF!+#REF!+#REF!+#REF!+#REF!+#REF!+#REF!+#REF!+#REF!+#REF!+#REF!</f>
        <v>#REF!</v>
      </c>
      <c r="AS22" s="27" t="e">
        <f>+#REF!+#REF!+#REF!+#REF!+#REF!+#REF!+#REF!+#REF!+#REF!+#REF!+#REF!+#REF!</f>
        <v>#REF!</v>
      </c>
      <c r="AT22" s="61">
        <f t="shared" si="28"/>
        <v>0</v>
      </c>
      <c r="AU22" s="36" t="e">
        <f>+#REF!+#REF!+#REF!+#REF!+#REF!+#REF!+#REF!+#REF!+#REF!+#REF!+#REF!+#REF!</f>
        <v>#REF!</v>
      </c>
      <c r="AV22" s="27" t="e">
        <f>+#REF!+#REF!+#REF!+#REF!+#REF!+#REF!+#REF!+#REF!+#REF!+#REF!+#REF!+#REF!</f>
        <v>#REF!</v>
      </c>
      <c r="AW22" s="61">
        <f t="shared" si="29"/>
        <v>0</v>
      </c>
      <c r="AX22" s="36" t="e">
        <f>+#REF!+#REF!+#REF!+#REF!+#REF!+#REF!+#REF!+#REF!+#REF!+#REF!+#REF!+#REF!</f>
        <v>#REF!</v>
      </c>
      <c r="AY22" s="27" t="e">
        <f>+#REF!+#REF!+#REF!+#REF!+#REF!+#REF!+#REF!+#REF!+#REF!+#REF!+#REF!+#REF!</f>
        <v>#REF!</v>
      </c>
      <c r="AZ22" s="61">
        <f t="shared" si="30"/>
        <v>0</v>
      </c>
      <c r="BA22" s="36" t="e">
        <f>+#REF!+#REF!+#REF!+#REF!+#REF!+#REF!+#REF!+#REF!+#REF!+#REF!+#REF!+#REF!</f>
        <v>#REF!</v>
      </c>
      <c r="BB22" s="27" t="e">
        <f>+#REF!+#REF!+#REF!+#REF!+#REF!+#REF!+#REF!+#REF!+#REF!+#REF!+#REF!+#REF!</f>
        <v>#REF!</v>
      </c>
      <c r="BC22" s="61">
        <f t="shared" si="31"/>
        <v>0</v>
      </c>
      <c r="BD22" s="36" t="e">
        <f>+#REF!+#REF!+#REF!+#REF!+#REF!+#REF!+#REF!+#REF!+#REF!+#REF!+#REF!+#REF!</f>
        <v>#REF!</v>
      </c>
      <c r="BE22" s="27" t="e">
        <f>+#REF!+#REF!+#REF!+#REF!+#REF!+#REF!+#REF!+#REF!+#REF!+#REF!+#REF!+#REF!</f>
        <v>#REF!</v>
      </c>
      <c r="BF22" s="61">
        <f t="shared" si="32"/>
        <v>0</v>
      </c>
      <c r="BG22" s="36" t="e">
        <f>+#REF!+#REF!+#REF!+#REF!+#REF!+#REF!+#REF!+#REF!+#REF!+#REF!+#REF!+#REF!</f>
        <v>#REF!</v>
      </c>
      <c r="BH22" s="27" t="e">
        <f>+#REF!+#REF!+#REF!+#REF!+#REF!+#REF!+#REF!+#REF!+#REF!+#REF!+#REF!+#REF!</f>
        <v>#REF!</v>
      </c>
      <c r="BI22" s="61">
        <f t="shared" si="33"/>
        <v>0</v>
      </c>
      <c r="BJ22" s="36" t="e">
        <f>+#REF!+#REF!+#REF!+#REF!+#REF!+#REF!+#REF!+#REF!+#REF!+#REF!+#REF!+#REF!</f>
        <v>#REF!</v>
      </c>
      <c r="BK22" s="27" t="e">
        <f>+#REF!+#REF!+#REF!+#REF!+#REF!+#REF!+#REF!+#REF!+#REF!+#REF!+#REF!+#REF!</f>
        <v>#REF!</v>
      </c>
      <c r="BL22" s="61">
        <f t="shared" si="34"/>
        <v>0</v>
      </c>
      <c r="BM22" s="36" t="e">
        <f>+#REF!+#REF!+#REF!+#REF!+#REF!+#REF!+#REF!+#REF!+#REF!+#REF!+#REF!+#REF!</f>
        <v>#REF!</v>
      </c>
      <c r="BN22" s="27" t="e">
        <f>+#REF!+#REF!+#REF!+#REF!+#REF!+#REF!+#REF!+#REF!+#REF!+#REF!+#REF!+#REF!</f>
        <v>#REF!</v>
      </c>
      <c r="BO22" s="54">
        <f t="shared" si="35"/>
        <v>0</v>
      </c>
      <c r="BP22" s="26" t="e">
        <f>+#REF!+#REF!+#REF!+#REF!+#REF!+#REF!+#REF!+#REF!+#REF!+#REF!+#REF!+#REF!</f>
        <v>#REF!</v>
      </c>
      <c r="BQ22" s="27" t="e">
        <f>+#REF!+#REF!+#REF!+#REF!+#REF!+#REF!+#REF!+#REF!+#REF!+#REF!+#REF!+#REF!</f>
        <v>#REF!</v>
      </c>
      <c r="BR22" s="61">
        <f t="shared" si="36"/>
        <v>0</v>
      </c>
      <c r="BS22" s="26" t="e">
        <f>+#REF!+#REF!+#REF!+#REF!+#REF!+#REF!+#REF!+#REF!+#REF!+#REF!+#REF!+#REF!</f>
        <v>#REF!</v>
      </c>
      <c r="BT22" s="27" t="e">
        <f>+#REF!+#REF!+#REF!+#REF!+#REF!+#REF!+#REF!+#REF!+#REF!+#REF!+#REF!+#REF!</f>
        <v>#REF!</v>
      </c>
      <c r="BU22" s="61">
        <f t="shared" si="37"/>
        <v>0</v>
      </c>
      <c r="BV22" s="150"/>
      <c r="BW22" s="9" t="e">
        <f>+#REF!+#REF!+#REF!+#REF!+#REF!+#REF!+#REF!+#REF!+#REF!+#REF!+#REF!+#REF!</f>
        <v>#REF!</v>
      </c>
      <c r="BX22" s="5" t="e">
        <f>+#REF!+#REF!+#REF!+#REF!+#REF!+#REF!+#REF!+#REF!+#REF!+#REF!+#REF!+#REF!</f>
        <v>#REF!</v>
      </c>
      <c r="BY22" s="5" t="e">
        <f>+#REF!+#REF!+#REF!+#REF!+#REF!+#REF!+#REF!+#REF!+#REF!+#REF!+#REF!+#REF!</f>
        <v>#REF!</v>
      </c>
      <c r="BZ22" s="5" t="e">
        <f>+#REF!+#REF!+#REF!+#REF!+#REF!+#REF!+#REF!+#REF!+#REF!+#REF!+#REF!+#REF!</f>
        <v>#REF!</v>
      </c>
      <c r="CA22" s="5" t="e">
        <f>+#REF!+#REF!+#REF!+#REF!+#REF!+#REF!+#REF!+#REF!+#REF!+#REF!+#REF!+#REF!</f>
        <v>#REF!</v>
      </c>
      <c r="CB22" s="5" t="e">
        <f t="shared" si="38"/>
        <v>#REF!</v>
      </c>
      <c r="CC22" s="33"/>
      <c r="CD22" s="2683"/>
      <c r="CF22" s="4" t="e">
        <f t="shared" si="39"/>
        <v>#REF!</v>
      </c>
      <c r="CG22" s="5" t="e">
        <f t="shared" si="5"/>
        <v>#REF!</v>
      </c>
      <c r="CH22" s="5" t="e">
        <f t="shared" si="5"/>
        <v>#REF!</v>
      </c>
      <c r="CI22" s="5" t="e">
        <f t="shared" si="5"/>
        <v>#REF!</v>
      </c>
      <c r="CJ22" s="5" t="e">
        <f t="shared" si="5"/>
        <v>#REF!</v>
      </c>
      <c r="CK22" s="5" t="e">
        <f t="shared" si="5"/>
        <v>#REF!</v>
      </c>
      <c r="CL22" s="33" t="e">
        <f t="shared" si="40"/>
        <v>#REF!</v>
      </c>
      <c r="CM22" s="2685"/>
      <c r="CN22" s="9" t="e">
        <f>+#REF!+#REF!+#REF!+#REF!+#REF!+#REF!+#REF!+#REF!+#REF!+#REF!+#REF!+#REF!</f>
        <v>#REF!</v>
      </c>
      <c r="CO22" s="5" t="e">
        <f>+#REF!+#REF!+#REF!+#REF!+#REF!+#REF!+#REF!+#REF!+#REF!+#REF!+#REF!+#REF!</f>
        <v>#REF!</v>
      </c>
      <c r="CP22" s="5" t="e">
        <f>+#REF!+#REF!+#REF!+#REF!+#REF!+#REF!+#REF!+#REF!+#REF!+#REF!+#REF!+#REF!</f>
        <v>#REF!</v>
      </c>
      <c r="CQ22" s="5" t="e">
        <f>+#REF!+#REF!+#REF!+#REF!+#REF!+#REF!+#REF!+#REF!+#REF!+#REF!+#REF!+#REF!</f>
        <v>#REF!</v>
      </c>
      <c r="CR22" s="5" t="e">
        <f>+#REF!+#REF!+#REF!+#REF!+#REF!+#REF!+#REF!+#REF!+#REF!+#REF!+#REF!+#REF!</f>
        <v>#REF!</v>
      </c>
      <c r="CS22" s="5" t="e">
        <f>+#REF!+#REF!+#REF!+#REF!+#REF!+#REF!+#REF!+#REF!+#REF!+#REF!+#REF!+#REF!</f>
        <v>#REF!</v>
      </c>
      <c r="CT22" s="28" t="e">
        <f t="shared" si="41"/>
        <v>#REF!</v>
      </c>
      <c r="CU22" s="36" t="e">
        <f>+#REF!+#REF!+#REF!+#REF!+#REF!+#REF!+#REF!+#REF!+#REF!+#REF!+#REF!+#REF!</f>
        <v>#REF!</v>
      </c>
      <c r="CV22" s="27" t="e">
        <f>+#REF!+#REF!+#REF!+#REF!+#REF!+#REF!+#REF!+#REF!+#REF!+#REF!+#REF!+#REF!</f>
        <v>#REF!</v>
      </c>
      <c r="CW22" s="27" t="e">
        <f>+#REF!+#REF!+#REF!+#REF!+#REF!+#REF!+#REF!+#REF!+#REF!+#REF!+#REF!+#REF!</f>
        <v>#REF!</v>
      </c>
      <c r="CX22" s="27" t="e">
        <f>+#REF!+#REF!+#REF!+#REF!+#REF!+#REF!+#REF!+#REF!+#REF!+#REF!+#REF!+#REF!</f>
        <v>#REF!</v>
      </c>
      <c r="CY22" s="27" t="e">
        <f>+#REF!+#REF!+#REF!+#REF!+#REF!+#REF!+#REF!+#REF!+#REF!+#REF!+#REF!+#REF!</f>
        <v>#REF!</v>
      </c>
      <c r="CZ22" s="27" t="e">
        <f>+#REF!+#REF!+#REF!+#REF!+#REF!+#REF!+#REF!+#REF!+#REF!+#REF!+#REF!+#REF!</f>
        <v>#REF!</v>
      </c>
      <c r="DA22" s="28" t="e">
        <f t="shared" si="42"/>
        <v>#REF!</v>
      </c>
      <c r="DB22" s="36" t="e">
        <f>+#REF!+#REF!+#REF!+#REF!+#REF!+#REF!+#REF!+#REF!+#REF!+#REF!+#REF!+#REF!</f>
        <v>#REF!</v>
      </c>
      <c r="DC22" s="27" t="e">
        <f>+#REF!+#REF!+#REF!+#REF!+#REF!+#REF!+#REF!+#REF!+#REF!+#REF!+#REF!+#REF!</f>
        <v>#REF!</v>
      </c>
      <c r="DD22" s="27" t="e">
        <f>+#REF!+#REF!+#REF!+#REF!+#REF!+#REF!+#REF!+#REF!+#REF!+#REF!+#REF!+#REF!</f>
        <v>#REF!</v>
      </c>
      <c r="DE22" s="27" t="e">
        <f>+#REF!+#REF!+#REF!+#REF!+#REF!+#REF!+#REF!+#REF!+#REF!+#REF!+#REF!+#REF!</f>
        <v>#REF!</v>
      </c>
      <c r="DF22" s="27" t="e">
        <f>+#REF!+#REF!+#REF!+#REF!+#REF!+#REF!+#REF!+#REF!+#REF!+#REF!+#REF!+#REF!</f>
        <v>#REF!</v>
      </c>
      <c r="DG22" s="27" t="e">
        <f>+#REF!+#REF!+#REF!+#REF!+#REF!+#REF!+#REF!+#REF!+#REF!+#REF!+#REF!+#REF!</f>
        <v>#REF!</v>
      </c>
      <c r="DH22" s="28" t="e">
        <f t="shared" si="43"/>
        <v>#REF!</v>
      </c>
      <c r="DI22" s="36" t="e">
        <f>+#REF!+#REF!+#REF!+#REF!+#REF!+#REF!+#REF!+#REF!+#REF!+#REF!+#REF!+#REF!</f>
        <v>#REF!</v>
      </c>
      <c r="DJ22" s="27" t="e">
        <f>+#REF!+#REF!+#REF!+#REF!+#REF!+#REF!+#REF!+#REF!+#REF!+#REF!+#REF!+#REF!</f>
        <v>#REF!</v>
      </c>
      <c r="DK22" s="27" t="e">
        <f>+#REF!+#REF!+#REF!+#REF!+#REF!+#REF!+#REF!+#REF!+#REF!+#REF!+#REF!+#REF!</f>
        <v>#REF!</v>
      </c>
      <c r="DL22" s="27" t="e">
        <f>+#REF!+#REF!+#REF!+#REF!+#REF!+#REF!+#REF!+#REF!+#REF!+#REF!+#REF!+#REF!</f>
        <v>#REF!</v>
      </c>
      <c r="DM22" s="27" t="e">
        <f>+#REF!+#REF!+#REF!+#REF!+#REF!+#REF!+#REF!+#REF!+#REF!+#REF!+#REF!+#REF!</f>
        <v>#REF!</v>
      </c>
      <c r="DN22" s="27" t="e">
        <f>+#REF!+#REF!+#REF!+#REF!+#REF!+#REF!+#REF!+#REF!+#REF!+#REF!+#REF!+#REF!</f>
        <v>#REF!</v>
      </c>
      <c r="DO22" s="33" t="e">
        <f t="shared" si="44"/>
        <v>#REF!</v>
      </c>
      <c r="DP22" s="2685"/>
      <c r="DR22" s="4" t="e">
        <f t="shared" si="45"/>
        <v>#REF!</v>
      </c>
      <c r="DS22" s="5" t="e">
        <f t="shared" si="46"/>
        <v>#REF!</v>
      </c>
      <c r="DT22" s="5" t="e">
        <f t="shared" si="47"/>
        <v>#REF!</v>
      </c>
      <c r="DU22" s="12" t="e">
        <f t="shared" si="48"/>
        <v>#REF!</v>
      </c>
      <c r="DV22" s="33"/>
      <c r="DW22" s="2674"/>
      <c r="DX22" s="9" t="e">
        <f>+#REF!+#REF!+#REF!+#REF!+#REF!+#REF!+#REF!+#REF!+#REF!+#REF!+#REF!+#REF!</f>
        <v>#REF!</v>
      </c>
      <c r="DY22" s="5" t="e">
        <f>+#REF!+#REF!+#REF!+#REF!+#REF!+#REF!+#REF!+#REF!+#REF!+#REF!+#REF!+#REF!</f>
        <v>#REF!</v>
      </c>
      <c r="DZ22" s="5" t="e">
        <f>+#REF!+#REF!+#REF!+#REF!+#REF!+#REF!+#REF!+#REF!+#REF!+#REF!+#REF!+#REF!</f>
        <v>#REF!</v>
      </c>
      <c r="EA22" s="5" t="e">
        <f>+#REF!+#REF!+#REF!+#REF!+#REF!+#REF!+#REF!+#REF!+#REF!+#REF!+#REF!+#REF!</f>
        <v>#REF!</v>
      </c>
      <c r="EB22" s="5" t="e">
        <f>+#REF!+#REF!+#REF!+#REF!+#REF!+#REF!+#REF!+#REF!+#REF!+#REF!+#REF!+#REF!</f>
        <v>#REF!</v>
      </c>
      <c r="EC22" s="27" t="e">
        <f>+#REF!+#REF!+#REF!+#REF!+#REF!+#REF!+#REF!+#REF!+#REF!+#REF!+#REF!+#REF!</f>
        <v>#REF!</v>
      </c>
      <c r="ED22" s="28" t="e">
        <f t="shared" si="49"/>
        <v>#REF!</v>
      </c>
      <c r="EE22" s="36" t="e">
        <f>+#REF!+#REF!+#REF!+#REF!+#REF!+#REF!+#REF!+#REF!+#REF!+#REF!+#REF!+#REF!</f>
        <v>#REF!</v>
      </c>
      <c r="EF22" s="27" t="e">
        <f>+#REF!+#REF!+#REF!+#REF!+#REF!+#REF!+#REF!+#REF!+#REF!+#REF!+#REF!+#REF!</f>
        <v>#REF!</v>
      </c>
      <c r="EG22" s="27" t="e">
        <f>+#REF!+#REF!+#REF!+#REF!+#REF!+#REF!+#REF!+#REF!+#REF!+#REF!+#REF!+#REF!</f>
        <v>#REF!</v>
      </c>
      <c r="EH22" s="27" t="e">
        <f>+#REF!+#REF!+#REF!+#REF!+#REF!+#REF!+#REF!+#REF!+#REF!+#REF!+#REF!+#REF!</f>
        <v>#REF!</v>
      </c>
      <c r="EI22" s="27" t="e">
        <f>+#REF!+#REF!+#REF!+#REF!+#REF!+#REF!+#REF!+#REF!+#REF!+#REF!+#REF!+#REF!</f>
        <v>#REF!</v>
      </c>
      <c r="EJ22" s="27" t="e">
        <f>+#REF!+#REF!+#REF!+#REF!+#REF!+#REF!+#REF!+#REF!+#REF!+#REF!+#REF!+#REF!</f>
        <v>#REF!</v>
      </c>
      <c r="EK22" s="28" t="e">
        <f t="shared" si="50"/>
        <v>#REF!</v>
      </c>
      <c r="EL22" s="36" t="e">
        <f>+#REF!+#REF!+#REF!+#REF!+#REF!+#REF!+#REF!+#REF!+#REF!+#REF!+#REF!+#REF!</f>
        <v>#REF!</v>
      </c>
      <c r="EM22" s="27" t="e">
        <f>+#REF!+#REF!+#REF!+#REF!+#REF!+#REF!+#REF!+#REF!+#REF!+#REF!+#REF!+#REF!</f>
        <v>#REF!</v>
      </c>
      <c r="EN22" s="27" t="e">
        <f>+#REF!+#REF!+#REF!+#REF!+#REF!+#REF!+#REF!+#REF!+#REF!+#REF!+#REF!+#REF!</f>
        <v>#REF!</v>
      </c>
      <c r="EO22" s="27" t="e">
        <f>+#REF!+#REF!+#REF!+#REF!+#REF!+#REF!+#REF!+#REF!+#REF!+#REF!+#REF!+#REF!</f>
        <v>#REF!</v>
      </c>
      <c r="EP22" s="27" t="e">
        <f>+#REF!+#REF!+#REF!+#REF!+#REF!+#REF!+#REF!+#REF!+#REF!+#REF!+#REF!+#REF!</f>
        <v>#REF!</v>
      </c>
      <c r="EQ22" s="27" t="e">
        <f>+#REF!+#REF!+#REF!+#REF!+#REF!+#REF!+#REF!+#REF!+#REF!+#REF!+#REF!+#REF!</f>
        <v>#REF!</v>
      </c>
      <c r="ER22" s="33" t="e">
        <f t="shared" si="51"/>
        <v>#REF!</v>
      </c>
      <c r="ES22" s="2674"/>
      <c r="EU22" s="4" t="e">
        <f t="shared" si="52"/>
        <v>#REF!</v>
      </c>
      <c r="EV22" s="5" t="e">
        <f t="shared" si="53"/>
        <v>#REF!</v>
      </c>
      <c r="EW22" s="27" t="e">
        <f t="shared" si="54"/>
        <v>#REF!</v>
      </c>
      <c r="EX22" s="27" t="e">
        <f t="shared" si="55"/>
        <v>#REF!</v>
      </c>
      <c r="EY22" s="141"/>
      <c r="EZ22" s="141"/>
      <c r="FA22" s="33"/>
      <c r="FB22" s="2667"/>
      <c r="FC22" s="36" t="e">
        <f>+#REF!+#REF!+#REF!+#REF!+#REF!+#REF!+#REF!+#REF!+#REF!+#REF!+#REF!+#REF!</f>
        <v>#REF!</v>
      </c>
      <c r="FD22" s="27" t="e">
        <f>+#REF!+#REF!+#REF!+#REF!+#REF!+#REF!+#REF!+#REF!+#REF!+#REF!+#REF!+#REF!</f>
        <v>#REF!</v>
      </c>
      <c r="FE22" s="27"/>
      <c r="FF22" s="27"/>
      <c r="FG22" s="33" t="e">
        <f t="shared" si="56"/>
        <v>#REF!</v>
      </c>
      <c r="FH22" s="2667"/>
      <c r="FI22" s="36" t="e">
        <f>+#REF!+#REF!+#REF!+#REF!+#REF!+#REF!+#REF!+#REF!+#REF!+#REF!+#REF!+#REF!</f>
        <v>#REF!</v>
      </c>
      <c r="FJ22" s="27" t="e">
        <f>+#REF!+#REF!+#REF!+#REF!+#REF!+#REF!+#REF!+#REF!+#REF!+#REF!+#REF!+#REF!</f>
        <v>#REF!</v>
      </c>
      <c r="FK22" s="27" t="e">
        <f>+#REF!+#REF!+#REF!+#REF!+#REF!+#REF!+#REF!+#REF!+#REF!+#REF!+#REF!+#REF!</f>
        <v>#REF!</v>
      </c>
      <c r="FL22" s="27" t="e">
        <f>+#REF!+#REF!+#REF!+#REF!+#REF!+#REF!+#REF!+#REF!+#REF!+#REF!+#REF!+#REF!</f>
        <v>#REF!</v>
      </c>
      <c r="FM22" s="27" t="e">
        <f>+#REF!+#REF!+#REF!+#REF!+#REF!+#REF!+#REF!+#REF!+#REF!+#REF!+#REF!+#REF!</f>
        <v>#REF!</v>
      </c>
      <c r="FN22" s="27" t="e">
        <f>+#REF!+#REF!+#REF!+#REF!+#REF!+#REF!+#REF!+#REF!+#REF!+#REF!+#REF!+#REF!</f>
        <v>#REF!</v>
      </c>
      <c r="FO22" s="27" t="e">
        <f>+#REF!+#REF!+#REF!+#REF!+#REF!+#REF!+#REF!+#REF!+#REF!+#REF!+#REF!+#REF!</f>
        <v>#REF!</v>
      </c>
      <c r="FP22" s="27" t="e">
        <f>+#REF!+#REF!+#REF!+#REF!+#REF!+#REF!+#REF!+#REF!+#REF!+#REF!+#REF!+#REF!</f>
        <v>#REF!</v>
      </c>
      <c r="FQ22" s="28" t="e">
        <f t="shared" si="80"/>
        <v>#REF!</v>
      </c>
      <c r="FR22" s="26" t="e">
        <f>+#REF!+#REF!+#REF!+#REF!+#REF!+#REF!+#REF!+#REF!+#REF!+#REF!+#REF!+#REF!</f>
        <v>#REF!</v>
      </c>
      <c r="FS22" s="27" t="e">
        <f>+#REF!+#REF!+#REF!+#REF!+#REF!+#REF!+#REF!+#REF!+#REF!+#REF!+#REF!+#REF!</f>
        <v>#REF!</v>
      </c>
      <c r="FT22" s="27" t="e">
        <f>+#REF!+#REF!+#REF!+#REF!+#REF!+#REF!+#REF!+#REF!+#REF!+#REF!+#REF!+#REF!</f>
        <v>#REF!</v>
      </c>
      <c r="FU22" s="27" t="e">
        <f>+#REF!+#REF!+#REF!+#REF!+#REF!+#REF!+#REF!+#REF!+#REF!+#REF!+#REF!+#REF!</f>
        <v>#REF!</v>
      </c>
      <c r="FV22" s="27" t="e">
        <f>+#REF!+#REF!+#REF!+#REF!+#REF!+#REF!+#REF!+#REF!+#REF!+#REF!+#REF!+#REF!</f>
        <v>#REF!</v>
      </c>
      <c r="FW22" s="27" t="e">
        <f>+#REF!+#REF!+#REF!+#REF!+#REF!+#REF!+#REF!+#REF!+#REF!+#REF!+#REF!+#REF!</f>
        <v>#REF!</v>
      </c>
      <c r="FX22" s="27" t="e">
        <f>+#REF!+#REF!+#REF!+#REF!+#REF!+#REF!+#REF!+#REF!+#REF!+#REF!+#REF!+#REF!</f>
        <v>#REF!</v>
      </c>
      <c r="FY22" s="27" t="e">
        <f>+#REF!+#REF!+#REF!+#REF!+#REF!+#REF!+#REF!+#REF!+#REF!+#REF!+#REF!+#REF!</f>
        <v>#REF!</v>
      </c>
      <c r="FZ22" s="28" t="e">
        <f t="shared" si="57"/>
        <v>#REF!</v>
      </c>
      <c r="GA22" s="36" t="e">
        <f>+#REF!+#REF!+#REF!+#REF!+#REF!+#REF!+#REF!+#REF!+#REF!+#REF!+#REF!+#REF!</f>
        <v>#REF!</v>
      </c>
      <c r="GB22" s="27" t="e">
        <f>+#REF!+#REF!+#REF!+#REF!+#REF!+#REF!+#REF!+#REF!+#REF!+#REF!+#REF!+#REF!</f>
        <v>#REF!</v>
      </c>
      <c r="GC22" s="27" t="e">
        <f>+#REF!+#REF!+#REF!+#REF!+#REF!+#REF!+#REF!+#REF!+#REF!+#REF!+#REF!+#REF!</f>
        <v>#REF!</v>
      </c>
      <c r="GD22" s="27" t="e">
        <f>+#REF!+#REF!+#REF!+#REF!+#REF!+#REF!+#REF!+#REF!+#REF!+#REF!+#REF!+#REF!</f>
        <v>#REF!</v>
      </c>
      <c r="GE22" s="27" t="e">
        <f>+#REF!+#REF!+#REF!+#REF!+#REF!+#REF!+#REF!+#REF!+#REF!+#REF!+#REF!+#REF!</f>
        <v>#REF!</v>
      </c>
      <c r="GF22" s="27" t="e">
        <f>+#REF!+#REF!+#REF!+#REF!+#REF!+#REF!+#REF!+#REF!+#REF!+#REF!+#REF!+#REF!</f>
        <v>#REF!</v>
      </c>
      <c r="GG22" s="27" t="e">
        <f>+#REF!+#REF!+#REF!+#REF!+#REF!+#REF!+#REF!+#REF!+#REF!+#REF!+#REF!+#REF!</f>
        <v>#REF!</v>
      </c>
      <c r="GH22" s="27" t="e">
        <f>+#REF!+#REF!+#REF!+#REF!+#REF!+#REF!+#REF!+#REF!+#REF!+#REF!+#REF!+#REF!</f>
        <v>#REF!</v>
      </c>
      <c r="GI22" s="33" t="e">
        <f t="shared" si="58"/>
        <v>#REF!</v>
      </c>
      <c r="GJ22" s="2667"/>
      <c r="GL22" s="26" t="e">
        <f>+#REF!+#REF!+#REF!+#REF!+#REF!+#REF!+#REF!+#REF!+#REF!+#REF!+#REF!+#REF!</f>
        <v>#REF!</v>
      </c>
      <c r="GM22" s="36" t="e">
        <f>+#REF!+#REF!+#REF!+#REF!+#REF!+#REF!+#REF!+#REF!+#REF!+#REF!+#REF!+#REF!</f>
        <v>#REF!</v>
      </c>
      <c r="GN22" s="27" t="e">
        <f>+#REF!+#REF!+#REF!+#REF!+#REF!+#REF!+#REF!+#REF!+#REF!+#REF!+#REF!+#REF!</f>
        <v>#REF!</v>
      </c>
      <c r="GO22" s="27" t="e">
        <f t="shared" si="59"/>
        <v>#REF!</v>
      </c>
      <c r="GP22" s="33"/>
      <c r="GQ22" s="2669"/>
      <c r="GR22" s="69"/>
      <c r="GS22" s="70"/>
      <c r="GT22" s="70"/>
      <c r="GU22" s="70"/>
      <c r="GV22" s="70"/>
      <c r="GW22" s="70"/>
      <c r="GX22" s="70"/>
      <c r="GY22" s="71"/>
      <c r="GZ22" s="69"/>
      <c r="HA22" s="70"/>
      <c r="HB22" s="70"/>
      <c r="HC22" s="70"/>
      <c r="HD22" s="70"/>
      <c r="HE22" s="70"/>
      <c r="HF22" s="70"/>
      <c r="HG22" s="71"/>
      <c r="HH22" s="69"/>
      <c r="HI22" s="70"/>
      <c r="HJ22" s="70"/>
      <c r="HK22" s="70"/>
      <c r="HL22" s="70"/>
      <c r="HM22" s="70"/>
      <c r="HN22" s="70"/>
      <c r="HO22" s="70"/>
      <c r="HP22" s="33"/>
      <c r="HQ22" s="2669"/>
      <c r="HR22" s="36"/>
      <c r="HS22" s="53"/>
      <c r="HT22" s="53"/>
      <c r="HU22" s="53"/>
      <c r="HV22" s="61"/>
      <c r="HW22" s="36"/>
      <c r="HX22" s="53"/>
      <c r="HY22" s="53"/>
      <c r="HZ22" s="53"/>
      <c r="IA22" s="61"/>
      <c r="IB22" s="36"/>
      <c r="IC22" s="53"/>
      <c r="ID22" s="53"/>
      <c r="IE22" s="53"/>
      <c r="IF22" s="53"/>
      <c r="IG22" s="33"/>
      <c r="IH22" s="2669"/>
      <c r="IJ22" s="26" t="e">
        <f t="shared" si="60"/>
        <v>#REF!</v>
      </c>
      <c r="IK22" s="36" t="e">
        <f t="shared" si="6"/>
        <v>#REF!</v>
      </c>
      <c r="IL22" s="27" t="e">
        <f t="shared" si="6"/>
        <v>#REF!</v>
      </c>
      <c r="IM22" s="28" t="e">
        <f t="shared" si="61"/>
        <v>#REF!</v>
      </c>
      <c r="IN22" s="36"/>
      <c r="IO22" s="27"/>
      <c r="IP22" s="27"/>
      <c r="IQ22" s="33"/>
      <c r="IR22" s="55"/>
      <c r="IS22" s="21"/>
      <c r="IT22" s="2688"/>
      <c r="IU22" s="36" t="e">
        <f>+#REF!+#REF!+#REF!+#REF!+#REF!+#REF!+#REF!+#REF!+#REF!+#REF!+#REF!+#REF!</f>
        <v>#REF!</v>
      </c>
      <c r="IV22" s="36" t="e">
        <f>+#REF!+#REF!+#REF!+#REF!+#REF!+#REF!+#REF!+#REF!+#REF!+#REF!+#REF!+#REF!</f>
        <v>#REF!</v>
      </c>
      <c r="IW22" s="27" t="e">
        <f>+#REF!+#REF!+#REF!+#REF!+#REF!+#REF!+#REF!+#REF!+#REF!+#REF!+#REF!+#REF!</f>
        <v>#REF!</v>
      </c>
      <c r="IX22" s="27" t="e">
        <f>+#REF!+#REF!+#REF!+#REF!+#REF!+#REF!+#REF!+#REF!+#REF!+#REF!+#REF!+#REF!</f>
        <v>#REF!</v>
      </c>
      <c r="IY22" s="27" t="e">
        <f>+#REF!+#REF!+#REF!+#REF!+#REF!+#REF!+#REF!+#REF!+#REF!+#REF!+#REF!+#REF!</f>
        <v>#REF!</v>
      </c>
      <c r="IZ22" s="28" t="e">
        <f t="shared" si="62"/>
        <v>#REF!</v>
      </c>
      <c r="JA22" s="26" t="e">
        <f>+#REF!+#REF!+#REF!+#REF!+#REF!+#REF!+#REF!+#REF!+#REF!+#REF!+#REF!+#REF!</f>
        <v>#REF!</v>
      </c>
      <c r="JB22" s="36" t="e">
        <f>+#REF!+#REF!+#REF!+#REF!+#REF!+#REF!+#REF!+#REF!+#REF!+#REF!+#REF!+#REF!</f>
        <v>#REF!</v>
      </c>
      <c r="JC22" s="27" t="e">
        <f>+#REF!+#REF!+#REF!+#REF!+#REF!+#REF!+#REF!+#REF!+#REF!+#REF!+#REF!+#REF!</f>
        <v>#REF!</v>
      </c>
      <c r="JD22" s="27" t="e">
        <f>+#REF!+#REF!+#REF!+#REF!+#REF!+#REF!+#REF!+#REF!+#REF!+#REF!+#REF!+#REF!</f>
        <v>#REF!</v>
      </c>
      <c r="JE22" s="28" t="e">
        <f>+#REF!+#REF!+#REF!+#REF!+#REF!+#REF!+#REF!+#REF!+#REF!+#REF!+#REF!+#REF!</f>
        <v>#REF!</v>
      </c>
      <c r="JF22" s="26" t="e">
        <f>+#REF!+#REF!+#REF!+#REF!+#REF!+#REF!+#REF!+#REF!+#REF!+#REF!+#REF!+#REF!</f>
        <v>#REF!</v>
      </c>
      <c r="JG22" s="36" t="e">
        <f>+#REF!+#REF!+#REF!+#REF!+#REF!+#REF!+#REF!+#REF!+#REF!+#REF!+#REF!+#REF!</f>
        <v>#REF!</v>
      </c>
      <c r="JH22" s="27" t="e">
        <f>+#REF!+#REF!+#REF!+#REF!+#REF!+#REF!+#REF!+#REF!+#REF!+#REF!+#REF!+#REF!</f>
        <v>#REF!</v>
      </c>
      <c r="JI22" s="27" t="e">
        <f>+#REF!+#REF!+#REF!+#REF!+#REF!+#REF!+#REF!+#REF!+#REF!+#REF!+#REF!+#REF!</f>
        <v>#REF!</v>
      </c>
      <c r="JJ22" s="27" t="e">
        <f>+#REF!+#REF!+#REF!+#REF!+#REF!+#REF!+#REF!+#REF!+#REF!+#REF!+#REF!+#REF!</f>
        <v>#REF!</v>
      </c>
      <c r="JK22" s="28" t="e">
        <f t="shared" si="63"/>
        <v>#REF!</v>
      </c>
      <c r="JL22" s="26" t="e">
        <f>+#REF!+#REF!+#REF!+#REF!+#REF!+#REF!+#REF!+#REF!+#REF!+#REF!+#REF!+#REF!</f>
        <v>#REF!</v>
      </c>
      <c r="JM22" s="36" t="e">
        <f>+#REF!+#REF!+#REF!+#REF!+#REF!+#REF!+#REF!+#REF!+#REF!+#REF!+#REF!+#REF!</f>
        <v>#REF!</v>
      </c>
      <c r="JN22" s="27" t="e">
        <f>+#REF!+#REF!+#REF!+#REF!+#REF!+#REF!+#REF!+#REF!+#REF!+#REF!+#REF!+#REF!</f>
        <v>#REF!</v>
      </c>
      <c r="JO22" s="27" t="e">
        <f>+#REF!+#REF!+#REF!+#REF!+#REF!+#REF!+#REF!+#REF!+#REF!+#REF!+#REF!+#REF!</f>
        <v>#REF!</v>
      </c>
      <c r="JP22" s="28" t="e">
        <f>+#REF!+#REF!+#REF!+#REF!+#REF!+#REF!+#REF!+#REF!+#REF!+#REF!+#REF!+#REF!</f>
        <v>#REF!</v>
      </c>
      <c r="JQ22" s="275" t="e">
        <f t="shared" si="64"/>
        <v>#REF!</v>
      </c>
      <c r="JR22" s="36" t="e">
        <f>+#REF!+#REF!+#REF!+#REF!+#REF!+#REF!+#REF!+#REF!+#REF!+#REF!+#REF!+#REF!</f>
        <v>#REF!</v>
      </c>
      <c r="JS22" s="36" t="e">
        <f>+#REF!+#REF!+#REF!+#REF!+#REF!+#REF!+#REF!+#REF!+#REF!+#REF!+#REF!+#REF!</f>
        <v>#REF!</v>
      </c>
      <c r="JT22" s="27" t="e">
        <f>+#REF!+#REF!+#REF!+#REF!+#REF!+#REF!+#REF!+#REF!+#REF!+#REF!+#REF!+#REF!</f>
        <v>#REF!</v>
      </c>
      <c r="JU22" s="27" t="e">
        <f>+#REF!+#REF!+#REF!+#REF!+#REF!+#REF!+#REF!+#REF!+#REF!+#REF!+#REF!+#REF!</f>
        <v>#REF!</v>
      </c>
      <c r="JV22" s="27" t="e">
        <f>+#REF!+#REF!+#REF!+#REF!+#REF!+#REF!+#REF!+#REF!+#REF!+#REF!+#REF!+#REF!</f>
        <v>#REF!</v>
      </c>
      <c r="JW22" s="33" t="e">
        <f t="shared" si="65"/>
        <v>#REF!</v>
      </c>
      <c r="JX22" s="2688"/>
      <c r="JZ22" s="26" t="e">
        <f t="shared" si="66"/>
        <v>#REF!</v>
      </c>
      <c r="KA22" s="27" t="e">
        <f t="shared" si="67"/>
        <v>#REF!</v>
      </c>
      <c r="KB22" s="27" t="e">
        <f t="shared" si="68"/>
        <v>#REF!</v>
      </c>
      <c r="KC22" s="33" t="e">
        <f t="shared" si="69"/>
        <v>#REF!</v>
      </c>
      <c r="KD22" s="2621"/>
      <c r="KE22" s="36" t="e">
        <f t="shared" si="7"/>
        <v>#REF!</v>
      </c>
      <c r="KF22" s="36" t="e">
        <f t="shared" si="7"/>
        <v>#REF!</v>
      </c>
      <c r="KG22" s="27" t="e">
        <f t="shared" si="7"/>
        <v>#REF!</v>
      </c>
      <c r="KH22" s="28" t="e">
        <f t="shared" si="81"/>
        <v>#REF!</v>
      </c>
      <c r="KI22" s="36" t="e">
        <f t="shared" si="82"/>
        <v>#REF!</v>
      </c>
      <c r="KJ22" s="27" t="e">
        <f t="shared" si="8"/>
        <v>#REF!</v>
      </c>
      <c r="KK22" s="27" t="e">
        <f t="shared" si="8"/>
        <v>#REF!</v>
      </c>
      <c r="KL22" s="27" t="e">
        <f t="shared" si="8"/>
        <v>#REF!</v>
      </c>
      <c r="KM22" s="27" t="e">
        <f t="shared" si="8"/>
        <v>#REF!</v>
      </c>
      <c r="KN22" s="27" t="e">
        <f t="shared" si="8"/>
        <v>#REF!</v>
      </c>
      <c r="KO22" s="28" t="e">
        <f t="shared" si="83"/>
        <v>#REF!</v>
      </c>
      <c r="KP22" s="36" t="e">
        <f t="shared" si="9"/>
        <v>#REF!</v>
      </c>
      <c r="KQ22" s="27" t="e">
        <f t="shared" si="9"/>
        <v>#REF!</v>
      </c>
      <c r="KR22" s="27" t="e">
        <f t="shared" si="9"/>
        <v>#REF!</v>
      </c>
      <c r="KS22" s="27" t="e">
        <f t="shared" si="9"/>
        <v>#REF!</v>
      </c>
      <c r="KT22" s="27" t="e">
        <f t="shared" si="9"/>
        <v>#REF!</v>
      </c>
      <c r="KU22" s="27" t="e">
        <f t="shared" si="9"/>
        <v>#REF!</v>
      </c>
      <c r="KV22" s="28" t="e">
        <f t="shared" si="84"/>
        <v>#REF!</v>
      </c>
      <c r="KW22" s="36" t="e">
        <f t="shared" si="10"/>
        <v>#REF!</v>
      </c>
      <c r="KX22" s="27" t="e">
        <f t="shared" si="10"/>
        <v>#REF!</v>
      </c>
      <c r="KY22" s="27" t="e">
        <f t="shared" si="10"/>
        <v>#REF!</v>
      </c>
      <c r="KZ22" s="27" t="e">
        <f t="shared" si="10"/>
        <v>#REF!</v>
      </c>
      <c r="LA22" s="27" t="e">
        <f t="shared" si="10"/>
        <v>#REF!</v>
      </c>
      <c r="LB22" s="27" t="e">
        <f t="shared" si="10"/>
        <v>#REF!</v>
      </c>
      <c r="LC22" s="28" t="e">
        <f t="shared" si="85"/>
        <v>#REF!</v>
      </c>
      <c r="LD22" s="36"/>
      <c r="LE22" s="27"/>
      <c r="LF22" s="27"/>
      <c r="LG22" s="27"/>
      <c r="LH22" s="27"/>
      <c r="LI22" s="27"/>
      <c r="LJ22" s="28">
        <f t="shared" si="70"/>
        <v>0</v>
      </c>
      <c r="LK22" s="36" t="e">
        <f t="shared" si="11"/>
        <v>#REF!</v>
      </c>
      <c r="LL22" s="27" t="e">
        <f t="shared" si="11"/>
        <v>#REF!</v>
      </c>
      <c r="LM22" s="27" t="e">
        <f t="shared" si="11"/>
        <v>#REF!</v>
      </c>
      <c r="LN22" s="27" t="e">
        <f t="shared" si="11"/>
        <v>#REF!</v>
      </c>
      <c r="LO22" s="27" t="e">
        <f t="shared" si="11"/>
        <v>#REF!</v>
      </c>
      <c r="LP22" s="27" t="e">
        <f t="shared" si="11"/>
        <v>#REF!</v>
      </c>
      <c r="LQ22" s="33" t="e">
        <f t="shared" si="71"/>
        <v>#REF!</v>
      </c>
      <c r="LR22" s="2621"/>
      <c r="LT22" s="4" t="e">
        <f>+#REF!+#REF!+#REF!+#REF!+#REF!+#REF!+#REF!+#REF!+#REF!+#REF!+#REF!+#REF!</f>
        <v>#REF!</v>
      </c>
      <c r="LU22" s="5" t="e">
        <f>+#REF!+#REF!+#REF!+#REF!+#REF!+#REF!+#REF!+#REF!+#REF!+#REF!+#REF!+#REF!</f>
        <v>#REF!</v>
      </c>
      <c r="LV22" s="5" t="e">
        <f t="shared" si="72"/>
        <v>#REF!</v>
      </c>
      <c r="LW22" s="12" t="e">
        <f t="shared" si="86"/>
        <v>#REF!</v>
      </c>
      <c r="LX22" s="15"/>
      <c r="LY22" s="2615"/>
      <c r="MA22" s="4" t="e">
        <f>+#REF!+#REF!+#REF!+#REF!+#REF!+#REF!+#REF!+#REF!+#REF!+#REF!+#REF!+#REF!</f>
        <v>#REF!</v>
      </c>
      <c r="MB22" s="5" t="e">
        <f t="shared" si="73"/>
        <v>#REF!</v>
      </c>
      <c r="MC22" s="5" t="e">
        <f>+#REF!+#REF!+#REF!+#REF!+#REF!+#REF!+#REF!+#REF!+#REF!+#REF!+#REF!+#REF!</f>
        <v>#REF!</v>
      </c>
      <c r="MD22" s="5" t="e">
        <f t="shared" si="74"/>
        <v>#REF!</v>
      </c>
      <c r="ME22" s="12" t="e">
        <f t="shared" si="75"/>
        <v>#REF!</v>
      </c>
      <c r="MF22" s="12"/>
      <c r="MG22" s="2615"/>
      <c r="MI22" s="139" t="e">
        <f t="shared" si="76"/>
        <v>#REF!</v>
      </c>
      <c r="MJ22" s="139" t="e">
        <f t="shared" si="77"/>
        <v>#REF!</v>
      </c>
      <c r="ML22" s="139" t="e">
        <f t="shared" si="78"/>
        <v>#REF!</v>
      </c>
      <c r="MM22" s="139" t="e">
        <f t="shared" si="79"/>
        <v>#REF!</v>
      </c>
      <c r="MO22" s="1">
        <f t="shared" si="12"/>
        <v>0</v>
      </c>
      <c r="MP22" s="1">
        <f t="shared" si="12"/>
        <v>0</v>
      </c>
      <c r="MQ22" s="1">
        <f t="shared" si="12"/>
        <v>0</v>
      </c>
      <c r="MR22" s="1">
        <f t="shared" si="12"/>
        <v>0</v>
      </c>
      <c r="MS22" s="1">
        <f t="shared" si="12"/>
        <v>0</v>
      </c>
      <c r="MT22" s="1">
        <f t="shared" si="12"/>
        <v>0</v>
      </c>
      <c r="MV22" s="1">
        <f t="shared" si="13"/>
        <v>0</v>
      </c>
      <c r="MW22" s="1">
        <f t="shared" si="13"/>
        <v>0</v>
      </c>
      <c r="MX22" s="1">
        <f t="shared" si="13"/>
        <v>0</v>
      </c>
      <c r="MY22" s="1">
        <f t="shared" si="13"/>
        <v>0</v>
      </c>
      <c r="MZ22" s="1">
        <f t="shared" si="13"/>
        <v>0</v>
      </c>
      <c r="NA22" s="1">
        <f t="shared" si="13"/>
        <v>0</v>
      </c>
    </row>
    <row r="23" spans="2:365" s="1" customFormat="1">
      <c r="B23" s="46">
        <v>14</v>
      </c>
      <c r="C23" s="4" t="e">
        <f t="shared" si="0"/>
        <v>#REF!</v>
      </c>
      <c r="D23" s="5" t="e">
        <f t="shared" si="1"/>
        <v>#REF!</v>
      </c>
      <c r="E23" s="61">
        <f t="shared" si="14"/>
        <v>0</v>
      </c>
      <c r="F23" s="52"/>
      <c r="G23" s="53"/>
      <c r="H23" s="53"/>
      <c r="I23" s="54"/>
      <c r="J23" s="2629"/>
      <c r="K23" s="9" t="e">
        <f t="shared" si="15"/>
        <v>#REF!</v>
      </c>
      <c r="L23" s="5" t="e">
        <f t="shared" si="2"/>
        <v>#REF!</v>
      </c>
      <c r="M23" s="64">
        <f t="shared" si="16"/>
        <v>0</v>
      </c>
      <c r="N23" s="28"/>
      <c r="O23" s="36" t="e">
        <f t="shared" si="17"/>
        <v>#REF!</v>
      </c>
      <c r="P23" s="27" t="e">
        <f t="shared" si="17"/>
        <v>#REF!</v>
      </c>
      <c r="Q23" s="53">
        <f t="shared" si="18"/>
        <v>0</v>
      </c>
      <c r="R23" s="28"/>
      <c r="S23" s="36" t="e">
        <f t="shared" si="19"/>
        <v>#REF!</v>
      </c>
      <c r="T23" s="27" t="e">
        <f t="shared" si="19"/>
        <v>#REF!</v>
      </c>
      <c r="U23" s="53">
        <f t="shared" si="3"/>
        <v>0</v>
      </c>
      <c r="V23" s="28"/>
      <c r="W23" s="36" t="e">
        <f t="shared" si="20"/>
        <v>#REF!</v>
      </c>
      <c r="X23" s="27" t="e">
        <f t="shared" si="4"/>
        <v>#REF!</v>
      </c>
      <c r="Y23" s="53">
        <f t="shared" si="21"/>
        <v>0</v>
      </c>
      <c r="Z23" s="28"/>
      <c r="AA23" s="26" t="e">
        <f t="shared" si="22"/>
        <v>#REF!</v>
      </c>
      <c r="AB23" s="27" t="e">
        <f t="shared" si="22"/>
        <v>#REF!</v>
      </c>
      <c r="AC23" s="53">
        <f t="shared" si="23"/>
        <v>0</v>
      </c>
      <c r="AD23" s="33"/>
      <c r="AE23" s="2629"/>
      <c r="AF23" s="9" t="e">
        <f>+#REF!+#REF!+#REF!+#REF!+#REF!+#REF!+#REF!+#REF!+#REF!+#REF!+#REF!+#REF!</f>
        <v>#REF!</v>
      </c>
      <c r="AG23" s="5" t="e">
        <f>+#REF!+#REF!+#REF!+#REF!+#REF!+#REF!+#REF!+#REF!+#REF!+#REF!+#REF!+#REF!</f>
        <v>#REF!</v>
      </c>
      <c r="AH23" s="61">
        <f t="shared" si="24"/>
        <v>0</v>
      </c>
      <c r="AI23" s="36" t="e">
        <f>+#REF!+#REF!+#REF!+#REF!+#REF!+#REF!+#REF!+#REF!+#REF!+#REF!+#REF!+#REF!</f>
        <v>#REF!</v>
      </c>
      <c r="AJ23" s="27" t="e">
        <f>+#REF!+#REF!+#REF!+#REF!+#REF!+#REF!+#REF!+#REF!+#REF!+#REF!+#REF!+#REF!</f>
        <v>#REF!</v>
      </c>
      <c r="AK23" s="61">
        <f t="shared" si="25"/>
        <v>0</v>
      </c>
      <c r="AL23" s="36" t="e">
        <f>+#REF!+#REF!+#REF!+#REF!+#REF!+#REF!+#REF!+#REF!+#REF!+#REF!+#REF!+#REF!</f>
        <v>#REF!</v>
      </c>
      <c r="AM23" s="27" t="e">
        <f>+#REF!+#REF!+#REF!+#REF!+#REF!+#REF!+#REF!+#REF!+#REF!+#REF!+#REF!+#REF!</f>
        <v>#REF!</v>
      </c>
      <c r="AN23" s="61">
        <f t="shared" si="26"/>
        <v>0</v>
      </c>
      <c r="AO23" s="36" t="e">
        <f>+#REF!+#REF!+#REF!+#REF!+#REF!+#REF!+#REF!+#REF!+#REF!+#REF!+#REF!+#REF!</f>
        <v>#REF!</v>
      </c>
      <c r="AP23" s="27" t="e">
        <f>+#REF!+#REF!+#REF!+#REF!+#REF!+#REF!+#REF!+#REF!+#REF!+#REF!+#REF!+#REF!</f>
        <v>#REF!</v>
      </c>
      <c r="AQ23" s="61">
        <f t="shared" si="27"/>
        <v>0</v>
      </c>
      <c r="AR23" s="36" t="e">
        <f>+#REF!+#REF!+#REF!+#REF!+#REF!+#REF!+#REF!+#REF!+#REF!+#REF!+#REF!+#REF!</f>
        <v>#REF!</v>
      </c>
      <c r="AS23" s="27" t="e">
        <f>+#REF!+#REF!+#REF!+#REF!+#REF!+#REF!+#REF!+#REF!+#REF!+#REF!+#REF!+#REF!</f>
        <v>#REF!</v>
      </c>
      <c r="AT23" s="61">
        <f t="shared" si="28"/>
        <v>0</v>
      </c>
      <c r="AU23" s="36" t="e">
        <f>+#REF!+#REF!+#REF!+#REF!+#REF!+#REF!+#REF!+#REF!+#REF!+#REF!+#REF!+#REF!</f>
        <v>#REF!</v>
      </c>
      <c r="AV23" s="27" t="e">
        <f>+#REF!+#REF!+#REF!+#REF!+#REF!+#REF!+#REF!+#REF!+#REF!+#REF!+#REF!+#REF!</f>
        <v>#REF!</v>
      </c>
      <c r="AW23" s="61">
        <f t="shared" si="29"/>
        <v>0</v>
      </c>
      <c r="AX23" s="36" t="e">
        <f>+#REF!+#REF!+#REF!+#REF!+#REF!+#REF!+#REF!+#REF!+#REF!+#REF!+#REF!+#REF!</f>
        <v>#REF!</v>
      </c>
      <c r="AY23" s="27" t="e">
        <f>+#REF!+#REF!+#REF!+#REF!+#REF!+#REF!+#REF!+#REF!+#REF!+#REF!+#REF!+#REF!</f>
        <v>#REF!</v>
      </c>
      <c r="AZ23" s="61">
        <f t="shared" si="30"/>
        <v>0</v>
      </c>
      <c r="BA23" s="36" t="e">
        <f>+#REF!+#REF!+#REF!+#REF!+#REF!+#REF!+#REF!+#REF!+#REF!+#REF!+#REF!+#REF!</f>
        <v>#REF!</v>
      </c>
      <c r="BB23" s="27" t="e">
        <f>+#REF!+#REF!+#REF!+#REF!+#REF!+#REF!+#REF!+#REF!+#REF!+#REF!+#REF!+#REF!</f>
        <v>#REF!</v>
      </c>
      <c r="BC23" s="61">
        <f t="shared" si="31"/>
        <v>0</v>
      </c>
      <c r="BD23" s="36" t="e">
        <f>+#REF!+#REF!+#REF!+#REF!+#REF!+#REF!+#REF!+#REF!+#REF!+#REF!+#REF!+#REF!</f>
        <v>#REF!</v>
      </c>
      <c r="BE23" s="27" t="e">
        <f>+#REF!+#REF!+#REF!+#REF!+#REF!+#REF!+#REF!+#REF!+#REF!+#REF!+#REF!+#REF!</f>
        <v>#REF!</v>
      </c>
      <c r="BF23" s="61">
        <f t="shared" si="32"/>
        <v>0</v>
      </c>
      <c r="BG23" s="36" t="e">
        <f>+#REF!+#REF!+#REF!+#REF!+#REF!+#REF!+#REF!+#REF!+#REF!+#REF!+#REF!+#REF!</f>
        <v>#REF!</v>
      </c>
      <c r="BH23" s="27" t="e">
        <f>+#REF!+#REF!+#REF!+#REF!+#REF!+#REF!+#REF!+#REF!+#REF!+#REF!+#REF!+#REF!</f>
        <v>#REF!</v>
      </c>
      <c r="BI23" s="61">
        <f t="shared" si="33"/>
        <v>0</v>
      </c>
      <c r="BJ23" s="36" t="e">
        <f>+#REF!+#REF!+#REF!+#REF!+#REF!+#REF!+#REF!+#REF!+#REF!+#REF!+#REF!+#REF!</f>
        <v>#REF!</v>
      </c>
      <c r="BK23" s="27" t="e">
        <f>+#REF!+#REF!+#REF!+#REF!+#REF!+#REF!+#REF!+#REF!+#REF!+#REF!+#REF!+#REF!</f>
        <v>#REF!</v>
      </c>
      <c r="BL23" s="61">
        <f t="shared" si="34"/>
        <v>0</v>
      </c>
      <c r="BM23" s="36" t="e">
        <f>+#REF!+#REF!+#REF!+#REF!+#REF!+#REF!+#REF!+#REF!+#REF!+#REF!+#REF!+#REF!</f>
        <v>#REF!</v>
      </c>
      <c r="BN23" s="27" t="e">
        <f>+#REF!+#REF!+#REF!+#REF!+#REF!+#REF!+#REF!+#REF!+#REF!+#REF!+#REF!+#REF!</f>
        <v>#REF!</v>
      </c>
      <c r="BO23" s="54">
        <f t="shared" si="35"/>
        <v>0</v>
      </c>
      <c r="BP23" s="26" t="e">
        <f>+#REF!+#REF!+#REF!+#REF!+#REF!+#REF!+#REF!+#REF!+#REF!+#REF!+#REF!+#REF!</f>
        <v>#REF!</v>
      </c>
      <c r="BQ23" s="27" t="e">
        <f>+#REF!+#REF!+#REF!+#REF!+#REF!+#REF!+#REF!+#REF!+#REF!+#REF!+#REF!+#REF!</f>
        <v>#REF!</v>
      </c>
      <c r="BR23" s="61">
        <f t="shared" si="36"/>
        <v>0</v>
      </c>
      <c r="BS23" s="26" t="e">
        <f>+#REF!+#REF!+#REF!+#REF!+#REF!+#REF!+#REF!+#REF!+#REF!+#REF!+#REF!+#REF!</f>
        <v>#REF!</v>
      </c>
      <c r="BT23" s="27" t="e">
        <f>+#REF!+#REF!+#REF!+#REF!+#REF!+#REF!+#REF!+#REF!+#REF!+#REF!+#REF!+#REF!</f>
        <v>#REF!</v>
      </c>
      <c r="BU23" s="61">
        <f t="shared" si="37"/>
        <v>0</v>
      </c>
      <c r="BV23" s="150"/>
      <c r="BW23" s="9" t="e">
        <f>+#REF!+#REF!+#REF!+#REF!+#REF!+#REF!+#REF!+#REF!+#REF!+#REF!+#REF!+#REF!</f>
        <v>#REF!</v>
      </c>
      <c r="BX23" s="5" t="e">
        <f>+#REF!+#REF!+#REF!+#REF!+#REF!+#REF!+#REF!+#REF!+#REF!+#REF!+#REF!+#REF!</f>
        <v>#REF!</v>
      </c>
      <c r="BY23" s="5" t="e">
        <f>+#REF!+#REF!+#REF!+#REF!+#REF!+#REF!+#REF!+#REF!+#REF!+#REF!+#REF!+#REF!</f>
        <v>#REF!</v>
      </c>
      <c r="BZ23" s="5" t="e">
        <f>+#REF!+#REF!+#REF!+#REF!+#REF!+#REF!+#REF!+#REF!+#REF!+#REF!+#REF!+#REF!</f>
        <v>#REF!</v>
      </c>
      <c r="CA23" s="5" t="e">
        <f>+#REF!+#REF!+#REF!+#REF!+#REF!+#REF!+#REF!+#REF!+#REF!+#REF!+#REF!+#REF!</f>
        <v>#REF!</v>
      </c>
      <c r="CB23" s="5" t="e">
        <f t="shared" si="38"/>
        <v>#REF!</v>
      </c>
      <c r="CC23" s="33"/>
      <c r="CD23" s="2683"/>
      <c r="CF23" s="4" t="e">
        <f t="shared" si="39"/>
        <v>#REF!</v>
      </c>
      <c r="CG23" s="5" t="e">
        <f t="shared" si="5"/>
        <v>#REF!</v>
      </c>
      <c r="CH23" s="5" t="e">
        <f t="shared" si="5"/>
        <v>#REF!</v>
      </c>
      <c r="CI23" s="5" t="e">
        <f t="shared" si="5"/>
        <v>#REF!</v>
      </c>
      <c r="CJ23" s="5" t="e">
        <f t="shared" si="5"/>
        <v>#REF!</v>
      </c>
      <c r="CK23" s="5" t="e">
        <f t="shared" si="5"/>
        <v>#REF!</v>
      </c>
      <c r="CL23" s="33" t="e">
        <f t="shared" si="40"/>
        <v>#REF!</v>
      </c>
      <c r="CM23" s="2685"/>
      <c r="CN23" s="9" t="e">
        <f>+#REF!+#REF!+#REF!+#REF!+#REF!+#REF!+#REF!+#REF!+#REF!+#REF!+#REF!+#REF!</f>
        <v>#REF!</v>
      </c>
      <c r="CO23" s="5" t="e">
        <f>+#REF!+#REF!+#REF!+#REF!+#REF!+#REF!+#REF!+#REF!+#REF!+#REF!+#REF!+#REF!</f>
        <v>#REF!</v>
      </c>
      <c r="CP23" s="5" t="e">
        <f>+#REF!+#REF!+#REF!+#REF!+#REF!+#REF!+#REF!+#REF!+#REF!+#REF!+#REF!+#REF!</f>
        <v>#REF!</v>
      </c>
      <c r="CQ23" s="5" t="e">
        <f>+#REF!+#REF!+#REF!+#REF!+#REF!+#REF!+#REF!+#REF!+#REF!+#REF!+#REF!+#REF!</f>
        <v>#REF!</v>
      </c>
      <c r="CR23" s="5" t="e">
        <f>+#REF!+#REF!+#REF!+#REF!+#REF!+#REF!+#REF!+#REF!+#REF!+#REF!+#REF!+#REF!</f>
        <v>#REF!</v>
      </c>
      <c r="CS23" s="5" t="e">
        <f>+#REF!+#REF!+#REF!+#REF!+#REF!+#REF!+#REF!+#REF!+#REF!+#REF!+#REF!+#REF!</f>
        <v>#REF!</v>
      </c>
      <c r="CT23" s="28" t="e">
        <f t="shared" si="41"/>
        <v>#REF!</v>
      </c>
      <c r="CU23" s="36" t="e">
        <f>+#REF!+#REF!+#REF!+#REF!+#REF!+#REF!+#REF!+#REF!+#REF!+#REF!+#REF!+#REF!</f>
        <v>#REF!</v>
      </c>
      <c r="CV23" s="27" t="e">
        <f>+#REF!+#REF!+#REF!+#REF!+#REF!+#REF!+#REF!+#REF!+#REF!+#REF!+#REF!+#REF!</f>
        <v>#REF!</v>
      </c>
      <c r="CW23" s="27" t="e">
        <f>+#REF!+#REF!+#REF!+#REF!+#REF!+#REF!+#REF!+#REF!+#REF!+#REF!+#REF!+#REF!</f>
        <v>#REF!</v>
      </c>
      <c r="CX23" s="27" t="e">
        <f>+#REF!+#REF!+#REF!+#REF!+#REF!+#REF!+#REF!+#REF!+#REF!+#REF!+#REF!+#REF!</f>
        <v>#REF!</v>
      </c>
      <c r="CY23" s="27" t="e">
        <f>+#REF!+#REF!+#REF!+#REF!+#REF!+#REF!+#REF!+#REF!+#REF!+#REF!+#REF!+#REF!</f>
        <v>#REF!</v>
      </c>
      <c r="CZ23" s="27" t="e">
        <f>+#REF!+#REF!+#REF!+#REF!+#REF!+#REF!+#REF!+#REF!+#REF!+#REF!+#REF!+#REF!</f>
        <v>#REF!</v>
      </c>
      <c r="DA23" s="28" t="e">
        <f t="shared" si="42"/>
        <v>#REF!</v>
      </c>
      <c r="DB23" s="36" t="e">
        <f>+#REF!+#REF!+#REF!+#REF!+#REF!+#REF!+#REF!+#REF!+#REF!+#REF!+#REF!+#REF!</f>
        <v>#REF!</v>
      </c>
      <c r="DC23" s="27" t="e">
        <f>+#REF!+#REF!+#REF!+#REF!+#REF!+#REF!+#REF!+#REF!+#REF!+#REF!+#REF!+#REF!</f>
        <v>#REF!</v>
      </c>
      <c r="DD23" s="27" t="e">
        <f>+#REF!+#REF!+#REF!+#REF!+#REF!+#REF!+#REF!+#REF!+#REF!+#REF!+#REF!+#REF!</f>
        <v>#REF!</v>
      </c>
      <c r="DE23" s="27" t="e">
        <f>+#REF!+#REF!+#REF!+#REF!+#REF!+#REF!+#REF!+#REF!+#REF!+#REF!+#REF!+#REF!</f>
        <v>#REF!</v>
      </c>
      <c r="DF23" s="27" t="e">
        <f>+#REF!+#REF!+#REF!+#REF!+#REF!+#REF!+#REF!+#REF!+#REF!+#REF!+#REF!+#REF!</f>
        <v>#REF!</v>
      </c>
      <c r="DG23" s="27" t="e">
        <f>+#REF!+#REF!+#REF!+#REF!+#REF!+#REF!+#REF!+#REF!+#REF!+#REF!+#REF!+#REF!</f>
        <v>#REF!</v>
      </c>
      <c r="DH23" s="28" t="e">
        <f t="shared" si="43"/>
        <v>#REF!</v>
      </c>
      <c r="DI23" s="36" t="e">
        <f>+#REF!+#REF!+#REF!+#REF!+#REF!+#REF!+#REF!+#REF!+#REF!+#REF!+#REF!+#REF!</f>
        <v>#REF!</v>
      </c>
      <c r="DJ23" s="27" t="e">
        <f>+#REF!+#REF!+#REF!+#REF!+#REF!+#REF!+#REF!+#REF!+#REF!+#REF!+#REF!+#REF!</f>
        <v>#REF!</v>
      </c>
      <c r="DK23" s="27" t="e">
        <f>+#REF!+#REF!+#REF!+#REF!+#REF!+#REF!+#REF!+#REF!+#REF!+#REF!+#REF!+#REF!</f>
        <v>#REF!</v>
      </c>
      <c r="DL23" s="27" t="e">
        <f>+#REF!+#REF!+#REF!+#REF!+#REF!+#REF!+#REF!+#REF!+#REF!+#REF!+#REF!+#REF!</f>
        <v>#REF!</v>
      </c>
      <c r="DM23" s="27" t="e">
        <f>+#REF!+#REF!+#REF!+#REF!+#REF!+#REF!+#REF!+#REF!+#REF!+#REF!+#REF!+#REF!</f>
        <v>#REF!</v>
      </c>
      <c r="DN23" s="27" t="e">
        <f>+#REF!+#REF!+#REF!+#REF!+#REF!+#REF!+#REF!+#REF!+#REF!+#REF!+#REF!+#REF!</f>
        <v>#REF!</v>
      </c>
      <c r="DO23" s="33" t="e">
        <f t="shared" si="44"/>
        <v>#REF!</v>
      </c>
      <c r="DP23" s="2685"/>
      <c r="DR23" s="4" t="e">
        <f t="shared" si="45"/>
        <v>#REF!</v>
      </c>
      <c r="DS23" s="5" t="e">
        <f t="shared" si="46"/>
        <v>#REF!</v>
      </c>
      <c r="DT23" s="5" t="e">
        <f t="shared" si="47"/>
        <v>#REF!</v>
      </c>
      <c r="DU23" s="12" t="e">
        <f t="shared" si="48"/>
        <v>#REF!</v>
      </c>
      <c r="DV23" s="33"/>
      <c r="DW23" s="2674"/>
      <c r="DX23" s="9" t="e">
        <f>+#REF!+#REF!+#REF!+#REF!+#REF!+#REF!+#REF!+#REF!+#REF!+#REF!+#REF!+#REF!</f>
        <v>#REF!</v>
      </c>
      <c r="DY23" s="5" t="e">
        <f>+#REF!+#REF!+#REF!+#REF!+#REF!+#REF!+#REF!+#REF!+#REF!+#REF!+#REF!+#REF!</f>
        <v>#REF!</v>
      </c>
      <c r="DZ23" s="5" t="e">
        <f>+#REF!+#REF!+#REF!+#REF!+#REF!+#REF!+#REF!+#REF!+#REF!+#REF!+#REF!+#REF!</f>
        <v>#REF!</v>
      </c>
      <c r="EA23" s="5" t="e">
        <f>+#REF!+#REF!+#REF!+#REF!+#REF!+#REF!+#REF!+#REF!+#REF!+#REF!+#REF!+#REF!</f>
        <v>#REF!</v>
      </c>
      <c r="EB23" s="5" t="e">
        <f>+#REF!+#REF!+#REF!+#REF!+#REF!+#REF!+#REF!+#REF!+#REF!+#REF!+#REF!+#REF!</f>
        <v>#REF!</v>
      </c>
      <c r="EC23" s="27" t="e">
        <f>+#REF!+#REF!+#REF!+#REF!+#REF!+#REF!+#REF!+#REF!+#REF!+#REF!+#REF!+#REF!</f>
        <v>#REF!</v>
      </c>
      <c r="ED23" s="28" t="e">
        <f t="shared" si="49"/>
        <v>#REF!</v>
      </c>
      <c r="EE23" s="36" t="e">
        <f>+#REF!+#REF!+#REF!+#REF!+#REF!+#REF!+#REF!+#REF!+#REF!+#REF!+#REF!+#REF!</f>
        <v>#REF!</v>
      </c>
      <c r="EF23" s="27" t="e">
        <f>+#REF!+#REF!+#REF!+#REF!+#REF!+#REF!+#REF!+#REF!+#REF!+#REF!+#REF!+#REF!</f>
        <v>#REF!</v>
      </c>
      <c r="EG23" s="27" t="e">
        <f>+#REF!+#REF!+#REF!+#REF!+#REF!+#REF!+#REF!+#REF!+#REF!+#REF!+#REF!+#REF!</f>
        <v>#REF!</v>
      </c>
      <c r="EH23" s="27" t="e">
        <f>+#REF!+#REF!+#REF!+#REF!+#REF!+#REF!+#REF!+#REF!+#REF!+#REF!+#REF!+#REF!</f>
        <v>#REF!</v>
      </c>
      <c r="EI23" s="27" t="e">
        <f>+#REF!+#REF!+#REF!+#REF!+#REF!+#REF!+#REF!+#REF!+#REF!+#REF!+#REF!+#REF!</f>
        <v>#REF!</v>
      </c>
      <c r="EJ23" s="27" t="e">
        <f>+#REF!+#REF!+#REF!+#REF!+#REF!+#REF!+#REF!+#REF!+#REF!+#REF!+#REF!+#REF!</f>
        <v>#REF!</v>
      </c>
      <c r="EK23" s="28" t="e">
        <f t="shared" si="50"/>
        <v>#REF!</v>
      </c>
      <c r="EL23" s="36" t="e">
        <f>+#REF!+#REF!+#REF!+#REF!+#REF!+#REF!+#REF!+#REF!+#REF!+#REF!+#REF!+#REF!</f>
        <v>#REF!</v>
      </c>
      <c r="EM23" s="27" t="e">
        <f>+#REF!+#REF!+#REF!+#REF!+#REF!+#REF!+#REF!+#REF!+#REF!+#REF!+#REF!+#REF!</f>
        <v>#REF!</v>
      </c>
      <c r="EN23" s="27" t="e">
        <f>+#REF!+#REF!+#REF!+#REF!+#REF!+#REF!+#REF!+#REF!+#REF!+#REF!+#REF!+#REF!</f>
        <v>#REF!</v>
      </c>
      <c r="EO23" s="27" t="e">
        <f>+#REF!+#REF!+#REF!+#REF!+#REF!+#REF!+#REF!+#REF!+#REF!+#REF!+#REF!+#REF!</f>
        <v>#REF!</v>
      </c>
      <c r="EP23" s="27" t="e">
        <f>+#REF!+#REF!+#REF!+#REF!+#REF!+#REF!+#REF!+#REF!+#REF!+#REF!+#REF!+#REF!</f>
        <v>#REF!</v>
      </c>
      <c r="EQ23" s="27" t="e">
        <f>+#REF!+#REF!+#REF!+#REF!+#REF!+#REF!+#REF!+#REF!+#REF!+#REF!+#REF!+#REF!</f>
        <v>#REF!</v>
      </c>
      <c r="ER23" s="33" t="e">
        <f t="shared" si="51"/>
        <v>#REF!</v>
      </c>
      <c r="ES23" s="2674"/>
      <c r="EU23" s="4" t="e">
        <f t="shared" si="52"/>
        <v>#REF!</v>
      </c>
      <c r="EV23" s="5" t="e">
        <f t="shared" si="53"/>
        <v>#REF!</v>
      </c>
      <c r="EW23" s="27" t="e">
        <f t="shared" si="54"/>
        <v>#REF!</v>
      </c>
      <c r="EX23" s="27" t="e">
        <f t="shared" si="55"/>
        <v>#REF!</v>
      </c>
      <c r="EY23" s="141"/>
      <c r="EZ23" s="141"/>
      <c r="FA23" s="33"/>
      <c r="FB23" s="2667"/>
      <c r="FC23" s="36" t="e">
        <f>+#REF!+#REF!+#REF!+#REF!+#REF!+#REF!+#REF!+#REF!+#REF!+#REF!+#REF!+#REF!</f>
        <v>#REF!</v>
      </c>
      <c r="FD23" s="27" t="e">
        <f>+#REF!+#REF!+#REF!+#REF!+#REF!+#REF!+#REF!+#REF!+#REF!+#REF!+#REF!+#REF!</f>
        <v>#REF!</v>
      </c>
      <c r="FE23" s="27"/>
      <c r="FF23" s="27"/>
      <c r="FG23" s="33" t="e">
        <f t="shared" si="56"/>
        <v>#REF!</v>
      </c>
      <c r="FH23" s="2667"/>
      <c r="FI23" s="36" t="e">
        <f>+#REF!+#REF!+#REF!+#REF!+#REF!+#REF!+#REF!+#REF!+#REF!+#REF!+#REF!+#REF!</f>
        <v>#REF!</v>
      </c>
      <c r="FJ23" s="27" t="e">
        <f>+#REF!+#REF!+#REF!+#REF!+#REF!+#REF!+#REF!+#REF!+#REF!+#REF!+#REF!+#REF!</f>
        <v>#REF!</v>
      </c>
      <c r="FK23" s="27" t="e">
        <f>+#REF!+#REF!+#REF!+#REF!+#REF!+#REF!+#REF!+#REF!+#REF!+#REF!+#REF!+#REF!</f>
        <v>#REF!</v>
      </c>
      <c r="FL23" s="27" t="e">
        <f>+#REF!+#REF!+#REF!+#REF!+#REF!+#REF!+#REF!+#REF!+#REF!+#REF!+#REF!+#REF!</f>
        <v>#REF!</v>
      </c>
      <c r="FM23" s="27" t="e">
        <f>+#REF!+#REF!+#REF!+#REF!+#REF!+#REF!+#REF!+#REF!+#REF!+#REF!+#REF!+#REF!</f>
        <v>#REF!</v>
      </c>
      <c r="FN23" s="27" t="e">
        <f>+#REF!+#REF!+#REF!+#REF!+#REF!+#REF!+#REF!+#REF!+#REF!+#REF!+#REF!+#REF!</f>
        <v>#REF!</v>
      </c>
      <c r="FO23" s="27" t="e">
        <f>+#REF!+#REF!+#REF!+#REF!+#REF!+#REF!+#REF!+#REF!+#REF!+#REF!+#REF!+#REF!</f>
        <v>#REF!</v>
      </c>
      <c r="FP23" s="27" t="e">
        <f>+#REF!+#REF!+#REF!+#REF!+#REF!+#REF!+#REF!+#REF!+#REF!+#REF!+#REF!+#REF!</f>
        <v>#REF!</v>
      </c>
      <c r="FQ23" s="28" t="e">
        <f t="shared" si="80"/>
        <v>#REF!</v>
      </c>
      <c r="FR23" s="26" t="e">
        <f>+#REF!+#REF!+#REF!+#REF!+#REF!+#REF!+#REF!+#REF!+#REF!+#REF!+#REF!+#REF!</f>
        <v>#REF!</v>
      </c>
      <c r="FS23" s="27" t="e">
        <f>+#REF!+#REF!+#REF!+#REF!+#REF!+#REF!+#REF!+#REF!+#REF!+#REF!+#REF!+#REF!</f>
        <v>#REF!</v>
      </c>
      <c r="FT23" s="27" t="e">
        <f>+#REF!+#REF!+#REF!+#REF!+#REF!+#REF!+#REF!+#REF!+#REF!+#REF!+#REF!+#REF!</f>
        <v>#REF!</v>
      </c>
      <c r="FU23" s="27" t="e">
        <f>+#REF!+#REF!+#REF!+#REF!+#REF!+#REF!+#REF!+#REF!+#REF!+#REF!+#REF!+#REF!</f>
        <v>#REF!</v>
      </c>
      <c r="FV23" s="27" t="e">
        <f>+#REF!+#REF!+#REF!+#REF!+#REF!+#REF!+#REF!+#REF!+#REF!+#REF!+#REF!+#REF!</f>
        <v>#REF!</v>
      </c>
      <c r="FW23" s="27" t="e">
        <f>+#REF!+#REF!+#REF!+#REF!+#REF!+#REF!+#REF!+#REF!+#REF!+#REF!+#REF!+#REF!</f>
        <v>#REF!</v>
      </c>
      <c r="FX23" s="27" t="e">
        <f>+#REF!+#REF!+#REF!+#REF!+#REF!+#REF!+#REF!+#REF!+#REF!+#REF!+#REF!+#REF!</f>
        <v>#REF!</v>
      </c>
      <c r="FY23" s="27" t="e">
        <f>+#REF!+#REF!+#REF!+#REF!+#REF!+#REF!+#REF!+#REF!+#REF!+#REF!+#REF!+#REF!</f>
        <v>#REF!</v>
      </c>
      <c r="FZ23" s="28" t="e">
        <f t="shared" si="57"/>
        <v>#REF!</v>
      </c>
      <c r="GA23" s="36" t="e">
        <f>+#REF!+#REF!+#REF!+#REF!+#REF!+#REF!+#REF!+#REF!+#REF!+#REF!+#REF!+#REF!</f>
        <v>#REF!</v>
      </c>
      <c r="GB23" s="27" t="e">
        <f>+#REF!+#REF!+#REF!+#REF!+#REF!+#REF!+#REF!+#REF!+#REF!+#REF!+#REF!+#REF!</f>
        <v>#REF!</v>
      </c>
      <c r="GC23" s="27" t="e">
        <f>+#REF!+#REF!+#REF!+#REF!+#REF!+#REF!+#REF!+#REF!+#REF!+#REF!+#REF!+#REF!</f>
        <v>#REF!</v>
      </c>
      <c r="GD23" s="27" t="e">
        <f>+#REF!+#REF!+#REF!+#REF!+#REF!+#REF!+#REF!+#REF!+#REF!+#REF!+#REF!+#REF!</f>
        <v>#REF!</v>
      </c>
      <c r="GE23" s="27" t="e">
        <f>+#REF!+#REF!+#REF!+#REF!+#REF!+#REF!+#REF!+#REF!+#REF!+#REF!+#REF!+#REF!</f>
        <v>#REF!</v>
      </c>
      <c r="GF23" s="27" t="e">
        <f>+#REF!+#REF!+#REF!+#REF!+#REF!+#REF!+#REF!+#REF!+#REF!+#REF!+#REF!+#REF!</f>
        <v>#REF!</v>
      </c>
      <c r="GG23" s="27" t="e">
        <f>+#REF!+#REF!+#REF!+#REF!+#REF!+#REF!+#REF!+#REF!+#REF!+#REF!+#REF!+#REF!</f>
        <v>#REF!</v>
      </c>
      <c r="GH23" s="27" t="e">
        <f>+#REF!+#REF!+#REF!+#REF!+#REF!+#REF!+#REF!+#REF!+#REF!+#REF!+#REF!+#REF!</f>
        <v>#REF!</v>
      </c>
      <c r="GI23" s="33" t="e">
        <f t="shared" si="58"/>
        <v>#REF!</v>
      </c>
      <c r="GJ23" s="2667"/>
      <c r="GL23" s="26" t="e">
        <f>+#REF!+#REF!+#REF!+#REF!+#REF!+#REF!+#REF!+#REF!+#REF!+#REF!+#REF!+#REF!</f>
        <v>#REF!</v>
      </c>
      <c r="GM23" s="36" t="e">
        <f>+#REF!+#REF!+#REF!+#REF!+#REF!+#REF!+#REF!+#REF!+#REF!+#REF!+#REF!+#REF!</f>
        <v>#REF!</v>
      </c>
      <c r="GN23" s="27" t="e">
        <f>+#REF!+#REF!+#REF!+#REF!+#REF!+#REF!+#REF!+#REF!+#REF!+#REF!+#REF!+#REF!</f>
        <v>#REF!</v>
      </c>
      <c r="GO23" s="27" t="e">
        <f t="shared" si="59"/>
        <v>#REF!</v>
      </c>
      <c r="GP23" s="33"/>
      <c r="GQ23" s="2669"/>
      <c r="GR23" s="69"/>
      <c r="GS23" s="70"/>
      <c r="GT23" s="70"/>
      <c r="GU23" s="70"/>
      <c r="GV23" s="70"/>
      <c r="GW23" s="70"/>
      <c r="GX23" s="70"/>
      <c r="GY23" s="71"/>
      <c r="GZ23" s="69"/>
      <c r="HA23" s="70"/>
      <c r="HB23" s="70"/>
      <c r="HC23" s="70"/>
      <c r="HD23" s="70"/>
      <c r="HE23" s="70"/>
      <c r="HF23" s="70"/>
      <c r="HG23" s="71"/>
      <c r="HH23" s="69"/>
      <c r="HI23" s="70"/>
      <c r="HJ23" s="70"/>
      <c r="HK23" s="70"/>
      <c r="HL23" s="70"/>
      <c r="HM23" s="70"/>
      <c r="HN23" s="70"/>
      <c r="HO23" s="70"/>
      <c r="HP23" s="33"/>
      <c r="HQ23" s="2669"/>
      <c r="HR23" s="36"/>
      <c r="HS23" s="53"/>
      <c r="HT23" s="53"/>
      <c r="HU23" s="53"/>
      <c r="HV23" s="61"/>
      <c r="HW23" s="36"/>
      <c r="HX23" s="53"/>
      <c r="HY23" s="53"/>
      <c r="HZ23" s="53"/>
      <c r="IA23" s="61"/>
      <c r="IB23" s="36"/>
      <c r="IC23" s="53"/>
      <c r="ID23" s="53"/>
      <c r="IE23" s="53"/>
      <c r="IF23" s="53"/>
      <c r="IG23" s="33"/>
      <c r="IH23" s="2669"/>
      <c r="IJ23" s="26" t="e">
        <f t="shared" si="60"/>
        <v>#REF!</v>
      </c>
      <c r="IK23" s="36" t="e">
        <f t="shared" si="6"/>
        <v>#REF!</v>
      </c>
      <c r="IL23" s="27" t="e">
        <f t="shared" si="6"/>
        <v>#REF!</v>
      </c>
      <c r="IM23" s="28" t="e">
        <f t="shared" si="61"/>
        <v>#REF!</v>
      </c>
      <c r="IN23" s="36"/>
      <c r="IO23" s="27"/>
      <c r="IP23" s="27"/>
      <c r="IQ23" s="33"/>
      <c r="IR23" s="55"/>
      <c r="IS23" s="21"/>
      <c r="IT23" s="2688"/>
      <c r="IU23" s="36" t="e">
        <f>+#REF!+#REF!+#REF!+#REF!+#REF!+#REF!+#REF!+#REF!+#REF!+#REF!+#REF!+#REF!</f>
        <v>#REF!</v>
      </c>
      <c r="IV23" s="36" t="e">
        <f>+#REF!+#REF!+#REF!+#REF!+#REF!+#REF!+#REF!+#REF!+#REF!+#REF!+#REF!+#REF!</f>
        <v>#REF!</v>
      </c>
      <c r="IW23" s="27" t="e">
        <f>+#REF!+#REF!+#REF!+#REF!+#REF!+#REF!+#REF!+#REF!+#REF!+#REF!+#REF!+#REF!</f>
        <v>#REF!</v>
      </c>
      <c r="IX23" s="27" t="e">
        <f>+#REF!+#REF!+#REF!+#REF!+#REF!+#REF!+#REF!+#REF!+#REF!+#REF!+#REF!+#REF!</f>
        <v>#REF!</v>
      </c>
      <c r="IY23" s="27" t="e">
        <f>+#REF!+#REF!+#REF!+#REF!+#REF!+#REF!+#REF!+#REF!+#REF!+#REF!+#REF!+#REF!</f>
        <v>#REF!</v>
      </c>
      <c r="IZ23" s="28" t="e">
        <f t="shared" si="62"/>
        <v>#REF!</v>
      </c>
      <c r="JA23" s="26" t="e">
        <f>+#REF!+#REF!+#REF!+#REF!+#REF!+#REF!+#REF!+#REF!+#REF!+#REF!+#REF!+#REF!</f>
        <v>#REF!</v>
      </c>
      <c r="JB23" s="36" t="e">
        <f>+#REF!+#REF!+#REF!+#REF!+#REF!+#REF!+#REF!+#REF!+#REF!+#REF!+#REF!+#REF!</f>
        <v>#REF!</v>
      </c>
      <c r="JC23" s="27" t="e">
        <f>+#REF!+#REF!+#REF!+#REF!+#REF!+#REF!+#REF!+#REF!+#REF!+#REF!+#REF!+#REF!</f>
        <v>#REF!</v>
      </c>
      <c r="JD23" s="27" t="e">
        <f>+#REF!+#REF!+#REF!+#REF!+#REF!+#REF!+#REF!+#REF!+#REF!+#REF!+#REF!+#REF!</f>
        <v>#REF!</v>
      </c>
      <c r="JE23" s="28" t="e">
        <f>+#REF!+#REF!+#REF!+#REF!+#REF!+#REF!+#REF!+#REF!+#REF!+#REF!+#REF!+#REF!</f>
        <v>#REF!</v>
      </c>
      <c r="JF23" s="26" t="e">
        <f>+#REF!+#REF!+#REF!+#REF!+#REF!+#REF!+#REF!+#REF!+#REF!+#REF!+#REF!+#REF!</f>
        <v>#REF!</v>
      </c>
      <c r="JG23" s="36" t="e">
        <f>+#REF!+#REF!+#REF!+#REF!+#REF!+#REF!+#REF!+#REF!+#REF!+#REF!+#REF!+#REF!</f>
        <v>#REF!</v>
      </c>
      <c r="JH23" s="27" t="e">
        <f>+#REF!+#REF!+#REF!+#REF!+#REF!+#REF!+#REF!+#REF!+#REF!+#REF!+#REF!+#REF!</f>
        <v>#REF!</v>
      </c>
      <c r="JI23" s="27" t="e">
        <f>+#REF!+#REF!+#REF!+#REF!+#REF!+#REF!+#REF!+#REF!+#REF!+#REF!+#REF!+#REF!</f>
        <v>#REF!</v>
      </c>
      <c r="JJ23" s="27" t="e">
        <f>+#REF!+#REF!+#REF!+#REF!+#REF!+#REF!+#REF!+#REF!+#REF!+#REF!+#REF!+#REF!</f>
        <v>#REF!</v>
      </c>
      <c r="JK23" s="28" t="e">
        <f t="shared" si="63"/>
        <v>#REF!</v>
      </c>
      <c r="JL23" s="26" t="e">
        <f>+#REF!+#REF!+#REF!+#REF!+#REF!+#REF!+#REF!+#REF!+#REF!+#REF!+#REF!+#REF!</f>
        <v>#REF!</v>
      </c>
      <c r="JM23" s="36" t="e">
        <f>+#REF!+#REF!+#REF!+#REF!+#REF!+#REF!+#REF!+#REF!+#REF!+#REF!+#REF!+#REF!</f>
        <v>#REF!</v>
      </c>
      <c r="JN23" s="27" t="e">
        <f>+#REF!+#REF!+#REF!+#REF!+#REF!+#REF!+#REF!+#REF!+#REF!+#REF!+#REF!+#REF!</f>
        <v>#REF!</v>
      </c>
      <c r="JO23" s="27" t="e">
        <f>+#REF!+#REF!+#REF!+#REF!+#REF!+#REF!+#REF!+#REF!+#REF!+#REF!+#REF!+#REF!</f>
        <v>#REF!</v>
      </c>
      <c r="JP23" s="28" t="e">
        <f>+#REF!+#REF!+#REF!+#REF!+#REF!+#REF!+#REF!+#REF!+#REF!+#REF!+#REF!+#REF!</f>
        <v>#REF!</v>
      </c>
      <c r="JQ23" s="275" t="e">
        <f t="shared" si="64"/>
        <v>#REF!</v>
      </c>
      <c r="JR23" s="36" t="e">
        <f>+#REF!+#REF!+#REF!+#REF!+#REF!+#REF!+#REF!+#REF!+#REF!+#REF!+#REF!+#REF!</f>
        <v>#REF!</v>
      </c>
      <c r="JS23" s="36" t="e">
        <f>+#REF!+#REF!+#REF!+#REF!+#REF!+#REF!+#REF!+#REF!+#REF!+#REF!+#REF!+#REF!</f>
        <v>#REF!</v>
      </c>
      <c r="JT23" s="27" t="e">
        <f>+#REF!+#REF!+#REF!+#REF!+#REF!+#REF!+#REF!+#REF!+#REF!+#REF!+#REF!+#REF!</f>
        <v>#REF!</v>
      </c>
      <c r="JU23" s="27" t="e">
        <f>+#REF!+#REF!+#REF!+#REF!+#REF!+#REF!+#REF!+#REF!+#REF!+#REF!+#REF!+#REF!</f>
        <v>#REF!</v>
      </c>
      <c r="JV23" s="27" t="e">
        <f>+#REF!+#REF!+#REF!+#REF!+#REF!+#REF!+#REF!+#REF!+#REF!+#REF!+#REF!+#REF!</f>
        <v>#REF!</v>
      </c>
      <c r="JW23" s="33" t="e">
        <f t="shared" si="65"/>
        <v>#REF!</v>
      </c>
      <c r="JX23" s="2688"/>
      <c r="JZ23" s="26" t="e">
        <f t="shared" si="66"/>
        <v>#REF!</v>
      </c>
      <c r="KA23" s="27" t="e">
        <f t="shared" si="67"/>
        <v>#REF!</v>
      </c>
      <c r="KB23" s="27" t="e">
        <f t="shared" si="68"/>
        <v>#REF!</v>
      </c>
      <c r="KC23" s="33" t="e">
        <f t="shared" si="69"/>
        <v>#REF!</v>
      </c>
      <c r="KD23" s="2621"/>
      <c r="KE23" s="36" t="e">
        <f t="shared" si="7"/>
        <v>#REF!</v>
      </c>
      <c r="KF23" s="36" t="e">
        <f t="shared" si="7"/>
        <v>#REF!</v>
      </c>
      <c r="KG23" s="27" t="e">
        <f t="shared" si="7"/>
        <v>#REF!</v>
      </c>
      <c r="KH23" s="28" t="e">
        <f t="shared" si="81"/>
        <v>#REF!</v>
      </c>
      <c r="KI23" s="36" t="e">
        <f t="shared" si="82"/>
        <v>#REF!</v>
      </c>
      <c r="KJ23" s="27" t="e">
        <f t="shared" si="8"/>
        <v>#REF!</v>
      </c>
      <c r="KK23" s="27" t="e">
        <f t="shared" si="8"/>
        <v>#REF!</v>
      </c>
      <c r="KL23" s="27" t="e">
        <f t="shared" si="8"/>
        <v>#REF!</v>
      </c>
      <c r="KM23" s="27" t="e">
        <f t="shared" si="8"/>
        <v>#REF!</v>
      </c>
      <c r="KN23" s="27" t="e">
        <f t="shared" si="8"/>
        <v>#REF!</v>
      </c>
      <c r="KO23" s="28" t="e">
        <f t="shared" si="83"/>
        <v>#REF!</v>
      </c>
      <c r="KP23" s="36" t="e">
        <f t="shared" si="9"/>
        <v>#REF!</v>
      </c>
      <c r="KQ23" s="27" t="e">
        <f t="shared" si="9"/>
        <v>#REF!</v>
      </c>
      <c r="KR23" s="27" t="e">
        <f t="shared" si="9"/>
        <v>#REF!</v>
      </c>
      <c r="KS23" s="27" t="e">
        <f t="shared" si="9"/>
        <v>#REF!</v>
      </c>
      <c r="KT23" s="27" t="e">
        <f t="shared" si="9"/>
        <v>#REF!</v>
      </c>
      <c r="KU23" s="27" t="e">
        <f t="shared" si="9"/>
        <v>#REF!</v>
      </c>
      <c r="KV23" s="28" t="e">
        <f t="shared" si="84"/>
        <v>#REF!</v>
      </c>
      <c r="KW23" s="36" t="e">
        <f t="shared" si="10"/>
        <v>#REF!</v>
      </c>
      <c r="KX23" s="27" t="e">
        <f t="shared" si="10"/>
        <v>#REF!</v>
      </c>
      <c r="KY23" s="27" t="e">
        <f t="shared" si="10"/>
        <v>#REF!</v>
      </c>
      <c r="KZ23" s="27" t="e">
        <f t="shared" si="10"/>
        <v>#REF!</v>
      </c>
      <c r="LA23" s="27" t="e">
        <f t="shared" si="10"/>
        <v>#REF!</v>
      </c>
      <c r="LB23" s="27" t="e">
        <f t="shared" si="10"/>
        <v>#REF!</v>
      </c>
      <c r="LC23" s="28" t="e">
        <f t="shared" si="85"/>
        <v>#REF!</v>
      </c>
      <c r="LD23" s="36"/>
      <c r="LE23" s="27"/>
      <c r="LF23" s="27"/>
      <c r="LG23" s="27"/>
      <c r="LH23" s="27"/>
      <c r="LI23" s="27"/>
      <c r="LJ23" s="28">
        <f t="shared" si="70"/>
        <v>0</v>
      </c>
      <c r="LK23" s="36" t="e">
        <f t="shared" si="11"/>
        <v>#REF!</v>
      </c>
      <c r="LL23" s="27" t="e">
        <f t="shared" si="11"/>
        <v>#REF!</v>
      </c>
      <c r="LM23" s="27" t="e">
        <f t="shared" si="11"/>
        <v>#REF!</v>
      </c>
      <c r="LN23" s="27" t="e">
        <f t="shared" si="11"/>
        <v>#REF!</v>
      </c>
      <c r="LO23" s="27" t="e">
        <f t="shared" si="11"/>
        <v>#REF!</v>
      </c>
      <c r="LP23" s="27" t="e">
        <f t="shared" si="11"/>
        <v>#REF!</v>
      </c>
      <c r="LQ23" s="33" t="e">
        <f t="shared" si="71"/>
        <v>#REF!</v>
      </c>
      <c r="LR23" s="2621"/>
      <c r="LT23" s="4" t="e">
        <f>+#REF!+#REF!+#REF!+#REF!+#REF!+#REF!+#REF!+#REF!+#REF!+#REF!+#REF!+#REF!</f>
        <v>#REF!</v>
      </c>
      <c r="LU23" s="5" t="e">
        <f>+#REF!+#REF!+#REF!+#REF!+#REF!+#REF!+#REF!+#REF!+#REF!+#REF!+#REF!+#REF!</f>
        <v>#REF!</v>
      </c>
      <c r="LV23" s="5" t="e">
        <f t="shared" si="72"/>
        <v>#REF!</v>
      </c>
      <c r="LW23" s="12" t="e">
        <f t="shared" si="86"/>
        <v>#REF!</v>
      </c>
      <c r="LX23" s="15"/>
      <c r="LY23" s="2615"/>
      <c r="MA23" s="4" t="e">
        <f>+#REF!+#REF!+#REF!+#REF!+#REF!+#REF!+#REF!+#REF!+#REF!+#REF!+#REF!+#REF!</f>
        <v>#REF!</v>
      </c>
      <c r="MB23" s="5" t="e">
        <f t="shared" si="73"/>
        <v>#REF!</v>
      </c>
      <c r="MC23" s="5" t="e">
        <f>+#REF!+#REF!+#REF!+#REF!+#REF!+#REF!+#REF!+#REF!+#REF!+#REF!+#REF!+#REF!</f>
        <v>#REF!</v>
      </c>
      <c r="MD23" s="5" t="e">
        <f t="shared" si="74"/>
        <v>#REF!</v>
      </c>
      <c r="ME23" s="12" t="e">
        <f t="shared" si="75"/>
        <v>#REF!</v>
      </c>
      <c r="MF23" s="12"/>
      <c r="MG23" s="2615"/>
      <c r="MI23" s="139" t="e">
        <f t="shared" si="76"/>
        <v>#REF!</v>
      </c>
      <c r="MJ23" s="139" t="e">
        <f t="shared" si="77"/>
        <v>#REF!</v>
      </c>
      <c r="ML23" s="139" t="e">
        <f t="shared" si="78"/>
        <v>#REF!</v>
      </c>
      <c r="MM23" s="139" t="e">
        <f t="shared" si="79"/>
        <v>#REF!</v>
      </c>
      <c r="MO23" s="1">
        <f t="shared" si="12"/>
        <v>0</v>
      </c>
      <c r="MP23" s="1">
        <f t="shared" si="12"/>
        <v>0</v>
      </c>
      <c r="MQ23" s="1">
        <f t="shared" si="12"/>
        <v>0</v>
      </c>
      <c r="MR23" s="1">
        <f t="shared" si="12"/>
        <v>0</v>
      </c>
      <c r="MS23" s="1">
        <f t="shared" si="12"/>
        <v>0</v>
      </c>
      <c r="MT23" s="1">
        <f t="shared" si="12"/>
        <v>0</v>
      </c>
      <c r="MV23" s="1">
        <f t="shared" si="13"/>
        <v>0</v>
      </c>
      <c r="MW23" s="1">
        <f t="shared" si="13"/>
        <v>0</v>
      </c>
      <c r="MX23" s="1">
        <f t="shared" si="13"/>
        <v>0</v>
      </c>
      <c r="MY23" s="1">
        <f t="shared" si="13"/>
        <v>0</v>
      </c>
      <c r="MZ23" s="1">
        <f t="shared" si="13"/>
        <v>0</v>
      </c>
      <c r="NA23" s="1">
        <f t="shared" si="13"/>
        <v>0</v>
      </c>
    </row>
    <row r="24" spans="2:365" s="1" customFormat="1">
      <c r="B24" s="46">
        <v>15</v>
      </c>
      <c r="C24" s="4" t="e">
        <f t="shared" si="0"/>
        <v>#REF!</v>
      </c>
      <c r="D24" s="5" t="e">
        <f t="shared" si="1"/>
        <v>#REF!</v>
      </c>
      <c r="E24" s="61">
        <f t="shared" si="14"/>
        <v>0</v>
      </c>
      <c r="F24" s="52"/>
      <c r="G24" s="53"/>
      <c r="H24" s="53"/>
      <c r="I24" s="54"/>
      <c r="J24" s="2629"/>
      <c r="K24" s="9" t="e">
        <f t="shared" si="15"/>
        <v>#REF!</v>
      </c>
      <c r="L24" s="5" t="e">
        <f t="shared" si="2"/>
        <v>#REF!</v>
      </c>
      <c r="M24" s="64">
        <f t="shared" si="16"/>
        <v>0</v>
      </c>
      <c r="N24" s="28"/>
      <c r="O24" s="36" t="e">
        <f t="shared" si="17"/>
        <v>#REF!</v>
      </c>
      <c r="P24" s="27" t="e">
        <f t="shared" si="17"/>
        <v>#REF!</v>
      </c>
      <c r="Q24" s="53">
        <f t="shared" si="18"/>
        <v>0</v>
      </c>
      <c r="R24" s="28"/>
      <c r="S24" s="36" t="e">
        <f t="shared" si="19"/>
        <v>#REF!</v>
      </c>
      <c r="T24" s="27" t="e">
        <f t="shared" si="19"/>
        <v>#REF!</v>
      </c>
      <c r="U24" s="53">
        <f t="shared" si="3"/>
        <v>0</v>
      </c>
      <c r="V24" s="28"/>
      <c r="W24" s="36" t="e">
        <f t="shared" si="20"/>
        <v>#REF!</v>
      </c>
      <c r="X24" s="27" t="e">
        <f t="shared" si="4"/>
        <v>#REF!</v>
      </c>
      <c r="Y24" s="53">
        <f t="shared" si="21"/>
        <v>0</v>
      </c>
      <c r="Z24" s="28"/>
      <c r="AA24" s="26" t="e">
        <f t="shared" si="22"/>
        <v>#REF!</v>
      </c>
      <c r="AB24" s="27" t="e">
        <f t="shared" si="22"/>
        <v>#REF!</v>
      </c>
      <c r="AC24" s="53">
        <f t="shared" si="23"/>
        <v>0</v>
      </c>
      <c r="AD24" s="33"/>
      <c r="AE24" s="2629"/>
      <c r="AF24" s="9" t="e">
        <f>+#REF!+#REF!+#REF!+#REF!+#REF!+#REF!+#REF!+#REF!+#REF!+#REF!+#REF!+#REF!</f>
        <v>#REF!</v>
      </c>
      <c r="AG24" s="5" t="e">
        <f>+#REF!+#REF!+#REF!+#REF!+#REF!+#REF!+#REF!+#REF!+#REF!+#REF!+#REF!+#REF!</f>
        <v>#REF!</v>
      </c>
      <c r="AH24" s="61">
        <f t="shared" si="24"/>
        <v>0</v>
      </c>
      <c r="AI24" s="36" t="e">
        <f>+#REF!+#REF!+#REF!+#REF!+#REF!+#REF!+#REF!+#REF!+#REF!+#REF!+#REF!+#REF!</f>
        <v>#REF!</v>
      </c>
      <c r="AJ24" s="27" t="e">
        <f>+#REF!+#REF!+#REF!+#REF!+#REF!+#REF!+#REF!+#REF!+#REF!+#REF!+#REF!+#REF!</f>
        <v>#REF!</v>
      </c>
      <c r="AK24" s="61">
        <f t="shared" si="25"/>
        <v>0</v>
      </c>
      <c r="AL24" s="36" t="e">
        <f>+#REF!+#REF!+#REF!+#REF!+#REF!+#REF!+#REF!+#REF!+#REF!+#REF!+#REF!+#REF!</f>
        <v>#REF!</v>
      </c>
      <c r="AM24" s="27" t="e">
        <f>+#REF!+#REF!+#REF!+#REF!+#REF!+#REF!+#REF!+#REF!+#REF!+#REF!+#REF!+#REF!</f>
        <v>#REF!</v>
      </c>
      <c r="AN24" s="61">
        <f t="shared" si="26"/>
        <v>0</v>
      </c>
      <c r="AO24" s="36" t="e">
        <f>+#REF!+#REF!+#REF!+#REF!+#REF!+#REF!+#REF!+#REF!+#REF!+#REF!+#REF!+#REF!</f>
        <v>#REF!</v>
      </c>
      <c r="AP24" s="27" t="e">
        <f>+#REF!+#REF!+#REF!+#REF!+#REF!+#REF!+#REF!+#REF!+#REF!+#REF!+#REF!+#REF!</f>
        <v>#REF!</v>
      </c>
      <c r="AQ24" s="61">
        <f t="shared" si="27"/>
        <v>0</v>
      </c>
      <c r="AR24" s="36" t="e">
        <f>+#REF!+#REF!+#REF!+#REF!+#REF!+#REF!+#REF!+#REF!+#REF!+#REF!+#REF!+#REF!</f>
        <v>#REF!</v>
      </c>
      <c r="AS24" s="27" t="e">
        <f>+#REF!+#REF!+#REF!+#REF!+#REF!+#REF!+#REF!+#REF!+#REF!+#REF!+#REF!+#REF!</f>
        <v>#REF!</v>
      </c>
      <c r="AT24" s="61">
        <f t="shared" si="28"/>
        <v>0</v>
      </c>
      <c r="AU24" s="36" t="e">
        <f>+#REF!+#REF!+#REF!+#REF!+#REF!+#REF!+#REF!+#REF!+#REF!+#REF!+#REF!+#REF!</f>
        <v>#REF!</v>
      </c>
      <c r="AV24" s="27" t="e">
        <f>+#REF!+#REF!+#REF!+#REF!+#REF!+#REF!+#REF!+#REF!+#REF!+#REF!+#REF!+#REF!</f>
        <v>#REF!</v>
      </c>
      <c r="AW24" s="61">
        <f t="shared" si="29"/>
        <v>0</v>
      </c>
      <c r="AX24" s="36" t="e">
        <f>+#REF!+#REF!+#REF!+#REF!+#REF!+#REF!+#REF!+#REF!+#REF!+#REF!+#REF!+#REF!</f>
        <v>#REF!</v>
      </c>
      <c r="AY24" s="27" t="e">
        <f>+#REF!+#REF!+#REF!+#REF!+#REF!+#REF!+#REF!+#REF!+#REF!+#REF!+#REF!+#REF!</f>
        <v>#REF!</v>
      </c>
      <c r="AZ24" s="61">
        <f t="shared" si="30"/>
        <v>0</v>
      </c>
      <c r="BA24" s="36" t="e">
        <f>+#REF!+#REF!+#REF!+#REF!+#REF!+#REF!+#REF!+#REF!+#REF!+#REF!+#REF!+#REF!</f>
        <v>#REF!</v>
      </c>
      <c r="BB24" s="27" t="e">
        <f>+#REF!+#REF!+#REF!+#REF!+#REF!+#REF!+#REF!+#REF!+#REF!+#REF!+#REF!+#REF!</f>
        <v>#REF!</v>
      </c>
      <c r="BC24" s="61">
        <f t="shared" si="31"/>
        <v>0</v>
      </c>
      <c r="BD24" s="36" t="e">
        <f>+#REF!+#REF!+#REF!+#REF!+#REF!+#REF!+#REF!+#REF!+#REF!+#REF!+#REF!+#REF!</f>
        <v>#REF!</v>
      </c>
      <c r="BE24" s="27" t="e">
        <f>+#REF!+#REF!+#REF!+#REF!+#REF!+#REF!+#REF!+#REF!+#REF!+#REF!+#REF!+#REF!</f>
        <v>#REF!</v>
      </c>
      <c r="BF24" s="61">
        <f t="shared" si="32"/>
        <v>0</v>
      </c>
      <c r="BG24" s="36" t="e">
        <f>+#REF!+#REF!+#REF!+#REF!+#REF!+#REF!+#REF!+#REF!+#REF!+#REF!+#REF!+#REF!</f>
        <v>#REF!</v>
      </c>
      <c r="BH24" s="27" t="e">
        <f>+#REF!+#REF!+#REF!+#REF!+#REF!+#REF!+#REF!+#REF!+#REF!+#REF!+#REF!+#REF!</f>
        <v>#REF!</v>
      </c>
      <c r="BI24" s="61">
        <f t="shared" si="33"/>
        <v>0</v>
      </c>
      <c r="BJ24" s="36" t="e">
        <f>+#REF!+#REF!+#REF!+#REF!+#REF!+#REF!+#REF!+#REF!+#REF!+#REF!+#REF!+#REF!</f>
        <v>#REF!</v>
      </c>
      <c r="BK24" s="27" t="e">
        <f>+#REF!+#REF!+#REF!+#REF!+#REF!+#REF!+#REF!+#REF!+#REF!+#REF!+#REF!+#REF!</f>
        <v>#REF!</v>
      </c>
      <c r="BL24" s="61">
        <f t="shared" si="34"/>
        <v>0</v>
      </c>
      <c r="BM24" s="36" t="e">
        <f>+#REF!+#REF!+#REF!+#REF!+#REF!+#REF!+#REF!+#REF!+#REF!+#REF!+#REF!+#REF!</f>
        <v>#REF!</v>
      </c>
      <c r="BN24" s="27" t="e">
        <f>+#REF!+#REF!+#REF!+#REF!+#REF!+#REF!+#REF!+#REF!+#REF!+#REF!+#REF!+#REF!</f>
        <v>#REF!</v>
      </c>
      <c r="BO24" s="54">
        <f t="shared" si="35"/>
        <v>0</v>
      </c>
      <c r="BP24" s="26" t="e">
        <f>+#REF!+#REF!+#REF!+#REF!+#REF!+#REF!+#REF!+#REF!+#REF!+#REF!+#REF!+#REF!</f>
        <v>#REF!</v>
      </c>
      <c r="BQ24" s="27" t="e">
        <f>+#REF!+#REF!+#REF!+#REF!+#REF!+#REF!+#REF!+#REF!+#REF!+#REF!+#REF!+#REF!</f>
        <v>#REF!</v>
      </c>
      <c r="BR24" s="61">
        <f t="shared" si="36"/>
        <v>0</v>
      </c>
      <c r="BS24" s="26" t="e">
        <f>+#REF!+#REF!+#REF!+#REF!+#REF!+#REF!+#REF!+#REF!+#REF!+#REF!+#REF!+#REF!</f>
        <v>#REF!</v>
      </c>
      <c r="BT24" s="27" t="e">
        <f>+#REF!+#REF!+#REF!+#REF!+#REF!+#REF!+#REF!+#REF!+#REF!+#REF!+#REF!+#REF!</f>
        <v>#REF!</v>
      </c>
      <c r="BU24" s="61">
        <f t="shared" si="37"/>
        <v>0</v>
      </c>
      <c r="BV24" s="150"/>
      <c r="BW24" s="9" t="e">
        <f>+#REF!+#REF!+#REF!+#REF!+#REF!+#REF!+#REF!+#REF!+#REF!+#REF!+#REF!+#REF!</f>
        <v>#REF!</v>
      </c>
      <c r="BX24" s="5" t="e">
        <f>+#REF!+#REF!+#REF!+#REF!+#REF!+#REF!+#REF!+#REF!+#REF!+#REF!+#REF!+#REF!</f>
        <v>#REF!</v>
      </c>
      <c r="BY24" s="5" t="e">
        <f>+#REF!+#REF!+#REF!+#REF!+#REF!+#REF!+#REF!+#REF!+#REF!+#REF!+#REF!+#REF!</f>
        <v>#REF!</v>
      </c>
      <c r="BZ24" s="5" t="e">
        <f>+#REF!+#REF!+#REF!+#REF!+#REF!+#REF!+#REF!+#REF!+#REF!+#REF!+#REF!+#REF!</f>
        <v>#REF!</v>
      </c>
      <c r="CA24" s="5" t="e">
        <f>+#REF!+#REF!+#REF!+#REF!+#REF!+#REF!+#REF!+#REF!+#REF!+#REF!+#REF!+#REF!</f>
        <v>#REF!</v>
      </c>
      <c r="CB24" s="5" t="e">
        <f t="shared" si="38"/>
        <v>#REF!</v>
      </c>
      <c r="CC24" s="33"/>
      <c r="CD24" s="2683"/>
      <c r="CF24" s="4" t="e">
        <f t="shared" si="39"/>
        <v>#REF!</v>
      </c>
      <c r="CG24" s="5" t="e">
        <f t="shared" si="5"/>
        <v>#REF!</v>
      </c>
      <c r="CH24" s="5" t="e">
        <f t="shared" si="5"/>
        <v>#REF!</v>
      </c>
      <c r="CI24" s="5" t="e">
        <f t="shared" si="5"/>
        <v>#REF!</v>
      </c>
      <c r="CJ24" s="5" t="e">
        <f t="shared" si="5"/>
        <v>#REF!</v>
      </c>
      <c r="CK24" s="5" t="e">
        <f t="shared" si="5"/>
        <v>#REF!</v>
      </c>
      <c r="CL24" s="33" t="e">
        <f t="shared" si="40"/>
        <v>#REF!</v>
      </c>
      <c r="CM24" s="2685"/>
      <c r="CN24" s="9" t="e">
        <f>+#REF!+#REF!+#REF!+#REF!+#REF!+#REF!+#REF!+#REF!+#REF!+#REF!+#REF!+#REF!</f>
        <v>#REF!</v>
      </c>
      <c r="CO24" s="5" t="e">
        <f>+#REF!+#REF!+#REF!+#REF!+#REF!+#REF!+#REF!+#REF!+#REF!+#REF!+#REF!+#REF!</f>
        <v>#REF!</v>
      </c>
      <c r="CP24" s="5" t="e">
        <f>+#REF!+#REF!+#REF!+#REF!+#REF!+#REF!+#REF!+#REF!+#REF!+#REF!+#REF!+#REF!</f>
        <v>#REF!</v>
      </c>
      <c r="CQ24" s="5" t="e">
        <f>+#REF!+#REF!+#REF!+#REF!+#REF!+#REF!+#REF!+#REF!+#REF!+#REF!+#REF!+#REF!</f>
        <v>#REF!</v>
      </c>
      <c r="CR24" s="5" t="e">
        <f>+#REF!+#REF!+#REF!+#REF!+#REF!+#REF!+#REF!+#REF!+#REF!+#REF!+#REF!+#REF!</f>
        <v>#REF!</v>
      </c>
      <c r="CS24" s="5" t="e">
        <f>+#REF!+#REF!+#REF!+#REF!+#REF!+#REF!+#REF!+#REF!+#REF!+#REF!+#REF!+#REF!</f>
        <v>#REF!</v>
      </c>
      <c r="CT24" s="28" t="e">
        <f t="shared" si="41"/>
        <v>#REF!</v>
      </c>
      <c r="CU24" s="36" t="e">
        <f>+#REF!+#REF!+#REF!+#REF!+#REF!+#REF!+#REF!+#REF!+#REF!+#REF!+#REF!+#REF!</f>
        <v>#REF!</v>
      </c>
      <c r="CV24" s="27" t="e">
        <f>+#REF!+#REF!+#REF!+#REF!+#REF!+#REF!+#REF!+#REF!+#REF!+#REF!+#REF!+#REF!</f>
        <v>#REF!</v>
      </c>
      <c r="CW24" s="27" t="e">
        <f>+#REF!+#REF!+#REF!+#REF!+#REF!+#REF!+#REF!+#REF!+#REF!+#REF!+#REF!+#REF!</f>
        <v>#REF!</v>
      </c>
      <c r="CX24" s="27" t="e">
        <f>+#REF!+#REF!+#REF!+#REF!+#REF!+#REF!+#REF!+#REF!+#REF!+#REF!+#REF!+#REF!</f>
        <v>#REF!</v>
      </c>
      <c r="CY24" s="27" t="e">
        <f>+#REF!+#REF!+#REF!+#REF!+#REF!+#REF!+#REF!+#REF!+#REF!+#REF!+#REF!+#REF!</f>
        <v>#REF!</v>
      </c>
      <c r="CZ24" s="27" t="e">
        <f>+#REF!+#REF!+#REF!+#REF!+#REF!+#REF!+#REF!+#REF!+#REF!+#REF!+#REF!+#REF!</f>
        <v>#REF!</v>
      </c>
      <c r="DA24" s="28" t="e">
        <f t="shared" si="42"/>
        <v>#REF!</v>
      </c>
      <c r="DB24" s="36" t="e">
        <f>+#REF!+#REF!+#REF!+#REF!+#REF!+#REF!+#REF!+#REF!+#REF!+#REF!+#REF!+#REF!</f>
        <v>#REF!</v>
      </c>
      <c r="DC24" s="27" t="e">
        <f>+#REF!+#REF!+#REF!+#REF!+#REF!+#REF!+#REF!+#REF!+#REF!+#REF!+#REF!+#REF!</f>
        <v>#REF!</v>
      </c>
      <c r="DD24" s="27" t="e">
        <f>+#REF!+#REF!+#REF!+#REF!+#REF!+#REF!+#REF!+#REF!+#REF!+#REF!+#REF!+#REF!</f>
        <v>#REF!</v>
      </c>
      <c r="DE24" s="27" t="e">
        <f>+#REF!+#REF!+#REF!+#REF!+#REF!+#REF!+#REF!+#REF!+#REF!+#REF!+#REF!+#REF!</f>
        <v>#REF!</v>
      </c>
      <c r="DF24" s="27" t="e">
        <f>+#REF!+#REF!+#REF!+#REF!+#REF!+#REF!+#REF!+#REF!+#REF!+#REF!+#REF!+#REF!</f>
        <v>#REF!</v>
      </c>
      <c r="DG24" s="27" t="e">
        <f>+#REF!+#REF!+#REF!+#REF!+#REF!+#REF!+#REF!+#REF!+#REF!+#REF!+#REF!+#REF!</f>
        <v>#REF!</v>
      </c>
      <c r="DH24" s="28" t="e">
        <f t="shared" si="43"/>
        <v>#REF!</v>
      </c>
      <c r="DI24" s="36" t="e">
        <f>+#REF!+#REF!+#REF!+#REF!+#REF!+#REF!+#REF!+#REF!+#REF!+#REF!+#REF!+#REF!</f>
        <v>#REF!</v>
      </c>
      <c r="DJ24" s="27" t="e">
        <f>+#REF!+#REF!+#REF!+#REF!+#REF!+#REF!+#REF!+#REF!+#REF!+#REF!+#REF!+#REF!</f>
        <v>#REF!</v>
      </c>
      <c r="DK24" s="27" t="e">
        <f>+#REF!+#REF!+#REF!+#REF!+#REF!+#REF!+#REF!+#REF!+#REF!+#REF!+#REF!+#REF!</f>
        <v>#REF!</v>
      </c>
      <c r="DL24" s="27" t="e">
        <f>+#REF!+#REF!+#REF!+#REF!+#REF!+#REF!+#REF!+#REF!+#REF!+#REF!+#REF!+#REF!</f>
        <v>#REF!</v>
      </c>
      <c r="DM24" s="27" t="e">
        <f>+#REF!+#REF!+#REF!+#REF!+#REF!+#REF!+#REF!+#REF!+#REF!+#REF!+#REF!+#REF!</f>
        <v>#REF!</v>
      </c>
      <c r="DN24" s="27" t="e">
        <f>+#REF!+#REF!+#REF!+#REF!+#REF!+#REF!+#REF!+#REF!+#REF!+#REF!+#REF!+#REF!</f>
        <v>#REF!</v>
      </c>
      <c r="DO24" s="33" t="e">
        <f t="shared" si="44"/>
        <v>#REF!</v>
      </c>
      <c r="DP24" s="2685"/>
      <c r="DR24" s="4" t="e">
        <f t="shared" si="45"/>
        <v>#REF!</v>
      </c>
      <c r="DS24" s="5" t="e">
        <f t="shared" si="46"/>
        <v>#REF!</v>
      </c>
      <c r="DT24" s="5" t="e">
        <f t="shared" si="47"/>
        <v>#REF!</v>
      </c>
      <c r="DU24" s="12" t="e">
        <f t="shared" si="48"/>
        <v>#REF!</v>
      </c>
      <c r="DV24" s="33"/>
      <c r="DW24" s="2674"/>
      <c r="DX24" s="9" t="e">
        <f>+#REF!+#REF!+#REF!+#REF!+#REF!+#REF!+#REF!+#REF!+#REF!+#REF!+#REF!+#REF!</f>
        <v>#REF!</v>
      </c>
      <c r="DY24" s="5" t="e">
        <f>+#REF!+#REF!+#REF!+#REF!+#REF!+#REF!+#REF!+#REF!+#REF!+#REF!+#REF!+#REF!</f>
        <v>#REF!</v>
      </c>
      <c r="DZ24" s="5" t="e">
        <f>+#REF!+#REF!+#REF!+#REF!+#REF!+#REF!+#REF!+#REF!+#REF!+#REF!+#REF!+#REF!</f>
        <v>#REF!</v>
      </c>
      <c r="EA24" s="5" t="e">
        <f>+#REF!+#REF!+#REF!+#REF!+#REF!+#REF!+#REF!+#REF!+#REF!+#REF!+#REF!+#REF!</f>
        <v>#REF!</v>
      </c>
      <c r="EB24" s="5" t="e">
        <f>+#REF!+#REF!+#REF!+#REF!+#REF!+#REF!+#REF!+#REF!+#REF!+#REF!+#REF!+#REF!</f>
        <v>#REF!</v>
      </c>
      <c r="EC24" s="27" t="e">
        <f>+#REF!+#REF!+#REF!+#REF!+#REF!+#REF!+#REF!+#REF!+#REF!+#REF!+#REF!+#REF!</f>
        <v>#REF!</v>
      </c>
      <c r="ED24" s="28" t="e">
        <f t="shared" si="49"/>
        <v>#REF!</v>
      </c>
      <c r="EE24" s="36" t="e">
        <f>+#REF!+#REF!+#REF!+#REF!+#REF!+#REF!+#REF!+#REF!+#REF!+#REF!+#REF!+#REF!</f>
        <v>#REF!</v>
      </c>
      <c r="EF24" s="27" t="e">
        <f>+#REF!+#REF!+#REF!+#REF!+#REF!+#REF!+#REF!+#REF!+#REF!+#REF!+#REF!+#REF!</f>
        <v>#REF!</v>
      </c>
      <c r="EG24" s="27" t="e">
        <f>+#REF!+#REF!+#REF!+#REF!+#REF!+#REF!+#REF!+#REF!+#REF!+#REF!+#REF!+#REF!</f>
        <v>#REF!</v>
      </c>
      <c r="EH24" s="27" t="e">
        <f>+#REF!+#REF!+#REF!+#REF!+#REF!+#REF!+#REF!+#REF!+#REF!+#REF!+#REF!+#REF!</f>
        <v>#REF!</v>
      </c>
      <c r="EI24" s="27" t="e">
        <f>+#REF!+#REF!+#REF!+#REF!+#REF!+#REF!+#REF!+#REF!+#REF!+#REF!+#REF!+#REF!</f>
        <v>#REF!</v>
      </c>
      <c r="EJ24" s="27" t="e">
        <f>+#REF!+#REF!+#REF!+#REF!+#REF!+#REF!+#REF!+#REF!+#REF!+#REF!+#REF!+#REF!</f>
        <v>#REF!</v>
      </c>
      <c r="EK24" s="28" t="e">
        <f t="shared" si="50"/>
        <v>#REF!</v>
      </c>
      <c r="EL24" s="36" t="e">
        <f>+#REF!+#REF!+#REF!+#REF!+#REF!+#REF!+#REF!+#REF!+#REF!+#REF!+#REF!+#REF!</f>
        <v>#REF!</v>
      </c>
      <c r="EM24" s="27" t="e">
        <f>+#REF!+#REF!+#REF!+#REF!+#REF!+#REF!+#REF!+#REF!+#REF!+#REF!+#REF!+#REF!</f>
        <v>#REF!</v>
      </c>
      <c r="EN24" s="27" t="e">
        <f>+#REF!+#REF!+#REF!+#REF!+#REF!+#REF!+#REF!+#REF!+#REF!+#REF!+#REF!+#REF!</f>
        <v>#REF!</v>
      </c>
      <c r="EO24" s="27" t="e">
        <f>+#REF!+#REF!+#REF!+#REF!+#REF!+#REF!+#REF!+#REF!+#REF!+#REF!+#REF!+#REF!</f>
        <v>#REF!</v>
      </c>
      <c r="EP24" s="27" t="e">
        <f>+#REF!+#REF!+#REF!+#REF!+#REF!+#REF!+#REF!+#REF!+#REF!+#REF!+#REF!+#REF!</f>
        <v>#REF!</v>
      </c>
      <c r="EQ24" s="27" t="e">
        <f>+#REF!+#REF!+#REF!+#REF!+#REF!+#REF!+#REF!+#REF!+#REF!+#REF!+#REF!+#REF!</f>
        <v>#REF!</v>
      </c>
      <c r="ER24" s="33" t="e">
        <f t="shared" si="51"/>
        <v>#REF!</v>
      </c>
      <c r="ES24" s="2674"/>
      <c r="EU24" s="4" t="e">
        <f t="shared" si="52"/>
        <v>#REF!</v>
      </c>
      <c r="EV24" s="5" t="e">
        <f t="shared" si="53"/>
        <v>#REF!</v>
      </c>
      <c r="EW24" s="27" t="e">
        <f t="shared" si="54"/>
        <v>#REF!</v>
      </c>
      <c r="EX24" s="27" t="e">
        <f t="shared" si="55"/>
        <v>#REF!</v>
      </c>
      <c r="EY24" s="141"/>
      <c r="EZ24" s="141"/>
      <c r="FA24" s="33"/>
      <c r="FB24" s="2667"/>
      <c r="FC24" s="36" t="e">
        <f>+#REF!+#REF!+#REF!+#REF!+#REF!+#REF!+#REF!+#REF!+#REF!+#REF!+#REF!+#REF!</f>
        <v>#REF!</v>
      </c>
      <c r="FD24" s="27" t="e">
        <f>+#REF!+#REF!+#REF!+#REF!+#REF!+#REF!+#REF!+#REF!+#REF!+#REF!+#REF!+#REF!</f>
        <v>#REF!</v>
      </c>
      <c r="FE24" s="27"/>
      <c r="FF24" s="27"/>
      <c r="FG24" s="33" t="e">
        <f t="shared" si="56"/>
        <v>#REF!</v>
      </c>
      <c r="FH24" s="2667"/>
      <c r="FI24" s="36" t="e">
        <f>+#REF!+#REF!+#REF!+#REF!+#REF!+#REF!+#REF!+#REF!+#REF!+#REF!+#REF!+#REF!</f>
        <v>#REF!</v>
      </c>
      <c r="FJ24" s="27" t="e">
        <f>+#REF!+#REF!+#REF!+#REF!+#REF!+#REF!+#REF!+#REF!+#REF!+#REF!+#REF!+#REF!</f>
        <v>#REF!</v>
      </c>
      <c r="FK24" s="27" t="e">
        <f>+#REF!+#REF!+#REF!+#REF!+#REF!+#REF!+#REF!+#REF!+#REF!+#REF!+#REF!+#REF!</f>
        <v>#REF!</v>
      </c>
      <c r="FL24" s="27" t="e">
        <f>+#REF!+#REF!+#REF!+#REF!+#REF!+#REF!+#REF!+#REF!+#REF!+#REF!+#REF!+#REF!</f>
        <v>#REF!</v>
      </c>
      <c r="FM24" s="27" t="e">
        <f>+#REF!+#REF!+#REF!+#REF!+#REF!+#REF!+#REF!+#REF!+#REF!+#REF!+#REF!+#REF!</f>
        <v>#REF!</v>
      </c>
      <c r="FN24" s="27" t="e">
        <f>+#REF!+#REF!+#REF!+#REF!+#REF!+#REF!+#REF!+#REF!+#REF!+#REF!+#REF!+#REF!</f>
        <v>#REF!</v>
      </c>
      <c r="FO24" s="27" t="e">
        <f>+#REF!+#REF!+#REF!+#REF!+#REF!+#REF!+#REF!+#REF!+#REF!+#REF!+#REF!+#REF!</f>
        <v>#REF!</v>
      </c>
      <c r="FP24" s="27" t="e">
        <f>+#REF!+#REF!+#REF!+#REF!+#REF!+#REF!+#REF!+#REF!+#REF!+#REF!+#REF!+#REF!</f>
        <v>#REF!</v>
      </c>
      <c r="FQ24" s="28" t="e">
        <f t="shared" si="80"/>
        <v>#REF!</v>
      </c>
      <c r="FR24" s="26" t="e">
        <f>+#REF!+#REF!+#REF!+#REF!+#REF!+#REF!+#REF!+#REF!+#REF!+#REF!+#REF!+#REF!</f>
        <v>#REF!</v>
      </c>
      <c r="FS24" s="27" t="e">
        <f>+#REF!+#REF!+#REF!+#REF!+#REF!+#REF!+#REF!+#REF!+#REF!+#REF!+#REF!+#REF!</f>
        <v>#REF!</v>
      </c>
      <c r="FT24" s="27" t="e">
        <f>+#REF!+#REF!+#REF!+#REF!+#REF!+#REF!+#REF!+#REF!+#REF!+#REF!+#REF!+#REF!</f>
        <v>#REF!</v>
      </c>
      <c r="FU24" s="27" t="e">
        <f>+#REF!+#REF!+#REF!+#REF!+#REF!+#REF!+#REF!+#REF!+#REF!+#REF!+#REF!+#REF!</f>
        <v>#REF!</v>
      </c>
      <c r="FV24" s="27" t="e">
        <f>+#REF!+#REF!+#REF!+#REF!+#REF!+#REF!+#REF!+#REF!+#REF!+#REF!+#REF!+#REF!</f>
        <v>#REF!</v>
      </c>
      <c r="FW24" s="27" t="e">
        <f>+#REF!+#REF!+#REF!+#REF!+#REF!+#REF!+#REF!+#REF!+#REF!+#REF!+#REF!+#REF!</f>
        <v>#REF!</v>
      </c>
      <c r="FX24" s="27" t="e">
        <f>+#REF!+#REF!+#REF!+#REF!+#REF!+#REF!+#REF!+#REF!+#REF!+#REF!+#REF!+#REF!</f>
        <v>#REF!</v>
      </c>
      <c r="FY24" s="27" t="e">
        <f>+#REF!+#REF!+#REF!+#REF!+#REF!+#REF!+#REF!+#REF!+#REF!+#REF!+#REF!+#REF!</f>
        <v>#REF!</v>
      </c>
      <c r="FZ24" s="28" t="e">
        <f t="shared" si="57"/>
        <v>#REF!</v>
      </c>
      <c r="GA24" s="36" t="e">
        <f>+#REF!+#REF!+#REF!+#REF!+#REF!+#REF!+#REF!+#REF!+#REF!+#REF!+#REF!+#REF!</f>
        <v>#REF!</v>
      </c>
      <c r="GB24" s="27" t="e">
        <f>+#REF!+#REF!+#REF!+#REF!+#REF!+#REF!+#REF!+#REF!+#REF!+#REF!+#REF!+#REF!</f>
        <v>#REF!</v>
      </c>
      <c r="GC24" s="27" t="e">
        <f>+#REF!+#REF!+#REF!+#REF!+#REF!+#REF!+#REF!+#REF!+#REF!+#REF!+#REF!+#REF!</f>
        <v>#REF!</v>
      </c>
      <c r="GD24" s="27" t="e">
        <f>+#REF!+#REF!+#REF!+#REF!+#REF!+#REF!+#REF!+#REF!+#REF!+#REF!+#REF!+#REF!</f>
        <v>#REF!</v>
      </c>
      <c r="GE24" s="27" t="e">
        <f>+#REF!+#REF!+#REF!+#REF!+#REF!+#REF!+#REF!+#REF!+#REF!+#REF!+#REF!+#REF!</f>
        <v>#REF!</v>
      </c>
      <c r="GF24" s="27" t="e">
        <f>+#REF!+#REF!+#REF!+#REF!+#REF!+#REF!+#REF!+#REF!+#REF!+#REF!+#REF!+#REF!</f>
        <v>#REF!</v>
      </c>
      <c r="GG24" s="27" t="e">
        <f>+#REF!+#REF!+#REF!+#REF!+#REF!+#REF!+#REF!+#REF!+#REF!+#REF!+#REF!+#REF!</f>
        <v>#REF!</v>
      </c>
      <c r="GH24" s="27" t="e">
        <f>+#REF!+#REF!+#REF!+#REF!+#REF!+#REF!+#REF!+#REF!+#REF!+#REF!+#REF!+#REF!</f>
        <v>#REF!</v>
      </c>
      <c r="GI24" s="33" t="e">
        <f t="shared" si="58"/>
        <v>#REF!</v>
      </c>
      <c r="GJ24" s="2667"/>
      <c r="GL24" s="26" t="e">
        <f>+#REF!+#REF!+#REF!+#REF!+#REF!+#REF!+#REF!+#REF!+#REF!+#REF!+#REF!+#REF!</f>
        <v>#REF!</v>
      </c>
      <c r="GM24" s="36" t="e">
        <f>+#REF!+#REF!+#REF!+#REF!+#REF!+#REF!+#REF!+#REF!+#REF!+#REF!+#REF!+#REF!</f>
        <v>#REF!</v>
      </c>
      <c r="GN24" s="27" t="e">
        <f>+#REF!+#REF!+#REF!+#REF!+#REF!+#REF!+#REF!+#REF!+#REF!+#REF!+#REF!+#REF!</f>
        <v>#REF!</v>
      </c>
      <c r="GO24" s="27" t="e">
        <f t="shared" si="59"/>
        <v>#REF!</v>
      </c>
      <c r="GP24" s="33"/>
      <c r="GQ24" s="2669"/>
      <c r="GR24" s="69"/>
      <c r="GS24" s="70"/>
      <c r="GT24" s="70"/>
      <c r="GU24" s="70"/>
      <c r="GV24" s="70"/>
      <c r="GW24" s="70"/>
      <c r="GX24" s="70"/>
      <c r="GY24" s="71"/>
      <c r="GZ24" s="69"/>
      <c r="HA24" s="70"/>
      <c r="HB24" s="70"/>
      <c r="HC24" s="70"/>
      <c r="HD24" s="70"/>
      <c r="HE24" s="70"/>
      <c r="HF24" s="70"/>
      <c r="HG24" s="71"/>
      <c r="HH24" s="69"/>
      <c r="HI24" s="70"/>
      <c r="HJ24" s="70"/>
      <c r="HK24" s="70"/>
      <c r="HL24" s="70"/>
      <c r="HM24" s="70"/>
      <c r="HN24" s="70"/>
      <c r="HO24" s="70"/>
      <c r="HP24" s="33"/>
      <c r="HQ24" s="2669"/>
      <c r="HR24" s="36"/>
      <c r="HS24" s="53"/>
      <c r="HT24" s="53"/>
      <c r="HU24" s="53"/>
      <c r="HV24" s="61"/>
      <c r="HW24" s="36"/>
      <c r="HX24" s="53"/>
      <c r="HY24" s="53"/>
      <c r="HZ24" s="53"/>
      <c r="IA24" s="61"/>
      <c r="IB24" s="36"/>
      <c r="IC24" s="53"/>
      <c r="ID24" s="53"/>
      <c r="IE24" s="53"/>
      <c r="IF24" s="53"/>
      <c r="IG24" s="33"/>
      <c r="IH24" s="2669"/>
      <c r="IJ24" s="26" t="e">
        <f t="shared" si="60"/>
        <v>#REF!</v>
      </c>
      <c r="IK24" s="36" t="e">
        <f t="shared" si="6"/>
        <v>#REF!</v>
      </c>
      <c r="IL24" s="27" t="e">
        <f t="shared" si="6"/>
        <v>#REF!</v>
      </c>
      <c r="IM24" s="28" t="e">
        <f t="shared" si="61"/>
        <v>#REF!</v>
      </c>
      <c r="IN24" s="36"/>
      <c r="IO24" s="27"/>
      <c r="IP24" s="27"/>
      <c r="IQ24" s="33"/>
      <c r="IR24" s="55"/>
      <c r="IS24" s="21"/>
      <c r="IT24" s="2688"/>
      <c r="IU24" s="36" t="e">
        <f>+#REF!+#REF!+#REF!+#REF!+#REF!+#REF!+#REF!+#REF!+#REF!+#REF!+#REF!+#REF!</f>
        <v>#REF!</v>
      </c>
      <c r="IV24" s="36" t="e">
        <f>+#REF!+#REF!+#REF!+#REF!+#REF!+#REF!+#REF!+#REF!+#REF!+#REF!+#REF!+#REF!</f>
        <v>#REF!</v>
      </c>
      <c r="IW24" s="27" t="e">
        <f>+#REF!+#REF!+#REF!+#REF!+#REF!+#REF!+#REF!+#REF!+#REF!+#REF!+#REF!+#REF!</f>
        <v>#REF!</v>
      </c>
      <c r="IX24" s="27" t="e">
        <f>+#REF!+#REF!+#REF!+#REF!+#REF!+#REF!+#REF!+#REF!+#REF!+#REF!+#REF!+#REF!</f>
        <v>#REF!</v>
      </c>
      <c r="IY24" s="27" t="e">
        <f>+#REF!+#REF!+#REF!+#REF!+#REF!+#REF!+#REF!+#REF!+#REF!+#REF!+#REF!+#REF!</f>
        <v>#REF!</v>
      </c>
      <c r="IZ24" s="28" t="e">
        <f t="shared" si="62"/>
        <v>#REF!</v>
      </c>
      <c r="JA24" s="26" t="e">
        <f>+#REF!+#REF!+#REF!+#REF!+#REF!+#REF!+#REF!+#REF!+#REF!+#REF!+#REF!+#REF!</f>
        <v>#REF!</v>
      </c>
      <c r="JB24" s="36" t="e">
        <f>+#REF!+#REF!+#REF!+#REF!+#REF!+#REF!+#REF!+#REF!+#REF!+#REF!+#REF!+#REF!</f>
        <v>#REF!</v>
      </c>
      <c r="JC24" s="27" t="e">
        <f>+#REF!+#REF!+#REF!+#REF!+#REF!+#REF!+#REF!+#REF!+#REF!+#REF!+#REF!+#REF!</f>
        <v>#REF!</v>
      </c>
      <c r="JD24" s="27" t="e">
        <f>+#REF!+#REF!+#REF!+#REF!+#REF!+#REF!+#REF!+#REF!+#REF!+#REF!+#REF!+#REF!</f>
        <v>#REF!</v>
      </c>
      <c r="JE24" s="28" t="e">
        <f>+#REF!+#REF!+#REF!+#REF!+#REF!+#REF!+#REF!+#REF!+#REF!+#REF!+#REF!+#REF!</f>
        <v>#REF!</v>
      </c>
      <c r="JF24" s="26" t="e">
        <f>+#REF!+#REF!+#REF!+#REF!+#REF!+#REF!+#REF!+#REF!+#REF!+#REF!+#REF!+#REF!</f>
        <v>#REF!</v>
      </c>
      <c r="JG24" s="36" t="e">
        <f>+#REF!+#REF!+#REF!+#REF!+#REF!+#REF!+#REF!+#REF!+#REF!+#REF!+#REF!+#REF!</f>
        <v>#REF!</v>
      </c>
      <c r="JH24" s="27" t="e">
        <f>+#REF!+#REF!+#REF!+#REF!+#REF!+#REF!+#REF!+#REF!+#REF!+#REF!+#REF!+#REF!</f>
        <v>#REF!</v>
      </c>
      <c r="JI24" s="27" t="e">
        <f>+#REF!+#REF!+#REF!+#REF!+#REF!+#REF!+#REF!+#REF!+#REF!+#REF!+#REF!+#REF!</f>
        <v>#REF!</v>
      </c>
      <c r="JJ24" s="27" t="e">
        <f>+#REF!+#REF!+#REF!+#REF!+#REF!+#REF!+#REF!+#REF!+#REF!+#REF!+#REF!+#REF!</f>
        <v>#REF!</v>
      </c>
      <c r="JK24" s="28" t="e">
        <f t="shared" si="63"/>
        <v>#REF!</v>
      </c>
      <c r="JL24" s="26" t="e">
        <f>+#REF!+#REF!+#REF!+#REF!+#REF!+#REF!+#REF!+#REF!+#REF!+#REF!+#REF!+#REF!</f>
        <v>#REF!</v>
      </c>
      <c r="JM24" s="36" t="e">
        <f>+#REF!+#REF!+#REF!+#REF!+#REF!+#REF!+#REF!+#REF!+#REF!+#REF!+#REF!+#REF!</f>
        <v>#REF!</v>
      </c>
      <c r="JN24" s="27" t="e">
        <f>+#REF!+#REF!+#REF!+#REF!+#REF!+#REF!+#REF!+#REF!+#REF!+#REF!+#REF!+#REF!</f>
        <v>#REF!</v>
      </c>
      <c r="JO24" s="27" t="e">
        <f>+#REF!+#REF!+#REF!+#REF!+#REF!+#REF!+#REF!+#REF!+#REF!+#REF!+#REF!+#REF!</f>
        <v>#REF!</v>
      </c>
      <c r="JP24" s="28" t="e">
        <f>+#REF!+#REF!+#REF!+#REF!+#REF!+#REF!+#REF!+#REF!+#REF!+#REF!+#REF!+#REF!</f>
        <v>#REF!</v>
      </c>
      <c r="JQ24" s="275" t="e">
        <f t="shared" si="64"/>
        <v>#REF!</v>
      </c>
      <c r="JR24" s="36" t="e">
        <f>+#REF!+#REF!+#REF!+#REF!+#REF!+#REF!+#REF!+#REF!+#REF!+#REF!+#REF!+#REF!</f>
        <v>#REF!</v>
      </c>
      <c r="JS24" s="36" t="e">
        <f>+#REF!+#REF!+#REF!+#REF!+#REF!+#REF!+#REF!+#REF!+#REF!+#REF!+#REF!+#REF!</f>
        <v>#REF!</v>
      </c>
      <c r="JT24" s="27" t="e">
        <f>+#REF!+#REF!+#REF!+#REF!+#REF!+#REF!+#REF!+#REF!+#REF!+#REF!+#REF!+#REF!</f>
        <v>#REF!</v>
      </c>
      <c r="JU24" s="27" t="e">
        <f>+#REF!+#REF!+#REF!+#REF!+#REF!+#REF!+#REF!+#REF!+#REF!+#REF!+#REF!+#REF!</f>
        <v>#REF!</v>
      </c>
      <c r="JV24" s="27" t="e">
        <f>+#REF!+#REF!+#REF!+#REF!+#REF!+#REF!+#REF!+#REF!+#REF!+#REF!+#REF!+#REF!</f>
        <v>#REF!</v>
      </c>
      <c r="JW24" s="33" t="e">
        <f t="shared" si="65"/>
        <v>#REF!</v>
      </c>
      <c r="JX24" s="2688"/>
      <c r="JZ24" s="26" t="e">
        <f t="shared" si="66"/>
        <v>#REF!</v>
      </c>
      <c r="KA24" s="27" t="e">
        <f t="shared" si="67"/>
        <v>#REF!</v>
      </c>
      <c r="KB24" s="27" t="e">
        <f t="shared" si="68"/>
        <v>#REF!</v>
      </c>
      <c r="KC24" s="33" t="e">
        <f t="shared" si="69"/>
        <v>#REF!</v>
      </c>
      <c r="KD24" s="2621"/>
      <c r="KE24" s="36" t="e">
        <f t="shared" si="7"/>
        <v>#REF!</v>
      </c>
      <c r="KF24" s="36" t="e">
        <f t="shared" si="7"/>
        <v>#REF!</v>
      </c>
      <c r="KG24" s="27" t="e">
        <f t="shared" si="7"/>
        <v>#REF!</v>
      </c>
      <c r="KH24" s="28" t="e">
        <f t="shared" si="81"/>
        <v>#REF!</v>
      </c>
      <c r="KI24" s="36" t="e">
        <f t="shared" si="82"/>
        <v>#REF!</v>
      </c>
      <c r="KJ24" s="27" t="e">
        <f t="shared" si="8"/>
        <v>#REF!</v>
      </c>
      <c r="KK24" s="27" t="e">
        <f t="shared" si="8"/>
        <v>#REF!</v>
      </c>
      <c r="KL24" s="27" t="e">
        <f t="shared" si="8"/>
        <v>#REF!</v>
      </c>
      <c r="KM24" s="27" t="e">
        <f t="shared" si="8"/>
        <v>#REF!</v>
      </c>
      <c r="KN24" s="27" t="e">
        <f t="shared" si="8"/>
        <v>#REF!</v>
      </c>
      <c r="KO24" s="28" t="e">
        <f t="shared" si="83"/>
        <v>#REF!</v>
      </c>
      <c r="KP24" s="36" t="e">
        <f t="shared" si="9"/>
        <v>#REF!</v>
      </c>
      <c r="KQ24" s="27" t="e">
        <f t="shared" si="9"/>
        <v>#REF!</v>
      </c>
      <c r="KR24" s="27" t="e">
        <f t="shared" si="9"/>
        <v>#REF!</v>
      </c>
      <c r="KS24" s="27" t="e">
        <f t="shared" si="9"/>
        <v>#REF!</v>
      </c>
      <c r="KT24" s="27" t="e">
        <f t="shared" si="9"/>
        <v>#REF!</v>
      </c>
      <c r="KU24" s="27" t="e">
        <f t="shared" si="9"/>
        <v>#REF!</v>
      </c>
      <c r="KV24" s="28" t="e">
        <f t="shared" si="84"/>
        <v>#REF!</v>
      </c>
      <c r="KW24" s="36" t="e">
        <f t="shared" si="10"/>
        <v>#REF!</v>
      </c>
      <c r="KX24" s="27" t="e">
        <f t="shared" si="10"/>
        <v>#REF!</v>
      </c>
      <c r="KY24" s="27" t="e">
        <f t="shared" si="10"/>
        <v>#REF!</v>
      </c>
      <c r="KZ24" s="27" t="e">
        <f t="shared" si="10"/>
        <v>#REF!</v>
      </c>
      <c r="LA24" s="27" t="e">
        <f t="shared" si="10"/>
        <v>#REF!</v>
      </c>
      <c r="LB24" s="27" t="e">
        <f t="shared" si="10"/>
        <v>#REF!</v>
      </c>
      <c r="LC24" s="28" t="e">
        <f t="shared" si="85"/>
        <v>#REF!</v>
      </c>
      <c r="LD24" s="36"/>
      <c r="LE24" s="27"/>
      <c r="LF24" s="27"/>
      <c r="LG24" s="27"/>
      <c r="LH24" s="27"/>
      <c r="LI24" s="27"/>
      <c r="LJ24" s="28">
        <f t="shared" si="70"/>
        <v>0</v>
      </c>
      <c r="LK24" s="36" t="e">
        <f t="shared" si="11"/>
        <v>#REF!</v>
      </c>
      <c r="LL24" s="27" t="e">
        <f t="shared" si="11"/>
        <v>#REF!</v>
      </c>
      <c r="LM24" s="27" t="e">
        <f t="shared" si="11"/>
        <v>#REF!</v>
      </c>
      <c r="LN24" s="27" t="e">
        <f t="shared" si="11"/>
        <v>#REF!</v>
      </c>
      <c r="LO24" s="27" t="e">
        <f t="shared" si="11"/>
        <v>#REF!</v>
      </c>
      <c r="LP24" s="27" t="e">
        <f t="shared" si="11"/>
        <v>#REF!</v>
      </c>
      <c r="LQ24" s="33" t="e">
        <f t="shared" si="71"/>
        <v>#REF!</v>
      </c>
      <c r="LR24" s="2621"/>
      <c r="LT24" s="4" t="e">
        <f>+#REF!+#REF!+#REF!+#REF!+#REF!+#REF!+#REF!+#REF!+#REF!+#REF!+#REF!+#REF!</f>
        <v>#REF!</v>
      </c>
      <c r="LU24" s="5" t="e">
        <f>+#REF!+#REF!+#REF!+#REF!+#REF!+#REF!+#REF!+#REF!+#REF!+#REF!+#REF!+#REF!</f>
        <v>#REF!</v>
      </c>
      <c r="LV24" s="5" t="e">
        <f t="shared" si="72"/>
        <v>#REF!</v>
      </c>
      <c r="LW24" s="12" t="e">
        <f t="shared" si="86"/>
        <v>#REF!</v>
      </c>
      <c r="LX24" s="15"/>
      <c r="LY24" s="2615"/>
      <c r="MA24" s="4" t="e">
        <f>+#REF!+#REF!+#REF!+#REF!+#REF!+#REF!+#REF!+#REF!+#REF!+#REF!+#REF!+#REF!</f>
        <v>#REF!</v>
      </c>
      <c r="MB24" s="5" t="e">
        <f t="shared" si="73"/>
        <v>#REF!</v>
      </c>
      <c r="MC24" s="5" t="e">
        <f>+#REF!+#REF!+#REF!+#REF!+#REF!+#REF!+#REF!+#REF!+#REF!+#REF!+#REF!+#REF!</f>
        <v>#REF!</v>
      </c>
      <c r="MD24" s="5" t="e">
        <f t="shared" si="74"/>
        <v>#REF!</v>
      </c>
      <c r="ME24" s="12" t="e">
        <f t="shared" si="75"/>
        <v>#REF!</v>
      </c>
      <c r="MF24" s="12"/>
      <c r="MG24" s="2615"/>
      <c r="MI24" s="139" t="e">
        <f t="shared" si="76"/>
        <v>#REF!</v>
      </c>
      <c r="MJ24" s="139" t="e">
        <f t="shared" si="77"/>
        <v>#REF!</v>
      </c>
      <c r="ML24" s="139" t="e">
        <f t="shared" si="78"/>
        <v>#REF!</v>
      </c>
      <c r="MM24" s="139" t="e">
        <f t="shared" si="79"/>
        <v>#REF!</v>
      </c>
      <c r="MO24" s="1">
        <f t="shared" si="12"/>
        <v>0</v>
      </c>
      <c r="MP24" s="1">
        <f t="shared" si="12"/>
        <v>0</v>
      </c>
      <c r="MQ24" s="1">
        <f t="shared" si="12"/>
        <v>0</v>
      </c>
      <c r="MR24" s="1">
        <f t="shared" si="12"/>
        <v>0</v>
      </c>
      <c r="MS24" s="1">
        <f t="shared" si="12"/>
        <v>0</v>
      </c>
      <c r="MT24" s="1">
        <f t="shared" si="12"/>
        <v>0</v>
      </c>
      <c r="MV24" s="1">
        <f t="shared" si="13"/>
        <v>0</v>
      </c>
      <c r="MW24" s="1">
        <f t="shared" si="13"/>
        <v>0</v>
      </c>
      <c r="MX24" s="1">
        <f t="shared" si="13"/>
        <v>0</v>
      </c>
      <c r="MY24" s="1">
        <f t="shared" si="13"/>
        <v>0</v>
      </c>
      <c r="MZ24" s="1">
        <f t="shared" si="13"/>
        <v>0</v>
      </c>
      <c r="NA24" s="1">
        <f t="shared" si="13"/>
        <v>0</v>
      </c>
    </row>
    <row r="25" spans="2:365" s="1" customFormat="1">
      <c r="B25" s="46">
        <v>16</v>
      </c>
      <c r="C25" s="4" t="e">
        <f t="shared" si="0"/>
        <v>#REF!</v>
      </c>
      <c r="D25" s="5" t="e">
        <f t="shared" si="1"/>
        <v>#REF!</v>
      </c>
      <c r="E25" s="61">
        <f t="shared" si="14"/>
        <v>0</v>
      </c>
      <c r="F25" s="52"/>
      <c r="G25" s="53"/>
      <c r="H25" s="53"/>
      <c r="I25" s="54"/>
      <c r="J25" s="2629"/>
      <c r="K25" s="9" t="e">
        <f t="shared" si="15"/>
        <v>#REF!</v>
      </c>
      <c r="L25" s="5" t="e">
        <f t="shared" si="2"/>
        <v>#REF!</v>
      </c>
      <c r="M25" s="64">
        <f t="shared" si="16"/>
        <v>0</v>
      </c>
      <c r="N25" s="28"/>
      <c r="O25" s="36" t="e">
        <f t="shared" si="17"/>
        <v>#REF!</v>
      </c>
      <c r="P25" s="27" t="e">
        <f t="shared" si="17"/>
        <v>#REF!</v>
      </c>
      <c r="Q25" s="53">
        <f t="shared" si="18"/>
        <v>0</v>
      </c>
      <c r="R25" s="28"/>
      <c r="S25" s="36" t="e">
        <f t="shared" si="19"/>
        <v>#REF!</v>
      </c>
      <c r="T25" s="27" t="e">
        <f t="shared" si="19"/>
        <v>#REF!</v>
      </c>
      <c r="U25" s="53">
        <f t="shared" si="3"/>
        <v>0</v>
      </c>
      <c r="V25" s="28"/>
      <c r="W25" s="36" t="e">
        <f t="shared" si="20"/>
        <v>#REF!</v>
      </c>
      <c r="X25" s="27" t="e">
        <f t="shared" si="4"/>
        <v>#REF!</v>
      </c>
      <c r="Y25" s="53">
        <f t="shared" si="21"/>
        <v>0</v>
      </c>
      <c r="Z25" s="28"/>
      <c r="AA25" s="26" t="e">
        <f t="shared" si="22"/>
        <v>#REF!</v>
      </c>
      <c r="AB25" s="27" t="e">
        <f t="shared" si="22"/>
        <v>#REF!</v>
      </c>
      <c r="AC25" s="53">
        <f t="shared" si="23"/>
        <v>0</v>
      </c>
      <c r="AD25" s="33"/>
      <c r="AE25" s="2629"/>
      <c r="AF25" s="9" t="e">
        <f>+#REF!+#REF!+#REF!+#REF!+#REF!+#REF!+#REF!+#REF!+#REF!+#REF!+#REF!+#REF!</f>
        <v>#REF!</v>
      </c>
      <c r="AG25" s="5" t="e">
        <f>+#REF!+#REF!+#REF!+#REF!+#REF!+#REF!+#REF!+#REF!+#REF!+#REF!+#REF!+#REF!</f>
        <v>#REF!</v>
      </c>
      <c r="AH25" s="61">
        <f t="shared" si="24"/>
        <v>0</v>
      </c>
      <c r="AI25" s="36" t="e">
        <f>+#REF!+#REF!+#REF!+#REF!+#REF!+#REF!+#REF!+#REF!+#REF!+#REF!+#REF!+#REF!</f>
        <v>#REF!</v>
      </c>
      <c r="AJ25" s="27" t="e">
        <f>+#REF!+#REF!+#REF!+#REF!+#REF!+#REF!+#REF!+#REF!+#REF!+#REF!+#REF!+#REF!</f>
        <v>#REF!</v>
      </c>
      <c r="AK25" s="61">
        <f t="shared" si="25"/>
        <v>0</v>
      </c>
      <c r="AL25" s="36" t="e">
        <f>+#REF!+#REF!+#REF!+#REF!+#REF!+#REF!+#REF!+#REF!+#REF!+#REF!+#REF!+#REF!</f>
        <v>#REF!</v>
      </c>
      <c r="AM25" s="27" t="e">
        <f>+#REF!+#REF!+#REF!+#REF!+#REF!+#REF!+#REF!+#REF!+#REF!+#REF!+#REF!+#REF!</f>
        <v>#REF!</v>
      </c>
      <c r="AN25" s="61">
        <f t="shared" si="26"/>
        <v>0</v>
      </c>
      <c r="AO25" s="36" t="e">
        <f>+#REF!+#REF!+#REF!+#REF!+#REF!+#REF!+#REF!+#REF!+#REF!+#REF!+#REF!+#REF!</f>
        <v>#REF!</v>
      </c>
      <c r="AP25" s="27" t="e">
        <f>+#REF!+#REF!+#REF!+#REF!+#REF!+#REF!+#REF!+#REF!+#REF!+#REF!+#REF!+#REF!</f>
        <v>#REF!</v>
      </c>
      <c r="AQ25" s="61">
        <f t="shared" si="27"/>
        <v>0</v>
      </c>
      <c r="AR25" s="36" t="e">
        <f>+#REF!+#REF!+#REF!+#REF!+#REF!+#REF!+#REF!+#REF!+#REF!+#REF!+#REF!+#REF!</f>
        <v>#REF!</v>
      </c>
      <c r="AS25" s="27" t="e">
        <f>+#REF!+#REF!+#REF!+#REF!+#REF!+#REF!+#REF!+#REF!+#REF!+#REF!+#REF!+#REF!</f>
        <v>#REF!</v>
      </c>
      <c r="AT25" s="61">
        <f t="shared" si="28"/>
        <v>0</v>
      </c>
      <c r="AU25" s="36" t="e">
        <f>+#REF!+#REF!+#REF!+#REF!+#REF!+#REF!+#REF!+#REF!+#REF!+#REF!+#REF!+#REF!</f>
        <v>#REF!</v>
      </c>
      <c r="AV25" s="27" t="e">
        <f>+#REF!+#REF!+#REF!+#REF!+#REF!+#REF!+#REF!+#REF!+#REF!+#REF!+#REF!+#REF!</f>
        <v>#REF!</v>
      </c>
      <c r="AW25" s="61">
        <f t="shared" si="29"/>
        <v>0</v>
      </c>
      <c r="AX25" s="36" t="e">
        <f>+#REF!+#REF!+#REF!+#REF!+#REF!+#REF!+#REF!+#REF!+#REF!+#REF!+#REF!+#REF!</f>
        <v>#REF!</v>
      </c>
      <c r="AY25" s="27" t="e">
        <f>+#REF!+#REF!+#REF!+#REF!+#REF!+#REF!+#REF!+#REF!+#REF!+#REF!+#REF!+#REF!</f>
        <v>#REF!</v>
      </c>
      <c r="AZ25" s="61">
        <f t="shared" si="30"/>
        <v>0</v>
      </c>
      <c r="BA25" s="36" t="e">
        <f>+#REF!+#REF!+#REF!+#REF!+#REF!+#REF!+#REF!+#REF!+#REF!+#REF!+#REF!+#REF!</f>
        <v>#REF!</v>
      </c>
      <c r="BB25" s="27" t="e">
        <f>+#REF!+#REF!+#REF!+#REF!+#REF!+#REF!+#REF!+#REF!+#REF!+#REF!+#REF!+#REF!</f>
        <v>#REF!</v>
      </c>
      <c r="BC25" s="61">
        <f t="shared" si="31"/>
        <v>0</v>
      </c>
      <c r="BD25" s="36" t="e">
        <f>+#REF!+#REF!+#REF!+#REF!+#REF!+#REF!+#REF!+#REF!+#REF!+#REF!+#REF!+#REF!</f>
        <v>#REF!</v>
      </c>
      <c r="BE25" s="27" t="e">
        <f>+#REF!+#REF!+#REF!+#REF!+#REF!+#REF!+#REF!+#REF!+#REF!+#REF!+#REF!+#REF!</f>
        <v>#REF!</v>
      </c>
      <c r="BF25" s="61">
        <f t="shared" si="32"/>
        <v>0</v>
      </c>
      <c r="BG25" s="36" t="e">
        <f>+#REF!+#REF!+#REF!+#REF!+#REF!+#REF!+#REF!+#REF!+#REF!+#REF!+#REF!+#REF!</f>
        <v>#REF!</v>
      </c>
      <c r="BH25" s="27" t="e">
        <f>+#REF!+#REF!+#REF!+#REF!+#REF!+#REF!+#REF!+#REF!+#REF!+#REF!+#REF!+#REF!</f>
        <v>#REF!</v>
      </c>
      <c r="BI25" s="61">
        <f t="shared" si="33"/>
        <v>0</v>
      </c>
      <c r="BJ25" s="36" t="e">
        <f>+#REF!+#REF!+#REF!+#REF!+#REF!+#REF!+#REF!+#REF!+#REF!+#REF!+#REF!+#REF!</f>
        <v>#REF!</v>
      </c>
      <c r="BK25" s="27" t="e">
        <f>+#REF!+#REF!+#REF!+#REF!+#REF!+#REF!+#REF!+#REF!+#REF!+#REF!+#REF!+#REF!</f>
        <v>#REF!</v>
      </c>
      <c r="BL25" s="61">
        <f t="shared" si="34"/>
        <v>0</v>
      </c>
      <c r="BM25" s="36" t="e">
        <f>+#REF!+#REF!+#REF!+#REF!+#REF!+#REF!+#REF!+#REF!+#REF!+#REF!+#REF!+#REF!</f>
        <v>#REF!</v>
      </c>
      <c r="BN25" s="27" t="e">
        <f>+#REF!+#REF!+#REF!+#REF!+#REF!+#REF!+#REF!+#REF!+#REF!+#REF!+#REF!+#REF!</f>
        <v>#REF!</v>
      </c>
      <c r="BO25" s="54">
        <f t="shared" si="35"/>
        <v>0</v>
      </c>
      <c r="BP25" s="26" t="e">
        <f>+#REF!+#REF!+#REF!+#REF!+#REF!+#REF!+#REF!+#REF!+#REF!+#REF!+#REF!+#REF!</f>
        <v>#REF!</v>
      </c>
      <c r="BQ25" s="27" t="e">
        <f>+#REF!+#REF!+#REF!+#REF!+#REF!+#REF!+#REF!+#REF!+#REF!+#REF!+#REF!+#REF!</f>
        <v>#REF!</v>
      </c>
      <c r="BR25" s="61">
        <f t="shared" si="36"/>
        <v>0</v>
      </c>
      <c r="BS25" s="26" t="e">
        <f>+#REF!+#REF!+#REF!+#REF!+#REF!+#REF!+#REF!+#REF!+#REF!+#REF!+#REF!+#REF!</f>
        <v>#REF!</v>
      </c>
      <c r="BT25" s="27" t="e">
        <f>+#REF!+#REF!+#REF!+#REF!+#REF!+#REF!+#REF!+#REF!+#REF!+#REF!+#REF!+#REF!</f>
        <v>#REF!</v>
      </c>
      <c r="BU25" s="61">
        <f t="shared" si="37"/>
        <v>0</v>
      </c>
      <c r="BV25" s="150"/>
      <c r="BW25" s="9" t="e">
        <f>+#REF!+#REF!+#REF!+#REF!+#REF!+#REF!+#REF!+#REF!+#REF!+#REF!+#REF!+#REF!</f>
        <v>#REF!</v>
      </c>
      <c r="BX25" s="5" t="e">
        <f>+#REF!+#REF!+#REF!+#REF!+#REF!+#REF!+#REF!+#REF!+#REF!+#REF!+#REF!+#REF!</f>
        <v>#REF!</v>
      </c>
      <c r="BY25" s="5" t="e">
        <f>+#REF!+#REF!+#REF!+#REF!+#REF!+#REF!+#REF!+#REF!+#REF!+#REF!+#REF!+#REF!</f>
        <v>#REF!</v>
      </c>
      <c r="BZ25" s="5" t="e">
        <f>+#REF!+#REF!+#REF!+#REF!+#REF!+#REF!+#REF!+#REF!+#REF!+#REF!+#REF!+#REF!</f>
        <v>#REF!</v>
      </c>
      <c r="CA25" s="5" t="e">
        <f>+#REF!+#REF!+#REF!+#REF!+#REF!+#REF!+#REF!+#REF!+#REF!+#REF!+#REF!+#REF!</f>
        <v>#REF!</v>
      </c>
      <c r="CB25" s="5" t="e">
        <f t="shared" si="38"/>
        <v>#REF!</v>
      </c>
      <c r="CC25" s="33"/>
      <c r="CD25" s="2683"/>
      <c r="CF25" s="4" t="e">
        <f t="shared" si="39"/>
        <v>#REF!</v>
      </c>
      <c r="CG25" s="5" t="e">
        <f t="shared" si="5"/>
        <v>#REF!</v>
      </c>
      <c r="CH25" s="5" t="e">
        <f t="shared" si="5"/>
        <v>#REF!</v>
      </c>
      <c r="CI25" s="5" t="e">
        <f t="shared" si="5"/>
        <v>#REF!</v>
      </c>
      <c r="CJ25" s="5" t="e">
        <f t="shared" si="5"/>
        <v>#REF!</v>
      </c>
      <c r="CK25" s="5" t="e">
        <f t="shared" si="5"/>
        <v>#REF!</v>
      </c>
      <c r="CL25" s="33" t="e">
        <f t="shared" si="40"/>
        <v>#REF!</v>
      </c>
      <c r="CM25" s="2685"/>
      <c r="CN25" s="9" t="e">
        <f>+#REF!+#REF!+#REF!+#REF!+#REF!+#REF!+#REF!+#REF!+#REF!+#REF!+#REF!+#REF!</f>
        <v>#REF!</v>
      </c>
      <c r="CO25" s="5" t="e">
        <f>+#REF!+#REF!+#REF!+#REF!+#REF!+#REF!+#REF!+#REF!+#REF!+#REF!+#REF!+#REF!</f>
        <v>#REF!</v>
      </c>
      <c r="CP25" s="5" t="e">
        <f>+#REF!+#REF!+#REF!+#REF!+#REF!+#REF!+#REF!+#REF!+#REF!+#REF!+#REF!+#REF!</f>
        <v>#REF!</v>
      </c>
      <c r="CQ25" s="5" t="e">
        <f>+#REF!+#REF!+#REF!+#REF!+#REF!+#REF!+#REF!+#REF!+#REF!+#REF!+#REF!+#REF!</f>
        <v>#REF!</v>
      </c>
      <c r="CR25" s="5" t="e">
        <f>+#REF!+#REF!+#REF!+#REF!+#REF!+#REF!+#REF!+#REF!+#REF!+#REF!+#REF!+#REF!</f>
        <v>#REF!</v>
      </c>
      <c r="CS25" s="5" t="e">
        <f>+#REF!+#REF!+#REF!+#REF!+#REF!+#REF!+#REF!+#REF!+#REF!+#REF!+#REF!+#REF!</f>
        <v>#REF!</v>
      </c>
      <c r="CT25" s="28" t="e">
        <f t="shared" si="41"/>
        <v>#REF!</v>
      </c>
      <c r="CU25" s="36" t="e">
        <f>+#REF!+#REF!+#REF!+#REF!+#REF!+#REF!+#REF!+#REF!+#REF!+#REF!+#REF!+#REF!</f>
        <v>#REF!</v>
      </c>
      <c r="CV25" s="27" t="e">
        <f>+#REF!+#REF!+#REF!+#REF!+#REF!+#REF!+#REF!+#REF!+#REF!+#REF!+#REF!+#REF!</f>
        <v>#REF!</v>
      </c>
      <c r="CW25" s="27" t="e">
        <f>+#REF!+#REF!+#REF!+#REF!+#REF!+#REF!+#REF!+#REF!+#REF!+#REF!+#REF!+#REF!</f>
        <v>#REF!</v>
      </c>
      <c r="CX25" s="27" t="e">
        <f>+#REF!+#REF!+#REF!+#REF!+#REF!+#REF!+#REF!+#REF!+#REF!+#REF!+#REF!+#REF!</f>
        <v>#REF!</v>
      </c>
      <c r="CY25" s="27" t="e">
        <f>+#REF!+#REF!+#REF!+#REF!+#REF!+#REF!+#REF!+#REF!+#REF!+#REF!+#REF!+#REF!</f>
        <v>#REF!</v>
      </c>
      <c r="CZ25" s="27" t="e">
        <f>+#REF!+#REF!+#REF!+#REF!+#REF!+#REF!+#REF!+#REF!+#REF!+#REF!+#REF!+#REF!</f>
        <v>#REF!</v>
      </c>
      <c r="DA25" s="28" t="e">
        <f t="shared" si="42"/>
        <v>#REF!</v>
      </c>
      <c r="DB25" s="36" t="e">
        <f>+#REF!+#REF!+#REF!+#REF!+#REF!+#REF!+#REF!+#REF!+#REF!+#REF!+#REF!+#REF!</f>
        <v>#REF!</v>
      </c>
      <c r="DC25" s="27" t="e">
        <f>+#REF!+#REF!+#REF!+#REF!+#REF!+#REF!+#REF!+#REF!+#REF!+#REF!+#REF!+#REF!</f>
        <v>#REF!</v>
      </c>
      <c r="DD25" s="27" t="e">
        <f>+#REF!+#REF!+#REF!+#REF!+#REF!+#REF!+#REF!+#REF!+#REF!+#REF!+#REF!+#REF!</f>
        <v>#REF!</v>
      </c>
      <c r="DE25" s="27" t="e">
        <f>+#REF!+#REF!+#REF!+#REF!+#REF!+#REF!+#REF!+#REF!+#REF!+#REF!+#REF!+#REF!</f>
        <v>#REF!</v>
      </c>
      <c r="DF25" s="27" t="e">
        <f>+#REF!+#REF!+#REF!+#REF!+#REF!+#REF!+#REF!+#REF!+#REF!+#REF!+#REF!+#REF!</f>
        <v>#REF!</v>
      </c>
      <c r="DG25" s="27" t="e">
        <f>+#REF!+#REF!+#REF!+#REF!+#REF!+#REF!+#REF!+#REF!+#REF!+#REF!+#REF!+#REF!</f>
        <v>#REF!</v>
      </c>
      <c r="DH25" s="28" t="e">
        <f t="shared" si="43"/>
        <v>#REF!</v>
      </c>
      <c r="DI25" s="36" t="e">
        <f>+#REF!+#REF!+#REF!+#REF!+#REF!+#REF!+#REF!+#REF!+#REF!+#REF!+#REF!+#REF!</f>
        <v>#REF!</v>
      </c>
      <c r="DJ25" s="27" t="e">
        <f>+#REF!+#REF!+#REF!+#REF!+#REF!+#REF!+#REF!+#REF!+#REF!+#REF!+#REF!+#REF!</f>
        <v>#REF!</v>
      </c>
      <c r="DK25" s="27" t="e">
        <f>+#REF!+#REF!+#REF!+#REF!+#REF!+#REF!+#REF!+#REF!+#REF!+#REF!+#REF!+#REF!</f>
        <v>#REF!</v>
      </c>
      <c r="DL25" s="27" t="e">
        <f>+#REF!+#REF!+#REF!+#REF!+#REF!+#REF!+#REF!+#REF!+#REF!+#REF!+#REF!+#REF!</f>
        <v>#REF!</v>
      </c>
      <c r="DM25" s="27" t="e">
        <f>+#REF!+#REF!+#REF!+#REF!+#REF!+#REF!+#REF!+#REF!+#REF!+#REF!+#REF!+#REF!</f>
        <v>#REF!</v>
      </c>
      <c r="DN25" s="27" t="e">
        <f>+#REF!+#REF!+#REF!+#REF!+#REF!+#REF!+#REF!+#REF!+#REF!+#REF!+#REF!+#REF!</f>
        <v>#REF!</v>
      </c>
      <c r="DO25" s="33" t="e">
        <f t="shared" si="44"/>
        <v>#REF!</v>
      </c>
      <c r="DP25" s="2685"/>
      <c r="DR25" s="4" t="e">
        <f t="shared" si="45"/>
        <v>#REF!</v>
      </c>
      <c r="DS25" s="5" t="e">
        <f t="shared" si="46"/>
        <v>#REF!</v>
      </c>
      <c r="DT25" s="5" t="e">
        <f t="shared" si="47"/>
        <v>#REF!</v>
      </c>
      <c r="DU25" s="12" t="e">
        <f t="shared" si="48"/>
        <v>#REF!</v>
      </c>
      <c r="DV25" s="33"/>
      <c r="DW25" s="2674"/>
      <c r="DX25" s="9" t="e">
        <f>+#REF!+#REF!+#REF!+#REF!+#REF!+#REF!+#REF!+#REF!+#REF!+#REF!+#REF!+#REF!</f>
        <v>#REF!</v>
      </c>
      <c r="DY25" s="5" t="e">
        <f>+#REF!+#REF!+#REF!+#REF!+#REF!+#REF!+#REF!+#REF!+#REF!+#REF!+#REF!+#REF!</f>
        <v>#REF!</v>
      </c>
      <c r="DZ25" s="5" t="e">
        <f>+#REF!+#REF!+#REF!+#REF!+#REF!+#REF!+#REF!+#REF!+#REF!+#REF!+#REF!+#REF!</f>
        <v>#REF!</v>
      </c>
      <c r="EA25" s="5" t="e">
        <f>+#REF!+#REF!+#REF!+#REF!+#REF!+#REF!+#REF!+#REF!+#REF!+#REF!+#REF!+#REF!</f>
        <v>#REF!</v>
      </c>
      <c r="EB25" s="5" t="e">
        <f>+#REF!+#REF!+#REF!+#REF!+#REF!+#REF!+#REF!+#REF!+#REF!+#REF!+#REF!+#REF!</f>
        <v>#REF!</v>
      </c>
      <c r="EC25" s="27" t="e">
        <f>+#REF!+#REF!+#REF!+#REF!+#REF!+#REF!+#REF!+#REF!+#REF!+#REF!+#REF!+#REF!</f>
        <v>#REF!</v>
      </c>
      <c r="ED25" s="28" t="e">
        <f t="shared" si="49"/>
        <v>#REF!</v>
      </c>
      <c r="EE25" s="36" t="e">
        <f>+#REF!+#REF!+#REF!+#REF!+#REF!+#REF!+#REF!+#REF!+#REF!+#REF!+#REF!+#REF!</f>
        <v>#REF!</v>
      </c>
      <c r="EF25" s="27" t="e">
        <f>+#REF!+#REF!+#REF!+#REF!+#REF!+#REF!+#REF!+#REF!+#REF!+#REF!+#REF!+#REF!</f>
        <v>#REF!</v>
      </c>
      <c r="EG25" s="27" t="e">
        <f>+#REF!+#REF!+#REF!+#REF!+#REF!+#REF!+#REF!+#REF!+#REF!+#REF!+#REF!+#REF!</f>
        <v>#REF!</v>
      </c>
      <c r="EH25" s="27" t="e">
        <f>+#REF!+#REF!+#REF!+#REF!+#REF!+#REF!+#REF!+#REF!+#REF!+#REF!+#REF!+#REF!</f>
        <v>#REF!</v>
      </c>
      <c r="EI25" s="27" t="e">
        <f>+#REF!+#REF!+#REF!+#REF!+#REF!+#REF!+#REF!+#REF!+#REF!+#REF!+#REF!+#REF!</f>
        <v>#REF!</v>
      </c>
      <c r="EJ25" s="27" t="e">
        <f>+#REF!+#REF!+#REF!+#REF!+#REF!+#REF!+#REF!+#REF!+#REF!+#REF!+#REF!+#REF!</f>
        <v>#REF!</v>
      </c>
      <c r="EK25" s="28" t="e">
        <f t="shared" si="50"/>
        <v>#REF!</v>
      </c>
      <c r="EL25" s="36" t="e">
        <f>+#REF!+#REF!+#REF!+#REF!+#REF!+#REF!+#REF!+#REF!+#REF!+#REF!+#REF!+#REF!</f>
        <v>#REF!</v>
      </c>
      <c r="EM25" s="27" t="e">
        <f>+#REF!+#REF!+#REF!+#REF!+#REF!+#REF!+#REF!+#REF!+#REF!+#REF!+#REF!+#REF!</f>
        <v>#REF!</v>
      </c>
      <c r="EN25" s="27" t="e">
        <f>+#REF!+#REF!+#REF!+#REF!+#REF!+#REF!+#REF!+#REF!+#REF!+#REF!+#REF!+#REF!</f>
        <v>#REF!</v>
      </c>
      <c r="EO25" s="27" t="e">
        <f>+#REF!+#REF!+#REF!+#REF!+#REF!+#REF!+#REF!+#REF!+#REF!+#REF!+#REF!+#REF!</f>
        <v>#REF!</v>
      </c>
      <c r="EP25" s="27" t="e">
        <f>+#REF!+#REF!+#REF!+#REF!+#REF!+#REF!+#REF!+#REF!+#REF!+#REF!+#REF!+#REF!</f>
        <v>#REF!</v>
      </c>
      <c r="EQ25" s="27" t="e">
        <f>+#REF!+#REF!+#REF!+#REF!+#REF!+#REF!+#REF!+#REF!+#REF!+#REF!+#REF!+#REF!</f>
        <v>#REF!</v>
      </c>
      <c r="ER25" s="33" t="e">
        <f t="shared" si="51"/>
        <v>#REF!</v>
      </c>
      <c r="ES25" s="2674"/>
      <c r="EU25" s="4" t="e">
        <f t="shared" si="52"/>
        <v>#REF!</v>
      </c>
      <c r="EV25" s="5" t="e">
        <f t="shared" si="53"/>
        <v>#REF!</v>
      </c>
      <c r="EW25" s="27" t="e">
        <f t="shared" si="54"/>
        <v>#REF!</v>
      </c>
      <c r="EX25" s="27" t="e">
        <f t="shared" si="55"/>
        <v>#REF!</v>
      </c>
      <c r="EY25" s="141"/>
      <c r="EZ25" s="141"/>
      <c r="FA25" s="33"/>
      <c r="FB25" s="2667"/>
      <c r="FC25" s="36" t="e">
        <f>+#REF!+#REF!+#REF!+#REF!+#REF!+#REF!+#REF!+#REF!+#REF!+#REF!+#REF!+#REF!</f>
        <v>#REF!</v>
      </c>
      <c r="FD25" s="27" t="e">
        <f>+#REF!+#REF!+#REF!+#REF!+#REF!+#REF!+#REF!+#REF!+#REF!+#REF!+#REF!+#REF!</f>
        <v>#REF!</v>
      </c>
      <c r="FE25" s="27"/>
      <c r="FF25" s="27"/>
      <c r="FG25" s="33" t="e">
        <f t="shared" si="56"/>
        <v>#REF!</v>
      </c>
      <c r="FH25" s="2667"/>
      <c r="FI25" s="36" t="e">
        <f>+#REF!+#REF!+#REF!+#REF!+#REF!+#REF!+#REF!+#REF!+#REF!+#REF!+#REF!+#REF!</f>
        <v>#REF!</v>
      </c>
      <c r="FJ25" s="27" t="e">
        <f>+#REF!+#REF!+#REF!+#REF!+#REF!+#REF!+#REF!+#REF!+#REF!+#REF!+#REF!+#REF!</f>
        <v>#REF!</v>
      </c>
      <c r="FK25" s="27" t="e">
        <f>+#REF!+#REF!+#REF!+#REF!+#REF!+#REF!+#REF!+#REF!+#REF!+#REF!+#REF!+#REF!</f>
        <v>#REF!</v>
      </c>
      <c r="FL25" s="27" t="e">
        <f>+#REF!+#REF!+#REF!+#REF!+#REF!+#REF!+#REF!+#REF!+#REF!+#REF!+#REF!+#REF!</f>
        <v>#REF!</v>
      </c>
      <c r="FM25" s="27" t="e">
        <f>+#REF!+#REF!+#REF!+#REF!+#REF!+#REF!+#REF!+#REF!+#REF!+#REF!+#REF!+#REF!</f>
        <v>#REF!</v>
      </c>
      <c r="FN25" s="27" t="e">
        <f>+#REF!+#REF!+#REF!+#REF!+#REF!+#REF!+#REF!+#REF!+#REF!+#REF!+#REF!+#REF!</f>
        <v>#REF!</v>
      </c>
      <c r="FO25" s="27" t="e">
        <f>+#REF!+#REF!+#REF!+#REF!+#REF!+#REF!+#REF!+#REF!+#REF!+#REF!+#REF!+#REF!</f>
        <v>#REF!</v>
      </c>
      <c r="FP25" s="27" t="e">
        <f>+#REF!+#REF!+#REF!+#REF!+#REF!+#REF!+#REF!+#REF!+#REF!+#REF!+#REF!+#REF!</f>
        <v>#REF!</v>
      </c>
      <c r="FQ25" s="28" t="e">
        <f t="shared" si="80"/>
        <v>#REF!</v>
      </c>
      <c r="FR25" s="26" t="e">
        <f>+#REF!+#REF!+#REF!+#REF!+#REF!+#REF!+#REF!+#REF!+#REF!+#REF!+#REF!+#REF!</f>
        <v>#REF!</v>
      </c>
      <c r="FS25" s="27" t="e">
        <f>+#REF!+#REF!+#REF!+#REF!+#REF!+#REF!+#REF!+#REF!+#REF!+#REF!+#REF!+#REF!</f>
        <v>#REF!</v>
      </c>
      <c r="FT25" s="27" t="e">
        <f>+#REF!+#REF!+#REF!+#REF!+#REF!+#REF!+#REF!+#REF!+#REF!+#REF!+#REF!+#REF!</f>
        <v>#REF!</v>
      </c>
      <c r="FU25" s="27" t="e">
        <f>+#REF!+#REF!+#REF!+#REF!+#REF!+#REF!+#REF!+#REF!+#REF!+#REF!+#REF!+#REF!</f>
        <v>#REF!</v>
      </c>
      <c r="FV25" s="27" t="e">
        <f>+#REF!+#REF!+#REF!+#REF!+#REF!+#REF!+#REF!+#REF!+#REF!+#REF!+#REF!+#REF!</f>
        <v>#REF!</v>
      </c>
      <c r="FW25" s="27" t="e">
        <f>+#REF!+#REF!+#REF!+#REF!+#REF!+#REF!+#REF!+#REF!+#REF!+#REF!+#REF!+#REF!</f>
        <v>#REF!</v>
      </c>
      <c r="FX25" s="27" t="e">
        <f>+#REF!+#REF!+#REF!+#REF!+#REF!+#REF!+#REF!+#REF!+#REF!+#REF!+#REF!+#REF!</f>
        <v>#REF!</v>
      </c>
      <c r="FY25" s="27" t="e">
        <f>+#REF!+#REF!+#REF!+#REF!+#REF!+#REF!+#REF!+#REF!+#REF!+#REF!+#REF!+#REF!</f>
        <v>#REF!</v>
      </c>
      <c r="FZ25" s="28" t="e">
        <f t="shared" si="57"/>
        <v>#REF!</v>
      </c>
      <c r="GA25" s="36" t="e">
        <f>+#REF!+#REF!+#REF!+#REF!+#REF!+#REF!+#REF!+#REF!+#REF!+#REF!+#REF!+#REF!</f>
        <v>#REF!</v>
      </c>
      <c r="GB25" s="27" t="e">
        <f>+#REF!+#REF!+#REF!+#REF!+#REF!+#REF!+#REF!+#REF!+#REF!+#REF!+#REF!+#REF!</f>
        <v>#REF!</v>
      </c>
      <c r="GC25" s="27" t="e">
        <f>+#REF!+#REF!+#REF!+#REF!+#REF!+#REF!+#REF!+#REF!+#REF!+#REF!+#REF!+#REF!</f>
        <v>#REF!</v>
      </c>
      <c r="GD25" s="27" t="e">
        <f>+#REF!+#REF!+#REF!+#REF!+#REF!+#REF!+#REF!+#REF!+#REF!+#REF!+#REF!+#REF!</f>
        <v>#REF!</v>
      </c>
      <c r="GE25" s="27" t="e">
        <f>+#REF!+#REF!+#REF!+#REF!+#REF!+#REF!+#REF!+#REF!+#REF!+#REF!+#REF!+#REF!</f>
        <v>#REF!</v>
      </c>
      <c r="GF25" s="27" t="e">
        <f>+#REF!+#REF!+#REF!+#REF!+#REF!+#REF!+#REF!+#REF!+#REF!+#REF!+#REF!+#REF!</f>
        <v>#REF!</v>
      </c>
      <c r="GG25" s="27" t="e">
        <f>+#REF!+#REF!+#REF!+#REF!+#REF!+#REF!+#REF!+#REF!+#REF!+#REF!+#REF!+#REF!</f>
        <v>#REF!</v>
      </c>
      <c r="GH25" s="27" t="e">
        <f>+#REF!+#REF!+#REF!+#REF!+#REF!+#REF!+#REF!+#REF!+#REF!+#REF!+#REF!+#REF!</f>
        <v>#REF!</v>
      </c>
      <c r="GI25" s="33" t="e">
        <f t="shared" si="58"/>
        <v>#REF!</v>
      </c>
      <c r="GJ25" s="2667"/>
      <c r="GL25" s="26" t="e">
        <f>+#REF!+#REF!+#REF!+#REF!+#REF!+#REF!+#REF!+#REF!+#REF!+#REF!+#REF!+#REF!</f>
        <v>#REF!</v>
      </c>
      <c r="GM25" s="36" t="e">
        <f>+#REF!+#REF!+#REF!+#REF!+#REF!+#REF!+#REF!+#REF!+#REF!+#REF!+#REF!+#REF!</f>
        <v>#REF!</v>
      </c>
      <c r="GN25" s="27" t="e">
        <f>+#REF!+#REF!+#REF!+#REF!+#REF!+#REF!+#REF!+#REF!+#REF!+#REF!+#REF!+#REF!</f>
        <v>#REF!</v>
      </c>
      <c r="GO25" s="27" t="e">
        <f t="shared" si="59"/>
        <v>#REF!</v>
      </c>
      <c r="GP25" s="33"/>
      <c r="GQ25" s="2669"/>
      <c r="GR25" s="69"/>
      <c r="GS25" s="70"/>
      <c r="GT25" s="70"/>
      <c r="GU25" s="70"/>
      <c r="GV25" s="70"/>
      <c r="GW25" s="70"/>
      <c r="GX25" s="70"/>
      <c r="GY25" s="71"/>
      <c r="GZ25" s="69"/>
      <c r="HA25" s="70"/>
      <c r="HB25" s="70"/>
      <c r="HC25" s="70"/>
      <c r="HD25" s="70"/>
      <c r="HE25" s="70"/>
      <c r="HF25" s="70"/>
      <c r="HG25" s="71"/>
      <c r="HH25" s="69"/>
      <c r="HI25" s="70"/>
      <c r="HJ25" s="70"/>
      <c r="HK25" s="70"/>
      <c r="HL25" s="70"/>
      <c r="HM25" s="70"/>
      <c r="HN25" s="70"/>
      <c r="HO25" s="70"/>
      <c r="HP25" s="33"/>
      <c r="HQ25" s="2669"/>
      <c r="HR25" s="36"/>
      <c r="HS25" s="53"/>
      <c r="HT25" s="53"/>
      <c r="HU25" s="53"/>
      <c r="HV25" s="61"/>
      <c r="HW25" s="36"/>
      <c r="HX25" s="53"/>
      <c r="HY25" s="53"/>
      <c r="HZ25" s="53"/>
      <c r="IA25" s="61"/>
      <c r="IB25" s="36"/>
      <c r="IC25" s="53"/>
      <c r="ID25" s="53"/>
      <c r="IE25" s="53"/>
      <c r="IF25" s="53"/>
      <c r="IG25" s="33"/>
      <c r="IH25" s="2669"/>
      <c r="IJ25" s="26" t="e">
        <f t="shared" si="60"/>
        <v>#REF!</v>
      </c>
      <c r="IK25" s="36" t="e">
        <f t="shared" si="6"/>
        <v>#REF!</v>
      </c>
      <c r="IL25" s="27" t="e">
        <f t="shared" si="6"/>
        <v>#REF!</v>
      </c>
      <c r="IM25" s="28" t="e">
        <f t="shared" si="61"/>
        <v>#REF!</v>
      </c>
      <c r="IN25" s="36"/>
      <c r="IO25" s="27"/>
      <c r="IP25" s="27"/>
      <c r="IQ25" s="33"/>
      <c r="IR25" s="55"/>
      <c r="IS25" s="21"/>
      <c r="IT25" s="2688"/>
      <c r="IU25" s="36" t="e">
        <f>+#REF!+#REF!+#REF!+#REF!+#REF!+#REF!+#REF!+#REF!+#REF!+#REF!+#REF!+#REF!</f>
        <v>#REF!</v>
      </c>
      <c r="IV25" s="36" t="e">
        <f>+#REF!+#REF!+#REF!+#REF!+#REF!+#REF!+#REF!+#REF!+#REF!+#REF!+#REF!+#REF!</f>
        <v>#REF!</v>
      </c>
      <c r="IW25" s="27" t="e">
        <f>+#REF!+#REF!+#REF!+#REF!+#REF!+#REF!+#REF!+#REF!+#REF!+#REF!+#REF!+#REF!</f>
        <v>#REF!</v>
      </c>
      <c r="IX25" s="27" t="e">
        <f>+#REF!+#REF!+#REF!+#REF!+#REF!+#REF!+#REF!+#REF!+#REF!+#REF!+#REF!+#REF!</f>
        <v>#REF!</v>
      </c>
      <c r="IY25" s="27" t="e">
        <f>+#REF!+#REF!+#REF!+#REF!+#REF!+#REF!+#REF!+#REF!+#REF!+#REF!+#REF!+#REF!</f>
        <v>#REF!</v>
      </c>
      <c r="IZ25" s="28" t="e">
        <f t="shared" si="62"/>
        <v>#REF!</v>
      </c>
      <c r="JA25" s="26" t="e">
        <f>+#REF!+#REF!+#REF!+#REF!+#REF!+#REF!+#REF!+#REF!+#REF!+#REF!+#REF!+#REF!</f>
        <v>#REF!</v>
      </c>
      <c r="JB25" s="36" t="e">
        <f>+#REF!+#REF!+#REF!+#REF!+#REF!+#REF!+#REF!+#REF!+#REF!+#REF!+#REF!+#REF!</f>
        <v>#REF!</v>
      </c>
      <c r="JC25" s="27" t="e">
        <f>+#REF!+#REF!+#REF!+#REF!+#REF!+#REF!+#REF!+#REF!+#REF!+#REF!+#REF!+#REF!</f>
        <v>#REF!</v>
      </c>
      <c r="JD25" s="27" t="e">
        <f>+#REF!+#REF!+#REF!+#REF!+#REF!+#REF!+#REF!+#REF!+#REF!+#REF!+#REF!+#REF!</f>
        <v>#REF!</v>
      </c>
      <c r="JE25" s="28" t="e">
        <f>+#REF!+#REF!+#REF!+#REF!+#REF!+#REF!+#REF!+#REF!+#REF!+#REF!+#REF!+#REF!</f>
        <v>#REF!</v>
      </c>
      <c r="JF25" s="26" t="e">
        <f>+#REF!+#REF!+#REF!+#REF!+#REF!+#REF!+#REF!+#REF!+#REF!+#REF!+#REF!+#REF!</f>
        <v>#REF!</v>
      </c>
      <c r="JG25" s="36" t="e">
        <f>+#REF!+#REF!+#REF!+#REF!+#REF!+#REF!+#REF!+#REF!+#REF!+#REF!+#REF!+#REF!</f>
        <v>#REF!</v>
      </c>
      <c r="JH25" s="27" t="e">
        <f>+#REF!+#REF!+#REF!+#REF!+#REF!+#REF!+#REF!+#REF!+#REF!+#REF!+#REF!+#REF!</f>
        <v>#REF!</v>
      </c>
      <c r="JI25" s="27" t="e">
        <f>+#REF!+#REF!+#REF!+#REF!+#REF!+#REF!+#REF!+#REF!+#REF!+#REF!+#REF!+#REF!</f>
        <v>#REF!</v>
      </c>
      <c r="JJ25" s="27" t="e">
        <f>+#REF!+#REF!+#REF!+#REF!+#REF!+#REF!+#REF!+#REF!+#REF!+#REF!+#REF!+#REF!</f>
        <v>#REF!</v>
      </c>
      <c r="JK25" s="28" t="e">
        <f t="shared" si="63"/>
        <v>#REF!</v>
      </c>
      <c r="JL25" s="26" t="e">
        <f>+#REF!+#REF!+#REF!+#REF!+#REF!+#REF!+#REF!+#REF!+#REF!+#REF!+#REF!+#REF!</f>
        <v>#REF!</v>
      </c>
      <c r="JM25" s="36" t="e">
        <f>+#REF!+#REF!+#REF!+#REF!+#REF!+#REF!+#REF!+#REF!+#REF!+#REF!+#REF!+#REF!</f>
        <v>#REF!</v>
      </c>
      <c r="JN25" s="27" t="e">
        <f>+#REF!+#REF!+#REF!+#REF!+#REF!+#REF!+#REF!+#REF!+#REF!+#REF!+#REF!+#REF!</f>
        <v>#REF!</v>
      </c>
      <c r="JO25" s="27" t="e">
        <f>+#REF!+#REF!+#REF!+#REF!+#REF!+#REF!+#REF!+#REF!+#REF!+#REF!+#REF!+#REF!</f>
        <v>#REF!</v>
      </c>
      <c r="JP25" s="28" t="e">
        <f>+#REF!+#REF!+#REF!+#REF!+#REF!+#REF!+#REF!+#REF!+#REF!+#REF!+#REF!+#REF!</f>
        <v>#REF!</v>
      </c>
      <c r="JQ25" s="275" t="e">
        <f t="shared" si="64"/>
        <v>#REF!</v>
      </c>
      <c r="JR25" s="36" t="e">
        <f>+#REF!+#REF!+#REF!+#REF!+#REF!+#REF!+#REF!+#REF!+#REF!+#REF!+#REF!+#REF!</f>
        <v>#REF!</v>
      </c>
      <c r="JS25" s="36" t="e">
        <f>+#REF!+#REF!+#REF!+#REF!+#REF!+#REF!+#REF!+#REF!+#REF!+#REF!+#REF!+#REF!</f>
        <v>#REF!</v>
      </c>
      <c r="JT25" s="27" t="e">
        <f>+#REF!+#REF!+#REF!+#REF!+#REF!+#REF!+#REF!+#REF!+#REF!+#REF!+#REF!+#REF!</f>
        <v>#REF!</v>
      </c>
      <c r="JU25" s="27" t="e">
        <f>+#REF!+#REF!+#REF!+#REF!+#REF!+#REF!+#REF!+#REF!+#REF!+#REF!+#REF!+#REF!</f>
        <v>#REF!</v>
      </c>
      <c r="JV25" s="27" t="e">
        <f>+#REF!+#REF!+#REF!+#REF!+#REF!+#REF!+#REF!+#REF!+#REF!+#REF!+#REF!+#REF!</f>
        <v>#REF!</v>
      </c>
      <c r="JW25" s="33" t="e">
        <f t="shared" si="65"/>
        <v>#REF!</v>
      </c>
      <c r="JX25" s="2688"/>
      <c r="JZ25" s="26" t="e">
        <f t="shared" si="66"/>
        <v>#REF!</v>
      </c>
      <c r="KA25" s="27" t="e">
        <f t="shared" si="67"/>
        <v>#REF!</v>
      </c>
      <c r="KB25" s="27" t="e">
        <f t="shared" si="68"/>
        <v>#REF!</v>
      </c>
      <c r="KC25" s="33" t="e">
        <f t="shared" si="69"/>
        <v>#REF!</v>
      </c>
      <c r="KD25" s="2621"/>
      <c r="KE25" s="36" t="e">
        <f t="shared" si="7"/>
        <v>#REF!</v>
      </c>
      <c r="KF25" s="36" t="e">
        <f t="shared" si="7"/>
        <v>#REF!</v>
      </c>
      <c r="KG25" s="27" t="e">
        <f t="shared" si="7"/>
        <v>#REF!</v>
      </c>
      <c r="KH25" s="28" t="e">
        <f t="shared" si="81"/>
        <v>#REF!</v>
      </c>
      <c r="KI25" s="36" t="e">
        <f t="shared" si="82"/>
        <v>#REF!</v>
      </c>
      <c r="KJ25" s="27" t="e">
        <f t="shared" si="8"/>
        <v>#REF!</v>
      </c>
      <c r="KK25" s="27" t="e">
        <f t="shared" si="8"/>
        <v>#REF!</v>
      </c>
      <c r="KL25" s="27" t="e">
        <f t="shared" si="8"/>
        <v>#REF!</v>
      </c>
      <c r="KM25" s="27" t="e">
        <f t="shared" si="8"/>
        <v>#REF!</v>
      </c>
      <c r="KN25" s="27" t="e">
        <f t="shared" si="8"/>
        <v>#REF!</v>
      </c>
      <c r="KO25" s="28" t="e">
        <f t="shared" si="83"/>
        <v>#REF!</v>
      </c>
      <c r="KP25" s="36" t="e">
        <f t="shared" si="9"/>
        <v>#REF!</v>
      </c>
      <c r="KQ25" s="27" t="e">
        <f t="shared" si="9"/>
        <v>#REF!</v>
      </c>
      <c r="KR25" s="27" t="e">
        <f t="shared" si="9"/>
        <v>#REF!</v>
      </c>
      <c r="KS25" s="27" t="e">
        <f t="shared" si="9"/>
        <v>#REF!</v>
      </c>
      <c r="KT25" s="27" t="e">
        <f t="shared" si="9"/>
        <v>#REF!</v>
      </c>
      <c r="KU25" s="27" t="e">
        <f t="shared" si="9"/>
        <v>#REF!</v>
      </c>
      <c r="KV25" s="28" t="e">
        <f t="shared" si="84"/>
        <v>#REF!</v>
      </c>
      <c r="KW25" s="36" t="e">
        <f t="shared" si="10"/>
        <v>#REF!</v>
      </c>
      <c r="KX25" s="27" t="e">
        <f t="shared" si="10"/>
        <v>#REF!</v>
      </c>
      <c r="KY25" s="27" t="e">
        <f t="shared" si="10"/>
        <v>#REF!</v>
      </c>
      <c r="KZ25" s="27" t="e">
        <f t="shared" si="10"/>
        <v>#REF!</v>
      </c>
      <c r="LA25" s="27" t="e">
        <f t="shared" si="10"/>
        <v>#REF!</v>
      </c>
      <c r="LB25" s="27" t="e">
        <f t="shared" si="10"/>
        <v>#REF!</v>
      </c>
      <c r="LC25" s="28" t="e">
        <f t="shared" si="85"/>
        <v>#REF!</v>
      </c>
      <c r="LD25" s="36"/>
      <c r="LE25" s="27"/>
      <c r="LF25" s="27"/>
      <c r="LG25" s="27"/>
      <c r="LH25" s="27"/>
      <c r="LI25" s="27"/>
      <c r="LJ25" s="28">
        <f t="shared" si="70"/>
        <v>0</v>
      </c>
      <c r="LK25" s="36" t="e">
        <f t="shared" si="11"/>
        <v>#REF!</v>
      </c>
      <c r="LL25" s="27" t="e">
        <f t="shared" si="11"/>
        <v>#REF!</v>
      </c>
      <c r="LM25" s="27" t="e">
        <f t="shared" si="11"/>
        <v>#REF!</v>
      </c>
      <c r="LN25" s="27" t="e">
        <f t="shared" si="11"/>
        <v>#REF!</v>
      </c>
      <c r="LO25" s="27" t="e">
        <f t="shared" si="11"/>
        <v>#REF!</v>
      </c>
      <c r="LP25" s="27" t="e">
        <f t="shared" si="11"/>
        <v>#REF!</v>
      </c>
      <c r="LQ25" s="33" t="e">
        <f t="shared" si="71"/>
        <v>#REF!</v>
      </c>
      <c r="LR25" s="2621"/>
      <c r="LT25" s="4" t="e">
        <f>+#REF!+#REF!+#REF!+#REF!+#REF!+#REF!+#REF!+#REF!+#REF!+#REF!+#REF!+#REF!</f>
        <v>#REF!</v>
      </c>
      <c r="LU25" s="5" t="e">
        <f>+#REF!+#REF!+#REF!+#REF!+#REF!+#REF!+#REF!+#REF!+#REF!+#REF!+#REF!+#REF!</f>
        <v>#REF!</v>
      </c>
      <c r="LV25" s="5" t="e">
        <f t="shared" si="72"/>
        <v>#REF!</v>
      </c>
      <c r="LW25" s="12" t="e">
        <f t="shared" si="86"/>
        <v>#REF!</v>
      </c>
      <c r="LX25" s="15"/>
      <c r="LY25" s="2615"/>
      <c r="MA25" s="4" t="e">
        <f>+#REF!+#REF!+#REF!+#REF!+#REF!+#REF!+#REF!+#REF!+#REF!+#REF!+#REF!+#REF!</f>
        <v>#REF!</v>
      </c>
      <c r="MB25" s="5" t="e">
        <f t="shared" si="73"/>
        <v>#REF!</v>
      </c>
      <c r="MC25" s="5" t="e">
        <f>+#REF!+#REF!+#REF!+#REF!+#REF!+#REF!+#REF!+#REF!+#REF!+#REF!+#REF!+#REF!</f>
        <v>#REF!</v>
      </c>
      <c r="MD25" s="5" t="e">
        <f t="shared" si="74"/>
        <v>#REF!</v>
      </c>
      <c r="ME25" s="12" t="e">
        <f t="shared" si="75"/>
        <v>#REF!</v>
      </c>
      <c r="MF25" s="12"/>
      <c r="MG25" s="2615"/>
      <c r="MI25" s="139" t="e">
        <f t="shared" si="76"/>
        <v>#REF!</v>
      </c>
      <c r="MJ25" s="139" t="e">
        <f t="shared" si="77"/>
        <v>#REF!</v>
      </c>
      <c r="ML25" s="139" t="e">
        <f t="shared" si="78"/>
        <v>#REF!</v>
      </c>
      <c r="MM25" s="139" t="e">
        <f t="shared" si="79"/>
        <v>#REF!</v>
      </c>
      <c r="MO25" s="1">
        <f t="shared" si="12"/>
        <v>0</v>
      </c>
      <c r="MP25" s="1">
        <f t="shared" si="12"/>
        <v>0</v>
      </c>
      <c r="MQ25" s="1">
        <f t="shared" si="12"/>
        <v>0</v>
      </c>
      <c r="MR25" s="1">
        <f t="shared" si="12"/>
        <v>0</v>
      </c>
      <c r="MS25" s="1">
        <f t="shared" si="12"/>
        <v>0</v>
      </c>
      <c r="MT25" s="1">
        <f t="shared" si="12"/>
        <v>0</v>
      </c>
      <c r="MV25" s="1">
        <f t="shared" si="13"/>
        <v>0</v>
      </c>
      <c r="MW25" s="1">
        <f t="shared" si="13"/>
        <v>0</v>
      </c>
      <c r="MX25" s="1">
        <f t="shared" si="13"/>
        <v>0</v>
      </c>
      <c r="MY25" s="1">
        <f t="shared" si="13"/>
        <v>0</v>
      </c>
      <c r="MZ25" s="1">
        <f t="shared" si="13"/>
        <v>0</v>
      </c>
      <c r="NA25" s="1">
        <f t="shared" si="13"/>
        <v>0</v>
      </c>
    </row>
    <row r="26" spans="2:365" s="1" customFormat="1" ht="13.95" customHeight="1">
      <c r="B26" s="46">
        <v>17</v>
      </c>
      <c r="C26" s="4" t="e">
        <f t="shared" si="0"/>
        <v>#REF!</v>
      </c>
      <c r="D26" s="5" t="e">
        <f t="shared" si="1"/>
        <v>#REF!</v>
      </c>
      <c r="E26" s="61">
        <f t="shared" si="14"/>
        <v>0</v>
      </c>
      <c r="F26" s="52"/>
      <c r="G26" s="53"/>
      <c r="H26" s="53"/>
      <c r="I26" s="54"/>
      <c r="J26" s="2629"/>
      <c r="K26" s="9" t="e">
        <f t="shared" si="15"/>
        <v>#REF!</v>
      </c>
      <c r="L26" s="5" t="e">
        <f t="shared" si="2"/>
        <v>#REF!</v>
      </c>
      <c r="M26" s="64">
        <f t="shared" si="16"/>
        <v>0</v>
      </c>
      <c r="N26" s="28"/>
      <c r="O26" s="36" t="e">
        <f t="shared" si="17"/>
        <v>#REF!</v>
      </c>
      <c r="P26" s="27" t="e">
        <f t="shared" si="17"/>
        <v>#REF!</v>
      </c>
      <c r="Q26" s="53">
        <f t="shared" si="18"/>
        <v>0</v>
      </c>
      <c r="R26" s="28"/>
      <c r="S26" s="36" t="e">
        <f t="shared" si="19"/>
        <v>#REF!</v>
      </c>
      <c r="T26" s="27" t="e">
        <f t="shared" si="19"/>
        <v>#REF!</v>
      </c>
      <c r="U26" s="53">
        <f t="shared" si="3"/>
        <v>0</v>
      </c>
      <c r="V26" s="28"/>
      <c r="W26" s="36" t="e">
        <f t="shared" si="20"/>
        <v>#REF!</v>
      </c>
      <c r="X26" s="27" t="e">
        <f t="shared" si="4"/>
        <v>#REF!</v>
      </c>
      <c r="Y26" s="53">
        <f t="shared" si="21"/>
        <v>0</v>
      </c>
      <c r="Z26" s="28"/>
      <c r="AA26" s="26" t="e">
        <f t="shared" si="22"/>
        <v>#REF!</v>
      </c>
      <c r="AB26" s="27" t="e">
        <f t="shared" si="22"/>
        <v>#REF!</v>
      </c>
      <c r="AC26" s="53">
        <f t="shared" si="23"/>
        <v>0</v>
      </c>
      <c r="AD26" s="33"/>
      <c r="AE26" s="2629"/>
      <c r="AF26" s="9" t="e">
        <f>+#REF!+#REF!+#REF!+#REF!+#REF!+#REF!+#REF!+#REF!+#REF!+#REF!+#REF!+#REF!</f>
        <v>#REF!</v>
      </c>
      <c r="AG26" s="5" t="e">
        <f>+#REF!+#REF!+#REF!+#REF!+#REF!+#REF!+#REF!+#REF!+#REF!+#REF!+#REF!+#REF!</f>
        <v>#REF!</v>
      </c>
      <c r="AH26" s="61">
        <f t="shared" si="24"/>
        <v>0</v>
      </c>
      <c r="AI26" s="36" t="e">
        <f>+#REF!+#REF!+#REF!+#REF!+#REF!+#REF!+#REF!+#REF!+#REF!+#REF!+#REF!+#REF!</f>
        <v>#REF!</v>
      </c>
      <c r="AJ26" s="27" t="e">
        <f>+#REF!+#REF!+#REF!+#REF!+#REF!+#REF!+#REF!+#REF!+#REF!+#REF!+#REF!+#REF!</f>
        <v>#REF!</v>
      </c>
      <c r="AK26" s="61">
        <f t="shared" si="25"/>
        <v>0</v>
      </c>
      <c r="AL26" s="36" t="e">
        <f>+#REF!+#REF!+#REF!+#REF!+#REF!+#REF!+#REF!+#REF!+#REF!+#REF!+#REF!+#REF!</f>
        <v>#REF!</v>
      </c>
      <c r="AM26" s="27" t="e">
        <f>+#REF!+#REF!+#REF!+#REF!+#REF!+#REF!+#REF!+#REF!+#REF!+#REF!+#REF!+#REF!</f>
        <v>#REF!</v>
      </c>
      <c r="AN26" s="61">
        <f t="shared" si="26"/>
        <v>0</v>
      </c>
      <c r="AO26" s="36" t="e">
        <f>+#REF!+#REF!+#REF!+#REF!+#REF!+#REF!+#REF!+#REF!+#REF!+#REF!+#REF!+#REF!</f>
        <v>#REF!</v>
      </c>
      <c r="AP26" s="27" t="e">
        <f>+#REF!+#REF!+#REF!+#REF!+#REF!+#REF!+#REF!+#REF!+#REF!+#REF!+#REF!+#REF!</f>
        <v>#REF!</v>
      </c>
      <c r="AQ26" s="61">
        <f t="shared" si="27"/>
        <v>0</v>
      </c>
      <c r="AR26" s="36" t="e">
        <f>+#REF!+#REF!+#REF!+#REF!+#REF!+#REF!+#REF!+#REF!+#REF!+#REF!+#REF!+#REF!</f>
        <v>#REF!</v>
      </c>
      <c r="AS26" s="27" t="e">
        <f>+#REF!+#REF!+#REF!+#REF!+#REF!+#REF!+#REF!+#REF!+#REF!+#REF!+#REF!+#REF!</f>
        <v>#REF!</v>
      </c>
      <c r="AT26" s="61">
        <f t="shared" si="28"/>
        <v>0</v>
      </c>
      <c r="AU26" s="36" t="e">
        <f>+#REF!+#REF!+#REF!+#REF!+#REF!+#REF!+#REF!+#REF!+#REF!+#REF!+#REF!+#REF!</f>
        <v>#REF!</v>
      </c>
      <c r="AV26" s="27" t="e">
        <f>+#REF!+#REF!+#REF!+#REF!+#REF!+#REF!+#REF!+#REF!+#REF!+#REF!+#REF!+#REF!</f>
        <v>#REF!</v>
      </c>
      <c r="AW26" s="61">
        <f t="shared" si="29"/>
        <v>0</v>
      </c>
      <c r="AX26" s="36" t="e">
        <f>+#REF!+#REF!+#REF!+#REF!+#REF!+#REF!+#REF!+#REF!+#REF!+#REF!+#REF!+#REF!</f>
        <v>#REF!</v>
      </c>
      <c r="AY26" s="27" t="e">
        <f>+#REF!+#REF!+#REF!+#REF!+#REF!+#REF!+#REF!+#REF!+#REF!+#REF!+#REF!+#REF!</f>
        <v>#REF!</v>
      </c>
      <c r="AZ26" s="61">
        <f t="shared" si="30"/>
        <v>0</v>
      </c>
      <c r="BA26" s="36" t="e">
        <f>+#REF!+#REF!+#REF!+#REF!+#REF!+#REF!+#REF!+#REF!+#REF!+#REF!+#REF!+#REF!</f>
        <v>#REF!</v>
      </c>
      <c r="BB26" s="27" t="e">
        <f>+#REF!+#REF!+#REF!+#REF!+#REF!+#REF!+#REF!+#REF!+#REF!+#REF!+#REF!+#REF!</f>
        <v>#REF!</v>
      </c>
      <c r="BC26" s="61">
        <f t="shared" si="31"/>
        <v>0</v>
      </c>
      <c r="BD26" s="36" t="e">
        <f>+#REF!+#REF!+#REF!+#REF!+#REF!+#REF!+#REF!+#REF!+#REF!+#REF!+#REF!+#REF!</f>
        <v>#REF!</v>
      </c>
      <c r="BE26" s="27" t="e">
        <f>+#REF!+#REF!+#REF!+#REF!+#REF!+#REF!+#REF!+#REF!+#REF!+#REF!+#REF!+#REF!</f>
        <v>#REF!</v>
      </c>
      <c r="BF26" s="61">
        <f t="shared" si="32"/>
        <v>0</v>
      </c>
      <c r="BG26" s="36" t="e">
        <f>+#REF!+#REF!+#REF!+#REF!+#REF!+#REF!+#REF!+#REF!+#REF!+#REF!+#REF!+#REF!</f>
        <v>#REF!</v>
      </c>
      <c r="BH26" s="27" t="e">
        <f>+#REF!+#REF!+#REF!+#REF!+#REF!+#REF!+#REF!+#REF!+#REF!+#REF!+#REF!+#REF!</f>
        <v>#REF!</v>
      </c>
      <c r="BI26" s="61">
        <f t="shared" si="33"/>
        <v>0</v>
      </c>
      <c r="BJ26" s="36" t="e">
        <f>+#REF!+#REF!+#REF!+#REF!+#REF!+#REF!+#REF!+#REF!+#REF!+#REF!+#REF!+#REF!</f>
        <v>#REF!</v>
      </c>
      <c r="BK26" s="27" t="e">
        <f>+#REF!+#REF!+#REF!+#REF!+#REF!+#REF!+#REF!+#REF!+#REF!+#REF!+#REF!+#REF!</f>
        <v>#REF!</v>
      </c>
      <c r="BL26" s="61">
        <f t="shared" si="34"/>
        <v>0</v>
      </c>
      <c r="BM26" s="36" t="e">
        <f>+#REF!+#REF!+#REF!+#REF!+#REF!+#REF!+#REF!+#REF!+#REF!+#REF!+#REF!+#REF!</f>
        <v>#REF!</v>
      </c>
      <c r="BN26" s="27" t="e">
        <f>+#REF!+#REF!+#REF!+#REF!+#REF!+#REF!+#REF!+#REF!+#REF!+#REF!+#REF!+#REF!</f>
        <v>#REF!</v>
      </c>
      <c r="BO26" s="54">
        <f t="shared" si="35"/>
        <v>0</v>
      </c>
      <c r="BP26" s="26" t="e">
        <f>+#REF!+#REF!+#REF!+#REF!+#REF!+#REF!+#REF!+#REF!+#REF!+#REF!+#REF!+#REF!</f>
        <v>#REF!</v>
      </c>
      <c r="BQ26" s="27" t="e">
        <f>+#REF!+#REF!+#REF!+#REF!+#REF!+#REF!+#REF!+#REF!+#REF!+#REF!+#REF!+#REF!</f>
        <v>#REF!</v>
      </c>
      <c r="BR26" s="61">
        <f t="shared" si="36"/>
        <v>0</v>
      </c>
      <c r="BS26" s="26" t="e">
        <f>+#REF!+#REF!+#REF!+#REF!+#REF!+#REF!+#REF!+#REF!+#REF!+#REF!+#REF!+#REF!</f>
        <v>#REF!</v>
      </c>
      <c r="BT26" s="27" t="e">
        <f>+#REF!+#REF!+#REF!+#REF!+#REF!+#REF!+#REF!+#REF!+#REF!+#REF!+#REF!+#REF!</f>
        <v>#REF!</v>
      </c>
      <c r="BU26" s="61">
        <f t="shared" si="37"/>
        <v>0</v>
      </c>
      <c r="BV26" s="150"/>
      <c r="BW26" s="9" t="e">
        <f>+#REF!+#REF!+#REF!+#REF!+#REF!+#REF!+#REF!+#REF!+#REF!+#REF!+#REF!+#REF!</f>
        <v>#REF!</v>
      </c>
      <c r="BX26" s="5" t="e">
        <f>+#REF!+#REF!+#REF!+#REF!+#REF!+#REF!+#REF!+#REF!+#REF!+#REF!+#REF!+#REF!</f>
        <v>#REF!</v>
      </c>
      <c r="BY26" s="5" t="e">
        <f>+#REF!+#REF!+#REF!+#REF!+#REF!+#REF!+#REF!+#REF!+#REF!+#REF!+#REF!+#REF!</f>
        <v>#REF!</v>
      </c>
      <c r="BZ26" s="5" t="e">
        <f>+#REF!+#REF!+#REF!+#REF!+#REF!+#REF!+#REF!+#REF!+#REF!+#REF!+#REF!+#REF!</f>
        <v>#REF!</v>
      </c>
      <c r="CA26" s="5" t="e">
        <f>+#REF!+#REF!+#REF!+#REF!+#REF!+#REF!+#REF!+#REF!+#REF!+#REF!+#REF!+#REF!</f>
        <v>#REF!</v>
      </c>
      <c r="CB26" s="5" t="e">
        <f t="shared" si="38"/>
        <v>#REF!</v>
      </c>
      <c r="CC26" s="33"/>
      <c r="CD26" s="2683"/>
      <c r="CF26" s="4" t="e">
        <f t="shared" si="39"/>
        <v>#REF!</v>
      </c>
      <c r="CG26" s="5" t="e">
        <f t="shared" si="5"/>
        <v>#REF!</v>
      </c>
      <c r="CH26" s="5" t="e">
        <f t="shared" si="5"/>
        <v>#REF!</v>
      </c>
      <c r="CI26" s="5" t="e">
        <f t="shared" si="5"/>
        <v>#REF!</v>
      </c>
      <c r="CJ26" s="5" t="e">
        <f t="shared" si="5"/>
        <v>#REF!</v>
      </c>
      <c r="CK26" s="5" t="e">
        <f t="shared" si="5"/>
        <v>#REF!</v>
      </c>
      <c r="CL26" s="33" t="e">
        <f t="shared" si="40"/>
        <v>#REF!</v>
      </c>
      <c r="CM26" s="2685"/>
      <c r="CN26" s="9" t="e">
        <f>+#REF!+#REF!+#REF!+#REF!+#REF!+#REF!+#REF!+#REF!+#REF!+#REF!+#REF!+#REF!</f>
        <v>#REF!</v>
      </c>
      <c r="CO26" s="5" t="e">
        <f>+#REF!+#REF!+#REF!+#REF!+#REF!+#REF!+#REF!+#REF!+#REF!+#REF!+#REF!+#REF!</f>
        <v>#REF!</v>
      </c>
      <c r="CP26" s="5" t="e">
        <f>+#REF!+#REF!+#REF!+#REF!+#REF!+#REF!+#REF!+#REF!+#REF!+#REF!+#REF!+#REF!</f>
        <v>#REF!</v>
      </c>
      <c r="CQ26" s="5" t="e">
        <f>+#REF!+#REF!+#REF!+#REF!+#REF!+#REF!+#REF!+#REF!+#REF!+#REF!+#REF!+#REF!</f>
        <v>#REF!</v>
      </c>
      <c r="CR26" s="5" t="e">
        <f>+#REF!+#REF!+#REF!+#REF!+#REF!+#REF!+#REF!+#REF!+#REF!+#REF!+#REF!+#REF!</f>
        <v>#REF!</v>
      </c>
      <c r="CS26" s="5" t="e">
        <f>+#REF!+#REF!+#REF!+#REF!+#REF!+#REF!+#REF!+#REF!+#REF!+#REF!+#REF!+#REF!</f>
        <v>#REF!</v>
      </c>
      <c r="CT26" s="28" t="e">
        <f t="shared" si="41"/>
        <v>#REF!</v>
      </c>
      <c r="CU26" s="36" t="e">
        <f>+#REF!+#REF!+#REF!+#REF!+#REF!+#REF!+#REF!+#REF!+#REF!+#REF!+#REF!+#REF!</f>
        <v>#REF!</v>
      </c>
      <c r="CV26" s="27" t="e">
        <f>+#REF!+#REF!+#REF!+#REF!+#REF!+#REF!+#REF!+#REF!+#REF!+#REF!+#REF!+#REF!</f>
        <v>#REF!</v>
      </c>
      <c r="CW26" s="27" t="e">
        <f>+#REF!+#REF!+#REF!+#REF!+#REF!+#REF!+#REF!+#REF!+#REF!+#REF!+#REF!+#REF!</f>
        <v>#REF!</v>
      </c>
      <c r="CX26" s="27" t="e">
        <f>+#REF!+#REF!+#REF!+#REF!+#REF!+#REF!+#REF!+#REF!+#REF!+#REF!+#REF!+#REF!</f>
        <v>#REF!</v>
      </c>
      <c r="CY26" s="27" t="e">
        <f>+#REF!+#REF!+#REF!+#REF!+#REF!+#REF!+#REF!+#REF!+#REF!+#REF!+#REF!+#REF!</f>
        <v>#REF!</v>
      </c>
      <c r="CZ26" s="27" t="e">
        <f>+#REF!+#REF!+#REF!+#REF!+#REF!+#REF!+#REF!+#REF!+#REF!+#REF!+#REF!+#REF!</f>
        <v>#REF!</v>
      </c>
      <c r="DA26" s="28" t="e">
        <f t="shared" si="42"/>
        <v>#REF!</v>
      </c>
      <c r="DB26" s="36" t="e">
        <f>+#REF!+#REF!+#REF!+#REF!+#REF!+#REF!+#REF!+#REF!+#REF!+#REF!+#REF!+#REF!</f>
        <v>#REF!</v>
      </c>
      <c r="DC26" s="27" t="e">
        <f>+#REF!+#REF!+#REF!+#REF!+#REF!+#REF!+#REF!+#REF!+#REF!+#REF!+#REF!+#REF!</f>
        <v>#REF!</v>
      </c>
      <c r="DD26" s="27" t="e">
        <f>+#REF!+#REF!+#REF!+#REF!+#REF!+#REF!+#REF!+#REF!+#REF!+#REF!+#REF!+#REF!</f>
        <v>#REF!</v>
      </c>
      <c r="DE26" s="27" t="e">
        <f>+#REF!+#REF!+#REF!+#REF!+#REF!+#REF!+#REF!+#REF!+#REF!+#REF!+#REF!+#REF!</f>
        <v>#REF!</v>
      </c>
      <c r="DF26" s="27" t="e">
        <f>+#REF!+#REF!+#REF!+#REF!+#REF!+#REF!+#REF!+#REF!+#REF!+#REF!+#REF!+#REF!</f>
        <v>#REF!</v>
      </c>
      <c r="DG26" s="27" t="e">
        <f>+#REF!+#REF!+#REF!+#REF!+#REF!+#REF!+#REF!+#REF!+#REF!+#REF!+#REF!+#REF!</f>
        <v>#REF!</v>
      </c>
      <c r="DH26" s="28" t="e">
        <f t="shared" si="43"/>
        <v>#REF!</v>
      </c>
      <c r="DI26" s="36" t="e">
        <f>+#REF!+#REF!+#REF!+#REF!+#REF!+#REF!+#REF!+#REF!+#REF!+#REF!+#REF!+#REF!</f>
        <v>#REF!</v>
      </c>
      <c r="DJ26" s="27" t="e">
        <f>+#REF!+#REF!+#REF!+#REF!+#REF!+#REF!+#REF!+#REF!+#REF!+#REF!+#REF!+#REF!</f>
        <v>#REF!</v>
      </c>
      <c r="DK26" s="27" t="e">
        <f>+#REF!+#REF!+#REF!+#REF!+#REF!+#REF!+#REF!+#REF!+#REF!+#REF!+#REF!+#REF!</f>
        <v>#REF!</v>
      </c>
      <c r="DL26" s="27" t="e">
        <f>+#REF!+#REF!+#REF!+#REF!+#REF!+#REF!+#REF!+#REF!+#REF!+#REF!+#REF!+#REF!</f>
        <v>#REF!</v>
      </c>
      <c r="DM26" s="27" t="e">
        <f>+#REF!+#REF!+#REF!+#REF!+#REF!+#REF!+#REF!+#REF!+#REF!+#REF!+#REF!+#REF!</f>
        <v>#REF!</v>
      </c>
      <c r="DN26" s="27" t="e">
        <f>+#REF!+#REF!+#REF!+#REF!+#REF!+#REF!+#REF!+#REF!+#REF!+#REF!+#REF!+#REF!</f>
        <v>#REF!</v>
      </c>
      <c r="DO26" s="33" t="e">
        <f t="shared" si="44"/>
        <v>#REF!</v>
      </c>
      <c r="DP26" s="2685"/>
      <c r="DR26" s="4" t="e">
        <f t="shared" si="45"/>
        <v>#REF!</v>
      </c>
      <c r="DS26" s="5" t="e">
        <f t="shared" si="46"/>
        <v>#REF!</v>
      </c>
      <c r="DT26" s="5" t="e">
        <f t="shared" si="47"/>
        <v>#REF!</v>
      </c>
      <c r="DU26" s="12" t="e">
        <f t="shared" si="48"/>
        <v>#REF!</v>
      </c>
      <c r="DV26" s="33"/>
      <c r="DW26" s="2674"/>
      <c r="DX26" s="9" t="e">
        <f>+#REF!+#REF!+#REF!+#REF!+#REF!+#REF!+#REF!+#REF!+#REF!+#REF!+#REF!+#REF!</f>
        <v>#REF!</v>
      </c>
      <c r="DY26" s="5" t="e">
        <f>+#REF!+#REF!+#REF!+#REF!+#REF!+#REF!+#REF!+#REF!+#REF!+#REF!+#REF!+#REF!</f>
        <v>#REF!</v>
      </c>
      <c r="DZ26" s="5" t="e">
        <f>+#REF!+#REF!+#REF!+#REF!+#REF!+#REF!+#REF!+#REF!+#REF!+#REF!+#REF!+#REF!</f>
        <v>#REF!</v>
      </c>
      <c r="EA26" s="5" t="e">
        <f>+#REF!+#REF!+#REF!+#REF!+#REF!+#REF!+#REF!+#REF!+#REF!+#REF!+#REF!+#REF!</f>
        <v>#REF!</v>
      </c>
      <c r="EB26" s="5" t="e">
        <f>+#REF!+#REF!+#REF!+#REF!+#REF!+#REF!+#REF!+#REF!+#REF!+#REF!+#REF!+#REF!</f>
        <v>#REF!</v>
      </c>
      <c r="EC26" s="27" t="e">
        <f>+#REF!+#REF!+#REF!+#REF!+#REF!+#REF!+#REF!+#REF!+#REF!+#REF!+#REF!+#REF!</f>
        <v>#REF!</v>
      </c>
      <c r="ED26" s="28" t="e">
        <f t="shared" si="49"/>
        <v>#REF!</v>
      </c>
      <c r="EE26" s="36" t="e">
        <f>+#REF!+#REF!+#REF!+#REF!+#REF!+#REF!+#REF!+#REF!+#REF!+#REF!+#REF!+#REF!</f>
        <v>#REF!</v>
      </c>
      <c r="EF26" s="27" t="e">
        <f>+#REF!+#REF!+#REF!+#REF!+#REF!+#REF!+#REF!+#REF!+#REF!+#REF!+#REF!+#REF!</f>
        <v>#REF!</v>
      </c>
      <c r="EG26" s="27" t="e">
        <f>+#REF!+#REF!+#REF!+#REF!+#REF!+#REF!+#REF!+#REF!+#REF!+#REF!+#REF!+#REF!</f>
        <v>#REF!</v>
      </c>
      <c r="EH26" s="27" t="e">
        <f>+#REF!+#REF!+#REF!+#REF!+#REF!+#REF!+#REF!+#REF!+#REF!+#REF!+#REF!+#REF!</f>
        <v>#REF!</v>
      </c>
      <c r="EI26" s="27" t="e">
        <f>+#REF!+#REF!+#REF!+#REF!+#REF!+#REF!+#REF!+#REF!+#REF!+#REF!+#REF!+#REF!</f>
        <v>#REF!</v>
      </c>
      <c r="EJ26" s="27" t="e">
        <f>+#REF!+#REF!+#REF!+#REF!+#REF!+#REF!+#REF!+#REF!+#REF!+#REF!+#REF!+#REF!</f>
        <v>#REF!</v>
      </c>
      <c r="EK26" s="28" t="e">
        <f t="shared" si="50"/>
        <v>#REF!</v>
      </c>
      <c r="EL26" s="36" t="e">
        <f>+#REF!+#REF!+#REF!+#REF!+#REF!+#REF!+#REF!+#REF!+#REF!+#REF!+#REF!+#REF!</f>
        <v>#REF!</v>
      </c>
      <c r="EM26" s="27" t="e">
        <f>+#REF!+#REF!+#REF!+#REF!+#REF!+#REF!+#REF!+#REF!+#REF!+#REF!+#REF!+#REF!</f>
        <v>#REF!</v>
      </c>
      <c r="EN26" s="27" t="e">
        <f>+#REF!+#REF!+#REF!+#REF!+#REF!+#REF!+#REF!+#REF!+#REF!+#REF!+#REF!+#REF!</f>
        <v>#REF!</v>
      </c>
      <c r="EO26" s="27" t="e">
        <f>+#REF!+#REF!+#REF!+#REF!+#REF!+#REF!+#REF!+#REF!+#REF!+#REF!+#REF!+#REF!</f>
        <v>#REF!</v>
      </c>
      <c r="EP26" s="27" t="e">
        <f>+#REF!+#REF!+#REF!+#REF!+#REF!+#REF!+#REF!+#REF!+#REF!+#REF!+#REF!+#REF!</f>
        <v>#REF!</v>
      </c>
      <c r="EQ26" s="27" t="e">
        <f>+#REF!+#REF!+#REF!+#REF!+#REF!+#REF!+#REF!+#REF!+#REF!+#REF!+#REF!+#REF!</f>
        <v>#REF!</v>
      </c>
      <c r="ER26" s="33" t="e">
        <f t="shared" si="51"/>
        <v>#REF!</v>
      </c>
      <c r="ES26" s="2674"/>
      <c r="EU26" s="4" t="e">
        <f t="shared" si="52"/>
        <v>#REF!</v>
      </c>
      <c r="EV26" s="5" t="e">
        <f t="shared" si="53"/>
        <v>#REF!</v>
      </c>
      <c r="EW26" s="27" t="e">
        <f t="shared" si="54"/>
        <v>#REF!</v>
      </c>
      <c r="EX26" s="27" t="e">
        <f t="shared" si="55"/>
        <v>#REF!</v>
      </c>
      <c r="EY26" s="141"/>
      <c r="EZ26" s="141"/>
      <c r="FA26" s="33"/>
      <c r="FB26" s="2667"/>
      <c r="FC26" s="36" t="e">
        <f>+#REF!+#REF!+#REF!+#REF!+#REF!+#REF!+#REF!+#REF!+#REF!+#REF!+#REF!+#REF!</f>
        <v>#REF!</v>
      </c>
      <c r="FD26" s="27" t="e">
        <f>+#REF!+#REF!+#REF!+#REF!+#REF!+#REF!+#REF!+#REF!+#REF!+#REF!+#REF!+#REF!</f>
        <v>#REF!</v>
      </c>
      <c r="FE26" s="27"/>
      <c r="FF26" s="27"/>
      <c r="FG26" s="33" t="e">
        <f t="shared" si="56"/>
        <v>#REF!</v>
      </c>
      <c r="FH26" s="2667"/>
      <c r="FI26" s="36" t="e">
        <f>+#REF!+#REF!+#REF!+#REF!+#REF!+#REF!+#REF!+#REF!+#REF!+#REF!+#REF!+#REF!</f>
        <v>#REF!</v>
      </c>
      <c r="FJ26" s="27" t="e">
        <f>+#REF!+#REF!+#REF!+#REF!+#REF!+#REF!+#REF!+#REF!+#REF!+#REF!+#REF!+#REF!</f>
        <v>#REF!</v>
      </c>
      <c r="FK26" s="27" t="e">
        <f>+#REF!+#REF!+#REF!+#REF!+#REF!+#REF!+#REF!+#REF!+#REF!+#REF!+#REF!+#REF!</f>
        <v>#REF!</v>
      </c>
      <c r="FL26" s="27" t="e">
        <f>+#REF!+#REF!+#REF!+#REF!+#REF!+#REF!+#REF!+#REF!+#REF!+#REF!+#REF!+#REF!</f>
        <v>#REF!</v>
      </c>
      <c r="FM26" s="27" t="e">
        <f>+#REF!+#REF!+#REF!+#REF!+#REF!+#REF!+#REF!+#REF!+#REF!+#REF!+#REF!+#REF!</f>
        <v>#REF!</v>
      </c>
      <c r="FN26" s="27" t="e">
        <f>+#REF!+#REF!+#REF!+#REF!+#REF!+#REF!+#REF!+#REF!+#REF!+#REF!+#REF!+#REF!</f>
        <v>#REF!</v>
      </c>
      <c r="FO26" s="27" t="e">
        <f>+#REF!+#REF!+#REF!+#REF!+#REF!+#REF!+#REF!+#REF!+#REF!+#REF!+#REF!+#REF!</f>
        <v>#REF!</v>
      </c>
      <c r="FP26" s="27" t="e">
        <f>+#REF!+#REF!+#REF!+#REF!+#REF!+#REF!+#REF!+#REF!+#REF!+#REF!+#REF!+#REF!</f>
        <v>#REF!</v>
      </c>
      <c r="FQ26" s="28" t="e">
        <f t="shared" si="80"/>
        <v>#REF!</v>
      </c>
      <c r="FR26" s="26" t="e">
        <f>+#REF!+#REF!+#REF!+#REF!+#REF!+#REF!+#REF!+#REF!+#REF!+#REF!+#REF!+#REF!</f>
        <v>#REF!</v>
      </c>
      <c r="FS26" s="27" t="e">
        <f>+#REF!+#REF!+#REF!+#REF!+#REF!+#REF!+#REF!+#REF!+#REF!+#REF!+#REF!+#REF!</f>
        <v>#REF!</v>
      </c>
      <c r="FT26" s="27" t="e">
        <f>+#REF!+#REF!+#REF!+#REF!+#REF!+#REF!+#REF!+#REF!+#REF!+#REF!+#REF!+#REF!</f>
        <v>#REF!</v>
      </c>
      <c r="FU26" s="27" t="e">
        <f>+#REF!+#REF!+#REF!+#REF!+#REF!+#REF!+#REF!+#REF!+#REF!+#REF!+#REF!+#REF!</f>
        <v>#REF!</v>
      </c>
      <c r="FV26" s="27" t="e">
        <f>+#REF!+#REF!+#REF!+#REF!+#REF!+#REF!+#REF!+#REF!+#REF!+#REF!+#REF!+#REF!</f>
        <v>#REF!</v>
      </c>
      <c r="FW26" s="27" t="e">
        <f>+#REF!+#REF!+#REF!+#REF!+#REF!+#REF!+#REF!+#REF!+#REF!+#REF!+#REF!+#REF!</f>
        <v>#REF!</v>
      </c>
      <c r="FX26" s="27" t="e">
        <f>+#REF!+#REF!+#REF!+#REF!+#REF!+#REF!+#REF!+#REF!+#REF!+#REF!+#REF!+#REF!</f>
        <v>#REF!</v>
      </c>
      <c r="FY26" s="27" t="e">
        <f>+#REF!+#REF!+#REF!+#REF!+#REF!+#REF!+#REF!+#REF!+#REF!+#REF!+#REF!+#REF!</f>
        <v>#REF!</v>
      </c>
      <c r="FZ26" s="28" t="e">
        <f t="shared" si="57"/>
        <v>#REF!</v>
      </c>
      <c r="GA26" s="36" t="e">
        <f>+#REF!+#REF!+#REF!+#REF!+#REF!+#REF!+#REF!+#REF!+#REF!+#REF!+#REF!+#REF!</f>
        <v>#REF!</v>
      </c>
      <c r="GB26" s="27" t="e">
        <f>+#REF!+#REF!+#REF!+#REF!+#REF!+#REF!+#REF!+#REF!+#REF!+#REF!+#REF!+#REF!</f>
        <v>#REF!</v>
      </c>
      <c r="GC26" s="27" t="e">
        <f>+#REF!+#REF!+#REF!+#REF!+#REF!+#REF!+#REF!+#REF!+#REF!+#REF!+#REF!+#REF!</f>
        <v>#REF!</v>
      </c>
      <c r="GD26" s="27" t="e">
        <f>+#REF!+#REF!+#REF!+#REF!+#REF!+#REF!+#REF!+#REF!+#REF!+#REF!+#REF!+#REF!</f>
        <v>#REF!</v>
      </c>
      <c r="GE26" s="27" t="e">
        <f>+#REF!+#REF!+#REF!+#REF!+#REF!+#REF!+#REF!+#REF!+#REF!+#REF!+#REF!+#REF!</f>
        <v>#REF!</v>
      </c>
      <c r="GF26" s="27" t="e">
        <f>+#REF!+#REF!+#REF!+#REF!+#REF!+#REF!+#REF!+#REF!+#REF!+#REF!+#REF!+#REF!</f>
        <v>#REF!</v>
      </c>
      <c r="GG26" s="27" t="e">
        <f>+#REF!+#REF!+#REF!+#REF!+#REF!+#REF!+#REF!+#REF!+#REF!+#REF!+#REF!+#REF!</f>
        <v>#REF!</v>
      </c>
      <c r="GH26" s="27" t="e">
        <f>+#REF!+#REF!+#REF!+#REF!+#REF!+#REF!+#REF!+#REF!+#REF!+#REF!+#REF!+#REF!</f>
        <v>#REF!</v>
      </c>
      <c r="GI26" s="33" t="e">
        <f t="shared" si="58"/>
        <v>#REF!</v>
      </c>
      <c r="GJ26" s="2667"/>
      <c r="GL26" s="26" t="e">
        <f>+#REF!+#REF!+#REF!+#REF!+#REF!+#REF!+#REF!+#REF!+#REF!+#REF!+#REF!+#REF!</f>
        <v>#REF!</v>
      </c>
      <c r="GM26" s="36" t="e">
        <f>+#REF!+#REF!+#REF!+#REF!+#REF!+#REF!+#REF!+#REF!+#REF!+#REF!+#REF!+#REF!</f>
        <v>#REF!</v>
      </c>
      <c r="GN26" s="27" t="e">
        <f>+#REF!+#REF!+#REF!+#REF!+#REF!+#REF!+#REF!+#REF!+#REF!+#REF!+#REF!+#REF!</f>
        <v>#REF!</v>
      </c>
      <c r="GO26" s="27" t="e">
        <f t="shared" si="59"/>
        <v>#REF!</v>
      </c>
      <c r="GP26" s="33"/>
      <c r="GQ26" s="2669"/>
      <c r="GR26" s="152"/>
      <c r="GS26" s="53"/>
      <c r="GT26" s="53"/>
      <c r="GU26" s="53"/>
      <c r="GV26" s="53"/>
      <c r="GW26" s="53"/>
      <c r="GX26" s="53"/>
      <c r="GY26" s="61"/>
      <c r="GZ26" s="69"/>
      <c r="HA26" s="70"/>
      <c r="HB26" s="70"/>
      <c r="HC26" s="70"/>
      <c r="HD26" s="70"/>
      <c r="HE26" s="70"/>
      <c r="HF26" s="70"/>
      <c r="HG26" s="71"/>
      <c r="HH26" s="69"/>
      <c r="HI26" s="70"/>
      <c r="HJ26" s="70"/>
      <c r="HK26" s="70"/>
      <c r="HL26" s="70"/>
      <c r="HM26" s="70"/>
      <c r="HN26" s="70"/>
      <c r="HO26" s="70"/>
      <c r="HP26" s="33"/>
      <c r="HQ26" s="2669"/>
      <c r="HR26" s="36"/>
      <c r="HS26" s="53"/>
      <c r="HT26" s="53"/>
      <c r="HU26" s="53"/>
      <c r="HV26" s="61"/>
      <c r="HW26" s="36"/>
      <c r="HX26" s="53"/>
      <c r="HY26" s="53"/>
      <c r="HZ26" s="53"/>
      <c r="IA26" s="61"/>
      <c r="IB26" s="36"/>
      <c r="IC26" s="53"/>
      <c r="ID26" s="53"/>
      <c r="IE26" s="53"/>
      <c r="IF26" s="53"/>
      <c r="IG26" s="33"/>
      <c r="IH26" s="2669"/>
      <c r="IJ26" s="26" t="e">
        <f t="shared" si="60"/>
        <v>#REF!</v>
      </c>
      <c r="IK26" s="36" t="e">
        <f t="shared" si="6"/>
        <v>#REF!</v>
      </c>
      <c r="IL26" s="27" t="e">
        <f t="shared" si="6"/>
        <v>#REF!</v>
      </c>
      <c r="IM26" s="28" t="e">
        <f t="shared" si="61"/>
        <v>#REF!</v>
      </c>
      <c r="IN26" s="36"/>
      <c r="IO26" s="27"/>
      <c r="IP26" s="27"/>
      <c r="IQ26" s="33"/>
      <c r="IR26" s="55"/>
      <c r="IS26" s="21"/>
      <c r="IT26" s="2688"/>
      <c r="IU26" s="36" t="e">
        <f>+#REF!+#REF!+#REF!+#REF!+#REF!+#REF!+#REF!+#REF!+#REF!+#REF!+#REF!+#REF!</f>
        <v>#REF!</v>
      </c>
      <c r="IV26" s="36" t="e">
        <f>+#REF!+#REF!+#REF!+#REF!+#REF!+#REF!+#REF!+#REF!+#REF!+#REF!+#REF!+#REF!</f>
        <v>#REF!</v>
      </c>
      <c r="IW26" s="27" t="e">
        <f>+#REF!+#REF!+#REF!+#REF!+#REF!+#REF!+#REF!+#REF!+#REF!+#REF!+#REF!+#REF!</f>
        <v>#REF!</v>
      </c>
      <c r="IX26" s="27" t="e">
        <f>+#REF!+#REF!+#REF!+#REF!+#REF!+#REF!+#REF!+#REF!+#REF!+#REF!+#REF!+#REF!</f>
        <v>#REF!</v>
      </c>
      <c r="IY26" s="27" t="e">
        <f>+#REF!+#REF!+#REF!+#REF!+#REF!+#REF!+#REF!+#REF!+#REF!+#REF!+#REF!+#REF!</f>
        <v>#REF!</v>
      </c>
      <c r="IZ26" s="28" t="e">
        <f t="shared" si="62"/>
        <v>#REF!</v>
      </c>
      <c r="JA26" s="26" t="e">
        <f>+#REF!+#REF!+#REF!+#REF!+#REF!+#REF!+#REF!+#REF!+#REF!+#REF!+#REF!+#REF!</f>
        <v>#REF!</v>
      </c>
      <c r="JB26" s="36" t="e">
        <f>+#REF!+#REF!+#REF!+#REF!+#REF!+#REF!+#REF!+#REF!+#REF!+#REF!+#REF!+#REF!</f>
        <v>#REF!</v>
      </c>
      <c r="JC26" s="27" t="e">
        <f>+#REF!+#REF!+#REF!+#REF!+#REF!+#REF!+#REF!+#REF!+#REF!+#REF!+#REF!+#REF!</f>
        <v>#REF!</v>
      </c>
      <c r="JD26" s="27" t="e">
        <f>+#REF!+#REF!+#REF!+#REF!+#REF!+#REF!+#REF!+#REF!+#REF!+#REF!+#REF!+#REF!</f>
        <v>#REF!</v>
      </c>
      <c r="JE26" s="28" t="e">
        <f>+#REF!+#REF!+#REF!+#REF!+#REF!+#REF!+#REF!+#REF!+#REF!+#REF!+#REF!+#REF!</f>
        <v>#REF!</v>
      </c>
      <c r="JF26" s="26" t="e">
        <f>+#REF!+#REF!+#REF!+#REF!+#REF!+#REF!+#REF!+#REF!+#REF!+#REF!+#REF!+#REF!</f>
        <v>#REF!</v>
      </c>
      <c r="JG26" s="36" t="e">
        <f>+#REF!+#REF!+#REF!+#REF!+#REF!+#REF!+#REF!+#REF!+#REF!+#REF!+#REF!+#REF!</f>
        <v>#REF!</v>
      </c>
      <c r="JH26" s="27" t="e">
        <f>+#REF!+#REF!+#REF!+#REF!+#REF!+#REF!+#REF!+#REF!+#REF!+#REF!+#REF!+#REF!</f>
        <v>#REF!</v>
      </c>
      <c r="JI26" s="27" t="e">
        <f>+#REF!+#REF!+#REF!+#REF!+#REF!+#REF!+#REF!+#REF!+#REF!+#REF!+#REF!+#REF!</f>
        <v>#REF!</v>
      </c>
      <c r="JJ26" s="27" t="e">
        <f>+#REF!+#REF!+#REF!+#REF!+#REF!+#REF!+#REF!+#REF!+#REF!+#REF!+#REF!+#REF!</f>
        <v>#REF!</v>
      </c>
      <c r="JK26" s="28" t="e">
        <f t="shared" si="63"/>
        <v>#REF!</v>
      </c>
      <c r="JL26" s="26" t="e">
        <f>+#REF!+#REF!+#REF!+#REF!+#REF!+#REF!+#REF!+#REF!+#REF!+#REF!+#REF!+#REF!</f>
        <v>#REF!</v>
      </c>
      <c r="JM26" s="36" t="e">
        <f>+#REF!+#REF!+#REF!+#REF!+#REF!+#REF!+#REF!+#REF!+#REF!+#REF!+#REF!+#REF!</f>
        <v>#REF!</v>
      </c>
      <c r="JN26" s="27" t="e">
        <f>+#REF!+#REF!+#REF!+#REF!+#REF!+#REF!+#REF!+#REF!+#REF!+#REF!+#REF!+#REF!</f>
        <v>#REF!</v>
      </c>
      <c r="JO26" s="27" t="e">
        <f>+#REF!+#REF!+#REF!+#REF!+#REF!+#REF!+#REF!+#REF!+#REF!+#REF!+#REF!+#REF!</f>
        <v>#REF!</v>
      </c>
      <c r="JP26" s="28" t="e">
        <f>+#REF!+#REF!+#REF!+#REF!+#REF!+#REF!+#REF!+#REF!+#REF!+#REF!+#REF!+#REF!</f>
        <v>#REF!</v>
      </c>
      <c r="JQ26" s="275" t="e">
        <f t="shared" si="64"/>
        <v>#REF!</v>
      </c>
      <c r="JR26" s="36" t="e">
        <f>+#REF!+#REF!+#REF!+#REF!+#REF!+#REF!+#REF!+#REF!+#REF!+#REF!+#REF!+#REF!</f>
        <v>#REF!</v>
      </c>
      <c r="JS26" s="36" t="e">
        <f>+#REF!+#REF!+#REF!+#REF!+#REF!+#REF!+#REF!+#REF!+#REF!+#REF!+#REF!+#REF!</f>
        <v>#REF!</v>
      </c>
      <c r="JT26" s="27" t="e">
        <f>+#REF!+#REF!+#REF!+#REF!+#REF!+#REF!+#REF!+#REF!+#REF!+#REF!+#REF!+#REF!</f>
        <v>#REF!</v>
      </c>
      <c r="JU26" s="27" t="e">
        <f>+#REF!+#REF!+#REF!+#REF!+#REF!+#REF!+#REF!+#REF!+#REF!+#REF!+#REF!+#REF!</f>
        <v>#REF!</v>
      </c>
      <c r="JV26" s="27" t="e">
        <f>+#REF!+#REF!+#REF!+#REF!+#REF!+#REF!+#REF!+#REF!+#REF!+#REF!+#REF!+#REF!</f>
        <v>#REF!</v>
      </c>
      <c r="JW26" s="33" t="e">
        <f t="shared" si="65"/>
        <v>#REF!</v>
      </c>
      <c r="JX26" s="2688"/>
      <c r="JZ26" s="26" t="e">
        <f t="shared" si="66"/>
        <v>#REF!</v>
      </c>
      <c r="KA26" s="27" t="e">
        <f t="shared" si="67"/>
        <v>#REF!</v>
      </c>
      <c r="KB26" s="27" t="e">
        <f t="shared" si="68"/>
        <v>#REF!</v>
      </c>
      <c r="KC26" s="33" t="e">
        <f t="shared" si="69"/>
        <v>#REF!</v>
      </c>
      <c r="KD26" s="2621"/>
      <c r="KE26" s="36" t="e">
        <f t="shared" ref="KE26:KG40" si="87">+KE25+GL26-IJ26</f>
        <v>#REF!</v>
      </c>
      <c r="KF26" s="36" t="e">
        <f t="shared" si="87"/>
        <v>#REF!</v>
      </c>
      <c r="KG26" s="27" t="e">
        <f t="shared" si="87"/>
        <v>#REF!</v>
      </c>
      <c r="KH26" s="28" t="e">
        <f t="shared" si="81"/>
        <v>#REF!</v>
      </c>
      <c r="KI26" s="36" t="e">
        <f t="shared" si="82"/>
        <v>#REF!</v>
      </c>
      <c r="KJ26" s="27" t="e">
        <f t="shared" ref="KJ26:KN40" si="88">+KJ25-FJ26</f>
        <v>#REF!</v>
      </c>
      <c r="KK26" s="27" t="e">
        <f t="shared" si="88"/>
        <v>#REF!</v>
      </c>
      <c r="KL26" s="27" t="e">
        <f t="shared" si="88"/>
        <v>#REF!</v>
      </c>
      <c r="KM26" s="27" t="e">
        <f t="shared" si="88"/>
        <v>#REF!</v>
      </c>
      <c r="KN26" s="27" t="e">
        <f t="shared" si="88"/>
        <v>#REF!</v>
      </c>
      <c r="KO26" s="28" t="e">
        <f t="shared" si="83"/>
        <v>#REF!</v>
      </c>
      <c r="KP26" s="36" t="e">
        <f t="shared" ref="KP26:KU40" si="89">+KP25+CN26+EE26+EL26-FR26</f>
        <v>#REF!</v>
      </c>
      <c r="KQ26" s="27" t="e">
        <f t="shared" si="89"/>
        <v>#REF!</v>
      </c>
      <c r="KR26" s="27" t="e">
        <f t="shared" si="89"/>
        <v>#REF!</v>
      </c>
      <c r="KS26" s="27" t="e">
        <f t="shared" si="89"/>
        <v>#REF!</v>
      </c>
      <c r="KT26" s="27" t="e">
        <f t="shared" si="89"/>
        <v>#REF!</v>
      </c>
      <c r="KU26" s="27" t="e">
        <f t="shared" si="89"/>
        <v>#REF!</v>
      </c>
      <c r="KV26" s="28" t="e">
        <f t="shared" si="84"/>
        <v>#REF!</v>
      </c>
      <c r="KW26" s="36" t="e">
        <f t="shared" ref="KW26:LB40" si="90">+KW25+CU26+DX26-GA26</f>
        <v>#REF!</v>
      </c>
      <c r="KX26" s="27" t="e">
        <f t="shared" si="90"/>
        <v>#REF!</v>
      </c>
      <c r="KY26" s="27" t="e">
        <f t="shared" si="90"/>
        <v>#REF!</v>
      </c>
      <c r="KZ26" s="27" t="e">
        <f t="shared" si="90"/>
        <v>#REF!</v>
      </c>
      <c r="LA26" s="27" t="e">
        <f t="shared" si="90"/>
        <v>#REF!</v>
      </c>
      <c r="LB26" s="27" t="e">
        <f t="shared" si="90"/>
        <v>#REF!</v>
      </c>
      <c r="LC26" s="28" t="e">
        <f t="shared" si="85"/>
        <v>#REF!</v>
      </c>
      <c r="LD26" s="36"/>
      <c r="LE26" s="27"/>
      <c r="LF26" s="27"/>
      <c r="LG26" s="27"/>
      <c r="LH26" s="27"/>
      <c r="LI26" s="27"/>
      <c r="LJ26" s="28">
        <f t="shared" si="70"/>
        <v>0</v>
      </c>
      <c r="LK26" s="36" t="e">
        <f t="shared" ref="LK26:LP40" si="91">+LK25+DI26-EL26</f>
        <v>#REF!</v>
      </c>
      <c r="LL26" s="27" t="e">
        <f t="shared" si="91"/>
        <v>#REF!</v>
      </c>
      <c r="LM26" s="27" t="e">
        <f t="shared" si="91"/>
        <v>#REF!</v>
      </c>
      <c r="LN26" s="27" t="e">
        <f t="shared" si="91"/>
        <v>#REF!</v>
      </c>
      <c r="LO26" s="27" t="e">
        <f t="shared" si="91"/>
        <v>#REF!</v>
      </c>
      <c r="LP26" s="27" t="e">
        <f t="shared" si="91"/>
        <v>#REF!</v>
      </c>
      <c r="LQ26" s="33" t="e">
        <f t="shared" si="71"/>
        <v>#REF!</v>
      </c>
      <c r="LR26" s="2621"/>
      <c r="LT26" s="4" t="e">
        <f>+#REF!+#REF!+#REF!+#REF!+#REF!+#REF!+#REF!+#REF!+#REF!+#REF!+#REF!+#REF!</f>
        <v>#REF!</v>
      </c>
      <c r="LU26" s="5" t="e">
        <f>+#REF!+#REF!+#REF!+#REF!+#REF!+#REF!+#REF!+#REF!+#REF!+#REF!+#REF!+#REF!</f>
        <v>#REF!</v>
      </c>
      <c r="LV26" s="5" t="e">
        <f t="shared" si="72"/>
        <v>#REF!</v>
      </c>
      <c r="LW26" s="12" t="e">
        <f t="shared" si="86"/>
        <v>#REF!</v>
      </c>
      <c r="LX26" s="15"/>
      <c r="LY26" s="2615"/>
      <c r="MA26" s="4" t="e">
        <f>+#REF!+#REF!+#REF!+#REF!+#REF!+#REF!+#REF!+#REF!+#REF!+#REF!+#REF!+#REF!</f>
        <v>#REF!</v>
      </c>
      <c r="MB26" s="5" t="e">
        <f t="shared" si="73"/>
        <v>#REF!</v>
      </c>
      <c r="MC26" s="5" t="e">
        <f>+#REF!+#REF!+#REF!+#REF!+#REF!+#REF!+#REF!+#REF!+#REF!+#REF!+#REF!+#REF!</f>
        <v>#REF!</v>
      </c>
      <c r="MD26" s="5" t="e">
        <f t="shared" si="74"/>
        <v>#REF!</v>
      </c>
      <c r="ME26" s="12" t="e">
        <f t="shared" si="75"/>
        <v>#REF!</v>
      </c>
      <c r="MF26" s="12"/>
      <c r="MG26" s="2615"/>
      <c r="MI26" s="139" t="e">
        <f t="shared" si="76"/>
        <v>#REF!</v>
      </c>
      <c r="MJ26" s="139" t="e">
        <f>IF(GN26=0,"",(IFERROR(IF(1-ABS(1-(HH26/HH$43))&lt;0,0,1-ABS(1-(HH26/HH$43))),0)*HH$43)+(IFERROR(IF(1-ABS(1-(HI26/HI$43))&lt;0,0,1-ABS(1-(HI26/HI$43))),0)*HI$43)+(IFERROR(IF(1-ABS(1-(HJ26/HJ$43))&lt;0,0,1-ABS(1-(HJ26/HJ$43))),0)*HJ$43)+(IFERROR(IF(1-ABS(1-(HK26/HK$43))&lt;0,0,1-ABS(1-(HK26/HK$43))),0)*HK$43)+(IFERROR(IF(1-ABS(1-(HL26/HL$43))&lt;0,0,1-ABS(1-(HL26/HL$43))),0)*HL$43)+(IFERROR(IF(1-ABS(1-(HM26/HM$43))&lt;0,0,1-ABS(1-(HM26/HM$43))),0)*HM$43)+(IFERROR(IF(1-ABS(1-(HN26/HN$43))&lt;0,0,1-ABS(1-(HN26/HN$43))),0)*HN$43)+(IFERROR(IF(1-ABS(1-(HO26/HO$43))&lt;0,0,1-ABS(1-(HO26/HO$43))),0)*HO$43))</f>
        <v>#REF!</v>
      </c>
      <c r="ML26" s="139" t="e">
        <f t="shared" si="78"/>
        <v>#REF!</v>
      </c>
      <c r="MM26" s="139" t="e">
        <f t="shared" si="79"/>
        <v>#REF!</v>
      </c>
      <c r="MO26" s="1">
        <f t="shared" ref="MO26:MT40" si="92">IF(KP$43=0,0,IF(SUM(KP26,KW26)-KP$8-KW$8&gt;KP$43,1,(SUM(KP26,KW26)-KP$8-KW$8)/KP$43))</f>
        <v>0</v>
      </c>
      <c r="MP26" s="1">
        <f t="shared" si="92"/>
        <v>0</v>
      </c>
      <c r="MQ26" s="1">
        <f t="shared" si="92"/>
        <v>0</v>
      </c>
      <c r="MR26" s="1">
        <f t="shared" si="92"/>
        <v>0</v>
      </c>
      <c r="MS26" s="1">
        <f t="shared" si="92"/>
        <v>0</v>
      </c>
      <c r="MT26" s="1">
        <f t="shared" si="92"/>
        <v>0</v>
      </c>
      <c r="MV26" s="1">
        <f t="shared" ref="MV26:NA40" si="93">+IF(KP$43=0,0,IF(SUM(KP26,KW26)-KP$8-KW$8&gt;KP$43,1,(SUM(KP26,KW26)-KP$8-KW$8)/KP$43))</f>
        <v>0</v>
      </c>
      <c r="MW26" s="1">
        <f t="shared" si="93"/>
        <v>0</v>
      </c>
      <c r="MX26" s="1">
        <f t="shared" si="93"/>
        <v>0</v>
      </c>
      <c r="MY26" s="1">
        <f t="shared" si="93"/>
        <v>0</v>
      </c>
      <c r="MZ26" s="1">
        <f t="shared" si="93"/>
        <v>0</v>
      </c>
      <c r="NA26" s="1">
        <f t="shared" si="93"/>
        <v>0</v>
      </c>
    </row>
    <row r="27" spans="2:365" s="1" customFormat="1">
      <c r="B27" s="46">
        <v>18</v>
      </c>
      <c r="C27" s="4" t="e">
        <f t="shared" si="0"/>
        <v>#REF!</v>
      </c>
      <c r="D27" s="5" t="e">
        <f t="shared" si="1"/>
        <v>#REF!</v>
      </c>
      <c r="E27" s="61">
        <f t="shared" si="14"/>
        <v>0</v>
      </c>
      <c r="F27" s="52"/>
      <c r="G27" s="53"/>
      <c r="H27" s="53"/>
      <c r="I27" s="54"/>
      <c r="J27" s="2629"/>
      <c r="K27" s="9" t="e">
        <f t="shared" si="15"/>
        <v>#REF!</v>
      </c>
      <c r="L27" s="5" t="e">
        <f t="shared" si="2"/>
        <v>#REF!</v>
      </c>
      <c r="M27" s="64">
        <f t="shared" si="16"/>
        <v>0</v>
      </c>
      <c r="N27" s="28"/>
      <c r="O27" s="36" t="e">
        <f t="shared" si="17"/>
        <v>#REF!</v>
      </c>
      <c r="P27" s="27" t="e">
        <f t="shared" si="17"/>
        <v>#REF!</v>
      </c>
      <c r="Q27" s="53">
        <f t="shared" si="18"/>
        <v>0</v>
      </c>
      <c r="R27" s="28"/>
      <c r="S27" s="36" t="e">
        <f t="shared" si="19"/>
        <v>#REF!</v>
      </c>
      <c r="T27" s="27" t="e">
        <f t="shared" si="19"/>
        <v>#REF!</v>
      </c>
      <c r="U27" s="53">
        <f t="shared" si="3"/>
        <v>0</v>
      </c>
      <c r="V27" s="28"/>
      <c r="W27" s="36" t="e">
        <f t="shared" si="20"/>
        <v>#REF!</v>
      </c>
      <c r="X27" s="27" t="e">
        <f t="shared" si="4"/>
        <v>#REF!</v>
      </c>
      <c r="Y27" s="53">
        <f t="shared" si="21"/>
        <v>0</v>
      </c>
      <c r="Z27" s="28"/>
      <c r="AA27" s="26" t="e">
        <f t="shared" si="22"/>
        <v>#REF!</v>
      </c>
      <c r="AB27" s="27" t="e">
        <f t="shared" si="22"/>
        <v>#REF!</v>
      </c>
      <c r="AC27" s="53">
        <f t="shared" si="23"/>
        <v>0</v>
      </c>
      <c r="AD27" s="33"/>
      <c r="AE27" s="2629"/>
      <c r="AF27" s="9" t="e">
        <f>+#REF!+#REF!+#REF!+#REF!+#REF!+#REF!+#REF!+#REF!+#REF!+#REF!+#REF!+#REF!</f>
        <v>#REF!</v>
      </c>
      <c r="AG27" s="5" t="e">
        <f>+#REF!+#REF!+#REF!+#REF!+#REF!+#REF!+#REF!+#REF!+#REF!+#REF!+#REF!+#REF!</f>
        <v>#REF!</v>
      </c>
      <c r="AH27" s="61">
        <f t="shared" si="24"/>
        <v>0</v>
      </c>
      <c r="AI27" s="36" t="e">
        <f>+#REF!+#REF!+#REF!+#REF!+#REF!+#REF!+#REF!+#REF!+#REF!+#REF!+#REF!+#REF!</f>
        <v>#REF!</v>
      </c>
      <c r="AJ27" s="27" t="e">
        <f>+#REF!+#REF!+#REF!+#REF!+#REF!+#REF!+#REF!+#REF!+#REF!+#REF!+#REF!+#REF!</f>
        <v>#REF!</v>
      </c>
      <c r="AK27" s="61">
        <f t="shared" si="25"/>
        <v>0</v>
      </c>
      <c r="AL27" s="36" t="e">
        <f>+#REF!+#REF!+#REF!+#REF!+#REF!+#REF!+#REF!+#REF!+#REF!+#REF!+#REF!+#REF!</f>
        <v>#REF!</v>
      </c>
      <c r="AM27" s="27" t="e">
        <f>+#REF!+#REF!+#REF!+#REF!+#REF!+#REF!+#REF!+#REF!+#REF!+#REF!+#REF!+#REF!</f>
        <v>#REF!</v>
      </c>
      <c r="AN27" s="61">
        <f t="shared" si="26"/>
        <v>0</v>
      </c>
      <c r="AO27" s="36" t="e">
        <f>+#REF!+#REF!+#REF!+#REF!+#REF!+#REF!+#REF!+#REF!+#REF!+#REF!+#REF!+#REF!</f>
        <v>#REF!</v>
      </c>
      <c r="AP27" s="27" t="e">
        <f>+#REF!+#REF!+#REF!+#REF!+#REF!+#REF!+#REF!+#REF!+#REF!+#REF!+#REF!+#REF!</f>
        <v>#REF!</v>
      </c>
      <c r="AQ27" s="61">
        <f t="shared" si="27"/>
        <v>0</v>
      </c>
      <c r="AR27" s="36" t="e">
        <f>+#REF!+#REF!+#REF!+#REF!+#REF!+#REF!+#REF!+#REF!+#REF!+#REF!+#REF!+#REF!</f>
        <v>#REF!</v>
      </c>
      <c r="AS27" s="27" t="e">
        <f>+#REF!+#REF!+#REF!+#REF!+#REF!+#REF!+#REF!+#REF!+#REF!+#REF!+#REF!+#REF!</f>
        <v>#REF!</v>
      </c>
      <c r="AT27" s="61">
        <f t="shared" si="28"/>
        <v>0</v>
      </c>
      <c r="AU27" s="36" t="e">
        <f>+#REF!+#REF!+#REF!+#REF!+#REF!+#REF!+#REF!+#REF!+#REF!+#REF!+#REF!+#REF!</f>
        <v>#REF!</v>
      </c>
      <c r="AV27" s="27" t="e">
        <f>+#REF!+#REF!+#REF!+#REF!+#REF!+#REF!+#REF!+#REF!+#REF!+#REF!+#REF!+#REF!</f>
        <v>#REF!</v>
      </c>
      <c r="AW27" s="61">
        <f t="shared" si="29"/>
        <v>0</v>
      </c>
      <c r="AX27" s="36" t="e">
        <f>+#REF!+#REF!+#REF!+#REF!+#REF!+#REF!+#REF!+#REF!+#REF!+#REF!+#REF!+#REF!</f>
        <v>#REF!</v>
      </c>
      <c r="AY27" s="27" t="e">
        <f>+#REF!+#REF!+#REF!+#REF!+#REF!+#REF!+#REF!+#REF!+#REF!+#REF!+#REF!+#REF!</f>
        <v>#REF!</v>
      </c>
      <c r="AZ27" s="61">
        <f t="shared" si="30"/>
        <v>0</v>
      </c>
      <c r="BA27" s="36" t="e">
        <f>+#REF!+#REF!+#REF!+#REF!+#REF!+#REF!+#REF!+#REF!+#REF!+#REF!+#REF!+#REF!</f>
        <v>#REF!</v>
      </c>
      <c r="BB27" s="27" t="e">
        <f>+#REF!+#REF!+#REF!+#REF!+#REF!+#REF!+#REF!+#REF!+#REF!+#REF!+#REF!+#REF!</f>
        <v>#REF!</v>
      </c>
      <c r="BC27" s="61">
        <f t="shared" si="31"/>
        <v>0</v>
      </c>
      <c r="BD27" s="36" t="e">
        <f>+#REF!+#REF!+#REF!+#REF!+#REF!+#REF!+#REF!+#REF!+#REF!+#REF!+#REF!+#REF!</f>
        <v>#REF!</v>
      </c>
      <c r="BE27" s="27" t="e">
        <f>+#REF!+#REF!+#REF!+#REF!+#REF!+#REF!+#REF!+#REF!+#REF!+#REF!+#REF!+#REF!</f>
        <v>#REF!</v>
      </c>
      <c r="BF27" s="61">
        <f t="shared" si="32"/>
        <v>0</v>
      </c>
      <c r="BG27" s="36" t="e">
        <f>+#REF!+#REF!+#REF!+#REF!+#REF!+#REF!+#REF!+#REF!+#REF!+#REF!+#REF!+#REF!</f>
        <v>#REF!</v>
      </c>
      <c r="BH27" s="27" t="e">
        <f>+#REF!+#REF!+#REF!+#REF!+#REF!+#REF!+#REF!+#REF!+#REF!+#REF!+#REF!+#REF!</f>
        <v>#REF!</v>
      </c>
      <c r="BI27" s="61">
        <f t="shared" si="33"/>
        <v>0</v>
      </c>
      <c r="BJ27" s="36" t="e">
        <f>+#REF!+#REF!+#REF!+#REF!+#REF!+#REF!+#REF!+#REF!+#REF!+#REF!+#REF!+#REF!</f>
        <v>#REF!</v>
      </c>
      <c r="BK27" s="27" t="e">
        <f>+#REF!+#REF!+#REF!+#REF!+#REF!+#REF!+#REF!+#REF!+#REF!+#REF!+#REF!+#REF!</f>
        <v>#REF!</v>
      </c>
      <c r="BL27" s="61">
        <f t="shared" si="34"/>
        <v>0</v>
      </c>
      <c r="BM27" s="36" t="e">
        <f>+#REF!+#REF!+#REF!+#REF!+#REF!+#REF!+#REF!+#REF!+#REF!+#REF!+#REF!+#REF!</f>
        <v>#REF!</v>
      </c>
      <c r="BN27" s="27" t="e">
        <f>+#REF!+#REF!+#REF!+#REF!+#REF!+#REF!+#REF!+#REF!+#REF!+#REF!+#REF!+#REF!</f>
        <v>#REF!</v>
      </c>
      <c r="BO27" s="54">
        <f t="shared" si="35"/>
        <v>0</v>
      </c>
      <c r="BP27" s="26" t="e">
        <f>+#REF!+#REF!+#REF!+#REF!+#REF!+#REF!+#REF!+#REF!+#REF!+#REF!+#REF!+#REF!</f>
        <v>#REF!</v>
      </c>
      <c r="BQ27" s="27" t="e">
        <f>+#REF!+#REF!+#REF!+#REF!+#REF!+#REF!+#REF!+#REF!+#REF!+#REF!+#REF!+#REF!</f>
        <v>#REF!</v>
      </c>
      <c r="BR27" s="61">
        <f t="shared" si="36"/>
        <v>0</v>
      </c>
      <c r="BS27" s="26" t="e">
        <f>+#REF!+#REF!+#REF!+#REF!+#REF!+#REF!+#REF!+#REF!+#REF!+#REF!+#REF!+#REF!</f>
        <v>#REF!</v>
      </c>
      <c r="BT27" s="27" t="e">
        <f>+#REF!+#REF!+#REF!+#REF!+#REF!+#REF!+#REF!+#REF!+#REF!+#REF!+#REF!+#REF!</f>
        <v>#REF!</v>
      </c>
      <c r="BU27" s="61">
        <f t="shared" si="37"/>
        <v>0</v>
      </c>
      <c r="BV27" s="150"/>
      <c r="BW27" s="9" t="e">
        <f>+#REF!+#REF!+#REF!+#REF!+#REF!+#REF!+#REF!+#REF!+#REF!+#REF!+#REF!+#REF!</f>
        <v>#REF!</v>
      </c>
      <c r="BX27" s="5" t="e">
        <f>+#REF!+#REF!+#REF!+#REF!+#REF!+#REF!+#REF!+#REF!+#REF!+#REF!+#REF!+#REF!</f>
        <v>#REF!</v>
      </c>
      <c r="BY27" s="5" t="e">
        <f>+#REF!+#REF!+#REF!+#REF!+#REF!+#REF!+#REF!+#REF!+#REF!+#REF!+#REF!+#REF!</f>
        <v>#REF!</v>
      </c>
      <c r="BZ27" s="5" t="e">
        <f>+#REF!+#REF!+#REF!+#REF!+#REF!+#REF!+#REF!+#REF!+#REF!+#REF!+#REF!+#REF!</f>
        <v>#REF!</v>
      </c>
      <c r="CA27" s="5" t="e">
        <f>+#REF!+#REF!+#REF!+#REF!+#REF!+#REF!+#REF!+#REF!+#REF!+#REF!+#REF!+#REF!</f>
        <v>#REF!</v>
      </c>
      <c r="CB27" s="5" t="e">
        <f t="shared" si="38"/>
        <v>#REF!</v>
      </c>
      <c r="CC27" s="33"/>
      <c r="CD27" s="2683"/>
      <c r="CF27" s="4" t="e">
        <f t="shared" si="39"/>
        <v>#REF!</v>
      </c>
      <c r="CG27" s="5" t="e">
        <f t="shared" si="5"/>
        <v>#REF!</v>
      </c>
      <c r="CH27" s="5" t="e">
        <f t="shared" si="5"/>
        <v>#REF!</v>
      </c>
      <c r="CI27" s="5" t="e">
        <f t="shared" si="5"/>
        <v>#REF!</v>
      </c>
      <c r="CJ27" s="5" t="e">
        <f t="shared" si="5"/>
        <v>#REF!</v>
      </c>
      <c r="CK27" s="5" t="e">
        <f t="shared" si="5"/>
        <v>#REF!</v>
      </c>
      <c r="CL27" s="33" t="e">
        <f t="shared" si="40"/>
        <v>#REF!</v>
      </c>
      <c r="CM27" s="2685"/>
      <c r="CN27" s="9" t="e">
        <f>+#REF!+#REF!+#REF!+#REF!+#REF!+#REF!+#REF!+#REF!+#REF!+#REF!+#REF!+#REF!</f>
        <v>#REF!</v>
      </c>
      <c r="CO27" s="5" t="e">
        <f>+#REF!+#REF!+#REF!+#REF!+#REF!+#REF!+#REF!+#REF!+#REF!+#REF!+#REF!+#REF!</f>
        <v>#REF!</v>
      </c>
      <c r="CP27" s="5" t="e">
        <f>+#REF!+#REF!+#REF!+#REF!+#REF!+#REF!+#REF!+#REF!+#REF!+#REF!+#REF!+#REF!</f>
        <v>#REF!</v>
      </c>
      <c r="CQ27" s="5" t="e">
        <f>+#REF!+#REF!+#REF!+#REF!+#REF!+#REF!+#REF!+#REF!+#REF!+#REF!+#REF!+#REF!</f>
        <v>#REF!</v>
      </c>
      <c r="CR27" s="5" t="e">
        <f>+#REF!+#REF!+#REF!+#REF!+#REF!+#REF!+#REF!+#REF!+#REF!+#REF!+#REF!+#REF!</f>
        <v>#REF!</v>
      </c>
      <c r="CS27" s="5" t="e">
        <f>+#REF!+#REF!+#REF!+#REF!+#REF!+#REF!+#REF!+#REF!+#REF!+#REF!+#REF!+#REF!</f>
        <v>#REF!</v>
      </c>
      <c r="CT27" s="28" t="e">
        <f t="shared" si="41"/>
        <v>#REF!</v>
      </c>
      <c r="CU27" s="36" t="e">
        <f>+#REF!+#REF!+#REF!+#REF!+#REF!+#REF!+#REF!+#REF!+#REF!+#REF!+#REF!+#REF!</f>
        <v>#REF!</v>
      </c>
      <c r="CV27" s="27" t="e">
        <f>+#REF!+#REF!+#REF!+#REF!+#REF!+#REF!+#REF!+#REF!+#REF!+#REF!+#REF!+#REF!</f>
        <v>#REF!</v>
      </c>
      <c r="CW27" s="27" t="e">
        <f>+#REF!+#REF!+#REF!+#REF!+#REF!+#REF!+#REF!+#REF!+#REF!+#REF!+#REF!+#REF!</f>
        <v>#REF!</v>
      </c>
      <c r="CX27" s="27" t="e">
        <f>+#REF!+#REF!+#REF!+#REF!+#REF!+#REF!+#REF!+#REF!+#REF!+#REF!+#REF!+#REF!</f>
        <v>#REF!</v>
      </c>
      <c r="CY27" s="27" t="e">
        <f>+#REF!+#REF!+#REF!+#REF!+#REF!+#REF!+#REF!+#REF!+#REF!+#REF!+#REF!+#REF!</f>
        <v>#REF!</v>
      </c>
      <c r="CZ27" s="27" t="e">
        <f>+#REF!+#REF!+#REF!+#REF!+#REF!+#REF!+#REF!+#REF!+#REF!+#REF!+#REF!+#REF!</f>
        <v>#REF!</v>
      </c>
      <c r="DA27" s="28" t="e">
        <f t="shared" si="42"/>
        <v>#REF!</v>
      </c>
      <c r="DB27" s="36" t="e">
        <f>+#REF!+#REF!+#REF!+#REF!+#REF!+#REF!+#REF!+#REF!+#REF!+#REF!+#REF!+#REF!</f>
        <v>#REF!</v>
      </c>
      <c r="DC27" s="27" t="e">
        <f>+#REF!+#REF!+#REF!+#REF!+#REF!+#REF!+#REF!+#REF!+#REF!+#REF!+#REF!+#REF!</f>
        <v>#REF!</v>
      </c>
      <c r="DD27" s="27" t="e">
        <f>+#REF!+#REF!+#REF!+#REF!+#REF!+#REF!+#REF!+#REF!+#REF!+#REF!+#REF!+#REF!</f>
        <v>#REF!</v>
      </c>
      <c r="DE27" s="27" t="e">
        <f>+#REF!+#REF!+#REF!+#REF!+#REF!+#REF!+#REF!+#REF!+#REF!+#REF!+#REF!+#REF!</f>
        <v>#REF!</v>
      </c>
      <c r="DF27" s="27" t="e">
        <f>+#REF!+#REF!+#REF!+#REF!+#REF!+#REF!+#REF!+#REF!+#REF!+#REF!+#REF!+#REF!</f>
        <v>#REF!</v>
      </c>
      <c r="DG27" s="27" t="e">
        <f>+#REF!+#REF!+#REF!+#REF!+#REF!+#REF!+#REF!+#REF!+#REF!+#REF!+#REF!+#REF!</f>
        <v>#REF!</v>
      </c>
      <c r="DH27" s="28" t="e">
        <f t="shared" si="43"/>
        <v>#REF!</v>
      </c>
      <c r="DI27" s="36" t="e">
        <f>+#REF!+#REF!+#REF!+#REF!+#REF!+#REF!+#REF!+#REF!+#REF!+#REF!+#REF!+#REF!</f>
        <v>#REF!</v>
      </c>
      <c r="DJ27" s="27" t="e">
        <f>+#REF!+#REF!+#REF!+#REF!+#REF!+#REF!+#REF!+#REF!+#REF!+#REF!+#REF!+#REF!</f>
        <v>#REF!</v>
      </c>
      <c r="DK27" s="27" t="e">
        <f>+#REF!+#REF!+#REF!+#REF!+#REF!+#REF!+#REF!+#REF!+#REF!+#REF!+#REF!+#REF!</f>
        <v>#REF!</v>
      </c>
      <c r="DL27" s="27" t="e">
        <f>+#REF!+#REF!+#REF!+#REF!+#REF!+#REF!+#REF!+#REF!+#REF!+#REF!+#REF!+#REF!</f>
        <v>#REF!</v>
      </c>
      <c r="DM27" s="27" t="e">
        <f>+#REF!+#REF!+#REF!+#REF!+#REF!+#REF!+#REF!+#REF!+#REF!+#REF!+#REF!+#REF!</f>
        <v>#REF!</v>
      </c>
      <c r="DN27" s="27" t="e">
        <f>+#REF!+#REF!+#REF!+#REF!+#REF!+#REF!+#REF!+#REF!+#REF!+#REF!+#REF!+#REF!</f>
        <v>#REF!</v>
      </c>
      <c r="DO27" s="33" t="e">
        <f t="shared" si="44"/>
        <v>#REF!</v>
      </c>
      <c r="DP27" s="2685"/>
      <c r="DR27" s="4" t="e">
        <f t="shared" si="45"/>
        <v>#REF!</v>
      </c>
      <c r="DS27" s="5" t="e">
        <f t="shared" si="46"/>
        <v>#REF!</v>
      </c>
      <c r="DT27" s="5" t="e">
        <f t="shared" si="47"/>
        <v>#REF!</v>
      </c>
      <c r="DU27" s="12" t="e">
        <f t="shared" si="48"/>
        <v>#REF!</v>
      </c>
      <c r="DV27" s="33"/>
      <c r="DW27" s="2674"/>
      <c r="DX27" s="9" t="e">
        <f>+#REF!+#REF!+#REF!+#REF!+#REF!+#REF!+#REF!+#REF!+#REF!+#REF!+#REF!+#REF!</f>
        <v>#REF!</v>
      </c>
      <c r="DY27" s="5" t="e">
        <f>+#REF!+#REF!+#REF!+#REF!+#REF!+#REF!+#REF!+#REF!+#REF!+#REF!+#REF!+#REF!</f>
        <v>#REF!</v>
      </c>
      <c r="DZ27" s="5" t="e">
        <f>+#REF!+#REF!+#REF!+#REF!+#REF!+#REF!+#REF!+#REF!+#REF!+#REF!+#REF!+#REF!</f>
        <v>#REF!</v>
      </c>
      <c r="EA27" s="5" t="e">
        <f>+#REF!+#REF!+#REF!+#REF!+#REF!+#REF!+#REF!+#REF!+#REF!+#REF!+#REF!+#REF!</f>
        <v>#REF!</v>
      </c>
      <c r="EB27" s="5" t="e">
        <f>+#REF!+#REF!+#REF!+#REF!+#REF!+#REF!+#REF!+#REF!+#REF!+#REF!+#REF!+#REF!</f>
        <v>#REF!</v>
      </c>
      <c r="EC27" s="27" t="e">
        <f>+#REF!+#REF!+#REF!+#REF!+#REF!+#REF!+#REF!+#REF!+#REF!+#REF!+#REF!+#REF!</f>
        <v>#REF!</v>
      </c>
      <c r="ED27" s="28" t="e">
        <f t="shared" si="49"/>
        <v>#REF!</v>
      </c>
      <c r="EE27" s="36" t="e">
        <f>+#REF!+#REF!+#REF!+#REF!+#REF!+#REF!+#REF!+#REF!+#REF!+#REF!+#REF!+#REF!</f>
        <v>#REF!</v>
      </c>
      <c r="EF27" s="27" t="e">
        <f>+#REF!+#REF!+#REF!+#REF!+#REF!+#REF!+#REF!+#REF!+#REF!+#REF!+#REF!+#REF!</f>
        <v>#REF!</v>
      </c>
      <c r="EG27" s="27" t="e">
        <f>+#REF!+#REF!+#REF!+#REF!+#REF!+#REF!+#REF!+#REF!+#REF!+#REF!+#REF!+#REF!</f>
        <v>#REF!</v>
      </c>
      <c r="EH27" s="27" t="e">
        <f>+#REF!+#REF!+#REF!+#REF!+#REF!+#REF!+#REF!+#REF!+#REF!+#REF!+#REF!+#REF!</f>
        <v>#REF!</v>
      </c>
      <c r="EI27" s="27" t="e">
        <f>+#REF!+#REF!+#REF!+#REF!+#REF!+#REF!+#REF!+#REF!+#REF!+#REF!+#REF!+#REF!</f>
        <v>#REF!</v>
      </c>
      <c r="EJ27" s="27" t="e">
        <f>+#REF!+#REF!+#REF!+#REF!+#REF!+#REF!+#REF!+#REF!+#REF!+#REF!+#REF!+#REF!</f>
        <v>#REF!</v>
      </c>
      <c r="EK27" s="28" t="e">
        <f t="shared" si="50"/>
        <v>#REF!</v>
      </c>
      <c r="EL27" s="36" t="e">
        <f>+#REF!+#REF!+#REF!+#REF!+#REF!+#REF!+#REF!+#REF!+#REF!+#REF!+#REF!+#REF!</f>
        <v>#REF!</v>
      </c>
      <c r="EM27" s="27" t="e">
        <f>+#REF!+#REF!+#REF!+#REF!+#REF!+#REF!+#REF!+#REF!+#REF!+#REF!+#REF!+#REF!</f>
        <v>#REF!</v>
      </c>
      <c r="EN27" s="27" t="e">
        <f>+#REF!+#REF!+#REF!+#REF!+#REF!+#REF!+#REF!+#REF!+#REF!+#REF!+#REF!+#REF!</f>
        <v>#REF!</v>
      </c>
      <c r="EO27" s="27" t="e">
        <f>+#REF!+#REF!+#REF!+#REF!+#REF!+#REF!+#REF!+#REF!+#REF!+#REF!+#REF!+#REF!</f>
        <v>#REF!</v>
      </c>
      <c r="EP27" s="27" t="e">
        <f>+#REF!+#REF!+#REF!+#REF!+#REF!+#REF!+#REF!+#REF!+#REF!+#REF!+#REF!+#REF!</f>
        <v>#REF!</v>
      </c>
      <c r="EQ27" s="27" t="e">
        <f>+#REF!+#REF!+#REF!+#REF!+#REF!+#REF!+#REF!+#REF!+#REF!+#REF!+#REF!+#REF!</f>
        <v>#REF!</v>
      </c>
      <c r="ER27" s="33" t="e">
        <f t="shared" si="51"/>
        <v>#REF!</v>
      </c>
      <c r="ES27" s="2674"/>
      <c r="EU27" s="4" t="e">
        <f t="shared" si="52"/>
        <v>#REF!</v>
      </c>
      <c r="EV27" s="5" t="e">
        <f t="shared" si="53"/>
        <v>#REF!</v>
      </c>
      <c r="EW27" s="27" t="e">
        <f t="shared" si="54"/>
        <v>#REF!</v>
      </c>
      <c r="EX27" s="27" t="e">
        <f t="shared" si="55"/>
        <v>#REF!</v>
      </c>
      <c r="EY27" s="141"/>
      <c r="EZ27" s="141"/>
      <c r="FA27" s="33"/>
      <c r="FB27" s="2667"/>
      <c r="FC27" s="36" t="e">
        <f>+#REF!+#REF!+#REF!+#REF!+#REF!+#REF!+#REF!+#REF!+#REF!+#REF!+#REF!+#REF!</f>
        <v>#REF!</v>
      </c>
      <c r="FD27" s="27" t="e">
        <f>+#REF!+#REF!+#REF!+#REF!+#REF!+#REF!+#REF!+#REF!+#REF!+#REF!+#REF!+#REF!</f>
        <v>#REF!</v>
      </c>
      <c r="FE27" s="27"/>
      <c r="FF27" s="27"/>
      <c r="FG27" s="33" t="e">
        <f t="shared" si="56"/>
        <v>#REF!</v>
      </c>
      <c r="FH27" s="2667"/>
      <c r="FI27" s="36" t="e">
        <f>+#REF!+#REF!+#REF!+#REF!+#REF!+#REF!+#REF!+#REF!+#REF!+#REF!+#REF!+#REF!</f>
        <v>#REF!</v>
      </c>
      <c r="FJ27" s="27" t="e">
        <f>+#REF!+#REF!+#REF!+#REF!+#REF!+#REF!+#REF!+#REF!+#REF!+#REF!+#REF!+#REF!</f>
        <v>#REF!</v>
      </c>
      <c r="FK27" s="27" t="e">
        <f>+#REF!+#REF!+#REF!+#REF!+#REF!+#REF!+#REF!+#REF!+#REF!+#REF!+#REF!+#REF!</f>
        <v>#REF!</v>
      </c>
      <c r="FL27" s="27" t="e">
        <f>+#REF!+#REF!+#REF!+#REF!+#REF!+#REF!+#REF!+#REF!+#REF!+#REF!+#REF!+#REF!</f>
        <v>#REF!</v>
      </c>
      <c r="FM27" s="27" t="e">
        <f>+#REF!+#REF!+#REF!+#REF!+#REF!+#REF!+#REF!+#REF!+#REF!+#REF!+#REF!+#REF!</f>
        <v>#REF!</v>
      </c>
      <c r="FN27" s="27" t="e">
        <f>+#REF!+#REF!+#REF!+#REF!+#REF!+#REF!+#REF!+#REF!+#REF!+#REF!+#REF!+#REF!</f>
        <v>#REF!</v>
      </c>
      <c r="FO27" s="27" t="e">
        <f>+#REF!+#REF!+#REF!+#REF!+#REF!+#REF!+#REF!+#REF!+#REF!+#REF!+#REF!+#REF!</f>
        <v>#REF!</v>
      </c>
      <c r="FP27" s="27" t="e">
        <f>+#REF!+#REF!+#REF!+#REF!+#REF!+#REF!+#REF!+#REF!+#REF!+#REF!+#REF!+#REF!</f>
        <v>#REF!</v>
      </c>
      <c r="FQ27" s="28" t="e">
        <f t="shared" si="80"/>
        <v>#REF!</v>
      </c>
      <c r="FR27" s="26" t="e">
        <f>+#REF!+#REF!+#REF!+#REF!+#REF!+#REF!+#REF!+#REF!+#REF!+#REF!+#REF!+#REF!</f>
        <v>#REF!</v>
      </c>
      <c r="FS27" s="27" t="e">
        <f>+#REF!+#REF!+#REF!+#REF!+#REF!+#REF!+#REF!+#REF!+#REF!+#REF!+#REF!+#REF!</f>
        <v>#REF!</v>
      </c>
      <c r="FT27" s="27" t="e">
        <f>+#REF!+#REF!+#REF!+#REF!+#REF!+#REF!+#REF!+#REF!+#REF!+#REF!+#REF!+#REF!</f>
        <v>#REF!</v>
      </c>
      <c r="FU27" s="27" t="e">
        <f>+#REF!+#REF!+#REF!+#REF!+#REF!+#REF!+#REF!+#REF!+#REF!+#REF!+#REF!+#REF!</f>
        <v>#REF!</v>
      </c>
      <c r="FV27" s="27" t="e">
        <f>+#REF!+#REF!+#REF!+#REF!+#REF!+#REF!+#REF!+#REF!+#REF!+#REF!+#REF!+#REF!</f>
        <v>#REF!</v>
      </c>
      <c r="FW27" s="27" t="e">
        <f>+#REF!+#REF!+#REF!+#REF!+#REF!+#REF!+#REF!+#REF!+#REF!+#REF!+#REF!+#REF!</f>
        <v>#REF!</v>
      </c>
      <c r="FX27" s="27" t="e">
        <f>+#REF!+#REF!+#REF!+#REF!+#REF!+#REF!+#REF!+#REF!+#REF!+#REF!+#REF!+#REF!</f>
        <v>#REF!</v>
      </c>
      <c r="FY27" s="27" t="e">
        <f>+#REF!+#REF!+#REF!+#REF!+#REF!+#REF!+#REF!+#REF!+#REF!+#REF!+#REF!+#REF!</f>
        <v>#REF!</v>
      </c>
      <c r="FZ27" s="28" t="e">
        <f t="shared" si="57"/>
        <v>#REF!</v>
      </c>
      <c r="GA27" s="36" t="e">
        <f>+#REF!+#REF!+#REF!+#REF!+#REF!+#REF!+#REF!+#REF!+#REF!+#REF!+#REF!+#REF!</f>
        <v>#REF!</v>
      </c>
      <c r="GB27" s="27" t="e">
        <f>+#REF!+#REF!+#REF!+#REF!+#REF!+#REF!+#REF!+#REF!+#REF!+#REF!+#REF!+#REF!</f>
        <v>#REF!</v>
      </c>
      <c r="GC27" s="27" t="e">
        <f>+#REF!+#REF!+#REF!+#REF!+#REF!+#REF!+#REF!+#REF!+#REF!+#REF!+#REF!+#REF!</f>
        <v>#REF!</v>
      </c>
      <c r="GD27" s="27" t="e">
        <f>+#REF!+#REF!+#REF!+#REF!+#REF!+#REF!+#REF!+#REF!+#REF!+#REF!+#REF!+#REF!</f>
        <v>#REF!</v>
      </c>
      <c r="GE27" s="27" t="e">
        <f>+#REF!+#REF!+#REF!+#REF!+#REF!+#REF!+#REF!+#REF!+#REF!+#REF!+#REF!+#REF!</f>
        <v>#REF!</v>
      </c>
      <c r="GF27" s="27" t="e">
        <f>+#REF!+#REF!+#REF!+#REF!+#REF!+#REF!+#REF!+#REF!+#REF!+#REF!+#REF!+#REF!</f>
        <v>#REF!</v>
      </c>
      <c r="GG27" s="27" t="e">
        <f>+#REF!+#REF!+#REF!+#REF!+#REF!+#REF!+#REF!+#REF!+#REF!+#REF!+#REF!+#REF!</f>
        <v>#REF!</v>
      </c>
      <c r="GH27" s="27" t="e">
        <f>+#REF!+#REF!+#REF!+#REF!+#REF!+#REF!+#REF!+#REF!+#REF!+#REF!+#REF!+#REF!</f>
        <v>#REF!</v>
      </c>
      <c r="GI27" s="33" t="e">
        <f t="shared" si="58"/>
        <v>#REF!</v>
      </c>
      <c r="GJ27" s="2667"/>
      <c r="GL27" s="26" t="e">
        <f>+#REF!+#REF!+#REF!+#REF!+#REF!+#REF!+#REF!+#REF!+#REF!+#REF!+#REF!+#REF!</f>
        <v>#REF!</v>
      </c>
      <c r="GM27" s="36" t="e">
        <f>+#REF!+#REF!+#REF!+#REF!+#REF!+#REF!+#REF!+#REF!+#REF!+#REF!+#REF!+#REF!</f>
        <v>#REF!</v>
      </c>
      <c r="GN27" s="27" t="e">
        <f>+#REF!+#REF!+#REF!+#REF!+#REF!+#REF!+#REF!+#REF!+#REF!+#REF!+#REF!+#REF!</f>
        <v>#REF!</v>
      </c>
      <c r="GO27" s="27" t="e">
        <f t="shared" si="59"/>
        <v>#REF!</v>
      </c>
      <c r="GP27" s="33"/>
      <c r="GQ27" s="2669"/>
      <c r="GR27" s="69"/>
      <c r="GS27" s="70"/>
      <c r="GT27" s="70"/>
      <c r="GU27" s="70"/>
      <c r="GV27" s="70"/>
      <c r="GW27" s="70"/>
      <c r="GX27" s="70"/>
      <c r="GY27" s="71"/>
      <c r="GZ27" s="69"/>
      <c r="HA27" s="70"/>
      <c r="HB27" s="70"/>
      <c r="HC27" s="70"/>
      <c r="HD27" s="70"/>
      <c r="HE27" s="70"/>
      <c r="HF27" s="70"/>
      <c r="HG27" s="71"/>
      <c r="HH27" s="69"/>
      <c r="HI27" s="70"/>
      <c r="HJ27" s="70"/>
      <c r="HK27" s="70"/>
      <c r="HL27" s="70"/>
      <c r="HM27" s="70"/>
      <c r="HN27" s="70"/>
      <c r="HO27" s="70"/>
      <c r="HP27" s="33"/>
      <c r="HQ27" s="2669"/>
      <c r="HR27" s="36"/>
      <c r="HS27" s="53"/>
      <c r="HT27" s="53"/>
      <c r="HU27" s="53"/>
      <c r="HV27" s="61"/>
      <c r="HW27" s="36"/>
      <c r="HX27" s="53"/>
      <c r="HY27" s="53"/>
      <c r="HZ27" s="53"/>
      <c r="IA27" s="61"/>
      <c r="IB27" s="36"/>
      <c r="IC27" s="53"/>
      <c r="ID27" s="53"/>
      <c r="IE27" s="53"/>
      <c r="IF27" s="53"/>
      <c r="IG27" s="33"/>
      <c r="IH27" s="2669"/>
      <c r="IJ27" s="26" t="e">
        <f t="shared" si="60"/>
        <v>#REF!</v>
      </c>
      <c r="IK27" s="36" t="e">
        <f t="shared" si="6"/>
        <v>#REF!</v>
      </c>
      <c r="IL27" s="27" t="e">
        <f t="shared" si="6"/>
        <v>#REF!</v>
      </c>
      <c r="IM27" s="28" t="e">
        <f t="shared" si="61"/>
        <v>#REF!</v>
      </c>
      <c r="IN27" s="36"/>
      <c r="IO27" s="27"/>
      <c r="IP27" s="27"/>
      <c r="IQ27" s="33"/>
      <c r="IR27" s="55"/>
      <c r="IS27" s="21"/>
      <c r="IT27" s="2688"/>
      <c r="IU27" s="36" t="e">
        <f>+#REF!+#REF!+#REF!+#REF!+#REF!+#REF!+#REF!+#REF!+#REF!+#REF!+#REF!+#REF!</f>
        <v>#REF!</v>
      </c>
      <c r="IV27" s="36" t="e">
        <f>+#REF!+#REF!+#REF!+#REF!+#REF!+#REF!+#REF!+#REF!+#REF!+#REF!+#REF!+#REF!</f>
        <v>#REF!</v>
      </c>
      <c r="IW27" s="27" t="e">
        <f>+#REF!+#REF!+#REF!+#REF!+#REF!+#REF!+#REF!+#REF!+#REF!+#REF!+#REF!+#REF!</f>
        <v>#REF!</v>
      </c>
      <c r="IX27" s="27" t="e">
        <f>+#REF!+#REF!+#REF!+#REF!+#REF!+#REF!+#REF!+#REF!+#REF!+#REF!+#REF!+#REF!</f>
        <v>#REF!</v>
      </c>
      <c r="IY27" s="27" t="e">
        <f>+#REF!+#REF!+#REF!+#REF!+#REF!+#REF!+#REF!+#REF!+#REF!+#REF!+#REF!+#REF!</f>
        <v>#REF!</v>
      </c>
      <c r="IZ27" s="28" t="e">
        <f t="shared" si="62"/>
        <v>#REF!</v>
      </c>
      <c r="JA27" s="26" t="e">
        <f>+#REF!+#REF!+#REF!+#REF!+#REF!+#REF!+#REF!+#REF!+#REF!+#REF!+#REF!+#REF!</f>
        <v>#REF!</v>
      </c>
      <c r="JB27" s="36" t="e">
        <f>+#REF!+#REF!+#REF!+#REF!+#REF!+#REF!+#REF!+#REF!+#REF!+#REF!+#REF!+#REF!</f>
        <v>#REF!</v>
      </c>
      <c r="JC27" s="27" t="e">
        <f>+#REF!+#REF!+#REF!+#REF!+#REF!+#REF!+#REF!+#REF!+#REF!+#REF!+#REF!+#REF!</f>
        <v>#REF!</v>
      </c>
      <c r="JD27" s="27" t="e">
        <f>+#REF!+#REF!+#REF!+#REF!+#REF!+#REF!+#REF!+#REF!+#REF!+#REF!+#REF!+#REF!</f>
        <v>#REF!</v>
      </c>
      <c r="JE27" s="28" t="e">
        <f>+#REF!+#REF!+#REF!+#REF!+#REF!+#REF!+#REF!+#REF!+#REF!+#REF!+#REF!+#REF!</f>
        <v>#REF!</v>
      </c>
      <c r="JF27" s="26" t="e">
        <f>+#REF!+#REF!+#REF!+#REF!+#REF!+#REF!+#REF!+#REF!+#REF!+#REF!+#REF!+#REF!</f>
        <v>#REF!</v>
      </c>
      <c r="JG27" s="36" t="e">
        <f>+#REF!+#REF!+#REF!+#REF!+#REF!+#REF!+#REF!+#REF!+#REF!+#REF!+#REF!+#REF!</f>
        <v>#REF!</v>
      </c>
      <c r="JH27" s="27" t="e">
        <f>+#REF!+#REF!+#REF!+#REF!+#REF!+#REF!+#REF!+#REF!+#REF!+#REF!+#REF!+#REF!</f>
        <v>#REF!</v>
      </c>
      <c r="JI27" s="27" t="e">
        <f>+#REF!+#REF!+#REF!+#REF!+#REF!+#REF!+#REF!+#REF!+#REF!+#REF!+#REF!+#REF!</f>
        <v>#REF!</v>
      </c>
      <c r="JJ27" s="27" t="e">
        <f>+#REF!+#REF!+#REF!+#REF!+#REF!+#REF!+#REF!+#REF!+#REF!+#REF!+#REF!+#REF!</f>
        <v>#REF!</v>
      </c>
      <c r="JK27" s="28" t="e">
        <f t="shared" si="63"/>
        <v>#REF!</v>
      </c>
      <c r="JL27" s="26" t="e">
        <f>+#REF!+#REF!+#REF!+#REF!+#REF!+#REF!+#REF!+#REF!+#REF!+#REF!+#REF!+#REF!</f>
        <v>#REF!</v>
      </c>
      <c r="JM27" s="36" t="e">
        <f>+#REF!+#REF!+#REF!+#REF!+#REF!+#REF!+#REF!+#REF!+#REF!+#REF!+#REF!+#REF!</f>
        <v>#REF!</v>
      </c>
      <c r="JN27" s="27" t="e">
        <f>+#REF!+#REF!+#REF!+#REF!+#REF!+#REF!+#REF!+#REF!+#REF!+#REF!+#REF!+#REF!</f>
        <v>#REF!</v>
      </c>
      <c r="JO27" s="27" t="e">
        <f>+#REF!+#REF!+#REF!+#REF!+#REF!+#REF!+#REF!+#REF!+#REF!+#REF!+#REF!+#REF!</f>
        <v>#REF!</v>
      </c>
      <c r="JP27" s="28" t="e">
        <f>+#REF!+#REF!+#REF!+#REF!+#REF!+#REF!+#REF!+#REF!+#REF!+#REF!+#REF!+#REF!</f>
        <v>#REF!</v>
      </c>
      <c r="JQ27" s="275" t="e">
        <f t="shared" si="64"/>
        <v>#REF!</v>
      </c>
      <c r="JR27" s="36" t="e">
        <f>+#REF!+#REF!+#REF!+#REF!+#REF!+#REF!+#REF!+#REF!+#REF!+#REF!+#REF!+#REF!</f>
        <v>#REF!</v>
      </c>
      <c r="JS27" s="36" t="e">
        <f>+#REF!+#REF!+#REF!+#REF!+#REF!+#REF!+#REF!+#REF!+#REF!+#REF!+#REF!+#REF!</f>
        <v>#REF!</v>
      </c>
      <c r="JT27" s="27" t="e">
        <f>+#REF!+#REF!+#REF!+#REF!+#REF!+#REF!+#REF!+#REF!+#REF!+#REF!+#REF!+#REF!</f>
        <v>#REF!</v>
      </c>
      <c r="JU27" s="27" t="e">
        <f>+#REF!+#REF!+#REF!+#REF!+#REF!+#REF!+#REF!+#REF!+#REF!+#REF!+#REF!+#REF!</f>
        <v>#REF!</v>
      </c>
      <c r="JV27" s="27" t="e">
        <f>+#REF!+#REF!+#REF!+#REF!+#REF!+#REF!+#REF!+#REF!+#REF!+#REF!+#REF!+#REF!</f>
        <v>#REF!</v>
      </c>
      <c r="JW27" s="33" t="e">
        <f t="shared" si="65"/>
        <v>#REF!</v>
      </c>
      <c r="JX27" s="2688"/>
      <c r="JZ27" s="26" t="e">
        <f t="shared" si="66"/>
        <v>#REF!</v>
      </c>
      <c r="KA27" s="27" t="e">
        <f t="shared" si="67"/>
        <v>#REF!</v>
      </c>
      <c r="KB27" s="27" t="e">
        <f t="shared" si="68"/>
        <v>#REF!</v>
      </c>
      <c r="KC27" s="33" t="e">
        <f t="shared" si="69"/>
        <v>#REF!</v>
      </c>
      <c r="KD27" s="2621"/>
      <c r="KE27" s="36" t="e">
        <f t="shared" si="87"/>
        <v>#REF!</v>
      </c>
      <c r="KF27" s="36" t="e">
        <f t="shared" si="87"/>
        <v>#REF!</v>
      </c>
      <c r="KG27" s="27" t="e">
        <f t="shared" si="87"/>
        <v>#REF!</v>
      </c>
      <c r="KH27" s="28" t="e">
        <f t="shared" si="81"/>
        <v>#REF!</v>
      </c>
      <c r="KI27" s="36" t="e">
        <f t="shared" si="82"/>
        <v>#REF!</v>
      </c>
      <c r="KJ27" s="27" t="e">
        <f t="shared" si="88"/>
        <v>#REF!</v>
      </c>
      <c r="KK27" s="27" t="e">
        <f t="shared" si="88"/>
        <v>#REF!</v>
      </c>
      <c r="KL27" s="27" t="e">
        <f t="shared" si="88"/>
        <v>#REF!</v>
      </c>
      <c r="KM27" s="27" t="e">
        <f t="shared" si="88"/>
        <v>#REF!</v>
      </c>
      <c r="KN27" s="27" t="e">
        <f t="shared" si="88"/>
        <v>#REF!</v>
      </c>
      <c r="KO27" s="28" t="e">
        <f t="shared" si="83"/>
        <v>#REF!</v>
      </c>
      <c r="KP27" s="36" t="e">
        <f t="shared" si="89"/>
        <v>#REF!</v>
      </c>
      <c r="KQ27" s="27" t="e">
        <f t="shared" si="89"/>
        <v>#REF!</v>
      </c>
      <c r="KR27" s="27" t="e">
        <f t="shared" si="89"/>
        <v>#REF!</v>
      </c>
      <c r="KS27" s="27" t="e">
        <f t="shared" si="89"/>
        <v>#REF!</v>
      </c>
      <c r="KT27" s="27" t="e">
        <f t="shared" si="89"/>
        <v>#REF!</v>
      </c>
      <c r="KU27" s="27" t="e">
        <f t="shared" si="89"/>
        <v>#REF!</v>
      </c>
      <c r="KV27" s="28" t="e">
        <f t="shared" si="84"/>
        <v>#REF!</v>
      </c>
      <c r="KW27" s="36" t="e">
        <f t="shared" si="90"/>
        <v>#REF!</v>
      </c>
      <c r="KX27" s="27" t="e">
        <f t="shared" si="90"/>
        <v>#REF!</v>
      </c>
      <c r="KY27" s="27" t="e">
        <f t="shared" si="90"/>
        <v>#REF!</v>
      </c>
      <c r="KZ27" s="27" t="e">
        <f t="shared" si="90"/>
        <v>#REF!</v>
      </c>
      <c r="LA27" s="27" t="e">
        <f t="shared" si="90"/>
        <v>#REF!</v>
      </c>
      <c r="LB27" s="27" t="e">
        <f t="shared" si="90"/>
        <v>#REF!</v>
      </c>
      <c r="LC27" s="28" t="e">
        <f t="shared" si="85"/>
        <v>#REF!</v>
      </c>
      <c r="LD27" s="36"/>
      <c r="LE27" s="27"/>
      <c r="LF27" s="27"/>
      <c r="LG27" s="27"/>
      <c r="LH27" s="27"/>
      <c r="LI27" s="27"/>
      <c r="LJ27" s="28">
        <f t="shared" si="70"/>
        <v>0</v>
      </c>
      <c r="LK27" s="36" t="e">
        <f t="shared" si="91"/>
        <v>#REF!</v>
      </c>
      <c r="LL27" s="27" t="e">
        <f t="shared" si="91"/>
        <v>#REF!</v>
      </c>
      <c r="LM27" s="27" t="e">
        <f t="shared" si="91"/>
        <v>#REF!</v>
      </c>
      <c r="LN27" s="27" t="e">
        <f t="shared" si="91"/>
        <v>#REF!</v>
      </c>
      <c r="LO27" s="27" t="e">
        <f t="shared" si="91"/>
        <v>#REF!</v>
      </c>
      <c r="LP27" s="27" t="e">
        <f t="shared" si="91"/>
        <v>#REF!</v>
      </c>
      <c r="LQ27" s="33" t="e">
        <f t="shared" si="71"/>
        <v>#REF!</v>
      </c>
      <c r="LR27" s="2621"/>
      <c r="LT27" s="4" t="e">
        <f>+#REF!+#REF!+#REF!+#REF!+#REF!+#REF!+#REF!+#REF!+#REF!+#REF!+#REF!+#REF!</f>
        <v>#REF!</v>
      </c>
      <c r="LU27" s="5" t="e">
        <f>+#REF!+#REF!+#REF!+#REF!+#REF!+#REF!+#REF!+#REF!+#REF!+#REF!+#REF!+#REF!</f>
        <v>#REF!</v>
      </c>
      <c r="LV27" s="5" t="e">
        <f t="shared" si="72"/>
        <v>#REF!</v>
      </c>
      <c r="LW27" s="12" t="e">
        <f t="shared" si="86"/>
        <v>#REF!</v>
      </c>
      <c r="LX27" s="15"/>
      <c r="LY27" s="2615"/>
      <c r="MA27" s="4" t="e">
        <f>+#REF!+#REF!+#REF!+#REF!+#REF!+#REF!+#REF!+#REF!+#REF!+#REF!+#REF!+#REF!</f>
        <v>#REF!</v>
      </c>
      <c r="MB27" s="5" t="e">
        <f t="shared" si="73"/>
        <v>#REF!</v>
      </c>
      <c r="MC27" s="5" t="e">
        <f>+#REF!+#REF!+#REF!+#REF!+#REF!+#REF!+#REF!+#REF!+#REF!+#REF!+#REF!+#REF!</f>
        <v>#REF!</v>
      </c>
      <c r="MD27" s="5" t="e">
        <f t="shared" si="74"/>
        <v>#REF!</v>
      </c>
      <c r="ME27" s="12" t="e">
        <f t="shared" si="75"/>
        <v>#REF!</v>
      </c>
      <c r="MF27" s="12"/>
      <c r="MG27" s="2615"/>
      <c r="MI27" s="139" t="e">
        <f t="shared" si="76"/>
        <v>#REF!</v>
      </c>
      <c r="MJ27" s="139" t="e">
        <f t="shared" si="77"/>
        <v>#REF!</v>
      </c>
      <c r="ML27" s="139" t="e">
        <f t="shared" si="78"/>
        <v>#REF!</v>
      </c>
      <c r="MM27" s="139" t="e">
        <f t="shared" si="79"/>
        <v>#REF!</v>
      </c>
      <c r="MO27" s="1">
        <f t="shared" si="92"/>
        <v>0</v>
      </c>
      <c r="MP27" s="1">
        <f t="shared" si="92"/>
        <v>0</v>
      </c>
      <c r="MQ27" s="1">
        <f t="shared" si="92"/>
        <v>0</v>
      </c>
      <c r="MR27" s="1">
        <f t="shared" si="92"/>
        <v>0</v>
      </c>
      <c r="MS27" s="1">
        <f t="shared" si="92"/>
        <v>0</v>
      </c>
      <c r="MT27" s="1">
        <f t="shared" si="92"/>
        <v>0</v>
      </c>
      <c r="MV27" s="1">
        <f t="shared" si="93"/>
        <v>0</v>
      </c>
      <c r="MW27" s="1">
        <f t="shared" si="93"/>
        <v>0</v>
      </c>
      <c r="MX27" s="1">
        <f t="shared" si="93"/>
        <v>0</v>
      </c>
      <c r="MY27" s="1">
        <f t="shared" si="93"/>
        <v>0</v>
      </c>
      <c r="MZ27" s="1">
        <f t="shared" si="93"/>
        <v>0</v>
      </c>
      <c r="NA27" s="1">
        <f t="shared" si="93"/>
        <v>0</v>
      </c>
    </row>
    <row r="28" spans="2:365" s="1" customFormat="1">
      <c r="B28" s="46">
        <v>19</v>
      </c>
      <c r="C28" s="4" t="e">
        <f t="shared" si="0"/>
        <v>#REF!</v>
      </c>
      <c r="D28" s="5" t="e">
        <f t="shared" si="1"/>
        <v>#REF!</v>
      </c>
      <c r="E28" s="61">
        <f t="shared" si="14"/>
        <v>0</v>
      </c>
      <c r="F28" s="52"/>
      <c r="G28" s="53"/>
      <c r="H28" s="53"/>
      <c r="I28" s="54"/>
      <c r="J28" s="2629"/>
      <c r="K28" s="9" t="e">
        <f t="shared" si="15"/>
        <v>#REF!</v>
      </c>
      <c r="L28" s="5" t="e">
        <f t="shared" si="2"/>
        <v>#REF!</v>
      </c>
      <c r="M28" s="64">
        <f t="shared" si="16"/>
        <v>0</v>
      </c>
      <c r="N28" s="28"/>
      <c r="O28" s="36" t="e">
        <f t="shared" si="17"/>
        <v>#REF!</v>
      </c>
      <c r="P28" s="27" t="e">
        <f t="shared" si="17"/>
        <v>#REF!</v>
      </c>
      <c r="Q28" s="53">
        <f t="shared" si="18"/>
        <v>0</v>
      </c>
      <c r="R28" s="28"/>
      <c r="S28" s="36" t="e">
        <f t="shared" si="19"/>
        <v>#REF!</v>
      </c>
      <c r="T28" s="27" t="e">
        <f t="shared" si="19"/>
        <v>#REF!</v>
      </c>
      <c r="U28" s="53">
        <f t="shared" si="3"/>
        <v>0</v>
      </c>
      <c r="V28" s="28"/>
      <c r="W28" s="36" t="e">
        <f t="shared" si="20"/>
        <v>#REF!</v>
      </c>
      <c r="X28" s="27" t="e">
        <f t="shared" si="4"/>
        <v>#REF!</v>
      </c>
      <c r="Y28" s="53">
        <f t="shared" si="21"/>
        <v>0</v>
      </c>
      <c r="Z28" s="28"/>
      <c r="AA28" s="26" t="e">
        <f t="shared" si="22"/>
        <v>#REF!</v>
      </c>
      <c r="AB28" s="27" t="e">
        <f t="shared" si="22"/>
        <v>#REF!</v>
      </c>
      <c r="AC28" s="53">
        <f t="shared" si="23"/>
        <v>0</v>
      </c>
      <c r="AD28" s="33"/>
      <c r="AE28" s="2629"/>
      <c r="AF28" s="9" t="e">
        <f>+#REF!+#REF!+#REF!+#REF!+#REF!+#REF!+#REF!+#REF!+#REF!+#REF!+#REF!+#REF!</f>
        <v>#REF!</v>
      </c>
      <c r="AG28" s="5" t="e">
        <f>+#REF!+#REF!+#REF!+#REF!+#REF!+#REF!+#REF!+#REF!+#REF!+#REF!+#REF!+#REF!</f>
        <v>#REF!</v>
      </c>
      <c r="AH28" s="61">
        <f t="shared" si="24"/>
        <v>0</v>
      </c>
      <c r="AI28" s="36" t="e">
        <f>+#REF!+#REF!+#REF!+#REF!+#REF!+#REF!+#REF!+#REF!+#REF!+#REF!+#REF!+#REF!</f>
        <v>#REF!</v>
      </c>
      <c r="AJ28" s="27" t="e">
        <f>+#REF!+#REF!+#REF!+#REF!+#REF!+#REF!+#REF!+#REF!+#REF!+#REF!+#REF!+#REF!</f>
        <v>#REF!</v>
      </c>
      <c r="AK28" s="61">
        <f t="shared" si="25"/>
        <v>0</v>
      </c>
      <c r="AL28" s="36" t="e">
        <f>+#REF!+#REF!+#REF!+#REF!+#REF!+#REF!+#REF!+#REF!+#REF!+#REF!+#REF!+#REF!</f>
        <v>#REF!</v>
      </c>
      <c r="AM28" s="27" t="e">
        <f>+#REF!+#REF!+#REF!+#REF!+#REF!+#REF!+#REF!+#REF!+#REF!+#REF!+#REF!+#REF!</f>
        <v>#REF!</v>
      </c>
      <c r="AN28" s="61">
        <f t="shared" si="26"/>
        <v>0</v>
      </c>
      <c r="AO28" s="36" t="e">
        <f>+#REF!+#REF!+#REF!+#REF!+#REF!+#REF!+#REF!+#REF!+#REF!+#REF!+#REF!+#REF!</f>
        <v>#REF!</v>
      </c>
      <c r="AP28" s="27" t="e">
        <f>+#REF!+#REF!+#REF!+#REF!+#REF!+#REF!+#REF!+#REF!+#REF!+#REF!+#REF!+#REF!</f>
        <v>#REF!</v>
      </c>
      <c r="AQ28" s="61">
        <f t="shared" si="27"/>
        <v>0</v>
      </c>
      <c r="AR28" s="36" t="e">
        <f>+#REF!+#REF!+#REF!+#REF!+#REF!+#REF!+#REF!+#REF!+#REF!+#REF!+#REF!+#REF!</f>
        <v>#REF!</v>
      </c>
      <c r="AS28" s="27" t="e">
        <f>+#REF!+#REF!+#REF!+#REF!+#REF!+#REF!+#REF!+#REF!+#REF!+#REF!+#REF!+#REF!</f>
        <v>#REF!</v>
      </c>
      <c r="AT28" s="61">
        <f t="shared" si="28"/>
        <v>0</v>
      </c>
      <c r="AU28" s="36" t="e">
        <f>+#REF!+#REF!+#REF!+#REF!+#REF!+#REF!+#REF!+#REF!+#REF!+#REF!+#REF!+#REF!</f>
        <v>#REF!</v>
      </c>
      <c r="AV28" s="27" t="e">
        <f>+#REF!+#REF!+#REF!+#REF!+#REF!+#REF!+#REF!+#REF!+#REF!+#REF!+#REF!+#REF!</f>
        <v>#REF!</v>
      </c>
      <c r="AW28" s="61">
        <f t="shared" si="29"/>
        <v>0</v>
      </c>
      <c r="AX28" s="36" t="e">
        <f>+#REF!+#REF!+#REF!+#REF!+#REF!+#REF!+#REF!+#REF!+#REF!+#REF!+#REF!+#REF!</f>
        <v>#REF!</v>
      </c>
      <c r="AY28" s="27" t="e">
        <f>+#REF!+#REF!+#REF!+#REF!+#REF!+#REF!+#REF!+#REF!+#REF!+#REF!+#REF!+#REF!</f>
        <v>#REF!</v>
      </c>
      <c r="AZ28" s="61">
        <f t="shared" si="30"/>
        <v>0</v>
      </c>
      <c r="BA28" s="36" t="e">
        <f>+#REF!+#REF!+#REF!+#REF!+#REF!+#REF!+#REF!+#REF!+#REF!+#REF!+#REF!+#REF!</f>
        <v>#REF!</v>
      </c>
      <c r="BB28" s="27" t="e">
        <f>+#REF!+#REF!+#REF!+#REF!+#REF!+#REF!+#REF!+#REF!+#REF!+#REF!+#REF!+#REF!</f>
        <v>#REF!</v>
      </c>
      <c r="BC28" s="61">
        <f t="shared" si="31"/>
        <v>0</v>
      </c>
      <c r="BD28" s="36" t="e">
        <f>+#REF!+#REF!+#REF!+#REF!+#REF!+#REF!+#REF!+#REF!+#REF!+#REF!+#REF!+#REF!</f>
        <v>#REF!</v>
      </c>
      <c r="BE28" s="27" t="e">
        <f>+#REF!+#REF!+#REF!+#REF!+#REF!+#REF!+#REF!+#REF!+#REF!+#REF!+#REF!+#REF!</f>
        <v>#REF!</v>
      </c>
      <c r="BF28" s="61">
        <f t="shared" si="32"/>
        <v>0</v>
      </c>
      <c r="BG28" s="36" t="e">
        <f>+#REF!+#REF!+#REF!+#REF!+#REF!+#REF!+#REF!+#REF!+#REF!+#REF!+#REF!+#REF!</f>
        <v>#REF!</v>
      </c>
      <c r="BH28" s="27" t="e">
        <f>+#REF!+#REF!+#REF!+#REF!+#REF!+#REF!+#REF!+#REF!+#REF!+#REF!+#REF!+#REF!</f>
        <v>#REF!</v>
      </c>
      <c r="BI28" s="61">
        <f t="shared" si="33"/>
        <v>0</v>
      </c>
      <c r="BJ28" s="36" t="e">
        <f>+#REF!+#REF!+#REF!+#REF!+#REF!+#REF!+#REF!+#REF!+#REF!+#REF!+#REF!+#REF!</f>
        <v>#REF!</v>
      </c>
      <c r="BK28" s="27" t="e">
        <f>+#REF!+#REF!+#REF!+#REF!+#REF!+#REF!+#REF!+#REF!+#REF!+#REF!+#REF!+#REF!</f>
        <v>#REF!</v>
      </c>
      <c r="BL28" s="61">
        <f t="shared" si="34"/>
        <v>0</v>
      </c>
      <c r="BM28" s="36" t="e">
        <f>+#REF!+#REF!+#REF!+#REF!+#REF!+#REF!+#REF!+#REF!+#REF!+#REF!+#REF!+#REF!</f>
        <v>#REF!</v>
      </c>
      <c r="BN28" s="27" t="e">
        <f>+#REF!+#REF!+#REF!+#REF!+#REF!+#REF!+#REF!+#REF!+#REF!+#REF!+#REF!+#REF!</f>
        <v>#REF!</v>
      </c>
      <c r="BO28" s="54">
        <f t="shared" si="35"/>
        <v>0</v>
      </c>
      <c r="BP28" s="26" t="e">
        <f>+#REF!+#REF!+#REF!+#REF!+#REF!+#REF!+#REF!+#REF!+#REF!+#REF!+#REF!+#REF!</f>
        <v>#REF!</v>
      </c>
      <c r="BQ28" s="27" t="e">
        <f>+#REF!+#REF!+#REF!+#REF!+#REF!+#REF!+#REF!+#REF!+#REF!+#REF!+#REF!+#REF!</f>
        <v>#REF!</v>
      </c>
      <c r="BR28" s="61">
        <f t="shared" si="36"/>
        <v>0</v>
      </c>
      <c r="BS28" s="26" t="e">
        <f>+#REF!+#REF!+#REF!+#REF!+#REF!+#REF!+#REF!+#REF!+#REF!+#REF!+#REF!+#REF!</f>
        <v>#REF!</v>
      </c>
      <c r="BT28" s="27" t="e">
        <f>+#REF!+#REF!+#REF!+#REF!+#REF!+#REF!+#REF!+#REF!+#REF!+#REF!+#REF!+#REF!</f>
        <v>#REF!</v>
      </c>
      <c r="BU28" s="61">
        <f t="shared" si="37"/>
        <v>0</v>
      </c>
      <c r="BV28" s="150"/>
      <c r="BW28" s="9" t="e">
        <f>+#REF!+#REF!+#REF!+#REF!+#REF!+#REF!+#REF!+#REF!+#REF!+#REF!+#REF!+#REF!</f>
        <v>#REF!</v>
      </c>
      <c r="BX28" s="5" t="e">
        <f>+#REF!+#REF!+#REF!+#REF!+#REF!+#REF!+#REF!+#REF!+#REF!+#REF!+#REF!+#REF!</f>
        <v>#REF!</v>
      </c>
      <c r="BY28" s="5" t="e">
        <f>+#REF!+#REF!+#REF!+#REF!+#REF!+#REF!+#REF!+#REF!+#REF!+#REF!+#REF!+#REF!</f>
        <v>#REF!</v>
      </c>
      <c r="BZ28" s="5" t="e">
        <f>+#REF!+#REF!+#REF!+#REF!+#REF!+#REF!+#REF!+#REF!+#REF!+#REF!+#REF!+#REF!</f>
        <v>#REF!</v>
      </c>
      <c r="CA28" s="5" t="e">
        <f>+#REF!+#REF!+#REF!+#REF!+#REF!+#REF!+#REF!+#REF!+#REF!+#REF!+#REF!+#REF!</f>
        <v>#REF!</v>
      </c>
      <c r="CB28" s="5" t="e">
        <f t="shared" si="38"/>
        <v>#REF!</v>
      </c>
      <c r="CC28" s="33"/>
      <c r="CD28" s="2683"/>
      <c r="CF28" s="4" t="e">
        <f t="shared" si="39"/>
        <v>#REF!</v>
      </c>
      <c r="CG28" s="5" t="e">
        <f t="shared" si="5"/>
        <v>#REF!</v>
      </c>
      <c r="CH28" s="5" t="e">
        <f t="shared" si="5"/>
        <v>#REF!</v>
      </c>
      <c r="CI28" s="5" t="e">
        <f t="shared" si="5"/>
        <v>#REF!</v>
      </c>
      <c r="CJ28" s="5" t="e">
        <f t="shared" si="5"/>
        <v>#REF!</v>
      </c>
      <c r="CK28" s="5" t="e">
        <f t="shared" si="5"/>
        <v>#REF!</v>
      </c>
      <c r="CL28" s="33" t="e">
        <f t="shared" si="40"/>
        <v>#REF!</v>
      </c>
      <c r="CM28" s="2685"/>
      <c r="CN28" s="9" t="e">
        <f>+#REF!+#REF!+#REF!+#REF!+#REF!+#REF!+#REF!+#REF!+#REF!+#REF!+#REF!+#REF!</f>
        <v>#REF!</v>
      </c>
      <c r="CO28" s="5" t="e">
        <f>+#REF!+#REF!+#REF!+#REF!+#REF!+#REF!+#REF!+#REF!+#REF!+#REF!+#REF!+#REF!</f>
        <v>#REF!</v>
      </c>
      <c r="CP28" s="5" t="e">
        <f>+#REF!+#REF!+#REF!+#REF!+#REF!+#REF!+#REF!+#REF!+#REF!+#REF!+#REF!+#REF!</f>
        <v>#REF!</v>
      </c>
      <c r="CQ28" s="5" t="e">
        <f>+#REF!+#REF!+#REF!+#REF!+#REF!+#REF!+#REF!+#REF!+#REF!+#REF!+#REF!+#REF!</f>
        <v>#REF!</v>
      </c>
      <c r="CR28" s="5" t="e">
        <f>+#REF!+#REF!+#REF!+#REF!+#REF!+#REF!+#REF!+#REF!+#REF!+#REF!+#REF!+#REF!</f>
        <v>#REF!</v>
      </c>
      <c r="CS28" s="5" t="e">
        <f>+#REF!+#REF!+#REF!+#REF!+#REF!+#REF!+#REF!+#REF!+#REF!+#REF!+#REF!+#REF!</f>
        <v>#REF!</v>
      </c>
      <c r="CT28" s="28" t="e">
        <f t="shared" si="41"/>
        <v>#REF!</v>
      </c>
      <c r="CU28" s="36" t="e">
        <f>+#REF!+#REF!+#REF!+#REF!+#REF!+#REF!+#REF!+#REF!+#REF!+#REF!+#REF!+#REF!</f>
        <v>#REF!</v>
      </c>
      <c r="CV28" s="27" t="e">
        <f>+#REF!+#REF!+#REF!+#REF!+#REF!+#REF!+#REF!+#REF!+#REF!+#REF!+#REF!+#REF!</f>
        <v>#REF!</v>
      </c>
      <c r="CW28" s="27" t="e">
        <f>+#REF!+#REF!+#REF!+#REF!+#REF!+#REF!+#REF!+#REF!+#REF!+#REF!+#REF!+#REF!</f>
        <v>#REF!</v>
      </c>
      <c r="CX28" s="27" t="e">
        <f>+#REF!+#REF!+#REF!+#REF!+#REF!+#REF!+#REF!+#REF!+#REF!+#REF!+#REF!+#REF!</f>
        <v>#REF!</v>
      </c>
      <c r="CY28" s="27" t="e">
        <f>+#REF!+#REF!+#REF!+#REF!+#REF!+#REF!+#REF!+#REF!+#REF!+#REF!+#REF!+#REF!</f>
        <v>#REF!</v>
      </c>
      <c r="CZ28" s="27" t="e">
        <f>+#REF!+#REF!+#REF!+#REF!+#REF!+#REF!+#REF!+#REF!+#REF!+#REF!+#REF!+#REF!</f>
        <v>#REF!</v>
      </c>
      <c r="DA28" s="28" t="e">
        <f t="shared" si="42"/>
        <v>#REF!</v>
      </c>
      <c r="DB28" s="36" t="e">
        <f>+#REF!+#REF!+#REF!+#REF!+#REF!+#REF!+#REF!+#REF!+#REF!+#REF!+#REF!+#REF!</f>
        <v>#REF!</v>
      </c>
      <c r="DC28" s="27" t="e">
        <f>+#REF!+#REF!+#REF!+#REF!+#REF!+#REF!+#REF!+#REF!+#REF!+#REF!+#REF!+#REF!</f>
        <v>#REF!</v>
      </c>
      <c r="DD28" s="27" t="e">
        <f>+#REF!+#REF!+#REF!+#REF!+#REF!+#REF!+#REF!+#REF!+#REF!+#REF!+#REF!+#REF!</f>
        <v>#REF!</v>
      </c>
      <c r="DE28" s="27" t="e">
        <f>+#REF!+#REF!+#REF!+#REF!+#REF!+#REF!+#REF!+#REF!+#REF!+#REF!+#REF!+#REF!</f>
        <v>#REF!</v>
      </c>
      <c r="DF28" s="27" t="e">
        <f>+#REF!+#REF!+#REF!+#REF!+#REF!+#REF!+#REF!+#REF!+#REF!+#REF!+#REF!+#REF!</f>
        <v>#REF!</v>
      </c>
      <c r="DG28" s="27" t="e">
        <f>+#REF!+#REF!+#REF!+#REF!+#REF!+#REF!+#REF!+#REF!+#REF!+#REF!+#REF!+#REF!</f>
        <v>#REF!</v>
      </c>
      <c r="DH28" s="28" t="e">
        <f t="shared" si="43"/>
        <v>#REF!</v>
      </c>
      <c r="DI28" s="36" t="e">
        <f>+#REF!+#REF!+#REF!+#REF!+#REF!+#REF!+#REF!+#REF!+#REF!+#REF!+#REF!+#REF!</f>
        <v>#REF!</v>
      </c>
      <c r="DJ28" s="27" t="e">
        <f>+#REF!+#REF!+#REF!+#REF!+#REF!+#REF!+#REF!+#REF!+#REF!+#REF!+#REF!+#REF!</f>
        <v>#REF!</v>
      </c>
      <c r="DK28" s="27" t="e">
        <f>+#REF!+#REF!+#REF!+#REF!+#REF!+#REF!+#REF!+#REF!+#REF!+#REF!+#REF!+#REF!</f>
        <v>#REF!</v>
      </c>
      <c r="DL28" s="27" t="e">
        <f>+#REF!+#REF!+#REF!+#REF!+#REF!+#REF!+#REF!+#REF!+#REF!+#REF!+#REF!+#REF!</f>
        <v>#REF!</v>
      </c>
      <c r="DM28" s="27" t="e">
        <f>+#REF!+#REF!+#REF!+#REF!+#REF!+#REF!+#REF!+#REF!+#REF!+#REF!+#REF!+#REF!</f>
        <v>#REF!</v>
      </c>
      <c r="DN28" s="27" t="e">
        <f>+#REF!+#REF!+#REF!+#REF!+#REF!+#REF!+#REF!+#REF!+#REF!+#REF!+#REF!+#REF!</f>
        <v>#REF!</v>
      </c>
      <c r="DO28" s="33" t="e">
        <f t="shared" si="44"/>
        <v>#REF!</v>
      </c>
      <c r="DP28" s="2685"/>
      <c r="DR28" s="4" t="e">
        <f t="shared" si="45"/>
        <v>#REF!</v>
      </c>
      <c r="DS28" s="5" t="e">
        <f t="shared" si="46"/>
        <v>#REF!</v>
      </c>
      <c r="DT28" s="5" t="e">
        <f t="shared" si="47"/>
        <v>#REF!</v>
      </c>
      <c r="DU28" s="12" t="e">
        <f t="shared" si="48"/>
        <v>#REF!</v>
      </c>
      <c r="DV28" s="33"/>
      <c r="DW28" s="2674"/>
      <c r="DX28" s="9" t="e">
        <f>+#REF!+#REF!+#REF!+#REF!+#REF!+#REF!+#REF!+#REF!+#REF!+#REF!+#REF!+#REF!</f>
        <v>#REF!</v>
      </c>
      <c r="DY28" s="5" t="e">
        <f>+#REF!+#REF!+#REF!+#REF!+#REF!+#REF!+#REF!+#REF!+#REF!+#REF!+#REF!+#REF!</f>
        <v>#REF!</v>
      </c>
      <c r="DZ28" s="5" t="e">
        <f>+#REF!+#REF!+#REF!+#REF!+#REF!+#REF!+#REF!+#REF!+#REF!+#REF!+#REF!+#REF!</f>
        <v>#REF!</v>
      </c>
      <c r="EA28" s="5" t="e">
        <f>+#REF!+#REF!+#REF!+#REF!+#REF!+#REF!+#REF!+#REF!+#REF!+#REF!+#REF!+#REF!</f>
        <v>#REF!</v>
      </c>
      <c r="EB28" s="5" t="e">
        <f>+#REF!+#REF!+#REF!+#REF!+#REF!+#REF!+#REF!+#REF!+#REF!+#REF!+#REF!+#REF!</f>
        <v>#REF!</v>
      </c>
      <c r="EC28" s="27" t="e">
        <f>+#REF!+#REF!+#REF!+#REF!+#REF!+#REF!+#REF!+#REF!+#REF!+#REF!+#REF!+#REF!</f>
        <v>#REF!</v>
      </c>
      <c r="ED28" s="28" t="e">
        <f t="shared" si="49"/>
        <v>#REF!</v>
      </c>
      <c r="EE28" s="36" t="e">
        <f>+#REF!+#REF!+#REF!+#REF!+#REF!+#REF!+#REF!+#REF!+#REF!+#REF!+#REF!+#REF!</f>
        <v>#REF!</v>
      </c>
      <c r="EF28" s="27" t="e">
        <f>+#REF!+#REF!+#REF!+#REF!+#REF!+#REF!+#REF!+#REF!+#REF!+#REF!+#REF!+#REF!</f>
        <v>#REF!</v>
      </c>
      <c r="EG28" s="27" t="e">
        <f>+#REF!+#REF!+#REF!+#REF!+#REF!+#REF!+#REF!+#REF!+#REF!+#REF!+#REF!+#REF!</f>
        <v>#REF!</v>
      </c>
      <c r="EH28" s="27" t="e">
        <f>+#REF!+#REF!+#REF!+#REF!+#REF!+#REF!+#REF!+#REF!+#REF!+#REF!+#REF!+#REF!</f>
        <v>#REF!</v>
      </c>
      <c r="EI28" s="27" t="e">
        <f>+#REF!+#REF!+#REF!+#REF!+#REF!+#REF!+#REF!+#REF!+#REF!+#REF!+#REF!+#REF!</f>
        <v>#REF!</v>
      </c>
      <c r="EJ28" s="27" t="e">
        <f>+#REF!+#REF!+#REF!+#REF!+#REF!+#REF!+#REF!+#REF!+#REF!+#REF!+#REF!+#REF!</f>
        <v>#REF!</v>
      </c>
      <c r="EK28" s="28" t="e">
        <f t="shared" si="50"/>
        <v>#REF!</v>
      </c>
      <c r="EL28" s="36" t="e">
        <f>+#REF!+#REF!+#REF!+#REF!+#REF!+#REF!+#REF!+#REF!+#REF!+#REF!+#REF!+#REF!</f>
        <v>#REF!</v>
      </c>
      <c r="EM28" s="27" t="e">
        <f>+#REF!+#REF!+#REF!+#REF!+#REF!+#REF!+#REF!+#REF!+#REF!+#REF!+#REF!+#REF!</f>
        <v>#REF!</v>
      </c>
      <c r="EN28" s="27" t="e">
        <f>+#REF!+#REF!+#REF!+#REF!+#REF!+#REF!+#REF!+#REF!+#REF!+#REF!+#REF!+#REF!</f>
        <v>#REF!</v>
      </c>
      <c r="EO28" s="27" t="e">
        <f>+#REF!+#REF!+#REF!+#REF!+#REF!+#REF!+#REF!+#REF!+#REF!+#REF!+#REF!+#REF!</f>
        <v>#REF!</v>
      </c>
      <c r="EP28" s="27" t="e">
        <f>+#REF!+#REF!+#REF!+#REF!+#REF!+#REF!+#REF!+#REF!+#REF!+#REF!+#REF!+#REF!</f>
        <v>#REF!</v>
      </c>
      <c r="EQ28" s="27" t="e">
        <f>+#REF!+#REF!+#REF!+#REF!+#REF!+#REF!+#REF!+#REF!+#REF!+#REF!+#REF!+#REF!</f>
        <v>#REF!</v>
      </c>
      <c r="ER28" s="33" t="e">
        <f t="shared" si="51"/>
        <v>#REF!</v>
      </c>
      <c r="ES28" s="2674"/>
      <c r="EU28" s="4" t="e">
        <f t="shared" si="52"/>
        <v>#REF!</v>
      </c>
      <c r="EV28" s="5" t="e">
        <f t="shared" si="53"/>
        <v>#REF!</v>
      </c>
      <c r="EW28" s="27" t="e">
        <f t="shared" si="54"/>
        <v>#REF!</v>
      </c>
      <c r="EX28" s="27" t="e">
        <f t="shared" si="55"/>
        <v>#REF!</v>
      </c>
      <c r="EY28" s="141"/>
      <c r="EZ28" s="141"/>
      <c r="FA28" s="33"/>
      <c r="FB28" s="2667"/>
      <c r="FC28" s="36" t="e">
        <f>+#REF!+#REF!+#REF!+#REF!+#REF!+#REF!+#REF!+#REF!+#REF!+#REF!+#REF!+#REF!</f>
        <v>#REF!</v>
      </c>
      <c r="FD28" s="27" t="e">
        <f>+#REF!+#REF!+#REF!+#REF!+#REF!+#REF!+#REF!+#REF!+#REF!+#REF!+#REF!+#REF!</f>
        <v>#REF!</v>
      </c>
      <c r="FE28" s="27"/>
      <c r="FF28" s="27"/>
      <c r="FG28" s="33" t="e">
        <f t="shared" si="56"/>
        <v>#REF!</v>
      </c>
      <c r="FH28" s="2667"/>
      <c r="FI28" s="36" t="e">
        <f>+#REF!+#REF!+#REF!+#REF!+#REF!+#REF!+#REF!+#REF!+#REF!+#REF!+#REF!+#REF!</f>
        <v>#REF!</v>
      </c>
      <c r="FJ28" s="27" t="e">
        <f>+#REF!+#REF!+#REF!+#REF!+#REF!+#REF!+#REF!+#REF!+#REF!+#REF!+#REF!+#REF!</f>
        <v>#REF!</v>
      </c>
      <c r="FK28" s="27" t="e">
        <f>+#REF!+#REF!+#REF!+#REF!+#REF!+#REF!+#REF!+#REF!+#REF!+#REF!+#REF!+#REF!</f>
        <v>#REF!</v>
      </c>
      <c r="FL28" s="27" t="e">
        <f>+#REF!+#REF!+#REF!+#REF!+#REF!+#REF!+#REF!+#REF!+#REF!+#REF!+#REF!+#REF!</f>
        <v>#REF!</v>
      </c>
      <c r="FM28" s="27" t="e">
        <f>+#REF!+#REF!+#REF!+#REF!+#REF!+#REF!+#REF!+#REF!+#REF!+#REF!+#REF!+#REF!</f>
        <v>#REF!</v>
      </c>
      <c r="FN28" s="27" t="e">
        <f>+#REF!+#REF!+#REF!+#REF!+#REF!+#REF!+#REF!+#REF!+#REF!+#REF!+#REF!+#REF!</f>
        <v>#REF!</v>
      </c>
      <c r="FO28" s="27" t="e">
        <f>+#REF!+#REF!+#REF!+#REF!+#REF!+#REF!+#REF!+#REF!+#REF!+#REF!+#REF!+#REF!</f>
        <v>#REF!</v>
      </c>
      <c r="FP28" s="27" t="e">
        <f>+#REF!+#REF!+#REF!+#REF!+#REF!+#REF!+#REF!+#REF!+#REF!+#REF!+#REF!+#REF!</f>
        <v>#REF!</v>
      </c>
      <c r="FQ28" s="28" t="e">
        <f t="shared" si="80"/>
        <v>#REF!</v>
      </c>
      <c r="FR28" s="26" t="e">
        <f>+#REF!+#REF!+#REF!+#REF!+#REF!+#REF!+#REF!+#REF!+#REF!+#REF!+#REF!+#REF!</f>
        <v>#REF!</v>
      </c>
      <c r="FS28" s="27" t="e">
        <f>+#REF!+#REF!+#REF!+#REF!+#REF!+#REF!+#REF!+#REF!+#REF!+#REF!+#REF!+#REF!</f>
        <v>#REF!</v>
      </c>
      <c r="FT28" s="27" t="e">
        <f>+#REF!+#REF!+#REF!+#REF!+#REF!+#REF!+#REF!+#REF!+#REF!+#REF!+#REF!+#REF!</f>
        <v>#REF!</v>
      </c>
      <c r="FU28" s="27" t="e">
        <f>+#REF!+#REF!+#REF!+#REF!+#REF!+#REF!+#REF!+#REF!+#REF!+#REF!+#REF!+#REF!</f>
        <v>#REF!</v>
      </c>
      <c r="FV28" s="27" t="e">
        <f>+#REF!+#REF!+#REF!+#REF!+#REF!+#REF!+#REF!+#REF!+#REF!+#REF!+#REF!+#REF!</f>
        <v>#REF!</v>
      </c>
      <c r="FW28" s="27" t="e">
        <f>+#REF!+#REF!+#REF!+#REF!+#REF!+#REF!+#REF!+#REF!+#REF!+#REF!+#REF!+#REF!</f>
        <v>#REF!</v>
      </c>
      <c r="FX28" s="27" t="e">
        <f>+#REF!+#REF!+#REF!+#REF!+#REF!+#REF!+#REF!+#REF!+#REF!+#REF!+#REF!+#REF!</f>
        <v>#REF!</v>
      </c>
      <c r="FY28" s="27" t="e">
        <f>+#REF!+#REF!+#REF!+#REF!+#REF!+#REF!+#REF!+#REF!+#REF!+#REF!+#REF!+#REF!</f>
        <v>#REF!</v>
      </c>
      <c r="FZ28" s="28" t="e">
        <f t="shared" si="57"/>
        <v>#REF!</v>
      </c>
      <c r="GA28" s="36" t="e">
        <f>+#REF!+#REF!+#REF!+#REF!+#REF!+#REF!+#REF!+#REF!+#REF!+#REF!+#REF!+#REF!</f>
        <v>#REF!</v>
      </c>
      <c r="GB28" s="27" t="e">
        <f>+#REF!+#REF!+#REF!+#REF!+#REF!+#REF!+#REF!+#REF!+#REF!+#REF!+#REF!+#REF!</f>
        <v>#REF!</v>
      </c>
      <c r="GC28" s="27" t="e">
        <f>+#REF!+#REF!+#REF!+#REF!+#REF!+#REF!+#REF!+#REF!+#REF!+#REF!+#REF!+#REF!</f>
        <v>#REF!</v>
      </c>
      <c r="GD28" s="27" t="e">
        <f>+#REF!+#REF!+#REF!+#REF!+#REF!+#REF!+#REF!+#REF!+#REF!+#REF!+#REF!+#REF!</f>
        <v>#REF!</v>
      </c>
      <c r="GE28" s="27" t="e">
        <f>+#REF!+#REF!+#REF!+#REF!+#REF!+#REF!+#REF!+#REF!+#REF!+#REF!+#REF!+#REF!</f>
        <v>#REF!</v>
      </c>
      <c r="GF28" s="27" t="e">
        <f>+#REF!+#REF!+#REF!+#REF!+#REF!+#REF!+#REF!+#REF!+#REF!+#REF!+#REF!+#REF!</f>
        <v>#REF!</v>
      </c>
      <c r="GG28" s="27" t="e">
        <f>+#REF!+#REF!+#REF!+#REF!+#REF!+#REF!+#REF!+#REF!+#REF!+#REF!+#REF!+#REF!</f>
        <v>#REF!</v>
      </c>
      <c r="GH28" s="27" t="e">
        <f>+#REF!+#REF!+#REF!+#REF!+#REF!+#REF!+#REF!+#REF!+#REF!+#REF!+#REF!+#REF!</f>
        <v>#REF!</v>
      </c>
      <c r="GI28" s="33" t="e">
        <f t="shared" si="58"/>
        <v>#REF!</v>
      </c>
      <c r="GJ28" s="2667"/>
      <c r="GL28" s="26" t="e">
        <f>+#REF!+#REF!+#REF!+#REF!+#REF!+#REF!+#REF!+#REF!+#REF!+#REF!+#REF!+#REF!</f>
        <v>#REF!</v>
      </c>
      <c r="GM28" s="36" t="e">
        <f>+#REF!+#REF!+#REF!+#REF!+#REF!+#REF!+#REF!+#REF!+#REF!+#REF!+#REF!+#REF!</f>
        <v>#REF!</v>
      </c>
      <c r="GN28" s="27" t="e">
        <f>+#REF!+#REF!+#REF!+#REF!+#REF!+#REF!+#REF!+#REF!+#REF!+#REF!+#REF!+#REF!</f>
        <v>#REF!</v>
      </c>
      <c r="GO28" s="27" t="e">
        <f t="shared" si="59"/>
        <v>#REF!</v>
      </c>
      <c r="GP28" s="33"/>
      <c r="GQ28" s="2669"/>
      <c r="GR28" s="69"/>
      <c r="GS28" s="70"/>
      <c r="GT28" s="70"/>
      <c r="GU28" s="70"/>
      <c r="GV28" s="70"/>
      <c r="GW28" s="70"/>
      <c r="GX28" s="70"/>
      <c r="GY28" s="71"/>
      <c r="GZ28" s="69"/>
      <c r="HA28" s="70"/>
      <c r="HB28" s="70"/>
      <c r="HC28" s="70"/>
      <c r="HD28" s="70"/>
      <c r="HE28" s="70"/>
      <c r="HF28" s="70"/>
      <c r="HG28" s="71"/>
      <c r="HH28" s="69"/>
      <c r="HI28" s="70"/>
      <c r="HJ28" s="70"/>
      <c r="HK28" s="70"/>
      <c r="HL28" s="70"/>
      <c r="HM28" s="70"/>
      <c r="HN28" s="70"/>
      <c r="HO28" s="70"/>
      <c r="HP28" s="33"/>
      <c r="HQ28" s="2669"/>
      <c r="HR28" s="36"/>
      <c r="HS28" s="53"/>
      <c r="HT28" s="53"/>
      <c r="HU28" s="53"/>
      <c r="HV28" s="61"/>
      <c r="HW28" s="36"/>
      <c r="HX28" s="53"/>
      <c r="HY28" s="53"/>
      <c r="HZ28" s="53"/>
      <c r="IA28" s="61"/>
      <c r="IB28" s="36"/>
      <c r="IC28" s="53"/>
      <c r="ID28" s="53"/>
      <c r="IE28" s="53"/>
      <c r="IF28" s="53"/>
      <c r="IG28" s="33"/>
      <c r="IH28" s="2669"/>
      <c r="IJ28" s="26" t="e">
        <f t="shared" si="60"/>
        <v>#REF!</v>
      </c>
      <c r="IK28" s="36" t="e">
        <f t="shared" si="6"/>
        <v>#REF!</v>
      </c>
      <c r="IL28" s="27" t="e">
        <f t="shared" si="6"/>
        <v>#REF!</v>
      </c>
      <c r="IM28" s="28" t="e">
        <f t="shared" si="61"/>
        <v>#REF!</v>
      </c>
      <c r="IN28" s="36"/>
      <c r="IO28" s="27"/>
      <c r="IP28" s="27"/>
      <c r="IQ28" s="33"/>
      <c r="IR28" s="55"/>
      <c r="IS28" s="21"/>
      <c r="IT28" s="2688"/>
      <c r="IU28" s="36" t="e">
        <f>+#REF!+#REF!+#REF!+#REF!+#REF!+#REF!+#REF!+#REF!+#REF!+#REF!+#REF!+#REF!</f>
        <v>#REF!</v>
      </c>
      <c r="IV28" s="36" t="e">
        <f>+#REF!+#REF!+#REF!+#REF!+#REF!+#REF!+#REF!+#REF!+#REF!+#REF!+#REF!+#REF!</f>
        <v>#REF!</v>
      </c>
      <c r="IW28" s="27" t="e">
        <f>+#REF!+#REF!+#REF!+#REF!+#REF!+#REF!+#REF!+#REF!+#REF!+#REF!+#REF!+#REF!</f>
        <v>#REF!</v>
      </c>
      <c r="IX28" s="27" t="e">
        <f>+#REF!+#REF!+#REF!+#REF!+#REF!+#REF!+#REF!+#REF!+#REF!+#REF!+#REF!+#REF!</f>
        <v>#REF!</v>
      </c>
      <c r="IY28" s="27" t="e">
        <f>+#REF!+#REF!+#REF!+#REF!+#REF!+#REF!+#REF!+#REF!+#REF!+#REF!+#REF!+#REF!</f>
        <v>#REF!</v>
      </c>
      <c r="IZ28" s="28" t="e">
        <f t="shared" si="62"/>
        <v>#REF!</v>
      </c>
      <c r="JA28" s="26" t="e">
        <f>+#REF!+#REF!+#REF!+#REF!+#REF!+#REF!+#REF!+#REF!+#REF!+#REF!+#REF!+#REF!</f>
        <v>#REF!</v>
      </c>
      <c r="JB28" s="36" t="e">
        <f>+#REF!+#REF!+#REF!+#REF!+#REF!+#REF!+#REF!+#REF!+#REF!+#REF!+#REF!+#REF!</f>
        <v>#REF!</v>
      </c>
      <c r="JC28" s="27" t="e">
        <f>+#REF!+#REF!+#REF!+#REF!+#REF!+#REF!+#REF!+#REF!+#REF!+#REF!+#REF!+#REF!</f>
        <v>#REF!</v>
      </c>
      <c r="JD28" s="27" t="e">
        <f>+#REF!+#REF!+#REF!+#REF!+#REF!+#REF!+#REF!+#REF!+#REF!+#REF!+#REF!+#REF!</f>
        <v>#REF!</v>
      </c>
      <c r="JE28" s="28" t="e">
        <f>+#REF!+#REF!+#REF!+#REF!+#REF!+#REF!+#REF!+#REF!+#REF!+#REF!+#REF!+#REF!</f>
        <v>#REF!</v>
      </c>
      <c r="JF28" s="26" t="e">
        <f>+#REF!+#REF!+#REF!+#REF!+#REF!+#REF!+#REF!+#REF!+#REF!+#REF!+#REF!+#REF!</f>
        <v>#REF!</v>
      </c>
      <c r="JG28" s="36" t="e">
        <f>+#REF!+#REF!+#REF!+#REF!+#REF!+#REF!+#REF!+#REF!+#REF!+#REF!+#REF!+#REF!</f>
        <v>#REF!</v>
      </c>
      <c r="JH28" s="27" t="e">
        <f>+#REF!+#REF!+#REF!+#REF!+#REF!+#REF!+#REF!+#REF!+#REF!+#REF!+#REF!+#REF!</f>
        <v>#REF!</v>
      </c>
      <c r="JI28" s="27" t="e">
        <f>+#REF!+#REF!+#REF!+#REF!+#REF!+#REF!+#REF!+#REF!+#REF!+#REF!+#REF!+#REF!</f>
        <v>#REF!</v>
      </c>
      <c r="JJ28" s="27" t="e">
        <f>+#REF!+#REF!+#REF!+#REF!+#REF!+#REF!+#REF!+#REF!+#REF!+#REF!+#REF!+#REF!</f>
        <v>#REF!</v>
      </c>
      <c r="JK28" s="28" t="e">
        <f t="shared" si="63"/>
        <v>#REF!</v>
      </c>
      <c r="JL28" s="26" t="e">
        <f>+#REF!+#REF!+#REF!+#REF!+#REF!+#REF!+#REF!+#REF!+#REF!+#REF!+#REF!+#REF!</f>
        <v>#REF!</v>
      </c>
      <c r="JM28" s="36" t="e">
        <f>+#REF!+#REF!+#REF!+#REF!+#REF!+#REF!+#REF!+#REF!+#REF!+#REF!+#REF!+#REF!</f>
        <v>#REF!</v>
      </c>
      <c r="JN28" s="27" t="e">
        <f>+#REF!+#REF!+#REF!+#REF!+#REF!+#REF!+#REF!+#REF!+#REF!+#REF!+#REF!+#REF!</f>
        <v>#REF!</v>
      </c>
      <c r="JO28" s="27" t="e">
        <f>+#REF!+#REF!+#REF!+#REF!+#REF!+#REF!+#REF!+#REF!+#REF!+#REF!+#REF!+#REF!</f>
        <v>#REF!</v>
      </c>
      <c r="JP28" s="28" t="e">
        <f>+#REF!+#REF!+#REF!+#REF!+#REF!+#REF!+#REF!+#REF!+#REF!+#REF!+#REF!+#REF!</f>
        <v>#REF!</v>
      </c>
      <c r="JQ28" s="275" t="e">
        <f t="shared" si="64"/>
        <v>#REF!</v>
      </c>
      <c r="JR28" s="36" t="e">
        <f>+#REF!+#REF!+#REF!+#REF!+#REF!+#REF!+#REF!+#REF!+#REF!+#REF!+#REF!+#REF!</f>
        <v>#REF!</v>
      </c>
      <c r="JS28" s="36" t="e">
        <f>+#REF!+#REF!+#REF!+#REF!+#REF!+#REF!+#REF!+#REF!+#REF!+#REF!+#REF!+#REF!</f>
        <v>#REF!</v>
      </c>
      <c r="JT28" s="27" t="e">
        <f>+#REF!+#REF!+#REF!+#REF!+#REF!+#REF!+#REF!+#REF!+#REF!+#REF!+#REF!+#REF!</f>
        <v>#REF!</v>
      </c>
      <c r="JU28" s="27" t="e">
        <f>+#REF!+#REF!+#REF!+#REF!+#REF!+#REF!+#REF!+#REF!+#REF!+#REF!+#REF!+#REF!</f>
        <v>#REF!</v>
      </c>
      <c r="JV28" s="27" t="e">
        <f>+#REF!+#REF!+#REF!+#REF!+#REF!+#REF!+#REF!+#REF!+#REF!+#REF!+#REF!+#REF!</f>
        <v>#REF!</v>
      </c>
      <c r="JW28" s="33" t="e">
        <f t="shared" si="65"/>
        <v>#REF!</v>
      </c>
      <c r="JX28" s="2688"/>
      <c r="JZ28" s="26" t="e">
        <f t="shared" si="66"/>
        <v>#REF!</v>
      </c>
      <c r="KA28" s="27" t="e">
        <f t="shared" si="67"/>
        <v>#REF!</v>
      </c>
      <c r="KB28" s="27" t="e">
        <f t="shared" si="68"/>
        <v>#REF!</v>
      </c>
      <c r="KC28" s="33" t="e">
        <f t="shared" si="69"/>
        <v>#REF!</v>
      </c>
      <c r="KD28" s="2621"/>
      <c r="KE28" s="36" t="e">
        <f t="shared" si="87"/>
        <v>#REF!</v>
      </c>
      <c r="KF28" s="36" t="e">
        <f t="shared" si="87"/>
        <v>#REF!</v>
      </c>
      <c r="KG28" s="27" t="e">
        <f t="shared" si="87"/>
        <v>#REF!</v>
      </c>
      <c r="KH28" s="28" t="e">
        <f t="shared" si="81"/>
        <v>#REF!</v>
      </c>
      <c r="KI28" s="36" t="e">
        <f t="shared" si="82"/>
        <v>#REF!</v>
      </c>
      <c r="KJ28" s="27" t="e">
        <f t="shared" si="88"/>
        <v>#REF!</v>
      </c>
      <c r="KK28" s="27" t="e">
        <f t="shared" si="88"/>
        <v>#REF!</v>
      </c>
      <c r="KL28" s="27" t="e">
        <f t="shared" si="88"/>
        <v>#REF!</v>
      </c>
      <c r="KM28" s="27" t="e">
        <f t="shared" si="88"/>
        <v>#REF!</v>
      </c>
      <c r="KN28" s="27" t="e">
        <f t="shared" si="88"/>
        <v>#REF!</v>
      </c>
      <c r="KO28" s="28" t="e">
        <f t="shared" si="83"/>
        <v>#REF!</v>
      </c>
      <c r="KP28" s="36" t="e">
        <f t="shared" si="89"/>
        <v>#REF!</v>
      </c>
      <c r="KQ28" s="27" t="e">
        <f t="shared" si="89"/>
        <v>#REF!</v>
      </c>
      <c r="KR28" s="27" t="e">
        <f t="shared" si="89"/>
        <v>#REF!</v>
      </c>
      <c r="KS28" s="27" t="e">
        <f t="shared" si="89"/>
        <v>#REF!</v>
      </c>
      <c r="KT28" s="27" t="e">
        <f t="shared" si="89"/>
        <v>#REF!</v>
      </c>
      <c r="KU28" s="27" t="e">
        <f t="shared" si="89"/>
        <v>#REF!</v>
      </c>
      <c r="KV28" s="28" t="e">
        <f t="shared" si="84"/>
        <v>#REF!</v>
      </c>
      <c r="KW28" s="36" t="e">
        <f t="shared" si="90"/>
        <v>#REF!</v>
      </c>
      <c r="KX28" s="27" t="e">
        <f t="shared" si="90"/>
        <v>#REF!</v>
      </c>
      <c r="KY28" s="27" t="e">
        <f t="shared" si="90"/>
        <v>#REF!</v>
      </c>
      <c r="KZ28" s="27" t="e">
        <f t="shared" si="90"/>
        <v>#REF!</v>
      </c>
      <c r="LA28" s="27" t="e">
        <f t="shared" si="90"/>
        <v>#REF!</v>
      </c>
      <c r="LB28" s="27" t="e">
        <f t="shared" si="90"/>
        <v>#REF!</v>
      </c>
      <c r="LC28" s="28" t="e">
        <f t="shared" si="85"/>
        <v>#REF!</v>
      </c>
      <c r="LD28" s="36"/>
      <c r="LE28" s="27"/>
      <c r="LF28" s="27"/>
      <c r="LG28" s="27"/>
      <c r="LH28" s="27"/>
      <c r="LI28" s="27"/>
      <c r="LJ28" s="28">
        <f t="shared" si="70"/>
        <v>0</v>
      </c>
      <c r="LK28" s="36" t="e">
        <f t="shared" si="91"/>
        <v>#REF!</v>
      </c>
      <c r="LL28" s="27" t="e">
        <f t="shared" si="91"/>
        <v>#REF!</v>
      </c>
      <c r="LM28" s="27" t="e">
        <f t="shared" si="91"/>
        <v>#REF!</v>
      </c>
      <c r="LN28" s="27" t="e">
        <f t="shared" si="91"/>
        <v>#REF!</v>
      </c>
      <c r="LO28" s="27" t="e">
        <f t="shared" si="91"/>
        <v>#REF!</v>
      </c>
      <c r="LP28" s="27" t="e">
        <f t="shared" si="91"/>
        <v>#REF!</v>
      </c>
      <c r="LQ28" s="33" t="e">
        <f t="shared" si="71"/>
        <v>#REF!</v>
      </c>
      <c r="LR28" s="2621"/>
      <c r="LT28" s="4" t="e">
        <f>+#REF!+#REF!+#REF!+#REF!+#REF!+#REF!+#REF!+#REF!+#REF!+#REF!+#REF!+#REF!</f>
        <v>#REF!</v>
      </c>
      <c r="LU28" s="5" t="e">
        <f>+#REF!+#REF!+#REF!+#REF!+#REF!+#REF!+#REF!+#REF!+#REF!+#REF!+#REF!+#REF!</f>
        <v>#REF!</v>
      </c>
      <c r="LV28" s="5" t="e">
        <f t="shared" si="72"/>
        <v>#REF!</v>
      </c>
      <c r="LW28" s="12" t="e">
        <f t="shared" si="86"/>
        <v>#REF!</v>
      </c>
      <c r="LX28" s="15"/>
      <c r="LY28" s="2615"/>
      <c r="MA28" s="4" t="e">
        <f>+#REF!+#REF!+#REF!+#REF!+#REF!+#REF!+#REF!+#REF!+#REF!+#REF!+#REF!+#REF!</f>
        <v>#REF!</v>
      </c>
      <c r="MB28" s="5" t="e">
        <f t="shared" si="73"/>
        <v>#REF!</v>
      </c>
      <c r="MC28" s="5" t="e">
        <f>+#REF!+#REF!+#REF!+#REF!+#REF!+#REF!+#REF!+#REF!+#REF!+#REF!+#REF!+#REF!</f>
        <v>#REF!</v>
      </c>
      <c r="MD28" s="5" t="e">
        <f t="shared" si="74"/>
        <v>#REF!</v>
      </c>
      <c r="ME28" s="12" t="e">
        <f t="shared" si="75"/>
        <v>#REF!</v>
      </c>
      <c r="MF28" s="12"/>
      <c r="MG28" s="2615"/>
      <c r="MI28" s="139" t="e">
        <f t="shared" si="76"/>
        <v>#REF!</v>
      </c>
      <c r="MJ28" s="139" t="e">
        <f t="shared" si="77"/>
        <v>#REF!</v>
      </c>
      <c r="ML28" s="139" t="e">
        <f t="shared" si="78"/>
        <v>#REF!</v>
      </c>
      <c r="MM28" s="139" t="e">
        <f t="shared" si="79"/>
        <v>#REF!</v>
      </c>
      <c r="MO28" s="1">
        <f t="shared" si="92"/>
        <v>0</v>
      </c>
      <c r="MP28" s="1">
        <f t="shared" si="92"/>
        <v>0</v>
      </c>
      <c r="MQ28" s="1">
        <f t="shared" si="92"/>
        <v>0</v>
      </c>
      <c r="MR28" s="1">
        <f t="shared" si="92"/>
        <v>0</v>
      </c>
      <c r="MS28" s="1">
        <f t="shared" si="92"/>
        <v>0</v>
      </c>
      <c r="MT28" s="1">
        <f t="shared" si="92"/>
        <v>0</v>
      </c>
      <c r="MV28" s="1">
        <f t="shared" si="93"/>
        <v>0</v>
      </c>
      <c r="MW28" s="1">
        <f t="shared" si="93"/>
        <v>0</v>
      </c>
      <c r="MX28" s="1">
        <f t="shared" si="93"/>
        <v>0</v>
      </c>
      <c r="MY28" s="1">
        <f t="shared" si="93"/>
        <v>0</v>
      </c>
      <c r="MZ28" s="1">
        <f t="shared" si="93"/>
        <v>0</v>
      </c>
      <c r="NA28" s="1">
        <f t="shared" si="93"/>
        <v>0</v>
      </c>
    </row>
    <row r="29" spans="2:365" s="1" customFormat="1">
      <c r="B29" s="46">
        <v>20</v>
      </c>
      <c r="C29" s="4" t="e">
        <f t="shared" si="0"/>
        <v>#REF!</v>
      </c>
      <c r="D29" s="5" t="e">
        <f t="shared" si="1"/>
        <v>#REF!</v>
      </c>
      <c r="E29" s="61">
        <f t="shared" si="14"/>
        <v>0</v>
      </c>
      <c r="F29" s="52"/>
      <c r="G29" s="53"/>
      <c r="H29" s="53"/>
      <c r="I29" s="54"/>
      <c r="J29" s="2629"/>
      <c r="K29" s="9" t="e">
        <f t="shared" si="15"/>
        <v>#REF!</v>
      </c>
      <c r="L29" s="5" t="e">
        <f t="shared" si="2"/>
        <v>#REF!</v>
      </c>
      <c r="M29" s="64">
        <f t="shared" si="16"/>
        <v>0</v>
      </c>
      <c r="N29" s="28"/>
      <c r="O29" s="36" t="e">
        <f t="shared" si="17"/>
        <v>#REF!</v>
      </c>
      <c r="P29" s="27" t="e">
        <f t="shared" si="17"/>
        <v>#REF!</v>
      </c>
      <c r="Q29" s="53">
        <f t="shared" si="18"/>
        <v>0</v>
      </c>
      <c r="R29" s="28"/>
      <c r="S29" s="36" t="e">
        <f t="shared" si="19"/>
        <v>#REF!</v>
      </c>
      <c r="T29" s="27" t="e">
        <f t="shared" si="19"/>
        <v>#REF!</v>
      </c>
      <c r="U29" s="53">
        <f t="shared" si="3"/>
        <v>0</v>
      </c>
      <c r="V29" s="28"/>
      <c r="W29" s="36" t="e">
        <f t="shared" si="20"/>
        <v>#REF!</v>
      </c>
      <c r="X29" s="27" t="e">
        <f t="shared" si="4"/>
        <v>#REF!</v>
      </c>
      <c r="Y29" s="53">
        <f t="shared" si="21"/>
        <v>0</v>
      </c>
      <c r="Z29" s="28"/>
      <c r="AA29" s="26" t="e">
        <f t="shared" si="22"/>
        <v>#REF!</v>
      </c>
      <c r="AB29" s="27" t="e">
        <f t="shared" si="22"/>
        <v>#REF!</v>
      </c>
      <c r="AC29" s="53">
        <f t="shared" si="23"/>
        <v>0</v>
      </c>
      <c r="AD29" s="33"/>
      <c r="AE29" s="2629"/>
      <c r="AF29" s="9" t="e">
        <f>+#REF!+#REF!+#REF!+#REF!+#REF!+#REF!+#REF!+#REF!+#REF!+#REF!+#REF!+#REF!</f>
        <v>#REF!</v>
      </c>
      <c r="AG29" s="5" t="e">
        <f>+#REF!+#REF!+#REF!+#REF!+#REF!+#REF!+#REF!+#REF!+#REF!+#REF!+#REF!+#REF!</f>
        <v>#REF!</v>
      </c>
      <c r="AH29" s="61">
        <f t="shared" si="24"/>
        <v>0</v>
      </c>
      <c r="AI29" s="36" t="e">
        <f>+#REF!+#REF!+#REF!+#REF!+#REF!+#REF!+#REF!+#REF!+#REF!+#REF!+#REF!+#REF!</f>
        <v>#REF!</v>
      </c>
      <c r="AJ29" s="27" t="e">
        <f>+#REF!+#REF!+#REF!+#REF!+#REF!+#REF!+#REF!+#REF!+#REF!+#REF!+#REF!+#REF!</f>
        <v>#REF!</v>
      </c>
      <c r="AK29" s="61">
        <f t="shared" si="25"/>
        <v>0</v>
      </c>
      <c r="AL29" s="36" t="e">
        <f>+#REF!+#REF!+#REF!+#REF!+#REF!+#REF!+#REF!+#REF!+#REF!+#REF!+#REF!+#REF!</f>
        <v>#REF!</v>
      </c>
      <c r="AM29" s="27" t="e">
        <f>+#REF!+#REF!+#REF!+#REF!+#REF!+#REF!+#REF!+#REF!+#REF!+#REF!+#REF!+#REF!</f>
        <v>#REF!</v>
      </c>
      <c r="AN29" s="61">
        <f t="shared" si="26"/>
        <v>0</v>
      </c>
      <c r="AO29" s="36" t="e">
        <f>+#REF!+#REF!+#REF!+#REF!+#REF!+#REF!+#REF!+#REF!+#REF!+#REF!+#REF!+#REF!</f>
        <v>#REF!</v>
      </c>
      <c r="AP29" s="27" t="e">
        <f>+#REF!+#REF!+#REF!+#REF!+#REF!+#REF!+#REF!+#REF!+#REF!+#REF!+#REF!+#REF!</f>
        <v>#REF!</v>
      </c>
      <c r="AQ29" s="61">
        <f t="shared" si="27"/>
        <v>0</v>
      </c>
      <c r="AR29" s="36" t="e">
        <f>+#REF!+#REF!+#REF!+#REF!+#REF!+#REF!+#REF!+#REF!+#REF!+#REF!+#REF!+#REF!</f>
        <v>#REF!</v>
      </c>
      <c r="AS29" s="27" t="e">
        <f>+#REF!+#REF!+#REF!+#REF!+#REF!+#REF!+#REF!+#REF!+#REF!+#REF!+#REF!+#REF!</f>
        <v>#REF!</v>
      </c>
      <c r="AT29" s="61">
        <f t="shared" si="28"/>
        <v>0</v>
      </c>
      <c r="AU29" s="36" t="e">
        <f>+#REF!+#REF!+#REF!+#REF!+#REF!+#REF!+#REF!+#REF!+#REF!+#REF!+#REF!+#REF!</f>
        <v>#REF!</v>
      </c>
      <c r="AV29" s="27" t="e">
        <f>+#REF!+#REF!+#REF!+#REF!+#REF!+#REF!+#REF!+#REF!+#REF!+#REF!+#REF!+#REF!</f>
        <v>#REF!</v>
      </c>
      <c r="AW29" s="61">
        <f t="shared" si="29"/>
        <v>0</v>
      </c>
      <c r="AX29" s="36" t="e">
        <f>+#REF!+#REF!+#REF!+#REF!+#REF!+#REF!+#REF!+#REF!+#REF!+#REF!+#REF!+#REF!</f>
        <v>#REF!</v>
      </c>
      <c r="AY29" s="27" t="e">
        <f>+#REF!+#REF!+#REF!+#REF!+#REF!+#REF!+#REF!+#REF!+#REF!+#REF!+#REF!+#REF!</f>
        <v>#REF!</v>
      </c>
      <c r="AZ29" s="61">
        <f t="shared" si="30"/>
        <v>0</v>
      </c>
      <c r="BA29" s="36" t="e">
        <f>+#REF!+#REF!+#REF!+#REF!+#REF!+#REF!+#REF!+#REF!+#REF!+#REF!+#REF!+#REF!</f>
        <v>#REF!</v>
      </c>
      <c r="BB29" s="27" t="e">
        <f>+#REF!+#REF!+#REF!+#REF!+#REF!+#REF!+#REF!+#REF!+#REF!+#REF!+#REF!+#REF!</f>
        <v>#REF!</v>
      </c>
      <c r="BC29" s="61">
        <f t="shared" si="31"/>
        <v>0</v>
      </c>
      <c r="BD29" s="36" t="e">
        <f>+#REF!+#REF!+#REF!+#REF!+#REF!+#REF!+#REF!+#REF!+#REF!+#REF!+#REF!+#REF!</f>
        <v>#REF!</v>
      </c>
      <c r="BE29" s="27" t="e">
        <f>+#REF!+#REF!+#REF!+#REF!+#REF!+#REF!+#REF!+#REF!+#REF!+#REF!+#REF!+#REF!</f>
        <v>#REF!</v>
      </c>
      <c r="BF29" s="61">
        <f t="shared" si="32"/>
        <v>0</v>
      </c>
      <c r="BG29" s="36" t="e">
        <f>+#REF!+#REF!+#REF!+#REF!+#REF!+#REF!+#REF!+#REF!+#REF!+#REF!+#REF!+#REF!</f>
        <v>#REF!</v>
      </c>
      <c r="BH29" s="27" t="e">
        <f>+#REF!+#REF!+#REF!+#REF!+#REF!+#REF!+#REF!+#REF!+#REF!+#REF!+#REF!+#REF!</f>
        <v>#REF!</v>
      </c>
      <c r="BI29" s="61">
        <f t="shared" si="33"/>
        <v>0</v>
      </c>
      <c r="BJ29" s="36" t="e">
        <f>+#REF!+#REF!+#REF!+#REF!+#REF!+#REF!+#REF!+#REF!+#REF!+#REF!+#REF!+#REF!</f>
        <v>#REF!</v>
      </c>
      <c r="BK29" s="27" t="e">
        <f>+#REF!+#REF!+#REF!+#REF!+#REF!+#REF!+#REF!+#REF!+#REF!+#REF!+#REF!+#REF!</f>
        <v>#REF!</v>
      </c>
      <c r="BL29" s="61">
        <f t="shared" si="34"/>
        <v>0</v>
      </c>
      <c r="BM29" s="36" t="e">
        <f>+#REF!+#REF!+#REF!+#REF!+#REF!+#REF!+#REF!+#REF!+#REF!+#REF!+#REF!+#REF!</f>
        <v>#REF!</v>
      </c>
      <c r="BN29" s="27" t="e">
        <f>+#REF!+#REF!+#REF!+#REF!+#REF!+#REF!+#REF!+#REF!+#REF!+#REF!+#REF!+#REF!</f>
        <v>#REF!</v>
      </c>
      <c r="BO29" s="54">
        <f t="shared" si="35"/>
        <v>0</v>
      </c>
      <c r="BP29" s="26" t="e">
        <f>+#REF!+#REF!+#REF!+#REF!+#REF!+#REF!+#REF!+#REF!+#REF!+#REF!+#REF!+#REF!</f>
        <v>#REF!</v>
      </c>
      <c r="BQ29" s="27" t="e">
        <f>+#REF!+#REF!+#REF!+#REF!+#REF!+#REF!+#REF!+#REF!+#REF!+#REF!+#REF!+#REF!</f>
        <v>#REF!</v>
      </c>
      <c r="BR29" s="61">
        <f t="shared" si="36"/>
        <v>0</v>
      </c>
      <c r="BS29" s="26" t="e">
        <f>+#REF!+#REF!+#REF!+#REF!+#REF!+#REF!+#REF!+#REF!+#REF!+#REF!+#REF!+#REF!</f>
        <v>#REF!</v>
      </c>
      <c r="BT29" s="27" t="e">
        <f>+#REF!+#REF!+#REF!+#REF!+#REF!+#REF!+#REF!+#REF!+#REF!+#REF!+#REF!+#REF!</f>
        <v>#REF!</v>
      </c>
      <c r="BU29" s="61">
        <f t="shared" si="37"/>
        <v>0</v>
      </c>
      <c r="BV29" s="150"/>
      <c r="BW29" s="9" t="e">
        <f>+#REF!+#REF!+#REF!+#REF!+#REF!+#REF!+#REF!+#REF!+#REF!+#REF!+#REF!+#REF!</f>
        <v>#REF!</v>
      </c>
      <c r="BX29" s="5" t="e">
        <f>+#REF!+#REF!+#REF!+#REF!+#REF!+#REF!+#REF!+#REF!+#REF!+#REF!+#REF!+#REF!</f>
        <v>#REF!</v>
      </c>
      <c r="BY29" s="5" t="e">
        <f>+#REF!+#REF!+#REF!+#REF!+#REF!+#REF!+#REF!+#REF!+#REF!+#REF!+#REF!+#REF!</f>
        <v>#REF!</v>
      </c>
      <c r="BZ29" s="5" t="e">
        <f>+#REF!+#REF!+#REF!+#REF!+#REF!+#REF!+#REF!+#REF!+#REF!+#REF!+#REF!+#REF!</f>
        <v>#REF!</v>
      </c>
      <c r="CA29" s="5" t="e">
        <f>+#REF!+#REF!+#REF!+#REF!+#REF!+#REF!+#REF!+#REF!+#REF!+#REF!+#REF!+#REF!</f>
        <v>#REF!</v>
      </c>
      <c r="CB29" s="5" t="e">
        <f t="shared" si="38"/>
        <v>#REF!</v>
      </c>
      <c r="CC29" s="33"/>
      <c r="CD29" s="2683"/>
      <c r="CF29" s="4" t="e">
        <f t="shared" si="39"/>
        <v>#REF!</v>
      </c>
      <c r="CG29" s="5" t="e">
        <f t="shared" si="5"/>
        <v>#REF!</v>
      </c>
      <c r="CH29" s="5" t="e">
        <f t="shared" si="5"/>
        <v>#REF!</v>
      </c>
      <c r="CI29" s="5" t="e">
        <f t="shared" si="5"/>
        <v>#REF!</v>
      </c>
      <c r="CJ29" s="5" t="e">
        <f t="shared" si="5"/>
        <v>#REF!</v>
      </c>
      <c r="CK29" s="5" t="e">
        <f t="shared" si="5"/>
        <v>#REF!</v>
      </c>
      <c r="CL29" s="33" t="e">
        <f t="shared" si="40"/>
        <v>#REF!</v>
      </c>
      <c r="CM29" s="2685"/>
      <c r="CN29" s="9" t="e">
        <f>+#REF!+#REF!+#REF!+#REF!+#REF!+#REF!+#REF!+#REF!+#REF!+#REF!+#REF!+#REF!</f>
        <v>#REF!</v>
      </c>
      <c r="CO29" s="5" t="e">
        <f>+#REF!+#REF!+#REF!+#REF!+#REF!+#REF!+#REF!+#REF!+#REF!+#REF!+#REF!+#REF!</f>
        <v>#REF!</v>
      </c>
      <c r="CP29" s="5" t="e">
        <f>+#REF!+#REF!+#REF!+#REF!+#REF!+#REF!+#REF!+#REF!+#REF!+#REF!+#REF!+#REF!</f>
        <v>#REF!</v>
      </c>
      <c r="CQ29" s="5" t="e">
        <f>+#REF!+#REF!+#REF!+#REF!+#REF!+#REF!+#REF!+#REF!+#REF!+#REF!+#REF!+#REF!</f>
        <v>#REF!</v>
      </c>
      <c r="CR29" s="5" t="e">
        <f>+#REF!+#REF!+#REF!+#REF!+#REF!+#REF!+#REF!+#REF!+#REF!+#REF!+#REF!+#REF!</f>
        <v>#REF!</v>
      </c>
      <c r="CS29" s="5" t="e">
        <f>+#REF!+#REF!+#REF!+#REF!+#REF!+#REF!+#REF!+#REF!+#REF!+#REF!+#REF!+#REF!</f>
        <v>#REF!</v>
      </c>
      <c r="CT29" s="28" t="e">
        <f t="shared" si="41"/>
        <v>#REF!</v>
      </c>
      <c r="CU29" s="36" t="e">
        <f>+#REF!+#REF!+#REF!+#REF!+#REF!+#REF!+#REF!+#REF!+#REF!+#REF!+#REF!+#REF!</f>
        <v>#REF!</v>
      </c>
      <c r="CV29" s="27" t="e">
        <f>+#REF!+#REF!+#REF!+#REF!+#REF!+#REF!+#REF!+#REF!+#REF!+#REF!+#REF!+#REF!</f>
        <v>#REF!</v>
      </c>
      <c r="CW29" s="27" t="e">
        <f>+#REF!+#REF!+#REF!+#REF!+#REF!+#REF!+#REF!+#REF!+#REF!+#REF!+#REF!+#REF!</f>
        <v>#REF!</v>
      </c>
      <c r="CX29" s="27" t="e">
        <f>+#REF!+#REF!+#REF!+#REF!+#REF!+#REF!+#REF!+#REF!+#REF!+#REF!+#REF!+#REF!</f>
        <v>#REF!</v>
      </c>
      <c r="CY29" s="27" t="e">
        <f>+#REF!+#REF!+#REF!+#REF!+#REF!+#REF!+#REF!+#REF!+#REF!+#REF!+#REF!+#REF!</f>
        <v>#REF!</v>
      </c>
      <c r="CZ29" s="27" t="e">
        <f>+#REF!+#REF!+#REF!+#REF!+#REF!+#REF!+#REF!+#REF!+#REF!+#REF!+#REF!+#REF!</f>
        <v>#REF!</v>
      </c>
      <c r="DA29" s="28" t="e">
        <f t="shared" si="42"/>
        <v>#REF!</v>
      </c>
      <c r="DB29" s="36" t="e">
        <f>+#REF!+#REF!+#REF!+#REF!+#REF!+#REF!+#REF!+#REF!+#REF!+#REF!+#REF!+#REF!</f>
        <v>#REF!</v>
      </c>
      <c r="DC29" s="27" t="e">
        <f>+#REF!+#REF!+#REF!+#REF!+#REF!+#REF!+#REF!+#REF!+#REF!+#REF!+#REF!+#REF!</f>
        <v>#REF!</v>
      </c>
      <c r="DD29" s="27" t="e">
        <f>+#REF!+#REF!+#REF!+#REF!+#REF!+#REF!+#REF!+#REF!+#REF!+#REF!+#REF!+#REF!</f>
        <v>#REF!</v>
      </c>
      <c r="DE29" s="27" t="e">
        <f>+#REF!+#REF!+#REF!+#REF!+#REF!+#REF!+#REF!+#REF!+#REF!+#REF!+#REF!+#REF!</f>
        <v>#REF!</v>
      </c>
      <c r="DF29" s="27" t="e">
        <f>+#REF!+#REF!+#REF!+#REF!+#REF!+#REF!+#REF!+#REF!+#REF!+#REF!+#REF!+#REF!</f>
        <v>#REF!</v>
      </c>
      <c r="DG29" s="27" t="e">
        <f>+#REF!+#REF!+#REF!+#REF!+#REF!+#REF!+#REF!+#REF!+#REF!+#REF!+#REF!+#REF!</f>
        <v>#REF!</v>
      </c>
      <c r="DH29" s="28" t="e">
        <f t="shared" si="43"/>
        <v>#REF!</v>
      </c>
      <c r="DI29" s="36" t="e">
        <f>+#REF!+#REF!+#REF!+#REF!+#REF!+#REF!+#REF!+#REF!+#REF!+#REF!+#REF!+#REF!</f>
        <v>#REF!</v>
      </c>
      <c r="DJ29" s="27" t="e">
        <f>+#REF!+#REF!+#REF!+#REF!+#REF!+#REF!+#REF!+#REF!+#REF!+#REF!+#REF!+#REF!</f>
        <v>#REF!</v>
      </c>
      <c r="DK29" s="27" t="e">
        <f>+#REF!+#REF!+#REF!+#REF!+#REF!+#REF!+#REF!+#REF!+#REF!+#REF!+#REF!+#REF!</f>
        <v>#REF!</v>
      </c>
      <c r="DL29" s="27" t="e">
        <f>+#REF!+#REF!+#REF!+#REF!+#REF!+#REF!+#REF!+#REF!+#REF!+#REF!+#REF!+#REF!</f>
        <v>#REF!</v>
      </c>
      <c r="DM29" s="27" t="e">
        <f>+#REF!+#REF!+#REF!+#REF!+#REF!+#REF!+#REF!+#REF!+#REF!+#REF!+#REF!+#REF!</f>
        <v>#REF!</v>
      </c>
      <c r="DN29" s="27" t="e">
        <f>+#REF!+#REF!+#REF!+#REF!+#REF!+#REF!+#REF!+#REF!+#REF!+#REF!+#REF!+#REF!</f>
        <v>#REF!</v>
      </c>
      <c r="DO29" s="33" t="e">
        <f t="shared" si="44"/>
        <v>#REF!</v>
      </c>
      <c r="DP29" s="2685"/>
      <c r="DR29" s="4" t="e">
        <f t="shared" si="45"/>
        <v>#REF!</v>
      </c>
      <c r="DS29" s="5" t="e">
        <f t="shared" si="46"/>
        <v>#REF!</v>
      </c>
      <c r="DT29" s="5" t="e">
        <f t="shared" si="47"/>
        <v>#REF!</v>
      </c>
      <c r="DU29" s="12" t="e">
        <f t="shared" si="48"/>
        <v>#REF!</v>
      </c>
      <c r="DV29" s="33"/>
      <c r="DW29" s="2674"/>
      <c r="DX29" s="9" t="e">
        <f>+#REF!+#REF!+#REF!+#REF!+#REF!+#REF!+#REF!+#REF!+#REF!+#REF!+#REF!+#REF!</f>
        <v>#REF!</v>
      </c>
      <c r="DY29" s="5" t="e">
        <f>+#REF!+#REF!+#REF!+#REF!+#REF!+#REF!+#REF!+#REF!+#REF!+#REF!+#REF!+#REF!</f>
        <v>#REF!</v>
      </c>
      <c r="DZ29" s="5" t="e">
        <f>+#REF!+#REF!+#REF!+#REF!+#REF!+#REF!+#REF!+#REF!+#REF!+#REF!+#REF!+#REF!</f>
        <v>#REF!</v>
      </c>
      <c r="EA29" s="5" t="e">
        <f>+#REF!+#REF!+#REF!+#REF!+#REF!+#REF!+#REF!+#REF!+#REF!+#REF!+#REF!+#REF!</f>
        <v>#REF!</v>
      </c>
      <c r="EB29" s="5" t="e">
        <f>+#REF!+#REF!+#REF!+#REF!+#REF!+#REF!+#REF!+#REF!+#REF!+#REF!+#REF!+#REF!</f>
        <v>#REF!</v>
      </c>
      <c r="EC29" s="27" t="e">
        <f>+#REF!+#REF!+#REF!+#REF!+#REF!+#REF!+#REF!+#REF!+#REF!+#REF!+#REF!+#REF!</f>
        <v>#REF!</v>
      </c>
      <c r="ED29" s="28" t="e">
        <f t="shared" si="49"/>
        <v>#REF!</v>
      </c>
      <c r="EE29" s="36" t="e">
        <f>+#REF!+#REF!+#REF!+#REF!+#REF!+#REF!+#REF!+#REF!+#REF!+#REF!+#REF!+#REF!</f>
        <v>#REF!</v>
      </c>
      <c r="EF29" s="27" t="e">
        <f>+#REF!+#REF!+#REF!+#REF!+#REF!+#REF!+#REF!+#REF!+#REF!+#REF!+#REF!+#REF!</f>
        <v>#REF!</v>
      </c>
      <c r="EG29" s="27" t="e">
        <f>+#REF!+#REF!+#REF!+#REF!+#REF!+#REF!+#REF!+#REF!+#REF!+#REF!+#REF!+#REF!</f>
        <v>#REF!</v>
      </c>
      <c r="EH29" s="27" t="e">
        <f>+#REF!+#REF!+#REF!+#REF!+#REF!+#REF!+#REF!+#REF!+#REF!+#REF!+#REF!+#REF!</f>
        <v>#REF!</v>
      </c>
      <c r="EI29" s="27" t="e">
        <f>+#REF!+#REF!+#REF!+#REF!+#REF!+#REF!+#REF!+#REF!+#REF!+#REF!+#REF!+#REF!</f>
        <v>#REF!</v>
      </c>
      <c r="EJ29" s="27" t="e">
        <f>+#REF!+#REF!+#REF!+#REF!+#REF!+#REF!+#REF!+#REF!+#REF!+#REF!+#REF!+#REF!</f>
        <v>#REF!</v>
      </c>
      <c r="EK29" s="28" t="e">
        <f t="shared" si="50"/>
        <v>#REF!</v>
      </c>
      <c r="EL29" s="36" t="e">
        <f>+#REF!+#REF!+#REF!+#REF!+#REF!+#REF!+#REF!+#REF!+#REF!+#REF!+#REF!+#REF!</f>
        <v>#REF!</v>
      </c>
      <c r="EM29" s="27" t="e">
        <f>+#REF!+#REF!+#REF!+#REF!+#REF!+#REF!+#REF!+#REF!+#REF!+#REF!+#REF!+#REF!</f>
        <v>#REF!</v>
      </c>
      <c r="EN29" s="27" t="e">
        <f>+#REF!+#REF!+#REF!+#REF!+#REF!+#REF!+#REF!+#REF!+#REF!+#REF!+#REF!+#REF!</f>
        <v>#REF!</v>
      </c>
      <c r="EO29" s="27" t="e">
        <f>+#REF!+#REF!+#REF!+#REF!+#REF!+#REF!+#REF!+#REF!+#REF!+#REF!+#REF!+#REF!</f>
        <v>#REF!</v>
      </c>
      <c r="EP29" s="27" t="e">
        <f>+#REF!+#REF!+#REF!+#REF!+#REF!+#REF!+#REF!+#REF!+#REF!+#REF!+#REF!+#REF!</f>
        <v>#REF!</v>
      </c>
      <c r="EQ29" s="27" t="e">
        <f>+#REF!+#REF!+#REF!+#REF!+#REF!+#REF!+#REF!+#REF!+#REF!+#REF!+#REF!+#REF!</f>
        <v>#REF!</v>
      </c>
      <c r="ER29" s="33" t="e">
        <f t="shared" si="51"/>
        <v>#REF!</v>
      </c>
      <c r="ES29" s="2674"/>
      <c r="EU29" s="4" t="e">
        <f t="shared" si="52"/>
        <v>#REF!</v>
      </c>
      <c r="EV29" s="5" t="e">
        <f t="shared" si="53"/>
        <v>#REF!</v>
      </c>
      <c r="EW29" s="27" t="e">
        <f t="shared" si="54"/>
        <v>#REF!</v>
      </c>
      <c r="EX29" s="27" t="e">
        <f t="shared" si="55"/>
        <v>#REF!</v>
      </c>
      <c r="EY29" s="141"/>
      <c r="EZ29" s="141"/>
      <c r="FA29" s="33"/>
      <c r="FB29" s="2667"/>
      <c r="FC29" s="36" t="e">
        <f>+#REF!+#REF!+#REF!+#REF!+#REF!+#REF!+#REF!+#REF!+#REF!+#REF!+#REF!+#REF!</f>
        <v>#REF!</v>
      </c>
      <c r="FD29" s="27" t="e">
        <f>+#REF!+#REF!+#REF!+#REF!+#REF!+#REF!+#REF!+#REF!+#REF!+#REF!+#REF!+#REF!</f>
        <v>#REF!</v>
      </c>
      <c r="FE29" s="27"/>
      <c r="FF29" s="27"/>
      <c r="FG29" s="33" t="e">
        <f t="shared" si="56"/>
        <v>#REF!</v>
      </c>
      <c r="FH29" s="2667"/>
      <c r="FI29" s="36" t="e">
        <f>+#REF!+#REF!+#REF!+#REF!+#REF!+#REF!+#REF!+#REF!+#REF!+#REF!+#REF!+#REF!</f>
        <v>#REF!</v>
      </c>
      <c r="FJ29" s="27" t="e">
        <f>+#REF!+#REF!+#REF!+#REF!+#REF!+#REF!+#REF!+#REF!+#REF!+#REF!+#REF!+#REF!</f>
        <v>#REF!</v>
      </c>
      <c r="FK29" s="27" t="e">
        <f>+#REF!+#REF!+#REF!+#REF!+#REF!+#REF!+#REF!+#REF!+#REF!+#REF!+#REF!+#REF!</f>
        <v>#REF!</v>
      </c>
      <c r="FL29" s="27" t="e">
        <f>+#REF!+#REF!+#REF!+#REF!+#REF!+#REF!+#REF!+#REF!+#REF!+#REF!+#REF!+#REF!</f>
        <v>#REF!</v>
      </c>
      <c r="FM29" s="27" t="e">
        <f>+#REF!+#REF!+#REF!+#REF!+#REF!+#REF!+#REF!+#REF!+#REF!+#REF!+#REF!+#REF!</f>
        <v>#REF!</v>
      </c>
      <c r="FN29" s="27" t="e">
        <f>+#REF!+#REF!+#REF!+#REF!+#REF!+#REF!+#REF!+#REF!+#REF!+#REF!+#REF!+#REF!</f>
        <v>#REF!</v>
      </c>
      <c r="FO29" s="27" t="e">
        <f>+#REF!+#REF!+#REF!+#REF!+#REF!+#REF!+#REF!+#REF!+#REF!+#REF!+#REF!+#REF!</f>
        <v>#REF!</v>
      </c>
      <c r="FP29" s="27" t="e">
        <f>+#REF!+#REF!+#REF!+#REF!+#REF!+#REF!+#REF!+#REF!+#REF!+#REF!+#REF!+#REF!</f>
        <v>#REF!</v>
      </c>
      <c r="FQ29" s="28" t="e">
        <f t="shared" si="80"/>
        <v>#REF!</v>
      </c>
      <c r="FR29" s="26" t="e">
        <f>+#REF!+#REF!+#REF!+#REF!+#REF!+#REF!+#REF!+#REF!+#REF!+#REF!+#REF!+#REF!</f>
        <v>#REF!</v>
      </c>
      <c r="FS29" s="27" t="e">
        <f>+#REF!+#REF!+#REF!+#REF!+#REF!+#REF!+#REF!+#REF!+#REF!+#REF!+#REF!+#REF!</f>
        <v>#REF!</v>
      </c>
      <c r="FT29" s="27" t="e">
        <f>+#REF!+#REF!+#REF!+#REF!+#REF!+#REF!+#REF!+#REF!+#REF!+#REF!+#REF!+#REF!</f>
        <v>#REF!</v>
      </c>
      <c r="FU29" s="27" t="e">
        <f>+#REF!+#REF!+#REF!+#REF!+#REF!+#REF!+#REF!+#REF!+#REF!+#REF!+#REF!+#REF!</f>
        <v>#REF!</v>
      </c>
      <c r="FV29" s="27" t="e">
        <f>+#REF!+#REF!+#REF!+#REF!+#REF!+#REF!+#REF!+#REF!+#REF!+#REF!+#REF!+#REF!</f>
        <v>#REF!</v>
      </c>
      <c r="FW29" s="27" t="e">
        <f>+#REF!+#REF!+#REF!+#REF!+#REF!+#REF!+#REF!+#REF!+#REF!+#REF!+#REF!+#REF!</f>
        <v>#REF!</v>
      </c>
      <c r="FX29" s="27" t="e">
        <f>+#REF!+#REF!+#REF!+#REF!+#REF!+#REF!+#REF!+#REF!+#REF!+#REF!+#REF!+#REF!</f>
        <v>#REF!</v>
      </c>
      <c r="FY29" s="27" t="e">
        <f>+#REF!+#REF!+#REF!+#REF!+#REF!+#REF!+#REF!+#REF!+#REF!+#REF!+#REF!+#REF!</f>
        <v>#REF!</v>
      </c>
      <c r="FZ29" s="28" t="e">
        <f t="shared" si="57"/>
        <v>#REF!</v>
      </c>
      <c r="GA29" s="36" t="e">
        <f>+#REF!+#REF!+#REF!+#REF!+#REF!+#REF!+#REF!+#REF!+#REF!+#REF!+#REF!+#REF!</f>
        <v>#REF!</v>
      </c>
      <c r="GB29" s="27" t="e">
        <f>+#REF!+#REF!+#REF!+#REF!+#REF!+#REF!+#REF!+#REF!+#REF!+#REF!+#REF!+#REF!</f>
        <v>#REF!</v>
      </c>
      <c r="GC29" s="27" t="e">
        <f>+#REF!+#REF!+#REF!+#REF!+#REF!+#REF!+#REF!+#REF!+#REF!+#REF!+#REF!+#REF!</f>
        <v>#REF!</v>
      </c>
      <c r="GD29" s="27" t="e">
        <f>+#REF!+#REF!+#REF!+#REF!+#REF!+#REF!+#REF!+#REF!+#REF!+#REF!+#REF!+#REF!</f>
        <v>#REF!</v>
      </c>
      <c r="GE29" s="27" t="e">
        <f>+#REF!+#REF!+#REF!+#REF!+#REF!+#REF!+#REF!+#REF!+#REF!+#REF!+#REF!+#REF!</f>
        <v>#REF!</v>
      </c>
      <c r="GF29" s="27" t="e">
        <f>+#REF!+#REF!+#REF!+#REF!+#REF!+#REF!+#REF!+#REF!+#REF!+#REF!+#REF!+#REF!</f>
        <v>#REF!</v>
      </c>
      <c r="GG29" s="27" t="e">
        <f>+#REF!+#REF!+#REF!+#REF!+#REF!+#REF!+#REF!+#REF!+#REF!+#REF!+#REF!+#REF!</f>
        <v>#REF!</v>
      </c>
      <c r="GH29" s="27" t="e">
        <f>+#REF!+#REF!+#REF!+#REF!+#REF!+#REF!+#REF!+#REF!+#REF!+#REF!+#REF!+#REF!</f>
        <v>#REF!</v>
      </c>
      <c r="GI29" s="33" t="e">
        <f t="shared" si="58"/>
        <v>#REF!</v>
      </c>
      <c r="GJ29" s="2667"/>
      <c r="GL29" s="26" t="e">
        <f>+#REF!+#REF!+#REF!+#REF!+#REF!+#REF!+#REF!+#REF!+#REF!+#REF!+#REF!+#REF!</f>
        <v>#REF!</v>
      </c>
      <c r="GM29" s="36" t="e">
        <f>+#REF!+#REF!+#REF!+#REF!+#REF!+#REF!+#REF!+#REF!+#REF!+#REF!+#REF!+#REF!</f>
        <v>#REF!</v>
      </c>
      <c r="GN29" s="27" t="e">
        <f>+#REF!+#REF!+#REF!+#REF!+#REF!+#REF!+#REF!+#REF!+#REF!+#REF!+#REF!+#REF!</f>
        <v>#REF!</v>
      </c>
      <c r="GO29" s="27" t="e">
        <f t="shared" si="59"/>
        <v>#REF!</v>
      </c>
      <c r="GP29" s="33"/>
      <c r="GQ29" s="2669"/>
      <c r="GR29" s="69"/>
      <c r="GS29" s="70"/>
      <c r="GT29" s="70"/>
      <c r="GU29" s="70"/>
      <c r="GV29" s="70"/>
      <c r="GW29" s="70"/>
      <c r="GX29" s="70"/>
      <c r="GY29" s="71"/>
      <c r="GZ29" s="69"/>
      <c r="HA29" s="70"/>
      <c r="HB29" s="70"/>
      <c r="HC29" s="70"/>
      <c r="HD29" s="70"/>
      <c r="HE29" s="70"/>
      <c r="HF29" s="70"/>
      <c r="HG29" s="71"/>
      <c r="HH29" s="69"/>
      <c r="HI29" s="70"/>
      <c r="HJ29" s="70"/>
      <c r="HK29" s="70"/>
      <c r="HL29" s="70"/>
      <c r="HM29" s="70"/>
      <c r="HN29" s="70"/>
      <c r="HO29" s="70"/>
      <c r="HP29" s="33"/>
      <c r="HQ29" s="2669"/>
      <c r="HR29" s="36"/>
      <c r="HS29" s="53"/>
      <c r="HT29" s="53"/>
      <c r="HU29" s="53"/>
      <c r="HV29" s="61"/>
      <c r="HW29" s="36"/>
      <c r="HX29" s="53"/>
      <c r="HY29" s="53"/>
      <c r="HZ29" s="53"/>
      <c r="IA29" s="61"/>
      <c r="IB29" s="36"/>
      <c r="IC29" s="53"/>
      <c r="ID29" s="53"/>
      <c r="IE29" s="53"/>
      <c r="IF29" s="53"/>
      <c r="IG29" s="33"/>
      <c r="IH29" s="2669"/>
      <c r="IJ29" s="26" t="e">
        <f t="shared" si="60"/>
        <v>#REF!</v>
      </c>
      <c r="IK29" s="36" t="e">
        <f t="shared" si="6"/>
        <v>#REF!</v>
      </c>
      <c r="IL29" s="27" t="e">
        <f t="shared" si="6"/>
        <v>#REF!</v>
      </c>
      <c r="IM29" s="28" t="e">
        <f t="shared" si="61"/>
        <v>#REF!</v>
      </c>
      <c r="IN29" s="36"/>
      <c r="IO29" s="27"/>
      <c r="IP29" s="27"/>
      <c r="IQ29" s="33"/>
      <c r="IR29" s="55"/>
      <c r="IS29" s="21"/>
      <c r="IT29" s="2688"/>
      <c r="IU29" s="36" t="e">
        <f>+#REF!+#REF!+#REF!+#REF!+#REF!+#REF!+#REF!+#REF!+#REF!+#REF!+#REF!+#REF!</f>
        <v>#REF!</v>
      </c>
      <c r="IV29" s="36" t="e">
        <f>+#REF!+#REF!+#REF!+#REF!+#REF!+#REF!+#REF!+#REF!+#REF!+#REF!+#REF!+#REF!</f>
        <v>#REF!</v>
      </c>
      <c r="IW29" s="27" t="e">
        <f>+#REF!+#REF!+#REF!+#REF!+#REF!+#REF!+#REF!+#REF!+#REF!+#REF!+#REF!+#REF!</f>
        <v>#REF!</v>
      </c>
      <c r="IX29" s="27" t="e">
        <f>+#REF!+#REF!+#REF!+#REF!+#REF!+#REF!+#REF!+#REF!+#REF!+#REF!+#REF!+#REF!</f>
        <v>#REF!</v>
      </c>
      <c r="IY29" s="27" t="e">
        <f>+#REF!+#REF!+#REF!+#REF!+#REF!+#REF!+#REF!+#REF!+#REF!+#REF!+#REF!+#REF!</f>
        <v>#REF!</v>
      </c>
      <c r="IZ29" s="28" t="e">
        <f t="shared" si="62"/>
        <v>#REF!</v>
      </c>
      <c r="JA29" s="26" t="e">
        <f>+#REF!+#REF!+#REF!+#REF!+#REF!+#REF!+#REF!+#REF!+#REF!+#REF!+#REF!+#REF!</f>
        <v>#REF!</v>
      </c>
      <c r="JB29" s="36" t="e">
        <f>+#REF!+#REF!+#REF!+#REF!+#REF!+#REF!+#REF!+#REF!+#REF!+#REF!+#REF!+#REF!</f>
        <v>#REF!</v>
      </c>
      <c r="JC29" s="27" t="e">
        <f>+#REF!+#REF!+#REF!+#REF!+#REF!+#REF!+#REF!+#REF!+#REF!+#REF!+#REF!+#REF!</f>
        <v>#REF!</v>
      </c>
      <c r="JD29" s="27" t="e">
        <f>+#REF!+#REF!+#REF!+#REF!+#REF!+#REF!+#REF!+#REF!+#REF!+#REF!+#REF!+#REF!</f>
        <v>#REF!</v>
      </c>
      <c r="JE29" s="28" t="e">
        <f>+#REF!+#REF!+#REF!+#REF!+#REF!+#REF!+#REF!+#REF!+#REF!+#REF!+#REF!+#REF!</f>
        <v>#REF!</v>
      </c>
      <c r="JF29" s="26" t="e">
        <f>+#REF!+#REF!+#REF!+#REF!+#REF!+#REF!+#REF!+#REF!+#REF!+#REF!+#REF!+#REF!</f>
        <v>#REF!</v>
      </c>
      <c r="JG29" s="36" t="e">
        <f>+#REF!+#REF!+#REF!+#REF!+#REF!+#REF!+#REF!+#REF!+#REF!+#REF!+#REF!+#REF!</f>
        <v>#REF!</v>
      </c>
      <c r="JH29" s="27" t="e">
        <f>+#REF!+#REF!+#REF!+#REF!+#REF!+#REF!+#REF!+#REF!+#REF!+#REF!+#REF!+#REF!</f>
        <v>#REF!</v>
      </c>
      <c r="JI29" s="27" t="e">
        <f>+#REF!+#REF!+#REF!+#REF!+#REF!+#REF!+#REF!+#REF!+#REF!+#REF!+#REF!+#REF!</f>
        <v>#REF!</v>
      </c>
      <c r="JJ29" s="27" t="e">
        <f>+#REF!+#REF!+#REF!+#REF!+#REF!+#REF!+#REF!+#REF!+#REF!+#REF!+#REF!+#REF!</f>
        <v>#REF!</v>
      </c>
      <c r="JK29" s="28" t="e">
        <f t="shared" si="63"/>
        <v>#REF!</v>
      </c>
      <c r="JL29" s="26" t="e">
        <f>+#REF!+#REF!+#REF!+#REF!+#REF!+#REF!+#REF!+#REF!+#REF!+#REF!+#REF!+#REF!</f>
        <v>#REF!</v>
      </c>
      <c r="JM29" s="36" t="e">
        <f>+#REF!+#REF!+#REF!+#REF!+#REF!+#REF!+#REF!+#REF!+#REF!+#REF!+#REF!+#REF!</f>
        <v>#REF!</v>
      </c>
      <c r="JN29" s="27" t="e">
        <f>+#REF!+#REF!+#REF!+#REF!+#REF!+#REF!+#REF!+#REF!+#REF!+#REF!+#REF!+#REF!</f>
        <v>#REF!</v>
      </c>
      <c r="JO29" s="27" t="e">
        <f>+#REF!+#REF!+#REF!+#REF!+#REF!+#REF!+#REF!+#REF!+#REF!+#REF!+#REF!+#REF!</f>
        <v>#REF!</v>
      </c>
      <c r="JP29" s="28" t="e">
        <f>+#REF!+#REF!+#REF!+#REF!+#REF!+#REF!+#REF!+#REF!+#REF!+#REF!+#REF!+#REF!</f>
        <v>#REF!</v>
      </c>
      <c r="JQ29" s="275" t="e">
        <f t="shared" si="64"/>
        <v>#REF!</v>
      </c>
      <c r="JR29" s="36" t="e">
        <f>+#REF!+#REF!+#REF!+#REF!+#REF!+#REF!+#REF!+#REF!+#REF!+#REF!+#REF!+#REF!</f>
        <v>#REF!</v>
      </c>
      <c r="JS29" s="36" t="e">
        <f>+#REF!+#REF!+#REF!+#REF!+#REF!+#REF!+#REF!+#REF!+#REF!+#REF!+#REF!+#REF!</f>
        <v>#REF!</v>
      </c>
      <c r="JT29" s="27" t="e">
        <f>+#REF!+#REF!+#REF!+#REF!+#REF!+#REF!+#REF!+#REF!+#REF!+#REF!+#REF!+#REF!</f>
        <v>#REF!</v>
      </c>
      <c r="JU29" s="27" t="e">
        <f>+#REF!+#REF!+#REF!+#REF!+#REF!+#REF!+#REF!+#REF!+#REF!+#REF!+#REF!+#REF!</f>
        <v>#REF!</v>
      </c>
      <c r="JV29" s="27" t="e">
        <f>+#REF!+#REF!+#REF!+#REF!+#REF!+#REF!+#REF!+#REF!+#REF!+#REF!+#REF!+#REF!</f>
        <v>#REF!</v>
      </c>
      <c r="JW29" s="33" t="e">
        <f t="shared" si="65"/>
        <v>#REF!</v>
      </c>
      <c r="JX29" s="2688"/>
      <c r="JZ29" s="26" t="e">
        <f t="shared" si="66"/>
        <v>#REF!</v>
      </c>
      <c r="KA29" s="27" t="e">
        <f t="shared" si="67"/>
        <v>#REF!</v>
      </c>
      <c r="KB29" s="27" t="e">
        <f t="shared" si="68"/>
        <v>#REF!</v>
      </c>
      <c r="KC29" s="33" t="e">
        <f t="shared" si="69"/>
        <v>#REF!</v>
      </c>
      <c r="KD29" s="2621"/>
      <c r="KE29" s="36" t="e">
        <f t="shared" si="87"/>
        <v>#REF!</v>
      </c>
      <c r="KF29" s="36" t="e">
        <f t="shared" si="87"/>
        <v>#REF!</v>
      </c>
      <c r="KG29" s="27" t="e">
        <f t="shared" si="87"/>
        <v>#REF!</v>
      </c>
      <c r="KH29" s="28" t="e">
        <f t="shared" si="81"/>
        <v>#REF!</v>
      </c>
      <c r="KI29" s="36" t="e">
        <f t="shared" si="82"/>
        <v>#REF!</v>
      </c>
      <c r="KJ29" s="27" t="e">
        <f t="shared" si="88"/>
        <v>#REF!</v>
      </c>
      <c r="KK29" s="27" t="e">
        <f t="shared" si="88"/>
        <v>#REF!</v>
      </c>
      <c r="KL29" s="27" t="e">
        <f t="shared" si="88"/>
        <v>#REF!</v>
      </c>
      <c r="KM29" s="27" t="e">
        <f t="shared" si="88"/>
        <v>#REF!</v>
      </c>
      <c r="KN29" s="27" t="e">
        <f t="shared" si="88"/>
        <v>#REF!</v>
      </c>
      <c r="KO29" s="28" t="e">
        <f t="shared" si="83"/>
        <v>#REF!</v>
      </c>
      <c r="KP29" s="36" t="e">
        <f t="shared" si="89"/>
        <v>#REF!</v>
      </c>
      <c r="KQ29" s="27" t="e">
        <f t="shared" si="89"/>
        <v>#REF!</v>
      </c>
      <c r="KR29" s="27" t="e">
        <f t="shared" si="89"/>
        <v>#REF!</v>
      </c>
      <c r="KS29" s="27" t="e">
        <f t="shared" si="89"/>
        <v>#REF!</v>
      </c>
      <c r="KT29" s="27" t="e">
        <f t="shared" si="89"/>
        <v>#REF!</v>
      </c>
      <c r="KU29" s="27" t="e">
        <f t="shared" si="89"/>
        <v>#REF!</v>
      </c>
      <c r="KV29" s="28" t="e">
        <f t="shared" si="84"/>
        <v>#REF!</v>
      </c>
      <c r="KW29" s="36" t="e">
        <f t="shared" si="90"/>
        <v>#REF!</v>
      </c>
      <c r="KX29" s="27" t="e">
        <f t="shared" si="90"/>
        <v>#REF!</v>
      </c>
      <c r="KY29" s="27" t="e">
        <f t="shared" si="90"/>
        <v>#REF!</v>
      </c>
      <c r="KZ29" s="27" t="e">
        <f t="shared" si="90"/>
        <v>#REF!</v>
      </c>
      <c r="LA29" s="27" t="e">
        <f t="shared" si="90"/>
        <v>#REF!</v>
      </c>
      <c r="LB29" s="27" t="e">
        <f t="shared" si="90"/>
        <v>#REF!</v>
      </c>
      <c r="LC29" s="28" t="e">
        <f t="shared" si="85"/>
        <v>#REF!</v>
      </c>
      <c r="LD29" s="36"/>
      <c r="LE29" s="27"/>
      <c r="LF29" s="27"/>
      <c r="LG29" s="27"/>
      <c r="LH29" s="27"/>
      <c r="LI29" s="27"/>
      <c r="LJ29" s="28">
        <f t="shared" si="70"/>
        <v>0</v>
      </c>
      <c r="LK29" s="36" t="e">
        <f t="shared" si="91"/>
        <v>#REF!</v>
      </c>
      <c r="LL29" s="27" t="e">
        <f t="shared" si="91"/>
        <v>#REF!</v>
      </c>
      <c r="LM29" s="27" t="e">
        <f t="shared" si="91"/>
        <v>#REF!</v>
      </c>
      <c r="LN29" s="27" t="e">
        <f t="shared" si="91"/>
        <v>#REF!</v>
      </c>
      <c r="LO29" s="27" t="e">
        <f t="shared" si="91"/>
        <v>#REF!</v>
      </c>
      <c r="LP29" s="27" t="e">
        <f t="shared" si="91"/>
        <v>#REF!</v>
      </c>
      <c r="LQ29" s="33" t="e">
        <f t="shared" si="71"/>
        <v>#REF!</v>
      </c>
      <c r="LR29" s="2621"/>
      <c r="LT29" s="4" t="e">
        <f>+#REF!+#REF!+#REF!+#REF!+#REF!+#REF!+#REF!+#REF!+#REF!+#REF!+#REF!+#REF!</f>
        <v>#REF!</v>
      </c>
      <c r="LU29" s="5" t="e">
        <f>+#REF!+#REF!+#REF!+#REF!+#REF!+#REF!+#REF!+#REF!+#REF!+#REF!+#REF!+#REF!</f>
        <v>#REF!</v>
      </c>
      <c r="LV29" s="5" t="e">
        <f t="shared" si="72"/>
        <v>#REF!</v>
      </c>
      <c r="LW29" s="12" t="e">
        <f t="shared" si="86"/>
        <v>#REF!</v>
      </c>
      <c r="LX29" s="15"/>
      <c r="LY29" s="2615"/>
      <c r="MA29" s="4" t="e">
        <f>+#REF!+#REF!+#REF!+#REF!+#REF!+#REF!+#REF!+#REF!+#REF!+#REF!+#REF!+#REF!</f>
        <v>#REF!</v>
      </c>
      <c r="MB29" s="5" t="e">
        <f t="shared" si="73"/>
        <v>#REF!</v>
      </c>
      <c r="MC29" s="5" t="e">
        <f>+#REF!+#REF!+#REF!+#REF!+#REF!+#REF!+#REF!+#REF!+#REF!+#REF!+#REF!+#REF!</f>
        <v>#REF!</v>
      </c>
      <c r="MD29" s="5" t="e">
        <f t="shared" si="74"/>
        <v>#REF!</v>
      </c>
      <c r="ME29" s="12" t="e">
        <f t="shared" si="75"/>
        <v>#REF!</v>
      </c>
      <c r="MF29" s="12"/>
      <c r="MG29" s="2615"/>
      <c r="MI29" s="139" t="e">
        <f t="shared" si="76"/>
        <v>#REF!</v>
      </c>
      <c r="MJ29" s="139" t="e">
        <f t="shared" si="77"/>
        <v>#REF!</v>
      </c>
      <c r="ML29" s="139" t="e">
        <f t="shared" si="78"/>
        <v>#REF!</v>
      </c>
      <c r="MM29" s="139" t="e">
        <f t="shared" si="79"/>
        <v>#REF!</v>
      </c>
      <c r="MO29" s="1">
        <f t="shared" si="92"/>
        <v>0</v>
      </c>
      <c r="MP29" s="1">
        <f t="shared" si="92"/>
        <v>0</v>
      </c>
      <c r="MQ29" s="1">
        <f t="shared" si="92"/>
        <v>0</v>
      </c>
      <c r="MR29" s="1">
        <f t="shared" si="92"/>
        <v>0</v>
      </c>
      <c r="MS29" s="1">
        <f t="shared" si="92"/>
        <v>0</v>
      </c>
      <c r="MT29" s="1">
        <f t="shared" si="92"/>
        <v>0</v>
      </c>
      <c r="MV29" s="1">
        <f t="shared" si="93"/>
        <v>0</v>
      </c>
      <c r="MW29" s="1">
        <f t="shared" si="93"/>
        <v>0</v>
      </c>
      <c r="MX29" s="1">
        <f t="shared" si="93"/>
        <v>0</v>
      </c>
      <c r="MY29" s="1">
        <f t="shared" si="93"/>
        <v>0</v>
      </c>
      <c r="MZ29" s="1">
        <f t="shared" si="93"/>
        <v>0</v>
      </c>
      <c r="NA29" s="1">
        <f t="shared" si="93"/>
        <v>0</v>
      </c>
    </row>
    <row r="30" spans="2:365" s="1" customFormat="1">
      <c r="B30" s="46">
        <v>21</v>
      </c>
      <c r="C30" s="4" t="e">
        <f t="shared" si="0"/>
        <v>#REF!</v>
      </c>
      <c r="D30" s="5" t="e">
        <f t="shared" si="1"/>
        <v>#REF!</v>
      </c>
      <c r="E30" s="61">
        <f t="shared" si="14"/>
        <v>0</v>
      </c>
      <c r="F30" s="52"/>
      <c r="G30" s="53"/>
      <c r="H30" s="53"/>
      <c r="I30" s="54"/>
      <c r="J30" s="2629"/>
      <c r="K30" s="9" t="e">
        <f t="shared" si="15"/>
        <v>#REF!</v>
      </c>
      <c r="L30" s="5" t="e">
        <f t="shared" si="2"/>
        <v>#REF!</v>
      </c>
      <c r="M30" s="64">
        <f t="shared" si="16"/>
        <v>0</v>
      </c>
      <c r="N30" s="28"/>
      <c r="O30" s="36" t="e">
        <f t="shared" si="17"/>
        <v>#REF!</v>
      </c>
      <c r="P30" s="27" t="e">
        <f t="shared" si="17"/>
        <v>#REF!</v>
      </c>
      <c r="Q30" s="53">
        <f t="shared" si="18"/>
        <v>0</v>
      </c>
      <c r="R30" s="28"/>
      <c r="S30" s="36" t="e">
        <f t="shared" si="19"/>
        <v>#REF!</v>
      </c>
      <c r="T30" s="27" t="e">
        <f t="shared" si="19"/>
        <v>#REF!</v>
      </c>
      <c r="U30" s="53">
        <f t="shared" si="3"/>
        <v>0</v>
      </c>
      <c r="V30" s="28"/>
      <c r="W30" s="36" t="e">
        <f t="shared" si="20"/>
        <v>#REF!</v>
      </c>
      <c r="X30" s="27" t="e">
        <f t="shared" si="4"/>
        <v>#REF!</v>
      </c>
      <c r="Y30" s="53">
        <f t="shared" si="21"/>
        <v>0</v>
      </c>
      <c r="Z30" s="28"/>
      <c r="AA30" s="26" t="e">
        <f t="shared" si="22"/>
        <v>#REF!</v>
      </c>
      <c r="AB30" s="27" t="e">
        <f t="shared" si="22"/>
        <v>#REF!</v>
      </c>
      <c r="AC30" s="53">
        <f t="shared" si="23"/>
        <v>0</v>
      </c>
      <c r="AD30" s="33"/>
      <c r="AE30" s="2629"/>
      <c r="AF30" s="9" t="e">
        <f>+#REF!+#REF!+#REF!+#REF!+#REF!+#REF!+#REF!+#REF!+#REF!+#REF!+#REF!+#REF!</f>
        <v>#REF!</v>
      </c>
      <c r="AG30" s="5" t="e">
        <f>+#REF!+#REF!+#REF!+#REF!+#REF!+#REF!+#REF!+#REF!+#REF!+#REF!+#REF!+#REF!</f>
        <v>#REF!</v>
      </c>
      <c r="AH30" s="61">
        <f t="shared" si="24"/>
        <v>0</v>
      </c>
      <c r="AI30" s="36" t="e">
        <f>+#REF!+#REF!+#REF!+#REF!+#REF!+#REF!+#REF!+#REF!+#REF!+#REF!+#REF!+#REF!</f>
        <v>#REF!</v>
      </c>
      <c r="AJ30" s="27" t="e">
        <f>+#REF!+#REF!+#REF!+#REF!+#REF!+#REF!+#REF!+#REF!+#REF!+#REF!+#REF!+#REF!</f>
        <v>#REF!</v>
      </c>
      <c r="AK30" s="61">
        <f t="shared" si="25"/>
        <v>0</v>
      </c>
      <c r="AL30" s="36" t="e">
        <f>+#REF!+#REF!+#REF!+#REF!+#REF!+#REF!+#REF!+#REF!+#REF!+#REF!+#REF!+#REF!</f>
        <v>#REF!</v>
      </c>
      <c r="AM30" s="27" t="e">
        <f>+#REF!+#REF!+#REF!+#REF!+#REF!+#REF!+#REF!+#REF!+#REF!+#REF!+#REF!+#REF!</f>
        <v>#REF!</v>
      </c>
      <c r="AN30" s="61">
        <f t="shared" si="26"/>
        <v>0</v>
      </c>
      <c r="AO30" s="36" t="e">
        <f>+#REF!+#REF!+#REF!+#REF!+#REF!+#REF!+#REF!+#REF!+#REF!+#REF!+#REF!+#REF!</f>
        <v>#REF!</v>
      </c>
      <c r="AP30" s="27" t="e">
        <f>+#REF!+#REF!+#REF!+#REF!+#REF!+#REF!+#REF!+#REF!+#REF!+#REF!+#REF!+#REF!</f>
        <v>#REF!</v>
      </c>
      <c r="AQ30" s="61">
        <f t="shared" si="27"/>
        <v>0</v>
      </c>
      <c r="AR30" s="36" t="e">
        <f>+#REF!+#REF!+#REF!+#REF!+#REF!+#REF!+#REF!+#REF!+#REF!+#REF!+#REF!+#REF!</f>
        <v>#REF!</v>
      </c>
      <c r="AS30" s="27" t="e">
        <f>+#REF!+#REF!+#REF!+#REF!+#REF!+#REF!+#REF!+#REF!+#REF!+#REF!+#REF!+#REF!</f>
        <v>#REF!</v>
      </c>
      <c r="AT30" s="61">
        <f t="shared" si="28"/>
        <v>0</v>
      </c>
      <c r="AU30" s="36" t="e">
        <f>+#REF!+#REF!+#REF!+#REF!+#REF!+#REF!+#REF!+#REF!+#REF!+#REF!+#REF!+#REF!</f>
        <v>#REF!</v>
      </c>
      <c r="AV30" s="27" t="e">
        <f>+#REF!+#REF!+#REF!+#REF!+#REF!+#REF!+#REF!+#REF!+#REF!+#REF!+#REF!+#REF!</f>
        <v>#REF!</v>
      </c>
      <c r="AW30" s="61">
        <f t="shared" si="29"/>
        <v>0</v>
      </c>
      <c r="AX30" s="36" t="e">
        <f>+#REF!+#REF!+#REF!+#REF!+#REF!+#REF!+#REF!+#REF!+#REF!+#REF!+#REF!+#REF!</f>
        <v>#REF!</v>
      </c>
      <c r="AY30" s="27" t="e">
        <f>+#REF!+#REF!+#REF!+#REF!+#REF!+#REF!+#REF!+#REF!+#REF!+#REF!+#REF!+#REF!</f>
        <v>#REF!</v>
      </c>
      <c r="AZ30" s="61">
        <f t="shared" si="30"/>
        <v>0</v>
      </c>
      <c r="BA30" s="36" t="e">
        <f>+#REF!+#REF!+#REF!+#REF!+#REF!+#REF!+#REF!+#REF!+#REF!+#REF!+#REF!+#REF!</f>
        <v>#REF!</v>
      </c>
      <c r="BB30" s="27" t="e">
        <f>+#REF!+#REF!+#REF!+#REF!+#REF!+#REF!+#REF!+#REF!+#REF!+#REF!+#REF!+#REF!</f>
        <v>#REF!</v>
      </c>
      <c r="BC30" s="61">
        <f t="shared" si="31"/>
        <v>0</v>
      </c>
      <c r="BD30" s="36" t="e">
        <f>+#REF!+#REF!+#REF!+#REF!+#REF!+#REF!+#REF!+#REF!+#REF!+#REF!+#REF!+#REF!</f>
        <v>#REF!</v>
      </c>
      <c r="BE30" s="27" t="e">
        <f>+#REF!+#REF!+#REF!+#REF!+#REF!+#REF!+#REF!+#REF!+#REF!+#REF!+#REF!+#REF!</f>
        <v>#REF!</v>
      </c>
      <c r="BF30" s="61">
        <f t="shared" si="32"/>
        <v>0</v>
      </c>
      <c r="BG30" s="36" t="e">
        <f>+#REF!+#REF!+#REF!+#REF!+#REF!+#REF!+#REF!+#REF!+#REF!+#REF!+#REF!+#REF!</f>
        <v>#REF!</v>
      </c>
      <c r="BH30" s="27" t="e">
        <f>+#REF!+#REF!+#REF!+#REF!+#REF!+#REF!+#REF!+#REF!+#REF!+#REF!+#REF!+#REF!</f>
        <v>#REF!</v>
      </c>
      <c r="BI30" s="61">
        <f t="shared" si="33"/>
        <v>0</v>
      </c>
      <c r="BJ30" s="36" t="e">
        <f>+#REF!+#REF!+#REF!+#REF!+#REF!+#REF!+#REF!+#REF!+#REF!+#REF!+#REF!+#REF!</f>
        <v>#REF!</v>
      </c>
      <c r="BK30" s="27" t="e">
        <f>+#REF!+#REF!+#REF!+#REF!+#REF!+#REF!+#REF!+#REF!+#REF!+#REF!+#REF!+#REF!</f>
        <v>#REF!</v>
      </c>
      <c r="BL30" s="61">
        <f t="shared" si="34"/>
        <v>0</v>
      </c>
      <c r="BM30" s="36" t="e">
        <f>+#REF!+#REF!+#REF!+#REF!+#REF!+#REF!+#REF!+#REF!+#REF!+#REF!+#REF!+#REF!</f>
        <v>#REF!</v>
      </c>
      <c r="BN30" s="27" t="e">
        <f>+#REF!+#REF!+#REF!+#REF!+#REF!+#REF!+#REF!+#REF!+#REF!+#REF!+#REF!+#REF!</f>
        <v>#REF!</v>
      </c>
      <c r="BO30" s="54">
        <f t="shared" si="35"/>
        <v>0</v>
      </c>
      <c r="BP30" s="26" t="e">
        <f>+#REF!+#REF!+#REF!+#REF!+#REF!+#REF!+#REF!+#REF!+#REF!+#REF!+#REF!+#REF!</f>
        <v>#REF!</v>
      </c>
      <c r="BQ30" s="27" t="e">
        <f>+#REF!+#REF!+#REF!+#REF!+#REF!+#REF!+#REF!+#REF!+#REF!+#REF!+#REF!+#REF!</f>
        <v>#REF!</v>
      </c>
      <c r="BR30" s="61">
        <f t="shared" si="36"/>
        <v>0</v>
      </c>
      <c r="BS30" s="26" t="e">
        <f>+#REF!+#REF!+#REF!+#REF!+#REF!+#REF!+#REF!+#REF!+#REF!+#REF!+#REF!+#REF!</f>
        <v>#REF!</v>
      </c>
      <c r="BT30" s="27" t="e">
        <f>+#REF!+#REF!+#REF!+#REF!+#REF!+#REF!+#REF!+#REF!+#REF!+#REF!+#REF!+#REF!</f>
        <v>#REF!</v>
      </c>
      <c r="BU30" s="61">
        <f t="shared" si="37"/>
        <v>0</v>
      </c>
      <c r="BV30" s="150"/>
      <c r="BW30" s="9" t="e">
        <f>+#REF!+#REF!+#REF!+#REF!+#REF!+#REF!+#REF!+#REF!+#REF!+#REF!+#REF!+#REF!</f>
        <v>#REF!</v>
      </c>
      <c r="BX30" s="5" t="e">
        <f>+#REF!+#REF!+#REF!+#REF!+#REF!+#REF!+#REF!+#REF!+#REF!+#REF!+#REF!+#REF!</f>
        <v>#REF!</v>
      </c>
      <c r="BY30" s="5" t="e">
        <f>+#REF!+#REF!+#REF!+#REF!+#REF!+#REF!+#REF!+#REF!+#REF!+#REF!+#REF!+#REF!</f>
        <v>#REF!</v>
      </c>
      <c r="BZ30" s="5" t="e">
        <f>+#REF!+#REF!+#REF!+#REF!+#REF!+#REF!+#REF!+#REF!+#REF!+#REF!+#REF!+#REF!</f>
        <v>#REF!</v>
      </c>
      <c r="CA30" s="5" t="e">
        <f>+#REF!+#REF!+#REF!+#REF!+#REF!+#REF!+#REF!+#REF!+#REF!+#REF!+#REF!+#REF!</f>
        <v>#REF!</v>
      </c>
      <c r="CB30" s="5" t="e">
        <f t="shared" si="38"/>
        <v>#REF!</v>
      </c>
      <c r="CC30" s="33"/>
      <c r="CD30" s="2683"/>
      <c r="CF30" s="4" t="e">
        <f t="shared" si="39"/>
        <v>#REF!</v>
      </c>
      <c r="CG30" s="5" t="e">
        <f t="shared" si="5"/>
        <v>#REF!</v>
      </c>
      <c r="CH30" s="5" t="e">
        <f t="shared" si="5"/>
        <v>#REF!</v>
      </c>
      <c r="CI30" s="5" t="e">
        <f t="shared" si="5"/>
        <v>#REF!</v>
      </c>
      <c r="CJ30" s="5" t="e">
        <f t="shared" si="5"/>
        <v>#REF!</v>
      </c>
      <c r="CK30" s="5" t="e">
        <f t="shared" si="5"/>
        <v>#REF!</v>
      </c>
      <c r="CL30" s="33" t="e">
        <f t="shared" si="40"/>
        <v>#REF!</v>
      </c>
      <c r="CM30" s="2685"/>
      <c r="CN30" s="9" t="e">
        <f>+#REF!+#REF!+#REF!+#REF!+#REF!+#REF!+#REF!+#REF!+#REF!+#REF!+#REF!+#REF!</f>
        <v>#REF!</v>
      </c>
      <c r="CO30" s="5" t="e">
        <f>+#REF!+#REF!+#REF!+#REF!+#REF!+#REF!+#REF!+#REF!+#REF!+#REF!+#REF!+#REF!</f>
        <v>#REF!</v>
      </c>
      <c r="CP30" s="5" t="e">
        <f>+#REF!+#REF!+#REF!+#REF!+#REF!+#REF!+#REF!+#REF!+#REF!+#REF!+#REF!+#REF!</f>
        <v>#REF!</v>
      </c>
      <c r="CQ30" s="5" t="e">
        <f>+#REF!+#REF!+#REF!+#REF!+#REF!+#REF!+#REF!+#REF!+#REF!+#REF!+#REF!+#REF!</f>
        <v>#REF!</v>
      </c>
      <c r="CR30" s="5" t="e">
        <f>+#REF!+#REF!+#REF!+#REF!+#REF!+#REF!+#REF!+#REF!+#REF!+#REF!+#REF!+#REF!</f>
        <v>#REF!</v>
      </c>
      <c r="CS30" s="5" t="e">
        <f>+#REF!+#REF!+#REF!+#REF!+#REF!+#REF!+#REF!+#REF!+#REF!+#REF!+#REF!+#REF!</f>
        <v>#REF!</v>
      </c>
      <c r="CT30" s="28" t="e">
        <f t="shared" si="41"/>
        <v>#REF!</v>
      </c>
      <c r="CU30" s="36" t="e">
        <f>+#REF!+#REF!+#REF!+#REF!+#REF!+#REF!+#REF!+#REF!+#REF!+#REF!+#REF!+#REF!</f>
        <v>#REF!</v>
      </c>
      <c r="CV30" s="27" t="e">
        <f>+#REF!+#REF!+#REF!+#REF!+#REF!+#REF!+#REF!+#REF!+#REF!+#REF!+#REF!+#REF!</f>
        <v>#REF!</v>
      </c>
      <c r="CW30" s="27" t="e">
        <f>+#REF!+#REF!+#REF!+#REF!+#REF!+#REF!+#REF!+#REF!+#REF!+#REF!+#REF!+#REF!</f>
        <v>#REF!</v>
      </c>
      <c r="CX30" s="27" t="e">
        <f>+#REF!+#REF!+#REF!+#REF!+#REF!+#REF!+#REF!+#REF!+#REF!+#REF!+#REF!+#REF!</f>
        <v>#REF!</v>
      </c>
      <c r="CY30" s="27" t="e">
        <f>+#REF!+#REF!+#REF!+#REF!+#REF!+#REF!+#REF!+#REF!+#REF!+#REF!+#REF!+#REF!</f>
        <v>#REF!</v>
      </c>
      <c r="CZ30" s="27" t="e">
        <f>+#REF!+#REF!+#REF!+#REF!+#REF!+#REF!+#REF!+#REF!+#REF!+#REF!+#REF!+#REF!</f>
        <v>#REF!</v>
      </c>
      <c r="DA30" s="28" t="e">
        <f t="shared" si="42"/>
        <v>#REF!</v>
      </c>
      <c r="DB30" s="36" t="e">
        <f>+#REF!+#REF!+#REF!+#REF!+#REF!+#REF!+#REF!+#REF!+#REF!+#REF!+#REF!+#REF!</f>
        <v>#REF!</v>
      </c>
      <c r="DC30" s="27" t="e">
        <f>+#REF!+#REF!+#REF!+#REF!+#REF!+#REF!+#REF!+#REF!+#REF!+#REF!+#REF!+#REF!</f>
        <v>#REF!</v>
      </c>
      <c r="DD30" s="27" t="e">
        <f>+#REF!+#REF!+#REF!+#REF!+#REF!+#REF!+#REF!+#REF!+#REF!+#REF!+#REF!+#REF!</f>
        <v>#REF!</v>
      </c>
      <c r="DE30" s="27" t="e">
        <f>+#REF!+#REF!+#REF!+#REF!+#REF!+#REF!+#REF!+#REF!+#REF!+#REF!+#REF!+#REF!</f>
        <v>#REF!</v>
      </c>
      <c r="DF30" s="27" t="e">
        <f>+#REF!+#REF!+#REF!+#REF!+#REF!+#REF!+#REF!+#REF!+#REF!+#REF!+#REF!+#REF!</f>
        <v>#REF!</v>
      </c>
      <c r="DG30" s="27" t="e">
        <f>+#REF!+#REF!+#REF!+#REF!+#REF!+#REF!+#REF!+#REF!+#REF!+#REF!+#REF!+#REF!</f>
        <v>#REF!</v>
      </c>
      <c r="DH30" s="28" t="e">
        <f t="shared" si="43"/>
        <v>#REF!</v>
      </c>
      <c r="DI30" s="36" t="e">
        <f>+#REF!+#REF!+#REF!+#REF!+#REF!+#REF!+#REF!+#REF!+#REF!+#REF!+#REF!+#REF!</f>
        <v>#REF!</v>
      </c>
      <c r="DJ30" s="27" t="e">
        <f>+#REF!+#REF!+#REF!+#REF!+#REF!+#REF!+#REF!+#REF!+#REF!+#REF!+#REF!+#REF!</f>
        <v>#REF!</v>
      </c>
      <c r="DK30" s="27" t="e">
        <f>+#REF!+#REF!+#REF!+#REF!+#REF!+#REF!+#REF!+#REF!+#REF!+#REF!+#REF!+#REF!</f>
        <v>#REF!</v>
      </c>
      <c r="DL30" s="27" t="e">
        <f>+#REF!+#REF!+#REF!+#REF!+#REF!+#REF!+#REF!+#REF!+#REF!+#REF!+#REF!+#REF!</f>
        <v>#REF!</v>
      </c>
      <c r="DM30" s="27" t="e">
        <f>+#REF!+#REF!+#REF!+#REF!+#REF!+#REF!+#REF!+#REF!+#REF!+#REF!+#REF!+#REF!</f>
        <v>#REF!</v>
      </c>
      <c r="DN30" s="27" t="e">
        <f>+#REF!+#REF!+#REF!+#REF!+#REF!+#REF!+#REF!+#REF!+#REF!+#REF!+#REF!+#REF!</f>
        <v>#REF!</v>
      </c>
      <c r="DO30" s="33" t="e">
        <f t="shared" si="44"/>
        <v>#REF!</v>
      </c>
      <c r="DP30" s="2685"/>
      <c r="DR30" s="4" t="e">
        <f t="shared" si="45"/>
        <v>#REF!</v>
      </c>
      <c r="DS30" s="5" t="e">
        <f t="shared" si="46"/>
        <v>#REF!</v>
      </c>
      <c r="DT30" s="5" t="e">
        <f t="shared" si="47"/>
        <v>#REF!</v>
      </c>
      <c r="DU30" s="12" t="e">
        <f t="shared" si="48"/>
        <v>#REF!</v>
      </c>
      <c r="DV30" s="33"/>
      <c r="DW30" s="2674"/>
      <c r="DX30" s="9" t="e">
        <f>+#REF!+#REF!+#REF!+#REF!+#REF!+#REF!+#REF!+#REF!+#REF!+#REF!+#REF!+#REF!</f>
        <v>#REF!</v>
      </c>
      <c r="DY30" s="5" t="e">
        <f>+#REF!+#REF!+#REF!+#REF!+#REF!+#REF!+#REF!+#REF!+#REF!+#REF!+#REF!+#REF!</f>
        <v>#REF!</v>
      </c>
      <c r="DZ30" s="5" t="e">
        <f>+#REF!+#REF!+#REF!+#REF!+#REF!+#REF!+#REF!+#REF!+#REF!+#REF!+#REF!+#REF!</f>
        <v>#REF!</v>
      </c>
      <c r="EA30" s="5" t="e">
        <f>+#REF!+#REF!+#REF!+#REF!+#REF!+#REF!+#REF!+#REF!+#REF!+#REF!+#REF!+#REF!</f>
        <v>#REF!</v>
      </c>
      <c r="EB30" s="5" t="e">
        <f>+#REF!+#REF!+#REF!+#REF!+#REF!+#REF!+#REF!+#REF!+#REF!+#REF!+#REF!+#REF!</f>
        <v>#REF!</v>
      </c>
      <c r="EC30" s="27" t="e">
        <f>+#REF!+#REF!+#REF!+#REF!+#REF!+#REF!+#REF!+#REF!+#REF!+#REF!+#REF!+#REF!</f>
        <v>#REF!</v>
      </c>
      <c r="ED30" s="28" t="e">
        <f t="shared" si="49"/>
        <v>#REF!</v>
      </c>
      <c r="EE30" s="36" t="e">
        <f>+#REF!+#REF!+#REF!+#REF!+#REF!+#REF!+#REF!+#REF!+#REF!+#REF!+#REF!+#REF!</f>
        <v>#REF!</v>
      </c>
      <c r="EF30" s="27" t="e">
        <f>+#REF!+#REF!+#REF!+#REF!+#REF!+#REF!+#REF!+#REF!+#REF!+#REF!+#REF!+#REF!</f>
        <v>#REF!</v>
      </c>
      <c r="EG30" s="27" t="e">
        <f>+#REF!+#REF!+#REF!+#REF!+#REF!+#REF!+#REF!+#REF!+#REF!+#REF!+#REF!+#REF!</f>
        <v>#REF!</v>
      </c>
      <c r="EH30" s="27" t="e">
        <f>+#REF!+#REF!+#REF!+#REF!+#REF!+#REF!+#REF!+#REF!+#REF!+#REF!+#REF!+#REF!</f>
        <v>#REF!</v>
      </c>
      <c r="EI30" s="27" t="e">
        <f>+#REF!+#REF!+#REF!+#REF!+#REF!+#REF!+#REF!+#REF!+#REF!+#REF!+#REF!+#REF!</f>
        <v>#REF!</v>
      </c>
      <c r="EJ30" s="27" t="e">
        <f>+#REF!+#REF!+#REF!+#REF!+#REF!+#REF!+#REF!+#REF!+#REF!+#REF!+#REF!+#REF!</f>
        <v>#REF!</v>
      </c>
      <c r="EK30" s="28" t="e">
        <f t="shared" si="50"/>
        <v>#REF!</v>
      </c>
      <c r="EL30" s="36" t="e">
        <f>+#REF!+#REF!+#REF!+#REF!+#REF!+#REF!+#REF!+#REF!+#REF!+#REF!+#REF!+#REF!</f>
        <v>#REF!</v>
      </c>
      <c r="EM30" s="27" t="e">
        <f>+#REF!+#REF!+#REF!+#REF!+#REF!+#REF!+#REF!+#REF!+#REF!+#REF!+#REF!+#REF!</f>
        <v>#REF!</v>
      </c>
      <c r="EN30" s="27" t="e">
        <f>+#REF!+#REF!+#REF!+#REF!+#REF!+#REF!+#REF!+#REF!+#REF!+#REF!+#REF!+#REF!</f>
        <v>#REF!</v>
      </c>
      <c r="EO30" s="27" t="e">
        <f>+#REF!+#REF!+#REF!+#REF!+#REF!+#REF!+#REF!+#REF!+#REF!+#REF!+#REF!+#REF!</f>
        <v>#REF!</v>
      </c>
      <c r="EP30" s="27" t="e">
        <f>+#REF!+#REF!+#REF!+#REF!+#REF!+#REF!+#REF!+#REF!+#REF!+#REF!+#REF!+#REF!</f>
        <v>#REF!</v>
      </c>
      <c r="EQ30" s="27" t="e">
        <f>+#REF!+#REF!+#REF!+#REF!+#REF!+#REF!+#REF!+#REF!+#REF!+#REF!+#REF!+#REF!</f>
        <v>#REF!</v>
      </c>
      <c r="ER30" s="33" t="e">
        <f t="shared" si="51"/>
        <v>#REF!</v>
      </c>
      <c r="ES30" s="2674"/>
      <c r="EU30" s="4" t="e">
        <f t="shared" si="52"/>
        <v>#REF!</v>
      </c>
      <c r="EV30" s="5" t="e">
        <f t="shared" si="53"/>
        <v>#REF!</v>
      </c>
      <c r="EW30" s="27" t="e">
        <f t="shared" si="54"/>
        <v>#REF!</v>
      </c>
      <c r="EX30" s="27" t="e">
        <f t="shared" si="55"/>
        <v>#REF!</v>
      </c>
      <c r="EY30" s="141"/>
      <c r="EZ30" s="141"/>
      <c r="FA30" s="33"/>
      <c r="FB30" s="2667"/>
      <c r="FC30" s="36" t="e">
        <f>+#REF!+#REF!+#REF!+#REF!+#REF!+#REF!+#REF!+#REF!+#REF!+#REF!+#REF!+#REF!</f>
        <v>#REF!</v>
      </c>
      <c r="FD30" s="27" t="e">
        <f>+#REF!+#REF!+#REF!+#REF!+#REF!+#REF!+#REF!+#REF!+#REF!+#REF!+#REF!+#REF!</f>
        <v>#REF!</v>
      </c>
      <c r="FE30" s="27"/>
      <c r="FF30" s="27"/>
      <c r="FG30" s="33" t="e">
        <f t="shared" si="56"/>
        <v>#REF!</v>
      </c>
      <c r="FH30" s="2667"/>
      <c r="FI30" s="36" t="e">
        <f>+#REF!+#REF!+#REF!+#REF!+#REF!+#REF!+#REF!+#REF!+#REF!+#REF!+#REF!+#REF!</f>
        <v>#REF!</v>
      </c>
      <c r="FJ30" s="27" t="e">
        <f>+#REF!+#REF!+#REF!+#REF!+#REF!+#REF!+#REF!+#REF!+#REF!+#REF!+#REF!+#REF!</f>
        <v>#REF!</v>
      </c>
      <c r="FK30" s="27" t="e">
        <f>+#REF!+#REF!+#REF!+#REF!+#REF!+#REF!+#REF!+#REF!+#REF!+#REF!+#REF!+#REF!</f>
        <v>#REF!</v>
      </c>
      <c r="FL30" s="27" t="e">
        <f>+#REF!+#REF!+#REF!+#REF!+#REF!+#REF!+#REF!+#REF!+#REF!+#REF!+#REF!+#REF!</f>
        <v>#REF!</v>
      </c>
      <c r="FM30" s="27" t="e">
        <f>+#REF!+#REF!+#REF!+#REF!+#REF!+#REF!+#REF!+#REF!+#REF!+#REF!+#REF!+#REF!</f>
        <v>#REF!</v>
      </c>
      <c r="FN30" s="27" t="e">
        <f>+#REF!+#REF!+#REF!+#REF!+#REF!+#REF!+#REF!+#REF!+#REF!+#REF!+#REF!+#REF!</f>
        <v>#REF!</v>
      </c>
      <c r="FO30" s="27" t="e">
        <f>+#REF!+#REF!+#REF!+#REF!+#REF!+#REF!+#REF!+#REF!+#REF!+#REF!+#REF!+#REF!</f>
        <v>#REF!</v>
      </c>
      <c r="FP30" s="27" t="e">
        <f>+#REF!+#REF!+#REF!+#REF!+#REF!+#REF!+#REF!+#REF!+#REF!+#REF!+#REF!+#REF!</f>
        <v>#REF!</v>
      </c>
      <c r="FQ30" s="28" t="e">
        <f t="shared" si="80"/>
        <v>#REF!</v>
      </c>
      <c r="FR30" s="26" t="e">
        <f>+#REF!+#REF!+#REF!+#REF!+#REF!+#REF!+#REF!+#REF!+#REF!+#REF!+#REF!+#REF!</f>
        <v>#REF!</v>
      </c>
      <c r="FS30" s="27" t="e">
        <f>+#REF!+#REF!+#REF!+#REF!+#REF!+#REF!+#REF!+#REF!+#REF!+#REF!+#REF!+#REF!</f>
        <v>#REF!</v>
      </c>
      <c r="FT30" s="27" t="e">
        <f>+#REF!+#REF!+#REF!+#REF!+#REF!+#REF!+#REF!+#REF!+#REF!+#REF!+#REF!+#REF!</f>
        <v>#REF!</v>
      </c>
      <c r="FU30" s="27" t="e">
        <f>+#REF!+#REF!+#REF!+#REF!+#REF!+#REF!+#REF!+#REF!+#REF!+#REF!+#REF!+#REF!</f>
        <v>#REF!</v>
      </c>
      <c r="FV30" s="27" t="e">
        <f>+#REF!+#REF!+#REF!+#REF!+#REF!+#REF!+#REF!+#REF!+#REF!+#REF!+#REF!+#REF!</f>
        <v>#REF!</v>
      </c>
      <c r="FW30" s="27" t="e">
        <f>+#REF!+#REF!+#REF!+#REF!+#REF!+#REF!+#REF!+#REF!+#REF!+#REF!+#REF!+#REF!</f>
        <v>#REF!</v>
      </c>
      <c r="FX30" s="27" t="e">
        <f>+#REF!+#REF!+#REF!+#REF!+#REF!+#REF!+#REF!+#REF!+#REF!+#REF!+#REF!+#REF!</f>
        <v>#REF!</v>
      </c>
      <c r="FY30" s="27" t="e">
        <f>+#REF!+#REF!+#REF!+#REF!+#REF!+#REF!+#REF!+#REF!+#REF!+#REF!+#REF!+#REF!</f>
        <v>#REF!</v>
      </c>
      <c r="FZ30" s="28" t="e">
        <f t="shared" si="57"/>
        <v>#REF!</v>
      </c>
      <c r="GA30" s="36" t="e">
        <f>+#REF!+#REF!+#REF!+#REF!+#REF!+#REF!+#REF!+#REF!+#REF!+#REF!+#REF!+#REF!</f>
        <v>#REF!</v>
      </c>
      <c r="GB30" s="27" t="e">
        <f>+#REF!+#REF!+#REF!+#REF!+#REF!+#REF!+#REF!+#REF!+#REF!+#REF!+#REF!+#REF!</f>
        <v>#REF!</v>
      </c>
      <c r="GC30" s="27" t="e">
        <f>+#REF!+#REF!+#REF!+#REF!+#REF!+#REF!+#REF!+#REF!+#REF!+#REF!+#REF!+#REF!</f>
        <v>#REF!</v>
      </c>
      <c r="GD30" s="27" t="e">
        <f>+#REF!+#REF!+#REF!+#REF!+#REF!+#REF!+#REF!+#REF!+#REF!+#REF!+#REF!+#REF!</f>
        <v>#REF!</v>
      </c>
      <c r="GE30" s="27" t="e">
        <f>+#REF!+#REF!+#REF!+#REF!+#REF!+#REF!+#REF!+#REF!+#REF!+#REF!+#REF!+#REF!</f>
        <v>#REF!</v>
      </c>
      <c r="GF30" s="27" t="e">
        <f>+#REF!+#REF!+#REF!+#REF!+#REF!+#REF!+#REF!+#REF!+#REF!+#REF!+#REF!+#REF!</f>
        <v>#REF!</v>
      </c>
      <c r="GG30" s="27" t="e">
        <f>+#REF!+#REF!+#REF!+#REF!+#REF!+#REF!+#REF!+#REF!+#REF!+#REF!+#REF!+#REF!</f>
        <v>#REF!</v>
      </c>
      <c r="GH30" s="27" t="e">
        <f>+#REF!+#REF!+#REF!+#REF!+#REF!+#REF!+#REF!+#REF!+#REF!+#REF!+#REF!+#REF!</f>
        <v>#REF!</v>
      </c>
      <c r="GI30" s="33" t="e">
        <f t="shared" si="58"/>
        <v>#REF!</v>
      </c>
      <c r="GJ30" s="2667"/>
      <c r="GL30" s="26" t="e">
        <f>+#REF!+#REF!+#REF!+#REF!+#REF!+#REF!+#REF!+#REF!+#REF!+#REF!+#REF!+#REF!</f>
        <v>#REF!</v>
      </c>
      <c r="GM30" s="36" t="e">
        <f>+#REF!+#REF!+#REF!+#REF!+#REF!+#REF!+#REF!+#REF!+#REF!+#REF!+#REF!+#REF!</f>
        <v>#REF!</v>
      </c>
      <c r="GN30" s="27" t="e">
        <f>+#REF!+#REF!+#REF!+#REF!+#REF!+#REF!+#REF!+#REF!+#REF!+#REF!+#REF!+#REF!</f>
        <v>#REF!</v>
      </c>
      <c r="GO30" s="27" t="e">
        <f t="shared" si="59"/>
        <v>#REF!</v>
      </c>
      <c r="GP30" s="33"/>
      <c r="GQ30" s="2669"/>
      <c r="GR30" s="69"/>
      <c r="GS30" s="70"/>
      <c r="GT30" s="70"/>
      <c r="GU30" s="70"/>
      <c r="GV30" s="70"/>
      <c r="GW30" s="70"/>
      <c r="GX30" s="70"/>
      <c r="GY30" s="71"/>
      <c r="GZ30" s="69"/>
      <c r="HA30" s="70"/>
      <c r="HB30" s="70"/>
      <c r="HC30" s="70"/>
      <c r="HD30" s="70"/>
      <c r="HE30" s="70"/>
      <c r="HF30" s="70"/>
      <c r="HG30" s="71"/>
      <c r="HH30" s="69"/>
      <c r="HI30" s="70"/>
      <c r="HJ30" s="70"/>
      <c r="HK30" s="70"/>
      <c r="HL30" s="70"/>
      <c r="HM30" s="70"/>
      <c r="HN30" s="70"/>
      <c r="HO30" s="70"/>
      <c r="HP30" s="33"/>
      <c r="HQ30" s="2669"/>
      <c r="HR30" s="36"/>
      <c r="HS30" s="53"/>
      <c r="HT30" s="53"/>
      <c r="HU30" s="53"/>
      <c r="HV30" s="61"/>
      <c r="HW30" s="36"/>
      <c r="HX30" s="53"/>
      <c r="HY30" s="53"/>
      <c r="HZ30" s="53"/>
      <c r="IA30" s="61"/>
      <c r="IB30" s="36"/>
      <c r="IC30" s="53"/>
      <c r="ID30" s="53"/>
      <c r="IE30" s="53"/>
      <c r="IF30" s="53"/>
      <c r="IG30" s="33"/>
      <c r="IH30" s="2669"/>
      <c r="IJ30" s="26" t="e">
        <f t="shared" si="60"/>
        <v>#REF!</v>
      </c>
      <c r="IK30" s="36" t="e">
        <f t="shared" si="6"/>
        <v>#REF!</v>
      </c>
      <c r="IL30" s="27" t="e">
        <f t="shared" si="6"/>
        <v>#REF!</v>
      </c>
      <c r="IM30" s="28" t="e">
        <f t="shared" si="61"/>
        <v>#REF!</v>
      </c>
      <c r="IN30" s="36"/>
      <c r="IO30" s="27"/>
      <c r="IP30" s="27"/>
      <c r="IQ30" s="33"/>
      <c r="IR30" s="55"/>
      <c r="IS30" s="21"/>
      <c r="IT30" s="2688"/>
      <c r="IU30" s="36" t="e">
        <f>+#REF!+#REF!+#REF!+#REF!+#REF!+#REF!+#REF!+#REF!+#REF!+#REF!+#REF!+#REF!</f>
        <v>#REF!</v>
      </c>
      <c r="IV30" s="36" t="e">
        <f>+#REF!+#REF!+#REF!+#REF!+#REF!+#REF!+#REF!+#REF!+#REF!+#REF!+#REF!+#REF!</f>
        <v>#REF!</v>
      </c>
      <c r="IW30" s="27" t="e">
        <f>+#REF!+#REF!+#REF!+#REF!+#REF!+#REF!+#REF!+#REF!+#REF!+#REF!+#REF!+#REF!</f>
        <v>#REF!</v>
      </c>
      <c r="IX30" s="27" t="e">
        <f>+#REF!+#REF!+#REF!+#REF!+#REF!+#REF!+#REF!+#REF!+#REF!+#REF!+#REF!+#REF!</f>
        <v>#REF!</v>
      </c>
      <c r="IY30" s="27" t="e">
        <f>+#REF!+#REF!+#REF!+#REF!+#REF!+#REF!+#REF!+#REF!+#REF!+#REF!+#REF!+#REF!</f>
        <v>#REF!</v>
      </c>
      <c r="IZ30" s="28" t="e">
        <f t="shared" si="62"/>
        <v>#REF!</v>
      </c>
      <c r="JA30" s="26" t="e">
        <f>+#REF!+#REF!+#REF!+#REF!+#REF!+#REF!+#REF!+#REF!+#REF!+#REF!+#REF!+#REF!</f>
        <v>#REF!</v>
      </c>
      <c r="JB30" s="36" t="e">
        <f>+#REF!+#REF!+#REF!+#REF!+#REF!+#REF!+#REF!+#REF!+#REF!+#REF!+#REF!+#REF!</f>
        <v>#REF!</v>
      </c>
      <c r="JC30" s="27" t="e">
        <f>+#REF!+#REF!+#REF!+#REF!+#REF!+#REF!+#REF!+#REF!+#REF!+#REF!+#REF!+#REF!</f>
        <v>#REF!</v>
      </c>
      <c r="JD30" s="27" t="e">
        <f>+#REF!+#REF!+#REF!+#REF!+#REF!+#REF!+#REF!+#REF!+#REF!+#REF!+#REF!+#REF!</f>
        <v>#REF!</v>
      </c>
      <c r="JE30" s="28" t="e">
        <f>+#REF!+#REF!+#REF!+#REF!+#REF!+#REF!+#REF!+#REF!+#REF!+#REF!+#REF!+#REF!</f>
        <v>#REF!</v>
      </c>
      <c r="JF30" s="26" t="e">
        <f>+#REF!+#REF!+#REF!+#REF!+#REF!+#REF!+#REF!+#REF!+#REF!+#REF!+#REF!+#REF!</f>
        <v>#REF!</v>
      </c>
      <c r="JG30" s="36" t="e">
        <f>+#REF!+#REF!+#REF!+#REF!+#REF!+#REF!+#REF!+#REF!+#REF!+#REF!+#REF!+#REF!</f>
        <v>#REF!</v>
      </c>
      <c r="JH30" s="27" t="e">
        <f>+#REF!+#REF!+#REF!+#REF!+#REF!+#REF!+#REF!+#REF!+#REF!+#REF!+#REF!+#REF!</f>
        <v>#REF!</v>
      </c>
      <c r="JI30" s="27" t="e">
        <f>+#REF!+#REF!+#REF!+#REF!+#REF!+#REF!+#REF!+#REF!+#REF!+#REF!+#REF!+#REF!</f>
        <v>#REF!</v>
      </c>
      <c r="JJ30" s="27" t="e">
        <f>+#REF!+#REF!+#REF!+#REF!+#REF!+#REF!+#REF!+#REF!+#REF!+#REF!+#REF!+#REF!</f>
        <v>#REF!</v>
      </c>
      <c r="JK30" s="28" t="e">
        <f t="shared" si="63"/>
        <v>#REF!</v>
      </c>
      <c r="JL30" s="26" t="e">
        <f>+#REF!+#REF!+#REF!+#REF!+#REF!+#REF!+#REF!+#REF!+#REF!+#REF!+#REF!+#REF!</f>
        <v>#REF!</v>
      </c>
      <c r="JM30" s="36" t="e">
        <f>+#REF!+#REF!+#REF!+#REF!+#REF!+#REF!+#REF!+#REF!+#REF!+#REF!+#REF!+#REF!</f>
        <v>#REF!</v>
      </c>
      <c r="JN30" s="27" t="e">
        <f>+#REF!+#REF!+#REF!+#REF!+#REF!+#REF!+#REF!+#REF!+#REF!+#REF!+#REF!+#REF!</f>
        <v>#REF!</v>
      </c>
      <c r="JO30" s="27" t="e">
        <f>+#REF!+#REF!+#REF!+#REF!+#REF!+#REF!+#REF!+#REF!+#REF!+#REF!+#REF!+#REF!</f>
        <v>#REF!</v>
      </c>
      <c r="JP30" s="28" t="e">
        <f>+#REF!+#REF!+#REF!+#REF!+#REF!+#REF!+#REF!+#REF!+#REF!+#REF!+#REF!+#REF!</f>
        <v>#REF!</v>
      </c>
      <c r="JQ30" s="275" t="e">
        <f t="shared" si="64"/>
        <v>#REF!</v>
      </c>
      <c r="JR30" s="36" t="e">
        <f>+#REF!+#REF!+#REF!+#REF!+#REF!+#REF!+#REF!+#REF!+#REF!+#REF!+#REF!+#REF!</f>
        <v>#REF!</v>
      </c>
      <c r="JS30" s="36" t="e">
        <f>+#REF!+#REF!+#REF!+#REF!+#REF!+#REF!+#REF!+#REF!+#REF!+#REF!+#REF!+#REF!</f>
        <v>#REF!</v>
      </c>
      <c r="JT30" s="27" t="e">
        <f>+#REF!+#REF!+#REF!+#REF!+#REF!+#REF!+#REF!+#REF!+#REF!+#REF!+#REF!+#REF!</f>
        <v>#REF!</v>
      </c>
      <c r="JU30" s="27" t="e">
        <f>+#REF!+#REF!+#REF!+#REF!+#REF!+#REF!+#REF!+#REF!+#REF!+#REF!+#REF!+#REF!</f>
        <v>#REF!</v>
      </c>
      <c r="JV30" s="27" t="e">
        <f>+#REF!+#REF!+#REF!+#REF!+#REF!+#REF!+#REF!+#REF!+#REF!+#REF!+#REF!+#REF!</f>
        <v>#REF!</v>
      </c>
      <c r="JW30" s="33" t="e">
        <f t="shared" si="65"/>
        <v>#REF!</v>
      </c>
      <c r="JX30" s="2688"/>
      <c r="JZ30" s="26" t="e">
        <f t="shared" si="66"/>
        <v>#REF!</v>
      </c>
      <c r="KA30" s="27" t="e">
        <f t="shared" si="67"/>
        <v>#REF!</v>
      </c>
      <c r="KB30" s="27" t="e">
        <f t="shared" si="68"/>
        <v>#REF!</v>
      </c>
      <c r="KC30" s="33" t="e">
        <f t="shared" si="69"/>
        <v>#REF!</v>
      </c>
      <c r="KD30" s="2621"/>
      <c r="KE30" s="36" t="e">
        <f t="shared" si="87"/>
        <v>#REF!</v>
      </c>
      <c r="KF30" s="36" t="e">
        <f t="shared" si="87"/>
        <v>#REF!</v>
      </c>
      <c r="KG30" s="27" t="e">
        <f t="shared" si="87"/>
        <v>#REF!</v>
      </c>
      <c r="KH30" s="28" t="e">
        <f t="shared" si="81"/>
        <v>#REF!</v>
      </c>
      <c r="KI30" s="36" t="e">
        <f t="shared" si="82"/>
        <v>#REF!</v>
      </c>
      <c r="KJ30" s="27" t="e">
        <f t="shared" si="88"/>
        <v>#REF!</v>
      </c>
      <c r="KK30" s="27" t="e">
        <f t="shared" si="88"/>
        <v>#REF!</v>
      </c>
      <c r="KL30" s="27" t="e">
        <f t="shared" si="88"/>
        <v>#REF!</v>
      </c>
      <c r="KM30" s="27" t="e">
        <f t="shared" si="88"/>
        <v>#REF!</v>
      </c>
      <c r="KN30" s="27" t="e">
        <f t="shared" si="88"/>
        <v>#REF!</v>
      </c>
      <c r="KO30" s="28" t="e">
        <f t="shared" si="83"/>
        <v>#REF!</v>
      </c>
      <c r="KP30" s="36" t="e">
        <f t="shared" si="89"/>
        <v>#REF!</v>
      </c>
      <c r="KQ30" s="27" t="e">
        <f t="shared" si="89"/>
        <v>#REF!</v>
      </c>
      <c r="KR30" s="27" t="e">
        <f t="shared" si="89"/>
        <v>#REF!</v>
      </c>
      <c r="KS30" s="27" t="e">
        <f t="shared" si="89"/>
        <v>#REF!</v>
      </c>
      <c r="KT30" s="27" t="e">
        <f t="shared" si="89"/>
        <v>#REF!</v>
      </c>
      <c r="KU30" s="27" t="e">
        <f t="shared" si="89"/>
        <v>#REF!</v>
      </c>
      <c r="KV30" s="28" t="e">
        <f t="shared" si="84"/>
        <v>#REF!</v>
      </c>
      <c r="KW30" s="36" t="e">
        <f t="shared" si="90"/>
        <v>#REF!</v>
      </c>
      <c r="KX30" s="27" t="e">
        <f t="shared" si="90"/>
        <v>#REF!</v>
      </c>
      <c r="KY30" s="27" t="e">
        <f t="shared" si="90"/>
        <v>#REF!</v>
      </c>
      <c r="KZ30" s="27" t="e">
        <f t="shared" si="90"/>
        <v>#REF!</v>
      </c>
      <c r="LA30" s="27" t="e">
        <f t="shared" si="90"/>
        <v>#REF!</v>
      </c>
      <c r="LB30" s="27" t="e">
        <f t="shared" si="90"/>
        <v>#REF!</v>
      </c>
      <c r="LC30" s="28" t="e">
        <f t="shared" si="85"/>
        <v>#REF!</v>
      </c>
      <c r="LD30" s="36"/>
      <c r="LE30" s="27"/>
      <c r="LF30" s="27"/>
      <c r="LG30" s="27"/>
      <c r="LH30" s="27"/>
      <c r="LI30" s="27"/>
      <c r="LJ30" s="28">
        <f t="shared" si="70"/>
        <v>0</v>
      </c>
      <c r="LK30" s="36" t="e">
        <f t="shared" si="91"/>
        <v>#REF!</v>
      </c>
      <c r="LL30" s="27" t="e">
        <f t="shared" si="91"/>
        <v>#REF!</v>
      </c>
      <c r="LM30" s="27" t="e">
        <f t="shared" si="91"/>
        <v>#REF!</v>
      </c>
      <c r="LN30" s="27" t="e">
        <f t="shared" si="91"/>
        <v>#REF!</v>
      </c>
      <c r="LO30" s="27" t="e">
        <f t="shared" si="91"/>
        <v>#REF!</v>
      </c>
      <c r="LP30" s="27" t="e">
        <f t="shared" si="91"/>
        <v>#REF!</v>
      </c>
      <c r="LQ30" s="33" t="e">
        <f t="shared" si="71"/>
        <v>#REF!</v>
      </c>
      <c r="LR30" s="2621"/>
      <c r="LT30" s="4" t="e">
        <f>+#REF!+#REF!+#REF!+#REF!+#REF!+#REF!+#REF!+#REF!+#REF!+#REF!+#REF!+#REF!</f>
        <v>#REF!</v>
      </c>
      <c r="LU30" s="5" t="e">
        <f>+#REF!+#REF!+#REF!+#REF!+#REF!+#REF!+#REF!+#REF!+#REF!+#REF!+#REF!+#REF!</f>
        <v>#REF!</v>
      </c>
      <c r="LV30" s="5" t="e">
        <f t="shared" si="72"/>
        <v>#REF!</v>
      </c>
      <c r="LW30" s="12" t="e">
        <f t="shared" si="86"/>
        <v>#REF!</v>
      </c>
      <c r="LX30" s="15"/>
      <c r="LY30" s="2615"/>
      <c r="MA30" s="4" t="e">
        <f>+#REF!+#REF!+#REF!+#REF!+#REF!+#REF!+#REF!+#REF!+#REF!+#REF!+#REF!+#REF!</f>
        <v>#REF!</v>
      </c>
      <c r="MB30" s="5" t="e">
        <f t="shared" si="73"/>
        <v>#REF!</v>
      </c>
      <c r="MC30" s="5" t="e">
        <f>+#REF!+#REF!+#REF!+#REF!+#REF!+#REF!+#REF!+#REF!+#REF!+#REF!+#REF!+#REF!</f>
        <v>#REF!</v>
      </c>
      <c r="MD30" s="5" t="e">
        <f t="shared" si="74"/>
        <v>#REF!</v>
      </c>
      <c r="ME30" s="12" t="e">
        <f t="shared" si="75"/>
        <v>#REF!</v>
      </c>
      <c r="MF30" s="12"/>
      <c r="MG30" s="2615"/>
      <c r="MI30" s="139" t="e">
        <f t="shared" si="76"/>
        <v>#REF!</v>
      </c>
      <c r="MJ30" s="139" t="e">
        <f t="shared" si="77"/>
        <v>#REF!</v>
      </c>
      <c r="ML30" s="139" t="e">
        <f t="shared" si="78"/>
        <v>#REF!</v>
      </c>
      <c r="MM30" s="139" t="e">
        <f t="shared" si="79"/>
        <v>#REF!</v>
      </c>
      <c r="MO30" s="1">
        <f t="shared" si="92"/>
        <v>0</v>
      </c>
      <c r="MP30" s="1">
        <f t="shared" si="92"/>
        <v>0</v>
      </c>
      <c r="MQ30" s="1">
        <f t="shared" si="92"/>
        <v>0</v>
      </c>
      <c r="MR30" s="1">
        <f t="shared" si="92"/>
        <v>0</v>
      </c>
      <c r="MS30" s="1">
        <f t="shared" si="92"/>
        <v>0</v>
      </c>
      <c r="MT30" s="1">
        <f t="shared" si="92"/>
        <v>0</v>
      </c>
      <c r="MV30" s="1">
        <f t="shared" si="93"/>
        <v>0</v>
      </c>
      <c r="MW30" s="1">
        <f t="shared" si="93"/>
        <v>0</v>
      </c>
      <c r="MX30" s="1">
        <f t="shared" si="93"/>
        <v>0</v>
      </c>
      <c r="MY30" s="1">
        <f t="shared" si="93"/>
        <v>0</v>
      </c>
      <c r="MZ30" s="1">
        <f t="shared" si="93"/>
        <v>0</v>
      </c>
      <c r="NA30" s="1">
        <f t="shared" si="93"/>
        <v>0</v>
      </c>
    </row>
    <row r="31" spans="2:365" s="1" customFormat="1">
      <c r="B31" s="46">
        <v>22</v>
      </c>
      <c r="C31" s="4" t="e">
        <f t="shared" si="0"/>
        <v>#REF!</v>
      </c>
      <c r="D31" s="5" t="e">
        <f t="shared" si="1"/>
        <v>#REF!</v>
      </c>
      <c r="E31" s="61">
        <f t="shared" si="14"/>
        <v>0</v>
      </c>
      <c r="F31" s="52"/>
      <c r="G31" s="53"/>
      <c r="H31" s="53"/>
      <c r="I31" s="54"/>
      <c r="J31" s="2629"/>
      <c r="K31" s="9" t="e">
        <f t="shared" si="15"/>
        <v>#REF!</v>
      </c>
      <c r="L31" s="5" t="e">
        <f t="shared" si="2"/>
        <v>#REF!</v>
      </c>
      <c r="M31" s="64">
        <f t="shared" si="16"/>
        <v>0</v>
      </c>
      <c r="N31" s="28"/>
      <c r="O31" s="36" t="e">
        <f t="shared" si="17"/>
        <v>#REF!</v>
      </c>
      <c r="P31" s="27" t="e">
        <f t="shared" si="17"/>
        <v>#REF!</v>
      </c>
      <c r="Q31" s="53">
        <f t="shared" si="18"/>
        <v>0</v>
      </c>
      <c r="R31" s="28"/>
      <c r="S31" s="36" t="e">
        <f t="shared" si="19"/>
        <v>#REF!</v>
      </c>
      <c r="T31" s="27" t="e">
        <f t="shared" si="19"/>
        <v>#REF!</v>
      </c>
      <c r="U31" s="53">
        <f t="shared" si="3"/>
        <v>0</v>
      </c>
      <c r="V31" s="28"/>
      <c r="W31" s="36" t="e">
        <f t="shared" si="20"/>
        <v>#REF!</v>
      </c>
      <c r="X31" s="27" t="e">
        <f t="shared" si="4"/>
        <v>#REF!</v>
      </c>
      <c r="Y31" s="53">
        <f t="shared" si="21"/>
        <v>0</v>
      </c>
      <c r="Z31" s="28"/>
      <c r="AA31" s="26" t="e">
        <f t="shared" si="22"/>
        <v>#REF!</v>
      </c>
      <c r="AB31" s="27" t="e">
        <f t="shared" si="22"/>
        <v>#REF!</v>
      </c>
      <c r="AC31" s="53">
        <f t="shared" si="23"/>
        <v>0</v>
      </c>
      <c r="AD31" s="33"/>
      <c r="AE31" s="2629"/>
      <c r="AF31" s="9" t="e">
        <f>+#REF!+#REF!+#REF!+#REF!+#REF!+#REF!+#REF!+#REF!+#REF!+#REF!+#REF!+#REF!</f>
        <v>#REF!</v>
      </c>
      <c r="AG31" s="5" t="e">
        <f>+#REF!+#REF!+#REF!+#REF!+#REF!+#REF!+#REF!+#REF!+#REF!+#REF!+#REF!+#REF!</f>
        <v>#REF!</v>
      </c>
      <c r="AH31" s="61">
        <f t="shared" si="24"/>
        <v>0</v>
      </c>
      <c r="AI31" s="36" t="e">
        <f>+#REF!+#REF!+#REF!+#REF!+#REF!+#REF!+#REF!+#REF!+#REF!+#REF!+#REF!+#REF!</f>
        <v>#REF!</v>
      </c>
      <c r="AJ31" s="27" t="e">
        <f>+#REF!+#REF!+#REF!+#REF!+#REF!+#REF!+#REF!+#REF!+#REF!+#REF!+#REF!+#REF!</f>
        <v>#REF!</v>
      </c>
      <c r="AK31" s="61">
        <f t="shared" si="25"/>
        <v>0</v>
      </c>
      <c r="AL31" s="36" t="e">
        <f>+#REF!+#REF!+#REF!+#REF!+#REF!+#REF!+#REF!+#REF!+#REF!+#REF!+#REF!+#REF!</f>
        <v>#REF!</v>
      </c>
      <c r="AM31" s="27" t="e">
        <f>+#REF!+#REF!+#REF!+#REF!+#REF!+#REF!+#REF!+#REF!+#REF!+#REF!+#REF!+#REF!</f>
        <v>#REF!</v>
      </c>
      <c r="AN31" s="61">
        <f t="shared" si="26"/>
        <v>0</v>
      </c>
      <c r="AO31" s="36" t="e">
        <f>+#REF!+#REF!+#REF!+#REF!+#REF!+#REF!+#REF!+#REF!+#REF!+#REF!+#REF!+#REF!</f>
        <v>#REF!</v>
      </c>
      <c r="AP31" s="27" t="e">
        <f>+#REF!+#REF!+#REF!+#REF!+#REF!+#REF!+#REF!+#REF!+#REF!+#REF!+#REF!+#REF!</f>
        <v>#REF!</v>
      </c>
      <c r="AQ31" s="61">
        <f t="shared" si="27"/>
        <v>0</v>
      </c>
      <c r="AR31" s="36" t="e">
        <f>+#REF!+#REF!+#REF!+#REF!+#REF!+#REF!+#REF!+#REF!+#REF!+#REF!+#REF!+#REF!</f>
        <v>#REF!</v>
      </c>
      <c r="AS31" s="27" t="e">
        <f>+#REF!+#REF!+#REF!+#REF!+#REF!+#REF!+#REF!+#REF!+#REF!+#REF!+#REF!+#REF!</f>
        <v>#REF!</v>
      </c>
      <c r="AT31" s="61">
        <f t="shared" si="28"/>
        <v>0</v>
      </c>
      <c r="AU31" s="36" t="e">
        <f>+#REF!+#REF!+#REF!+#REF!+#REF!+#REF!+#REF!+#REF!+#REF!+#REF!+#REF!+#REF!</f>
        <v>#REF!</v>
      </c>
      <c r="AV31" s="27" t="e">
        <f>+#REF!+#REF!+#REF!+#REF!+#REF!+#REF!+#REF!+#REF!+#REF!+#REF!+#REF!+#REF!</f>
        <v>#REF!</v>
      </c>
      <c r="AW31" s="61">
        <f t="shared" si="29"/>
        <v>0</v>
      </c>
      <c r="AX31" s="36" t="e">
        <f>+#REF!+#REF!+#REF!+#REF!+#REF!+#REF!+#REF!+#REF!+#REF!+#REF!+#REF!+#REF!</f>
        <v>#REF!</v>
      </c>
      <c r="AY31" s="27" t="e">
        <f>+#REF!+#REF!+#REF!+#REF!+#REF!+#REF!+#REF!+#REF!+#REF!+#REF!+#REF!+#REF!</f>
        <v>#REF!</v>
      </c>
      <c r="AZ31" s="61">
        <f t="shared" si="30"/>
        <v>0</v>
      </c>
      <c r="BA31" s="36" t="e">
        <f>+#REF!+#REF!+#REF!+#REF!+#REF!+#REF!+#REF!+#REF!+#REF!+#REF!+#REF!+#REF!</f>
        <v>#REF!</v>
      </c>
      <c r="BB31" s="27" t="e">
        <f>+#REF!+#REF!+#REF!+#REF!+#REF!+#REF!+#REF!+#REF!+#REF!+#REF!+#REF!+#REF!</f>
        <v>#REF!</v>
      </c>
      <c r="BC31" s="61">
        <f t="shared" si="31"/>
        <v>0</v>
      </c>
      <c r="BD31" s="36" t="e">
        <f>+#REF!+#REF!+#REF!+#REF!+#REF!+#REF!+#REF!+#REF!+#REF!+#REF!+#REF!+#REF!</f>
        <v>#REF!</v>
      </c>
      <c r="BE31" s="27" t="e">
        <f>+#REF!+#REF!+#REF!+#REF!+#REF!+#REF!+#REF!+#REF!+#REF!+#REF!+#REF!+#REF!</f>
        <v>#REF!</v>
      </c>
      <c r="BF31" s="61">
        <f t="shared" si="32"/>
        <v>0</v>
      </c>
      <c r="BG31" s="36" t="e">
        <f>+#REF!+#REF!+#REF!+#REF!+#REF!+#REF!+#REF!+#REF!+#REF!+#REF!+#REF!+#REF!</f>
        <v>#REF!</v>
      </c>
      <c r="BH31" s="27" t="e">
        <f>+#REF!+#REF!+#REF!+#REF!+#REF!+#REF!+#REF!+#REF!+#REF!+#REF!+#REF!+#REF!</f>
        <v>#REF!</v>
      </c>
      <c r="BI31" s="61">
        <f t="shared" si="33"/>
        <v>0</v>
      </c>
      <c r="BJ31" s="36" t="e">
        <f>+#REF!+#REF!+#REF!+#REF!+#REF!+#REF!+#REF!+#REF!+#REF!+#REF!+#REF!+#REF!</f>
        <v>#REF!</v>
      </c>
      <c r="BK31" s="27" t="e">
        <f>+#REF!+#REF!+#REF!+#REF!+#REF!+#REF!+#REF!+#REF!+#REF!+#REF!+#REF!+#REF!</f>
        <v>#REF!</v>
      </c>
      <c r="BL31" s="61">
        <f t="shared" si="34"/>
        <v>0</v>
      </c>
      <c r="BM31" s="36" t="e">
        <f>+#REF!+#REF!+#REF!+#REF!+#REF!+#REF!+#REF!+#REF!+#REF!+#REF!+#REF!+#REF!</f>
        <v>#REF!</v>
      </c>
      <c r="BN31" s="27" t="e">
        <f>+#REF!+#REF!+#REF!+#REF!+#REF!+#REF!+#REF!+#REF!+#REF!+#REF!+#REF!+#REF!</f>
        <v>#REF!</v>
      </c>
      <c r="BO31" s="54">
        <f t="shared" si="35"/>
        <v>0</v>
      </c>
      <c r="BP31" s="26" t="e">
        <f>+#REF!+#REF!+#REF!+#REF!+#REF!+#REF!+#REF!+#REF!+#REF!+#REF!+#REF!+#REF!</f>
        <v>#REF!</v>
      </c>
      <c r="BQ31" s="27" t="e">
        <f>+#REF!+#REF!+#REF!+#REF!+#REF!+#REF!+#REF!+#REF!+#REF!+#REF!+#REF!+#REF!</f>
        <v>#REF!</v>
      </c>
      <c r="BR31" s="61">
        <f t="shared" si="36"/>
        <v>0</v>
      </c>
      <c r="BS31" s="26" t="e">
        <f>+#REF!+#REF!+#REF!+#REF!+#REF!+#REF!+#REF!+#REF!+#REF!+#REF!+#REF!+#REF!</f>
        <v>#REF!</v>
      </c>
      <c r="BT31" s="27" t="e">
        <f>+#REF!+#REF!+#REF!+#REF!+#REF!+#REF!+#REF!+#REF!+#REF!+#REF!+#REF!+#REF!</f>
        <v>#REF!</v>
      </c>
      <c r="BU31" s="61">
        <f t="shared" si="37"/>
        <v>0</v>
      </c>
      <c r="BV31" s="150"/>
      <c r="BW31" s="9" t="e">
        <f>+#REF!+#REF!+#REF!+#REF!+#REF!+#REF!+#REF!+#REF!+#REF!+#REF!+#REF!+#REF!</f>
        <v>#REF!</v>
      </c>
      <c r="BX31" s="5" t="e">
        <f>+#REF!+#REF!+#REF!+#REF!+#REF!+#REF!+#REF!+#REF!+#REF!+#REF!+#REF!+#REF!</f>
        <v>#REF!</v>
      </c>
      <c r="BY31" s="5" t="e">
        <f>+#REF!+#REF!+#REF!+#REF!+#REF!+#REF!+#REF!+#REF!+#REF!+#REF!+#REF!+#REF!</f>
        <v>#REF!</v>
      </c>
      <c r="BZ31" s="5" t="e">
        <f>+#REF!+#REF!+#REF!+#REF!+#REF!+#REF!+#REF!+#REF!+#REF!+#REF!+#REF!+#REF!</f>
        <v>#REF!</v>
      </c>
      <c r="CA31" s="5" t="e">
        <f>+#REF!+#REF!+#REF!+#REF!+#REF!+#REF!+#REF!+#REF!+#REF!+#REF!+#REF!+#REF!</f>
        <v>#REF!</v>
      </c>
      <c r="CB31" s="5" t="e">
        <f t="shared" si="38"/>
        <v>#REF!</v>
      </c>
      <c r="CC31" s="33"/>
      <c r="CD31" s="2683"/>
      <c r="CF31" s="4" t="e">
        <f t="shared" si="39"/>
        <v>#REF!</v>
      </c>
      <c r="CG31" s="5" t="e">
        <f t="shared" si="5"/>
        <v>#REF!</v>
      </c>
      <c r="CH31" s="5" t="e">
        <f t="shared" si="5"/>
        <v>#REF!</v>
      </c>
      <c r="CI31" s="5" t="e">
        <f t="shared" si="5"/>
        <v>#REF!</v>
      </c>
      <c r="CJ31" s="5" t="e">
        <f t="shared" si="5"/>
        <v>#REF!</v>
      </c>
      <c r="CK31" s="5" t="e">
        <f t="shared" si="5"/>
        <v>#REF!</v>
      </c>
      <c r="CL31" s="33" t="e">
        <f t="shared" si="40"/>
        <v>#REF!</v>
      </c>
      <c r="CM31" s="2685"/>
      <c r="CN31" s="9" t="e">
        <f>+#REF!+#REF!+#REF!+#REF!+#REF!+#REF!+#REF!+#REF!+#REF!+#REF!+#REF!+#REF!</f>
        <v>#REF!</v>
      </c>
      <c r="CO31" s="5" t="e">
        <f>+#REF!+#REF!+#REF!+#REF!+#REF!+#REF!+#REF!+#REF!+#REF!+#REF!+#REF!+#REF!</f>
        <v>#REF!</v>
      </c>
      <c r="CP31" s="5" t="e">
        <f>+#REF!+#REF!+#REF!+#REF!+#REF!+#REF!+#REF!+#REF!+#REF!+#REF!+#REF!+#REF!</f>
        <v>#REF!</v>
      </c>
      <c r="CQ31" s="5" t="e">
        <f>+#REF!+#REF!+#REF!+#REF!+#REF!+#REF!+#REF!+#REF!+#REF!+#REF!+#REF!+#REF!</f>
        <v>#REF!</v>
      </c>
      <c r="CR31" s="5" t="e">
        <f>+#REF!+#REF!+#REF!+#REF!+#REF!+#REF!+#REF!+#REF!+#REF!+#REF!+#REF!+#REF!</f>
        <v>#REF!</v>
      </c>
      <c r="CS31" s="5" t="e">
        <f>+#REF!+#REF!+#REF!+#REF!+#REF!+#REF!+#REF!+#REF!+#REF!+#REF!+#REF!+#REF!</f>
        <v>#REF!</v>
      </c>
      <c r="CT31" s="28" t="e">
        <f t="shared" si="41"/>
        <v>#REF!</v>
      </c>
      <c r="CU31" s="36" t="e">
        <f>+#REF!+#REF!+#REF!+#REF!+#REF!+#REF!+#REF!+#REF!+#REF!+#REF!+#REF!+#REF!</f>
        <v>#REF!</v>
      </c>
      <c r="CV31" s="27" t="e">
        <f>+#REF!+#REF!+#REF!+#REF!+#REF!+#REF!+#REF!+#REF!+#REF!+#REF!+#REF!+#REF!</f>
        <v>#REF!</v>
      </c>
      <c r="CW31" s="27" t="e">
        <f>+#REF!+#REF!+#REF!+#REF!+#REF!+#REF!+#REF!+#REF!+#REF!+#REF!+#REF!+#REF!</f>
        <v>#REF!</v>
      </c>
      <c r="CX31" s="27" t="e">
        <f>+#REF!+#REF!+#REF!+#REF!+#REF!+#REF!+#REF!+#REF!+#REF!+#REF!+#REF!+#REF!</f>
        <v>#REF!</v>
      </c>
      <c r="CY31" s="27" t="e">
        <f>+#REF!+#REF!+#REF!+#REF!+#REF!+#REF!+#REF!+#REF!+#REF!+#REF!+#REF!+#REF!</f>
        <v>#REF!</v>
      </c>
      <c r="CZ31" s="27" t="e">
        <f>+#REF!+#REF!+#REF!+#REF!+#REF!+#REF!+#REF!+#REF!+#REF!+#REF!+#REF!+#REF!</f>
        <v>#REF!</v>
      </c>
      <c r="DA31" s="28" t="e">
        <f t="shared" si="42"/>
        <v>#REF!</v>
      </c>
      <c r="DB31" s="36" t="e">
        <f>+#REF!+#REF!+#REF!+#REF!+#REF!+#REF!+#REF!+#REF!+#REF!+#REF!+#REF!+#REF!</f>
        <v>#REF!</v>
      </c>
      <c r="DC31" s="27" t="e">
        <f>+#REF!+#REF!+#REF!+#REF!+#REF!+#REF!+#REF!+#REF!+#REF!+#REF!+#REF!+#REF!</f>
        <v>#REF!</v>
      </c>
      <c r="DD31" s="27" t="e">
        <f>+#REF!+#REF!+#REF!+#REF!+#REF!+#REF!+#REF!+#REF!+#REF!+#REF!+#REF!+#REF!</f>
        <v>#REF!</v>
      </c>
      <c r="DE31" s="27" t="e">
        <f>+#REF!+#REF!+#REF!+#REF!+#REF!+#REF!+#REF!+#REF!+#REF!+#REF!+#REF!+#REF!</f>
        <v>#REF!</v>
      </c>
      <c r="DF31" s="27" t="e">
        <f>+#REF!+#REF!+#REF!+#REF!+#REF!+#REF!+#REF!+#REF!+#REF!+#REF!+#REF!+#REF!</f>
        <v>#REF!</v>
      </c>
      <c r="DG31" s="27" t="e">
        <f>+#REF!+#REF!+#REF!+#REF!+#REF!+#REF!+#REF!+#REF!+#REF!+#REF!+#REF!+#REF!</f>
        <v>#REF!</v>
      </c>
      <c r="DH31" s="28" t="e">
        <f t="shared" si="43"/>
        <v>#REF!</v>
      </c>
      <c r="DI31" s="36" t="e">
        <f>+#REF!+#REF!+#REF!+#REF!+#REF!+#REF!+#REF!+#REF!+#REF!+#REF!+#REF!+#REF!</f>
        <v>#REF!</v>
      </c>
      <c r="DJ31" s="27" t="e">
        <f>+#REF!+#REF!+#REF!+#REF!+#REF!+#REF!+#REF!+#REF!+#REF!+#REF!+#REF!+#REF!</f>
        <v>#REF!</v>
      </c>
      <c r="DK31" s="27" t="e">
        <f>+#REF!+#REF!+#REF!+#REF!+#REF!+#REF!+#REF!+#REF!+#REF!+#REF!+#REF!+#REF!</f>
        <v>#REF!</v>
      </c>
      <c r="DL31" s="27" t="e">
        <f>+#REF!+#REF!+#REF!+#REF!+#REF!+#REF!+#REF!+#REF!+#REF!+#REF!+#REF!+#REF!</f>
        <v>#REF!</v>
      </c>
      <c r="DM31" s="27" t="e">
        <f>+#REF!+#REF!+#REF!+#REF!+#REF!+#REF!+#REF!+#REF!+#REF!+#REF!+#REF!+#REF!</f>
        <v>#REF!</v>
      </c>
      <c r="DN31" s="27" t="e">
        <f>+#REF!+#REF!+#REF!+#REF!+#REF!+#REF!+#REF!+#REF!+#REF!+#REF!+#REF!+#REF!</f>
        <v>#REF!</v>
      </c>
      <c r="DO31" s="33" t="e">
        <f t="shared" si="44"/>
        <v>#REF!</v>
      </c>
      <c r="DP31" s="2685"/>
      <c r="DR31" s="4" t="e">
        <f t="shared" si="45"/>
        <v>#REF!</v>
      </c>
      <c r="DS31" s="5" t="e">
        <f t="shared" si="46"/>
        <v>#REF!</v>
      </c>
      <c r="DT31" s="5" t="e">
        <f t="shared" si="47"/>
        <v>#REF!</v>
      </c>
      <c r="DU31" s="12" t="e">
        <f t="shared" si="48"/>
        <v>#REF!</v>
      </c>
      <c r="DV31" s="33"/>
      <c r="DW31" s="2674"/>
      <c r="DX31" s="9" t="e">
        <f>+#REF!+#REF!+#REF!+#REF!+#REF!+#REF!+#REF!+#REF!+#REF!+#REF!+#REF!+#REF!</f>
        <v>#REF!</v>
      </c>
      <c r="DY31" s="5" t="e">
        <f>+#REF!+#REF!+#REF!+#REF!+#REF!+#REF!+#REF!+#REF!+#REF!+#REF!+#REF!+#REF!</f>
        <v>#REF!</v>
      </c>
      <c r="DZ31" s="5" t="e">
        <f>+#REF!+#REF!+#REF!+#REF!+#REF!+#REF!+#REF!+#REF!+#REF!+#REF!+#REF!+#REF!</f>
        <v>#REF!</v>
      </c>
      <c r="EA31" s="5" t="e">
        <f>+#REF!+#REF!+#REF!+#REF!+#REF!+#REF!+#REF!+#REF!+#REF!+#REF!+#REF!+#REF!</f>
        <v>#REF!</v>
      </c>
      <c r="EB31" s="5" t="e">
        <f>+#REF!+#REF!+#REF!+#REF!+#REF!+#REF!+#REF!+#REF!+#REF!+#REF!+#REF!+#REF!</f>
        <v>#REF!</v>
      </c>
      <c r="EC31" s="27" t="e">
        <f>+#REF!+#REF!+#REF!+#REF!+#REF!+#REF!+#REF!+#REF!+#REF!+#REF!+#REF!+#REF!</f>
        <v>#REF!</v>
      </c>
      <c r="ED31" s="28" t="e">
        <f t="shared" si="49"/>
        <v>#REF!</v>
      </c>
      <c r="EE31" s="36" t="e">
        <f>+#REF!+#REF!+#REF!+#REF!+#REF!+#REF!+#REF!+#REF!+#REF!+#REF!+#REF!+#REF!</f>
        <v>#REF!</v>
      </c>
      <c r="EF31" s="27" t="e">
        <f>+#REF!+#REF!+#REF!+#REF!+#REF!+#REF!+#REF!+#REF!+#REF!+#REF!+#REF!+#REF!</f>
        <v>#REF!</v>
      </c>
      <c r="EG31" s="27" t="e">
        <f>+#REF!+#REF!+#REF!+#REF!+#REF!+#REF!+#REF!+#REF!+#REF!+#REF!+#REF!+#REF!</f>
        <v>#REF!</v>
      </c>
      <c r="EH31" s="27" t="e">
        <f>+#REF!+#REF!+#REF!+#REF!+#REF!+#REF!+#REF!+#REF!+#REF!+#REF!+#REF!+#REF!</f>
        <v>#REF!</v>
      </c>
      <c r="EI31" s="27" t="e">
        <f>+#REF!+#REF!+#REF!+#REF!+#REF!+#REF!+#REF!+#REF!+#REF!+#REF!+#REF!+#REF!</f>
        <v>#REF!</v>
      </c>
      <c r="EJ31" s="27" t="e">
        <f>+#REF!+#REF!+#REF!+#REF!+#REF!+#REF!+#REF!+#REF!+#REF!+#REF!+#REF!+#REF!</f>
        <v>#REF!</v>
      </c>
      <c r="EK31" s="28" t="e">
        <f t="shared" si="50"/>
        <v>#REF!</v>
      </c>
      <c r="EL31" s="36" t="e">
        <f>+#REF!+#REF!+#REF!+#REF!+#REF!+#REF!+#REF!+#REF!+#REF!+#REF!+#REF!+#REF!</f>
        <v>#REF!</v>
      </c>
      <c r="EM31" s="27" t="e">
        <f>+#REF!+#REF!+#REF!+#REF!+#REF!+#REF!+#REF!+#REF!+#REF!+#REF!+#REF!+#REF!</f>
        <v>#REF!</v>
      </c>
      <c r="EN31" s="27" t="e">
        <f>+#REF!+#REF!+#REF!+#REF!+#REF!+#REF!+#REF!+#REF!+#REF!+#REF!+#REF!+#REF!</f>
        <v>#REF!</v>
      </c>
      <c r="EO31" s="27" t="e">
        <f>+#REF!+#REF!+#REF!+#REF!+#REF!+#REF!+#REF!+#REF!+#REF!+#REF!+#REF!+#REF!</f>
        <v>#REF!</v>
      </c>
      <c r="EP31" s="27" t="e">
        <f>+#REF!+#REF!+#REF!+#REF!+#REF!+#REF!+#REF!+#REF!+#REF!+#REF!+#REF!+#REF!</f>
        <v>#REF!</v>
      </c>
      <c r="EQ31" s="27" t="e">
        <f>+#REF!+#REF!+#REF!+#REF!+#REF!+#REF!+#REF!+#REF!+#REF!+#REF!+#REF!+#REF!</f>
        <v>#REF!</v>
      </c>
      <c r="ER31" s="33" t="e">
        <f t="shared" si="51"/>
        <v>#REF!</v>
      </c>
      <c r="ES31" s="2674"/>
      <c r="EU31" s="4" t="e">
        <f t="shared" si="52"/>
        <v>#REF!</v>
      </c>
      <c r="EV31" s="5" t="e">
        <f t="shared" si="53"/>
        <v>#REF!</v>
      </c>
      <c r="EW31" s="27" t="e">
        <f t="shared" si="54"/>
        <v>#REF!</v>
      </c>
      <c r="EX31" s="27" t="e">
        <f t="shared" si="55"/>
        <v>#REF!</v>
      </c>
      <c r="EY31" s="141"/>
      <c r="EZ31" s="141"/>
      <c r="FA31" s="33"/>
      <c r="FB31" s="2667"/>
      <c r="FC31" s="36" t="e">
        <f>+#REF!+#REF!+#REF!+#REF!+#REF!+#REF!+#REF!+#REF!+#REF!+#REF!+#REF!+#REF!</f>
        <v>#REF!</v>
      </c>
      <c r="FD31" s="27" t="e">
        <f>+#REF!+#REF!+#REF!+#REF!+#REF!+#REF!+#REF!+#REF!+#REF!+#REF!+#REF!+#REF!</f>
        <v>#REF!</v>
      </c>
      <c r="FE31" s="27"/>
      <c r="FF31" s="27"/>
      <c r="FG31" s="33" t="e">
        <f t="shared" si="56"/>
        <v>#REF!</v>
      </c>
      <c r="FH31" s="2667"/>
      <c r="FI31" s="36" t="e">
        <f>+#REF!+#REF!+#REF!+#REF!+#REF!+#REF!+#REF!+#REF!+#REF!+#REF!+#REF!+#REF!</f>
        <v>#REF!</v>
      </c>
      <c r="FJ31" s="27" t="e">
        <f>+#REF!+#REF!+#REF!+#REF!+#REF!+#REF!+#REF!+#REF!+#REF!+#REF!+#REF!+#REF!</f>
        <v>#REF!</v>
      </c>
      <c r="FK31" s="27" t="e">
        <f>+#REF!+#REF!+#REF!+#REF!+#REF!+#REF!+#REF!+#REF!+#REF!+#REF!+#REF!+#REF!</f>
        <v>#REF!</v>
      </c>
      <c r="FL31" s="27" t="e">
        <f>+#REF!+#REF!+#REF!+#REF!+#REF!+#REF!+#REF!+#REF!+#REF!+#REF!+#REF!+#REF!</f>
        <v>#REF!</v>
      </c>
      <c r="FM31" s="27" t="e">
        <f>+#REF!+#REF!+#REF!+#REF!+#REF!+#REF!+#REF!+#REF!+#REF!+#REF!+#REF!+#REF!</f>
        <v>#REF!</v>
      </c>
      <c r="FN31" s="27" t="e">
        <f>+#REF!+#REF!+#REF!+#REF!+#REF!+#REF!+#REF!+#REF!+#REF!+#REF!+#REF!+#REF!</f>
        <v>#REF!</v>
      </c>
      <c r="FO31" s="27" t="e">
        <f>+#REF!+#REF!+#REF!+#REF!+#REF!+#REF!+#REF!+#REF!+#REF!+#REF!+#REF!+#REF!</f>
        <v>#REF!</v>
      </c>
      <c r="FP31" s="27" t="e">
        <f>+#REF!+#REF!+#REF!+#REF!+#REF!+#REF!+#REF!+#REF!+#REF!+#REF!+#REF!+#REF!</f>
        <v>#REF!</v>
      </c>
      <c r="FQ31" s="28" t="e">
        <f t="shared" si="80"/>
        <v>#REF!</v>
      </c>
      <c r="FR31" s="26" t="e">
        <f>+#REF!+#REF!+#REF!+#REF!+#REF!+#REF!+#REF!+#REF!+#REF!+#REF!+#REF!+#REF!</f>
        <v>#REF!</v>
      </c>
      <c r="FS31" s="27" t="e">
        <f>+#REF!+#REF!+#REF!+#REF!+#REF!+#REF!+#REF!+#REF!+#REF!+#REF!+#REF!+#REF!</f>
        <v>#REF!</v>
      </c>
      <c r="FT31" s="27" t="e">
        <f>+#REF!+#REF!+#REF!+#REF!+#REF!+#REF!+#REF!+#REF!+#REF!+#REF!+#REF!+#REF!</f>
        <v>#REF!</v>
      </c>
      <c r="FU31" s="27" t="e">
        <f>+#REF!+#REF!+#REF!+#REF!+#REF!+#REF!+#REF!+#REF!+#REF!+#REF!+#REF!+#REF!</f>
        <v>#REF!</v>
      </c>
      <c r="FV31" s="27" t="e">
        <f>+#REF!+#REF!+#REF!+#REF!+#REF!+#REF!+#REF!+#REF!+#REF!+#REF!+#REF!+#REF!</f>
        <v>#REF!</v>
      </c>
      <c r="FW31" s="27" t="e">
        <f>+#REF!+#REF!+#REF!+#REF!+#REF!+#REF!+#REF!+#REF!+#REF!+#REF!+#REF!+#REF!</f>
        <v>#REF!</v>
      </c>
      <c r="FX31" s="27" t="e">
        <f>+#REF!+#REF!+#REF!+#REF!+#REF!+#REF!+#REF!+#REF!+#REF!+#REF!+#REF!+#REF!</f>
        <v>#REF!</v>
      </c>
      <c r="FY31" s="27" t="e">
        <f>+#REF!+#REF!+#REF!+#REF!+#REF!+#REF!+#REF!+#REF!+#REF!+#REF!+#REF!+#REF!</f>
        <v>#REF!</v>
      </c>
      <c r="FZ31" s="28" t="e">
        <f t="shared" si="57"/>
        <v>#REF!</v>
      </c>
      <c r="GA31" s="36" t="e">
        <f>+#REF!+#REF!+#REF!+#REF!+#REF!+#REF!+#REF!+#REF!+#REF!+#REF!+#REF!+#REF!</f>
        <v>#REF!</v>
      </c>
      <c r="GB31" s="27" t="e">
        <f>+#REF!+#REF!+#REF!+#REF!+#REF!+#REF!+#REF!+#REF!+#REF!+#REF!+#REF!+#REF!</f>
        <v>#REF!</v>
      </c>
      <c r="GC31" s="27" t="e">
        <f>+#REF!+#REF!+#REF!+#REF!+#REF!+#REF!+#REF!+#REF!+#REF!+#REF!+#REF!+#REF!</f>
        <v>#REF!</v>
      </c>
      <c r="GD31" s="27" t="e">
        <f>+#REF!+#REF!+#REF!+#REF!+#REF!+#REF!+#REF!+#REF!+#REF!+#REF!+#REF!+#REF!</f>
        <v>#REF!</v>
      </c>
      <c r="GE31" s="27" t="e">
        <f>+#REF!+#REF!+#REF!+#REF!+#REF!+#REF!+#REF!+#REF!+#REF!+#REF!+#REF!+#REF!</f>
        <v>#REF!</v>
      </c>
      <c r="GF31" s="27" t="e">
        <f>+#REF!+#REF!+#REF!+#REF!+#REF!+#REF!+#REF!+#REF!+#REF!+#REF!+#REF!+#REF!</f>
        <v>#REF!</v>
      </c>
      <c r="GG31" s="27" t="e">
        <f>+#REF!+#REF!+#REF!+#REF!+#REF!+#REF!+#REF!+#REF!+#REF!+#REF!+#REF!+#REF!</f>
        <v>#REF!</v>
      </c>
      <c r="GH31" s="27" t="e">
        <f>+#REF!+#REF!+#REF!+#REF!+#REF!+#REF!+#REF!+#REF!+#REF!+#REF!+#REF!+#REF!</f>
        <v>#REF!</v>
      </c>
      <c r="GI31" s="33" t="e">
        <f t="shared" si="58"/>
        <v>#REF!</v>
      </c>
      <c r="GJ31" s="2667"/>
      <c r="GL31" s="26" t="e">
        <f>+#REF!+#REF!+#REF!+#REF!+#REF!+#REF!+#REF!+#REF!+#REF!+#REF!+#REF!+#REF!</f>
        <v>#REF!</v>
      </c>
      <c r="GM31" s="36" t="e">
        <f>+#REF!+#REF!+#REF!+#REF!+#REF!+#REF!+#REF!+#REF!+#REF!+#REF!+#REF!+#REF!</f>
        <v>#REF!</v>
      </c>
      <c r="GN31" s="27" t="e">
        <f>+#REF!+#REF!+#REF!+#REF!+#REF!+#REF!+#REF!+#REF!+#REF!+#REF!+#REF!+#REF!</f>
        <v>#REF!</v>
      </c>
      <c r="GO31" s="27" t="e">
        <f t="shared" si="59"/>
        <v>#REF!</v>
      </c>
      <c r="GP31" s="33"/>
      <c r="GQ31" s="2669"/>
      <c r="GR31" s="69"/>
      <c r="GS31" s="70"/>
      <c r="GT31" s="70"/>
      <c r="GU31" s="70"/>
      <c r="GV31" s="70"/>
      <c r="GW31" s="70"/>
      <c r="GX31" s="70"/>
      <c r="GY31" s="71"/>
      <c r="GZ31" s="69"/>
      <c r="HA31" s="70"/>
      <c r="HB31" s="70"/>
      <c r="HC31" s="70"/>
      <c r="HD31" s="70"/>
      <c r="HE31" s="70"/>
      <c r="HF31" s="70"/>
      <c r="HG31" s="71"/>
      <c r="HH31" s="69"/>
      <c r="HI31" s="70"/>
      <c r="HJ31" s="70"/>
      <c r="HK31" s="70"/>
      <c r="HL31" s="70"/>
      <c r="HM31" s="70"/>
      <c r="HN31" s="70"/>
      <c r="HO31" s="70"/>
      <c r="HP31" s="33"/>
      <c r="HQ31" s="2669"/>
      <c r="HR31" s="36"/>
      <c r="HS31" s="53"/>
      <c r="HT31" s="53"/>
      <c r="HU31" s="53"/>
      <c r="HV31" s="61"/>
      <c r="HW31" s="36"/>
      <c r="HX31" s="53"/>
      <c r="HY31" s="53"/>
      <c r="HZ31" s="53"/>
      <c r="IA31" s="61"/>
      <c r="IB31" s="36"/>
      <c r="IC31" s="53"/>
      <c r="ID31" s="53"/>
      <c r="IE31" s="53"/>
      <c r="IF31" s="53"/>
      <c r="IG31" s="33"/>
      <c r="IH31" s="2669"/>
      <c r="IJ31" s="26" t="e">
        <f t="shared" si="60"/>
        <v>#REF!</v>
      </c>
      <c r="IK31" s="36" t="e">
        <f t="shared" si="6"/>
        <v>#REF!</v>
      </c>
      <c r="IL31" s="27" t="e">
        <f t="shared" si="6"/>
        <v>#REF!</v>
      </c>
      <c r="IM31" s="28" t="e">
        <f t="shared" si="61"/>
        <v>#REF!</v>
      </c>
      <c r="IN31" s="36"/>
      <c r="IO31" s="27"/>
      <c r="IP31" s="27"/>
      <c r="IQ31" s="33"/>
      <c r="IR31" s="55"/>
      <c r="IS31" s="21"/>
      <c r="IT31" s="2688"/>
      <c r="IU31" s="36" t="e">
        <f>+#REF!+#REF!+#REF!+#REF!+#REF!+#REF!+#REF!+#REF!+#REF!+#REF!+#REF!+#REF!</f>
        <v>#REF!</v>
      </c>
      <c r="IV31" s="36" t="e">
        <f>+#REF!+#REF!+#REF!+#REF!+#REF!+#REF!+#REF!+#REF!+#REF!+#REF!+#REF!+#REF!</f>
        <v>#REF!</v>
      </c>
      <c r="IW31" s="27" t="e">
        <f>+#REF!+#REF!+#REF!+#REF!+#REF!+#REF!+#REF!+#REF!+#REF!+#REF!+#REF!+#REF!</f>
        <v>#REF!</v>
      </c>
      <c r="IX31" s="27" t="e">
        <f>+#REF!+#REF!+#REF!+#REF!+#REF!+#REF!+#REF!+#REF!+#REF!+#REF!+#REF!+#REF!</f>
        <v>#REF!</v>
      </c>
      <c r="IY31" s="27" t="e">
        <f>+#REF!+#REF!+#REF!+#REF!+#REF!+#REF!+#REF!+#REF!+#REF!+#REF!+#REF!+#REF!</f>
        <v>#REF!</v>
      </c>
      <c r="IZ31" s="28" t="e">
        <f t="shared" si="62"/>
        <v>#REF!</v>
      </c>
      <c r="JA31" s="26" t="e">
        <f>+#REF!+#REF!+#REF!+#REF!+#REF!+#REF!+#REF!+#REF!+#REF!+#REF!+#REF!+#REF!</f>
        <v>#REF!</v>
      </c>
      <c r="JB31" s="36" t="e">
        <f>+#REF!+#REF!+#REF!+#REF!+#REF!+#REF!+#REF!+#REF!+#REF!+#REF!+#REF!+#REF!</f>
        <v>#REF!</v>
      </c>
      <c r="JC31" s="27" t="e">
        <f>+#REF!+#REF!+#REF!+#REF!+#REF!+#REF!+#REF!+#REF!+#REF!+#REF!+#REF!+#REF!</f>
        <v>#REF!</v>
      </c>
      <c r="JD31" s="27" t="e">
        <f>+#REF!+#REF!+#REF!+#REF!+#REF!+#REF!+#REF!+#REF!+#REF!+#REF!+#REF!+#REF!</f>
        <v>#REF!</v>
      </c>
      <c r="JE31" s="28" t="e">
        <f>+#REF!+#REF!+#REF!+#REF!+#REF!+#REF!+#REF!+#REF!+#REF!+#REF!+#REF!+#REF!</f>
        <v>#REF!</v>
      </c>
      <c r="JF31" s="26" t="e">
        <f>+#REF!+#REF!+#REF!+#REF!+#REF!+#REF!+#REF!+#REF!+#REF!+#REF!+#REF!+#REF!</f>
        <v>#REF!</v>
      </c>
      <c r="JG31" s="36" t="e">
        <f>+#REF!+#REF!+#REF!+#REF!+#REF!+#REF!+#REF!+#REF!+#REF!+#REF!+#REF!+#REF!</f>
        <v>#REF!</v>
      </c>
      <c r="JH31" s="27" t="e">
        <f>+#REF!+#REF!+#REF!+#REF!+#REF!+#REF!+#REF!+#REF!+#REF!+#REF!+#REF!+#REF!</f>
        <v>#REF!</v>
      </c>
      <c r="JI31" s="27" t="e">
        <f>+#REF!+#REF!+#REF!+#REF!+#REF!+#REF!+#REF!+#REF!+#REF!+#REF!+#REF!+#REF!</f>
        <v>#REF!</v>
      </c>
      <c r="JJ31" s="27" t="e">
        <f>+#REF!+#REF!+#REF!+#REF!+#REF!+#REF!+#REF!+#REF!+#REF!+#REF!+#REF!+#REF!</f>
        <v>#REF!</v>
      </c>
      <c r="JK31" s="28" t="e">
        <f t="shared" si="63"/>
        <v>#REF!</v>
      </c>
      <c r="JL31" s="26" t="e">
        <f>+#REF!+#REF!+#REF!+#REF!+#REF!+#REF!+#REF!+#REF!+#REF!+#REF!+#REF!+#REF!</f>
        <v>#REF!</v>
      </c>
      <c r="JM31" s="36" t="e">
        <f>+#REF!+#REF!+#REF!+#REF!+#REF!+#REF!+#REF!+#REF!+#REF!+#REF!+#REF!+#REF!</f>
        <v>#REF!</v>
      </c>
      <c r="JN31" s="27" t="e">
        <f>+#REF!+#REF!+#REF!+#REF!+#REF!+#REF!+#REF!+#REF!+#REF!+#REF!+#REF!+#REF!</f>
        <v>#REF!</v>
      </c>
      <c r="JO31" s="27" t="e">
        <f>+#REF!+#REF!+#REF!+#REF!+#REF!+#REF!+#REF!+#REF!+#REF!+#REF!+#REF!+#REF!</f>
        <v>#REF!</v>
      </c>
      <c r="JP31" s="28" t="e">
        <f>+#REF!+#REF!+#REF!+#REF!+#REF!+#REF!+#REF!+#REF!+#REF!+#REF!+#REF!+#REF!</f>
        <v>#REF!</v>
      </c>
      <c r="JQ31" s="275" t="e">
        <f t="shared" si="64"/>
        <v>#REF!</v>
      </c>
      <c r="JR31" s="36" t="e">
        <f>+#REF!+#REF!+#REF!+#REF!+#REF!+#REF!+#REF!+#REF!+#REF!+#REF!+#REF!+#REF!</f>
        <v>#REF!</v>
      </c>
      <c r="JS31" s="36" t="e">
        <f>+#REF!+#REF!+#REF!+#REF!+#REF!+#REF!+#REF!+#REF!+#REF!+#REF!+#REF!+#REF!</f>
        <v>#REF!</v>
      </c>
      <c r="JT31" s="27" t="e">
        <f>+#REF!+#REF!+#REF!+#REF!+#REF!+#REF!+#REF!+#REF!+#REF!+#REF!+#REF!+#REF!</f>
        <v>#REF!</v>
      </c>
      <c r="JU31" s="27" t="e">
        <f>+#REF!+#REF!+#REF!+#REF!+#REF!+#REF!+#REF!+#REF!+#REF!+#REF!+#REF!+#REF!</f>
        <v>#REF!</v>
      </c>
      <c r="JV31" s="27" t="e">
        <f>+#REF!+#REF!+#REF!+#REF!+#REF!+#REF!+#REF!+#REF!+#REF!+#REF!+#REF!+#REF!</f>
        <v>#REF!</v>
      </c>
      <c r="JW31" s="33" t="e">
        <f t="shared" si="65"/>
        <v>#REF!</v>
      </c>
      <c r="JX31" s="2688"/>
      <c r="JZ31" s="26" t="e">
        <f t="shared" si="66"/>
        <v>#REF!</v>
      </c>
      <c r="KA31" s="27" t="e">
        <f t="shared" si="67"/>
        <v>#REF!</v>
      </c>
      <c r="KB31" s="27" t="e">
        <f t="shared" si="68"/>
        <v>#REF!</v>
      </c>
      <c r="KC31" s="33" t="e">
        <f t="shared" si="69"/>
        <v>#REF!</v>
      </c>
      <c r="KD31" s="2621"/>
      <c r="KE31" s="36" t="e">
        <f t="shared" si="87"/>
        <v>#REF!</v>
      </c>
      <c r="KF31" s="36" t="e">
        <f t="shared" si="87"/>
        <v>#REF!</v>
      </c>
      <c r="KG31" s="27" t="e">
        <f t="shared" si="87"/>
        <v>#REF!</v>
      </c>
      <c r="KH31" s="28" t="e">
        <f t="shared" si="81"/>
        <v>#REF!</v>
      </c>
      <c r="KI31" s="36" t="e">
        <f t="shared" si="82"/>
        <v>#REF!</v>
      </c>
      <c r="KJ31" s="27" t="e">
        <f t="shared" si="88"/>
        <v>#REF!</v>
      </c>
      <c r="KK31" s="27" t="e">
        <f t="shared" si="88"/>
        <v>#REF!</v>
      </c>
      <c r="KL31" s="27" t="e">
        <f t="shared" si="88"/>
        <v>#REF!</v>
      </c>
      <c r="KM31" s="27" t="e">
        <f t="shared" si="88"/>
        <v>#REF!</v>
      </c>
      <c r="KN31" s="27" t="e">
        <f t="shared" si="88"/>
        <v>#REF!</v>
      </c>
      <c r="KO31" s="28" t="e">
        <f t="shared" si="83"/>
        <v>#REF!</v>
      </c>
      <c r="KP31" s="36" t="e">
        <f t="shared" si="89"/>
        <v>#REF!</v>
      </c>
      <c r="KQ31" s="27" t="e">
        <f t="shared" si="89"/>
        <v>#REF!</v>
      </c>
      <c r="KR31" s="27" t="e">
        <f t="shared" si="89"/>
        <v>#REF!</v>
      </c>
      <c r="KS31" s="27" t="e">
        <f t="shared" si="89"/>
        <v>#REF!</v>
      </c>
      <c r="KT31" s="27" t="e">
        <f t="shared" si="89"/>
        <v>#REF!</v>
      </c>
      <c r="KU31" s="27" t="e">
        <f t="shared" si="89"/>
        <v>#REF!</v>
      </c>
      <c r="KV31" s="28" t="e">
        <f t="shared" si="84"/>
        <v>#REF!</v>
      </c>
      <c r="KW31" s="36" t="e">
        <f t="shared" si="90"/>
        <v>#REF!</v>
      </c>
      <c r="KX31" s="27" t="e">
        <f t="shared" si="90"/>
        <v>#REF!</v>
      </c>
      <c r="KY31" s="27" t="e">
        <f t="shared" si="90"/>
        <v>#REF!</v>
      </c>
      <c r="KZ31" s="27" t="e">
        <f t="shared" si="90"/>
        <v>#REF!</v>
      </c>
      <c r="LA31" s="27" t="e">
        <f t="shared" si="90"/>
        <v>#REF!</v>
      </c>
      <c r="LB31" s="27" t="e">
        <f t="shared" si="90"/>
        <v>#REF!</v>
      </c>
      <c r="LC31" s="28" t="e">
        <f t="shared" si="85"/>
        <v>#REF!</v>
      </c>
      <c r="LD31" s="36"/>
      <c r="LE31" s="27"/>
      <c r="LF31" s="27"/>
      <c r="LG31" s="27"/>
      <c r="LH31" s="27"/>
      <c r="LI31" s="27"/>
      <c r="LJ31" s="28">
        <f t="shared" si="70"/>
        <v>0</v>
      </c>
      <c r="LK31" s="36" t="e">
        <f t="shared" si="91"/>
        <v>#REF!</v>
      </c>
      <c r="LL31" s="27" t="e">
        <f t="shared" si="91"/>
        <v>#REF!</v>
      </c>
      <c r="LM31" s="27" t="e">
        <f t="shared" si="91"/>
        <v>#REF!</v>
      </c>
      <c r="LN31" s="27" t="e">
        <f t="shared" si="91"/>
        <v>#REF!</v>
      </c>
      <c r="LO31" s="27" t="e">
        <f t="shared" si="91"/>
        <v>#REF!</v>
      </c>
      <c r="LP31" s="27" t="e">
        <f t="shared" si="91"/>
        <v>#REF!</v>
      </c>
      <c r="LQ31" s="33" t="e">
        <f t="shared" si="71"/>
        <v>#REF!</v>
      </c>
      <c r="LR31" s="2621"/>
      <c r="LT31" s="4" t="e">
        <f>+#REF!+#REF!+#REF!+#REF!+#REF!+#REF!+#REF!+#REF!+#REF!+#REF!+#REF!+#REF!</f>
        <v>#REF!</v>
      </c>
      <c r="LU31" s="5" t="e">
        <f>+#REF!+#REF!+#REF!+#REF!+#REF!+#REF!+#REF!+#REF!+#REF!+#REF!+#REF!+#REF!</f>
        <v>#REF!</v>
      </c>
      <c r="LV31" s="5" t="e">
        <f t="shared" si="72"/>
        <v>#REF!</v>
      </c>
      <c r="LW31" s="12" t="e">
        <f t="shared" si="86"/>
        <v>#REF!</v>
      </c>
      <c r="LX31" s="15"/>
      <c r="LY31" s="2615"/>
      <c r="MA31" s="4" t="e">
        <f>+#REF!+#REF!+#REF!+#REF!+#REF!+#REF!+#REF!+#REF!+#REF!+#REF!+#REF!+#REF!</f>
        <v>#REF!</v>
      </c>
      <c r="MB31" s="5" t="e">
        <f t="shared" si="73"/>
        <v>#REF!</v>
      </c>
      <c r="MC31" s="5" t="e">
        <f>+#REF!+#REF!+#REF!+#REF!+#REF!+#REF!+#REF!+#REF!+#REF!+#REF!+#REF!+#REF!</f>
        <v>#REF!</v>
      </c>
      <c r="MD31" s="5" t="e">
        <f t="shared" si="74"/>
        <v>#REF!</v>
      </c>
      <c r="ME31" s="12" t="e">
        <f t="shared" si="75"/>
        <v>#REF!</v>
      </c>
      <c r="MF31" s="12"/>
      <c r="MG31" s="2615"/>
      <c r="MI31" s="139" t="e">
        <f t="shared" si="76"/>
        <v>#REF!</v>
      </c>
      <c r="MJ31" s="139" t="e">
        <f t="shared" si="77"/>
        <v>#REF!</v>
      </c>
      <c r="ML31" s="139" t="e">
        <f t="shared" si="78"/>
        <v>#REF!</v>
      </c>
      <c r="MM31" s="139" t="e">
        <f t="shared" si="79"/>
        <v>#REF!</v>
      </c>
      <c r="MO31" s="1">
        <f t="shared" si="92"/>
        <v>0</v>
      </c>
      <c r="MP31" s="1">
        <f t="shared" si="92"/>
        <v>0</v>
      </c>
      <c r="MQ31" s="1">
        <f t="shared" si="92"/>
        <v>0</v>
      </c>
      <c r="MR31" s="1">
        <f t="shared" si="92"/>
        <v>0</v>
      </c>
      <c r="MS31" s="1">
        <f t="shared" si="92"/>
        <v>0</v>
      </c>
      <c r="MT31" s="1">
        <f t="shared" si="92"/>
        <v>0</v>
      </c>
      <c r="MV31" s="1">
        <f t="shared" si="93"/>
        <v>0</v>
      </c>
      <c r="MW31" s="1">
        <f t="shared" si="93"/>
        <v>0</v>
      </c>
      <c r="MX31" s="1">
        <f t="shared" si="93"/>
        <v>0</v>
      </c>
      <c r="MY31" s="1">
        <f t="shared" si="93"/>
        <v>0</v>
      </c>
      <c r="MZ31" s="1">
        <f t="shared" si="93"/>
        <v>0</v>
      </c>
      <c r="NA31" s="1">
        <f t="shared" si="93"/>
        <v>0</v>
      </c>
    </row>
    <row r="32" spans="2:365" s="1" customFormat="1">
      <c r="B32" s="46">
        <v>23</v>
      </c>
      <c r="C32" s="4" t="e">
        <f t="shared" si="0"/>
        <v>#REF!</v>
      </c>
      <c r="D32" s="5" t="e">
        <f t="shared" si="1"/>
        <v>#REF!</v>
      </c>
      <c r="E32" s="61">
        <f t="shared" si="14"/>
        <v>0</v>
      </c>
      <c r="F32" s="52"/>
      <c r="G32" s="53"/>
      <c r="H32" s="53"/>
      <c r="I32" s="54"/>
      <c r="J32" s="2629"/>
      <c r="K32" s="9" t="e">
        <f t="shared" si="15"/>
        <v>#REF!</v>
      </c>
      <c r="L32" s="5" t="e">
        <f t="shared" si="2"/>
        <v>#REF!</v>
      </c>
      <c r="M32" s="64">
        <f t="shared" si="16"/>
        <v>0</v>
      </c>
      <c r="N32" s="28"/>
      <c r="O32" s="36" t="e">
        <f t="shared" si="17"/>
        <v>#REF!</v>
      </c>
      <c r="P32" s="27" t="e">
        <f t="shared" si="17"/>
        <v>#REF!</v>
      </c>
      <c r="Q32" s="53">
        <f t="shared" si="18"/>
        <v>0</v>
      </c>
      <c r="R32" s="28"/>
      <c r="S32" s="36" t="e">
        <f t="shared" si="19"/>
        <v>#REF!</v>
      </c>
      <c r="T32" s="27" t="e">
        <f t="shared" si="19"/>
        <v>#REF!</v>
      </c>
      <c r="U32" s="53">
        <f t="shared" si="3"/>
        <v>0</v>
      </c>
      <c r="V32" s="28"/>
      <c r="W32" s="36" t="e">
        <f t="shared" si="20"/>
        <v>#REF!</v>
      </c>
      <c r="X32" s="27" t="e">
        <f t="shared" si="4"/>
        <v>#REF!</v>
      </c>
      <c r="Y32" s="53">
        <f t="shared" si="21"/>
        <v>0</v>
      </c>
      <c r="Z32" s="28"/>
      <c r="AA32" s="26" t="e">
        <f t="shared" si="22"/>
        <v>#REF!</v>
      </c>
      <c r="AB32" s="27" t="e">
        <f t="shared" si="22"/>
        <v>#REF!</v>
      </c>
      <c r="AC32" s="53">
        <f t="shared" si="23"/>
        <v>0</v>
      </c>
      <c r="AD32" s="33"/>
      <c r="AE32" s="2629"/>
      <c r="AF32" s="9" t="e">
        <f>+#REF!+#REF!+#REF!+#REF!+#REF!+#REF!+#REF!+#REF!+#REF!+#REF!+#REF!+#REF!</f>
        <v>#REF!</v>
      </c>
      <c r="AG32" s="5" t="e">
        <f>+#REF!+#REF!+#REF!+#REF!+#REF!+#REF!+#REF!+#REF!+#REF!+#REF!+#REF!+#REF!</f>
        <v>#REF!</v>
      </c>
      <c r="AH32" s="61">
        <f t="shared" si="24"/>
        <v>0</v>
      </c>
      <c r="AI32" s="36" t="e">
        <f>+#REF!+#REF!+#REF!+#REF!+#REF!+#REF!+#REF!+#REF!+#REF!+#REF!+#REF!+#REF!</f>
        <v>#REF!</v>
      </c>
      <c r="AJ32" s="27" t="e">
        <f>+#REF!+#REF!+#REF!+#REF!+#REF!+#REF!+#REF!+#REF!+#REF!+#REF!+#REF!+#REF!</f>
        <v>#REF!</v>
      </c>
      <c r="AK32" s="61">
        <f t="shared" si="25"/>
        <v>0</v>
      </c>
      <c r="AL32" s="36" t="e">
        <f>+#REF!+#REF!+#REF!+#REF!+#REF!+#REF!+#REF!+#REF!+#REF!+#REF!+#REF!+#REF!</f>
        <v>#REF!</v>
      </c>
      <c r="AM32" s="27" t="e">
        <f>+#REF!+#REF!+#REF!+#REF!+#REF!+#REF!+#REF!+#REF!+#REF!+#REF!+#REF!+#REF!</f>
        <v>#REF!</v>
      </c>
      <c r="AN32" s="61">
        <f t="shared" si="26"/>
        <v>0</v>
      </c>
      <c r="AO32" s="36" t="e">
        <f>+#REF!+#REF!+#REF!+#REF!+#REF!+#REF!+#REF!+#REF!+#REF!+#REF!+#REF!+#REF!</f>
        <v>#REF!</v>
      </c>
      <c r="AP32" s="27" t="e">
        <f>+#REF!+#REF!+#REF!+#REF!+#REF!+#REF!+#REF!+#REF!+#REF!+#REF!+#REF!+#REF!</f>
        <v>#REF!</v>
      </c>
      <c r="AQ32" s="61">
        <f t="shared" si="27"/>
        <v>0</v>
      </c>
      <c r="AR32" s="36" t="e">
        <f>+#REF!+#REF!+#REF!+#REF!+#REF!+#REF!+#REF!+#REF!+#REF!+#REF!+#REF!+#REF!</f>
        <v>#REF!</v>
      </c>
      <c r="AS32" s="27" t="e">
        <f>+#REF!+#REF!+#REF!+#REF!+#REF!+#REF!+#REF!+#REF!+#REF!+#REF!+#REF!+#REF!</f>
        <v>#REF!</v>
      </c>
      <c r="AT32" s="61">
        <f t="shared" si="28"/>
        <v>0</v>
      </c>
      <c r="AU32" s="36" t="e">
        <f>+#REF!+#REF!+#REF!+#REF!+#REF!+#REF!+#REF!+#REF!+#REF!+#REF!+#REF!+#REF!</f>
        <v>#REF!</v>
      </c>
      <c r="AV32" s="27" t="e">
        <f>+#REF!+#REF!+#REF!+#REF!+#REF!+#REF!+#REF!+#REF!+#REF!+#REF!+#REF!+#REF!</f>
        <v>#REF!</v>
      </c>
      <c r="AW32" s="61">
        <f t="shared" si="29"/>
        <v>0</v>
      </c>
      <c r="AX32" s="36" t="e">
        <f>+#REF!+#REF!+#REF!+#REF!+#REF!+#REF!+#REF!+#REF!+#REF!+#REF!+#REF!+#REF!</f>
        <v>#REF!</v>
      </c>
      <c r="AY32" s="27" t="e">
        <f>+#REF!+#REF!+#REF!+#REF!+#REF!+#REF!+#REF!+#REF!+#REF!+#REF!+#REF!+#REF!</f>
        <v>#REF!</v>
      </c>
      <c r="AZ32" s="61">
        <f t="shared" si="30"/>
        <v>0</v>
      </c>
      <c r="BA32" s="36" t="e">
        <f>+#REF!+#REF!+#REF!+#REF!+#REF!+#REF!+#REF!+#REF!+#REF!+#REF!+#REF!+#REF!</f>
        <v>#REF!</v>
      </c>
      <c r="BB32" s="27" t="e">
        <f>+#REF!+#REF!+#REF!+#REF!+#REF!+#REF!+#REF!+#REF!+#REF!+#REF!+#REF!+#REF!</f>
        <v>#REF!</v>
      </c>
      <c r="BC32" s="61">
        <f t="shared" si="31"/>
        <v>0</v>
      </c>
      <c r="BD32" s="36" t="e">
        <f>+#REF!+#REF!+#REF!+#REF!+#REF!+#REF!+#REF!+#REF!+#REF!+#REF!+#REF!+#REF!</f>
        <v>#REF!</v>
      </c>
      <c r="BE32" s="27" t="e">
        <f>+#REF!+#REF!+#REF!+#REF!+#REF!+#REF!+#REF!+#REF!+#REF!+#REF!+#REF!+#REF!</f>
        <v>#REF!</v>
      </c>
      <c r="BF32" s="61">
        <f t="shared" si="32"/>
        <v>0</v>
      </c>
      <c r="BG32" s="36" t="e">
        <f>+#REF!+#REF!+#REF!+#REF!+#REF!+#REF!+#REF!+#REF!+#REF!+#REF!+#REF!+#REF!</f>
        <v>#REF!</v>
      </c>
      <c r="BH32" s="27" t="e">
        <f>+#REF!+#REF!+#REF!+#REF!+#REF!+#REF!+#REF!+#REF!+#REF!+#REF!+#REF!+#REF!</f>
        <v>#REF!</v>
      </c>
      <c r="BI32" s="61">
        <f t="shared" si="33"/>
        <v>0</v>
      </c>
      <c r="BJ32" s="36" t="e">
        <f>+#REF!+#REF!+#REF!+#REF!+#REF!+#REF!+#REF!+#REF!+#REF!+#REF!+#REF!+#REF!</f>
        <v>#REF!</v>
      </c>
      <c r="BK32" s="27" t="e">
        <f>+#REF!+#REF!+#REF!+#REF!+#REF!+#REF!+#REF!+#REF!+#REF!+#REF!+#REF!+#REF!</f>
        <v>#REF!</v>
      </c>
      <c r="BL32" s="61">
        <f t="shared" si="34"/>
        <v>0</v>
      </c>
      <c r="BM32" s="36" t="e">
        <f>+#REF!+#REF!+#REF!+#REF!+#REF!+#REF!+#REF!+#REF!+#REF!+#REF!+#REF!+#REF!</f>
        <v>#REF!</v>
      </c>
      <c r="BN32" s="27" t="e">
        <f>+#REF!+#REF!+#REF!+#REF!+#REF!+#REF!+#REF!+#REF!+#REF!+#REF!+#REF!+#REF!</f>
        <v>#REF!</v>
      </c>
      <c r="BO32" s="54">
        <f t="shared" si="35"/>
        <v>0</v>
      </c>
      <c r="BP32" s="26" t="e">
        <f>+#REF!+#REF!+#REF!+#REF!+#REF!+#REF!+#REF!+#REF!+#REF!+#REF!+#REF!+#REF!</f>
        <v>#REF!</v>
      </c>
      <c r="BQ32" s="27" t="e">
        <f>+#REF!+#REF!+#REF!+#REF!+#REF!+#REF!+#REF!+#REF!+#REF!+#REF!+#REF!+#REF!</f>
        <v>#REF!</v>
      </c>
      <c r="BR32" s="61">
        <f t="shared" si="36"/>
        <v>0</v>
      </c>
      <c r="BS32" s="26" t="e">
        <f>+#REF!+#REF!+#REF!+#REF!+#REF!+#REF!+#REF!+#REF!+#REF!+#REF!+#REF!+#REF!</f>
        <v>#REF!</v>
      </c>
      <c r="BT32" s="27" t="e">
        <f>+#REF!+#REF!+#REF!+#REF!+#REF!+#REF!+#REF!+#REF!+#REF!+#REF!+#REF!+#REF!</f>
        <v>#REF!</v>
      </c>
      <c r="BU32" s="61">
        <f t="shared" si="37"/>
        <v>0</v>
      </c>
      <c r="BV32" s="150"/>
      <c r="BW32" s="9" t="e">
        <f>+#REF!+#REF!+#REF!+#REF!+#REF!+#REF!+#REF!+#REF!+#REF!+#REF!+#REF!+#REF!</f>
        <v>#REF!</v>
      </c>
      <c r="BX32" s="5" t="e">
        <f>+#REF!+#REF!+#REF!+#REF!+#REF!+#REF!+#REF!+#REF!+#REF!+#REF!+#REF!+#REF!</f>
        <v>#REF!</v>
      </c>
      <c r="BY32" s="5" t="e">
        <f>+#REF!+#REF!+#REF!+#REF!+#REF!+#REF!+#REF!+#REF!+#REF!+#REF!+#REF!+#REF!</f>
        <v>#REF!</v>
      </c>
      <c r="BZ32" s="5" t="e">
        <f>+#REF!+#REF!+#REF!+#REF!+#REF!+#REF!+#REF!+#REF!+#REF!+#REF!+#REF!+#REF!</f>
        <v>#REF!</v>
      </c>
      <c r="CA32" s="5" t="e">
        <f>+#REF!+#REF!+#REF!+#REF!+#REF!+#REF!+#REF!+#REF!+#REF!+#REF!+#REF!+#REF!</f>
        <v>#REF!</v>
      </c>
      <c r="CB32" s="5" t="e">
        <f t="shared" si="38"/>
        <v>#REF!</v>
      </c>
      <c r="CC32" s="33"/>
      <c r="CD32" s="2683"/>
      <c r="CF32" s="4" t="e">
        <f t="shared" si="39"/>
        <v>#REF!</v>
      </c>
      <c r="CG32" s="5" t="e">
        <f t="shared" si="5"/>
        <v>#REF!</v>
      </c>
      <c r="CH32" s="5" t="e">
        <f t="shared" si="5"/>
        <v>#REF!</v>
      </c>
      <c r="CI32" s="5" t="e">
        <f t="shared" si="5"/>
        <v>#REF!</v>
      </c>
      <c r="CJ32" s="5" t="e">
        <f t="shared" si="5"/>
        <v>#REF!</v>
      </c>
      <c r="CK32" s="5" t="e">
        <f t="shared" si="5"/>
        <v>#REF!</v>
      </c>
      <c r="CL32" s="33" t="e">
        <f t="shared" si="40"/>
        <v>#REF!</v>
      </c>
      <c r="CM32" s="2685"/>
      <c r="CN32" s="9" t="e">
        <f>+#REF!+#REF!+#REF!+#REF!+#REF!+#REF!+#REF!+#REF!+#REF!+#REF!+#REF!+#REF!</f>
        <v>#REF!</v>
      </c>
      <c r="CO32" s="5" t="e">
        <f>+#REF!+#REF!+#REF!+#REF!+#REF!+#REF!+#REF!+#REF!+#REF!+#REF!+#REF!+#REF!</f>
        <v>#REF!</v>
      </c>
      <c r="CP32" s="5" t="e">
        <f>+#REF!+#REF!+#REF!+#REF!+#REF!+#REF!+#REF!+#REF!+#REF!+#REF!+#REF!+#REF!</f>
        <v>#REF!</v>
      </c>
      <c r="CQ32" s="5" t="e">
        <f>+#REF!+#REF!+#REF!+#REF!+#REF!+#REF!+#REF!+#REF!+#REF!+#REF!+#REF!+#REF!</f>
        <v>#REF!</v>
      </c>
      <c r="CR32" s="5" t="e">
        <f>+#REF!+#REF!+#REF!+#REF!+#REF!+#REF!+#REF!+#REF!+#REF!+#REF!+#REF!+#REF!</f>
        <v>#REF!</v>
      </c>
      <c r="CS32" s="5" t="e">
        <f>+#REF!+#REF!+#REF!+#REF!+#REF!+#REF!+#REF!+#REF!+#REF!+#REF!+#REF!+#REF!</f>
        <v>#REF!</v>
      </c>
      <c r="CT32" s="28" t="e">
        <f t="shared" si="41"/>
        <v>#REF!</v>
      </c>
      <c r="CU32" s="36" t="e">
        <f>+#REF!+#REF!+#REF!+#REF!+#REF!+#REF!+#REF!+#REF!+#REF!+#REF!+#REF!+#REF!</f>
        <v>#REF!</v>
      </c>
      <c r="CV32" s="27" t="e">
        <f>+#REF!+#REF!+#REF!+#REF!+#REF!+#REF!+#REF!+#REF!+#REF!+#REF!+#REF!+#REF!</f>
        <v>#REF!</v>
      </c>
      <c r="CW32" s="27" t="e">
        <f>+#REF!+#REF!+#REF!+#REF!+#REF!+#REF!+#REF!+#REF!+#REF!+#REF!+#REF!+#REF!</f>
        <v>#REF!</v>
      </c>
      <c r="CX32" s="27" t="e">
        <f>+#REF!+#REF!+#REF!+#REF!+#REF!+#REF!+#REF!+#REF!+#REF!+#REF!+#REF!+#REF!</f>
        <v>#REF!</v>
      </c>
      <c r="CY32" s="27" t="e">
        <f>+#REF!+#REF!+#REF!+#REF!+#REF!+#REF!+#REF!+#REF!+#REF!+#REF!+#REF!+#REF!</f>
        <v>#REF!</v>
      </c>
      <c r="CZ32" s="27" t="e">
        <f>+#REF!+#REF!+#REF!+#REF!+#REF!+#REF!+#REF!+#REF!+#REF!+#REF!+#REF!+#REF!</f>
        <v>#REF!</v>
      </c>
      <c r="DA32" s="28" t="e">
        <f t="shared" si="42"/>
        <v>#REF!</v>
      </c>
      <c r="DB32" s="36" t="e">
        <f>+#REF!+#REF!+#REF!+#REF!+#REF!+#REF!+#REF!+#REF!+#REF!+#REF!+#REF!+#REF!</f>
        <v>#REF!</v>
      </c>
      <c r="DC32" s="27" t="e">
        <f>+#REF!+#REF!+#REF!+#REF!+#REF!+#REF!+#REF!+#REF!+#REF!+#REF!+#REF!+#REF!</f>
        <v>#REF!</v>
      </c>
      <c r="DD32" s="27" t="e">
        <f>+#REF!+#REF!+#REF!+#REF!+#REF!+#REF!+#REF!+#REF!+#REF!+#REF!+#REF!+#REF!</f>
        <v>#REF!</v>
      </c>
      <c r="DE32" s="27" t="e">
        <f>+#REF!+#REF!+#REF!+#REF!+#REF!+#REF!+#REF!+#REF!+#REF!+#REF!+#REF!+#REF!</f>
        <v>#REF!</v>
      </c>
      <c r="DF32" s="27" t="e">
        <f>+#REF!+#REF!+#REF!+#REF!+#REF!+#REF!+#REF!+#REF!+#REF!+#REF!+#REF!+#REF!</f>
        <v>#REF!</v>
      </c>
      <c r="DG32" s="27" t="e">
        <f>+#REF!+#REF!+#REF!+#REF!+#REF!+#REF!+#REF!+#REF!+#REF!+#REF!+#REF!+#REF!</f>
        <v>#REF!</v>
      </c>
      <c r="DH32" s="28" t="e">
        <f t="shared" si="43"/>
        <v>#REF!</v>
      </c>
      <c r="DI32" s="36" t="e">
        <f>+#REF!+#REF!+#REF!+#REF!+#REF!+#REF!+#REF!+#REF!+#REF!+#REF!+#REF!+#REF!</f>
        <v>#REF!</v>
      </c>
      <c r="DJ32" s="27" t="e">
        <f>+#REF!+#REF!+#REF!+#REF!+#REF!+#REF!+#REF!+#REF!+#REF!+#REF!+#REF!+#REF!</f>
        <v>#REF!</v>
      </c>
      <c r="DK32" s="27" t="e">
        <f>+#REF!+#REF!+#REF!+#REF!+#REF!+#REF!+#REF!+#REF!+#REF!+#REF!+#REF!+#REF!</f>
        <v>#REF!</v>
      </c>
      <c r="DL32" s="27" t="e">
        <f>+#REF!+#REF!+#REF!+#REF!+#REF!+#REF!+#REF!+#REF!+#REF!+#REF!+#REF!+#REF!</f>
        <v>#REF!</v>
      </c>
      <c r="DM32" s="27" t="e">
        <f>+#REF!+#REF!+#REF!+#REF!+#REF!+#REF!+#REF!+#REF!+#REF!+#REF!+#REF!+#REF!</f>
        <v>#REF!</v>
      </c>
      <c r="DN32" s="27" t="e">
        <f>+#REF!+#REF!+#REF!+#REF!+#REF!+#REF!+#REF!+#REF!+#REF!+#REF!+#REF!+#REF!</f>
        <v>#REF!</v>
      </c>
      <c r="DO32" s="33" t="e">
        <f t="shared" si="44"/>
        <v>#REF!</v>
      </c>
      <c r="DP32" s="2685"/>
      <c r="DR32" s="4" t="e">
        <f t="shared" si="45"/>
        <v>#REF!</v>
      </c>
      <c r="DS32" s="5" t="e">
        <f t="shared" si="46"/>
        <v>#REF!</v>
      </c>
      <c r="DT32" s="5" t="e">
        <f t="shared" si="47"/>
        <v>#REF!</v>
      </c>
      <c r="DU32" s="12" t="e">
        <f t="shared" si="48"/>
        <v>#REF!</v>
      </c>
      <c r="DV32" s="33"/>
      <c r="DW32" s="2674"/>
      <c r="DX32" s="9" t="e">
        <f>+#REF!+#REF!+#REF!+#REF!+#REF!+#REF!+#REF!+#REF!+#REF!+#REF!+#REF!+#REF!</f>
        <v>#REF!</v>
      </c>
      <c r="DY32" s="5" t="e">
        <f>+#REF!+#REF!+#REF!+#REF!+#REF!+#REF!+#REF!+#REF!+#REF!+#REF!+#REF!+#REF!</f>
        <v>#REF!</v>
      </c>
      <c r="DZ32" s="5" t="e">
        <f>+#REF!+#REF!+#REF!+#REF!+#REF!+#REF!+#REF!+#REF!+#REF!+#REF!+#REF!+#REF!</f>
        <v>#REF!</v>
      </c>
      <c r="EA32" s="5" t="e">
        <f>+#REF!+#REF!+#REF!+#REF!+#REF!+#REF!+#REF!+#REF!+#REF!+#REF!+#REF!+#REF!</f>
        <v>#REF!</v>
      </c>
      <c r="EB32" s="5" t="e">
        <f>+#REF!+#REF!+#REF!+#REF!+#REF!+#REF!+#REF!+#REF!+#REF!+#REF!+#REF!+#REF!</f>
        <v>#REF!</v>
      </c>
      <c r="EC32" s="27" t="e">
        <f>+#REF!+#REF!+#REF!+#REF!+#REF!+#REF!+#REF!+#REF!+#REF!+#REF!+#REF!+#REF!</f>
        <v>#REF!</v>
      </c>
      <c r="ED32" s="28" t="e">
        <f t="shared" si="49"/>
        <v>#REF!</v>
      </c>
      <c r="EE32" s="36" t="e">
        <f>+#REF!+#REF!+#REF!+#REF!+#REF!+#REF!+#REF!+#REF!+#REF!+#REF!+#REF!+#REF!</f>
        <v>#REF!</v>
      </c>
      <c r="EF32" s="27" t="e">
        <f>+#REF!+#REF!+#REF!+#REF!+#REF!+#REF!+#REF!+#REF!+#REF!+#REF!+#REF!+#REF!</f>
        <v>#REF!</v>
      </c>
      <c r="EG32" s="27" t="e">
        <f>+#REF!+#REF!+#REF!+#REF!+#REF!+#REF!+#REF!+#REF!+#REF!+#REF!+#REF!+#REF!</f>
        <v>#REF!</v>
      </c>
      <c r="EH32" s="27" t="e">
        <f>+#REF!+#REF!+#REF!+#REF!+#REF!+#REF!+#REF!+#REF!+#REF!+#REF!+#REF!+#REF!</f>
        <v>#REF!</v>
      </c>
      <c r="EI32" s="27" t="e">
        <f>+#REF!+#REF!+#REF!+#REF!+#REF!+#REF!+#REF!+#REF!+#REF!+#REF!+#REF!+#REF!</f>
        <v>#REF!</v>
      </c>
      <c r="EJ32" s="27" t="e">
        <f>+#REF!+#REF!+#REF!+#REF!+#REF!+#REF!+#REF!+#REF!+#REF!+#REF!+#REF!+#REF!</f>
        <v>#REF!</v>
      </c>
      <c r="EK32" s="28" t="e">
        <f t="shared" si="50"/>
        <v>#REF!</v>
      </c>
      <c r="EL32" s="36" t="e">
        <f>+#REF!+#REF!+#REF!+#REF!+#REF!+#REF!+#REF!+#REF!+#REF!+#REF!+#REF!+#REF!</f>
        <v>#REF!</v>
      </c>
      <c r="EM32" s="27" t="e">
        <f>+#REF!+#REF!+#REF!+#REF!+#REF!+#REF!+#REF!+#REF!+#REF!+#REF!+#REF!+#REF!</f>
        <v>#REF!</v>
      </c>
      <c r="EN32" s="27" t="e">
        <f>+#REF!+#REF!+#REF!+#REF!+#REF!+#REF!+#REF!+#REF!+#REF!+#REF!+#REF!+#REF!</f>
        <v>#REF!</v>
      </c>
      <c r="EO32" s="27" t="e">
        <f>+#REF!+#REF!+#REF!+#REF!+#REF!+#REF!+#REF!+#REF!+#REF!+#REF!+#REF!+#REF!</f>
        <v>#REF!</v>
      </c>
      <c r="EP32" s="27" t="e">
        <f>+#REF!+#REF!+#REF!+#REF!+#REF!+#REF!+#REF!+#REF!+#REF!+#REF!+#REF!+#REF!</f>
        <v>#REF!</v>
      </c>
      <c r="EQ32" s="27" t="e">
        <f>+#REF!+#REF!+#REF!+#REF!+#REF!+#REF!+#REF!+#REF!+#REF!+#REF!+#REF!+#REF!</f>
        <v>#REF!</v>
      </c>
      <c r="ER32" s="33" t="e">
        <f t="shared" si="51"/>
        <v>#REF!</v>
      </c>
      <c r="ES32" s="2674"/>
      <c r="EU32" s="4" t="e">
        <f t="shared" si="52"/>
        <v>#REF!</v>
      </c>
      <c r="EV32" s="5" t="e">
        <f t="shared" si="53"/>
        <v>#REF!</v>
      </c>
      <c r="EW32" s="27" t="e">
        <f t="shared" si="54"/>
        <v>#REF!</v>
      </c>
      <c r="EX32" s="27" t="e">
        <f t="shared" si="55"/>
        <v>#REF!</v>
      </c>
      <c r="EY32" s="141"/>
      <c r="EZ32" s="141"/>
      <c r="FA32" s="33"/>
      <c r="FB32" s="2667"/>
      <c r="FC32" s="36" t="e">
        <f>+#REF!+#REF!+#REF!+#REF!+#REF!+#REF!+#REF!+#REF!+#REF!+#REF!+#REF!+#REF!</f>
        <v>#REF!</v>
      </c>
      <c r="FD32" s="27" t="e">
        <f>+#REF!+#REF!+#REF!+#REF!+#REF!+#REF!+#REF!+#REF!+#REF!+#REF!+#REF!+#REF!</f>
        <v>#REF!</v>
      </c>
      <c r="FE32" s="27"/>
      <c r="FF32" s="27"/>
      <c r="FG32" s="33" t="e">
        <f t="shared" si="56"/>
        <v>#REF!</v>
      </c>
      <c r="FH32" s="2667"/>
      <c r="FI32" s="36" t="e">
        <f>+#REF!+#REF!+#REF!+#REF!+#REF!+#REF!+#REF!+#REF!+#REF!+#REF!+#REF!+#REF!</f>
        <v>#REF!</v>
      </c>
      <c r="FJ32" s="27" t="e">
        <f>+#REF!+#REF!+#REF!+#REF!+#REF!+#REF!+#REF!+#REF!+#REF!+#REF!+#REF!+#REF!</f>
        <v>#REF!</v>
      </c>
      <c r="FK32" s="27" t="e">
        <f>+#REF!+#REF!+#REF!+#REF!+#REF!+#REF!+#REF!+#REF!+#REF!+#REF!+#REF!+#REF!</f>
        <v>#REF!</v>
      </c>
      <c r="FL32" s="27" t="e">
        <f>+#REF!+#REF!+#REF!+#REF!+#REF!+#REF!+#REF!+#REF!+#REF!+#REF!+#REF!+#REF!</f>
        <v>#REF!</v>
      </c>
      <c r="FM32" s="27" t="e">
        <f>+#REF!+#REF!+#REF!+#REF!+#REF!+#REF!+#REF!+#REF!+#REF!+#REF!+#REF!+#REF!</f>
        <v>#REF!</v>
      </c>
      <c r="FN32" s="27" t="e">
        <f>+#REF!+#REF!+#REF!+#REF!+#REF!+#REF!+#REF!+#REF!+#REF!+#REF!+#REF!+#REF!</f>
        <v>#REF!</v>
      </c>
      <c r="FO32" s="27" t="e">
        <f>+#REF!+#REF!+#REF!+#REF!+#REF!+#REF!+#REF!+#REF!+#REF!+#REF!+#REF!+#REF!</f>
        <v>#REF!</v>
      </c>
      <c r="FP32" s="27" t="e">
        <f>+#REF!+#REF!+#REF!+#REF!+#REF!+#REF!+#REF!+#REF!+#REF!+#REF!+#REF!+#REF!</f>
        <v>#REF!</v>
      </c>
      <c r="FQ32" s="28" t="e">
        <f t="shared" si="80"/>
        <v>#REF!</v>
      </c>
      <c r="FR32" s="26" t="e">
        <f>+#REF!+#REF!+#REF!+#REF!+#REF!+#REF!+#REF!+#REF!+#REF!+#REF!+#REF!+#REF!</f>
        <v>#REF!</v>
      </c>
      <c r="FS32" s="27" t="e">
        <f>+#REF!+#REF!+#REF!+#REF!+#REF!+#REF!+#REF!+#REF!+#REF!+#REF!+#REF!+#REF!</f>
        <v>#REF!</v>
      </c>
      <c r="FT32" s="27" t="e">
        <f>+#REF!+#REF!+#REF!+#REF!+#REF!+#REF!+#REF!+#REF!+#REF!+#REF!+#REF!+#REF!</f>
        <v>#REF!</v>
      </c>
      <c r="FU32" s="27" t="e">
        <f>+#REF!+#REF!+#REF!+#REF!+#REF!+#REF!+#REF!+#REF!+#REF!+#REF!+#REF!+#REF!</f>
        <v>#REF!</v>
      </c>
      <c r="FV32" s="27" t="e">
        <f>+#REF!+#REF!+#REF!+#REF!+#REF!+#REF!+#REF!+#REF!+#REF!+#REF!+#REF!+#REF!</f>
        <v>#REF!</v>
      </c>
      <c r="FW32" s="27" t="e">
        <f>+#REF!+#REF!+#REF!+#REF!+#REF!+#REF!+#REF!+#REF!+#REF!+#REF!+#REF!+#REF!</f>
        <v>#REF!</v>
      </c>
      <c r="FX32" s="27" t="e">
        <f>+#REF!+#REF!+#REF!+#REF!+#REF!+#REF!+#REF!+#REF!+#REF!+#REF!+#REF!+#REF!</f>
        <v>#REF!</v>
      </c>
      <c r="FY32" s="27" t="e">
        <f>+#REF!+#REF!+#REF!+#REF!+#REF!+#REF!+#REF!+#REF!+#REF!+#REF!+#REF!+#REF!</f>
        <v>#REF!</v>
      </c>
      <c r="FZ32" s="28" t="e">
        <f t="shared" si="57"/>
        <v>#REF!</v>
      </c>
      <c r="GA32" s="36" t="e">
        <f>+#REF!+#REF!+#REF!+#REF!+#REF!+#REF!+#REF!+#REF!+#REF!+#REF!+#REF!+#REF!</f>
        <v>#REF!</v>
      </c>
      <c r="GB32" s="27" t="e">
        <f>+#REF!+#REF!+#REF!+#REF!+#REF!+#REF!+#REF!+#REF!+#REF!+#REF!+#REF!+#REF!</f>
        <v>#REF!</v>
      </c>
      <c r="GC32" s="27" t="e">
        <f>+#REF!+#REF!+#REF!+#REF!+#REF!+#REF!+#REF!+#REF!+#REF!+#REF!+#REF!+#REF!</f>
        <v>#REF!</v>
      </c>
      <c r="GD32" s="27" t="e">
        <f>+#REF!+#REF!+#REF!+#REF!+#REF!+#REF!+#REF!+#REF!+#REF!+#REF!+#REF!+#REF!</f>
        <v>#REF!</v>
      </c>
      <c r="GE32" s="27" t="e">
        <f>+#REF!+#REF!+#REF!+#REF!+#REF!+#REF!+#REF!+#REF!+#REF!+#REF!+#REF!+#REF!</f>
        <v>#REF!</v>
      </c>
      <c r="GF32" s="27" t="e">
        <f>+#REF!+#REF!+#REF!+#REF!+#REF!+#REF!+#REF!+#REF!+#REF!+#REF!+#REF!+#REF!</f>
        <v>#REF!</v>
      </c>
      <c r="GG32" s="27" t="e">
        <f>+#REF!+#REF!+#REF!+#REF!+#REF!+#REF!+#REF!+#REF!+#REF!+#REF!+#REF!+#REF!</f>
        <v>#REF!</v>
      </c>
      <c r="GH32" s="27" t="e">
        <f>+#REF!+#REF!+#REF!+#REF!+#REF!+#REF!+#REF!+#REF!+#REF!+#REF!+#REF!+#REF!</f>
        <v>#REF!</v>
      </c>
      <c r="GI32" s="33" t="e">
        <f t="shared" si="58"/>
        <v>#REF!</v>
      </c>
      <c r="GJ32" s="2667"/>
      <c r="GL32" s="26" t="e">
        <f>+#REF!+#REF!+#REF!+#REF!+#REF!+#REF!+#REF!+#REF!+#REF!+#REF!+#REF!+#REF!</f>
        <v>#REF!</v>
      </c>
      <c r="GM32" s="36" t="e">
        <f>+#REF!+#REF!+#REF!+#REF!+#REF!+#REF!+#REF!+#REF!+#REF!+#REF!+#REF!+#REF!</f>
        <v>#REF!</v>
      </c>
      <c r="GN32" s="27" t="e">
        <f>+#REF!+#REF!+#REF!+#REF!+#REF!+#REF!+#REF!+#REF!+#REF!+#REF!+#REF!+#REF!</f>
        <v>#REF!</v>
      </c>
      <c r="GO32" s="27" t="e">
        <f t="shared" si="59"/>
        <v>#REF!</v>
      </c>
      <c r="GP32" s="33"/>
      <c r="GQ32" s="2669"/>
      <c r="GR32" s="69"/>
      <c r="GS32" s="70"/>
      <c r="GT32" s="70"/>
      <c r="GU32" s="70"/>
      <c r="GV32" s="70"/>
      <c r="GW32" s="70"/>
      <c r="GX32" s="70"/>
      <c r="GY32" s="71"/>
      <c r="GZ32" s="69"/>
      <c r="HA32" s="70"/>
      <c r="HB32" s="70"/>
      <c r="HC32" s="70"/>
      <c r="HD32" s="70"/>
      <c r="HE32" s="70"/>
      <c r="HF32" s="70"/>
      <c r="HG32" s="71"/>
      <c r="HH32" s="69"/>
      <c r="HI32" s="70"/>
      <c r="HJ32" s="70"/>
      <c r="HK32" s="70"/>
      <c r="HL32" s="70"/>
      <c r="HM32" s="70"/>
      <c r="HN32" s="70"/>
      <c r="HO32" s="70"/>
      <c r="HP32" s="33"/>
      <c r="HQ32" s="2669"/>
      <c r="HR32" s="36"/>
      <c r="HS32" s="53"/>
      <c r="HT32" s="53"/>
      <c r="HU32" s="53"/>
      <c r="HV32" s="61"/>
      <c r="HW32" s="36"/>
      <c r="HX32" s="53"/>
      <c r="HY32" s="53"/>
      <c r="HZ32" s="53"/>
      <c r="IA32" s="61"/>
      <c r="IB32" s="36"/>
      <c r="IC32" s="53"/>
      <c r="ID32" s="53"/>
      <c r="IE32" s="53"/>
      <c r="IF32" s="53"/>
      <c r="IG32" s="33"/>
      <c r="IH32" s="2669"/>
      <c r="IJ32" s="26" t="e">
        <f t="shared" si="60"/>
        <v>#REF!</v>
      </c>
      <c r="IK32" s="36" t="e">
        <f t="shared" si="6"/>
        <v>#REF!</v>
      </c>
      <c r="IL32" s="27" t="e">
        <f t="shared" si="6"/>
        <v>#REF!</v>
      </c>
      <c r="IM32" s="28" t="e">
        <f t="shared" si="61"/>
        <v>#REF!</v>
      </c>
      <c r="IN32" s="36"/>
      <c r="IO32" s="27"/>
      <c r="IP32" s="27"/>
      <c r="IQ32" s="33"/>
      <c r="IR32" s="55"/>
      <c r="IS32" s="21"/>
      <c r="IT32" s="2688"/>
      <c r="IU32" s="36" t="e">
        <f>+#REF!+#REF!+#REF!+#REF!+#REF!+#REF!+#REF!+#REF!+#REF!+#REF!+#REF!+#REF!</f>
        <v>#REF!</v>
      </c>
      <c r="IV32" s="36" t="e">
        <f>+#REF!+#REF!+#REF!+#REF!+#REF!+#REF!+#REF!+#REF!+#REF!+#REF!+#REF!+#REF!</f>
        <v>#REF!</v>
      </c>
      <c r="IW32" s="27" t="e">
        <f>+#REF!+#REF!+#REF!+#REF!+#REF!+#REF!+#REF!+#REF!+#REF!+#REF!+#REF!+#REF!</f>
        <v>#REF!</v>
      </c>
      <c r="IX32" s="27" t="e">
        <f>+#REF!+#REF!+#REF!+#REF!+#REF!+#REF!+#REF!+#REF!+#REF!+#REF!+#REF!+#REF!</f>
        <v>#REF!</v>
      </c>
      <c r="IY32" s="27" t="e">
        <f>+#REF!+#REF!+#REF!+#REF!+#REF!+#REF!+#REF!+#REF!+#REF!+#REF!+#REF!+#REF!</f>
        <v>#REF!</v>
      </c>
      <c r="IZ32" s="28" t="e">
        <f t="shared" si="62"/>
        <v>#REF!</v>
      </c>
      <c r="JA32" s="26" t="e">
        <f>+#REF!+#REF!+#REF!+#REF!+#REF!+#REF!+#REF!+#REF!+#REF!+#REF!+#REF!+#REF!</f>
        <v>#REF!</v>
      </c>
      <c r="JB32" s="36" t="e">
        <f>+#REF!+#REF!+#REF!+#REF!+#REF!+#REF!+#REF!+#REF!+#REF!+#REF!+#REF!+#REF!</f>
        <v>#REF!</v>
      </c>
      <c r="JC32" s="27" t="e">
        <f>+#REF!+#REF!+#REF!+#REF!+#REF!+#REF!+#REF!+#REF!+#REF!+#REF!+#REF!+#REF!</f>
        <v>#REF!</v>
      </c>
      <c r="JD32" s="27" t="e">
        <f>+#REF!+#REF!+#REF!+#REF!+#REF!+#REF!+#REF!+#REF!+#REF!+#REF!+#REF!+#REF!</f>
        <v>#REF!</v>
      </c>
      <c r="JE32" s="28" t="e">
        <f>+#REF!+#REF!+#REF!+#REF!+#REF!+#REF!+#REF!+#REF!+#REF!+#REF!+#REF!+#REF!</f>
        <v>#REF!</v>
      </c>
      <c r="JF32" s="26" t="e">
        <f>+#REF!+#REF!+#REF!+#REF!+#REF!+#REF!+#REF!+#REF!+#REF!+#REF!+#REF!+#REF!</f>
        <v>#REF!</v>
      </c>
      <c r="JG32" s="36" t="e">
        <f>+#REF!+#REF!+#REF!+#REF!+#REF!+#REF!+#REF!+#REF!+#REF!+#REF!+#REF!+#REF!</f>
        <v>#REF!</v>
      </c>
      <c r="JH32" s="27" t="e">
        <f>+#REF!+#REF!+#REF!+#REF!+#REF!+#REF!+#REF!+#REF!+#REF!+#REF!+#REF!+#REF!</f>
        <v>#REF!</v>
      </c>
      <c r="JI32" s="27" t="e">
        <f>+#REF!+#REF!+#REF!+#REF!+#REF!+#REF!+#REF!+#REF!+#REF!+#REF!+#REF!+#REF!</f>
        <v>#REF!</v>
      </c>
      <c r="JJ32" s="27" t="e">
        <f>+#REF!+#REF!+#REF!+#REF!+#REF!+#REF!+#REF!+#REF!+#REF!+#REF!+#REF!+#REF!</f>
        <v>#REF!</v>
      </c>
      <c r="JK32" s="28" t="e">
        <f t="shared" si="63"/>
        <v>#REF!</v>
      </c>
      <c r="JL32" s="26" t="e">
        <f>+#REF!+#REF!+#REF!+#REF!+#REF!+#REF!+#REF!+#REF!+#REF!+#REF!+#REF!+#REF!</f>
        <v>#REF!</v>
      </c>
      <c r="JM32" s="36" t="e">
        <f>+#REF!+#REF!+#REF!+#REF!+#REF!+#REF!+#REF!+#REF!+#REF!+#REF!+#REF!+#REF!</f>
        <v>#REF!</v>
      </c>
      <c r="JN32" s="27" t="e">
        <f>+#REF!+#REF!+#REF!+#REF!+#REF!+#REF!+#REF!+#REF!+#REF!+#REF!+#REF!+#REF!</f>
        <v>#REF!</v>
      </c>
      <c r="JO32" s="27" t="e">
        <f>+#REF!+#REF!+#REF!+#REF!+#REF!+#REF!+#REF!+#REF!+#REF!+#REF!+#REF!+#REF!</f>
        <v>#REF!</v>
      </c>
      <c r="JP32" s="28" t="e">
        <f>+#REF!+#REF!+#REF!+#REF!+#REF!+#REF!+#REF!+#REF!+#REF!+#REF!+#REF!+#REF!</f>
        <v>#REF!</v>
      </c>
      <c r="JQ32" s="275" t="e">
        <f t="shared" si="64"/>
        <v>#REF!</v>
      </c>
      <c r="JR32" s="36" t="e">
        <f>+#REF!+#REF!+#REF!+#REF!+#REF!+#REF!+#REF!+#REF!+#REF!+#REF!+#REF!+#REF!</f>
        <v>#REF!</v>
      </c>
      <c r="JS32" s="36" t="e">
        <f>+#REF!+#REF!+#REF!+#REF!+#REF!+#REF!+#REF!+#REF!+#REF!+#REF!+#REF!+#REF!</f>
        <v>#REF!</v>
      </c>
      <c r="JT32" s="27" t="e">
        <f>+#REF!+#REF!+#REF!+#REF!+#REF!+#REF!+#REF!+#REF!+#REF!+#REF!+#REF!+#REF!</f>
        <v>#REF!</v>
      </c>
      <c r="JU32" s="27" t="e">
        <f>+#REF!+#REF!+#REF!+#REF!+#REF!+#REF!+#REF!+#REF!+#REF!+#REF!+#REF!+#REF!</f>
        <v>#REF!</v>
      </c>
      <c r="JV32" s="27" t="e">
        <f>+#REF!+#REF!+#REF!+#REF!+#REF!+#REF!+#REF!+#REF!+#REF!+#REF!+#REF!+#REF!</f>
        <v>#REF!</v>
      </c>
      <c r="JW32" s="33" t="e">
        <f t="shared" si="65"/>
        <v>#REF!</v>
      </c>
      <c r="JX32" s="2688"/>
      <c r="JZ32" s="26" t="e">
        <f t="shared" si="66"/>
        <v>#REF!</v>
      </c>
      <c r="KA32" s="27" t="e">
        <f t="shared" si="67"/>
        <v>#REF!</v>
      </c>
      <c r="KB32" s="27" t="e">
        <f t="shared" si="68"/>
        <v>#REF!</v>
      </c>
      <c r="KC32" s="33" t="e">
        <f t="shared" si="69"/>
        <v>#REF!</v>
      </c>
      <c r="KD32" s="2621"/>
      <c r="KE32" s="36" t="e">
        <f t="shared" si="87"/>
        <v>#REF!</v>
      </c>
      <c r="KF32" s="36" t="e">
        <f t="shared" si="87"/>
        <v>#REF!</v>
      </c>
      <c r="KG32" s="27" t="e">
        <f t="shared" si="87"/>
        <v>#REF!</v>
      </c>
      <c r="KH32" s="28" t="e">
        <f t="shared" si="81"/>
        <v>#REF!</v>
      </c>
      <c r="KI32" s="36" t="e">
        <f t="shared" si="82"/>
        <v>#REF!</v>
      </c>
      <c r="KJ32" s="27" t="e">
        <f t="shared" si="88"/>
        <v>#REF!</v>
      </c>
      <c r="KK32" s="27" t="e">
        <f t="shared" si="88"/>
        <v>#REF!</v>
      </c>
      <c r="KL32" s="27" t="e">
        <f t="shared" si="88"/>
        <v>#REF!</v>
      </c>
      <c r="KM32" s="27" t="e">
        <f t="shared" si="88"/>
        <v>#REF!</v>
      </c>
      <c r="KN32" s="27" t="e">
        <f t="shared" si="88"/>
        <v>#REF!</v>
      </c>
      <c r="KO32" s="28" t="e">
        <f t="shared" si="83"/>
        <v>#REF!</v>
      </c>
      <c r="KP32" s="36" t="e">
        <f t="shared" si="89"/>
        <v>#REF!</v>
      </c>
      <c r="KQ32" s="27" t="e">
        <f t="shared" si="89"/>
        <v>#REF!</v>
      </c>
      <c r="KR32" s="27" t="e">
        <f t="shared" si="89"/>
        <v>#REF!</v>
      </c>
      <c r="KS32" s="27" t="e">
        <f t="shared" si="89"/>
        <v>#REF!</v>
      </c>
      <c r="KT32" s="27" t="e">
        <f t="shared" si="89"/>
        <v>#REF!</v>
      </c>
      <c r="KU32" s="27" t="e">
        <f t="shared" si="89"/>
        <v>#REF!</v>
      </c>
      <c r="KV32" s="28" t="e">
        <f t="shared" si="84"/>
        <v>#REF!</v>
      </c>
      <c r="KW32" s="36" t="e">
        <f t="shared" si="90"/>
        <v>#REF!</v>
      </c>
      <c r="KX32" s="27" t="e">
        <f t="shared" si="90"/>
        <v>#REF!</v>
      </c>
      <c r="KY32" s="27" t="e">
        <f t="shared" si="90"/>
        <v>#REF!</v>
      </c>
      <c r="KZ32" s="27" t="e">
        <f t="shared" si="90"/>
        <v>#REF!</v>
      </c>
      <c r="LA32" s="27" t="e">
        <f t="shared" si="90"/>
        <v>#REF!</v>
      </c>
      <c r="LB32" s="27" t="e">
        <f t="shared" si="90"/>
        <v>#REF!</v>
      </c>
      <c r="LC32" s="28" t="e">
        <f t="shared" si="85"/>
        <v>#REF!</v>
      </c>
      <c r="LD32" s="36"/>
      <c r="LE32" s="27"/>
      <c r="LF32" s="27"/>
      <c r="LG32" s="27"/>
      <c r="LH32" s="27"/>
      <c r="LI32" s="27"/>
      <c r="LJ32" s="28">
        <f t="shared" si="70"/>
        <v>0</v>
      </c>
      <c r="LK32" s="36" t="e">
        <f t="shared" si="91"/>
        <v>#REF!</v>
      </c>
      <c r="LL32" s="27" t="e">
        <f t="shared" si="91"/>
        <v>#REF!</v>
      </c>
      <c r="LM32" s="27" t="e">
        <f t="shared" si="91"/>
        <v>#REF!</v>
      </c>
      <c r="LN32" s="27" t="e">
        <f t="shared" si="91"/>
        <v>#REF!</v>
      </c>
      <c r="LO32" s="27" t="e">
        <f t="shared" si="91"/>
        <v>#REF!</v>
      </c>
      <c r="LP32" s="27" t="e">
        <f t="shared" si="91"/>
        <v>#REF!</v>
      </c>
      <c r="LQ32" s="33" t="e">
        <f t="shared" si="71"/>
        <v>#REF!</v>
      </c>
      <c r="LR32" s="2621"/>
      <c r="LT32" s="4" t="e">
        <f>+#REF!+#REF!+#REF!+#REF!+#REF!+#REF!+#REF!+#REF!+#REF!+#REF!+#REF!+#REF!</f>
        <v>#REF!</v>
      </c>
      <c r="LU32" s="5" t="e">
        <f>+#REF!+#REF!+#REF!+#REF!+#REF!+#REF!+#REF!+#REF!+#REF!+#REF!+#REF!+#REF!</f>
        <v>#REF!</v>
      </c>
      <c r="LV32" s="5" t="e">
        <f t="shared" si="72"/>
        <v>#REF!</v>
      </c>
      <c r="LW32" s="12" t="e">
        <f t="shared" si="86"/>
        <v>#REF!</v>
      </c>
      <c r="LX32" s="15"/>
      <c r="LY32" s="2615"/>
      <c r="MA32" s="4" t="e">
        <f>+#REF!+#REF!+#REF!+#REF!+#REF!+#REF!+#REF!+#REF!+#REF!+#REF!+#REF!+#REF!</f>
        <v>#REF!</v>
      </c>
      <c r="MB32" s="5" t="e">
        <f t="shared" si="73"/>
        <v>#REF!</v>
      </c>
      <c r="MC32" s="5" t="e">
        <f>+#REF!+#REF!+#REF!+#REF!+#REF!+#REF!+#REF!+#REF!+#REF!+#REF!+#REF!+#REF!</f>
        <v>#REF!</v>
      </c>
      <c r="MD32" s="5" t="e">
        <f t="shared" si="74"/>
        <v>#REF!</v>
      </c>
      <c r="ME32" s="12" t="e">
        <f t="shared" si="75"/>
        <v>#REF!</v>
      </c>
      <c r="MF32" s="12"/>
      <c r="MG32" s="2615"/>
      <c r="MI32" s="139" t="e">
        <f t="shared" si="76"/>
        <v>#REF!</v>
      </c>
      <c r="MJ32" s="139" t="e">
        <f t="shared" si="77"/>
        <v>#REF!</v>
      </c>
      <c r="ML32" s="139" t="e">
        <f t="shared" si="78"/>
        <v>#REF!</v>
      </c>
      <c r="MM32" s="139" t="e">
        <f t="shared" si="79"/>
        <v>#REF!</v>
      </c>
      <c r="MO32" s="1">
        <f t="shared" si="92"/>
        <v>0</v>
      </c>
      <c r="MP32" s="1">
        <f t="shared" si="92"/>
        <v>0</v>
      </c>
      <c r="MQ32" s="1">
        <f t="shared" si="92"/>
        <v>0</v>
      </c>
      <c r="MR32" s="1">
        <f t="shared" si="92"/>
        <v>0</v>
      </c>
      <c r="MS32" s="1">
        <f t="shared" si="92"/>
        <v>0</v>
      </c>
      <c r="MT32" s="1">
        <f t="shared" si="92"/>
        <v>0</v>
      </c>
      <c r="MV32" s="1">
        <f t="shared" si="93"/>
        <v>0</v>
      </c>
      <c r="MW32" s="1">
        <f t="shared" si="93"/>
        <v>0</v>
      </c>
      <c r="MX32" s="1">
        <f t="shared" si="93"/>
        <v>0</v>
      </c>
      <c r="MY32" s="1">
        <f t="shared" si="93"/>
        <v>0</v>
      </c>
      <c r="MZ32" s="1">
        <f t="shared" si="93"/>
        <v>0</v>
      </c>
      <c r="NA32" s="1">
        <f t="shared" si="93"/>
        <v>0</v>
      </c>
    </row>
    <row r="33" spans="1:365" s="1" customFormat="1">
      <c r="B33" s="46">
        <v>24</v>
      </c>
      <c r="C33" s="4" t="e">
        <f t="shared" si="0"/>
        <v>#REF!</v>
      </c>
      <c r="D33" s="5" t="e">
        <f t="shared" si="1"/>
        <v>#REF!</v>
      </c>
      <c r="E33" s="61">
        <f t="shared" si="14"/>
        <v>0</v>
      </c>
      <c r="F33" s="52"/>
      <c r="G33" s="53"/>
      <c r="H33" s="53"/>
      <c r="I33" s="54"/>
      <c r="J33" s="2629"/>
      <c r="K33" s="9" t="e">
        <f t="shared" si="15"/>
        <v>#REF!</v>
      </c>
      <c r="L33" s="5" t="e">
        <f t="shared" si="2"/>
        <v>#REF!</v>
      </c>
      <c r="M33" s="64">
        <f t="shared" si="16"/>
        <v>0</v>
      </c>
      <c r="N33" s="28"/>
      <c r="O33" s="36" t="e">
        <f t="shared" si="17"/>
        <v>#REF!</v>
      </c>
      <c r="P33" s="27" t="e">
        <f t="shared" si="17"/>
        <v>#REF!</v>
      </c>
      <c r="Q33" s="53">
        <f t="shared" si="18"/>
        <v>0</v>
      </c>
      <c r="R33" s="28"/>
      <c r="S33" s="36" t="e">
        <f t="shared" si="19"/>
        <v>#REF!</v>
      </c>
      <c r="T33" s="27" t="e">
        <f t="shared" si="19"/>
        <v>#REF!</v>
      </c>
      <c r="U33" s="53">
        <f t="shared" si="3"/>
        <v>0</v>
      </c>
      <c r="V33" s="28"/>
      <c r="W33" s="36" t="e">
        <f t="shared" si="20"/>
        <v>#REF!</v>
      </c>
      <c r="X33" s="27" t="e">
        <f t="shared" si="4"/>
        <v>#REF!</v>
      </c>
      <c r="Y33" s="53">
        <f t="shared" si="21"/>
        <v>0</v>
      </c>
      <c r="Z33" s="28"/>
      <c r="AA33" s="26" t="e">
        <f t="shared" si="22"/>
        <v>#REF!</v>
      </c>
      <c r="AB33" s="27" t="e">
        <f t="shared" si="22"/>
        <v>#REF!</v>
      </c>
      <c r="AC33" s="53">
        <f t="shared" si="23"/>
        <v>0</v>
      </c>
      <c r="AD33" s="33"/>
      <c r="AE33" s="2629"/>
      <c r="AF33" s="9" t="e">
        <f>+#REF!+#REF!+#REF!+#REF!+#REF!+#REF!+#REF!+#REF!+#REF!+#REF!+#REF!+#REF!</f>
        <v>#REF!</v>
      </c>
      <c r="AG33" s="5" t="e">
        <f>+#REF!+#REF!+#REF!+#REF!+#REF!+#REF!+#REF!+#REF!+#REF!+#REF!+#REF!+#REF!</f>
        <v>#REF!</v>
      </c>
      <c r="AH33" s="61">
        <f t="shared" si="24"/>
        <v>0</v>
      </c>
      <c r="AI33" s="36" t="e">
        <f>+#REF!+#REF!+#REF!+#REF!+#REF!+#REF!+#REF!+#REF!+#REF!+#REF!+#REF!+#REF!</f>
        <v>#REF!</v>
      </c>
      <c r="AJ33" s="27" t="e">
        <f>+#REF!+#REF!+#REF!+#REF!+#REF!+#REF!+#REF!+#REF!+#REF!+#REF!+#REF!+#REF!</f>
        <v>#REF!</v>
      </c>
      <c r="AK33" s="61">
        <f t="shared" si="25"/>
        <v>0</v>
      </c>
      <c r="AL33" s="36" t="e">
        <f>+#REF!+#REF!+#REF!+#REF!+#REF!+#REF!+#REF!+#REF!+#REF!+#REF!+#REF!+#REF!</f>
        <v>#REF!</v>
      </c>
      <c r="AM33" s="27" t="e">
        <f>+#REF!+#REF!+#REF!+#REF!+#REF!+#REF!+#REF!+#REF!+#REF!+#REF!+#REF!+#REF!</f>
        <v>#REF!</v>
      </c>
      <c r="AN33" s="61">
        <f t="shared" si="26"/>
        <v>0</v>
      </c>
      <c r="AO33" s="36" t="e">
        <f>+#REF!+#REF!+#REF!+#REF!+#REF!+#REF!+#REF!+#REF!+#REF!+#REF!+#REF!+#REF!</f>
        <v>#REF!</v>
      </c>
      <c r="AP33" s="27" t="e">
        <f>+#REF!+#REF!+#REF!+#REF!+#REF!+#REF!+#REF!+#REF!+#REF!+#REF!+#REF!+#REF!</f>
        <v>#REF!</v>
      </c>
      <c r="AQ33" s="61">
        <f t="shared" si="27"/>
        <v>0</v>
      </c>
      <c r="AR33" s="36" t="e">
        <f>+#REF!+#REF!+#REF!+#REF!+#REF!+#REF!+#REF!+#REF!+#REF!+#REF!+#REF!+#REF!</f>
        <v>#REF!</v>
      </c>
      <c r="AS33" s="27" t="e">
        <f>+#REF!+#REF!+#REF!+#REF!+#REF!+#REF!+#REF!+#REF!+#REF!+#REF!+#REF!+#REF!</f>
        <v>#REF!</v>
      </c>
      <c r="AT33" s="61">
        <f t="shared" si="28"/>
        <v>0</v>
      </c>
      <c r="AU33" s="36" t="e">
        <f>+#REF!+#REF!+#REF!+#REF!+#REF!+#REF!+#REF!+#REF!+#REF!+#REF!+#REF!+#REF!</f>
        <v>#REF!</v>
      </c>
      <c r="AV33" s="27" t="e">
        <f>+#REF!+#REF!+#REF!+#REF!+#REF!+#REF!+#REF!+#REF!+#REF!+#REF!+#REF!+#REF!</f>
        <v>#REF!</v>
      </c>
      <c r="AW33" s="61">
        <f t="shared" si="29"/>
        <v>0</v>
      </c>
      <c r="AX33" s="36" t="e">
        <f>+#REF!+#REF!+#REF!+#REF!+#REF!+#REF!+#REF!+#REF!+#REF!+#REF!+#REF!+#REF!</f>
        <v>#REF!</v>
      </c>
      <c r="AY33" s="27" t="e">
        <f>+#REF!+#REF!+#REF!+#REF!+#REF!+#REF!+#REF!+#REF!+#REF!+#REF!+#REF!+#REF!</f>
        <v>#REF!</v>
      </c>
      <c r="AZ33" s="61">
        <f t="shared" si="30"/>
        <v>0</v>
      </c>
      <c r="BA33" s="36" t="e">
        <f>+#REF!+#REF!+#REF!+#REF!+#REF!+#REF!+#REF!+#REF!+#REF!+#REF!+#REF!+#REF!</f>
        <v>#REF!</v>
      </c>
      <c r="BB33" s="27" t="e">
        <f>+#REF!+#REF!+#REF!+#REF!+#REF!+#REF!+#REF!+#REF!+#REF!+#REF!+#REF!+#REF!</f>
        <v>#REF!</v>
      </c>
      <c r="BC33" s="61">
        <f t="shared" si="31"/>
        <v>0</v>
      </c>
      <c r="BD33" s="36" t="e">
        <f>+#REF!+#REF!+#REF!+#REF!+#REF!+#REF!+#REF!+#REF!+#REF!+#REF!+#REF!+#REF!</f>
        <v>#REF!</v>
      </c>
      <c r="BE33" s="27" t="e">
        <f>+#REF!+#REF!+#REF!+#REF!+#REF!+#REF!+#REF!+#REF!+#REF!+#REF!+#REF!+#REF!</f>
        <v>#REF!</v>
      </c>
      <c r="BF33" s="61">
        <f t="shared" si="32"/>
        <v>0</v>
      </c>
      <c r="BG33" s="36" t="e">
        <f>+#REF!+#REF!+#REF!+#REF!+#REF!+#REF!+#REF!+#REF!+#REF!+#REF!+#REF!+#REF!</f>
        <v>#REF!</v>
      </c>
      <c r="BH33" s="27" t="e">
        <f>+#REF!+#REF!+#REF!+#REF!+#REF!+#REF!+#REF!+#REF!+#REF!+#REF!+#REF!+#REF!</f>
        <v>#REF!</v>
      </c>
      <c r="BI33" s="61">
        <f t="shared" si="33"/>
        <v>0</v>
      </c>
      <c r="BJ33" s="36" t="e">
        <f>+#REF!+#REF!+#REF!+#REF!+#REF!+#REF!+#REF!+#REF!+#REF!+#REF!+#REF!+#REF!</f>
        <v>#REF!</v>
      </c>
      <c r="BK33" s="27" t="e">
        <f>+#REF!+#REF!+#REF!+#REF!+#REF!+#REF!+#REF!+#REF!+#REF!+#REF!+#REF!+#REF!</f>
        <v>#REF!</v>
      </c>
      <c r="BL33" s="61">
        <f t="shared" si="34"/>
        <v>0</v>
      </c>
      <c r="BM33" s="36" t="e">
        <f>+#REF!+#REF!+#REF!+#REF!+#REF!+#REF!+#REF!+#REF!+#REF!+#REF!+#REF!+#REF!</f>
        <v>#REF!</v>
      </c>
      <c r="BN33" s="27" t="e">
        <f>+#REF!+#REF!+#REF!+#REF!+#REF!+#REF!+#REF!+#REF!+#REF!+#REF!+#REF!+#REF!</f>
        <v>#REF!</v>
      </c>
      <c r="BO33" s="54">
        <f t="shared" si="35"/>
        <v>0</v>
      </c>
      <c r="BP33" s="26" t="e">
        <f>+#REF!+#REF!+#REF!+#REF!+#REF!+#REF!+#REF!+#REF!+#REF!+#REF!+#REF!+#REF!</f>
        <v>#REF!</v>
      </c>
      <c r="BQ33" s="27" t="e">
        <f>+#REF!+#REF!+#REF!+#REF!+#REF!+#REF!+#REF!+#REF!+#REF!+#REF!+#REF!+#REF!</f>
        <v>#REF!</v>
      </c>
      <c r="BR33" s="61">
        <f t="shared" si="36"/>
        <v>0</v>
      </c>
      <c r="BS33" s="26" t="e">
        <f>+#REF!+#REF!+#REF!+#REF!+#REF!+#REF!+#REF!+#REF!+#REF!+#REF!+#REF!+#REF!</f>
        <v>#REF!</v>
      </c>
      <c r="BT33" s="27" t="e">
        <f>+#REF!+#REF!+#REF!+#REF!+#REF!+#REF!+#REF!+#REF!+#REF!+#REF!+#REF!+#REF!</f>
        <v>#REF!</v>
      </c>
      <c r="BU33" s="61">
        <f t="shared" si="37"/>
        <v>0</v>
      </c>
      <c r="BV33" s="150"/>
      <c r="BW33" s="9" t="e">
        <f>+#REF!+#REF!+#REF!+#REF!+#REF!+#REF!+#REF!+#REF!+#REF!+#REF!+#REF!+#REF!</f>
        <v>#REF!</v>
      </c>
      <c r="BX33" s="5" t="e">
        <f>+#REF!+#REF!+#REF!+#REF!+#REF!+#REF!+#REF!+#REF!+#REF!+#REF!+#REF!+#REF!</f>
        <v>#REF!</v>
      </c>
      <c r="BY33" s="5" t="e">
        <f>+#REF!+#REF!+#REF!+#REF!+#REF!+#REF!+#REF!+#REF!+#REF!+#REF!+#REF!+#REF!</f>
        <v>#REF!</v>
      </c>
      <c r="BZ33" s="5" t="e">
        <f>+#REF!+#REF!+#REF!+#REF!+#REF!+#REF!+#REF!+#REF!+#REF!+#REF!+#REF!+#REF!</f>
        <v>#REF!</v>
      </c>
      <c r="CA33" s="5" t="e">
        <f>+#REF!+#REF!+#REF!+#REF!+#REF!+#REF!+#REF!+#REF!+#REF!+#REF!+#REF!+#REF!</f>
        <v>#REF!</v>
      </c>
      <c r="CB33" s="5" t="e">
        <f t="shared" si="38"/>
        <v>#REF!</v>
      </c>
      <c r="CC33" s="33"/>
      <c r="CD33" s="2683"/>
      <c r="CF33" s="4" t="e">
        <f t="shared" si="39"/>
        <v>#REF!</v>
      </c>
      <c r="CG33" s="5" t="e">
        <f t="shared" si="5"/>
        <v>#REF!</v>
      </c>
      <c r="CH33" s="5" t="e">
        <f t="shared" si="5"/>
        <v>#REF!</v>
      </c>
      <c r="CI33" s="5" t="e">
        <f t="shared" si="5"/>
        <v>#REF!</v>
      </c>
      <c r="CJ33" s="5" t="e">
        <f t="shared" si="5"/>
        <v>#REF!</v>
      </c>
      <c r="CK33" s="5" t="e">
        <f t="shared" si="5"/>
        <v>#REF!</v>
      </c>
      <c r="CL33" s="33" t="e">
        <f t="shared" si="40"/>
        <v>#REF!</v>
      </c>
      <c r="CM33" s="2685"/>
      <c r="CN33" s="9" t="e">
        <f>+#REF!+#REF!+#REF!+#REF!+#REF!+#REF!+#REF!+#REF!+#REF!+#REF!+#REF!+#REF!</f>
        <v>#REF!</v>
      </c>
      <c r="CO33" s="5" t="e">
        <f>+#REF!+#REF!+#REF!+#REF!+#REF!+#REF!+#REF!+#REF!+#REF!+#REF!+#REF!+#REF!</f>
        <v>#REF!</v>
      </c>
      <c r="CP33" s="5" t="e">
        <f>+#REF!+#REF!+#REF!+#REF!+#REF!+#REF!+#REF!+#REF!+#REF!+#REF!+#REF!+#REF!</f>
        <v>#REF!</v>
      </c>
      <c r="CQ33" s="5" t="e">
        <f>+#REF!+#REF!+#REF!+#REF!+#REF!+#REF!+#REF!+#REF!+#REF!+#REF!+#REF!+#REF!</f>
        <v>#REF!</v>
      </c>
      <c r="CR33" s="5" t="e">
        <f>+#REF!+#REF!+#REF!+#REF!+#REF!+#REF!+#REF!+#REF!+#REF!+#REF!+#REF!+#REF!</f>
        <v>#REF!</v>
      </c>
      <c r="CS33" s="5" t="e">
        <f>+#REF!+#REF!+#REF!+#REF!+#REF!+#REF!+#REF!+#REF!+#REF!+#REF!+#REF!+#REF!</f>
        <v>#REF!</v>
      </c>
      <c r="CT33" s="28" t="e">
        <f t="shared" si="41"/>
        <v>#REF!</v>
      </c>
      <c r="CU33" s="36" t="e">
        <f>+#REF!+#REF!+#REF!+#REF!+#REF!+#REF!+#REF!+#REF!+#REF!+#REF!+#REF!+#REF!</f>
        <v>#REF!</v>
      </c>
      <c r="CV33" s="27" t="e">
        <f>+#REF!+#REF!+#REF!+#REF!+#REF!+#REF!+#REF!+#REF!+#REF!+#REF!+#REF!+#REF!</f>
        <v>#REF!</v>
      </c>
      <c r="CW33" s="27" t="e">
        <f>+#REF!+#REF!+#REF!+#REF!+#REF!+#REF!+#REF!+#REF!+#REF!+#REF!+#REF!+#REF!</f>
        <v>#REF!</v>
      </c>
      <c r="CX33" s="27" t="e">
        <f>+#REF!+#REF!+#REF!+#REF!+#REF!+#REF!+#REF!+#REF!+#REF!+#REF!+#REF!+#REF!</f>
        <v>#REF!</v>
      </c>
      <c r="CY33" s="27" t="e">
        <f>+#REF!+#REF!+#REF!+#REF!+#REF!+#REF!+#REF!+#REF!+#REF!+#REF!+#REF!+#REF!</f>
        <v>#REF!</v>
      </c>
      <c r="CZ33" s="27" t="e">
        <f>+#REF!+#REF!+#REF!+#REF!+#REF!+#REF!+#REF!+#REF!+#REF!+#REF!+#REF!+#REF!</f>
        <v>#REF!</v>
      </c>
      <c r="DA33" s="28" t="e">
        <f t="shared" si="42"/>
        <v>#REF!</v>
      </c>
      <c r="DB33" s="36" t="e">
        <f>+#REF!+#REF!+#REF!+#REF!+#REF!+#REF!+#REF!+#REF!+#REF!+#REF!+#REF!+#REF!</f>
        <v>#REF!</v>
      </c>
      <c r="DC33" s="27" t="e">
        <f>+#REF!+#REF!+#REF!+#REF!+#REF!+#REF!+#REF!+#REF!+#REF!+#REF!+#REF!+#REF!</f>
        <v>#REF!</v>
      </c>
      <c r="DD33" s="27" t="e">
        <f>+#REF!+#REF!+#REF!+#REF!+#REF!+#REF!+#REF!+#REF!+#REF!+#REF!+#REF!+#REF!</f>
        <v>#REF!</v>
      </c>
      <c r="DE33" s="27" t="e">
        <f>+#REF!+#REF!+#REF!+#REF!+#REF!+#REF!+#REF!+#REF!+#REF!+#REF!+#REF!+#REF!</f>
        <v>#REF!</v>
      </c>
      <c r="DF33" s="27" t="e">
        <f>+#REF!+#REF!+#REF!+#REF!+#REF!+#REF!+#REF!+#REF!+#REF!+#REF!+#REF!+#REF!</f>
        <v>#REF!</v>
      </c>
      <c r="DG33" s="27" t="e">
        <f>+#REF!+#REF!+#REF!+#REF!+#REF!+#REF!+#REF!+#REF!+#REF!+#REF!+#REF!+#REF!</f>
        <v>#REF!</v>
      </c>
      <c r="DH33" s="28" t="e">
        <f t="shared" si="43"/>
        <v>#REF!</v>
      </c>
      <c r="DI33" s="36" t="e">
        <f>+#REF!+#REF!+#REF!+#REF!+#REF!+#REF!+#REF!+#REF!+#REF!+#REF!+#REF!+#REF!</f>
        <v>#REF!</v>
      </c>
      <c r="DJ33" s="27" t="e">
        <f>+#REF!+#REF!+#REF!+#REF!+#REF!+#REF!+#REF!+#REF!+#REF!+#REF!+#REF!+#REF!</f>
        <v>#REF!</v>
      </c>
      <c r="DK33" s="27" t="e">
        <f>+#REF!+#REF!+#REF!+#REF!+#REF!+#REF!+#REF!+#REF!+#REF!+#REF!+#REF!+#REF!</f>
        <v>#REF!</v>
      </c>
      <c r="DL33" s="27" t="e">
        <f>+#REF!+#REF!+#REF!+#REF!+#REF!+#REF!+#REF!+#REF!+#REF!+#REF!+#REF!+#REF!</f>
        <v>#REF!</v>
      </c>
      <c r="DM33" s="27" t="e">
        <f>+#REF!+#REF!+#REF!+#REF!+#REF!+#REF!+#REF!+#REF!+#REF!+#REF!+#REF!+#REF!</f>
        <v>#REF!</v>
      </c>
      <c r="DN33" s="27" t="e">
        <f>+#REF!+#REF!+#REF!+#REF!+#REF!+#REF!+#REF!+#REF!+#REF!+#REF!+#REF!+#REF!</f>
        <v>#REF!</v>
      </c>
      <c r="DO33" s="33" t="e">
        <f t="shared" si="44"/>
        <v>#REF!</v>
      </c>
      <c r="DP33" s="2685"/>
      <c r="DR33" s="4" t="e">
        <f t="shared" si="45"/>
        <v>#REF!</v>
      </c>
      <c r="DS33" s="5" t="e">
        <f t="shared" si="46"/>
        <v>#REF!</v>
      </c>
      <c r="DT33" s="5" t="e">
        <f t="shared" si="47"/>
        <v>#REF!</v>
      </c>
      <c r="DU33" s="12" t="e">
        <f t="shared" si="48"/>
        <v>#REF!</v>
      </c>
      <c r="DV33" s="33"/>
      <c r="DW33" s="2674"/>
      <c r="DX33" s="9" t="e">
        <f>+#REF!+#REF!+#REF!+#REF!+#REF!+#REF!+#REF!+#REF!+#REF!+#REF!+#REF!+#REF!</f>
        <v>#REF!</v>
      </c>
      <c r="DY33" s="5" t="e">
        <f>+#REF!+#REF!+#REF!+#REF!+#REF!+#REF!+#REF!+#REF!+#REF!+#REF!+#REF!+#REF!</f>
        <v>#REF!</v>
      </c>
      <c r="DZ33" s="5" t="e">
        <f>+#REF!+#REF!+#REF!+#REF!+#REF!+#REF!+#REF!+#REF!+#REF!+#REF!+#REF!+#REF!</f>
        <v>#REF!</v>
      </c>
      <c r="EA33" s="5" t="e">
        <f>+#REF!+#REF!+#REF!+#REF!+#REF!+#REF!+#REF!+#REF!+#REF!+#REF!+#REF!+#REF!</f>
        <v>#REF!</v>
      </c>
      <c r="EB33" s="5" t="e">
        <f>+#REF!+#REF!+#REF!+#REF!+#REF!+#REF!+#REF!+#REF!+#REF!+#REF!+#REF!+#REF!</f>
        <v>#REF!</v>
      </c>
      <c r="EC33" s="27" t="e">
        <f>+#REF!+#REF!+#REF!+#REF!+#REF!+#REF!+#REF!+#REF!+#REF!+#REF!+#REF!+#REF!</f>
        <v>#REF!</v>
      </c>
      <c r="ED33" s="28" t="e">
        <f t="shared" si="49"/>
        <v>#REF!</v>
      </c>
      <c r="EE33" s="36" t="e">
        <f>+#REF!+#REF!+#REF!+#REF!+#REF!+#REF!+#REF!+#REF!+#REF!+#REF!+#REF!+#REF!</f>
        <v>#REF!</v>
      </c>
      <c r="EF33" s="27" t="e">
        <f>+#REF!+#REF!+#REF!+#REF!+#REF!+#REF!+#REF!+#REF!+#REF!+#REF!+#REF!+#REF!</f>
        <v>#REF!</v>
      </c>
      <c r="EG33" s="27" t="e">
        <f>+#REF!+#REF!+#REF!+#REF!+#REF!+#REF!+#REF!+#REF!+#REF!+#REF!+#REF!+#REF!</f>
        <v>#REF!</v>
      </c>
      <c r="EH33" s="27" t="e">
        <f>+#REF!+#REF!+#REF!+#REF!+#REF!+#REF!+#REF!+#REF!+#REF!+#REF!+#REF!+#REF!</f>
        <v>#REF!</v>
      </c>
      <c r="EI33" s="27" t="e">
        <f>+#REF!+#REF!+#REF!+#REF!+#REF!+#REF!+#REF!+#REF!+#REF!+#REF!+#REF!+#REF!</f>
        <v>#REF!</v>
      </c>
      <c r="EJ33" s="27" t="e">
        <f>+#REF!+#REF!+#REF!+#REF!+#REF!+#REF!+#REF!+#REF!+#REF!+#REF!+#REF!+#REF!</f>
        <v>#REF!</v>
      </c>
      <c r="EK33" s="28" t="e">
        <f t="shared" si="50"/>
        <v>#REF!</v>
      </c>
      <c r="EL33" s="36" t="e">
        <f>+#REF!+#REF!+#REF!+#REF!+#REF!+#REF!+#REF!+#REF!+#REF!+#REF!+#REF!+#REF!</f>
        <v>#REF!</v>
      </c>
      <c r="EM33" s="27" t="e">
        <f>+#REF!+#REF!+#REF!+#REF!+#REF!+#REF!+#REF!+#REF!+#REF!+#REF!+#REF!+#REF!</f>
        <v>#REF!</v>
      </c>
      <c r="EN33" s="27" t="e">
        <f>+#REF!+#REF!+#REF!+#REF!+#REF!+#REF!+#REF!+#REF!+#REF!+#REF!+#REF!+#REF!</f>
        <v>#REF!</v>
      </c>
      <c r="EO33" s="27" t="e">
        <f>+#REF!+#REF!+#REF!+#REF!+#REF!+#REF!+#REF!+#REF!+#REF!+#REF!+#REF!+#REF!</f>
        <v>#REF!</v>
      </c>
      <c r="EP33" s="27" t="e">
        <f>+#REF!+#REF!+#REF!+#REF!+#REF!+#REF!+#REF!+#REF!+#REF!+#REF!+#REF!+#REF!</f>
        <v>#REF!</v>
      </c>
      <c r="EQ33" s="27" t="e">
        <f>+#REF!+#REF!+#REF!+#REF!+#REF!+#REF!+#REF!+#REF!+#REF!+#REF!+#REF!+#REF!</f>
        <v>#REF!</v>
      </c>
      <c r="ER33" s="33" t="e">
        <f t="shared" si="51"/>
        <v>#REF!</v>
      </c>
      <c r="ES33" s="2674"/>
      <c r="EU33" s="4" t="e">
        <f t="shared" si="52"/>
        <v>#REF!</v>
      </c>
      <c r="EV33" s="5" t="e">
        <f t="shared" si="53"/>
        <v>#REF!</v>
      </c>
      <c r="EW33" s="27" t="e">
        <f t="shared" si="54"/>
        <v>#REF!</v>
      </c>
      <c r="EX33" s="27" t="e">
        <f t="shared" si="55"/>
        <v>#REF!</v>
      </c>
      <c r="EY33" s="141"/>
      <c r="EZ33" s="141"/>
      <c r="FA33" s="33"/>
      <c r="FB33" s="2667"/>
      <c r="FC33" s="36" t="e">
        <f>+#REF!+#REF!+#REF!+#REF!+#REF!+#REF!+#REF!+#REF!+#REF!+#REF!+#REF!+#REF!</f>
        <v>#REF!</v>
      </c>
      <c r="FD33" s="27" t="e">
        <f>+#REF!+#REF!+#REF!+#REF!+#REF!+#REF!+#REF!+#REF!+#REF!+#REF!+#REF!+#REF!</f>
        <v>#REF!</v>
      </c>
      <c r="FE33" s="27"/>
      <c r="FF33" s="27"/>
      <c r="FG33" s="33" t="e">
        <f t="shared" si="56"/>
        <v>#REF!</v>
      </c>
      <c r="FH33" s="2667"/>
      <c r="FI33" s="36" t="e">
        <f>+#REF!+#REF!+#REF!+#REF!+#REF!+#REF!+#REF!+#REF!+#REF!+#REF!+#REF!+#REF!</f>
        <v>#REF!</v>
      </c>
      <c r="FJ33" s="27" t="e">
        <f>+#REF!+#REF!+#REF!+#REF!+#REF!+#REF!+#REF!+#REF!+#REF!+#REF!+#REF!+#REF!</f>
        <v>#REF!</v>
      </c>
      <c r="FK33" s="27" t="e">
        <f>+#REF!+#REF!+#REF!+#REF!+#REF!+#REF!+#REF!+#REF!+#REF!+#REF!+#REF!+#REF!</f>
        <v>#REF!</v>
      </c>
      <c r="FL33" s="27" t="e">
        <f>+#REF!+#REF!+#REF!+#REF!+#REF!+#REF!+#REF!+#REF!+#REF!+#REF!+#REF!+#REF!</f>
        <v>#REF!</v>
      </c>
      <c r="FM33" s="27" t="e">
        <f>+#REF!+#REF!+#REF!+#REF!+#REF!+#REF!+#REF!+#REF!+#REF!+#REF!+#REF!+#REF!</f>
        <v>#REF!</v>
      </c>
      <c r="FN33" s="27" t="e">
        <f>+#REF!+#REF!+#REF!+#REF!+#REF!+#REF!+#REF!+#REF!+#REF!+#REF!+#REF!+#REF!</f>
        <v>#REF!</v>
      </c>
      <c r="FO33" s="27" t="e">
        <f>+#REF!+#REF!+#REF!+#REF!+#REF!+#REF!+#REF!+#REF!+#REF!+#REF!+#REF!+#REF!</f>
        <v>#REF!</v>
      </c>
      <c r="FP33" s="27" t="e">
        <f>+#REF!+#REF!+#REF!+#REF!+#REF!+#REF!+#REF!+#REF!+#REF!+#REF!+#REF!+#REF!</f>
        <v>#REF!</v>
      </c>
      <c r="FQ33" s="28" t="e">
        <f t="shared" si="80"/>
        <v>#REF!</v>
      </c>
      <c r="FR33" s="26" t="e">
        <f>+#REF!+#REF!+#REF!+#REF!+#REF!+#REF!+#REF!+#REF!+#REF!+#REF!+#REF!+#REF!</f>
        <v>#REF!</v>
      </c>
      <c r="FS33" s="27" t="e">
        <f>+#REF!+#REF!+#REF!+#REF!+#REF!+#REF!+#REF!+#REF!+#REF!+#REF!+#REF!+#REF!</f>
        <v>#REF!</v>
      </c>
      <c r="FT33" s="27" t="e">
        <f>+#REF!+#REF!+#REF!+#REF!+#REF!+#REF!+#REF!+#REF!+#REF!+#REF!+#REF!+#REF!</f>
        <v>#REF!</v>
      </c>
      <c r="FU33" s="27" t="e">
        <f>+#REF!+#REF!+#REF!+#REF!+#REF!+#REF!+#REF!+#REF!+#REF!+#REF!+#REF!+#REF!</f>
        <v>#REF!</v>
      </c>
      <c r="FV33" s="27" t="e">
        <f>+#REF!+#REF!+#REF!+#REF!+#REF!+#REF!+#REF!+#REF!+#REF!+#REF!+#REF!+#REF!</f>
        <v>#REF!</v>
      </c>
      <c r="FW33" s="27" t="e">
        <f>+#REF!+#REF!+#REF!+#REF!+#REF!+#REF!+#REF!+#REF!+#REF!+#REF!+#REF!+#REF!</f>
        <v>#REF!</v>
      </c>
      <c r="FX33" s="27" t="e">
        <f>+#REF!+#REF!+#REF!+#REF!+#REF!+#REF!+#REF!+#REF!+#REF!+#REF!+#REF!+#REF!</f>
        <v>#REF!</v>
      </c>
      <c r="FY33" s="27" t="e">
        <f>+#REF!+#REF!+#REF!+#REF!+#REF!+#REF!+#REF!+#REF!+#REF!+#REF!+#REF!+#REF!</f>
        <v>#REF!</v>
      </c>
      <c r="FZ33" s="28" t="e">
        <f t="shared" si="57"/>
        <v>#REF!</v>
      </c>
      <c r="GA33" s="36" t="e">
        <f>+#REF!+#REF!+#REF!+#REF!+#REF!+#REF!+#REF!+#REF!+#REF!+#REF!+#REF!+#REF!</f>
        <v>#REF!</v>
      </c>
      <c r="GB33" s="27" t="e">
        <f>+#REF!+#REF!+#REF!+#REF!+#REF!+#REF!+#REF!+#REF!+#REF!+#REF!+#REF!+#REF!</f>
        <v>#REF!</v>
      </c>
      <c r="GC33" s="27" t="e">
        <f>+#REF!+#REF!+#REF!+#REF!+#REF!+#REF!+#REF!+#REF!+#REF!+#REF!+#REF!+#REF!</f>
        <v>#REF!</v>
      </c>
      <c r="GD33" s="27" t="e">
        <f>+#REF!+#REF!+#REF!+#REF!+#REF!+#REF!+#REF!+#REF!+#REF!+#REF!+#REF!+#REF!</f>
        <v>#REF!</v>
      </c>
      <c r="GE33" s="27" t="e">
        <f>+#REF!+#REF!+#REF!+#REF!+#REF!+#REF!+#REF!+#REF!+#REF!+#REF!+#REF!+#REF!</f>
        <v>#REF!</v>
      </c>
      <c r="GF33" s="27" t="e">
        <f>+#REF!+#REF!+#REF!+#REF!+#REF!+#REF!+#REF!+#REF!+#REF!+#REF!+#REF!+#REF!</f>
        <v>#REF!</v>
      </c>
      <c r="GG33" s="27" t="e">
        <f>+#REF!+#REF!+#REF!+#REF!+#REF!+#REF!+#REF!+#REF!+#REF!+#REF!+#REF!+#REF!</f>
        <v>#REF!</v>
      </c>
      <c r="GH33" s="27" t="e">
        <f>+#REF!+#REF!+#REF!+#REF!+#REF!+#REF!+#REF!+#REF!+#REF!+#REF!+#REF!+#REF!</f>
        <v>#REF!</v>
      </c>
      <c r="GI33" s="33" t="e">
        <f t="shared" si="58"/>
        <v>#REF!</v>
      </c>
      <c r="GJ33" s="2667"/>
      <c r="GL33" s="26" t="e">
        <f>+#REF!+#REF!+#REF!+#REF!+#REF!+#REF!+#REF!+#REF!+#REF!+#REF!+#REF!+#REF!</f>
        <v>#REF!</v>
      </c>
      <c r="GM33" s="36" t="e">
        <f>+#REF!+#REF!+#REF!+#REF!+#REF!+#REF!+#REF!+#REF!+#REF!+#REF!+#REF!+#REF!</f>
        <v>#REF!</v>
      </c>
      <c r="GN33" s="27" t="e">
        <f>+#REF!+#REF!+#REF!+#REF!+#REF!+#REF!+#REF!+#REF!+#REF!+#REF!+#REF!+#REF!</f>
        <v>#REF!</v>
      </c>
      <c r="GO33" s="27" t="e">
        <f t="shared" si="59"/>
        <v>#REF!</v>
      </c>
      <c r="GP33" s="33"/>
      <c r="GQ33" s="2669"/>
      <c r="GR33" s="69"/>
      <c r="GS33" s="70"/>
      <c r="GT33" s="70"/>
      <c r="GU33" s="70"/>
      <c r="GV33" s="70"/>
      <c r="GW33" s="70"/>
      <c r="GX33" s="70"/>
      <c r="GY33" s="71"/>
      <c r="GZ33" s="69"/>
      <c r="HA33" s="70"/>
      <c r="HB33" s="70"/>
      <c r="HC33" s="70"/>
      <c r="HD33" s="70"/>
      <c r="HE33" s="70"/>
      <c r="HF33" s="70"/>
      <c r="HG33" s="71"/>
      <c r="HH33" s="69"/>
      <c r="HI33" s="70"/>
      <c r="HJ33" s="70"/>
      <c r="HK33" s="70"/>
      <c r="HL33" s="70"/>
      <c r="HM33" s="70"/>
      <c r="HN33" s="70"/>
      <c r="HO33" s="70"/>
      <c r="HP33" s="33"/>
      <c r="HQ33" s="2669"/>
      <c r="HR33" s="36"/>
      <c r="HS33" s="53"/>
      <c r="HT33" s="53"/>
      <c r="HU33" s="53"/>
      <c r="HV33" s="61"/>
      <c r="HW33" s="36"/>
      <c r="HX33" s="53"/>
      <c r="HY33" s="53"/>
      <c r="HZ33" s="53"/>
      <c r="IA33" s="61"/>
      <c r="IB33" s="36"/>
      <c r="IC33" s="53"/>
      <c r="ID33" s="53"/>
      <c r="IE33" s="53"/>
      <c r="IF33" s="53"/>
      <c r="IG33" s="33"/>
      <c r="IH33" s="2669"/>
      <c r="IJ33" s="26" t="e">
        <f t="shared" si="60"/>
        <v>#REF!</v>
      </c>
      <c r="IK33" s="36" t="e">
        <f t="shared" si="6"/>
        <v>#REF!</v>
      </c>
      <c r="IL33" s="27" t="e">
        <f t="shared" si="6"/>
        <v>#REF!</v>
      </c>
      <c r="IM33" s="28" t="e">
        <f t="shared" si="61"/>
        <v>#REF!</v>
      </c>
      <c r="IN33" s="36"/>
      <c r="IO33" s="27"/>
      <c r="IP33" s="27"/>
      <c r="IQ33" s="33"/>
      <c r="IR33" s="55"/>
      <c r="IS33" s="21"/>
      <c r="IT33" s="2688"/>
      <c r="IU33" s="36" t="e">
        <f>+#REF!+#REF!+#REF!+#REF!+#REF!+#REF!+#REF!+#REF!+#REF!+#REF!+#REF!+#REF!</f>
        <v>#REF!</v>
      </c>
      <c r="IV33" s="36" t="e">
        <f>+#REF!+#REF!+#REF!+#REF!+#REF!+#REF!+#REF!+#REF!+#REF!+#REF!+#REF!+#REF!</f>
        <v>#REF!</v>
      </c>
      <c r="IW33" s="27" t="e">
        <f>+#REF!+#REF!+#REF!+#REF!+#REF!+#REF!+#REF!+#REF!+#REF!+#REF!+#REF!+#REF!</f>
        <v>#REF!</v>
      </c>
      <c r="IX33" s="27" t="e">
        <f>+#REF!+#REF!+#REF!+#REF!+#REF!+#REF!+#REF!+#REF!+#REF!+#REF!+#REF!+#REF!</f>
        <v>#REF!</v>
      </c>
      <c r="IY33" s="27" t="e">
        <f>+#REF!+#REF!+#REF!+#REF!+#REF!+#REF!+#REF!+#REF!+#REF!+#REF!+#REF!+#REF!</f>
        <v>#REF!</v>
      </c>
      <c r="IZ33" s="28" t="e">
        <f t="shared" si="62"/>
        <v>#REF!</v>
      </c>
      <c r="JA33" s="26" t="e">
        <f>+#REF!+#REF!+#REF!+#REF!+#REF!+#REF!+#REF!+#REF!+#REF!+#REF!+#REF!+#REF!</f>
        <v>#REF!</v>
      </c>
      <c r="JB33" s="36" t="e">
        <f>+#REF!+#REF!+#REF!+#REF!+#REF!+#REF!+#REF!+#REF!+#REF!+#REF!+#REF!+#REF!</f>
        <v>#REF!</v>
      </c>
      <c r="JC33" s="27" t="e">
        <f>+#REF!+#REF!+#REF!+#REF!+#REF!+#REF!+#REF!+#REF!+#REF!+#REF!+#REF!+#REF!</f>
        <v>#REF!</v>
      </c>
      <c r="JD33" s="27" t="e">
        <f>+#REF!+#REF!+#REF!+#REF!+#REF!+#REF!+#REF!+#REF!+#REF!+#REF!+#REF!+#REF!</f>
        <v>#REF!</v>
      </c>
      <c r="JE33" s="28" t="e">
        <f>+#REF!+#REF!+#REF!+#REF!+#REF!+#REF!+#REF!+#REF!+#REF!+#REF!+#REF!+#REF!</f>
        <v>#REF!</v>
      </c>
      <c r="JF33" s="26" t="e">
        <f>+#REF!+#REF!+#REF!+#REF!+#REF!+#REF!+#REF!+#REF!+#REF!+#REF!+#REF!+#REF!</f>
        <v>#REF!</v>
      </c>
      <c r="JG33" s="36" t="e">
        <f>+#REF!+#REF!+#REF!+#REF!+#REF!+#REF!+#REF!+#REF!+#REF!+#REF!+#REF!+#REF!</f>
        <v>#REF!</v>
      </c>
      <c r="JH33" s="27" t="e">
        <f>+#REF!+#REF!+#REF!+#REF!+#REF!+#REF!+#REF!+#REF!+#REF!+#REF!+#REF!+#REF!</f>
        <v>#REF!</v>
      </c>
      <c r="JI33" s="27" t="e">
        <f>+#REF!+#REF!+#REF!+#REF!+#REF!+#REF!+#REF!+#REF!+#REF!+#REF!+#REF!+#REF!</f>
        <v>#REF!</v>
      </c>
      <c r="JJ33" s="27" t="e">
        <f>+#REF!+#REF!+#REF!+#REF!+#REF!+#REF!+#REF!+#REF!+#REF!+#REF!+#REF!+#REF!</f>
        <v>#REF!</v>
      </c>
      <c r="JK33" s="28" t="e">
        <f t="shared" si="63"/>
        <v>#REF!</v>
      </c>
      <c r="JL33" s="26" t="e">
        <f>+#REF!+#REF!+#REF!+#REF!+#REF!+#REF!+#REF!+#REF!+#REF!+#REF!+#REF!+#REF!</f>
        <v>#REF!</v>
      </c>
      <c r="JM33" s="36" t="e">
        <f>+#REF!+#REF!+#REF!+#REF!+#REF!+#REF!+#REF!+#REF!+#REF!+#REF!+#REF!+#REF!</f>
        <v>#REF!</v>
      </c>
      <c r="JN33" s="27" t="e">
        <f>+#REF!+#REF!+#REF!+#REF!+#REF!+#REF!+#REF!+#REF!+#REF!+#REF!+#REF!+#REF!</f>
        <v>#REF!</v>
      </c>
      <c r="JO33" s="27" t="e">
        <f>+#REF!+#REF!+#REF!+#REF!+#REF!+#REF!+#REF!+#REF!+#REF!+#REF!+#REF!+#REF!</f>
        <v>#REF!</v>
      </c>
      <c r="JP33" s="28" t="e">
        <f>+#REF!+#REF!+#REF!+#REF!+#REF!+#REF!+#REF!+#REF!+#REF!+#REF!+#REF!+#REF!</f>
        <v>#REF!</v>
      </c>
      <c r="JQ33" s="275" t="e">
        <f t="shared" si="64"/>
        <v>#REF!</v>
      </c>
      <c r="JR33" s="36" t="e">
        <f>+#REF!+#REF!+#REF!+#REF!+#REF!+#REF!+#REF!+#REF!+#REF!+#REF!+#REF!+#REF!</f>
        <v>#REF!</v>
      </c>
      <c r="JS33" s="36" t="e">
        <f>+#REF!+#REF!+#REF!+#REF!+#REF!+#REF!+#REF!+#REF!+#REF!+#REF!+#REF!+#REF!</f>
        <v>#REF!</v>
      </c>
      <c r="JT33" s="27" t="e">
        <f>+#REF!+#REF!+#REF!+#REF!+#REF!+#REF!+#REF!+#REF!+#REF!+#REF!+#REF!+#REF!</f>
        <v>#REF!</v>
      </c>
      <c r="JU33" s="27" t="e">
        <f>+#REF!+#REF!+#REF!+#REF!+#REF!+#REF!+#REF!+#REF!+#REF!+#REF!+#REF!+#REF!</f>
        <v>#REF!</v>
      </c>
      <c r="JV33" s="27" t="e">
        <f>+#REF!+#REF!+#REF!+#REF!+#REF!+#REF!+#REF!+#REF!+#REF!+#REF!+#REF!+#REF!</f>
        <v>#REF!</v>
      </c>
      <c r="JW33" s="33" t="e">
        <f t="shared" si="65"/>
        <v>#REF!</v>
      </c>
      <c r="JX33" s="2688"/>
      <c r="JZ33" s="26" t="e">
        <f t="shared" si="66"/>
        <v>#REF!</v>
      </c>
      <c r="KA33" s="27" t="e">
        <f t="shared" si="67"/>
        <v>#REF!</v>
      </c>
      <c r="KB33" s="27" t="e">
        <f t="shared" si="68"/>
        <v>#REF!</v>
      </c>
      <c r="KC33" s="33" t="e">
        <f t="shared" si="69"/>
        <v>#REF!</v>
      </c>
      <c r="KD33" s="2621"/>
      <c r="KE33" s="36" t="e">
        <f t="shared" si="87"/>
        <v>#REF!</v>
      </c>
      <c r="KF33" s="36" t="e">
        <f t="shared" si="87"/>
        <v>#REF!</v>
      </c>
      <c r="KG33" s="27" t="e">
        <f t="shared" si="87"/>
        <v>#REF!</v>
      </c>
      <c r="KH33" s="28" t="e">
        <f t="shared" si="81"/>
        <v>#REF!</v>
      </c>
      <c r="KI33" s="36" t="e">
        <f t="shared" si="82"/>
        <v>#REF!</v>
      </c>
      <c r="KJ33" s="27" t="e">
        <f t="shared" si="88"/>
        <v>#REF!</v>
      </c>
      <c r="KK33" s="27" t="e">
        <f t="shared" si="88"/>
        <v>#REF!</v>
      </c>
      <c r="KL33" s="27" t="e">
        <f t="shared" si="88"/>
        <v>#REF!</v>
      </c>
      <c r="KM33" s="27" t="e">
        <f t="shared" si="88"/>
        <v>#REF!</v>
      </c>
      <c r="KN33" s="27" t="e">
        <f t="shared" si="88"/>
        <v>#REF!</v>
      </c>
      <c r="KO33" s="28" t="e">
        <f t="shared" si="83"/>
        <v>#REF!</v>
      </c>
      <c r="KP33" s="36" t="e">
        <f t="shared" si="89"/>
        <v>#REF!</v>
      </c>
      <c r="KQ33" s="27" t="e">
        <f t="shared" si="89"/>
        <v>#REF!</v>
      </c>
      <c r="KR33" s="27" t="e">
        <f t="shared" si="89"/>
        <v>#REF!</v>
      </c>
      <c r="KS33" s="27" t="e">
        <f t="shared" si="89"/>
        <v>#REF!</v>
      </c>
      <c r="KT33" s="27" t="e">
        <f t="shared" si="89"/>
        <v>#REF!</v>
      </c>
      <c r="KU33" s="27" t="e">
        <f t="shared" si="89"/>
        <v>#REF!</v>
      </c>
      <c r="KV33" s="28" t="e">
        <f t="shared" si="84"/>
        <v>#REF!</v>
      </c>
      <c r="KW33" s="36" t="e">
        <f t="shared" si="90"/>
        <v>#REF!</v>
      </c>
      <c r="KX33" s="27" t="e">
        <f t="shared" si="90"/>
        <v>#REF!</v>
      </c>
      <c r="KY33" s="27" t="e">
        <f t="shared" si="90"/>
        <v>#REF!</v>
      </c>
      <c r="KZ33" s="27" t="e">
        <f t="shared" si="90"/>
        <v>#REF!</v>
      </c>
      <c r="LA33" s="27" t="e">
        <f t="shared" si="90"/>
        <v>#REF!</v>
      </c>
      <c r="LB33" s="27" t="e">
        <f t="shared" si="90"/>
        <v>#REF!</v>
      </c>
      <c r="LC33" s="28" t="e">
        <f t="shared" si="85"/>
        <v>#REF!</v>
      </c>
      <c r="LD33" s="36"/>
      <c r="LE33" s="27"/>
      <c r="LF33" s="27"/>
      <c r="LG33" s="27"/>
      <c r="LH33" s="27"/>
      <c r="LI33" s="27"/>
      <c r="LJ33" s="28">
        <f t="shared" si="70"/>
        <v>0</v>
      </c>
      <c r="LK33" s="36" t="e">
        <f t="shared" si="91"/>
        <v>#REF!</v>
      </c>
      <c r="LL33" s="27" t="e">
        <f t="shared" si="91"/>
        <v>#REF!</v>
      </c>
      <c r="LM33" s="27" t="e">
        <f t="shared" si="91"/>
        <v>#REF!</v>
      </c>
      <c r="LN33" s="27" t="e">
        <f t="shared" si="91"/>
        <v>#REF!</v>
      </c>
      <c r="LO33" s="27" t="e">
        <f t="shared" si="91"/>
        <v>#REF!</v>
      </c>
      <c r="LP33" s="27" t="e">
        <f t="shared" si="91"/>
        <v>#REF!</v>
      </c>
      <c r="LQ33" s="33" t="e">
        <f t="shared" si="71"/>
        <v>#REF!</v>
      </c>
      <c r="LR33" s="2621"/>
      <c r="LT33" s="4" t="e">
        <f>+#REF!+#REF!+#REF!+#REF!+#REF!+#REF!+#REF!+#REF!+#REF!+#REF!+#REF!+#REF!</f>
        <v>#REF!</v>
      </c>
      <c r="LU33" s="5" t="e">
        <f>+#REF!+#REF!+#REF!+#REF!+#REF!+#REF!+#REF!+#REF!+#REF!+#REF!+#REF!+#REF!</f>
        <v>#REF!</v>
      </c>
      <c r="LV33" s="5" t="e">
        <f t="shared" si="72"/>
        <v>#REF!</v>
      </c>
      <c r="LW33" s="12" t="e">
        <f t="shared" si="86"/>
        <v>#REF!</v>
      </c>
      <c r="LX33" s="15"/>
      <c r="LY33" s="2615"/>
      <c r="MA33" s="4" t="e">
        <f>+#REF!+#REF!+#REF!+#REF!+#REF!+#REF!+#REF!+#REF!+#REF!+#REF!+#REF!+#REF!</f>
        <v>#REF!</v>
      </c>
      <c r="MB33" s="5" t="e">
        <f t="shared" si="73"/>
        <v>#REF!</v>
      </c>
      <c r="MC33" s="5" t="e">
        <f>+#REF!+#REF!+#REF!+#REF!+#REF!+#REF!+#REF!+#REF!+#REF!+#REF!+#REF!+#REF!</f>
        <v>#REF!</v>
      </c>
      <c r="MD33" s="5" t="e">
        <f t="shared" si="74"/>
        <v>#REF!</v>
      </c>
      <c r="ME33" s="12" t="e">
        <f t="shared" si="75"/>
        <v>#REF!</v>
      </c>
      <c r="MF33" s="12"/>
      <c r="MG33" s="2615"/>
      <c r="MI33" s="139" t="e">
        <f t="shared" si="76"/>
        <v>#REF!</v>
      </c>
      <c r="MJ33" s="139" t="e">
        <f t="shared" si="77"/>
        <v>#REF!</v>
      </c>
      <c r="ML33" s="139" t="e">
        <f t="shared" si="78"/>
        <v>#REF!</v>
      </c>
      <c r="MM33" s="139" t="e">
        <f t="shared" si="79"/>
        <v>#REF!</v>
      </c>
      <c r="MO33" s="1">
        <f t="shared" si="92"/>
        <v>0</v>
      </c>
      <c r="MP33" s="1">
        <f t="shared" si="92"/>
        <v>0</v>
      </c>
      <c r="MQ33" s="1">
        <f t="shared" si="92"/>
        <v>0</v>
      </c>
      <c r="MR33" s="1">
        <f t="shared" si="92"/>
        <v>0</v>
      </c>
      <c r="MS33" s="1">
        <f t="shared" si="92"/>
        <v>0</v>
      </c>
      <c r="MT33" s="1">
        <f t="shared" si="92"/>
        <v>0</v>
      </c>
      <c r="MV33" s="1">
        <f t="shared" si="93"/>
        <v>0</v>
      </c>
      <c r="MW33" s="1">
        <f t="shared" si="93"/>
        <v>0</v>
      </c>
      <c r="MX33" s="1">
        <f t="shared" si="93"/>
        <v>0</v>
      </c>
      <c r="MY33" s="1">
        <f t="shared" si="93"/>
        <v>0</v>
      </c>
      <c r="MZ33" s="1">
        <f t="shared" si="93"/>
        <v>0</v>
      </c>
      <c r="NA33" s="1">
        <f t="shared" si="93"/>
        <v>0</v>
      </c>
    </row>
    <row r="34" spans="1:365" s="1" customFormat="1">
      <c r="B34" s="46">
        <v>25</v>
      </c>
      <c r="C34" s="4" t="e">
        <f t="shared" si="0"/>
        <v>#REF!</v>
      </c>
      <c r="D34" s="5" t="e">
        <f t="shared" si="1"/>
        <v>#REF!</v>
      </c>
      <c r="E34" s="61">
        <f t="shared" si="14"/>
        <v>0</v>
      </c>
      <c r="F34" s="52"/>
      <c r="G34" s="53"/>
      <c r="H34" s="53"/>
      <c r="I34" s="54"/>
      <c r="J34" s="2629"/>
      <c r="K34" s="9" t="e">
        <f t="shared" si="15"/>
        <v>#REF!</v>
      </c>
      <c r="L34" s="5" t="e">
        <f t="shared" si="2"/>
        <v>#REF!</v>
      </c>
      <c r="M34" s="64">
        <f t="shared" si="16"/>
        <v>0</v>
      </c>
      <c r="N34" s="28"/>
      <c r="O34" s="36" t="e">
        <f t="shared" si="17"/>
        <v>#REF!</v>
      </c>
      <c r="P34" s="27" t="e">
        <f t="shared" si="17"/>
        <v>#REF!</v>
      </c>
      <c r="Q34" s="53">
        <f t="shared" si="18"/>
        <v>0</v>
      </c>
      <c r="R34" s="28"/>
      <c r="S34" s="36" t="e">
        <f t="shared" si="19"/>
        <v>#REF!</v>
      </c>
      <c r="T34" s="27" t="e">
        <f t="shared" si="19"/>
        <v>#REF!</v>
      </c>
      <c r="U34" s="53">
        <f t="shared" si="3"/>
        <v>0</v>
      </c>
      <c r="V34" s="28"/>
      <c r="W34" s="36" t="e">
        <f t="shared" si="20"/>
        <v>#REF!</v>
      </c>
      <c r="X34" s="27" t="e">
        <f t="shared" si="4"/>
        <v>#REF!</v>
      </c>
      <c r="Y34" s="53">
        <f t="shared" si="21"/>
        <v>0</v>
      </c>
      <c r="Z34" s="28"/>
      <c r="AA34" s="26" t="e">
        <f t="shared" si="22"/>
        <v>#REF!</v>
      </c>
      <c r="AB34" s="27" t="e">
        <f t="shared" si="22"/>
        <v>#REF!</v>
      </c>
      <c r="AC34" s="53">
        <f t="shared" si="23"/>
        <v>0</v>
      </c>
      <c r="AD34" s="33"/>
      <c r="AE34" s="2629"/>
      <c r="AF34" s="9" t="e">
        <f>+#REF!+#REF!+#REF!+#REF!+#REF!+#REF!+#REF!+#REF!+#REF!+#REF!+#REF!+#REF!</f>
        <v>#REF!</v>
      </c>
      <c r="AG34" s="5" t="e">
        <f>+#REF!+#REF!+#REF!+#REF!+#REF!+#REF!+#REF!+#REF!+#REF!+#REF!+#REF!+#REF!</f>
        <v>#REF!</v>
      </c>
      <c r="AH34" s="61">
        <f t="shared" si="24"/>
        <v>0</v>
      </c>
      <c r="AI34" s="36" t="e">
        <f>+#REF!+#REF!+#REF!+#REF!+#REF!+#REF!+#REF!+#REF!+#REF!+#REF!+#REF!+#REF!</f>
        <v>#REF!</v>
      </c>
      <c r="AJ34" s="27" t="e">
        <f>+#REF!+#REF!+#REF!+#REF!+#REF!+#REF!+#REF!+#REF!+#REF!+#REF!+#REF!+#REF!</f>
        <v>#REF!</v>
      </c>
      <c r="AK34" s="61">
        <f t="shared" si="25"/>
        <v>0</v>
      </c>
      <c r="AL34" s="36" t="e">
        <f>+#REF!+#REF!+#REF!+#REF!+#REF!+#REF!+#REF!+#REF!+#REF!+#REF!+#REF!+#REF!</f>
        <v>#REF!</v>
      </c>
      <c r="AM34" s="27" t="e">
        <f>+#REF!+#REF!+#REF!+#REF!+#REF!+#REF!+#REF!+#REF!+#REF!+#REF!+#REF!+#REF!</f>
        <v>#REF!</v>
      </c>
      <c r="AN34" s="61">
        <f t="shared" si="26"/>
        <v>0</v>
      </c>
      <c r="AO34" s="36" t="e">
        <f>+#REF!+#REF!+#REF!+#REF!+#REF!+#REF!+#REF!+#REF!+#REF!+#REF!+#REF!+#REF!</f>
        <v>#REF!</v>
      </c>
      <c r="AP34" s="27" t="e">
        <f>+#REF!+#REF!+#REF!+#REF!+#REF!+#REF!+#REF!+#REF!+#REF!+#REF!+#REF!+#REF!</f>
        <v>#REF!</v>
      </c>
      <c r="AQ34" s="61">
        <f t="shared" si="27"/>
        <v>0</v>
      </c>
      <c r="AR34" s="36" t="e">
        <f>+#REF!+#REF!+#REF!+#REF!+#REF!+#REF!+#REF!+#REF!+#REF!+#REF!+#REF!+#REF!</f>
        <v>#REF!</v>
      </c>
      <c r="AS34" s="27" t="e">
        <f>+#REF!+#REF!+#REF!+#REF!+#REF!+#REF!+#REF!+#REF!+#REF!+#REF!+#REF!+#REF!</f>
        <v>#REF!</v>
      </c>
      <c r="AT34" s="61">
        <f t="shared" si="28"/>
        <v>0</v>
      </c>
      <c r="AU34" s="36" t="e">
        <f>+#REF!+#REF!+#REF!+#REF!+#REF!+#REF!+#REF!+#REF!+#REF!+#REF!+#REF!+#REF!</f>
        <v>#REF!</v>
      </c>
      <c r="AV34" s="27" t="e">
        <f>+#REF!+#REF!+#REF!+#REF!+#REF!+#REF!+#REF!+#REF!+#REF!+#REF!+#REF!+#REF!</f>
        <v>#REF!</v>
      </c>
      <c r="AW34" s="61">
        <f t="shared" si="29"/>
        <v>0</v>
      </c>
      <c r="AX34" s="36" t="e">
        <f>+#REF!+#REF!+#REF!+#REF!+#REF!+#REF!+#REF!+#REF!+#REF!+#REF!+#REF!+#REF!</f>
        <v>#REF!</v>
      </c>
      <c r="AY34" s="27" t="e">
        <f>+#REF!+#REF!+#REF!+#REF!+#REF!+#REF!+#REF!+#REF!+#REF!+#REF!+#REF!+#REF!</f>
        <v>#REF!</v>
      </c>
      <c r="AZ34" s="61">
        <f t="shared" si="30"/>
        <v>0</v>
      </c>
      <c r="BA34" s="36" t="e">
        <f>+#REF!+#REF!+#REF!+#REF!+#REF!+#REF!+#REF!+#REF!+#REF!+#REF!+#REF!+#REF!</f>
        <v>#REF!</v>
      </c>
      <c r="BB34" s="27" t="e">
        <f>+#REF!+#REF!+#REF!+#REF!+#REF!+#REF!+#REF!+#REF!+#REF!+#REF!+#REF!+#REF!</f>
        <v>#REF!</v>
      </c>
      <c r="BC34" s="61">
        <f t="shared" si="31"/>
        <v>0</v>
      </c>
      <c r="BD34" s="36" t="e">
        <f>+#REF!+#REF!+#REF!+#REF!+#REF!+#REF!+#REF!+#REF!+#REF!+#REF!+#REF!+#REF!</f>
        <v>#REF!</v>
      </c>
      <c r="BE34" s="27" t="e">
        <f>+#REF!+#REF!+#REF!+#REF!+#REF!+#REF!+#REF!+#REF!+#REF!+#REF!+#REF!+#REF!</f>
        <v>#REF!</v>
      </c>
      <c r="BF34" s="61">
        <f t="shared" si="32"/>
        <v>0</v>
      </c>
      <c r="BG34" s="36" t="e">
        <f>+#REF!+#REF!+#REF!+#REF!+#REF!+#REF!+#REF!+#REF!+#REF!+#REF!+#REF!+#REF!</f>
        <v>#REF!</v>
      </c>
      <c r="BH34" s="27" t="e">
        <f>+#REF!+#REF!+#REF!+#REF!+#REF!+#REF!+#REF!+#REF!+#REF!+#REF!+#REF!+#REF!</f>
        <v>#REF!</v>
      </c>
      <c r="BI34" s="61">
        <f t="shared" si="33"/>
        <v>0</v>
      </c>
      <c r="BJ34" s="36" t="e">
        <f>+#REF!+#REF!+#REF!+#REF!+#REF!+#REF!+#REF!+#REF!+#REF!+#REF!+#REF!+#REF!</f>
        <v>#REF!</v>
      </c>
      <c r="BK34" s="27" t="e">
        <f>+#REF!+#REF!+#REF!+#REF!+#REF!+#REF!+#REF!+#REF!+#REF!+#REF!+#REF!+#REF!</f>
        <v>#REF!</v>
      </c>
      <c r="BL34" s="61">
        <f t="shared" si="34"/>
        <v>0</v>
      </c>
      <c r="BM34" s="36" t="e">
        <f>+#REF!+#REF!+#REF!+#REF!+#REF!+#REF!+#REF!+#REF!+#REF!+#REF!+#REF!+#REF!</f>
        <v>#REF!</v>
      </c>
      <c r="BN34" s="27" t="e">
        <f>+#REF!+#REF!+#REF!+#REF!+#REF!+#REF!+#REF!+#REF!+#REF!+#REF!+#REF!+#REF!</f>
        <v>#REF!</v>
      </c>
      <c r="BO34" s="54">
        <f t="shared" si="35"/>
        <v>0</v>
      </c>
      <c r="BP34" s="26" t="e">
        <f>+#REF!+#REF!+#REF!+#REF!+#REF!+#REF!+#REF!+#REF!+#REF!+#REF!+#REF!+#REF!</f>
        <v>#REF!</v>
      </c>
      <c r="BQ34" s="27" t="e">
        <f>+#REF!+#REF!+#REF!+#REF!+#REF!+#REF!+#REF!+#REF!+#REF!+#REF!+#REF!+#REF!</f>
        <v>#REF!</v>
      </c>
      <c r="BR34" s="61">
        <f t="shared" si="36"/>
        <v>0</v>
      </c>
      <c r="BS34" s="26" t="e">
        <f>+#REF!+#REF!+#REF!+#REF!+#REF!+#REF!+#REF!+#REF!+#REF!+#REF!+#REF!+#REF!</f>
        <v>#REF!</v>
      </c>
      <c r="BT34" s="27" t="e">
        <f>+#REF!+#REF!+#REF!+#REF!+#REF!+#REF!+#REF!+#REF!+#REF!+#REF!+#REF!+#REF!</f>
        <v>#REF!</v>
      </c>
      <c r="BU34" s="61">
        <f t="shared" si="37"/>
        <v>0</v>
      </c>
      <c r="BV34" s="150"/>
      <c r="BW34" s="9" t="e">
        <f>+#REF!+#REF!+#REF!+#REF!+#REF!+#REF!+#REF!+#REF!+#REF!+#REF!+#REF!+#REF!</f>
        <v>#REF!</v>
      </c>
      <c r="BX34" s="5" t="e">
        <f>+#REF!+#REF!+#REF!+#REF!+#REF!+#REF!+#REF!+#REF!+#REF!+#REF!+#REF!+#REF!</f>
        <v>#REF!</v>
      </c>
      <c r="BY34" s="5" t="e">
        <f>+#REF!+#REF!+#REF!+#REF!+#REF!+#REF!+#REF!+#REF!+#REF!+#REF!+#REF!+#REF!</f>
        <v>#REF!</v>
      </c>
      <c r="BZ34" s="5" t="e">
        <f>+#REF!+#REF!+#REF!+#REF!+#REF!+#REF!+#REF!+#REF!+#REF!+#REF!+#REF!+#REF!</f>
        <v>#REF!</v>
      </c>
      <c r="CA34" s="5" t="e">
        <f>+#REF!+#REF!+#REF!+#REF!+#REF!+#REF!+#REF!+#REF!+#REF!+#REF!+#REF!+#REF!</f>
        <v>#REF!</v>
      </c>
      <c r="CB34" s="5" t="e">
        <f t="shared" si="38"/>
        <v>#REF!</v>
      </c>
      <c r="CC34" s="33"/>
      <c r="CD34" s="2683"/>
      <c r="CF34" s="4" t="e">
        <f t="shared" si="39"/>
        <v>#REF!</v>
      </c>
      <c r="CG34" s="5" t="e">
        <f t="shared" si="5"/>
        <v>#REF!</v>
      </c>
      <c r="CH34" s="5" t="e">
        <f t="shared" si="5"/>
        <v>#REF!</v>
      </c>
      <c r="CI34" s="5" t="e">
        <f t="shared" si="5"/>
        <v>#REF!</v>
      </c>
      <c r="CJ34" s="5" t="e">
        <f t="shared" si="5"/>
        <v>#REF!</v>
      </c>
      <c r="CK34" s="5" t="e">
        <f t="shared" si="5"/>
        <v>#REF!</v>
      </c>
      <c r="CL34" s="33" t="e">
        <f t="shared" si="40"/>
        <v>#REF!</v>
      </c>
      <c r="CM34" s="2685"/>
      <c r="CN34" s="9" t="e">
        <f>+#REF!+#REF!+#REF!+#REF!+#REF!+#REF!+#REF!+#REF!+#REF!+#REF!+#REF!+#REF!</f>
        <v>#REF!</v>
      </c>
      <c r="CO34" s="5" t="e">
        <f>+#REF!+#REF!+#REF!+#REF!+#REF!+#REF!+#REF!+#REF!+#REF!+#REF!+#REF!+#REF!</f>
        <v>#REF!</v>
      </c>
      <c r="CP34" s="5" t="e">
        <f>+#REF!+#REF!+#REF!+#REF!+#REF!+#REF!+#REF!+#REF!+#REF!+#REF!+#REF!+#REF!</f>
        <v>#REF!</v>
      </c>
      <c r="CQ34" s="5" t="e">
        <f>+#REF!+#REF!+#REF!+#REF!+#REF!+#REF!+#REF!+#REF!+#REF!+#REF!+#REF!+#REF!</f>
        <v>#REF!</v>
      </c>
      <c r="CR34" s="5" t="e">
        <f>+#REF!+#REF!+#REF!+#REF!+#REF!+#REF!+#REF!+#REF!+#REF!+#REF!+#REF!+#REF!</f>
        <v>#REF!</v>
      </c>
      <c r="CS34" s="5" t="e">
        <f>+#REF!+#REF!+#REF!+#REF!+#REF!+#REF!+#REF!+#REF!+#REF!+#REF!+#REF!+#REF!</f>
        <v>#REF!</v>
      </c>
      <c r="CT34" s="28" t="e">
        <f t="shared" si="41"/>
        <v>#REF!</v>
      </c>
      <c r="CU34" s="36" t="e">
        <f>+#REF!+#REF!+#REF!+#REF!+#REF!+#REF!+#REF!+#REF!+#REF!+#REF!+#REF!+#REF!</f>
        <v>#REF!</v>
      </c>
      <c r="CV34" s="27" t="e">
        <f>+#REF!+#REF!+#REF!+#REF!+#REF!+#REF!+#REF!+#REF!+#REF!+#REF!+#REF!+#REF!</f>
        <v>#REF!</v>
      </c>
      <c r="CW34" s="27" t="e">
        <f>+#REF!+#REF!+#REF!+#REF!+#REF!+#REF!+#REF!+#REF!+#REF!+#REF!+#REF!+#REF!</f>
        <v>#REF!</v>
      </c>
      <c r="CX34" s="27" t="e">
        <f>+#REF!+#REF!+#REF!+#REF!+#REF!+#REF!+#REF!+#REF!+#REF!+#REF!+#REF!+#REF!</f>
        <v>#REF!</v>
      </c>
      <c r="CY34" s="27" t="e">
        <f>+#REF!+#REF!+#REF!+#REF!+#REF!+#REF!+#REF!+#REF!+#REF!+#REF!+#REF!+#REF!</f>
        <v>#REF!</v>
      </c>
      <c r="CZ34" s="27" t="e">
        <f>+#REF!+#REF!+#REF!+#REF!+#REF!+#REF!+#REF!+#REF!+#REF!+#REF!+#REF!+#REF!</f>
        <v>#REF!</v>
      </c>
      <c r="DA34" s="28" t="e">
        <f t="shared" si="42"/>
        <v>#REF!</v>
      </c>
      <c r="DB34" s="36" t="e">
        <f>+#REF!+#REF!+#REF!+#REF!+#REF!+#REF!+#REF!+#REF!+#REF!+#REF!+#REF!+#REF!</f>
        <v>#REF!</v>
      </c>
      <c r="DC34" s="27" t="e">
        <f>+#REF!+#REF!+#REF!+#REF!+#REF!+#REF!+#REF!+#REF!+#REF!+#REF!+#REF!+#REF!</f>
        <v>#REF!</v>
      </c>
      <c r="DD34" s="27" t="e">
        <f>+#REF!+#REF!+#REF!+#REF!+#REF!+#REF!+#REF!+#REF!+#REF!+#REF!+#REF!+#REF!</f>
        <v>#REF!</v>
      </c>
      <c r="DE34" s="27" t="e">
        <f>+#REF!+#REF!+#REF!+#REF!+#REF!+#REF!+#REF!+#REF!+#REF!+#REF!+#REF!+#REF!</f>
        <v>#REF!</v>
      </c>
      <c r="DF34" s="27" t="e">
        <f>+#REF!+#REF!+#REF!+#REF!+#REF!+#REF!+#REF!+#REF!+#REF!+#REF!+#REF!+#REF!</f>
        <v>#REF!</v>
      </c>
      <c r="DG34" s="27" t="e">
        <f>+#REF!+#REF!+#REF!+#REF!+#REF!+#REF!+#REF!+#REF!+#REF!+#REF!+#REF!+#REF!</f>
        <v>#REF!</v>
      </c>
      <c r="DH34" s="28" t="e">
        <f t="shared" si="43"/>
        <v>#REF!</v>
      </c>
      <c r="DI34" s="36" t="e">
        <f>+#REF!+#REF!+#REF!+#REF!+#REF!+#REF!+#REF!+#REF!+#REF!+#REF!+#REF!+#REF!</f>
        <v>#REF!</v>
      </c>
      <c r="DJ34" s="27" t="e">
        <f>+#REF!+#REF!+#REF!+#REF!+#REF!+#REF!+#REF!+#REF!+#REF!+#REF!+#REF!+#REF!</f>
        <v>#REF!</v>
      </c>
      <c r="DK34" s="27" t="e">
        <f>+#REF!+#REF!+#REF!+#REF!+#REF!+#REF!+#REF!+#REF!+#REF!+#REF!+#REF!+#REF!</f>
        <v>#REF!</v>
      </c>
      <c r="DL34" s="27" t="e">
        <f>+#REF!+#REF!+#REF!+#REF!+#REF!+#REF!+#REF!+#REF!+#REF!+#REF!+#REF!+#REF!</f>
        <v>#REF!</v>
      </c>
      <c r="DM34" s="27" t="e">
        <f>+#REF!+#REF!+#REF!+#REF!+#REF!+#REF!+#REF!+#REF!+#REF!+#REF!+#REF!+#REF!</f>
        <v>#REF!</v>
      </c>
      <c r="DN34" s="27" t="e">
        <f>+#REF!+#REF!+#REF!+#REF!+#REF!+#REF!+#REF!+#REF!+#REF!+#REF!+#REF!+#REF!</f>
        <v>#REF!</v>
      </c>
      <c r="DO34" s="33" t="e">
        <f t="shared" si="44"/>
        <v>#REF!</v>
      </c>
      <c r="DP34" s="2685"/>
      <c r="DR34" s="4" t="e">
        <f t="shared" si="45"/>
        <v>#REF!</v>
      </c>
      <c r="DS34" s="5" t="e">
        <f t="shared" si="46"/>
        <v>#REF!</v>
      </c>
      <c r="DT34" s="5" t="e">
        <f t="shared" si="47"/>
        <v>#REF!</v>
      </c>
      <c r="DU34" s="12" t="e">
        <f t="shared" si="48"/>
        <v>#REF!</v>
      </c>
      <c r="DV34" s="33"/>
      <c r="DW34" s="2674"/>
      <c r="DX34" s="9" t="e">
        <f>+#REF!+#REF!+#REF!+#REF!+#REF!+#REF!+#REF!+#REF!+#REF!+#REF!+#REF!+#REF!</f>
        <v>#REF!</v>
      </c>
      <c r="DY34" s="5" t="e">
        <f>+#REF!+#REF!+#REF!+#REF!+#REF!+#REF!+#REF!+#REF!+#REF!+#REF!+#REF!+#REF!</f>
        <v>#REF!</v>
      </c>
      <c r="DZ34" s="5" t="e">
        <f>+#REF!+#REF!+#REF!+#REF!+#REF!+#REF!+#REF!+#REF!+#REF!+#REF!+#REF!+#REF!</f>
        <v>#REF!</v>
      </c>
      <c r="EA34" s="5" t="e">
        <f>+#REF!+#REF!+#REF!+#REF!+#REF!+#REF!+#REF!+#REF!+#REF!+#REF!+#REF!+#REF!</f>
        <v>#REF!</v>
      </c>
      <c r="EB34" s="5" t="e">
        <f>+#REF!+#REF!+#REF!+#REF!+#REF!+#REF!+#REF!+#REF!+#REF!+#REF!+#REF!+#REF!</f>
        <v>#REF!</v>
      </c>
      <c r="EC34" s="27" t="e">
        <f>+#REF!+#REF!+#REF!+#REF!+#REF!+#REF!+#REF!+#REF!+#REF!+#REF!+#REF!+#REF!</f>
        <v>#REF!</v>
      </c>
      <c r="ED34" s="28" t="e">
        <f t="shared" si="49"/>
        <v>#REF!</v>
      </c>
      <c r="EE34" s="36" t="e">
        <f>+#REF!+#REF!+#REF!+#REF!+#REF!+#REF!+#REF!+#REF!+#REF!+#REF!+#REF!+#REF!</f>
        <v>#REF!</v>
      </c>
      <c r="EF34" s="27" t="e">
        <f>+#REF!+#REF!+#REF!+#REF!+#REF!+#REF!+#REF!+#REF!+#REF!+#REF!+#REF!+#REF!</f>
        <v>#REF!</v>
      </c>
      <c r="EG34" s="27" t="e">
        <f>+#REF!+#REF!+#REF!+#REF!+#REF!+#REF!+#REF!+#REF!+#REF!+#REF!+#REF!+#REF!</f>
        <v>#REF!</v>
      </c>
      <c r="EH34" s="27" t="e">
        <f>+#REF!+#REF!+#REF!+#REF!+#REF!+#REF!+#REF!+#REF!+#REF!+#REF!+#REF!+#REF!</f>
        <v>#REF!</v>
      </c>
      <c r="EI34" s="27" t="e">
        <f>+#REF!+#REF!+#REF!+#REF!+#REF!+#REF!+#REF!+#REF!+#REF!+#REF!+#REF!+#REF!</f>
        <v>#REF!</v>
      </c>
      <c r="EJ34" s="27" t="e">
        <f>+#REF!+#REF!+#REF!+#REF!+#REF!+#REF!+#REF!+#REF!+#REF!+#REF!+#REF!+#REF!</f>
        <v>#REF!</v>
      </c>
      <c r="EK34" s="28" t="e">
        <f t="shared" si="50"/>
        <v>#REF!</v>
      </c>
      <c r="EL34" s="36" t="e">
        <f>+#REF!+#REF!+#REF!+#REF!+#REF!+#REF!+#REF!+#REF!+#REF!+#REF!+#REF!+#REF!</f>
        <v>#REF!</v>
      </c>
      <c r="EM34" s="27" t="e">
        <f>+#REF!+#REF!+#REF!+#REF!+#REF!+#REF!+#REF!+#REF!+#REF!+#REF!+#REF!+#REF!</f>
        <v>#REF!</v>
      </c>
      <c r="EN34" s="27" t="e">
        <f>+#REF!+#REF!+#REF!+#REF!+#REF!+#REF!+#REF!+#REF!+#REF!+#REF!+#REF!+#REF!</f>
        <v>#REF!</v>
      </c>
      <c r="EO34" s="27" t="e">
        <f>+#REF!+#REF!+#REF!+#REF!+#REF!+#REF!+#REF!+#REF!+#REF!+#REF!+#REF!+#REF!</f>
        <v>#REF!</v>
      </c>
      <c r="EP34" s="27" t="e">
        <f>+#REF!+#REF!+#REF!+#REF!+#REF!+#REF!+#REF!+#REF!+#REF!+#REF!+#REF!+#REF!</f>
        <v>#REF!</v>
      </c>
      <c r="EQ34" s="27" t="e">
        <f>+#REF!+#REF!+#REF!+#REF!+#REF!+#REF!+#REF!+#REF!+#REF!+#REF!+#REF!+#REF!</f>
        <v>#REF!</v>
      </c>
      <c r="ER34" s="33" t="e">
        <f t="shared" si="51"/>
        <v>#REF!</v>
      </c>
      <c r="ES34" s="2674"/>
      <c r="EU34" s="4" t="e">
        <f t="shared" si="52"/>
        <v>#REF!</v>
      </c>
      <c r="EV34" s="5" t="e">
        <f t="shared" si="53"/>
        <v>#REF!</v>
      </c>
      <c r="EW34" s="27" t="e">
        <f t="shared" si="54"/>
        <v>#REF!</v>
      </c>
      <c r="EX34" s="27" t="e">
        <f t="shared" si="55"/>
        <v>#REF!</v>
      </c>
      <c r="EY34" s="141"/>
      <c r="EZ34" s="141"/>
      <c r="FA34" s="33"/>
      <c r="FB34" s="2667"/>
      <c r="FC34" s="36" t="e">
        <f>+#REF!+#REF!+#REF!+#REF!+#REF!+#REF!+#REF!+#REF!+#REF!+#REF!+#REF!+#REF!</f>
        <v>#REF!</v>
      </c>
      <c r="FD34" s="27" t="e">
        <f>+#REF!+#REF!+#REF!+#REF!+#REF!+#REF!+#REF!+#REF!+#REF!+#REF!+#REF!+#REF!</f>
        <v>#REF!</v>
      </c>
      <c r="FE34" s="27"/>
      <c r="FF34" s="27"/>
      <c r="FG34" s="33" t="e">
        <f t="shared" si="56"/>
        <v>#REF!</v>
      </c>
      <c r="FH34" s="2667"/>
      <c r="FI34" s="36" t="e">
        <f>+#REF!+#REF!+#REF!+#REF!+#REF!+#REF!+#REF!+#REF!+#REF!+#REF!+#REF!+#REF!</f>
        <v>#REF!</v>
      </c>
      <c r="FJ34" s="27" t="e">
        <f>+#REF!+#REF!+#REF!+#REF!+#REF!+#REF!+#REF!+#REF!+#REF!+#REF!+#REF!+#REF!</f>
        <v>#REF!</v>
      </c>
      <c r="FK34" s="27" t="e">
        <f>+#REF!+#REF!+#REF!+#REF!+#REF!+#REF!+#REF!+#REF!+#REF!+#REF!+#REF!+#REF!</f>
        <v>#REF!</v>
      </c>
      <c r="FL34" s="27" t="e">
        <f>+#REF!+#REF!+#REF!+#REF!+#REF!+#REF!+#REF!+#REF!+#REF!+#REF!+#REF!+#REF!</f>
        <v>#REF!</v>
      </c>
      <c r="FM34" s="27" t="e">
        <f>+#REF!+#REF!+#REF!+#REF!+#REF!+#REF!+#REF!+#REF!+#REF!+#REF!+#REF!+#REF!</f>
        <v>#REF!</v>
      </c>
      <c r="FN34" s="27" t="e">
        <f>+#REF!+#REF!+#REF!+#REF!+#REF!+#REF!+#REF!+#REF!+#REF!+#REF!+#REF!+#REF!</f>
        <v>#REF!</v>
      </c>
      <c r="FO34" s="27" t="e">
        <f>+#REF!+#REF!+#REF!+#REF!+#REF!+#REF!+#REF!+#REF!+#REF!+#REF!+#REF!+#REF!</f>
        <v>#REF!</v>
      </c>
      <c r="FP34" s="27" t="e">
        <f>+#REF!+#REF!+#REF!+#REF!+#REF!+#REF!+#REF!+#REF!+#REF!+#REF!+#REF!+#REF!</f>
        <v>#REF!</v>
      </c>
      <c r="FQ34" s="28" t="e">
        <f t="shared" si="80"/>
        <v>#REF!</v>
      </c>
      <c r="FR34" s="26" t="e">
        <f>+#REF!+#REF!+#REF!+#REF!+#REF!+#REF!+#REF!+#REF!+#REF!+#REF!+#REF!+#REF!</f>
        <v>#REF!</v>
      </c>
      <c r="FS34" s="27" t="e">
        <f>+#REF!+#REF!+#REF!+#REF!+#REF!+#REF!+#REF!+#REF!+#REF!+#REF!+#REF!+#REF!</f>
        <v>#REF!</v>
      </c>
      <c r="FT34" s="27" t="e">
        <f>+#REF!+#REF!+#REF!+#REF!+#REF!+#REF!+#REF!+#REF!+#REF!+#REF!+#REF!+#REF!</f>
        <v>#REF!</v>
      </c>
      <c r="FU34" s="27" t="e">
        <f>+#REF!+#REF!+#REF!+#REF!+#REF!+#REF!+#REF!+#REF!+#REF!+#REF!+#REF!+#REF!</f>
        <v>#REF!</v>
      </c>
      <c r="FV34" s="27" t="e">
        <f>+#REF!+#REF!+#REF!+#REF!+#REF!+#REF!+#REF!+#REF!+#REF!+#REF!+#REF!+#REF!</f>
        <v>#REF!</v>
      </c>
      <c r="FW34" s="27" t="e">
        <f>+#REF!+#REF!+#REF!+#REF!+#REF!+#REF!+#REF!+#REF!+#REF!+#REF!+#REF!+#REF!</f>
        <v>#REF!</v>
      </c>
      <c r="FX34" s="27" t="e">
        <f>+#REF!+#REF!+#REF!+#REF!+#REF!+#REF!+#REF!+#REF!+#REF!+#REF!+#REF!+#REF!</f>
        <v>#REF!</v>
      </c>
      <c r="FY34" s="27" t="e">
        <f>+#REF!+#REF!+#REF!+#REF!+#REF!+#REF!+#REF!+#REF!+#REF!+#REF!+#REF!+#REF!</f>
        <v>#REF!</v>
      </c>
      <c r="FZ34" s="28" t="e">
        <f t="shared" si="57"/>
        <v>#REF!</v>
      </c>
      <c r="GA34" s="36" t="e">
        <f>+#REF!+#REF!+#REF!+#REF!+#REF!+#REF!+#REF!+#REF!+#REF!+#REF!+#REF!+#REF!</f>
        <v>#REF!</v>
      </c>
      <c r="GB34" s="27" t="e">
        <f>+#REF!+#REF!+#REF!+#REF!+#REF!+#REF!+#REF!+#REF!+#REF!+#REF!+#REF!+#REF!</f>
        <v>#REF!</v>
      </c>
      <c r="GC34" s="27" t="e">
        <f>+#REF!+#REF!+#REF!+#REF!+#REF!+#REF!+#REF!+#REF!+#REF!+#REF!+#REF!+#REF!</f>
        <v>#REF!</v>
      </c>
      <c r="GD34" s="27" t="e">
        <f>+#REF!+#REF!+#REF!+#REF!+#REF!+#REF!+#REF!+#REF!+#REF!+#REF!+#REF!+#REF!</f>
        <v>#REF!</v>
      </c>
      <c r="GE34" s="27" t="e">
        <f>+#REF!+#REF!+#REF!+#REF!+#REF!+#REF!+#REF!+#REF!+#REF!+#REF!+#REF!+#REF!</f>
        <v>#REF!</v>
      </c>
      <c r="GF34" s="27" t="e">
        <f>+#REF!+#REF!+#REF!+#REF!+#REF!+#REF!+#REF!+#REF!+#REF!+#REF!+#REF!+#REF!</f>
        <v>#REF!</v>
      </c>
      <c r="GG34" s="27" t="e">
        <f>+#REF!+#REF!+#REF!+#REF!+#REF!+#REF!+#REF!+#REF!+#REF!+#REF!+#REF!+#REF!</f>
        <v>#REF!</v>
      </c>
      <c r="GH34" s="27" t="e">
        <f>+#REF!+#REF!+#REF!+#REF!+#REF!+#REF!+#REF!+#REF!+#REF!+#REF!+#REF!+#REF!</f>
        <v>#REF!</v>
      </c>
      <c r="GI34" s="33" t="e">
        <f t="shared" si="58"/>
        <v>#REF!</v>
      </c>
      <c r="GJ34" s="2667"/>
      <c r="GL34" s="26" t="e">
        <f>+#REF!+#REF!+#REF!+#REF!+#REF!+#REF!+#REF!+#REF!+#REF!+#REF!+#REF!+#REF!</f>
        <v>#REF!</v>
      </c>
      <c r="GM34" s="36" t="e">
        <f>+#REF!+#REF!+#REF!+#REF!+#REF!+#REF!+#REF!+#REF!+#REF!+#REF!+#REF!+#REF!</f>
        <v>#REF!</v>
      </c>
      <c r="GN34" s="27" t="e">
        <f>+#REF!+#REF!+#REF!+#REF!+#REF!+#REF!+#REF!+#REF!+#REF!+#REF!+#REF!+#REF!</f>
        <v>#REF!</v>
      </c>
      <c r="GO34" s="27" t="e">
        <f>+GL34+GN34+GM34</f>
        <v>#REF!</v>
      </c>
      <c r="GP34" s="33"/>
      <c r="GQ34" s="2669"/>
      <c r="GR34" s="69"/>
      <c r="GS34" s="70"/>
      <c r="GT34" s="70"/>
      <c r="GU34" s="70"/>
      <c r="GV34" s="70"/>
      <c r="GW34" s="70"/>
      <c r="GX34" s="70"/>
      <c r="GY34" s="71"/>
      <c r="GZ34" s="69"/>
      <c r="HA34" s="70"/>
      <c r="HB34" s="70"/>
      <c r="HC34" s="70"/>
      <c r="HD34" s="70"/>
      <c r="HE34" s="70"/>
      <c r="HF34" s="70"/>
      <c r="HG34" s="71"/>
      <c r="HH34" s="69"/>
      <c r="HI34" s="70"/>
      <c r="HJ34" s="70"/>
      <c r="HK34" s="70"/>
      <c r="HL34" s="70"/>
      <c r="HM34" s="70"/>
      <c r="HN34" s="70"/>
      <c r="HO34" s="70"/>
      <c r="HP34" s="33"/>
      <c r="HQ34" s="2669"/>
      <c r="HR34" s="36"/>
      <c r="HS34" s="53"/>
      <c r="HT34" s="53"/>
      <c r="HU34" s="53"/>
      <c r="HV34" s="61"/>
      <c r="HW34" s="36"/>
      <c r="HX34" s="53"/>
      <c r="HY34" s="53"/>
      <c r="HZ34" s="53"/>
      <c r="IA34" s="61"/>
      <c r="IB34" s="36"/>
      <c r="IC34" s="53"/>
      <c r="ID34" s="53"/>
      <c r="IE34" s="53"/>
      <c r="IF34" s="53"/>
      <c r="IG34" s="33"/>
      <c r="IH34" s="2669"/>
      <c r="IJ34" s="26" t="e">
        <f t="shared" si="60"/>
        <v>#REF!</v>
      </c>
      <c r="IK34" s="36" t="e">
        <f t="shared" si="6"/>
        <v>#REF!</v>
      </c>
      <c r="IL34" s="27" t="e">
        <f t="shared" si="6"/>
        <v>#REF!</v>
      </c>
      <c r="IM34" s="28" t="e">
        <f t="shared" si="61"/>
        <v>#REF!</v>
      </c>
      <c r="IN34" s="36"/>
      <c r="IO34" s="27"/>
      <c r="IP34" s="27"/>
      <c r="IQ34" s="33"/>
      <c r="IR34" s="55"/>
      <c r="IS34" s="21"/>
      <c r="IT34" s="2688"/>
      <c r="IU34" s="36" t="e">
        <f>+#REF!+#REF!+#REF!+#REF!+#REF!+#REF!+#REF!+#REF!+#REF!+#REF!+#REF!+#REF!</f>
        <v>#REF!</v>
      </c>
      <c r="IV34" s="36" t="e">
        <f>+#REF!+#REF!+#REF!+#REF!+#REF!+#REF!+#REF!+#REF!+#REF!+#REF!+#REF!+#REF!</f>
        <v>#REF!</v>
      </c>
      <c r="IW34" s="27" t="e">
        <f>+#REF!+#REF!+#REF!+#REF!+#REF!+#REF!+#REF!+#REF!+#REF!+#REF!+#REF!+#REF!</f>
        <v>#REF!</v>
      </c>
      <c r="IX34" s="27" t="e">
        <f>+#REF!+#REF!+#REF!+#REF!+#REF!+#REF!+#REF!+#REF!+#REF!+#REF!+#REF!+#REF!</f>
        <v>#REF!</v>
      </c>
      <c r="IY34" s="27" t="e">
        <f>+#REF!+#REF!+#REF!+#REF!+#REF!+#REF!+#REF!+#REF!+#REF!+#REF!+#REF!+#REF!</f>
        <v>#REF!</v>
      </c>
      <c r="IZ34" s="28" t="e">
        <f t="shared" si="62"/>
        <v>#REF!</v>
      </c>
      <c r="JA34" s="26" t="e">
        <f>+#REF!+#REF!+#REF!+#REF!+#REF!+#REF!+#REF!+#REF!+#REF!+#REF!+#REF!+#REF!</f>
        <v>#REF!</v>
      </c>
      <c r="JB34" s="36" t="e">
        <f>+#REF!+#REF!+#REF!+#REF!+#REF!+#REF!+#REF!+#REF!+#REF!+#REF!+#REF!+#REF!</f>
        <v>#REF!</v>
      </c>
      <c r="JC34" s="27" t="e">
        <f>+#REF!+#REF!+#REF!+#REF!+#REF!+#REF!+#REF!+#REF!+#REF!+#REF!+#REF!+#REF!</f>
        <v>#REF!</v>
      </c>
      <c r="JD34" s="27" t="e">
        <f>+#REF!+#REF!+#REF!+#REF!+#REF!+#REF!+#REF!+#REF!+#REF!+#REF!+#REF!+#REF!</f>
        <v>#REF!</v>
      </c>
      <c r="JE34" s="28" t="e">
        <f>+#REF!+#REF!+#REF!+#REF!+#REF!+#REF!+#REF!+#REF!+#REF!+#REF!+#REF!+#REF!</f>
        <v>#REF!</v>
      </c>
      <c r="JF34" s="26" t="e">
        <f>+#REF!+#REF!+#REF!+#REF!+#REF!+#REF!+#REF!+#REF!+#REF!+#REF!+#REF!+#REF!</f>
        <v>#REF!</v>
      </c>
      <c r="JG34" s="36" t="e">
        <f>+#REF!+#REF!+#REF!+#REF!+#REF!+#REF!+#REF!+#REF!+#REF!+#REF!+#REF!+#REF!</f>
        <v>#REF!</v>
      </c>
      <c r="JH34" s="27" t="e">
        <f>+#REF!+#REF!+#REF!+#REF!+#REF!+#REF!+#REF!+#REF!+#REF!+#REF!+#REF!+#REF!</f>
        <v>#REF!</v>
      </c>
      <c r="JI34" s="27" t="e">
        <f>+#REF!+#REF!+#REF!+#REF!+#REF!+#REF!+#REF!+#REF!+#REF!+#REF!+#REF!+#REF!</f>
        <v>#REF!</v>
      </c>
      <c r="JJ34" s="27" t="e">
        <f>+#REF!+#REF!+#REF!+#REF!+#REF!+#REF!+#REF!+#REF!+#REF!+#REF!+#REF!+#REF!</f>
        <v>#REF!</v>
      </c>
      <c r="JK34" s="28" t="e">
        <f t="shared" si="63"/>
        <v>#REF!</v>
      </c>
      <c r="JL34" s="26" t="e">
        <f>+#REF!+#REF!+#REF!+#REF!+#REF!+#REF!+#REF!+#REF!+#REF!+#REF!+#REF!+#REF!</f>
        <v>#REF!</v>
      </c>
      <c r="JM34" s="36" t="e">
        <f>+#REF!+#REF!+#REF!+#REF!+#REF!+#REF!+#REF!+#REF!+#REF!+#REF!+#REF!+#REF!</f>
        <v>#REF!</v>
      </c>
      <c r="JN34" s="27" t="e">
        <f>+#REF!+#REF!+#REF!+#REF!+#REF!+#REF!+#REF!+#REF!+#REF!+#REF!+#REF!+#REF!</f>
        <v>#REF!</v>
      </c>
      <c r="JO34" s="27" t="e">
        <f>+#REF!+#REF!+#REF!+#REF!+#REF!+#REF!+#REF!+#REF!+#REF!+#REF!+#REF!+#REF!</f>
        <v>#REF!</v>
      </c>
      <c r="JP34" s="28" t="e">
        <f>+#REF!+#REF!+#REF!+#REF!+#REF!+#REF!+#REF!+#REF!+#REF!+#REF!+#REF!+#REF!</f>
        <v>#REF!</v>
      </c>
      <c r="JQ34" s="275" t="e">
        <f t="shared" si="64"/>
        <v>#REF!</v>
      </c>
      <c r="JR34" s="36" t="e">
        <f>+#REF!+#REF!+#REF!+#REF!+#REF!+#REF!+#REF!+#REF!+#REF!+#REF!+#REF!+#REF!</f>
        <v>#REF!</v>
      </c>
      <c r="JS34" s="36" t="e">
        <f>+#REF!+#REF!+#REF!+#REF!+#REF!+#REF!+#REF!+#REF!+#REF!+#REF!+#REF!+#REF!</f>
        <v>#REF!</v>
      </c>
      <c r="JT34" s="27" t="e">
        <f>+#REF!+#REF!+#REF!+#REF!+#REF!+#REF!+#REF!+#REF!+#REF!+#REF!+#REF!+#REF!</f>
        <v>#REF!</v>
      </c>
      <c r="JU34" s="27" t="e">
        <f>+#REF!+#REF!+#REF!+#REF!+#REF!+#REF!+#REF!+#REF!+#REF!+#REF!+#REF!+#REF!</f>
        <v>#REF!</v>
      </c>
      <c r="JV34" s="27" t="e">
        <f>+#REF!+#REF!+#REF!+#REF!+#REF!+#REF!+#REF!+#REF!+#REF!+#REF!+#REF!+#REF!</f>
        <v>#REF!</v>
      </c>
      <c r="JW34" s="33" t="e">
        <f t="shared" si="65"/>
        <v>#REF!</v>
      </c>
      <c r="JX34" s="2688"/>
      <c r="JZ34" s="26" t="e">
        <f t="shared" si="66"/>
        <v>#REF!</v>
      </c>
      <c r="KA34" s="27" t="e">
        <f t="shared" si="67"/>
        <v>#REF!</v>
      </c>
      <c r="KB34" s="27" t="e">
        <f t="shared" si="68"/>
        <v>#REF!</v>
      </c>
      <c r="KC34" s="33" t="e">
        <f t="shared" si="69"/>
        <v>#REF!</v>
      </c>
      <c r="KD34" s="2621"/>
      <c r="KE34" s="36" t="e">
        <f t="shared" si="87"/>
        <v>#REF!</v>
      </c>
      <c r="KF34" s="36" t="e">
        <f t="shared" si="87"/>
        <v>#REF!</v>
      </c>
      <c r="KG34" s="27" t="e">
        <f t="shared" si="87"/>
        <v>#REF!</v>
      </c>
      <c r="KH34" s="28" t="e">
        <f t="shared" si="81"/>
        <v>#REF!</v>
      </c>
      <c r="KI34" s="36" t="e">
        <f t="shared" si="82"/>
        <v>#REF!</v>
      </c>
      <c r="KJ34" s="27" t="e">
        <f t="shared" si="88"/>
        <v>#REF!</v>
      </c>
      <c r="KK34" s="27" t="e">
        <f t="shared" si="88"/>
        <v>#REF!</v>
      </c>
      <c r="KL34" s="27" t="e">
        <f t="shared" si="88"/>
        <v>#REF!</v>
      </c>
      <c r="KM34" s="27" t="e">
        <f t="shared" si="88"/>
        <v>#REF!</v>
      </c>
      <c r="KN34" s="27" t="e">
        <f t="shared" si="88"/>
        <v>#REF!</v>
      </c>
      <c r="KO34" s="28" t="e">
        <f t="shared" si="83"/>
        <v>#REF!</v>
      </c>
      <c r="KP34" s="36" t="e">
        <f t="shared" si="89"/>
        <v>#REF!</v>
      </c>
      <c r="KQ34" s="27" t="e">
        <f t="shared" si="89"/>
        <v>#REF!</v>
      </c>
      <c r="KR34" s="27" t="e">
        <f t="shared" si="89"/>
        <v>#REF!</v>
      </c>
      <c r="KS34" s="27" t="e">
        <f t="shared" si="89"/>
        <v>#REF!</v>
      </c>
      <c r="KT34" s="27" t="e">
        <f t="shared" si="89"/>
        <v>#REF!</v>
      </c>
      <c r="KU34" s="27" t="e">
        <f t="shared" si="89"/>
        <v>#REF!</v>
      </c>
      <c r="KV34" s="28" t="e">
        <f t="shared" si="84"/>
        <v>#REF!</v>
      </c>
      <c r="KW34" s="36" t="e">
        <f t="shared" si="90"/>
        <v>#REF!</v>
      </c>
      <c r="KX34" s="27" t="e">
        <f t="shared" si="90"/>
        <v>#REF!</v>
      </c>
      <c r="KY34" s="27" t="e">
        <f t="shared" si="90"/>
        <v>#REF!</v>
      </c>
      <c r="KZ34" s="27" t="e">
        <f t="shared" si="90"/>
        <v>#REF!</v>
      </c>
      <c r="LA34" s="27" t="e">
        <f t="shared" si="90"/>
        <v>#REF!</v>
      </c>
      <c r="LB34" s="27" t="e">
        <f t="shared" si="90"/>
        <v>#REF!</v>
      </c>
      <c r="LC34" s="28" t="e">
        <f t="shared" si="85"/>
        <v>#REF!</v>
      </c>
      <c r="LD34" s="36"/>
      <c r="LE34" s="27"/>
      <c r="LF34" s="27"/>
      <c r="LG34" s="27"/>
      <c r="LH34" s="27"/>
      <c r="LI34" s="27"/>
      <c r="LJ34" s="28">
        <f t="shared" si="70"/>
        <v>0</v>
      </c>
      <c r="LK34" s="36" t="e">
        <f t="shared" si="91"/>
        <v>#REF!</v>
      </c>
      <c r="LL34" s="27" t="e">
        <f t="shared" si="91"/>
        <v>#REF!</v>
      </c>
      <c r="LM34" s="27" t="e">
        <f t="shared" si="91"/>
        <v>#REF!</v>
      </c>
      <c r="LN34" s="27" t="e">
        <f t="shared" si="91"/>
        <v>#REF!</v>
      </c>
      <c r="LO34" s="27" t="e">
        <f t="shared" si="91"/>
        <v>#REF!</v>
      </c>
      <c r="LP34" s="27" t="e">
        <f t="shared" si="91"/>
        <v>#REF!</v>
      </c>
      <c r="LQ34" s="33" t="e">
        <f t="shared" si="71"/>
        <v>#REF!</v>
      </c>
      <c r="LR34" s="2621"/>
      <c r="LT34" s="4" t="e">
        <f>+#REF!+#REF!+#REF!+#REF!+#REF!+#REF!+#REF!+#REF!+#REF!+#REF!+#REF!+#REF!</f>
        <v>#REF!</v>
      </c>
      <c r="LU34" s="5" t="e">
        <f>+#REF!+#REF!+#REF!+#REF!+#REF!+#REF!+#REF!+#REF!+#REF!+#REF!+#REF!+#REF!</f>
        <v>#REF!</v>
      </c>
      <c r="LV34" s="5" t="e">
        <f t="shared" si="72"/>
        <v>#REF!</v>
      </c>
      <c r="LW34" s="12" t="e">
        <f t="shared" si="86"/>
        <v>#REF!</v>
      </c>
      <c r="LX34" s="15"/>
      <c r="LY34" s="2615"/>
      <c r="MA34" s="4" t="e">
        <f>+#REF!+#REF!+#REF!+#REF!+#REF!+#REF!+#REF!+#REF!+#REF!+#REF!+#REF!+#REF!</f>
        <v>#REF!</v>
      </c>
      <c r="MB34" s="5" t="e">
        <f t="shared" si="73"/>
        <v>#REF!</v>
      </c>
      <c r="MC34" s="5" t="e">
        <f>+#REF!+#REF!+#REF!+#REF!+#REF!+#REF!+#REF!+#REF!+#REF!+#REF!+#REF!+#REF!</f>
        <v>#REF!</v>
      </c>
      <c r="MD34" s="5" t="e">
        <f t="shared" si="74"/>
        <v>#REF!</v>
      </c>
      <c r="ME34" s="12" t="e">
        <f t="shared" si="75"/>
        <v>#REF!</v>
      </c>
      <c r="MF34" s="12"/>
      <c r="MG34" s="2615"/>
      <c r="MI34" s="139" t="e">
        <f t="shared" si="76"/>
        <v>#REF!</v>
      </c>
      <c r="MJ34" s="139" t="e">
        <f t="shared" si="77"/>
        <v>#REF!</v>
      </c>
      <c r="ML34" s="139" t="e">
        <f t="shared" si="78"/>
        <v>#REF!</v>
      </c>
      <c r="MM34" s="139" t="e">
        <f t="shared" si="79"/>
        <v>#REF!</v>
      </c>
      <c r="MO34" s="1">
        <f t="shared" si="92"/>
        <v>0</v>
      </c>
      <c r="MP34" s="1">
        <f t="shared" si="92"/>
        <v>0</v>
      </c>
      <c r="MQ34" s="1">
        <f t="shared" si="92"/>
        <v>0</v>
      </c>
      <c r="MR34" s="1">
        <f t="shared" si="92"/>
        <v>0</v>
      </c>
      <c r="MS34" s="1">
        <f t="shared" si="92"/>
        <v>0</v>
      </c>
      <c r="MT34" s="1">
        <f t="shared" si="92"/>
        <v>0</v>
      </c>
      <c r="MV34" s="1">
        <f t="shared" si="93"/>
        <v>0</v>
      </c>
      <c r="MW34" s="1">
        <f t="shared" si="93"/>
        <v>0</v>
      </c>
      <c r="MX34" s="1">
        <f t="shared" si="93"/>
        <v>0</v>
      </c>
      <c r="MY34" s="1">
        <f t="shared" si="93"/>
        <v>0</v>
      </c>
      <c r="MZ34" s="1">
        <f t="shared" si="93"/>
        <v>0</v>
      </c>
      <c r="NA34" s="1">
        <f t="shared" si="93"/>
        <v>0</v>
      </c>
    </row>
    <row r="35" spans="1:365" s="1" customFormat="1">
      <c r="B35" s="46">
        <v>26</v>
      </c>
      <c r="C35" s="4" t="e">
        <f t="shared" si="0"/>
        <v>#REF!</v>
      </c>
      <c r="D35" s="5" t="e">
        <f t="shared" si="1"/>
        <v>#REF!</v>
      </c>
      <c r="E35" s="61">
        <f t="shared" si="14"/>
        <v>0</v>
      </c>
      <c r="F35" s="52"/>
      <c r="G35" s="53"/>
      <c r="H35" s="53"/>
      <c r="I35" s="54"/>
      <c r="J35" s="2629"/>
      <c r="K35" s="9" t="e">
        <f t="shared" si="15"/>
        <v>#REF!</v>
      </c>
      <c r="L35" s="5" t="e">
        <f t="shared" si="2"/>
        <v>#REF!</v>
      </c>
      <c r="M35" s="64">
        <f t="shared" si="16"/>
        <v>0</v>
      </c>
      <c r="N35" s="28"/>
      <c r="O35" s="36" t="e">
        <f t="shared" si="17"/>
        <v>#REF!</v>
      </c>
      <c r="P35" s="27" t="e">
        <f t="shared" si="17"/>
        <v>#REF!</v>
      </c>
      <c r="Q35" s="53">
        <f t="shared" si="18"/>
        <v>0</v>
      </c>
      <c r="R35" s="28"/>
      <c r="S35" s="36" t="e">
        <f t="shared" si="19"/>
        <v>#REF!</v>
      </c>
      <c r="T35" s="27" t="e">
        <f t="shared" si="19"/>
        <v>#REF!</v>
      </c>
      <c r="U35" s="53">
        <f t="shared" si="3"/>
        <v>0</v>
      </c>
      <c r="V35" s="28"/>
      <c r="W35" s="36" t="e">
        <f t="shared" si="20"/>
        <v>#REF!</v>
      </c>
      <c r="X35" s="27" t="e">
        <f t="shared" si="4"/>
        <v>#REF!</v>
      </c>
      <c r="Y35" s="53">
        <f t="shared" si="21"/>
        <v>0</v>
      </c>
      <c r="Z35" s="28"/>
      <c r="AA35" s="26" t="e">
        <f t="shared" si="22"/>
        <v>#REF!</v>
      </c>
      <c r="AB35" s="27" t="e">
        <f t="shared" si="22"/>
        <v>#REF!</v>
      </c>
      <c r="AC35" s="53">
        <f t="shared" si="23"/>
        <v>0</v>
      </c>
      <c r="AD35" s="33"/>
      <c r="AE35" s="2629"/>
      <c r="AF35" s="9" t="e">
        <f>+#REF!+#REF!+#REF!+#REF!+#REF!+#REF!+#REF!+#REF!+#REF!+#REF!+#REF!+#REF!</f>
        <v>#REF!</v>
      </c>
      <c r="AG35" s="5" t="e">
        <f>+#REF!+#REF!+#REF!+#REF!+#REF!+#REF!+#REF!+#REF!+#REF!+#REF!+#REF!+#REF!</f>
        <v>#REF!</v>
      </c>
      <c r="AH35" s="61">
        <f t="shared" si="24"/>
        <v>0</v>
      </c>
      <c r="AI35" s="36" t="e">
        <f>+#REF!+#REF!+#REF!+#REF!+#REF!+#REF!+#REF!+#REF!+#REF!+#REF!+#REF!+#REF!</f>
        <v>#REF!</v>
      </c>
      <c r="AJ35" s="27" t="e">
        <f>+#REF!+#REF!+#REF!+#REF!+#REF!+#REF!+#REF!+#REF!+#REF!+#REF!+#REF!+#REF!</f>
        <v>#REF!</v>
      </c>
      <c r="AK35" s="61">
        <f t="shared" si="25"/>
        <v>0</v>
      </c>
      <c r="AL35" s="36" t="e">
        <f>+#REF!+#REF!+#REF!+#REF!+#REF!+#REF!+#REF!+#REF!+#REF!+#REF!+#REF!+#REF!</f>
        <v>#REF!</v>
      </c>
      <c r="AM35" s="27" t="e">
        <f>+#REF!+#REF!+#REF!+#REF!+#REF!+#REF!+#REF!+#REF!+#REF!+#REF!+#REF!+#REF!</f>
        <v>#REF!</v>
      </c>
      <c r="AN35" s="61">
        <f t="shared" si="26"/>
        <v>0</v>
      </c>
      <c r="AO35" s="36" t="e">
        <f>+#REF!+#REF!+#REF!+#REF!+#REF!+#REF!+#REF!+#REF!+#REF!+#REF!+#REF!+#REF!</f>
        <v>#REF!</v>
      </c>
      <c r="AP35" s="27" t="e">
        <f>+#REF!+#REF!+#REF!+#REF!+#REF!+#REF!+#REF!+#REF!+#REF!+#REF!+#REF!+#REF!</f>
        <v>#REF!</v>
      </c>
      <c r="AQ35" s="61">
        <f t="shared" si="27"/>
        <v>0</v>
      </c>
      <c r="AR35" s="36" t="e">
        <f>+#REF!+#REF!+#REF!+#REF!+#REF!+#REF!+#REF!+#REF!+#REF!+#REF!+#REF!+#REF!</f>
        <v>#REF!</v>
      </c>
      <c r="AS35" s="27" t="e">
        <f>+#REF!+#REF!+#REF!+#REF!+#REF!+#REF!+#REF!+#REF!+#REF!+#REF!+#REF!+#REF!</f>
        <v>#REF!</v>
      </c>
      <c r="AT35" s="61">
        <f t="shared" si="28"/>
        <v>0</v>
      </c>
      <c r="AU35" s="36" t="e">
        <f>+#REF!+#REF!+#REF!+#REF!+#REF!+#REF!+#REF!+#REF!+#REF!+#REF!+#REF!+#REF!</f>
        <v>#REF!</v>
      </c>
      <c r="AV35" s="27" t="e">
        <f>+#REF!+#REF!+#REF!+#REF!+#REF!+#REF!+#REF!+#REF!+#REF!+#REF!+#REF!+#REF!</f>
        <v>#REF!</v>
      </c>
      <c r="AW35" s="61">
        <f t="shared" si="29"/>
        <v>0</v>
      </c>
      <c r="AX35" s="36" t="e">
        <f>+#REF!+#REF!+#REF!+#REF!+#REF!+#REF!+#REF!+#REF!+#REF!+#REF!+#REF!+#REF!</f>
        <v>#REF!</v>
      </c>
      <c r="AY35" s="27" t="e">
        <f>+#REF!+#REF!+#REF!+#REF!+#REF!+#REF!+#REF!+#REF!+#REF!+#REF!+#REF!+#REF!</f>
        <v>#REF!</v>
      </c>
      <c r="AZ35" s="61">
        <f t="shared" si="30"/>
        <v>0</v>
      </c>
      <c r="BA35" s="36" t="e">
        <f>+#REF!+#REF!+#REF!+#REF!+#REF!+#REF!+#REF!+#REF!+#REF!+#REF!+#REF!+#REF!</f>
        <v>#REF!</v>
      </c>
      <c r="BB35" s="27" t="e">
        <f>+#REF!+#REF!+#REF!+#REF!+#REF!+#REF!+#REF!+#REF!+#REF!+#REF!+#REF!+#REF!</f>
        <v>#REF!</v>
      </c>
      <c r="BC35" s="61">
        <f t="shared" si="31"/>
        <v>0</v>
      </c>
      <c r="BD35" s="36" t="e">
        <f>+#REF!+#REF!+#REF!+#REF!+#REF!+#REF!+#REF!+#REF!+#REF!+#REF!+#REF!+#REF!</f>
        <v>#REF!</v>
      </c>
      <c r="BE35" s="27" t="e">
        <f>+#REF!+#REF!+#REF!+#REF!+#REF!+#REF!+#REF!+#REF!+#REF!+#REF!+#REF!+#REF!</f>
        <v>#REF!</v>
      </c>
      <c r="BF35" s="61">
        <f t="shared" si="32"/>
        <v>0</v>
      </c>
      <c r="BG35" s="36" t="e">
        <f>+#REF!+#REF!+#REF!+#REF!+#REF!+#REF!+#REF!+#REF!+#REF!+#REF!+#REF!+#REF!</f>
        <v>#REF!</v>
      </c>
      <c r="BH35" s="27" t="e">
        <f>+#REF!+#REF!+#REF!+#REF!+#REF!+#REF!+#REF!+#REF!+#REF!+#REF!+#REF!+#REF!</f>
        <v>#REF!</v>
      </c>
      <c r="BI35" s="61">
        <f t="shared" si="33"/>
        <v>0</v>
      </c>
      <c r="BJ35" s="36" t="e">
        <f>+#REF!+#REF!+#REF!+#REF!+#REF!+#REF!+#REF!+#REF!+#REF!+#REF!+#REF!+#REF!</f>
        <v>#REF!</v>
      </c>
      <c r="BK35" s="27" t="e">
        <f>+#REF!+#REF!+#REF!+#REF!+#REF!+#REF!+#REF!+#REF!+#REF!+#REF!+#REF!+#REF!</f>
        <v>#REF!</v>
      </c>
      <c r="BL35" s="61">
        <f t="shared" si="34"/>
        <v>0</v>
      </c>
      <c r="BM35" s="36" t="e">
        <f>+#REF!+#REF!+#REF!+#REF!+#REF!+#REF!+#REF!+#REF!+#REF!+#REF!+#REF!+#REF!</f>
        <v>#REF!</v>
      </c>
      <c r="BN35" s="27" t="e">
        <f>+#REF!+#REF!+#REF!+#REF!+#REF!+#REF!+#REF!+#REF!+#REF!+#REF!+#REF!+#REF!</f>
        <v>#REF!</v>
      </c>
      <c r="BO35" s="54">
        <f t="shared" si="35"/>
        <v>0</v>
      </c>
      <c r="BP35" s="26" t="e">
        <f>+#REF!+#REF!+#REF!+#REF!+#REF!+#REF!+#REF!+#REF!+#REF!+#REF!+#REF!+#REF!</f>
        <v>#REF!</v>
      </c>
      <c r="BQ35" s="27" t="e">
        <f>+#REF!+#REF!+#REF!+#REF!+#REF!+#REF!+#REF!+#REF!+#REF!+#REF!+#REF!+#REF!</f>
        <v>#REF!</v>
      </c>
      <c r="BR35" s="61">
        <f t="shared" si="36"/>
        <v>0</v>
      </c>
      <c r="BS35" s="26" t="e">
        <f>+#REF!+#REF!+#REF!+#REF!+#REF!+#REF!+#REF!+#REF!+#REF!+#REF!+#REF!+#REF!</f>
        <v>#REF!</v>
      </c>
      <c r="BT35" s="27" t="e">
        <f>+#REF!+#REF!+#REF!+#REF!+#REF!+#REF!+#REF!+#REF!+#REF!+#REF!+#REF!+#REF!</f>
        <v>#REF!</v>
      </c>
      <c r="BU35" s="61">
        <f t="shared" si="37"/>
        <v>0</v>
      </c>
      <c r="BV35" s="150"/>
      <c r="BW35" s="9" t="e">
        <f>+#REF!+#REF!+#REF!+#REF!+#REF!+#REF!+#REF!+#REF!+#REF!+#REF!+#REF!+#REF!</f>
        <v>#REF!</v>
      </c>
      <c r="BX35" s="5" t="e">
        <f>+#REF!+#REF!+#REF!+#REF!+#REF!+#REF!+#REF!+#REF!+#REF!+#REF!+#REF!+#REF!</f>
        <v>#REF!</v>
      </c>
      <c r="BY35" s="5" t="e">
        <f>+#REF!+#REF!+#REF!+#REF!+#REF!+#REF!+#REF!+#REF!+#REF!+#REF!+#REF!+#REF!</f>
        <v>#REF!</v>
      </c>
      <c r="BZ35" s="5" t="e">
        <f>+#REF!+#REF!+#REF!+#REF!+#REF!+#REF!+#REF!+#REF!+#REF!+#REF!+#REF!+#REF!</f>
        <v>#REF!</v>
      </c>
      <c r="CA35" s="5" t="e">
        <f>+#REF!+#REF!+#REF!+#REF!+#REF!+#REF!+#REF!+#REF!+#REF!+#REF!+#REF!+#REF!</f>
        <v>#REF!</v>
      </c>
      <c r="CB35" s="5" t="e">
        <f t="shared" si="38"/>
        <v>#REF!</v>
      </c>
      <c r="CC35" s="33"/>
      <c r="CD35" s="2683"/>
      <c r="CF35" s="4" t="e">
        <f t="shared" si="39"/>
        <v>#REF!</v>
      </c>
      <c r="CG35" s="5" t="e">
        <f t="shared" si="5"/>
        <v>#REF!</v>
      </c>
      <c r="CH35" s="5" t="e">
        <f t="shared" si="5"/>
        <v>#REF!</v>
      </c>
      <c r="CI35" s="5" t="e">
        <f t="shared" si="5"/>
        <v>#REF!</v>
      </c>
      <c r="CJ35" s="5" t="e">
        <f t="shared" si="5"/>
        <v>#REF!</v>
      </c>
      <c r="CK35" s="5" t="e">
        <f t="shared" si="5"/>
        <v>#REF!</v>
      </c>
      <c r="CL35" s="33" t="e">
        <f t="shared" si="40"/>
        <v>#REF!</v>
      </c>
      <c r="CM35" s="2685"/>
      <c r="CN35" s="9" t="e">
        <f>+#REF!+#REF!+#REF!+#REF!+#REF!+#REF!+#REF!+#REF!+#REF!+#REF!+#REF!+#REF!</f>
        <v>#REF!</v>
      </c>
      <c r="CO35" s="5" t="e">
        <f>+#REF!+#REF!+#REF!+#REF!+#REF!+#REF!+#REF!+#REF!+#REF!+#REF!+#REF!+#REF!</f>
        <v>#REF!</v>
      </c>
      <c r="CP35" s="5" t="e">
        <f>+#REF!+#REF!+#REF!+#REF!+#REF!+#REF!+#REF!+#REF!+#REF!+#REF!+#REF!+#REF!</f>
        <v>#REF!</v>
      </c>
      <c r="CQ35" s="5" t="e">
        <f>+#REF!+#REF!+#REF!+#REF!+#REF!+#REF!+#REF!+#REF!+#REF!+#REF!+#REF!+#REF!</f>
        <v>#REF!</v>
      </c>
      <c r="CR35" s="5" t="e">
        <f>+#REF!+#REF!+#REF!+#REF!+#REF!+#REF!+#REF!+#REF!+#REF!+#REF!+#REF!+#REF!</f>
        <v>#REF!</v>
      </c>
      <c r="CS35" s="5" t="e">
        <f>+#REF!+#REF!+#REF!+#REF!+#REF!+#REF!+#REF!+#REF!+#REF!+#REF!+#REF!+#REF!</f>
        <v>#REF!</v>
      </c>
      <c r="CT35" s="28" t="e">
        <f t="shared" si="41"/>
        <v>#REF!</v>
      </c>
      <c r="CU35" s="36" t="e">
        <f>+#REF!+#REF!+#REF!+#REF!+#REF!+#REF!+#REF!+#REF!+#REF!+#REF!+#REF!+#REF!</f>
        <v>#REF!</v>
      </c>
      <c r="CV35" s="27" t="e">
        <f>+#REF!+#REF!+#REF!+#REF!+#REF!+#REF!+#REF!+#REF!+#REF!+#REF!+#REF!+#REF!</f>
        <v>#REF!</v>
      </c>
      <c r="CW35" s="27" t="e">
        <f>+#REF!+#REF!+#REF!+#REF!+#REF!+#REF!+#REF!+#REF!+#REF!+#REF!+#REF!+#REF!</f>
        <v>#REF!</v>
      </c>
      <c r="CX35" s="27" t="e">
        <f>+#REF!+#REF!+#REF!+#REF!+#REF!+#REF!+#REF!+#REF!+#REF!+#REF!+#REF!+#REF!</f>
        <v>#REF!</v>
      </c>
      <c r="CY35" s="27" t="e">
        <f>+#REF!+#REF!+#REF!+#REF!+#REF!+#REF!+#REF!+#REF!+#REF!+#REF!+#REF!+#REF!</f>
        <v>#REF!</v>
      </c>
      <c r="CZ35" s="27" t="e">
        <f>+#REF!+#REF!+#REF!+#REF!+#REF!+#REF!+#REF!+#REF!+#REF!+#REF!+#REF!+#REF!</f>
        <v>#REF!</v>
      </c>
      <c r="DA35" s="28" t="e">
        <f t="shared" si="42"/>
        <v>#REF!</v>
      </c>
      <c r="DB35" s="36" t="e">
        <f>+#REF!+#REF!+#REF!+#REF!+#REF!+#REF!+#REF!+#REF!+#REF!+#REF!+#REF!+#REF!</f>
        <v>#REF!</v>
      </c>
      <c r="DC35" s="27" t="e">
        <f>+#REF!+#REF!+#REF!+#REF!+#REF!+#REF!+#REF!+#REF!+#REF!+#REF!+#REF!+#REF!</f>
        <v>#REF!</v>
      </c>
      <c r="DD35" s="27" t="e">
        <f>+#REF!+#REF!+#REF!+#REF!+#REF!+#REF!+#REF!+#REF!+#REF!+#REF!+#REF!+#REF!</f>
        <v>#REF!</v>
      </c>
      <c r="DE35" s="27" t="e">
        <f>+#REF!+#REF!+#REF!+#REF!+#REF!+#REF!+#REF!+#REF!+#REF!+#REF!+#REF!+#REF!</f>
        <v>#REF!</v>
      </c>
      <c r="DF35" s="27" t="e">
        <f>+#REF!+#REF!+#REF!+#REF!+#REF!+#REF!+#REF!+#REF!+#REF!+#REF!+#REF!+#REF!</f>
        <v>#REF!</v>
      </c>
      <c r="DG35" s="27" t="e">
        <f>+#REF!+#REF!+#REF!+#REF!+#REF!+#REF!+#REF!+#REF!+#REF!+#REF!+#REF!+#REF!</f>
        <v>#REF!</v>
      </c>
      <c r="DH35" s="28" t="e">
        <f t="shared" si="43"/>
        <v>#REF!</v>
      </c>
      <c r="DI35" s="36" t="e">
        <f>+#REF!+#REF!+#REF!+#REF!+#REF!+#REF!+#REF!+#REF!+#REF!+#REF!+#REF!+#REF!</f>
        <v>#REF!</v>
      </c>
      <c r="DJ35" s="27" t="e">
        <f>+#REF!+#REF!+#REF!+#REF!+#REF!+#REF!+#REF!+#REF!+#REF!+#REF!+#REF!+#REF!</f>
        <v>#REF!</v>
      </c>
      <c r="DK35" s="27" t="e">
        <f>+#REF!+#REF!+#REF!+#REF!+#REF!+#REF!+#REF!+#REF!+#REF!+#REF!+#REF!+#REF!</f>
        <v>#REF!</v>
      </c>
      <c r="DL35" s="27" t="e">
        <f>+#REF!+#REF!+#REF!+#REF!+#REF!+#REF!+#REF!+#REF!+#REF!+#REF!+#REF!+#REF!</f>
        <v>#REF!</v>
      </c>
      <c r="DM35" s="27" t="e">
        <f>+#REF!+#REF!+#REF!+#REF!+#REF!+#REF!+#REF!+#REF!+#REF!+#REF!+#REF!+#REF!</f>
        <v>#REF!</v>
      </c>
      <c r="DN35" s="27" t="e">
        <f>+#REF!+#REF!+#REF!+#REF!+#REF!+#REF!+#REF!+#REF!+#REF!+#REF!+#REF!+#REF!</f>
        <v>#REF!</v>
      </c>
      <c r="DO35" s="33" t="e">
        <f t="shared" si="44"/>
        <v>#REF!</v>
      </c>
      <c r="DP35" s="2685"/>
      <c r="DR35" s="4" t="e">
        <f t="shared" si="45"/>
        <v>#REF!</v>
      </c>
      <c r="DS35" s="5" t="e">
        <f t="shared" si="46"/>
        <v>#REF!</v>
      </c>
      <c r="DT35" s="5" t="e">
        <f t="shared" si="47"/>
        <v>#REF!</v>
      </c>
      <c r="DU35" s="12" t="e">
        <f t="shared" si="48"/>
        <v>#REF!</v>
      </c>
      <c r="DV35" s="33"/>
      <c r="DW35" s="2674"/>
      <c r="DX35" s="9" t="e">
        <f>+#REF!+#REF!+#REF!+#REF!+#REF!+#REF!+#REF!+#REF!+#REF!+#REF!+#REF!+#REF!</f>
        <v>#REF!</v>
      </c>
      <c r="DY35" s="5" t="e">
        <f>+#REF!+#REF!+#REF!+#REF!+#REF!+#REF!+#REF!+#REF!+#REF!+#REF!+#REF!+#REF!</f>
        <v>#REF!</v>
      </c>
      <c r="DZ35" s="5" t="e">
        <f>+#REF!+#REF!+#REF!+#REF!+#REF!+#REF!+#REF!+#REF!+#REF!+#REF!+#REF!+#REF!</f>
        <v>#REF!</v>
      </c>
      <c r="EA35" s="5" t="e">
        <f>+#REF!+#REF!+#REF!+#REF!+#REF!+#REF!+#REF!+#REF!+#REF!+#REF!+#REF!+#REF!</f>
        <v>#REF!</v>
      </c>
      <c r="EB35" s="5" t="e">
        <f>+#REF!+#REF!+#REF!+#REF!+#REF!+#REF!+#REF!+#REF!+#REF!+#REF!+#REF!+#REF!</f>
        <v>#REF!</v>
      </c>
      <c r="EC35" s="27" t="e">
        <f>+#REF!+#REF!+#REF!+#REF!+#REF!+#REF!+#REF!+#REF!+#REF!+#REF!+#REF!+#REF!</f>
        <v>#REF!</v>
      </c>
      <c r="ED35" s="28" t="e">
        <f t="shared" si="49"/>
        <v>#REF!</v>
      </c>
      <c r="EE35" s="36" t="e">
        <f>+#REF!+#REF!+#REF!+#REF!+#REF!+#REF!+#REF!+#REF!+#REF!+#REF!+#REF!+#REF!</f>
        <v>#REF!</v>
      </c>
      <c r="EF35" s="27" t="e">
        <f>+#REF!+#REF!+#REF!+#REF!+#REF!+#REF!+#REF!+#REF!+#REF!+#REF!+#REF!+#REF!</f>
        <v>#REF!</v>
      </c>
      <c r="EG35" s="27" t="e">
        <f>+#REF!+#REF!+#REF!+#REF!+#REF!+#REF!+#REF!+#REF!+#REF!+#REF!+#REF!+#REF!</f>
        <v>#REF!</v>
      </c>
      <c r="EH35" s="27" t="e">
        <f>+#REF!+#REF!+#REF!+#REF!+#REF!+#REF!+#REF!+#REF!+#REF!+#REF!+#REF!+#REF!</f>
        <v>#REF!</v>
      </c>
      <c r="EI35" s="27" t="e">
        <f>+#REF!+#REF!+#REF!+#REF!+#REF!+#REF!+#REF!+#REF!+#REF!+#REF!+#REF!+#REF!</f>
        <v>#REF!</v>
      </c>
      <c r="EJ35" s="27" t="e">
        <f>+#REF!+#REF!+#REF!+#REF!+#REF!+#REF!+#REF!+#REF!+#REF!+#REF!+#REF!+#REF!</f>
        <v>#REF!</v>
      </c>
      <c r="EK35" s="28" t="e">
        <f t="shared" si="50"/>
        <v>#REF!</v>
      </c>
      <c r="EL35" s="36" t="e">
        <f>+#REF!+#REF!+#REF!+#REF!+#REF!+#REF!+#REF!+#REF!+#REF!+#REF!+#REF!+#REF!</f>
        <v>#REF!</v>
      </c>
      <c r="EM35" s="27" t="e">
        <f>+#REF!+#REF!+#REF!+#REF!+#REF!+#REF!+#REF!+#REF!+#REF!+#REF!+#REF!+#REF!</f>
        <v>#REF!</v>
      </c>
      <c r="EN35" s="27" t="e">
        <f>+#REF!+#REF!+#REF!+#REF!+#REF!+#REF!+#REF!+#REF!+#REF!+#REF!+#REF!+#REF!</f>
        <v>#REF!</v>
      </c>
      <c r="EO35" s="27" t="e">
        <f>+#REF!+#REF!+#REF!+#REF!+#REF!+#REF!+#REF!+#REF!+#REF!+#REF!+#REF!+#REF!</f>
        <v>#REF!</v>
      </c>
      <c r="EP35" s="27" t="e">
        <f>+#REF!+#REF!+#REF!+#REF!+#REF!+#REF!+#REF!+#REF!+#REF!+#REF!+#REF!+#REF!</f>
        <v>#REF!</v>
      </c>
      <c r="EQ35" s="27" t="e">
        <f>+#REF!+#REF!+#REF!+#REF!+#REF!+#REF!+#REF!+#REF!+#REF!+#REF!+#REF!+#REF!</f>
        <v>#REF!</v>
      </c>
      <c r="ER35" s="33" t="e">
        <f t="shared" si="51"/>
        <v>#REF!</v>
      </c>
      <c r="ES35" s="2674"/>
      <c r="EU35" s="4" t="e">
        <f t="shared" si="52"/>
        <v>#REF!</v>
      </c>
      <c r="EV35" s="5" t="e">
        <f t="shared" si="53"/>
        <v>#REF!</v>
      </c>
      <c r="EW35" s="27" t="e">
        <f t="shared" si="54"/>
        <v>#REF!</v>
      </c>
      <c r="EX35" s="27" t="e">
        <f t="shared" si="55"/>
        <v>#REF!</v>
      </c>
      <c r="EY35" s="141"/>
      <c r="EZ35" s="141"/>
      <c r="FA35" s="33"/>
      <c r="FB35" s="2667"/>
      <c r="FC35" s="36" t="e">
        <f>+#REF!+#REF!+#REF!+#REF!+#REF!+#REF!+#REF!+#REF!+#REF!+#REF!+#REF!+#REF!</f>
        <v>#REF!</v>
      </c>
      <c r="FD35" s="27" t="e">
        <f>+#REF!+#REF!+#REF!+#REF!+#REF!+#REF!+#REF!+#REF!+#REF!+#REF!+#REF!+#REF!</f>
        <v>#REF!</v>
      </c>
      <c r="FE35" s="27"/>
      <c r="FF35" s="27"/>
      <c r="FG35" s="33" t="e">
        <f t="shared" si="56"/>
        <v>#REF!</v>
      </c>
      <c r="FH35" s="2667"/>
      <c r="FI35" s="36" t="e">
        <f>+#REF!+#REF!+#REF!+#REF!+#REF!+#REF!+#REF!+#REF!+#REF!+#REF!+#REF!+#REF!</f>
        <v>#REF!</v>
      </c>
      <c r="FJ35" s="27" t="e">
        <f>+#REF!+#REF!+#REF!+#REF!+#REF!+#REF!+#REF!+#REF!+#REF!+#REF!+#REF!+#REF!</f>
        <v>#REF!</v>
      </c>
      <c r="FK35" s="27" t="e">
        <f>+#REF!+#REF!+#REF!+#REF!+#REF!+#REF!+#REF!+#REF!+#REF!+#REF!+#REF!+#REF!</f>
        <v>#REF!</v>
      </c>
      <c r="FL35" s="27" t="e">
        <f>+#REF!+#REF!+#REF!+#REF!+#REF!+#REF!+#REF!+#REF!+#REF!+#REF!+#REF!+#REF!</f>
        <v>#REF!</v>
      </c>
      <c r="FM35" s="27" t="e">
        <f>+#REF!+#REF!+#REF!+#REF!+#REF!+#REF!+#REF!+#REF!+#REF!+#REF!+#REF!+#REF!</f>
        <v>#REF!</v>
      </c>
      <c r="FN35" s="27" t="e">
        <f>+#REF!+#REF!+#REF!+#REF!+#REF!+#REF!+#REF!+#REF!+#REF!+#REF!+#REF!+#REF!</f>
        <v>#REF!</v>
      </c>
      <c r="FO35" s="27" t="e">
        <f>+#REF!+#REF!+#REF!+#REF!+#REF!+#REF!+#REF!+#REF!+#REF!+#REF!+#REF!+#REF!</f>
        <v>#REF!</v>
      </c>
      <c r="FP35" s="27" t="e">
        <f>+#REF!+#REF!+#REF!+#REF!+#REF!+#REF!+#REF!+#REF!+#REF!+#REF!+#REF!+#REF!</f>
        <v>#REF!</v>
      </c>
      <c r="FQ35" s="28" t="e">
        <f t="shared" si="80"/>
        <v>#REF!</v>
      </c>
      <c r="FR35" s="26" t="e">
        <f>+#REF!+#REF!+#REF!+#REF!+#REF!+#REF!+#REF!+#REF!+#REF!+#REF!+#REF!+#REF!</f>
        <v>#REF!</v>
      </c>
      <c r="FS35" s="27" t="e">
        <f>+#REF!+#REF!+#REF!+#REF!+#REF!+#REF!+#REF!+#REF!+#REF!+#REF!+#REF!+#REF!</f>
        <v>#REF!</v>
      </c>
      <c r="FT35" s="27" t="e">
        <f>+#REF!+#REF!+#REF!+#REF!+#REF!+#REF!+#REF!+#REF!+#REF!+#REF!+#REF!+#REF!</f>
        <v>#REF!</v>
      </c>
      <c r="FU35" s="27" t="e">
        <f>+#REF!+#REF!+#REF!+#REF!+#REF!+#REF!+#REF!+#REF!+#REF!+#REF!+#REF!+#REF!</f>
        <v>#REF!</v>
      </c>
      <c r="FV35" s="27" t="e">
        <f>+#REF!+#REF!+#REF!+#REF!+#REF!+#REF!+#REF!+#REF!+#REF!+#REF!+#REF!+#REF!</f>
        <v>#REF!</v>
      </c>
      <c r="FW35" s="27" t="e">
        <f>+#REF!+#REF!+#REF!+#REF!+#REF!+#REF!+#REF!+#REF!+#REF!+#REF!+#REF!+#REF!</f>
        <v>#REF!</v>
      </c>
      <c r="FX35" s="27" t="e">
        <f>+#REF!+#REF!+#REF!+#REF!+#REF!+#REF!+#REF!+#REF!+#REF!+#REF!+#REF!+#REF!</f>
        <v>#REF!</v>
      </c>
      <c r="FY35" s="27" t="e">
        <f>+#REF!+#REF!+#REF!+#REF!+#REF!+#REF!+#REF!+#REF!+#REF!+#REF!+#REF!+#REF!</f>
        <v>#REF!</v>
      </c>
      <c r="FZ35" s="28" t="e">
        <f t="shared" si="57"/>
        <v>#REF!</v>
      </c>
      <c r="GA35" s="36" t="e">
        <f>+#REF!+#REF!+#REF!+#REF!+#REF!+#REF!+#REF!+#REF!+#REF!+#REF!+#REF!+#REF!</f>
        <v>#REF!</v>
      </c>
      <c r="GB35" s="27" t="e">
        <f>+#REF!+#REF!+#REF!+#REF!+#REF!+#REF!+#REF!+#REF!+#REF!+#REF!+#REF!+#REF!</f>
        <v>#REF!</v>
      </c>
      <c r="GC35" s="27" t="e">
        <f>+#REF!+#REF!+#REF!+#REF!+#REF!+#REF!+#REF!+#REF!+#REF!+#REF!+#REF!+#REF!</f>
        <v>#REF!</v>
      </c>
      <c r="GD35" s="27" t="e">
        <f>+#REF!+#REF!+#REF!+#REF!+#REF!+#REF!+#REF!+#REF!+#REF!+#REF!+#REF!+#REF!</f>
        <v>#REF!</v>
      </c>
      <c r="GE35" s="27" t="e">
        <f>+#REF!+#REF!+#REF!+#REF!+#REF!+#REF!+#REF!+#REF!+#REF!+#REF!+#REF!+#REF!</f>
        <v>#REF!</v>
      </c>
      <c r="GF35" s="27" t="e">
        <f>+#REF!+#REF!+#REF!+#REF!+#REF!+#REF!+#REF!+#REF!+#REF!+#REF!+#REF!+#REF!</f>
        <v>#REF!</v>
      </c>
      <c r="GG35" s="27" t="e">
        <f>+#REF!+#REF!+#REF!+#REF!+#REF!+#REF!+#REF!+#REF!+#REF!+#REF!+#REF!+#REF!</f>
        <v>#REF!</v>
      </c>
      <c r="GH35" s="27" t="e">
        <f>+#REF!+#REF!+#REF!+#REF!+#REF!+#REF!+#REF!+#REF!+#REF!+#REF!+#REF!+#REF!</f>
        <v>#REF!</v>
      </c>
      <c r="GI35" s="33" t="e">
        <f t="shared" si="58"/>
        <v>#REF!</v>
      </c>
      <c r="GJ35" s="2667"/>
      <c r="GL35" s="26" t="e">
        <f>+#REF!+#REF!+#REF!+#REF!+#REF!+#REF!+#REF!+#REF!+#REF!+#REF!+#REF!+#REF!</f>
        <v>#REF!</v>
      </c>
      <c r="GM35" s="36" t="e">
        <f>+#REF!+#REF!+#REF!+#REF!+#REF!+#REF!+#REF!+#REF!+#REF!+#REF!+#REF!+#REF!</f>
        <v>#REF!</v>
      </c>
      <c r="GN35" s="27" t="e">
        <f>+#REF!+#REF!+#REF!+#REF!+#REF!+#REF!+#REF!+#REF!+#REF!+#REF!+#REF!+#REF!</f>
        <v>#REF!</v>
      </c>
      <c r="GO35" s="27" t="e">
        <f t="shared" si="59"/>
        <v>#REF!</v>
      </c>
      <c r="GP35" s="33"/>
      <c r="GQ35" s="2669"/>
      <c r="GR35" s="69"/>
      <c r="GS35" s="70"/>
      <c r="GT35" s="70"/>
      <c r="GU35" s="70"/>
      <c r="GV35" s="70"/>
      <c r="GW35" s="70"/>
      <c r="GX35" s="70"/>
      <c r="GY35" s="71"/>
      <c r="GZ35" s="69"/>
      <c r="HA35" s="70"/>
      <c r="HB35" s="70"/>
      <c r="HC35" s="70"/>
      <c r="HD35" s="70"/>
      <c r="HE35" s="70"/>
      <c r="HF35" s="70"/>
      <c r="HG35" s="71"/>
      <c r="HH35" s="69"/>
      <c r="HI35" s="70"/>
      <c r="HJ35" s="70"/>
      <c r="HK35" s="70"/>
      <c r="HL35" s="70"/>
      <c r="HM35" s="70"/>
      <c r="HN35" s="70"/>
      <c r="HO35" s="70"/>
      <c r="HP35" s="33"/>
      <c r="HQ35" s="2669"/>
      <c r="HR35" s="36"/>
      <c r="HS35" s="53"/>
      <c r="HT35" s="53"/>
      <c r="HU35" s="53"/>
      <c r="HV35" s="61"/>
      <c r="HW35" s="36"/>
      <c r="HX35" s="53"/>
      <c r="HY35" s="53"/>
      <c r="HZ35" s="53"/>
      <c r="IA35" s="61"/>
      <c r="IB35" s="36"/>
      <c r="IC35" s="53"/>
      <c r="ID35" s="53"/>
      <c r="IE35" s="53"/>
      <c r="IF35" s="53"/>
      <c r="IG35" s="33"/>
      <c r="IH35" s="2669"/>
      <c r="IJ35" s="26" t="e">
        <f t="shared" si="60"/>
        <v>#REF!</v>
      </c>
      <c r="IK35" s="36" t="e">
        <f t="shared" si="6"/>
        <v>#REF!</v>
      </c>
      <c r="IL35" s="27" t="e">
        <f t="shared" si="6"/>
        <v>#REF!</v>
      </c>
      <c r="IM35" s="28" t="e">
        <f t="shared" si="61"/>
        <v>#REF!</v>
      </c>
      <c r="IN35" s="36"/>
      <c r="IO35" s="27"/>
      <c r="IP35" s="27"/>
      <c r="IQ35" s="33"/>
      <c r="IR35" s="55"/>
      <c r="IS35" s="21"/>
      <c r="IT35" s="2688"/>
      <c r="IU35" s="36" t="e">
        <f>+#REF!+#REF!+#REF!+#REF!+#REF!+#REF!+#REF!+#REF!+#REF!+#REF!+#REF!+#REF!</f>
        <v>#REF!</v>
      </c>
      <c r="IV35" s="36" t="e">
        <f>+#REF!+#REF!+#REF!+#REF!+#REF!+#REF!+#REF!+#REF!+#REF!+#REF!+#REF!+#REF!</f>
        <v>#REF!</v>
      </c>
      <c r="IW35" s="27" t="e">
        <f>+#REF!+#REF!+#REF!+#REF!+#REF!+#REF!+#REF!+#REF!+#REF!+#REF!+#REF!+#REF!</f>
        <v>#REF!</v>
      </c>
      <c r="IX35" s="27" t="e">
        <f>+#REF!+#REF!+#REF!+#REF!+#REF!+#REF!+#REF!+#REF!+#REF!+#REF!+#REF!+#REF!</f>
        <v>#REF!</v>
      </c>
      <c r="IY35" s="27" t="e">
        <f>+#REF!+#REF!+#REF!+#REF!+#REF!+#REF!+#REF!+#REF!+#REF!+#REF!+#REF!+#REF!</f>
        <v>#REF!</v>
      </c>
      <c r="IZ35" s="28" t="e">
        <f t="shared" si="62"/>
        <v>#REF!</v>
      </c>
      <c r="JA35" s="26" t="e">
        <f>+#REF!+#REF!+#REF!+#REF!+#REF!+#REF!+#REF!+#REF!+#REF!+#REF!+#REF!+#REF!</f>
        <v>#REF!</v>
      </c>
      <c r="JB35" s="36" t="e">
        <f>+#REF!+#REF!+#REF!+#REF!+#REF!+#REF!+#REF!+#REF!+#REF!+#REF!+#REF!+#REF!</f>
        <v>#REF!</v>
      </c>
      <c r="JC35" s="27" t="e">
        <f>+#REF!+#REF!+#REF!+#REF!+#REF!+#REF!+#REF!+#REF!+#REF!+#REF!+#REF!+#REF!</f>
        <v>#REF!</v>
      </c>
      <c r="JD35" s="27" t="e">
        <f>+#REF!+#REF!+#REF!+#REF!+#REF!+#REF!+#REF!+#REF!+#REF!+#REF!+#REF!+#REF!</f>
        <v>#REF!</v>
      </c>
      <c r="JE35" s="28" t="e">
        <f>+#REF!+#REF!+#REF!+#REF!+#REF!+#REF!+#REF!+#REF!+#REF!+#REF!+#REF!+#REF!</f>
        <v>#REF!</v>
      </c>
      <c r="JF35" s="26" t="e">
        <f>+#REF!+#REF!+#REF!+#REF!+#REF!+#REF!+#REF!+#REF!+#REF!+#REF!+#REF!+#REF!</f>
        <v>#REF!</v>
      </c>
      <c r="JG35" s="36" t="e">
        <f>+#REF!+#REF!+#REF!+#REF!+#REF!+#REF!+#REF!+#REF!+#REF!+#REF!+#REF!+#REF!</f>
        <v>#REF!</v>
      </c>
      <c r="JH35" s="27" t="e">
        <f>+#REF!+#REF!+#REF!+#REF!+#REF!+#REF!+#REF!+#REF!+#REF!+#REF!+#REF!+#REF!</f>
        <v>#REF!</v>
      </c>
      <c r="JI35" s="27" t="e">
        <f>+#REF!+#REF!+#REF!+#REF!+#REF!+#REF!+#REF!+#REF!+#REF!+#REF!+#REF!+#REF!</f>
        <v>#REF!</v>
      </c>
      <c r="JJ35" s="27" t="e">
        <f>+#REF!+#REF!+#REF!+#REF!+#REF!+#REF!+#REF!+#REF!+#REF!+#REF!+#REF!+#REF!</f>
        <v>#REF!</v>
      </c>
      <c r="JK35" s="28" t="e">
        <f t="shared" si="63"/>
        <v>#REF!</v>
      </c>
      <c r="JL35" s="26" t="e">
        <f>+#REF!+#REF!+#REF!+#REF!+#REF!+#REF!+#REF!+#REF!+#REF!+#REF!+#REF!+#REF!</f>
        <v>#REF!</v>
      </c>
      <c r="JM35" s="36" t="e">
        <f>+#REF!+#REF!+#REF!+#REF!+#REF!+#REF!+#REF!+#REF!+#REF!+#REF!+#REF!+#REF!</f>
        <v>#REF!</v>
      </c>
      <c r="JN35" s="27" t="e">
        <f>+#REF!+#REF!+#REF!+#REF!+#REF!+#REF!+#REF!+#REF!+#REF!+#REF!+#REF!+#REF!</f>
        <v>#REF!</v>
      </c>
      <c r="JO35" s="27" t="e">
        <f>+#REF!+#REF!+#REF!+#REF!+#REF!+#REF!+#REF!+#REF!+#REF!+#REF!+#REF!+#REF!</f>
        <v>#REF!</v>
      </c>
      <c r="JP35" s="28" t="e">
        <f>+#REF!+#REF!+#REF!+#REF!+#REF!+#REF!+#REF!+#REF!+#REF!+#REF!+#REF!+#REF!</f>
        <v>#REF!</v>
      </c>
      <c r="JQ35" s="275" t="e">
        <f t="shared" si="64"/>
        <v>#REF!</v>
      </c>
      <c r="JR35" s="36" t="e">
        <f>+#REF!+#REF!+#REF!+#REF!+#REF!+#REF!+#REF!+#REF!+#REF!+#REF!+#REF!+#REF!</f>
        <v>#REF!</v>
      </c>
      <c r="JS35" s="36" t="e">
        <f>+#REF!+#REF!+#REF!+#REF!+#REF!+#REF!+#REF!+#REF!+#REF!+#REF!+#REF!+#REF!</f>
        <v>#REF!</v>
      </c>
      <c r="JT35" s="27" t="e">
        <f>+#REF!+#REF!+#REF!+#REF!+#REF!+#REF!+#REF!+#REF!+#REF!+#REF!+#REF!+#REF!</f>
        <v>#REF!</v>
      </c>
      <c r="JU35" s="27" t="e">
        <f>+#REF!+#REF!+#REF!+#REF!+#REF!+#REF!+#REF!+#REF!+#REF!+#REF!+#REF!+#REF!</f>
        <v>#REF!</v>
      </c>
      <c r="JV35" s="27" t="e">
        <f>+#REF!+#REF!+#REF!+#REF!+#REF!+#REF!+#REF!+#REF!+#REF!+#REF!+#REF!+#REF!</f>
        <v>#REF!</v>
      </c>
      <c r="JW35" s="33" t="e">
        <f t="shared" si="65"/>
        <v>#REF!</v>
      </c>
      <c r="JX35" s="2688"/>
      <c r="JZ35" s="26" t="e">
        <f t="shared" si="66"/>
        <v>#REF!</v>
      </c>
      <c r="KA35" s="27" t="e">
        <f t="shared" si="67"/>
        <v>#REF!</v>
      </c>
      <c r="KB35" s="27" t="e">
        <f t="shared" si="68"/>
        <v>#REF!</v>
      </c>
      <c r="KC35" s="33" t="e">
        <f t="shared" si="69"/>
        <v>#REF!</v>
      </c>
      <c r="KD35" s="2621"/>
      <c r="KE35" s="36" t="e">
        <f t="shared" si="87"/>
        <v>#REF!</v>
      </c>
      <c r="KF35" s="36" t="e">
        <f t="shared" si="87"/>
        <v>#REF!</v>
      </c>
      <c r="KG35" s="27" t="e">
        <f t="shared" si="87"/>
        <v>#REF!</v>
      </c>
      <c r="KH35" s="28" t="e">
        <f>SUM(KE35:KG35)</f>
        <v>#REF!</v>
      </c>
      <c r="KI35" s="36" t="e">
        <f t="shared" si="82"/>
        <v>#REF!</v>
      </c>
      <c r="KJ35" s="27" t="e">
        <f t="shared" si="88"/>
        <v>#REF!</v>
      </c>
      <c r="KK35" s="27" t="e">
        <f t="shared" si="88"/>
        <v>#REF!</v>
      </c>
      <c r="KL35" s="27" t="e">
        <f t="shared" si="88"/>
        <v>#REF!</v>
      </c>
      <c r="KM35" s="27" t="e">
        <f t="shared" si="88"/>
        <v>#REF!</v>
      </c>
      <c r="KN35" s="27" t="e">
        <f t="shared" si="88"/>
        <v>#REF!</v>
      </c>
      <c r="KO35" s="28" t="e">
        <f t="shared" si="83"/>
        <v>#REF!</v>
      </c>
      <c r="KP35" s="36" t="e">
        <f t="shared" si="89"/>
        <v>#REF!</v>
      </c>
      <c r="KQ35" s="27" t="e">
        <f t="shared" si="89"/>
        <v>#REF!</v>
      </c>
      <c r="KR35" s="27" t="e">
        <f t="shared" si="89"/>
        <v>#REF!</v>
      </c>
      <c r="KS35" s="27" t="e">
        <f t="shared" si="89"/>
        <v>#REF!</v>
      </c>
      <c r="KT35" s="27" t="e">
        <f t="shared" si="89"/>
        <v>#REF!</v>
      </c>
      <c r="KU35" s="27" t="e">
        <f t="shared" si="89"/>
        <v>#REF!</v>
      </c>
      <c r="KV35" s="28" t="e">
        <f t="shared" si="84"/>
        <v>#REF!</v>
      </c>
      <c r="KW35" s="36" t="e">
        <f t="shared" si="90"/>
        <v>#REF!</v>
      </c>
      <c r="KX35" s="27" t="e">
        <f t="shared" si="90"/>
        <v>#REF!</v>
      </c>
      <c r="KY35" s="27" t="e">
        <f t="shared" si="90"/>
        <v>#REF!</v>
      </c>
      <c r="KZ35" s="27" t="e">
        <f t="shared" si="90"/>
        <v>#REF!</v>
      </c>
      <c r="LA35" s="27" t="e">
        <f t="shared" si="90"/>
        <v>#REF!</v>
      </c>
      <c r="LB35" s="27" t="e">
        <f t="shared" si="90"/>
        <v>#REF!</v>
      </c>
      <c r="LC35" s="28" t="e">
        <f t="shared" si="85"/>
        <v>#REF!</v>
      </c>
      <c r="LD35" s="36"/>
      <c r="LE35" s="27"/>
      <c r="LF35" s="27"/>
      <c r="LG35" s="27"/>
      <c r="LH35" s="27"/>
      <c r="LI35" s="27"/>
      <c r="LJ35" s="28">
        <f t="shared" si="70"/>
        <v>0</v>
      </c>
      <c r="LK35" s="36" t="e">
        <f t="shared" si="91"/>
        <v>#REF!</v>
      </c>
      <c r="LL35" s="27" t="e">
        <f t="shared" si="91"/>
        <v>#REF!</v>
      </c>
      <c r="LM35" s="27" t="e">
        <f t="shared" si="91"/>
        <v>#REF!</v>
      </c>
      <c r="LN35" s="27" t="e">
        <f t="shared" si="91"/>
        <v>#REF!</v>
      </c>
      <c r="LO35" s="27" t="e">
        <f t="shared" si="91"/>
        <v>#REF!</v>
      </c>
      <c r="LP35" s="27" t="e">
        <f t="shared" si="91"/>
        <v>#REF!</v>
      </c>
      <c r="LQ35" s="33" t="e">
        <f t="shared" si="71"/>
        <v>#REF!</v>
      </c>
      <c r="LR35" s="2621"/>
      <c r="LT35" s="4" t="e">
        <f>+#REF!+#REF!+#REF!+#REF!+#REF!+#REF!+#REF!+#REF!+#REF!+#REF!+#REF!+#REF!</f>
        <v>#REF!</v>
      </c>
      <c r="LU35" s="5" t="e">
        <f>+#REF!+#REF!+#REF!+#REF!+#REF!+#REF!+#REF!+#REF!+#REF!+#REF!+#REF!+#REF!</f>
        <v>#REF!</v>
      </c>
      <c r="LV35" s="5" t="e">
        <f t="shared" si="72"/>
        <v>#REF!</v>
      </c>
      <c r="LW35" s="12" t="e">
        <f t="shared" si="86"/>
        <v>#REF!</v>
      </c>
      <c r="LX35" s="15"/>
      <c r="LY35" s="2615"/>
      <c r="MA35" s="4" t="e">
        <f>+#REF!+#REF!+#REF!+#REF!+#REF!+#REF!+#REF!+#REF!+#REF!+#REF!+#REF!+#REF!</f>
        <v>#REF!</v>
      </c>
      <c r="MB35" s="5" t="e">
        <f t="shared" si="73"/>
        <v>#REF!</v>
      </c>
      <c r="MC35" s="5" t="e">
        <f>+#REF!+#REF!+#REF!+#REF!+#REF!+#REF!+#REF!+#REF!+#REF!+#REF!+#REF!+#REF!</f>
        <v>#REF!</v>
      </c>
      <c r="MD35" s="5" t="e">
        <f t="shared" si="74"/>
        <v>#REF!</v>
      </c>
      <c r="ME35" s="12" t="e">
        <f t="shared" si="75"/>
        <v>#REF!</v>
      </c>
      <c r="MF35" s="12"/>
      <c r="MG35" s="2615"/>
      <c r="MI35" s="139" t="e">
        <f t="shared" si="76"/>
        <v>#REF!</v>
      </c>
      <c r="MJ35" s="139" t="e">
        <f t="shared" si="77"/>
        <v>#REF!</v>
      </c>
      <c r="ML35" s="139" t="e">
        <f t="shared" si="78"/>
        <v>#REF!</v>
      </c>
      <c r="MM35" s="139" t="e">
        <f t="shared" si="79"/>
        <v>#REF!</v>
      </c>
      <c r="MO35" s="1">
        <f t="shared" si="92"/>
        <v>0</v>
      </c>
      <c r="MP35" s="1">
        <f t="shared" si="92"/>
        <v>0</v>
      </c>
      <c r="MQ35" s="1">
        <f t="shared" si="92"/>
        <v>0</v>
      </c>
      <c r="MR35" s="1">
        <f t="shared" si="92"/>
        <v>0</v>
      </c>
      <c r="MS35" s="1">
        <f t="shared" si="92"/>
        <v>0</v>
      </c>
      <c r="MT35" s="1">
        <f t="shared" si="92"/>
        <v>0</v>
      </c>
      <c r="MV35" s="1">
        <f t="shared" si="93"/>
        <v>0</v>
      </c>
      <c r="MW35" s="1">
        <f t="shared" si="93"/>
        <v>0</v>
      </c>
      <c r="MX35" s="1">
        <f t="shared" si="93"/>
        <v>0</v>
      </c>
      <c r="MY35" s="1">
        <f t="shared" si="93"/>
        <v>0</v>
      </c>
      <c r="MZ35" s="1">
        <f t="shared" si="93"/>
        <v>0</v>
      </c>
      <c r="NA35" s="1">
        <f t="shared" si="93"/>
        <v>0</v>
      </c>
    </row>
    <row r="36" spans="1:365" s="1" customFormat="1">
      <c r="B36" s="46">
        <v>27</v>
      </c>
      <c r="C36" s="4" t="e">
        <f t="shared" si="0"/>
        <v>#REF!</v>
      </c>
      <c r="D36" s="5" t="e">
        <f t="shared" si="1"/>
        <v>#REF!</v>
      </c>
      <c r="E36" s="61">
        <f t="shared" si="14"/>
        <v>0</v>
      </c>
      <c r="F36" s="52"/>
      <c r="G36" s="53"/>
      <c r="H36" s="53"/>
      <c r="I36" s="54"/>
      <c r="J36" s="2629"/>
      <c r="K36" s="9" t="e">
        <f t="shared" si="15"/>
        <v>#REF!</v>
      </c>
      <c r="L36" s="5" t="e">
        <f t="shared" si="2"/>
        <v>#REF!</v>
      </c>
      <c r="M36" s="64">
        <f t="shared" si="16"/>
        <v>0</v>
      </c>
      <c r="N36" s="28"/>
      <c r="O36" s="36" t="e">
        <f t="shared" si="17"/>
        <v>#REF!</v>
      </c>
      <c r="P36" s="27" t="e">
        <f t="shared" si="17"/>
        <v>#REF!</v>
      </c>
      <c r="Q36" s="53">
        <f t="shared" si="18"/>
        <v>0</v>
      </c>
      <c r="R36" s="28"/>
      <c r="S36" s="36" t="e">
        <f t="shared" si="19"/>
        <v>#REF!</v>
      </c>
      <c r="T36" s="27" t="e">
        <f t="shared" si="19"/>
        <v>#REF!</v>
      </c>
      <c r="U36" s="53">
        <f t="shared" si="3"/>
        <v>0</v>
      </c>
      <c r="V36" s="28"/>
      <c r="W36" s="36" t="e">
        <f t="shared" si="20"/>
        <v>#REF!</v>
      </c>
      <c r="X36" s="27" t="e">
        <f t="shared" si="4"/>
        <v>#REF!</v>
      </c>
      <c r="Y36" s="53">
        <f t="shared" si="21"/>
        <v>0</v>
      </c>
      <c r="Z36" s="28"/>
      <c r="AA36" s="26" t="e">
        <f t="shared" si="22"/>
        <v>#REF!</v>
      </c>
      <c r="AB36" s="27" t="e">
        <f t="shared" si="22"/>
        <v>#REF!</v>
      </c>
      <c r="AC36" s="53">
        <f t="shared" si="23"/>
        <v>0</v>
      </c>
      <c r="AD36" s="33"/>
      <c r="AE36" s="2629"/>
      <c r="AF36" s="9" t="e">
        <f>+#REF!+#REF!+#REF!+#REF!+#REF!+#REF!+#REF!+#REF!+#REF!+#REF!+#REF!+#REF!</f>
        <v>#REF!</v>
      </c>
      <c r="AG36" s="5" t="e">
        <f>+#REF!+#REF!+#REF!+#REF!+#REF!+#REF!+#REF!+#REF!+#REF!+#REF!+#REF!+#REF!</f>
        <v>#REF!</v>
      </c>
      <c r="AH36" s="61">
        <f t="shared" si="24"/>
        <v>0</v>
      </c>
      <c r="AI36" s="36" t="e">
        <f>+#REF!+#REF!+#REF!+#REF!+#REF!+#REF!+#REF!+#REF!+#REF!+#REF!+#REF!+#REF!</f>
        <v>#REF!</v>
      </c>
      <c r="AJ36" s="27" t="e">
        <f>+#REF!+#REF!+#REF!+#REF!+#REF!+#REF!+#REF!+#REF!+#REF!+#REF!+#REF!+#REF!</f>
        <v>#REF!</v>
      </c>
      <c r="AK36" s="61">
        <f t="shared" si="25"/>
        <v>0</v>
      </c>
      <c r="AL36" s="36" t="e">
        <f>+#REF!+#REF!+#REF!+#REF!+#REF!+#REF!+#REF!+#REF!+#REF!+#REF!+#REF!+#REF!</f>
        <v>#REF!</v>
      </c>
      <c r="AM36" s="27" t="e">
        <f>+#REF!+#REF!+#REF!+#REF!+#REF!+#REF!+#REF!+#REF!+#REF!+#REF!+#REF!+#REF!</f>
        <v>#REF!</v>
      </c>
      <c r="AN36" s="61">
        <f t="shared" si="26"/>
        <v>0</v>
      </c>
      <c r="AO36" s="36" t="e">
        <f>+#REF!+#REF!+#REF!+#REF!+#REF!+#REF!+#REF!+#REF!+#REF!+#REF!+#REF!+#REF!</f>
        <v>#REF!</v>
      </c>
      <c r="AP36" s="27" t="e">
        <f>+#REF!+#REF!+#REF!+#REF!+#REF!+#REF!+#REF!+#REF!+#REF!+#REF!+#REF!+#REF!</f>
        <v>#REF!</v>
      </c>
      <c r="AQ36" s="61">
        <f t="shared" si="27"/>
        <v>0</v>
      </c>
      <c r="AR36" s="36" t="e">
        <f>+#REF!+#REF!+#REF!+#REF!+#REF!+#REF!+#REF!+#REF!+#REF!+#REF!+#REF!+#REF!</f>
        <v>#REF!</v>
      </c>
      <c r="AS36" s="27" t="e">
        <f>+#REF!+#REF!+#REF!+#REF!+#REF!+#REF!+#REF!+#REF!+#REF!+#REF!+#REF!+#REF!</f>
        <v>#REF!</v>
      </c>
      <c r="AT36" s="61">
        <f t="shared" si="28"/>
        <v>0</v>
      </c>
      <c r="AU36" s="36" t="e">
        <f>+#REF!+#REF!+#REF!+#REF!+#REF!+#REF!+#REF!+#REF!+#REF!+#REF!+#REF!+#REF!</f>
        <v>#REF!</v>
      </c>
      <c r="AV36" s="27" t="e">
        <f>+#REF!+#REF!+#REF!+#REF!+#REF!+#REF!+#REF!+#REF!+#REF!+#REF!+#REF!+#REF!</f>
        <v>#REF!</v>
      </c>
      <c r="AW36" s="61">
        <f t="shared" si="29"/>
        <v>0</v>
      </c>
      <c r="AX36" s="36" t="e">
        <f>+#REF!+#REF!+#REF!+#REF!+#REF!+#REF!+#REF!+#REF!+#REF!+#REF!+#REF!+#REF!</f>
        <v>#REF!</v>
      </c>
      <c r="AY36" s="27" t="e">
        <f>+#REF!+#REF!+#REF!+#REF!+#REF!+#REF!+#REF!+#REF!+#REF!+#REF!+#REF!+#REF!</f>
        <v>#REF!</v>
      </c>
      <c r="AZ36" s="61">
        <f t="shared" si="30"/>
        <v>0</v>
      </c>
      <c r="BA36" s="36" t="e">
        <f>+#REF!+#REF!+#REF!+#REF!+#REF!+#REF!+#REF!+#REF!+#REF!+#REF!+#REF!+#REF!</f>
        <v>#REF!</v>
      </c>
      <c r="BB36" s="27" t="e">
        <f>+#REF!+#REF!+#REF!+#REF!+#REF!+#REF!+#REF!+#REF!+#REF!+#REF!+#REF!+#REF!</f>
        <v>#REF!</v>
      </c>
      <c r="BC36" s="61">
        <f t="shared" si="31"/>
        <v>0</v>
      </c>
      <c r="BD36" s="36" t="e">
        <f>+#REF!+#REF!+#REF!+#REF!+#REF!+#REF!+#REF!+#REF!+#REF!+#REF!+#REF!+#REF!</f>
        <v>#REF!</v>
      </c>
      <c r="BE36" s="27" t="e">
        <f>+#REF!+#REF!+#REF!+#REF!+#REF!+#REF!+#REF!+#REF!+#REF!+#REF!+#REF!+#REF!</f>
        <v>#REF!</v>
      </c>
      <c r="BF36" s="61">
        <f t="shared" si="32"/>
        <v>0</v>
      </c>
      <c r="BG36" s="36" t="e">
        <f>+#REF!+#REF!+#REF!+#REF!+#REF!+#REF!+#REF!+#REF!+#REF!+#REF!+#REF!+#REF!</f>
        <v>#REF!</v>
      </c>
      <c r="BH36" s="27" t="e">
        <f>+#REF!+#REF!+#REF!+#REF!+#REF!+#REF!+#REF!+#REF!+#REF!+#REF!+#REF!+#REF!</f>
        <v>#REF!</v>
      </c>
      <c r="BI36" s="61">
        <f t="shared" si="33"/>
        <v>0</v>
      </c>
      <c r="BJ36" s="36" t="e">
        <f>+#REF!+#REF!+#REF!+#REF!+#REF!+#REF!+#REF!+#REF!+#REF!+#REF!+#REF!+#REF!</f>
        <v>#REF!</v>
      </c>
      <c r="BK36" s="27" t="e">
        <f>+#REF!+#REF!+#REF!+#REF!+#REF!+#REF!+#REF!+#REF!+#REF!+#REF!+#REF!+#REF!</f>
        <v>#REF!</v>
      </c>
      <c r="BL36" s="61">
        <f t="shared" si="34"/>
        <v>0</v>
      </c>
      <c r="BM36" s="36" t="e">
        <f>+#REF!+#REF!+#REF!+#REF!+#REF!+#REF!+#REF!+#REF!+#REF!+#REF!+#REF!+#REF!</f>
        <v>#REF!</v>
      </c>
      <c r="BN36" s="27" t="e">
        <f>+#REF!+#REF!+#REF!+#REF!+#REF!+#REF!+#REF!+#REF!+#REF!+#REF!+#REF!+#REF!</f>
        <v>#REF!</v>
      </c>
      <c r="BO36" s="54">
        <f t="shared" si="35"/>
        <v>0</v>
      </c>
      <c r="BP36" s="26" t="e">
        <f>+#REF!+#REF!+#REF!+#REF!+#REF!+#REF!+#REF!+#REF!+#REF!+#REF!+#REF!+#REF!</f>
        <v>#REF!</v>
      </c>
      <c r="BQ36" s="27" t="e">
        <f>+#REF!+#REF!+#REF!+#REF!+#REF!+#REF!+#REF!+#REF!+#REF!+#REF!+#REF!+#REF!</f>
        <v>#REF!</v>
      </c>
      <c r="BR36" s="61">
        <f t="shared" si="36"/>
        <v>0</v>
      </c>
      <c r="BS36" s="26" t="e">
        <f>+#REF!+#REF!+#REF!+#REF!+#REF!+#REF!+#REF!+#REF!+#REF!+#REF!+#REF!+#REF!</f>
        <v>#REF!</v>
      </c>
      <c r="BT36" s="27" t="e">
        <f>+#REF!+#REF!+#REF!+#REF!+#REF!+#REF!+#REF!+#REF!+#REF!+#REF!+#REF!+#REF!</f>
        <v>#REF!</v>
      </c>
      <c r="BU36" s="61">
        <f t="shared" si="37"/>
        <v>0</v>
      </c>
      <c r="BV36" s="150"/>
      <c r="BW36" s="9" t="e">
        <f>+#REF!+#REF!+#REF!+#REF!+#REF!+#REF!+#REF!+#REF!+#REF!+#REF!+#REF!+#REF!</f>
        <v>#REF!</v>
      </c>
      <c r="BX36" s="5" t="e">
        <f>+#REF!+#REF!+#REF!+#REF!+#REF!+#REF!+#REF!+#REF!+#REF!+#REF!+#REF!+#REF!</f>
        <v>#REF!</v>
      </c>
      <c r="BY36" s="5" t="e">
        <f>+#REF!+#REF!+#REF!+#REF!+#REF!+#REF!+#REF!+#REF!+#REF!+#REF!+#REF!+#REF!</f>
        <v>#REF!</v>
      </c>
      <c r="BZ36" s="5" t="e">
        <f>+#REF!+#REF!+#REF!+#REF!+#REF!+#REF!+#REF!+#REF!+#REF!+#REF!+#REF!+#REF!</f>
        <v>#REF!</v>
      </c>
      <c r="CA36" s="5" t="e">
        <f>+#REF!+#REF!+#REF!+#REF!+#REF!+#REF!+#REF!+#REF!+#REF!+#REF!+#REF!+#REF!</f>
        <v>#REF!</v>
      </c>
      <c r="CB36" s="5" t="e">
        <f t="shared" si="38"/>
        <v>#REF!</v>
      </c>
      <c r="CC36" s="33"/>
      <c r="CD36" s="2683"/>
      <c r="CF36" s="4" t="e">
        <f t="shared" si="39"/>
        <v>#REF!</v>
      </c>
      <c r="CG36" s="5" t="e">
        <f t="shared" si="5"/>
        <v>#REF!</v>
      </c>
      <c r="CH36" s="5" t="e">
        <f t="shared" si="5"/>
        <v>#REF!</v>
      </c>
      <c r="CI36" s="5" t="e">
        <f t="shared" si="5"/>
        <v>#REF!</v>
      </c>
      <c r="CJ36" s="5" t="e">
        <f t="shared" si="5"/>
        <v>#REF!</v>
      </c>
      <c r="CK36" s="5" t="e">
        <f t="shared" si="5"/>
        <v>#REF!</v>
      </c>
      <c r="CL36" s="33" t="e">
        <f t="shared" si="40"/>
        <v>#REF!</v>
      </c>
      <c r="CM36" s="2685"/>
      <c r="CN36" s="9" t="e">
        <f>+#REF!+#REF!+#REF!+#REF!+#REF!+#REF!+#REF!+#REF!+#REF!+#REF!+#REF!+#REF!</f>
        <v>#REF!</v>
      </c>
      <c r="CO36" s="5" t="e">
        <f>+#REF!+#REF!+#REF!+#REF!+#REF!+#REF!+#REF!+#REF!+#REF!+#REF!+#REF!+#REF!</f>
        <v>#REF!</v>
      </c>
      <c r="CP36" s="5" t="e">
        <f>+#REF!+#REF!+#REF!+#REF!+#REF!+#REF!+#REF!+#REF!+#REF!+#REF!+#REF!+#REF!</f>
        <v>#REF!</v>
      </c>
      <c r="CQ36" s="5" t="e">
        <f>+#REF!+#REF!+#REF!+#REF!+#REF!+#REF!+#REF!+#REF!+#REF!+#REF!+#REF!+#REF!</f>
        <v>#REF!</v>
      </c>
      <c r="CR36" s="5" t="e">
        <f>+#REF!+#REF!+#REF!+#REF!+#REF!+#REF!+#REF!+#REF!+#REF!+#REF!+#REF!+#REF!</f>
        <v>#REF!</v>
      </c>
      <c r="CS36" s="5" t="e">
        <f>+#REF!+#REF!+#REF!+#REF!+#REF!+#REF!+#REF!+#REF!+#REF!+#REF!+#REF!+#REF!</f>
        <v>#REF!</v>
      </c>
      <c r="CT36" s="28" t="e">
        <f t="shared" si="41"/>
        <v>#REF!</v>
      </c>
      <c r="CU36" s="36" t="e">
        <f>+#REF!+#REF!+#REF!+#REF!+#REF!+#REF!+#REF!+#REF!+#REF!+#REF!+#REF!+#REF!</f>
        <v>#REF!</v>
      </c>
      <c r="CV36" s="27" t="e">
        <f>+#REF!+#REF!+#REF!+#REF!+#REF!+#REF!+#REF!+#REF!+#REF!+#REF!+#REF!+#REF!</f>
        <v>#REF!</v>
      </c>
      <c r="CW36" s="27" t="e">
        <f>+#REF!+#REF!+#REF!+#REF!+#REF!+#REF!+#REF!+#REF!+#REF!+#REF!+#REF!+#REF!</f>
        <v>#REF!</v>
      </c>
      <c r="CX36" s="27" t="e">
        <f>+#REF!+#REF!+#REF!+#REF!+#REF!+#REF!+#REF!+#REF!+#REF!+#REF!+#REF!+#REF!</f>
        <v>#REF!</v>
      </c>
      <c r="CY36" s="27" t="e">
        <f>+#REF!+#REF!+#REF!+#REF!+#REF!+#REF!+#REF!+#REF!+#REF!+#REF!+#REF!+#REF!</f>
        <v>#REF!</v>
      </c>
      <c r="CZ36" s="27" t="e">
        <f>+#REF!+#REF!+#REF!+#REF!+#REF!+#REF!+#REF!+#REF!+#REF!+#REF!+#REF!+#REF!</f>
        <v>#REF!</v>
      </c>
      <c r="DA36" s="28" t="e">
        <f t="shared" si="42"/>
        <v>#REF!</v>
      </c>
      <c r="DB36" s="36" t="e">
        <f>+#REF!+#REF!+#REF!+#REF!+#REF!+#REF!+#REF!+#REF!+#REF!+#REF!+#REF!+#REF!</f>
        <v>#REF!</v>
      </c>
      <c r="DC36" s="27" t="e">
        <f>+#REF!+#REF!+#REF!+#REF!+#REF!+#REF!+#REF!+#REF!+#REF!+#REF!+#REF!+#REF!</f>
        <v>#REF!</v>
      </c>
      <c r="DD36" s="27" t="e">
        <f>+#REF!+#REF!+#REF!+#REF!+#REF!+#REF!+#REF!+#REF!+#REF!+#REF!+#REF!+#REF!</f>
        <v>#REF!</v>
      </c>
      <c r="DE36" s="27" t="e">
        <f>+#REF!+#REF!+#REF!+#REF!+#REF!+#REF!+#REF!+#REF!+#REF!+#REF!+#REF!+#REF!</f>
        <v>#REF!</v>
      </c>
      <c r="DF36" s="27" t="e">
        <f>+#REF!+#REF!+#REF!+#REF!+#REF!+#REF!+#REF!+#REF!+#REF!+#REF!+#REF!+#REF!</f>
        <v>#REF!</v>
      </c>
      <c r="DG36" s="27" t="e">
        <f>+#REF!+#REF!+#REF!+#REF!+#REF!+#REF!+#REF!+#REF!+#REF!+#REF!+#REF!+#REF!</f>
        <v>#REF!</v>
      </c>
      <c r="DH36" s="28" t="e">
        <f t="shared" si="43"/>
        <v>#REF!</v>
      </c>
      <c r="DI36" s="36" t="e">
        <f>+#REF!+#REF!+#REF!+#REF!+#REF!+#REF!+#REF!+#REF!+#REF!+#REF!+#REF!+#REF!</f>
        <v>#REF!</v>
      </c>
      <c r="DJ36" s="27" t="e">
        <f>+#REF!+#REF!+#REF!+#REF!+#REF!+#REF!+#REF!+#REF!+#REF!+#REF!+#REF!+#REF!</f>
        <v>#REF!</v>
      </c>
      <c r="DK36" s="27" t="e">
        <f>+#REF!+#REF!+#REF!+#REF!+#REF!+#REF!+#REF!+#REF!+#REF!+#REF!+#REF!+#REF!</f>
        <v>#REF!</v>
      </c>
      <c r="DL36" s="27" t="e">
        <f>+#REF!+#REF!+#REF!+#REF!+#REF!+#REF!+#REF!+#REF!+#REF!+#REF!+#REF!+#REF!</f>
        <v>#REF!</v>
      </c>
      <c r="DM36" s="27" t="e">
        <f>+#REF!+#REF!+#REF!+#REF!+#REF!+#REF!+#REF!+#REF!+#REF!+#REF!+#REF!+#REF!</f>
        <v>#REF!</v>
      </c>
      <c r="DN36" s="27" t="e">
        <f>+#REF!+#REF!+#REF!+#REF!+#REF!+#REF!+#REF!+#REF!+#REF!+#REF!+#REF!+#REF!</f>
        <v>#REF!</v>
      </c>
      <c r="DO36" s="33" t="e">
        <f t="shared" si="44"/>
        <v>#REF!</v>
      </c>
      <c r="DP36" s="2685"/>
      <c r="DR36" s="4" t="e">
        <f t="shared" si="45"/>
        <v>#REF!</v>
      </c>
      <c r="DS36" s="5" t="e">
        <f t="shared" si="46"/>
        <v>#REF!</v>
      </c>
      <c r="DT36" s="5" t="e">
        <f t="shared" si="47"/>
        <v>#REF!</v>
      </c>
      <c r="DU36" s="12" t="e">
        <f t="shared" si="48"/>
        <v>#REF!</v>
      </c>
      <c r="DV36" s="33"/>
      <c r="DW36" s="2674"/>
      <c r="DX36" s="9" t="e">
        <f>+#REF!+#REF!+#REF!+#REF!+#REF!+#REF!+#REF!+#REF!+#REF!+#REF!+#REF!+#REF!</f>
        <v>#REF!</v>
      </c>
      <c r="DY36" s="5" t="e">
        <f>+#REF!+#REF!+#REF!+#REF!+#REF!+#REF!+#REF!+#REF!+#REF!+#REF!+#REF!+#REF!</f>
        <v>#REF!</v>
      </c>
      <c r="DZ36" s="5" t="e">
        <f>+#REF!+#REF!+#REF!+#REF!+#REF!+#REF!+#REF!+#REF!+#REF!+#REF!+#REF!+#REF!</f>
        <v>#REF!</v>
      </c>
      <c r="EA36" s="5" t="e">
        <f>+#REF!+#REF!+#REF!+#REF!+#REF!+#REF!+#REF!+#REF!+#REF!+#REF!+#REF!+#REF!</f>
        <v>#REF!</v>
      </c>
      <c r="EB36" s="5" t="e">
        <f>+#REF!+#REF!+#REF!+#REF!+#REF!+#REF!+#REF!+#REF!+#REF!+#REF!+#REF!+#REF!</f>
        <v>#REF!</v>
      </c>
      <c r="EC36" s="27" t="e">
        <f>+#REF!+#REF!+#REF!+#REF!+#REF!+#REF!+#REF!+#REF!+#REF!+#REF!+#REF!+#REF!</f>
        <v>#REF!</v>
      </c>
      <c r="ED36" s="28" t="e">
        <f t="shared" si="49"/>
        <v>#REF!</v>
      </c>
      <c r="EE36" s="36" t="e">
        <f>+#REF!+#REF!+#REF!+#REF!+#REF!+#REF!+#REF!+#REF!+#REF!+#REF!+#REF!+#REF!</f>
        <v>#REF!</v>
      </c>
      <c r="EF36" s="27" t="e">
        <f>+#REF!+#REF!+#REF!+#REF!+#REF!+#REF!+#REF!+#REF!+#REF!+#REF!+#REF!+#REF!</f>
        <v>#REF!</v>
      </c>
      <c r="EG36" s="27" t="e">
        <f>+#REF!+#REF!+#REF!+#REF!+#REF!+#REF!+#REF!+#REF!+#REF!+#REF!+#REF!+#REF!</f>
        <v>#REF!</v>
      </c>
      <c r="EH36" s="27" t="e">
        <f>+#REF!+#REF!+#REF!+#REF!+#REF!+#REF!+#REF!+#REF!+#REF!+#REF!+#REF!+#REF!</f>
        <v>#REF!</v>
      </c>
      <c r="EI36" s="27" t="e">
        <f>+#REF!+#REF!+#REF!+#REF!+#REF!+#REF!+#REF!+#REF!+#REF!+#REF!+#REF!+#REF!</f>
        <v>#REF!</v>
      </c>
      <c r="EJ36" s="27" t="e">
        <f>+#REF!+#REF!+#REF!+#REF!+#REF!+#REF!+#REF!+#REF!+#REF!+#REF!+#REF!+#REF!</f>
        <v>#REF!</v>
      </c>
      <c r="EK36" s="28" t="e">
        <f t="shared" si="50"/>
        <v>#REF!</v>
      </c>
      <c r="EL36" s="36" t="e">
        <f>+#REF!+#REF!+#REF!+#REF!+#REF!+#REF!+#REF!+#REF!+#REF!+#REF!+#REF!+#REF!</f>
        <v>#REF!</v>
      </c>
      <c r="EM36" s="27" t="e">
        <f>+#REF!+#REF!+#REF!+#REF!+#REF!+#REF!+#REF!+#REF!+#REF!+#REF!+#REF!+#REF!</f>
        <v>#REF!</v>
      </c>
      <c r="EN36" s="27" t="e">
        <f>+#REF!+#REF!+#REF!+#REF!+#REF!+#REF!+#REF!+#REF!+#REF!+#REF!+#REF!+#REF!</f>
        <v>#REF!</v>
      </c>
      <c r="EO36" s="27" t="e">
        <f>+#REF!+#REF!+#REF!+#REF!+#REF!+#REF!+#REF!+#REF!+#REF!+#REF!+#REF!+#REF!</f>
        <v>#REF!</v>
      </c>
      <c r="EP36" s="27" t="e">
        <f>+#REF!+#REF!+#REF!+#REF!+#REF!+#REF!+#REF!+#REF!+#REF!+#REF!+#REF!+#REF!</f>
        <v>#REF!</v>
      </c>
      <c r="EQ36" s="27" t="e">
        <f>+#REF!+#REF!+#REF!+#REF!+#REF!+#REF!+#REF!+#REF!+#REF!+#REF!+#REF!+#REF!</f>
        <v>#REF!</v>
      </c>
      <c r="ER36" s="33" t="e">
        <f t="shared" si="51"/>
        <v>#REF!</v>
      </c>
      <c r="ES36" s="2674"/>
      <c r="EU36" s="4" t="e">
        <f t="shared" si="52"/>
        <v>#REF!</v>
      </c>
      <c r="EV36" s="5" t="e">
        <f t="shared" si="53"/>
        <v>#REF!</v>
      </c>
      <c r="EW36" s="27" t="e">
        <f t="shared" si="54"/>
        <v>#REF!</v>
      </c>
      <c r="EX36" s="27" t="e">
        <f t="shared" si="55"/>
        <v>#REF!</v>
      </c>
      <c r="EY36" s="141"/>
      <c r="EZ36" s="141"/>
      <c r="FA36" s="33"/>
      <c r="FB36" s="2667"/>
      <c r="FC36" s="36" t="e">
        <f>+#REF!+#REF!+#REF!+#REF!+#REF!+#REF!+#REF!+#REF!+#REF!+#REF!+#REF!+#REF!</f>
        <v>#REF!</v>
      </c>
      <c r="FD36" s="27" t="e">
        <f>+#REF!+#REF!+#REF!+#REF!+#REF!+#REF!+#REF!+#REF!+#REF!+#REF!+#REF!+#REF!</f>
        <v>#REF!</v>
      </c>
      <c r="FE36" s="27"/>
      <c r="FF36" s="27"/>
      <c r="FG36" s="33" t="e">
        <f t="shared" si="56"/>
        <v>#REF!</v>
      </c>
      <c r="FH36" s="2667"/>
      <c r="FI36" s="36" t="e">
        <f>+#REF!+#REF!+#REF!+#REF!+#REF!+#REF!+#REF!+#REF!+#REF!+#REF!+#REF!+#REF!</f>
        <v>#REF!</v>
      </c>
      <c r="FJ36" s="27" t="e">
        <f>+#REF!+#REF!+#REF!+#REF!+#REF!+#REF!+#REF!+#REF!+#REF!+#REF!+#REF!+#REF!</f>
        <v>#REF!</v>
      </c>
      <c r="FK36" s="27" t="e">
        <f>+#REF!+#REF!+#REF!+#REF!+#REF!+#REF!+#REF!+#REF!+#REF!+#REF!+#REF!+#REF!</f>
        <v>#REF!</v>
      </c>
      <c r="FL36" s="27" t="e">
        <f>+#REF!+#REF!+#REF!+#REF!+#REF!+#REF!+#REF!+#REF!+#REF!+#REF!+#REF!+#REF!</f>
        <v>#REF!</v>
      </c>
      <c r="FM36" s="27" t="e">
        <f>+#REF!+#REF!+#REF!+#REF!+#REF!+#REF!+#REF!+#REF!+#REF!+#REF!+#REF!+#REF!</f>
        <v>#REF!</v>
      </c>
      <c r="FN36" s="27" t="e">
        <f>+#REF!+#REF!+#REF!+#REF!+#REF!+#REF!+#REF!+#REF!+#REF!+#REF!+#REF!+#REF!</f>
        <v>#REF!</v>
      </c>
      <c r="FO36" s="27" t="e">
        <f>+#REF!+#REF!+#REF!+#REF!+#REF!+#REF!+#REF!+#REF!+#REF!+#REF!+#REF!+#REF!</f>
        <v>#REF!</v>
      </c>
      <c r="FP36" s="27" t="e">
        <f>+#REF!+#REF!+#REF!+#REF!+#REF!+#REF!+#REF!+#REF!+#REF!+#REF!+#REF!+#REF!</f>
        <v>#REF!</v>
      </c>
      <c r="FQ36" s="28" t="e">
        <f t="shared" si="80"/>
        <v>#REF!</v>
      </c>
      <c r="FR36" s="26" t="e">
        <f>+#REF!+#REF!+#REF!+#REF!+#REF!+#REF!+#REF!+#REF!+#REF!+#REF!+#REF!+#REF!</f>
        <v>#REF!</v>
      </c>
      <c r="FS36" s="27" t="e">
        <f>+#REF!+#REF!+#REF!+#REF!+#REF!+#REF!+#REF!+#REF!+#REF!+#REF!+#REF!+#REF!</f>
        <v>#REF!</v>
      </c>
      <c r="FT36" s="27" t="e">
        <f>+#REF!+#REF!+#REF!+#REF!+#REF!+#REF!+#REF!+#REF!+#REF!+#REF!+#REF!+#REF!</f>
        <v>#REF!</v>
      </c>
      <c r="FU36" s="27" t="e">
        <f>+#REF!+#REF!+#REF!+#REF!+#REF!+#REF!+#REF!+#REF!+#REF!+#REF!+#REF!+#REF!</f>
        <v>#REF!</v>
      </c>
      <c r="FV36" s="27" t="e">
        <f>+#REF!+#REF!+#REF!+#REF!+#REF!+#REF!+#REF!+#REF!+#REF!+#REF!+#REF!+#REF!</f>
        <v>#REF!</v>
      </c>
      <c r="FW36" s="27" t="e">
        <f>+#REF!+#REF!+#REF!+#REF!+#REF!+#REF!+#REF!+#REF!+#REF!+#REF!+#REF!+#REF!</f>
        <v>#REF!</v>
      </c>
      <c r="FX36" s="27" t="e">
        <f>+#REF!+#REF!+#REF!+#REF!+#REF!+#REF!+#REF!+#REF!+#REF!+#REF!+#REF!+#REF!</f>
        <v>#REF!</v>
      </c>
      <c r="FY36" s="27" t="e">
        <f>+#REF!+#REF!+#REF!+#REF!+#REF!+#REF!+#REF!+#REF!+#REF!+#REF!+#REF!+#REF!</f>
        <v>#REF!</v>
      </c>
      <c r="FZ36" s="28" t="e">
        <f t="shared" si="57"/>
        <v>#REF!</v>
      </c>
      <c r="GA36" s="36" t="e">
        <f>+#REF!+#REF!+#REF!+#REF!+#REF!+#REF!+#REF!+#REF!+#REF!+#REF!+#REF!+#REF!</f>
        <v>#REF!</v>
      </c>
      <c r="GB36" s="27" t="e">
        <f>+#REF!+#REF!+#REF!+#REF!+#REF!+#REF!+#REF!+#REF!+#REF!+#REF!+#REF!+#REF!</f>
        <v>#REF!</v>
      </c>
      <c r="GC36" s="27" t="e">
        <f>+#REF!+#REF!+#REF!+#REF!+#REF!+#REF!+#REF!+#REF!+#REF!+#REF!+#REF!+#REF!</f>
        <v>#REF!</v>
      </c>
      <c r="GD36" s="27" t="e">
        <f>+#REF!+#REF!+#REF!+#REF!+#REF!+#REF!+#REF!+#REF!+#REF!+#REF!+#REF!+#REF!</f>
        <v>#REF!</v>
      </c>
      <c r="GE36" s="27" t="e">
        <f>+#REF!+#REF!+#REF!+#REF!+#REF!+#REF!+#REF!+#REF!+#REF!+#REF!+#REF!+#REF!</f>
        <v>#REF!</v>
      </c>
      <c r="GF36" s="27" t="e">
        <f>+#REF!+#REF!+#REF!+#REF!+#REF!+#REF!+#REF!+#REF!+#REF!+#REF!+#REF!+#REF!</f>
        <v>#REF!</v>
      </c>
      <c r="GG36" s="27" t="e">
        <f>+#REF!+#REF!+#REF!+#REF!+#REF!+#REF!+#REF!+#REF!+#REF!+#REF!+#REF!+#REF!</f>
        <v>#REF!</v>
      </c>
      <c r="GH36" s="27" t="e">
        <f>+#REF!+#REF!+#REF!+#REF!+#REF!+#REF!+#REF!+#REF!+#REF!+#REF!+#REF!+#REF!</f>
        <v>#REF!</v>
      </c>
      <c r="GI36" s="33" t="e">
        <f t="shared" si="58"/>
        <v>#REF!</v>
      </c>
      <c r="GJ36" s="2667"/>
      <c r="GL36" s="26" t="e">
        <f>+#REF!+#REF!+#REF!+#REF!+#REF!+#REF!+#REF!+#REF!+#REF!+#REF!+#REF!+#REF!</f>
        <v>#REF!</v>
      </c>
      <c r="GM36" s="36" t="e">
        <f>+#REF!+#REF!+#REF!+#REF!+#REF!+#REF!+#REF!+#REF!+#REF!+#REF!+#REF!+#REF!</f>
        <v>#REF!</v>
      </c>
      <c r="GN36" s="27" t="e">
        <f>+#REF!+#REF!+#REF!+#REF!+#REF!+#REF!+#REF!+#REF!+#REF!+#REF!+#REF!+#REF!</f>
        <v>#REF!</v>
      </c>
      <c r="GO36" s="27" t="e">
        <f t="shared" si="59"/>
        <v>#REF!</v>
      </c>
      <c r="GP36" s="33"/>
      <c r="GQ36" s="2669"/>
      <c r="GR36" s="69"/>
      <c r="GS36" s="70"/>
      <c r="GT36" s="70"/>
      <c r="GU36" s="70"/>
      <c r="GV36" s="70"/>
      <c r="GW36" s="70"/>
      <c r="GX36" s="70"/>
      <c r="GY36" s="71"/>
      <c r="GZ36" s="69"/>
      <c r="HA36" s="70"/>
      <c r="HB36" s="70"/>
      <c r="HC36" s="70"/>
      <c r="HD36" s="70"/>
      <c r="HE36" s="70"/>
      <c r="HF36" s="70"/>
      <c r="HG36" s="71"/>
      <c r="HH36" s="69"/>
      <c r="HI36" s="70"/>
      <c r="HJ36" s="70"/>
      <c r="HK36" s="70"/>
      <c r="HL36" s="70"/>
      <c r="HM36" s="70"/>
      <c r="HN36" s="70"/>
      <c r="HO36" s="70"/>
      <c r="HP36" s="33"/>
      <c r="HQ36" s="2669"/>
      <c r="HR36" s="36"/>
      <c r="HS36" s="53"/>
      <c r="HT36" s="53"/>
      <c r="HU36" s="53"/>
      <c r="HV36" s="61"/>
      <c r="HW36" s="36"/>
      <c r="HX36" s="53"/>
      <c r="HY36" s="53"/>
      <c r="HZ36" s="53"/>
      <c r="IA36" s="61"/>
      <c r="IB36" s="36"/>
      <c r="IC36" s="53"/>
      <c r="ID36" s="53"/>
      <c r="IE36" s="53"/>
      <c r="IF36" s="53"/>
      <c r="IG36" s="33"/>
      <c r="IH36" s="2669"/>
      <c r="IJ36" s="26" t="e">
        <f t="shared" si="60"/>
        <v>#REF!</v>
      </c>
      <c r="IK36" s="36" t="e">
        <f t="shared" si="6"/>
        <v>#REF!</v>
      </c>
      <c r="IL36" s="27" t="e">
        <f t="shared" si="6"/>
        <v>#REF!</v>
      </c>
      <c r="IM36" s="28" t="e">
        <f t="shared" si="61"/>
        <v>#REF!</v>
      </c>
      <c r="IN36" s="36"/>
      <c r="IO36" s="27"/>
      <c r="IP36" s="27"/>
      <c r="IQ36" s="33"/>
      <c r="IR36" s="55"/>
      <c r="IS36" s="21"/>
      <c r="IT36" s="2688"/>
      <c r="IU36" s="36" t="e">
        <f>+#REF!+#REF!+#REF!+#REF!+#REF!+#REF!+#REF!+#REF!+#REF!+#REF!+#REF!+#REF!</f>
        <v>#REF!</v>
      </c>
      <c r="IV36" s="36" t="e">
        <f>+#REF!+#REF!+#REF!+#REF!+#REF!+#REF!+#REF!+#REF!+#REF!+#REF!+#REF!+#REF!</f>
        <v>#REF!</v>
      </c>
      <c r="IW36" s="27" t="e">
        <f>+#REF!+#REF!+#REF!+#REF!+#REF!+#REF!+#REF!+#REF!+#REF!+#REF!+#REF!+#REF!</f>
        <v>#REF!</v>
      </c>
      <c r="IX36" s="27" t="e">
        <f>+#REF!+#REF!+#REF!+#REF!+#REF!+#REF!+#REF!+#REF!+#REF!+#REF!+#REF!+#REF!</f>
        <v>#REF!</v>
      </c>
      <c r="IY36" s="27" t="e">
        <f>+#REF!+#REF!+#REF!+#REF!+#REF!+#REF!+#REF!+#REF!+#REF!+#REF!+#REF!+#REF!</f>
        <v>#REF!</v>
      </c>
      <c r="IZ36" s="28" t="e">
        <f t="shared" si="62"/>
        <v>#REF!</v>
      </c>
      <c r="JA36" s="26" t="e">
        <f>+#REF!+#REF!+#REF!+#REF!+#REF!+#REF!+#REF!+#REF!+#REF!+#REF!+#REF!+#REF!</f>
        <v>#REF!</v>
      </c>
      <c r="JB36" s="36" t="e">
        <f>+#REF!+#REF!+#REF!+#REF!+#REF!+#REF!+#REF!+#REF!+#REF!+#REF!+#REF!+#REF!</f>
        <v>#REF!</v>
      </c>
      <c r="JC36" s="27" t="e">
        <f>+#REF!+#REF!+#REF!+#REF!+#REF!+#REF!+#REF!+#REF!+#REF!+#REF!+#REF!+#REF!</f>
        <v>#REF!</v>
      </c>
      <c r="JD36" s="27" t="e">
        <f>+#REF!+#REF!+#REF!+#REF!+#REF!+#REF!+#REF!+#REF!+#REF!+#REF!+#REF!+#REF!</f>
        <v>#REF!</v>
      </c>
      <c r="JE36" s="28" t="e">
        <f>+#REF!+#REF!+#REF!+#REF!+#REF!+#REF!+#REF!+#REF!+#REF!+#REF!+#REF!+#REF!</f>
        <v>#REF!</v>
      </c>
      <c r="JF36" s="26" t="e">
        <f>+#REF!+#REF!+#REF!+#REF!+#REF!+#REF!+#REF!+#REF!+#REF!+#REF!+#REF!+#REF!</f>
        <v>#REF!</v>
      </c>
      <c r="JG36" s="36" t="e">
        <f>+#REF!+#REF!+#REF!+#REF!+#REF!+#REF!+#REF!+#REF!+#REF!+#REF!+#REF!+#REF!</f>
        <v>#REF!</v>
      </c>
      <c r="JH36" s="27" t="e">
        <f>+#REF!+#REF!+#REF!+#REF!+#REF!+#REF!+#REF!+#REF!+#REF!+#REF!+#REF!+#REF!</f>
        <v>#REF!</v>
      </c>
      <c r="JI36" s="27" t="e">
        <f>+#REF!+#REF!+#REF!+#REF!+#REF!+#REF!+#REF!+#REF!+#REF!+#REF!+#REF!+#REF!</f>
        <v>#REF!</v>
      </c>
      <c r="JJ36" s="27" t="e">
        <f>+#REF!+#REF!+#REF!+#REF!+#REF!+#REF!+#REF!+#REF!+#REF!+#REF!+#REF!+#REF!</f>
        <v>#REF!</v>
      </c>
      <c r="JK36" s="28" t="e">
        <f t="shared" si="63"/>
        <v>#REF!</v>
      </c>
      <c r="JL36" s="26" t="e">
        <f>+#REF!+#REF!+#REF!+#REF!+#REF!+#REF!+#REF!+#REF!+#REF!+#REF!+#REF!+#REF!</f>
        <v>#REF!</v>
      </c>
      <c r="JM36" s="36" t="e">
        <f>+#REF!+#REF!+#REF!+#REF!+#REF!+#REF!+#REF!+#REF!+#REF!+#REF!+#REF!+#REF!</f>
        <v>#REF!</v>
      </c>
      <c r="JN36" s="27" t="e">
        <f>+#REF!+#REF!+#REF!+#REF!+#REF!+#REF!+#REF!+#REF!+#REF!+#REF!+#REF!+#REF!</f>
        <v>#REF!</v>
      </c>
      <c r="JO36" s="27" t="e">
        <f>+#REF!+#REF!+#REF!+#REF!+#REF!+#REF!+#REF!+#REF!+#REF!+#REF!+#REF!+#REF!</f>
        <v>#REF!</v>
      </c>
      <c r="JP36" s="28" t="e">
        <f>+#REF!+#REF!+#REF!+#REF!+#REF!+#REF!+#REF!+#REF!+#REF!+#REF!+#REF!+#REF!</f>
        <v>#REF!</v>
      </c>
      <c r="JQ36" s="275" t="e">
        <f t="shared" si="64"/>
        <v>#REF!</v>
      </c>
      <c r="JR36" s="36" t="e">
        <f>+#REF!+#REF!+#REF!+#REF!+#REF!+#REF!+#REF!+#REF!+#REF!+#REF!+#REF!+#REF!</f>
        <v>#REF!</v>
      </c>
      <c r="JS36" s="36" t="e">
        <f>+#REF!+#REF!+#REF!+#REF!+#REF!+#REF!+#REF!+#REF!+#REF!+#REF!+#REF!+#REF!</f>
        <v>#REF!</v>
      </c>
      <c r="JT36" s="27" t="e">
        <f>+#REF!+#REF!+#REF!+#REF!+#REF!+#REF!+#REF!+#REF!+#REF!+#REF!+#REF!+#REF!</f>
        <v>#REF!</v>
      </c>
      <c r="JU36" s="27" t="e">
        <f>+#REF!+#REF!+#REF!+#REF!+#REF!+#REF!+#REF!+#REF!+#REF!+#REF!+#REF!+#REF!</f>
        <v>#REF!</v>
      </c>
      <c r="JV36" s="27" t="e">
        <f>+#REF!+#REF!+#REF!+#REF!+#REF!+#REF!+#REF!+#REF!+#REF!+#REF!+#REF!+#REF!</f>
        <v>#REF!</v>
      </c>
      <c r="JW36" s="33" t="e">
        <f t="shared" si="65"/>
        <v>#REF!</v>
      </c>
      <c r="JX36" s="2688"/>
      <c r="JZ36" s="26" t="e">
        <f t="shared" si="66"/>
        <v>#REF!</v>
      </c>
      <c r="KA36" s="27" t="e">
        <f t="shared" si="67"/>
        <v>#REF!</v>
      </c>
      <c r="KB36" s="27" t="e">
        <f t="shared" si="68"/>
        <v>#REF!</v>
      </c>
      <c r="KC36" s="33" t="e">
        <f t="shared" si="69"/>
        <v>#REF!</v>
      </c>
      <c r="KD36" s="2621"/>
      <c r="KE36" s="36" t="e">
        <f t="shared" si="87"/>
        <v>#REF!</v>
      </c>
      <c r="KF36" s="36" t="e">
        <f t="shared" si="87"/>
        <v>#REF!</v>
      </c>
      <c r="KG36" s="27" t="e">
        <f t="shared" si="87"/>
        <v>#REF!</v>
      </c>
      <c r="KH36" s="28" t="e">
        <f t="shared" si="81"/>
        <v>#REF!</v>
      </c>
      <c r="KI36" s="36" t="e">
        <f t="shared" si="82"/>
        <v>#REF!</v>
      </c>
      <c r="KJ36" s="27" t="e">
        <f t="shared" si="88"/>
        <v>#REF!</v>
      </c>
      <c r="KK36" s="27" t="e">
        <f t="shared" si="88"/>
        <v>#REF!</v>
      </c>
      <c r="KL36" s="27" t="e">
        <f t="shared" si="88"/>
        <v>#REF!</v>
      </c>
      <c r="KM36" s="27" t="e">
        <f t="shared" si="88"/>
        <v>#REF!</v>
      </c>
      <c r="KN36" s="27" t="e">
        <f t="shared" si="88"/>
        <v>#REF!</v>
      </c>
      <c r="KO36" s="28" t="e">
        <f t="shared" si="83"/>
        <v>#REF!</v>
      </c>
      <c r="KP36" s="36" t="e">
        <f t="shared" si="89"/>
        <v>#REF!</v>
      </c>
      <c r="KQ36" s="27" t="e">
        <f t="shared" si="89"/>
        <v>#REF!</v>
      </c>
      <c r="KR36" s="27" t="e">
        <f t="shared" si="89"/>
        <v>#REF!</v>
      </c>
      <c r="KS36" s="27" t="e">
        <f t="shared" si="89"/>
        <v>#REF!</v>
      </c>
      <c r="KT36" s="27" t="e">
        <f t="shared" si="89"/>
        <v>#REF!</v>
      </c>
      <c r="KU36" s="27" t="e">
        <f t="shared" si="89"/>
        <v>#REF!</v>
      </c>
      <c r="KV36" s="28" t="e">
        <f t="shared" si="84"/>
        <v>#REF!</v>
      </c>
      <c r="KW36" s="36" t="e">
        <f t="shared" si="90"/>
        <v>#REF!</v>
      </c>
      <c r="KX36" s="27" t="e">
        <f t="shared" si="90"/>
        <v>#REF!</v>
      </c>
      <c r="KY36" s="27" t="e">
        <f t="shared" si="90"/>
        <v>#REF!</v>
      </c>
      <c r="KZ36" s="27" t="e">
        <f t="shared" si="90"/>
        <v>#REF!</v>
      </c>
      <c r="LA36" s="27" t="e">
        <f t="shared" si="90"/>
        <v>#REF!</v>
      </c>
      <c r="LB36" s="27" t="e">
        <f t="shared" si="90"/>
        <v>#REF!</v>
      </c>
      <c r="LC36" s="28" t="e">
        <f t="shared" si="85"/>
        <v>#REF!</v>
      </c>
      <c r="LD36" s="36"/>
      <c r="LE36" s="27"/>
      <c r="LF36" s="27"/>
      <c r="LG36" s="27"/>
      <c r="LH36" s="27"/>
      <c r="LI36" s="27"/>
      <c r="LJ36" s="28">
        <f t="shared" si="70"/>
        <v>0</v>
      </c>
      <c r="LK36" s="36" t="e">
        <f t="shared" si="91"/>
        <v>#REF!</v>
      </c>
      <c r="LL36" s="27" t="e">
        <f t="shared" si="91"/>
        <v>#REF!</v>
      </c>
      <c r="LM36" s="27" t="e">
        <f t="shared" si="91"/>
        <v>#REF!</v>
      </c>
      <c r="LN36" s="27" t="e">
        <f t="shared" si="91"/>
        <v>#REF!</v>
      </c>
      <c r="LO36" s="27" t="e">
        <f t="shared" si="91"/>
        <v>#REF!</v>
      </c>
      <c r="LP36" s="27" t="e">
        <f t="shared" si="91"/>
        <v>#REF!</v>
      </c>
      <c r="LQ36" s="33" t="e">
        <f t="shared" si="71"/>
        <v>#REF!</v>
      </c>
      <c r="LR36" s="2621"/>
      <c r="LT36" s="4" t="e">
        <f>+#REF!+#REF!+#REF!+#REF!+#REF!+#REF!+#REF!+#REF!+#REF!+#REF!+#REF!+#REF!</f>
        <v>#REF!</v>
      </c>
      <c r="LU36" s="5" t="e">
        <f>+#REF!+#REF!+#REF!+#REF!+#REF!+#REF!+#REF!+#REF!+#REF!+#REF!+#REF!+#REF!</f>
        <v>#REF!</v>
      </c>
      <c r="LV36" s="5" t="e">
        <f t="shared" si="72"/>
        <v>#REF!</v>
      </c>
      <c r="LW36" s="12" t="e">
        <f t="shared" si="86"/>
        <v>#REF!</v>
      </c>
      <c r="LX36" s="15"/>
      <c r="LY36" s="2615"/>
      <c r="MA36" s="4" t="e">
        <f>+#REF!+#REF!+#REF!+#REF!+#REF!+#REF!+#REF!+#REF!+#REF!+#REF!+#REF!+#REF!</f>
        <v>#REF!</v>
      </c>
      <c r="MB36" s="5" t="e">
        <f t="shared" si="73"/>
        <v>#REF!</v>
      </c>
      <c r="MC36" s="5" t="e">
        <f>+#REF!+#REF!+#REF!+#REF!+#REF!+#REF!+#REF!+#REF!+#REF!+#REF!+#REF!+#REF!</f>
        <v>#REF!</v>
      </c>
      <c r="MD36" s="5" t="e">
        <f t="shared" si="74"/>
        <v>#REF!</v>
      </c>
      <c r="ME36" s="12" t="e">
        <f t="shared" si="75"/>
        <v>#REF!</v>
      </c>
      <c r="MF36" s="12"/>
      <c r="MG36" s="2615"/>
      <c r="MI36" s="139" t="e">
        <f t="shared" si="76"/>
        <v>#REF!</v>
      </c>
      <c r="MJ36" s="139" t="e">
        <f t="shared" si="77"/>
        <v>#REF!</v>
      </c>
      <c r="ML36" s="139" t="e">
        <f t="shared" si="78"/>
        <v>#REF!</v>
      </c>
      <c r="MM36" s="139" t="e">
        <f t="shared" si="79"/>
        <v>#REF!</v>
      </c>
      <c r="MO36" s="1">
        <f t="shared" si="92"/>
        <v>0</v>
      </c>
      <c r="MP36" s="1">
        <f t="shared" si="92"/>
        <v>0</v>
      </c>
      <c r="MQ36" s="1">
        <f t="shared" si="92"/>
        <v>0</v>
      </c>
      <c r="MR36" s="1">
        <f t="shared" si="92"/>
        <v>0</v>
      </c>
      <c r="MS36" s="1">
        <f t="shared" si="92"/>
        <v>0</v>
      </c>
      <c r="MT36" s="1">
        <f t="shared" si="92"/>
        <v>0</v>
      </c>
      <c r="MV36" s="1">
        <f t="shared" si="93"/>
        <v>0</v>
      </c>
      <c r="MW36" s="1">
        <f t="shared" si="93"/>
        <v>0</v>
      </c>
      <c r="MX36" s="1">
        <f t="shared" si="93"/>
        <v>0</v>
      </c>
      <c r="MY36" s="1">
        <f t="shared" si="93"/>
        <v>0</v>
      </c>
      <c r="MZ36" s="1">
        <f t="shared" si="93"/>
        <v>0</v>
      </c>
      <c r="NA36" s="1">
        <f t="shared" si="93"/>
        <v>0</v>
      </c>
    </row>
    <row r="37" spans="1:365" s="1" customFormat="1">
      <c r="B37" s="46">
        <v>28</v>
      </c>
      <c r="C37" s="4" t="e">
        <f t="shared" si="0"/>
        <v>#REF!</v>
      </c>
      <c r="D37" s="5" t="e">
        <f t="shared" si="1"/>
        <v>#REF!</v>
      </c>
      <c r="E37" s="61">
        <f t="shared" si="14"/>
        <v>0</v>
      </c>
      <c r="F37" s="52"/>
      <c r="G37" s="53"/>
      <c r="H37" s="53"/>
      <c r="I37" s="54"/>
      <c r="J37" s="2629"/>
      <c r="K37" s="9" t="e">
        <f t="shared" si="15"/>
        <v>#REF!</v>
      </c>
      <c r="L37" s="5" t="e">
        <f t="shared" si="2"/>
        <v>#REF!</v>
      </c>
      <c r="M37" s="64">
        <f t="shared" si="16"/>
        <v>0</v>
      </c>
      <c r="N37" s="28"/>
      <c r="O37" s="36" t="e">
        <f t="shared" si="17"/>
        <v>#REF!</v>
      </c>
      <c r="P37" s="27" t="e">
        <f t="shared" si="17"/>
        <v>#REF!</v>
      </c>
      <c r="Q37" s="53">
        <f t="shared" si="18"/>
        <v>0</v>
      </c>
      <c r="R37" s="28"/>
      <c r="S37" s="36" t="e">
        <f t="shared" si="19"/>
        <v>#REF!</v>
      </c>
      <c r="T37" s="27" t="e">
        <f t="shared" si="19"/>
        <v>#REF!</v>
      </c>
      <c r="U37" s="53">
        <f t="shared" si="3"/>
        <v>0</v>
      </c>
      <c r="V37" s="28"/>
      <c r="W37" s="36" t="e">
        <f t="shared" si="20"/>
        <v>#REF!</v>
      </c>
      <c r="X37" s="27" t="e">
        <f t="shared" si="4"/>
        <v>#REF!</v>
      </c>
      <c r="Y37" s="53">
        <f t="shared" si="21"/>
        <v>0</v>
      </c>
      <c r="Z37" s="28"/>
      <c r="AA37" s="26" t="e">
        <f t="shared" si="22"/>
        <v>#REF!</v>
      </c>
      <c r="AB37" s="27" t="e">
        <f t="shared" si="22"/>
        <v>#REF!</v>
      </c>
      <c r="AC37" s="53">
        <f t="shared" si="23"/>
        <v>0</v>
      </c>
      <c r="AD37" s="33"/>
      <c r="AE37" s="2629"/>
      <c r="AF37" s="9" t="e">
        <f>+#REF!+#REF!+#REF!+#REF!+#REF!+#REF!+#REF!+#REF!+#REF!+#REF!+#REF!+#REF!</f>
        <v>#REF!</v>
      </c>
      <c r="AG37" s="5" t="e">
        <f>+#REF!+#REF!+#REF!+#REF!+#REF!+#REF!+#REF!+#REF!+#REF!+#REF!+#REF!+#REF!</f>
        <v>#REF!</v>
      </c>
      <c r="AH37" s="61">
        <f t="shared" si="24"/>
        <v>0</v>
      </c>
      <c r="AI37" s="36" t="e">
        <f>+#REF!+#REF!+#REF!+#REF!+#REF!+#REF!+#REF!+#REF!+#REF!+#REF!+#REF!+#REF!</f>
        <v>#REF!</v>
      </c>
      <c r="AJ37" s="27" t="e">
        <f>+#REF!+#REF!+#REF!+#REF!+#REF!+#REF!+#REF!+#REF!+#REF!+#REF!+#REF!+#REF!</f>
        <v>#REF!</v>
      </c>
      <c r="AK37" s="61">
        <f t="shared" si="25"/>
        <v>0</v>
      </c>
      <c r="AL37" s="36" t="e">
        <f>+#REF!+#REF!+#REF!+#REF!+#REF!+#REF!+#REF!+#REF!+#REF!+#REF!+#REF!+#REF!</f>
        <v>#REF!</v>
      </c>
      <c r="AM37" s="27" t="e">
        <f>+#REF!+#REF!+#REF!+#REF!+#REF!+#REF!+#REF!+#REF!+#REF!+#REF!+#REF!+#REF!</f>
        <v>#REF!</v>
      </c>
      <c r="AN37" s="61">
        <f t="shared" si="26"/>
        <v>0</v>
      </c>
      <c r="AO37" s="36" t="e">
        <f>+#REF!+#REF!+#REF!+#REF!+#REF!+#REF!+#REF!+#REF!+#REF!+#REF!+#REF!+#REF!</f>
        <v>#REF!</v>
      </c>
      <c r="AP37" s="27" t="e">
        <f>+#REF!+#REF!+#REF!+#REF!+#REF!+#REF!+#REF!+#REF!+#REF!+#REF!+#REF!+#REF!</f>
        <v>#REF!</v>
      </c>
      <c r="AQ37" s="61">
        <f t="shared" si="27"/>
        <v>0</v>
      </c>
      <c r="AR37" s="36" t="e">
        <f>+#REF!+#REF!+#REF!+#REF!+#REF!+#REF!+#REF!+#REF!+#REF!+#REF!+#REF!+#REF!</f>
        <v>#REF!</v>
      </c>
      <c r="AS37" s="27" t="e">
        <f>+#REF!+#REF!+#REF!+#REF!+#REF!+#REF!+#REF!+#REF!+#REF!+#REF!+#REF!+#REF!</f>
        <v>#REF!</v>
      </c>
      <c r="AT37" s="61">
        <f t="shared" si="28"/>
        <v>0</v>
      </c>
      <c r="AU37" s="36" t="e">
        <f>+#REF!+#REF!+#REF!+#REF!+#REF!+#REF!+#REF!+#REF!+#REF!+#REF!+#REF!+#REF!</f>
        <v>#REF!</v>
      </c>
      <c r="AV37" s="27" t="e">
        <f>+#REF!+#REF!+#REF!+#REF!+#REF!+#REF!+#REF!+#REF!+#REF!+#REF!+#REF!+#REF!</f>
        <v>#REF!</v>
      </c>
      <c r="AW37" s="61">
        <f t="shared" si="29"/>
        <v>0</v>
      </c>
      <c r="AX37" s="36" t="e">
        <f>+#REF!+#REF!+#REF!+#REF!+#REF!+#REF!+#REF!+#REF!+#REF!+#REF!+#REF!+#REF!</f>
        <v>#REF!</v>
      </c>
      <c r="AY37" s="27" t="e">
        <f>+#REF!+#REF!+#REF!+#REF!+#REF!+#REF!+#REF!+#REF!+#REF!+#REF!+#REF!+#REF!</f>
        <v>#REF!</v>
      </c>
      <c r="AZ37" s="61">
        <f t="shared" si="30"/>
        <v>0</v>
      </c>
      <c r="BA37" s="36" t="e">
        <f>+#REF!+#REF!+#REF!+#REF!+#REF!+#REF!+#REF!+#REF!+#REF!+#REF!+#REF!+#REF!</f>
        <v>#REF!</v>
      </c>
      <c r="BB37" s="27" t="e">
        <f>+#REF!+#REF!+#REF!+#REF!+#REF!+#REF!+#REF!+#REF!+#REF!+#REF!+#REF!+#REF!</f>
        <v>#REF!</v>
      </c>
      <c r="BC37" s="61">
        <f t="shared" si="31"/>
        <v>0</v>
      </c>
      <c r="BD37" s="36" t="e">
        <f>+#REF!+#REF!+#REF!+#REF!+#REF!+#REF!+#REF!+#REF!+#REF!+#REF!+#REF!+#REF!</f>
        <v>#REF!</v>
      </c>
      <c r="BE37" s="27" t="e">
        <f>+#REF!+#REF!+#REF!+#REF!+#REF!+#REF!+#REF!+#REF!+#REF!+#REF!+#REF!+#REF!</f>
        <v>#REF!</v>
      </c>
      <c r="BF37" s="61">
        <f t="shared" si="32"/>
        <v>0</v>
      </c>
      <c r="BG37" s="36" t="e">
        <f>+#REF!+#REF!+#REF!+#REF!+#REF!+#REF!+#REF!+#REF!+#REF!+#REF!+#REF!+#REF!</f>
        <v>#REF!</v>
      </c>
      <c r="BH37" s="27" t="e">
        <f>+#REF!+#REF!+#REF!+#REF!+#REF!+#REF!+#REF!+#REF!+#REF!+#REF!+#REF!+#REF!</f>
        <v>#REF!</v>
      </c>
      <c r="BI37" s="61">
        <f t="shared" si="33"/>
        <v>0</v>
      </c>
      <c r="BJ37" s="36" t="e">
        <f>+#REF!+#REF!+#REF!+#REF!+#REF!+#REF!+#REF!+#REF!+#REF!+#REF!+#REF!+#REF!</f>
        <v>#REF!</v>
      </c>
      <c r="BK37" s="27" t="e">
        <f>+#REF!+#REF!+#REF!+#REF!+#REF!+#REF!+#REF!+#REF!+#REF!+#REF!+#REF!+#REF!</f>
        <v>#REF!</v>
      </c>
      <c r="BL37" s="61">
        <f t="shared" si="34"/>
        <v>0</v>
      </c>
      <c r="BM37" s="36" t="e">
        <f>+#REF!+#REF!+#REF!+#REF!+#REF!+#REF!+#REF!+#REF!+#REF!+#REF!+#REF!+#REF!</f>
        <v>#REF!</v>
      </c>
      <c r="BN37" s="27" t="e">
        <f>+#REF!+#REF!+#REF!+#REF!+#REF!+#REF!+#REF!+#REF!+#REF!+#REF!+#REF!+#REF!</f>
        <v>#REF!</v>
      </c>
      <c r="BO37" s="54">
        <f t="shared" si="35"/>
        <v>0</v>
      </c>
      <c r="BP37" s="26" t="e">
        <f>+#REF!+#REF!+#REF!+#REF!+#REF!+#REF!+#REF!+#REF!+#REF!+#REF!+#REF!+#REF!</f>
        <v>#REF!</v>
      </c>
      <c r="BQ37" s="27" t="e">
        <f>+#REF!+#REF!+#REF!+#REF!+#REF!+#REF!+#REF!+#REF!+#REF!+#REF!+#REF!+#REF!</f>
        <v>#REF!</v>
      </c>
      <c r="BR37" s="61">
        <f t="shared" si="36"/>
        <v>0</v>
      </c>
      <c r="BS37" s="26" t="e">
        <f>+#REF!+#REF!+#REF!+#REF!+#REF!+#REF!+#REF!+#REF!+#REF!+#REF!+#REF!+#REF!</f>
        <v>#REF!</v>
      </c>
      <c r="BT37" s="27" t="e">
        <f>+#REF!+#REF!+#REF!+#REF!+#REF!+#REF!+#REF!+#REF!+#REF!+#REF!+#REF!+#REF!</f>
        <v>#REF!</v>
      </c>
      <c r="BU37" s="61">
        <f t="shared" si="37"/>
        <v>0</v>
      </c>
      <c r="BV37" s="150"/>
      <c r="BW37" s="9" t="e">
        <f>+#REF!+#REF!+#REF!+#REF!+#REF!+#REF!+#REF!+#REF!+#REF!+#REF!+#REF!+#REF!</f>
        <v>#REF!</v>
      </c>
      <c r="BX37" s="5" t="e">
        <f>+#REF!+#REF!+#REF!+#REF!+#REF!+#REF!+#REF!+#REF!+#REF!+#REF!+#REF!+#REF!</f>
        <v>#REF!</v>
      </c>
      <c r="BY37" s="5" t="e">
        <f>+#REF!+#REF!+#REF!+#REF!+#REF!+#REF!+#REF!+#REF!+#REF!+#REF!+#REF!+#REF!</f>
        <v>#REF!</v>
      </c>
      <c r="BZ37" s="5" t="e">
        <f>+#REF!+#REF!+#REF!+#REF!+#REF!+#REF!+#REF!+#REF!+#REF!+#REF!+#REF!+#REF!</f>
        <v>#REF!</v>
      </c>
      <c r="CA37" s="5" t="e">
        <f>+#REF!+#REF!+#REF!+#REF!+#REF!+#REF!+#REF!+#REF!+#REF!+#REF!+#REF!+#REF!</f>
        <v>#REF!</v>
      </c>
      <c r="CB37" s="5" t="e">
        <f t="shared" si="38"/>
        <v>#REF!</v>
      </c>
      <c r="CC37" s="33"/>
      <c r="CD37" s="2683"/>
      <c r="CF37" s="4" t="e">
        <f t="shared" si="39"/>
        <v>#REF!</v>
      </c>
      <c r="CG37" s="5" t="e">
        <f t="shared" si="5"/>
        <v>#REF!</v>
      </c>
      <c r="CH37" s="5" t="e">
        <f t="shared" si="5"/>
        <v>#REF!</v>
      </c>
      <c r="CI37" s="5" t="e">
        <f t="shared" si="5"/>
        <v>#REF!</v>
      </c>
      <c r="CJ37" s="5" t="e">
        <f t="shared" si="5"/>
        <v>#REF!</v>
      </c>
      <c r="CK37" s="5" t="e">
        <f t="shared" si="5"/>
        <v>#REF!</v>
      </c>
      <c r="CL37" s="33" t="e">
        <f t="shared" si="40"/>
        <v>#REF!</v>
      </c>
      <c r="CM37" s="2685"/>
      <c r="CN37" s="9" t="e">
        <f>+#REF!+#REF!+#REF!+#REF!+#REF!+#REF!+#REF!+#REF!+#REF!+#REF!+#REF!+#REF!</f>
        <v>#REF!</v>
      </c>
      <c r="CO37" s="5" t="e">
        <f>+#REF!+#REF!+#REF!+#REF!+#REF!+#REF!+#REF!+#REF!+#REF!+#REF!+#REF!+#REF!</f>
        <v>#REF!</v>
      </c>
      <c r="CP37" s="5" t="e">
        <f>+#REF!+#REF!+#REF!+#REF!+#REF!+#REF!+#REF!+#REF!+#REF!+#REF!+#REF!+#REF!</f>
        <v>#REF!</v>
      </c>
      <c r="CQ37" s="5" t="e">
        <f>+#REF!+#REF!+#REF!+#REF!+#REF!+#REF!+#REF!+#REF!+#REF!+#REF!+#REF!+#REF!</f>
        <v>#REF!</v>
      </c>
      <c r="CR37" s="5" t="e">
        <f>+#REF!+#REF!+#REF!+#REF!+#REF!+#REF!+#REF!+#REF!+#REF!+#REF!+#REF!+#REF!</f>
        <v>#REF!</v>
      </c>
      <c r="CS37" s="5" t="e">
        <f>+#REF!+#REF!+#REF!+#REF!+#REF!+#REF!+#REF!+#REF!+#REF!+#REF!+#REF!+#REF!</f>
        <v>#REF!</v>
      </c>
      <c r="CT37" s="28" t="e">
        <f t="shared" si="41"/>
        <v>#REF!</v>
      </c>
      <c r="CU37" s="36" t="e">
        <f>+#REF!+#REF!+#REF!+#REF!+#REF!+#REF!+#REF!+#REF!+#REF!+#REF!+#REF!+#REF!</f>
        <v>#REF!</v>
      </c>
      <c r="CV37" s="27" t="e">
        <f>+#REF!+#REF!+#REF!+#REF!+#REF!+#REF!+#REF!+#REF!+#REF!+#REF!+#REF!+#REF!</f>
        <v>#REF!</v>
      </c>
      <c r="CW37" s="27" t="e">
        <f>+#REF!+#REF!+#REF!+#REF!+#REF!+#REF!+#REF!+#REF!+#REF!+#REF!+#REF!+#REF!</f>
        <v>#REF!</v>
      </c>
      <c r="CX37" s="27" t="e">
        <f>+#REF!+#REF!+#REF!+#REF!+#REF!+#REF!+#REF!+#REF!+#REF!+#REF!+#REF!+#REF!</f>
        <v>#REF!</v>
      </c>
      <c r="CY37" s="27" t="e">
        <f>+#REF!+#REF!+#REF!+#REF!+#REF!+#REF!+#REF!+#REF!+#REF!+#REF!+#REF!+#REF!</f>
        <v>#REF!</v>
      </c>
      <c r="CZ37" s="27" t="e">
        <f>+#REF!+#REF!+#REF!+#REF!+#REF!+#REF!+#REF!+#REF!+#REF!+#REF!+#REF!+#REF!</f>
        <v>#REF!</v>
      </c>
      <c r="DA37" s="28" t="e">
        <f t="shared" si="42"/>
        <v>#REF!</v>
      </c>
      <c r="DB37" s="36" t="e">
        <f>+#REF!+#REF!+#REF!+#REF!+#REF!+#REF!+#REF!+#REF!+#REF!+#REF!+#REF!+#REF!</f>
        <v>#REF!</v>
      </c>
      <c r="DC37" s="27" t="e">
        <f>+#REF!+#REF!+#REF!+#REF!+#REF!+#REF!+#REF!+#REF!+#REF!+#REF!+#REF!+#REF!</f>
        <v>#REF!</v>
      </c>
      <c r="DD37" s="27" t="e">
        <f>+#REF!+#REF!+#REF!+#REF!+#REF!+#REF!+#REF!+#REF!+#REF!+#REF!+#REF!+#REF!</f>
        <v>#REF!</v>
      </c>
      <c r="DE37" s="27" t="e">
        <f>+#REF!+#REF!+#REF!+#REF!+#REF!+#REF!+#REF!+#REF!+#REF!+#REF!+#REF!+#REF!</f>
        <v>#REF!</v>
      </c>
      <c r="DF37" s="27" t="e">
        <f>+#REF!+#REF!+#REF!+#REF!+#REF!+#REF!+#REF!+#REF!+#REF!+#REF!+#REF!+#REF!</f>
        <v>#REF!</v>
      </c>
      <c r="DG37" s="27" t="e">
        <f>+#REF!+#REF!+#REF!+#REF!+#REF!+#REF!+#REF!+#REF!+#REF!+#REF!+#REF!+#REF!</f>
        <v>#REF!</v>
      </c>
      <c r="DH37" s="28" t="e">
        <f t="shared" si="43"/>
        <v>#REF!</v>
      </c>
      <c r="DI37" s="36" t="e">
        <f>+#REF!+#REF!+#REF!+#REF!+#REF!+#REF!+#REF!+#REF!+#REF!+#REF!+#REF!+#REF!</f>
        <v>#REF!</v>
      </c>
      <c r="DJ37" s="27" t="e">
        <f>+#REF!+#REF!+#REF!+#REF!+#REF!+#REF!+#REF!+#REF!+#REF!+#REF!+#REF!+#REF!</f>
        <v>#REF!</v>
      </c>
      <c r="DK37" s="27" t="e">
        <f>+#REF!+#REF!+#REF!+#REF!+#REF!+#REF!+#REF!+#REF!+#REF!+#REF!+#REF!+#REF!</f>
        <v>#REF!</v>
      </c>
      <c r="DL37" s="27" t="e">
        <f>+#REF!+#REF!+#REF!+#REF!+#REF!+#REF!+#REF!+#REF!+#REF!+#REF!+#REF!+#REF!</f>
        <v>#REF!</v>
      </c>
      <c r="DM37" s="27" t="e">
        <f>+#REF!+#REF!+#REF!+#REF!+#REF!+#REF!+#REF!+#REF!+#REF!+#REF!+#REF!+#REF!</f>
        <v>#REF!</v>
      </c>
      <c r="DN37" s="27" t="e">
        <f>+#REF!+#REF!+#REF!+#REF!+#REF!+#REF!+#REF!+#REF!+#REF!+#REF!+#REF!+#REF!</f>
        <v>#REF!</v>
      </c>
      <c r="DO37" s="33" t="e">
        <f t="shared" si="44"/>
        <v>#REF!</v>
      </c>
      <c r="DP37" s="2685"/>
      <c r="DR37" s="4" t="e">
        <f t="shared" si="45"/>
        <v>#REF!</v>
      </c>
      <c r="DS37" s="5" t="e">
        <f t="shared" si="46"/>
        <v>#REF!</v>
      </c>
      <c r="DT37" s="5" t="e">
        <f t="shared" si="47"/>
        <v>#REF!</v>
      </c>
      <c r="DU37" s="12" t="e">
        <f t="shared" si="48"/>
        <v>#REF!</v>
      </c>
      <c r="DV37" s="33"/>
      <c r="DW37" s="2674"/>
      <c r="DX37" s="9" t="e">
        <f>+#REF!+#REF!+#REF!+#REF!+#REF!+#REF!+#REF!+#REF!+#REF!+#REF!+#REF!+#REF!</f>
        <v>#REF!</v>
      </c>
      <c r="DY37" s="5" t="e">
        <f>+#REF!+#REF!+#REF!+#REF!+#REF!+#REF!+#REF!+#REF!+#REF!+#REF!+#REF!+#REF!</f>
        <v>#REF!</v>
      </c>
      <c r="DZ37" s="5" t="e">
        <f>+#REF!+#REF!+#REF!+#REF!+#REF!+#REF!+#REF!+#REF!+#REF!+#REF!+#REF!+#REF!</f>
        <v>#REF!</v>
      </c>
      <c r="EA37" s="5" t="e">
        <f>+#REF!+#REF!+#REF!+#REF!+#REF!+#REF!+#REF!+#REF!+#REF!+#REF!+#REF!+#REF!</f>
        <v>#REF!</v>
      </c>
      <c r="EB37" s="5" t="e">
        <f>+#REF!+#REF!+#REF!+#REF!+#REF!+#REF!+#REF!+#REF!+#REF!+#REF!+#REF!+#REF!</f>
        <v>#REF!</v>
      </c>
      <c r="EC37" s="27" t="e">
        <f>+#REF!+#REF!+#REF!+#REF!+#REF!+#REF!+#REF!+#REF!+#REF!+#REF!+#REF!+#REF!</f>
        <v>#REF!</v>
      </c>
      <c r="ED37" s="28" t="e">
        <f t="shared" si="49"/>
        <v>#REF!</v>
      </c>
      <c r="EE37" s="36" t="e">
        <f>+#REF!+#REF!+#REF!+#REF!+#REF!+#REF!+#REF!+#REF!+#REF!+#REF!+#REF!+#REF!</f>
        <v>#REF!</v>
      </c>
      <c r="EF37" s="27" t="e">
        <f>+#REF!+#REF!+#REF!+#REF!+#REF!+#REF!+#REF!+#REF!+#REF!+#REF!+#REF!+#REF!</f>
        <v>#REF!</v>
      </c>
      <c r="EG37" s="27" t="e">
        <f>+#REF!+#REF!+#REF!+#REF!+#REF!+#REF!+#REF!+#REF!+#REF!+#REF!+#REF!+#REF!</f>
        <v>#REF!</v>
      </c>
      <c r="EH37" s="27" t="e">
        <f>+#REF!+#REF!+#REF!+#REF!+#REF!+#REF!+#REF!+#REF!+#REF!+#REF!+#REF!+#REF!</f>
        <v>#REF!</v>
      </c>
      <c r="EI37" s="27" t="e">
        <f>+#REF!+#REF!+#REF!+#REF!+#REF!+#REF!+#REF!+#REF!+#REF!+#REF!+#REF!+#REF!</f>
        <v>#REF!</v>
      </c>
      <c r="EJ37" s="27" t="e">
        <f>+#REF!+#REF!+#REF!+#REF!+#REF!+#REF!+#REF!+#REF!+#REF!+#REF!+#REF!+#REF!</f>
        <v>#REF!</v>
      </c>
      <c r="EK37" s="28" t="e">
        <f t="shared" si="50"/>
        <v>#REF!</v>
      </c>
      <c r="EL37" s="36" t="e">
        <f>+#REF!+#REF!+#REF!+#REF!+#REF!+#REF!+#REF!+#REF!+#REF!+#REF!+#REF!+#REF!</f>
        <v>#REF!</v>
      </c>
      <c r="EM37" s="27" t="e">
        <f>+#REF!+#REF!+#REF!+#REF!+#REF!+#REF!+#REF!+#REF!+#REF!+#REF!+#REF!+#REF!</f>
        <v>#REF!</v>
      </c>
      <c r="EN37" s="27" t="e">
        <f>+#REF!+#REF!+#REF!+#REF!+#REF!+#REF!+#REF!+#REF!+#REF!+#REF!+#REF!+#REF!</f>
        <v>#REF!</v>
      </c>
      <c r="EO37" s="27" t="e">
        <f>+#REF!+#REF!+#REF!+#REF!+#REF!+#REF!+#REF!+#REF!+#REF!+#REF!+#REF!+#REF!</f>
        <v>#REF!</v>
      </c>
      <c r="EP37" s="27" t="e">
        <f>+#REF!+#REF!+#REF!+#REF!+#REF!+#REF!+#REF!+#REF!+#REF!+#REF!+#REF!+#REF!</f>
        <v>#REF!</v>
      </c>
      <c r="EQ37" s="27" t="e">
        <f>+#REF!+#REF!+#REF!+#REF!+#REF!+#REF!+#REF!+#REF!+#REF!+#REF!+#REF!+#REF!</f>
        <v>#REF!</v>
      </c>
      <c r="ER37" s="33" t="e">
        <f t="shared" si="51"/>
        <v>#REF!</v>
      </c>
      <c r="ES37" s="2674"/>
      <c r="EU37" s="4" t="e">
        <f t="shared" si="52"/>
        <v>#REF!</v>
      </c>
      <c r="EV37" s="5" t="e">
        <f t="shared" si="53"/>
        <v>#REF!</v>
      </c>
      <c r="EW37" s="27" t="e">
        <f t="shared" si="54"/>
        <v>#REF!</v>
      </c>
      <c r="EX37" s="27" t="e">
        <f t="shared" si="55"/>
        <v>#REF!</v>
      </c>
      <c r="EY37" s="27"/>
      <c r="EZ37" s="27"/>
      <c r="FA37" s="33"/>
      <c r="FB37" s="2667"/>
      <c r="FC37" s="36" t="e">
        <f>+#REF!+#REF!+#REF!+#REF!+#REF!+#REF!+#REF!+#REF!+#REF!+#REF!+#REF!+#REF!</f>
        <v>#REF!</v>
      </c>
      <c r="FD37" s="27" t="e">
        <f>+#REF!+#REF!+#REF!+#REF!+#REF!+#REF!+#REF!+#REF!+#REF!+#REF!+#REF!+#REF!</f>
        <v>#REF!</v>
      </c>
      <c r="FE37" s="27"/>
      <c r="FF37" s="27"/>
      <c r="FG37" s="33" t="e">
        <f t="shared" si="56"/>
        <v>#REF!</v>
      </c>
      <c r="FH37" s="2667"/>
      <c r="FI37" s="36" t="e">
        <f>+#REF!+#REF!+#REF!+#REF!+#REF!+#REF!+#REF!+#REF!+#REF!+#REF!+#REF!+#REF!</f>
        <v>#REF!</v>
      </c>
      <c r="FJ37" s="27" t="e">
        <f>+#REF!+#REF!+#REF!+#REF!+#REF!+#REF!+#REF!+#REF!+#REF!+#REF!+#REF!+#REF!</f>
        <v>#REF!</v>
      </c>
      <c r="FK37" s="27" t="e">
        <f>+#REF!+#REF!+#REF!+#REF!+#REF!+#REF!+#REF!+#REF!+#REF!+#REF!+#REF!+#REF!</f>
        <v>#REF!</v>
      </c>
      <c r="FL37" s="27" t="e">
        <f>+#REF!+#REF!+#REF!+#REF!+#REF!+#REF!+#REF!+#REF!+#REF!+#REF!+#REF!+#REF!</f>
        <v>#REF!</v>
      </c>
      <c r="FM37" s="27" t="e">
        <f>+#REF!+#REF!+#REF!+#REF!+#REF!+#REF!+#REF!+#REF!+#REF!+#REF!+#REF!+#REF!</f>
        <v>#REF!</v>
      </c>
      <c r="FN37" s="27" t="e">
        <f>+#REF!+#REF!+#REF!+#REF!+#REF!+#REF!+#REF!+#REF!+#REF!+#REF!+#REF!+#REF!</f>
        <v>#REF!</v>
      </c>
      <c r="FO37" s="27" t="e">
        <f>+#REF!+#REF!+#REF!+#REF!+#REF!+#REF!+#REF!+#REF!+#REF!+#REF!+#REF!+#REF!</f>
        <v>#REF!</v>
      </c>
      <c r="FP37" s="27" t="e">
        <f>+#REF!+#REF!+#REF!+#REF!+#REF!+#REF!+#REF!+#REF!+#REF!+#REF!+#REF!+#REF!</f>
        <v>#REF!</v>
      </c>
      <c r="FQ37" s="28" t="e">
        <f t="shared" si="80"/>
        <v>#REF!</v>
      </c>
      <c r="FR37" s="26" t="e">
        <f>+#REF!+#REF!+#REF!+#REF!+#REF!+#REF!+#REF!+#REF!+#REF!+#REF!+#REF!+#REF!</f>
        <v>#REF!</v>
      </c>
      <c r="FS37" s="27" t="e">
        <f>+#REF!+#REF!+#REF!+#REF!+#REF!+#REF!+#REF!+#REF!+#REF!+#REF!+#REF!+#REF!</f>
        <v>#REF!</v>
      </c>
      <c r="FT37" s="27" t="e">
        <f>+#REF!+#REF!+#REF!+#REF!+#REF!+#REF!+#REF!+#REF!+#REF!+#REF!+#REF!+#REF!</f>
        <v>#REF!</v>
      </c>
      <c r="FU37" s="27" t="e">
        <f>+#REF!+#REF!+#REF!+#REF!+#REF!+#REF!+#REF!+#REF!+#REF!+#REF!+#REF!+#REF!</f>
        <v>#REF!</v>
      </c>
      <c r="FV37" s="27" t="e">
        <f>+#REF!+#REF!+#REF!+#REF!+#REF!+#REF!+#REF!+#REF!+#REF!+#REF!+#REF!+#REF!</f>
        <v>#REF!</v>
      </c>
      <c r="FW37" s="27" t="e">
        <f>+#REF!+#REF!+#REF!+#REF!+#REF!+#REF!+#REF!+#REF!+#REF!+#REF!+#REF!+#REF!</f>
        <v>#REF!</v>
      </c>
      <c r="FX37" s="27" t="e">
        <f>+#REF!+#REF!+#REF!+#REF!+#REF!+#REF!+#REF!+#REF!+#REF!+#REF!+#REF!+#REF!</f>
        <v>#REF!</v>
      </c>
      <c r="FY37" s="27" t="e">
        <f>+#REF!+#REF!+#REF!+#REF!+#REF!+#REF!+#REF!+#REF!+#REF!+#REF!+#REF!+#REF!</f>
        <v>#REF!</v>
      </c>
      <c r="FZ37" s="28" t="e">
        <f t="shared" si="57"/>
        <v>#REF!</v>
      </c>
      <c r="GA37" s="36" t="e">
        <f>+#REF!+#REF!+#REF!+#REF!+#REF!+#REF!+#REF!+#REF!+#REF!+#REF!+#REF!+#REF!</f>
        <v>#REF!</v>
      </c>
      <c r="GB37" s="27" t="e">
        <f>+#REF!+#REF!+#REF!+#REF!+#REF!+#REF!+#REF!+#REF!+#REF!+#REF!+#REF!+#REF!</f>
        <v>#REF!</v>
      </c>
      <c r="GC37" s="27" t="e">
        <f>+#REF!+#REF!+#REF!+#REF!+#REF!+#REF!+#REF!+#REF!+#REF!+#REF!+#REF!+#REF!</f>
        <v>#REF!</v>
      </c>
      <c r="GD37" s="27" t="e">
        <f>+#REF!+#REF!+#REF!+#REF!+#REF!+#REF!+#REF!+#REF!+#REF!+#REF!+#REF!+#REF!</f>
        <v>#REF!</v>
      </c>
      <c r="GE37" s="27" t="e">
        <f>+#REF!+#REF!+#REF!+#REF!+#REF!+#REF!+#REF!+#REF!+#REF!+#REF!+#REF!+#REF!</f>
        <v>#REF!</v>
      </c>
      <c r="GF37" s="27" t="e">
        <f>+#REF!+#REF!+#REF!+#REF!+#REF!+#REF!+#REF!+#REF!+#REF!+#REF!+#REF!+#REF!</f>
        <v>#REF!</v>
      </c>
      <c r="GG37" s="27" t="e">
        <f>+#REF!+#REF!+#REF!+#REF!+#REF!+#REF!+#REF!+#REF!+#REF!+#REF!+#REF!+#REF!</f>
        <v>#REF!</v>
      </c>
      <c r="GH37" s="27" t="e">
        <f>+#REF!+#REF!+#REF!+#REF!+#REF!+#REF!+#REF!+#REF!+#REF!+#REF!+#REF!+#REF!</f>
        <v>#REF!</v>
      </c>
      <c r="GI37" s="33" t="e">
        <f t="shared" si="58"/>
        <v>#REF!</v>
      </c>
      <c r="GJ37" s="2667"/>
      <c r="GL37" s="26" t="e">
        <f>+#REF!+#REF!+#REF!+#REF!+#REF!+#REF!+#REF!+#REF!+#REF!+#REF!+#REF!+#REF!</f>
        <v>#REF!</v>
      </c>
      <c r="GM37" s="36" t="e">
        <f>+#REF!+#REF!+#REF!+#REF!+#REF!+#REF!+#REF!+#REF!+#REF!+#REF!+#REF!+#REF!</f>
        <v>#REF!</v>
      </c>
      <c r="GN37" s="27" t="e">
        <f>+#REF!+#REF!+#REF!+#REF!+#REF!+#REF!+#REF!+#REF!+#REF!+#REF!+#REF!+#REF!</f>
        <v>#REF!</v>
      </c>
      <c r="GO37" s="27" t="e">
        <f t="shared" si="59"/>
        <v>#REF!</v>
      </c>
      <c r="GP37" s="33"/>
      <c r="GQ37" s="2669"/>
      <c r="GR37" s="69"/>
      <c r="GS37" s="70"/>
      <c r="GT37" s="70"/>
      <c r="GU37" s="70"/>
      <c r="GV37" s="70"/>
      <c r="GW37" s="70"/>
      <c r="GX37" s="70"/>
      <c r="GY37" s="71"/>
      <c r="GZ37" s="69"/>
      <c r="HA37" s="70"/>
      <c r="HB37" s="70"/>
      <c r="HC37" s="70"/>
      <c r="HD37" s="70"/>
      <c r="HE37" s="70"/>
      <c r="HF37" s="70"/>
      <c r="HG37" s="71"/>
      <c r="HH37" s="69"/>
      <c r="HI37" s="70"/>
      <c r="HJ37" s="70"/>
      <c r="HK37" s="70"/>
      <c r="HL37" s="70"/>
      <c r="HM37" s="70"/>
      <c r="HN37" s="70"/>
      <c r="HO37" s="70"/>
      <c r="HP37" s="33"/>
      <c r="HQ37" s="2669"/>
      <c r="HR37" s="36"/>
      <c r="HS37" s="53"/>
      <c r="HT37" s="53"/>
      <c r="HU37" s="53"/>
      <c r="HV37" s="61"/>
      <c r="HW37" s="36"/>
      <c r="HX37" s="53"/>
      <c r="HY37" s="53"/>
      <c r="HZ37" s="53"/>
      <c r="IA37" s="61"/>
      <c r="IB37" s="36"/>
      <c r="IC37" s="53"/>
      <c r="ID37" s="53"/>
      <c r="IE37" s="53"/>
      <c r="IF37" s="53"/>
      <c r="IG37" s="33"/>
      <c r="IH37" s="2669"/>
      <c r="IJ37" s="26" t="e">
        <f t="shared" si="60"/>
        <v>#REF!</v>
      </c>
      <c r="IK37" s="36" t="e">
        <f t="shared" si="6"/>
        <v>#REF!</v>
      </c>
      <c r="IL37" s="27" t="e">
        <f t="shared" si="6"/>
        <v>#REF!</v>
      </c>
      <c r="IM37" s="28" t="e">
        <f t="shared" si="61"/>
        <v>#REF!</v>
      </c>
      <c r="IN37" s="36"/>
      <c r="IO37" s="27"/>
      <c r="IP37" s="27"/>
      <c r="IQ37" s="33"/>
      <c r="IR37" s="55"/>
      <c r="IS37" s="21"/>
      <c r="IT37" s="2688"/>
      <c r="IU37" s="36" t="e">
        <f>+#REF!+#REF!+#REF!+#REF!+#REF!+#REF!+#REF!+#REF!+#REF!+#REF!+#REF!+#REF!</f>
        <v>#REF!</v>
      </c>
      <c r="IV37" s="36" t="e">
        <f>+#REF!+#REF!+#REF!+#REF!+#REF!+#REF!+#REF!+#REF!+#REF!+#REF!+#REF!+#REF!</f>
        <v>#REF!</v>
      </c>
      <c r="IW37" s="27" t="e">
        <f>+#REF!+#REF!+#REF!+#REF!+#REF!+#REF!+#REF!+#REF!+#REF!+#REF!+#REF!+#REF!</f>
        <v>#REF!</v>
      </c>
      <c r="IX37" s="27" t="e">
        <f>+#REF!+#REF!+#REF!+#REF!+#REF!+#REF!+#REF!+#REF!+#REF!+#REF!+#REF!+#REF!</f>
        <v>#REF!</v>
      </c>
      <c r="IY37" s="27" t="e">
        <f>+#REF!+#REF!+#REF!+#REF!+#REF!+#REF!+#REF!+#REF!+#REF!+#REF!+#REF!+#REF!</f>
        <v>#REF!</v>
      </c>
      <c r="IZ37" s="28" t="e">
        <f t="shared" si="62"/>
        <v>#REF!</v>
      </c>
      <c r="JA37" s="26" t="e">
        <f>+#REF!+#REF!+#REF!+#REF!+#REF!+#REF!+#REF!+#REF!+#REF!+#REF!+#REF!+#REF!</f>
        <v>#REF!</v>
      </c>
      <c r="JB37" s="36" t="e">
        <f>+#REF!+#REF!+#REF!+#REF!+#REF!+#REF!+#REF!+#REF!+#REF!+#REF!+#REF!+#REF!</f>
        <v>#REF!</v>
      </c>
      <c r="JC37" s="27" t="e">
        <f>+#REF!+#REF!+#REF!+#REF!+#REF!+#REF!+#REF!+#REF!+#REF!+#REF!+#REF!+#REF!</f>
        <v>#REF!</v>
      </c>
      <c r="JD37" s="27" t="e">
        <f>+#REF!+#REF!+#REF!+#REF!+#REF!+#REF!+#REF!+#REF!+#REF!+#REF!+#REF!+#REF!</f>
        <v>#REF!</v>
      </c>
      <c r="JE37" s="28" t="e">
        <f>+#REF!+#REF!+#REF!+#REF!+#REF!+#REF!+#REF!+#REF!+#REF!+#REF!+#REF!+#REF!</f>
        <v>#REF!</v>
      </c>
      <c r="JF37" s="26" t="e">
        <f>+#REF!+#REF!+#REF!+#REF!+#REF!+#REF!+#REF!+#REF!+#REF!+#REF!+#REF!+#REF!</f>
        <v>#REF!</v>
      </c>
      <c r="JG37" s="36" t="e">
        <f>+#REF!+#REF!+#REF!+#REF!+#REF!+#REF!+#REF!+#REF!+#REF!+#REF!+#REF!+#REF!</f>
        <v>#REF!</v>
      </c>
      <c r="JH37" s="27" t="e">
        <f>+#REF!+#REF!+#REF!+#REF!+#REF!+#REF!+#REF!+#REF!+#REF!+#REF!+#REF!+#REF!</f>
        <v>#REF!</v>
      </c>
      <c r="JI37" s="27" t="e">
        <f>+#REF!+#REF!+#REF!+#REF!+#REF!+#REF!+#REF!+#REF!+#REF!+#REF!+#REF!+#REF!</f>
        <v>#REF!</v>
      </c>
      <c r="JJ37" s="27" t="e">
        <f>+#REF!+#REF!+#REF!+#REF!+#REF!+#REF!+#REF!+#REF!+#REF!+#REF!+#REF!+#REF!</f>
        <v>#REF!</v>
      </c>
      <c r="JK37" s="28" t="e">
        <f t="shared" si="63"/>
        <v>#REF!</v>
      </c>
      <c r="JL37" s="26" t="e">
        <f>+#REF!+#REF!+#REF!+#REF!+#REF!+#REF!+#REF!+#REF!+#REF!+#REF!+#REF!+#REF!</f>
        <v>#REF!</v>
      </c>
      <c r="JM37" s="36" t="e">
        <f>+#REF!+#REF!+#REF!+#REF!+#REF!+#REF!+#REF!+#REF!+#REF!+#REF!+#REF!+#REF!</f>
        <v>#REF!</v>
      </c>
      <c r="JN37" s="27" t="e">
        <f>+#REF!+#REF!+#REF!+#REF!+#REF!+#REF!+#REF!+#REF!+#REF!+#REF!+#REF!+#REF!</f>
        <v>#REF!</v>
      </c>
      <c r="JO37" s="27" t="e">
        <f>+#REF!+#REF!+#REF!+#REF!+#REF!+#REF!+#REF!+#REF!+#REF!+#REF!+#REF!+#REF!</f>
        <v>#REF!</v>
      </c>
      <c r="JP37" s="28" t="e">
        <f>+#REF!+#REF!+#REF!+#REF!+#REF!+#REF!+#REF!+#REF!+#REF!+#REF!+#REF!+#REF!</f>
        <v>#REF!</v>
      </c>
      <c r="JQ37" s="275" t="e">
        <f t="shared" si="64"/>
        <v>#REF!</v>
      </c>
      <c r="JR37" s="36" t="e">
        <f>+#REF!+#REF!+#REF!+#REF!+#REF!+#REF!+#REF!+#REF!+#REF!+#REF!+#REF!+#REF!</f>
        <v>#REF!</v>
      </c>
      <c r="JS37" s="36" t="e">
        <f>+#REF!+#REF!+#REF!+#REF!+#REF!+#REF!+#REF!+#REF!+#REF!+#REF!+#REF!+#REF!</f>
        <v>#REF!</v>
      </c>
      <c r="JT37" s="27" t="e">
        <f>+#REF!+#REF!+#REF!+#REF!+#REF!+#REF!+#REF!+#REF!+#REF!+#REF!+#REF!+#REF!</f>
        <v>#REF!</v>
      </c>
      <c r="JU37" s="27" t="e">
        <f>+#REF!+#REF!+#REF!+#REF!+#REF!+#REF!+#REF!+#REF!+#REF!+#REF!+#REF!+#REF!</f>
        <v>#REF!</v>
      </c>
      <c r="JV37" s="27" t="e">
        <f>+#REF!+#REF!+#REF!+#REF!+#REF!+#REF!+#REF!+#REF!+#REF!+#REF!+#REF!+#REF!</f>
        <v>#REF!</v>
      </c>
      <c r="JW37" s="33" t="e">
        <f t="shared" si="65"/>
        <v>#REF!</v>
      </c>
      <c r="JX37" s="2688"/>
      <c r="JZ37" s="26" t="e">
        <f t="shared" si="66"/>
        <v>#REF!</v>
      </c>
      <c r="KA37" s="27" t="e">
        <f t="shared" si="67"/>
        <v>#REF!</v>
      </c>
      <c r="KB37" s="27" t="e">
        <f t="shared" si="68"/>
        <v>#REF!</v>
      </c>
      <c r="KC37" s="33" t="e">
        <f t="shared" si="69"/>
        <v>#REF!</v>
      </c>
      <c r="KD37" s="2621"/>
      <c r="KE37" s="36" t="e">
        <f t="shared" si="87"/>
        <v>#REF!</v>
      </c>
      <c r="KF37" s="36" t="e">
        <f t="shared" si="87"/>
        <v>#REF!</v>
      </c>
      <c r="KG37" s="27" t="e">
        <f t="shared" si="87"/>
        <v>#REF!</v>
      </c>
      <c r="KH37" s="28" t="e">
        <f t="shared" si="81"/>
        <v>#REF!</v>
      </c>
      <c r="KI37" s="36" t="e">
        <f t="shared" si="82"/>
        <v>#REF!</v>
      </c>
      <c r="KJ37" s="27" t="e">
        <f t="shared" si="88"/>
        <v>#REF!</v>
      </c>
      <c r="KK37" s="27" t="e">
        <f t="shared" si="88"/>
        <v>#REF!</v>
      </c>
      <c r="KL37" s="27" t="e">
        <f t="shared" si="88"/>
        <v>#REF!</v>
      </c>
      <c r="KM37" s="27" t="e">
        <f t="shared" si="88"/>
        <v>#REF!</v>
      </c>
      <c r="KN37" s="27" t="e">
        <f t="shared" si="88"/>
        <v>#REF!</v>
      </c>
      <c r="KO37" s="28" t="e">
        <f t="shared" si="83"/>
        <v>#REF!</v>
      </c>
      <c r="KP37" s="36" t="e">
        <f t="shared" si="89"/>
        <v>#REF!</v>
      </c>
      <c r="KQ37" s="27" t="e">
        <f t="shared" si="89"/>
        <v>#REF!</v>
      </c>
      <c r="KR37" s="27" t="e">
        <f t="shared" si="89"/>
        <v>#REF!</v>
      </c>
      <c r="KS37" s="27" t="e">
        <f t="shared" si="89"/>
        <v>#REF!</v>
      </c>
      <c r="KT37" s="27" t="e">
        <f t="shared" si="89"/>
        <v>#REF!</v>
      </c>
      <c r="KU37" s="27" t="e">
        <f t="shared" si="89"/>
        <v>#REF!</v>
      </c>
      <c r="KV37" s="28" t="e">
        <f t="shared" si="84"/>
        <v>#REF!</v>
      </c>
      <c r="KW37" s="36" t="e">
        <f t="shared" si="90"/>
        <v>#REF!</v>
      </c>
      <c r="KX37" s="27" t="e">
        <f t="shared" si="90"/>
        <v>#REF!</v>
      </c>
      <c r="KY37" s="27" t="e">
        <f t="shared" si="90"/>
        <v>#REF!</v>
      </c>
      <c r="KZ37" s="27" t="e">
        <f t="shared" si="90"/>
        <v>#REF!</v>
      </c>
      <c r="LA37" s="27" t="e">
        <f t="shared" si="90"/>
        <v>#REF!</v>
      </c>
      <c r="LB37" s="27" t="e">
        <f t="shared" si="90"/>
        <v>#REF!</v>
      </c>
      <c r="LC37" s="28" t="e">
        <f t="shared" si="85"/>
        <v>#REF!</v>
      </c>
      <c r="LD37" s="36"/>
      <c r="LE37" s="27"/>
      <c r="LF37" s="27"/>
      <c r="LG37" s="27"/>
      <c r="LH37" s="27"/>
      <c r="LI37" s="27"/>
      <c r="LJ37" s="28">
        <f t="shared" si="70"/>
        <v>0</v>
      </c>
      <c r="LK37" s="36" t="e">
        <f t="shared" si="91"/>
        <v>#REF!</v>
      </c>
      <c r="LL37" s="27" t="e">
        <f t="shared" si="91"/>
        <v>#REF!</v>
      </c>
      <c r="LM37" s="27" t="e">
        <f t="shared" si="91"/>
        <v>#REF!</v>
      </c>
      <c r="LN37" s="27" t="e">
        <f t="shared" si="91"/>
        <v>#REF!</v>
      </c>
      <c r="LO37" s="27" t="e">
        <f t="shared" si="91"/>
        <v>#REF!</v>
      </c>
      <c r="LP37" s="27" t="e">
        <f t="shared" si="91"/>
        <v>#REF!</v>
      </c>
      <c r="LQ37" s="33" t="e">
        <f t="shared" si="71"/>
        <v>#REF!</v>
      </c>
      <c r="LR37" s="2621"/>
      <c r="LT37" s="4" t="e">
        <f>+#REF!+#REF!+#REF!+#REF!+#REF!+#REF!+#REF!+#REF!+#REF!+#REF!+#REF!+#REF!</f>
        <v>#REF!</v>
      </c>
      <c r="LU37" s="5" t="e">
        <f>+#REF!+#REF!+#REF!+#REF!+#REF!+#REF!+#REF!+#REF!+#REF!+#REF!+#REF!+#REF!</f>
        <v>#REF!</v>
      </c>
      <c r="LV37" s="5" t="e">
        <f t="shared" si="72"/>
        <v>#REF!</v>
      </c>
      <c r="LW37" s="12" t="e">
        <f t="shared" si="86"/>
        <v>#REF!</v>
      </c>
      <c r="LX37" s="15"/>
      <c r="LY37" s="2615"/>
      <c r="MA37" s="4" t="e">
        <f>+#REF!+#REF!+#REF!+#REF!+#REF!+#REF!+#REF!+#REF!+#REF!+#REF!+#REF!+#REF!</f>
        <v>#REF!</v>
      </c>
      <c r="MB37" s="5" t="e">
        <f t="shared" si="73"/>
        <v>#REF!</v>
      </c>
      <c r="MC37" s="5" t="e">
        <f>+#REF!+#REF!+#REF!+#REF!+#REF!+#REF!+#REF!+#REF!+#REF!+#REF!+#REF!+#REF!</f>
        <v>#REF!</v>
      </c>
      <c r="MD37" s="5" t="e">
        <f t="shared" si="74"/>
        <v>#REF!</v>
      </c>
      <c r="ME37" s="12" t="e">
        <f t="shared" si="75"/>
        <v>#REF!</v>
      </c>
      <c r="MF37" s="12"/>
      <c r="MG37" s="2615"/>
      <c r="MI37" s="139" t="e">
        <f t="shared" si="76"/>
        <v>#REF!</v>
      </c>
      <c r="MJ37" s="139" t="e">
        <f t="shared" si="77"/>
        <v>#REF!</v>
      </c>
      <c r="ML37" s="139" t="e">
        <f t="shared" si="78"/>
        <v>#REF!</v>
      </c>
      <c r="MM37" s="139" t="e">
        <f t="shared" si="79"/>
        <v>#REF!</v>
      </c>
      <c r="MO37" s="1">
        <f t="shared" si="92"/>
        <v>0</v>
      </c>
      <c r="MP37" s="1">
        <f t="shared" si="92"/>
        <v>0</v>
      </c>
      <c r="MQ37" s="1">
        <f t="shared" si="92"/>
        <v>0</v>
      </c>
      <c r="MR37" s="1">
        <f t="shared" si="92"/>
        <v>0</v>
      </c>
      <c r="MS37" s="1">
        <f t="shared" si="92"/>
        <v>0</v>
      </c>
      <c r="MT37" s="1">
        <f t="shared" si="92"/>
        <v>0</v>
      </c>
      <c r="MV37" s="1">
        <f t="shared" si="93"/>
        <v>0</v>
      </c>
      <c r="MW37" s="1">
        <f t="shared" si="93"/>
        <v>0</v>
      </c>
      <c r="MX37" s="1">
        <f t="shared" si="93"/>
        <v>0</v>
      </c>
      <c r="MY37" s="1">
        <f t="shared" si="93"/>
        <v>0</v>
      </c>
      <c r="MZ37" s="1">
        <f t="shared" si="93"/>
        <v>0</v>
      </c>
      <c r="NA37" s="1">
        <f t="shared" si="93"/>
        <v>0</v>
      </c>
    </row>
    <row r="38" spans="1:365" s="1" customFormat="1">
      <c r="B38" s="46">
        <v>29</v>
      </c>
      <c r="C38" s="4" t="e">
        <f t="shared" si="0"/>
        <v>#REF!</v>
      </c>
      <c r="D38" s="5" t="e">
        <f t="shared" si="1"/>
        <v>#REF!</v>
      </c>
      <c r="E38" s="61">
        <f t="shared" si="14"/>
        <v>0</v>
      </c>
      <c r="F38" s="52"/>
      <c r="G38" s="53"/>
      <c r="H38" s="53"/>
      <c r="I38" s="54"/>
      <c r="J38" s="2629"/>
      <c r="K38" s="9" t="e">
        <f t="shared" si="15"/>
        <v>#REF!</v>
      </c>
      <c r="L38" s="5" t="e">
        <f t="shared" si="2"/>
        <v>#REF!</v>
      </c>
      <c r="M38" s="64">
        <f t="shared" si="16"/>
        <v>0</v>
      </c>
      <c r="N38" s="28"/>
      <c r="O38" s="36" t="e">
        <f t="shared" si="17"/>
        <v>#REF!</v>
      </c>
      <c r="P38" s="27" t="e">
        <f t="shared" si="17"/>
        <v>#REF!</v>
      </c>
      <c r="Q38" s="53">
        <f t="shared" si="18"/>
        <v>0</v>
      </c>
      <c r="R38" s="28"/>
      <c r="S38" s="36" t="e">
        <f t="shared" si="19"/>
        <v>#REF!</v>
      </c>
      <c r="T38" s="27" t="e">
        <f t="shared" si="19"/>
        <v>#REF!</v>
      </c>
      <c r="U38" s="53">
        <f t="shared" si="3"/>
        <v>0</v>
      </c>
      <c r="V38" s="28"/>
      <c r="W38" s="36" t="e">
        <f t="shared" si="20"/>
        <v>#REF!</v>
      </c>
      <c r="X38" s="27" t="e">
        <f t="shared" si="4"/>
        <v>#REF!</v>
      </c>
      <c r="Y38" s="53">
        <f t="shared" si="21"/>
        <v>0</v>
      </c>
      <c r="Z38" s="28"/>
      <c r="AA38" s="26" t="e">
        <f t="shared" ref="AA38:AB40" si="94">+AX38+BA38</f>
        <v>#REF!</v>
      </c>
      <c r="AB38" s="27" t="e">
        <f t="shared" si="94"/>
        <v>#REF!</v>
      </c>
      <c r="AC38" s="53">
        <f t="shared" si="23"/>
        <v>0</v>
      </c>
      <c r="AD38" s="33"/>
      <c r="AE38" s="2629"/>
      <c r="AF38" s="9" t="e">
        <f>+#REF!+#REF!+#REF!+#REF!+#REF!+#REF!+#REF!+#REF!+#REF!+#REF!+#REF!+#REF!</f>
        <v>#REF!</v>
      </c>
      <c r="AG38" s="5" t="e">
        <f>+#REF!+#REF!+#REF!+#REF!+#REF!+#REF!+#REF!+#REF!+#REF!+#REF!+#REF!+#REF!</f>
        <v>#REF!</v>
      </c>
      <c r="AH38" s="61">
        <f t="shared" si="24"/>
        <v>0</v>
      </c>
      <c r="AI38" s="36" t="e">
        <f>+#REF!+#REF!+#REF!+#REF!+#REF!+#REF!+#REF!+#REF!+#REF!+#REF!+#REF!+#REF!</f>
        <v>#REF!</v>
      </c>
      <c r="AJ38" s="27" t="e">
        <f>+#REF!+#REF!+#REF!+#REF!+#REF!+#REF!+#REF!+#REF!+#REF!+#REF!+#REF!+#REF!</f>
        <v>#REF!</v>
      </c>
      <c r="AK38" s="61">
        <f t="shared" si="25"/>
        <v>0</v>
      </c>
      <c r="AL38" s="36" t="e">
        <f>+#REF!+#REF!+#REF!+#REF!+#REF!+#REF!+#REF!+#REF!+#REF!+#REF!+#REF!+#REF!</f>
        <v>#REF!</v>
      </c>
      <c r="AM38" s="27" t="e">
        <f>+#REF!+#REF!+#REF!+#REF!+#REF!+#REF!+#REF!+#REF!+#REF!+#REF!+#REF!+#REF!</f>
        <v>#REF!</v>
      </c>
      <c r="AN38" s="61">
        <f t="shared" si="26"/>
        <v>0</v>
      </c>
      <c r="AO38" s="36" t="e">
        <f>+#REF!+#REF!+#REF!+#REF!+#REF!+#REF!+#REF!+#REF!+#REF!+#REF!+#REF!+#REF!</f>
        <v>#REF!</v>
      </c>
      <c r="AP38" s="27" t="e">
        <f>+#REF!+#REF!+#REF!+#REF!+#REF!+#REF!+#REF!+#REF!+#REF!+#REF!+#REF!+#REF!</f>
        <v>#REF!</v>
      </c>
      <c r="AQ38" s="61">
        <f t="shared" si="27"/>
        <v>0</v>
      </c>
      <c r="AR38" s="36" t="e">
        <f>+#REF!+#REF!+#REF!+#REF!+#REF!+#REF!+#REF!+#REF!+#REF!+#REF!+#REF!+#REF!</f>
        <v>#REF!</v>
      </c>
      <c r="AS38" s="27" t="e">
        <f>+#REF!+#REF!+#REF!+#REF!+#REF!+#REF!+#REF!+#REF!+#REF!+#REF!+#REF!+#REF!</f>
        <v>#REF!</v>
      </c>
      <c r="AT38" s="61">
        <f t="shared" si="28"/>
        <v>0</v>
      </c>
      <c r="AU38" s="36" t="e">
        <f>+#REF!+#REF!+#REF!+#REF!+#REF!+#REF!+#REF!+#REF!+#REF!+#REF!+#REF!+#REF!</f>
        <v>#REF!</v>
      </c>
      <c r="AV38" s="27" t="e">
        <f>+#REF!+#REF!+#REF!+#REF!+#REF!+#REF!+#REF!+#REF!+#REF!+#REF!+#REF!+#REF!</f>
        <v>#REF!</v>
      </c>
      <c r="AW38" s="61">
        <f t="shared" si="29"/>
        <v>0</v>
      </c>
      <c r="AX38" s="36" t="e">
        <f>+#REF!+#REF!+#REF!+#REF!+#REF!+#REF!+#REF!+#REF!+#REF!+#REF!+#REF!+#REF!</f>
        <v>#REF!</v>
      </c>
      <c r="AY38" s="27" t="e">
        <f>+#REF!+#REF!+#REF!+#REF!+#REF!+#REF!+#REF!+#REF!+#REF!+#REF!+#REF!+#REF!</f>
        <v>#REF!</v>
      </c>
      <c r="AZ38" s="61">
        <f t="shared" si="30"/>
        <v>0</v>
      </c>
      <c r="BA38" s="36" t="e">
        <f>+#REF!+#REF!+#REF!+#REF!+#REF!+#REF!+#REF!+#REF!+#REF!+#REF!+#REF!+#REF!</f>
        <v>#REF!</v>
      </c>
      <c r="BB38" s="27" t="e">
        <f>+#REF!+#REF!+#REF!+#REF!+#REF!+#REF!+#REF!+#REF!+#REF!+#REF!+#REF!+#REF!</f>
        <v>#REF!</v>
      </c>
      <c r="BC38" s="61">
        <f t="shared" si="31"/>
        <v>0</v>
      </c>
      <c r="BD38" s="36" t="e">
        <f>+#REF!+#REF!+#REF!+#REF!+#REF!+#REF!+#REF!+#REF!+#REF!+#REF!+#REF!+#REF!</f>
        <v>#REF!</v>
      </c>
      <c r="BE38" s="27" t="e">
        <f>+#REF!+#REF!+#REF!+#REF!+#REF!+#REF!+#REF!+#REF!+#REF!+#REF!+#REF!+#REF!</f>
        <v>#REF!</v>
      </c>
      <c r="BF38" s="61">
        <f t="shared" si="32"/>
        <v>0</v>
      </c>
      <c r="BG38" s="36" t="e">
        <f>+#REF!+#REF!+#REF!+#REF!+#REF!+#REF!+#REF!+#REF!+#REF!+#REF!+#REF!+#REF!</f>
        <v>#REF!</v>
      </c>
      <c r="BH38" s="27" t="e">
        <f>+#REF!+#REF!+#REF!+#REF!+#REF!+#REF!+#REF!+#REF!+#REF!+#REF!+#REF!+#REF!</f>
        <v>#REF!</v>
      </c>
      <c r="BI38" s="61">
        <f t="shared" si="33"/>
        <v>0</v>
      </c>
      <c r="BJ38" s="36" t="e">
        <f>+#REF!+#REF!+#REF!+#REF!+#REF!+#REF!+#REF!+#REF!+#REF!+#REF!+#REF!+#REF!</f>
        <v>#REF!</v>
      </c>
      <c r="BK38" s="27" t="e">
        <f>+#REF!+#REF!+#REF!+#REF!+#REF!+#REF!+#REF!+#REF!+#REF!+#REF!+#REF!+#REF!</f>
        <v>#REF!</v>
      </c>
      <c r="BL38" s="61">
        <f t="shared" si="34"/>
        <v>0</v>
      </c>
      <c r="BM38" s="36" t="e">
        <f>+#REF!+#REF!+#REF!+#REF!+#REF!+#REF!+#REF!+#REF!+#REF!+#REF!+#REF!+#REF!</f>
        <v>#REF!</v>
      </c>
      <c r="BN38" s="27" t="e">
        <f>+#REF!+#REF!+#REF!+#REF!+#REF!+#REF!+#REF!+#REF!+#REF!+#REF!+#REF!+#REF!</f>
        <v>#REF!</v>
      </c>
      <c r="BO38" s="54">
        <f t="shared" si="35"/>
        <v>0</v>
      </c>
      <c r="BP38" s="26" t="e">
        <f>+#REF!+#REF!+#REF!+#REF!+#REF!+#REF!+#REF!+#REF!+#REF!+#REF!+#REF!+#REF!</f>
        <v>#REF!</v>
      </c>
      <c r="BQ38" s="27" t="e">
        <f>+#REF!+#REF!+#REF!+#REF!+#REF!+#REF!+#REF!+#REF!+#REF!+#REF!+#REF!+#REF!</f>
        <v>#REF!</v>
      </c>
      <c r="BR38" s="61">
        <f t="shared" si="36"/>
        <v>0</v>
      </c>
      <c r="BS38" s="26" t="e">
        <f>+#REF!+#REF!+#REF!+#REF!+#REF!+#REF!+#REF!+#REF!+#REF!+#REF!+#REF!+#REF!</f>
        <v>#REF!</v>
      </c>
      <c r="BT38" s="27" t="e">
        <f>+#REF!+#REF!+#REF!+#REF!+#REF!+#REF!+#REF!+#REF!+#REF!+#REF!+#REF!+#REF!</f>
        <v>#REF!</v>
      </c>
      <c r="BU38" s="61">
        <f t="shared" si="37"/>
        <v>0</v>
      </c>
      <c r="BV38" s="150"/>
      <c r="BW38" s="9" t="e">
        <f>+#REF!+#REF!+#REF!+#REF!+#REF!+#REF!+#REF!+#REF!+#REF!+#REF!+#REF!+#REF!</f>
        <v>#REF!</v>
      </c>
      <c r="BX38" s="5" t="e">
        <f>+#REF!+#REF!+#REF!+#REF!+#REF!+#REF!+#REF!+#REF!+#REF!+#REF!+#REF!+#REF!</f>
        <v>#REF!</v>
      </c>
      <c r="BY38" s="5" t="e">
        <f>+#REF!+#REF!+#REF!+#REF!+#REF!+#REF!+#REF!+#REF!+#REF!+#REF!+#REF!+#REF!</f>
        <v>#REF!</v>
      </c>
      <c r="BZ38" s="5" t="e">
        <f>+#REF!+#REF!+#REF!+#REF!+#REF!+#REF!+#REF!+#REF!+#REF!+#REF!+#REF!+#REF!</f>
        <v>#REF!</v>
      </c>
      <c r="CA38" s="5" t="e">
        <f>+#REF!+#REF!+#REF!+#REF!+#REF!+#REF!+#REF!+#REF!+#REF!+#REF!+#REF!+#REF!</f>
        <v>#REF!</v>
      </c>
      <c r="CB38" s="5" t="e">
        <f t="shared" si="38"/>
        <v>#REF!</v>
      </c>
      <c r="CC38" s="33"/>
      <c r="CD38" s="2683"/>
      <c r="CF38" s="4" t="e">
        <f t="shared" si="39"/>
        <v>#REF!</v>
      </c>
      <c r="CG38" s="5" t="e">
        <f t="shared" si="5"/>
        <v>#REF!</v>
      </c>
      <c r="CH38" s="5" t="e">
        <f t="shared" si="5"/>
        <v>#REF!</v>
      </c>
      <c r="CI38" s="5" t="e">
        <f t="shared" si="5"/>
        <v>#REF!</v>
      </c>
      <c r="CJ38" s="5" t="e">
        <f t="shared" si="5"/>
        <v>#REF!</v>
      </c>
      <c r="CK38" s="5" t="e">
        <f t="shared" si="5"/>
        <v>#REF!</v>
      </c>
      <c r="CL38" s="33" t="e">
        <f t="shared" si="40"/>
        <v>#REF!</v>
      </c>
      <c r="CM38" s="2685"/>
      <c r="CN38" s="9" t="e">
        <f>+#REF!+#REF!+#REF!+#REF!+#REF!+#REF!+#REF!+#REF!+#REF!+#REF!+#REF!+#REF!</f>
        <v>#REF!</v>
      </c>
      <c r="CO38" s="5" t="e">
        <f>+#REF!+#REF!+#REF!+#REF!+#REF!+#REF!+#REF!+#REF!+#REF!+#REF!+#REF!+#REF!</f>
        <v>#REF!</v>
      </c>
      <c r="CP38" s="5" t="e">
        <f>+#REF!+#REF!+#REF!+#REF!+#REF!+#REF!+#REF!+#REF!+#REF!+#REF!+#REF!+#REF!</f>
        <v>#REF!</v>
      </c>
      <c r="CQ38" s="5" t="e">
        <f>+#REF!+#REF!+#REF!+#REF!+#REF!+#REF!+#REF!+#REF!+#REF!+#REF!+#REF!+#REF!</f>
        <v>#REF!</v>
      </c>
      <c r="CR38" s="5" t="e">
        <f>+#REF!+#REF!+#REF!+#REF!+#REF!+#REF!+#REF!+#REF!+#REF!+#REF!+#REF!+#REF!</f>
        <v>#REF!</v>
      </c>
      <c r="CS38" s="5" t="e">
        <f>+#REF!+#REF!+#REF!+#REF!+#REF!+#REF!+#REF!+#REF!+#REF!+#REF!+#REF!+#REF!</f>
        <v>#REF!</v>
      </c>
      <c r="CT38" s="28" t="e">
        <f t="shared" si="41"/>
        <v>#REF!</v>
      </c>
      <c r="CU38" s="36" t="e">
        <f>+#REF!+#REF!+#REF!+#REF!+#REF!+#REF!+#REF!+#REF!+#REF!+#REF!+#REF!+#REF!</f>
        <v>#REF!</v>
      </c>
      <c r="CV38" s="27" t="e">
        <f>+#REF!+#REF!+#REF!+#REF!+#REF!+#REF!+#REF!+#REF!+#REF!+#REF!+#REF!+#REF!</f>
        <v>#REF!</v>
      </c>
      <c r="CW38" s="27" t="e">
        <f>+#REF!+#REF!+#REF!+#REF!+#REF!+#REF!+#REF!+#REF!+#REF!+#REF!+#REF!+#REF!</f>
        <v>#REF!</v>
      </c>
      <c r="CX38" s="27" t="e">
        <f>+#REF!+#REF!+#REF!+#REF!+#REF!+#REF!+#REF!+#REF!+#REF!+#REF!+#REF!+#REF!</f>
        <v>#REF!</v>
      </c>
      <c r="CY38" s="27" t="e">
        <f>+#REF!+#REF!+#REF!+#REF!+#REF!+#REF!+#REF!+#REF!+#REF!+#REF!+#REF!+#REF!</f>
        <v>#REF!</v>
      </c>
      <c r="CZ38" s="27" t="e">
        <f>+#REF!+#REF!+#REF!+#REF!+#REF!+#REF!+#REF!+#REF!+#REF!+#REF!+#REF!+#REF!</f>
        <v>#REF!</v>
      </c>
      <c r="DA38" s="28" t="e">
        <f t="shared" si="42"/>
        <v>#REF!</v>
      </c>
      <c r="DB38" s="36" t="e">
        <f>+#REF!+#REF!+#REF!+#REF!+#REF!+#REF!+#REF!+#REF!+#REF!+#REF!+#REF!+#REF!</f>
        <v>#REF!</v>
      </c>
      <c r="DC38" s="27" t="e">
        <f>+#REF!+#REF!+#REF!+#REF!+#REF!+#REF!+#REF!+#REF!+#REF!+#REF!+#REF!+#REF!</f>
        <v>#REF!</v>
      </c>
      <c r="DD38" s="27" t="e">
        <f>+#REF!+#REF!+#REF!+#REF!+#REF!+#REF!+#REF!+#REF!+#REF!+#REF!+#REF!+#REF!</f>
        <v>#REF!</v>
      </c>
      <c r="DE38" s="27" t="e">
        <f>+#REF!+#REF!+#REF!+#REF!+#REF!+#REF!+#REF!+#REF!+#REF!+#REF!+#REF!+#REF!</f>
        <v>#REF!</v>
      </c>
      <c r="DF38" s="27" t="e">
        <f>+#REF!+#REF!+#REF!+#REF!+#REF!+#REF!+#REF!+#REF!+#REF!+#REF!+#REF!+#REF!</f>
        <v>#REF!</v>
      </c>
      <c r="DG38" s="27" t="e">
        <f>+#REF!+#REF!+#REF!+#REF!+#REF!+#REF!+#REF!+#REF!+#REF!+#REF!+#REF!+#REF!</f>
        <v>#REF!</v>
      </c>
      <c r="DH38" s="28" t="e">
        <f t="shared" si="43"/>
        <v>#REF!</v>
      </c>
      <c r="DI38" s="36" t="e">
        <f>+#REF!+#REF!+#REF!+#REF!+#REF!+#REF!+#REF!+#REF!+#REF!+#REF!+#REF!+#REF!</f>
        <v>#REF!</v>
      </c>
      <c r="DJ38" s="27" t="e">
        <f>+#REF!+#REF!+#REF!+#REF!+#REF!+#REF!+#REF!+#REF!+#REF!+#REF!+#REF!+#REF!</f>
        <v>#REF!</v>
      </c>
      <c r="DK38" s="27" t="e">
        <f>+#REF!+#REF!+#REF!+#REF!+#REF!+#REF!+#REF!+#REF!+#REF!+#REF!+#REF!+#REF!</f>
        <v>#REF!</v>
      </c>
      <c r="DL38" s="27" t="e">
        <f>+#REF!+#REF!+#REF!+#REF!+#REF!+#REF!+#REF!+#REF!+#REF!+#REF!+#REF!+#REF!</f>
        <v>#REF!</v>
      </c>
      <c r="DM38" s="27" t="e">
        <f>+#REF!+#REF!+#REF!+#REF!+#REF!+#REF!+#REF!+#REF!+#REF!+#REF!+#REF!+#REF!</f>
        <v>#REF!</v>
      </c>
      <c r="DN38" s="27" t="e">
        <f>+#REF!+#REF!+#REF!+#REF!+#REF!+#REF!+#REF!+#REF!+#REF!+#REF!+#REF!+#REF!</f>
        <v>#REF!</v>
      </c>
      <c r="DO38" s="33" t="e">
        <f t="shared" si="44"/>
        <v>#REF!</v>
      </c>
      <c r="DP38" s="2685"/>
      <c r="DR38" s="4" t="e">
        <f t="shared" si="45"/>
        <v>#REF!</v>
      </c>
      <c r="DS38" s="5" t="e">
        <f t="shared" si="46"/>
        <v>#REF!</v>
      </c>
      <c r="DT38" s="5" t="e">
        <f t="shared" si="47"/>
        <v>#REF!</v>
      </c>
      <c r="DU38" s="12" t="e">
        <f t="shared" si="48"/>
        <v>#REF!</v>
      </c>
      <c r="DV38" s="33"/>
      <c r="DW38" s="2674"/>
      <c r="DX38" s="9" t="e">
        <f>+#REF!+#REF!+#REF!+#REF!+#REF!+#REF!+#REF!+#REF!+#REF!+#REF!+#REF!+#REF!</f>
        <v>#REF!</v>
      </c>
      <c r="DY38" s="5" t="e">
        <f>+#REF!+#REF!+#REF!+#REF!+#REF!+#REF!+#REF!+#REF!+#REF!+#REF!+#REF!+#REF!</f>
        <v>#REF!</v>
      </c>
      <c r="DZ38" s="5" t="e">
        <f>+#REF!+#REF!+#REF!+#REF!+#REF!+#REF!+#REF!+#REF!+#REF!+#REF!+#REF!+#REF!</f>
        <v>#REF!</v>
      </c>
      <c r="EA38" s="5" t="e">
        <f>+#REF!+#REF!+#REF!+#REF!+#REF!+#REF!+#REF!+#REF!+#REF!+#REF!+#REF!+#REF!</f>
        <v>#REF!</v>
      </c>
      <c r="EB38" s="5" t="e">
        <f>+#REF!+#REF!+#REF!+#REF!+#REF!+#REF!+#REF!+#REF!+#REF!+#REF!+#REF!+#REF!</f>
        <v>#REF!</v>
      </c>
      <c r="EC38" s="27" t="e">
        <f>+#REF!+#REF!+#REF!+#REF!+#REF!+#REF!+#REF!+#REF!+#REF!+#REF!+#REF!+#REF!</f>
        <v>#REF!</v>
      </c>
      <c r="ED38" s="28" t="e">
        <f t="shared" si="49"/>
        <v>#REF!</v>
      </c>
      <c r="EE38" s="36" t="e">
        <f>+#REF!+#REF!+#REF!+#REF!+#REF!+#REF!+#REF!+#REF!+#REF!+#REF!+#REF!+#REF!</f>
        <v>#REF!</v>
      </c>
      <c r="EF38" s="27" t="e">
        <f>+#REF!+#REF!+#REF!+#REF!+#REF!+#REF!+#REF!+#REF!+#REF!+#REF!+#REF!+#REF!</f>
        <v>#REF!</v>
      </c>
      <c r="EG38" s="27" t="e">
        <f>+#REF!+#REF!+#REF!+#REF!+#REF!+#REF!+#REF!+#REF!+#REF!+#REF!+#REF!+#REF!</f>
        <v>#REF!</v>
      </c>
      <c r="EH38" s="27" t="e">
        <f>+#REF!+#REF!+#REF!+#REF!+#REF!+#REF!+#REF!+#REF!+#REF!+#REF!+#REF!+#REF!</f>
        <v>#REF!</v>
      </c>
      <c r="EI38" s="27" t="e">
        <f>+#REF!+#REF!+#REF!+#REF!+#REF!+#REF!+#REF!+#REF!+#REF!+#REF!+#REF!+#REF!</f>
        <v>#REF!</v>
      </c>
      <c r="EJ38" s="27" t="e">
        <f>+#REF!+#REF!+#REF!+#REF!+#REF!+#REF!+#REF!+#REF!+#REF!+#REF!+#REF!+#REF!</f>
        <v>#REF!</v>
      </c>
      <c r="EK38" s="28" t="e">
        <f t="shared" si="50"/>
        <v>#REF!</v>
      </c>
      <c r="EL38" s="36" t="e">
        <f>+#REF!+#REF!+#REF!+#REF!+#REF!+#REF!+#REF!+#REF!+#REF!+#REF!+#REF!+#REF!</f>
        <v>#REF!</v>
      </c>
      <c r="EM38" s="27" t="e">
        <f>+#REF!+#REF!+#REF!+#REF!+#REF!+#REF!+#REF!+#REF!+#REF!+#REF!+#REF!+#REF!</f>
        <v>#REF!</v>
      </c>
      <c r="EN38" s="27" t="e">
        <f>+#REF!+#REF!+#REF!+#REF!+#REF!+#REF!+#REF!+#REF!+#REF!+#REF!+#REF!+#REF!</f>
        <v>#REF!</v>
      </c>
      <c r="EO38" s="27" t="e">
        <f>+#REF!+#REF!+#REF!+#REF!+#REF!+#REF!+#REF!+#REF!+#REF!+#REF!+#REF!+#REF!</f>
        <v>#REF!</v>
      </c>
      <c r="EP38" s="27" t="e">
        <f>+#REF!+#REF!+#REF!+#REF!+#REF!+#REF!+#REF!+#REF!+#REF!+#REF!+#REF!+#REF!</f>
        <v>#REF!</v>
      </c>
      <c r="EQ38" s="27" t="e">
        <f>+#REF!+#REF!+#REF!+#REF!+#REF!+#REF!+#REF!+#REF!+#REF!+#REF!+#REF!+#REF!</f>
        <v>#REF!</v>
      </c>
      <c r="ER38" s="33" t="e">
        <f t="shared" si="51"/>
        <v>#REF!</v>
      </c>
      <c r="ES38" s="2674"/>
      <c r="EU38" s="4" t="e">
        <f t="shared" si="52"/>
        <v>#REF!</v>
      </c>
      <c r="EV38" s="5" t="e">
        <f t="shared" si="53"/>
        <v>#REF!</v>
      </c>
      <c r="EW38" s="27" t="e">
        <f t="shared" si="54"/>
        <v>#REF!</v>
      </c>
      <c r="EX38" s="27" t="e">
        <f t="shared" si="55"/>
        <v>#REF!</v>
      </c>
      <c r="EY38" s="141"/>
      <c r="EZ38" s="141"/>
      <c r="FA38" s="33"/>
      <c r="FB38" s="2667"/>
      <c r="FC38" s="36" t="e">
        <f>+#REF!+#REF!+#REF!+#REF!+#REF!+#REF!+#REF!+#REF!+#REF!+#REF!+#REF!+#REF!</f>
        <v>#REF!</v>
      </c>
      <c r="FD38" s="27" t="e">
        <f>+#REF!+#REF!+#REF!+#REF!+#REF!+#REF!+#REF!+#REF!+#REF!+#REF!+#REF!+#REF!</f>
        <v>#REF!</v>
      </c>
      <c r="FE38" s="27"/>
      <c r="FF38" s="27"/>
      <c r="FG38" s="33" t="e">
        <f t="shared" si="56"/>
        <v>#REF!</v>
      </c>
      <c r="FH38" s="2667"/>
      <c r="FI38" s="36" t="e">
        <f>+#REF!+#REF!+#REF!+#REF!+#REF!+#REF!+#REF!+#REF!+#REF!+#REF!+#REF!+#REF!</f>
        <v>#REF!</v>
      </c>
      <c r="FJ38" s="27" t="e">
        <f>+#REF!+#REF!+#REF!+#REF!+#REF!+#REF!+#REF!+#REF!+#REF!+#REF!+#REF!+#REF!</f>
        <v>#REF!</v>
      </c>
      <c r="FK38" s="27" t="e">
        <f>+#REF!+#REF!+#REF!+#REF!+#REF!+#REF!+#REF!+#REF!+#REF!+#REF!+#REF!+#REF!</f>
        <v>#REF!</v>
      </c>
      <c r="FL38" s="27" t="e">
        <f>+#REF!+#REF!+#REF!+#REF!+#REF!+#REF!+#REF!+#REF!+#REF!+#REF!+#REF!+#REF!</f>
        <v>#REF!</v>
      </c>
      <c r="FM38" s="27" t="e">
        <f>+#REF!+#REF!+#REF!+#REF!+#REF!+#REF!+#REF!+#REF!+#REF!+#REF!+#REF!+#REF!</f>
        <v>#REF!</v>
      </c>
      <c r="FN38" s="27" t="e">
        <f>+#REF!+#REF!+#REF!+#REF!+#REF!+#REF!+#REF!+#REF!+#REF!+#REF!+#REF!+#REF!</f>
        <v>#REF!</v>
      </c>
      <c r="FO38" s="27" t="e">
        <f>+#REF!+#REF!+#REF!+#REF!+#REF!+#REF!+#REF!+#REF!+#REF!+#REF!+#REF!+#REF!</f>
        <v>#REF!</v>
      </c>
      <c r="FP38" s="27" t="e">
        <f>+#REF!+#REF!+#REF!+#REF!+#REF!+#REF!+#REF!+#REF!+#REF!+#REF!+#REF!+#REF!</f>
        <v>#REF!</v>
      </c>
      <c r="FQ38" s="28" t="e">
        <f t="shared" si="80"/>
        <v>#REF!</v>
      </c>
      <c r="FR38" s="26" t="e">
        <f>+#REF!+#REF!+#REF!+#REF!+#REF!+#REF!+#REF!+#REF!+#REF!+#REF!+#REF!+#REF!</f>
        <v>#REF!</v>
      </c>
      <c r="FS38" s="27" t="e">
        <f>+#REF!+#REF!+#REF!+#REF!+#REF!+#REF!+#REF!+#REF!+#REF!+#REF!+#REF!+#REF!</f>
        <v>#REF!</v>
      </c>
      <c r="FT38" s="27" t="e">
        <f>+#REF!+#REF!+#REF!+#REF!+#REF!+#REF!+#REF!+#REF!+#REF!+#REF!+#REF!+#REF!</f>
        <v>#REF!</v>
      </c>
      <c r="FU38" s="27" t="e">
        <f>+#REF!+#REF!+#REF!+#REF!+#REF!+#REF!+#REF!+#REF!+#REF!+#REF!+#REF!+#REF!</f>
        <v>#REF!</v>
      </c>
      <c r="FV38" s="27" t="e">
        <f>+#REF!+#REF!+#REF!+#REF!+#REF!+#REF!+#REF!+#REF!+#REF!+#REF!+#REF!+#REF!</f>
        <v>#REF!</v>
      </c>
      <c r="FW38" s="27" t="e">
        <f>+#REF!+#REF!+#REF!+#REF!+#REF!+#REF!+#REF!+#REF!+#REF!+#REF!+#REF!+#REF!</f>
        <v>#REF!</v>
      </c>
      <c r="FX38" s="27" t="e">
        <f>+#REF!+#REF!+#REF!+#REF!+#REF!+#REF!+#REF!+#REF!+#REF!+#REF!+#REF!+#REF!</f>
        <v>#REF!</v>
      </c>
      <c r="FY38" s="27" t="e">
        <f>+#REF!+#REF!+#REF!+#REF!+#REF!+#REF!+#REF!+#REF!+#REF!+#REF!+#REF!+#REF!</f>
        <v>#REF!</v>
      </c>
      <c r="FZ38" s="28" t="e">
        <f t="shared" si="57"/>
        <v>#REF!</v>
      </c>
      <c r="GA38" s="36" t="e">
        <f>+#REF!+#REF!+#REF!+#REF!+#REF!+#REF!+#REF!+#REF!+#REF!+#REF!+#REF!+#REF!</f>
        <v>#REF!</v>
      </c>
      <c r="GB38" s="27" t="e">
        <f>+#REF!+#REF!+#REF!+#REF!+#REF!+#REF!+#REF!+#REF!+#REF!+#REF!+#REF!+#REF!</f>
        <v>#REF!</v>
      </c>
      <c r="GC38" s="27" t="e">
        <f>+#REF!+#REF!+#REF!+#REF!+#REF!+#REF!+#REF!+#REF!+#REF!+#REF!+#REF!+#REF!</f>
        <v>#REF!</v>
      </c>
      <c r="GD38" s="27" t="e">
        <f>+#REF!+#REF!+#REF!+#REF!+#REF!+#REF!+#REF!+#REF!+#REF!+#REF!+#REF!+#REF!</f>
        <v>#REF!</v>
      </c>
      <c r="GE38" s="27" t="e">
        <f>+#REF!+#REF!+#REF!+#REF!+#REF!+#REF!+#REF!+#REF!+#REF!+#REF!+#REF!+#REF!</f>
        <v>#REF!</v>
      </c>
      <c r="GF38" s="27" t="e">
        <f>+#REF!+#REF!+#REF!+#REF!+#REF!+#REF!+#REF!+#REF!+#REF!+#REF!+#REF!+#REF!</f>
        <v>#REF!</v>
      </c>
      <c r="GG38" s="27" t="e">
        <f>+#REF!+#REF!+#REF!+#REF!+#REF!+#REF!+#REF!+#REF!+#REF!+#REF!+#REF!+#REF!</f>
        <v>#REF!</v>
      </c>
      <c r="GH38" s="27" t="e">
        <f>+#REF!+#REF!+#REF!+#REF!+#REF!+#REF!+#REF!+#REF!+#REF!+#REF!+#REF!+#REF!</f>
        <v>#REF!</v>
      </c>
      <c r="GI38" s="33" t="e">
        <f t="shared" si="58"/>
        <v>#REF!</v>
      </c>
      <c r="GJ38" s="2667"/>
      <c r="GL38" s="26" t="e">
        <f>+#REF!+#REF!+#REF!+#REF!+#REF!+#REF!+#REF!+#REF!+#REF!+#REF!+#REF!+#REF!</f>
        <v>#REF!</v>
      </c>
      <c r="GM38" s="36" t="e">
        <f>+#REF!+#REF!+#REF!+#REF!+#REF!+#REF!+#REF!+#REF!+#REF!+#REF!+#REF!+#REF!</f>
        <v>#REF!</v>
      </c>
      <c r="GN38" s="27" t="e">
        <f>+#REF!+#REF!+#REF!+#REF!+#REF!+#REF!+#REF!+#REF!+#REF!+#REF!+#REF!+#REF!</f>
        <v>#REF!</v>
      </c>
      <c r="GO38" s="27" t="e">
        <f t="shared" si="59"/>
        <v>#REF!</v>
      </c>
      <c r="GP38" s="33"/>
      <c r="GQ38" s="2669"/>
      <c r="GR38" s="69"/>
      <c r="GS38" s="70"/>
      <c r="GT38" s="70"/>
      <c r="GU38" s="70"/>
      <c r="GV38" s="70"/>
      <c r="GW38" s="70"/>
      <c r="GX38" s="70"/>
      <c r="GY38" s="71"/>
      <c r="GZ38" s="69"/>
      <c r="HA38" s="70"/>
      <c r="HB38" s="70"/>
      <c r="HC38" s="70"/>
      <c r="HD38" s="70"/>
      <c r="HE38" s="70"/>
      <c r="HF38" s="70"/>
      <c r="HG38" s="71"/>
      <c r="HH38" s="69"/>
      <c r="HI38" s="70"/>
      <c r="HJ38" s="70"/>
      <c r="HK38" s="70"/>
      <c r="HL38" s="70"/>
      <c r="HM38" s="70"/>
      <c r="HN38" s="70"/>
      <c r="HO38" s="70"/>
      <c r="HP38" s="33"/>
      <c r="HQ38" s="2669"/>
      <c r="HR38" s="36"/>
      <c r="HS38" s="53"/>
      <c r="HT38" s="53"/>
      <c r="HU38" s="53"/>
      <c r="HV38" s="61"/>
      <c r="HW38" s="36"/>
      <c r="HX38" s="53"/>
      <c r="HY38" s="53"/>
      <c r="HZ38" s="53"/>
      <c r="IA38" s="61"/>
      <c r="IB38" s="36"/>
      <c r="IC38" s="53"/>
      <c r="ID38" s="53"/>
      <c r="IE38" s="53"/>
      <c r="IF38" s="53"/>
      <c r="IG38" s="33"/>
      <c r="IH38" s="2669"/>
      <c r="IJ38" s="26" t="e">
        <f t="shared" si="60"/>
        <v>#REF!</v>
      </c>
      <c r="IK38" s="36" t="e">
        <f t="shared" si="6"/>
        <v>#REF!</v>
      </c>
      <c r="IL38" s="27" t="e">
        <f t="shared" si="6"/>
        <v>#REF!</v>
      </c>
      <c r="IM38" s="28" t="e">
        <f t="shared" si="61"/>
        <v>#REF!</v>
      </c>
      <c r="IN38" s="36"/>
      <c r="IO38" s="27"/>
      <c r="IP38" s="27"/>
      <c r="IQ38" s="33"/>
      <c r="IR38" s="55"/>
      <c r="IS38" s="21"/>
      <c r="IT38" s="2688"/>
      <c r="IU38" s="36" t="e">
        <f>+#REF!+#REF!+#REF!+#REF!+#REF!+#REF!+#REF!+#REF!+#REF!+#REF!+#REF!+#REF!</f>
        <v>#REF!</v>
      </c>
      <c r="IV38" s="36" t="e">
        <f>+#REF!+#REF!+#REF!+#REF!+#REF!+#REF!+#REF!+#REF!+#REF!+#REF!+#REF!+#REF!</f>
        <v>#REF!</v>
      </c>
      <c r="IW38" s="27" t="e">
        <f>+#REF!+#REF!+#REF!+#REF!+#REF!+#REF!+#REF!+#REF!+#REF!+#REF!+#REF!+#REF!</f>
        <v>#REF!</v>
      </c>
      <c r="IX38" s="27" t="e">
        <f>+#REF!+#REF!+#REF!+#REF!+#REF!+#REF!+#REF!+#REF!+#REF!+#REF!+#REF!+#REF!</f>
        <v>#REF!</v>
      </c>
      <c r="IY38" s="27" t="e">
        <f>+#REF!+#REF!+#REF!+#REF!+#REF!+#REF!+#REF!+#REF!+#REF!+#REF!+#REF!+#REF!</f>
        <v>#REF!</v>
      </c>
      <c r="IZ38" s="28" t="e">
        <f t="shared" si="62"/>
        <v>#REF!</v>
      </c>
      <c r="JA38" s="26" t="e">
        <f>+#REF!+#REF!+#REF!+#REF!+#REF!+#REF!+#REF!+#REF!+#REF!+#REF!+#REF!+#REF!</f>
        <v>#REF!</v>
      </c>
      <c r="JB38" s="36" t="e">
        <f>+#REF!+#REF!+#REF!+#REF!+#REF!+#REF!+#REF!+#REF!+#REF!+#REF!+#REF!+#REF!</f>
        <v>#REF!</v>
      </c>
      <c r="JC38" s="27" t="e">
        <f>+#REF!+#REF!+#REF!+#REF!+#REF!+#REF!+#REF!+#REF!+#REF!+#REF!+#REF!+#REF!</f>
        <v>#REF!</v>
      </c>
      <c r="JD38" s="27" t="e">
        <f>+#REF!+#REF!+#REF!+#REF!+#REF!+#REF!+#REF!+#REF!+#REF!+#REF!+#REF!+#REF!</f>
        <v>#REF!</v>
      </c>
      <c r="JE38" s="28" t="e">
        <f>+#REF!+#REF!+#REF!+#REF!+#REF!+#REF!+#REF!+#REF!+#REF!+#REF!+#REF!+#REF!</f>
        <v>#REF!</v>
      </c>
      <c r="JF38" s="26" t="e">
        <f>+#REF!+#REF!+#REF!+#REF!+#REF!+#REF!+#REF!+#REF!+#REF!+#REF!+#REF!+#REF!</f>
        <v>#REF!</v>
      </c>
      <c r="JG38" s="36" t="e">
        <f>+#REF!+#REF!+#REF!+#REF!+#REF!+#REF!+#REF!+#REF!+#REF!+#REF!+#REF!+#REF!</f>
        <v>#REF!</v>
      </c>
      <c r="JH38" s="27" t="e">
        <f>+#REF!+#REF!+#REF!+#REF!+#REF!+#REF!+#REF!+#REF!+#REF!+#REF!+#REF!+#REF!</f>
        <v>#REF!</v>
      </c>
      <c r="JI38" s="27" t="e">
        <f>+#REF!+#REF!+#REF!+#REF!+#REF!+#REF!+#REF!+#REF!+#REF!+#REF!+#REF!+#REF!</f>
        <v>#REF!</v>
      </c>
      <c r="JJ38" s="27" t="e">
        <f>+#REF!+#REF!+#REF!+#REF!+#REF!+#REF!+#REF!+#REF!+#REF!+#REF!+#REF!+#REF!</f>
        <v>#REF!</v>
      </c>
      <c r="JK38" s="28" t="e">
        <f t="shared" si="63"/>
        <v>#REF!</v>
      </c>
      <c r="JL38" s="26" t="e">
        <f>+#REF!+#REF!+#REF!+#REF!+#REF!+#REF!+#REF!+#REF!+#REF!+#REF!+#REF!+#REF!</f>
        <v>#REF!</v>
      </c>
      <c r="JM38" s="36" t="e">
        <f>+#REF!+#REF!+#REF!+#REF!+#REF!+#REF!+#REF!+#REF!+#REF!+#REF!+#REF!+#REF!</f>
        <v>#REF!</v>
      </c>
      <c r="JN38" s="27" t="e">
        <f>+#REF!+#REF!+#REF!+#REF!+#REF!+#REF!+#REF!+#REF!+#REF!+#REF!+#REF!+#REF!</f>
        <v>#REF!</v>
      </c>
      <c r="JO38" s="27" t="e">
        <f>+#REF!+#REF!+#REF!+#REF!+#REF!+#REF!+#REF!+#REF!+#REF!+#REF!+#REF!+#REF!</f>
        <v>#REF!</v>
      </c>
      <c r="JP38" s="28" t="e">
        <f>+#REF!+#REF!+#REF!+#REF!+#REF!+#REF!+#REF!+#REF!+#REF!+#REF!+#REF!+#REF!</f>
        <v>#REF!</v>
      </c>
      <c r="JQ38" s="275" t="e">
        <f t="shared" si="64"/>
        <v>#REF!</v>
      </c>
      <c r="JR38" s="36" t="e">
        <f>+#REF!+#REF!+#REF!+#REF!+#REF!+#REF!+#REF!+#REF!+#REF!+#REF!+#REF!+#REF!</f>
        <v>#REF!</v>
      </c>
      <c r="JS38" s="36" t="e">
        <f>+#REF!+#REF!+#REF!+#REF!+#REF!+#REF!+#REF!+#REF!+#REF!+#REF!+#REF!+#REF!</f>
        <v>#REF!</v>
      </c>
      <c r="JT38" s="27" t="e">
        <f>+#REF!+#REF!+#REF!+#REF!+#REF!+#REF!+#REF!+#REF!+#REF!+#REF!+#REF!+#REF!</f>
        <v>#REF!</v>
      </c>
      <c r="JU38" s="27" t="e">
        <f>+#REF!+#REF!+#REF!+#REF!+#REF!+#REF!+#REF!+#REF!+#REF!+#REF!+#REF!+#REF!</f>
        <v>#REF!</v>
      </c>
      <c r="JV38" s="27" t="e">
        <f>+#REF!+#REF!+#REF!+#REF!+#REF!+#REF!+#REF!+#REF!+#REF!+#REF!+#REF!+#REF!</f>
        <v>#REF!</v>
      </c>
      <c r="JW38" s="33" t="e">
        <f t="shared" si="65"/>
        <v>#REF!</v>
      </c>
      <c r="JX38" s="2688"/>
      <c r="JZ38" s="26" t="e">
        <f t="shared" si="66"/>
        <v>#REF!</v>
      </c>
      <c r="KA38" s="27" t="e">
        <f t="shared" si="67"/>
        <v>#REF!</v>
      </c>
      <c r="KB38" s="27" t="e">
        <f t="shared" si="68"/>
        <v>#REF!</v>
      </c>
      <c r="KC38" s="33" t="e">
        <f t="shared" si="69"/>
        <v>#REF!</v>
      </c>
      <c r="KD38" s="2621"/>
      <c r="KE38" s="36" t="e">
        <f t="shared" si="87"/>
        <v>#REF!</v>
      </c>
      <c r="KF38" s="36" t="e">
        <f t="shared" si="87"/>
        <v>#REF!</v>
      </c>
      <c r="KG38" s="27" t="e">
        <f t="shared" si="87"/>
        <v>#REF!</v>
      </c>
      <c r="KH38" s="28" t="e">
        <f t="shared" si="81"/>
        <v>#REF!</v>
      </c>
      <c r="KI38" s="36" t="e">
        <f t="shared" si="82"/>
        <v>#REF!</v>
      </c>
      <c r="KJ38" s="27" t="e">
        <f t="shared" si="88"/>
        <v>#REF!</v>
      </c>
      <c r="KK38" s="27" t="e">
        <f t="shared" si="88"/>
        <v>#REF!</v>
      </c>
      <c r="KL38" s="27" t="e">
        <f t="shared" si="88"/>
        <v>#REF!</v>
      </c>
      <c r="KM38" s="27" t="e">
        <f t="shared" si="88"/>
        <v>#REF!</v>
      </c>
      <c r="KN38" s="27" t="e">
        <f t="shared" si="88"/>
        <v>#REF!</v>
      </c>
      <c r="KO38" s="28" t="e">
        <f t="shared" si="83"/>
        <v>#REF!</v>
      </c>
      <c r="KP38" s="36" t="e">
        <f t="shared" si="89"/>
        <v>#REF!</v>
      </c>
      <c r="KQ38" s="27" t="e">
        <f t="shared" si="89"/>
        <v>#REF!</v>
      </c>
      <c r="KR38" s="27" t="e">
        <f t="shared" si="89"/>
        <v>#REF!</v>
      </c>
      <c r="KS38" s="27" t="e">
        <f t="shared" si="89"/>
        <v>#REF!</v>
      </c>
      <c r="KT38" s="27" t="e">
        <f t="shared" si="89"/>
        <v>#REF!</v>
      </c>
      <c r="KU38" s="27" t="e">
        <f t="shared" si="89"/>
        <v>#REF!</v>
      </c>
      <c r="KV38" s="28" t="e">
        <f t="shared" si="84"/>
        <v>#REF!</v>
      </c>
      <c r="KW38" s="36" t="e">
        <f t="shared" si="90"/>
        <v>#REF!</v>
      </c>
      <c r="KX38" s="27" t="e">
        <f t="shared" si="90"/>
        <v>#REF!</v>
      </c>
      <c r="KY38" s="27" t="e">
        <f t="shared" si="90"/>
        <v>#REF!</v>
      </c>
      <c r="KZ38" s="27" t="e">
        <f t="shared" si="90"/>
        <v>#REF!</v>
      </c>
      <c r="LA38" s="27" t="e">
        <f t="shared" si="90"/>
        <v>#REF!</v>
      </c>
      <c r="LB38" s="27" t="e">
        <f t="shared" si="90"/>
        <v>#REF!</v>
      </c>
      <c r="LC38" s="28" t="e">
        <f t="shared" si="85"/>
        <v>#REF!</v>
      </c>
      <c r="LD38" s="36"/>
      <c r="LE38" s="27"/>
      <c r="LF38" s="27"/>
      <c r="LG38" s="27"/>
      <c r="LH38" s="27"/>
      <c r="LI38" s="27"/>
      <c r="LJ38" s="28">
        <f t="shared" si="70"/>
        <v>0</v>
      </c>
      <c r="LK38" s="36" t="e">
        <f t="shared" si="91"/>
        <v>#REF!</v>
      </c>
      <c r="LL38" s="27" t="e">
        <f t="shared" si="91"/>
        <v>#REF!</v>
      </c>
      <c r="LM38" s="27" t="e">
        <f t="shared" si="91"/>
        <v>#REF!</v>
      </c>
      <c r="LN38" s="27" t="e">
        <f t="shared" si="91"/>
        <v>#REF!</v>
      </c>
      <c r="LO38" s="27" t="e">
        <f t="shared" si="91"/>
        <v>#REF!</v>
      </c>
      <c r="LP38" s="27" t="e">
        <f t="shared" si="91"/>
        <v>#REF!</v>
      </c>
      <c r="LQ38" s="33" t="e">
        <f t="shared" si="71"/>
        <v>#REF!</v>
      </c>
      <c r="LR38" s="2621"/>
      <c r="LT38" s="4" t="e">
        <f>+#REF!+#REF!+#REF!+#REF!+#REF!+#REF!+#REF!+#REF!+#REF!+#REF!+#REF!+#REF!</f>
        <v>#REF!</v>
      </c>
      <c r="LU38" s="5" t="e">
        <f>+#REF!+#REF!+#REF!+#REF!+#REF!+#REF!+#REF!+#REF!+#REF!+#REF!+#REF!+#REF!</f>
        <v>#REF!</v>
      </c>
      <c r="LV38" s="5" t="e">
        <f t="shared" si="72"/>
        <v>#REF!</v>
      </c>
      <c r="LW38" s="12" t="e">
        <f t="shared" si="86"/>
        <v>#REF!</v>
      </c>
      <c r="LX38" s="15"/>
      <c r="LY38" s="2615"/>
      <c r="MA38" s="4" t="e">
        <f>+#REF!+#REF!+#REF!+#REF!+#REF!+#REF!+#REF!+#REF!+#REF!+#REF!+#REF!+#REF!</f>
        <v>#REF!</v>
      </c>
      <c r="MB38" s="5" t="e">
        <f t="shared" si="73"/>
        <v>#REF!</v>
      </c>
      <c r="MC38" s="5" t="e">
        <f>+#REF!+#REF!+#REF!+#REF!+#REF!+#REF!+#REF!+#REF!+#REF!+#REF!+#REF!+#REF!</f>
        <v>#REF!</v>
      </c>
      <c r="MD38" s="5" t="e">
        <f t="shared" si="74"/>
        <v>#REF!</v>
      </c>
      <c r="ME38" s="12" t="e">
        <f t="shared" si="75"/>
        <v>#REF!</v>
      </c>
      <c r="MF38" s="12"/>
      <c r="MG38" s="2615"/>
      <c r="MI38" s="139" t="e">
        <f t="shared" si="76"/>
        <v>#REF!</v>
      </c>
      <c r="MJ38" s="139" t="e">
        <f t="shared" si="77"/>
        <v>#REF!</v>
      </c>
      <c r="ML38" s="139" t="e">
        <f t="shared" si="78"/>
        <v>#REF!</v>
      </c>
      <c r="MM38" s="139" t="e">
        <f t="shared" si="79"/>
        <v>#REF!</v>
      </c>
      <c r="MO38" s="1">
        <f t="shared" si="92"/>
        <v>0</v>
      </c>
      <c r="MP38" s="1">
        <f t="shared" si="92"/>
        <v>0</v>
      </c>
      <c r="MQ38" s="1">
        <f t="shared" si="92"/>
        <v>0</v>
      </c>
      <c r="MR38" s="1">
        <f t="shared" si="92"/>
        <v>0</v>
      </c>
      <c r="MS38" s="1">
        <f t="shared" si="92"/>
        <v>0</v>
      </c>
      <c r="MT38" s="1">
        <f t="shared" si="92"/>
        <v>0</v>
      </c>
      <c r="MV38" s="1">
        <f t="shared" si="93"/>
        <v>0</v>
      </c>
      <c r="MW38" s="1">
        <f t="shared" si="93"/>
        <v>0</v>
      </c>
      <c r="MX38" s="1">
        <f t="shared" si="93"/>
        <v>0</v>
      </c>
      <c r="MY38" s="1">
        <f t="shared" si="93"/>
        <v>0</v>
      </c>
      <c r="MZ38" s="1">
        <f t="shared" si="93"/>
        <v>0</v>
      </c>
      <c r="NA38" s="1">
        <f t="shared" si="93"/>
        <v>0</v>
      </c>
    </row>
    <row r="39" spans="1:365" s="1" customFormat="1">
      <c r="B39" s="46">
        <v>30</v>
      </c>
      <c r="C39" s="4" t="e">
        <f t="shared" si="0"/>
        <v>#REF!</v>
      </c>
      <c r="D39" s="5" t="e">
        <f t="shared" si="1"/>
        <v>#REF!</v>
      </c>
      <c r="E39" s="61">
        <f t="shared" si="14"/>
        <v>0</v>
      </c>
      <c r="F39" s="52"/>
      <c r="G39" s="53"/>
      <c r="H39" s="53"/>
      <c r="I39" s="54"/>
      <c r="J39" s="2629"/>
      <c r="K39" s="9" t="e">
        <f t="shared" si="15"/>
        <v>#REF!</v>
      </c>
      <c r="L39" s="5" t="e">
        <f t="shared" si="2"/>
        <v>#REF!</v>
      </c>
      <c r="M39" s="64">
        <f t="shared" si="16"/>
        <v>0</v>
      </c>
      <c r="N39" s="28"/>
      <c r="O39" s="36" t="e">
        <f t="shared" si="17"/>
        <v>#REF!</v>
      </c>
      <c r="P39" s="27" t="e">
        <f t="shared" si="17"/>
        <v>#REF!</v>
      </c>
      <c r="Q39" s="53">
        <f t="shared" si="18"/>
        <v>0</v>
      </c>
      <c r="R39" s="28"/>
      <c r="S39" s="36" t="e">
        <f t="shared" si="19"/>
        <v>#REF!</v>
      </c>
      <c r="T39" s="27" t="e">
        <f t="shared" si="19"/>
        <v>#REF!</v>
      </c>
      <c r="U39" s="53">
        <f t="shared" si="3"/>
        <v>0</v>
      </c>
      <c r="V39" s="28"/>
      <c r="W39" s="36" t="e">
        <f t="shared" si="20"/>
        <v>#REF!</v>
      </c>
      <c r="X39" s="27" t="e">
        <f t="shared" si="4"/>
        <v>#REF!</v>
      </c>
      <c r="Y39" s="53">
        <f t="shared" si="21"/>
        <v>0</v>
      </c>
      <c r="Z39" s="28"/>
      <c r="AA39" s="26" t="e">
        <f t="shared" si="94"/>
        <v>#REF!</v>
      </c>
      <c r="AB39" s="27" t="e">
        <f t="shared" si="94"/>
        <v>#REF!</v>
      </c>
      <c r="AC39" s="53">
        <f t="shared" si="23"/>
        <v>0</v>
      </c>
      <c r="AD39" s="33"/>
      <c r="AE39" s="2629"/>
      <c r="AF39" s="9" t="e">
        <f>+#REF!+#REF!+#REF!+#REF!+#REF!+#REF!+#REF!+#REF!+#REF!+#REF!+#REF!+#REF!</f>
        <v>#REF!</v>
      </c>
      <c r="AG39" s="5" t="e">
        <f>+#REF!+#REF!+#REF!+#REF!+#REF!+#REF!+#REF!+#REF!+#REF!+#REF!+#REF!+#REF!</f>
        <v>#REF!</v>
      </c>
      <c r="AH39" s="61">
        <f t="shared" si="24"/>
        <v>0</v>
      </c>
      <c r="AI39" s="36" t="e">
        <f>+#REF!+#REF!+#REF!+#REF!+#REF!+#REF!+#REF!+#REF!+#REF!+#REF!+#REF!+#REF!</f>
        <v>#REF!</v>
      </c>
      <c r="AJ39" s="27" t="e">
        <f>+#REF!+#REF!+#REF!+#REF!+#REF!+#REF!+#REF!+#REF!+#REF!+#REF!+#REF!+#REF!</f>
        <v>#REF!</v>
      </c>
      <c r="AK39" s="61">
        <f t="shared" si="25"/>
        <v>0</v>
      </c>
      <c r="AL39" s="36" t="e">
        <f>+#REF!+#REF!+#REF!+#REF!+#REF!+#REF!+#REF!+#REF!+#REF!+#REF!+#REF!+#REF!</f>
        <v>#REF!</v>
      </c>
      <c r="AM39" s="27" t="e">
        <f>+#REF!+#REF!+#REF!+#REF!+#REF!+#REF!+#REF!+#REF!+#REF!+#REF!+#REF!+#REF!</f>
        <v>#REF!</v>
      </c>
      <c r="AN39" s="61">
        <f t="shared" si="26"/>
        <v>0</v>
      </c>
      <c r="AO39" s="36" t="e">
        <f>+#REF!+#REF!+#REF!+#REF!+#REF!+#REF!+#REF!+#REF!+#REF!+#REF!+#REF!+#REF!</f>
        <v>#REF!</v>
      </c>
      <c r="AP39" s="27" t="e">
        <f>+#REF!+#REF!+#REF!+#REF!+#REF!+#REF!+#REF!+#REF!+#REF!+#REF!+#REF!+#REF!</f>
        <v>#REF!</v>
      </c>
      <c r="AQ39" s="61">
        <f t="shared" si="27"/>
        <v>0</v>
      </c>
      <c r="AR39" s="36" t="e">
        <f>+#REF!+#REF!+#REF!+#REF!+#REF!+#REF!+#REF!+#REF!+#REF!+#REF!+#REF!+#REF!</f>
        <v>#REF!</v>
      </c>
      <c r="AS39" s="27" t="e">
        <f>+#REF!+#REF!+#REF!+#REF!+#REF!+#REF!+#REF!+#REF!+#REF!+#REF!+#REF!+#REF!</f>
        <v>#REF!</v>
      </c>
      <c r="AT39" s="61">
        <f t="shared" si="28"/>
        <v>0</v>
      </c>
      <c r="AU39" s="36" t="e">
        <f>+#REF!+#REF!+#REF!+#REF!+#REF!+#REF!+#REF!+#REF!+#REF!+#REF!+#REF!+#REF!</f>
        <v>#REF!</v>
      </c>
      <c r="AV39" s="27" t="e">
        <f>+#REF!+#REF!+#REF!+#REF!+#REF!+#REF!+#REF!+#REF!+#REF!+#REF!+#REF!+#REF!</f>
        <v>#REF!</v>
      </c>
      <c r="AW39" s="61">
        <f t="shared" si="29"/>
        <v>0</v>
      </c>
      <c r="AX39" s="36" t="e">
        <f>+#REF!+#REF!+#REF!+#REF!+#REF!+#REF!+#REF!+#REF!+#REF!+#REF!+#REF!+#REF!</f>
        <v>#REF!</v>
      </c>
      <c r="AY39" s="27" t="e">
        <f>+#REF!+#REF!+#REF!+#REF!+#REF!+#REF!+#REF!+#REF!+#REF!+#REF!+#REF!+#REF!</f>
        <v>#REF!</v>
      </c>
      <c r="AZ39" s="61">
        <f t="shared" si="30"/>
        <v>0</v>
      </c>
      <c r="BA39" s="36" t="e">
        <f>+#REF!+#REF!+#REF!+#REF!+#REF!+#REF!+#REF!+#REF!+#REF!+#REF!+#REF!+#REF!</f>
        <v>#REF!</v>
      </c>
      <c r="BB39" s="27" t="e">
        <f>+#REF!+#REF!+#REF!+#REF!+#REF!+#REF!+#REF!+#REF!+#REF!+#REF!+#REF!+#REF!</f>
        <v>#REF!</v>
      </c>
      <c r="BC39" s="61">
        <f t="shared" si="31"/>
        <v>0</v>
      </c>
      <c r="BD39" s="36" t="e">
        <f>+#REF!+#REF!+#REF!+#REF!+#REF!+#REF!+#REF!+#REF!+#REF!+#REF!+#REF!+#REF!</f>
        <v>#REF!</v>
      </c>
      <c r="BE39" s="27" t="e">
        <f>+#REF!+#REF!+#REF!+#REF!+#REF!+#REF!+#REF!+#REF!+#REF!+#REF!+#REF!+#REF!</f>
        <v>#REF!</v>
      </c>
      <c r="BF39" s="61">
        <f t="shared" si="32"/>
        <v>0</v>
      </c>
      <c r="BG39" s="36" t="e">
        <f>+#REF!+#REF!+#REF!+#REF!+#REF!+#REF!+#REF!+#REF!+#REF!+#REF!+#REF!+#REF!</f>
        <v>#REF!</v>
      </c>
      <c r="BH39" s="27" t="e">
        <f>+#REF!+#REF!+#REF!+#REF!+#REF!+#REF!+#REF!+#REF!+#REF!+#REF!+#REF!+#REF!</f>
        <v>#REF!</v>
      </c>
      <c r="BI39" s="61">
        <f t="shared" si="33"/>
        <v>0</v>
      </c>
      <c r="BJ39" s="36" t="e">
        <f>+#REF!+#REF!+#REF!+#REF!+#REF!+#REF!+#REF!+#REF!+#REF!+#REF!+#REF!+#REF!</f>
        <v>#REF!</v>
      </c>
      <c r="BK39" s="27" t="e">
        <f>+#REF!+#REF!+#REF!+#REF!+#REF!+#REF!+#REF!+#REF!+#REF!+#REF!+#REF!+#REF!</f>
        <v>#REF!</v>
      </c>
      <c r="BL39" s="61">
        <f t="shared" si="34"/>
        <v>0</v>
      </c>
      <c r="BM39" s="36" t="e">
        <f>+#REF!+#REF!+#REF!+#REF!+#REF!+#REF!+#REF!+#REF!+#REF!+#REF!+#REF!+#REF!</f>
        <v>#REF!</v>
      </c>
      <c r="BN39" s="27" t="e">
        <f>+#REF!+#REF!+#REF!+#REF!+#REF!+#REF!+#REF!+#REF!+#REF!+#REF!+#REF!+#REF!</f>
        <v>#REF!</v>
      </c>
      <c r="BO39" s="54">
        <f t="shared" si="35"/>
        <v>0</v>
      </c>
      <c r="BP39" s="26" t="e">
        <f>+#REF!+#REF!+#REF!+#REF!+#REF!+#REF!+#REF!+#REF!+#REF!+#REF!+#REF!+#REF!</f>
        <v>#REF!</v>
      </c>
      <c r="BQ39" s="27" t="e">
        <f>+#REF!+#REF!+#REF!+#REF!+#REF!+#REF!+#REF!+#REF!+#REF!+#REF!+#REF!+#REF!</f>
        <v>#REF!</v>
      </c>
      <c r="BR39" s="61">
        <f t="shared" si="36"/>
        <v>0</v>
      </c>
      <c r="BS39" s="26" t="e">
        <f>+#REF!+#REF!+#REF!+#REF!+#REF!+#REF!+#REF!+#REF!+#REF!+#REF!+#REF!+#REF!</f>
        <v>#REF!</v>
      </c>
      <c r="BT39" s="27" t="e">
        <f>+#REF!+#REF!+#REF!+#REF!+#REF!+#REF!+#REF!+#REF!+#REF!+#REF!+#REF!+#REF!</f>
        <v>#REF!</v>
      </c>
      <c r="BU39" s="61">
        <f t="shared" si="37"/>
        <v>0</v>
      </c>
      <c r="BV39" s="150"/>
      <c r="BW39" s="9" t="e">
        <f>+#REF!+#REF!+#REF!+#REF!+#REF!+#REF!+#REF!+#REF!+#REF!+#REF!+#REF!+#REF!</f>
        <v>#REF!</v>
      </c>
      <c r="BX39" s="5" t="e">
        <f>+#REF!+#REF!+#REF!+#REF!+#REF!+#REF!+#REF!+#REF!+#REF!+#REF!+#REF!+#REF!</f>
        <v>#REF!</v>
      </c>
      <c r="BY39" s="5" t="e">
        <f>+#REF!+#REF!+#REF!+#REF!+#REF!+#REF!+#REF!+#REF!+#REF!+#REF!+#REF!+#REF!</f>
        <v>#REF!</v>
      </c>
      <c r="BZ39" s="5" t="e">
        <f>+#REF!+#REF!+#REF!+#REF!+#REF!+#REF!+#REF!+#REF!+#REF!+#REF!+#REF!+#REF!</f>
        <v>#REF!</v>
      </c>
      <c r="CA39" s="5" t="e">
        <f>+#REF!+#REF!+#REF!+#REF!+#REF!+#REF!+#REF!+#REF!+#REF!+#REF!+#REF!+#REF!</f>
        <v>#REF!</v>
      </c>
      <c r="CB39" s="5" t="e">
        <f t="shared" si="38"/>
        <v>#REF!</v>
      </c>
      <c r="CC39" s="33"/>
      <c r="CD39" s="2683"/>
      <c r="CF39" s="4" t="e">
        <f t="shared" si="39"/>
        <v>#REF!</v>
      </c>
      <c r="CG39" s="5" t="e">
        <f t="shared" si="5"/>
        <v>#REF!</v>
      </c>
      <c r="CH39" s="5" t="e">
        <f t="shared" si="5"/>
        <v>#REF!</v>
      </c>
      <c r="CI39" s="5" t="e">
        <f t="shared" si="5"/>
        <v>#REF!</v>
      </c>
      <c r="CJ39" s="5" t="e">
        <f t="shared" si="5"/>
        <v>#REF!</v>
      </c>
      <c r="CK39" s="5" t="e">
        <f t="shared" si="5"/>
        <v>#REF!</v>
      </c>
      <c r="CL39" s="33" t="e">
        <f t="shared" si="40"/>
        <v>#REF!</v>
      </c>
      <c r="CM39" s="2685"/>
      <c r="CN39" s="9" t="e">
        <f>+#REF!+#REF!+#REF!+#REF!+#REF!+#REF!+#REF!+#REF!+#REF!+#REF!+#REF!+#REF!</f>
        <v>#REF!</v>
      </c>
      <c r="CO39" s="5" t="e">
        <f>+#REF!+#REF!+#REF!+#REF!+#REF!+#REF!+#REF!+#REF!+#REF!+#REF!+#REF!+#REF!</f>
        <v>#REF!</v>
      </c>
      <c r="CP39" s="5" t="e">
        <f>+#REF!+#REF!+#REF!+#REF!+#REF!+#REF!+#REF!+#REF!+#REF!+#REF!+#REF!+#REF!</f>
        <v>#REF!</v>
      </c>
      <c r="CQ39" s="5" t="e">
        <f>+#REF!+#REF!+#REF!+#REF!+#REF!+#REF!+#REF!+#REF!+#REF!+#REF!+#REF!+#REF!</f>
        <v>#REF!</v>
      </c>
      <c r="CR39" s="5" t="e">
        <f>+#REF!+#REF!+#REF!+#REF!+#REF!+#REF!+#REF!+#REF!+#REF!+#REF!+#REF!+#REF!</f>
        <v>#REF!</v>
      </c>
      <c r="CS39" s="5" t="e">
        <f>+#REF!+#REF!+#REF!+#REF!+#REF!+#REF!+#REF!+#REF!+#REF!+#REF!+#REF!+#REF!</f>
        <v>#REF!</v>
      </c>
      <c r="CT39" s="28" t="e">
        <f t="shared" si="41"/>
        <v>#REF!</v>
      </c>
      <c r="CU39" s="36" t="e">
        <f>+#REF!+#REF!+#REF!+#REF!+#REF!+#REF!+#REF!+#REF!+#REF!+#REF!+#REF!+#REF!</f>
        <v>#REF!</v>
      </c>
      <c r="CV39" s="27" t="e">
        <f>+#REF!+#REF!+#REF!+#REF!+#REF!+#REF!+#REF!+#REF!+#REF!+#REF!+#REF!+#REF!</f>
        <v>#REF!</v>
      </c>
      <c r="CW39" s="27" t="e">
        <f>+#REF!+#REF!+#REF!+#REF!+#REF!+#REF!+#REF!+#REF!+#REF!+#REF!+#REF!+#REF!</f>
        <v>#REF!</v>
      </c>
      <c r="CX39" s="27" t="e">
        <f>+#REF!+#REF!+#REF!+#REF!+#REF!+#REF!+#REF!+#REF!+#REF!+#REF!+#REF!+#REF!</f>
        <v>#REF!</v>
      </c>
      <c r="CY39" s="27" t="e">
        <f>+#REF!+#REF!+#REF!+#REF!+#REF!+#REF!+#REF!+#REF!+#REF!+#REF!+#REF!+#REF!</f>
        <v>#REF!</v>
      </c>
      <c r="CZ39" s="27" t="e">
        <f>+#REF!+#REF!+#REF!+#REF!+#REF!+#REF!+#REF!+#REF!+#REF!+#REF!+#REF!+#REF!</f>
        <v>#REF!</v>
      </c>
      <c r="DA39" s="28" t="e">
        <f t="shared" si="42"/>
        <v>#REF!</v>
      </c>
      <c r="DB39" s="36" t="e">
        <f>+#REF!+#REF!+#REF!+#REF!+#REF!+#REF!+#REF!+#REF!+#REF!+#REF!+#REF!+#REF!</f>
        <v>#REF!</v>
      </c>
      <c r="DC39" s="27" t="e">
        <f>+#REF!+#REF!+#REF!+#REF!+#REF!+#REF!+#REF!+#REF!+#REF!+#REF!+#REF!+#REF!</f>
        <v>#REF!</v>
      </c>
      <c r="DD39" s="27" t="e">
        <f>+#REF!+#REF!+#REF!+#REF!+#REF!+#REF!+#REF!+#REF!+#REF!+#REF!+#REF!+#REF!</f>
        <v>#REF!</v>
      </c>
      <c r="DE39" s="27" t="e">
        <f>+#REF!+#REF!+#REF!+#REF!+#REF!+#REF!+#REF!+#REF!+#REF!+#REF!+#REF!+#REF!</f>
        <v>#REF!</v>
      </c>
      <c r="DF39" s="27" t="e">
        <f>+#REF!+#REF!+#REF!+#REF!+#REF!+#REF!+#REF!+#REF!+#REF!+#REF!+#REF!+#REF!</f>
        <v>#REF!</v>
      </c>
      <c r="DG39" s="27" t="e">
        <f>+#REF!+#REF!+#REF!+#REF!+#REF!+#REF!+#REF!+#REF!+#REF!+#REF!+#REF!+#REF!</f>
        <v>#REF!</v>
      </c>
      <c r="DH39" s="28" t="e">
        <f t="shared" si="43"/>
        <v>#REF!</v>
      </c>
      <c r="DI39" s="36" t="e">
        <f>+#REF!+#REF!+#REF!+#REF!+#REF!+#REF!+#REF!+#REF!+#REF!+#REF!+#REF!+#REF!</f>
        <v>#REF!</v>
      </c>
      <c r="DJ39" s="27" t="e">
        <f>+#REF!+#REF!+#REF!+#REF!+#REF!+#REF!+#REF!+#REF!+#REF!+#REF!+#REF!+#REF!</f>
        <v>#REF!</v>
      </c>
      <c r="DK39" s="27" t="e">
        <f>+#REF!+#REF!+#REF!+#REF!+#REF!+#REF!+#REF!+#REF!+#REF!+#REF!+#REF!+#REF!</f>
        <v>#REF!</v>
      </c>
      <c r="DL39" s="27" t="e">
        <f>+#REF!+#REF!+#REF!+#REF!+#REF!+#REF!+#REF!+#REF!+#REF!+#REF!+#REF!+#REF!</f>
        <v>#REF!</v>
      </c>
      <c r="DM39" s="27" t="e">
        <f>+#REF!+#REF!+#REF!+#REF!+#REF!+#REF!+#REF!+#REF!+#REF!+#REF!+#REF!+#REF!</f>
        <v>#REF!</v>
      </c>
      <c r="DN39" s="27" t="e">
        <f>+#REF!+#REF!+#REF!+#REF!+#REF!+#REF!+#REF!+#REF!+#REF!+#REF!+#REF!+#REF!</f>
        <v>#REF!</v>
      </c>
      <c r="DO39" s="33" t="e">
        <f t="shared" si="44"/>
        <v>#REF!</v>
      </c>
      <c r="DP39" s="2685"/>
      <c r="DR39" s="4" t="e">
        <f t="shared" si="45"/>
        <v>#REF!</v>
      </c>
      <c r="DS39" s="5" t="e">
        <f t="shared" si="46"/>
        <v>#REF!</v>
      </c>
      <c r="DT39" s="5" t="e">
        <f t="shared" si="47"/>
        <v>#REF!</v>
      </c>
      <c r="DU39" s="12" t="e">
        <f t="shared" si="48"/>
        <v>#REF!</v>
      </c>
      <c r="DV39" s="33"/>
      <c r="DW39" s="2674"/>
      <c r="DX39" s="9" t="e">
        <f>+#REF!+#REF!+#REF!+#REF!+#REF!+#REF!+#REF!+#REF!+#REF!+#REF!+#REF!+#REF!</f>
        <v>#REF!</v>
      </c>
      <c r="DY39" s="5" t="e">
        <f>+#REF!+#REF!+#REF!+#REF!+#REF!+#REF!+#REF!+#REF!+#REF!+#REF!+#REF!+#REF!</f>
        <v>#REF!</v>
      </c>
      <c r="DZ39" s="5" t="e">
        <f>+#REF!+#REF!+#REF!+#REF!+#REF!+#REF!+#REF!+#REF!+#REF!+#REF!+#REF!+#REF!</f>
        <v>#REF!</v>
      </c>
      <c r="EA39" s="5" t="e">
        <f>+#REF!+#REF!+#REF!+#REF!+#REF!+#REF!+#REF!+#REF!+#REF!+#REF!+#REF!+#REF!</f>
        <v>#REF!</v>
      </c>
      <c r="EB39" s="5" t="e">
        <f>+#REF!+#REF!+#REF!+#REF!+#REF!+#REF!+#REF!+#REF!+#REF!+#REF!+#REF!+#REF!</f>
        <v>#REF!</v>
      </c>
      <c r="EC39" s="27" t="e">
        <f>+#REF!+#REF!+#REF!+#REF!+#REF!+#REF!+#REF!+#REF!+#REF!+#REF!+#REF!+#REF!</f>
        <v>#REF!</v>
      </c>
      <c r="ED39" s="28" t="e">
        <f t="shared" si="49"/>
        <v>#REF!</v>
      </c>
      <c r="EE39" s="36" t="e">
        <f>+#REF!+#REF!+#REF!+#REF!+#REF!+#REF!+#REF!+#REF!+#REF!+#REF!+#REF!+#REF!</f>
        <v>#REF!</v>
      </c>
      <c r="EF39" s="27" t="e">
        <f>+#REF!+#REF!+#REF!+#REF!+#REF!+#REF!+#REF!+#REF!+#REF!+#REF!+#REF!+#REF!</f>
        <v>#REF!</v>
      </c>
      <c r="EG39" s="27" t="e">
        <f>+#REF!+#REF!+#REF!+#REF!+#REF!+#REF!+#REF!+#REF!+#REF!+#REF!+#REF!+#REF!</f>
        <v>#REF!</v>
      </c>
      <c r="EH39" s="27" t="e">
        <f>+#REF!+#REF!+#REF!+#REF!+#REF!+#REF!+#REF!+#REF!+#REF!+#REF!+#REF!+#REF!</f>
        <v>#REF!</v>
      </c>
      <c r="EI39" s="27" t="e">
        <f>+#REF!+#REF!+#REF!+#REF!+#REF!+#REF!+#REF!+#REF!+#REF!+#REF!+#REF!+#REF!</f>
        <v>#REF!</v>
      </c>
      <c r="EJ39" s="27" t="e">
        <f>+#REF!+#REF!+#REF!+#REF!+#REF!+#REF!+#REF!+#REF!+#REF!+#REF!+#REF!+#REF!</f>
        <v>#REF!</v>
      </c>
      <c r="EK39" s="28" t="e">
        <f t="shared" si="50"/>
        <v>#REF!</v>
      </c>
      <c r="EL39" s="36" t="e">
        <f>+#REF!+#REF!+#REF!+#REF!+#REF!+#REF!+#REF!+#REF!+#REF!+#REF!+#REF!+#REF!</f>
        <v>#REF!</v>
      </c>
      <c r="EM39" s="27" t="e">
        <f>+#REF!+#REF!+#REF!+#REF!+#REF!+#REF!+#REF!+#REF!+#REF!+#REF!+#REF!+#REF!</f>
        <v>#REF!</v>
      </c>
      <c r="EN39" s="27" t="e">
        <f>+#REF!+#REF!+#REF!+#REF!+#REF!+#REF!+#REF!+#REF!+#REF!+#REF!+#REF!+#REF!</f>
        <v>#REF!</v>
      </c>
      <c r="EO39" s="27" t="e">
        <f>+#REF!+#REF!+#REF!+#REF!+#REF!+#REF!+#REF!+#REF!+#REF!+#REF!+#REF!+#REF!</f>
        <v>#REF!</v>
      </c>
      <c r="EP39" s="27" t="e">
        <f>+#REF!+#REF!+#REF!+#REF!+#REF!+#REF!+#REF!+#REF!+#REF!+#REF!+#REF!+#REF!</f>
        <v>#REF!</v>
      </c>
      <c r="EQ39" s="27" t="e">
        <f>+#REF!+#REF!+#REF!+#REF!+#REF!+#REF!+#REF!+#REF!+#REF!+#REF!+#REF!+#REF!</f>
        <v>#REF!</v>
      </c>
      <c r="ER39" s="33" t="e">
        <f t="shared" si="51"/>
        <v>#REF!</v>
      </c>
      <c r="ES39" s="2674"/>
      <c r="EU39" s="4" t="e">
        <f t="shared" si="52"/>
        <v>#REF!</v>
      </c>
      <c r="EV39" s="5" t="e">
        <f t="shared" si="53"/>
        <v>#REF!</v>
      </c>
      <c r="EW39" s="27" t="e">
        <f t="shared" si="54"/>
        <v>#REF!</v>
      </c>
      <c r="EX39" s="27" t="e">
        <f t="shared" si="55"/>
        <v>#REF!</v>
      </c>
      <c r="EY39" s="27"/>
      <c r="EZ39" s="27"/>
      <c r="FA39" s="33"/>
      <c r="FB39" s="2667"/>
      <c r="FC39" s="36" t="e">
        <f>+#REF!+#REF!+#REF!+#REF!+#REF!+#REF!+#REF!+#REF!+#REF!+#REF!+#REF!+#REF!</f>
        <v>#REF!</v>
      </c>
      <c r="FD39" s="27" t="e">
        <f>+#REF!+#REF!+#REF!+#REF!+#REF!+#REF!+#REF!+#REF!+#REF!+#REF!+#REF!+#REF!</f>
        <v>#REF!</v>
      </c>
      <c r="FE39" s="27"/>
      <c r="FF39" s="27"/>
      <c r="FG39" s="33" t="e">
        <f t="shared" si="56"/>
        <v>#REF!</v>
      </c>
      <c r="FH39" s="2667"/>
      <c r="FI39" s="36" t="e">
        <f>+#REF!+#REF!+#REF!+#REF!+#REF!+#REF!+#REF!+#REF!+#REF!+#REF!+#REF!+#REF!</f>
        <v>#REF!</v>
      </c>
      <c r="FJ39" s="27" t="e">
        <f>+#REF!+#REF!+#REF!+#REF!+#REF!+#REF!+#REF!+#REF!+#REF!+#REF!+#REF!+#REF!</f>
        <v>#REF!</v>
      </c>
      <c r="FK39" s="27" t="e">
        <f>+#REF!+#REF!+#REF!+#REF!+#REF!+#REF!+#REF!+#REF!+#REF!+#REF!+#REF!+#REF!</f>
        <v>#REF!</v>
      </c>
      <c r="FL39" s="27" t="e">
        <f>+#REF!+#REF!+#REF!+#REF!+#REF!+#REF!+#REF!+#REF!+#REF!+#REF!+#REF!+#REF!</f>
        <v>#REF!</v>
      </c>
      <c r="FM39" s="27" t="e">
        <f>+#REF!+#REF!+#REF!+#REF!+#REF!+#REF!+#REF!+#REF!+#REF!+#REF!+#REF!+#REF!</f>
        <v>#REF!</v>
      </c>
      <c r="FN39" s="27" t="e">
        <f>+#REF!+#REF!+#REF!+#REF!+#REF!+#REF!+#REF!+#REF!+#REF!+#REF!+#REF!+#REF!</f>
        <v>#REF!</v>
      </c>
      <c r="FO39" s="27" t="e">
        <f>+#REF!+#REF!+#REF!+#REF!+#REF!+#REF!+#REF!+#REF!+#REF!+#REF!+#REF!+#REF!</f>
        <v>#REF!</v>
      </c>
      <c r="FP39" s="27" t="e">
        <f>+#REF!+#REF!+#REF!+#REF!+#REF!+#REF!+#REF!+#REF!+#REF!+#REF!+#REF!+#REF!</f>
        <v>#REF!</v>
      </c>
      <c r="FQ39" s="28" t="e">
        <f t="shared" si="80"/>
        <v>#REF!</v>
      </c>
      <c r="FR39" s="26" t="e">
        <f>+#REF!+#REF!+#REF!+#REF!+#REF!+#REF!+#REF!+#REF!+#REF!+#REF!+#REF!+#REF!</f>
        <v>#REF!</v>
      </c>
      <c r="FS39" s="27" t="e">
        <f>+#REF!+#REF!+#REF!+#REF!+#REF!+#REF!+#REF!+#REF!+#REF!+#REF!+#REF!+#REF!</f>
        <v>#REF!</v>
      </c>
      <c r="FT39" s="27" t="e">
        <f>+#REF!+#REF!+#REF!+#REF!+#REF!+#REF!+#REF!+#REF!+#REF!+#REF!+#REF!+#REF!</f>
        <v>#REF!</v>
      </c>
      <c r="FU39" s="27" t="e">
        <f>+#REF!+#REF!+#REF!+#REF!+#REF!+#REF!+#REF!+#REF!+#REF!+#REF!+#REF!+#REF!</f>
        <v>#REF!</v>
      </c>
      <c r="FV39" s="27" t="e">
        <f>+#REF!+#REF!+#REF!+#REF!+#REF!+#REF!+#REF!+#REF!+#REF!+#REF!+#REF!+#REF!</f>
        <v>#REF!</v>
      </c>
      <c r="FW39" s="27" t="e">
        <f>+#REF!+#REF!+#REF!+#REF!+#REF!+#REF!+#REF!+#REF!+#REF!+#REF!+#REF!+#REF!</f>
        <v>#REF!</v>
      </c>
      <c r="FX39" s="27" t="e">
        <f>+#REF!+#REF!+#REF!+#REF!+#REF!+#REF!+#REF!+#REF!+#REF!+#REF!+#REF!+#REF!</f>
        <v>#REF!</v>
      </c>
      <c r="FY39" s="27" t="e">
        <f>+#REF!+#REF!+#REF!+#REF!+#REF!+#REF!+#REF!+#REF!+#REF!+#REF!+#REF!+#REF!</f>
        <v>#REF!</v>
      </c>
      <c r="FZ39" s="28" t="e">
        <f t="shared" si="57"/>
        <v>#REF!</v>
      </c>
      <c r="GA39" s="36" t="e">
        <f>+#REF!+#REF!+#REF!+#REF!+#REF!+#REF!+#REF!+#REF!+#REF!+#REF!+#REF!+#REF!</f>
        <v>#REF!</v>
      </c>
      <c r="GB39" s="27" t="e">
        <f>+#REF!+#REF!+#REF!+#REF!+#REF!+#REF!+#REF!+#REF!+#REF!+#REF!+#REF!+#REF!</f>
        <v>#REF!</v>
      </c>
      <c r="GC39" s="27" t="e">
        <f>+#REF!+#REF!+#REF!+#REF!+#REF!+#REF!+#REF!+#REF!+#REF!+#REF!+#REF!+#REF!</f>
        <v>#REF!</v>
      </c>
      <c r="GD39" s="27" t="e">
        <f>+#REF!+#REF!+#REF!+#REF!+#REF!+#REF!+#REF!+#REF!+#REF!+#REF!+#REF!+#REF!</f>
        <v>#REF!</v>
      </c>
      <c r="GE39" s="27" t="e">
        <f>+#REF!+#REF!+#REF!+#REF!+#REF!+#REF!+#REF!+#REF!+#REF!+#REF!+#REF!+#REF!</f>
        <v>#REF!</v>
      </c>
      <c r="GF39" s="27" t="e">
        <f>+#REF!+#REF!+#REF!+#REF!+#REF!+#REF!+#REF!+#REF!+#REF!+#REF!+#REF!+#REF!</f>
        <v>#REF!</v>
      </c>
      <c r="GG39" s="27" t="e">
        <f>+#REF!+#REF!+#REF!+#REF!+#REF!+#REF!+#REF!+#REF!+#REF!+#REF!+#REF!+#REF!</f>
        <v>#REF!</v>
      </c>
      <c r="GH39" s="27" t="e">
        <f>+#REF!+#REF!+#REF!+#REF!+#REF!+#REF!+#REF!+#REF!+#REF!+#REF!+#REF!+#REF!</f>
        <v>#REF!</v>
      </c>
      <c r="GI39" s="33" t="e">
        <f t="shared" si="58"/>
        <v>#REF!</v>
      </c>
      <c r="GJ39" s="2667"/>
      <c r="GL39" s="26" t="e">
        <f>+#REF!+#REF!+#REF!+#REF!+#REF!+#REF!+#REF!+#REF!+#REF!+#REF!+#REF!+#REF!</f>
        <v>#REF!</v>
      </c>
      <c r="GM39" s="36" t="e">
        <f>+#REF!+#REF!+#REF!+#REF!+#REF!+#REF!+#REF!+#REF!+#REF!+#REF!+#REF!+#REF!</f>
        <v>#REF!</v>
      </c>
      <c r="GN39" s="27" t="e">
        <f>+#REF!+#REF!+#REF!+#REF!+#REF!+#REF!+#REF!+#REF!+#REF!+#REF!+#REF!+#REF!</f>
        <v>#REF!</v>
      </c>
      <c r="GO39" s="27" t="e">
        <f t="shared" si="59"/>
        <v>#REF!</v>
      </c>
      <c r="GP39" s="33"/>
      <c r="GQ39" s="2669"/>
      <c r="GR39" s="69"/>
      <c r="GS39" s="70"/>
      <c r="GT39" s="70"/>
      <c r="GU39" s="70"/>
      <c r="GV39" s="70"/>
      <c r="GW39" s="70"/>
      <c r="GX39" s="70"/>
      <c r="GY39" s="71"/>
      <c r="GZ39" s="69"/>
      <c r="HA39" s="70"/>
      <c r="HB39" s="70"/>
      <c r="HC39" s="70"/>
      <c r="HD39" s="70"/>
      <c r="HE39" s="70"/>
      <c r="HF39" s="70"/>
      <c r="HG39" s="71"/>
      <c r="HH39" s="69"/>
      <c r="HI39" s="70"/>
      <c r="HJ39" s="70"/>
      <c r="HK39" s="70"/>
      <c r="HL39" s="70"/>
      <c r="HM39" s="70"/>
      <c r="HN39" s="70"/>
      <c r="HO39" s="70"/>
      <c r="HP39" s="33"/>
      <c r="HQ39" s="2669"/>
      <c r="HR39" s="36"/>
      <c r="HS39" s="53"/>
      <c r="HT39" s="53"/>
      <c r="HU39" s="53"/>
      <c r="HV39" s="61"/>
      <c r="HW39" s="36"/>
      <c r="HX39" s="53"/>
      <c r="HY39" s="53"/>
      <c r="HZ39" s="53"/>
      <c r="IA39" s="61"/>
      <c r="IB39" s="36"/>
      <c r="IC39" s="53"/>
      <c r="ID39" s="53"/>
      <c r="IE39" s="53"/>
      <c r="IF39" s="53"/>
      <c r="IG39" s="33"/>
      <c r="IH39" s="2669"/>
      <c r="IJ39" s="26" t="e">
        <f t="shared" si="60"/>
        <v>#REF!</v>
      </c>
      <c r="IK39" s="36" t="e">
        <f t="shared" si="6"/>
        <v>#REF!</v>
      </c>
      <c r="IL39" s="27" t="e">
        <f t="shared" si="6"/>
        <v>#REF!</v>
      </c>
      <c r="IM39" s="28" t="e">
        <f t="shared" si="61"/>
        <v>#REF!</v>
      </c>
      <c r="IN39" s="36"/>
      <c r="IO39" s="27"/>
      <c r="IP39" s="27"/>
      <c r="IQ39" s="33"/>
      <c r="IR39" s="55"/>
      <c r="IS39" s="21"/>
      <c r="IT39" s="2688"/>
      <c r="IU39" s="36" t="e">
        <f>+#REF!+#REF!+#REF!+#REF!+#REF!+#REF!+#REF!+#REF!+#REF!+#REF!+#REF!+#REF!</f>
        <v>#REF!</v>
      </c>
      <c r="IV39" s="36" t="e">
        <f>+#REF!+#REF!+#REF!+#REF!+#REF!+#REF!+#REF!+#REF!+#REF!+#REF!+#REF!+#REF!</f>
        <v>#REF!</v>
      </c>
      <c r="IW39" s="27" t="e">
        <f>+#REF!+#REF!+#REF!+#REF!+#REF!+#REF!+#REF!+#REF!+#REF!+#REF!+#REF!+#REF!</f>
        <v>#REF!</v>
      </c>
      <c r="IX39" s="27" t="e">
        <f>+#REF!+#REF!+#REF!+#REF!+#REF!+#REF!+#REF!+#REF!+#REF!+#REF!+#REF!+#REF!</f>
        <v>#REF!</v>
      </c>
      <c r="IY39" s="27" t="e">
        <f>+#REF!+#REF!+#REF!+#REF!+#REF!+#REF!+#REF!+#REF!+#REF!+#REF!+#REF!+#REF!</f>
        <v>#REF!</v>
      </c>
      <c r="IZ39" s="28" t="e">
        <f t="shared" si="62"/>
        <v>#REF!</v>
      </c>
      <c r="JA39" s="26" t="e">
        <f>+#REF!+#REF!+#REF!+#REF!+#REF!+#REF!+#REF!+#REF!+#REF!+#REF!+#REF!+#REF!</f>
        <v>#REF!</v>
      </c>
      <c r="JB39" s="36" t="e">
        <f>+#REF!+#REF!+#REF!+#REF!+#REF!+#REF!+#REF!+#REF!+#REF!+#REF!+#REF!+#REF!</f>
        <v>#REF!</v>
      </c>
      <c r="JC39" s="27" t="e">
        <f>+#REF!+#REF!+#REF!+#REF!+#REF!+#REF!+#REF!+#REF!+#REF!+#REF!+#REF!+#REF!</f>
        <v>#REF!</v>
      </c>
      <c r="JD39" s="27" t="e">
        <f>+#REF!+#REF!+#REF!+#REF!+#REF!+#REF!+#REF!+#REF!+#REF!+#REF!+#REF!+#REF!</f>
        <v>#REF!</v>
      </c>
      <c r="JE39" s="28" t="e">
        <f>+#REF!+#REF!+#REF!+#REF!+#REF!+#REF!+#REF!+#REF!+#REF!+#REF!+#REF!+#REF!</f>
        <v>#REF!</v>
      </c>
      <c r="JF39" s="26" t="e">
        <f>+#REF!+#REF!+#REF!+#REF!+#REF!+#REF!+#REF!+#REF!+#REF!+#REF!+#REF!+#REF!</f>
        <v>#REF!</v>
      </c>
      <c r="JG39" s="36" t="e">
        <f>+#REF!+#REF!+#REF!+#REF!+#REF!+#REF!+#REF!+#REF!+#REF!+#REF!+#REF!+#REF!</f>
        <v>#REF!</v>
      </c>
      <c r="JH39" s="27" t="e">
        <f>+#REF!+#REF!+#REF!+#REF!+#REF!+#REF!+#REF!+#REF!+#REF!+#REF!+#REF!+#REF!</f>
        <v>#REF!</v>
      </c>
      <c r="JI39" s="27" t="e">
        <f>+#REF!+#REF!+#REF!+#REF!+#REF!+#REF!+#REF!+#REF!+#REF!+#REF!+#REF!+#REF!</f>
        <v>#REF!</v>
      </c>
      <c r="JJ39" s="27" t="e">
        <f>+#REF!+#REF!+#REF!+#REF!+#REF!+#REF!+#REF!+#REF!+#REF!+#REF!+#REF!+#REF!</f>
        <v>#REF!</v>
      </c>
      <c r="JK39" s="28" t="e">
        <f t="shared" si="63"/>
        <v>#REF!</v>
      </c>
      <c r="JL39" s="26" t="e">
        <f>+#REF!+#REF!+#REF!+#REF!+#REF!+#REF!+#REF!+#REF!+#REF!+#REF!+#REF!+#REF!</f>
        <v>#REF!</v>
      </c>
      <c r="JM39" s="36" t="e">
        <f>+#REF!+#REF!+#REF!+#REF!+#REF!+#REF!+#REF!+#REF!+#REF!+#REF!+#REF!+#REF!</f>
        <v>#REF!</v>
      </c>
      <c r="JN39" s="27" t="e">
        <f>+#REF!+#REF!+#REF!+#REF!+#REF!+#REF!+#REF!+#REF!+#REF!+#REF!+#REF!+#REF!</f>
        <v>#REF!</v>
      </c>
      <c r="JO39" s="27" t="e">
        <f>+#REF!+#REF!+#REF!+#REF!+#REF!+#REF!+#REF!+#REF!+#REF!+#REF!+#REF!+#REF!</f>
        <v>#REF!</v>
      </c>
      <c r="JP39" s="28" t="e">
        <f>+#REF!+#REF!+#REF!+#REF!+#REF!+#REF!+#REF!+#REF!+#REF!+#REF!+#REF!+#REF!</f>
        <v>#REF!</v>
      </c>
      <c r="JQ39" s="275" t="e">
        <f t="shared" si="64"/>
        <v>#REF!</v>
      </c>
      <c r="JR39" s="36" t="e">
        <f>+#REF!+#REF!+#REF!+#REF!+#REF!+#REF!+#REF!+#REF!+#REF!+#REF!+#REF!+#REF!</f>
        <v>#REF!</v>
      </c>
      <c r="JS39" s="36" t="e">
        <f>+#REF!+#REF!+#REF!+#REF!+#REF!+#REF!+#REF!+#REF!+#REF!+#REF!+#REF!+#REF!</f>
        <v>#REF!</v>
      </c>
      <c r="JT39" s="27" t="e">
        <f>+#REF!+#REF!+#REF!+#REF!+#REF!+#REF!+#REF!+#REF!+#REF!+#REF!+#REF!+#REF!</f>
        <v>#REF!</v>
      </c>
      <c r="JU39" s="27" t="e">
        <f>+#REF!+#REF!+#REF!+#REF!+#REF!+#REF!+#REF!+#REF!+#REF!+#REF!+#REF!+#REF!</f>
        <v>#REF!</v>
      </c>
      <c r="JV39" s="27" t="e">
        <f>+#REF!+#REF!+#REF!+#REF!+#REF!+#REF!+#REF!+#REF!+#REF!+#REF!+#REF!+#REF!</f>
        <v>#REF!</v>
      </c>
      <c r="JW39" s="33" t="e">
        <f t="shared" si="65"/>
        <v>#REF!</v>
      </c>
      <c r="JX39" s="2688"/>
      <c r="JZ39" s="26" t="e">
        <f t="shared" si="66"/>
        <v>#REF!</v>
      </c>
      <c r="KA39" s="27" t="e">
        <f t="shared" si="67"/>
        <v>#REF!</v>
      </c>
      <c r="KB39" s="27" t="e">
        <f t="shared" si="68"/>
        <v>#REF!</v>
      </c>
      <c r="KC39" s="33" t="e">
        <f t="shared" si="69"/>
        <v>#REF!</v>
      </c>
      <c r="KD39" s="2621"/>
      <c r="KE39" s="36" t="e">
        <f t="shared" si="87"/>
        <v>#REF!</v>
      </c>
      <c r="KF39" s="36" t="e">
        <f t="shared" si="87"/>
        <v>#REF!</v>
      </c>
      <c r="KG39" s="27" t="e">
        <f t="shared" si="87"/>
        <v>#REF!</v>
      </c>
      <c r="KH39" s="28" t="e">
        <f t="shared" si="81"/>
        <v>#REF!</v>
      </c>
      <c r="KI39" s="36" t="e">
        <f t="shared" si="82"/>
        <v>#REF!</v>
      </c>
      <c r="KJ39" s="27" t="e">
        <f t="shared" si="88"/>
        <v>#REF!</v>
      </c>
      <c r="KK39" s="27" t="e">
        <f t="shared" si="88"/>
        <v>#REF!</v>
      </c>
      <c r="KL39" s="27" t="e">
        <f t="shared" si="88"/>
        <v>#REF!</v>
      </c>
      <c r="KM39" s="27" t="e">
        <f t="shared" si="88"/>
        <v>#REF!</v>
      </c>
      <c r="KN39" s="27" t="e">
        <f t="shared" si="88"/>
        <v>#REF!</v>
      </c>
      <c r="KO39" s="28" t="e">
        <f t="shared" si="83"/>
        <v>#REF!</v>
      </c>
      <c r="KP39" s="36" t="e">
        <f t="shared" si="89"/>
        <v>#REF!</v>
      </c>
      <c r="KQ39" s="27" t="e">
        <f t="shared" si="89"/>
        <v>#REF!</v>
      </c>
      <c r="KR39" s="27" t="e">
        <f t="shared" si="89"/>
        <v>#REF!</v>
      </c>
      <c r="KS39" s="27" t="e">
        <f t="shared" si="89"/>
        <v>#REF!</v>
      </c>
      <c r="KT39" s="27" t="e">
        <f t="shared" si="89"/>
        <v>#REF!</v>
      </c>
      <c r="KU39" s="27" t="e">
        <f t="shared" si="89"/>
        <v>#REF!</v>
      </c>
      <c r="KV39" s="28" t="e">
        <f t="shared" si="84"/>
        <v>#REF!</v>
      </c>
      <c r="KW39" s="36" t="e">
        <f t="shared" si="90"/>
        <v>#REF!</v>
      </c>
      <c r="KX39" s="27" t="e">
        <f t="shared" si="90"/>
        <v>#REF!</v>
      </c>
      <c r="KY39" s="27" t="e">
        <f t="shared" si="90"/>
        <v>#REF!</v>
      </c>
      <c r="KZ39" s="27" t="e">
        <f t="shared" si="90"/>
        <v>#REF!</v>
      </c>
      <c r="LA39" s="27" t="e">
        <f t="shared" si="90"/>
        <v>#REF!</v>
      </c>
      <c r="LB39" s="27" t="e">
        <f t="shared" si="90"/>
        <v>#REF!</v>
      </c>
      <c r="LC39" s="28" t="e">
        <f t="shared" si="85"/>
        <v>#REF!</v>
      </c>
      <c r="LD39" s="36"/>
      <c r="LE39" s="27"/>
      <c r="LF39" s="27"/>
      <c r="LG39" s="27"/>
      <c r="LH39" s="27"/>
      <c r="LI39" s="27"/>
      <c r="LJ39" s="28">
        <f t="shared" si="70"/>
        <v>0</v>
      </c>
      <c r="LK39" s="36" t="e">
        <f t="shared" si="91"/>
        <v>#REF!</v>
      </c>
      <c r="LL39" s="27" t="e">
        <f t="shared" si="91"/>
        <v>#REF!</v>
      </c>
      <c r="LM39" s="27" t="e">
        <f t="shared" si="91"/>
        <v>#REF!</v>
      </c>
      <c r="LN39" s="27" t="e">
        <f t="shared" si="91"/>
        <v>#REF!</v>
      </c>
      <c r="LO39" s="27" t="e">
        <f t="shared" si="91"/>
        <v>#REF!</v>
      </c>
      <c r="LP39" s="27" t="e">
        <f t="shared" si="91"/>
        <v>#REF!</v>
      </c>
      <c r="LQ39" s="33" t="e">
        <f t="shared" si="71"/>
        <v>#REF!</v>
      </c>
      <c r="LR39" s="2621"/>
      <c r="LT39" s="4" t="e">
        <f>+#REF!+#REF!+#REF!+#REF!+#REF!+#REF!+#REF!+#REF!+#REF!+#REF!+#REF!+#REF!</f>
        <v>#REF!</v>
      </c>
      <c r="LU39" s="5" t="e">
        <f>+#REF!+#REF!+#REF!+#REF!+#REF!+#REF!+#REF!+#REF!+#REF!+#REF!+#REF!+#REF!</f>
        <v>#REF!</v>
      </c>
      <c r="LV39" s="5" t="e">
        <f t="shared" si="72"/>
        <v>#REF!</v>
      </c>
      <c r="LW39" s="12" t="e">
        <f t="shared" si="86"/>
        <v>#REF!</v>
      </c>
      <c r="LX39" s="15"/>
      <c r="LY39" s="2615"/>
      <c r="MA39" s="4" t="e">
        <f>+#REF!+#REF!+#REF!+#REF!+#REF!+#REF!+#REF!+#REF!+#REF!+#REF!+#REF!+#REF!</f>
        <v>#REF!</v>
      </c>
      <c r="MB39" s="5" t="e">
        <f t="shared" si="73"/>
        <v>#REF!</v>
      </c>
      <c r="MC39" s="5" t="e">
        <f>+#REF!+#REF!+#REF!+#REF!+#REF!+#REF!+#REF!+#REF!+#REF!+#REF!+#REF!+#REF!</f>
        <v>#REF!</v>
      </c>
      <c r="MD39" s="5" t="e">
        <f t="shared" si="74"/>
        <v>#REF!</v>
      </c>
      <c r="ME39" s="12" t="e">
        <f t="shared" si="75"/>
        <v>#REF!</v>
      </c>
      <c r="MF39" s="12"/>
      <c r="MG39" s="2615"/>
      <c r="MI39" s="139" t="e">
        <f t="shared" si="76"/>
        <v>#REF!</v>
      </c>
      <c r="MJ39" s="139" t="e">
        <f t="shared" si="77"/>
        <v>#REF!</v>
      </c>
      <c r="ML39" s="139" t="e">
        <f t="shared" si="78"/>
        <v>#REF!</v>
      </c>
      <c r="MM39" s="139" t="e">
        <f t="shared" si="79"/>
        <v>#REF!</v>
      </c>
      <c r="MO39" s="1">
        <f t="shared" si="92"/>
        <v>0</v>
      </c>
      <c r="MP39" s="1">
        <f t="shared" si="92"/>
        <v>0</v>
      </c>
      <c r="MQ39" s="1">
        <f t="shared" si="92"/>
        <v>0</v>
      </c>
      <c r="MR39" s="1">
        <f t="shared" si="92"/>
        <v>0</v>
      </c>
      <c r="MS39" s="1">
        <f t="shared" si="92"/>
        <v>0</v>
      </c>
      <c r="MT39" s="1">
        <f t="shared" si="92"/>
        <v>0</v>
      </c>
      <c r="MV39" s="1">
        <f t="shared" si="93"/>
        <v>0</v>
      </c>
      <c r="MW39" s="1">
        <f t="shared" si="93"/>
        <v>0</v>
      </c>
      <c r="MX39" s="1">
        <f t="shared" si="93"/>
        <v>0</v>
      </c>
      <c r="MY39" s="1">
        <f t="shared" si="93"/>
        <v>0</v>
      </c>
      <c r="MZ39" s="1">
        <f t="shared" si="93"/>
        <v>0</v>
      </c>
      <c r="NA39" s="1">
        <f t="shared" si="93"/>
        <v>0</v>
      </c>
    </row>
    <row r="40" spans="1:365" s="1" customFormat="1">
      <c r="B40" s="47">
        <v>31</v>
      </c>
      <c r="C40" s="6" t="e">
        <f t="shared" si="0"/>
        <v>#REF!</v>
      </c>
      <c r="D40" s="7" t="e">
        <f t="shared" si="1"/>
        <v>#REF!</v>
      </c>
      <c r="E40" s="62">
        <f t="shared" si="14"/>
        <v>0</v>
      </c>
      <c r="F40" s="56"/>
      <c r="G40" s="57"/>
      <c r="H40" s="57"/>
      <c r="I40" s="58"/>
      <c r="J40" s="2630"/>
      <c r="K40" s="10" t="e">
        <f t="shared" si="15"/>
        <v>#REF!</v>
      </c>
      <c r="L40" s="7" t="e">
        <f t="shared" si="2"/>
        <v>#REF!</v>
      </c>
      <c r="M40" s="65">
        <f t="shared" si="16"/>
        <v>0</v>
      </c>
      <c r="N40" s="31"/>
      <c r="O40" s="37" t="e">
        <f t="shared" si="17"/>
        <v>#REF!</v>
      </c>
      <c r="P40" s="30" t="e">
        <f t="shared" si="17"/>
        <v>#REF!</v>
      </c>
      <c r="Q40" s="57">
        <f t="shared" si="18"/>
        <v>0</v>
      </c>
      <c r="R40" s="31"/>
      <c r="S40" s="37" t="e">
        <f t="shared" si="19"/>
        <v>#REF!</v>
      </c>
      <c r="T40" s="30" t="e">
        <f t="shared" si="19"/>
        <v>#REF!</v>
      </c>
      <c r="U40" s="57">
        <f t="shared" si="3"/>
        <v>0</v>
      </c>
      <c r="V40" s="31"/>
      <c r="W40" s="37" t="e">
        <f t="shared" si="20"/>
        <v>#REF!</v>
      </c>
      <c r="X40" s="30" t="e">
        <f t="shared" si="4"/>
        <v>#REF!</v>
      </c>
      <c r="Y40" s="57">
        <f t="shared" si="21"/>
        <v>0</v>
      </c>
      <c r="Z40" s="31"/>
      <c r="AA40" s="29" t="e">
        <f t="shared" si="94"/>
        <v>#REF!</v>
      </c>
      <c r="AB40" s="30" t="e">
        <f t="shared" si="94"/>
        <v>#REF!</v>
      </c>
      <c r="AC40" s="57">
        <f t="shared" si="23"/>
        <v>0</v>
      </c>
      <c r="AD40" s="34"/>
      <c r="AE40" s="2630"/>
      <c r="AF40" s="10" t="e">
        <f>+#REF!+#REF!+#REF!+#REF!+#REF!+#REF!+#REF!+#REF!+#REF!+#REF!+#REF!+#REF!</f>
        <v>#REF!</v>
      </c>
      <c r="AG40" s="7" t="e">
        <f>+#REF!+#REF!+#REF!+#REF!+#REF!+#REF!+#REF!+#REF!+#REF!+#REF!+#REF!+#REF!</f>
        <v>#REF!</v>
      </c>
      <c r="AH40" s="62">
        <f t="shared" si="24"/>
        <v>0</v>
      </c>
      <c r="AI40" s="37" t="e">
        <f>+#REF!+#REF!+#REF!+#REF!+#REF!+#REF!+#REF!+#REF!+#REF!+#REF!+#REF!+#REF!</f>
        <v>#REF!</v>
      </c>
      <c r="AJ40" s="30" t="e">
        <f>+#REF!+#REF!+#REF!+#REF!+#REF!+#REF!+#REF!+#REF!+#REF!+#REF!+#REF!+#REF!</f>
        <v>#REF!</v>
      </c>
      <c r="AK40" s="62">
        <f t="shared" si="25"/>
        <v>0</v>
      </c>
      <c r="AL40" s="37" t="e">
        <f>+#REF!+#REF!+#REF!+#REF!+#REF!+#REF!+#REF!+#REF!+#REF!+#REF!+#REF!+#REF!</f>
        <v>#REF!</v>
      </c>
      <c r="AM40" s="30" t="e">
        <f>+#REF!+#REF!+#REF!+#REF!+#REF!+#REF!+#REF!+#REF!+#REF!+#REF!+#REF!+#REF!</f>
        <v>#REF!</v>
      </c>
      <c r="AN40" s="62">
        <f t="shared" si="26"/>
        <v>0</v>
      </c>
      <c r="AO40" s="37" t="e">
        <f>+#REF!+#REF!+#REF!+#REF!+#REF!+#REF!+#REF!+#REF!+#REF!+#REF!+#REF!+#REF!</f>
        <v>#REF!</v>
      </c>
      <c r="AP40" s="30" t="e">
        <f>+#REF!+#REF!+#REF!+#REF!+#REF!+#REF!+#REF!+#REF!+#REF!+#REF!+#REF!+#REF!</f>
        <v>#REF!</v>
      </c>
      <c r="AQ40" s="62">
        <f t="shared" si="27"/>
        <v>0</v>
      </c>
      <c r="AR40" s="37" t="e">
        <f>+#REF!+#REF!+#REF!+#REF!+#REF!+#REF!+#REF!+#REF!+#REF!+#REF!+#REF!+#REF!</f>
        <v>#REF!</v>
      </c>
      <c r="AS40" s="30" t="e">
        <f>+#REF!+#REF!+#REF!+#REF!+#REF!+#REF!+#REF!+#REF!+#REF!+#REF!+#REF!+#REF!</f>
        <v>#REF!</v>
      </c>
      <c r="AT40" s="62">
        <f t="shared" si="28"/>
        <v>0</v>
      </c>
      <c r="AU40" s="37" t="e">
        <f>+#REF!+#REF!+#REF!+#REF!+#REF!+#REF!+#REF!+#REF!+#REF!+#REF!+#REF!+#REF!</f>
        <v>#REF!</v>
      </c>
      <c r="AV40" s="30" t="e">
        <f>+#REF!+#REF!+#REF!+#REF!+#REF!+#REF!+#REF!+#REF!+#REF!+#REF!+#REF!+#REF!</f>
        <v>#REF!</v>
      </c>
      <c r="AW40" s="62">
        <f t="shared" si="29"/>
        <v>0</v>
      </c>
      <c r="AX40" s="37" t="e">
        <f>+#REF!+#REF!+#REF!+#REF!+#REF!+#REF!+#REF!+#REF!+#REF!+#REF!+#REF!+#REF!</f>
        <v>#REF!</v>
      </c>
      <c r="AY40" s="30" t="e">
        <f>+#REF!+#REF!+#REF!+#REF!+#REF!+#REF!+#REF!+#REF!+#REF!+#REF!+#REF!+#REF!</f>
        <v>#REF!</v>
      </c>
      <c r="AZ40" s="62">
        <f t="shared" si="30"/>
        <v>0</v>
      </c>
      <c r="BA40" s="37" t="e">
        <f>+#REF!+#REF!+#REF!+#REF!+#REF!+#REF!+#REF!+#REF!+#REF!+#REF!+#REF!+#REF!</f>
        <v>#REF!</v>
      </c>
      <c r="BB40" s="30" t="e">
        <f>+#REF!+#REF!+#REF!+#REF!+#REF!+#REF!+#REF!+#REF!+#REF!+#REF!+#REF!+#REF!</f>
        <v>#REF!</v>
      </c>
      <c r="BC40" s="62">
        <f t="shared" si="31"/>
        <v>0</v>
      </c>
      <c r="BD40" s="37" t="e">
        <f>+#REF!+#REF!+#REF!+#REF!+#REF!+#REF!+#REF!+#REF!+#REF!+#REF!+#REF!+#REF!</f>
        <v>#REF!</v>
      </c>
      <c r="BE40" s="30" t="e">
        <f>+#REF!+#REF!+#REF!+#REF!+#REF!+#REF!+#REF!+#REF!+#REF!+#REF!+#REF!+#REF!</f>
        <v>#REF!</v>
      </c>
      <c r="BF40" s="62">
        <f t="shared" si="32"/>
        <v>0</v>
      </c>
      <c r="BG40" s="37" t="e">
        <f>+#REF!+#REF!+#REF!+#REF!+#REF!+#REF!+#REF!+#REF!+#REF!+#REF!+#REF!+#REF!</f>
        <v>#REF!</v>
      </c>
      <c r="BH40" s="30" t="e">
        <f>+#REF!+#REF!+#REF!+#REF!+#REF!+#REF!+#REF!+#REF!+#REF!+#REF!+#REF!+#REF!</f>
        <v>#REF!</v>
      </c>
      <c r="BI40" s="62">
        <f t="shared" si="33"/>
        <v>0</v>
      </c>
      <c r="BJ40" s="37" t="e">
        <f>+#REF!+#REF!+#REF!+#REF!+#REF!+#REF!+#REF!+#REF!+#REF!+#REF!+#REF!+#REF!</f>
        <v>#REF!</v>
      </c>
      <c r="BK40" s="30" t="e">
        <f>+#REF!+#REF!+#REF!+#REF!+#REF!+#REF!+#REF!+#REF!+#REF!+#REF!+#REF!+#REF!</f>
        <v>#REF!</v>
      </c>
      <c r="BL40" s="62">
        <f t="shared" si="34"/>
        <v>0</v>
      </c>
      <c r="BM40" s="37" t="e">
        <f>+#REF!+#REF!+#REF!+#REF!+#REF!+#REF!+#REF!+#REF!+#REF!+#REF!+#REF!+#REF!</f>
        <v>#REF!</v>
      </c>
      <c r="BN40" s="30" t="e">
        <f>+#REF!+#REF!+#REF!+#REF!+#REF!+#REF!+#REF!+#REF!+#REF!+#REF!+#REF!+#REF!</f>
        <v>#REF!</v>
      </c>
      <c r="BO40" s="58">
        <f t="shared" si="35"/>
        <v>0</v>
      </c>
      <c r="BP40" s="29" t="e">
        <f>+#REF!+#REF!+#REF!+#REF!+#REF!+#REF!+#REF!+#REF!+#REF!+#REF!+#REF!+#REF!</f>
        <v>#REF!</v>
      </c>
      <c r="BQ40" s="30" t="e">
        <f>+#REF!+#REF!+#REF!+#REF!+#REF!+#REF!+#REF!+#REF!+#REF!+#REF!+#REF!+#REF!</f>
        <v>#REF!</v>
      </c>
      <c r="BR40" s="62">
        <f t="shared" si="36"/>
        <v>0</v>
      </c>
      <c r="BS40" s="29" t="e">
        <f>+#REF!+#REF!+#REF!+#REF!+#REF!+#REF!+#REF!+#REF!+#REF!+#REF!+#REF!+#REF!</f>
        <v>#REF!</v>
      </c>
      <c r="BT40" s="30" t="e">
        <f>+#REF!+#REF!+#REF!+#REF!+#REF!+#REF!+#REF!+#REF!+#REF!+#REF!+#REF!+#REF!</f>
        <v>#REF!</v>
      </c>
      <c r="BU40" s="62">
        <f t="shared" si="37"/>
        <v>0</v>
      </c>
      <c r="BV40" s="151"/>
      <c r="BW40" s="10" t="e">
        <f>+#REF!+#REF!+#REF!+#REF!+#REF!+#REF!+#REF!+#REF!+#REF!+#REF!+#REF!+#REF!</f>
        <v>#REF!</v>
      </c>
      <c r="BX40" s="7" t="e">
        <f>+#REF!+#REF!+#REF!+#REF!+#REF!+#REF!+#REF!+#REF!+#REF!+#REF!+#REF!+#REF!</f>
        <v>#REF!</v>
      </c>
      <c r="BY40" s="7" t="e">
        <f>+#REF!+#REF!+#REF!+#REF!+#REF!+#REF!+#REF!+#REF!+#REF!+#REF!+#REF!+#REF!</f>
        <v>#REF!</v>
      </c>
      <c r="BZ40" s="7" t="e">
        <f>+#REF!+#REF!+#REF!+#REF!+#REF!+#REF!+#REF!+#REF!+#REF!+#REF!+#REF!+#REF!</f>
        <v>#REF!</v>
      </c>
      <c r="CA40" s="7" t="e">
        <f>+#REF!+#REF!+#REF!+#REF!+#REF!+#REF!+#REF!+#REF!+#REF!+#REF!+#REF!+#REF!</f>
        <v>#REF!</v>
      </c>
      <c r="CB40" s="7" t="e">
        <f t="shared" si="38"/>
        <v>#REF!</v>
      </c>
      <c r="CC40" s="34"/>
      <c r="CD40" s="2684"/>
      <c r="CF40" s="6" t="e">
        <f t="shared" si="39"/>
        <v>#REF!</v>
      </c>
      <c r="CG40" s="7" t="e">
        <f t="shared" si="5"/>
        <v>#REF!</v>
      </c>
      <c r="CH40" s="7" t="e">
        <f t="shared" si="5"/>
        <v>#REF!</v>
      </c>
      <c r="CI40" s="7" t="e">
        <f t="shared" si="5"/>
        <v>#REF!</v>
      </c>
      <c r="CJ40" s="7" t="e">
        <f t="shared" si="5"/>
        <v>#REF!</v>
      </c>
      <c r="CK40" s="7" t="e">
        <f t="shared" si="5"/>
        <v>#REF!</v>
      </c>
      <c r="CL40" s="34" t="e">
        <f t="shared" si="40"/>
        <v>#REF!</v>
      </c>
      <c r="CM40" s="2686"/>
      <c r="CN40" s="10" t="e">
        <f>+#REF!+#REF!+#REF!+#REF!+#REF!+#REF!+#REF!+#REF!+#REF!+#REF!+#REF!+#REF!</f>
        <v>#REF!</v>
      </c>
      <c r="CO40" s="7" t="e">
        <f>+#REF!+#REF!+#REF!+#REF!+#REF!+#REF!+#REF!+#REF!+#REF!+#REF!+#REF!+#REF!</f>
        <v>#REF!</v>
      </c>
      <c r="CP40" s="7" t="e">
        <f>+#REF!+#REF!+#REF!+#REF!+#REF!+#REF!+#REF!+#REF!+#REF!+#REF!+#REF!+#REF!</f>
        <v>#REF!</v>
      </c>
      <c r="CQ40" s="7" t="e">
        <f>+#REF!+#REF!+#REF!+#REF!+#REF!+#REF!+#REF!+#REF!+#REF!+#REF!+#REF!+#REF!</f>
        <v>#REF!</v>
      </c>
      <c r="CR40" s="7" t="e">
        <f>+#REF!+#REF!+#REF!+#REF!+#REF!+#REF!+#REF!+#REF!+#REF!+#REF!+#REF!+#REF!</f>
        <v>#REF!</v>
      </c>
      <c r="CS40" s="7" t="e">
        <f>+#REF!+#REF!+#REF!+#REF!+#REF!+#REF!+#REF!+#REF!+#REF!+#REF!+#REF!+#REF!</f>
        <v>#REF!</v>
      </c>
      <c r="CT40" s="31" t="e">
        <f t="shared" si="41"/>
        <v>#REF!</v>
      </c>
      <c r="CU40" s="37" t="e">
        <f>+#REF!+#REF!+#REF!+#REF!+#REF!+#REF!+#REF!+#REF!+#REF!+#REF!+#REF!+#REF!</f>
        <v>#REF!</v>
      </c>
      <c r="CV40" s="30" t="e">
        <f>+#REF!+#REF!+#REF!+#REF!+#REF!+#REF!+#REF!+#REF!+#REF!+#REF!+#REF!+#REF!</f>
        <v>#REF!</v>
      </c>
      <c r="CW40" s="30" t="e">
        <f>+#REF!+#REF!+#REF!+#REF!+#REF!+#REF!+#REF!+#REF!+#REF!+#REF!+#REF!+#REF!</f>
        <v>#REF!</v>
      </c>
      <c r="CX40" s="30" t="e">
        <f>+#REF!+#REF!+#REF!+#REF!+#REF!+#REF!+#REF!+#REF!+#REF!+#REF!+#REF!+#REF!</f>
        <v>#REF!</v>
      </c>
      <c r="CY40" s="30" t="e">
        <f>+#REF!+#REF!+#REF!+#REF!+#REF!+#REF!+#REF!+#REF!+#REF!+#REF!+#REF!+#REF!</f>
        <v>#REF!</v>
      </c>
      <c r="CZ40" s="30" t="e">
        <f>+#REF!+#REF!+#REF!+#REF!+#REF!+#REF!+#REF!+#REF!+#REF!+#REF!+#REF!+#REF!</f>
        <v>#REF!</v>
      </c>
      <c r="DA40" s="31" t="e">
        <f t="shared" si="42"/>
        <v>#REF!</v>
      </c>
      <c r="DB40" s="37" t="e">
        <f>+#REF!+#REF!+#REF!+#REF!+#REF!+#REF!+#REF!+#REF!+#REF!+#REF!+#REF!+#REF!</f>
        <v>#REF!</v>
      </c>
      <c r="DC40" s="30" t="e">
        <f>+#REF!+#REF!+#REF!+#REF!+#REF!+#REF!+#REF!+#REF!+#REF!+#REF!+#REF!+#REF!</f>
        <v>#REF!</v>
      </c>
      <c r="DD40" s="30" t="e">
        <f>+#REF!+#REF!+#REF!+#REF!+#REF!+#REF!+#REF!+#REF!+#REF!+#REF!+#REF!+#REF!</f>
        <v>#REF!</v>
      </c>
      <c r="DE40" s="30" t="e">
        <f>+#REF!+#REF!+#REF!+#REF!+#REF!+#REF!+#REF!+#REF!+#REF!+#REF!+#REF!+#REF!</f>
        <v>#REF!</v>
      </c>
      <c r="DF40" s="30" t="e">
        <f>+#REF!+#REF!+#REF!+#REF!+#REF!+#REF!+#REF!+#REF!+#REF!+#REF!+#REF!+#REF!</f>
        <v>#REF!</v>
      </c>
      <c r="DG40" s="30" t="e">
        <f>+#REF!+#REF!+#REF!+#REF!+#REF!+#REF!+#REF!+#REF!+#REF!+#REF!+#REF!+#REF!</f>
        <v>#REF!</v>
      </c>
      <c r="DH40" s="31" t="e">
        <f t="shared" si="43"/>
        <v>#REF!</v>
      </c>
      <c r="DI40" s="37" t="e">
        <f>+#REF!+#REF!+#REF!+#REF!+#REF!+#REF!+#REF!+#REF!+#REF!+#REF!+#REF!+#REF!</f>
        <v>#REF!</v>
      </c>
      <c r="DJ40" s="30" t="e">
        <f>+#REF!+#REF!+#REF!+#REF!+#REF!+#REF!+#REF!+#REF!+#REF!+#REF!+#REF!+#REF!</f>
        <v>#REF!</v>
      </c>
      <c r="DK40" s="30" t="e">
        <f>+#REF!+#REF!+#REF!+#REF!+#REF!+#REF!+#REF!+#REF!+#REF!+#REF!+#REF!+#REF!</f>
        <v>#REF!</v>
      </c>
      <c r="DL40" s="30" t="e">
        <f>+#REF!+#REF!+#REF!+#REF!+#REF!+#REF!+#REF!+#REF!+#REF!+#REF!+#REF!+#REF!</f>
        <v>#REF!</v>
      </c>
      <c r="DM40" s="30" t="e">
        <f>+#REF!+#REF!+#REF!+#REF!+#REF!+#REF!+#REF!+#REF!+#REF!+#REF!+#REF!+#REF!</f>
        <v>#REF!</v>
      </c>
      <c r="DN40" s="30" t="e">
        <f>+#REF!+#REF!+#REF!+#REF!+#REF!+#REF!+#REF!+#REF!+#REF!+#REF!+#REF!+#REF!</f>
        <v>#REF!</v>
      </c>
      <c r="DO40" s="34" t="e">
        <f t="shared" si="44"/>
        <v>#REF!</v>
      </c>
      <c r="DP40" s="2686"/>
      <c r="DR40" s="6" t="e">
        <f t="shared" si="45"/>
        <v>#REF!</v>
      </c>
      <c r="DS40" s="7" t="e">
        <f t="shared" si="46"/>
        <v>#REF!</v>
      </c>
      <c r="DT40" s="7" t="e">
        <f t="shared" si="47"/>
        <v>#REF!</v>
      </c>
      <c r="DU40" s="13" t="e">
        <f t="shared" si="48"/>
        <v>#REF!</v>
      </c>
      <c r="DV40" s="34"/>
      <c r="DW40" s="2675"/>
      <c r="DX40" s="10" t="e">
        <f>+#REF!+#REF!+#REF!+#REF!+#REF!+#REF!+#REF!+#REF!+#REF!+#REF!+#REF!+#REF!</f>
        <v>#REF!</v>
      </c>
      <c r="DY40" s="7" t="e">
        <f>+#REF!+#REF!+#REF!+#REF!+#REF!+#REF!+#REF!+#REF!+#REF!+#REF!+#REF!+#REF!</f>
        <v>#REF!</v>
      </c>
      <c r="DZ40" s="7" t="e">
        <f>+#REF!+#REF!+#REF!+#REF!+#REF!+#REF!+#REF!+#REF!+#REF!+#REF!+#REF!+#REF!</f>
        <v>#REF!</v>
      </c>
      <c r="EA40" s="7" t="e">
        <f>+#REF!+#REF!+#REF!+#REF!+#REF!+#REF!+#REF!+#REF!+#REF!+#REF!+#REF!+#REF!</f>
        <v>#REF!</v>
      </c>
      <c r="EB40" s="7" t="e">
        <f>+#REF!+#REF!+#REF!+#REF!+#REF!+#REF!+#REF!+#REF!+#REF!+#REF!+#REF!+#REF!</f>
        <v>#REF!</v>
      </c>
      <c r="EC40" s="30" t="e">
        <f>+#REF!+#REF!+#REF!+#REF!+#REF!+#REF!+#REF!+#REF!+#REF!+#REF!+#REF!+#REF!</f>
        <v>#REF!</v>
      </c>
      <c r="ED40" s="31" t="e">
        <f t="shared" si="49"/>
        <v>#REF!</v>
      </c>
      <c r="EE40" s="37" t="e">
        <f>+#REF!+#REF!+#REF!+#REF!+#REF!+#REF!+#REF!+#REF!+#REF!+#REF!+#REF!+#REF!</f>
        <v>#REF!</v>
      </c>
      <c r="EF40" s="30" t="e">
        <f>+#REF!+#REF!+#REF!+#REF!+#REF!+#REF!+#REF!+#REF!+#REF!+#REF!+#REF!+#REF!</f>
        <v>#REF!</v>
      </c>
      <c r="EG40" s="30" t="e">
        <f>+#REF!+#REF!+#REF!+#REF!+#REF!+#REF!+#REF!+#REF!+#REF!+#REF!+#REF!+#REF!</f>
        <v>#REF!</v>
      </c>
      <c r="EH40" s="30" t="e">
        <f>+#REF!+#REF!+#REF!+#REF!+#REF!+#REF!+#REF!+#REF!+#REF!+#REF!+#REF!+#REF!</f>
        <v>#REF!</v>
      </c>
      <c r="EI40" s="30" t="e">
        <f>+#REF!+#REF!+#REF!+#REF!+#REF!+#REF!+#REF!+#REF!+#REF!+#REF!+#REF!+#REF!</f>
        <v>#REF!</v>
      </c>
      <c r="EJ40" s="30" t="e">
        <f>+#REF!+#REF!+#REF!+#REF!+#REF!+#REF!+#REF!+#REF!+#REF!+#REF!+#REF!+#REF!</f>
        <v>#REF!</v>
      </c>
      <c r="EK40" s="31" t="e">
        <f t="shared" si="50"/>
        <v>#REF!</v>
      </c>
      <c r="EL40" s="37" t="e">
        <f>+#REF!+#REF!+#REF!+#REF!+#REF!+#REF!+#REF!+#REF!+#REF!+#REF!+#REF!+#REF!</f>
        <v>#REF!</v>
      </c>
      <c r="EM40" s="30" t="e">
        <f>+#REF!+#REF!+#REF!+#REF!+#REF!+#REF!+#REF!+#REF!+#REF!+#REF!+#REF!+#REF!</f>
        <v>#REF!</v>
      </c>
      <c r="EN40" s="30" t="e">
        <f>+#REF!+#REF!+#REF!+#REF!+#REF!+#REF!+#REF!+#REF!+#REF!+#REF!+#REF!+#REF!</f>
        <v>#REF!</v>
      </c>
      <c r="EO40" s="30" t="e">
        <f>+#REF!+#REF!+#REF!+#REF!+#REF!+#REF!+#REF!+#REF!+#REF!+#REF!+#REF!+#REF!</f>
        <v>#REF!</v>
      </c>
      <c r="EP40" s="30" t="e">
        <f>+#REF!+#REF!+#REF!+#REF!+#REF!+#REF!+#REF!+#REF!+#REF!+#REF!+#REF!+#REF!</f>
        <v>#REF!</v>
      </c>
      <c r="EQ40" s="30" t="e">
        <f>+#REF!+#REF!+#REF!+#REF!+#REF!+#REF!+#REF!+#REF!+#REF!+#REF!+#REF!+#REF!</f>
        <v>#REF!</v>
      </c>
      <c r="ER40" s="34" t="e">
        <f t="shared" si="51"/>
        <v>#REF!</v>
      </c>
      <c r="ES40" s="2675"/>
      <c r="EU40" s="6" t="e">
        <f t="shared" si="52"/>
        <v>#REF!</v>
      </c>
      <c r="EV40" s="7" t="e">
        <f t="shared" si="53"/>
        <v>#REF!</v>
      </c>
      <c r="EW40" s="30" t="e">
        <f t="shared" si="54"/>
        <v>#REF!</v>
      </c>
      <c r="EX40" s="30" t="e">
        <f t="shared" si="55"/>
        <v>#REF!</v>
      </c>
      <c r="EY40" s="30"/>
      <c r="EZ40" s="30"/>
      <c r="FA40" s="34"/>
      <c r="FB40" s="2668"/>
      <c r="FC40" s="37" t="e">
        <f>+#REF!+#REF!+#REF!+#REF!+#REF!+#REF!+#REF!+#REF!+#REF!+#REF!+#REF!+#REF!</f>
        <v>#REF!</v>
      </c>
      <c r="FD40" s="30" t="e">
        <f>+#REF!+#REF!+#REF!+#REF!+#REF!+#REF!+#REF!+#REF!+#REF!+#REF!+#REF!+#REF!</f>
        <v>#REF!</v>
      </c>
      <c r="FE40" s="30"/>
      <c r="FF40" s="30"/>
      <c r="FG40" s="34" t="e">
        <f t="shared" si="56"/>
        <v>#REF!</v>
      </c>
      <c r="FH40" s="2668"/>
      <c r="FI40" s="37" t="e">
        <f>+#REF!+#REF!+#REF!+#REF!+#REF!+#REF!+#REF!+#REF!+#REF!+#REF!+#REF!+#REF!</f>
        <v>#REF!</v>
      </c>
      <c r="FJ40" s="30" t="e">
        <f>+#REF!+#REF!+#REF!+#REF!+#REF!+#REF!+#REF!+#REF!+#REF!+#REF!+#REF!+#REF!</f>
        <v>#REF!</v>
      </c>
      <c r="FK40" s="30" t="e">
        <f>+#REF!+#REF!+#REF!+#REF!+#REF!+#REF!+#REF!+#REF!+#REF!+#REF!+#REF!+#REF!</f>
        <v>#REF!</v>
      </c>
      <c r="FL40" s="30" t="e">
        <f>+#REF!+#REF!+#REF!+#REF!+#REF!+#REF!+#REF!+#REF!+#REF!+#REF!+#REF!+#REF!</f>
        <v>#REF!</v>
      </c>
      <c r="FM40" s="30" t="e">
        <f>+#REF!+#REF!+#REF!+#REF!+#REF!+#REF!+#REF!+#REF!+#REF!+#REF!+#REF!+#REF!</f>
        <v>#REF!</v>
      </c>
      <c r="FN40" s="30" t="e">
        <f>+#REF!+#REF!+#REF!+#REF!+#REF!+#REF!+#REF!+#REF!+#REF!+#REF!+#REF!+#REF!</f>
        <v>#REF!</v>
      </c>
      <c r="FO40" s="30" t="e">
        <f>+#REF!+#REF!+#REF!+#REF!+#REF!+#REF!+#REF!+#REF!+#REF!+#REF!+#REF!+#REF!</f>
        <v>#REF!</v>
      </c>
      <c r="FP40" s="30" t="e">
        <f>+#REF!+#REF!+#REF!+#REF!+#REF!+#REF!+#REF!+#REF!+#REF!+#REF!+#REF!+#REF!</f>
        <v>#REF!</v>
      </c>
      <c r="FQ40" s="31" t="e">
        <f>SUM(FI40:FP40)</f>
        <v>#REF!</v>
      </c>
      <c r="FR40" s="29" t="e">
        <f>+#REF!+#REF!+#REF!+#REF!+#REF!+#REF!+#REF!+#REF!+#REF!+#REF!+#REF!+#REF!</f>
        <v>#REF!</v>
      </c>
      <c r="FS40" s="30" t="e">
        <f>+#REF!+#REF!+#REF!+#REF!+#REF!+#REF!+#REF!+#REF!+#REF!+#REF!+#REF!+#REF!</f>
        <v>#REF!</v>
      </c>
      <c r="FT40" s="30" t="e">
        <f>+#REF!+#REF!+#REF!+#REF!+#REF!+#REF!+#REF!+#REF!+#REF!+#REF!+#REF!+#REF!</f>
        <v>#REF!</v>
      </c>
      <c r="FU40" s="30" t="e">
        <f>+#REF!+#REF!+#REF!+#REF!+#REF!+#REF!+#REF!+#REF!+#REF!+#REF!+#REF!+#REF!</f>
        <v>#REF!</v>
      </c>
      <c r="FV40" s="30" t="e">
        <f>+#REF!+#REF!+#REF!+#REF!+#REF!+#REF!+#REF!+#REF!+#REF!+#REF!+#REF!+#REF!</f>
        <v>#REF!</v>
      </c>
      <c r="FW40" s="30" t="e">
        <f>+#REF!+#REF!+#REF!+#REF!+#REF!+#REF!+#REF!+#REF!+#REF!+#REF!+#REF!+#REF!</f>
        <v>#REF!</v>
      </c>
      <c r="FX40" s="30" t="e">
        <f>+#REF!+#REF!+#REF!+#REF!+#REF!+#REF!+#REF!+#REF!+#REF!+#REF!+#REF!+#REF!</f>
        <v>#REF!</v>
      </c>
      <c r="FY40" s="30" t="e">
        <f>+#REF!+#REF!+#REF!+#REF!+#REF!+#REF!+#REF!+#REF!+#REF!+#REF!+#REF!+#REF!</f>
        <v>#REF!</v>
      </c>
      <c r="FZ40" s="31" t="e">
        <f t="shared" si="57"/>
        <v>#REF!</v>
      </c>
      <c r="GA40" s="37" t="e">
        <f>+#REF!+#REF!+#REF!+#REF!+#REF!+#REF!+#REF!+#REF!+#REF!+#REF!+#REF!+#REF!</f>
        <v>#REF!</v>
      </c>
      <c r="GB40" s="30" t="e">
        <f>+#REF!+#REF!+#REF!+#REF!+#REF!+#REF!+#REF!+#REF!+#REF!+#REF!+#REF!+#REF!</f>
        <v>#REF!</v>
      </c>
      <c r="GC40" s="30" t="e">
        <f>+#REF!+#REF!+#REF!+#REF!+#REF!+#REF!+#REF!+#REF!+#REF!+#REF!+#REF!+#REF!</f>
        <v>#REF!</v>
      </c>
      <c r="GD40" s="30" t="e">
        <f>+#REF!+#REF!+#REF!+#REF!+#REF!+#REF!+#REF!+#REF!+#REF!+#REF!+#REF!+#REF!</f>
        <v>#REF!</v>
      </c>
      <c r="GE40" s="30" t="e">
        <f>+#REF!+#REF!+#REF!+#REF!+#REF!+#REF!+#REF!+#REF!+#REF!+#REF!+#REF!+#REF!</f>
        <v>#REF!</v>
      </c>
      <c r="GF40" s="30" t="e">
        <f>+#REF!+#REF!+#REF!+#REF!+#REF!+#REF!+#REF!+#REF!+#REF!+#REF!+#REF!+#REF!</f>
        <v>#REF!</v>
      </c>
      <c r="GG40" s="30" t="e">
        <f>+#REF!+#REF!+#REF!+#REF!+#REF!+#REF!+#REF!+#REF!+#REF!+#REF!+#REF!+#REF!</f>
        <v>#REF!</v>
      </c>
      <c r="GH40" s="30" t="e">
        <f>+#REF!+#REF!+#REF!+#REF!+#REF!+#REF!+#REF!+#REF!+#REF!+#REF!+#REF!+#REF!</f>
        <v>#REF!</v>
      </c>
      <c r="GI40" s="34" t="e">
        <f t="shared" si="58"/>
        <v>#REF!</v>
      </c>
      <c r="GJ40" s="2668"/>
      <c r="GL40" s="29" t="e">
        <f>+#REF!+#REF!+#REF!+#REF!+#REF!+#REF!+#REF!+#REF!+#REF!+#REF!+#REF!+#REF!</f>
        <v>#REF!</v>
      </c>
      <c r="GM40" s="37" t="e">
        <f>+#REF!+#REF!+#REF!+#REF!+#REF!+#REF!+#REF!+#REF!+#REF!+#REF!+#REF!+#REF!</f>
        <v>#REF!</v>
      </c>
      <c r="GN40" s="30" t="e">
        <f>+#REF!+#REF!+#REF!+#REF!+#REF!+#REF!+#REF!+#REF!+#REF!+#REF!+#REF!+#REF!</f>
        <v>#REF!</v>
      </c>
      <c r="GO40" s="30" t="e">
        <f t="shared" si="59"/>
        <v>#REF!</v>
      </c>
      <c r="GP40" s="31"/>
      <c r="GQ40" s="2670"/>
      <c r="GR40" s="74"/>
      <c r="GS40" s="75"/>
      <c r="GT40" s="75"/>
      <c r="GU40" s="75"/>
      <c r="GV40" s="75"/>
      <c r="GW40" s="75"/>
      <c r="GX40" s="75"/>
      <c r="GY40" s="76"/>
      <c r="GZ40" s="74"/>
      <c r="HA40" s="75"/>
      <c r="HB40" s="75"/>
      <c r="HC40" s="75"/>
      <c r="HD40" s="75"/>
      <c r="HE40" s="75"/>
      <c r="HF40" s="75"/>
      <c r="HG40" s="76"/>
      <c r="HH40" s="77"/>
      <c r="HI40" s="75"/>
      <c r="HJ40" s="75"/>
      <c r="HK40" s="75"/>
      <c r="HL40" s="75"/>
      <c r="HM40" s="75"/>
      <c r="HN40" s="75"/>
      <c r="HO40" s="75"/>
      <c r="HP40" s="31"/>
      <c r="HQ40" s="2670"/>
      <c r="HR40" s="29"/>
      <c r="HS40" s="57"/>
      <c r="HT40" s="57"/>
      <c r="HU40" s="57"/>
      <c r="HV40" s="62"/>
      <c r="HW40" s="29"/>
      <c r="HX40" s="57"/>
      <c r="HY40" s="57"/>
      <c r="HZ40" s="57"/>
      <c r="IA40" s="62"/>
      <c r="IB40" s="37"/>
      <c r="IC40" s="57"/>
      <c r="ID40" s="57"/>
      <c r="IE40" s="57"/>
      <c r="IF40" s="57"/>
      <c r="IG40" s="31"/>
      <c r="IH40" s="2670"/>
      <c r="IJ40" s="29" t="e">
        <f t="shared" si="60"/>
        <v>#REF!</v>
      </c>
      <c r="IK40" s="37" t="e">
        <f t="shared" si="6"/>
        <v>#REF!</v>
      </c>
      <c r="IL40" s="30" t="e">
        <f t="shared" si="6"/>
        <v>#REF!</v>
      </c>
      <c r="IM40" s="31" t="e">
        <f t="shared" si="61"/>
        <v>#REF!</v>
      </c>
      <c r="IN40" s="37"/>
      <c r="IO40" s="30"/>
      <c r="IP40" s="30"/>
      <c r="IQ40" s="34"/>
      <c r="IR40" s="59"/>
      <c r="IS40" s="22"/>
      <c r="IT40" s="2689"/>
      <c r="IU40" s="37" t="e">
        <f>+#REF!+#REF!+#REF!+#REF!+#REF!+#REF!+#REF!+#REF!+#REF!+#REF!+#REF!+#REF!</f>
        <v>#REF!</v>
      </c>
      <c r="IV40" s="37" t="e">
        <f>+#REF!+#REF!+#REF!+#REF!+#REF!+#REF!+#REF!+#REF!+#REF!+#REF!+#REF!+#REF!</f>
        <v>#REF!</v>
      </c>
      <c r="IW40" s="30" t="e">
        <f>+#REF!+#REF!+#REF!+#REF!+#REF!+#REF!+#REF!+#REF!+#REF!+#REF!+#REF!+#REF!</f>
        <v>#REF!</v>
      </c>
      <c r="IX40" s="30" t="e">
        <f>+#REF!+#REF!+#REF!+#REF!+#REF!+#REF!+#REF!+#REF!+#REF!+#REF!+#REF!+#REF!</f>
        <v>#REF!</v>
      </c>
      <c r="IY40" s="30" t="e">
        <f>+#REF!+#REF!+#REF!+#REF!+#REF!+#REF!+#REF!+#REF!+#REF!+#REF!+#REF!+#REF!</f>
        <v>#REF!</v>
      </c>
      <c r="IZ40" s="31" t="e">
        <f t="shared" si="62"/>
        <v>#REF!</v>
      </c>
      <c r="JA40" s="29" t="e">
        <f>+#REF!+#REF!+#REF!+#REF!+#REF!+#REF!+#REF!+#REF!+#REF!+#REF!+#REF!+#REF!</f>
        <v>#REF!</v>
      </c>
      <c r="JB40" s="37" t="e">
        <f>+#REF!+#REF!+#REF!+#REF!+#REF!+#REF!+#REF!+#REF!+#REF!+#REF!+#REF!+#REF!</f>
        <v>#REF!</v>
      </c>
      <c r="JC40" s="30" t="e">
        <f>+#REF!+#REF!+#REF!+#REF!+#REF!+#REF!+#REF!+#REF!+#REF!+#REF!+#REF!+#REF!</f>
        <v>#REF!</v>
      </c>
      <c r="JD40" s="30" t="e">
        <f>+#REF!+#REF!+#REF!+#REF!+#REF!+#REF!+#REF!+#REF!+#REF!+#REF!+#REF!+#REF!</f>
        <v>#REF!</v>
      </c>
      <c r="JE40" s="31" t="e">
        <f>+#REF!+#REF!+#REF!+#REF!+#REF!+#REF!+#REF!+#REF!+#REF!+#REF!+#REF!+#REF!</f>
        <v>#REF!</v>
      </c>
      <c r="JF40" s="29" t="e">
        <f>+#REF!+#REF!+#REF!+#REF!+#REF!+#REF!+#REF!+#REF!+#REF!+#REF!+#REF!+#REF!</f>
        <v>#REF!</v>
      </c>
      <c r="JG40" s="37" t="e">
        <f>+#REF!+#REF!+#REF!+#REF!+#REF!+#REF!+#REF!+#REF!+#REF!+#REF!+#REF!+#REF!</f>
        <v>#REF!</v>
      </c>
      <c r="JH40" s="30" t="e">
        <f>+#REF!+#REF!+#REF!+#REF!+#REF!+#REF!+#REF!+#REF!+#REF!+#REF!+#REF!+#REF!</f>
        <v>#REF!</v>
      </c>
      <c r="JI40" s="30" t="e">
        <f>+#REF!+#REF!+#REF!+#REF!+#REF!+#REF!+#REF!+#REF!+#REF!+#REF!+#REF!+#REF!</f>
        <v>#REF!</v>
      </c>
      <c r="JJ40" s="30" t="e">
        <f>+#REF!+#REF!+#REF!+#REF!+#REF!+#REF!+#REF!+#REF!+#REF!+#REF!+#REF!+#REF!</f>
        <v>#REF!</v>
      </c>
      <c r="JK40" s="31" t="e">
        <f t="shared" si="63"/>
        <v>#REF!</v>
      </c>
      <c r="JL40" s="29" t="e">
        <f>+#REF!+#REF!+#REF!+#REF!+#REF!+#REF!+#REF!+#REF!+#REF!+#REF!+#REF!+#REF!</f>
        <v>#REF!</v>
      </c>
      <c r="JM40" s="37" t="e">
        <f>+#REF!+#REF!+#REF!+#REF!+#REF!+#REF!+#REF!+#REF!+#REF!+#REF!+#REF!+#REF!</f>
        <v>#REF!</v>
      </c>
      <c r="JN40" s="30" t="e">
        <f>+#REF!+#REF!+#REF!+#REF!+#REF!+#REF!+#REF!+#REF!+#REF!+#REF!+#REF!+#REF!</f>
        <v>#REF!</v>
      </c>
      <c r="JO40" s="30" t="e">
        <f>+#REF!+#REF!+#REF!+#REF!+#REF!+#REF!+#REF!+#REF!+#REF!+#REF!+#REF!+#REF!</f>
        <v>#REF!</v>
      </c>
      <c r="JP40" s="31" t="e">
        <f>+#REF!+#REF!+#REF!+#REF!+#REF!+#REF!+#REF!+#REF!+#REF!+#REF!+#REF!+#REF!</f>
        <v>#REF!</v>
      </c>
      <c r="JQ40" s="276" t="e">
        <f t="shared" si="64"/>
        <v>#REF!</v>
      </c>
      <c r="JR40" s="37" t="e">
        <f>+#REF!+#REF!+#REF!+#REF!+#REF!+#REF!+#REF!+#REF!+#REF!+#REF!+#REF!+#REF!</f>
        <v>#REF!</v>
      </c>
      <c r="JS40" s="37" t="e">
        <f>+#REF!+#REF!+#REF!+#REF!+#REF!+#REF!+#REF!+#REF!+#REF!+#REF!+#REF!+#REF!</f>
        <v>#REF!</v>
      </c>
      <c r="JT40" s="30" t="e">
        <f>+#REF!+#REF!+#REF!+#REF!+#REF!+#REF!+#REF!+#REF!+#REF!+#REF!+#REF!+#REF!</f>
        <v>#REF!</v>
      </c>
      <c r="JU40" s="30" t="e">
        <f>+#REF!+#REF!+#REF!+#REF!+#REF!+#REF!+#REF!+#REF!+#REF!+#REF!+#REF!+#REF!</f>
        <v>#REF!</v>
      </c>
      <c r="JV40" s="30" t="e">
        <f>+#REF!+#REF!+#REF!+#REF!+#REF!+#REF!+#REF!+#REF!+#REF!+#REF!+#REF!+#REF!</f>
        <v>#REF!</v>
      </c>
      <c r="JW40" s="34" t="e">
        <f t="shared" si="65"/>
        <v>#REF!</v>
      </c>
      <c r="JX40" s="2689"/>
      <c r="JZ40" s="29" t="e">
        <f t="shared" si="66"/>
        <v>#REF!</v>
      </c>
      <c r="KA40" s="30" t="e">
        <f t="shared" si="67"/>
        <v>#REF!</v>
      </c>
      <c r="KB40" s="30" t="e">
        <f t="shared" si="68"/>
        <v>#REF!</v>
      </c>
      <c r="KC40" s="34" t="e">
        <f t="shared" si="69"/>
        <v>#REF!</v>
      </c>
      <c r="KD40" s="2622"/>
      <c r="KE40" s="37" t="e">
        <f t="shared" si="87"/>
        <v>#REF!</v>
      </c>
      <c r="KF40" s="37" t="e">
        <f t="shared" si="87"/>
        <v>#REF!</v>
      </c>
      <c r="KG40" s="30" t="e">
        <f t="shared" si="87"/>
        <v>#REF!</v>
      </c>
      <c r="KH40" s="31" t="e">
        <f t="shared" si="81"/>
        <v>#REF!</v>
      </c>
      <c r="KI40" s="37" t="e">
        <f t="shared" si="82"/>
        <v>#REF!</v>
      </c>
      <c r="KJ40" s="30" t="e">
        <f t="shared" si="88"/>
        <v>#REF!</v>
      </c>
      <c r="KK40" s="30" t="e">
        <f t="shared" si="88"/>
        <v>#REF!</v>
      </c>
      <c r="KL40" s="30" t="e">
        <f t="shared" si="88"/>
        <v>#REF!</v>
      </c>
      <c r="KM40" s="30" t="e">
        <f t="shared" si="88"/>
        <v>#REF!</v>
      </c>
      <c r="KN40" s="30" t="e">
        <f t="shared" si="88"/>
        <v>#REF!</v>
      </c>
      <c r="KO40" s="31" t="e">
        <f t="shared" si="83"/>
        <v>#REF!</v>
      </c>
      <c r="KP40" s="37" t="e">
        <f t="shared" si="89"/>
        <v>#REF!</v>
      </c>
      <c r="KQ40" s="30" t="e">
        <f t="shared" si="89"/>
        <v>#REF!</v>
      </c>
      <c r="KR40" s="30" t="e">
        <f t="shared" si="89"/>
        <v>#REF!</v>
      </c>
      <c r="KS40" s="30" t="e">
        <f t="shared" si="89"/>
        <v>#REF!</v>
      </c>
      <c r="KT40" s="30" t="e">
        <f t="shared" si="89"/>
        <v>#REF!</v>
      </c>
      <c r="KU40" s="30" t="e">
        <f t="shared" si="89"/>
        <v>#REF!</v>
      </c>
      <c r="KV40" s="31" t="e">
        <f t="shared" si="84"/>
        <v>#REF!</v>
      </c>
      <c r="KW40" s="37" t="e">
        <f t="shared" si="90"/>
        <v>#REF!</v>
      </c>
      <c r="KX40" s="30" t="e">
        <f t="shared" si="90"/>
        <v>#REF!</v>
      </c>
      <c r="KY40" s="30" t="e">
        <f t="shared" si="90"/>
        <v>#REF!</v>
      </c>
      <c r="KZ40" s="30" t="e">
        <f t="shared" si="90"/>
        <v>#REF!</v>
      </c>
      <c r="LA40" s="30" t="e">
        <f t="shared" si="90"/>
        <v>#REF!</v>
      </c>
      <c r="LB40" s="30" t="e">
        <f t="shared" si="90"/>
        <v>#REF!</v>
      </c>
      <c r="LC40" s="31" t="e">
        <f t="shared" si="85"/>
        <v>#REF!</v>
      </c>
      <c r="LD40" s="37"/>
      <c r="LE40" s="30"/>
      <c r="LF40" s="30"/>
      <c r="LG40" s="30"/>
      <c r="LH40" s="30"/>
      <c r="LI40" s="30"/>
      <c r="LJ40" s="31">
        <f t="shared" si="70"/>
        <v>0</v>
      </c>
      <c r="LK40" s="37" t="e">
        <f t="shared" si="91"/>
        <v>#REF!</v>
      </c>
      <c r="LL40" s="30" t="e">
        <f t="shared" si="91"/>
        <v>#REF!</v>
      </c>
      <c r="LM40" s="30" t="e">
        <f t="shared" si="91"/>
        <v>#REF!</v>
      </c>
      <c r="LN40" s="30" t="e">
        <f t="shared" si="91"/>
        <v>#REF!</v>
      </c>
      <c r="LO40" s="30" t="e">
        <f t="shared" si="91"/>
        <v>#REF!</v>
      </c>
      <c r="LP40" s="30" t="e">
        <f t="shared" si="91"/>
        <v>#REF!</v>
      </c>
      <c r="LQ40" s="34" t="e">
        <f t="shared" si="71"/>
        <v>#REF!</v>
      </c>
      <c r="LR40" s="2622"/>
      <c r="LT40" s="6" t="e">
        <f>+#REF!+#REF!+#REF!+#REF!+#REF!+#REF!+#REF!+#REF!+#REF!+#REF!+#REF!+#REF!</f>
        <v>#REF!</v>
      </c>
      <c r="LU40" s="7" t="e">
        <f>+#REF!+#REF!+#REF!+#REF!+#REF!+#REF!+#REF!+#REF!+#REF!+#REF!+#REF!+#REF!</f>
        <v>#REF!</v>
      </c>
      <c r="LV40" s="7" t="e">
        <f t="shared" si="72"/>
        <v>#REF!</v>
      </c>
      <c r="LW40" s="13" t="e">
        <f t="shared" si="86"/>
        <v>#REF!</v>
      </c>
      <c r="LX40" s="16"/>
      <c r="LY40" s="2616"/>
      <c r="MA40" s="6" t="e">
        <f>+#REF!+#REF!+#REF!+#REF!+#REF!+#REF!+#REF!+#REF!+#REF!+#REF!+#REF!+#REF!</f>
        <v>#REF!</v>
      </c>
      <c r="MB40" s="7" t="e">
        <f t="shared" si="73"/>
        <v>#REF!</v>
      </c>
      <c r="MC40" s="7" t="e">
        <f>+#REF!+#REF!+#REF!+#REF!+#REF!+#REF!+#REF!+#REF!+#REF!+#REF!+#REF!+#REF!</f>
        <v>#REF!</v>
      </c>
      <c r="MD40" s="7" t="e">
        <f t="shared" si="74"/>
        <v>#REF!</v>
      </c>
      <c r="ME40" s="13" t="e">
        <f t="shared" si="75"/>
        <v>#REF!</v>
      </c>
      <c r="MF40" s="13"/>
      <c r="MG40" s="2616"/>
      <c r="MI40" s="139" t="e">
        <f t="shared" si="76"/>
        <v>#REF!</v>
      </c>
      <c r="MJ40" s="139" t="e">
        <f t="shared" si="77"/>
        <v>#REF!</v>
      </c>
      <c r="ML40" s="139" t="e">
        <f t="shared" si="78"/>
        <v>#REF!</v>
      </c>
      <c r="MM40" s="139" t="e">
        <f t="shared" si="79"/>
        <v>#REF!</v>
      </c>
      <c r="MO40" s="1">
        <f t="shared" si="92"/>
        <v>0</v>
      </c>
      <c r="MP40" s="1">
        <f t="shared" si="92"/>
        <v>0</v>
      </c>
      <c r="MQ40" s="1">
        <f t="shared" si="92"/>
        <v>0</v>
      </c>
      <c r="MR40" s="1">
        <f t="shared" si="92"/>
        <v>0</v>
      </c>
      <c r="MS40" s="1">
        <f t="shared" si="92"/>
        <v>0</v>
      </c>
      <c r="MT40" s="1">
        <f t="shared" si="92"/>
        <v>0</v>
      </c>
      <c r="MV40" s="1">
        <f t="shared" si="93"/>
        <v>0</v>
      </c>
      <c r="MW40" s="1">
        <f t="shared" si="93"/>
        <v>0</v>
      </c>
      <c r="MX40" s="1">
        <f t="shared" si="93"/>
        <v>0</v>
      </c>
      <c r="MY40" s="1">
        <f t="shared" si="93"/>
        <v>0</v>
      </c>
      <c r="MZ40" s="1">
        <f t="shared" si="93"/>
        <v>0</v>
      </c>
      <c r="NA40" s="1">
        <f t="shared" si="93"/>
        <v>0</v>
      </c>
    </row>
    <row r="41" spans="1:365" s="38" customFormat="1">
      <c r="A41" s="38" t="s">
        <v>206</v>
      </c>
      <c r="C41" s="72" t="e">
        <f>SUM(C10:C40)</f>
        <v>#REF!</v>
      </c>
      <c r="D41" s="72" t="e">
        <f t="shared" ref="D41:CA41" si="95">SUM(D10:D40)</f>
        <v>#REF!</v>
      </c>
      <c r="E41" s="38">
        <f>IFERROR(C41/D41,0)</f>
        <v>0</v>
      </c>
      <c r="F41" s="72">
        <f t="shared" si="95"/>
        <v>0</v>
      </c>
      <c r="G41" s="72">
        <f t="shared" si="95"/>
        <v>0</v>
      </c>
      <c r="H41" s="72">
        <f t="shared" si="95"/>
        <v>0</v>
      </c>
      <c r="I41" s="72">
        <f t="shared" si="95"/>
        <v>0</v>
      </c>
      <c r="J41" s="72">
        <f t="shared" si="95"/>
        <v>0</v>
      </c>
      <c r="K41" s="72" t="e">
        <f t="shared" si="95"/>
        <v>#REF!</v>
      </c>
      <c r="L41" s="72" t="e">
        <f t="shared" si="95"/>
        <v>#REF!</v>
      </c>
      <c r="M41" s="38">
        <f>IFERROR(K41/L41,0)</f>
        <v>0</v>
      </c>
      <c r="N41" s="72">
        <f t="shared" si="95"/>
        <v>0</v>
      </c>
      <c r="O41" s="72" t="e">
        <f t="shared" si="95"/>
        <v>#REF!</v>
      </c>
      <c r="P41" s="72" t="e">
        <f t="shared" si="95"/>
        <v>#REF!</v>
      </c>
      <c r="Q41" s="38">
        <f>IFERROR(O41/P41,0)</f>
        <v>0</v>
      </c>
      <c r="R41" s="72">
        <f t="shared" si="95"/>
        <v>0</v>
      </c>
      <c r="S41" s="72" t="e">
        <f t="shared" si="95"/>
        <v>#REF!</v>
      </c>
      <c r="T41" s="72" t="e">
        <f t="shared" si="95"/>
        <v>#REF!</v>
      </c>
      <c r="U41" s="38">
        <f>IFERROR(S41/T41,0)</f>
        <v>0</v>
      </c>
      <c r="V41" s="72">
        <f t="shared" si="95"/>
        <v>0</v>
      </c>
      <c r="W41" s="72" t="e">
        <f t="shared" si="95"/>
        <v>#REF!</v>
      </c>
      <c r="X41" s="72" t="e">
        <f t="shared" si="95"/>
        <v>#REF!</v>
      </c>
      <c r="Y41" s="38">
        <f>IFERROR(W41/X41,0)</f>
        <v>0</v>
      </c>
      <c r="Z41" s="72">
        <f t="shared" si="95"/>
        <v>0</v>
      </c>
      <c r="AA41" s="72" t="e">
        <f t="shared" si="95"/>
        <v>#REF!</v>
      </c>
      <c r="AB41" s="72" t="e">
        <f t="shared" si="95"/>
        <v>#REF!</v>
      </c>
      <c r="AC41" s="38">
        <f>IFERROR(AA41/AB41,0)</f>
        <v>0</v>
      </c>
      <c r="AD41" s="72">
        <f t="shared" si="95"/>
        <v>0</v>
      </c>
      <c r="AE41" s="72">
        <f t="shared" si="95"/>
        <v>0</v>
      </c>
      <c r="AF41" s="72" t="e">
        <f t="shared" si="95"/>
        <v>#REF!</v>
      </c>
      <c r="AG41" s="72" t="e">
        <f t="shared" si="95"/>
        <v>#REF!</v>
      </c>
      <c r="AH41" s="38">
        <f>IFERROR(AF41/AG41,0)</f>
        <v>0</v>
      </c>
      <c r="AI41" s="72" t="e">
        <f t="shared" si="95"/>
        <v>#REF!</v>
      </c>
      <c r="AJ41" s="72" t="e">
        <f t="shared" si="95"/>
        <v>#REF!</v>
      </c>
      <c r="AK41" s="38">
        <f>IFERROR(AI41/AJ41,0)</f>
        <v>0</v>
      </c>
      <c r="AL41" s="72" t="e">
        <f t="shared" si="95"/>
        <v>#REF!</v>
      </c>
      <c r="AM41" s="38" t="e">
        <f t="shared" si="95"/>
        <v>#REF!</v>
      </c>
      <c r="AN41" s="38">
        <f>IFERROR(AL41/AM41,0)</f>
        <v>0</v>
      </c>
      <c r="AO41" s="72" t="e">
        <f t="shared" si="95"/>
        <v>#REF!</v>
      </c>
      <c r="AP41" s="72" t="e">
        <f t="shared" si="95"/>
        <v>#REF!</v>
      </c>
      <c r="AQ41" s="38">
        <f>IFERROR(AO41/AP41,0)</f>
        <v>0</v>
      </c>
      <c r="AR41" s="72" t="e">
        <f t="shared" si="95"/>
        <v>#REF!</v>
      </c>
      <c r="AS41" s="72" t="e">
        <f t="shared" si="95"/>
        <v>#REF!</v>
      </c>
      <c r="AT41" s="38">
        <f>IFERROR(AR41/AS41,0)</f>
        <v>0</v>
      </c>
      <c r="AU41" s="72" t="e">
        <f t="shared" si="95"/>
        <v>#REF!</v>
      </c>
      <c r="AV41" s="72" t="e">
        <f t="shared" si="95"/>
        <v>#REF!</v>
      </c>
      <c r="AW41" s="38">
        <f>IFERROR(AU41/AV41,0)</f>
        <v>0</v>
      </c>
      <c r="AX41" s="72" t="e">
        <f t="shared" si="95"/>
        <v>#REF!</v>
      </c>
      <c r="AY41" s="72" t="e">
        <f t="shared" si="95"/>
        <v>#REF!</v>
      </c>
      <c r="AZ41" s="38">
        <f>IFERROR(AX41/AY41,0)</f>
        <v>0</v>
      </c>
      <c r="BA41" s="72" t="e">
        <f t="shared" si="95"/>
        <v>#REF!</v>
      </c>
      <c r="BB41" s="72" t="e">
        <f t="shared" si="95"/>
        <v>#REF!</v>
      </c>
      <c r="BC41" s="38">
        <f>IFERROR(BA41/BB41,0)</f>
        <v>0</v>
      </c>
      <c r="BD41" s="72" t="e">
        <f t="shared" si="95"/>
        <v>#REF!</v>
      </c>
      <c r="BE41" s="72" t="e">
        <f t="shared" si="95"/>
        <v>#REF!</v>
      </c>
      <c r="BF41" s="38">
        <f>IFERROR(BD41/BE41,0)</f>
        <v>0</v>
      </c>
      <c r="BG41" s="38" t="e">
        <f>SUM(BG10:BG40)</f>
        <v>#REF!</v>
      </c>
      <c r="BH41" s="72" t="e">
        <f>SUM(BH10:BH40)</f>
        <v>#REF!</v>
      </c>
      <c r="BI41" s="38">
        <f>IFERROR(BG41/BH41,0)</f>
        <v>0</v>
      </c>
      <c r="BJ41" s="72" t="e">
        <f>SUM(BJ10:BJ40)</f>
        <v>#REF!</v>
      </c>
      <c r="BK41" s="72" t="e">
        <f>SUM(BK10:BK40)</f>
        <v>#REF!</v>
      </c>
      <c r="BL41" s="38">
        <f>IFERROR(BJ41/BK41,0)</f>
        <v>0</v>
      </c>
      <c r="BM41" s="72" t="e">
        <f>SUM(BM10:BM40)</f>
        <v>#REF!</v>
      </c>
      <c r="BN41" s="72" t="e">
        <f>SUM(BN10:BN40)</f>
        <v>#REF!</v>
      </c>
      <c r="BO41" s="38">
        <f>IFERROR(BM41/BN41,0)</f>
        <v>0</v>
      </c>
      <c r="BS41" s="72" t="e">
        <f>SUM(BS10:BS40)</f>
        <v>#REF!</v>
      </c>
      <c r="BT41" s="72" t="e">
        <f>SUM(BT10:BT40)</f>
        <v>#REF!</v>
      </c>
      <c r="BU41" s="38">
        <f>IFERROR(BS41/BT41,0)</f>
        <v>0</v>
      </c>
      <c r="BV41" s="72">
        <f t="shared" si="95"/>
        <v>0</v>
      </c>
      <c r="BW41" s="72" t="e">
        <f t="shared" si="95"/>
        <v>#REF!</v>
      </c>
      <c r="BX41" s="72" t="e">
        <f t="shared" si="95"/>
        <v>#REF!</v>
      </c>
      <c r="BY41" s="72" t="e">
        <f t="shared" si="95"/>
        <v>#REF!</v>
      </c>
      <c r="BZ41" s="72" t="e">
        <f t="shared" si="95"/>
        <v>#REF!</v>
      </c>
      <c r="CA41" s="72" t="e">
        <f t="shared" si="95"/>
        <v>#REF!</v>
      </c>
      <c r="CB41" s="72" t="e">
        <f t="shared" ref="CB41:EM41" si="96">SUM(CB10:CB40)</f>
        <v>#REF!</v>
      </c>
      <c r="CC41" s="72">
        <f t="shared" si="96"/>
        <v>0</v>
      </c>
      <c r="CD41" s="72">
        <f t="shared" si="96"/>
        <v>0</v>
      </c>
      <c r="CE41" s="72">
        <f t="shared" si="96"/>
        <v>0</v>
      </c>
      <c r="CF41" s="72" t="e">
        <f t="shared" si="96"/>
        <v>#REF!</v>
      </c>
      <c r="CG41" s="72" t="e">
        <f t="shared" si="96"/>
        <v>#REF!</v>
      </c>
      <c r="CH41" s="72" t="e">
        <f t="shared" si="96"/>
        <v>#REF!</v>
      </c>
      <c r="CI41" s="72" t="e">
        <f t="shared" si="96"/>
        <v>#REF!</v>
      </c>
      <c r="CJ41" s="72" t="e">
        <f t="shared" si="96"/>
        <v>#REF!</v>
      </c>
      <c r="CK41" s="72" t="e">
        <f t="shared" si="96"/>
        <v>#REF!</v>
      </c>
      <c r="CL41" s="38" t="e">
        <f t="shared" si="96"/>
        <v>#REF!</v>
      </c>
      <c r="CM41" s="72">
        <f t="shared" si="96"/>
        <v>0</v>
      </c>
      <c r="CN41" s="72" t="e">
        <f t="shared" si="96"/>
        <v>#REF!</v>
      </c>
      <c r="CO41" s="72" t="e">
        <f t="shared" si="96"/>
        <v>#REF!</v>
      </c>
      <c r="CP41" s="72" t="e">
        <f t="shared" si="96"/>
        <v>#REF!</v>
      </c>
      <c r="CQ41" s="72" t="e">
        <f t="shared" si="96"/>
        <v>#REF!</v>
      </c>
      <c r="CR41" s="72" t="e">
        <f t="shared" si="96"/>
        <v>#REF!</v>
      </c>
      <c r="CS41" s="72" t="e">
        <f t="shared" si="96"/>
        <v>#REF!</v>
      </c>
      <c r="CT41" s="38" t="e">
        <f t="shared" si="96"/>
        <v>#REF!</v>
      </c>
      <c r="CU41" s="72" t="e">
        <f t="shared" si="96"/>
        <v>#REF!</v>
      </c>
      <c r="CV41" s="72" t="e">
        <f t="shared" si="96"/>
        <v>#REF!</v>
      </c>
      <c r="CW41" s="72" t="e">
        <f t="shared" si="96"/>
        <v>#REF!</v>
      </c>
      <c r="CX41" s="72" t="e">
        <f t="shared" si="96"/>
        <v>#REF!</v>
      </c>
      <c r="CY41" s="72" t="e">
        <f t="shared" si="96"/>
        <v>#REF!</v>
      </c>
      <c r="CZ41" s="72" t="e">
        <f t="shared" si="96"/>
        <v>#REF!</v>
      </c>
      <c r="DA41" s="38" t="e">
        <f t="shared" si="96"/>
        <v>#REF!</v>
      </c>
      <c r="DB41" s="72" t="e">
        <f t="shared" si="96"/>
        <v>#REF!</v>
      </c>
      <c r="DC41" s="72" t="e">
        <f t="shared" si="96"/>
        <v>#REF!</v>
      </c>
      <c r="DD41" s="72" t="e">
        <f t="shared" si="96"/>
        <v>#REF!</v>
      </c>
      <c r="DE41" s="72" t="e">
        <f t="shared" si="96"/>
        <v>#REF!</v>
      </c>
      <c r="DF41" s="72" t="e">
        <f t="shared" si="96"/>
        <v>#REF!</v>
      </c>
      <c r="DG41" s="72" t="e">
        <f t="shared" si="96"/>
        <v>#REF!</v>
      </c>
      <c r="DH41" s="72" t="e">
        <f t="shared" si="96"/>
        <v>#REF!</v>
      </c>
      <c r="DI41" s="72" t="e">
        <f t="shared" si="96"/>
        <v>#REF!</v>
      </c>
      <c r="DJ41" s="72" t="e">
        <f t="shared" si="96"/>
        <v>#REF!</v>
      </c>
      <c r="DK41" s="72" t="e">
        <f t="shared" si="96"/>
        <v>#REF!</v>
      </c>
      <c r="DL41" s="72" t="e">
        <f t="shared" si="96"/>
        <v>#REF!</v>
      </c>
      <c r="DM41" s="72" t="e">
        <f t="shared" si="96"/>
        <v>#REF!</v>
      </c>
      <c r="DN41" s="72" t="e">
        <f t="shared" si="96"/>
        <v>#REF!</v>
      </c>
      <c r="DO41" s="72" t="e">
        <f t="shared" si="96"/>
        <v>#REF!</v>
      </c>
      <c r="DP41" s="72">
        <f t="shared" si="96"/>
        <v>0</v>
      </c>
      <c r="DQ41" s="72">
        <f t="shared" si="96"/>
        <v>0</v>
      </c>
      <c r="DR41" s="72" t="e">
        <f t="shared" si="96"/>
        <v>#REF!</v>
      </c>
      <c r="DS41" s="72" t="e">
        <f t="shared" si="96"/>
        <v>#REF!</v>
      </c>
      <c r="DT41" s="72" t="e">
        <f t="shared" si="96"/>
        <v>#REF!</v>
      </c>
      <c r="DU41" s="72" t="e">
        <f t="shared" si="96"/>
        <v>#REF!</v>
      </c>
      <c r="DV41" s="72">
        <f t="shared" si="96"/>
        <v>0</v>
      </c>
      <c r="DW41" s="72">
        <f t="shared" si="96"/>
        <v>0</v>
      </c>
      <c r="DX41" s="72" t="e">
        <f t="shared" si="96"/>
        <v>#REF!</v>
      </c>
      <c r="DY41" s="72" t="e">
        <f t="shared" si="96"/>
        <v>#REF!</v>
      </c>
      <c r="DZ41" s="72" t="e">
        <f t="shared" si="96"/>
        <v>#REF!</v>
      </c>
      <c r="EA41" s="72" t="e">
        <f t="shared" si="96"/>
        <v>#REF!</v>
      </c>
      <c r="EB41" s="72" t="e">
        <f t="shared" si="96"/>
        <v>#REF!</v>
      </c>
      <c r="EC41" s="72" t="e">
        <f t="shared" si="96"/>
        <v>#REF!</v>
      </c>
      <c r="ED41" s="72" t="e">
        <f t="shared" si="96"/>
        <v>#REF!</v>
      </c>
      <c r="EE41" s="72" t="e">
        <f t="shared" si="96"/>
        <v>#REF!</v>
      </c>
      <c r="EF41" s="72" t="e">
        <f t="shared" si="96"/>
        <v>#REF!</v>
      </c>
      <c r="EG41" s="72" t="e">
        <f t="shared" si="96"/>
        <v>#REF!</v>
      </c>
      <c r="EH41" s="72" t="e">
        <f t="shared" si="96"/>
        <v>#REF!</v>
      </c>
      <c r="EI41" s="72" t="e">
        <f t="shared" si="96"/>
        <v>#REF!</v>
      </c>
      <c r="EJ41" s="72" t="e">
        <f t="shared" si="96"/>
        <v>#REF!</v>
      </c>
      <c r="EK41" s="72" t="e">
        <f t="shared" si="96"/>
        <v>#REF!</v>
      </c>
      <c r="EL41" s="72" t="e">
        <f t="shared" si="96"/>
        <v>#REF!</v>
      </c>
      <c r="EM41" s="72" t="e">
        <f t="shared" si="96"/>
        <v>#REF!</v>
      </c>
      <c r="EN41" s="72" t="e">
        <f t="shared" ref="EN41:GQ41" si="97">SUM(EN10:EN40)</f>
        <v>#REF!</v>
      </c>
      <c r="EO41" s="72" t="e">
        <f t="shared" si="97"/>
        <v>#REF!</v>
      </c>
      <c r="EP41" s="72" t="e">
        <f t="shared" si="97"/>
        <v>#REF!</v>
      </c>
      <c r="EQ41" s="72" t="e">
        <f t="shared" si="97"/>
        <v>#REF!</v>
      </c>
      <c r="ER41" s="72" t="e">
        <f t="shared" si="97"/>
        <v>#REF!</v>
      </c>
      <c r="ES41" s="72">
        <f t="shared" si="97"/>
        <v>0</v>
      </c>
      <c r="ET41" s="72">
        <f t="shared" si="97"/>
        <v>0</v>
      </c>
      <c r="EU41" s="72" t="e">
        <f t="shared" si="97"/>
        <v>#REF!</v>
      </c>
      <c r="EV41" s="72" t="e">
        <f t="shared" si="97"/>
        <v>#REF!</v>
      </c>
      <c r="EW41" s="72" t="e">
        <f t="shared" si="97"/>
        <v>#REF!</v>
      </c>
      <c r="EX41" s="72" t="e">
        <f t="shared" si="97"/>
        <v>#REF!</v>
      </c>
      <c r="EY41" s="72">
        <f t="shared" si="97"/>
        <v>0</v>
      </c>
      <c r="EZ41" s="72">
        <f t="shared" si="97"/>
        <v>0</v>
      </c>
      <c r="FA41" s="72">
        <f t="shared" si="97"/>
        <v>0</v>
      </c>
      <c r="FB41" s="72">
        <f t="shared" si="97"/>
        <v>0</v>
      </c>
      <c r="FC41" s="72" t="e">
        <f t="shared" si="97"/>
        <v>#REF!</v>
      </c>
      <c r="FD41" s="72" t="e">
        <f t="shared" si="97"/>
        <v>#REF!</v>
      </c>
      <c r="FE41" s="72">
        <f t="shared" si="97"/>
        <v>0</v>
      </c>
      <c r="FF41" s="72">
        <f t="shared" si="97"/>
        <v>0</v>
      </c>
      <c r="FG41" s="72" t="e">
        <f t="shared" si="97"/>
        <v>#REF!</v>
      </c>
      <c r="FH41" s="72">
        <f t="shared" si="97"/>
        <v>0</v>
      </c>
      <c r="FI41" s="72" t="e">
        <f t="shared" si="97"/>
        <v>#REF!</v>
      </c>
      <c r="FJ41" s="72" t="e">
        <f t="shared" si="97"/>
        <v>#REF!</v>
      </c>
      <c r="FK41" s="72" t="e">
        <f t="shared" si="97"/>
        <v>#REF!</v>
      </c>
      <c r="FL41" s="72" t="e">
        <f t="shared" si="97"/>
        <v>#REF!</v>
      </c>
      <c r="FM41" s="72" t="e">
        <f t="shared" si="97"/>
        <v>#REF!</v>
      </c>
      <c r="FN41" s="72" t="e">
        <f t="shared" si="97"/>
        <v>#REF!</v>
      </c>
      <c r="FO41" s="72" t="e">
        <f t="shared" si="97"/>
        <v>#REF!</v>
      </c>
      <c r="FP41" s="72" t="e">
        <f t="shared" si="97"/>
        <v>#REF!</v>
      </c>
      <c r="FQ41" s="72" t="e">
        <f>SUM(FI41:FP41)</f>
        <v>#REF!</v>
      </c>
      <c r="FR41" s="72" t="e">
        <f t="shared" si="97"/>
        <v>#REF!</v>
      </c>
      <c r="FS41" s="72" t="e">
        <f t="shared" si="97"/>
        <v>#REF!</v>
      </c>
      <c r="FT41" s="72" t="e">
        <f t="shared" si="97"/>
        <v>#REF!</v>
      </c>
      <c r="FU41" s="72" t="e">
        <f t="shared" si="97"/>
        <v>#REF!</v>
      </c>
      <c r="FV41" s="72" t="e">
        <f t="shared" si="97"/>
        <v>#REF!</v>
      </c>
      <c r="FW41" s="72" t="e">
        <f t="shared" si="97"/>
        <v>#REF!</v>
      </c>
      <c r="FX41" s="72" t="e">
        <f t="shared" si="97"/>
        <v>#REF!</v>
      </c>
      <c r="FY41" s="72" t="e">
        <f t="shared" si="97"/>
        <v>#REF!</v>
      </c>
      <c r="FZ41" s="72" t="e">
        <f t="shared" si="97"/>
        <v>#REF!</v>
      </c>
      <c r="GA41" s="72" t="e">
        <f t="shared" si="97"/>
        <v>#REF!</v>
      </c>
      <c r="GB41" s="72" t="e">
        <f t="shared" si="97"/>
        <v>#REF!</v>
      </c>
      <c r="GC41" s="72" t="e">
        <f t="shared" si="97"/>
        <v>#REF!</v>
      </c>
      <c r="GD41" s="72" t="e">
        <f t="shared" si="97"/>
        <v>#REF!</v>
      </c>
      <c r="GE41" s="72" t="e">
        <f t="shared" si="97"/>
        <v>#REF!</v>
      </c>
      <c r="GF41" s="72" t="e">
        <f t="shared" si="97"/>
        <v>#REF!</v>
      </c>
      <c r="GG41" s="72" t="e">
        <f t="shared" si="97"/>
        <v>#REF!</v>
      </c>
      <c r="GH41" s="72" t="e">
        <f t="shared" si="97"/>
        <v>#REF!</v>
      </c>
      <c r="GI41" s="72" t="e">
        <f t="shared" si="97"/>
        <v>#REF!</v>
      </c>
      <c r="GJ41" s="72">
        <f t="shared" si="97"/>
        <v>0</v>
      </c>
      <c r="GK41" s="72">
        <f t="shared" si="97"/>
        <v>0</v>
      </c>
      <c r="GL41" s="72" t="e">
        <f t="shared" si="97"/>
        <v>#REF!</v>
      </c>
      <c r="GM41" s="72" t="e">
        <f>SUM(GM10:GM40)</f>
        <v>#REF!</v>
      </c>
      <c r="GN41" s="72" t="e">
        <f t="shared" si="97"/>
        <v>#REF!</v>
      </c>
      <c r="GO41" s="72" t="e">
        <f t="shared" si="97"/>
        <v>#REF!</v>
      </c>
      <c r="GP41" s="72">
        <f t="shared" si="97"/>
        <v>0</v>
      </c>
      <c r="GQ41" s="72">
        <f t="shared" si="97"/>
        <v>0</v>
      </c>
      <c r="GR41" s="38" t="str">
        <f>IFERROR(SUM(GR10:GR40)/SUM($GR$10:$GY$40),"")</f>
        <v/>
      </c>
      <c r="GS41" s="38" t="str">
        <f t="shared" ref="GS41:GY41" si="98">IFERROR(SUM(GS10:GS40)/SUM($GR$10:$GY$40),"")</f>
        <v/>
      </c>
      <c r="GT41" s="38" t="str">
        <f t="shared" si="98"/>
        <v/>
      </c>
      <c r="GU41" s="38" t="str">
        <f t="shared" si="98"/>
        <v/>
      </c>
      <c r="GV41" s="38" t="str">
        <f t="shared" si="98"/>
        <v/>
      </c>
      <c r="GW41" s="38" t="str">
        <f>IFERROR(SUM(GW10:GW40)/SUM($GR$10:$GY$40),"")</f>
        <v/>
      </c>
      <c r="GX41" s="38" t="str">
        <f t="shared" si="98"/>
        <v/>
      </c>
      <c r="GY41" s="38" t="str">
        <f t="shared" si="98"/>
        <v/>
      </c>
      <c r="GZ41" s="38" t="str">
        <f>IFERROR(SUM(GZ10:GZ40)/SUM($GZ$10:$HG$40),"")</f>
        <v/>
      </c>
      <c r="HA41" s="38" t="str">
        <f t="shared" ref="HA41:HG41" si="99">IFERROR(SUM(HA10:HA40)/SUM($GZ$10:$HG$40),"")</f>
        <v/>
      </c>
      <c r="HB41" s="38" t="str">
        <f t="shared" si="99"/>
        <v/>
      </c>
      <c r="HC41" s="38" t="str">
        <f t="shared" si="99"/>
        <v/>
      </c>
      <c r="HD41" s="38" t="str">
        <f t="shared" si="99"/>
        <v/>
      </c>
      <c r="HE41" s="38" t="str">
        <f t="shared" si="99"/>
        <v/>
      </c>
      <c r="HF41" s="38" t="str">
        <f t="shared" si="99"/>
        <v/>
      </c>
      <c r="HG41" s="38" t="str">
        <f t="shared" si="99"/>
        <v/>
      </c>
      <c r="HH41" s="38" t="str">
        <f>IFERROR(SUM(HH10:HH40)/SUM($HH$10:$HO$40),"")</f>
        <v/>
      </c>
      <c r="HI41" s="38" t="str">
        <f t="shared" ref="HI41:HO41" si="100">IFERROR(SUM(HI10:HI40)/SUM($HH$10:$HO$40),"")</f>
        <v/>
      </c>
      <c r="HJ41" s="38" t="str">
        <f t="shared" si="100"/>
        <v/>
      </c>
      <c r="HK41" s="38" t="str">
        <f t="shared" si="100"/>
        <v/>
      </c>
      <c r="HL41" s="38" t="str">
        <f t="shared" si="100"/>
        <v/>
      </c>
      <c r="HM41" s="38" t="str">
        <f t="shared" si="100"/>
        <v/>
      </c>
      <c r="HN41" s="38" t="str">
        <f t="shared" si="100"/>
        <v/>
      </c>
      <c r="HO41" s="38" t="str">
        <f t="shared" si="100"/>
        <v/>
      </c>
      <c r="HP41" s="72">
        <f>SUM(HP10:HP40)</f>
        <v>0</v>
      </c>
      <c r="HQ41" s="72">
        <f t="shared" ref="HQ41:JY41" si="101">SUM(HQ10:HQ40)</f>
        <v>0</v>
      </c>
      <c r="HR41" s="72">
        <f>IFERROR(SUMPRODUCT((HR10:HR40&lt;&gt;"")*HR10:HR40,$GL$10:$GL$40)/SUMIFS($GL$10:$GL$40,HR10:HR40,"&gt;"&amp;0),0)</f>
        <v>0</v>
      </c>
      <c r="HS41" s="38">
        <f>IFERROR(SUMPRODUCT((HS10:HS40&lt;&gt;"")*HS10:HS40,$GL$10:$GL$40)/SUMIFS($GL$10:$GL$40,HS10:HS40,"&gt;"&amp;0),0)</f>
        <v>0</v>
      </c>
      <c r="HT41" s="38">
        <f>IFERROR(SUMPRODUCT((HT10:HT40&lt;&gt;"")*HT10:HT40,$GL$10:$GL$40)/SUMIFS($GL$10:$GL$40,HT10:HT40,"&gt;"&amp;0),0)</f>
        <v>0</v>
      </c>
      <c r="HU41" s="38">
        <f>IFERROR(SUMPRODUCT((HU10:HU40&lt;&gt;"")*HU10:HU40,$GL$10:$GL$40)/SUMIFS($GL$10:$GL$40,HU10:HU40,"&gt;"&amp;0),0)</f>
        <v>0</v>
      </c>
      <c r="HV41" s="38">
        <f>IFERROR(SUMPRODUCT((HV10:HV40&lt;&gt;"")*HV10:HV40,$GL$10:$GL$40)/SUMIFS($GL$10:$GL$40,HV10:HV40,"&gt;"&amp;0),0)</f>
        <v>0</v>
      </c>
      <c r="HW41" s="38">
        <f>IFERROR(SUMPRODUCT((HW10:HW40&lt;&gt;"")*HW10:HW40,$GM$10:$GM$40)/SUMIFS($GM$10:$GM$40,HW10:HW40,"&gt;"&amp;0),0)</f>
        <v>0</v>
      </c>
      <c r="HX41" s="38">
        <f>IFERROR(SUMPRODUCT((HX10:HX40&lt;&gt;"")*HX10:HX40,$GM$10:$GM$40)/SUMIFS($GM$10:$GM$40,HX10:HX40,"&gt;"&amp;0),0)</f>
        <v>0</v>
      </c>
      <c r="HY41" s="38">
        <f>IFERROR(SUMPRODUCT((HY10:HY40&lt;&gt;"")*HY10:HY40,$GM$10:$GM$40)/SUMIFS($GM$10:$GM$40,HY10:HY40,"&gt;"&amp;0),0)</f>
        <v>0</v>
      </c>
      <c r="HZ41" s="38">
        <f>IFERROR(SUMPRODUCT((HZ10:HZ40&lt;&gt;"")*HZ10:HZ40,$GM$10:$GM$40)/SUMIFS($GM$10:$GM$40,HZ10:HZ40,"&gt;"&amp;0),0)</f>
        <v>0</v>
      </c>
      <c r="IA41" s="38">
        <f>IFERROR(SUMPRODUCT((IA10:IA40&lt;&gt;"")*IA10:IA40,$GM$10:$GM$40)/SUMIFS($GM$10:$GM$40,IA10:IA40,"&gt;"&amp;0),0)</f>
        <v>0</v>
      </c>
      <c r="IB41" s="72">
        <f>IFERROR(SUMPRODUCT((IB10:IB40&lt;&gt;"")*IB10:IB40,$GN$10:$GN$40)/SUMIFS($GN$10:$GN$40,IB10:IB40,"&gt;"&amp;0),0)</f>
        <v>0</v>
      </c>
      <c r="IC41" s="72">
        <f>IFERROR(SUMPRODUCT((IC10:IC40&lt;&gt;"")*IC10:IC40,$GN$10:$GN$40)/SUMIFS($GN$10:$GN$40,IC10:IC40,"&gt;"&amp;0),0)</f>
        <v>0</v>
      </c>
      <c r="ID41" s="72">
        <f>IFERROR(SUMPRODUCT((ID10:ID40&lt;&gt;"")*ID10:ID40,$GN$10:$GN$40)/SUMIFS($GN$10:$GN$40,ID10:ID40,"&gt;"&amp;0),0)</f>
        <v>0</v>
      </c>
      <c r="IE41" s="72">
        <f>IFERROR(SUMPRODUCT((IE10:IE40&lt;&gt;"")*IE10:IE40,$GN$10:$GN$40)/SUMIFS($GN$10:$GN$40,IE10:IE40,"&gt;"&amp;0),0)</f>
        <v>0</v>
      </c>
      <c r="IF41" s="72">
        <f>IFERROR(SUMPRODUCT((IF10:IF40&lt;&gt;"")*IF10:IF40,$GN$10:$GN$40)/SUMIFS($GN$10:$GN$40,IF10:IF40,"&gt;"&amp;0),0)</f>
        <v>0</v>
      </c>
      <c r="IG41" s="72"/>
      <c r="IH41" s="72">
        <f t="shared" si="101"/>
        <v>0</v>
      </c>
      <c r="II41" s="72">
        <f t="shared" si="101"/>
        <v>0</v>
      </c>
      <c r="IJ41" s="72" t="e">
        <f t="shared" si="101"/>
        <v>#REF!</v>
      </c>
      <c r="IK41" s="72" t="e">
        <f>SUM(IK10:IK40)</f>
        <v>#REF!</v>
      </c>
      <c r="IL41" s="72" t="e">
        <f t="shared" si="101"/>
        <v>#REF!</v>
      </c>
      <c r="IM41" s="72" t="e">
        <f t="shared" si="101"/>
        <v>#REF!</v>
      </c>
      <c r="IN41" s="72">
        <f t="shared" si="101"/>
        <v>0</v>
      </c>
      <c r="IO41" s="72">
        <f t="shared" si="101"/>
        <v>0</v>
      </c>
      <c r="IP41" s="72">
        <f t="shared" si="101"/>
        <v>0</v>
      </c>
      <c r="IQ41" s="72">
        <f t="shared" si="101"/>
        <v>0</v>
      </c>
      <c r="IR41" s="72">
        <f t="shared" si="101"/>
        <v>0</v>
      </c>
      <c r="IS41" s="72">
        <f t="shared" si="101"/>
        <v>0</v>
      </c>
      <c r="IT41" s="72">
        <f t="shared" si="101"/>
        <v>0</v>
      </c>
      <c r="IU41" s="72" t="e">
        <f t="shared" si="101"/>
        <v>#REF!</v>
      </c>
      <c r="IV41" s="72" t="e">
        <f>SUM(IV10:IV40)</f>
        <v>#REF!</v>
      </c>
      <c r="IW41" s="72" t="e">
        <f t="shared" si="101"/>
        <v>#REF!</v>
      </c>
      <c r="IX41" s="72" t="e">
        <f t="shared" si="101"/>
        <v>#REF!</v>
      </c>
      <c r="IY41" s="72" t="e">
        <f t="shared" si="101"/>
        <v>#REF!</v>
      </c>
      <c r="IZ41" s="72" t="e">
        <f t="shared" si="101"/>
        <v>#REF!</v>
      </c>
      <c r="JA41" s="72" t="e">
        <f t="shared" si="101"/>
        <v>#REF!</v>
      </c>
      <c r="JB41" s="72" t="e">
        <f>SUM(JB10:JB40)</f>
        <v>#REF!</v>
      </c>
      <c r="JC41" s="72" t="e">
        <f t="shared" si="101"/>
        <v>#REF!</v>
      </c>
      <c r="JD41" s="72" t="e">
        <f t="shared" si="101"/>
        <v>#REF!</v>
      </c>
      <c r="JE41" s="72" t="e">
        <f t="shared" si="101"/>
        <v>#REF!</v>
      </c>
      <c r="JF41" s="72" t="e">
        <f>SUM(JF10:JF40)</f>
        <v>#REF!</v>
      </c>
      <c r="JG41" s="72" t="e">
        <f>SUM(JG10:JG40)</f>
        <v>#REF!</v>
      </c>
      <c r="JH41" s="72" t="e">
        <f>SUM(JH10:JH40)</f>
        <v>#REF!</v>
      </c>
      <c r="JI41" s="72" t="e">
        <f>SUM(JI10:JI40)</f>
        <v>#REF!</v>
      </c>
      <c r="JJ41" s="72" t="e">
        <f>SUM(JJ10:JJ40)</f>
        <v>#REF!</v>
      </c>
      <c r="JK41" s="72" t="e">
        <f t="shared" si="101"/>
        <v>#REF!</v>
      </c>
      <c r="JL41" s="72" t="e">
        <f t="shared" si="101"/>
        <v>#REF!</v>
      </c>
      <c r="JM41" s="72"/>
      <c r="JN41" s="72" t="e">
        <f t="shared" si="101"/>
        <v>#REF!</v>
      </c>
      <c r="JO41" s="72" t="e">
        <f t="shared" si="101"/>
        <v>#REF!</v>
      </c>
      <c r="JP41" s="72" t="e">
        <f t="shared" si="101"/>
        <v>#REF!</v>
      </c>
      <c r="JQ41" s="72" t="e">
        <f t="shared" si="101"/>
        <v>#REF!</v>
      </c>
      <c r="JR41" s="72" t="e">
        <f t="shared" si="101"/>
        <v>#REF!</v>
      </c>
      <c r="JS41" s="72"/>
      <c r="JT41" s="72" t="e">
        <f t="shared" si="101"/>
        <v>#REF!</v>
      </c>
      <c r="JU41" s="72" t="e">
        <f t="shared" si="101"/>
        <v>#REF!</v>
      </c>
      <c r="JV41" s="72" t="e">
        <f t="shared" si="101"/>
        <v>#REF!</v>
      </c>
      <c r="JW41" s="72" t="e">
        <f t="shared" si="101"/>
        <v>#REF!</v>
      </c>
      <c r="JX41" s="72">
        <f t="shared" si="101"/>
        <v>0</v>
      </c>
      <c r="JY41" s="72">
        <f t="shared" si="101"/>
        <v>0</v>
      </c>
      <c r="JZ41" s="72" t="e">
        <f>+JZ40</f>
        <v>#REF!</v>
      </c>
      <c r="KA41" s="72" t="e">
        <f t="shared" ref="KA41:LQ42" si="102">+KA40</f>
        <v>#REF!</v>
      </c>
      <c r="KB41" s="72" t="e">
        <f t="shared" si="102"/>
        <v>#REF!</v>
      </c>
      <c r="KC41" s="72" t="e">
        <f t="shared" si="102"/>
        <v>#REF!</v>
      </c>
      <c r="KD41" s="72">
        <f t="shared" si="102"/>
        <v>0</v>
      </c>
      <c r="KE41" s="72" t="e">
        <f t="shared" si="102"/>
        <v>#REF!</v>
      </c>
      <c r="KF41" s="72" t="e">
        <f>+KF40</f>
        <v>#REF!</v>
      </c>
      <c r="KG41" s="72" t="e">
        <f t="shared" si="102"/>
        <v>#REF!</v>
      </c>
      <c r="KH41" s="72" t="e">
        <f t="shared" si="102"/>
        <v>#REF!</v>
      </c>
      <c r="KI41" s="72" t="e">
        <f t="shared" si="102"/>
        <v>#REF!</v>
      </c>
      <c r="KJ41" s="72" t="e">
        <f t="shared" si="102"/>
        <v>#REF!</v>
      </c>
      <c r="KK41" s="72" t="e">
        <f t="shared" si="102"/>
        <v>#REF!</v>
      </c>
      <c r="KL41" s="72" t="e">
        <f t="shared" si="102"/>
        <v>#REF!</v>
      </c>
      <c r="KM41" s="72" t="e">
        <f t="shared" si="102"/>
        <v>#REF!</v>
      </c>
      <c r="KN41" s="72" t="e">
        <f t="shared" si="102"/>
        <v>#REF!</v>
      </c>
      <c r="KO41" s="72" t="e">
        <f t="shared" si="102"/>
        <v>#REF!</v>
      </c>
      <c r="KP41" s="72" t="e">
        <f t="shared" si="102"/>
        <v>#REF!</v>
      </c>
      <c r="KQ41" s="72" t="e">
        <f t="shared" si="102"/>
        <v>#REF!</v>
      </c>
      <c r="KR41" s="72" t="e">
        <f t="shared" si="102"/>
        <v>#REF!</v>
      </c>
      <c r="KS41" s="72" t="e">
        <f t="shared" si="102"/>
        <v>#REF!</v>
      </c>
      <c r="KT41" s="72" t="e">
        <f t="shared" si="102"/>
        <v>#REF!</v>
      </c>
      <c r="KU41" s="72" t="e">
        <f t="shared" si="102"/>
        <v>#REF!</v>
      </c>
      <c r="KV41" s="72" t="e">
        <f t="shared" si="102"/>
        <v>#REF!</v>
      </c>
      <c r="KW41" s="72" t="e">
        <f t="shared" si="102"/>
        <v>#REF!</v>
      </c>
      <c r="KX41" s="72" t="e">
        <f t="shared" si="102"/>
        <v>#REF!</v>
      </c>
      <c r="KY41" s="72" t="e">
        <f t="shared" si="102"/>
        <v>#REF!</v>
      </c>
      <c r="KZ41" s="72" t="e">
        <f t="shared" si="102"/>
        <v>#REF!</v>
      </c>
      <c r="LA41" s="72" t="e">
        <f t="shared" si="102"/>
        <v>#REF!</v>
      </c>
      <c r="LB41" s="72" t="e">
        <f t="shared" si="102"/>
        <v>#REF!</v>
      </c>
      <c r="LC41" s="72" t="e">
        <f t="shared" si="102"/>
        <v>#REF!</v>
      </c>
      <c r="LD41" s="72">
        <f t="shared" si="102"/>
        <v>0</v>
      </c>
      <c r="LE41" s="72">
        <f t="shared" si="102"/>
        <v>0</v>
      </c>
      <c r="LF41" s="72">
        <f t="shared" si="102"/>
        <v>0</v>
      </c>
      <c r="LG41" s="72">
        <f t="shared" si="102"/>
        <v>0</v>
      </c>
      <c r="LH41" s="72">
        <f t="shared" si="102"/>
        <v>0</v>
      </c>
      <c r="LI41" s="72">
        <f t="shared" si="102"/>
        <v>0</v>
      </c>
      <c r="LJ41" s="72">
        <f t="shared" si="102"/>
        <v>0</v>
      </c>
      <c r="LK41" s="72" t="e">
        <f t="shared" si="102"/>
        <v>#REF!</v>
      </c>
      <c r="LL41" s="72" t="e">
        <f t="shared" si="102"/>
        <v>#REF!</v>
      </c>
      <c r="LM41" s="72" t="e">
        <f t="shared" si="102"/>
        <v>#REF!</v>
      </c>
      <c r="LN41" s="72" t="e">
        <f t="shared" si="102"/>
        <v>#REF!</v>
      </c>
      <c r="LO41" s="72" t="e">
        <f t="shared" si="102"/>
        <v>#REF!</v>
      </c>
      <c r="LP41" s="72" t="e">
        <f t="shared" si="102"/>
        <v>#REF!</v>
      </c>
      <c r="LQ41" s="72" t="e">
        <f t="shared" si="102"/>
        <v>#REF!</v>
      </c>
      <c r="LR41" s="72">
        <f>SUM(LR10:LR40)</f>
        <v>0</v>
      </c>
      <c r="LS41" s="72">
        <f>SUM(LS10:LS40)</f>
        <v>0</v>
      </c>
      <c r="LT41" s="72" t="e">
        <f>SUM(LT10:LT40)</f>
        <v>#REF!</v>
      </c>
      <c r="LU41" s="72" t="e">
        <f>SUM(LU10:LU40)</f>
        <v>#REF!</v>
      </c>
      <c r="LV41" s="72" t="e">
        <f>SUM(LV10:LV40)</f>
        <v>#REF!</v>
      </c>
      <c r="LW41" s="72" t="e">
        <f>+LW40</f>
        <v>#REF!</v>
      </c>
      <c r="LX41" s="72">
        <f t="shared" ref="LX41:MD41" si="103">SUM(LX10:LX40)</f>
        <v>0</v>
      </c>
      <c r="LY41" s="72">
        <f t="shared" si="103"/>
        <v>0</v>
      </c>
      <c r="LZ41" s="72">
        <f t="shared" si="103"/>
        <v>0</v>
      </c>
      <c r="MA41" s="72" t="e">
        <f t="shared" si="103"/>
        <v>#REF!</v>
      </c>
      <c r="MB41" s="72" t="e">
        <f t="shared" si="103"/>
        <v>#REF!</v>
      </c>
      <c r="MC41" s="72" t="e">
        <f t="shared" si="103"/>
        <v>#REF!</v>
      </c>
      <c r="MD41" s="72" t="e">
        <f t="shared" si="103"/>
        <v>#REF!</v>
      </c>
      <c r="ME41" s="72" t="e">
        <f>+ME40</f>
        <v>#REF!</v>
      </c>
      <c r="MF41" s="72">
        <f>SUM(MF10:MF40)</f>
        <v>0</v>
      </c>
      <c r="MG41" s="72">
        <f>SUM(MG10:MG40)</f>
        <v>0</v>
      </c>
    </row>
    <row r="42" spans="1:365" s="38" customFormat="1">
      <c r="A42" s="38" t="s">
        <v>207</v>
      </c>
      <c r="C42" s="72" t="e">
        <f>SUM(K42,O42,S42,W42,AA42)</f>
        <v>#REF!</v>
      </c>
      <c r="D42" s="72" t="e">
        <f>SUM(L42,P42,T42,X42,AB42)</f>
        <v>#REF!</v>
      </c>
      <c r="E42" s="38">
        <f t="shared" si="14"/>
        <v>0</v>
      </c>
      <c r="F42" s="72">
        <f>+F41</f>
        <v>0</v>
      </c>
      <c r="G42" s="72">
        <f>+G41</f>
        <v>0</v>
      </c>
      <c r="H42" s="72">
        <f>+H41</f>
        <v>0</v>
      </c>
      <c r="I42" s="72">
        <f>+I41</f>
        <v>0</v>
      </c>
      <c r="J42" s="72">
        <f>+J41</f>
        <v>0</v>
      </c>
      <c r="K42" s="72" t="e">
        <f>+SUM(AF42,AO42,AR42,AU42+AI42+AL42)</f>
        <v>#REF!</v>
      </c>
      <c r="L42" s="72" t="e">
        <f>+SUM(AG42,AP42,AS42,AV42+AJ42+AM42)</f>
        <v>#REF!</v>
      </c>
      <c r="M42" s="38">
        <f>IFERROR(K42/L42,0)</f>
        <v>0</v>
      </c>
      <c r="N42" s="72"/>
      <c r="O42" s="72">
        <f>+SUM(BA42+BJ42)</f>
        <v>0</v>
      </c>
      <c r="P42" s="72">
        <f>+SUM(BB42+BK42)</f>
        <v>0</v>
      </c>
      <c r="Q42" s="38">
        <f>IFERROR(O42/P42,0)</f>
        <v>0</v>
      </c>
      <c r="R42" s="72"/>
      <c r="S42" s="72">
        <f>+BS42</f>
        <v>0</v>
      </c>
      <c r="T42" s="72">
        <f>+BT42</f>
        <v>0</v>
      </c>
      <c r="U42" s="38">
        <f>IFERROR(S42/T42,0)</f>
        <v>0</v>
      </c>
      <c r="V42" s="72"/>
      <c r="W42" s="72">
        <f>+BD42+BG42</f>
        <v>0</v>
      </c>
      <c r="X42" s="72">
        <f>+BE42+BH42</f>
        <v>0</v>
      </c>
      <c r="Y42" s="38">
        <f>IFERROR(W42/X42,0)</f>
        <v>0</v>
      </c>
      <c r="Z42" s="72"/>
      <c r="AA42" s="72">
        <f>+AX42+BA42</f>
        <v>0</v>
      </c>
      <c r="AB42" s="72">
        <f>+AY42+BB42</f>
        <v>0</v>
      </c>
      <c r="AC42" s="38">
        <f>IFERROR(AA42/AB42,0)</f>
        <v>0</v>
      </c>
      <c r="AD42" s="72">
        <f>+AD41</f>
        <v>0</v>
      </c>
      <c r="AE42" s="72">
        <f>+AE41</f>
        <v>0</v>
      </c>
      <c r="AF42" s="72"/>
      <c r="AG42" s="72"/>
      <c r="AH42" s="38">
        <f>IFERROR(AF42/AG42,0)</f>
        <v>0</v>
      </c>
      <c r="AI42" s="72" t="e">
        <f>+AI41</f>
        <v>#REF!</v>
      </c>
      <c r="AJ42" s="72" t="e">
        <f>+AJ41</f>
        <v>#REF!</v>
      </c>
      <c r="AK42" s="38">
        <f>IFERROR(AI42/AJ42,0)</f>
        <v>0</v>
      </c>
      <c r="AL42" s="72"/>
      <c r="AM42" s="153"/>
      <c r="AN42" s="38">
        <f>IFERROR(AL42/AM42,0)</f>
        <v>0</v>
      </c>
      <c r="AO42" s="72"/>
      <c r="AP42" s="72"/>
      <c r="AQ42" s="38">
        <f>IFERROR(AO42/AP42,0)</f>
        <v>0</v>
      </c>
      <c r="AR42" s="72"/>
      <c r="AS42" s="72"/>
      <c r="AT42" s="38">
        <f>IFERROR(AR42/AS42,0)</f>
        <v>0</v>
      </c>
      <c r="AU42" s="72" t="e">
        <f>+AU41</f>
        <v>#REF!</v>
      </c>
      <c r="AV42" s="72" t="e">
        <f>+AV41</f>
        <v>#REF!</v>
      </c>
      <c r="AW42" s="38">
        <f>IFERROR(AU42/AV42,0)</f>
        <v>0</v>
      </c>
      <c r="AX42" s="72"/>
      <c r="AY42" s="72"/>
      <c r="AZ42" s="38">
        <f>IFERROR(AX42/AY42,0)</f>
        <v>0</v>
      </c>
      <c r="BA42" s="72"/>
      <c r="BB42" s="72"/>
      <c r="BC42" s="38">
        <f>IFERROR(BA42/BB42,0)</f>
        <v>0</v>
      </c>
      <c r="BD42" s="72"/>
      <c r="BE42" s="72"/>
      <c r="BF42" s="38">
        <f>IFERROR(BD42/BE42,0)</f>
        <v>0</v>
      </c>
      <c r="BI42" s="38">
        <f>IFERROR(BG42/BH42,0)</f>
        <v>0</v>
      </c>
      <c r="BJ42" s="72"/>
      <c r="BK42" s="72"/>
      <c r="BL42" s="38">
        <f>IFERROR(BJ42/BK42,0)</f>
        <v>0</v>
      </c>
      <c r="BM42" s="72" t="e">
        <f>+BM41</f>
        <v>#REF!</v>
      </c>
      <c r="BN42" s="72" t="e">
        <f>+BN41</f>
        <v>#REF!</v>
      </c>
      <c r="BO42" s="38">
        <f>IFERROR(BM42/BN42,0)</f>
        <v>0</v>
      </c>
      <c r="BS42" s="72"/>
      <c r="BT42" s="72"/>
      <c r="BU42" s="38">
        <f>IFERROR(BS42/BT42,0)</f>
        <v>0</v>
      </c>
      <c r="BV42" s="72">
        <f>+BV41</f>
        <v>0</v>
      </c>
      <c r="BW42" s="72"/>
      <c r="BX42" s="72"/>
      <c r="BY42" s="72"/>
      <c r="BZ42" s="72"/>
      <c r="CA42" s="72"/>
      <c r="CB42" s="72">
        <f t="shared" si="38"/>
        <v>0</v>
      </c>
      <c r="CC42" s="72">
        <f t="shared" ref="CC42:EN42" si="104">+CC41</f>
        <v>0</v>
      </c>
      <c r="CD42" s="72">
        <f t="shared" si="104"/>
        <v>0</v>
      </c>
      <c r="CE42" s="72">
        <f t="shared" si="104"/>
        <v>0</v>
      </c>
      <c r="CF42" s="72" t="e">
        <f t="shared" si="104"/>
        <v>#REF!</v>
      </c>
      <c r="CG42" s="72" t="e">
        <f t="shared" si="104"/>
        <v>#REF!</v>
      </c>
      <c r="CH42" s="72" t="e">
        <f t="shared" si="104"/>
        <v>#REF!</v>
      </c>
      <c r="CI42" s="72" t="e">
        <f t="shared" si="104"/>
        <v>#REF!</v>
      </c>
      <c r="CJ42" s="72" t="e">
        <f t="shared" si="104"/>
        <v>#REF!</v>
      </c>
      <c r="CK42" s="72" t="e">
        <f t="shared" si="104"/>
        <v>#REF!</v>
      </c>
      <c r="CL42" s="72" t="e">
        <f t="shared" si="104"/>
        <v>#REF!</v>
      </c>
      <c r="CM42" s="72">
        <f t="shared" si="104"/>
        <v>0</v>
      </c>
      <c r="CN42" s="72" t="e">
        <f t="shared" si="104"/>
        <v>#REF!</v>
      </c>
      <c r="CO42" s="72" t="e">
        <f t="shared" si="104"/>
        <v>#REF!</v>
      </c>
      <c r="CP42" s="72" t="e">
        <f t="shared" si="104"/>
        <v>#REF!</v>
      </c>
      <c r="CQ42" s="72" t="e">
        <f t="shared" si="104"/>
        <v>#REF!</v>
      </c>
      <c r="CR42" s="72" t="e">
        <f t="shared" si="104"/>
        <v>#REF!</v>
      </c>
      <c r="CS42" s="72" t="e">
        <f t="shared" si="104"/>
        <v>#REF!</v>
      </c>
      <c r="CT42" s="72" t="e">
        <f t="shared" si="104"/>
        <v>#REF!</v>
      </c>
      <c r="CU42" s="72" t="e">
        <f t="shared" si="104"/>
        <v>#REF!</v>
      </c>
      <c r="CV42" s="72" t="e">
        <f t="shared" si="104"/>
        <v>#REF!</v>
      </c>
      <c r="CW42" s="72" t="e">
        <f t="shared" si="104"/>
        <v>#REF!</v>
      </c>
      <c r="CX42" s="72" t="e">
        <f t="shared" si="104"/>
        <v>#REF!</v>
      </c>
      <c r="CY42" s="72" t="e">
        <f t="shared" si="104"/>
        <v>#REF!</v>
      </c>
      <c r="CZ42" s="72" t="e">
        <f t="shared" si="104"/>
        <v>#REF!</v>
      </c>
      <c r="DA42" s="72" t="e">
        <f t="shared" si="104"/>
        <v>#REF!</v>
      </c>
      <c r="DB42" s="72" t="e">
        <f t="shared" si="104"/>
        <v>#REF!</v>
      </c>
      <c r="DC42" s="72" t="e">
        <f t="shared" si="104"/>
        <v>#REF!</v>
      </c>
      <c r="DD42" s="72" t="e">
        <f t="shared" si="104"/>
        <v>#REF!</v>
      </c>
      <c r="DE42" s="72" t="e">
        <f t="shared" si="104"/>
        <v>#REF!</v>
      </c>
      <c r="DF42" s="72" t="e">
        <f t="shared" si="104"/>
        <v>#REF!</v>
      </c>
      <c r="DG42" s="72" t="e">
        <f t="shared" si="104"/>
        <v>#REF!</v>
      </c>
      <c r="DH42" s="72" t="e">
        <f t="shared" si="104"/>
        <v>#REF!</v>
      </c>
      <c r="DI42" s="72" t="e">
        <f t="shared" si="104"/>
        <v>#REF!</v>
      </c>
      <c r="DJ42" s="72" t="e">
        <f t="shared" si="104"/>
        <v>#REF!</v>
      </c>
      <c r="DK42" s="72" t="e">
        <f t="shared" si="104"/>
        <v>#REF!</v>
      </c>
      <c r="DL42" s="72" t="e">
        <f t="shared" si="104"/>
        <v>#REF!</v>
      </c>
      <c r="DM42" s="72" t="e">
        <f t="shared" si="104"/>
        <v>#REF!</v>
      </c>
      <c r="DN42" s="72" t="e">
        <f t="shared" si="104"/>
        <v>#REF!</v>
      </c>
      <c r="DO42" s="72" t="e">
        <f t="shared" si="104"/>
        <v>#REF!</v>
      </c>
      <c r="DP42" s="72">
        <f t="shared" si="104"/>
        <v>0</v>
      </c>
      <c r="DQ42" s="72">
        <f t="shared" si="104"/>
        <v>0</v>
      </c>
      <c r="DR42" s="72" t="e">
        <f t="shared" si="104"/>
        <v>#REF!</v>
      </c>
      <c r="DS42" s="72" t="e">
        <f t="shared" si="104"/>
        <v>#REF!</v>
      </c>
      <c r="DT42" s="72" t="e">
        <f t="shared" si="104"/>
        <v>#REF!</v>
      </c>
      <c r="DU42" s="72" t="e">
        <f t="shared" si="104"/>
        <v>#REF!</v>
      </c>
      <c r="DV42" s="72">
        <f t="shared" si="104"/>
        <v>0</v>
      </c>
      <c r="DW42" s="72">
        <f t="shared" si="104"/>
        <v>0</v>
      </c>
      <c r="DX42" s="72" t="e">
        <f t="shared" si="104"/>
        <v>#REF!</v>
      </c>
      <c r="DY42" s="72" t="e">
        <f t="shared" si="104"/>
        <v>#REF!</v>
      </c>
      <c r="DZ42" s="72" t="e">
        <f t="shared" si="104"/>
        <v>#REF!</v>
      </c>
      <c r="EA42" s="72" t="e">
        <f t="shared" si="104"/>
        <v>#REF!</v>
      </c>
      <c r="EB42" s="72" t="e">
        <f t="shared" si="104"/>
        <v>#REF!</v>
      </c>
      <c r="EC42" s="72" t="e">
        <f t="shared" si="104"/>
        <v>#REF!</v>
      </c>
      <c r="ED42" s="72" t="e">
        <f t="shared" si="104"/>
        <v>#REF!</v>
      </c>
      <c r="EE42" s="72" t="e">
        <f t="shared" si="104"/>
        <v>#REF!</v>
      </c>
      <c r="EF42" s="72" t="e">
        <f t="shared" si="104"/>
        <v>#REF!</v>
      </c>
      <c r="EG42" s="72" t="e">
        <f t="shared" si="104"/>
        <v>#REF!</v>
      </c>
      <c r="EH42" s="72" t="e">
        <f t="shared" si="104"/>
        <v>#REF!</v>
      </c>
      <c r="EI42" s="72" t="e">
        <f t="shared" si="104"/>
        <v>#REF!</v>
      </c>
      <c r="EJ42" s="72" t="e">
        <f t="shared" si="104"/>
        <v>#REF!</v>
      </c>
      <c r="EK42" s="72" t="e">
        <f t="shared" si="104"/>
        <v>#REF!</v>
      </c>
      <c r="EL42" s="72" t="e">
        <f t="shared" si="104"/>
        <v>#REF!</v>
      </c>
      <c r="EM42" s="72" t="e">
        <f t="shared" si="104"/>
        <v>#REF!</v>
      </c>
      <c r="EN42" s="72" t="e">
        <f t="shared" si="104"/>
        <v>#REF!</v>
      </c>
      <c r="EO42" s="72" t="e">
        <f t="shared" ref="EO42:GZ42" si="105">+EO41</f>
        <v>#REF!</v>
      </c>
      <c r="EP42" s="72" t="e">
        <f t="shared" si="105"/>
        <v>#REF!</v>
      </c>
      <c r="EQ42" s="72" t="e">
        <f t="shared" si="105"/>
        <v>#REF!</v>
      </c>
      <c r="ER42" s="72" t="e">
        <f t="shared" si="105"/>
        <v>#REF!</v>
      </c>
      <c r="ES42" s="72">
        <f t="shared" si="105"/>
        <v>0</v>
      </c>
      <c r="ET42" s="72">
        <f t="shared" si="105"/>
        <v>0</v>
      </c>
      <c r="EU42" s="72" t="e">
        <f t="shared" si="105"/>
        <v>#REF!</v>
      </c>
      <c r="EV42" s="72" t="e">
        <f t="shared" si="105"/>
        <v>#REF!</v>
      </c>
      <c r="EW42" s="72" t="e">
        <f t="shared" si="105"/>
        <v>#REF!</v>
      </c>
      <c r="EX42" s="72" t="e">
        <f t="shared" si="105"/>
        <v>#REF!</v>
      </c>
      <c r="EY42" s="72">
        <f t="shared" si="105"/>
        <v>0</v>
      </c>
      <c r="EZ42" s="72">
        <f t="shared" si="105"/>
        <v>0</v>
      </c>
      <c r="FA42" s="72">
        <f t="shared" si="105"/>
        <v>0</v>
      </c>
      <c r="FB42" s="72">
        <f t="shared" si="105"/>
        <v>0</v>
      </c>
      <c r="FC42" s="72" t="e">
        <f t="shared" si="105"/>
        <v>#REF!</v>
      </c>
      <c r="FD42" s="72" t="e">
        <f t="shared" si="105"/>
        <v>#REF!</v>
      </c>
      <c r="FE42" s="72">
        <f t="shared" si="105"/>
        <v>0</v>
      </c>
      <c r="FF42" s="72">
        <f t="shared" si="105"/>
        <v>0</v>
      </c>
      <c r="FG42" s="72" t="e">
        <f t="shared" si="105"/>
        <v>#REF!</v>
      </c>
      <c r="FH42" s="72">
        <f t="shared" si="105"/>
        <v>0</v>
      </c>
      <c r="FI42" s="72" t="e">
        <f t="shared" si="105"/>
        <v>#REF!</v>
      </c>
      <c r="FJ42" s="72" t="e">
        <f t="shared" si="105"/>
        <v>#REF!</v>
      </c>
      <c r="FK42" s="72" t="e">
        <f t="shared" si="105"/>
        <v>#REF!</v>
      </c>
      <c r="FL42" s="72" t="e">
        <f t="shared" si="105"/>
        <v>#REF!</v>
      </c>
      <c r="FM42" s="72" t="e">
        <f t="shared" si="105"/>
        <v>#REF!</v>
      </c>
      <c r="FN42" s="72" t="e">
        <f t="shared" si="105"/>
        <v>#REF!</v>
      </c>
      <c r="FO42" s="72" t="e">
        <f t="shared" si="105"/>
        <v>#REF!</v>
      </c>
      <c r="FP42" s="72" t="e">
        <f t="shared" si="105"/>
        <v>#REF!</v>
      </c>
      <c r="FQ42" s="72" t="e">
        <f>SUM(FI42:FP42)</f>
        <v>#REF!</v>
      </c>
      <c r="FR42" s="72" t="e">
        <f t="shared" si="105"/>
        <v>#REF!</v>
      </c>
      <c r="FS42" s="72" t="e">
        <f t="shared" si="105"/>
        <v>#REF!</v>
      </c>
      <c r="FT42" s="72" t="e">
        <f t="shared" si="105"/>
        <v>#REF!</v>
      </c>
      <c r="FU42" s="72" t="e">
        <f t="shared" si="105"/>
        <v>#REF!</v>
      </c>
      <c r="FV42" s="72" t="e">
        <f t="shared" si="105"/>
        <v>#REF!</v>
      </c>
      <c r="FW42" s="72" t="e">
        <f t="shared" si="105"/>
        <v>#REF!</v>
      </c>
      <c r="FX42" s="72" t="e">
        <f t="shared" si="105"/>
        <v>#REF!</v>
      </c>
      <c r="FY42" s="72" t="e">
        <f t="shared" si="105"/>
        <v>#REF!</v>
      </c>
      <c r="FZ42" s="72" t="e">
        <f t="shared" si="57"/>
        <v>#REF!</v>
      </c>
      <c r="GA42" s="72" t="e">
        <f t="shared" si="105"/>
        <v>#REF!</v>
      </c>
      <c r="GB42" s="72" t="e">
        <f t="shared" si="105"/>
        <v>#REF!</v>
      </c>
      <c r="GC42" s="72" t="e">
        <f t="shared" si="105"/>
        <v>#REF!</v>
      </c>
      <c r="GD42" s="72" t="e">
        <f t="shared" si="105"/>
        <v>#REF!</v>
      </c>
      <c r="GE42" s="72" t="e">
        <f t="shared" si="105"/>
        <v>#REF!</v>
      </c>
      <c r="GF42" s="72" t="e">
        <f t="shared" si="105"/>
        <v>#REF!</v>
      </c>
      <c r="GG42" s="72" t="e">
        <f t="shared" si="105"/>
        <v>#REF!</v>
      </c>
      <c r="GH42" s="72" t="e">
        <f t="shared" si="105"/>
        <v>#REF!</v>
      </c>
      <c r="GI42" s="72" t="e">
        <f t="shared" si="58"/>
        <v>#REF!</v>
      </c>
      <c r="GJ42" s="72">
        <f t="shared" si="105"/>
        <v>0</v>
      </c>
      <c r="GK42" s="72">
        <f t="shared" si="105"/>
        <v>0</v>
      </c>
      <c r="GL42" s="72" t="e">
        <f t="shared" si="105"/>
        <v>#REF!</v>
      </c>
      <c r="GM42" s="72" t="e">
        <f>+GM41</f>
        <v>#REF!</v>
      </c>
      <c r="GN42" s="72" t="e">
        <f t="shared" si="105"/>
        <v>#REF!</v>
      </c>
      <c r="GO42" s="72" t="e">
        <f t="shared" si="105"/>
        <v>#REF!</v>
      </c>
      <c r="GP42" s="72">
        <f t="shared" si="105"/>
        <v>0</v>
      </c>
      <c r="GQ42" s="72">
        <f t="shared" si="105"/>
        <v>0</v>
      </c>
      <c r="GR42" s="38" t="str">
        <f t="shared" si="105"/>
        <v/>
      </c>
      <c r="GS42" s="38" t="str">
        <f t="shared" si="105"/>
        <v/>
      </c>
      <c r="GT42" s="38" t="str">
        <f t="shared" si="105"/>
        <v/>
      </c>
      <c r="GU42" s="38" t="str">
        <f t="shared" si="105"/>
        <v/>
      </c>
      <c r="GV42" s="38" t="str">
        <f t="shared" si="105"/>
        <v/>
      </c>
      <c r="GW42" s="38" t="str">
        <f t="shared" si="105"/>
        <v/>
      </c>
      <c r="GX42" s="38" t="str">
        <f t="shared" si="105"/>
        <v/>
      </c>
      <c r="GY42" s="38" t="str">
        <f t="shared" si="105"/>
        <v/>
      </c>
      <c r="GZ42" s="38" t="str">
        <f t="shared" si="105"/>
        <v/>
      </c>
      <c r="HA42" s="38" t="str">
        <f t="shared" ref="HA42:JL42" si="106">+HA41</f>
        <v/>
      </c>
      <c r="HB42" s="38" t="str">
        <f t="shared" si="106"/>
        <v/>
      </c>
      <c r="HC42" s="38" t="str">
        <f t="shared" si="106"/>
        <v/>
      </c>
      <c r="HD42" s="38" t="str">
        <f t="shared" si="106"/>
        <v/>
      </c>
      <c r="HE42" s="38" t="str">
        <f t="shared" si="106"/>
        <v/>
      </c>
      <c r="HF42" s="38" t="str">
        <f t="shared" si="106"/>
        <v/>
      </c>
      <c r="HG42" s="38" t="str">
        <f t="shared" si="106"/>
        <v/>
      </c>
      <c r="HH42" s="38" t="str">
        <f t="shared" si="106"/>
        <v/>
      </c>
      <c r="HI42" s="38" t="str">
        <f t="shared" si="106"/>
        <v/>
      </c>
      <c r="HJ42" s="38" t="str">
        <f t="shared" si="106"/>
        <v/>
      </c>
      <c r="HK42" s="38" t="str">
        <f t="shared" si="106"/>
        <v/>
      </c>
      <c r="HL42" s="38" t="str">
        <f t="shared" si="106"/>
        <v/>
      </c>
      <c r="HM42" s="38" t="str">
        <f t="shared" si="106"/>
        <v/>
      </c>
      <c r="HN42" s="38" t="str">
        <f t="shared" si="106"/>
        <v/>
      </c>
      <c r="HO42" s="38" t="str">
        <f t="shared" si="106"/>
        <v/>
      </c>
      <c r="HP42" s="72">
        <f t="shared" si="106"/>
        <v>0</v>
      </c>
      <c r="HQ42" s="72">
        <f t="shared" si="106"/>
        <v>0</v>
      </c>
      <c r="HR42" s="72">
        <f t="shared" ref="HR42:IA42" si="107">HR41</f>
        <v>0</v>
      </c>
      <c r="HS42" s="38">
        <f t="shared" si="107"/>
        <v>0</v>
      </c>
      <c r="HT42" s="38">
        <f t="shared" si="107"/>
        <v>0</v>
      </c>
      <c r="HU42" s="38">
        <f t="shared" si="107"/>
        <v>0</v>
      </c>
      <c r="HV42" s="38">
        <f t="shared" si="107"/>
        <v>0</v>
      </c>
      <c r="HW42" s="72">
        <f t="shared" si="107"/>
        <v>0</v>
      </c>
      <c r="HX42" s="38">
        <f t="shared" si="107"/>
        <v>0</v>
      </c>
      <c r="HY42" s="38">
        <f t="shared" si="107"/>
        <v>0</v>
      </c>
      <c r="HZ42" s="38">
        <f t="shared" si="107"/>
        <v>0</v>
      </c>
      <c r="IA42" s="38">
        <f t="shared" si="107"/>
        <v>0</v>
      </c>
      <c r="IB42" s="72">
        <f t="shared" si="106"/>
        <v>0</v>
      </c>
      <c r="IC42" s="38">
        <f t="shared" si="106"/>
        <v>0</v>
      </c>
      <c r="ID42" s="38">
        <f t="shared" si="106"/>
        <v>0</v>
      </c>
      <c r="IE42" s="38">
        <f t="shared" si="106"/>
        <v>0</v>
      </c>
      <c r="IF42" s="38">
        <f t="shared" si="106"/>
        <v>0</v>
      </c>
      <c r="IG42" s="72"/>
      <c r="IH42" s="72">
        <f t="shared" si="106"/>
        <v>0</v>
      </c>
      <c r="II42" s="72">
        <f t="shared" si="106"/>
        <v>0</v>
      </c>
      <c r="IJ42" s="72" t="e">
        <f t="shared" si="106"/>
        <v>#REF!</v>
      </c>
      <c r="IK42" s="72" t="e">
        <f>+IK41</f>
        <v>#REF!</v>
      </c>
      <c r="IL42" s="72" t="e">
        <f t="shared" si="106"/>
        <v>#REF!</v>
      </c>
      <c r="IM42" s="72" t="e">
        <f t="shared" si="106"/>
        <v>#REF!</v>
      </c>
      <c r="IN42" s="72">
        <f t="shared" si="106"/>
        <v>0</v>
      </c>
      <c r="IO42" s="72">
        <f t="shared" si="106"/>
        <v>0</v>
      </c>
      <c r="IP42" s="72">
        <f t="shared" si="106"/>
        <v>0</v>
      </c>
      <c r="IQ42" s="72">
        <f t="shared" si="106"/>
        <v>0</v>
      </c>
      <c r="IR42" s="72">
        <f t="shared" si="106"/>
        <v>0</v>
      </c>
      <c r="IS42" s="72">
        <f t="shared" si="106"/>
        <v>0</v>
      </c>
      <c r="IT42" s="72">
        <f t="shared" si="106"/>
        <v>0</v>
      </c>
      <c r="IU42" s="72" t="e">
        <f t="shared" si="106"/>
        <v>#REF!</v>
      </c>
      <c r="IV42" s="72" t="e">
        <f>+IV41</f>
        <v>#REF!</v>
      </c>
      <c r="IW42" s="72" t="e">
        <f t="shared" si="106"/>
        <v>#REF!</v>
      </c>
      <c r="IX42" s="72" t="e">
        <f t="shared" si="106"/>
        <v>#REF!</v>
      </c>
      <c r="IY42" s="72" t="e">
        <f t="shared" si="106"/>
        <v>#REF!</v>
      </c>
      <c r="IZ42" s="72" t="e">
        <f t="shared" si="106"/>
        <v>#REF!</v>
      </c>
      <c r="JA42" s="72" t="e">
        <f t="shared" si="106"/>
        <v>#REF!</v>
      </c>
      <c r="JB42" s="72" t="e">
        <f>+JB41</f>
        <v>#REF!</v>
      </c>
      <c r="JC42" s="72" t="e">
        <f t="shared" si="106"/>
        <v>#REF!</v>
      </c>
      <c r="JD42" s="72" t="e">
        <f t="shared" si="106"/>
        <v>#REF!</v>
      </c>
      <c r="JE42" s="72" t="e">
        <f t="shared" si="106"/>
        <v>#REF!</v>
      </c>
      <c r="JF42" s="72" t="e">
        <f>+JF41</f>
        <v>#REF!</v>
      </c>
      <c r="JG42" s="72" t="e">
        <f>+JG41</f>
        <v>#REF!</v>
      </c>
      <c r="JH42" s="72" t="e">
        <f>+JH41</f>
        <v>#REF!</v>
      </c>
      <c r="JI42" s="72" t="e">
        <f>+JI41</f>
        <v>#REF!</v>
      </c>
      <c r="JJ42" s="72" t="e">
        <f>+JJ41</f>
        <v>#REF!</v>
      </c>
      <c r="JK42" s="72" t="e">
        <f t="shared" si="106"/>
        <v>#REF!</v>
      </c>
      <c r="JL42" s="72" t="e">
        <f t="shared" si="106"/>
        <v>#REF!</v>
      </c>
      <c r="JM42" s="72"/>
      <c r="JN42" s="72" t="e">
        <f>+JN41</f>
        <v>#REF!</v>
      </c>
      <c r="JO42" s="72" t="e">
        <f>+JO41</f>
        <v>#REF!</v>
      </c>
      <c r="JP42" s="72" t="e">
        <f>+JP41</f>
        <v>#REF!</v>
      </c>
      <c r="JQ42" s="72" t="e">
        <f>+JQ41</f>
        <v>#REF!</v>
      </c>
      <c r="JR42" s="72" t="e">
        <f>+JR41</f>
        <v>#REF!</v>
      </c>
      <c r="JS42" s="72"/>
      <c r="JT42" s="72" t="e">
        <f t="shared" ref="JT42:JY42" si="108">+JT41</f>
        <v>#REF!</v>
      </c>
      <c r="JU42" s="72" t="e">
        <f t="shared" si="108"/>
        <v>#REF!</v>
      </c>
      <c r="JV42" s="72" t="e">
        <f t="shared" si="108"/>
        <v>#REF!</v>
      </c>
      <c r="JW42" s="72" t="e">
        <f t="shared" si="108"/>
        <v>#REF!</v>
      </c>
      <c r="JX42" s="72">
        <f t="shared" si="108"/>
        <v>0</v>
      </c>
      <c r="JY42" s="72">
        <f t="shared" si="108"/>
        <v>0</v>
      </c>
      <c r="JZ42" s="72"/>
      <c r="KA42" s="72"/>
      <c r="KB42" s="72" t="e">
        <f>+KB41</f>
        <v>#REF!</v>
      </c>
      <c r="KC42" s="72" t="e">
        <f t="shared" si="69"/>
        <v>#REF!</v>
      </c>
      <c r="KD42" s="72">
        <f>+KD41</f>
        <v>0</v>
      </c>
      <c r="KE42" s="72"/>
      <c r="KF42" s="72"/>
      <c r="KG42" s="72"/>
      <c r="KH42" s="72">
        <f t="shared" si="81"/>
        <v>0</v>
      </c>
      <c r="KI42" s="72"/>
      <c r="KJ42" s="72"/>
      <c r="KK42" s="72"/>
      <c r="KL42" s="72"/>
      <c r="KM42" s="72"/>
      <c r="KN42" s="72"/>
      <c r="KO42" s="72"/>
      <c r="KP42" s="72"/>
      <c r="KQ42" s="72"/>
      <c r="KR42" s="72"/>
      <c r="KS42" s="72"/>
      <c r="KT42" s="72"/>
      <c r="KU42" s="72"/>
      <c r="KV42" s="72">
        <f>SUM(KP42:KU42)</f>
        <v>0</v>
      </c>
      <c r="KW42" s="72"/>
      <c r="KX42" s="72"/>
      <c r="KY42" s="72"/>
      <c r="KZ42" s="72"/>
      <c r="LA42" s="72"/>
      <c r="LB42" s="72"/>
      <c r="LC42" s="72">
        <f>SUM(KW42:LB42)</f>
        <v>0</v>
      </c>
      <c r="LD42" s="72">
        <f t="shared" si="102"/>
        <v>0</v>
      </c>
      <c r="LE42" s="72">
        <f t="shared" si="102"/>
        <v>0</v>
      </c>
      <c r="LF42" s="72">
        <f t="shared" si="102"/>
        <v>0</v>
      </c>
      <c r="LG42" s="72">
        <f t="shared" si="102"/>
        <v>0</v>
      </c>
      <c r="LH42" s="72">
        <f t="shared" si="102"/>
        <v>0</v>
      </c>
      <c r="LI42" s="72">
        <f t="shared" si="102"/>
        <v>0</v>
      </c>
      <c r="LJ42" s="72">
        <f t="shared" si="102"/>
        <v>0</v>
      </c>
      <c r="LK42" s="72" t="e">
        <f t="shared" si="102"/>
        <v>#REF!</v>
      </c>
      <c r="LL42" s="72" t="e">
        <f t="shared" si="102"/>
        <v>#REF!</v>
      </c>
      <c r="LM42" s="72" t="e">
        <f t="shared" si="102"/>
        <v>#REF!</v>
      </c>
      <c r="LN42" s="72" t="e">
        <f t="shared" si="102"/>
        <v>#REF!</v>
      </c>
      <c r="LO42" s="72" t="e">
        <f t="shared" si="102"/>
        <v>#REF!</v>
      </c>
      <c r="LP42" s="72" t="e">
        <f t="shared" si="102"/>
        <v>#REF!</v>
      </c>
      <c r="LQ42" s="72" t="e">
        <f t="shared" si="102"/>
        <v>#REF!</v>
      </c>
      <c r="LR42" s="72">
        <f>+LR41</f>
        <v>0</v>
      </c>
      <c r="LS42" s="72">
        <f>+LS41</f>
        <v>0</v>
      </c>
      <c r="LT42" s="72" t="e">
        <f>+LT41</f>
        <v>#REF!</v>
      </c>
      <c r="LU42" s="72" t="e">
        <f>+LU41</f>
        <v>#REF!</v>
      </c>
      <c r="LV42" s="72" t="e">
        <f>+LV41</f>
        <v>#REF!</v>
      </c>
      <c r="LW42" s="72" t="e">
        <f>+LW41</f>
        <v>#REF!</v>
      </c>
      <c r="LX42" s="72">
        <f t="shared" ref="LX42:MD42" si="109">+LX41</f>
        <v>0</v>
      </c>
      <c r="LY42" s="72">
        <f t="shared" si="109"/>
        <v>0</v>
      </c>
      <c r="LZ42" s="72">
        <f t="shared" si="109"/>
        <v>0</v>
      </c>
      <c r="MA42" s="72" t="e">
        <f t="shared" si="109"/>
        <v>#REF!</v>
      </c>
      <c r="MB42" s="72" t="e">
        <f t="shared" si="109"/>
        <v>#REF!</v>
      </c>
      <c r="MC42" s="72" t="e">
        <f t="shared" si="109"/>
        <v>#REF!</v>
      </c>
      <c r="MD42" s="72" t="e">
        <f t="shared" si="109"/>
        <v>#REF!</v>
      </c>
      <c r="ME42" s="72"/>
      <c r="MF42" s="72">
        <f>+MF41</f>
        <v>0</v>
      </c>
      <c r="MG42" s="72">
        <f>+MG41</f>
        <v>0</v>
      </c>
    </row>
    <row r="43" spans="1:365">
      <c r="C43" s="73"/>
      <c r="D43" s="73"/>
      <c r="E43" s="73"/>
      <c r="F43" s="73"/>
      <c r="G43" s="73"/>
      <c r="H43" s="73"/>
      <c r="I43" s="73"/>
      <c r="J43" s="73"/>
      <c r="K43" s="73"/>
      <c r="L43" s="73"/>
      <c r="M43" s="78"/>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73"/>
      <c r="AP43" s="73"/>
      <c r="AQ43" s="78"/>
      <c r="AR43" s="73"/>
      <c r="AS43" s="73"/>
      <c r="AT43" s="73"/>
      <c r="AU43" s="73"/>
      <c r="AV43" s="73"/>
      <c r="AW43" s="73"/>
      <c r="AX43" s="73"/>
      <c r="AY43" s="73"/>
      <c r="AZ43" s="73"/>
      <c r="BA43" s="73"/>
      <c r="BB43" s="73"/>
      <c r="BC43" s="78"/>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c r="CC43" s="73"/>
      <c r="CD43" s="73"/>
      <c r="CE43" s="73"/>
      <c r="CF43" s="73"/>
      <c r="CG43" s="73"/>
      <c r="CH43" s="73"/>
      <c r="CI43" s="73"/>
      <c r="CJ43" s="73"/>
      <c r="CK43" s="73"/>
      <c r="CL43" s="73"/>
      <c r="CM43" s="73"/>
      <c r="CN43" s="73"/>
      <c r="CO43" s="73"/>
      <c r="CP43" s="73"/>
      <c r="CQ43" s="73"/>
      <c r="CR43" s="73"/>
      <c r="CS43" s="73"/>
      <c r="CT43" s="73"/>
      <c r="CU43" s="73"/>
      <c r="CV43" s="73"/>
      <c r="CW43" s="73"/>
      <c r="CX43" s="73"/>
      <c r="CY43" s="73"/>
      <c r="CZ43" s="73"/>
      <c r="DA43" s="73"/>
      <c r="DB43" s="73"/>
      <c r="DC43" s="73"/>
      <c r="DD43" s="73"/>
      <c r="DE43" s="73"/>
      <c r="DF43" s="73"/>
      <c r="DG43" s="73"/>
      <c r="DH43" s="73"/>
      <c r="DI43" s="73"/>
      <c r="DJ43" s="73"/>
      <c r="DK43" s="73"/>
      <c r="DL43" s="73"/>
      <c r="DM43" s="73"/>
      <c r="DN43" s="73"/>
      <c r="DO43" s="73"/>
      <c r="DP43" s="73"/>
      <c r="DQ43" s="73"/>
      <c r="DR43" s="73"/>
      <c r="DS43" s="73"/>
      <c r="DT43" s="73"/>
      <c r="DU43" s="73"/>
      <c r="DV43" s="73"/>
      <c r="DW43" s="73"/>
      <c r="DX43" s="73"/>
      <c r="DY43" s="73"/>
      <c r="DZ43" s="73"/>
      <c r="EA43" s="73"/>
      <c r="EB43" s="73"/>
      <c r="EC43" s="73"/>
      <c r="ED43" s="73"/>
      <c r="EE43" s="73"/>
      <c r="EF43" s="73"/>
      <c r="EG43" s="73"/>
      <c r="EH43" s="73"/>
      <c r="EI43" s="73"/>
      <c r="EJ43" s="73"/>
      <c r="EK43" s="73"/>
      <c r="EL43" s="73"/>
      <c r="EM43" s="73"/>
      <c r="EN43" s="73"/>
      <c r="EO43" s="73"/>
      <c r="EP43" s="73"/>
      <c r="EQ43" s="73"/>
      <c r="ER43" s="73"/>
      <c r="ES43" s="73"/>
      <c r="ET43" s="73"/>
      <c r="EU43" s="73"/>
      <c r="EV43" s="73"/>
      <c r="EW43" s="73"/>
      <c r="EX43" s="73"/>
      <c r="EY43" s="73"/>
      <c r="EZ43" s="73"/>
      <c r="FA43" s="73"/>
      <c r="FB43" s="73"/>
      <c r="FC43" s="73"/>
      <c r="FD43" s="73"/>
      <c r="FE43" s="73"/>
      <c r="FF43" s="73"/>
      <c r="FG43" s="73"/>
      <c r="FH43" s="73"/>
      <c r="FI43" s="73"/>
      <c r="FJ43" s="73"/>
      <c r="FK43" s="73"/>
      <c r="FL43" s="73"/>
      <c r="FM43" s="73"/>
      <c r="FN43" s="73"/>
      <c r="FO43" s="73"/>
      <c r="FP43" s="73"/>
      <c r="FQ43" s="73"/>
      <c r="FR43" s="73"/>
      <c r="FS43" s="73"/>
      <c r="FT43" s="73"/>
      <c r="FU43" s="73"/>
      <c r="FV43" s="73"/>
      <c r="FW43" s="73"/>
      <c r="FX43" s="73"/>
      <c r="FY43" s="73"/>
      <c r="FZ43" s="73"/>
      <c r="GA43" s="73"/>
      <c r="GB43" s="73"/>
      <c r="GC43" s="73"/>
      <c r="GD43" s="73"/>
      <c r="GE43" s="73"/>
      <c r="GF43" s="73"/>
      <c r="GG43" s="73"/>
      <c r="GH43" s="73"/>
      <c r="GI43" s="73"/>
      <c r="GJ43" s="73"/>
      <c r="GK43" s="73"/>
      <c r="GL43" s="73"/>
      <c r="GM43" s="73"/>
      <c r="GN43" s="73"/>
      <c r="GO43" s="73"/>
      <c r="GP43" s="73"/>
      <c r="GQ43" s="73"/>
      <c r="GR43" s="78"/>
      <c r="GS43" s="78"/>
      <c r="GT43" s="78"/>
      <c r="GU43" s="78"/>
      <c r="GV43" s="78"/>
      <c r="GW43" s="78"/>
      <c r="GX43" s="78"/>
      <c r="GY43" s="78"/>
      <c r="GZ43" s="78"/>
      <c r="HA43" s="78"/>
      <c r="HB43" s="78"/>
      <c r="HC43" s="78"/>
      <c r="HD43" s="78"/>
      <c r="HE43" s="78"/>
      <c r="HF43" s="78"/>
      <c r="HG43" s="78"/>
      <c r="HH43" s="78"/>
      <c r="HI43" s="78"/>
      <c r="HJ43" s="78"/>
      <c r="HK43" s="78"/>
      <c r="HL43" s="78"/>
      <c r="HM43" s="78"/>
      <c r="HN43" s="78"/>
      <c r="HO43" s="78"/>
      <c r="HP43" s="73"/>
      <c r="HQ43" s="73"/>
      <c r="HR43" s="73"/>
      <c r="HS43" s="78"/>
      <c r="HT43" s="78"/>
      <c r="HU43" s="78"/>
      <c r="HV43" s="78"/>
      <c r="HW43" s="73"/>
      <c r="HX43" s="78"/>
      <c r="HY43" s="78"/>
      <c r="HZ43" s="78"/>
      <c r="IA43" s="78"/>
      <c r="IB43" s="73"/>
      <c r="IC43" s="78"/>
      <c r="ID43" s="78"/>
      <c r="IE43" s="78"/>
      <c r="IF43" s="78"/>
      <c r="IG43" s="73"/>
      <c r="IH43" s="73"/>
      <c r="II43" s="73"/>
      <c r="IJ43" s="73"/>
      <c r="IK43" s="73"/>
      <c r="IL43" s="73"/>
      <c r="IM43" s="73"/>
      <c r="IN43" s="73"/>
      <c r="IO43" s="73"/>
      <c r="IP43" s="73"/>
      <c r="IQ43" s="73"/>
      <c r="IR43" s="73"/>
      <c r="IS43" s="73"/>
      <c r="IT43" s="73"/>
      <c r="IU43" s="73"/>
      <c r="IV43" s="73"/>
      <c r="IW43" s="73"/>
      <c r="IX43" s="73"/>
      <c r="IY43" s="73"/>
      <c r="IZ43" s="73"/>
      <c r="JA43" s="73"/>
      <c r="JB43" s="73"/>
      <c r="JC43" s="73"/>
      <c r="JD43" s="73"/>
      <c r="JE43" s="73"/>
      <c r="JF43" s="73"/>
      <c r="JG43" s="73"/>
      <c r="JH43" s="73"/>
      <c r="JI43" s="73"/>
      <c r="JJ43" s="73"/>
      <c r="JK43" s="73"/>
      <c r="JL43" s="73"/>
      <c r="JM43" s="73"/>
      <c r="JN43" s="73"/>
      <c r="JO43" s="73"/>
      <c r="JP43" s="73"/>
      <c r="JQ43" s="73"/>
      <c r="JR43" s="73"/>
      <c r="JS43" s="73"/>
      <c r="JT43" s="73"/>
      <c r="JU43" s="73"/>
      <c r="JV43" s="73"/>
      <c r="JW43" s="73"/>
      <c r="JX43" s="73"/>
      <c r="JY43" s="73"/>
      <c r="JZ43" s="73"/>
      <c r="KA43" s="73"/>
      <c r="KB43" s="73"/>
      <c r="KC43" s="73"/>
      <c r="KD43" s="73"/>
      <c r="KE43" s="73"/>
      <c r="KF43" s="73"/>
      <c r="KG43" s="73"/>
      <c r="KH43" s="73"/>
      <c r="KI43" s="73"/>
      <c r="KJ43" s="73"/>
      <c r="KK43" s="73"/>
      <c r="KL43" s="73"/>
      <c r="KM43" s="73"/>
      <c r="KN43" s="73"/>
      <c r="KO43" s="73"/>
      <c r="KP43" s="73"/>
      <c r="KQ43" s="73"/>
      <c r="KR43" s="73"/>
      <c r="KS43" s="73"/>
      <c r="KT43" s="73"/>
      <c r="KU43" s="73"/>
      <c r="KV43" s="73"/>
      <c r="KW43" s="73"/>
      <c r="KX43" s="73"/>
      <c r="KY43" s="73"/>
      <c r="KZ43" s="73"/>
      <c r="LA43" s="73"/>
      <c r="LB43" s="73"/>
      <c r="LC43" s="73"/>
      <c r="LD43" s="73"/>
      <c r="LE43" s="73"/>
      <c r="LF43" s="73"/>
      <c r="LG43" s="73"/>
      <c r="LH43" s="73"/>
      <c r="LI43" s="73"/>
      <c r="LJ43" s="73"/>
      <c r="LK43" s="73"/>
      <c r="LL43" s="73"/>
      <c r="LM43" s="73"/>
      <c r="LN43" s="73"/>
      <c r="LO43" s="73"/>
      <c r="LP43" s="73"/>
      <c r="LQ43" s="73"/>
      <c r="LR43" s="73"/>
      <c r="LS43" s="73"/>
      <c r="LT43" s="73"/>
      <c r="LU43" s="73"/>
      <c r="LV43" s="73"/>
      <c r="LW43" s="73"/>
      <c r="LX43" s="73"/>
      <c r="LY43" s="73"/>
      <c r="LZ43" s="73"/>
      <c r="MA43" s="73"/>
      <c r="MB43" s="73"/>
      <c r="MC43" s="73"/>
      <c r="MD43" s="73"/>
      <c r="ME43" s="73"/>
      <c r="MF43" s="73"/>
      <c r="MG43" s="73"/>
    </row>
    <row r="44" spans="1:365">
      <c r="A44" t="s">
        <v>208</v>
      </c>
      <c r="C44" s="38" t="str">
        <f>IFERROR(C42/C43,"")</f>
        <v/>
      </c>
      <c r="D44" s="38" t="str">
        <f t="shared" ref="D44:CA44" si="110">IFERROR(D42/D43,"")</f>
        <v/>
      </c>
      <c r="E44" s="38" t="str">
        <f t="shared" si="110"/>
        <v/>
      </c>
      <c r="F44" s="38" t="str">
        <f t="shared" si="110"/>
        <v/>
      </c>
      <c r="G44" s="38" t="str">
        <f t="shared" si="110"/>
        <v/>
      </c>
      <c r="H44" s="38" t="str">
        <f t="shared" si="110"/>
        <v/>
      </c>
      <c r="I44" s="38" t="str">
        <f t="shared" si="110"/>
        <v/>
      </c>
      <c r="J44" s="38" t="str">
        <f t="shared" si="110"/>
        <v/>
      </c>
      <c r="K44" s="38" t="str">
        <f t="shared" si="110"/>
        <v/>
      </c>
      <c r="L44" s="38" t="str">
        <f t="shared" si="110"/>
        <v/>
      </c>
      <c r="M44" s="38" t="str">
        <f t="shared" si="110"/>
        <v/>
      </c>
      <c r="N44" s="38" t="str">
        <f t="shared" si="110"/>
        <v/>
      </c>
      <c r="O44" s="38" t="str">
        <f t="shared" si="110"/>
        <v/>
      </c>
      <c r="P44" s="38" t="str">
        <f t="shared" si="110"/>
        <v/>
      </c>
      <c r="Q44" s="38" t="str">
        <f t="shared" si="110"/>
        <v/>
      </c>
      <c r="R44" s="38" t="str">
        <f t="shared" si="110"/>
        <v/>
      </c>
      <c r="S44" s="38" t="str">
        <f t="shared" si="110"/>
        <v/>
      </c>
      <c r="T44" s="38" t="str">
        <f t="shared" si="110"/>
        <v/>
      </c>
      <c r="U44" s="38" t="str">
        <f t="shared" si="110"/>
        <v/>
      </c>
      <c r="V44" s="38" t="str">
        <f t="shared" si="110"/>
        <v/>
      </c>
      <c r="W44" s="38" t="str">
        <f t="shared" si="110"/>
        <v/>
      </c>
      <c r="X44" s="38" t="str">
        <f t="shared" si="110"/>
        <v/>
      </c>
      <c r="Y44" s="38" t="str">
        <f t="shared" si="110"/>
        <v/>
      </c>
      <c r="Z44" s="38" t="str">
        <f t="shared" si="110"/>
        <v/>
      </c>
      <c r="AA44" s="38" t="str">
        <f t="shared" si="110"/>
        <v/>
      </c>
      <c r="AB44" s="38" t="str">
        <f t="shared" si="110"/>
        <v/>
      </c>
      <c r="AC44" s="38" t="str">
        <f t="shared" si="110"/>
        <v/>
      </c>
      <c r="AD44" s="38" t="str">
        <f t="shared" si="110"/>
        <v/>
      </c>
      <c r="AE44" s="38" t="str">
        <f t="shared" si="110"/>
        <v/>
      </c>
      <c r="AF44" s="38" t="str">
        <f t="shared" si="110"/>
        <v/>
      </c>
      <c r="AG44" s="38" t="str">
        <f t="shared" si="110"/>
        <v/>
      </c>
      <c r="AH44" s="38" t="str">
        <f t="shared" si="110"/>
        <v/>
      </c>
      <c r="AI44" s="38" t="str">
        <f t="shared" si="110"/>
        <v/>
      </c>
      <c r="AJ44" s="38" t="str">
        <f t="shared" si="110"/>
        <v/>
      </c>
      <c r="AK44" s="38" t="str">
        <f t="shared" si="110"/>
        <v/>
      </c>
      <c r="AL44" s="38" t="str">
        <f t="shared" si="110"/>
        <v/>
      </c>
      <c r="AM44" s="38" t="str">
        <f t="shared" si="110"/>
        <v/>
      </c>
      <c r="AN44" s="38" t="str">
        <f t="shared" si="110"/>
        <v/>
      </c>
      <c r="AO44" s="38" t="str">
        <f t="shared" si="110"/>
        <v/>
      </c>
      <c r="AP44" s="38" t="str">
        <f t="shared" si="110"/>
        <v/>
      </c>
      <c r="AQ44" s="38" t="str">
        <f t="shared" si="110"/>
        <v/>
      </c>
      <c r="AR44" s="38" t="str">
        <f t="shared" si="110"/>
        <v/>
      </c>
      <c r="AS44" s="38" t="str">
        <f t="shared" si="110"/>
        <v/>
      </c>
      <c r="AT44" s="38" t="str">
        <f t="shared" si="110"/>
        <v/>
      </c>
      <c r="AU44" s="38" t="str">
        <f t="shared" si="110"/>
        <v/>
      </c>
      <c r="AV44" s="38" t="str">
        <f t="shared" si="110"/>
        <v/>
      </c>
      <c r="AW44" s="38" t="str">
        <f t="shared" si="110"/>
        <v/>
      </c>
      <c r="AX44" s="38" t="str">
        <f t="shared" si="110"/>
        <v/>
      </c>
      <c r="AY44" s="38" t="str">
        <f t="shared" si="110"/>
        <v/>
      </c>
      <c r="AZ44" s="38" t="str">
        <f t="shared" si="110"/>
        <v/>
      </c>
      <c r="BA44" s="38" t="str">
        <f t="shared" si="110"/>
        <v/>
      </c>
      <c r="BB44" s="38" t="str">
        <f t="shared" si="110"/>
        <v/>
      </c>
      <c r="BC44" s="38" t="str">
        <f t="shared" si="110"/>
        <v/>
      </c>
      <c r="BD44" s="38" t="str">
        <f t="shared" si="110"/>
        <v/>
      </c>
      <c r="BE44" s="38" t="str">
        <f t="shared" si="110"/>
        <v/>
      </c>
      <c r="BF44" s="38" t="str">
        <f t="shared" si="110"/>
        <v/>
      </c>
      <c r="BG44" s="38" t="str">
        <f>IFERROR(BG42/BG43,"")</f>
        <v/>
      </c>
      <c r="BH44" s="38" t="str">
        <f>IFERROR(BH42/BH43,"")</f>
        <v/>
      </c>
      <c r="BI44" s="38" t="str">
        <f>IFERROR(BI42/BI43,"")</f>
        <v/>
      </c>
      <c r="BJ44" s="38" t="str">
        <f t="shared" ref="BJ44:BO44" si="111">IFERROR(BJ42/BJ43,"")</f>
        <v/>
      </c>
      <c r="BK44" s="38" t="str">
        <f t="shared" si="111"/>
        <v/>
      </c>
      <c r="BL44" s="38" t="str">
        <f t="shared" si="111"/>
        <v/>
      </c>
      <c r="BM44" s="38" t="str">
        <f t="shared" si="111"/>
        <v/>
      </c>
      <c r="BN44" s="38" t="str">
        <f t="shared" si="111"/>
        <v/>
      </c>
      <c r="BO44" s="38" t="str">
        <f t="shared" si="111"/>
        <v/>
      </c>
      <c r="BP44" s="38"/>
      <c r="BQ44" s="38"/>
      <c r="BR44" s="38"/>
      <c r="BS44" s="38" t="str">
        <f>IFERROR(BS42/BS43,"")</f>
        <v/>
      </c>
      <c r="BT44" s="38" t="str">
        <f>IFERROR(BT42/BT43,"")</f>
        <v/>
      </c>
      <c r="BU44" s="38" t="str">
        <f>IFERROR(BU42/BU43,"")</f>
        <v/>
      </c>
      <c r="BV44" s="38" t="str">
        <f t="shared" si="110"/>
        <v/>
      </c>
      <c r="BW44" s="38" t="str">
        <f t="shared" si="110"/>
        <v/>
      </c>
      <c r="BX44" s="38" t="str">
        <f t="shared" si="110"/>
        <v/>
      </c>
      <c r="BY44" s="38" t="str">
        <f t="shared" si="110"/>
        <v/>
      </c>
      <c r="BZ44" s="38" t="str">
        <f t="shared" si="110"/>
        <v/>
      </c>
      <c r="CA44" s="38" t="str">
        <f t="shared" si="110"/>
        <v/>
      </c>
      <c r="CB44" s="38" t="str">
        <f t="shared" ref="CB44:EM44" si="112">IFERROR(CB42/CB43,"")</f>
        <v/>
      </c>
      <c r="CC44" s="38" t="str">
        <f t="shared" si="112"/>
        <v/>
      </c>
      <c r="CD44" s="38" t="str">
        <f t="shared" si="112"/>
        <v/>
      </c>
      <c r="CE44" s="38" t="str">
        <f t="shared" si="112"/>
        <v/>
      </c>
      <c r="CF44" s="38" t="str">
        <f t="shared" si="112"/>
        <v/>
      </c>
      <c r="CG44" s="38" t="str">
        <f t="shared" si="112"/>
        <v/>
      </c>
      <c r="CH44" s="38" t="str">
        <f t="shared" si="112"/>
        <v/>
      </c>
      <c r="CI44" s="38" t="str">
        <f t="shared" si="112"/>
        <v/>
      </c>
      <c r="CJ44" s="38" t="str">
        <f t="shared" si="112"/>
        <v/>
      </c>
      <c r="CK44" s="38" t="str">
        <f t="shared" si="112"/>
        <v/>
      </c>
      <c r="CL44" s="38" t="str">
        <f t="shared" si="112"/>
        <v/>
      </c>
      <c r="CM44" s="38" t="str">
        <f t="shared" si="112"/>
        <v/>
      </c>
      <c r="CN44" s="38" t="str">
        <f t="shared" si="112"/>
        <v/>
      </c>
      <c r="CO44" s="38" t="str">
        <f t="shared" si="112"/>
        <v/>
      </c>
      <c r="CP44" s="38" t="str">
        <f t="shared" si="112"/>
        <v/>
      </c>
      <c r="CQ44" s="38" t="str">
        <f t="shared" si="112"/>
        <v/>
      </c>
      <c r="CR44" s="38" t="str">
        <f t="shared" si="112"/>
        <v/>
      </c>
      <c r="CS44" s="38" t="str">
        <f t="shared" si="112"/>
        <v/>
      </c>
      <c r="CT44" s="38" t="str">
        <f t="shared" si="112"/>
        <v/>
      </c>
      <c r="CU44" s="38" t="str">
        <f t="shared" si="112"/>
        <v/>
      </c>
      <c r="CV44" s="38" t="str">
        <f t="shared" si="112"/>
        <v/>
      </c>
      <c r="CW44" s="38" t="str">
        <f t="shared" si="112"/>
        <v/>
      </c>
      <c r="CX44" s="38" t="str">
        <f t="shared" si="112"/>
        <v/>
      </c>
      <c r="CY44" s="38" t="str">
        <f t="shared" si="112"/>
        <v/>
      </c>
      <c r="CZ44" s="38" t="str">
        <f t="shared" si="112"/>
        <v/>
      </c>
      <c r="DA44" s="38" t="str">
        <f t="shared" si="112"/>
        <v/>
      </c>
      <c r="DB44" s="38" t="str">
        <f t="shared" si="112"/>
        <v/>
      </c>
      <c r="DC44" s="38" t="str">
        <f t="shared" si="112"/>
        <v/>
      </c>
      <c r="DD44" s="38" t="str">
        <f t="shared" si="112"/>
        <v/>
      </c>
      <c r="DE44" s="38" t="str">
        <f t="shared" si="112"/>
        <v/>
      </c>
      <c r="DF44" s="38" t="str">
        <f t="shared" si="112"/>
        <v/>
      </c>
      <c r="DG44" s="38" t="str">
        <f t="shared" si="112"/>
        <v/>
      </c>
      <c r="DH44" s="38" t="str">
        <f t="shared" si="112"/>
        <v/>
      </c>
      <c r="DI44" s="38" t="str">
        <f t="shared" si="112"/>
        <v/>
      </c>
      <c r="DJ44" s="38" t="str">
        <f t="shared" si="112"/>
        <v/>
      </c>
      <c r="DK44" s="38" t="str">
        <f t="shared" si="112"/>
        <v/>
      </c>
      <c r="DL44" s="38" t="str">
        <f t="shared" si="112"/>
        <v/>
      </c>
      <c r="DM44" s="38" t="str">
        <f t="shared" si="112"/>
        <v/>
      </c>
      <c r="DN44" s="38" t="str">
        <f t="shared" si="112"/>
        <v/>
      </c>
      <c r="DO44" s="38" t="str">
        <f t="shared" si="112"/>
        <v/>
      </c>
      <c r="DP44" s="38" t="str">
        <f t="shared" si="112"/>
        <v/>
      </c>
      <c r="DQ44" s="38" t="str">
        <f t="shared" si="112"/>
        <v/>
      </c>
      <c r="DR44" s="38" t="str">
        <f t="shared" si="112"/>
        <v/>
      </c>
      <c r="DS44" s="38" t="str">
        <f t="shared" si="112"/>
        <v/>
      </c>
      <c r="DT44" s="38" t="str">
        <f t="shared" si="112"/>
        <v/>
      </c>
      <c r="DU44" s="38" t="str">
        <f t="shared" si="112"/>
        <v/>
      </c>
      <c r="DV44" s="38" t="str">
        <f t="shared" si="112"/>
        <v/>
      </c>
      <c r="DW44" s="38" t="str">
        <f t="shared" si="112"/>
        <v/>
      </c>
      <c r="DX44" s="38" t="str">
        <f t="shared" si="112"/>
        <v/>
      </c>
      <c r="DY44" s="38" t="str">
        <f t="shared" si="112"/>
        <v/>
      </c>
      <c r="DZ44" s="38" t="str">
        <f t="shared" si="112"/>
        <v/>
      </c>
      <c r="EA44" s="38" t="str">
        <f t="shared" si="112"/>
        <v/>
      </c>
      <c r="EB44" s="38" t="str">
        <f t="shared" si="112"/>
        <v/>
      </c>
      <c r="EC44" s="38" t="str">
        <f t="shared" si="112"/>
        <v/>
      </c>
      <c r="ED44" s="38" t="str">
        <f t="shared" si="112"/>
        <v/>
      </c>
      <c r="EE44" s="38" t="str">
        <f t="shared" si="112"/>
        <v/>
      </c>
      <c r="EF44" s="38" t="str">
        <f t="shared" si="112"/>
        <v/>
      </c>
      <c r="EG44" s="38" t="str">
        <f t="shared" si="112"/>
        <v/>
      </c>
      <c r="EH44" s="38" t="str">
        <f t="shared" si="112"/>
        <v/>
      </c>
      <c r="EI44" s="38" t="str">
        <f t="shared" si="112"/>
        <v/>
      </c>
      <c r="EJ44" s="38" t="str">
        <f t="shared" si="112"/>
        <v/>
      </c>
      <c r="EK44" s="38" t="str">
        <f t="shared" si="112"/>
        <v/>
      </c>
      <c r="EL44" s="38" t="str">
        <f t="shared" si="112"/>
        <v/>
      </c>
      <c r="EM44" s="38" t="str">
        <f t="shared" si="112"/>
        <v/>
      </c>
      <c r="EN44" s="38" t="str">
        <f t="shared" ref="EN44:GQ44" si="113">IFERROR(EN42/EN43,"")</f>
        <v/>
      </c>
      <c r="EO44" s="38" t="str">
        <f t="shared" si="113"/>
        <v/>
      </c>
      <c r="EP44" s="38" t="str">
        <f t="shared" si="113"/>
        <v/>
      </c>
      <c r="EQ44" s="38" t="str">
        <f t="shared" si="113"/>
        <v/>
      </c>
      <c r="ER44" s="38" t="str">
        <f t="shared" si="113"/>
        <v/>
      </c>
      <c r="ES44" s="38" t="str">
        <f t="shared" si="113"/>
        <v/>
      </c>
      <c r="ET44" s="38" t="str">
        <f t="shared" si="113"/>
        <v/>
      </c>
      <c r="EU44" s="38" t="str">
        <f t="shared" si="113"/>
        <v/>
      </c>
      <c r="EV44" s="38" t="str">
        <f t="shared" si="113"/>
        <v/>
      </c>
      <c r="EW44" s="38" t="str">
        <f t="shared" si="113"/>
        <v/>
      </c>
      <c r="EX44" s="38" t="str">
        <f t="shared" si="113"/>
        <v/>
      </c>
      <c r="EY44" s="38" t="str">
        <f t="shared" si="113"/>
        <v/>
      </c>
      <c r="EZ44" s="38" t="str">
        <f t="shared" si="113"/>
        <v/>
      </c>
      <c r="FA44" s="38" t="str">
        <f t="shared" si="113"/>
        <v/>
      </c>
      <c r="FB44" s="38" t="str">
        <f t="shared" si="113"/>
        <v/>
      </c>
      <c r="FC44" s="38" t="str">
        <f t="shared" si="113"/>
        <v/>
      </c>
      <c r="FD44" s="38" t="str">
        <f t="shared" si="113"/>
        <v/>
      </c>
      <c r="FE44" s="38" t="str">
        <f t="shared" si="113"/>
        <v/>
      </c>
      <c r="FF44" s="38" t="str">
        <f t="shared" si="113"/>
        <v/>
      </c>
      <c r="FG44" s="38" t="str">
        <f t="shared" si="113"/>
        <v/>
      </c>
      <c r="FH44" s="38" t="str">
        <f t="shared" si="113"/>
        <v/>
      </c>
      <c r="FI44" s="38" t="str">
        <f t="shared" si="113"/>
        <v/>
      </c>
      <c r="FJ44" s="38" t="str">
        <f t="shared" si="113"/>
        <v/>
      </c>
      <c r="FK44" s="38" t="str">
        <f t="shared" si="113"/>
        <v/>
      </c>
      <c r="FL44" s="38" t="str">
        <f t="shared" si="113"/>
        <v/>
      </c>
      <c r="FM44" s="38" t="str">
        <f t="shared" si="113"/>
        <v/>
      </c>
      <c r="FN44" s="38" t="str">
        <f t="shared" si="113"/>
        <v/>
      </c>
      <c r="FO44" s="38" t="str">
        <f t="shared" si="113"/>
        <v/>
      </c>
      <c r="FP44" s="38" t="str">
        <f t="shared" si="113"/>
        <v/>
      </c>
      <c r="FQ44" s="38" t="str">
        <f t="shared" si="113"/>
        <v/>
      </c>
      <c r="FR44" s="38" t="str">
        <f t="shared" si="113"/>
        <v/>
      </c>
      <c r="FS44" s="38" t="str">
        <f t="shared" si="113"/>
        <v/>
      </c>
      <c r="FT44" s="38" t="str">
        <f t="shared" si="113"/>
        <v/>
      </c>
      <c r="FU44" s="38" t="str">
        <f t="shared" si="113"/>
        <v/>
      </c>
      <c r="FV44" s="38" t="str">
        <f t="shared" si="113"/>
        <v/>
      </c>
      <c r="FW44" s="38" t="str">
        <f t="shared" si="113"/>
        <v/>
      </c>
      <c r="FX44" s="38" t="str">
        <f t="shared" si="113"/>
        <v/>
      </c>
      <c r="FY44" s="38" t="str">
        <f t="shared" si="113"/>
        <v/>
      </c>
      <c r="FZ44" s="38" t="str">
        <f t="shared" si="113"/>
        <v/>
      </c>
      <c r="GA44" s="38" t="str">
        <f t="shared" si="113"/>
        <v/>
      </c>
      <c r="GB44" s="38" t="str">
        <f t="shared" si="113"/>
        <v/>
      </c>
      <c r="GC44" s="38" t="str">
        <f t="shared" si="113"/>
        <v/>
      </c>
      <c r="GD44" s="38" t="str">
        <f t="shared" si="113"/>
        <v/>
      </c>
      <c r="GE44" s="38" t="str">
        <f t="shared" si="113"/>
        <v/>
      </c>
      <c r="GF44" s="38" t="str">
        <f t="shared" si="113"/>
        <v/>
      </c>
      <c r="GG44" s="38" t="str">
        <f t="shared" si="113"/>
        <v/>
      </c>
      <c r="GH44" s="38" t="str">
        <f t="shared" si="113"/>
        <v/>
      </c>
      <c r="GI44" s="38" t="str">
        <f t="shared" si="113"/>
        <v/>
      </c>
      <c r="GJ44" s="38" t="str">
        <f t="shared" si="113"/>
        <v/>
      </c>
      <c r="GK44" s="38" t="str">
        <f t="shared" si="113"/>
        <v/>
      </c>
      <c r="GL44" s="38" t="str">
        <f t="shared" si="113"/>
        <v/>
      </c>
      <c r="GM44" s="38" t="str">
        <f t="shared" si="113"/>
        <v/>
      </c>
      <c r="GN44" s="38" t="str">
        <f t="shared" si="113"/>
        <v/>
      </c>
      <c r="GO44" s="38" t="str">
        <f t="shared" si="113"/>
        <v/>
      </c>
      <c r="GP44" s="38" t="str">
        <f t="shared" si="113"/>
        <v/>
      </c>
      <c r="GQ44" s="38" t="str">
        <f t="shared" si="113"/>
        <v/>
      </c>
      <c r="GR44" s="38">
        <f>IFERROR(IF(1-ABS(1-(GR42/GR43))&lt;0,0,1-ABS(1-(GR42/GR43))),0)</f>
        <v>0</v>
      </c>
      <c r="GS44" s="38">
        <f t="shared" ref="GS44:HO44" si="114">IFERROR(IF(1-ABS(1-(GS42/GS43))&lt;0,0,1-ABS(1-(GS42/GS43))),0)</f>
        <v>0</v>
      </c>
      <c r="GT44" s="38">
        <f t="shared" si="114"/>
        <v>0</v>
      </c>
      <c r="GU44" s="38">
        <f t="shared" si="114"/>
        <v>0</v>
      </c>
      <c r="GV44" s="38">
        <f t="shared" si="114"/>
        <v>0</v>
      </c>
      <c r="GW44" s="38">
        <f t="shared" si="114"/>
        <v>0</v>
      </c>
      <c r="GX44" s="38">
        <f t="shared" si="114"/>
        <v>0</v>
      </c>
      <c r="GY44" s="38">
        <f t="shared" si="114"/>
        <v>0</v>
      </c>
      <c r="GZ44" s="38">
        <f t="shared" si="114"/>
        <v>0</v>
      </c>
      <c r="HA44" s="38">
        <f t="shared" si="114"/>
        <v>0</v>
      </c>
      <c r="HB44" s="38">
        <f t="shared" si="114"/>
        <v>0</v>
      </c>
      <c r="HC44" s="38">
        <f t="shared" si="114"/>
        <v>0</v>
      </c>
      <c r="HD44" s="38">
        <f t="shared" si="114"/>
        <v>0</v>
      </c>
      <c r="HE44" s="38">
        <f t="shared" si="114"/>
        <v>0</v>
      </c>
      <c r="HF44" s="38">
        <f t="shared" si="114"/>
        <v>0</v>
      </c>
      <c r="HG44" s="38">
        <f t="shared" si="114"/>
        <v>0</v>
      </c>
      <c r="HH44" s="38">
        <f t="shared" si="114"/>
        <v>0</v>
      </c>
      <c r="HI44" s="38">
        <f t="shared" si="114"/>
        <v>0</v>
      </c>
      <c r="HJ44" s="38">
        <f t="shared" si="114"/>
        <v>0</v>
      </c>
      <c r="HK44" s="38">
        <f t="shared" si="114"/>
        <v>0</v>
      </c>
      <c r="HL44" s="38">
        <f t="shared" si="114"/>
        <v>0</v>
      </c>
      <c r="HM44" s="38">
        <f t="shared" si="114"/>
        <v>0</v>
      </c>
      <c r="HN44" s="38">
        <f t="shared" si="114"/>
        <v>0</v>
      </c>
      <c r="HO44" s="38">
        <f t="shared" si="114"/>
        <v>0</v>
      </c>
      <c r="HP44" s="38" t="str">
        <f>IFERROR(HP42/HP43,"")</f>
        <v/>
      </c>
      <c r="HQ44" s="38" t="str">
        <f t="shared" ref="HQ44:KJ44" si="115">IFERROR(HQ42/HQ43,"")</f>
        <v/>
      </c>
      <c r="HR44" s="38" t="str">
        <f t="shared" si="115"/>
        <v/>
      </c>
      <c r="HS44" s="38" t="str">
        <f t="shared" si="115"/>
        <v/>
      </c>
      <c r="HT44" s="38" t="str">
        <f t="shared" si="115"/>
        <v/>
      </c>
      <c r="HU44" s="38" t="str">
        <f t="shared" si="115"/>
        <v/>
      </c>
      <c r="HV44" s="38" t="str">
        <f t="shared" si="115"/>
        <v/>
      </c>
      <c r="HW44" s="38" t="str">
        <f t="shared" si="115"/>
        <v/>
      </c>
      <c r="HX44" s="38" t="str">
        <f t="shared" si="115"/>
        <v/>
      </c>
      <c r="HY44" s="38" t="str">
        <f t="shared" si="115"/>
        <v/>
      </c>
      <c r="HZ44" s="38" t="str">
        <f t="shared" si="115"/>
        <v/>
      </c>
      <c r="IA44" s="38" t="str">
        <f t="shared" si="115"/>
        <v/>
      </c>
      <c r="IB44" s="38" t="str">
        <f t="shared" si="115"/>
        <v/>
      </c>
      <c r="IC44" s="38" t="str">
        <f t="shared" si="115"/>
        <v/>
      </c>
      <c r="ID44" s="38" t="str">
        <f t="shared" si="115"/>
        <v/>
      </c>
      <c r="IE44" s="38" t="str">
        <f t="shared" si="115"/>
        <v/>
      </c>
      <c r="IF44" s="38" t="str">
        <f t="shared" si="115"/>
        <v/>
      </c>
      <c r="IG44" s="38" t="str">
        <f t="shared" si="115"/>
        <v/>
      </c>
      <c r="IH44" s="38" t="str">
        <f t="shared" si="115"/>
        <v/>
      </c>
      <c r="II44" s="38" t="str">
        <f t="shared" si="115"/>
        <v/>
      </c>
      <c r="IJ44" s="38" t="str">
        <f t="shared" si="115"/>
        <v/>
      </c>
      <c r="IK44" s="38" t="str">
        <f t="shared" si="115"/>
        <v/>
      </c>
      <c r="IL44" s="38" t="str">
        <f t="shared" si="115"/>
        <v/>
      </c>
      <c r="IM44" s="38" t="str">
        <f t="shared" si="115"/>
        <v/>
      </c>
      <c r="IN44" s="38" t="str">
        <f t="shared" si="115"/>
        <v/>
      </c>
      <c r="IO44" s="38" t="str">
        <f t="shared" si="115"/>
        <v/>
      </c>
      <c r="IP44" s="38" t="str">
        <f t="shared" si="115"/>
        <v/>
      </c>
      <c r="IQ44" s="38" t="str">
        <f t="shared" si="115"/>
        <v/>
      </c>
      <c r="IR44" s="38" t="str">
        <f t="shared" si="115"/>
        <v/>
      </c>
      <c r="IS44" s="38" t="str">
        <f t="shared" si="115"/>
        <v/>
      </c>
      <c r="IT44" s="38" t="str">
        <f t="shared" si="115"/>
        <v/>
      </c>
      <c r="IU44" s="38" t="str">
        <f t="shared" si="115"/>
        <v/>
      </c>
      <c r="IV44" s="38"/>
      <c r="IW44" s="38" t="str">
        <f t="shared" si="115"/>
        <v/>
      </c>
      <c r="IX44" s="38" t="str">
        <f t="shared" si="115"/>
        <v/>
      </c>
      <c r="IY44" s="38" t="str">
        <f t="shared" si="115"/>
        <v/>
      </c>
      <c r="IZ44" s="38" t="str">
        <f t="shared" si="115"/>
        <v/>
      </c>
      <c r="JA44" s="38" t="str">
        <f t="shared" si="115"/>
        <v/>
      </c>
      <c r="JB44" s="38"/>
      <c r="JC44" s="38" t="str">
        <f t="shared" si="115"/>
        <v/>
      </c>
      <c r="JD44" s="38" t="str">
        <f t="shared" si="115"/>
        <v/>
      </c>
      <c r="JE44" s="38" t="str">
        <f t="shared" si="115"/>
        <v/>
      </c>
      <c r="JF44" s="38" t="str">
        <f>IFERROR(JF42/JF43,"")</f>
        <v/>
      </c>
      <c r="JG44" s="38"/>
      <c r="JH44" s="38" t="str">
        <f>IFERROR(JH42/JH43,"")</f>
        <v/>
      </c>
      <c r="JI44" s="38" t="str">
        <f>IFERROR(JI42/JI43,"")</f>
        <v/>
      </c>
      <c r="JJ44" s="38" t="str">
        <f>IFERROR(JJ42/JJ43,"")</f>
        <v/>
      </c>
      <c r="JK44" s="38" t="str">
        <f t="shared" si="115"/>
        <v/>
      </c>
      <c r="JL44" s="38" t="str">
        <f t="shared" si="115"/>
        <v/>
      </c>
      <c r="JM44" s="38"/>
      <c r="JN44" s="38" t="str">
        <f t="shared" si="115"/>
        <v/>
      </c>
      <c r="JO44" s="38" t="str">
        <f t="shared" si="115"/>
        <v/>
      </c>
      <c r="JP44" s="38" t="str">
        <f t="shared" si="115"/>
        <v/>
      </c>
      <c r="JQ44" s="38" t="str">
        <f t="shared" si="115"/>
        <v/>
      </c>
      <c r="JR44" s="38" t="str">
        <f t="shared" si="115"/>
        <v/>
      </c>
      <c r="JS44" s="38"/>
      <c r="JT44" s="38" t="str">
        <f t="shared" si="115"/>
        <v/>
      </c>
      <c r="JU44" s="38" t="str">
        <f t="shared" si="115"/>
        <v/>
      </c>
      <c r="JV44" s="38" t="str">
        <f t="shared" si="115"/>
        <v/>
      </c>
      <c r="JW44" s="38" t="str">
        <f t="shared" si="115"/>
        <v/>
      </c>
      <c r="JX44" s="38" t="str">
        <f t="shared" si="115"/>
        <v/>
      </c>
      <c r="JY44" s="38" t="str">
        <f t="shared" si="115"/>
        <v/>
      </c>
      <c r="JZ44" s="38" t="str">
        <f t="shared" si="115"/>
        <v/>
      </c>
      <c r="KA44" s="38" t="str">
        <f t="shared" si="115"/>
        <v/>
      </c>
      <c r="KB44" s="38" t="str">
        <f t="shared" si="115"/>
        <v/>
      </c>
      <c r="KC44" s="38" t="str">
        <f t="shared" si="115"/>
        <v/>
      </c>
      <c r="KD44" s="38" t="str">
        <f t="shared" si="115"/>
        <v/>
      </c>
      <c r="KE44" s="38" t="str">
        <f t="shared" si="115"/>
        <v/>
      </c>
      <c r="KF44" s="38"/>
      <c r="KG44" s="38" t="str">
        <f t="shared" si="115"/>
        <v/>
      </c>
      <c r="KH44" s="38" t="str">
        <f t="shared" si="115"/>
        <v/>
      </c>
      <c r="KI44" s="38" t="str">
        <f t="shared" si="115"/>
        <v/>
      </c>
      <c r="KJ44" s="38" t="str">
        <f t="shared" si="115"/>
        <v/>
      </c>
      <c r="KK44" s="38" t="str">
        <f t="shared" ref="KK44:MG44" si="116">IFERROR(KK42/KK43,"")</f>
        <v/>
      </c>
      <c r="KL44" s="38" t="str">
        <f t="shared" si="116"/>
        <v/>
      </c>
      <c r="KM44" s="38" t="str">
        <f t="shared" si="116"/>
        <v/>
      </c>
      <c r="KN44" s="38" t="str">
        <f t="shared" si="116"/>
        <v/>
      </c>
      <c r="KO44" s="38" t="str">
        <f t="shared" si="116"/>
        <v/>
      </c>
      <c r="KP44" s="38" t="str">
        <f t="shared" si="116"/>
        <v/>
      </c>
      <c r="KQ44" s="38" t="str">
        <f t="shared" si="116"/>
        <v/>
      </c>
      <c r="KR44" s="38" t="str">
        <f t="shared" si="116"/>
        <v/>
      </c>
      <c r="KS44" s="38" t="str">
        <f t="shared" si="116"/>
        <v/>
      </c>
      <c r="KT44" s="38" t="str">
        <f t="shared" si="116"/>
        <v/>
      </c>
      <c r="KU44" s="38" t="str">
        <f t="shared" si="116"/>
        <v/>
      </c>
      <c r="KV44" s="38" t="str">
        <f t="shared" si="116"/>
        <v/>
      </c>
      <c r="KW44" s="38" t="str">
        <f t="shared" si="116"/>
        <v/>
      </c>
      <c r="KX44" s="38" t="str">
        <f t="shared" si="116"/>
        <v/>
      </c>
      <c r="KY44" s="38" t="str">
        <f t="shared" si="116"/>
        <v/>
      </c>
      <c r="KZ44" s="38" t="str">
        <f t="shared" si="116"/>
        <v/>
      </c>
      <c r="LA44" s="38" t="str">
        <f t="shared" si="116"/>
        <v/>
      </c>
      <c r="LB44" s="38" t="str">
        <f t="shared" si="116"/>
        <v/>
      </c>
      <c r="LC44" s="38" t="str">
        <f t="shared" si="116"/>
        <v/>
      </c>
      <c r="LD44" s="38" t="str">
        <f t="shared" si="116"/>
        <v/>
      </c>
      <c r="LE44" s="38" t="str">
        <f t="shared" si="116"/>
        <v/>
      </c>
      <c r="LF44" s="38" t="str">
        <f t="shared" si="116"/>
        <v/>
      </c>
      <c r="LG44" s="38" t="str">
        <f t="shared" si="116"/>
        <v/>
      </c>
      <c r="LH44" s="38" t="str">
        <f t="shared" si="116"/>
        <v/>
      </c>
      <c r="LI44" s="38" t="str">
        <f t="shared" si="116"/>
        <v/>
      </c>
      <c r="LJ44" s="38" t="str">
        <f t="shared" si="116"/>
        <v/>
      </c>
      <c r="LK44" s="38" t="str">
        <f t="shared" si="116"/>
        <v/>
      </c>
      <c r="LL44" s="38" t="str">
        <f t="shared" si="116"/>
        <v/>
      </c>
      <c r="LM44" s="38" t="str">
        <f t="shared" si="116"/>
        <v/>
      </c>
      <c r="LN44" s="38" t="str">
        <f t="shared" si="116"/>
        <v/>
      </c>
      <c r="LO44" s="38" t="str">
        <f t="shared" si="116"/>
        <v/>
      </c>
      <c r="LP44" s="38" t="str">
        <f t="shared" si="116"/>
        <v/>
      </c>
      <c r="LQ44" s="38" t="str">
        <f t="shared" si="116"/>
        <v/>
      </c>
      <c r="LR44" s="38" t="str">
        <f t="shared" si="116"/>
        <v/>
      </c>
      <c r="LS44" s="38" t="str">
        <f t="shared" si="116"/>
        <v/>
      </c>
      <c r="LT44" s="38" t="str">
        <f t="shared" si="116"/>
        <v/>
      </c>
      <c r="LU44" s="38" t="str">
        <f t="shared" si="116"/>
        <v/>
      </c>
      <c r="LV44" s="38" t="str">
        <f t="shared" si="116"/>
        <v/>
      </c>
      <c r="LW44" s="38" t="str">
        <f t="shared" si="116"/>
        <v/>
      </c>
      <c r="LX44" s="38" t="str">
        <f t="shared" si="116"/>
        <v/>
      </c>
      <c r="LY44" s="38" t="str">
        <f t="shared" si="116"/>
        <v/>
      </c>
      <c r="LZ44" s="38" t="str">
        <f t="shared" si="116"/>
        <v/>
      </c>
      <c r="MA44" s="38" t="str">
        <f t="shared" si="116"/>
        <v/>
      </c>
      <c r="MB44" s="38" t="str">
        <f t="shared" si="116"/>
        <v/>
      </c>
      <c r="MC44" s="38" t="str">
        <f t="shared" si="116"/>
        <v/>
      </c>
      <c r="MD44" s="38" t="str">
        <f t="shared" si="116"/>
        <v/>
      </c>
      <c r="ME44" s="38" t="str">
        <f t="shared" si="116"/>
        <v/>
      </c>
      <c r="MF44" s="38" t="str">
        <f t="shared" si="116"/>
        <v/>
      </c>
      <c r="MG44" s="38" t="str">
        <f t="shared" si="116"/>
        <v/>
      </c>
    </row>
    <row r="45" spans="1:365">
      <c r="K45" t="e">
        <f ca="1">IF(VALUE(MONTH(DATEVALUE(MID(CELL("filename",A1),FIND("]",CELL("filename",A1))+1,255)&amp;"1")))&lt;&gt;MONTH(TODAY()),K43/(DAY(EOMONTH(DATE(YEAR(TODAY()),VALUE(MONTH(DATEVALUE(MID(CELL("filename",A1),FIND("]",CELL("filename",A1))+1,255)&amp;"1"))),1),0))),(K43-K42)/('Summary TCM'!$AC$141-DAY(TODAY()-1)))</f>
        <v>#VALUE!</v>
      </c>
      <c r="L45" t="e">
        <f ca="1">IF(VALUE(MONTH(DATEVALUE(MID(CELL("filename",B1),FIND("]",CELL("filename",B1))+1,255)&amp;"1")))&lt;&gt;MONTH(TODAY()),L43/(DAY(EOMONTH(DATE(YEAR(TODAY()),VALUE(MONTH(DATEVALUE(MID(CELL("filename",B1),FIND("]",CELL("filename",B1))+1,255)&amp;"1"))),1),0))),(L43-L42)/('Summary TCM'!$AC$141-DAY(TODAY()-1)))</f>
        <v>#VALUE!</v>
      </c>
      <c r="M45" t="e">
        <f ca="1">IF(VALUE(MONTH(DATEVALUE(MID(CELL("filename",C1),FIND("]",CELL("filename",C1))+1,255)&amp;"1")))&lt;&gt;MONTH(TODAY()),M43/(DAY(EOMONTH(DATE(YEAR(TODAY()),VALUE(MONTH(DATEVALUE(MID(CELL("filename",C1),FIND("]",CELL("filename",C1))+1,255)&amp;"1"))),1),0))),(M43-M42)/('Summary TCM'!$AC$141-DAY(TODAY()-1)))</f>
        <v>#VALUE!</v>
      </c>
      <c r="N45" t="e">
        <f ca="1">IF(VALUE(MONTH(DATEVALUE(MID(CELL("filename",D1),FIND("]",CELL("filename",D1))+1,255)&amp;"1")))&lt;&gt;MONTH(TODAY()),N43/(DAY(EOMONTH(DATE(YEAR(TODAY()),VALUE(MONTH(DATEVALUE(MID(CELL("filename",D1),FIND("]",CELL("filename",D1))+1,255)&amp;"1"))),1),0))),(N43-N42)/('Summary TCM'!$AC$141-DAY(TODAY()-1)))</f>
        <v>#VALUE!</v>
      </c>
      <c r="O45" t="e">
        <f ca="1">IF(VALUE(MONTH(DATEVALUE(MID(CELL("filename",E1),FIND("]",CELL("filename",E1))+1,255)&amp;"1")))&lt;&gt;MONTH(TODAY()),O43/(DAY(EOMONTH(DATE(YEAR(TODAY()),VALUE(MONTH(DATEVALUE(MID(CELL("filename",E1),FIND("]",CELL("filename",E1))+1,255)&amp;"1"))),1),0))),(O43-O42)/('Summary TCM'!$AC$141-DAY(TODAY()-1)))</f>
        <v>#VALUE!</v>
      </c>
      <c r="P45" t="e">
        <f ca="1">IF(VALUE(MONTH(DATEVALUE(MID(CELL("filename",F1),FIND("]",CELL("filename",F1))+1,255)&amp;"1")))&lt;&gt;MONTH(TODAY()),P43/(DAY(EOMONTH(DATE(YEAR(TODAY()),VALUE(MONTH(DATEVALUE(MID(CELL("filename",F1),FIND("]",CELL("filename",F1))+1,255)&amp;"1"))),1),0))),(P43-P42)/('Summary TCM'!$AC$141-DAY(TODAY()-1)))</f>
        <v>#VALUE!</v>
      </c>
      <c r="Q45" t="e">
        <f ca="1">IF(VALUE(MONTH(DATEVALUE(MID(CELL("filename",G1),FIND("]",CELL("filename",G1))+1,255)&amp;"1")))&lt;&gt;MONTH(TODAY()),Q43/(DAY(EOMONTH(DATE(YEAR(TODAY()),VALUE(MONTH(DATEVALUE(MID(CELL("filename",G1),FIND("]",CELL("filename",G1))+1,255)&amp;"1"))),1),0))),(Q43-Q42)/('Summary TCM'!$AC$141-DAY(TODAY()-1)))</f>
        <v>#VALUE!</v>
      </c>
      <c r="R45" t="e">
        <f ca="1">IF(VALUE(MONTH(DATEVALUE(MID(CELL("filename",H1),FIND("]",CELL("filename",H1))+1,255)&amp;"1")))&lt;&gt;MONTH(TODAY()),R43/(DAY(EOMONTH(DATE(YEAR(TODAY()),VALUE(MONTH(DATEVALUE(MID(CELL("filename",H1),FIND("]",CELL("filename",H1))+1,255)&amp;"1"))),1),0))),(R43-R42)/('Summary TCM'!$AC$141-DAY(TODAY()-1)))</f>
        <v>#VALUE!</v>
      </c>
      <c r="S45" t="e">
        <f ca="1">IF(VALUE(MONTH(DATEVALUE(MID(CELL("filename",I1),FIND("]",CELL("filename",I1))+1,255)&amp;"1")))&lt;&gt;MONTH(TODAY()),S43/(DAY(EOMONTH(DATE(YEAR(TODAY()),VALUE(MONTH(DATEVALUE(MID(CELL("filename",I1),FIND("]",CELL("filename",I1))+1,255)&amp;"1"))),1),0))),(S43-S42)/('Summary TCM'!$AC$141-DAY(TODAY()-1)))</f>
        <v>#VALUE!</v>
      </c>
      <c r="T45" t="e">
        <f ca="1">IF(VALUE(MONTH(DATEVALUE(MID(CELL("filename",J1),FIND("]",CELL("filename",J1))+1,255)&amp;"1")))&lt;&gt;MONTH(TODAY()),T43/(DAY(EOMONTH(DATE(YEAR(TODAY()),VALUE(MONTH(DATEVALUE(MID(CELL("filename",J1),FIND("]",CELL("filename",J1))+1,255)&amp;"1"))),1),0))),(T43-T42)/('Summary TCM'!$AC$141-DAY(TODAY()-1)))</f>
        <v>#VALUE!</v>
      </c>
      <c r="U45" t="e">
        <f ca="1">IF(VALUE(MONTH(DATEVALUE(MID(CELL("filename",K1),FIND("]",CELL("filename",K1))+1,255)&amp;"1")))&lt;&gt;MONTH(TODAY()),U43/(DAY(EOMONTH(DATE(YEAR(TODAY()),VALUE(MONTH(DATEVALUE(MID(CELL("filename",K1),FIND("]",CELL("filename",K1))+1,255)&amp;"1"))),1),0))),(U43-U42)/('Summary TCM'!$AC$141-DAY(TODAY()-1)))</f>
        <v>#VALUE!</v>
      </c>
      <c r="V45" t="e">
        <f ca="1">IF(VALUE(MONTH(DATEVALUE(MID(CELL("filename",L1),FIND("]",CELL("filename",L1))+1,255)&amp;"1")))&lt;&gt;MONTH(TODAY()),V43/(DAY(EOMONTH(DATE(YEAR(TODAY()),VALUE(MONTH(DATEVALUE(MID(CELL("filename",L1),FIND("]",CELL("filename",L1))+1,255)&amp;"1"))),1),0))),(V43-V42)/('Summary TCM'!$AC$141-DAY(TODAY()-1)))</f>
        <v>#VALUE!</v>
      </c>
      <c r="W45" t="e">
        <f ca="1">IF(VALUE(MONTH(DATEVALUE(MID(CELL("filename",M1),FIND("]",CELL("filename",M1))+1,255)&amp;"1")))&lt;&gt;MONTH(TODAY()),W43/(DAY(EOMONTH(DATE(YEAR(TODAY()),VALUE(MONTH(DATEVALUE(MID(CELL("filename",M1),FIND("]",CELL("filename",M1))+1,255)&amp;"1"))),1),0))),(W43-W42)/('Summary TCM'!$AC$141-DAY(TODAY()-1)))</f>
        <v>#VALUE!</v>
      </c>
      <c r="X45" t="e">
        <f ca="1">IF(VALUE(MONTH(DATEVALUE(MID(CELL("filename",N1),FIND("]",CELL("filename",N1))+1,255)&amp;"1")))&lt;&gt;MONTH(TODAY()),X43/(DAY(EOMONTH(DATE(YEAR(TODAY()),VALUE(MONTH(DATEVALUE(MID(CELL("filename",N1),FIND("]",CELL("filename",N1))+1,255)&amp;"1"))),1),0))),(X43-X42)/('Summary TCM'!$AC$141-DAY(TODAY()-1)))</f>
        <v>#VALUE!</v>
      </c>
      <c r="Y45" t="e">
        <f ca="1">IF(VALUE(MONTH(DATEVALUE(MID(CELL("filename",O1),FIND("]",CELL("filename",O1))+1,255)&amp;"1")))&lt;&gt;MONTH(TODAY()),Y43/(DAY(EOMONTH(DATE(YEAR(TODAY()),VALUE(MONTH(DATEVALUE(MID(CELL("filename",O1),FIND("]",CELL("filename",O1))+1,255)&amp;"1"))),1),0))),(Y43-Y42)/('Summary TCM'!$AC$141-DAY(TODAY()-1)))</f>
        <v>#VALUE!</v>
      </c>
      <c r="Z45" t="e">
        <f ca="1">IF(VALUE(MONTH(DATEVALUE(MID(CELL("filename",P1),FIND("]",CELL("filename",P1))+1,255)&amp;"1")))&lt;&gt;MONTH(TODAY()),Z43/(DAY(EOMONTH(DATE(YEAR(TODAY()),VALUE(MONTH(DATEVALUE(MID(CELL("filename",P1),FIND("]",CELL("filename",P1))+1,255)&amp;"1"))),1),0))),(Z43-Z42)/('Summary TCM'!$AC$141-DAY(TODAY()-1)))</f>
        <v>#VALUE!</v>
      </c>
      <c r="AA45" t="e">
        <f ca="1">IF(VALUE(MONTH(DATEVALUE(MID(CELL("filename",Q1),FIND("]",CELL("filename",Q1))+1,255)&amp;"1")))&lt;&gt;MONTH(TODAY()),AA43/(DAY(EOMONTH(DATE(YEAR(TODAY()),VALUE(MONTH(DATEVALUE(MID(CELL("filename",Q1),FIND("]",CELL("filename",Q1))+1,255)&amp;"1"))),1),0))),(AA43-AA42)/('Summary TCM'!$AC$141-DAY(TODAY()-1)))</f>
        <v>#VALUE!</v>
      </c>
      <c r="AB45" t="e">
        <f ca="1">IF(VALUE(MONTH(DATEVALUE(MID(CELL("filename",R1),FIND("]",CELL("filename",R1))+1,255)&amp;"1")))&lt;&gt;MONTH(TODAY()),AB43/(DAY(EOMONTH(DATE(YEAR(TODAY()),VALUE(MONTH(DATEVALUE(MID(CELL("filename",R1),FIND("]",CELL("filename",R1))+1,255)&amp;"1"))),1),0))),(AB43-AB42)/('Summary TCM'!$AC$141-DAY(TODAY()-1)))</f>
        <v>#VALUE!</v>
      </c>
      <c r="AC45" t="e">
        <f ca="1">IF(VALUE(MONTH(DATEVALUE(MID(CELL("filename",S1),FIND("]",CELL("filename",S1))+1,255)&amp;"1")))&lt;&gt;MONTH(TODAY()),AC43/(DAY(EOMONTH(DATE(YEAR(TODAY()),VALUE(MONTH(DATEVALUE(MID(CELL("filename",S1),FIND("]",CELL("filename",S1))+1,255)&amp;"1"))),1),0))),(AC43-AC42)/('Summary TCM'!$AC$141-DAY(TODAY()-1)))</f>
        <v>#VALUE!</v>
      </c>
      <c r="AD45" t="e">
        <f ca="1">IF(VALUE(MONTH(DATEVALUE(MID(CELL("filename",T1),FIND("]",CELL("filename",T1))+1,255)&amp;"1")))&lt;&gt;MONTH(TODAY()),AD43/(DAY(EOMONTH(DATE(YEAR(TODAY()),VALUE(MONTH(DATEVALUE(MID(CELL("filename",T1),FIND("]",CELL("filename",T1))+1,255)&amp;"1"))),1),0))),(AD43-AD42)/('Summary TCM'!$AC$141-DAY(TODAY()-1)))</f>
        <v>#VALUE!</v>
      </c>
      <c r="AF45" t="e">
        <f ca="1">IF(VALUE(MONTH(DATEVALUE(MID(CELL("filename",V1),FIND("]",CELL("filename",V1))+1,255)&amp;"1")))&lt;&gt;MONTH(TODAY()),AF43/(DAY(EOMONTH(DATE(YEAR(TODAY()),VALUE(MONTH(DATEVALUE(MID(CELL("filename",V1),FIND("]",CELL("filename",V1))+1,255)&amp;"1"))),1),0))),(AF43-AF42)/('Summary TCM'!$AC$141-DAY(TODAY()-1)))</f>
        <v>#VALUE!</v>
      </c>
      <c r="AG45" t="e">
        <f ca="1">IF(VALUE(MONTH(DATEVALUE(MID(CELL("filename",W1),FIND("]",CELL("filename",W1))+1,255)&amp;"1")))&lt;&gt;MONTH(TODAY()),AG43/(DAY(EOMONTH(DATE(YEAR(TODAY()),VALUE(MONTH(DATEVALUE(MID(CELL("filename",W1),FIND("]",CELL("filename",W1))+1,255)&amp;"1"))),1),0))),(AG43-AG42)/('Summary TCM'!$AC$141-DAY(TODAY()-1)))</f>
        <v>#VALUE!</v>
      </c>
      <c r="AH45" t="e">
        <f ca="1">IF(VALUE(MONTH(DATEVALUE(MID(CELL("filename",X1),FIND("]",CELL("filename",X1))+1,255)&amp;"1")))&lt;&gt;MONTH(TODAY()),AH43/(DAY(EOMONTH(DATE(YEAR(TODAY()),VALUE(MONTH(DATEVALUE(MID(CELL("filename",X1),FIND("]",CELL("filename",X1))+1,255)&amp;"1"))),1),0))),(AH43-AH42)/('Summary TCM'!$AC$141-DAY(TODAY()-1)))</f>
        <v>#VALUE!</v>
      </c>
      <c r="AI45" t="e">
        <f ca="1">IF(VALUE(MONTH(DATEVALUE(MID(CELL("filename",Y1),FIND("]",CELL("filename",Y1))+1,255)&amp;"1")))&lt;&gt;MONTH(TODAY()),AI43/(DAY(EOMONTH(DATE(YEAR(TODAY()),VALUE(MONTH(DATEVALUE(MID(CELL("filename",Y1),FIND("]",CELL("filename",Y1))+1,255)&amp;"1"))),1),0))),(AI43-AI42)/('Summary TCM'!$AC$141-DAY(TODAY()-1)))</f>
        <v>#VALUE!</v>
      </c>
      <c r="AJ45" t="e">
        <f ca="1">IF(VALUE(MONTH(DATEVALUE(MID(CELL("filename",Z1),FIND("]",CELL("filename",Z1))+1,255)&amp;"1")))&lt;&gt;MONTH(TODAY()),AJ43/(DAY(EOMONTH(DATE(YEAR(TODAY()),VALUE(MONTH(DATEVALUE(MID(CELL("filename",Z1),FIND("]",CELL("filename",Z1))+1,255)&amp;"1"))),1),0))),(AJ43-AJ42)/('Summary TCM'!$AC$141-DAY(TODAY()-1)))</f>
        <v>#VALUE!</v>
      </c>
      <c r="AK45" t="e">
        <f ca="1">IF(VALUE(MONTH(DATEVALUE(MID(CELL("filename",AA1),FIND("]",CELL("filename",AA1))+1,255)&amp;"1")))&lt;&gt;MONTH(TODAY()),AK43/(DAY(EOMONTH(DATE(YEAR(TODAY()),VALUE(MONTH(DATEVALUE(MID(CELL("filename",AA1),FIND("]",CELL("filename",AA1))+1,255)&amp;"1"))),1),0))),(AK43-AK42)/('Summary TCM'!$AC$141-DAY(TODAY()-1)))</f>
        <v>#VALUE!</v>
      </c>
      <c r="AL45" t="e">
        <f ca="1">IF(VALUE(MONTH(DATEVALUE(MID(CELL("filename",AB1),FIND("]",CELL("filename",AB1))+1,255)&amp;"1")))&lt;&gt;MONTH(TODAY()),AL43/(DAY(EOMONTH(DATE(YEAR(TODAY()),VALUE(MONTH(DATEVALUE(MID(CELL("filename",AB1),FIND("]",CELL("filename",AB1))+1,255)&amp;"1"))),1),0))),(AL43-AL42)/('Summary TCM'!$AC$141-DAY(TODAY()-1)))</f>
        <v>#VALUE!</v>
      </c>
      <c r="AM45" t="e">
        <f ca="1">IF(VALUE(MONTH(DATEVALUE(MID(CELL("filename",AC1),FIND("]",CELL("filename",AC1))+1,255)&amp;"1")))&lt;&gt;MONTH(TODAY()),AM43/(DAY(EOMONTH(DATE(YEAR(TODAY()),VALUE(MONTH(DATEVALUE(MID(CELL("filename",AC1),FIND("]",CELL("filename",AC1))+1,255)&amp;"1"))),1),0))),(AM43-AM42)/('Summary TCM'!$AC$141-DAY(TODAY()-1)))</f>
        <v>#VALUE!</v>
      </c>
      <c r="AN45" t="e">
        <f ca="1">IF(VALUE(MONTH(DATEVALUE(MID(CELL("filename",AD1),FIND("]",CELL("filename",AD1))+1,255)&amp;"1")))&lt;&gt;MONTH(TODAY()),AN43/(DAY(EOMONTH(DATE(YEAR(TODAY()),VALUE(MONTH(DATEVALUE(MID(CELL("filename",AD1),FIND("]",CELL("filename",AD1))+1,255)&amp;"1"))),1),0))),(AN43-AN42)/('Summary TCM'!$AC$141-DAY(TODAY()-1)))</f>
        <v>#VALUE!</v>
      </c>
      <c r="AO45" t="e">
        <f ca="1">IF(VALUE(MONTH(DATEVALUE(MID(CELL("filename",AE1),FIND("]",CELL("filename",AE1))+1,255)&amp;"1")))&lt;&gt;MONTH(TODAY()),AO43/(DAY(EOMONTH(DATE(YEAR(TODAY()),VALUE(MONTH(DATEVALUE(MID(CELL("filename",AE1),FIND("]",CELL("filename",AE1))+1,255)&amp;"1"))),1),0))),(AO43-AO42)/('Summary TCM'!$AC$141-DAY(TODAY()-1)))</f>
        <v>#VALUE!</v>
      </c>
      <c r="AP45" t="e">
        <f ca="1">IF(VALUE(MONTH(DATEVALUE(MID(CELL("filename",AF1),FIND("]",CELL("filename",AF1))+1,255)&amp;"1")))&lt;&gt;MONTH(TODAY()),AP43/(DAY(EOMONTH(DATE(YEAR(TODAY()),VALUE(MONTH(DATEVALUE(MID(CELL("filename",AF1),FIND("]",CELL("filename",AF1))+1,255)&amp;"1"))),1),0))),(AP43-AP42)/('Summary TCM'!$AC$141-DAY(TODAY()-1)))</f>
        <v>#VALUE!</v>
      </c>
      <c r="AQ45" t="e">
        <f ca="1">IF(VALUE(MONTH(DATEVALUE(MID(CELL("filename",AG1),FIND("]",CELL("filename",AG1))+1,255)&amp;"1")))&lt;&gt;MONTH(TODAY()),AQ43/(DAY(EOMONTH(DATE(YEAR(TODAY()),VALUE(MONTH(DATEVALUE(MID(CELL("filename",AG1),FIND("]",CELL("filename",AG1))+1,255)&amp;"1"))),1),0))),(AQ43-AQ42)/('Summary TCM'!$AC$141-DAY(TODAY()-1)))</f>
        <v>#VALUE!</v>
      </c>
      <c r="AR45" t="e">
        <f ca="1">IF(VALUE(MONTH(DATEVALUE(MID(CELL("filename",AH1),FIND("]",CELL("filename",AH1))+1,255)&amp;"1")))&lt;&gt;MONTH(TODAY()),AR43/(DAY(EOMONTH(DATE(YEAR(TODAY()),VALUE(MONTH(DATEVALUE(MID(CELL("filename",AH1),FIND("]",CELL("filename",AH1))+1,255)&amp;"1"))),1),0))),(AR43-AR42)/('Summary TCM'!$AC$141-DAY(TODAY()-1)))</f>
        <v>#VALUE!</v>
      </c>
      <c r="AS45" t="e">
        <f ca="1">IF(VALUE(MONTH(DATEVALUE(MID(CELL("filename",AI1),FIND("]",CELL("filename",AI1))+1,255)&amp;"1")))&lt;&gt;MONTH(TODAY()),AS43/(DAY(EOMONTH(DATE(YEAR(TODAY()),VALUE(MONTH(DATEVALUE(MID(CELL("filename",AI1),FIND("]",CELL("filename",AI1))+1,255)&amp;"1"))),1),0))),(AS43-AS42)/('Summary TCM'!$AC$141-DAY(TODAY()-1)))</f>
        <v>#VALUE!</v>
      </c>
      <c r="AT45" t="e">
        <f ca="1">IF(VALUE(MONTH(DATEVALUE(MID(CELL("filename",AJ1),FIND("]",CELL("filename",AJ1))+1,255)&amp;"1")))&lt;&gt;MONTH(TODAY()),AT43/(DAY(EOMONTH(DATE(YEAR(TODAY()),VALUE(MONTH(DATEVALUE(MID(CELL("filename",AJ1),FIND("]",CELL("filename",AJ1))+1,255)&amp;"1"))),1),0))),(AT43-AT42)/('Summary TCM'!$AC$141-DAY(TODAY()-1)))</f>
        <v>#VALUE!</v>
      </c>
      <c r="AU45" t="e">
        <f ca="1">IF(VALUE(MONTH(DATEVALUE(MID(CELL("filename",AK1),FIND("]",CELL("filename",AK1))+1,255)&amp;"1")))&lt;&gt;MONTH(TODAY()),AU43/(DAY(EOMONTH(DATE(YEAR(TODAY()),VALUE(MONTH(DATEVALUE(MID(CELL("filename",AK1),FIND("]",CELL("filename",AK1))+1,255)&amp;"1"))),1),0))),(AU43-AU42)/('Summary TCM'!$AC$141-DAY(TODAY()-1)))</f>
        <v>#VALUE!</v>
      </c>
      <c r="AV45" t="e">
        <f ca="1">IF(VALUE(MONTH(DATEVALUE(MID(CELL("filename",AL1),FIND("]",CELL("filename",AL1))+1,255)&amp;"1")))&lt;&gt;MONTH(TODAY()),AV43/(DAY(EOMONTH(DATE(YEAR(TODAY()),VALUE(MONTH(DATEVALUE(MID(CELL("filename",AL1),FIND("]",CELL("filename",AL1))+1,255)&amp;"1"))),1),0))),(AV43-AV42)/('Summary TCM'!$AC$141-DAY(TODAY()-1)))</f>
        <v>#VALUE!</v>
      </c>
      <c r="AW45" t="e">
        <f ca="1">IF(VALUE(MONTH(DATEVALUE(MID(CELL("filename",AM1),FIND("]",CELL("filename",AM1))+1,255)&amp;"1")))&lt;&gt;MONTH(TODAY()),AW43/(DAY(EOMONTH(DATE(YEAR(TODAY()),VALUE(MONTH(DATEVALUE(MID(CELL("filename",AM1),FIND("]",CELL("filename",AM1))+1,255)&amp;"1"))),1),0))),(AW43-AW42)/('Summary TCM'!$AC$141-DAY(TODAY()-1)))</f>
        <v>#VALUE!</v>
      </c>
      <c r="AX45" t="e">
        <f ca="1">IF(VALUE(MONTH(DATEVALUE(MID(CELL("filename",AN1),FIND("]",CELL("filename",AN1))+1,255)&amp;"1")))&lt;&gt;MONTH(TODAY()),AX43/(DAY(EOMONTH(DATE(YEAR(TODAY()),VALUE(MONTH(DATEVALUE(MID(CELL("filename",AN1),FIND("]",CELL("filename",AN1))+1,255)&amp;"1"))),1),0))),(AX43-AX42)/('Summary TCM'!$AC$141-DAY(TODAY()-1)))</f>
        <v>#VALUE!</v>
      </c>
      <c r="AY45" t="e">
        <f ca="1">IF(VALUE(MONTH(DATEVALUE(MID(CELL("filename",AO1),FIND("]",CELL("filename",AO1))+1,255)&amp;"1")))&lt;&gt;MONTH(TODAY()),AY43/(DAY(EOMONTH(DATE(YEAR(TODAY()),VALUE(MONTH(DATEVALUE(MID(CELL("filename",AO1),FIND("]",CELL("filename",AO1))+1,255)&amp;"1"))),1),0))),(AY43-AY42)/('Summary TCM'!$AC$141-DAY(TODAY()-1)))</f>
        <v>#VALUE!</v>
      </c>
      <c r="AZ45" t="e">
        <f ca="1">IF(VALUE(MONTH(DATEVALUE(MID(CELL("filename",AP1),FIND("]",CELL("filename",AP1))+1,255)&amp;"1")))&lt;&gt;MONTH(TODAY()),AZ43/(DAY(EOMONTH(DATE(YEAR(TODAY()),VALUE(MONTH(DATEVALUE(MID(CELL("filename",AP1),FIND("]",CELL("filename",AP1))+1,255)&amp;"1"))),1),0))),(AZ43-AZ42)/('Summary TCM'!$AC$141-DAY(TODAY()-1)))</f>
        <v>#VALUE!</v>
      </c>
      <c r="BA45" t="e">
        <f ca="1">IF(VALUE(MONTH(DATEVALUE(MID(CELL("filename",AQ1),FIND("]",CELL("filename",AQ1))+1,255)&amp;"1")))&lt;&gt;MONTH(TODAY()),BA43/(DAY(EOMONTH(DATE(YEAR(TODAY()),VALUE(MONTH(DATEVALUE(MID(CELL("filename",AQ1),FIND("]",CELL("filename",AQ1))+1,255)&amp;"1"))),1),0))),(BA43-BA42)/('Summary TCM'!$AC$141-DAY(TODAY()-1)))</f>
        <v>#VALUE!</v>
      </c>
      <c r="BB45" t="e">
        <f ca="1">IF(VALUE(MONTH(DATEVALUE(MID(CELL("filename",AR1),FIND("]",CELL("filename",AR1))+1,255)&amp;"1")))&lt;&gt;MONTH(TODAY()),BB43/(DAY(EOMONTH(DATE(YEAR(TODAY()),VALUE(MONTH(DATEVALUE(MID(CELL("filename",AR1),FIND("]",CELL("filename",AR1))+1,255)&amp;"1"))),1),0))),(BB43-BB42)/('Summary TCM'!$AC$141-DAY(TODAY()-1)))</f>
        <v>#VALUE!</v>
      </c>
      <c r="BC45" t="e">
        <f ca="1">IF(VALUE(MONTH(DATEVALUE(MID(CELL("filename",AS1),FIND("]",CELL("filename",AS1))+1,255)&amp;"1")))&lt;&gt;MONTH(TODAY()),BC43/(DAY(EOMONTH(DATE(YEAR(TODAY()),VALUE(MONTH(DATEVALUE(MID(CELL("filename",AS1),FIND("]",CELL("filename",AS1))+1,255)&amp;"1"))),1),0))),(BC43-BC42)/('Summary TCM'!$AC$141-DAY(TODAY()-1)))</f>
        <v>#VALUE!</v>
      </c>
      <c r="BD45" t="e">
        <f ca="1">IF(VALUE(MONTH(DATEVALUE(MID(CELL("filename",AT1),FIND("]",CELL("filename",AT1))+1,255)&amp;"1")))&lt;&gt;MONTH(TODAY()),BD43/(DAY(EOMONTH(DATE(YEAR(TODAY()),VALUE(MONTH(DATEVALUE(MID(CELL("filename",AT1),FIND("]",CELL("filename",AT1))+1,255)&amp;"1"))),1),0))),(BD43-BD42)/('Summary TCM'!$AC$141-DAY(TODAY()-1)))</f>
        <v>#VALUE!</v>
      </c>
      <c r="BE45" t="e">
        <f ca="1">IF(VALUE(MONTH(DATEVALUE(MID(CELL("filename",AU1),FIND("]",CELL("filename",AU1))+1,255)&amp;"1")))&lt;&gt;MONTH(TODAY()),BE43/(DAY(EOMONTH(DATE(YEAR(TODAY()),VALUE(MONTH(DATEVALUE(MID(CELL("filename",AU1),FIND("]",CELL("filename",AU1))+1,255)&amp;"1"))),1),0))),(BE43-BE42)/('Summary TCM'!$AC$141-DAY(TODAY()-1)))</f>
        <v>#VALUE!</v>
      </c>
      <c r="BF45" t="e">
        <f ca="1">IF(VALUE(MONTH(DATEVALUE(MID(CELL("filename",AV1),FIND("]",CELL("filename",AV1))+1,255)&amp;"1")))&lt;&gt;MONTH(TODAY()),BF43/(DAY(EOMONTH(DATE(YEAR(TODAY()),VALUE(MONTH(DATEVALUE(MID(CELL("filename",AV1),FIND("]",CELL("filename",AV1))+1,255)&amp;"1"))),1),0))),(BF43-BF42)/('Summary TCM'!$AC$141-DAY(TODAY()-1)))</f>
        <v>#VALUE!</v>
      </c>
      <c r="BG45" t="e">
        <f ca="1">IF(VALUE(MONTH(DATEVALUE(MID(CELL("filename",AW1),FIND("]",CELL("filename",AW1))+1,255)&amp;"1")))&lt;&gt;MONTH(TODAY()),BG43/(DAY(EOMONTH(DATE(YEAR(TODAY()),VALUE(MONTH(DATEVALUE(MID(CELL("filename",AW1),FIND("]",CELL("filename",AW1))+1,255)&amp;"1"))),1),0))),(BG43-BG42)/('Summary TCM'!$AC$141-DAY(TODAY()-1)))</f>
        <v>#VALUE!</v>
      </c>
      <c r="BH45" t="e">
        <f ca="1">IF(VALUE(MONTH(DATEVALUE(MID(CELL("filename",AX1),FIND("]",CELL("filename",AX1))+1,255)&amp;"1")))&lt;&gt;MONTH(TODAY()),BH43/(DAY(EOMONTH(DATE(YEAR(TODAY()),VALUE(MONTH(DATEVALUE(MID(CELL("filename",AX1),FIND("]",CELL("filename",AX1))+1,255)&amp;"1"))),1),0))),(BH43-BH42)/('Summary TCM'!$AC$141-DAY(TODAY()-1)))</f>
        <v>#VALUE!</v>
      </c>
      <c r="BI45" t="e">
        <f ca="1">IF(VALUE(MONTH(DATEVALUE(MID(CELL("filename",AY1),FIND("]",CELL("filename",AY1))+1,255)&amp;"1")))&lt;&gt;MONTH(TODAY()),BI43/(DAY(EOMONTH(DATE(YEAR(TODAY()),VALUE(MONTH(DATEVALUE(MID(CELL("filename",AY1),FIND("]",CELL("filename",AY1))+1,255)&amp;"1"))),1),0))),(BI43-BI42)/('Summary TCM'!$AC$141-DAY(TODAY()-1)))</f>
        <v>#VALUE!</v>
      </c>
      <c r="BJ45" t="e">
        <f ca="1">IF(VALUE(MONTH(DATEVALUE(MID(CELL("filename",AW1),FIND("]",CELL("filename",AW1))+1,255)&amp;"1")))&lt;&gt;MONTH(TODAY()),BJ43/(DAY(EOMONTH(DATE(YEAR(TODAY()),VALUE(MONTH(DATEVALUE(MID(CELL("filename",AW1),FIND("]",CELL("filename",AW1))+1,255)&amp;"1"))),1),0))),(BJ43-BJ42)/('Summary TCM'!$AC$141-DAY(TODAY()-1)))</f>
        <v>#VALUE!</v>
      </c>
      <c r="BK45" t="e">
        <f ca="1">IF(VALUE(MONTH(DATEVALUE(MID(CELL("filename",AX1),FIND("]",CELL("filename",AX1))+1,255)&amp;"1")))&lt;&gt;MONTH(TODAY()),BK43/(DAY(EOMONTH(DATE(YEAR(TODAY()),VALUE(MONTH(DATEVALUE(MID(CELL("filename",AX1),FIND("]",CELL("filename",AX1))+1,255)&amp;"1"))),1),0))),(BK43-BK42)/('Summary TCM'!$AC$141-DAY(TODAY()-1)))</f>
        <v>#VALUE!</v>
      </c>
      <c r="BL45" t="e">
        <f ca="1">IF(VALUE(MONTH(DATEVALUE(MID(CELL("filename",AY1),FIND("]",CELL("filename",AY1))+1,255)&amp;"1")))&lt;&gt;MONTH(TODAY()),BL43/(DAY(EOMONTH(DATE(YEAR(TODAY()),VALUE(MONTH(DATEVALUE(MID(CELL("filename",AY1),FIND("]",CELL("filename",AY1))+1,255)&amp;"1"))),1),0))),(BL43-BL42)/('Summary TCM'!$AC$141-DAY(TODAY()-1)))</f>
        <v>#VALUE!</v>
      </c>
      <c r="BM45" t="e">
        <f ca="1">IF(VALUE(MONTH(DATEVALUE(MID(CELL("filename",AZ1),FIND("]",CELL("filename",AZ1))+1,255)&amp;"1")))&lt;&gt;MONTH(TODAY()),BM43/(DAY(EOMONTH(DATE(YEAR(TODAY()),VALUE(MONTH(DATEVALUE(MID(CELL("filename",AZ1),FIND("]",CELL("filename",AZ1))+1,255)&amp;"1"))),1),0))),(BM43-BM42)/('Summary TCM'!$AC$141-DAY(TODAY()-1)))</f>
        <v>#VALUE!</v>
      </c>
      <c r="BN45" t="e">
        <f ca="1">IF(VALUE(MONTH(DATEVALUE(MID(CELL("filename",BA1),FIND("]",CELL("filename",BA1))+1,255)&amp;"1")))&lt;&gt;MONTH(TODAY()),BN43/(DAY(EOMONTH(DATE(YEAR(TODAY()),VALUE(MONTH(DATEVALUE(MID(CELL("filename",BA1),FIND("]",CELL("filename",BA1))+1,255)&amp;"1"))),1),0))),(BN43-BN42)/('Summary TCM'!$AC$141-DAY(TODAY()-1)))</f>
        <v>#VALUE!</v>
      </c>
      <c r="BO45" t="e">
        <f ca="1">IF(VALUE(MONTH(DATEVALUE(MID(CELL("filename",BB1),FIND("]",CELL("filename",BB1))+1,255)&amp;"1")))&lt;&gt;MONTH(TODAY()),BO43/(DAY(EOMONTH(DATE(YEAR(TODAY()),VALUE(MONTH(DATEVALUE(MID(CELL("filename",BB1),FIND("]",CELL("filename",BB1))+1,255)&amp;"1"))),1),0))),(BO43-BO42)/('Summary TCM'!$AC$141-DAY(TODAY()-1)))</f>
        <v>#VALUE!</v>
      </c>
      <c r="BS45" t="e">
        <f ca="1">IF(VALUE(MONTH(DATEVALUE(MID(CELL("filename",BC1),FIND("]",CELL("filename",BC1))+1,255)&amp;"1")))&lt;&gt;MONTH(TODAY()),BS43/(DAY(EOMONTH(DATE(YEAR(TODAY()),VALUE(MONTH(DATEVALUE(MID(CELL("filename",BC1),FIND("]",CELL("filename",BC1))+1,255)&amp;"1"))),1),0))),(BS43-BS42)/('Summary TCM'!$AC$141-DAY(TODAY()-1)))</f>
        <v>#VALUE!</v>
      </c>
      <c r="BT45" t="e">
        <f ca="1">IF(VALUE(MONTH(DATEVALUE(MID(CELL("filename",BD1),FIND("]",CELL("filename",BD1))+1,255)&amp;"1")))&lt;&gt;MONTH(TODAY()),BT43/(DAY(EOMONTH(DATE(YEAR(TODAY()),VALUE(MONTH(DATEVALUE(MID(CELL("filename",BD1),FIND("]",CELL("filename",BD1))+1,255)&amp;"1"))),1),0))),(BT43-BT42)/('Summary TCM'!$AC$141-DAY(TODAY()-1)))</f>
        <v>#VALUE!</v>
      </c>
      <c r="BU45" t="e">
        <f ca="1">IF(VALUE(MONTH(DATEVALUE(MID(CELL("filename",BE1),FIND("]",CELL("filename",BE1))+1,255)&amp;"1")))&lt;&gt;MONTH(TODAY()),BU43/(DAY(EOMONTH(DATE(YEAR(TODAY()),VALUE(MONTH(DATEVALUE(MID(CELL("filename",BE1),FIND("]",CELL("filename",BE1))+1,255)&amp;"1"))),1),0))),(BU43-BU42)/('Summary TCM'!$AC$141-DAY(TODAY()-1)))</f>
        <v>#VALUE!</v>
      </c>
      <c r="GR45">
        <f>SUMPRODUCT(GR43:GY43,GR44:GY44)</f>
        <v>0</v>
      </c>
      <c r="GZ45">
        <f>SUMPRODUCT(GZ43:HG43,GZ44:HG44)</f>
        <v>0</v>
      </c>
      <c r="HH45">
        <f>SUMPRODUCT(HH43:HO43,HH44:HO44)</f>
        <v>0</v>
      </c>
      <c r="MI45" s="1"/>
      <c r="MJ45" s="1"/>
      <c r="ML45" s="1"/>
      <c r="MM45" s="1"/>
    </row>
    <row r="47" spans="1:365">
      <c r="E47" s="1"/>
    </row>
  </sheetData>
  <mergeCells count="177">
    <mergeCell ref="LJ6:LJ7"/>
    <mergeCell ref="LK6:LP6"/>
    <mergeCell ref="IJ6:IM6"/>
    <mergeCell ref="IN6:IQ6"/>
    <mergeCell ref="IR6:IR7"/>
    <mergeCell ref="IS6:IS7"/>
    <mergeCell ref="IU6:IY6"/>
    <mergeCell ref="IZ6:IZ7"/>
    <mergeCell ref="JA6:JE6"/>
    <mergeCell ref="JF6:JJ6"/>
    <mergeCell ref="LD6:LI6"/>
    <mergeCell ref="JZ6:JZ7"/>
    <mergeCell ref="LC6:LC7"/>
    <mergeCell ref="MV5:NA5"/>
    <mergeCell ref="BS6:BU6"/>
    <mergeCell ref="CA6:CA7"/>
    <mergeCell ref="CB6:CB7"/>
    <mergeCell ref="CJ6:CJ7"/>
    <mergeCell ref="CK6:CK7"/>
    <mergeCell ref="CL6:CL7"/>
    <mergeCell ref="CN6:CS6"/>
    <mergeCell ref="CT6:CT7"/>
    <mergeCell ref="CU6:CZ6"/>
    <mergeCell ref="DA6:DA7"/>
    <mergeCell ref="DB6:DG6"/>
    <mergeCell ref="DH6:DH7"/>
    <mergeCell ref="DI6:DN6"/>
    <mergeCell ref="DT6:DT7"/>
    <mergeCell ref="DU6:DU7"/>
    <mergeCell ref="DV6:DV7"/>
    <mergeCell ref="DX6:EC6"/>
    <mergeCell ref="ED6:ED7"/>
    <mergeCell ref="EE6:EJ6"/>
    <mergeCell ref="EK6:EK7"/>
    <mergeCell ref="EL6:EQ6"/>
    <mergeCell ref="ER6:ER7"/>
    <mergeCell ref="EU6:EW6"/>
    <mergeCell ref="IB6:IF6"/>
    <mergeCell ref="IG6:IG7"/>
    <mergeCell ref="IJ5:IS5"/>
    <mergeCell ref="IT5:IT40"/>
    <mergeCell ref="IU5:JW5"/>
    <mergeCell ref="JX5:JX40"/>
    <mergeCell ref="JZ5:KC5"/>
    <mergeCell ref="KD5:KD40"/>
    <mergeCell ref="KE5:LQ5"/>
    <mergeCell ref="JK6:JK7"/>
    <mergeCell ref="JL6:JP6"/>
    <mergeCell ref="JQ6:JQ7"/>
    <mergeCell ref="JR6:JV6"/>
    <mergeCell ref="JW6:JW7"/>
    <mergeCell ref="KA6:KA7"/>
    <mergeCell ref="KB6:KB7"/>
    <mergeCell ref="KC6:KC7"/>
    <mergeCell ref="KE6:KG6"/>
    <mergeCell ref="KH6:KH7"/>
    <mergeCell ref="KI6:KN6"/>
    <mergeCell ref="KO6:KO7"/>
    <mergeCell ref="KP6:KU6"/>
    <mergeCell ref="KV6:KV7"/>
    <mergeCell ref="KW6:LB6"/>
    <mergeCell ref="MA4:MG4"/>
    <mergeCell ref="AF5:BU5"/>
    <mergeCell ref="BW5:CC5"/>
    <mergeCell ref="CD5:CD40"/>
    <mergeCell ref="CF5:CL5"/>
    <mergeCell ref="CM5:CM40"/>
    <mergeCell ref="CN5:DO5"/>
    <mergeCell ref="DP5:DP40"/>
    <mergeCell ref="DR5:DV5"/>
    <mergeCell ref="DW5:DW40"/>
    <mergeCell ref="AO6:AQ6"/>
    <mergeCell ref="AR6:AT6"/>
    <mergeCell ref="AU6:AW6"/>
    <mergeCell ref="AX6:AZ6"/>
    <mergeCell ref="BA6:BC6"/>
    <mergeCell ref="AF6:AH6"/>
    <mergeCell ref="AI6:AK6"/>
    <mergeCell ref="DR6:DR7"/>
    <mergeCell ref="DO6:DO7"/>
    <mergeCell ref="DS6:DS7"/>
    <mergeCell ref="BW6:BW7"/>
    <mergeCell ref="BX6:BX7"/>
    <mergeCell ref="FH5:FH40"/>
    <mergeCell ref="FI5:GI5"/>
    <mergeCell ref="CC6:CC7"/>
    <mergeCell ref="CF6:CF7"/>
    <mergeCell ref="CG6:CG7"/>
    <mergeCell ref="CI6:CI7"/>
    <mergeCell ref="GL6:GL7"/>
    <mergeCell ref="GM6:GM7"/>
    <mergeCell ref="GI6:GI7"/>
    <mergeCell ref="DX5:ER5"/>
    <mergeCell ref="ES5:ES40"/>
    <mergeCell ref="FI6:FP6"/>
    <mergeCell ref="FQ6:FQ7"/>
    <mergeCell ref="FR6:FY6"/>
    <mergeCell ref="FZ6:FZ7"/>
    <mergeCell ref="GA6:GH6"/>
    <mergeCell ref="EX6:EX7"/>
    <mergeCell ref="FA6:FA7"/>
    <mergeCell ref="FC6:FC7"/>
    <mergeCell ref="FD6:FD7"/>
    <mergeCell ref="EU5:FA5"/>
    <mergeCell ref="FB5:FB40"/>
    <mergeCell ref="FC5:FG5"/>
    <mergeCell ref="FE6:FE7"/>
    <mergeCell ref="FF6:FF7"/>
    <mergeCell ref="FG6:FG7"/>
    <mergeCell ref="CF4:DP4"/>
    <mergeCell ref="DR4:ES4"/>
    <mergeCell ref="EU4:GJ4"/>
    <mergeCell ref="GL4:IH4"/>
    <mergeCell ref="IJ4:JX4"/>
    <mergeCell ref="JZ4:LR4"/>
    <mergeCell ref="LT4:LY4"/>
    <mergeCell ref="GJ5:GJ40"/>
    <mergeCell ref="GL5:GP5"/>
    <mergeCell ref="CH6:CH7"/>
    <mergeCell ref="GQ5:GQ40"/>
    <mergeCell ref="GR5:HP5"/>
    <mergeCell ref="HQ5:HQ40"/>
    <mergeCell ref="HR5:IG5"/>
    <mergeCell ref="IH5:IH40"/>
    <mergeCell ref="GN6:GN7"/>
    <mergeCell ref="GO6:GO7"/>
    <mergeCell ref="GP6:GP7"/>
    <mergeCell ref="GR6:GY6"/>
    <mergeCell ref="GZ6:HG6"/>
    <mergeCell ref="HH6:HO6"/>
    <mergeCell ref="HP6:HP7"/>
    <mergeCell ref="HR6:HV6"/>
    <mergeCell ref="HW6:IA6"/>
    <mergeCell ref="B4:B7"/>
    <mergeCell ref="C5:I5"/>
    <mergeCell ref="J5:J40"/>
    <mergeCell ref="K5:AD5"/>
    <mergeCell ref="AE5:AE40"/>
    <mergeCell ref="C6:C7"/>
    <mergeCell ref="D6:D7"/>
    <mergeCell ref="E6:E7"/>
    <mergeCell ref="F6:G6"/>
    <mergeCell ref="H6:I6"/>
    <mergeCell ref="K6:N6"/>
    <mergeCell ref="O6:R6"/>
    <mergeCell ref="S6:V6"/>
    <mergeCell ref="W6:Z6"/>
    <mergeCell ref="AA6:AD6"/>
    <mergeCell ref="C4:CD4"/>
    <mergeCell ref="BD6:BF6"/>
    <mergeCell ref="BG6:BI6"/>
    <mergeCell ref="AL6:AN6"/>
    <mergeCell ref="BY6:BY7"/>
    <mergeCell ref="BZ6:BZ7"/>
    <mergeCell ref="BJ6:BL6"/>
    <mergeCell ref="BM6:BO6"/>
    <mergeCell ref="BP6:BR6"/>
    <mergeCell ref="MA5:MF5"/>
    <mergeCell ref="MG5:MG40"/>
    <mergeCell ref="MI5:MJ5"/>
    <mergeCell ref="ML5:MM5"/>
    <mergeCell ref="MO5:MT5"/>
    <mergeCell ref="LQ6:LQ7"/>
    <mergeCell ref="MA6:MA7"/>
    <mergeCell ref="MB6:MB7"/>
    <mergeCell ref="MC6:MC7"/>
    <mergeCell ref="MD6:MD7"/>
    <mergeCell ref="ME6:ME7"/>
    <mergeCell ref="MF6:MF7"/>
    <mergeCell ref="LY5:LY40"/>
    <mergeCell ref="LT6:LT7"/>
    <mergeCell ref="LU6:LU7"/>
    <mergeCell ref="LV6:LV7"/>
    <mergeCell ref="LW6:LW7"/>
    <mergeCell ref="LX6:LX7"/>
    <mergeCell ref="LR5:LR40"/>
    <mergeCell ref="LT5:LX5"/>
  </mergeCells>
  <conditionalFormatting sqref="C10:BO40">
    <cfRule type="expression" dxfId="415" priority="12">
      <formula>AND($B10=DAY(TODAY()-1),COUNTA(C$6:C$7)&lt;&gt;0)</formula>
    </cfRule>
  </conditionalFormatting>
  <conditionalFormatting sqref="K10:BU40">
    <cfRule type="expression" dxfId="414" priority="1">
      <formula>OR(AND(K10&lt;(K$45-(10%*K$45)),K$7="OB"),AND(K10&lt;(K$45-(10%*K$45)),K$7="ROM"))</formula>
    </cfRule>
  </conditionalFormatting>
  <conditionalFormatting sqref="BS10:GY40 JK10:MF40">
    <cfRule type="expression" dxfId="413" priority="14">
      <formula>AND($B10=DAY(TODAY()-1),COUNTA(BS$6:BS$7)&lt;&gt;0)</formula>
    </cfRule>
  </conditionalFormatting>
  <conditionalFormatting sqref="HH10:JE40">
    <cfRule type="expression" dxfId="412" priority="8">
      <formula>AND($B10=DAY(TODAY()-1),COUNTA(HH$6:HH$7)&lt;&gt;0)</formula>
    </cfRule>
  </conditionalFormatting>
  <conditionalFormatting sqref="MI10:MJ40">
    <cfRule type="expression" dxfId="411" priority="11">
      <formula>MI10&lt;0.7</formula>
    </cfRule>
  </conditionalFormatting>
  <conditionalFormatting sqref="ML10:MM40">
    <cfRule type="expression" dxfId="410" priority="10">
      <formula>ML10&lt;0.7</formula>
    </cfRule>
  </conditionalFormatting>
  <pageMargins left="0.7" right="0.7" top="0.75" bottom="0.75" header="0.3" footer="0.3"/>
  <pageSetup scale="37"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1:SH301"/>
  <sheetViews>
    <sheetView showGridLines="0" zoomScale="55" zoomScaleNormal="55" workbookViewId="0">
      <pane xSplit="2" ySplit="9" topLeftCell="EZ10" activePane="bottomRight" state="frozen"/>
      <selection pane="topRight" activeCell="BM11" sqref="BM11"/>
      <selection pane="bottomLeft" activeCell="BM11" sqref="BM11"/>
      <selection pane="bottomRight" activeCell="PN42" sqref="PN42:PO42"/>
    </sheetView>
  </sheetViews>
  <sheetFormatPr defaultColWidth="8.6640625" defaultRowHeight="14.4"/>
  <cols>
    <col min="1" max="1" width="2.33203125" customWidth="1"/>
    <col min="2" max="2" width="7.33203125" customWidth="1"/>
    <col min="3" max="3" width="15.33203125" customWidth="1"/>
    <col min="4" max="4" width="13" customWidth="1"/>
    <col min="5" max="5" width="10.44140625" customWidth="1"/>
    <col min="6" max="7" width="10.44140625" hidden="1" customWidth="1"/>
    <col min="8" max="8" width="13.6640625" customWidth="1"/>
    <col min="9" max="9" width="10.44140625" customWidth="1"/>
    <col min="10" max="10" width="12.33203125" customWidth="1"/>
    <col min="11" max="11" width="11.5546875" customWidth="1"/>
    <col min="12" max="12" width="10" customWidth="1"/>
    <col min="13" max="13" width="8.6640625" customWidth="1"/>
    <col min="14" max="14" width="5" customWidth="1"/>
    <col min="15" max="15" width="14.6640625" customWidth="1"/>
    <col min="16" max="16" width="16.6640625" customWidth="1"/>
    <col min="17" max="17" width="11.6640625" customWidth="1"/>
    <col min="18" max="18" width="8.33203125" customWidth="1"/>
    <col min="19" max="19" width="14.6640625" customWidth="1"/>
    <col min="20" max="20" width="15.33203125" customWidth="1"/>
    <col min="21" max="21" width="10.33203125" customWidth="1"/>
    <col min="22" max="22" width="8.6640625" customWidth="1"/>
    <col min="23" max="23" width="13" customWidth="1"/>
    <col min="24" max="24" width="13.6640625" customWidth="1"/>
    <col min="25" max="25" width="10.6640625" customWidth="1"/>
    <col min="26" max="26" width="9.33203125" customWidth="1"/>
    <col min="27" max="27" width="15.44140625" hidden="1" customWidth="1"/>
    <col min="28" max="28" width="12.6640625" hidden="1" customWidth="1"/>
    <col min="29" max="30" width="9.33203125" hidden="1" customWidth="1"/>
    <col min="31" max="31" width="14.33203125" hidden="1" customWidth="1"/>
    <col min="32" max="33" width="12.6640625" hidden="1" customWidth="1"/>
    <col min="34" max="34" width="8.6640625" hidden="1" customWidth="1"/>
    <col min="35" max="35" width="10.33203125" hidden="1" customWidth="1"/>
    <col min="36" max="36" width="9.33203125" hidden="1" customWidth="1"/>
    <col min="37" max="38" width="8.6640625" hidden="1" customWidth="1"/>
    <col min="39" max="39" width="1.33203125" customWidth="1"/>
    <col min="40" max="40" width="12" hidden="1" customWidth="1"/>
    <col min="41" max="42" width="8.6640625" hidden="1" customWidth="1"/>
    <col min="43" max="43" width="14.5546875" hidden="1" customWidth="1"/>
    <col min="44" max="45" width="12.33203125" hidden="1" customWidth="1"/>
    <col min="46" max="46" width="14.6640625" hidden="1" customWidth="1"/>
    <col min="47" max="47" width="11.44140625" hidden="1" customWidth="1"/>
    <col min="48" max="48" width="11.6640625" hidden="1" customWidth="1"/>
    <col min="49" max="49" width="14.5546875" customWidth="1"/>
    <col min="50" max="50" width="17" customWidth="1"/>
    <col min="51" max="51" width="16.5546875" customWidth="1"/>
    <col min="52" max="52" width="8.5546875" hidden="1" customWidth="1"/>
    <col min="53" max="53" width="8.6640625" hidden="1" customWidth="1"/>
    <col min="54" max="54" width="9.33203125" hidden="1" customWidth="1"/>
    <col min="55" max="55" width="15" customWidth="1"/>
    <col min="56" max="56" width="12.33203125" customWidth="1"/>
    <col min="57" max="57" width="10.44140625" customWidth="1"/>
    <col min="58" max="58" width="13.6640625" hidden="1" customWidth="1"/>
    <col min="59" max="59" width="15.33203125" hidden="1" customWidth="1"/>
    <col min="60" max="60" width="9.33203125" hidden="1" customWidth="1"/>
    <col min="61" max="61" width="11.6640625" hidden="1" customWidth="1"/>
    <col min="62" max="62" width="12.33203125" hidden="1" customWidth="1"/>
    <col min="63" max="63" width="8.6640625" hidden="1" customWidth="1"/>
    <col min="64" max="64" width="15.33203125" customWidth="1"/>
    <col min="65" max="66" width="12.33203125" customWidth="1"/>
    <col min="67" max="67" width="8.6640625" customWidth="1"/>
    <col min="68" max="68" width="11.44140625" hidden="1" customWidth="1"/>
    <col min="69" max="69" width="14.6640625" hidden="1" customWidth="1"/>
    <col min="70" max="70" width="10.6640625" hidden="1" customWidth="1"/>
    <col min="71" max="72" width="11.44140625" hidden="1" customWidth="1"/>
    <col min="73" max="73" width="8.6640625" hidden="1" customWidth="1"/>
    <col min="74" max="74" width="13.33203125" customWidth="1"/>
    <col min="75" max="75" width="12.6640625" customWidth="1"/>
    <col min="76" max="76" width="11.88671875" customWidth="1"/>
    <col min="77" max="77" width="13.5546875" hidden="1" customWidth="1"/>
    <col min="78" max="78" width="12.33203125" hidden="1" customWidth="1"/>
    <col min="79" max="79" width="9.33203125" hidden="1" customWidth="1"/>
    <col min="80" max="80" width="12.6640625" hidden="1" customWidth="1"/>
    <col min="81" max="81" width="11.33203125" hidden="1" customWidth="1"/>
    <col min="82" max="82" width="9.33203125" hidden="1" customWidth="1"/>
    <col min="83" max="83" width="13.44140625" hidden="1" customWidth="1"/>
    <col min="84" max="84" width="13" hidden="1" customWidth="1"/>
    <col min="85" max="85" width="9.33203125" hidden="1" customWidth="1"/>
    <col min="86" max="86" width="7.6640625" customWidth="1"/>
    <col min="87" max="88" width="10.6640625" customWidth="1"/>
    <col min="89" max="89" width="12.33203125" customWidth="1"/>
    <col min="90" max="90" width="11" customWidth="1"/>
    <col min="91" max="91" width="0" hidden="1" customWidth="1"/>
    <col min="92" max="92" width="11.6640625" customWidth="1"/>
    <col min="93" max="93" width="0" hidden="1" customWidth="1"/>
    <col min="94" max="94" width="18.33203125" customWidth="1"/>
    <col min="95" max="95" width="6.6640625" customWidth="1"/>
    <col min="97" max="97" width="11.6640625" bestFit="1" customWidth="1"/>
    <col min="99" max="99" width="11.6640625" bestFit="1" customWidth="1"/>
    <col min="101" max="101" width="11.6640625" bestFit="1" customWidth="1"/>
    <col min="103" max="103" width="11.6640625" bestFit="1" customWidth="1"/>
    <col min="104" max="104" width="11.5546875" customWidth="1"/>
    <col min="105" max="105" width="11.6640625" bestFit="1" customWidth="1"/>
    <col min="106" max="106" width="10.33203125" customWidth="1"/>
    <col min="107" max="107" width="11.6640625" bestFit="1" customWidth="1"/>
    <col min="108" max="108" width="13.33203125" bestFit="1" customWidth="1"/>
    <col min="109" max="109" width="7.6640625" customWidth="1"/>
    <col min="110" max="110" width="12.33203125" customWidth="1"/>
    <col min="111" max="111" width="11.6640625" bestFit="1" customWidth="1"/>
    <col min="112" max="112" width="11.6640625" customWidth="1"/>
    <col min="113" max="113" width="11.6640625" bestFit="1" customWidth="1"/>
    <col min="114" max="114" width="12.5546875" bestFit="1" customWidth="1"/>
    <col min="115" max="115" width="11.6640625" bestFit="1" customWidth="1"/>
    <col min="116" max="116" width="12.5546875" customWidth="1"/>
    <col min="117" max="117" width="11.6640625" bestFit="1" customWidth="1"/>
    <col min="118" max="118" width="12.6640625" bestFit="1" customWidth="1"/>
    <col min="119" max="119" width="11.6640625" bestFit="1" customWidth="1"/>
    <col min="120" max="120" width="12.33203125" customWidth="1"/>
    <col min="121" max="121" width="11.6640625" bestFit="1" customWidth="1"/>
    <col min="122" max="122" width="13.6640625" bestFit="1" customWidth="1"/>
    <col min="123" max="123" width="11.33203125" customWidth="1"/>
    <col min="124" max="124" width="16.6640625" customWidth="1"/>
    <col min="125" max="125" width="9.6640625" customWidth="1"/>
    <col min="126" max="126" width="11.6640625" bestFit="1" customWidth="1"/>
    <col min="127" max="127" width="10.33203125" bestFit="1" customWidth="1"/>
    <col min="128" max="128" width="11.6640625" bestFit="1" customWidth="1"/>
    <col min="129" max="129" width="10.33203125" customWidth="1"/>
    <col min="130" max="130" width="11.6640625" bestFit="1" customWidth="1"/>
    <col min="131" max="131" width="12.33203125" customWidth="1"/>
    <col min="132" max="132" width="10.33203125" customWidth="1"/>
    <col min="133" max="133" width="9.33203125" customWidth="1"/>
    <col min="134" max="134" width="11.6640625" bestFit="1" customWidth="1"/>
    <col min="135" max="135" width="14.6640625" customWidth="1"/>
    <col min="136" max="136" width="12.6640625" bestFit="1" customWidth="1"/>
    <col min="137" max="137" width="12.33203125" customWidth="1"/>
    <col min="138" max="138" width="12.6640625" bestFit="1" customWidth="1"/>
    <col min="139" max="139" width="12.33203125" customWidth="1"/>
    <col min="140" max="140" width="12.6640625" bestFit="1" customWidth="1"/>
    <col min="141" max="141" width="12.33203125" customWidth="1"/>
    <col min="142" max="142" width="12.6640625" bestFit="1" customWidth="1"/>
    <col min="143" max="143" width="12.33203125" customWidth="1"/>
    <col min="144" max="144" width="12.6640625" bestFit="1" customWidth="1"/>
    <col min="145" max="145" width="12.33203125" customWidth="1"/>
    <col min="146" max="146" width="12.6640625" bestFit="1" customWidth="1"/>
    <col min="147" max="147" width="11.6640625" customWidth="1"/>
    <col min="148" max="148" width="12.6640625" customWidth="1"/>
    <col min="149" max="155" width="8.6640625" hidden="1" customWidth="1"/>
    <col min="156" max="156" width="1.33203125" customWidth="1"/>
    <col min="157" max="157" width="6.6640625" customWidth="1"/>
    <col min="160" max="160" width="9.33203125" bestFit="1" customWidth="1"/>
    <col min="163" max="163" width="1.33203125" customWidth="1"/>
    <col min="164" max="177" width="8.6640625" hidden="1" customWidth="1"/>
    <col min="178" max="178" width="7.33203125" bestFit="1" customWidth="1"/>
    <col min="179" max="179" width="11.6640625" bestFit="1" customWidth="1"/>
    <col min="180" max="180" width="6.6640625" bestFit="1" customWidth="1"/>
    <col min="181" max="181" width="11.6640625" bestFit="1" customWidth="1"/>
    <col min="182" max="182" width="6.6640625" bestFit="1" customWidth="1"/>
    <col min="183" max="183" width="11.6640625" bestFit="1" customWidth="1"/>
    <col min="184" max="184" width="6.6640625" bestFit="1" customWidth="1"/>
    <col min="185" max="185" width="11.6640625" bestFit="1" customWidth="1"/>
    <col min="186" max="186" width="10.33203125" bestFit="1" customWidth="1"/>
    <col min="187" max="187" width="11.6640625" bestFit="1" customWidth="1"/>
    <col min="188" max="188" width="8.44140625" customWidth="1"/>
    <col min="189" max="189" width="11.6640625" bestFit="1" customWidth="1"/>
    <col min="191" max="191" width="1.33203125" customWidth="1"/>
    <col min="192" max="192" width="6.6640625" customWidth="1"/>
    <col min="193" max="193" width="13" customWidth="1"/>
    <col min="194" max="194" width="13.44140625" customWidth="1"/>
    <col min="195" max="195" width="14.33203125" customWidth="1"/>
    <col min="196" max="196" width="17.33203125" customWidth="1"/>
    <col min="197" max="197" width="10.33203125" hidden="1" customWidth="1"/>
    <col min="198" max="198" width="8.6640625" hidden="1" customWidth="1"/>
    <col min="199" max="199" width="45.33203125" customWidth="1"/>
    <col min="200" max="200" width="1.33203125" customWidth="1"/>
    <col min="201" max="201" width="15.44140625" customWidth="1"/>
    <col min="202" max="203" width="13.33203125" customWidth="1"/>
    <col min="204" max="204" width="12.33203125" customWidth="1"/>
    <col min="205" max="205" width="15.33203125" customWidth="1"/>
    <col min="206" max="206" width="1.33203125" customWidth="1"/>
    <col min="207" max="207" width="13.5546875" customWidth="1"/>
    <col min="208" max="208" width="12.33203125" customWidth="1"/>
    <col min="209" max="209" width="13.33203125" customWidth="1"/>
    <col min="210" max="210" width="13" customWidth="1"/>
    <col min="211" max="211" width="12.6640625" customWidth="1"/>
    <col min="212" max="212" width="14.44140625" customWidth="1"/>
    <col min="213" max="213" width="12" customWidth="1"/>
    <col min="214" max="215" width="11.6640625" customWidth="1"/>
    <col min="216" max="216" width="13" customWidth="1"/>
    <col min="217" max="217" width="11.5546875" customWidth="1"/>
    <col min="218" max="218" width="11.6640625" customWidth="1"/>
    <col min="219" max="219" width="10.44140625" customWidth="1"/>
    <col min="220" max="220" width="10.33203125" customWidth="1"/>
    <col min="221" max="221" width="11.44140625" customWidth="1"/>
    <col min="222" max="235" width="10.44140625" hidden="1" customWidth="1"/>
    <col min="236" max="236" width="0.5546875" hidden="1" customWidth="1"/>
    <col min="237" max="237" width="11.33203125" customWidth="1"/>
    <col min="238" max="238" width="11.6640625" customWidth="1"/>
    <col min="239" max="239" width="10.33203125" customWidth="1"/>
    <col min="240" max="240" width="11.6640625" customWidth="1"/>
    <col min="241" max="241" width="12.33203125" bestFit="1" customWidth="1"/>
    <col min="242" max="242" width="11.6640625" bestFit="1" customWidth="1"/>
    <col min="243" max="243" width="12" customWidth="1"/>
    <col min="244" max="244" width="11.6640625" bestFit="1" customWidth="1"/>
    <col min="245" max="245" width="12.33203125" bestFit="1" customWidth="1"/>
    <col min="246" max="246" width="11.6640625" bestFit="1" customWidth="1"/>
    <col min="247" max="247" width="13.33203125" customWidth="1"/>
    <col min="248" max="248" width="12.33203125" customWidth="1"/>
    <col min="249" max="250" width="8.6640625" customWidth="1"/>
    <col min="251" max="251" width="13" customWidth="1"/>
    <col min="252" max="252" width="10.6640625" customWidth="1"/>
    <col min="253" max="253" width="11.6640625" bestFit="1" customWidth="1"/>
    <col min="254" max="254" width="9.44140625" customWidth="1"/>
    <col min="255" max="255" width="11.6640625" bestFit="1" customWidth="1"/>
    <col min="256" max="257" width="12" bestFit="1" customWidth="1"/>
    <col min="258" max="258" width="10.5546875" customWidth="1"/>
    <col min="259" max="259" width="11.6640625" bestFit="1" customWidth="1"/>
    <col min="260" max="260" width="12.5546875" bestFit="1" customWidth="1"/>
    <col min="261" max="261" width="12" bestFit="1" customWidth="1"/>
    <col min="262" max="262" width="11.6640625" customWidth="1"/>
    <col min="263" max="263" width="11.6640625" bestFit="1" customWidth="1"/>
    <col min="266" max="266" width="13" customWidth="1"/>
    <col min="267" max="267" width="1.33203125" customWidth="1"/>
    <col min="268" max="268" width="6.6640625" customWidth="1"/>
    <col min="269" max="269" width="15.33203125" customWidth="1"/>
    <col min="270" max="270" width="16" customWidth="1"/>
    <col min="271" max="271" width="15.5546875" bestFit="1" customWidth="1"/>
    <col min="272" max="272" width="13.6640625" customWidth="1"/>
    <col min="273" max="273" width="13" bestFit="1" customWidth="1"/>
    <col min="274" max="274" width="3.6640625" customWidth="1"/>
    <col min="275" max="275" width="9.6640625" customWidth="1"/>
    <col min="277" max="277" width="12.33203125" bestFit="1" customWidth="1"/>
    <col min="278" max="278" width="12.44140625" customWidth="1"/>
    <col min="279" max="279" width="11.5546875" customWidth="1"/>
    <col min="283" max="287" width="8.6640625" customWidth="1"/>
    <col min="288" max="288" width="9.33203125" customWidth="1"/>
    <col min="289" max="289" width="9.44140625" customWidth="1"/>
    <col min="290" max="290" width="8.6640625" customWidth="1"/>
    <col min="297" max="297" width="8.6640625" customWidth="1"/>
    <col min="298" max="298" width="6.33203125" customWidth="1"/>
    <col min="300" max="300" width="1.33203125" customWidth="1"/>
    <col min="301" max="301" width="10.6640625" bestFit="1" customWidth="1"/>
    <col min="302" max="302" width="8.88671875" bestFit="1" customWidth="1"/>
    <col min="303" max="305" width="8.6640625" bestFit="1" customWidth="1"/>
    <col min="306" max="306" width="10.33203125" customWidth="1"/>
    <col min="307" max="307" width="8.33203125" customWidth="1"/>
    <col min="308" max="310" width="8.6640625" customWidth="1"/>
    <col min="316" max="316" width="0" hidden="1" customWidth="1"/>
    <col min="317" max="317" width="1.33203125" customWidth="1"/>
    <col min="318" max="318" width="6.6640625" customWidth="1"/>
    <col min="319" max="319" width="16.33203125" customWidth="1"/>
    <col min="320" max="320" width="15.33203125" customWidth="1"/>
    <col min="321" max="321" width="15.109375" customWidth="1"/>
    <col min="322" max="322" width="14.33203125" bestFit="1" customWidth="1"/>
    <col min="323" max="323" width="15.88671875" customWidth="1"/>
    <col min="324" max="324" width="13.44140625" bestFit="1" customWidth="1"/>
    <col min="326" max="326" width="0" hidden="1" customWidth="1"/>
    <col min="328" max="328" width="49.33203125" customWidth="1"/>
    <col min="329" max="329" width="1.33203125" customWidth="1"/>
    <col min="330" max="330" width="15.33203125" customWidth="1"/>
    <col min="331" max="331" width="13.109375" customWidth="1"/>
    <col min="332" max="332" width="13.6640625" bestFit="1" customWidth="1"/>
    <col min="333" max="333" width="9.44140625" customWidth="1"/>
    <col min="334" max="334" width="9.6640625" customWidth="1"/>
    <col min="335" max="335" width="12.33203125" customWidth="1"/>
    <col min="336" max="336" width="12.44140625" customWidth="1"/>
    <col min="337" max="337" width="13.109375" customWidth="1"/>
    <col min="338" max="338" width="13.6640625" bestFit="1" customWidth="1"/>
    <col min="339" max="339" width="12" bestFit="1" customWidth="1"/>
    <col min="340" max="340" width="13" bestFit="1" customWidth="1"/>
    <col min="341" max="341" width="9.6640625" bestFit="1" customWidth="1"/>
    <col min="342" max="342" width="9.33203125" bestFit="1" customWidth="1"/>
    <col min="343" max="343" width="12.6640625" customWidth="1"/>
    <col min="344" max="344" width="13.6640625" bestFit="1" customWidth="1"/>
    <col min="345" max="345" width="9.44140625" bestFit="1" customWidth="1"/>
    <col min="346" max="346" width="9.6640625" bestFit="1" customWidth="1"/>
    <col min="347" max="347" width="13.5546875" bestFit="1" customWidth="1"/>
    <col min="348" max="348" width="7.6640625" customWidth="1"/>
    <col min="349" max="349" width="9.33203125" customWidth="1"/>
    <col min="350" max="350" width="15.5546875" customWidth="1"/>
    <col min="351" max="351" width="9.44140625" customWidth="1"/>
    <col min="352" max="352" width="9.6640625" customWidth="1"/>
    <col min="353" max="353" width="13.5546875" customWidth="1"/>
    <col min="354" max="355" width="9.33203125" customWidth="1"/>
    <col min="356" max="356" width="15.5546875" customWidth="1"/>
    <col min="357" max="357" width="9.44140625" customWidth="1"/>
    <col min="358" max="358" width="9.6640625" customWidth="1"/>
    <col min="359" max="359" width="8.6640625" customWidth="1"/>
    <col min="360" max="360" width="1.33203125" customWidth="1"/>
    <col min="361" max="361" width="6.6640625" customWidth="1"/>
    <col min="362" max="362" width="13" customWidth="1"/>
    <col min="363" max="363" width="12.33203125" customWidth="1"/>
    <col min="365" max="365" width="12" customWidth="1"/>
    <col min="366" max="366" width="1.33203125" customWidth="1"/>
    <col min="367" max="367" width="17.33203125" customWidth="1"/>
    <col min="368" max="368" width="17.6640625" customWidth="1"/>
    <col min="369" max="369" width="17.6640625" hidden="1" customWidth="1"/>
    <col min="370" max="370" width="15.33203125" customWidth="1"/>
    <col min="371" max="371" width="13.6640625" hidden="1" customWidth="1"/>
    <col min="372" max="372" width="14.44140625" hidden="1" customWidth="1"/>
    <col min="373" max="373" width="12.33203125" hidden="1" customWidth="1"/>
    <col min="374" max="374" width="11.6640625" hidden="1" customWidth="1"/>
    <col min="375" max="375" width="12" hidden="1" customWidth="1"/>
    <col min="376" max="376" width="11.6640625" hidden="1" customWidth="1"/>
    <col min="377" max="377" width="13.33203125" hidden="1" customWidth="1"/>
    <col min="378" max="378" width="13.44140625" hidden="1" customWidth="1"/>
    <col min="379" max="379" width="10.33203125" customWidth="1"/>
    <col min="380" max="380" width="11.6640625" customWidth="1"/>
    <col min="381" max="381" width="9.33203125" customWidth="1"/>
    <col min="382" max="382" width="11.6640625" bestFit="1" customWidth="1"/>
    <col min="383" max="383" width="11.5546875" bestFit="1" customWidth="1"/>
    <col min="384" max="384" width="12.33203125" hidden="1" customWidth="1"/>
    <col min="385" max="385" width="11.6640625" hidden="1" customWidth="1"/>
    <col min="386" max="386" width="11.33203125" hidden="1" customWidth="1"/>
    <col min="387" max="387" width="11.6640625" hidden="1" customWidth="1"/>
    <col min="388" max="388" width="10.33203125" hidden="1" customWidth="1"/>
    <col min="389" max="389" width="11.6640625" hidden="1" customWidth="1"/>
    <col min="390" max="390" width="12.33203125" customWidth="1"/>
    <col min="391" max="391" width="11.6640625" hidden="1" customWidth="1"/>
    <col min="392" max="392" width="13.44140625" customWidth="1"/>
    <col min="393" max="393" width="14.6640625" hidden="1" customWidth="1"/>
    <col min="394" max="394" width="11.33203125" bestFit="1" customWidth="1"/>
    <col min="395" max="395" width="12.6640625" hidden="1" customWidth="1"/>
    <col min="396" max="396" width="12.33203125" customWidth="1"/>
    <col min="397" max="397" width="10" hidden="1" customWidth="1"/>
    <col min="398" max="398" width="11.6640625" hidden="1" customWidth="1"/>
    <col min="399" max="399" width="9.6640625" hidden="1" customWidth="1"/>
    <col min="400" max="400" width="11.6640625" hidden="1" customWidth="1"/>
    <col min="401" max="401" width="11" hidden="1" customWidth="1"/>
    <col min="402" max="402" width="11.6640625" hidden="1" customWidth="1"/>
    <col min="403" max="403" width="9.6640625" hidden="1" customWidth="1"/>
    <col min="404" max="404" width="11.6640625" hidden="1" customWidth="1"/>
    <col min="405" max="405" width="10.6640625" customWidth="1"/>
    <col min="406" max="406" width="11.6640625" hidden="1" customWidth="1"/>
    <col min="407" max="407" width="10.33203125" customWidth="1"/>
    <col min="408" max="408" width="11.6640625" hidden="1" customWidth="1"/>
    <col min="409" max="409" width="13.6640625" customWidth="1"/>
    <col min="410" max="410" width="9.33203125" hidden="1" customWidth="1"/>
    <col min="411" max="411" width="9.5546875" hidden="1" customWidth="1"/>
    <col min="412" max="415" width="9.33203125" hidden="1" customWidth="1"/>
    <col min="416" max="416" width="9.5546875" hidden="1" customWidth="1"/>
    <col min="417" max="420" width="8.6640625" hidden="1" customWidth="1"/>
    <col min="421" max="421" width="13.44140625" hidden="1" customWidth="1"/>
    <col min="422" max="422" width="8.6640625" hidden="1" customWidth="1"/>
    <col min="423" max="423" width="9.33203125" hidden="1" customWidth="1"/>
    <col min="424" max="424" width="1.33203125" hidden="1" customWidth="1"/>
    <col min="425" max="425" width="10.44140625" customWidth="1"/>
    <col min="426" max="426" width="11.6640625" customWidth="1"/>
    <col min="427" max="429" width="9.5546875" customWidth="1"/>
    <col min="430" max="431" width="13.109375" customWidth="1"/>
    <col min="432" max="432" width="15.6640625" customWidth="1"/>
    <col min="433" max="433" width="1.33203125" customWidth="1"/>
    <col min="434" max="434" width="6.6640625" customWidth="1"/>
    <col min="435" max="436" width="14" customWidth="1"/>
    <col min="438" max="439" width="12.33203125" customWidth="1"/>
    <col min="440" max="441" width="14" customWidth="1"/>
    <col min="442" max="442" width="10.6640625" customWidth="1"/>
    <col min="443" max="443" width="12" bestFit="1" customWidth="1"/>
    <col min="444" max="444" width="11.33203125" customWidth="1"/>
    <col min="445" max="448" width="12" customWidth="1"/>
    <col min="449" max="449" width="12.6640625" customWidth="1"/>
    <col min="450" max="451" width="14.33203125" customWidth="1"/>
    <col min="452" max="452" width="14.33203125" hidden="1" customWidth="1"/>
    <col min="462" max="477" width="0" hidden="1" customWidth="1"/>
    <col min="478" max="478" width="12.33203125" hidden="1" customWidth="1"/>
    <col min="479" max="481" width="8.6640625" hidden="1" customWidth="1"/>
    <col min="482" max="482" width="8.6640625" customWidth="1"/>
    <col min="483" max="484" width="11.33203125" customWidth="1"/>
    <col min="485" max="485" width="10" bestFit="1" customWidth="1"/>
    <col min="486" max="486" width="10" customWidth="1"/>
    <col min="487" max="487" width="18.33203125" bestFit="1" customWidth="1"/>
    <col min="488" max="488" width="19.5546875" bestFit="1" customWidth="1"/>
    <col min="492" max="492" width="11.6640625" customWidth="1"/>
    <col min="493" max="493" width="19.5546875" bestFit="1" customWidth="1"/>
    <col min="502" max="502" width="19.44140625" customWidth="1"/>
  </cols>
  <sheetData>
    <row r="1" spans="1:502">
      <c r="AQ1" s="887"/>
      <c r="AR1" s="887"/>
      <c r="AW1" s="887"/>
      <c r="AX1" s="887"/>
      <c r="BF1" s="887"/>
      <c r="BG1" s="887"/>
      <c r="BI1" s="887"/>
      <c r="BJ1" s="887"/>
      <c r="BP1" s="887"/>
      <c r="BQ1" s="887"/>
      <c r="BS1" s="887"/>
      <c r="BT1" s="887"/>
      <c r="CJ1" s="1">
        <f>CF28+CC28</f>
        <v>0</v>
      </c>
      <c r="EE1" s="28"/>
      <c r="EK1" s="281"/>
      <c r="GN1">
        <v>721.35</v>
      </c>
      <c r="GP1" s="314"/>
      <c r="HI1" s="1">
        <v>89.9</v>
      </c>
      <c r="IK1" s="1692"/>
      <c r="IP1">
        <v>58.5</v>
      </c>
      <c r="JI1" s="106"/>
      <c r="JJ1" s="106"/>
      <c r="JK1" s="106"/>
      <c r="LN1" s="106"/>
      <c r="NE1" s="98"/>
      <c r="NF1" s="98"/>
      <c r="NG1" s="145"/>
      <c r="NL1" s="1"/>
      <c r="NP1" s="1"/>
      <c r="OD1">
        <v>2540.64</v>
      </c>
      <c r="OJ1" s="72"/>
      <c r="PP1" s="1"/>
      <c r="PS1" s="1"/>
      <c r="RY1" s="1"/>
    </row>
    <row r="2" spans="1:502">
      <c r="BT2" s="1"/>
      <c r="BW2" s="1"/>
      <c r="CF2" s="1"/>
      <c r="DF2">
        <v>214.42</v>
      </c>
      <c r="DN2" s="852"/>
      <c r="DR2" s="25"/>
      <c r="EH2" s="281"/>
      <c r="EI2" s="281"/>
      <c r="GP2" s="314"/>
      <c r="HJ2">
        <v>164.45</v>
      </c>
      <c r="IZ2" s="106"/>
      <c r="MA2">
        <v>3250.7799999997887</v>
      </c>
      <c r="NE2" s="145"/>
      <c r="NF2" s="98"/>
      <c r="NI2" s="1"/>
      <c r="NM2" s="98"/>
      <c r="NN2" s="98"/>
      <c r="NO2" s="98"/>
      <c r="NR2" s="1"/>
      <c r="NV2" s="1"/>
      <c r="OP2" s="1"/>
      <c r="OS2" s="1"/>
      <c r="QN2" t="s">
        <v>209</v>
      </c>
      <c r="RY2" s="1"/>
    </row>
    <row r="3" spans="1:502">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489"/>
      <c r="AR3" s="489"/>
      <c r="AS3" s="145"/>
      <c r="AT3" s="489"/>
      <c r="AU3" s="489"/>
      <c r="AV3" s="145"/>
      <c r="AW3" s="489"/>
      <c r="AX3" s="489"/>
      <c r="AY3" s="145"/>
      <c r="AZ3" s="145"/>
      <c r="BA3" s="145"/>
      <c r="BB3" s="145"/>
      <c r="BC3" s="145"/>
      <c r="BD3" s="145"/>
      <c r="BE3" s="145"/>
      <c r="BF3" s="489"/>
      <c r="BG3" s="489"/>
      <c r="BH3" s="145"/>
      <c r="BI3" s="489"/>
      <c r="BJ3" s="489"/>
      <c r="BK3" s="145"/>
      <c r="BL3" s="489"/>
      <c r="BM3" s="489"/>
      <c r="BN3" s="489"/>
      <c r="BO3" s="145"/>
      <c r="BP3" s="489"/>
      <c r="BQ3" s="489"/>
      <c r="BR3" s="145"/>
      <c r="BS3" s="489"/>
      <c r="BT3" s="489"/>
      <c r="BU3" s="145"/>
      <c r="BV3" s="489"/>
      <c r="BW3" s="489"/>
      <c r="BX3" s="145"/>
      <c r="BY3" s="489"/>
      <c r="BZ3" s="489"/>
      <c r="CA3" s="145"/>
      <c r="CB3" s="489"/>
      <c r="CC3" s="489">
        <f>CC43/31</f>
        <v>0</v>
      </c>
      <c r="CD3" s="145"/>
      <c r="CE3" s="489">
        <f>CE43/31</f>
        <v>0</v>
      </c>
      <c r="CF3" s="489">
        <f>CF43/31</f>
        <v>0</v>
      </c>
      <c r="CG3" s="145"/>
      <c r="CH3" s="145"/>
      <c r="CI3" s="145"/>
      <c r="CJ3" s="145"/>
      <c r="CK3" s="145"/>
      <c r="CL3" s="145"/>
      <c r="CM3" s="145"/>
      <c r="CN3" s="145"/>
      <c r="CO3" s="145"/>
      <c r="CP3" s="145"/>
      <c r="DN3" s="95"/>
      <c r="DP3" s="95"/>
      <c r="EF3" s="1"/>
      <c r="EG3" s="1"/>
      <c r="GP3" s="314"/>
      <c r="NE3" s="145">
        <v>10013.654684596553</v>
      </c>
      <c r="NF3" s="98"/>
      <c r="NI3" s="1"/>
      <c r="NS3" s="1"/>
      <c r="NZ3" s="1"/>
      <c r="OD3" s="1"/>
      <c r="RY3" s="1"/>
    </row>
    <row r="4" spans="1:502" s="39" customFormat="1" ht="36" customHeight="1">
      <c r="B4" s="2625" t="s">
        <v>103</v>
      </c>
      <c r="C4" s="2692" t="s">
        <v>104</v>
      </c>
      <c r="D4" s="2693"/>
      <c r="E4" s="2693"/>
      <c r="F4" s="2693"/>
      <c r="G4" s="2693"/>
      <c r="H4" s="2693"/>
      <c r="I4" s="2693"/>
      <c r="J4" s="2693"/>
      <c r="K4" s="2693"/>
      <c r="L4" s="2693"/>
      <c r="M4" s="2693"/>
      <c r="N4" s="2693"/>
      <c r="O4" s="2693"/>
      <c r="P4" s="2693"/>
      <c r="Q4" s="2693"/>
      <c r="R4" s="2693"/>
      <c r="S4" s="2693"/>
      <c r="T4" s="2693"/>
      <c r="U4" s="2693"/>
      <c r="V4" s="2693"/>
      <c r="W4" s="2693"/>
      <c r="X4" s="2693"/>
      <c r="Y4" s="2693"/>
      <c r="Z4" s="2693"/>
      <c r="AA4" s="2693"/>
      <c r="AB4" s="2693"/>
      <c r="AC4" s="2693"/>
      <c r="AD4" s="2693"/>
      <c r="AE4" s="2693"/>
      <c r="AF4" s="2693"/>
      <c r="AG4" s="2693"/>
      <c r="AH4" s="2693"/>
      <c r="AI4" s="2693"/>
      <c r="AJ4" s="2693"/>
      <c r="AK4" s="2693"/>
      <c r="AL4" s="2693"/>
      <c r="AM4" s="2693"/>
      <c r="AN4" s="2693"/>
      <c r="AO4" s="2693"/>
      <c r="AP4" s="2693"/>
      <c r="AQ4" s="2693"/>
      <c r="AR4" s="2693"/>
      <c r="AS4" s="2693"/>
      <c r="AT4" s="2693"/>
      <c r="AU4" s="2693"/>
      <c r="AV4" s="2693"/>
      <c r="AW4" s="2693"/>
      <c r="AX4" s="2693"/>
      <c r="AY4" s="2693"/>
      <c r="AZ4" s="2693"/>
      <c r="BA4" s="2693"/>
      <c r="BB4" s="2693"/>
      <c r="BC4" s="2693"/>
      <c r="BD4" s="2693"/>
      <c r="BE4" s="2693"/>
      <c r="BF4" s="2693"/>
      <c r="BG4" s="2693"/>
      <c r="BH4" s="2693"/>
      <c r="BI4" s="2693"/>
      <c r="BJ4" s="2693"/>
      <c r="BK4" s="2693"/>
      <c r="BL4" s="2693"/>
      <c r="BM4" s="2693"/>
      <c r="BN4" s="2693"/>
      <c r="BO4" s="2693"/>
      <c r="BP4" s="2693"/>
      <c r="BQ4" s="2693"/>
      <c r="BR4" s="2693"/>
      <c r="BS4" s="2693"/>
      <c r="BT4" s="2693"/>
      <c r="BU4" s="2693"/>
      <c r="BV4" s="2693"/>
      <c r="BW4" s="2693"/>
      <c r="BX4" s="2693"/>
      <c r="BY4" s="2693"/>
      <c r="BZ4" s="2693"/>
      <c r="CA4" s="2693"/>
      <c r="CB4" s="2693"/>
      <c r="CC4" s="2693"/>
      <c r="CD4" s="2693"/>
      <c r="CE4" s="2693"/>
      <c r="CF4" s="2693"/>
      <c r="CG4" s="2693"/>
      <c r="CH4" s="2693"/>
      <c r="CI4" s="2693"/>
      <c r="CJ4" s="2693"/>
      <c r="CK4" s="2693"/>
      <c r="CL4" s="2693"/>
      <c r="CM4" s="2693"/>
      <c r="CN4" s="2693"/>
      <c r="CO4" s="2693"/>
      <c r="CP4" s="2694"/>
      <c r="CR4" s="2646" t="s">
        <v>105</v>
      </c>
      <c r="CS4" s="2647"/>
      <c r="CT4" s="2647"/>
      <c r="CU4" s="2647"/>
      <c r="CV4" s="2647"/>
      <c r="CW4" s="2647"/>
      <c r="CX4" s="2647"/>
      <c r="CY4" s="2647"/>
      <c r="CZ4" s="2647"/>
      <c r="DA4" s="2647"/>
      <c r="DB4" s="2647"/>
      <c r="DC4" s="2647"/>
      <c r="DD4" s="2647"/>
      <c r="DE4" s="2647"/>
      <c r="DF4" s="2647"/>
      <c r="DG4" s="2647"/>
      <c r="DH4" s="2647"/>
      <c r="DI4" s="2647"/>
      <c r="DJ4" s="2647"/>
      <c r="DK4" s="2647"/>
      <c r="DL4" s="2647"/>
      <c r="DM4" s="2647"/>
      <c r="DN4" s="2647"/>
      <c r="DO4" s="2647"/>
      <c r="DP4" s="2647"/>
      <c r="DQ4" s="2647"/>
      <c r="DR4" s="2647"/>
      <c r="DS4" s="2647"/>
      <c r="DT4" s="2647"/>
      <c r="DU4" s="2647"/>
      <c r="DV4" s="2647"/>
      <c r="DW4" s="2647"/>
      <c r="DX4" s="2647"/>
      <c r="DY4" s="2647"/>
      <c r="DZ4" s="2647"/>
      <c r="EA4" s="2647"/>
      <c r="EB4" s="2647"/>
      <c r="EC4" s="2647"/>
      <c r="ED4" s="2647"/>
      <c r="EE4" s="2647"/>
      <c r="EF4" s="2647"/>
      <c r="EG4" s="2647"/>
      <c r="EH4" s="2647"/>
      <c r="EI4" s="2647"/>
      <c r="EJ4" s="2647"/>
      <c r="EK4" s="2647"/>
      <c r="EL4" s="2647"/>
      <c r="EM4" s="2647"/>
      <c r="EN4" s="2647"/>
      <c r="EO4" s="2647"/>
      <c r="EP4" s="2647"/>
      <c r="EQ4" s="2647"/>
      <c r="ER4" s="2647"/>
      <c r="ES4" s="2647"/>
      <c r="ET4" s="2647"/>
      <c r="EU4" s="2647"/>
      <c r="EV4" s="2647"/>
      <c r="EW4" s="2647"/>
      <c r="EX4" s="2647"/>
      <c r="EY4" s="2647"/>
      <c r="EZ4" s="2648"/>
      <c r="FB4" s="2649" t="s">
        <v>106</v>
      </c>
      <c r="FC4" s="2650"/>
      <c r="FD4" s="2650"/>
      <c r="FE4" s="2650"/>
      <c r="FF4" s="2650"/>
      <c r="FG4" s="2650"/>
      <c r="FH4" s="2650"/>
      <c r="FI4" s="2650"/>
      <c r="FJ4" s="2650"/>
      <c r="FK4" s="2650"/>
      <c r="FL4" s="2650"/>
      <c r="FM4" s="2650"/>
      <c r="FN4" s="2650"/>
      <c r="FO4" s="2650"/>
      <c r="FP4" s="2650"/>
      <c r="FQ4" s="2650"/>
      <c r="FR4" s="2650"/>
      <c r="FS4" s="2650"/>
      <c r="FT4" s="2650"/>
      <c r="FU4" s="2650"/>
      <c r="FV4" s="2650"/>
      <c r="FW4" s="2650"/>
      <c r="FX4" s="2650"/>
      <c r="FY4" s="2650"/>
      <c r="FZ4" s="2650"/>
      <c r="GA4" s="2650"/>
      <c r="GB4" s="2650"/>
      <c r="GC4" s="2650"/>
      <c r="GD4" s="2650"/>
      <c r="GE4" s="2650"/>
      <c r="GF4" s="2650"/>
      <c r="GG4" s="2650"/>
      <c r="GH4" s="2650"/>
      <c r="GI4" s="2651"/>
      <c r="GK4" s="2652" t="s">
        <v>22</v>
      </c>
      <c r="GL4" s="2653"/>
      <c r="GM4" s="2653"/>
      <c r="GN4" s="2653"/>
      <c r="GO4" s="2653"/>
      <c r="GP4" s="2653"/>
      <c r="GQ4" s="2653"/>
      <c r="GR4" s="2653"/>
      <c r="GS4" s="2653"/>
      <c r="GT4" s="2653"/>
      <c r="GU4" s="2653"/>
      <c r="GV4" s="2653"/>
      <c r="GW4" s="2653"/>
      <c r="GX4" s="2653"/>
      <c r="GY4" s="2653"/>
      <c r="GZ4" s="2653"/>
      <c r="HA4" s="2653"/>
      <c r="HB4" s="2653"/>
      <c r="HC4" s="2653"/>
      <c r="HD4" s="2653"/>
      <c r="HE4" s="2653"/>
      <c r="HF4" s="2653"/>
      <c r="HG4" s="2653"/>
      <c r="HH4" s="2653"/>
      <c r="HI4" s="2653"/>
      <c r="HJ4" s="2653"/>
      <c r="HK4" s="2653"/>
      <c r="HL4" s="2653"/>
      <c r="HM4" s="2653"/>
      <c r="HN4" s="2653"/>
      <c r="HO4" s="2653"/>
      <c r="HP4" s="2653"/>
      <c r="HQ4" s="2653"/>
      <c r="HR4" s="2653"/>
      <c r="HS4" s="2653"/>
      <c r="HT4" s="2653"/>
      <c r="HU4" s="2653"/>
      <c r="HV4" s="2653"/>
      <c r="HW4" s="2653"/>
      <c r="HX4" s="2653"/>
      <c r="HY4" s="2653"/>
      <c r="HZ4" s="2653"/>
      <c r="IA4" s="2653"/>
      <c r="IB4" s="2653"/>
      <c r="IC4" s="2653"/>
      <c r="ID4" s="2653"/>
      <c r="IE4" s="2653"/>
      <c r="IF4" s="2653"/>
      <c r="IG4" s="2653"/>
      <c r="IH4" s="2653"/>
      <c r="II4" s="2653"/>
      <c r="IJ4" s="2653"/>
      <c r="IK4" s="2653"/>
      <c r="IL4" s="2653"/>
      <c r="IM4" s="2653"/>
      <c r="IN4" s="2653"/>
      <c r="IO4" s="2653"/>
      <c r="IP4" s="2653"/>
      <c r="IQ4" s="2653"/>
      <c r="IR4" s="2653"/>
      <c r="IS4" s="2653"/>
      <c r="IT4" s="2653"/>
      <c r="IU4" s="2653"/>
      <c r="IV4" s="2653"/>
      <c r="IW4" s="2653"/>
      <c r="IX4" s="2653"/>
      <c r="IY4" s="2653"/>
      <c r="IZ4" s="2653"/>
      <c r="JA4" s="2653"/>
      <c r="JB4" s="2653"/>
      <c r="JC4" s="2653"/>
      <c r="JD4" s="2653"/>
      <c r="JE4" s="2653"/>
      <c r="JF4" s="2653"/>
      <c r="JG4" s="2654"/>
      <c r="JI4" s="2655" t="s">
        <v>107</v>
      </c>
      <c r="JJ4" s="2656"/>
      <c r="JK4" s="2656"/>
      <c r="JL4" s="2656"/>
      <c r="JM4" s="2656"/>
      <c r="JN4" s="2656"/>
      <c r="JO4" s="2656"/>
      <c r="JP4" s="2656"/>
      <c r="JQ4" s="2656"/>
      <c r="JR4" s="2656"/>
      <c r="JS4" s="2656"/>
      <c r="JT4" s="2656"/>
      <c r="JU4" s="2656"/>
      <c r="JV4" s="2656"/>
      <c r="JW4" s="2656"/>
      <c r="JX4" s="2656"/>
      <c r="JY4" s="2656"/>
      <c r="JZ4" s="2656"/>
      <c r="KA4" s="2656"/>
      <c r="KB4" s="2656"/>
      <c r="KC4" s="2656"/>
      <c r="KD4" s="2656"/>
      <c r="KE4" s="2656"/>
      <c r="KF4" s="2656"/>
      <c r="KG4" s="2656"/>
      <c r="KH4" s="2656"/>
      <c r="KI4" s="2656"/>
      <c r="KJ4" s="2656"/>
      <c r="KK4" s="2656"/>
      <c r="KL4" s="2656"/>
      <c r="KM4" s="2656"/>
      <c r="KN4" s="2656"/>
      <c r="KO4" s="2656"/>
      <c r="KP4" s="2656"/>
      <c r="KQ4" s="2656"/>
      <c r="KR4" s="2656"/>
      <c r="KS4" s="2656"/>
      <c r="KT4" s="2656"/>
      <c r="KU4" s="2656"/>
      <c r="KV4" s="2656"/>
      <c r="KW4" s="2656"/>
      <c r="KX4" s="2656"/>
      <c r="KY4" s="2656"/>
      <c r="KZ4" s="2656"/>
      <c r="LA4" s="2656"/>
      <c r="LB4" s="2656"/>
      <c r="LC4" s="2656"/>
      <c r="LD4" s="2656"/>
      <c r="LE4" s="2657"/>
      <c r="LG4" s="2658" t="s">
        <v>108</v>
      </c>
      <c r="LH4" s="2659"/>
      <c r="LI4" s="2659"/>
      <c r="LJ4" s="2659"/>
      <c r="LK4" s="2659"/>
      <c r="LL4" s="2659"/>
      <c r="LM4" s="2659"/>
      <c r="LN4" s="2659"/>
      <c r="LO4" s="2659"/>
      <c r="LP4" s="2659"/>
      <c r="LQ4" s="2659"/>
      <c r="LR4" s="2659"/>
      <c r="LS4" s="2659"/>
      <c r="LT4" s="2659"/>
      <c r="LU4" s="2659"/>
      <c r="LV4" s="2659"/>
      <c r="LW4" s="2659"/>
      <c r="LX4" s="2659"/>
      <c r="LY4" s="2659"/>
      <c r="LZ4" s="2659"/>
      <c r="MA4" s="2659"/>
      <c r="MB4" s="2659"/>
      <c r="MC4" s="2659"/>
      <c r="MD4" s="2659"/>
      <c r="ME4" s="2659"/>
      <c r="MF4" s="2659"/>
      <c r="MG4" s="2659"/>
      <c r="MH4" s="2659"/>
      <c r="MI4" s="2659"/>
      <c r="MJ4" s="2659"/>
      <c r="MK4" s="2659"/>
      <c r="ML4" s="2659"/>
      <c r="MM4" s="2659"/>
      <c r="MN4" s="2659"/>
      <c r="MO4" s="2659"/>
      <c r="MP4" s="2659"/>
      <c r="MQ4" s="2659"/>
      <c r="MR4" s="2659"/>
      <c r="MS4" s="2659"/>
      <c r="MT4" s="2659"/>
      <c r="MU4" s="2659"/>
      <c r="MV4" s="2660"/>
      <c r="MX4" s="2661"/>
      <c r="MY4" s="2662"/>
      <c r="MZ4" s="2662"/>
      <c r="NA4" s="2662"/>
      <c r="NB4" s="2662"/>
      <c r="NC4" s="2662"/>
      <c r="ND4" s="2662"/>
      <c r="NE4" s="2662"/>
      <c r="NF4" s="2662"/>
      <c r="NG4" s="2662"/>
      <c r="NH4" s="2662"/>
      <c r="NI4" s="2662"/>
      <c r="NJ4" s="2662"/>
      <c r="NK4" s="2662"/>
      <c r="NL4" s="2662"/>
      <c r="NM4" s="2662"/>
      <c r="NN4" s="2662"/>
      <c r="NO4" s="2662"/>
      <c r="NP4" s="2662"/>
      <c r="NQ4" s="2662"/>
      <c r="NR4" s="2662"/>
      <c r="NS4" s="2662"/>
      <c r="NT4" s="2662"/>
      <c r="NU4" s="2662"/>
      <c r="NV4" s="2662"/>
      <c r="NW4" s="2662"/>
      <c r="NX4" s="2662"/>
      <c r="NY4" s="2662"/>
      <c r="NZ4" s="2662"/>
      <c r="OA4" s="2662"/>
      <c r="OB4" s="2662"/>
      <c r="OC4" s="2662"/>
      <c r="OD4" s="2662"/>
      <c r="OE4" s="2662"/>
      <c r="OF4" s="2662"/>
      <c r="OG4" s="2662"/>
      <c r="OH4" s="2662"/>
      <c r="OI4" s="2662"/>
      <c r="OJ4" s="2662"/>
      <c r="OK4" s="2662"/>
      <c r="OL4" s="2662"/>
      <c r="OM4" s="2662"/>
      <c r="ON4" s="2662"/>
      <c r="OO4" s="2662"/>
      <c r="OP4" s="2662"/>
      <c r="OQ4" s="2662"/>
      <c r="OR4" s="2662"/>
      <c r="OS4" s="2662"/>
      <c r="OT4" s="2662"/>
      <c r="OU4" s="2662"/>
      <c r="OV4" s="2662"/>
      <c r="OW4" s="2662"/>
      <c r="OX4" s="2662"/>
      <c r="OY4" s="2662"/>
      <c r="OZ4" s="2662"/>
      <c r="PA4" s="2662"/>
      <c r="PB4" s="2662"/>
      <c r="PC4" s="2662"/>
      <c r="PD4" s="2662"/>
      <c r="PE4" s="2662"/>
      <c r="PF4" s="2662"/>
      <c r="PG4" s="2662"/>
      <c r="PH4" s="2663"/>
      <c r="PJ4" s="2664" t="s">
        <v>110</v>
      </c>
      <c r="PK4" s="2665"/>
      <c r="PL4" s="2665"/>
      <c r="PM4" s="2665"/>
      <c r="PN4" s="2665"/>
      <c r="PO4" s="2665"/>
      <c r="PP4" s="2665"/>
      <c r="PQ4" s="2666"/>
      <c r="PS4" s="2677" t="s">
        <v>30</v>
      </c>
      <c r="PT4" s="2678"/>
      <c r="PU4" s="2678"/>
      <c r="PV4" s="2678"/>
      <c r="PW4" s="2678"/>
      <c r="PX4" s="2678"/>
      <c r="PY4" s="2678"/>
      <c r="PZ4" s="2678"/>
      <c r="QA4" s="2678"/>
      <c r="QB4" s="2678"/>
      <c r="QC4" s="2678"/>
      <c r="QD4" s="2678"/>
      <c r="QE4" s="2678"/>
      <c r="QF4" s="2678"/>
      <c r="QG4" s="2678"/>
      <c r="QH4" s="2678"/>
      <c r="QI4" s="2678"/>
      <c r="QJ4" s="2678"/>
      <c r="QK4" s="2678"/>
      <c r="QL4" s="2679"/>
      <c r="RY4" s="1068"/>
    </row>
    <row r="5" spans="1:502" s="40" customFormat="1" ht="12.75" customHeight="1">
      <c r="B5" s="2626"/>
      <c r="C5" s="2624" t="s">
        <v>111</v>
      </c>
      <c r="D5" s="2628"/>
      <c r="E5" s="2628"/>
      <c r="F5" s="2628"/>
      <c r="G5" s="2628"/>
      <c r="H5" s="2628"/>
      <c r="I5" s="2628"/>
      <c r="J5" s="2628"/>
      <c r="K5" s="2628"/>
      <c r="L5" s="2628"/>
      <c r="M5" s="2628"/>
      <c r="N5" s="2629"/>
      <c r="O5" s="2631" t="s">
        <v>112</v>
      </c>
      <c r="P5" s="2623"/>
      <c r="Q5" s="2623"/>
      <c r="R5" s="2623"/>
      <c r="S5" s="2623"/>
      <c r="T5" s="2623"/>
      <c r="U5" s="2623"/>
      <c r="V5" s="2623"/>
      <c r="W5" s="2623"/>
      <c r="X5" s="2623"/>
      <c r="Y5" s="2623"/>
      <c r="Z5" s="2623"/>
      <c r="AA5" s="2623"/>
      <c r="AB5" s="2623"/>
      <c r="AC5" s="2623"/>
      <c r="AD5" s="2623"/>
      <c r="AE5" s="2623"/>
      <c r="AF5" s="2623"/>
      <c r="AG5" s="2623"/>
      <c r="AH5" s="2623"/>
      <c r="AI5" s="2623"/>
      <c r="AJ5" s="2623"/>
      <c r="AK5" s="2623"/>
      <c r="AL5" s="2624"/>
      <c r="AM5" s="2629"/>
      <c r="AN5" s="2680" t="s">
        <v>113</v>
      </c>
      <c r="AO5" s="2681"/>
      <c r="AP5" s="2681"/>
      <c r="AQ5" s="2681"/>
      <c r="AR5" s="2681"/>
      <c r="AS5" s="2681"/>
      <c r="AT5" s="2681"/>
      <c r="AU5" s="2681"/>
      <c r="AV5" s="2681"/>
      <c r="AW5" s="2681"/>
      <c r="AX5" s="2681"/>
      <c r="AY5" s="2681"/>
      <c r="AZ5" s="2681"/>
      <c r="BA5" s="2681"/>
      <c r="BB5" s="2681"/>
      <c r="BC5" s="2681"/>
      <c r="BD5" s="2681"/>
      <c r="BE5" s="2681"/>
      <c r="BF5" s="2681"/>
      <c r="BG5" s="2681"/>
      <c r="BH5" s="2681"/>
      <c r="BI5" s="2681"/>
      <c r="BJ5" s="2681"/>
      <c r="BK5" s="2681"/>
      <c r="BL5" s="2681"/>
      <c r="BM5" s="2681"/>
      <c r="BN5" s="2681"/>
      <c r="BO5" s="2681"/>
      <c r="BP5" s="2681"/>
      <c r="BQ5" s="2681"/>
      <c r="BR5" s="2681"/>
      <c r="BS5" s="2681"/>
      <c r="BT5" s="2681"/>
      <c r="BU5" s="2681"/>
      <c r="BV5" s="2681"/>
      <c r="BW5" s="2681"/>
      <c r="BX5" s="2681"/>
      <c r="BY5" s="2681"/>
      <c r="BZ5" s="2681"/>
      <c r="CA5" s="2681"/>
      <c r="CB5" s="2681"/>
      <c r="CC5" s="2681"/>
      <c r="CD5" s="2681"/>
      <c r="CE5" s="2681"/>
      <c r="CF5" s="2681"/>
      <c r="CG5" s="2682"/>
      <c r="CH5" s="147"/>
      <c r="CI5" s="2633" t="s">
        <v>114</v>
      </c>
      <c r="CJ5" s="2635"/>
      <c r="CK5" s="2635"/>
      <c r="CL5" s="2635"/>
      <c r="CM5" s="2635"/>
      <c r="CN5" s="2635"/>
      <c r="CO5" s="2634"/>
      <c r="CP5" s="348" t="s">
        <v>210</v>
      </c>
      <c r="CQ5" s="41"/>
      <c r="CR5" s="2623" t="s">
        <v>111</v>
      </c>
      <c r="CS5" s="2623"/>
      <c r="CT5" s="2623"/>
      <c r="CU5" s="2623"/>
      <c r="CV5" s="2623"/>
      <c r="CW5" s="2623"/>
      <c r="CX5" s="2623"/>
      <c r="CY5" s="2623"/>
      <c r="CZ5" s="2623"/>
      <c r="DA5" s="2623"/>
      <c r="DB5" s="2623"/>
      <c r="DC5" s="2624"/>
      <c r="DD5" s="2624"/>
      <c r="DE5" s="2685"/>
      <c r="DF5" s="2624" t="s">
        <v>115</v>
      </c>
      <c r="DG5" s="2628"/>
      <c r="DH5" s="2628"/>
      <c r="DI5" s="2628"/>
      <c r="DJ5" s="2628"/>
      <c r="DK5" s="2628"/>
      <c r="DL5" s="2628"/>
      <c r="DM5" s="2628"/>
      <c r="DN5" s="2628"/>
      <c r="DO5" s="2628"/>
      <c r="DP5" s="2628"/>
      <c r="DQ5" s="2628"/>
      <c r="DR5" s="2628"/>
      <c r="DS5" s="2628"/>
      <c r="DT5" s="2628"/>
      <c r="DU5" s="2628"/>
      <c r="DV5" s="2628"/>
      <c r="DW5" s="2628"/>
      <c r="DX5" s="2628"/>
      <c r="DY5" s="2628"/>
      <c r="DZ5" s="2628"/>
      <c r="EA5" s="2628"/>
      <c r="EB5" s="2628"/>
      <c r="EC5" s="2628"/>
      <c r="ED5" s="2628"/>
      <c r="EE5" s="2628"/>
      <c r="EF5" s="2628"/>
      <c r="EG5" s="2628"/>
      <c r="EH5" s="2628"/>
      <c r="EI5" s="2628"/>
      <c r="EJ5" s="2628"/>
      <c r="EK5" s="2628"/>
      <c r="EL5" s="2628"/>
      <c r="EM5" s="2628"/>
      <c r="EN5" s="2628"/>
      <c r="EO5" s="2628"/>
      <c r="EP5" s="2628"/>
      <c r="EQ5" s="2628"/>
      <c r="ER5" s="2628"/>
      <c r="ES5" s="2628"/>
      <c r="ET5" s="2628"/>
      <c r="EU5" s="2628"/>
      <c r="EV5" s="2628"/>
      <c r="EW5" s="2628"/>
      <c r="EX5" s="2628"/>
      <c r="EY5" s="2631"/>
      <c r="EZ5" s="2685"/>
      <c r="FB5" s="2624" t="s">
        <v>111</v>
      </c>
      <c r="FC5" s="2628"/>
      <c r="FD5" s="2628"/>
      <c r="FE5" s="2628"/>
      <c r="FF5" s="2631"/>
      <c r="FG5" s="2674"/>
      <c r="FH5" s="2631" t="s">
        <v>116</v>
      </c>
      <c r="FI5" s="2623"/>
      <c r="FJ5" s="2623"/>
      <c r="FK5" s="2623"/>
      <c r="FL5" s="2623"/>
      <c r="FM5" s="2623"/>
      <c r="FN5" s="2623"/>
      <c r="FO5" s="2623"/>
      <c r="FP5" s="2623"/>
      <c r="FQ5" s="2623"/>
      <c r="FR5" s="2623"/>
      <c r="FS5" s="2623"/>
      <c r="FT5" s="2623"/>
      <c r="FU5" s="2623"/>
      <c r="FV5" s="2623"/>
      <c r="FW5" s="2623"/>
      <c r="FX5" s="2623"/>
      <c r="FY5" s="2623"/>
      <c r="FZ5" s="2623"/>
      <c r="GA5" s="2623"/>
      <c r="GB5" s="2623"/>
      <c r="GC5" s="2623"/>
      <c r="GD5" s="2623"/>
      <c r="GE5" s="2623"/>
      <c r="GF5" s="2623"/>
      <c r="GG5" s="2624"/>
      <c r="GH5" s="2624"/>
      <c r="GI5" s="2674"/>
      <c r="GK5" s="2623" t="s">
        <v>111</v>
      </c>
      <c r="GL5" s="2623"/>
      <c r="GM5" s="2623"/>
      <c r="GN5" s="2623"/>
      <c r="GO5" s="2623"/>
      <c r="GP5" s="2623"/>
      <c r="GQ5" s="2624"/>
      <c r="GR5" s="2667"/>
      <c r="GS5" s="2631" t="s">
        <v>112</v>
      </c>
      <c r="GT5" s="2623"/>
      <c r="GU5" s="2623"/>
      <c r="GV5" s="2623"/>
      <c r="GW5" s="2624"/>
      <c r="GX5" s="2667"/>
      <c r="GY5" s="2631" t="s">
        <v>117</v>
      </c>
      <c r="GZ5" s="2631"/>
      <c r="HA5" s="2623"/>
      <c r="HB5" s="2623"/>
      <c r="HC5" s="2623"/>
      <c r="HD5" s="2623"/>
      <c r="HE5" s="2623"/>
      <c r="HF5" s="2623"/>
      <c r="HG5" s="2623"/>
      <c r="HH5" s="2623"/>
      <c r="HI5" s="2623"/>
      <c r="HJ5" s="2623"/>
      <c r="HK5" s="2623"/>
      <c r="HL5" s="2623"/>
      <c r="HM5" s="2623"/>
      <c r="HN5" s="2623"/>
      <c r="HO5" s="2623"/>
      <c r="HP5" s="2623"/>
      <c r="HQ5" s="2623"/>
      <c r="HR5" s="2623"/>
      <c r="HS5" s="2623"/>
      <c r="HT5" s="2623"/>
      <c r="HU5" s="2623"/>
      <c r="HV5" s="2623"/>
      <c r="HW5" s="2623"/>
      <c r="HX5" s="2623"/>
      <c r="HY5" s="2623"/>
      <c r="HZ5" s="2623"/>
      <c r="IA5" s="2623"/>
      <c r="IB5" s="2623"/>
      <c r="IC5" s="2623"/>
      <c r="ID5" s="2623"/>
      <c r="IE5" s="2623"/>
      <c r="IF5" s="2623"/>
      <c r="IG5" s="2623"/>
      <c r="IH5" s="2623"/>
      <c r="II5" s="2623"/>
      <c r="IJ5" s="2623"/>
      <c r="IK5" s="2623"/>
      <c r="IL5" s="2623"/>
      <c r="IM5" s="2623"/>
      <c r="IN5" s="2623"/>
      <c r="IO5" s="2623"/>
      <c r="IP5" s="2623"/>
      <c r="IQ5" s="2623"/>
      <c r="IR5" s="2623"/>
      <c r="IS5" s="2623"/>
      <c r="IT5" s="2623"/>
      <c r="IU5" s="2623"/>
      <c r="IV5" s="2623"/>
      <c r="IW5" s="2623"/>
      <c r="IX5" s="2623"/>
      <c r="IY5" s="2623"/>
      <c r="IZ5" s="2623"/>
      <c r="JA5" s="2623"/>
      <c r="JB5" s="2623"/>
      <c r="JC5" s="2623"/>
      <c r="JD5" s="2623"/>
      <c r="JE5" s="2623"/>
      <c r="JF5" s="2624"/>
      <c r="JG5" s="2667"/>
      <c r="JI5" s="2623" t="s">
        <v>111</v>
      </c>
      <c r="JJ5" s="2623"/>
      <c r="JK5" s="2623"/>
      <c r="JL5" s="2623"/>
      <c r="JM5" s="2624"/>
      <c r="JN5" s="2669"/>
      <c r="JO5" s="2631" t="s">
        <v>118</v>
      </c>
      <c r="JP5" s="2623"/>
      <c r="JQ5" s="2623"/>
      <c r="JR5" s="2623"/>
      <c r="JS5" s="2623"/>
      <c r="JT5" s="2623"/>
      <c r="JU5" s="2623"/>
      <c r="JV5" s="2623"/>
      <c r="JW5" s="2623"/>
      <c r="JX5" s="2623"/>
      <c r="JY5" s="2623"/>
      <c r="JZ5" s="2623"/>
      <c r="KA5" s="2623"/>
      <c r="KB5" s="2623"/>
      <c r="KC5" s="2623"/>
      <c r="KD5" s="2623"/>
      <c r="KE5" s="2623"/>
      <c r="KF5" s="2623"/>
      <c r="KG5" s="2623"/>
      <c r="KH5" s="2623"/>
      <c r="KI5" s="2623"/>
      <c r="KJ5" s="2623"/>
      <c r="KK5" s="2623"/>
      <c r="KL5" s="2623"/>
      <c r="KM5" s="2624"/>
      <c r="KN5" s="2669"/>
      <c r="KO5" s="2631" t="s">
        <v>119</v>
      </c>
      <c r="KP5" s="2623"/>
      <c r="KQ5" s="2623"/>
      <c r="KR5" s="2623"/>
      <c r="KS5" s="2623"/>
      <c r="KT5" s="2623"/>
      <c r="KU5" s="2623"/>
      <c r="KV5" s="2623"/>
      <c r="KW5" s="2623"/>
      <c r="KX5" s="2623"/>
      <c r="KY5" s="2623"/>
      <c r="KZ5" s="2623"/>
      <c r="LA5" s="2623"/>
      <c r="LB5" s="2623"/>
      <c r="LC5" s="2623"/>
      <c r="LD5" s="2624"/>
      <c r="LE5" s="2669"/>
      <c r="LG5" s="2623" t="s">
        <v>111</v>
      </c>
      <c r="LH5" s="2623"/>
      <c r="LI5" s="2623"/>
      <c r="LJ5" s="2623"/>
      <c r="LK5" s="2623"/>
      <c r="LL5" s="2623"/>
      <c r="LM5" s="2623"/>
      <c r="LN5" s="2623"/>
      <c r="LO5" s="2623"/>
      <c r="LP5" s="2624"/>
      <c r="LQ5" s="2688"/>
      <c r="LR5" s="2631" t="s">
        <v>120</v>
      </c>
      <c r="LS5" s="2631"/>
      <c r="LT5" s="2623"/>
      <c r="LU5" s="2623"/>
      <c r="LV5" s="2623"/>
      <c r="LW5" s="2623"/>
      <c r="LX5" s="2623"/>
      <c r="LY5" s="2623"/>
      <c r="LZ5" s="2623"/>
      <c r="MA5" s="2623"/>
      <c r="MB5" s="2623"/>
      <c r="MC5" s="2623"/>
      <c r="MD5" s="2623"/>
      <c r="ME5" s="2623"/>
      <c r="MF5" s="2623"/>
      <c r="MG5" s="2623"/>
      <c r="MH5" s="2623"/>
      <c r="MI5" s="2623"/>
      <c r="MJ5" s="2623"/>
      <c r="MK5" s="2623"/>
      <c r="ML5" s="2623"/>
      <c r="MM5" s="2623"/>
      <c r="MN5" s="2623"/>
      <c r="MO5" s="2623"/>
      <c r="MP5" s="2623"/>
      <c r="MQ5" s="2623"/>
      <c r="MR5" s="2623"/>
      <c r="MS5" s="2623"/>
      <c r="MT5" s="2623"/>
      <c r="MU5" s="2624"/>
      <c r="MV5" s="2688"/>
      <c r="MX5" s="2623" t="s">
        <v>111</v>
      </c>
      <c r="MY5" s="2623"/>
      <c r="MZ5" s="2623"/>
      <c r="NA5" s="2624"/>
      <c r="NB5" s="2621"/>
      <c r="NC5" s="2631" t="s">
        <v>121</v>
      </c>
      <c r="ND5" s="2631"/>
      <c r="NE5" s="2623"/>
      <c r="NF5" s="2623"/>
      <c r="NG5" s="2623"/>
      <c r="NH5" s="2623"/>
      <c r="NI5" s="2623"/>
      <c r="NJ5" s="2623"/>
      <c r="NK5" s="2623"/>
      <c r="NL5" s="2623"/>
      <c r="NM5" s="2623"/>
      <c r="NN5" s="2623"/>
      <c r="NO5" s="2623"/>
      <c r="NP5" s="2623"/>
      <c r="NQ5" s="2623"/>
      <c r="NR5" s="2623"/>
      <c r="NS5" s="2623"/>
      <c r="NT5" s="2623"/>
      <c r="NU5" s="2623"/>
      <c r="NV5" s="2623"/>
      <c r="NW5" s="2623"/>
      <c r="NX5" s="2623"/>
      <c r="NY5" s="2623"/>
      <c r="NZ5" s="2623"/>
      <c r="OA5" s="2623"/>
      <c r="OB5" s="2623"/>
      <c r="OC5" s="2623"/>
      <c r="OD5" s="2623"/>
      <c r="OE5" s="2623"/>
      <c r="OF5" s="2623"/>
      <c r="OG5" s="2623"/>
      <c r="OH5" s="2623"/>
      <c r="OI5" s="2623"/>
      <c r="OJ5" s="2623"/>
      <c r="OK5" s="2623"/>
      <c r="OL5" s="2623"/>
      <c r="OM5" s="2623"/>
      <c r="ON5" s="2623"/>
      <c r="OO5" s="2623"/>
      <c r="OP5" s="2623"/>
      <c r="OQ5" s="2623"/>
      <c r="OR5" s="2623"/>
      <c r="OS5" s="2623"/>
      <c r="OT5" s="2623"/>
      <c r="OU5" s="2623"/>
      <c r="OV5" s="2623"/>
      <c r="OW5" s="2623"/>
      <c r="OX5" s="2623"/>
      <c r="OY5" s="2623"/>
      <c r="OZ5" s="2623"/>
      <c r="PA5" s="2623"/>
      <c r="PB5" s="2623"/>
      <c r="PC5" s="2623"/>
      <c r="PD5" s="2623"/>
      <c r="PE5" s="2623"/>
      <c r="PF5" s="2623"/>
      <c r="PG5" s="2624"/>
      <c r="PH5" s="2621"/>
      <c r="PJ5" s="2623" t="s">
        <v>111</v>
      </c>
      <c r="PK5" s="2623"/>
      <c r="PL5" s="2623"/>
      <c r="PM5" s="2623"/>
      <c r="PN5" s="2623"/>
      <c r="PO5" s="2624"/>
      <c r="PP5" s="2624"/>
      <c r="PQ5" s="2615"/>
      <c r="PS5" s="2633" t="s">
        <v>211</v>
      </c>
      <c r="PT5" s="2635"/>
      <c r="PU5" s="2635"/>
      <c r="PV5" s="2635"/>
      <c r="PW5" s="2635"/>
      <c r="PX5" s="2635"/>
      <c r="PY5" s="2635"/>
      <c r="PZ5" s="2635"/>
      <c r="QA5" s="2635"/>
      <c r="QB5" s="2635"/>
      <c r="QC5" s="2635"/>
      <c r="QD5" s="2635"/>
      <c r="QE5" s="2635"/>
      <c r="QF5" s="2635"/>
      <c r="QG5" s="2635"/>
      <c r="QH5" s="2635"/>
      <c r="QI5" s="2635"/>
      <c r="QJ5" s="2635"/>
      <c r="QK5" s="2634"/>
      <c r="QL5" s="2615"/>
      <c r="QN5" s="2617" t="s">
        <v>122</v>
      </c>
      <c r="QO5" s="2617"/>
      <c r="QQ5" s="2617" t="s">
        <v>123</v>
      </c>
      <c r="QR5" s="2617"/>
      <c r="QT5" s="2618" t="s">
        <v>124</v>
      </c>
      <c r="QU5" s="2618"/>
      <c r="QV5" s="2618"/>
      <c r="QW5" s="2618"/>
      <c r="QX5" s="2618"/>
      <c r="QY5" s="2618"/>
      <c r="QZ5" s="89"/>
      <c r="RA5" s="2618" t="s">
        <v>125</v>
      </c>
      <c r="RB5" s="2618"/>
      <c r="RC5" s="2618"/>
      <c r="RD5" s="2618"/>
      <c r="RE5" s="2618"/>
      <c r="RF5" s="2618"/>
      <c r="RY5" s="1148"/>
    </row>
    <row r="6" spans="1:502" s="42" customFormat="1" ht="31.2" customHeight="1">
      <c r="B6" s="2626"/>
      <c r="C6" s="2632" t="s">
        <v>3</v>
      </c>
      <c r="D6" s="2632" t="s">
        <v>126</v>
      </c>
      <c r="E6" s="2632" t="s">
        <v>127</v>
      </c>
      <c r="F6" s="2633" t="s">
        <v>212</v>
      </c>
      <c r="G6" s="2634"/>
      <c r="H6" s="2633" t="s">
        <v>212</v>
      </c>
      <c r="I6" s="2634"/>
      <c r="J6" s="2633" t="s">
        <v>128</v>
      </c>
      <c r="K6" s="2634"/>
      <c r="L6" s="2633" t="s">
        <v>129</v>
      </c>
      <c r="M6" s="2635"/>
      <c r="N6" s="2629"/>
      <c r="O6" s="2636" t="s">
        <v>16</v>
      </c>
      <c r="P6" s="2637"/>
      <c r="Q6" s="2637"/>
      <c r="R6" s="2559"/>
      <c r="S6" s="2638" t="s">
        <v>17</v>
      </c>
      <c r="T6" s="2638"/>
      <c r="U6" s="2638"/>
      <c r="V6" s="2638"/>
      <c r="W6" s="2697" t="s">
        <v>213</v>
      </c>
      <c r="X6" s="2698"/>
      <c r="Y6" s="2698"/>
      <c r="Z6" s="2698"/>
      <c r="AA6" s="2699" t="s">
        <v>18</v>
      </c>
      <c r="AB6" s="2700"/>
      <c r="AC6" s="2700"/>
      <c r="AD6" s="2700"/>
      <c r="AE6" s="2701" t="s">
        <v>66</v>
      </c>
      <c r="AF6" s="2701"/>
      <c r="AG6" s="2701"/>
      <c r="AH6" s="2701"/>
      <c r="AI6" s="2640" t="s">
        <v>214</v>
      </c>
      <c r="AJ6" s="2640"/>
      <c r="AK6" s="2640"/>
      <c r="AL6" s="2641"/>
      <c r="AM6" s="2629"/>
      <c r="AN6" s="2636" t="s">
        <v>215</v>
      </c>
      <c r="AO6" s="2637"/>
      <c r="AP6" s="2637"/>
      <c r="AQ6" s="2637" t="s">
        <v>216</v>
      </c>
      <c r="AR6" s="2637"/>
      <c r="AS6" s="2637"/>
      <c r="AT6" s="2637" t="s">
        <v>217</v>
      </c>
      <c r="AU6" s="2637"/>
      <c r="AV6" s="2559"/>
      <c r="AW6" s="2637" t="s">
        <v>218</v>
      </c>
      <c r="AX6" s="2637"/>
      <c r="AY6" s="2637"/>
      <c r="AZ6" s="2637" t="s">
        <v>219</v>
      </c>
      <c r="BA6" s="2637"/>
      <c r="BB6" s="2637"/>
      <c r="BC6" s="2637" t="s">
        <v>220</v>
      </c>
      <c r="BD6" s="2637"/>
      <c r="BE6" s="2637"/>
      <c r="BF6" s="2638" t="s">
        <v>221</v>
      </c>
      <c r="BG6" s="2708"/>
      <c r="BH6" s="2709"/>
      <c r="BI6" s="2638" t="s">
        <v>222</v>
      </c>
      <c r="BJ6" s="2638"/>
      <c r="BK6" s="2638"/>
      <c r="BL6" s="2638" t="s">
        <v>223</v>
      </c>
      <c r="BM6" s="2638"/>
      <c r="BN6" s="2638"/>
      <c r="BO6" s="2638"/>
      <c r="BP6" s="2706" t="s">
        <v>224</v>
      </c>
      <c r="BQ6" s="2706"/>
      <c r="BR6" s="2706"/>
      <c r="BS6" s="2698" t="s">
        <v>225</v>
      </c>
      <c r="BT6" s="2698"/>
      <c r="BU6" s="2698"/>
      <c r="BV6" s="2698" t="s">
        <v>226</v>
      </c>
      <c r="BW6" s="2707"/>
      <c r="BX6" s="2697"/>
      <c r="BY6" s="2638" t="s">
        <v>227</v>
      </c>
      <c r="BZ6" s="2638"/>
      <c r="CA6" s="2645"/>
      <c r="CB6" s="2698" t="s">
        <v>228</v>
      </c>
      <c r="CC6" s="2698"/>
      <c r="CD6" s="2710"/>
      <c r="CE6" s="2698" t="s">
        <v>229</v>
      </c>
      <c r="CF6" s="2698"/>
      <c r="CG6" s="2710"/>
      <c r="CH6" s="147"/>
      <c r="CI6" s="2634" t="s">
        <v>16</v>
      </c>
      <c r="CJ6" s="2632" t="s">
        <v>17</v>
      </c>
      <c r="CK6" s="2632" t="s">
        <v>18</v>
      </c>
      <c r="CL6" s="2632" t="s">
        <v>83</v>
      </c>
      <c r="CM6" s="2632" t="s">
        <v>130</v>
      </c>
      <c r="CN6" s="2671" t="s">
        <v>7</v>
      </c>
      <c r="CO6" s="2633" t="s">
        <v>145</v>
      </c>
      <c r="CP6" s="2632" t="s">
        <v>18</v>
      </c>
      <c r="CR6" s="2632" t="s">
        <v>146</v>
      </c>
      <c r="CS6" s="2632" t="s">
        <v>230</v>
      </c>
      <c r="CT6" s="2632" t="s">
        <v>147</v>
      </c>
      <c r="CU6" s="2632" t="s">
        <v>231</v>
      </c>
      <c r="CV6" s="2632" t="s">
        <v>148</v>
      </c>
      <c r="CW6" s="2632" t="s">
        <v>232</v>
      </c>
      <c r="CX6" s="2632" t="s">
        <v>149</v>
      </c>
      <c r="CY6" s="2632" t="s">
        <v>233</v>
      </c>
      <c r="CZ6" s="2632" t="s">
        <v>69</v>
      </c>
      <c r="DA6" s="2632" t="s">
        <v>234</v>
      </c>
      <c r="DB6" s="2632" t="s">
        <v>71</v>
      </c>
      <c r="DC6" s="2632" t="s">
        <v>235</v>
      </c>
      <c r="DD6" s="2633" t="s">
        <v>7</v>
      </c>
      <c r="DE6" s="2685"/>
      <c r="DF6" s="2633" t="s">
        <v>236</v>
      </c>
      <c r="DG6" s="2635"/>
      <c r="DH6" s="2635"/>
      <c r="DI6" s="2635"/>
      <c r="DJ6" s="2635"/>
      <c r="DK6" s="2635"/>
      <c r="DL6" s="2635"/>
      <c r="DM6" s="2635"/>
      <c r="DN6" s="2635"/>
      <c r="DO6" s="2635"/>
      <c r="DP6" s="2635"/>
      <c r="DQ6" s="1394"/>
      <c r="DR6" s="2711" t="s">
        <v>151</v>
      </c>
      <c r="DS6" s="2633" t="s">
        <v>237</v>
      </c>
      <c r="DT6" s="2635"/>
      <c r="DU6" s="2635"/>
      <c r="DV6" s="2635"/>
      <c r="DW6" s="2635"/>
      <c r="DX6" s="2635"/>
      <c r="DY6" s="2635"/>
      <c r="DZ6" s="2635"/>
      <c r="EA6" s="2635"/>
      <c r="EB6" s="2635"/>
      <c r="EC6" s="2635"/>
      <c r="ED6" s="1394"/>
      <c r="EE6" s="2711" t="s">
        <v>151</v>
      </c>
      <c r="EF6" s="2633" t="s">
        <v>238</v>
      </c>
      <c r="EG6" s="2635"/>
      <c r="EH6" s="2635"/>
      <c r="EI6" s="2635"/>
      <c r="EJ6" s="2635"/>
      <c r="EK6" s="2635"/>
      <c r="EL6" s="2635"/>
      <c r="EM6" s="2635"/>
      <c r="EN6" s="2635"/>
      <c r="EO6" s="2635"/>
      <c r="EP6" s="2635"/>
      <c r="EQ6" s="1394"/>
      <c r="ER6" s="2711" t="s">
        <v>151</v>
      </c>
      <c r="ES6" s="2633" t="s">
        <v>154</v>
      </c>
      <c r="ET6" s="2635"/>
      <c r="EU6" s="2635"/>
      <c r="EV6" s="2635"/>
      <c r="EW6" s="2635"/>
      <c r="EX6" s="2635"/>
      <c r="EY6" s="2711" t="s">
        <v>151</v>
      </c>
      <c r="EZ6" s="2685"/>
      <c r="FB6" s="2690" t="s">
        <v>239</v>
      </c>
      <c r="FC6" s="2690" t="s">
        <v>240</v>
      </c>
      <c r="FD6" s="2690" t="s">
        <v>241</v>
      </c>
      <c r="FE6" s="2671" t="s">
        <v>7</v>
      </c>
      <c r="FF6" s="2671" t="s">
        <v>145</v>
      </c>
      <c r="FG6" s="2674"/>
      <c r="FH6" s="2634" t="s">
        <v>158</v>
      </c>
      <c r="FI6" s="2632"/>
      <c r="FJ6" s="2632"/>
      <c r="FK6" s="2632"/>
      <c r="FL6" s="2632"/>
      <c r="FM6" s="2633"/>
      <c r="FN6" s="2676" t="s">
        <v>151</v>
      </c>
      <c r="FO6" s="2632" t="s">
        <v>159</v>
      </c>
      <c r="FP6" s="2632"/>
      <c r="FQ6" s="2632"/>
      <c r="FR6" s="2632"/>
      <c r="FS6" s="2632"/>
      <c r="FT6" s="2633"/>
      <c r="FU6" s="2676" t="s">
        <v>151</v>
      </c>
      <c r="FV6" s="2632" t="s">
        <v>242</v>
      </c>
      <c r="FW6" s="2632"/>
      <c r="FX6" s="2632"/>
      <c r="FY6" s="2632"/>
      <c r="FZ6" s="2632"/>
      <c r="GA6" s="2632"/>
      <c r="GB6" s="2632"/>
      <c r="GC6" s="2632"/>
      <c r="GD6" s="2632"/>
      <c r="GE6" s="2633"/>
      <c r="GF6" s="2633"/>
      <c r="GG6" s="1394"/>
      <c r="GH6" s="2673" t="s">
        <v>151</v>
      </c>
      <c r="GI6" s="2674"/>
      <c r="GK6" s="2632" t="s">
        <v>161</v>
      </c>
      <c r="GL6" s="2632"/>
      <c r="GM6" s="2633"/>
      <c r="GN6" s="2634" t="s">
        <v>7</v>
      </c>
      <c r="GO6" s="181" t="s">
        <v>162</v>
      </c>
      <c r="GP6" s="181" t="s">
        <v>163</v>
      </c>
      <c r="GQ6" s="2633" t="s">
        <v>145</v>
      </c>
      <c r="GR6" s="2667"/>
      <c r="GS6" s="2634" t="s">
        <v>130</v>
      </c>
      <c r="GT6" s="2632" t="s">
        <v>243</v>
      </c>
      <c r="GU6" s="2632" t="s">
        <v>244</v>
      </c>
      <c r="GV6" s="2632" t="s">
        <v>165</v>
      </c>
      <c r="GW6" s="2619" t="s">
        <v>7</v>
      </c>
      <c r="GX6" s="2667"/>
      <c r="GY6" s="2634" t="s">
        <v>35</v>
      </c>
      <c r="GZ6" s="2634"/>
      <c r="HA6" s="2632"/>
      <c r="HB6" s="2632"/>
      <c r="HC6" s="2632"/>
      <c r="HD6" s="2632"/>
      <c r="HE6" s="2632"/>
      <c r="HF6" s="2632"/>
      <c r="HG6" s="2632"/>
      <c r="HH6" s="2632"/>
      <c r="HI6" s="2632"/>
      <c r="HJ6" s="2632"/>
      <c r="HK6" s="2632"/>
      <c r="HL6" s="2633"/>
      <c r="HM6" s="2676" t="s">
        <v>151</v>
      </c>
      <c r="HN6" s="2619" t="s">
        <v>110</v>
      </c>
      <c r="HO6" s="2673"/>
      <c r="HP6" s="2673"/>
      <c r="HQ6" s="2673"/>
      <c r="HR6" s="2673"/>
      <c r="HS6" s="2673"/>
      <c r="HT6" s="2673"/>
      <c r="HU6" s="2673"/>
      <c r="HV6" s="2673"/>
      <c r="HW6" s="2673"/>
      <c r="HX6" s="2673"/>
      <c r="HY6" s="2673"/>
      <c r="HZ6" s="2673"/>
      <c r="IA6" s="2673"/>
      <c r="IB6" s="2711" t="s">
        <v>151</v>
      </c>
      <c r="IC6" s="2632" t="s">
        <v>245</v>
      </c>
      <c r="ID6" s="2632"/>
      <c r="IE6" s="2632"/>
      <c r="IF6" s="2632"/>
      <c r="IG6" s="2632"/>
      <c r="IH6" s="2632"/>
      <c r="II6" s="2632"/>
      <c r="IJ6" s="2632"/>
      <c r="IK6" s="2632"/>
      <c r="IL6" s="2632"/>
      <c r="IM6" s="2632"/>
      <c r="IN6" s="2632"/>
      <c r="IO6" s="2632"/>
      <c r="IP6" s="2633"/>
      <c r="IQ6" s="2676" t="s">
        <v>151</v>
      </c>
      <c r="IR6" s="2632" t="s">
        <v>246</v>
      </c>
      <c r="IS6" s="2632"/>
      <c r="IT6" s="2632"/>
      <c r="IU6" s="2632"/>
      <c r="IV6" s="2632"/>
      <c r="IW6" s="2632"/>
      <c r="IX6" s="2632"/>
      <c r="IY6" s="2632"/>
      <c r="IZ6" s="2632"/>
      <c r="JA6" s="2632"/>
      <c r="JB6" s="2632"/>
      <c r="JC6" s="2632"/>
      <c r="JD6" s="2632"/>
      <c r="JE6" s="2633"/>
      <c r="JF6" s="2673" t="s">
        <v>151</v>
      </c>
      <c r="JG6" s="2667"/>
      <c r="JI6" s="2632" t="s">
        <v>76</v>
      </c>
      <c r="JJ6" s="2671" t="s">
        <v>77</v>
      </c>
      <c r="JK6" s="2632" t="s">
        <v>247</v>
      </c>
      <c r="JL6" s="2632" t="s">
        <v>7</v>
      </c>
      <c r="JM6" s="2633" t="s">
        <v>145</v>
      </c>
      <c r="JN6" s="2669"/>
      <c r="JO6" s="2634" t="str">
        <f>JI6</f>
        <v>TCM.HCV.LS</v>
      </c>
      <c r="JP6" s="2632"/>
      <c r="JQ6" s="2632"/>
      <c r="JR6" s="2632"/>
      <c r="JS6" s="2632"/>
      <c r="JT6" s="2632"/>
      <c r="JU6" s="2632"/>
      <c r="JV6" s="2632"/>
      <c r="JW6" s="2634" t="str">
        <f>JJ6</f>
        <v>TCM.HCV.HS</v>
      </c>
      <c r="JX6" s="2632"/>
      <c r="JY6" s="2632"/>
      <c r="JZ6" s="2632"/>
      <c r="KA6" s="2632"/>
      <c r="KB6" s="2632"/>
      <c r="KC6" s="2632"/>
      <c r="KD6" s="2632"/>
      <c r="KE6" s="2632" t="str">
        <f>JK6</f>
        <v>LCV.MS.HA</v>
      </c>
      <c r="KF6" s="2632"/>
      <c r="KG6" s="2632"/>
      <c r="KH6" s="2632"/>
      <c r="KI6" s="2632"/>
      <c r="KJ6" s="2632"/>
      <c r="KK6" s="2632"/>
      <c r="KL6" s="2632"/>
      <c r="KM6" s="2633" t="s">
        <v>145</v>
      </c>
      <c r="KN6" s="2669"/>
      <c r="KO6" s="2634" t="s">
        <v>167</v>
      </c>
      <c r="KP6" s="2632"/>
      <c r="KQ6" s="2632"/>
      <c r="KR6" s="2632"/>
      <c r="KS6" s="2632"/>
      <c r="KT6" s="2634" t="s">
        <v>168</v>
      </c>
      <c r="KU6" s="2632"/>
      <c r="KV6" s="2632"/>
      <c r="KW6" s="2632"/>
      <c r="KX6" s="2632"/>
      <c r="KY6" s="2632" t="s">
        <v>247</v>
      </c>
      <c r="KZ6" s="2632"/>
      <c r="LA6" s="2632"/>
      <c r="LB6" s="2632"/>
      <c r="LC6" s="2632"/>
      <c r="LD6" s="2633" t="s">
        <v>145</v>
      </c>
      <c r="LE6" s="2669"/>
      <c r="LG6" s="2633" t="s">
        <v>170</v>
      </c>
      <c r="LH6" s="2635"/>
      <c r="LI6" s="2635"/>
      <c r="LJ6" s="2634"/>
      <c r="LK6" s="2619" t="s">
        <v>171</v>
      </c>
      <c r="LL6" s="2673"/>
      <c r="LM6" s="2673"/>
      <c r="LN6" s="2673"/>
      <c r="LO6" s="2690" t="s">
        <v>172</v>
      </c>
      <c r="LP6" s="2633" t="s">
        <v>145</v>
      </c>
      <c r="LQ6" s="2688"/>
      <c r="LR6" s="2634" t="s">
        <v>173</v>
      </c>
      <c r="LS6" s="2634"/>
      <c r="LT6" s="2632"/>
      <c r="LU6" s="2632"/>
      <c r="LV6" s="2632"/>
      <c r="LW6" s="2620" t="s">
        <v>151</v>
      </c>
      <c r="LX6" s="2632" t="s">
        <v>174</v>
      </c>
      <c r="LY6" s="2632"/>
      <c r="LZ6" s="2632"/>
      <c r="MA6" s="2632"/>
      <c r="MB6" s="2632"/>
      <c r="MC6" s="2632"/>
      <c r="MD6" s="2632" t="s">
        <v>175</v>
      </c>
      <c r="ME6" s="2632"/>
      <c r="MF6" s="2632"/>
      <c r="MG6" s="2632"/>
      <c r="MH6" s="2632"/>
      <c r="MI6" s="2620" t="s">
        <v>151</v>
      </c>
      <c r="MJ6" s="2632" t="s">
        <v>176</v>
      </c>
      <c r="MK6" s="2632"/>
      <c r="ML6" s="2632"/>
      <c r="MM6" s="2632"/>
      <c r="MN6" s="2632"/>
      <c r="MO6" s="2620" t="s">
        <v>151</v>
      </c>
      <c r="MP6" s="2632" t="s">
        <v>248</v>
      </c>
      <c r="MQ6" s="2632"/>
      <c r="MR6" s="2632"/>
      <c r="MS6" s="2632"/>
      <c r="MT6" s="2632"/>
      <c r="MU6" s="2619" t="s">
        <v>151</v>
      </c>
      <c r="MV6" s="2688"/>
      <c r="MX6" s="2632" t="s">
        <v>178</v>
      </c>
      <c r="MY6" s="2632" t="s">
        <v>126</v>
      </c>
      <c r="MZ6" s="2632" t="s">
        <v>179</v>
      </c>
      <c r="NA6" s="2633" t="s">
        <v>249</v>
      </c>
      <c r="NB6" s="2621"/>
      <c r="NC6" s="2634" t="s">
        <v>181</v>
      </c>
      <c r="ND6" s="2634"/>
      <c r="NE6" s="2632"/>
      <c r="NF6" s="2632" t="s">
        <v>7</v>
      </c>
      <c r="NG6" s="2633" t="s">
        <v>35</v>
      </c>
      <c r="NH6" s="2635"/>
      <c r="NI6" s="2635"/>
      <c r="NJ6" s="2635"/>
      <c r="NK6" s="2635"/>
      <c r="NL6" s="2635"/>
      <c r="NM6" s="2635"/>
      <c r="NN6" s="2635"/>
      <c r="NO6" s="2635"/>
      <c r="NP6" s="2635"/>
      <c r="NQ6" s="2635"/>
      <c r="NR6" s="2634"/>
      <c r="NS6" s="2620" t="s">
        <v>151</v>
      </c>
      <c r="NT6" s="2632" t="s">
        <v>245</v>
      </c>
      <c r="NU6" s="2632"/>
      <c r="NV6" s="2632"/>
      <c r="NW6" s="2632"/>
      <c r="NX6" s="2632"/>
      <c r="NY6" s="2632"/>
      <c r="NZ6" s="2632"/>
      <c r="OA6" s="2632"/>
      <c r="OB6" s="2632"/>
      <c r="OC6" s="2632"/>
      <c r="OD6" s="2632"/>
      <c r="OE6" s="181"/>
      <c r="OF6" s="2620" t="s">
        <v>151</v>
      </c>
      <c r="OG6" s="2632" t="s">
        <v>246</v>
      </c>
      <c r="OH6" s="2632"/>
      <c r="OI6" s="2632"/>
      <c r="OJ6" s="2632"/>
      <c r="OK6" s="2632"/>
      <c r="OL6" s="2632"/>
      <c r="OM6" s="2632"/>
      <c r="ON6" s="2632"/>
      <c r="OO6" s="2632"/>
      <c r="OP6" s="2632"/>
      <c r="OQ6" s="2632"/>
      <c r="OR6" s="181"/>
      <c r="OS6" s="2620" t="s">
        <v>151</v>
      </c>
      <c r="OT6" s="2632" t="s">
        <v>250</v>
      </c>
      <c r="OU6" s="2632"/>
      <c r="OV6" s="2632"/>
      <c r="OW6" s="2632"/>
      <c r="OX6" s="2632"/>
      <c r="OY6" s="2632"/>
      <c r="OZ6" s="2620" t="s">
        <v>151</v>
      </c>
      <c r="PA6" s="2632" t="s">
        <v>251</v>
      </c>
      <c r="PB6" s="2632"/>
      <c r="PC6" s="2632"/>
      <c r="PD6" s="2632"/>
      <c r="PE6" s="2632"/>
      <c r="PF6" s="2632"/>
      <c r="PG6" s="2619" t="s">
        <v>151</v>
      </c>
      <c r="PH6" s="2621"/>
      <c r="PJ6" s="2620" t="s">
        <v>184</v>
      </c>
      <c r="PK6" s="2620" t="s">
        <v>252</v>
      </c>
      <c r="PL6" s="2703" t="s">
        <v>253</v>
      </c>
      <c r="PM6" s="2705" t="s">
        <v>186</v>
      </c>
      <c r="PN6" s="2619" t="s">
        <v>91</v>
      </c>
      <c r="PO6" s="2619" t="s">
        <v>254</v>
      </c>
      <c r="PP6" s="2619" t="s">
        <v>145</v>
      </c>
      <c r="PQ6" s="2615"/>
      <c r="PS6" s="2619" t="s">
        <v>255</v>
      </c>
      <c r="PT6" s="2676"/>
      <c r="PU6" s="2619" t="s">
        <v>256</v>
      </c>
      <c r="PV6" s="2673"/>
      <c r="PW6" s="2673"/>
      <c r="PX6" s="2673"/>
      <c r="PY6" s="2676"/>
      <c r="PZ6" s="2620" t="s">
        <v>184</v>
      </c>
      <c r="QA6" s="2620" t="s">
        <v>189</v>
      </c>
      <c r="QB6" s="2620" t="s">
        <v>189</v>
      </c>
      <c r="QC6" s="2690" t="s">
        <v>257</v>
      </c>
      <c r="QD6" s="2690" t="s">
        <v>258</v>
      </c>
      <c r="QE6" s="2620" t="s">
        <v>259</v>
      </c>
      <c r="QF6" s="2620" t="s">
        <v>260</v>
      </c>
      <c r="QG6" s="2716" t="s">
        <v>191</v>
      </c>
      <c r="QH6" s="2717"/>
      <c r="QI6" s="2711"/>
      <c r="QJ6" s="1405"/>
      <c r="QK6" s="2619" t="s">
        <v>145</v>
      </c>
      <c r="QL6" s="2615"/>
      <c r="QQ6" s="105" t="s">
        <v>192</v>
      </c>
      <c r="QR6" s="105">
        <v>13000</v>
      </c>
      <c r="RJ6" s="2718" t="s">
        <v>261</v>
      </c>
      <c r="RK6" s="2718"/>
      <c r="RL6" s="2719"/>
      <c r="RM6" s="2719" t="s">
        <v>7</v>
      </c>
      <c r="RY6" s="1134"/>
    </row>
    <row r="7" spans="1:502" s="42" customFormat="1" ht="46.2" customHeight="1">
      <c r="B7" s="2627"/>
      <c r="C7" s="2632"/>
      <c r="D7" s="2632"/>
      <c r="E7" s="2632"/>
      <c r="F7" s="181"/>
      <c r="G7" s="181"/>
      <c r="H7" s="181" t="s">
        <v>193</v>
      </c>
      <c r="I7" s="181" t="s">
        <v>194</v>
      </c>
      <c r="J7" s="181" t="s">
        <v>193</v>
      </c>
      <c r="K7" s="181" t="s">
        <v>194</v>
      </c>
      <c r="L7" s="181" t="s">
        <v>193</v>
      </c>
      <c r="M7" s="182" t="s">
        <v>194</v>
      </c>
      <c r="N7" s="2629"/>
      <c r="O7" s="183" t="s">
        <v>3</v>
      </c>
      <c r="P7" s="181" t="s">
        <v>126</v>
      </c>
      <c r="Q7" s="181" t="s">
        <v>127</v>
      </c>
      <c r="R7" s="182" t="s">
        <v>145</v>
      </c>
      <c r="S7" s="181" t="s">
        <v>3</v>
      </c>
      <c r="T7" s="181" t="s">
        <v>126</v>
      </c>
      <c r="U7" s="181" t="s">
        <v>127</v>
      </c>
      <c r="V7" s="181" t="s">
        <v>145</v>
      </c>
      <c r="W7" s="183" t="s">
        <v>3</v>
      </c>
      <c r="X7" s="181" t="s">
        <v>126</v>
      </c>
      <c r="Y7" s="181" t="s">
        <v>127</v>
      </c>
      <c r="Z7" s="181" t="s">
        <v>145</v>
      </c>
      <c r="AA7" s="183" t="s">
        <v>3</v>
      </c>
      <c r="AB7" s="181" t="s">
        <v>126</v>
      </c>
      <c r="AC7" s="181" t="s">
        <v>127</v>
      </c>
      <c r="AD7" s="181" t="s">
        <v>145</v>
      </c>
      <c r="AE7" s="181" t="s">
        <v>3</v>
      </c>
      <c r="AF7" s="181" t="s">
        <v>126</v>
      </c>
      <c r="AG7" s="181" t="s">
        <v>127</v>
      </c>
      <c r="AH7" s="181" t="s">
        <v>145</v>
      </c>
      <c r="AI7" s="181" t="s">
        <v>3</v>
      </c>
      <c r="AJ7" s="181" t="s">
        <v>126</v>
      </c>
      <c r="AK7" s="181" t="s">
        <v>127</v>
      </c>
      <c r="AL7" s="182" t="s">
        <v>145</v>
      </c>
      <c r="AM7" s="2629"/>
      <c r="AN7" s="183" t="s">
        <v>3</v>
      </c>
      <c r="AO7" s="181" t="s">
        <v>126</v>
      </c>
      <c r="AP7" s="181" t="s">
        <v>127</v>
      </c>
      <c r="AQ7" s="181" t="s">
        <v>3</v>
      </c>
      <c r="AR7" s="181" t="s">
        <v>126</v>
      </c>
      <c r="AS7" s="181" t="s">
        <v>127</v>
      </c>
      <c r="AT7" s="181" t="s">
        <v>3</v>
      </c>
      <c r="AU7" s="181" t="s">
        <v>126</v>
      </c>
      <c r="AV7" s="182" t="s">
        <v>127</v>
      </c>
      <c r="AW7" s="181" t="s">
        <v>3</v>
      </c>
      <c r="AX7" s="181" t="s">
        <v>126</v>
      </c>
      <c r="AY7" s="181" t="s">
        <v>127</v>
      </c>
      <c r="AZ7" s="181" t="s">
        <v>3</v>
      </c>
      <c r="BA7" s="181" t="s">
        <v>126</v>
      </c>
      <c r="BB7" s="181" t="s">
        <v>127</v>
      </c>
      <c r="BC7" s="181" t="s">
        <v>3</v>
      </c>
      <c r="BD7" s="181" t="s">
        <v>126</v>
      </c>
      <c r="BE7" s="181" t="s">
        <v>127</v>
      </c>
      <c r="BF7" s="181" t="s">
        <v>3</v>
      </c>
      <c r="BG7" s="181" t="s">
        <v>126</v>
      </c>
      <c r="BH7" s="181" t="s">
        <v>127</v>
      </c>
      <c r="BI7" s="181" t="s">
        <v>3</v>
      </c>
      <c r="BJ7" s="181" t="s">
        <v>126</v>
      </c>
      <c r="BK7" s="181" t="s">
        <v>127</v>
      </c>
      <c r="BL7" s="181" t="s">
        <v>3</v>
      </c>
      <c r="BM7" s="181" t="s">
        <v>126</v>
      </c>
      <c r="BN7" s="181" t="s">
        <v>262</v>
      </c>
      <c r="BO7" s="181" t="s">
        <v>127</v>
      </c>
      <c r="BP7" s="181" t="s">
        <v>3</v>
      </c>
      <c r="BQ7" s="181" t="s">
        <v>126</v>
      </c>
      <c r="BR7" s="181" t="s">
        <v>127</v>
      </c>
      <c r="BS7" s="181" t="s">
        <v>3</v>
      </c>
      <c r="BT7" s="181" t="s">
        <v>126</v>
      </c>
      <c r="BU7" s="181" t="s">
        <v>127</v>
      </c>
      <c r="BV7" s="181" t="s">
        <v>3</v>
      </c>
      <c r="BW7" s="181" t="s">
        <v>126</v>
      </c>
      <c r="BX7" s="182" t="s">
        <v>127</v>
      </c>
      <c r="BY7" s="182" t="s">
        <v>3</v>
      </c>
      <c r="BZ7" s="182" t="s">
        <v>126</v>
      </c>
      <c r="CA7" s="182" t="s">
        <v>127</v>
      </c>
      <c r="CB7" s="181" t="s">
        <v>3</v>
      </c>
      <c r="CC7" s="181" t="s">
        <v>126</v>
      </c>
      <c r="CD7" s="182" t="s">
        <v>127</v>
      </c>
      <c r="CE7" s="181" t="s">
        <v>3</v>
      </c>
      <c r="CF7" s="181" t="s">
        <v>126</v>
      </c>
      <c r="CG7" s="182" t="s">
        <v>127</v>
      </c>
      <c r="CH7" s="148"/>
      <c r="CI7" s="2634"/>
      <c r="CJ7" s="2632"/>
      <c r="CK7" s="2632"/>
      <c r="CL7" s="2632"/>
      <c r="CM7" s="2632"/>
      <c r="CN7" s="2672"/>
      <c r="CO7" s="2633"/>
      <c r="CP7" s="2632"/>
      <c r="CR7" s="2632"/>
      <c r="CS7" s="2632"/>
      <c r="CT7" s="2632"/>
      <c r="CU7" s="2632"/>
      <c r="CV7" s="2632"/>
      <c r="CW7" s="2632"/>
      <c r="CX7" s="2632"/>
      <c r="CY7" s="2632"/>
      <c r="CZ7" s="2632"/>
      <c r="DA7" s="2632"/>
      <c r="DB7" s="2632"/>
      <c r="DC7" s="2632"/>
      <c r="DD7" s="2633"/>
      <c r="DE7" s="2685"/>
      <c r="DF7" s="183" t="s">
        <v>146</v>
      </c>
      <c r="DG7" s="183" t="s">
        <v>230</v>
      </c>
      <c r="DH7" s="181" t="s">
        <v>147</v>
      </c>
      <c r="DI7" s="181" t="s">
        <v>231</v>
      </c>
      <c r="DJ7" s="181" t="s">
        <v>148</v>
      </c>
      <c r="DK7" s="181" t="s">
        <v>232</v>
      </c>
      <c r="DL7" s="181" t="s">
        <v>149</v>
      </c>
      <c r="DM7" s="181" t="s">
        <v>233</v>
      </c>
      <c r="DN7" s="181" t="s">
        <v>69</v>
      </c>
      <c r="DO7" s="181" t="s">
        <v>234</v>
      </c>
      <c r="DP7" s="181" t="s">
        <v>71</v>
      </c>
      <c r="DQ7" s="181" t="s">
        <v>235</v>
      </c>
      <c r="DR7" s="2712"/>
      <c r="DS7" s="183" t="s">
        <v>146</v>
      </c>
      <c r="DT7" s="183" t="s">
        <v>230</v>
      </c>
      <c r="DU7" s="181" t="s">
        <v>147</v>
      </c>
      <c r="DV7" s="181" t="s">
        <v>231</v>
      </c>
      <c r="DW7" s="181" t="s">
        <v>148</v>
      </c>
      <c r="DX7" s="181" t="s">
        <v>232</v>
      </c>
      <c r="DY7" s="181" t="s">
        <v>149</v>
      </c>
      <c r="DZ7" s="181" t="s">
        <v>233</v>
      </c>
      <c r="EA7" s="181" t="s">
        <v>69</v>
      </c>
      <c r="EB7" s="181" t="s">
        <v>234</v>
      </c>
      <c r="EC7" s="181" t="s">
        <v>71</v>
      </c>
      <c r="ED7" s="181" t="s">
        <v>235</v>
      </c>
      <c r="EE7" s="2712"/>
      <c r="EF7" s="183" t="s">
        <v>263</v>
      </c>
      <c r="EG7" s="181" t="s">
        <v>264</v>
      </c>
      <c r="EH7" s="181" t="s">
        <v>265</v>
      </c>
      <c r="EI7" s="181" t="s">
        <v>266</v>
      </c>
      <c r="EJ7" s="181" t="s">
        <v>267</v>
      </c>
      <c r="EK7" s="181" t="s">
        <v>268</v>
      </c>
      <c r="EL7" s="181" t="s">
        <v>269</v>
      </c>
      <c r="EM7" s="181" t="s">
        <v>270</v>
      </c>
      <c r="EN7" s="181" t="s">
        <v>271</v>
      </c>
      <c r="EO7" s="181" t="s">
        <v>272</v>
      </c>
      <c r="EP7" s="181" t="s">
        <v>273</v>
      </c>
      <c r="EQ7" s="181" t="s">
        <v>274</v>
      </c>
      <c r="ER7" s="2712"/>
      <c r="ES7" s="181" t="s">
        <v>146</v>
      </c>
      <c r="ET7" s="181" t="s">
        <v>147</v>
      </c>
      <c r="EU7" s="181" t="s">
        <v>148</v>
      </c>
      <c r="EV7" s="181" t="s">
        <v>149</v>
      </c>
      <c r="EW7" s="181" t="s">
        <v>69</v>
      </c>
      <c r="EX7" s="181" t="s">
        <v>71</v>
      </c>
      <c r="EY7" s="2712"/>
      <c r="EZ7" s="2685"/>
      <c r="FB7" s="2691"/>
      <c r="FC7" s="2691"/>
      <c r="FD7" s="2691"/>
      <c r="FE7" s="2672"/>
      <c r="FF7" s="2672"/>
      <c r="FG7" s="2674"/>
      <c r="FH7" s="183" t="s">
        <v>146</v>
      </c>
      <c r="FI7" s="181" t="s">
        <v>147</v>
      </c>
      <c r="FJ7" s="181" t="s">
        <v>148</v>
      </c>
      <c r="FK7" s="181" t="s">
        <v>149</v>
      </c>
      <c r="FL7" s="181" t="s">
        <v>69</v>
      </c>
      <c r="FM7" s="181" t="s">
        <v>71</v>
      </c>
      <c r="FN7" s="2620"/>
      <c r="FO7" s="181" t="s">
        <v>146</v>
      </c>
      <c r="FP7" s="181" t="s">
        <v>147</v>
      </c>
      <c r="FQ7" s="181" t="s">
        <v>148</v>
      </c>
      <c r="FR7" s="181" t="s">
        <v>149</v>
      </c>
      <c r="FS7" s="181" t="s">
        <v>69</v>
      </c>
      <c r="FT7" s="181" t="s">
        <v>71</v>
      </c>
      <c r="FU7" s="2620"/>
      <c r="FV7" s="181" t="s">
        <v>275</v>
      </c>
      <c r="FW7" s="181" t="s">
        <v>230</v>
      </c>
      <c r="FX7" s="181" t="s">
        <v>147</v>
      </c>
      <c r="FY7" s="181" t="s">
        <v>231</v>
      </c>
      <c r="FZ7" s="181" t="s">
        <v>148</v>
      </c>
      <c r="GA7" s="181" t="s">
        <v>232</v>
      </c>
      <c r="GB7" s="181" t="s">
        <v>149</v>
      </c>
      <c r="GC7" s="181" t="s">
        <v>233</v>
      </c>
      <c r="GD7" s="181" t="s">
        <v>69</v>
      </c>
      <c r="GE7" s="181" t="s">
        <v>234</v>
      </c>
      <c r="GF7" s="181" t="s">
        <v>71</v>
      </c>
      <c r="GG7" s="182" t="s">
        <v>235</v>
      </c>
      <c r="GH7" s="2619"/>
      <c r="GI7" s="2674"/>
      <c r="GK7" s="181" t="s">
        <v>276</v>
      </c>
      <c r="GL7" s="181" t="s">
        <v>81</v>
      </c>
      <c r="GM7" s="181" t="s">
        <v>37</v>
      </c>
      <c r="GN7" s="2632"/>
      <c r="GO7" s="181" t="s">
        <v>277</v>
      </c>
      <c r="GP7" s="181" t="s">
        <v>277</v>
      </c>
      <c r="GQ7" s="2633"/>
      <c r="GR7" s="2667"/>
      <c r="GS7" s="2634"/>
      <c r="GT7" s="2632"/>
      <c r="GU7" s="2632"/>
      <c r="GV7" s="2632"/>
      <c r="GW7" s="2619"/>
      <c r="GX7" s="2667"/>
      <c r="GY7" s="183" t="s">
        <v>263</v>
      </c>
      <c r="GZ7" s="181" t="s">
        <v>264</v>
      </c>
      <c r="HA7" s="181" t="s">
        <v>265</v>
      </c>
      <c r="HB7" s="181" t="s">
        <v>266</v>
      </c>
      <c r="HC7" s="181" t="s">
        <v>267</v>
      </c>
      <c r="HD7" s="181" t="s">
        <v>268</v>
      </c>
      <c r="HE7" s="181" t="s">
        <v>269</v>
      </c>
      <c r="HF7" s="181" t="s">
        <v>270</v>
      </c>
      <c r="HG7" s="181" t="s">
        <v>271</v>
      </c>
      <c r="HH7" s="181" t="s">
        <v>272</v>
      </c>
      <c r="HI7" s="181" t="s">
        <v>273</v>
      </c>
      <c r="HJ7" s="181" t="s">
        <v>274</v>
      </c>
      <c r="HK7" s="181" t="s">
        <v>179</v>
      </c>
      <c r="HL7" s="181" t="s">
        <v>278</v>
      </c>
      <c r="HM7" s="2620"/>
      <c r="HN7" s="1001" t="s">
        <v>275</v>
      </c>
      <c r="HO7" s="1001" t="s">
        <v>230</v>
      </c>
      <c r="HP7" s="1001" t="s">
        <v>147</v>
      </c>
      <c r="HQ7" s="1001" t="s">
        <v>231</v>
      </c>
      <c r="HR7" s="1001" t="s">
        <v>148</v>
      </c>
      <c r="HS7" s="1001" t="s">
        <v>232</v>
      </c>
      <c r="HT7" s="1001" t="s">
        <v>149</v>
      </c>
      <c r="HU7" s="1001" t="s">
        <v>233</v>
      </c>
      <c r="HV7" s="1001" t="s">
        <v>69</v>
      </c>
      <c r="HW7" s="1001" t="s">
        <v>234</v>
      </c>
      <c r="HX7" s="1001" t="s">
        <v>71</v>
      </c>
      <c r="HY7" s="1001" t="s">
        <v>235</v>
      </c>
      <c r="HZ7" s="1001" t="s">
        <v>179</v>
      </c>
      <c r="IA7" s="1001" t="s">
        <v>30</v>
      </c>
      <c r="IB7" s="2712"/>
      <c r="IC7" s="183" t="s">
        <v>275</v>
      </c>
      <c r="ID7" s="181" t="s">
        <v>230</v>
      </c>
      <c r="IE7" s="181" t="s">
        <v>147</v>
      </c>
      <c r="IF7" s="181" t="s">
        <v>231</v>
      </c>
      <c r="IG7" s="181" t="s">
        <v>148</v>
      </c>
      <c r="IH7" s="181" t="s">
        <v>232</v>
      </c>
      <c r="II7" s="181" t="s">
        <v>149</v>
      </c>
      <c r="IJ7" s="181" t="s">
        <v>233</v>
      </c>
      <c r="IK7" s="181" t="s">
        <v>69</v>
      </c>
      <c r="IL7" s="181" t="s">
        <v>234</v>
      </c>
      <c r="IM7" s="181" t="s">
        <v>71</v>
      </c>
      <c r="IN7" s="181" t="s">
        <v>235</v>
      </c>
      <c r="IO7" s="181" t="s">
        <v>179</v>
      </c>
      <c r="IP7" s="181" t="s">
        <v>30</v>
      </c>
      <c r="IQ7" s="2620"/>
      <c r="IR7" s="183" t="s">
        <v>275</v>
      </c>
      <c r="IS7" s="181" t="s">
        <v>230</v>
      </c>
      <c r="IT7" s="181" t="s">
        <v>147</v>
      </c>
      <c r="IU7" s="181" t="s">
        <v>231</v>
      </c>
      <c r="IV7" s="181" t="s">
        <v>148</v>
      </c>
      <c r="IW7" s="181" t="s">
        <v>232</v>
      </c>
      <c r="IX7" s="181" t="s">
        <v>149</v>
      </c>
      <c r="IY7" s="181" t="s">
        <v>233</v>
      </c>
      <c r="IZ7" s="181" t="s">
        <v>69</v>
      </c>
      <c r="JA7" s="181" t="s">
        <v>234</v>
      </c>
      <c r="JB7" s="181" t="s">
        <v>71</v>
      </c>
      <c r="JC7" s="181" t="s">
        <v>235</v>
      </c>
      <c r="JD7" s="181" t="s">
        <v>179</v>
      </c>
      <c r="JE7" s="181" t="s">
        <v>30</v>
      </c>
      <c r="JF7" s="2619"/>
      <c r="JG7" s="2667"/>
      <c r="JI7" s="2632"/>
      <c r="JJ7" s="2672"/>
      <c r="JK7" s="2632"/>
      <c r="JL7" s="2632"/>
      <c r="JM7" s="2633"/>
      <c r="JN7" s="2669"/>
      <c r="JO7" s="183" t="s">
        <v>146</v>
      </c>
      <c r="JP7" s="181" t="s">
        <v>147</v>
      </c>
      <c r="JQ7" s="181" t="s">
        <v>148</v>
      </c>
      <c r="JR7" s="181" t="s">
        <v>149</v>
      </c>
      <c r="JS7" s="181" t="s">
        <v>69</v>
      </c>
      <c r="JT7" s="181" t="s">
        <v>71</v>
      </c>
      <c r="JU7" s="181" t="s">
        <v>179</v>
      </c>
      <c r="JV7" s="181" t="s">
        <v>30</v>
      </c>
      <c r="JW7" s="183" t="s">
        <v>146</v>
      </c>
      <c r="JX7" s="181" t="s">
        <v>147</v>
      </c>
      <c r="JY7" s="181" t="s">
        <v>148</v>
      </c>
      <c r="JZ7" s="181" t="s">
        <v>149</v>
      </c>
      <c r="KA7" s="181" t="s">
        <v>69</v>
      </c>
      <c r="KB7" s="181" t="s">
        <v>71</v>
      </c>
      <c r="KC7" s="181" t="s">
        <v>179</v>
      </c>
      <c r="KD7" s="181" t="s">
        <v>30</v>
      </c>
      <c r="KE7" s="181" t="s">
        <v>146</v>
      </c>
      <c r="KF7" s="181" t="s">
        <v>147</v>
      </c>
      <c r="KG7" s="181" t="s">
        <v>148</v>
      </c>
      <c r="KH7" s="181" t="s">
        <v>149</v>
      </c>
      <c r="KI7" s="181" t="s">
        <v>69</v>
      </c>
      <c r="KJ7" s="181" t="s">
        <v>71</v>
      </c>
      <c r="KK7" s="181" t="s">
        <v>179</v>
      </c>
      <c r="KL7" s="181" t="s">
        <v>30</v>
      </c>
      <c r="KM7" s="2633"/>
      <c r="KN7" s="2669"/>
      <c r="KO7" s="183" t="s">
        <v>61</v>
      </c>
      <c r="KP7" s="181" t="s">
        <v>62</v>
      </c>
      <c r="KQ7" s="181" t="s">
        <v>63</v>
      </c>
      <c r="KR7" s="181" t="s">
        <v>196</v>
      </c>
      <c r="KS7" s="181" t="s">
        <v>197</v>
      </c>
      <c r="KT7" s="183" t="s">
        <v>61</v>
      </c>
      <c r="KU7" s="181" t="s">
        <v>62</v>
      </c>
      <c r="KV7" s="181" t="s">
        <v>63</v>
      </c>
      <c r="KW7" s="181" t="s">
        <v>196</v>
      </c>
      <c r="KX7" s="181" t="s">
        <v>197</v>
      </c>
      <c r="KY7" s="181" t="s">
        <v>61</v>
      </c>
      <c r="KZ7" s="181" t="s">
        <v>62</v>
      </c>
      <c r="LA7" s="181" t="s">
        <v>63</v>
      </c>
      <c r="LB7" s="181" t="s">
        <v>196</v>
      </c>
      <c r="LC7" s="181" t="s">
        <v>197</v>
      </c>
      <c r="LD7" s="2633"/>
      <c r="LE7" s="2669"/>
      <c r="LG7" s="184" t="s">
        <v>167</v>
      </c>
      <c r="LH7" s="184" t="s">
        <v>168</v>
      </c>
      <c r="LI7" s="184" t="s">
        <v>279</v>
      </c>
      <c r="LJ7" s="184" t="s">
        <v>7</v>
      </c>
      <c r="LK7" s="43" t="s">
        <v>198</v>
      </c>
      <c r="LL7" s="43" t="s">
        <v>199</v>
      </c>
      <c r="LM7" s="44" t="s">
        <v>200</v>
      </c>
      <c r="LN7" s="45" t="s">
        <v>201</v>
      </c>
      <c r="LO7" s="2691"/>
      <c r="LP7" s="2633"/>
      <c r="LQ7" s="2688"/>
      <c r="LR7" s="183" t="s">
        <v>167</v>
      </c>
      <c r="LS7" s="184" t="s">
        <v>168</v>
      </c>
      <c r="LT7" s="181" t="s">
        <v>169</v>
      </c>
      <c r="LU7" s="181" t="s">
        <v>202</v>
      </c>
      <c r="LV7" s="181" t="s">
        <v>280</v>
      </c>
      <c r="LW7" s="2620"/>
      <c r="LX7" s="181" t="s">
        <v>167</v>
      </c>
      <c r="LY7" s="184" t="s">
        <v>168</v>
      </c>
      <c r="LZ7" s="181" t="s">
        <v>169</v>
      </c>
      <c r="MA7" s="181" t="s">
        <v>202</v>
      </c>
      <c r="MB7" s="181" t="s">
        <v>280</v>
      </c>
      <c r="MC7" s="181" t="s">
        <v>151</v>
      </c>
      <c r="MD7" s="181" t="s">
        <v>167</v>
      </c>
      <c r="ME7" s="184" t="s">
        <v>168</v>
      </c>
      <c r="MF7" s="181" t="s">
        <v>169</v>
      </c>
      <c r="MG7" s="181" t="s">
        <v>202</v>
      </c>
      <c r="MH7" s="181" t="s">
        <v>203</v>
      </c>
      <c r="MI7" s="2620"/>
      <c r="MJ7" s="181" t="s">
        <v>167</v>
      </c>
      <c r="MK7" s="181" t="s">
        <v>168</v>
      </c>
      <c r="ML7" s="181" t="s">
        <v>169</v>
      </c>
      <c r="MM7" s="181" t="s">
        <v>202</v>
      </c>
      <c r="MN7" s="181" t="s">
        <v>203</v>
      </c>
      <c r="MO7" s="2620"/>
      <c r="MP7" s="181" t="s">
        <v>167</v>
      </c>
      <c r="MQ7" s="184" t="s">
        <v>168</v>
      </c>
      <c r="MR7" s="181" t="s">
        <v>169</v>
      </c>
      <c r="MS7" s="181" t="s">
        <v>202</v>
      </c>
      <c r="MT7" s="181" t="s">
        <v>280</v>
      </c>
      <c r="MU7" s="2619"/>
      <c r="MV7" s="2688"/>
      <c r="MX7" s="2632"/>
      <c r="MY7" s="2632"/>
      <c r="MZ7" s="2632"/>
      <c r="NA7" s="2633"/>
      <c r="NB7" s="2621"/>
      <c r="NC7" s="183" t="s">
        <v>167</v>
      </c>
      <c r="ND7" s="183" t="s">
        <v>168</v>
      </c>
      <c r="NE7" s="181" t="s">
        <v>169</v>
      </c>
      <c r="NF7" s="2632"/>
      <c r="NG7" s="183" t="s">
        <v>263</v>
      </c>
      <c r="NH7" s="181" t="s">
        <v>230</v>
      </c>
      <c r="NI7" s="181" t="s">
        <v>265</v>
      </c>
      <c r="NJ7" s="181" t="s">
        <v>231</v>
      </c>
      <c r="NK7" s="181" t="s">
        <v>267</v>
      </c>
      <c r="NL7" s="181" t="s">
        <v>232</v>
      </c>
      <c r="NM7" s="181" t="s">
        <v>269</v>
      </c>
      <c r="NN7" s="181" t="s">
        <v>233</v>
      </c>
      <c r="NO7" s="181" t="s">
        <v>69</v>
      </c>
      <c r="NP7" s="999" t="s">
        <v>281</v>
      </c>
      <c r="NQ7" s="181" t="s">
        <v>146</v>
      </c>
      <c r="NR7" s="181" t="s">
        <v>71</v>
      </c>
      <c r="NS7" s="2620"/>
      <c r="NT7" s="183" t="s">
        <v>275</v>
      </c>
      <c r="NU7" s="181" t="s">
        <v>230</v>
      </c>
      <c r="NV7" s="181" t="s">
        <v>147</v>
      </c>
      <c r="NW7" s="181" t="s">
        <v>231</v>
      </c>
      <c r="NX7" s="181" t="s">
        <v>148</v>
      </c>
      <c r="NY7" s="181" t="s">
        <v>232</v>
      </c>
      <c r="NZ7" s="181" t="s">
        <v>149</v>
      </c>
      <c r="OA7" s="181" t="s">
        <v>233</v>
      </c>
      <c r="OB7" s="181" t="s">
        <v>69</v>
      </c>
      <c r="OC7" s="181" t="s">
        <v>234</v>
      </c>
      <c r="OD7" s="181" t="s">
        <v>71</v>
      </c>
      <c r="OE7" s="181" t="s">
        <v>235</v>
      </c>
      <c r="OF7" s="2620"/>
      <c r="OG7" s="183" t="s">
        <v>275</v>
      </c>
      <c r="OH7" s="181" t="s">
        <v>230</v>
      </c>
      <c r="OI7" s="181" t="s">
        <v>147</v>
      </c>
      <c r="OJ7" s="181" t="s">
        <v>231</v>
      </c>
      <c r="OK7" s="181" t="s">
        <v>148</v>
      </c>
      <c r="OL7" s="181" t="s">
        <v>232</v>
      </c>
      <c r="OM7" s="181" t="s">
        <v>149</v>
      </c>
      <c r="ON7" s="181" t="s">
        <v>233</v>
      </c>
      <c r="OO7" s="181" t="s">
        <v>69</v>
      </c>
      <c r="OP7" s="181" t="s">
        <v>234</v>
      </c>
      <c r="OQ7" s="181" t="s">
        <v>71</v>
      </c>
      <c r="OR7" s="181" t="s">
        <v>235</v>
      </c>
      <c r="OS7" s="2620"/>
      <c r="OT7" s="181" t="s">
        <v>146</v>
      </c>
      <c r="OU7" s="181" t="s">
        <v>147</v>
      </c>
      <c r="OV7" s="181" t="s">
        <v>148</v>
      </c>
      <c r="OW7" s="181" t="s">
        <v>149</v>
      </c>
      <c r="OX7" s="181" t="s">
        <v>69</v>
      </c>
      <c r="OY7" s="181" t="s">
        <v>71</v>
      </c>
      <c r="OZ7" s="2620"/>
      <c r="PA7" s="181" t="s">
        <v>146</v>
      </c>
      <c r="PB7" s="181" t="s">
        <v>147</v>
      </c>
      <c r="PC7" s="181" t="s">
        <v>148</v>
      </c>
      <c r="PD7" s="181" t="s">
        <v>149</v>
      </c>
      <c r="PE7" s="181" t="s">
        <v>69</v>
      </c>
      <c r="PF7" s="181" t="s">
        <v>71</v>
      </c>
      <c r="PG7" s="2619"/>
      <c r="PH7" s="2621"/>
      <c r="PJ7" s="2620"/>
      <c r="PK7" s="2620"/>
      <c r="PL7" s="2704"/>
      <c r="PM7" s="2705"/>
      <c r="PN7" s="2619"/>
      <c r="PO7" s="2619"/>
      <c r="PP7" s="2619"/>
      <c r="PQ7" s="2615"/>
      <c r="PS7" s="999" t="s">
        <v>243</v>
      </c>
      <c r="PT7" s="999" t="s">
        <v>72</v>
      </c>
      <c r="PU7" s="999" t="s">
        <v>35</v>
      </c>
      <c r="PV7" s="999" t="s">
        <v>81</v>
      </c>
      <c r="PW7" s="999" t="s">
        <v>282</v>
      </c>
      <c r="PX7" s="999" t="s">
        <v>283</v>
      </c>
      <c r="PY7" s="999" t="s">
        <v>284</v>
      </c>
      <c r="PZ7" s="2620"/>
      <c r="QA7" s="2620"/>
      <c r="QB7" s="2620"/>
      <c r="QC7" s="2691"/>
      <c r="QD7" s="2691"/>
      <c r="QE7" s="2620"/>
      <c r="QF7" s="2620"/>
      <c r="QG7" s="999" t="s">
        <v>35</v>
      </c>
      <c r="QH7" s="999" t="s">
        <v>81</v>
      </c>
      <c r="QI7" s="999" t="s">
        <v>37</v>
      </c>
      <c r="QJ7" s="1000"/>
      <c r="QK7" s="2619"/>
      <c r="QL7" s="2615"/>
      <c r="QN7" s="181" t="s">
        <v>204</v>
      </c>
      <c r="QO7" s="181" t="s">
        <v>205</v>
      </c>
      <c r="QQ7" s="181" t="s">
        <v>204</v>
      </c>
      <c r="QR7" s="181" t="s">
        <v>205</v>
      </c>
      <c r="QT7" s="89" t="s">
        <v>146</v>
      </c>
      <c r="QU7" s="89" t="s">
        <v>147</v>
      </c>
      <c r="QV7" s="89" t="s">
        <v>148</v>
      </c>
      <c r="QW7" s="89" t="s">
        <v>149</v>
      </c>
      <c r="QX7" s="89" t="s">
        <v>69</v>
      </c>
      <c r="QY7" s="89" t="s">
        <v>71</v>
      </c>
      <c r="QZ7" s="89"/>
      <c r="RA7" s="89" t="s">
        <v>146</v>
      </c>
      <c r="RB7" s="89" t="s">
        <v>147</v>
      </c>
      <c r="RC7" s="89" t="s">
        <v>148</v>
      </c>
      <c r="RD7" s="89" t="s">
        <v>149</v>
      </c>
      <c r="RE7" s="89" t="s">
        <v>69</v>
      </c>
      <c r="RF7" s="89" t="s">
        <v>71</v>
      </c>
      <c r="RJ7" s="1004" t="s">
        <v>167</v>
      </c>
      <c r="RK7" s="1004" t="s">
        <v>168</v>
      </c>
      <c r="RL7" s="1003" t="s">
        <v>169</v>
      </c>
      <c r="RM7" s="2719"/>
      <c r="RY7" s="1134"/>
    </row>
    <row r="8" spans="1:502" s="89" customFormat="1" ht="15" customHeight="1">
      <c r="C8" s="1395"/>
      <c r="D8" s="1395"/>
      <c r="E8" s="1395"/>
      <c r="F8" s="1395"/>
      <c r="G8" s="1395"/>
      <c r="H8" s="1395"/>
      <c r="I8" s="1395"/>
      <c r="J8" s="1395"/>
      <c r="K8" s="1395"/>
      <c r="L8" s="1395"/>
      <c r="M8" s="1395"/>
      <c r="N8" s="2629"/>
      <c r="O8" s="1395"/>
      <c r="P8" s="1395"/>
      <c r="Q8" s="1395"/>
      <c r="R8" s="1395"/>
      <c r="S8" s="1147"/>
      <c r="T8" s="1395"/>
      <c r="U8" s="1406"/>
      <c r="V8" s="1146"/>
      <c r="W8" s="1395"/>
      <c r="X8" s="1395"/>
      <c r="Y8" s="1395"/>
      <c r="Z8" s="1395"/>
      <c r="AA8" s="2720"/>
      <c r="AB8" s="2721"/>
      <c r="AC8" s="2721"/>
      <c r="AD8" s="2722"/>
      <c r="AE8" s="1395"/>
      <c r="AF8" s="1395"/>
      <c r="AG8" s="1395"/>
      <c r="AH8" s="1395"/>
      <c r="AI8" s="1395"/>
      <c r="AJ8" s="1395"/>
      <c r="AK8" s="1395"/>
      <c r="AL8" s="1395"/>
      <c r="AM8" s="2629"/>
      <c r="AN8" s="1395"/>
      <c r="AO8" s="1395"/>
      <c r="AP8" s="1395"/>
      <c r="AQ8" s="1395"/>
      <c r="AR8" s="1395"/>
      <c r="AS8" s="1395"/>
      <c r="AT8" s="1395"/>
      <c r="AU8" s="1395"/>
      <c r="AV8" s="1395"/>
      <c r="AW8" s="1147"/>
      <c r="AX8" s="1395"/>
      <c r="AY8" s="1395"/>
      <c r="AZ8" s="1395"/>
      <c r="BA8" s="1395"/>
      <c r="BB8" s="1395"/>
      <c r="BC8" s="1395"/>
      <c r="BD8" s="1395"/>
      <c r="BE8" s="1395"/>
      <c r="BF8" s="1395"/>
      <c r="BG8" s="1395"/>
      <c r="BH8" s="1395"/>
      <c r="BI8" s="1395"/>
      <c r="BJ8" s="1395"/>
      <c r="BK8" s="1395"/>
      <c r="BL8" s="1395"/>
      <c r="BM8" s="1395"/>
      <c r="BN8" s="1395"/>
      <c r="BO8" s="1395"/>
      <c r="BP8" s="1395"/>
      <c r="BQ8" s="1395"/>
      <c r="BR8" s="1395"/>
      <c r="BS8" s="1395"/>
      <c r="BT8" s="1395"/>
      <c r="BU8" s="1395"/>
      <c r="BV8" s="1395"/>
      <c r="BW8" s="1395"/>
      <c r="BX8" s="1395"/>
      <c r="CH8" s="147"/>
      <c r="CI8" s="1395"/>
      <c r="CJ8" s="1395"/>
      <c r="CK8" s="1395"/>
      <c r="CL8" s="1395"/>
      <c r="CM8" s="1395"/>
      <c r="CO8" s="1395"/>
      <c r="CP8" s="323"/>
      <c r="CR8" s="1395"/>
      <c r="CS8" s="1395"/>
      <c r="CT8" s="1395"/>
      <c r="CU8" s="1395"/>
      <c r="CV8" s="1395"/>
      <c r="CW8" s="1395"/>
      <c r="CX8" s="1395"/>
      <c r="CY8" s="1395"/>
      <c r="CZ8" s="1395"/>
      <c r="DA8" s="1395"/>
      <c r="DB8" s="1395"/>
      <c r="DC8" s="1395"/>
      <c r="DD8" s="1395"/>
      <c r="DE8" s="2685"/>
      <c r="DF8" s="1395"/>
      <c r="DG8" s="1395"/>
      <c r="DH8" s="1395"/>
      <c r="DI8" s="1395"/>
      <c r="DJ8" s="1395"/>
      <c r="DK8" s="1395"/>
      <c r="DL8" s="1395"/>
      <c r="DM8" s="1395"/>
      <c r="DN8" s="1395"/>
      <c r="DO8" s="1395"/>
      <c r="DP8" s="1395"/>
      <c r="DQ8" s="1395"/>
      <c r="DR8" s="1396"/>
      <c r="DS8" s="1395"/>
      <c r="DT8" s="1395"/>
      <c r="DU8" s="1395"/>
      <c r="DV8" s="1395"/>
      <c r="DW8" s="1395"/>
      <c r="DX8" s="1395"/>
      <c r="DY8" s="1395"/>
      <c r="DZ8" s="1395"/>
      <c r="EA8" s="1395"/>
      <c r="EB8" s="1395"/>
      <c r="EC8" s="1395"/>
      <c r="ED8" s="1395"/>
      <c r="EE8" s="1396"/>
      <c r="EF8" s="1395"/>
      <c r="EG8" s="1395"/>
      <c r="EH8" s="1395"/>
      <c r="EI8" s="1395"/>
      <c r="EJ8" s="1395"/>
      <c r="EK8" s="1395"/>
      <c r="EL8" s="1395"/>
      <c r="EM8" s="1395"/>
      <c r="EN8" s="1395"/>
      <c r="EO8" s="1395"/>
      <c r="EP8" s="1395"/>
      <c r="EQ8" s="1395"/>
      <c r="ER8" s="1396"/>
      <c r="ES8" s="1395"/>
      <c r="ET8" s="1395"/>
      <c r="EU8" s="1395"/>
      <c r="EV8" s="1395"/>
      <c r="EW8" s="1395"/>
      <c r="EX8" s="1395"/>
      <c r="EY8" s="1396"/>
      <c r="EZ8" s="2685"/>
      <c r="FB8" s="1396"/>
      <c r="FC8" s="1396"/>
      <c r="FD8" s="1396"/>
      <c r="FE8" s="1395"/>
      <c r="FF8" s="1395"/>
      <c r="FG8" s="2674"/>
      <c r="FH8" s="1395"/>
      <c r="FI8" s="1395"/>
      <c r="FJ8" s="1395"/>
      <c r="FK8" s="1395"/>
      <c r="FL8" s="1395"/>
      <c r="FM8" s="1395"/>
      <c r="FN8" s="1396"/>
      <c r="FO8" s="1395"/>
      <c r="FP8" s="1395"/>
      <c r="FQ8" s="1395"/>
      <c r="FR8" s="1395"/>
      <c r="FS8" s="1395"/>
      <c r="FT8" s="1395"/>
      <c r="FU8" s="1396"/>
      <c r="FV8" s="1395"/>
      <c r="FW8" s="1395"/>
      <c r="FX8" s="1395"/>
      <c r="FY8" s="1395"/>
      <c r="FZ8" s="1395"/>
      <c r="GA8" s="1395"/>
      <c r="GB8" s="1395"/>
      <c r="GC8" s="1395"/>
      <c r="GD8" s="1395"/>
      <c r="GE8" s="1395"/>
      <c r="GF8" s="1395"/>
      <c r="GG8" s="1395"/>
      <c r="GH8" s="1396"/>
      <c r="GI8" s="2674"/>
      <c r="GK8" s="1395"/>
      <c r="GL8" s="1395"/>
      <c r="GM8" s="1395"/>
      <c r="GN8" s="1395"/>
      <c r="GO8" s="1395"/>
      <c r="GP8" s="1395"/>
      <c r="GQ8" s="1395"/>
      <c r="GR8" s="2667"/>
      <c r="GS8" s="1395"/>
      <c r="GT8" s="1395"/>
      <c r="GU8" s="1395"/>
      <c r="GV8" s="1395"/>
      <c r="GW8" s="1396"/>
      <c r="GX8" s="2667"/>
      <c r="GY8" s="1395"/>
      <c r="GZ8" s="1395"/>
      <c r="HA8" s="1395"/>
      <c r="HB8" s="1395"/>
      <c r="HC8" s="1395"/>
      <c r="HD8" s="1395"/>
      <c r="HE8" s="1395"/>
      <c r="HF8" s="1395"/>
      <c r="HG8" s="1395"/>
      <c r="HH8" s="1395"/>
      <c r="HI8" s="1395"/>
      <c r="HJ8" s="1395"/>
      <c r="HK8" s="1395"/>
      <c r="HL8" s="1395"/>
      <c r="HM8" s="1396"/>
      <c r="HN8" s="1145"/>
      <c r="HO8" s="1407"/>
      <c r="HP8" s="1407"/>
      <c r="HQ8" s="1407"/>
      <c r="HR8" s="1407"/>
      <c r="HS8" s="1407"/>
      <c r="HT8" s="1407"/>
      <c r="HU8" s="1407"/>
      <c r="HV8" s="1407"/>
      <c r="HW8" s="1407"/>
      <c r="HX8" s="1407"/>
      <c r="HY8" s="1407"/>
      <c r="HZ8" s="1407"/>
      <c r="IA8" s="1407"/>
      <c r="IB8" s="1144"/>
      <c r="IC8" s="1395"/>
      <c r="ID8" s="1395"/>
      <c r="IE8" s="1395"/>
      <c r="IF8" s="1395"/>
      <c r="IG8" s="1395"/>
      <c r="IH8" s="1395"/>
      <c r="II8" s="1395"/>
      <c r="IJ8" s="1395"/>
      <c r="IK8" s="1395"/>
      <c r="IL8" s="1395"/>
      <c r="IM8" s="1395"/>
      <c r="IN8" s="1395"/>
      <c r="IO8" s="1395"/>
      <c r="IP8" s="1395"/>
      <c r="IQ8" s="1396"/>
      <c r="IR8" s="1395"/>
      <c r="IS8" s="1395"/>
      <c r="IT8" s="1395"/>
      <c r="IU8" s="1395"/>
      <c r="IV8" s="1395"/>
      <c r="IW8" s="1395"/>
      <c r="IX8" s="1395"/>
      <c r="IY8" s="1395"/>
      <c r="IZ8" s="1395"/>
      <c r="JA8" s="1395"/>
      <c r="JB8" s="1395"/>
      <c r="JC8" s="1395"/>
      <c r="JD8" s="1395"/>
      <c r="JE8" s="1395"/>
      <c r="JF8" s="1396"/>
      <c r="JG8" s="2667"/>
      <c r="JI8" s="1395"/>
      <c r="JJ8" s="1395"/>
      <c r="JK8" s="1395"/>
      <c r="JL8" s="1395"/>
      <c r="JM8" s="1395"/>
      <c r="JN8" s="2669"/>
      <c r="JO8" s="1395"/>
      <c r="JP8" s="1395"/>
      <c r="JQ8" s="1395"/>
      <c r="JR8" s="1395"/>
      <c r="JS8" s="1395"/>
      <c r="JT8" s="1395"/>
      <c r="JU8" s="1395"/>
      <c r="JV8" s="1395"/>
      <c r="JW8" s="1395"/>
      <c r="JX8" s="1395"/>
      <c r="JY8" s="1395"/>
      <c r="JZ8" s="1395"/>
      <c r="KA8" s="1395"/>
      <c r="KB8" s="1395"/>
      <c r="KC8" s="1395"/>
      <c r="KD8" s="1395"/>
      <c r="KF8" s="1395"/>
      <c r="KG8" s="1395"/>
      <c r="KH8" s="1395"/>
      <c r="KI8" s="1395"/>
      <c r="KJ8" s="1395"/>
      <c r="KK8" s="1395"/>
      <c r="KL8" s="1395"/>
      <c r="KM8" s="1395"/>
      <c r="KN8" s="2669"/>
      <c r="KO8" s="1395"/>
      <c r="KP8" s="1395"/>
      <c r="KQ8" s="1395"/>
      <c r="KR8" s="1395"/>
      <c r="KS8" s="1395"/>
      <c r="KT8" s="1395"/>
      <c r="KU8" s="1395"/>
      <c r="KV8" s="1395"/>
      <c r="KW8" s="1395"/>
      <c r="KX8" s="1395"/>
      <c r="KY8" s="1395"/>
      <c r="KZ8" s="1395"/>
      <c r="LA8" s="1395"/>
      <c r="LB8" s="1395"/>
      <c r="LC8" s="1395"/>
      <c r="LD8" s="1395"/>
      <c r="LE8" s="2669"/>
      <c r="LG8" s="1395"/>
      <c r="LH8" s="1395"/>
      <c r="LI8" s="1395"/>
      <c r="LJ8" s="1395"/>
      <c r="LK8" s="17"/>
      <c r="LL8" s="18"/>
      <c r="LM8" s="1397"/>
      <c r="LN8" s="17"/>
      <c r="LO8" s="17"/>
      <c r="LP8" s="1395"/>
      <c r="LQ8" s="2688"/>
      <c r="LR8" s="1395"/>
      <c r="LS8" s="1395"/>
      <c r="LT8" s="1395"/>
      <c r="LU8" s="1395"/>
      <c r="LV8" s="1395"/>
      <c r="LW8" s="1396"/>
      <c r="LX8" s="1395"/>
      <c r="LY8" s="1395"/>
      <c r="LZ8" s="1395"/>
      <c r="MA8" s="1395"/>
      <c r="MB8" s="1395"/>
      <c r="MC8" s="1395"/>
      <c r="MD8" s="1395"/>
      <c r="ME8" s="1395"/>
      <c r="MF8" s="1395"/>
      <c r="MG8" s="1395"/>
      <c r="MH8" s="1395"/>
      <c r="MI8" s="1396"/>
      <c r="MJ8" s="1395"/>
      <c r="MK8" s="1395"/>
      <c r="ML8" s="1395"/>
      <c r="MM8" s="1395"/>
      <c r="MN8" s="1395"/>
      <c r="MO8" s="1396"/>
      <c r="MP8" s="1395"/>
      <c r="MQ8" s="1395"/>
      <c r="MR8" s="1395"/>
      <c r="MS8" s="1395"/>
      <c r="MT8" s="1395"/>
      <c r="MU8" s="1396"/>
      <c r="MV8" s="2688"/>
      <c r="NB8" s="2621"/>
      <c r="NC8" s="303"/>
      <c r="ND8" s="303"/>
      <c r="NE8" s="303"/>
      <c r="NS8" s="298">
        <f t="shared" ref="NS8:NS40" si="0">SUM(NG8:NR8)</f>
        <v>0</v>
      </c>
      <c r="NT8" s="105"/>
      <c r="NU8" s="105"/>
      <c r="NV8" s="105"/>
      <c r="NW8" s="105"/>
      <c r="NX8" s="105"/>
      <c r="NY8" s="105"/>
      <c r="NZ8" s="105"/>
      <c r="OA8" s="105"/>
      <c r="OB8" s="105"/>
      <c r="OC8" s="105"/>
      <c r="OD8" s="105"/>
      <c r="OE8" s="105"/>
      <c r="OF8" s="298">
        <f t="shared" ref="OF8:OF40" si="1">SUM(NT8:OE8)</f>
        <v>0</v>
      </c>
      <c r="OK8" s="304"/>
      <c r="OL8" s="304"/>
      <c r="OO8" s="304"/>
      <c r="OP8" s="304"/>
      <c r="OS8" s="298">
        <f t="shared" ref="OS8:OS40" si="2">SUM(OG8:OR8)</f>
        <v>0</v>
      </c>
      <c r="OZ8" s="19"/>
      <c r="PG8" s="298">
        <f t="shared" ref="PG8:PG40" si="3">SUM(PA8:PF8)</f>
        <v>0</v>
      </c>
      <c r="PH8" s="2621"/>
      <c r="PN8" s="2496"/>
      <c r="PO8" s="2496"/>
      <c r="PQ8" s="2615"/>
      <c r="QL8" s="2615"/>
      <c r="RO8" s="2713" t="s">
        <v>285</v>
      </c>
      <c r="RP8" s="2713"/>
      <c r="RQ8" s="2713"/>
      <c r="RR8" s="2713"/>
      <c r="RS8" s="2713"/>
      <c r="RT8" s="2713"/>
      <c r="RW8" s="2713" t="s">
        <v>286</v>
      </c>
      <c r="RX8" s="2713"/>
      <c r="RY8" s="2713"/>
      <c r="RZ8" s="2713"/>
      <c r="SA8" s="2714" t="s">
        <v>287</v>
      </c>
      <c r="SB8" s="2714"/>
      <c r="SC8" s="2714"/>
      <c r="SD8" s="2714"/>
      <c r="SF8" s="1143" t="s">
        <v>288</v>
      </c>
      <c r="SG8" s="1143"/>
      <c r="SH8" s="1143"/>
    </row>
    <row r="9" spans="1:502" s="89" customFormat="1" ht="15" customHeight="1">
      <c r="B9" s="89">
        <f>COUNTIF(MX10:QE40,"&lt;"&amp;0)</f>
        <v>0</v>
      </c>
      <c r="N9" s="2629"/>
      <c r="S9" s="300"/>
      <c r="U9" s="105"/>
      <c r="V9" s="301"/>
      <c r="AA9" s="2723"/>
      <c r="AB9" s="2724"/>
      <c r="AC9" s="2724"/>
      <c r="AD9" s="2725"/>
      <c r="AM9" s="2629"/>
      <c r="AW9" s="300"/>
      <c r="CH9" s="147"/>
      <c r="CP9" s="323"/>
      <c r="DE9" s="2685"/>
      <c r="DF9" s="105"/>
      <c r="DG9" s="105"/>
      <c r="DH9" s="105"/>
      <c r="DI9" s="105"/>
      <c r="DJ9" s="105"/>
      <c r="DK9" s="105"/>
      <c r="DL9" s="105"/>
      <c r="DM9" s="105"/>
      <c r="DN9" s="105"/>
      <c r="DO9" s="105"/>
      <c r="DP9" s="105"/>
      <c r="DQ9" s="105"/>
      <c r="DR9" s="1142"/>
      <c r="EE9" s="19"/>
      <c r="ER9" s="19"/>
      <c r="EY9" s="19"/>
      <c r="EZ9" s="2685"/>
      <c r="FB9" s="19"/>
      <c r="FC9" s="19"/>
      <c r="FD9" s="19"/>
      <c r="FG9" s="2674"/>
      <c r="FN9" s="19"/>
      <c r="FU9" s="19"/>
      <c r="GH9" s="19"/>
      <c r="GI9" s="2674"/>
      <c r="GR9" s="2667"/>
      <c r="GW9" s="19"/>
      <c r="GX9" s="2667"/>
      <c r="HM9" s="19"/>
      <c r="HN9" s="1141"/>
      <c r="HO9" s="1140"/>
      <c r="HP9" s="1140"/>
      <c r="HQ9" s="1140"/>
      <c r="HR9" s="1140"/>
      <c r="HS9" s="1140"/>
      <c r="HT9" s="1140"/>
      <c r="HU9" s="1140"/>
      <c r="HV9" s="1140"/>
      <c r="HW9" s="1140"/>
      <c r="HX9" s="1140"/>
      <c r="HY9" s="1140"/>
      <c r="HZ9" s="1140"/>
      <c r="IA9" s="1140"/>
      <c r="IB9" s="1139"/>
      <c r="IQ9" s="19"/>
      <c r="JF9" s="19"/>
      <c r="JG9" s="2667"/>
      <c r="JN9" s="2669"/>
      <c r="KN9" s="2669"/>
      <c r="LE9" s="2669"/>
      <c r="LK9" s="17"/>
      <c r="LL9" s="18"/>
      <c r="LM9" s="180"/>
      <c r="LN9" s="17"/>
      <c r="LO9" s="17"/>
      <c r="LQ9" s="2688"/>
      <c r="LW9" s="19"/>
      <c r="MI9" s="19"/>
      <c r="MO9" s="19"/>
      <c r="MU9" s="19"/>
      <c r="MV9" s="2688"/>
      <c r="NB9" s="2621"/>
      <c r="NC9" s="1138">
        <f>'May TCM'!NC42</f>
        <v>64934.097942786255</v>
      </c>
      <c r="ND9" s="1138">
        <f>'May TCM'!ND42</f>
        <v>80122.286286936403</v>
      </c>
      <c r="NE9" s="866">
        <v>0</v>
      </c>
      <c r="NF9" s="349">
        <f t="shared" ref="NF9:NF40" si="4">SUM(NC9:NE9)</f>
        <v>145056.38422972267</v>
      </c>
      <c r="NG9" s="349"/>
      <c r="NH9" s="349"/>
      <c r="NI9" s="349"/>
      <c r="NJ9" s="349"/>
      <c r="NK9" s="349">
        <v>0</v>
      </c>
      <c r="NL9" s="349"/>
      <c r="NM9" s="349">
        <v>0</v>
      </c>
      <c r="NN9" s="349"/>
      <c r="NO9" s="349">
        <f>'May TCM'!NO42</f>
        <v>2178.0942192005614</v>
      </c>
      <c r="NP9" s="349">
        <f>'May TCM'!NP42</f>
        <v>26196.696072681989</v>
      </c>
      <c r="NQ9" s="349">
        <f>'May TCM'!NQ42</f>
        <v>8756.5482322711578</v>
      </c>
      <c r="NR9" s="349">
        <f>'May TCM'!NR42</f>
        <v>2038.5348469876017</v>
      </c>
      <c r="NS9" s="362">
        <f t="shared" si="0"/>
        <v>39169.873371141308</v>
      </c>
      <c r="NT9" s="349"/>
      <c r="NU9" s="349"/>
      <c r="NV9" s="349"/>
      <c r="NW9" s="349"/>
      <c r="NX9" s="349"/>
      <c r="NY9" s="349"/>
      <c r="NZ9" s="349">
        <f>'May TCM'!NZ42</f>
        <v>15969.430368235247</v>
      </c>
      <c r="OA9" s="349">
        <f>'May TCM'!OA42</f>
        <v>0</v>
      </c>
      <c r="OB9" s="349">
        <f>'May TCM'!OB42</f>
        <v>33479.527327968033</v>
      </c>
      <c r="OC9" s="349">
        <f>'May TCM'!OC42</f>
        <v>0</v>
      </c>
      <c r="OD9" s="349">
        <f>'May TCM'!OD42</f>
        <v>454.51223506073143</v>
      </c>
      <c r="OE9" s="349">
        <f>'May TCM'!OE42</f>
        <v>0</v>
      </c>
      <c r="OF9" s="349">
        <f t="shared" si="1"/>
        <v>49903.469931264015</v>
      </c>
      <c r="OG9" s="349">
        <v>0</v>
      </c>
      <c r="OH9" s="349"/>
      <c r="OI9" s="349">
        <v>0</v>
      </c>
      <c r="OJ9" s="349"/>
      <c r="OK9" s="349">
        <v>0</v>
      </c>
      <c r="OL9" s="349"/>
      <c r="OM9" s="349">
        <v>0</v>
      </c>
      <c r="ON9" s="349"/>
      <c r="OO9" s="349">
        <f>'May TCM'!OO42</f>
        <v>23652.114547773836</v>
      </c>
      <c r="OP9" s="349">
        <f>'May TCM'!OP42</f>
        <v>0</v>
      </c>
      <c r="OQ9" s="349">
        <f>'May TCM'!OQ42</f>
        <v>0</v>
      </c>
      <c r="OR9" s="349"/>
      <c r="OS9" s="349">
        <f t="shared" si="2"/>
        <v>23652.114547773836</v>
      </c>
      <c r="PA9" s="42"/>
      <c r="PB9" s="42"/>
      <c r="PC9" s="42"/>
      <c r="PD9" s="42"/>
      <c r="PE9" s="42"/>
      <c r="PF9" s="42"/>
      <c r="PG9" s="298">
        <f t="shared" si="3"/>
        <v>0</v>
      </c>
      <c r="PH9" s="2621"/>
      <c r="PN9" s="2497">
        <f>'May TCM'!PN42</f>
        <v>27910.505304929466</v>
      </c>
      <c r="PO9" s="2497">
        <f>'May TCM'!PO42</f>
        <v>21227.568559023406</v>
      </c>
      <c r="PQ9" s="2615"/>
      <c r="QG9" s="1137">
        <f>'February TCM'!QE42</f>
        <v>29562.488999999998</v>
      </c>
      <c r="QH9" s="1925">
        <f>'February TCM'!QF42</f>
        <v>406502.85955851001</v>
      </c>
      <c r="QI9" s="1137">
        <f>'February TCM'!QG42</f>
        <v>0</v>
      </c>
      <c r="QJ9" s="1136">
        <v>5505.3678056099998</v>
      </c>
      <c r="QL9" s="2615"/>
      <c r="QN9" s="105"/>
      <c r="QO9" s="105"/>
      <c r="RJ9" s="42">
        <v>45424.161751083164</v>
      </c>
      <c r="RK9" s="42">
        <v>3925.5835498622801</v>
      </c>
      <c r="RL9" s="42">
        <v>9178.5689913333827</v>
      </c>
      <c r="RM9" s="42">
        <f t="shared" ref="RM9:RM40" si="5">SUM(RJ9:RL9)</f>
        <v>58528.314292278832</v>
      </c>
      <c r="RO9" s="866" t="s">
        <v>81</v>
      </c>
      <c r="RP9" s="866" t="s">
        <v>289</v>
      </c>
      <c r="RQ9" s="1135" t="s">
        <v>290</v>
      </c>
      <c r="RR9" s="1135" t="s">
        <v>37</v>
      </c>
      <c r="RS9" s="42" t="s">
        <v>291</v>
      </c>
      <c r="RT9" s="42" t="s">
        <v>292</v>
      </c>
      <c r="RY9" s="1134" t="s">
        <v>293</v>
      </c>
      <c r="SA9" s="1133"/>
      <c r="SB9" s="1133" t="s">
        <v>294</v>
      </c>
      <c r="SC9" s="1133"/>
      <c r="SD9" s="1133" t="s">
        <v>178</v>
      </c>
      <c r="SH9" s="89" t="s">
        <v>293</v>
      </c>
    </row>
    <row r="10" spans="1:502" s="1" customFormat="1" ht="15" customHeight="1">
      <c r="B10" s="471">
        <v>1</v>
      </c>
      <c r="C10" s="4">
        <f t="shared" ref="C10:C40" si="6">+O10+S10+W10+AE10+AI10+AA10</f>
        <v>86268</v>
      </c>
      <c r="D10" s="1590">
        <f>P10+T10+X10+AB10</f>
        <v>4798.7400000000007</v>
      </c>
      <c r="E10" s="1895">
        <f t="shared" ref="E10:E42" si="7">IFERROR(C10/D10,0)</f>
        <v>17.977219019992745</v>
      </c>
      <c r="F10" s="870"/>
      <c r="G10" s="870"/>
      <c r="H10" s="295">
        <v>48</v>
      </c>
      <c r="I10" s="299">
        <v>8.5</v>
      </c>
      <c r="J10" s="48"/>
      <c r="K10" s="50"/>
      <c r="L10" s="48">
        <v>104</v>
      </c>
      <c r="M10" s="60">
        <v>11.5</v>
      </c>
      <c r="N10" s="2629"/>
      <c r="O10" s="4">
        <f>+SUM(AQ10,BC10,AW10)</f>
        <v>49812</v>
      </c>
      <c r="P10" s="1225">
        <f t="shared" ref="P10:P40" si="8">+SUM(AR10,AU10,AX10,BD10)</f>
        <v>3601.6800000000003</v>
      </c>
      <c r="Q10" s="1950">
        <f t="shared" ref="Q10:Q43" si="9">IFERROR(O10/P10,0)</f>
        <v>13.830212567468514</v>
      </c>
      <c r="R10" s="32"/>
      <c r="S10" s="26">
        <f t="shared" ref="S10:S43" si="10">SUM(BF10,BI10,BL10,BY10)</f>
        <v>18958</v>
      </c>
      <c r="T10" s="27">
        <f>+SUM(BZ10,BJ10,BM10,BG10,BN10)</f>
        <v>1017.0600000000001</v>
      </c>
      <c r="U10" s="1919">
        <f t="shared" ref="U10:U44" si="11">IFERROR(S10/T10,0)</f>
        <v>18.640001573161857</v>
      </c>
      <c r="V10" s="25"/>
      <c r="W10" s="1742">
        <f t="shared" ref="W10:X40" si="12">BV10+CE10+BS10</f>
        <v>17498</v>
      </c>
      <c r="X10" s="5">
        <f t="shared" si="12"/>
        <v>180</v>
      </c>
      <c r="Y10" s="1919">
        <f t="shared" ref="Y10:Y43" si="13">IFERROR(W10/X10,0)</f>
        <v>97.211111111111109</v>
      </c>
      <c r="Z10" s="32"/>
      <c r="AA10" s="26">
        <f t="shared" ref="AA10:AA39" si="14">SUM(BP10)</f>
        <v>0</v>
      </c>
      <c r="AB10" s="27">
        <f t="shared" ref="AB10:AB41" si="15">BQ10+CC10</f>
        <v>0</v>
      </c>
      <c r="AC10" s="53">
        <f t="shared" ref="AC10:AC41" si="16">IFERROR(AA10/AB10,0)</f>
        <v>0</v>
      </c>
      <c r="AD10" s="28"/>
      <c r="AE10" s="36"/>
      <c r="AF10" s="36"/>
      <c r="AG10" s="49">
        <f t="shared" ref="AG10:AG42" si="17">IFERROR(AE10/AF10,0)</f>
        <v>0</v>
      </c>
      <c r="AH10" s="25"/>
      <c r="AI10" s="23"/>
      <c r="AJ10" s="24"/>
      <c r="AK10" s="49">
        <f t="shared" ref="AK10:AK43" si="18">IFERROR(AI10/AJ10,0)</f>
        <v>0</v>
      </c>
      <c r="AL10" s="25"/>
      <c r="AM10" s="2629"/>
      <c r="AN10" s="8"/>
      <c r="AO10" s="3"/>
      <c r="AP10" s="60">
        <f t="shared" ref="AP10:AP41" si="19">IFERROR(AN10/AO10,0)</f>
        <v>0</v>
      </c>
      <c r="AQ10" s="35"/>
      <c r="AR10" s="49"/>
      <c r="AS10" s="60">
        <f t="shared" ref="AS10:AS42" si="20">IFERROR(AQ10/AR10,0)</f>
        <v>0</v>
      </c>
      <c r="AT10" s="35"/>
      <c r="AU10" s="24"/>
      <c r="AV10" s="50">
        <f t="shared" ref="AV10:AV41" si="21">IFERROR(AT10/AU10,0)</f>
        <v>0</v>
      </c>
      <c r="AW10" s="1121">
        <v>22092</v>
      </c>
      <c r="AX10" s="24">
        <v>2141.54</v>
      </c>
      <c r="AY10" s="1734">
        <f>IFERROR(AW9/AX10,0)</f>
        <v>0</v>
      </c>
      <c r="AZ10" s="35"/>
      <c r="BA10" s="24"/>
      <c r="BB10" s="60">
        <f t="shared" ref="BB10:BB40" si="22">IFERROR(AZ10/BA10,0)</f>
        <v>0</v>
      </c>
      <c r="BC10" s="1739">
        <v>27720</v>
      </c>
      <c r="BD10" s="1926">
        <v>1460.14</v>
      </c>
      <c r="BE10" s="1734">
        <f t="shared" ref="BE10:BE40" si="23">IFERROR(BC10/BD10,0)</f>
        <v>18.984480940183818</v>
      </c>
      <c r="BF10" s="35"/>
      <c r="BG10" s="49"/>
      <c r="BH10" s="60">
        <f t="shared" ref="BH10:BH40" si="24">IFERROR(BF10/BG10,0)</f>
        <v>0</v>
      </c>
      <c r="BI10" s="35">
        <v>0</v>
      </c>
      <c r="BJ10" s="49">
        <v>0</v>
      </c>
      <c r="BK10" s="60">
        <f t="shared" ref="BK10:BK40" si="25">IFERROR(BI10/BJ10,0)</f>
        <v>0</v>
      </c>
      <c r="BL10" s="1742">
        <v>18958</v>
      </c>
      <c r="BM10" s="1736">
        <v>1017.0600000000001</v>
      </c>
      <c r="BN10" s="2169"/>
      <c r="BO10" s="1734">
        <f t="shared" ref="BO10:BO40" si="26">IFERROR(BL10/BM10,0)</f>
        <v>18.640001573161857</v>
      </c>
      <c r="BP10" s="1132"/>
      <c r="BQ10" s="49"/>
      <c r="BR10" s="60">
        <f t="shared" ref="BR10:BR40" si="27">IFERROR(BP10/BQ10,0)</f>
        <v>0</v>
      </c>
      <c r="BS10" s="35"/>
      <c r="BT10" s="49"/>
      <c r="BU10" s="60">
        <f t="shared" ref="BU10:BU40" si="28">IFERROR(BS10/BT10,0)</f>
        <v>0</v>
      </c>
      <c r="BV10" s="35">
        <v>17498</v>
      </c>
      <c r="BW10" s="24">
        <v>180</v>
      </c>
      <c r="BX10" s="1905">
        <f t="shared" ref="BX10:BX40" si="29">IFERROR(BV10/BW10,0)</f>
        <v>97.211111111111109</v>
      </c>
      <c r="BY10" s="26"/>
      <c r="BZ10" s="24"/>
      <c r="CA10" s="61">
        <f t="shared" ref="CA10:CA43" si="30">IFERROR(BY10/BZ10,0)</f>
        <v>0</v>
      </c>
      <c r="CB10" s="35"/>
      <c r="CC10" s="24"/>
      <c r="CD10" s="60">
        <f t="shared" ref="CD10:CD43" si="31">IFERROR(CB10/CC10,0)</f>
        <v>0</v>
      </c>
      <c r="CE10" s="23"/>
      <c r="CF10" s="1345"/>
      <c r="CG10" s="25">
        <f t="shared" ref="CG10:CG41" si="32">IFERROR(CE10/CF10,0)</f>
        <v>0</v>
      </c>
      <c r="CH10" s="149"/>
      <c r="CI10" s="1131"/>
      <c r="CJ10" s="3"/>
      <c r="CK10" s="3">
        <v>2444</v>
      </c>
      <c r="CL10" s="3"/>
      <c r="CM10" s="3"/>
      <c r="CN10" s="3"/>
      <c r="CO10" s="32"/>
      <c r="CP10" s="366"/>
      <c r="CR10" s="2">
        <f t="shared" ref="CR10:DC31" si="33">SUM(DF10,DS10,EF10)</f>
        <v>0</v>
      </c>
      <c r="CS10" s="8">
        <f t="shared" si="33"/>
        <v>0</v>
      </c>
      <c r="CT10" s="3">
        <f t="shared" si="33"/>
        <v>0</v>
      </c>
      <c r="CU10" s="3">
        <f t="shared" si="33"/>
        <v>0</v>
      </c>
      <c r="CV10" s="3">
        <f t="shared" si="33"/>
        <v>0</v>
      </c>
      <c r="CW10" s="3">
        <f t="shared" si="33"/>
        <v>0</v>
      </c>
      <c r="CX10" s="1408">
        <f t="shared" si="33"/>
        <v>0</v>
      </c>
      <c r="CY10" s="3">
        <f t="shared" si="33"/>
        <v>0</v>
      </c>
      <c r="CZ10" s="3">
        <f t="shared" si="33"/>
        <v>4618.74</v>
      </c>
      <c r="DA10" s="3">
        <f t="shared" si="33"/>
        <v>0</v>
      </c>
      <c r="DB10" s="1408">
        <f t="shared" si="33"/>
        <v>180</v>
      </c>
      <c r="DC10" s="11">
        <f t="shared" si="33"/>
        <v>0</v>
      </c>
      <c r="DD10" s="310">
        <f t="shared" ref="DD10:DD31" si="34">SUM(CR10:DC10,PW10,PX10)</f>
        <v>4798.74</v>
      </c>
      <c r="DE10" s="2695"/>
      <c r="DF10" s="8"/>
      <c r="DG10" s="8"/>
      <c r="DH10" s="3"/>
      <c r="DI10" s="3"/>
      <c r="DJ10" s="3"/>
      <c r="DK10" s="3"/>
      <c r="DL10" s="3">
        <v>0</v>
      </c>
      <c r="DM10" s="3"/>
      <c r="DN10" s="3">
        <v>2141.54</v>
      </c>
      <c r="DO10" s="3"/>
      <c r="DP10" s="3"/>
      <c r="DQ10" s="11"/>
      <c r="DR10" s="1905">
        <f t="shared" ref="DR10:DR40" si="35">SUM(DF10:DQ10)</f>
        <v>2141.54</v>
      </c>
      <c r="DS10" s="35"/>
      <c r="DT10" s="35"/>
      <c r="DU10" s="24"/>
      <c r="DV10" s="24"/>
      <c r="DW10" s="3"/>
      <c r="DX10" s="3"/>
      <c r="DY10" s="3"/>
      <c r="DZ10" s="3"/>
      <c r="EA10" s="3">
        <v>2477.2000000000003</v>
      </c>
      <c r="EB10" s="49"/>
      <c r="EC10" s="24">
        <v>0</v>
      </c>
      <c r="ED10" s="32"/>
      <c r="EE10" s="28">
        <f t="shared" ref="EE10:EE40" si="36">SUM(DS10:ED10)</f>
        <v>2477.2000000000003</v>
      </c>
      <c r="EF10" s="24"/>
      <c r="EG10" s="35"/>
      <c r="EH10" s="3"/>
      <c r="EI10" s="24"/>
      <c r="EJ10" s="24"/>
      <c r="EK10" s="24"/>
      <c r="EL10" s="24"/>
      <c r="EM10" s="24"/>
      <c r="EN10" s="3"/>
      <c r="EO10" s="3"/>
      <c r="EP10" s="3">
        <v>180</v>
      </c>
      <c r="EQ10" s="32"/>
      <c r="ER10" s="25">
        <f t="shared" ref="ER10:ER40" si="37">SUM(EF10:EP10)</f>
        <v>180</v>
      </c>
      <c r="ES10" s="35"/>
      <c r="ET10" s="24"/>
      <c r="EU10" s="24"/>
      <c r="EV10" s="24"/>
      <c r="EW10" s="24"/>
      <c r="EX10" s="24"/>
      <c r="EY10" s="32">
        <f t="shared" ref="EY10:EY40" si="38">SUM(ES10:EX10)</f>
        <v>0</v>
      </c>
      <c r="EZ10" s="2685"/>
      <c r="FB10" s="2">
        <f t="shared" ref="FB10:FB40" si="39">+FN10</f>
        <v>0</v>
      </c>
      <c r="FC10" s="3">
        <f t="shared" ref="FC10:FC40" si="40">+FU10</f>
        <v>0</v>
      </c>
      <c r="FD10" s="3">
        <f t="shared" ref="FD10:FD40" si="41">+GH10</f>
        <v>0</v>
      </c>
      <c r="FE10" s="11">
        <f t="shared" ref="FE10:FE40" si="42">SUM(FB10:FD10)</f>
        <v>0</v>
      </c>
      <c r="FF10" s="32"/>
      <c r="FG10" s="2674"/>
      <c r="FH10" s="8"/>
      <c r="FI10" s="3"/>
      <c r="FJ10" s="3"/>
      <c r="FK10" s="3"/>
      <c r="FL10" s="3"/>
      <c r="FM10" s="24"/>
      <c r="FN10" s="25">
        <f t="shared" ref="FN10:FN40" si="43">SUM(FH10:FM10)</f>
        <v>0</v>
      </c>
      <c r="FO10" s="35"/>
      <c r="FP10" s="24"/>
      <c r="FQ10" s="24"/>
      <c r="FR10" s="24"/>
      <c r="FS10" s="24"/>
      <c r="FT10" s="24"/>
      <c r="FU10" s="25">
        <f t="shared" ref="FU10:FU40" si="44">SUM(FO10:FT10)</f>
        <v>0</v>
      </c>
      <c r="FV10" s="35"/>
      <c r="FW10" s="35"/>
      <c r="FX10" s="24"/>
      <c r="FY10" s="24"/>
      <c r="FZ10" s="24"/>
      <c r="GA10" s="24"/>
      <c r="GB10" s="24"/>
      <c r="GC10" s="24"/>
      <c r="GD10" s="24"/>
      <c r="GE10" s="24"/>
      <c r="GF10" s="24"/>
      <c r="GG10" s="32"/>
      <c r="GH10" s="32">
        <f t="shared" ref="GH10:GH40" si="45">SUM(FV10:GF10)</f>
        <v>0</v>
      </c>
      <c r="GI10" s="2674"/>
      <c r="GK10" s="2">
        <f>+HM10</f>
        <v>349.76</v>
      </c>
      <c r="GL10" s="63">
        <f>+IQ10</f>
        <v>839.85</v>
      </c>
      <c r="GM10" s="24">
        <f>+JF10</f>
        <v>2736.3200000000006</v>
      </c>
      <c r="GN10" s="1926">
        <f t="shared" ref="GN10:GN40" si="46">SUM(GK10:GM10)</f>
        <v>3925.9300000000007</v>
      </c>
      <c r="GO10" s="140"/>
      <c r="GP10" s="140"/>
      <c r="GQ10" s="1130" t="s">
        <v>295</v>
      </c>
      <c r="GR10" s="2667"/>
      <c r="GS10" s="1739">
        <v>0</v>
      </c>
      <c r="GT10" s="1721">
        <v>0</v>
      </c>
      <c r="GU10" s="1721">
        <v>1518.92</v>
      </c>
      <c r="GV10" s="1721">
        <v>2407.0100000000002</v>
      </c>
      <c r="GW10" s="1722">
        <f t="shared" ref="GW10:GW40" si="47">SUM(GS10:GV10)</f>
        <v>3925.9300000000003</v>
      </c>
      <c r="GX10" s="2667"/>
      <c r="GY10" s="35"/>
      <c r="GZ10" s="35"/>
      <c r="HA10" s="24"/>
      <c r="HB10" s="24"/>
      <c r="HC10" s="24"/>
      <c r="HD10" s="24"/>
      <c r="HE10" s="24"/>
      <c r="HF10" s="24"/>
      <c r="HG10" s="24">
        <v>349.76</v>
      </c>
      <c r="HH10" s="24"/>
      <c r="HI10" s="24">
        <v>0</v>
      </c>
      <c r="HJ10" s="24"/>
      <c r="HK10" s="24">
        <v>0</v>
      </c>
      <c r="HL10" s="24"/>
      <c r="HM10" s="25">
        <f t="shared" ref="HM10:HM16" si="48">SUM(GY10:HL10)</f>
        <v>349.76</v>
      </c>
      <c r="HN10" s="35"/>
      <c r="HO10" s="24"/>
      <c r="HP10" s="24"/>
      <c r="HQ10" s="24"/>
      <c r="HR10" s="24"/>
      <c r="HS10" s="24"/>
      <c r="HT10" s="24" cm="1">
        <f t="array" ref="HT10">SUMPRODUCT(('Data Base hauling'!$C$2:$C$216="TCM-ROM SB1 BK05-ROM 4")*(ISNUMBER(SEARCH(TEXT('June TCM'!$B10,"00")&amp;"/03/2026",'Data Base hauling'!$E$2:$E$216)))*'Data Base hauling'!$N$2:$N$216)</f>
        <v>0</v>
      </c>
      <c r="HU10" s="24"/>
      <c r="HV10" s="24" cm="1">
        <f t="array" ref="HV10">SUMPRODUCT(('Data Base hauling'!$C$2:$C$216="TCM-ROM SB1 BK05-ROM 5")*(ISNUMBER(SEARCH(TEXT('June TCM'!$B10,"00")&amp;"/03/2026",'Data Base hauling'!$E$2:$E$216)))*'Data Base hauling'!$N$2:$N$216)</f>
        <v>0</v>
      </c>
      <c r="HW10" s="24"/>
      <c r="HX10" s="24"/>
      <c r="HY10" s="24"/>
      <c r="HZ10" s="24"/>
      <c r="IA10" s="24"/>
      <c r="IB10" s="32">
        <f t="shared" ref="IB10:IB42" si="49">SUM(HN10:IA10)</f>
        <v>0</v>
      </c>
      <c r="IC10" s="48"/>
      <c r="ID10" s="1129"/>
      <c r="IE10" s="49"/>
      <c r="IF10" s="49"/>
      <c r="IG10" s="49"/>
      <c r="IH10" s="49"/>
      <c r="II10" s="1926">
        <v>0</v>
      </c>
      <c r="IJ10" s="1926"/>
      <c r="IK10" s="1926">
        <v>839.85</v>
      </c>
      <c r="IL10" s="49"/>
      <c r="IM10" s="49">
        <v>0</v>
      </c>
      <c r="IN10" s="49"/>
      <c r="IO10" s="49"/>
      <c r="IP10" s="49">
        <f>SUMPRODUCT(('Data Base hauling'!$C$2:$C$216="TCM-HAC1 (Production)-ROM 2(HAC)")*(ISNUMBER(SEARCH(TEXT('June TCM'!$B10,"00")&amp;"/06/2026",'Data Base hauling'!$E$2:$E$216)))*'Data Base hauling'!$N$2:$N$216)</f>
        <v>0</v>
      </c>
      <c r="IQ10" s="2195">
        <f t="shared" ref="IQ10:IQ16" si="50">SUM(IC10:IP10)</f>
        <v>839.85</v>
      </c>
      <c r="IR10" s="35"/>
      <c r="IS10" s="35"/>
      <c r="IT10" s="24"/>
      <c r="IU10" s="24"/>
      <c r="IV10" s="49"/>
      <c r="IW10" s="24"/>
      <c r="IX10" s="24">
        <v>0</v>
      </c>
      <c r="IY10" s="24"/>
      <c r="IZ10" s="24">
        <v>2736.3200000000006</v>
      </c>
      <c r="JA10" s="24"/>
      <c r="JB10" s="24">
        <v>0</v>
      </c>
      <c r="JC10" s="24"/>
      <c r="JD10" s="24"/>
      <c r="JE10" s="24"/>
      <c r="JF10" s="32">
        <f t="shared" ref="JF10" si="51">SUM(IR10:JE10)</f>
        <v>2736.3200000000006</v>
      </c>
      <c r="JG10" s="2667"/>
      <c r="JI10" s="2014">
        <v>3925.9300000000003</v>
      </c>
      <c r="JJ10" s="2015">
        <v>0</v>
      </c>
      <c r="JK10" s="49"/>
      <c r="JL10" s="1736">
        <f t="shared" ref="JL10:JL40" si="52">+JI10+JK10+JJ10</f>
        <v>3925.9300000000003</v>
      </c>
      <c r="JM10" s="32"/>
      <c r="JN10" s="2669"/>
      <c r="JO10" s="66">
        <v>0</v>
      </c>
      <c r="JP10" s="67">
        <v>0</v>
      </c>
      <c r="JQ10" s="67">
        <v>0</v>
      </c>
      <c r="JR10" s="67">
        <v>0</v>
      </c>
      <c r="JS10" s="67">
        <v>1</v>
      </c>
      <c r="JT10" s="67">
        <v>0</v>
      </c>
      <c r="JU10" s="67">
        <v>0</v>
      </c>
      <c r="JV10" s="1921">
        <v>0</v>
      </c>
      <c r="JW10" s="66" t="s">
        <v>296</v>
      </c>
      <c r="JX10" s="67" t="s">
        <v>296</v>
      </c>
      <c r="JY10" s="67" t="s">
        <v>296</v>
      </c>
      <c r="JZ10" s="67" t="s">
        <v>296</v>
      </c>
      <c r="KA10" s="67" t="s">
        <v>296</v>
      </c>
      <c r="KB10" s="67" t="s">
        <v>296</v>
      </c>
      <c r="KC10" s="67" t="s">
        <v>296</v>
      </c>
      <c r="KD10" s="68" t="s">
        <v>296</v>
      </c>
      <c r="KE10" s="66"/>
      <c r="KF10" s="67"/>
      <c r="KG10" s="67"/>
      <c r="KH10" s="67"/>
      <c r="KI10" s="67"/>
      <c r="KJ10" s="67"/>
      <c r="KK10" s="67"/>
      <c r="KL10" s="67"/>
      <c r="KM10" s="32"/>
      <c r="KN10" s="2669"/>
      <c r="KO10" s="2203">
        <v>6915</v>
      </c>
      <c r="KP10" s="1721">
        <v>0.89</v>
      </c>
      <c r="KQ10" s="1721">
        <v>2.9</v>
      </c>
      <c r="KR10" s="1721">
        <v>7.41</v>
      </c>
      <c r="KS10" s="1722">
        <v>11.4</v>
      </c>
      <c r="KT10" s="1958">
        <v>0</v>
      </c>
      <c r="KU10" s="1961">
        <v>0</v>
      </c>
      <c r="KV10" s="1961">
        <v>0</v>
      </c>
      <c r="KW10" s="1961">
        <v>0</v>
      </c>
      <c r="KX10" s="1962">
        <v>0</v>
      </c>
      <c r="KY10" s="35"/>
      <c r="KZ10" s="49"/>
      <c r="LA10" s="49"/>
      <c r="LB10" s="49"/>
      <c r="LC10" s="49"/>
      <c r="LD10" s="32"/>
      <c r="LE10" s="2669"/>
      <c r="LG10" s="998">
        <f t="shared" ref="LG10:LI40" si="53">SUM(LR10,LX10,MJ10,MP10+MD10)</f>
        <v>0</v>
      </c>
      <c r="LH10" s="27">
        <f t="shared" si="53"/>
        <v>0</v>
      </c>
      <c r="LI10" s="27">
        <f t="shared" si="53"/>
        <v>0</v>
      </c>
      <c r="LJ10" s="28">
        <f t="shared" ref="LJ10:LJ40" si="54">SUM(LG10:LI10)</f>
        <v>0</v>
      </c>
      <c r="LK10" s="35"/>
      <c r="LL10" s="24">
        <v>1</v>
      </c>
      <c r="LM10" s="24">
        <v>3</v>
      </c>
      <c r="LN10" s="32"/>
      <c r="LO10" s="1030">
        <v>7.1</v>
      </c>
      <c r="LP10" s="1128" t="s">
        <v>297</v>
      </c>
      <c r="LQ10" s="2688"/>
      <c r="LR10" s="35"/>
      <c r="LS10" s="35"/>
      <c r="LT10" s="24"/>
      <c r="LU10" s="24"/>
      <c r="LV10" s="24"/>
      <c r="LW10" s="1117">
        <f t="shared" ref="LW10:LW40" si="55">SUM(LR10:LV10)</f>
        <v>0</v>
      </c>
      <c r="LX10" s="35"/>
      <c r="LY10" s="35"/>
      <c r="LZ10" s="24"/>
      <c r="MA10" s="24"/>
      <c r="MB10" s="417"/>
      <c r="MC10" s="28">
        <f t="shared" ref="MC10:MC40" si="56">SUM(LX10:MB10)</f>
        <v>0</v>
      </c>
      <c r="MD10" s="23"/>
      <c r="ME10" s="35"/>
      <c r="MF10" s="24"/>
      <c r="MG10" s="24"/>
      <c r="MH10" s="24"/>
      <c r="MI10" s="25"/>
      <c r="MJ10" s="35"/>
      <c r="MK10" s="35"/>
      <c r="ML10" s="24"/>
      <c r="MM10" s="24"/>
      <c r="MN10" s="24"/>
      <c r="MO10" s="25"/>
      <c r="MP10" s="35"/>
      <c r="MQ10" s="35"/>
      <c r="MR10" s="24"/>
      <c r="MS10" s="24"/>
      <c r="MT10" s="24"/>
      <c r="MU10" s="32">
        <f t="shared" ref="MU10:MU40" si="57">SUM(MP10:MT10)</f>
        <v>0</v>
      </c>
      <c r="MV10" s="2688"/>
      <c r="MX10" s="23">
        <f t="shared" ref="MX10:MX40" si="58">+NF10</f>
        <v>148982.31422972266</v>
      </c>
      <c r="MY10" s="24">
        <f t="shared" ref="MY10:MY40" si="59">+SUM(NS10,OF10,OS10,OZ10,PG10)</f>
        <v>113598.26785017917</v>
      </c>
      <c r="MZ10" s="24">
        <f t="shared" ref="MZ10:MZ40" si="60">+PO10</f>
        <v>21227.568559023406</v>
      </c>
      <c r="NA10" s="333">
        <f t="shared" ref="NA10:NA40" si="61">+SUM(QG10,QH10,QI10)</f>
        <v>435890.04855851003</v>
      </c>
      <c r="NB10" s="2621"/>
      <c r="NC10" s="23">
        <f t="shared" ref="NC10:NC17" si="62">+NC9+JI10-LG10-LI10</f>
        <v>68860.027942786255</v>
      </c>
      <c r="ND10" s="1655">
        <f t="shared" ref="ND10:ND17" si="63">+ND9+JJ10-LH10</f>
        <v>80122.286286936403</v>
      </c>
      <c r="NE10" s="60">
        <f t="shared" ref="NE10:NE40" si="64">+NE9+JK10</f>
        <v>0</v>
      </c>
      <c r="NF10" s="274">
        <f t="shared" si="4"/>
        <v>148982.31422972266</v>
      </c>
      <c r="NG10" s="23">
        <f t="shared" ref="NG10:NP25" si="65">+NG9+EF10-GY10</f>
        <v>0</v>
      </c>
      <c r="NH10" s="23">
        <f t="shared" si="65"/>
        <v>0</v>
      </c>
      <c r="NI10" s="24">
        <f t="shared" si="65"/>
        <v>0</v>
      </c>
      <c r="NJ10" s="24">
        <f t="shared" si="65"/>
        <v>0</v>
      </c>
      <c r="NK10" s="24">
        <f t="shared" si="65"/>
        <v>0</v>
      </c>
      <c r="NL10" s="24">
        <f t="shared" si="65"/>
        <v>0</v>
      </c>
      <c r="NM10" s="24">
        <f>+NM9+EL10-HE10</f>
        <v>0</v>
      </c>
      <c r="NN10" s="24">
        <f t="shared" si="65"/>
        <v>0</v>
      </c>
      <c r="NO10" s="24">
        <f>+NO9+EN10-HG10</f>
        <v>1828.3342192005614</v>
      </c>
      <c r="NP10" s="24">
        <f t="shared" si="65"/>
        <v>26196.696072681989</v>
      </c>
      <c r="NQ10" s="24">
        <f>'May TCM'!NQ42</f>
        <v>8756.5482322711578</v>
      </c>
      <c r="NR10" s="24">
        <f>+NR9+EP10-HI10</f>
        <v>2218.5348469876017</v>
      </c>
      <c r="NS10" s="24">
        <f t="shared" si="0"/>
        <v>39000.113371141313</v>
      </c>
      <c r="NT10" s="27">
        <f t="shared" ref="NT10:OB25" si="66">+NT9+DF10-IC10</f>
        <v>0</v>
      </c>
      <c r="NU10" s="280">
        <f t="shared" si="66"/>
        <v>0</v>
      </c>
      <c r="NV10" s="1127">
        <f t="shared" si="66"/>
        <v>0</v>
      </c>
      <c r="NW10" s="280">
        <f t="shared" si="66"/>
        <v>0</v>
      </c>
      <c r="NX10" s="27">
        <f t="shared" si="66"/>
        <v>0</v>
      </c>
      <c r="NY10" s="27">
        <f t="shared" si="66"/>
        <v>0</v>
      </c>
      <c r="NZ10" s="27">
        <f t="shared" si="66"/>
        <v>15969.430368235247</v>
      </c>
      <c r="OA10" s="27">
        <f t="shared" si="66"/>
        <v>0</v>
      </c>
      <c r="OB10" s="27">
        <f t="shared" si="66"/>
        <v>34781.217327968036</v>
      </c>
      <c r="OC10" s="280"/>
      <c r="OD10" s="24">
        <f t="shared" ref="OD10:OE25" si="67">+OD9+DP10-IM10</f>
        <v>454.51223506073143</v>
      </c>
      <c r="OE10" s="24">
        <f t="shared" si="67"/>
        <v>0</v>
      </c>
      <c r="OF10" s="24">
        <f t="shared" si="1"/>
        <v>51205.159931264017</v>
      </c>
      <c r="OG10" s="24">
        <f t="shared" ref="OG10:OR25" si="68">+OG9+DS10+FV10-IR10</f>
        <v>0</v>
      </c>
      <c r="OH10" s="24">
        <f t="shared" si="68"/>
        <v>0</v>
      </c>
      <c r="OI10" s="24">
        <f t="shared" si="68"/>
        <v>0</v>
      </c>
      <c r="OJ10" s="24">
        <f t="shared" si="68"/>
        <v>0</v>
      </c>
      <c r="OK10" s="27">
        <f t="shared" si="68"/>
        <v>0</v>
      </c>
      <c r="OL10" s="24">
        <f t="shared" si="68"/>
        <v>0</v>
      </c>
      <c r="OM10" s="24">
        <f t="shared" si="68"/>
        <v>0</v>
      </c>
      <c r="ON10" s="24">
        <f t="shared" si="68"/>
        <v>0</v>
      </c>
      <c r="OO10" s="24">
        <f>+OO9+EA10+GD10+QF10-IZ10</f>
        <v>23392.994547773837</v>
      </c>
      <c r="OP10" s="24">
        <f t="shared" si="68"/>
        <v>0</v>
      </c>
      <c r="OQ10" s="24">
        <f t="shared" si="68"/>
        <v>0</v>
      </c>
      <c r="OR10" s="24">
        <f t="shared" si="68"/>
        <v>0</v>
      </c>
      <c r="OS10" s="25">
        <f t="shared" si="2"/>
        <v>23392.994547773837</v>
      </c>
      <c r="OT10" s="35"/>
      <c r="OU10" s="24"/>
      <c r="OV10" s="24"/>
      <c r="OW10" s="24"/>
      <c r="OX10" s="24"/>
      <c r="OY10" s="24"/>
      <c r="OZ10" s="25">
        <f t="shared" ref="OZ10:OZ40" si="69">SUM(OT10:OY10)</f>
        <v>0</v>
      </c>
      <c r="PA10" s="35">
        <f t="shared" ref="PA10:PA40" si="70">+PA9+ES10-FV10</f>
        <v>0</v>
      </c>
      <c r="PB10" s="24">
        <f t="shared" ref="PB10:PB40" si="71">+PB9+ET10-FX10</f>
        <v>0</v>
      </c>
      <c r="PC10" s="24">
        <f t="shared" ref="PC10:PC40" si="72">+PC9+EU10-FZ10</f>
        <v>0</v>
      </c>
      <c r="PD10" s="24">
        <f t="shared" ref="PD10:PD40" si="73">+PD9+EV10-GB10</f>
        <v>0</v>
      </c>
      <c r="PE10" s="24"/>
      <c r="PF10" s="24">
        <f t="shared" ref="PF10:PF40" si="74">+PF9+EX10-GF10</f>
        <v>0</v>
      </c>
      <c r="PG10" s="32">
        <f t="shared" si="3"/>
        <v>0</v>
      </c>
      <c r="PH10" s="2621"/>
      <c r="PJ10" s="1907">
        <v>175.29999999999998</v>
      </c>
      <c r="PK10" s="3">
        <v>0</v>
      </c>
      <c r="PL10" s="3">
        <v>0</v>
      </c>
      <c r="PM10" s="3">
        <v>0</v>
      </c>
      <c r="PN10" s="3">
        <v>27251.589776580688</v>
      </c>
      <c r="PO10" s="11">
        <f t="shared" ref="PO10:PO40" si="75">PO9+PL10-PM10</f>
        <v>21227.568559023406</v>
      </c>
      <c r="PP10" s="14"/>
      <c r="PQ10" s="2615"/>
      <c r="PS10" s="2"/>
      <c r="PT10" s="8"/>
      <c r="PU10" s="8"/>
      <c r="PV10" s="8"/>
      <c r="PW10" s="8">
        <v>0</v>
      </c>
      <c r="PX10" s="8"/>
      <c r="PY10" s="8">
        <f t="shared" ref="PY10:PY40" si="76">SUM(PV10:PX10)</f>
        <v>0</v>
      </c>
      <c r="PZ10" s="3">
        <f t="shared" ref="PZ10:PZ40" si="77">+PJ10</f>
        <v>175.29999999999998</v>
      </c>
      <c r="QA10" s="3"/>
      <c r="QB10" s="3"/>
      <c r="QC10" s="3"/>
      <c r="QD10" s="3"/>
      <c r="QE10" s="3"/>
      <c r="QF10" s="11"/>
      <c r="QG10" s="11">
        <f t="shared" ref="QG10:QG40" si="78">+QG9+PS10-HL10</f>
        <v>29562.488999999998</v>
      </c>
      <c r="QH10" s="420">
        <f t="shared" ref="QH10:QH40" si="79">+QH9+PV10+PW10-IP10-PZ10</f>
        <v>406327.55955851002</v>
      </c>
      <c r="QI10" s="1106">
        <f t="shared" ref="QI10:QI40" si="80">+QI9+PY10-QE10</f>
        <v>0</v>
      </c>
      <c r="QJ10" s="484">
        <f t="shared" ref="QJ10:QJ40" si="81">QJ9-QD10</f>
        <v>5505.3678056099998</v>
      </c>
      <c r="QK10" s="11"/>
      <c r="QL10" s="2615"/>
      <c r="QN10" s="139">
        <f t="shared" ref="QN10:QN40" si="82">IF(JI10=0,"",(IFERROR(IF(1-ABS(1-(JO10/JO$43))&lt;0,0,1-ABS(1-(JO10/JO$43))),0)*JO$43)+(IFERROR(IF(1-ABS(1-(JP10/JP$43))&lt;0,0,1-ABS(1-(JP10/JP$43))),0)*JP$43)+(IFERROR(IF(1-ABS(1-(JQ10/JQ$43))&lt;0,0,1-ABS(1-(JQ10/JQ$43))),0)*JQ$43)+(IFERROR(IF(1-ABS(1-(JR10/JR$43))&lt;0,0,1-ABS(1-(JR10/JR$43))),0)*JR$43)+(IFERROR(IF(1-ABS(1-(JS10/JS$43))&lt;0,0,1-ABS(1-(JS10/JS$43))),0)*JS$43)+(IFERROR(IF(1-ABS(1-(JT10/JT$43))&lt;0,0,1-ABS(1-(JT10/JT$43))),0)*JT$43)+(IFERROR(IF(1-ABS(1-(JU10/JU$43))&lt;0,0,1-ABS(1-(JU10/JU$43))),0)*JU$43)+(IFERROR(IF(1-ABS(1-(JV10/JV$43))&lt;0,0,1-ABS(1-(JV10/JV$43))),0)*JV$43))</f>
        <v>0</v>
      </c>
      <c r="QO10" s="139" t="str">
        <f t="shared" ref="QO10:QO40" si="83">IF(JK10=0,"",(IFERROR(IF(1-ABS(1-(KE10/KE$43))&lt;0,0,1-ABS(1-(KE10/KE$43))),0)*KE$43)+(IFERROR(IF(1-ABS(1-(KF10/KF$43))&lt;0,0,1-ABS(1-(KF10/KF$43))),0)*KF$43)+(IFERROR(IF(1-ABS(1-(KG10/KG$43))&lt;0,0,1-ABS(1-(KG10/KG$43))),0)*KG$43)+(IFERROR(IF(1-ABS(1-(KH10/KH$43))&lt;0,0,1-ABS(1-(KH10/KH$43))),0)*KH$43)+(IFERROR(IF(1-ABS(1-(KI10/KI$43))&lt;0,0,1-ABS(1-(KI10/KI$43))),0)*KI$43)+(IFERROR(IF(1-ABS(1-(KJ10/KJ$43))&lt;0,0,1-ABS(1-(KJ10/KJ$43))),0)*KJ$43)+(IFERROR(IF(1-ABS(1-(KK10/KK$43))&lt;0,0,1-ABS(1-(KK10/KK$43))),0)*KK$43)+(IFERROR(IF(1-ABS(1-(KL10/KL$43))&lt;0,0,1-ABS(1-(KL10/KL$43))),0)*KL$43))</f>
        <v/>
      </c>
      <c r="QQ10" s="139">
        <f t="shared" ref="QQ10:QQ40" si="84">IF(JL10&gt;0,SUMPRODUCT(QT10:QY10,$JO$43:$JT$43),"")</f>
        <v>0</v>
      </c>
      <c r="QR10" s="139">
        <f t="shared" ref="QR10:QR40" si="85">IF(JL10&gt;0,SUMPRODUCT(RA10:RF10,$KE$43:$KJ$43),"")</f>
        <v>0</v>
      </c>
      <c r="QT10" s="1">
        <f t="shared" ref="QT10:QT40" si="86">IF(NT$43=0,0,IF(SUM(NT10,OG10)-NT$8-OG$8&gt;NT$43,1,(SUM(NT10,OG10)-NT$8-OG$8)/NT$43))</f>
        <v>0</v>
      </c>
      <c r="QU10" s="1">
        <f t="shared" ref="QU10:QU40" si="87">IF(NV$43=0,0,IF(SUM(NV10,OI10)-NV$8-OI$8&gt;NV$43,1,(SUM(NV10,OI10)-NV$8-OI$8)/NV$43))</f>
        <v>0</v>
      </c>
      <c r="QV10" s="1">
        <f t="shared" ref="QV10:QV40" si="88">IF(NX$43=0,0,IF(SUM(NX10,OK10)-NX$8-OK$8&gt;NX$43,1,(SUM(NX10,OK10)-NX$8-OK$8)/NX$43))</f>
        <v>0</v>
      </c>
      <c r="QW10" s="1">
        <f t="shared" ref="QW10:QW40" si="89">IF(NZ$43=0,0,IF(SUM(NZ10,OM10)-NZ$8-OM$8&gt;NZ$43,1,(SUM(NZ10,OM10)-NZ$8-OM$8)/NZ$43))</f>
        <v>0</v>
      </c>
      <c r="QX10" s="1">
        <f t="shared" ref="QX10:QX40" si="90">IF(OB$43=0,0,IF(SUM(OB10,OO10)-OB$8-OO$8&gt;OB$43,1,(SUM(OB10,OO10)-OB$8-OO$8)/OB$43))</f>
        <v>0</v>
      </c>
      <c r="QY10" s="1">
        <f t="shared" ref="QY10:QY40" si="91">IF(OD$43=0,0,IF(SUM(OD10,OQ10)-OD$8-OQ$8&gt;OD$43,1,(SUM(OD10,OQ10)-OD$8-OQ$8)/OD$43))</f>
        <v>0</v>
      </c>
      <c r="RA10" s="1">
        <f t="shared" ref="RA10:RA40" si="92">+IF(NT$43=0,0,IF(SUM(NT10,OG10)-NT$8-OG$8&gt;NT$43,1,(SUM(NT10,OG10)-NT$8-OG$8)/NT$43))</f>
        <v>0</v>
      </c>
      <c r="RB10" s="1">
        <f t="shared" ref="RB10:RB40" si="93">+IF(NV$43=0,0,IF(SUM(NV10,OI10)-NV$8-OI$8&gt;NV$43,1,(SUM(NV10,OI10)-NV$8-OI$8)/NV$43))</f>
        <v>0</v>
      </c>
      <c r="RC10" s="1">
        <f t="shared" ref="RC10:RC40" si="94">+IF(NX$43=0,0,IF(SUM(NX10,OK10)-NX$8-OK$8&gt;NX$43,1,(SUM(NX10,OK10)-NX$8-OK$8)/NX$43))</f>
        <v>0</v>
      </c>
      <c r="RD10" s="1">
        <f t="shared" ref="RD10:RD40" si="95">+IF(NZ$43=0,0,IF(SUM(NZ10,OM10)-NZ$8-OM$8&gt;NZ$43,1,(SUM(NZ10,OM10)-NZ$8-OM$8)/NZ$43))</f>
        <v>0</v>
      </c>
      <c r="RE10" s="1">
        <f t="shared" ref="RE10:RE40" si="96">+IF(OB$43=0,0,IF(SUM(OB10,OO10)-OB$8-OO$8&gt;OB$43,1,(SUM(OB10,OO10)-OB$8-OO$8)/OB$43))</f>
        <v>0</v>
      </c>
      <c r="RF10" s="1">
        <f t="shared" ref="RF10:RF40" si="97">+IF(OD$43=0,0,IF(SUM(OD10,OQ10)-OD$8-OQ$8&gt;OD$43,1,(SUM(OD10,OQ10)-OD$8-OQ$8)/OD$43))</f>
        <v>0</v>
      </c>
      <c r="RI10" s="1">
        <v>1</v>
      </c>
      <c r="RJ10" s="1">
        <f t="shared" ref="RJ10:RL17" si="98">+RJ9+JI10-LG10</f>
        <v>49350.091751083164</v>
      </c>
      <c r="RK10" s="1">
        <f t="shared" si="98"/>
        <v>3925.5835498622801</v>
      </c>
      <c r="RL10" s="1">
        <f t="shared" si="98"/>
        <v>9178.5689913333827</v>
      </c>
      <c r="RM10" s="89">
        <f t="shared" si="5"/>
        <v>62454.244292278825</v>
      </c>
      <c r="RN10" s="1033">
        <v>1</v>
      </c>
      <c r="RO10" s="1098">
        <f t="shared" ref="RO10:RO40" si="99">BQ10</f>
        <v>0</v>
      </c>
      <c r="RP10" s="1098">
        <f t="shared" ref="RP10:RQ40" si="100">PW10</f>
        <v>0</v>
      </c>
      <c r="RQ10" s="1097">
        <f t="shared" si="100"/>
        <v>0</v>
      </c>
      <c r="RR10" s="1097">
        <f t="shared" ref="RR10:RR40" si="101">BG10+AX10+BJ10+BM10+BZ10+BD10-PX10</f>
        <v>4618.74</v>
      </c>
      <c r="RS10" s="1094"/>
      <c r="RT10" s="1094" t="s">
        <v>298</v>
      </c>
      <c r="RW10" s="421">
        <v>1</v>
      </c>
      <c r="RX10" s="1095">
        <f t="shared" ref="RX10:RX40" si="102">GW10</f>
        <v>3925.9300000000003</v>
      </c>
      <c r="RY10" s="1094" t="s">
        <v>299</v>
      </c>
      <c r="SA10" s="1090"/>
      <c r="SB10" s="1090">
        <f t="shared" ref="SB10:SB40" si="103">(DR10+EE10)-(RO10+RR10)</f>
        <v>0</v>
      </c>
      <c r="SC10" s="1090"/>
      <c r="SD10" s="1090">
        <f t="shared" ref="SD10:SD17" si="104">JL10-RX10</f>
        <v>0</v>
      </c>
      <c r="SF10" s="1">
        <v>1</v>
      </c>
      <c r="SG10" s="1">
        <f t="shared" ref="SG10:SG40" si="105">PM10</f>
        <v>0</v>
      </c>
    </row>
    <row r="11" spans="1:502" s="1" customFormat="1">
      <c r="B11" s="471">
        <v>2</v>
      </c>
      <c r="C11" s="4">
        <f t="shared" si="6"/>
        <v>109694</v>
      </c>
      <c r="D11" s="1590">
        <f t="shared" ref="D11:D15" si="106">P11+T11+X11+AB11</f>
        <v>6311.0199999999995</v>
      </c>
      <c r="E11" s="1895">
        <f t="shared" si="7"/>
        <v>17.381342477127312</v>
      </c>
      <c r="F11" s="870"/>
      <c r="G11" s="870"/>
      <c r="H11" s="52">
        <v>9</v>
      </c>
      <c r="I11" s="61">
        <v>4.5</v>
      </c>
      <c r="J11" s="52"/>
      <c r="K11" s="54"/>
      <c r="L11" s="52">
        <v>20</v>
      </c>
      <c r="M11" s="61">
        <v>6</v>
      </c>
      <c r="N11" s="2629"/>
      <c r="O11" s="4">
        <f>+SUM(AQ11,BC11,AW11)</f>
        <v>66108</v>
      </c>
      <c r="P11" s="1225">
        <f t="shared" si="8"/>
        <v>5000.8999999999996</v>
      </c>
      <c r="Q11" s="1951">
        <f t="shared" si="9"/>
        <v>13.219220540302747</v>
      </c>
      <c r="R11" s="33"/>
      <c r="S11" s="26">
        <f t="shared" si="10"/>
        <v>23212</v>
      </c>
      <c r="T11" s="27">
        <f t="shared" ref="T11:T40" si="107">+SUM(BZ11,BJ11,BM11,BG11,BN11)</f>
        <v>1250.1199999999999</v>
      </c>
      <c r="U11" s="1909">
        <f t="shared" si="11"/>
        <v>18.567817489521008</v>
      </c>
      <c r="V11" s="28"/>
      <c r="W11" s="1742">
        <f t="shared" si="12"/>
        <v>20374</v>
      </c>
      <c r="X11" s="5">
        <f t="shared" si="12"/>
        <v>60</v>
      </c>
      <c r="Y11" s="1909">
        <f t="shared" si="13"/>
        <v>339.56666666666666</v>
      </c>
      <c r="Z11" s="33"/>
      <c r="AA11" s="26">
        <f t="shared" si="14"/>
        <v>0</v>
      </c>
      <c r="AB11" s="27">
        <f t="shared" si="15"/>
        <v>0</v>
      </c>
      <c r="AC11" s="53">
        <f t="shared" si="16"/>
        <v>0</v>
      </c>
      <c r="AD11" s="28"/>
      <c r="AE11" s="36"/>
      <c r="AF11" s="36"/>
      <c r="AG11" s="53">
        <f t="shared" si="17"/>
        <v>0</v>
      </c>
      <c r="AH11" s="28"/>
      <c r="AI11" s="26"/>
      <c r="AJ11" s="27"/>
      <c r="AK11" s="53">
        <f t="shared" si="18"/>
        <v>0</v>
      </c>
      <c r="AL11" s="28"/>
      <c r="AM11" s="2629"/>
      <c r="AN11" s="9"/>
      <c r="AO11" s="5"/>
      <c r="AP11" s="61">
        <f t="shared" si="19"/>
        <v>0</v>
      </c>
      <c r="AQ11" s="36"/>
      <c r="AR11" s="53"/>
      <c r="AS11" s="61">
        <f t="shared" si="20"/>
        <v>0</v>
      </c>
      <c r="AT11" s="36"/>
      <c r="AU11" s="27"/>
      <c r="AV11" s="54">
        <f t="shared" si="21"/>
        <v>0</v>
      </c>
      <c r="AW11" s="1">
        <v>34902</v>
      </c>
      <c r="AX11" s="27">
        <v>3240.04</v>
      </c>
      <c r="AY11" s="1735">
        <f>IFERROR(AW10/AX11,0)</f>
        <v>6.8184343403167862</v>
      </c>
      <c r="AZ11" s="36"/>
      <c r="BA11" s="27"/>
      <c r="BB11" s="61">
        <f t="shared" si="22"/>
        <v>0</v>
      </c>
      <c r="BC11" s="1740">
        <v>31206</v>
      </c>
      <c r="BD11" s="1926">
        <v>1760.8600000000001</v>
      </c>
      <c r="BE11" s="1735">
        <f t="shared" si="23"/>
        <v>17.722022193700806</v>
      </c>
      <c r="BF11" s="36"/>
      <c r="BG11" s="53"/>
      <c r="BH11" s="61">
        <f t="shared" si="24"/>
        <v>0</v>
      </c>
      <c r="BI11" s="36">
        <v>0</v>
      </c>
      <c r="BJ11" s="53">
        <v>0</v>
      </c>
      <c r="BK11" s="61">
        <f t="shared" si="25"/>
        <v>0</v>
      </c>
      <c r="BL11" s="1742">
        <v>23212</v>
      </c>
      <c r="BM11" s="1736">
        <v>1250.1199999999999</v>
      </c>
      <c r="BN11" s="2170"/>
      <c r="BO11" s="1735">
        <f t="shared" si="26"/>
        <v>18.567817489521008</v>
      </c>
      <c r="BP11" s="1126"/>
      <c r="BQ11" s="53"/>
      <c r="BR11" s="61">
        <f t="shared" si="27"/>
        <v>0</v>
      </c>
      <c r="BS11" s="36"/>
      <c r="BT11" s="53"/>
      <c r="BU11" s="61">
        <f t="shared" si="28"/>
        <v>0</v>
      </c>
      <c r="BV11" s="36">
        <v>20374</v>
      </c>
      <c r="BW11" s="27">
        <v>60</v>
      </c>
      <c r="BX11" s="1906">
        <f t="shared" si="29"/>
        <v>339.56666666666666</v>
      </c>
      <c r="BY11" s="26"/>
      <c r="BZ11" s="419"/>
      <c r="CA11" s="61">
        <f t="shared" si="30"/>
        <v>0</v>
      </c>
      <c r="CB11" s="36"/>
      <c r="CC11" s="5"/>
      <c r="CD11" s="482">
        <f t="shared" si="31"/>
        <v>0</v>
      </c>
      <c r="CE11" s="4"/>
      <c r="CF11" s="27"/>
      <c r="CG11" s="28">
        <f t="shared" si="32"/>
        <v>0</v>
      </c>
      <c r="CH11" s="149"/>
      <c r="CI11" s="4"/>
      <c r="CJ11" s="5"/>
      <c r="CK11" s="5">
        <v>4283</v>
      </c>
      <c r="CL11" s="5"/>
      <c r="CM11" s="5"/>
      <c r="CN11" s="5"/>
      <c r="CO11" s="33"/>
      <c r="CP11" s="366"/>
      <c r="CR11" s="4">
        <f t="shared" si="33"/>
        <v>0</v>
      </c>
      <c r="CS11" s="9">
        <f t="shared" si="33"/>
        <v>0</v>
      </c>
      <c r="CT11" s="5">
        <f t="shared" si="33"/>
        <v>0</v>
      </c>
      <c r="CU11" s="5">
        <f t="shared" si="33"/>
        <v>0</v>
      </c>
      <c r="CV11" s="5">
        <f t="shared" si="33"/>
        <v>0</v>
      </c>
      <c r="CW11" s="12">
        <f t="shared" si="33"/>
        <v>0</v>
      </c>
      <c r="CX11" s="486">
        <f t="shared" si="33"/>
        <v>0</v>
      </c>
      <c r="CY11" s="9">
        <f t="shared" si="33"/>
        <v>0</v>
      </c>
      <c r="CZ11" s="5">
        <f t="shared" si="33"/>
        <v>6251.0199999999995</v>
      </c>
      <c r="DA11" s="12">
        <f t="shared" si="33"/>
        <v>0</v>
      </c>
      <c r="DB11" s="486">
        <f t="shared" si="33"/>
        <v>60</v>
      </c>
      <c r="DC11" s="486">
        <f t="shared" si="33"/>
        <v>0</v>
      </c>
      <c r="DD11" s="310">
        <f t="shared" si="34"/>
        <v>6311.0199999999995</v>
      </c>
      <c r="DE11" s="2695"/>
      <c r="DF11" s="8"/>
      <c r="DG11" s="9"/>
      <c r="DH11" s="5"/>
      <c r="DI11" s="5"/>
      <c r="DJ11" s="5"/>
      <c r="DK11" s="5"/>
      <c r="DL11" s="3">
        <v>0</v>
      </c>
      <c r="DM11" s="5"/>
      <c r="DN11" s="3">
        <v>3240.04</v>
      </c>
      <c r="DO11" s="5"/>
      <c r="DP11" s="5"/>
      <c r="DQ11" s="12"/>
      <c r="DR11" s="1906">
        <f t="shared" si="35"/>
        <v>3240.04</v>
      </c>
      <c r="DS11" s="36"/>
      <c r="DT11" s="36"/>
      <c r="DU11" s="27"/>
      <c r="DV11" s="27"/>
      <c r="DW11" s="5"/>
      <c r="DX11" s="5"/>
      <c r="DY11" s="64"/>
      <c r="DZ11" s="5"/>
      <c r="EA11" s="3">
        <v>3010.9799999999996</v>
      </c>
      <c r="EB11" s="53"/>
      <c r="EC11" s="24">
        <v>0</v>
      </c>
      <c r="ED11" s="33"/>
      <c r="EE11" s="28">
        <f t="shared" si="36"/>
        <v>3010.9799999999996</v>
      </c>
      <c r="EF11" s="9"/>
      <c r="EG11" s="9"/>
      <c r="EH11" s="5"/>
      <c r="EI11" s="5"/>
      <c r="EJ11" s="27"/>
      <c r="EK11" s="27"/>
      <c r="EL11" s="27"/>
      <c r="EM11" s="27"/>
      <c r="EN11" s="5"/>
      <c r="EO11" s="5"/>
      <c r="EP11" s="5">
        <v>60</v>
      </c>
      <c r="EQ11" s="33"/>
      <c r="ER11" s="28">
        <f t="shared" si="37"/>
        <v>60</v>
      </c>
      <c r="ES11" s="36"/>
      <c r="ET11" s="27"/>
      <c r="EU11" s="27"/>
      <c r="EV11" s="27"/>
      <c r="EW11" s="27"/>
      <c r="EX11" s="27"/>
      <c r="EY11" s="33">
        <f t="shared" si="38"/>
        <v>0</v>
      </c>
      <c r="EZ11" s="2685"/>
      <c r="FB11" s="4">
        <f t="shared" si="39"/>
        <v>0</v>
      </c>
      <c r="FC11" s="5">
        <f t="shared" si="40"/>
        <v>0</v>
      </c>
      <c r="FD11" s="5">
        <f t="shared" si="41"/>
        <v>0</v>
      </c>
      <c r="FE11" s="12">
        <f t="shared" si="42"/>
        <v>0</v>
      </c>
      <c r="FF11" s="33"/>
      <c r="FG11" s="2674"/>
      <c r="FH11" s="9"/>
      <c r="FI11" s="5"/>
      <c r="FJ11" s="5"/>
      <c r="FK11" s="5"/>
      <c r="FL11" s="5"/>
      <c r="FM11" s="27"/>
      <c r="FN11" s="28">
        <f t="shared" si="43"/>
        <v>0</v>
      </c>
      <c r="FO11" s="36"/>
      <c r="FP11" s="27"/>
      <c r="FQ11" s="27"/>
      <c r="FR11" s="27"/>
      <c r="FS11" s="27"/>
      <c r="FT11" s="27"/>
      <c r="FU11" s="28">
        <f t="shared" si="44"/>
        <v>0</v>
      </c>
      <c r="FV11" s="36"/>
      <c r="FW11" s="36"/>
      <c r="FX11" s="27"/>
      <c r="FY11" s="27"/>
      <c r="FZ11" s="27"/>
      <c r="GA11" s="27"/>
      <c r="GB11" s="27"/>
      <c r="GC11" s="27"/>
      <c r="GD11" s="27"/>
      <c r="GE11" s="27"/>
      <c r="GF11" s="27"/>
      <c r="GG11" s="33"/>
      <c r="GH11" s="33">
        <f t="shared" si="45"/>
        <v>0</v>
      </c>
      <c r="GI11" s="2674"/>
      <c r="GK11" s="2">
        <f t="shared" ref="GK11:GK40" si="108">+HM11</f>
        <v>668.04</v>
      </c>
      <c r="GL11" s="63">
        <f t="shared" ref="GL11:GL41" si="109">+IQ11</f>
        <v>5339.17</v>
      </c>
      <c r="GM11" s="24">
        <f t="shared" ref="GM11:GM40" si="110">+JF11</f>
        <v>3608.0000000000005</v>
      </c>
      <c r="GN11" s="1736">
        <f t="shared" si="46"/>
        <v>9615.2100000000009</v>
      </c>
      <c r="GO11" s="141"/>
      <c r="GP11" s="141"/>
      <c r="GQ11" s="33"/>
      <c r="GR11" s="2667"/>
      <c r="GS11" s="1739">
        <v>0</v>
      </c>
      <c r="GT11" s="1721">
        <v>0</v>
      </c>
      <c r="GU11" s="1721">
        <v>4384.1100000000015</v>
      </c>
      <c r="GV11" s="1721">
        <v>5231.0999999999995</v>
      </c>
      <c r="GW11" s="1724">
        <f t="shared" si="47"/>
        <v>9615.2100000000009</v>
      </c>
      <c r="GX11" s="2667"/>
      <c r="GY11" s="36"/>
      <c r="GZ11" s="36"/>
      <c r="HA11" s="27"/>
      <c r="HB11" s="27"/>
      <c r="HC11" s="27"/>
      <c r="HD11" s="27"/>
      <c r="HE11" s="27"/>
      <c r="HF11" s="27"/>
      <c r="HG11" s="24">
        <v>0</v>
      </c>
      <c r="HH11" s="27"/>
      <c r="HI11" s="24">
        <v>668.04</v>
      </c>
      <c r="HJ11" s="27"/>
      <c r="HK11" s="24">
        <v>0</v>
      </c>
      <c r="HL11" s="27"/>
      <c r="HM11" s="28">
        <f t="shared" si="48"/>
        <v>668.04</v>
      </c>
      <c r="HN11" s="36"/>
      <c r="HO11" s="27"/>
      <c r="HP11" s="27"/>
      <c r="HQ11" s="27"/>
      <c r="HR11" s="27"/>
      <c r="HS11" s="27"/>
      <c r="HT11" s="27" cm="1">
        <f t="array" ref="HT11">SUMPRODUCT(('Data Base hauling'!$C$2:$C$216="TCM-ROM SB1 BK05-ROM 4")*(ISNUMBER(SEARCH(TEXT('June TCM'!$B11,"00")&amp;"/03/2026",'Data Base hauling'!$E$2:$E$216)))*'Data Base hauling'!$N$2:$N$216)</f>
        <v>0</v>
      </c>
      <c r="HU11" s="27"/>
      <c r="HV11" s="27" cm="1">
        <f t="array" ref="HV11">SUMPRODUCT(('Data Base hauling'!$C$2:$C$216="TCM-ROM SB1 BK05-ROM 5")*(ISNUMBER(SEARCH(TEXT('June TCM'!$B11,"00")&amp;"/03/2026",'Data Base hauling'!$E$2:$E$216)))*'Data Base hauling'!$N$2:$N$216)</f>
        <v>0</v>
      </c>
      <c r="HW11" s="27"/>
      <c r="HX11" s="27"/>
      <c r="HY11" s="27"/>
      <c r="HZ11" s="27"/>
      <c r="IA11" s="27"/>
      <c r="IB11" s="33">
        <f t="shared" si="49"/>
        <v>0</v>
      </c>
      <c r="IC11" s="52"/>
      <c r="ID11" s="152"/>
      <c r="IE11" s="53"/>
      <c r="IF11" s="53"/>
      <c r="IG11" s="53"/>
      <c r="IH11" s="53"/>
      <c r="II11" s="1926">
        <v>1894.87</v>
      </c>
      <c r="IJ11" s="1736"/>
      <c r="IK11" s="1926">
        <v>3444.3</v>
      </c>
      <c r="IL11" s="53"/>
      <c r="IM11" s="49">
        <v>0</v>
      </c>
      <c r="IN11" s="53"/>
      <c r="IO11" s="53"/>
      <c r="IP11" s="49">
        <f>SUMPRODUCT(('Data Base hauling'!$C$2:$C$216="TCM-HAC1 (Production)-ROM 2(HAC)")*(ISNUMBER(SEARCH(TEXT('June TCM'!$B11,"00")&amp;"/06/2026",'Data Base hauling'!$E$2:$E$216)))*'Data Base hauling'!$N$2:$N$216)</f>
        <v>0</v>
      </c>
      <c r="IQ11" s="2195">
        <f t="shared" si="50"/>
        <v>5339.17</v>
      </c>
      <c r="IR11" s="36"/>
      <c r="IS11" s="36"/>
      <c r="IT11" s="27"/>
      <c r="IU11" s="27"/>
      <c r="IV11" s="53"/>
      <c r="IW11" s="27"/>
      <c r="IX11" s="24">
        <v>0</v>
      </c>
      <c r="IY11" s="27"/>
      <c r="IZ11" s="24">
        <v>3608.0000000000005</v>
      </c>
      <c r="JA11" s="27"/>
      <c r="JB11" s="24">
        <v>0</v>
      </c>
      <c r="JC11" s="27"/>
      <c r="JD11" s="27"/>
      <c r="JE11" s="27"/>
      <c r="JF11" s="33">
        <f>SUM(IR11:JE11)</f>
        <v>3608.0000000000005</v>
      </c>
      <c r="JG11" s="2667"/>
      <c r="JI11" s="2014">
        <v>4372.29</v>
      </c>
      <c r="JJ11" s="2015">
        <v>5242.92</v>
      </c>
      <c r="JK11" s="53"/>
      <c r="JL11" s="1736">
        <f t="shared" si="52"/>
        <v>9615.2099999999991</v>
      </c>
      <c r="JM11" s="33"/>
      <c r="JN11" s="2669"/>
      <c r="JO11" s="66">
        <v>0</v>
      </c>
      <c r="JP11" s="67">
        <v>0</v>
      </c>
      <c r="JQ11" s="67">
        <v>0</v>
      </c>
      <c r="JR11" s="67">
        <v>0</v>
      </c>
      <c r="JS11" s="67">
        <v>1</v>
      </c>
      <c r="JT11" s="67">
        <v>0</v>
      </c>
      <c r="JU11" s="67">
        <v>0</v>
      </c>
      <c r="JV11" s="1921">
        <v>0</v>
      </c>
      <c r="JW11" s="66">
        <v>0</v>
      </c>
      <c r="JX11" s="67">
        <v>0</v>
      </c>
      <c r="JY11" s="67">
        <v>0</v>
      </c>
      <c r="JZ11" s="67">
        <v>0.36141501300801843</v>
      </c>
      <c r="KA11" s="67">
        <v>0.51116744104430345</v>
      </c>
      <c r="KB11" s="67">
        <v>0.12741754594767801</v>
      </c>
      <c r="KC11" s="67">
        <v>0</v>
      </c>
      <c r="KD11" s="68">
        <v>0</v>
      </c>
      <c r="KE11" s="69"/>
      <c r="KF11" s="70"/>
      <c r="KG11" s="70"/>
      <c r="KH11" s="70"/>
      <c r="KI11" s="70"/>
      <c r="KJ11" s="70"/>
      <c r="KK11" s="70"/>
      <c r="KL11" s="70"/>
      <c r="KM11" s="33"/>
      <c r="KN11" s="2669"/>
      <c r="KO11" s="2203">
        <v>6825</v>
      </c>
      <c r="KP11" s="1721">
        <v>0.91999999999999993</v>
      </c>
      <c r="KQ11" s="1721">
        <v>5.17</v>
      </c>
      <c r="KR11" s="1721">
        <v>7.13</v>
      </c>
      <c r="KS11" s="1722">
        <v>12.2</v>
      </c>
      <c r="KT11" s="1958">
        <v>7085</v>
      </c>
      <c r="KU11" s="1961">
        <v>2.46</v>
      </c>
      <c r="KV11" s="1961">
        <v>2.3199999999999998</v>
      </c>
      <c r="KW11" s="1961">
        <v>6.61</v>
      </c>
      <c r="KX11" s="1962">
        <v>12.19</v>
      </c>
      <c r="KY11" s="36"/>
      <c r="KZ11" s="53"/>
      <c r="LA11" s="53"/>
      <c r="LB11" s="53"/>
      <c r="LC11" s="53"/>
      <c r="LD11" s="33"/>
      <c r="LE11" s="2669"/>
      <c r="LG11" s="998">
        <f t="shared" si="53"/>
        <v>23310.7425</v>
      </c>
      <c r="LH11" s="27">
        <f t="shared" si="53"/>
        <v>7770.2474999999995</v>
      </c>
      <c r="LI11" s="27">
        <f t="shared" si="53"/>
        <v>0</v>
      </c>
      <c r="LJ11" s="28">
        <f t="shared" si="54"/>
        <v>31080.989999999998</v>
      </c>
      <c r="LK11" s="36">
        <v>4</v>
      </c>
      <c r="LL11" s="27"/>
      <c r="LM11" s="27">
        <v>4</v>
      </c>
      <c r="LN11" s="33"/>
      <c r="LO11" s="1044">
        <v>7</v>
      </c>
      <c r="LP11" s="486"/>
      <c r="LQ11" s="2688"/>
      <c r="LR11" s="2269">
        <v>23310.7425</v>
      </c>
      <c r="LS11" s="2269">
        <v>7770.2474999999995</v>
      </c>
      <c r="LT11" s="27"/>
      <c r="LU11" s="27"/>
      <c r="LV11" s="27"/>
      <c r="LW11" s="1117">
        <f t="shared" si="55"/>
        <v>31080.989999999998</v>
      </c>
      <c r="LX11" s="36"/>
      <c r="LY11" s="36"/>
      <c r="LZ11" s="27"/>
      <c r="MA11" s="27"/>
      <c r="MB11" s="33"/>
      <c r="MC11" s="28">
        <f t="shared" si="56"/>
        <v>0</v>
      </c>
      <c r="MD11" s="26"/>
      <c r="ME11" s="36"/>
      <c r="MF11" s="27"/>
      <c r="MG11" s="27"/>
      <c r="MH11" s="27"/>
      <c r="MI11" s="28"/>
      <c r="MJ11" s="36"/>
      <c r="MK11" s="36"/>
      <c r="ML11" s="27"/>
      <c r="MM11" s="27"/>
      <c r="MN11" s="27"/>
      <c r="MO11" s="28"/>
      <c r="MP11" s="36"/>
      <c r="MQ11" s="36"/>
      <c r="MR11" s="27"/>
      <c r="MS11" s="27"/>
      <c r="MT11" s="27"/>
      <c r="MU11" s="33">
        <f t="shared" si="57"/>
        <v>0</v>
      </c>
      <c r="MV11" s="2688"/>
      <c r="MX11" s="26">
        <f t="shared" si="58"/>
        <v>127516.53422972266</v>
      </c>
      <c r="MY11" s="27">
        <f t="shared" si="59"/>
        <v>110294.07785017916</v>
      </c>
      <c r="MZ11" s="27">
        <f t="shared" si="60"/>
        <v>21306.568559023406</v>
      </c>
      <c r="NA11" s="28">
        <f t="shared" si="61"/>
        <v>435890.04855851003</v>
      </c>
      <c r="NB11" s="2621"/>
      <c r="NC11" s="23">
        <f t="shared" si="62"/>
        <v>49921.575442786248</v>
      </c>
      <c r="ND11" s="1579">
        <f t="shared" si="63"/>
        <v>77594.958786936404</v>
      </c>
      <c r="NE11" s="60">
        <f t="shared" si="64"/>
        <v>0</v>
      </c>
      <c r="NF11" s="275">
        <f t="shared" si="4"/>
        <v>127516.53422972266</v>
      </c>
      <c r="NG11" s="26">
        <f t="shared" si="65"/>
        <v>0</v>
      </c>
      <c r="NH11" s="27">
        <f t="shared" si="65"/>
        <v>0</v>
      </c>
      <c r="NI11" s="27">
        <f t="shared" si="65"/>
        <v>0</v>
      </c>
      <c r="NJ11" s="27">
        <f t="shared" si="65"/>
        <v>0</v>
      </c>
      <c r="NK11" s="27">
        <f t="shared" si="65"/>
        <v>0</v>
      </c>
      <c r="NL11" s="33">
        <f t="shared" si="65"/>
        <v>0</v>
      </c>
      <c r="NM11" s="280">
        <f t="shared" si="65"/>
        <v>0</v>
      </c>
      <c r="NN11" s="36">
        <f t="shared" si="65"/>
        <v>0</v>
      </c>
      <c r="NO11" s="24">
        <f t="shared" ref="NO11:NO40" si="111">+NO10+EN11-HG11</f>
        <v>1828.3342192005614</v>
      </c>
      <c r="NP11" s="27">
        <f t="shared" si="65"/>
        <v>26196.696072681989</v>
      </c>
      <c r="NQ11" s="24">
        <f t="shared" ref="NQ11:NQ40" si="112">+NQ10+EF11-GY11</f>
        <v>8756.5482322711578</v>
      </c>
      <c r="NR11" s="24">
        <f t="shared" ref="NR11:NR40" si="113">+NR10+EP11-HI11</f>
        <v>1610.4948469876017</v>
      </c>
      <c r="NS11" s="27">
        <f t="shared" si="0"/>
        <v>38392.073371141312</v>
      </c>
      <c r="NT11" s="27">
        <f t="shared" si="66"/>
        <v>0</v>
      </c>
      <c r="NU11" s="27">
        <f t="shared" si="66"/>
        <v>0</v>
      </c>
      <c r="NV11" s="27">
        <f t="shared" si="66"/>
        <v>0</v>
      </c>
      <c r="NW11" s="27">
        <f t="shared" si="66"/>
        <v>0</v>
      </c>
      <c r="NX11" s="27">
        <f t="shared" si="66"/>
        <v>0</v>
      </c>
      <c r="NY11" s="27">
        <f t="shared" si="66"/>
        <v>0</v>
      </c>
      <c r="NZ11" s="27">
        <f t="shared" si="66"/>
        <v>14074.560368235248</v>
      </c>
      <c r="OA11" s="27">
        <f t="shared" si="66"/>
        <v>0</v>
      </c>
      <c r="OB11" s="27">
        <f t="shared" si="66"/>
        <v>34576.957327968033</v>
      </c>
      <c r="OC11" s="280"/>
      <c r="OD11" s="24">
        <f t="shared" si="67"/>
        <v>454.51223506073143</v>
      </c>
      <c r="OE11" s="27">
        <f t="shared" si="67"/>
        <v>0</v>
      </c>
      <c r="OF11" s="27">
        <f t="shared" si="1"/>
        <v>49106.02993126402</v>
      </c>
      <c r="OG11" s="27">
        <f t="shared" si="68"/>
        <v>0</v>
      </c>
      <c r="OH11" s="27">
        <f t="shared" si="68"/>
        <v>0</v>
      </c>
      <c r="OI11" s="27">
        <f t="shared" si="68"/>
        <v>0</v>
      </c>
      <c r="OJ11" s="27">
        <f t="shared" si="68"/>
        <v>0</v>
      </c>
      <c r="OK11" s="27">
        <f t="shared" si="68"/>
        <v>0</v>
      </c>
      <c r="OL11" s="27">
        <f t="shared" si="68"/>
        <v>0</v>
      </c>
      <c r="OM11" s="24">
        <f t="shared" si="68"/>
        <v>0</v>
      </c>
      <c r="ON11" s="27">
        <f t="shared" si="68"/>
        <v>0</v>
      </c>
      <c r="OO11" s="24">
        <f t="shared" ref="OO11:OO12" si="114">+OO10+EA11+GD11+QF11-IZ11</f>
        <v>22795.974547773836</v>
      </c>
      <c r="OP11" s="27">
        <f t="shared" si="68"/>
        <v>0</v>
      </c>
      <c r="OQ11" s="24">
        <f t="shared" si="68"/>
        <v>0</v>
      </c>
      <c r="OR11" s="27">
        <f t="shared" si="68"/>
        <v>0</v>
      </c>
      <c r="OS11" s="28">
        <f t="shared" si="2"/>
        <v>22795.974547773836</v>
      </c>
      <c r="OT11" s="36"/>
      <c r="OU11" s="27"/>
      <c r="OV11" s="27"/>
      <c r="OW11" s="27"/>
      <c r="OX11" s="27"/>
      <c r="OY11" s="27"/>
      <c r="OZ11" s="28">
        <f t="shared" si="69"/>
        <v>0</v>
      </c>
      <c r="PA11" s="36">
        <f t="shared" si="70"/>
        <v>0</v>
      </c>
      <c r="PB11" s="27">
        <f t="shared" si="71"/>
        <v>0</v>
      </c>
      <c r="PC11" s="27">
        <f t="shared" si="72"/>
        <v>0</v>
      </c>
      <c r="PD11" s="27">
        <f t="shared" si="73"/>
        <v>0</v>
      </c>
      <c r="PE11" s="24"/>
      <c r="PF11" s="27">
        <f t="shared" si="74"/>
        <v>0</v>
      </c>
      <c r="PG11" s="33">
        <f t="shared" si="3"/>
        <v>0</v>
      </c>
      <c r="PH11" s="2621"/>
      <c r="PJ11" s="1907">
        <v>0</v>
      </c>
      <c r="PK11" s="3">
        <v>236.99999999999994</v>
      </c>
      <c r="PL11" s="3">
        <v>78.999999999999986</v>
      </c>
      <c r="PM11" s="3">
        <v>0</v>
      </c>
      <c r="PN11" s="3">
        <v>27014.589776580688</v>
      </c>
      <c r="PO11" s="11">
        <f t="shared" si="75"/>
        <v>21306.568559023406</v>
      </c>
      <c r="PP11" s="15"/>
      <c r="PQ11" s="2615"/>
      <c r="PS11" s="4"/>
      <c r="PT11" s="9"/>
      <c r="PU11" s="9"/>
      <c r="PV11" s="9"/>
      <c r="PW11" s="8">
        <v>0</v>
      </c>
      <c r="PX11" s="9"/>
      <c r="PY11" s="8">
        <f t="shared" si="76"/>
        <v>0</v>
      </c>
      <c r="PZ11" s="5">
        <f t="shared" si="77"/>
        <v>0</v>
      </c>
      <c r="QA11" s="5"/>
      <c r="QB11" s="5"/>
      <c r="QC11" s="5"/>
      <c r="QD11" s="5"/>
      <c r="QE11" s="5"/>
      <c r="QF11" s="12"/>
      <c r="QG11" s="12">
        <f t="shared" si="78"/>
        <v>29562.488999999998</v>
      </c>
      <c r="QH11" s="420">
        <f t="shared" si="79"/>
        <v>406327.55955851002</v>
      </c>
      <c r="QI11" s="1106">
        <f t="shared" si="80"/>
        <v>0</v>
      </c>
      <c r="QJ11" s="484">
        <f t="shared" si="81"/>
        <v>5505.3678056099998</v>
      </c>
      <c r="QK11" s="12"/>
      <c r="QL11" s="2615"/>
      <c r="QN11" s="139">
        <f t="shared" si="82"/>
        <v>0</v>
      </c>
      <c r="QO11" s="139" t="str">
        <f t="shared" si="83"/>
        <v/>
      </c>
      <c r="QQ11" s="139">
        <f t="shared" si="84"/>
        <v>0</v>
      </c>
      <c r="QR11" s="139">
        <f t="shared" si="85"/>
        <v>0</v>
      </c>
      <c r="QT11" s="1">
        <f t="shared" si="86"/>
        <v>0</v>
      </c>
      <c r="QU11" s="1">
        <f t="shared" si="87"/>
        <v>0</v>
      </c>
      <c r="QV11" s="1">
        <f t="shared" si="88"/>
        <v>0</v>
      </c>
      <c r="QW11" s="1">
        <f t="shared" si="89"/>
        <v>0</v>
      </c>
      <c r="QX11" s="1">
        <f t="shared" si="90"/>
        <v>0</v>
      </c>
      <c r="QY11" s="1">
        <f t="shared" si="91"/>
        <v>0</v>
      </c>
      <c r="RA11" s="1">
        <f t="shared" si="92"/>
        <v>0</v>
      </c>
      <c r="RB11" s="1">
        <f t="shared" si="93"/>
        <v>0</v>
      </c>
      <c r="RC11" s="1">
        <f t="shared" si="94"/>
        <v>0</v>
      </c>
      <c r="RD11" s="1">
        <f t="shared" si="95"/>
        <v>0</v>
      </c>
      <c r="RE11" s="1">
        <f t="shared" si="96"/>
        <v>0</v>
      </c>
      <c r="RF11" s="1">
        <f t="shared" si="97"/>
        <v>0</v>
      </c>
      <c r="RI11" s="1">
        <v>2</v>
      </c>
      <c r="RJ11" s="1">
        <f t="shared" si="98"/>
        <v>30411.639251083165</v>
      </c>
      <c r="RK11" s="1">
        <f t="shared" si="98"/>
        <v>1398.2560498622806</v>
      </c>
      <c r="RL11" s="1">
        <f t="shared" si="98"/>
        <v>9178.5689913333827</v>
      </c>
      <c r="RM11" s="89">
        <f t="shared" si="5"/>
        <v>40988.464292278826</v>
      </c>
      <c r="RN11" s="1033">
        <v>2</v>
      </c>
      <c r="RO11" s="1098">
        <f t="shared" si="99"/>
        <v>0</v>
      </c>
      <c r="RP11" s="1098">
        <f t="shared" si="100"/>
        <v>0</v>
      </c>
      <c r="RQ11" s="1097">
        <f t="shared" si="100"/>
        <v>0</v>
      </c>
      <c r="RR11" s="1097">
        <f t="shared" si="101"/>
        <v>6251.02</v>
      </c>
      <c r="RS11" s="1094"/>
      <c r="RT11" s="1096" t="s">
        <v>300</v>
      </c>
      <c r="RW11" s="421">
        <v>2</v>
      </c>
      <c r="RX11" s="1095">
        <f t="shared" si="102"/>
        <v>9615.2100000000009</v>
      </c>
      <c r="RY11" s="1096" t="s">
        <v>301</v>
      </c>
      <c r="SA11" s="1090"/>
      <c r="SB11" s="1090">
        <f t="shared" si="103"/>
        <v>0</v>
      </c>
      <c r="SC11" s="1090"/>
      <c r="SD11" s="1090">
        <f t="shared" si="104"/>
        <v>0</v>
      </c>
      <c r="SF11" s="1">
        <v>2</v>
      </c>
      <c r="SG11" s="1">
        <f t="shared" si="105"/>
        <v>0</v>
      </c>
      <c r="SH11" s="1094"/>
    </row>
    <row r="12" spans="1:502" s="1" customFormat="1">
      <c r="A12" s="1">
        <v>1630.7189913362533</v>
      </c>
      <c r="B12" s="471">
        <v>3</v>
      </c>
      <c r="C12" s="4">
        <f t="shared" si="6"/>
        <v>154425</v>
      </c>
      <c r="D12" s="1590">
        <f t="shared" si="106"/>
        <v>9983.3999999999978</v>
      </c>
      <c r="E12" s="1895">
        <f t="shared" si="7"/>
        <v>15.468177174109025</v>
      </c>
      <c r="F12" s="870"/>
      <c r="G12" s="870"/>
      <c r="H12" s="52">
        <v>2</v>
      </c>
      <c r="I12" s="61">
        <v>2.33</v>
      </c>
      <c r="J12" s="52"/>
      <c r="K12" s="54"/>
      <c r="L12" s="52">
        <v>5</v>
      </c>
      <c r="M12" s="61">
        <v>1.78</v>
      </c>
      <c r="N12" s="2629"/>
      <c r="O12" s="4">
        <f>+SUM(AQ12,BC12,AW12)</f>
        <v>99120</v>
      </c>
      <c r="P12" s="1225">
        <f t="shared" si="8"/>
        <v>8237.0399999999991</v>
      </c>
      <c r="Q12" s="1913">
        <f t="shared" si="9"/>
        <v>12.033448908831328</v>
      </c>
      <c r="R12" s="33"/>
      <c r="S12" s="26">
        <f t="shared" si="10"/>
        <v>32341</v>
      </c>
      <c r="T12" s="27">
        <f t="shared" si="107"/>
        <v>1626.3599999999997</v>
      </c>
      <c r="U12" s="1909">
        <f t="shared" si="11"/>
        <v>19.885511202931703</v>
      </c>
      <c r="V12" s="28"/>
      <c r="W12" s="1742">
        <f t="shared" si="12"/>
        <v>22964</v>
      </c>
      <c r="X12" s="5">
        <f t="shared" si="12"/>
        <v>120</v>
      </c>
      <c r="Y12" s="1909">
        <f t="shared" si="13"/>
        <v>191.36666666666667</v>
      </c>
      <c r="Z12" s="33"/>
      <c r="AA12" s="26">
        <f t="shared" si="14"/>
        <v>0</v>
      </c>
      <c r="AB12" s="27">
        <f t="shared" si="15"/>
        <v>0</v>
      </c>
      <c r="AC12" s="53">
        <f t="shared" si="16"/>
        <v>0</v>
      </c>
      <c r="AD12" s="28"/>
      <c r="AE12" s="36"/>
      <c r="AF12" s="36"/>
      <c r="AG12" s="53">
        <f t="shared" si="17"/>
        <v>0</v>
      </c>
      <c r="AH12" s="28"/>
      <c r="AI12" s="23"/>
      <c r="AJ12" s="27"/>
      <c r="AK12" s="53">
        <f t="shared" si="18"/>
        <v>0</v>
      </c>
      <c r="AL12" s="28"/>
      <c r="AM12" s="2629"/>
      <c r="AN12" s="9"/>
      <c r="AO12" s="5"/>
      <c r="AP12" s="61">
        <f t="shared" si="19"/>
        <v>0</v>
      </c>
      <c r="AQ12" s="36"/>
      <c r="AR12" s="53"/>
      <c r="AS12" s="61">
        <f t="shared" si="20"/>
        <v>0</v>
      </c>
      <c r="AT12" s="36"/>
      <c r="AU12" s="27"/>
      <c r="AV12" s="54">
        <f t="shared" si="21"/>
        <v>0</v>
      </c>
      <c r="AW12" s="26">
        <v>51702</v>
      </c>
      <c r="AX12" s="27">
        <v>4928.6999999999989</v>
      </c>
      <c r="AY12" s="1735">
        <f t="shared" ref="AY12:AY40" si="115">IFERROR(AW12/AX12,0)</f>
        <v>10.489987217724757</v>
      </c>
      <c r="AZ12" s="36"/>
      <c r="BA12" s="27"/>
      <c r="BB12" s="61">
        <f t="shared" si="22"/>
        <v>0</v>
      </c>
      <c r="BC12" s="1740">
        <v>47418</v>
      </c>
      <c r="BD12" s="1926">
        <v>3308.34</v>
      </c>
      <c r="BE12" s="1735">
        <f t="shared" si="23"/>
        <v>14.332867843087469</v>
      </c>
      <c r="BF12" s="36"/>
      <c r="BG12" s="53"/>
      <c r="BH12" s="61">
        <f t="shared" si="24"/>
        <v>0</v>
      </c>
      <c r="BI12" s="36">
        <v>0</v>
      </c>
      <c r="BJ12" s="53">
        <v>0</v>
      </c>
      <c r="BK12" s="61">
        <f t="shared" si="25"/>
        <v>0</v>
      </c>
      <c r="BL12" s="1742">
        <v>32341</v>
      </c>
      <c r="BM12" s="1736">
        <v>1626.3599999999997</v>
      </c>
      <c r="BN12" s="2170"/>
      <c r="BO12" s="1735">
        <f t="shared" si="26"/>
        <v>19.885511202931703</v>
      </c>
      <c r="BP12" s="1125"/>
      <c r="BQ12" s="53"/>
      <c r="BR12" s="61">
        <f t="shared" si="27"/>
        <v>0</v>
      </c>
      <c r="BS12" s="36"/>
      <c r="BT12" s="53"/>
      <c r="BU12" s="61">
        <f t="shared" si="28"/>
        <v>0</v>
      </c>
      <c r="BV12" s="36">
        <v>22964</v>
      </c>
      <c r="BW12" s="27">
        <v>120</v>
      </c>
      <c r="BX12" s="1906">
        <f t="shared" si="29"/>
        <v>191.36666666666667</v>
      </c>
      <c r="BY12" s="26"/>
      <c r="BZ12" s="27"/>
      <c r="CA12" s="61">
        <f t="shared" si="30"/>
        <v>0</v>
      </c>
      <c r="CB12" s="36"/>
      <c r="CC12" s="5"/>
      <c r="CD12" s="482">
        <f t="shared" si="31"/>
        <v>0</v>
      </c>
      <c r="CE12" s="4"/>
      <c r="CF12" s="280"/>
      <c r="CG12" s="28">
        <f t="shared" si="32"/>
        <v>0</v>
      </c>
      <c r="CH12" s="150"/>
      <c r="CI12" s="4"/>
      <c r="CJ12" s="5"/>
      <c r="CK12" s="5">
        <v>6242</v>
      </c>
      <c r="CL12" s="5"/>
      <c r="CM12" s="5"/>
      <c r="CN12" s="5"/>
      <c r="CO12" s="33"/>
      <c r="CP12" s="366"/>
      <c r="CR12" s="4">
        <f t="shared" si="33"/>
        <v>0</v>
      </c>
      <c r="CS12" s="9">
        <f t="shared" si="33"/>
        <v>0</v>
      </c>
      <c r="CT12" s="5">
        <f t="shared" si="33"/>
        <v>0</v>
      </c>
      <c r="CU12" s="5">
        <f t="shared" si="33"/>
        <v>0</v>
      </c>
      <c r="CV12" s="5">
        <f t="shared" si="33"/>
        <v>0</v>
      </c>
      <c r="CW12" s="5">
        <f t="shared" si="33"/>
        <v>0</v>
      </c>
      <c r="CX12" s="488">
        <f t="shared" si="33"/>
        <v>38.74</v>
      </c>
      <c r="CY12" s="5">
        <f t="shared" si="33"/>
        <v>0</v>
      </c>
      <c r="CZ12" s="5">
        <f t="shared" si="33"/>
        <v>9653.02</v>
      </c>
      <c r="DA12" s="5">
        <f t="shared" si="33"/>
        <v>0</v>
      </c>
      <c r="DB12" s="488">
        <f t="shared" si="33"/>
        <v>120</v>
      </c>
      <c r="DC12" s="12">
        <f t="shared" si="33"/>
        <v>0</v>
      </c>
      <c r="DD12" s="310">
        <f t="shared" si="34"/>
        <v>9983.4</v>
      </c>
      <c r="DE12" s="2695"/>
      <c r="DF12" s="8"/>
      <c r="DG12" s="9"/>
      <c r="DH12" s="5"/>
      <c r="DI12" s="5"/>
      <c r="DJ12" s="5"/>
      <c r="DK12" s="5"/>
      <c r="DL12" s="3">
        <v>38.74</v>
      </c>
      <c r="DM12" s="5"/>
      <c r="DN12" s="3">
        <v>4718.32</v>
      </c>
      <c r="DO12" s="5"/>
      <c r="DP12" s="5"/>
      <c r="DQ12" s="12"/>
      <c r="DR12" s="1906">
        <f t="shared" si="35"/>
        <v>4757.0599999999995</v>
      </c>
      <c r="DS12" s="36"/>
      <c r="DT12" s="36"/>
      <c r="DU12" s="27"/>
      <c r="DV12" s="27"/>
      <c r="DW12" s="5"/>
      <c r="DX12" s="5"/>
      <c r="DY12" s="64"/>
      <c r="DZ12" s="5"/>
      <c r="EA12" s="3">
        <v>4934.7000000000007</v>
      </c>
      <c r="EB12" s="53"/>
      <c r="EC12" s="24">
        <v>0</v>
      </c>
      <c r="ED12" s="33"/>
      <c r="EE12" s="28">
        <f t="shared" si="36"/>
        <v>4934.7000000000007</v>
      </c>
      <c r="EF12" s="9"/>
      <c r="EG12" s="9"/>
      <c r="EH12" s="491"/>
      <c r="EI12" s="5"/>
      <c r="EJ12" s="27"/>
      <c r="EK12" s="27"/>
      <c r="EL12" s="27"/>
      <c r="EM12" s="27"/>
      <c r="EN12" s="5"/>
      <c r="EO12" s="5"/>
      <c r="EP12" s="5">
        <v>120</v>
      </c>
      <c r="EQ12" s="33"/>
      <c r="ER12" s="28">
        <f t="shared" si="37"/>
        <v>120</v>
      </c>
      <c r="ES12" s="36"/>
      <c r="ET12" s="27"/>
      <c r="EU12" s="27"/>
      <c r="EV12" s="27"/>
      <c r="EW12" s="27"/>
      <c r="EX12" s="27"/>
      <c r="EY12" s="33">
        <f t="shared" si="38"/>
        <v>0</v>
      </c>
      <c r="EZ12" s="2685"/>
      <c r="FB12" s="4">
        <f t="shared" si="39"/>
        <v>0</v>
      </c>
      <c r="FC12" s="5">
        <f t="shared" si="40"/>
        <v>0</v>
      </c>
      <c r="FD12" s="5">
        <f t="shared" si="41"/>
        <v>0</v>
      </c>
      <c r="FE12" s="12">
        <f t="shared" si="42"/>
        <v>0</v>
      </c>
      <c r="FF12" s="33"/>
      <c r="FG12" s="2674"/>
      <c r="FH12" s="9"/>
      <c r="FI12" s="5"/>
      <c r="FJ12" s="5"/>
      <c r="FK12" s="5"/>
      <c r="FL12" s="5"/>
      <c r="FM12" s="27"/>
      <c r="FN12" s="28">
        <f t="shared" si="43"/>
        <v>0</v>
      </c>
      <c r="FO12" s="36"/>
      <c r="FP12" s="27"/>
      <c r="FQ12" s="27"/>
      <c r="FR12" s="27"/>
      <c r="FS12" s="27"/>
      <c r="FT12" s="27"/>
      <c r="FU12" s="28">
        <f t="shared" si="44"/>
        <v>0</v>
      </c>
      <c r="FV12" s="36"/>
      <c r="FW12" s="36"/>
      <c r="FX12" s="27"/>
      <c r="FY12" s="27"/>
      <c r="FZ12" s="27"/>
      <c r="GA12" s="27"/>
      <c r="GB12" s="27"/>
      <c r="GC12" s="27"/>
      <c r="GD12" s="27"/>
      <c r="GE12" s="27"/>
      <c r="GF12" s="27"/>
      <c r="GG12" s="33"/>
      <c r="GH12" s="33">
        <f t="shared" si="45"/>
        <v>0</v>
      </c>
      <c r="GI12" s="2674"/>
      <c r="GK12" s="2">
        <f t="shared" si="108"/>
        <v>803.67</v>
      </c>
      <c r="GL12" s="63">
        <f t="shared" si="109"/>
        <v>6334.05</v>
      </c>
      <c r="GM12" s="24">
        <f t="shared" si="110"/>
        <v>2918.13</v>
      </c>
      <c r="GN12" s="1736">
        <f t="shared" si="46"/>
        <v>10055.85</v>
      </c>
      <c r="GO12" s="141"/>
      <c r="GP12" s="141"/>
      <c r="GQ12" s="33"/>
      <c r="GR12" s="2667"/>
      <c r="GS12" s="1739">
        <v>0</v>
      </c>
      <c r="GT12" s="1721">
        <v>0</v>
      </c>
      <c r="GU12" s="1721">
        <v>5196.47</v>
      </c>
      <c r="GV12" s="1721">
        <v>4859.38</v>
      </c>
      <c r="GW12" s="1724">
        <f t="shared" si="47"/>
        <v>10055.85</v>
      </c>
      <c r="GX12" s="2667"/>
      <c r="GY12" s="36"/>
      <c r="GZ12" s="36"/>
      <c r="HA12" s="27"/>
      <c r="HB12" s="27"/>
      <c r="HC12" s="27"/>
      <c r="HD12" s="27"/>
      <c r="HE12" s="27"/>
      <c r="HF12" s="27"/>
      <c r="HG12" s="24">
        <v>0</v>
      </c>
      <c r="HH12" s="27"/>
      <c r="HI12" s="24">
        <v>803.67</v>
      </c>
      <c r="HJ12" s="27"/>
      <c r="HK12" s="24">
        <v>0</v>
      </c>
      <c r="HL12" s="27"/>
      <c r="HM12" s="28">
        <f t="shared" si="48"/>
        <v>803.67</v>
      </c>
      <c r="HN12" s="36"/>
      <c r="HO12" s="27"/>
      <c r="HP12" s="27"/>
      <c r="HQ12" s="27"/>
      <c r="HR12" s="27"/>
      <c r="HS12" s="27"/>
      <c r="HT12" s="27" cm="1">
        <f t="array" ref="HT12">SUMPRODUCT(('Data Base hauling'!$C$2:$C$216="TCM-ROM SB1 BK05-ROM 4")*(ISNUMBER(SEARCH(TEXT('June TCM'!$B12,"00")&amp;"/03/2026",'Data Base hauling'!$E$2:$E$216)))*'Data Base hauling'!$N$2:$N$216)</f>
        <v>0</v>
      </c>
      <c r="HU12" s="27"/>
      <c r="HV12" s="27" cm="1">
        <f t="array" ref="HV12">SUMPRODUCT(('Data Base hauling'!$C$2:$C$216="TCM-ROM SB1 BK05-ROM 5")*(ISNUMBER(SEARCH(TEXT('June TCM'!$B12,"00")&amp;"/03/2026",'Data Base hauling'!$E$2:$E$216)))*'Data Base hauling'!$N$2:$N$216)</f>
        <v>0</v>
      </c>
      <c r="HW12" s="27"/>
      <c r="HX12" s="27"/>
      <c r="HY12" s="27"/>
      <c r="HZ12" s="27"/>
      <c r="IA12" s="27"/>
      <c r="IB12" s="33">
        <f t="shared" si="49"/>
        <v>0</v>
      </c>
      <c r="IC12" s="52"/>
      <c r="ID12" s="152"/>
      <c r="IE12" s="53"/>
      <c r="IF12" s="53"/>
      <c r="IG12" s="53"/>
      <c r="IH12" s="53"/>
      <c r="II12" s="1926">
        <v>2212.7199999999998</v>
      </c>
      <c r="IJ12" s="1736"/>
      <c r="IK12" s="1926">
        <v>4030.1300000000006</v>
      </c>
      <c r="IL12" s="53"/>
      <c r="IM12" s="49">
        <v>0</v>
      </c>
      <c r="IN12" s="53"/>
      <c r="IO12" s="53"/>
      <c r="IP12" s="49">
        <v>91.2</v>
      </c>
      <c r="IQ12" s="2195">
        <f t="shared" si="50"/>
        <v>6334.05</v>
      </c>
      <c r="IR12" s="36"/>
      <c r="IS12" s="36"/>
      <c r="IT12" s="27"/>
      <c r="IU12" s="27"/>
      <c r="IV12" s="53"/>
      <c r="IW12" s="27"/>
      <c r="IX12" s="24">
        <v>0</v>
      </c>
      <c r="IY12" s="27"/>
      <c r="IZ12" s="24">
        <v>2918.13</v>
      </c>
      <c r="JA12" s="27"/>
      <c r="JB12" s="24">
        <v>0</v>
      </c>
      <c r="JC12" s="27"/>
      <c r="JD12" s="27"/>
      <c r="JE12" s="27"/>
      <c r="JF12" s="33">
        <f t="shared" ref="JF12:JF16" si="116">SUM(IR12:JE12)</f>
        <v>2918.13</v>
      </c>
      <c r="JG12" s="2667"/>
      <c r="JI12" s="2014">
        <v>3943.8500000000004</v>
      </c>
      <c r="JJ12" s="2015">
        <v>6112.0000000000009</v>
      </c>
      <c r="JK12" s="53"/>
      <c r="JL12" s="1736">
        <f t="shared" si="52"/>
        <v>10055.850000000002</v>
      </c>
      <c r="JM12" s="33"/>
      <c r="JN12" s="2669"/>
      <c r="JO12" s="66">
        <v>0</v>
      </c>
      <c r="JP12" s="67">
        <v>0</v>
      </c>
      <c r="JQ12" s="67">
        <v>0</v>
      </c>
      <c r="JR12" s="67">
        <v>3.847762972729693E-2</v>
      </c>
      <c r="JS12" s="67">
        <v>0.93839775853544116</v>
      </c>
      <c r="JT12" s="67">
        <v>0</v>
      </c>
      <c r="JU12" s="67">
        <v>0</v>
      </c>
      <c r="JV12" s="1921">
        <v>0</v>
      </c>
      <c r="JW12" s="66">
        <v>0</v>
      </c>
      <c r="JX12" s="67">
        <v>0</v>
      </c>
      <c r="JY12" s="67">
        <v>0</v>
      </c>
      <c r="JZ12" s="67">
        <v>0.33720058900523553</v>
      </c>
      <c r="KA12" s="67">
        <v>0.53130890052356017</v>
      </c>
      <c r="KB12" s="67">
        <v>0.13149051047120416</v>
      </c>
      <c r="KC12" s="67">
        <v>0</v>
      </c>
      <c r="KD12" s="68">
        <v>0</v>
      </c>
      <c r="KE12" s="69"/>
      <c r="KF12" s="70"/>
      <c r="KG12" s="70"/>
      <c r="KH12" s="70"/>
      <c r="KI12" s="70"/>
      <c r="KJ12" s="70"/>
      <c r="KK12" s="70"/>
      <c r="KL12" s="70"/>
      <c r="KM12" s="33"/>
      <c r="KN12" s="2669"/>
      <c r="KO12" s="2203">
        <v>6567</v>
      </c>
      <c r="KP12" s="1721">
        <v>1.23</v>
      </c>
      <c r="KQ12" s="1721">
        <v>5.96</v>
      </c>
      <c r="KR12" s="1721">
        <v>7.52</v>
      </c>
      <c r="KS12" s="1722">
        <v>12.01</v>
      </c>
      <c r="KT12" s="1958">
        <v>7121.4190632703367</v>
      </c>
      <c r="KU12" s="1961">
        <v>2.1857354149548072</v>
      </c>
      <c r="KV12" s="1961">
        <v>2.9772966310599833</v>
      </c>
      <c r="KW12" s="1961">
        <v>6.0896138044371408</v>
      </c>
      <c r="KX12" s="1962">
        <v>11.993327855382086</v>
      </c>
      <c r="KY12" s="36"/>
      <c r="KZ12" s="53"/>
      <c r="LA12" s="53"/>
      <c r="LB12" s="53"/>
      <c r="LC12" s="53"/>
      <c r="LD12" s="33"/>
      <c r="LE12" s="2669"/>
      <c r="LG12" s="998">
        <f t="shared" si="53"/>
        <v>0</v>
      </c>
      <c r="LH12" s="27">
        <f t="shared" si="53"/>
        <v>0</v>
      </c>
      <c r="LI12" s="27">
        <f t="shared" si="53"/>
        <v>0</v>
      </c>
      <c r="LJ12" s="28">
        <f t="shared" si="54"/>
        <v>0</v>
      </c>
      <c r="LK12" s="36"/>
      <c r="LL12" s="27"/>
      <c r="LM12" s="27">
        <v>2</v>
      </c>
      <c r="LN12" s="33"/>
      <c r="LO12" s="1041">
        <v>6.2</v>
      </c>
      <c r="LP12" s="486"/>
      <c r="LQ12" s="2688"/>
      <c r="LR12" s="2269"/>
      <c r="LS12" s="2167"/>
      <c r="LT12" s="27"/>
      <c r="LU12" s="27"/>
      <c r="LV12" s="27"/>
      <c r="LW12" s="1117">
        <f t="shared" si="55"/>
        <v>0</v>
      </c>
      <c r="LX12" s="2269"/>
      <c r="LY12" s="36"/>
      <c r="LZ12" s="27"/>
      <c r="MA12" s="27"/>
      <c r="MB12" s="33"/>
      <c r="MC12" s="28">
        <f t="shared" si="56"/>
        <v>0</v>
      </c>
      <c r="MD12" s="26"/>
      <c r="ME12" s="36"/>
      <c r="MF12" s="27"/>
      <c r="MG12" s="27"/>
      <c r="MH12" s="27"/>
      <c r="MI12" s="28"/>
      <c r="MJ12" s="36"/>
      <c r="MK12" s="36"/>
      <c r="ML12" s="27"/>
      <c r="MM12" s="27"/>
      <c r="MN12" s="27"/>
      <c r="MO12" s="28"/>
      <c r="MP12" s="36"/>
      <c r="MQ12" s="36"/>
      <c r="MR12" s="27"/>
      <c r="MS12" s="27"/>
      <c r="MT12" s="27"/>
      <c r="MU12" s="33">
        <f t="shared" si="57"/>
        <v>0</v>
      </c>
      <c r="MV12" s="2688"/>
      <c r="MX12" s="26">
        <f t="shared" si="58"/>
        <v>137572.38422972267</v>
      </c>
      <c r="MY12" s="27">
        <f t="shared" si="59"/>
        <v>110141.18785017918</v>
      </c>
      <c r="MZ12" s="27">
        <f t="shared" si="60"/>
        <v>21642.568559023406</v>
      </c>
      <c r="NA12" s="28">
        <f t="shared" si="61"/>
        <v>435394.94855851005</v>
      </c>
      <c r="NB12" s="2621"/>
      <c r="NC12" s="23">
        <f t="shared" si="62"/>
        <v>53865.425442786247</v>
      </c>
      <c r="ND12" s="1579">
        <f t="shared" si="63"/>
        <v>83706.958786936404</v>
      </c>
      <c r="NE12" s="60">
        <f t="shared" si="64"/>
        <v>0</v>
      </c>
      <c r="NF12" s="275">
        <f t="shared" si="4"/>
        <v>137572.38422972267</v>
      </c>
      <c r="NG12" s="26">
        <f t="shared" si="65"/>
        <v>0</v>
      </c>
      <c r="NH12" s="27">
        <f t="shared" si="65"/>
        <v>0</v>
      </c>
      <c r="NI12" s="27">
        <f t="shared" si="65"/>
        <v>0</v>
      </c>
      <c r="NJ12" s="27">
        <f t="shared" si="65"/>
        <v>0</v>
      </c>
      <c r="NK12" s="27">
        <f t="shared" si="65"/>
        <v>0</v>
      </c>
      <c r="NL12" s="33">
        <f t="shared" si="65"/>
        <v>0</v>
      </c>
      <c r="NM12" s="27">
        <f t="shared" si="65"/>
        <v>0</v>
      </c>
      <c r="NN12" s="36">
        <f t="shared" si="65"/>
        <v>0</v>
      </c>
      <c r="NO12" s="24">
        <f t="shared" si="111"/>
        <v>1828.3342192005614</v>
      </c>
      <c r="NP12" s="27">
        <f t="shared" si="65"/>
        <v>26196.696072681989</v>
      </c>
      <c r="NQ12" s="24">
        <f t="shared" si="112"/>
        <v>8756.5482322711578</v>
      </c>
      <c r="NR12" s="24">
        <f t="shared" si="113"/>
        <v>926.82484698760175</v>
      </c>
      <c r="NS12" s="27">
        <f t="shared" si="0"/>
        <v>37708.403371141314</v>
      </c>
      <c r="NT12" s="27">
        <f t="shared" si="66"/>
        <v>0</v>
      </c>
      <c r="NU12" s="27">
        <f t="shared" si="66"/>
        <v>0</v>
      </c>
      <c r="NV12" s="27">
        <f t="shared" si="66"/>
        <v>0</v>
      </c>
      <c r="NW12" s="27">
        <f t="shared" si="66"/>
        <v>0</v>
      </c>
      <c r="NX12" s="27">
        <f t="shared" si="66"/>
        <v>0</v>
      </c>
      <c r="NY12" s="27">
        <f t="shared" si="66"/>
        <v>0</v>
      </c>
      <c r="NZ12" s="27">
        <f t="shared" si="66"/>
        <v>11900.580368235249</v>
      </c>
      <c r="OA12" s="27">
        <f t="shared" si="66"/>
        <v>0</v>
      </c>
      <c r="OB12" s="27">
        <f t="shared" si="66"/>
        <v>35265.147327968036</v>
      </c>
      <c r="OC12" s="280"/>
      <c r="OD12" s="24">
        <f t="shared" si="67"/>
        <v>454.51223506073143</v>
      </c>
      <c r="OE12" s="27">
        <f t="shared" si="67"/>
        <v>0</v>
      </c>
      <c r="OF12" s="28">
        <f t="shared" si="1"/>
        <v>47620.239931264019</v>
      </c>
      <c r="OG12" s="27">
        <f t="shared" si="68"/>
        <v>0</v>
      </c>
      <c r="OH12" s="27">
        <f t="shared" si="68"/>
        <v>0</v>
      </c>
      <c r="OI12" s="27">
        <f t="shared" si="68"/>
        <v>0</v>
      </c>
      <c r="OJ12" s="27">
        <f t="shared" si="68"/>
        <v>0</v>
      </c>
      <c r="OK12" s="27">
        <f t="shared" si="68"/>
        <v>0</v>
      </c>
      <c r="OL12" s="27">
        <f t="shared" si="68"/>
        <v>0</v>
      </c>
      <c r="OM12" s="24">
        <f t="shared" si="68"/>
        <v>0</v>
      </c>
      <c r="ON12" s="27">
        <f t="shared" si="68"/>
        <v>0</v>
      </c>
      <c r="OO12" s="24">
        <f t="shared" si="114"/>
        <v>24812.544547773836</v>
      </c>
      <c r="OP12" s="27">
        <f t="shared" si="68"/>
        <v>0</v>
      </c>
      <c r="OQ12" s="24">
        <f t="shared" si="68"/>
        <v>0</v>
      </c>
      <c r="OR12" s="27">
        <f t="shared" si="68"/>
        <v>0</v>
      </c>
      <c r="OS12" s="28">
        <f t="shared" si="2"/>
        <v>24812.544547773836</v>
      </c>
      <c r="OT12" s="36"/>
      <c r="OU12" s="27"/>
      <c r="OV12" s="27"/>
      <c r="OW12" s="27"/>
      <c r="OX12" s="27"/>
      <c r="OY12" s="27"/>
      <c r="OZ12" s="28">
        <f t="shared" si="69"/>
        <v>0</v>
      </c>
      <c r="PA12" s="36">
        <f t="shared" si="70"/>
        <v>0</v>
      </c>
      <c r="PB12" s="27">
        <f t="shared" si="71"/>
        <v>0</v>
      </c>
      <c r="PC12" s="27">
        <f t="shared" si="72"/>
        <v>0</v>
      </c>
      <c r="PD12" s="27">
        <f t="shared" si="73"/>
        <v>0</v>
      </c>
      <c r="PE12" s="24"/>
      <c r="PF12" s="27">
        <f t="shared" si="74"/>
        <v>0</v>
      </c>
      <c r="PG12" s="33">
        <f t="shared" si="3"/>
        <v>0</v>
      </c>
      <c r="PH12" s="2621"/>
      <c r="PJ12" s="1907">
        <v>747.18</v>
      </c>
      <c r="PK12" s="3">
        <v>1008</v>
      </c>
      <c r="PL12" s="3">
        <v>336</v>
      </c>
      <c r="PM12" s="3">
        <v>0</v>
      </c>
      <c r="PN12" s="3">
        <v>26753.769776580688</v>
      </c>
      <c r="PO12" s="11">
        <f t="shared" si="75"/>
        <v>21642.568559023406</v>
      </c>
      <c r="PP12" s="15"/>
      <c r="PQ12" s="2615"/>
      <c r="PS12" s="4"/>
      <c r="PT12" s="9"/>
      <c r="PU12" s="9"/>
      <c r="PV12" s="9"/>
      <c r="PW12" s="8">
        <v>171.64</v>
      </c>
      <c r="PX12" s="9"/>
      <c r="PY12" s="8">
        <f t="shared" si="76"/>
        <v>171.64</v>
      </c>
      <c r="PZ12" s="5">
        <f t="shared" si="77"/>
        <v>747.18</v>
      </c>
      <c r="QA12" s="5"/>
      <c r="QB12" s="5"/>
      <c r="QC12" s="5"/>
      <c r="QD12" s="5"/>
      <c r="QE12" s="5"/>
      <c r="QF12" s="12"/>
      <c r="QG12" s="12">
        <f t="shared" si="78"/>
        <v>29562.488999999998</v>
      </c>
      <c r="QH12" s="420">
        <f t="shared" si="79"/>
        <v>405660.81955851003</v>
      </c>
      <c r="QI12" s="1106">
        <f t="shared" si="80"/>
        <v>171.64</v>
      </c>
      <c r="QJ12" s="484">
        <f t="shared" si="81"/>
        <v>5505.3678056099998</v>
      </c>
      <c r="QK12" s="12"/>
      <c r="QL12" s="2615"/>
      <c r="QN12" s="139">
        <f t="shared" si="82"/>
        <v>0</v>
      </c>
      <c r="QO12" s="139" t="str">
        <f t="shared" si="83"/>
        <v/>
      </c>
      <c r="QQ12" s="139">
        <f t="shared" si="84"/>
        <v>0</v>
      </c>
      <c r="QR12" s="139">
        <f t="shared" si="85"/>
        <v>0</v>
      </c>
      <c r="QT12" s="1">
        <f t="shared" si="86"/>
        <v>0</v>
      </c>
      <c r="QU12" s="1">
        <f t="shared" si="87"/>
        <v>0</v>
      </c>
      <c r="QV12" s="1">
        <f t="shared" si="88"/>
        <v>0</v>
      </c>
      <c r="QW12" s="1">
        <f t="shared" si="89"/>
        <v>0</v>
      </c>
      <c r="QX12" s="1">
        <f t="shared" si="90"/>
        <v>0</v>
      </c>
      <c r="QY12" s="1">
        <f t="shared" si="91"/>
        <v>0</v>
      </c>
      <c r="RA12" s="1">
        <f t="shared" si="92"/>
        <v>0</v>
      </c>
      <c r="RB12" s="1">
        <f t="shared" si="93"/>
        <v>0</v>
      </c>
      <c r="RC12" s="1">
        <f t="shared" si="94"/>
        <v>0</v>
      </c>
      <c r="RD12" s="1">
        <f t="shared" si="95"/>
        <v>0</v>
      </c>
      <c r="RE12" s="1">
        <f t="shared" si="96"/>
        <v>0</v>
      </c>
      <c r="RF12" s="1">
        <f t="shared" si="97"/>
        <v>0</v>
      </c>
      <c r="RI12" s="1">
        <v>3</v>
      </c>
      <c r="RJ12" s="1">
        <f t="shared" si="98"/>
        <v>34355.489251083163</v>
      </c>
      <c r="RK12" s="1">
        <f t="shared" si="98"/>
        <v>7510.2560498622815</v>
      </c>
      <c r="RL12" s="1">
        <f t="shared" si="98"/>
        <v>9178.5689913333827</v>
      </c>
      <c r="RM12" s="89">
        <f t="shared" si="5"/>
        <v>51044.314292278832</v>
      </c>
      <c r="RN12" s="1033">
        <v>3</v>
      </c>
      <c r="RO12" s="1098">
        <f t="shared" si="99"/>
        <v>0</v>
      </c>
      <c r="RP12" s="1098">
        <f t="shared" si="100"/>
        <v>171.64</v>
      </c>
      <c r="RQ12" s="1097">
        <f t="shared" si="100"/>
        <v>0</v>
      </c>
      <c r="RR12" s="1097">
        <f t="shared" si="101"/>
        <v>9863.3999999999978</v>
      </c>
      <c r="RS12" s="1094"/>
      <c r="RT12" s="1094" t="s">
        <v>302</v>
      </c>
      <c r="RW12" s="421">
        <v>3</v>
      </c>
      <c r="RX12" s="1095">
        <f t="shared" si="102"/>
        <v>10055.85</v>
      </c>
      <c r="RY12" s="1094" t="s">
        <v>303</v>
      </c>
      <c r="SA12" s="1090"/>
      <c r="SB12" s="1090">
        <f t="shared" si="103"/>
        <v>-171.6399999999976</v>
      </c>
      <c r="SC12" s="1090"/>
      <c r="SD12" s="1090">
        <f t="shared" si="104"/>
        <v>0</v>
      </c>
      <c r="SF12" s="1">
        <v>3</v>
      </c>
      <c r="SG12" s="1">
        <f t="shared" si="105"/>
        <v>0</v>
      </c>
      <c r="SH12" s="1094"/>
    </row>
    <row r="13" spans="1:502" s="1" customFormat="1" ht="16.95" customHeight="1">
      <c r="B13" s="471">
        <v>4</v>
      </c>
      <c r="C13" s="4">
        <f t="shared" si="6"/>
        <v>163454</v>
      </c>
      <c r="D13" s="1590">
        <f t="shared" si="106"/>
        <v>10374.019999999999</v>
      </c>
      <c r="E13" s="1895">
        <f t="shared" si="7"/>
        <v>15.756090695795846</v>
      </c>
      <c r="F13" s="870"/>
      <c r="G13" s="870"/>
      <c r="H13" s="52"/>
      <c r="I13" s="61"/>
      <c r="J13" s="52"/>
      <c r="K13" s="61"/>
      <c r="L13" s="52"/>
      <c r="M13" s="61"/>
      <c r="N13" s="2629"/>
      <c r="O13" s="4">
        <f t="shared" ref="O13:O40" si="117">+SUM(AQ13,BC13,AW13)</f>
        <v>102186</v>
      </c>
      <c r="P13" s="1225">
        <f t="shared" si="8"/>
        <v>8083.2599999999993</v>
      </c>
      <c r="Q13" s="1913">
        <f t="shared" si="9"/>
        <v>12.641681697730867</v>
      </c>
      <c r="R13" s="33"/>
      <c r="S13" s="26">
        <f t="shared" si="10"/>
        <v>32995</v>
      </c>
      <c r="T13" s="27">
        <f t="shared" si="107"/>
        <v>2010.7599999999998</v>
      </c>
      <c r="U13" s="1909">
        <f t="shared" si="11"/>
        <v>16.409218404981203</v>
      </c>
      <c r="V13" s="28"/>
      <c r="W13" s="1742">
        <f t="shared" si="12"/>
        <v>28273</v>
      </c>
      <c r="X13" s="5">
        <f t="shared" si="12"/>
        <v>280</v>
      </c>
      <c r="Y13" s="1909">
        <f t="shared" si="13"/>
        <v>100.97499999999999</v>
      </c>
      <c r="Z13" s="33"/>
      <c r="AA13" s="26">
        <f t="shared" si="14"/>
        <v>0</v>
      </c>
      <c r="AB13" s="27">
        <f t="shared" si="15"/>
        <v>0</v>
      </c>
      <c r="AC13" s="53">
        <f t="shared" si="16"/>
        <v>0</v>
      </c>
      <c r="AD13" s="28"/>
      <c r="AE13" s="36"/>
      <c r="AF13" s="36"/>
      <c r="AG13" s="53">
        <f t="shared" si="17"/>
        <v>0</v>
      </c>
      <c r="AH13" s="28"/>
      <c r="AI13" s="26"/>
      <c r="AJ13" s="27"/>
      <c r="AK13" s="53">
        <f t="shared" si="18"/>
        <v>0</v>
      </c>
      <c r="AL13" s="28"/>
      <c r="AM13" s="2629"/>
      <c r="AN13" s="9"/>
      <c r="AO13" s="5"/>
      <c r="AP13" s="61">
        <f t="shared" si="19"/>
        <v>0</v>
      </c>
      <c r="AQ13" s="36"/>
      <c r="AR13" s="53"/>
      <c r="AS13" s="61">
        <f t="shared" si="20"/>
        <v>0</v>
      </c>
      <c r="AT13" s="36"/>
      <c r="AU13" s="27"/>
      <c r="AV13" s="54">
        <f t="shared" si="21"/>
        <v>0</v>
      </c>
      <c r="AW13" s="26">
        <v>53172</v>
      </c>
      <c r="AX13" s="27">
        <v>6174.0199999999995</v>
      </c>
      <c r="AY13" s="1735">
        <f t="shared" si="115"/>
        <v>8.6122169996209923</v>
      </c>
      <c r="AZ13" s="36"/>
      <c r="BA13" s="27"/>
      <c r="BB13" s="61">
        <f t="shared" si="22"/>
        <v>0</v>
      </c>
      <c r="BC13" s="1740">
        <v>49014</v>
      </c>
      <c r="BD13" s="1926">
        <v>1909.2399999999998</v>
      </c>
      <c r="BE13" s="1735">
        <f t="shared" si="23"/>
        <v>25.67199513942721</v>
      </c>
      <c r="BF13" s="36"/>
      <c r="BG13" s="53"/>
      <c r="BH13" s="61">
        <f t="shared" si="24"/>
        <v>0</v>
      </c>
      <c r="BI13" s="36">
        <v>0</v>
      </c>
      <c r="BJ13" s="53">
        <v>0</v>
      </c>
      <c r="BK13" s="61">
        <f t="shared" si="25"/>
        <v>0</v>
      </c>
      <c r="BL13" s="1742">
        <v>32995</v>
      </c>
      <c r="BM13" s="1736">
        <v>2010.7599999999998</v>
      </c>
      <c r="BN13" s="2170"/>
      <c r="BO13" s="1735">
        <f t="shared" si="26"/>
        <v>16.409218404981203</v>
      </c>
      <c r="BP13" s="1125"/>
      <c r="BQ13" s="53"/>
      <c r="BR13" s="61">
        <f t="shared" si="27"/>
        <v>0</v>
      </c>
      <c r="BS13" s="36"/>
      <c r="BT13" s="53"/>
      <c r="BU13" s="61">
        <f t="shared" si="28"/>
        <v>0</v>
      </c>
      <c r="BV13" s="36">
        <v>28273</v>
      </c>
      <c r="BW13" s="5">
        <v>280</v>
      </c>
      <c r="BX13" s="1906">
        <f t="shared" si="29"/>
        <v>100.97499999999999</v>
      </c>
      <c r="BY13" s="26"/>
      <c r="BZ13" s="27"/>
      <c r="CA13" s="61">
        <f t="shared" si="30"/>
        <v>0</v>
      </c>
      <c r="CB13" s="36"/>
      <c r="CC13" s="5"/>
      <c r="CD13" s="482">
        <f t="shared" si="31"/>
        <v>0</v>
      </c>
      <c r="CE13" s="4"/>
      <c r="CF13" s="5"/>
      <c r="CG13" s="28">
        <f t="shared" si="32"/>
        <v>0</v>
      </c>
      <c r="CH13" s="150"/>
      <c r="CI13" s="4"/>
      <c r="CJ13" s="5"/>
      <c r="CK13" s="5">
        <v>6815</v>
      </c>
      <c r="CL13" s="5"/>
      <c r="CM13" s="5"/>
      <c r="CN13" s="5"/>
      <c r="CO13" s="33"/>
      <c r="CP13" s="366"/>
      <c r="CR13" s="4">
        <f t="shared" si="33"/>
        <v>0</v>
      </c>
      <c r="CS13" s="9">
        <f t="shared" si="33"/>
        <v>0</v>
      </c>
      <c r="CT13" s="5">
        <f t="shared" si="33"/>
        <v>0</v>
      </c>
      <c r="CU13" s="5">
        <f t="shared" si="33"/>
        <v>0</v>
      </c>
      <c r="CV13" s="5">
        <f t="shared" si="33"/>
        <v>0</v>
      </c>
      <c r="CW13" s="5">
        <f t="shared" si="33"/>
        <v>0</v>
      </c>
      <c r="CX13" s="5">
        <f t="shared" si="33"/>
        <v>0</v>
      </c>
      <c r="CY13" s="5">
        <f t="shared" si="33"/>
        <v>0</v>
      </c>
      <c r="CZ13" s="5">
        <f t="shared" si="33"/>
        <v>9405.14</v>
      </c>
      <c r="DA13" s="5">
        <f t="shared" si="33"/>
        <v>0</v>
      </c>
      <c r="DB13" s="5">
        <f t="shared" si="33"/>
        <v>280</v>
      </c>
      <c r="DC13" s="12">
        <f t="shared" si="33"/>
        <v>0</v>
      </c>
      <c r="DD13" s="310">
        <f t="shared" si="34"/>
        <v>10374.019999999999</v>
      </c>
      <c r="DE13" s="2695"/>
      <c r="DF13" s="8"/>
      <c r="DG13" s="9"/>
      <c r="DH13" s="5"/>
      <c r="DI13" s="5"/>
      <c r="DJ13" s="5"/>
      <c r="DK13" s="5"/>
      <c r="DL13" s="3">
        <v>0</v>
      </c>
      <c r="DM13" s="5"/>
      <c r="DN13" s="3">
        <v>5485.1399999999994</v>
      </c>
      <c r="DO13" s="5"/>
      <c r="DP13" s="5"/>
      <c r="DQ13" s="12"/>
      <c r="DR13" s="1906">
        <f t="shared" si="35"/>
        <v>5485.1399999999994</v>
      </c>
      <c r="DS13" s="36"/>
      <c r="DT13" s="36"/>
      <c r="DU13" s="27"/>
      <c r="DV13" s="27"/>
      <c r="DW13" s="5"/>
      <c r="DX13" s="5"/>
      <c r="DY13" s="64"/>
      <c r="DZ13" s="5"/>
      <c r="EA13" s="3">
        <v>3920.0000000000005</v>
      </c>
      <c r="EB13" s="27"/>
      <c r="EC13" s="24">
        <v>0</v>
      </c>
      <c r="ED13" s="33"/>
      <c r="EE13" s="28">
        <f t="shared" si="36"/>
        <v>3920.0000000000005</v>
      </c>
      <c r="EF13" s="9"/>
      <c r="EG13" s="9"/>
      <c r="EH13" s="5"/>
      <c r="EI13" s="5"/>
      <c r="EJ13" s="27"/>
      <c r="EK13" s="27"/>
      <c r="EL13" s="27"/>
      <c r="EM13" s="27"/>
      <c r="EN13" s="5"/>
      <c r="EO13" s="5"/>
      <c r="EP13" s="5">
        <v>280</v>
      </c>
      <c r="EQ13" s="33"/>
      <c r="ER13" s="28">
        <f t="shared" si="37"/>
        <v>280</v>
      </c>
      <c r="ES13" s="36"/>
      <c r="ET13" s="27"/>
      <c r="EU13" s="27"/>
      <c r="EV13" s="27"/>
      <c r="EW13" s="27"/>
      <c r="EX13" s="27"/>
      <c r="EY13" s="33">
        <f t="shared" si="38"/>
        <v>0</v>
      </c>
      <c r="EZ13" s="2685"/>
      <c r="FB13" s="4">
        <f t="shared" si="39"/>
        <v>0</v>
      </c>
      <c r="FC13" s="5">
        <f t="shared" si="40"/>
        <v>0</v>
      </c>
      <c r="FD13" s="5">
        <f t="shared" si="41"/>
        <v>0</v>
      </c>
      <c r="FE13" s="12">
        <f t="shared" si="42"/>
        <v>0</v>
      </c>
      <c r="FF13" s="33"/>
      <c r="FG13" s="2674"/>
      <c r="FH13" s="9"/>
      <c r="FI13" s="5"/>
      <c r="FJ13" s="5"/>
      <c r="FK13" s="5"/>
      <c r="FL13" s="5"/>
      <c r="FM13" s="27"/>
      <c r="FN13" s="28">
        <f t="shared" si="43"/>
        <v>0</v>
      </c>
      <c r="FO13" s="36"/>
      <c r="FP13" s="27"/>
      <c r="FQ13" s="27"/>
      <c r="FR13" s="27"/>
      <c r="FS13" s="27"/>
      <c r="FT13" s="27"/>
      <c r="FU13" s="28">
        <f t="shared" si="44"/>
        <v>0</v>
      </c>
      <c r="FV13" s="36"/>
      <c r="FW13" s="36"/>
      <c r="FX13" s="27"/>
      <c r="FY13" s="27"/>
      <c r="FZ13" s="27"/>
      <c r="GA13" s="27"/>
      <c r="GB13" s="27"/>
      <c r="GC13" s="27"/>
      <c r="GD13" s="27"/>
      <c r="GE13" s="27"/>
      <c r="GF13" s="27"/>
      <c r="GG13" s="33"/>
      <c r="GH13" s="33">
        <f t="shared" si="45"/>
        <v>0</v>
      </c>
      <c r="GI13" s="2674"/>
      <c r="GK13" s="2">
        <f t="shared" si="108"/>
        <v>357.25</v>
      </c>
      <c r="GL13" s="63">
        <f t="shared" si="109"/>
        <v>852.36999999999989</v>
      </c>
      <c r="GM13" s="24">
        <f t="shared" si="110"/>
        <v>3816.32</v>
      </c>
      <c r="GN13" s="1736">
        <f t="shared" si="46"/>
        <v>5025.9400000000005</v>
      </c>
      <c r="GO13" s="141"/>
      <c r="GP13" s="141"/>
      <c r="GQ13" s="33"/>
      <c r="GR13" s="2667"/>
      <c r="GS13" s="1739">
        <v>0</v>
      </c>
      <c r="GT13" s="1721">
        <v>357.25</v>
      </c>
      <c r="GU13" s="1721">
        <v>2122.63</v>
      </c>
      <c r="GV13" s="1721">
        <v>2546.06</v>
      </c>
      <c r="GW13" s="1724">
        <f t="shared" si="47"/>
        <v>5025.9400000000005</v>
      </c>
      <c r="GX13" s="2667"/>
      <c r="GY13" s="36"/>
      <c r="GZ13" s="36"/>
      <c r="HA13" s="27"/>
      <c r="HB13" s="27"/>
      <c r="HC13" s="27"/>
      <c r="HD13" s="27"/>
      <c r="HE13" s="27"/>
      <c r="HF13" s="27"/>
      <c r="HG13" s="24">
        <v>0</v>
      </c>
      <c r="HH13" s="27"/>
      <c r="HI13" s="24">
        <v>0</v>
      </c>
      <c r="HJ13" s="27"/>
      <c r="HK13" s="24">
        <v>357.25</v>
      </c>
      <c r="HL13" s="27"/>
      <c r="HM13" s="28">
        <f t="shared" si="48"/>
        <v>357.25</v>
      </c>
      <c r="HN13" s="36"/>
      <c r="HO13" s="27"/>
      <c r="HP13" s="27"/>
      <c r="HQ13" s="27"/>
      <c r="HR13" s="27"/>
      <c r="HS13" s="27"/>
      <c r="HT13" s="27" cm="1">
        <f t="array" ref="HT13">SUMPRODUCT(('Data Base hauling'!$C$2:$C$216="TCM-ROM SB1 BK05-ROM 4")*(ISNUMBER(SEARCH(TEXT('June TCM'!$B13,"00")&amp;"/03/2026",'Data Base hauling'!$E$2:$E$216)))*'Data Base hauling'!$N$2:$N$216)</f>
        <v>0</v>
      </c>
      <c r="HU13" s="27"/>
      <c r="HV13" s="27" cm="1">
        <f t="array" ref="HV13">SUMPRODUCT(('Data Base hauling'!$C$2:$C$216="TCM-ROM SB1 BK05-ROM 5")*(ISNUMBER(SEARCH(TEXT('June TCM'!$B13,"00")&amp;"/03/2026",'Data Base hauling'!$E$2:$E$216)))*'Data Base hauling'!$N$2:$N$216)</f>
        <v>0</v>
      </c>
      <c r="HW13" s="27"/>
      <c r="HX13" s="27"/>
      <c r="HY13" s="27"/>
      <c r="HZ13" s="27"/>
      <c r="IA13" s="27"/>
      <c r="IB13" s="33">
        <f t="shared" si="49"/>
        <v>0</v>
      </c>
      <c r="IC13" s="845"/>
      <c r="ID13" s="363"/>
      <c r="IE13" s="64"/>
      <c r="IF13" s="64"/>
      <c r="IG13" s="64"/>
      <c r="IH13" s="64"/>
      <c r="II13" s="1926">
        <v>0</v>
      </c>
      <c r="IJ13" s="1590"/>
      <c r="IK13" s="1926">
        <v>795.36999999999989</v>
      </c>
      <c r="IL13" s="64"/>
      <c r="IM13" s="49">
        <v>0</v>
      </c>
      <c r="IN13" s="64"/>
      <c r="IO13" s="64"/>
      <c r="IP13" s="49">
        <v>57</v>
      </c>
      <c r="IQ13" s="2195">
        <f t="shared" si="50"/>
        <v>852.36999999999989</v>
      </c>
      <c r="IR13" s="36"/>
      <c r="IS13" s="36"/>
      <c r="IT13" s="27"/>
      <c r="IU13" s="27"/>
      <c r="IV13" s="53"/>
      <c r="IW13" s="27"/>
      <c r="IX13" s="24">
        <v>0</v>
      </c>
      <c r="IY13" s="27"/>
      <c r="IZ13" s="24">
        <v>3816.32</v>
      </c>
      <c r="JA13" s="27"/>
      <c r="JB13" s="24">
        <v>0</v>
      </c>
      <c r="JC13" s="27"/>
      <c r="JD13" s="27"/>
      <c r="JE13" s="27"/>
      <c r="JF13" s="33">
        <f t="shared" si="116"/>
        <v>3816.32</v>
      </c>
      <c r="JG13" s="2667"/>
      <c r="JI13" s="2014">
        <v>5025.9400000000005</v>
      </c>
      <c r="JJ13" s="2015">
        <v>0</v>
      </c>
      <c r="JK13" s="53"/>
      <c r="JL13" s="1736">
        <f t="shared" si="52"/>
        <v>5025.9400000000005</v>
      </c>
      <c r="JM13" s="33"/>
      <c r="JN13" s="2669"/>
      <c r="JO13" s="66">
        <v>0</v>
      </c>
      <c r="JP13" s="67">
        <v>0</v>
      </c>
      <c r="JQ13" s="67">
        <v>0</v>
      </c>
      <c r="JR13" s="67">
        <v>0</v>
      </c>
      <c r="JS13" s="67">
        <v>0.91757760737294913</v>
      </c>
      <c r="JT13" s="67">
        <v>0</v>
      </c>
      <c r="JU13" s="67">
        <v>7.1081230575772883E-2</v>
      </c>
      <c r="JV13" s="1921">
        <v>0</v>
      </c>
      <c r="JW13" s="66" t="s">
        <v>296</v>
      </c>
      <c r="JX13" s="67" t="s">
        <v>296</v>
      </c>
      <c r="JY13" s="67" t="s">
        <v>296</v>
      </c>
      <c r="JZ13" s="67" t="s">
        <v>296</v>
      </c>
      <c r="KA13" s="67" t="s">
        <v>296</v>
      </c>
      <c r="KB13" s="67" t="s">
        <v>296</v>
      </c>
      <c r="KC13" s="67" t="s">
        <v>296</v>
      </c>
      <c r="KD13" s="68" t="s">
        <v>296</v>
      </c>
      <c r="KE13" s="69"/>
      <c r="KF13" s="70"/>
      <c r="KG13" s="70"/>
      <c r="KH13" s="70"/>
      <c r="KI13" s="70"/>
      <c r="KJ13" s="70"/>
      <c r="KK13" s="70"/>
      <c r="KL13" s="70"/>
      <c r="KM13" s="33"/>
      <c r="KN13" s="2669"/>
      <c r="KO13" s="2203">
        <v>6998</v>
      </c>
      <c r="KP13" s="1721">
        <v>0.96000000000000008</v>
      </c>
      <c r="KQ13" s="1721">
        <v>4.59</v>
      </c>
      <c r="KR13" s="1721">
        <v>7.05</v>
      </c>
      <c r="KS13" s="1722">
        <v>12.9</v>
      </c>
      <c r="KT13" s="1958">
        <v>0</v>
      </c>
      <c r="KU13" s="1961">
        <v>0</v>
      </c>
      <c r="KV13" s="1961">
        <v>0</v>
      </c>
      <c r="KW13" s="1961">
        <v>0</v>
      </c>
      <c r="KX13" s="1962">
        <v>0</v>
      </c>
      <c r="KY13" s="36"/>
      <c r="KZ13" s="53"/>
      <c r="LA13" s="53"/>
      <c r="LB13" s="53"/>
      <c r="LC13" s="53"/>
      <c r="LD13" s="33"/>
      <c r="LE13" s="2669"/>
      <c r="LG13" s="998">
        <f t="shared" si="53"/>
        <v>0</v>
      </c>
      <c r="LH13" s="27">
        <f t="shared" si="53"/>
        <v>0</v>
      </c>
      <c r="LI13" s="27">
        <f t="shared" si="53"/>
        <v>0</v>
      </c>
      <c r="LJ13" s="28">
        <f t="shared" si="54"/>
        <v>0</v>
      </c>
      <c r="LK13" s="36"/>
      <c r="LL13" s="27"/>
      <c r="LM13" s="27">
        <v>2</v>
      </c>
      <c r="LN13" s="33"/>
      <c r="LO13" s="1041">
        <v>5.9</v>
      </c>
      <c r="LP13" s="486"/>
      <c r="LQ13" s="2688"/>
      <c r="LR13" s="2274"/>
      <c r="LS13" s="2270"/>
      <c r="LT13" s="27"/>
      <c r="LU13" s="27"/>
      <c r="LV13" s="27"/>
      <c r="LW13" s="1117">
        <f t="shared" si="55"/>
        <v>0</v>
      </c>
      <c r="LX13" s="2269"/>
      <c r="LY13" s="36"/>
      <c r="LZ13" s="27"/>
      <c r="MA13" s="27"/>
      <c r="MB13" s="33"/>
      <c r="MC13" s="28">
        <f t="shared" si="56"/>
        <v>0</v>
      </c>
      <c r="MD13" s="26"/>
      <c r="ME13" s="36"/>
      <c r="MF13" s="27"/>
      <c r="MG13" s="27"/>
      <c r="MH13" s="27"/>
      <c r="MI13" s="28"/>
      <c r="MJ13" s="36"/>
      <c r="MK13" s="36"/>
      <c r="ML13" s="27"/>
      <c r="MM13" s="27"/>
      <c r="MN13" s="27"/>
      <c r="MO13" s="28"/>
      <c r="MP13" s="36"/>
      <c r="MQ13" s="36"/>
      <c r="MR13" s="27"/>
      <c r="MS13" s="27"/>
      <c r="MT13" s="27"/>
      <c r="MU13" s="33">
        <f t="shared" si="57"/>
        <v>0</v>
      </c>
      <c r="MV13" s="2688"/>
      <c r="MX13" s="26">
        <f t="shared" si="58"/>
        <v>142598.32422972267</v>
      </c>
      <c r="MY13" s="27">
        <f t="shared" si="59"/>
        <v>115214.63785017916</v>
      </c>
      <c r="MZ13" s="27">
        <f t="shared" si="60"/>
        <v>21595.318559023406</v>
      </c>
      <c r="NA13" s="28">
        <f t="shared" si="61"/>
        <v>435337.12855851004</v>
      </c>
      <c r="NB13" s="2621"/>
      <c r="NC13" s="23">
        <f t="shared" si="62"/>
        <v>58891.365442786249</v>
      </c>
      <c r="ND13" s="1579">
        <f t="shared" si="63"/>
        <v>83706.958786936404</v>
      </c>
      <c r="NE13" s="60">
        <f t="shared" si="64"/>
        <v>0</v>
      </c>
      <c r="NF13" s="275">
        <f t="shared" si="4"/>
        <v>142598.32422972267</v>
      </c>
      <c r="NG13" s="26">
        <f t="shared" si="65"/>
        <v>0</v>
      </c>
      <c r="NH13" s="27">
        <f t="shared" si="65"/>
        <v>0</v>
      </c>
      <c r="NI13" s="27">
        <f t="shared" si="65"/>
        <v>0</v>
      </c>
      <c r="NJ13" s="27">
        <f t="shared" si="65"/>
        <v>0</v>
      </c>
      <c r="NK13" s="27">
        <f t="shared" si="65"/>
        <v>0</v>
      </c>
      <c r="NL13" s="33">
        <f t="shared" si="65"/>
        <v>0</v>
      </c>
      <c r="NM13" s="27">
        <f t="shared" si="65"/>
        <v>0</v>
      </c>
      <c r="NN13" s="36">
        <f t="shared" si="65"/>
        <v>0</v>
      </c>
      <c r="NO13" s="24">
        <f t="shared" si="111"/>
        <v>1828.3342192005614</v>
      </c>
      <c r="NP13" s="27">
        <f t="shared" si="65"/>
        <v>26196.696072681989</v>
      </c>
      <c r="NQ13" s="24">
        <f t="shared" si="112"/>
        <v>8756.5482322711578</v>
      </c>
      <c r="NR13" s="24">
        <f t="shared" si="113"/>
        <v>1206.8248469876016</v>
      </c>
      <c r="NS13" s="27">
        <f t="shared" si="0"/>
        <v>37988.403371141307</v>
      </c>
      <c r="NT13" s="27">
        <f t="shared" si="66"/>
        <v>0</v>
      </c>
      <c r="NU13" s="27">
        <f t="shared" si="66"/>
        <v>0</v>
      </c>
      <c r="NV13" s="27">
        <f t="shared" si="66"/>
        <v>0</v>
      </c>
      <c r="NW13" s="27">
        <f t="shared" si="66"/>
        <v>0</v>
      </c>
      <c r="NX13" s="27">
        <f t="shared" si="66"/>
        <v>0</v>
      </c>
      <c r="NY13" s="27">
        <f t="shared" si="66"/>
        <v>0</v>
      </c>
      <c r="NZ13" s="27">
        <f t="shared" si="66"/>
        <v>11900.580368235249</v>
      </c>
      <c r="OA13" s="27">
        <f t="shared" si="66"/>
        <v>0</v>
      </c>
      <c r="OB13" s="27">
        <f t="shared" si="66"/>
        <v>39954.917327968033</v>
      </c>
      <c r="OC13" s="280"/>
      <c r="OD13" s="24">
        <f t="shared" si="67"/>
        <v>454.51223506073143</v>
      </c>
      <c r="OE13" s="27">
        <f t="shared" si="67"/>
        <v>0</v>
      </c>
      <c r="OF13" s="28">
        <f t="shared" si="1"/>
        <v>52310.009931264016</v>
      </c>
      <c r="OG13" s="27">
        <f t="shared" si="68"/>
        <v>0</v>
      </c>
      <c r="OH13" s="27">
        <f t="shared" si="68"/>
        <v>0</v>
      </c>
      <c r="OI13" s="27">
        <f t="shared" si="68"/>
        <v>0</v>
      </c>
      <c r="OJ13" s="27">
        <f t="shared" si="68"/>
        <v>0</v>
      </c>
      <c r="OK13" s="27">
        <f t="shared" si="68"/>
        <v>0</v>
      </c>
      <c r="OL13" s="27">
        <f t="shared" si="68"/>
        <v>0</v>
      </c>
      <c r="OM13" s="24">
        <f t="shared" si="68"/>
        <v>0</v>
      </c>
      <c r="ON13" s="27">
        <f t="shared" si="68"/>
        <v>0</v>
      </c>
      <c r="OO13" s="24">
        <f>+OO12+EA13+GD13+QF13-IZ13</f>
        <v>24916.224547773836</v>
      </c>
      <c r="OP13" s="27">
        <f t="shared" si="68"/>
        <v>0</v>
      </c>
      <c r="OQ13" s="24">
        <f t="shared" si="68"/>
        <v>0</v>
      </c>
      <c r="OR13" s="27">
        <f t="shared" si="68"/>
        <v>0</v>
      </c>
      <c r="OS13" s="28">
        <f t="shared" si="2"/>
        <v>24916.224547773836</v>
      </c>
      <c r="OT13" s="36"/>
      <c r="OU13" s="27"/>
      <c r="OV13" s="27"/>
      <c r="OW13" s="27"/>
      <c r="OX13" s="27"/>
      <c r="OY13" s="27"/>
      <c r="OZ13" s="28">
        <f t="shared" si="69"/>
        <v>0</v>
      </c>
      <c r="PA13" s="36">
        <f t="shared" si="70"/>
        <v>0</v>
      </c>
      <c r="PB13" s="27">
        <f t="shared" si="71"/>
        <v>0</v>
      </c>
      <c r="PC13" s="27">
        <f t="shared" si="72"/>
        <v>0</v>
      </c>
      <c r="PD13" s="27">
        <f t="shared" si="73"/>
        <v>0</v>
      </c>
      <c r="PE13" s="24"/>
      <c r="PF13" s="27">
        <f t="shared" si="74"/>
        <v>0</v>
      </c>
      <c r="PG13" s="33">
        <f t="shared" si="3"/>
        <v>0</v>
      </c>
      <c r="PH13" s="2621"/>
      <c r="PJ13" s="1907">
        <v>1378.5800000000002</v>
      </c>
      <c r="PK13" s="3">
        <v>930</v>
      </c>
      <c r="PL13" s="3">
        <v>310</v>
      </c>
      <c r="PM13" s="3">
        <v>357.25</v>
      </c>
      <c r="PN13" s="3">
        <v>27202.34977658069</v>
      </c>
      <c r="PO13" s="11">
        <f t="shared" si="75"/>
        <v>21595.318559023406</v>
      </c>
      <c r="PP13" s="15"/>
      <c r="PQ13" s="2615"/>
      <c r="PS13" s="4"/>
      <c r="PT13" s="9"/>
      <c r="PU13" s="9"/>
      <c r="PV13" s="9"/>
      <c r="PW13" s="8">
        <v>688.88</v>
      </c>
      <c r="PX13" s="9"/>
      <c r="PY13" s="8">
        <f t="shared" si="76"/>
        <v>688.88</v>
      </c>
      <c r="PZ13" s="5">
        <f t="shared" si="77"/>
        <v>1378.5800000000002</v>
      </c>
      <c r="QA13" s="5"/>
      <c r="QB13" s="5"/>
      <c r="QC13" s="5"/>
      <c r="QD13" s="5"/>
      <c r="QE13" s="5"/>
      <c r="QF13" s="12"/>
      <c r="QG13" s="12">
        <f t="shared" si="78"/>
        <v>29562.488999999998</v>
      </c>
      <c r="QH13" s="420">
        <f t="shared" si="79"/>
        <v>404914.11955851002</v>
      </c>
      <c r="QI13" s="1106">
        <f t="shared" si="80"/>
        <v>860.52</v>
      </c>
      <c r="QJ13" s="484">
        <f t="shared" si="81"/>
        <v>5505.3678056099998</v>
      </c>
      <c r="QK13" s="12"/>
      <c r="QL13" s="2615"/>
      <c r="QN13" s="139">
        <f t="shared" si="82"/>
        <v>0</v>
      </c>
      <c r="QO13" s="139" t="str">
        <f t="shared" si="83"/>
        <v/>
      </c>
      <c r="QQ13" s="139">
        <f t="shared" si="84"/>
        <v>0</v>
      </c>
      <c r="QR13" s="139">
        <f t="shared" si="85"/>
        <v>0</v>
      </c>
      <c r="QT13" s="1">
        <f t="shared" si="86"/>
        <v>0</v>
      </c>
      <c r="QU13" s="1">
        <f t="shared" si="87"/>
        <v>0</v>
      </c>
      <c r="QV13" s="1">
        <f t="shared" si="88"/>
        <v>0</v>
      </c>
      <c r="QW13" s="1">
        <f t="shared" si="89"/>
        <v>0</v>
      </c>
      <c r="QX13" s="1">
        <f t="shared" si="90"/>
        <v>0</v>
      </c>
      <c r="QY13" s="1">
        <f t="shared" si="91"/>
        <v>0</v>
      </c>
      <c r="RA13" s="1">
        <f t="shared" si="92"/>
        <v>0</v>
      </c>
      <c r="RB13" s="1">
        <f t="shared" si="93"/>
        <v>0</v>
      </c>
      <c r="RC13" s="1">
        <f t="shared" si="94"/>
        <v>0</v>
      </c>
      <c r="RD13" s="1">
        <f t="shared" si="95"/>
        <v>0</v>
      </c>
      <c r="RE13" s="1">
        <f t="shared" si="96"/>
        <v>0</v>
      </c>
      <c r="RF13" s="1">
        <f t="shared" si="97"/>
        <v>0</v>
      </c>
      <c r="RI13" s="1">
        <v>4</v>
      </c>
      <c r="RJ13" s="1">
        <f t="shared" si="98"/>
        <v>39381.429251083166</v>
      </c>
      <c r="RK13" s="1">
        <f t="shared" si="98"/>
        <v>7510.2560498622815</v>
      </c>
      <c r="RL13" s="1">
        <f t="shared" si="98"/>
        <v>9178.5689913333827</v>
      </c>
      <c r="RM13" s="89">
        <f t="shared" si="5"/>
        <v>56070.254292278834</v>
      </c>
      <c r="RN13" s="1033">
        <v>4</v>
      </c>
      <c r="RO13" s="1098">
        <f t="shared" si="99"/>
        <v>0</v>
      </c>
      <c r="RP13" s="1098">
        <f t="shared" si="100"/>
        <v>688.88</v>
      </c>
      <c r="RQ13" s="1097">
        <f t="shared" si="100"/>
        <v>0</v>
      </c>
      <c r="RR13" s="1097">
        <f t="shared" si="101"/>
        <v>10094.019999999999</v>
      </c>
      <c r="RS13" s="1094"/>
      <c r="RT13" s="1094" t="s">
        <v>304</v>
      </c>
      <c r="RW13" s="421">
        <v>4</v>
      </c>
      <c r="RX13" s="1095">
        <f t="shared" si="102"/>
        <v>5025.9400000000005</v>
      </c>
      <c r="RY13" s="1094" t="s">
        <v>305</v>
      </c>
      <c r="SA13" s="1090"/>
      <c r="SB13" s="1090">
        <f t="shared" si="103"/>
        <v>-688.8799999999992</v>
      </c>
      <c r="SC13" s="1090"/>
      <c r="SD13" s="1090">
        <f t="shared" si="104"/>
        <v>0</v>
      </c>
      <c r="SF13" s="1">
        <v>4</v>
      </c>
      <c r="SG13" s="1">
        <f t="shared" si="105"/>
        <v>357.25</v>
      </c>
      <c r="SH13" s="1094" t="s">
        <v>306</v>
      </c>
    </row>
    <row r="14" spans="1:502" s="1" customFormat="1" ht="13.5" customHeight="1">
      <c r="B14" s="471">
        <v>5</v>
      </c>
      <c r="C14" s="4">
        <f t="shared" si="6"/>
        <v>163998</v>
      </c>
      <c r="D14" s="1590">
        <f t="shared" si="106"/>
        <v>9337.0400000000009</v>
      </c>
      <c r="E14" s="1895">
        <f t="shared" si="7"/>
        <v>17.56423877374414</v>
      </c>
      <c r="F14" s="870"/>
      <c r="G14" s="870"/>
      <c r="H14" s="52"/>
      <c r="I14" s="61"/>
      <c r="J14" s="52"/>
      <c r="K14" s="54"/>
      <c r="L14" s="52"/>
      <c r="M14" s="61"/>
      <c r="N14" s="2629"/>
      <c r="O14" s="4">
        <f t="shared" si="117"/>
        <v>104580</v>
      </c>
      <c r="P14" s="1225">
        <f t="shared" si="8"/>
        <v>7883.8600000000006</v>
      </c>
      <c r="Q14" s="1913">
        <f t="shared" si="9"/>
        <v>13.265075737012072</v>
      </c>
      <c r="R14" s="33"/>
      <c r="S14" s="26">
        <f t="shared" si="10"/>
        <v>32449</v>
      </c>
      <c r="T14" s="27">
        <f t="shared" si="107"/>
        <v>1273.1799999999996</v>
      </c>
      <c r="U14" s="1909">
        <f t="shared" si="11"/>
        <v>25.486576917639304</v>
      </c>
      <c r="V14" s="28"/>
      <c r="W14" s="1742">
        <f t="shared" si="12"/>
        <v>26969</v>
      </c>
      <c r="X14" s="5">
        <f t="shared" si="12"/>
        <v>180</v>
      </c>
      <c r="Y14" s="1909">
        <f t="shared" si="13"/>
        <v>149.82777777777778</v>
      </c>
      <c r="Z14" s="33"/>
      <c r="AA14" s="26">
        <f t="shared" si="14"/>
        <v>0</v>
      </c>
      <c r="AB14" s="27">
        <f t="shared" si="15"/>
        <v>0</v>
      </c>
      <c r="AC14" s="53">
        <f t="shared" si="16"/>
        <v>0</v>
      </c>
      <c r="AD14" s="28"/>
      <c r="AE14" s="36"/>
      <c r="AF14" s="36"/>
      <c r="AG14" s="53">
        <f t="shared" si="17"/>
        <v>0</v>
      </c>
      <c r="AH14" s="28"/>
      <c r="AI14" s="23"/>
      <c r="AJ14" s="27"/>
      <c r="AK14" s="53">
        <f t="shared" si="18"/>
        <v>0</v>
      </c>
      <c r="AL14" s="28"/>
      <c r="AM14" s="2629"/>
      <c r="AN14" s="9"/>
      <c r="AO14" s="5"/>
      <c r="AP14" s="61">
        <f t="shared" si="19"/>
        <v>0</v>
      </c>
      <c r="AQ14" s="36"/>
      <c r="AR14" s="53"/>
      <c r="AS14" s="61">
        <f t="shared" si="20"/>
        <v>0</v>
      </c>
      <c r="AT14" s="36"/>
      <c r="AU14" s="27"/>
      <c r="AV14" s="54">
        <f t="shared" si="21"/>
        <v>0</v>
      </c>
      <c r="AW14" s="26">
        <v>53802</v>
      </c>
      <c r="AX14" s="27">
        <v>6183.42</v>
      </c>
      <c r="AY14" s="1735">
        <f t="shared" si="115"/>
        <v>8.7010101206128638</v>
      </c>
      <c r="AZ14" s="36"/>
      <c r="BA14" s="27"/>
      <c r="BB14" s="61">
        <f t="shared" si="22"/>
        <v>0</v>
      </c>
      <c r="BC14" s="1740">
        <v>50778</v>
      </c>
      <c r="BD14" s="1926">
        <v>1700.44</v>
      </c>
      <c r="BE14" s="1735">
        <f t="shared" si="23"/>
        <v>29.861682858554257</v>
      </c>
      <c r="BF14" s="36"/>
      <c r="BG14" s="53"/>
      <c r="BH14" s="61">
        <f t="shared" si="24"/>
        <v>0</v>
      </c>
      <c r="BI14" s="36">
        <v>0</v>
      </c>
      <c r="BJ14" s="53">
        <v>0</v>
      </c>
      <c r="BK14" s="61">
        <f t="shared" si="25"/>
        <v>0</v>
      </c>
      <c r="BL14" s="1742">
        <v>32449</v>
      </c>
      <c r="BM14" s="1736">
        <v>1273.1799999999996</v>
      </c>
      <c r="BN14" s="2170"/>
      <c r="BO14" s="1735">
        <f t="shared" si="26"/>
        <v>25.486576917639304</v>
      </c>
      <c r="BP14" s="36"/>
      <c r="BQ14" s="53"/>
      <c r="BR14" s="61">
        <f t="shared" si="27"/>
        <v>0</v>
      </c>
      <c r="BS14" s="36"/>
      <c r="BT14" s="53"/>
      <c r="BU14" s="61">
        <f t="shared" si="28"/>
        <v>0</v>
      </c>
      <c r="BV14" s="36">
        <v>26969</v>
      </c>
      <c r="BW14" s="5">
        <v>180</v>
      </c>
      <c r="BX14" s="1906">
        <f t="shared" si="29"/>
        <v>149.82777777777778</v>
      </c>
      <c r="BY14" s="26"/>
      <c r="BZ14" s="27"/>
      <c r="CA14" s="61">
        <f t="shared" si="30"/>
        <v>0</v>
      </c>
      <c r="CB14" s="36"/>
      <c r="CC14" s="481"/>
      <c r="CD14" s="482">
        <f t="shared" si="31"/>
        <v>0</v>
      </c>
      <c r="CE14" s="4"/>
      <c r="CF14" s="5"/>
      <c r="CG14" s="28">
        <f t="shared" si="32"/>
        <v>0</v>
      </c>
      <c r="CH14" s="150"/>
      <c r="CI14" s="4"/>
      <c r="CJ14" s="5"/>
      <c r="CK14" s="5">
        <v>5892</v>
      </c>
      <c r="CL14" s="5"/>
      <c r="CM14" s="5"/>
      <c r="CN14" s="5"/>
      <c r="CO14" s="33"/>
      <c r="CP14" s="366"/>
      <c r="CR14" s="4">
        <f t="shared" si="33"/>
        <v>0</v>
      </c>
      <c r="CS14" s="9">
        <f t="shared" si="33"/>
        <v>0</v>
      </c>
      <c r="CT14" s="5">
        <f t="shared" si="33"/>
        <v>0</v>
      </c>
      <c r="CU14" s="5">
        <f t="shared" si="33"/>
        <v>0</v>
      </c>
      <c r="CV14" s="5">
        <f t="shared" si="33"/>
        <v>0</v>
      </c>
      <c r="CW14" s="5">
        <f t="shared" si="33"/>
        <v>0</v>
      </c>
      <c r="CX14" s="5">
        <f t="shared" si="33"/>
        <v>0</v>
      </c>
      <c r="CY14" s="5">
        <f t="shared" si="33"/>
        <v>0</v>
      </c>
      <c r="CZ14" s="5">
        <f t="shared" si="33"/>
        <v>9157.0399999999991</v>
      </c>
      <c r="DA14" s="5">
        <f t="shared" si="33"/>
        <v>0</v>
      </c>
      <c r="DB14" s="5">
        <f t="shared" si="33"/>
        <v>180</v>
      </c>
      <c r="DC14" s="12">
        <f t="shared" si="33"/>
        <v>0</v>
      </c>
      <c r="DD14" s="310">
        <f t="shared" si="34"/>
        <v>9337.0399999999991</v>
      </c>
      <c r="DE14" s="2695"/>
      <c r="DF14" s="8"/>
      <c r="DG14" s="9"/>
      <c r="DH14" s="5"/>
      <c r="DI14" s="5"/>
      <c r="DJ14" s="5"/>
      <c r="DK14" s="5"/>
      <c r="DL14" s="3">
        <v>0</v>
      </c>
      <c r="DM14" s="5"/>
      <c r="DN14" s="3">
        <v>6183.42</v>
      </c>
      <c r="DO14" s="5"/>
      <c r="DP14" s="5"/>
      <c r="DQ14" s="12"/>
      <c r="DR14" s="1906">
        <f t="shared" si="35"/>
        <v>6183.42</v>
      </c>
      <c r="DS14" s="36"/>
      <c r="DT14" s="36"/>
      <c r="DU14" s="27"/>
      <c r="DV14" s="27"/>
      <c r="DW14" s="5"/>
      <c r="DX14" s="5"/>
      <c r="DY14" s="5"/>
      <c r="DZ14" s="5"/>
      <c r="EA14" s="3">
        <v>2973.6199999999994</v>
      </c>
      <c r="EB14" s="53"/>
      <c r="EC14" s="24">
        <v>0</v>
      </c>
      <c r="ED14" s="33"/>
      <c r="EE14" s="28">
        <f t="shared" si="36"/>
        <v>2973.6199999999994</v>
      </c>
      <c r="EF14" s="9"/>
      <c r="EG14" s="9"/>
      <c r="EH14" s="5"/>
      <c r="EI14" s="5"/>
      <c r="EJ14" s="27"/>
      <c r="EK14" s="27"/>
      <c r="EL14" s="27"/>
      <c r="EM14" s="27"/>
      <c r="EN14" s="5"/>
      <c r="EO14" s="5"/>
      <c r="EP14" s="5">
        <v>180</v>
      </c>
      <c r="EQ14" s="33"/>
      <c r="ER14" s="28">
        <f t="shared" si="37"/>
        <v>180</v>
      </c>
      <c r="ES14" s="36"/>
      <c r="ET14" s="27"/>
      <c r="EU14" s="27"/>
      <c r="EV14" s="27"/>
      <c r="EW14" s="27"/>
      <c r="EX14" s="27"/>
      <c r="EY14" s="33">
        <f t="shared" si="38"/>
        <v>0</v>
      </c>
      <c r="EZ14" s="2685"/>
      <c r="FB14" s="4">
        <f t="shared" si="39"/>
        <v>0</v>
      </c>
      <c r="FC14" s="5">
        <f t="shared" si="40"/>
        <v>0</v>
      </c>
      <c r="FD14" s="5">
        <f t="shared" si="41"/>
        <v>0</v>
      </c>
      <c r="FE14" s="12">
        <f t="shared" si="42"/>
        <v>0</v>
      </c>
      <c r="FF14" s="33"/>
      <c r="FG14" s="2674"/>
      <c r="FH14" s="9"/>
      <c r="FI14" s="5"/>
      <c r="FJ14" s="5"/>
      <c r="FK14" s="5"/>
      <c r="FL14" s="5"/>
      <c r="FM14" s="27"/>
      <c r="FN14" s="28">
        <f t="shared" si="43"/>
        <v>0</v>
      </c>
      <c r="FO14" s="36"/>
      <c r="FP14" s="27"/>
      <c r="FQ14" s="27"/>
      <c r="FR14" s="27"/>
      <c r="FS14" s="27"/>
      <c r="FT14" s="27"/>
      <c r="FU14" s="28">
        <f t="shared" si="44"/>
        <v>0</v>
      </c>
      <c r="FV14" s="36"/>
      <c r="FW14" s="36"/>
      <c r="FX14" s="27"/>
      <c r="FY14" s="27"/>
      <c r="FZ14" s="27"/>
      <c r="GA14" s="27"/>
      <c r="GB14" s="27"/>
      <c r="GC14" s="27"/>
      <c r="GD14" s="27"/>
      <c r="GE14" s="27"/>
      <c r="GF14" s="27"/>
      <c r="GG14" s="33"/>
      <c r="GH14" s="33">
        <f t="shared" si="45"/>
        <v>0</v>
      </c>
      <c r="GI14" s="2674"/>
      <c r="GK14" s="2">
        <f t="shared" si="108"/>
        <v>99.84</v>
      </c>
      <c r="GL14" s="63">
        <f t="shared" si="109"/>
        <v>0</v>
      </c>
      <c r="GM14" s="24">
        <f t="shared" si="110"/>
        <v>0</v>
      </c>
      <c r="GN14" s="1736">
        <f t="shared" si="46"/>
        <v>99.84</v>
      </c>
      <c r="GO14" s="141"/>
      <c r="GP14" s="141"/>
      <c r="GQ14" s="33"/>
      <c r="GR14" s="2667"/>
      <c r="GS14" s="1739">
        <v>0</v>
      </c>
      <c r="GT14" s="1721">
        <v>99.84</v>
      </c>
      <c r="GU14" s="1721">
        <v>0</v>
      </c>
      <c r="GV14" s="1721">
        <v>0</v>
      </c>
      <c r="GW14" s="1724">
        <f t="shared" si="47"/>
        <v>99.84</v>
      </c>
      <c r="GX14" s="2667"/>
      <c r="GY14" s="9"/>
      <c r="GZ14" s="9"/>
      <c r="HA14" s="5"/>
      <c r="HB14" s="5"/>
      <c r="HC14" s="5"/>
      <c r="HD14" s="5"/>
      <c r="HE14" s="5"/>
      <c r="HF14" s="5"/>
      <c r="HG14" s="24">
        <v>0</v>
      </c>
      <c r="HH14" s="5"/>
      <c r="HI14" s="24">
        <v>0</v>
      </c>
      <c r="HJ14" s="5"/>
      <c r="HK14" s="24">
        <v>99.84</v>
      </c>
      <c r="HL14" s="5"/>
      <c r="HM14" s="15">
        <f t="shared" si="48"/>
        <v>99.84</v>
      </c>
      <c r="HN14" s="9"/>
      <c r="HO14" s="5"/>
      <c r="HP14" s="5"/>
      <c r="HQ14" s="5"/>
      <c r="HR14" s="5"/>
      <c r="HS14" s="5"/>
      <c r="HT14" s="5" cm="1">
        <f t="array" ref="HT14">SUMPRODUCT(('Data Base hauling'!$C$2:$C$216="TCM-ROM SB1 BK05-ROM 4")*(ISNUMBER(SEARCH(TEXT('June TCM'!$B14,"00")&amp;"/03/2026",'Data Base hauling'!$E$2:$E$216)))*'Data Base hauling'!$N$2:$N$216)</f>
        <v>0</v>
      </c>
      <c r="HU14" s="5"/>
      <c r="HV14" s="5" cm="1">
        <f t="array" ref="HV14">SUMPRODUCT(('Data Base hauling'!$C$2:$C$216="TCM-ROM SB1 BK05-ROM 5")*(ISNUMBER(SEARCH(TEXT('June TCM'!$B14,"00")&amp;"/03/2026",'Data Base hauling'!$E$2:$E$216)))*'Data Base hauling'!$N$2:$N$216)</f>
        <v>0</v>
      </c>
      <c r="HW14" s="5"/>
      <c r="HX14" s="5"/>
      <c r="HY14" s="5"/>
      <c r="HZ14" s="5"/>
      <c r="IA14" s="5"/>
      <c r="IB14" s="12">
        <f t="shared" si="49"/>
        <v>0</v>
      </c>
      <c r="IC14" s="845"/>
      <c r="ID14" s="363"/>
      <c r="IE14" s="64"/>
      <c r="IF14" s="64"/>
      <c r="IG14" s="64"/>
      <c r="IH14" s="64"/>
      <c r="II14" s="1926">
        <v>0</v>
      </c>
      <c r="IJ14" s="1590"/>
      <c r="IK14" s="1926">
        <v>0</v>
      </c>
      <c r="IL14" s="64"/>
      <c r="IM14" s="49">
        <v>0</v>
      </c>
      <c r="IN14" s="64"/>
      <c r="IO14" s="64"/>
      <c r="IP14" s="49">
        <f>SUMPRODUCT(('Data Base hauling'!$C$2:$C$216="TCM-HAC1 (Production)-ROM 2(HAC)")*(ISNUMBER(SEARCH(TEXT('June TCM'!$B14,"00")&amp;"/06/2026",'Data Base hauling'!$E$2:$E$216)))*'Data Base hauling'!$N$2:$N$216)</f>
        <v>0</v>
      </c>
      <c r="IQ14" s="2195">
        <f t="shared" si="50"/>
        <v>0</v>
      </c>
      <c r="IR14" s="9"/>
      <c r="IS14" s="9"/>
      <c r="IT14" s="5"/>
      <c r="IU14" s="5"/>
      <c r="IV14" s="64"/>
      <c r="IW14" s="5"/>
      <c r="IX14" s="24">
        <v>0</v>
      </c>
      <c r="IY14" s="5"/>
      <c r="IZ14" s="24">
        <v>0</v>
      </c>
      <c r="JA14" s="5"/>
      <c r="JB14" s="24">
        <v>0</v>
      </c>
      <c r="JC14" s="5"/>
      <c r="JD14" s="5"/>
      <c r="JE14" s="5"/>
      <c r="JF14" s="12">
        <f t="shared" si="116"/>
        <v>0</v>
      </c>
      <c r="JG14" s="2667"/>
      <c r="JI14" s="2014">
        <v>0</v>
      </c>
      <c r="JJ14" s="2015">
        <v>99.84</v>
      </c>
      <c r="JK14" s="53"/>
      <c r="JL14" s="1723">
        <f t="shared" si="52"/>
        <v>99.84</v>
      </c>
      <c r="JM14" s="33"/>
      <c r="JN14" s="2669"/>
      <c r="JO14" s="66" t="s">
        <v>296</v>
      </c>
      <c r="JP14" s="67" t="s">
        <v>296</v>
      </c>
      <c r="JQ14" s="67" t="s">
        <v>296</v>
      </c>
      <c r="JR14" s="67" t="s">
        <v>296</v>
      </c>
      <c r="JS14" s="67" t="s">
        <v>296</v>
      </c>
      <c r="JT14" s="67" t="s">
        <v>296</v>
      </c>
      <c r="JU14" s="67" t="s">
        <v>296</v>
      </c>
      <c r="JV14" s="1921">
        <v>0</v>
      </c>
      <c r="JW14" s="66">
        <v>0</v>
      </c>
      <c r="JX14" s="67">
        <v>0</v>
      </c>
      <c r="JY14" s="67">
        <v>0</v>
      </c>
      <c r="JZ14" s="67">
        <v>0</v>
      </c>
      <c r="KA14" s="67">
        <v>0</v>
      </c>
      <c r="KB14" s="67">
        <v>0</v>
      </c>
      <c r="KC14" s="67">
        <v>1</v>
      </c>
      <c r="KD14" s="68">
        <v>0</v>
      </c>
      <c r="KE14" s="69"/>
      <c r="KF14" s="70"/>
      <c r="KG14" s="70"/>
      <c r="KH14" s="70"/>
      <c r="KI14" s="70"/>
      <c r="KJ14" s="70"/>
      <c r="KK14" s="70"/>
      <c r="KL14" s="70"/>
      <c r="KM14" s="33"/>
      <c r="KN14" s="2669"/>
      <c r="KO14" s="2203">
        <v>0</v>
      </c>
      <c r="KP14" s="1721">
        <v>0</v>
      </c>
      <c r="KQ14" s="1721">
        <v>0</v>
      </c>
      <c r="KR14" s="1721">
        <v>0</v>
      </c>
      <c r="KS14" s="1722">
        <v>0</v>
      </c>
      <c r="KT14" s="1958">
        <v>0</v>
      </c>
      <c r="KU14" s="1961">
        <v>0</v>
      </c>
      <c r="KV14" s="1961">
        <v>0</v>
      </c>
      <c r="KW14" s="1961">
        <v>0</v>
      </c>
      <c r="KX14" s="1962">
        <v>0</v>
      </c>
      <c r="KY14" s="36"/>
      <c r="KZ14" s="53"/>
      <c r="LA14" s="53"/>
      <c r="LB14" s="53"/>
      <c r="LC14" s="53"/>
      <c r="LD14" s="33"/>
      <c r="LE14" s="2669"/>
      <c r="LG14" s="998">
        <f t="shared" si="53"/>
        <v>0</v>
      </c>
      <c r="LH14" s="27">
        <f t="shared" si="53"/>
        <v>0</v>
      </c>
      <c r="LI14" s="27">
        <f t="shared" si="53"/>
        <v>0</v>
      </c>
      <c r="LJ14" s="28">
        <f t="shared" si="54"/>
        <v>0</v>
      </c>
      <c r="LK14" s="36"/>
      <c r="LL14" s="27"/>
      <c r="LM14" s="27">
        <v>1</v>
      </c>
      <c r="LN14" s="33"/>
      <c r="LO14" s="1041">
        <v>5.69</v>
      </c>
      <c r="LP14" s="486" t="s">
        <v>307</v>
      </c>
      <c r="LQ14" s="2688"/>
      <c r="LR14" s="2274"/>
      <c r="LS14" s="2167"/>
      <c r="LT14" s="27"/>
      <c r="LU14" s="27"/>
      <c r="LV14" s="27"/>
      <c r="LW14" s="1117">
        <f t="shared" si="55"/>
        <v>0</v>
      </c>
      <c r="LX14" s="2269"/>
      <c r="LY14" s="36"/>
      <c r="LZ14" s="27"/>
      <c r="MA14" s="27"/>
      <c r="MB14" s="33"/>
      <c r="MC14" s="28">
        <f t="shared" si="56"/>
        <v>0</v>
      </c>
      <c r="MD14" s="26"/>
      <c r="ME14" s="36"/>
      <c r="MF14" s="27"/>
      <c r="MG14" s="27"/>
      <c r="MH14" s="27"/>
      <c r="MI14" s="28"/>
      <c r="MJ14" s="36"/>
      <c r="MK14" s="36"/>
      <c r="ML14" s="27"/>
      <c r="MM14" s="27"/>
      <c r="MN14" s="27"/>
      <c r="MO14" s="28"/>
      <c r="MP14" s="36"/>
      <c r="MQ14" s="36"/>
      <c r="MR14" s="27"/>
      <c r="MS14" s="27"/>
      <c r="MT14" s="27"/>
      <c r="MU14" s="33">
        <f t="shared" si="57"/>
        <v>0</v>
      </c>
      <c r="MV14" s="2688"/>
      <c r="MX14" s="26">
        <f t="shared" si="58"/>
        <v>142698.16422972264</v>
      </c>
      <c r="MY14" s="27">
        <f t="shared" si="59"/>
        <v>124551.67785017914</v>
      </c>
      <c r="MZ14" s="27">
        <f t="shared" si="60"/>
        <v>21655.478559023406</v>
      </c>
      <c r="NA14" s="28">
        <f t="shared" si="61"/>
        <v>433227.04855851003</v>
      </c>
      <c r="NB14" s="2621"/>
      <c r="NC14" s="23">
        <f t="shared" si="62"/>
        <v>58891.365442786249</v>
      </c>
      <c r="ND14" s="1579">
        <f t="shared" si="63"/>
        <v>83806.798786936401</v>
      </c>
      <c r="NE14" s="60">
        <f t="shared" si="64"/>
        <v>0</v>
      </c>
      <c r="NF14" s="275">
        <f t="shared" si="4"/>
        <v>142698.16422972264</v>
      </c>
      <c r="NG14" s="26">
        <f t="shared" si="65"/>
        <v>0</v>
      </c>
      <c r="NH14" s="27">
        <f t="shared" si="65"/>
        <v>0</v>
      </c>
      <c r="NI14" s="27">
        <f t="shared" si="65"/>
        <v>0</v>
      </c>
      <c r="NJ14" s="27">
        <f t="shared" si="65"/>
        <v>0</v>
      </c>
      <c r="NK14" s="27">
        <f t="shared" si="65"/>
        <v>0</v>
      </c>
      <c r="NL14" s="33">
        <f t="shared" si="65"/>
        <v>0</v>
      </c>
      <c r="NM14" s="27">
        <f t="shared" si="65"/>
        <v>0</v>
      </c>
      <c r="NN14" s="36">
        <f t="shared" si="65"/>
        <v>0</v>
      </c>
      <c r="NO14" s="24">
        <f t="shared" si="111"/>
        <v>1828.3342192005614</v>
      </c>
      <c r="NP14" s="27">
        <f t="shared" si="65"/>
        <v>26196.696072681989</v>
      </c>
      <c r="NQ14" s="24">
        <f t="shared" si="112"/>
        <v>8756.5482322711578</v>
      </c>
      <c r="NR14" s="24">
        <f t="shared" si="113"/>
        <v>1386.8248469876016</v>
      </c>
      <c r="NS14" s="27">
        <f t="shared" si="0"/>
        <v>38168.403371141307</v>
      </c>
      <c r="NT14" s="27">
        <f t="shared" si="66"/>
        <v>0</v>
      </c>
      <c r="NU14" s="27">
        <f t="shared" si="66"/>
        <v>0</v>
      </c>
      <c r="NV14" s="27">
        <f t="shared" si="66"/>
        <v>0</v>
      </c>
      <c r="NW14" s="27">
        <f t="shared" si="66"/>
        <v>0</v>
      </c>
      <c r="NX14" s="27">
        <f t="shared" si="66"/>
        <v>0</v>
      </c>
      <c r="NY14" s="27">
        <f t="shared" si="66"/>
        <v>0</v>
      </c>
      <c r="NZ14" s="27">
        <f t="shared" si="66"/>
        <v>11900.580368235249</v>
      </c>
      <c r="OA14" s="27">
        <f t="shared" si="66"/>
        <v>0</v>
      </c>
      <c r="OB14" s="27">
        <f t="shared" si="66"/>
        <v>46138.337327968031</v>
      </c>
      <c r="OC14" s="280"/>
      <c r="OD14" s="24">
        <f t="shared" si="67"/>
        <v>454.51223506073143</v>
      </c>
      <c r="OE14" s="27">
        <f t="shared" si="67"/>
        <v>0</v>
      </c>
      <c r="OF14" s="28">
        <f t="shared" si="1"/>
        <v>58493.429931264014</v>
      </c>
      <c r="OG14" s="27">
        <f t="shared" si="68"/>
        <v>0</v>
      </c>
      <c r="OH14" s="27">
        <f t="shared" si="68"/>
        <v>0</v>
      </c>
      <c r="OI14" s="27">
        <f t="shared" si="68"/>
        <v>0</v>
      </c>
      <c r="OJ14" s="27">
        <f t="shared" si="68"/>
        <v>0</v>
      </c>
      <c r="OK14" s="27">
        <f t="shared" si="68"/>
        <v>0</v>
      </c>
      <c r="OL14" s="27">
        <f t="shared" si="68"/>
        <v>0</v>
      </c>
      <c r="OM14" s="24">
        <f t="shared" si="68"/>
        <v>0</v>
      </c>
      <c r="ON14" s="27">
        <f t="shared" si="68"/>
        <v>0</v>
      </c>
      <c r="OO14" s="24">
        <f t="shared" ref="OO14:OO40" si="118">+OO13+EA14+GD14+QF14-IZ14</f>
        <v>27889.844547773835</v>
      </c>
      <c r="OP14" s="27">
        <f t="shared" si="68"/>
        <v>0</v>
      </c>
      <c r="OQ14" s="24">
        <f t="shared" si="68"/>
        <v>0</v>
      </c>
      <c r="OR14" s="27">
        <f t="shared" si="68"/>
        <v>0</v>
      </c>
      <c r="OS14" s="28">
        <f t="shared" si="2"/>
        <v>27889.844547773835</v>
      </c>
      <c r="OT14" s="36"/>
      <c r="OU14" s="27"/>
      <c r="OV14" s="27"/>
      <c r="OW14" s="27"/>
      <c r="OX14" s="27"/>
      <c r="OY14" s="27"/>
      <c r="OZ14" s="28">
        <f t="shared" si="69"/>
        <v>0</v>
      </c>
      <c r="PA14" s="36">
        <f t="shared" si="70"/>
        <v>0</v>
      </c>
      <c r="PB14" s="27">
        <f t="shared" si="71"/>
        <v>0</v>
      </c>
      <c r="PC14" s="27">
        <f t="shared" si="72"/>
        <v>0</v>
      </c>
      <c r="PD14" s="27">
        <f t="shared" si="73"/>
        <v>0</v>
      </c>
      <c r="PE14" s="24"/>
      <c r="PF14" s="27">
        <f t="shared" si="74"/>
        <v>0</v>
      </c>
      <c r="PG14" s="33">
        <f t="shared" si="3"/>
        <v>0</v>
      </c>
      <c r="PH14" s="2621"/>
      <c r="PJ14" s="1907">
        <v>2110.08</v>
      </c>
      <c r="PK14" s="3">
        <v>480</v>
      </c>
      <c r="PL14" s="3">
        <v>160</v>
      </c>
      <c r="PM14" s="3">
        <v>99.84</v>
      </c>
      <c r="PN14" s="3">
        <v>28832.429776580691</v>
      </c>
      <c r="PO14" s="11">
        <f t="shared" si="75"/>
        <v>21655.478559023406</v>
      </c>
      <c r="PP14" s="15"/>
      <c r="PQ14" s="2615"/>
      <c r="PS14" s="4"/>
      <c r="PT14" s="9"/>
      <c r="PU14" s="9"/>
      <c r="PV14" s="9"/>
      <c r="PW14" s="8">
        <v>0</v>
      </c>
      <c r="PX14" s="9"/>
      <c r="PY14" s="8">
        <f t="shared" si="76"/>
        <v>0</v>
      </c>
      <c r="PZ14" s="5">
        <f t="shared" si="77"/>
        <v>2110.08</v>
      </c>
      <c r="QA14" s="5"/>
      <c r="QB14" s="5"/>
      <c r="QC14" s="5"/>
      <c r="QD14" s="5"/>
      <c r="QE14" s="5"/>
      <c r="QF14" s="12"/>
      <c r="QG14" s="12">
        <f t="shared" si="78"/>
        <v>29562.488999999998</v>
      </c>
      <c r="QH14" s="420">
        <f t="shared" si="79"/>
        <v>402804.03955851001</v>
      </c>
      <c r="QI14" s="1106">
        <f t="shared" si="80"/>
        <v>860.52</v>
      </c>
      <c r="QJ14" s="484">
        <f t="shared" si="81"/>
        <v>5505.3678056099998</v>
      </c>
      <c r="QK14" s="12"/>
      <c r="QL14" s="2615"/>
      <c r="QN14" s="139" t="str">
        <f t="shared" si="82"/>
        <v/>
      </c>
      <c r="QO14" s="139" t="str">
        <f t="shared" si="83"/>
        <v/>
      </c>
      <c r="QQ14" s="139">
        <f t="shared" si="84"/>
        <v>0</v>
      </c>
      <c r="QR14" s="139">
        <f t="shared" si="85"/>
        <v>0</v>
      </c>
      <c r="QT14" s="1">
        <f t="shared" si="86"/>
        <v>0</v>
      </c>
      <c r="QU14" s="1">
        <f t="shared" si="87"/>
        <v>0</v>
      </c>
      <c r="QV14" s="1">
        <f t="shared" si="88"/>
        <v>0</v>
      </c>
      <c r="QW14" s="1">
        <f t="shared" si="89"/>
        <v>0</v>
      </c>
      <c r="QX14" s="1">
        <f t="shared" si="90"/>
        <v>0</v>
      </c>
      <c r="QY14" s="1">
        <f t="shared" si="91"/>
        <v>0</v>
      </c>
      <c r="RA14" s="1">
        <f t="shared" si="92"/>
        <v>0</v>
      </c>
      <c r="RB14" s="1">
        <f t="shared" si="93"/>
        <v>0</v>
      </c>
      <c r="RC14" s="1">
        <f t="shared" si="94"/>
        <v>0</v>
      </c>
      <c r="RD14" s="1">
        <f t="shared" si="95"/>
        <v>0</v>
      </c>
      <c r="RE14" s="1">
        <f t="shared" si="96"/>
        <v>0</v>
      </c>
      <c r="RF14" s="1">
        <f t="shared" si="97"/>
        <v>0</v>
      </c>
      <c r="RI14" s="1">
        <v>5</v>
      </c>
      <c r="RJ14" s="1">
        <f t="shared" si="98"/>
        <v>39381.429251083166</v>
      </c>
      <c r="RK14" s="1">
        <f t="shared" si="98"/>
        <v>7610.0960498622817</v>
      </c>
      <c r="RL14" s="1">
        <f t="shared" si="98"/>
        <v>9178.5689913333827</v>
      </c>
      <c r="RM14" s="89">
        <f t="shared" si="5"/>
        <v>56170.094292278831</v>
      </c>
      <c r="RN14" s="1033">
        <v>5</v>
      </c>
      <c r="RO14" s="1098">
        <f t="shared" si="99"/>
        <v>0</v>
      </c>
      <c r="RP14" s="1098">
        <f t="shared" si="100"/>
        <v>0</v>
      </c>
      <c r="RQ14" s="1097">
        <f t="shared" si="100"/>
        <v>0</v>
      </c>
      <c r="RR14" s="1097">
        <f t="shared" si="101"/>
        <v>9157.0399999999991</v>
      </c>
      <c r="RS14" s="1094"/>
      <c r="RT14" s="1123" t="s">
        <v>308</v>
      </c>
      <c r="RW14" s="421">
        <v>5</v>
      </c>
      <c r="RX14" s="1095">
        <f t="shared" si="102"/>
        <v>99.84</v>
      </c>
      <c r="RY14" s="1094" t="s">
        <v>309</v>
      </c>
      <c r="SA14" s="1090"/>
      <c r="SB14" s="1090">
        <f t="shared" si="103"/>
        <v>0</v>
      </c>
      <c r="SC14" s="1090"/>
      <c r="SD14" s="1090">
        <f t="shared" si="104"/>
        <v>0</v>
      </c>
      <c r="SF14" s="1">
        <v>5</v>
      </c>
      <c r="SG14" s="1">
        <f t="shared" si="105"/>
        <v>99.84</v>
      </c>
      <c r="SH14" s="1094" t="s">
        <v>310</v>
      </c>
    </row>
    <row r="15" spans="1:502" s="1" customFormat="1">
      <c r="B15" s="471">
        <v>6</v>
      </c>
      <c r="C15" s="4">
        <f t="shared" si="6"/>
        <v>167401</v>
      </c>
      <c r="D15" s="1736">
        <f t="shared" si="106"/>
        <v>9830.8799999999992</v>
      </c>
      <c r="E15" s="1895">
        <f t="shared" si="7"/>
        <v>17.028078869846851</v>
      </c>
      <c r="F15" s="870"/>
      <c r="G15" s="870"/>
      <c r="H15" s="52"/>
      <c r="I15" s="61"/>
      <c r="J15" s="52"/>
      <c r="K15" s="54"/>
      <c r="L15" s="52"/>
      <c r="M15" s="61"/>
      <c r="N15" s="2629"/>
      <c r="O15" s="4">
        <f t="shared" si="117"/>
        <v>103908</v>
      </c>
      <c r="P15" s="1225">
        <f t="shared" si="8"/>
        <v>7954.3399999999992</v>
      </c>
      <c r="Q15" s="1913">
        <f t="shared" si="9"/>
        <v>13.063057400111136</v>
      </c>
      <c r="R15" s="33"/>
      <c r="S15" s="26">
        <f t="shared" si="10"/>
        <v>38259</v>
      </c>
      <c r="T15" s="27">
        <f t="shared" si="107"/>
        <v>1756.5400000000002</v>
      </c>
      <c r="U15" s="1909">
        <f t="shared" si="11"/>
        <v>21.780887426417841</v>
      </c>
      <c r="V15" s="28"/>
      <c r="W15" s="1742">
        <f t="shared" si="12"/>
        <v>25234</v>
      </c>
      <c r="X15" s="5">
        <f t="shared" si="12"/>
        <v>120</v>
      </c>
      <c r="Y15" s="1909">
        <f t="shared" si="13"/>
        <v>210.28333333333333</v>
      </c>
      <c r="Z15" s="33"/>
      <c r="AA15" s="26">
        <f t="shared" si="14"/>
        <v>0</v>
      </c>
      <c r="AB15" s="27">
        <f t="shared" si="15"/>
        <v>0</v>
      </c>
      <c r="AC15" s="53">
        <f t="shared" si="16"/>
        <v>0</v>
      </c>
      <c r="AD15" s="28"/>
      <c r="AE15" s="36"/>
      <c r="AF15" s="36"/>
      <c r="AG15" s="53">
        <f t="shared" si="17"/>
        <v>0</v>
      </c>
      <c r="AH15" s="28"/>
      <c r="AI15" s="26"/>
      <c r="AJ15" s="27"/>
      <c r="AK15" s="53">
        <f t="shared" si="18"/>
        <v>0</v>
      </c>
      <c r="AL15" s="28"/>
      <c r="AM15" s="2629"/>
      <c r="AN15" s="9"/>
      <c r="AO15" s="5"/>
      <c r="AP15" s="61">
        <f t="shared" si="19"/>
        <v>0</v>
      </c>
      <c r="AQ15" s="36"/>
      <c r="AR15" s="53"/>
      <c r="AS15" s="61">
        <f t="shared" si="20"/>
        <v>0</v>
      </c>
      <c r="AT15" s="36"/>
      <c r="AU15" s="27"/>
      <c r="AV15" s="54">
        <f t="shared" si="21"/>
        <v>0</v>
      </c>
      <c r="AW15" s="26">
        <v>57624</v>
      </c>
      <c r="AX15" s="27">
        <v>5081.9799999999996</v>
      </c>
      <c r="AY15" s="1735">
        <f t="shared" si="115"/>
        <v>11.338887598927977</v>
      </c>
      <c r="AZ15" s="36"/>
      <c r="BA15" s="27"/>
      <c r="BB15" s="61">
        <f t="shared" si="22"/>
        <v>0</v>
      </c>
      <c r="BC15" s="1740">
        <v>46284</v>
      </c>
      <c r="BD15" s="1926">
        <v>2872.3599999999997</v>
      </c>
      <c r="BE15" s="1735">
        <f t="shared" si="23"/>
        <v>16.113579077831471</v>
      </c>
      <c r="BF15" s="36"/>
      <c r="BG15" s="53"/>
      <c r="BH15" s="61">
        <f t="shared" si="24"/>
        <v>0</v>
      </c>
      <c r="BI15" s="36">
        <v>0</v>
      </c>
      <c r="BJ15" s="53">
        <v>0</v>
      </c>
      <c r="BK15" s="61">
        <f t="shared" si="25"/>
        <v>0</v>
      </c>
      <c r="BL15" s="1742">
        <v>38259</v>
      </c>
      <c r="BM15" s="1736">
        <v>1756.5400000000002</v>
      </c>
      <c r="BN15" s="2170"/>
      <c r="BO15" s="1735">
        <f t="shared" si="26"/>
        <v>21.780887426417841</v>
      </c>
      <c r="BP15" s="36"/>
      <c r="BQ15" s="53"/>
      <c r="BR15" s="61">
        <f t="shared" si="27"/>
        <v>0</v>
      </c>
      <c r="BS15" s="36"/>
      <c r="BT15" s="53"/>
      <c r="BU15" s="61">
        <f t="shared" si="28"/>
        <v>0</v>
      </c>
      <c r="BV15" s="36">
        <v>25234</v>
      </c>
      <c r="BW15" s="5">
        <v>120</v>
      </c>
      <c r="BX15" s="1906">
        <f t="shared" si="29"/>
        <v>210.28333333333333</v>
      </c>
      <c r="BY15" s="26"/>
      <c r="BZ15" s="27"/>
      <c r="CA15" s="61">
        <f t="shared" si="30"/>
        <v>0</v>
      </c>
      <c r="CB15" s="36"/>
      <c r="CC15" s="481"/>
      <c r="CD15" s="482">
        <f t="shared" si="31"/>
        <v>0</v>
      </c>
      <c r="CE15" s="4"/>
      <c r="CF15" s="5"/>
      <c r="CG15" s="28">
        <f t="shared" si="32"/>
        <v>0</v>
      </c>
      <c r="CH15" s="149"/>
      <c r="CI15" s="4"/>
      <c r="CJ15" s="5"/>
      <c r="CK15" s="5">
        <v>4301</v>
      </c>
      <c r="CL15" s="5"/>
      <c r="CM15" s="5"/>
      <c r="CN15" s="5"/>
      <c r="CO15" s="33"/>
      <c r="CP15" s="366"/>
      <c r="CR15" s="4">
        <f t="shared" si="33"/>
        <v>0</v>
      </c>
      <c r="CS15" s="9">
        <f t="shared" si="33"/>
        <v>0</v>
      </c>
      <c r="CT15" s="5">
        <f t="shared" si="33"/>
        <v>0</v>
      </c>
      <c r="CU15" s="5">
        <f t="shared" si="33"/>
        <v>0</v>
      </c>
      <c r="CV15" s="5">
        <f t="shared" si="33"/>
        <v>0</v>
      </c>
      <c r="CW15" s="5">
        <f t="shared" si="33"/>
        <v>0</v>
      </c>
      <c r="CX15" s="5">
        <f t="shared" si="33"/>
        <v>0</v>
      </c>
      <c r="CY15" s="5">
        <f t="shared" si="33"/>
        <v>0</v>
      </c>
      <c r="CZ15" s="5">
        <f t="shared" si="33"/>
        <v>8873.02</v>
      </c>
      <c r="DA15" s="5">
        <f t="shared" si="33"/>
        <v>0</v>
      </c>
      <c r="DB15" s="5">
        <f t="shared" si="33"/>
        <v>120</v>
      </c>
      <c r="DC15" s="12">
        <f t="shared" si="33"/>
        <v>0</v>
      </c>
      <c r="DD15" s="310">
        <f t="shared" si="34"/>
        <v>9830.880000000001</v>
      </c>
      <c r="DE15" s="2695"/>
      <c r="DF15" s="8"/>
      <c r="DG15" s="9"/>
      <c r="DH15" s="5"/>
      <c r="DI15" s="5"/>
      <c r="DJ15" s="5"/>
      <c r="DK15" s="5"/>
      <c r="DL15" s="3">
        <v>0</v>
      </c>
      <c r="DM15" s="5"/>
      <c r="DN15" s="3">
        <v>4244.12</v>
      </c>
      <c r="DO15" s="5"/>
      <c r="DP15" s="5"/>
      <c r="DQ15" s="12"/>
      <c r="DR15" s="1906">
        <f t="shared" si="35"/>
        <v>4244.12</v>
      </c>
      <c r="DS15" s="36"/>
      <c r="DT15" s="36"/>
      <c r="DU15" s="27"/>
      <c r="DV15" s="27"/>
      <c r="DW15" s="5"/>
      <c r="DX15" s="5"/>
      <c r="DY15" s="5"/>
      <c r="DZ15" s="5"/>
      <c r="EA15" s="3">
        <v>4628.8999999999996</v>
      </c>
      <c r="EB15" s="53"/>
      <c r="EC15" s="24">
        <v>0</v>
      </c>
      <c r="ED15" s="33"/>
      <c r="EE15" s="28">
        <f t="shared" si="36"/>
        <v>4628.8999999999996</v>
      </c>
      <c r="EF15" s="9"/>
      <c r="EG15" s="9"/>
      <c r="EH15" s="5"/>
      <c r="EI15" s="5"/>
      <c r="EJ15" s="27"/>
      <c r="EK15" s="27"/>
      <c r="EL15" s="27"/>
      <c r="EM15" s="27"/>
      <c r="EN15" s="5"/>
      <c r="EO15" s="5"/>
      <c r="EP15" s="5">
        <v>120</v>
      </c>
      <c r="EQ15" s="33"/>
      <c r="ER15" s="28">
        <f t="shared" si="37"/>
        <v>120</v>
      </c>
      <c r="ES15" s="36"/>
      <c r="ET15" s="27"/>
      <c r="EU15" s="27"/>
      <c r="EV15" s="27"/>
      <c r="EW15" s="27"/>
      <c r="EX15" s="27"/>
      <c r="EY15" s="33">
        <f t="shared" si="38"/>
        <v>0</v>
      </c>
      <c r="EZ15" s="2685"/>
      <c r="FB15" s="4">
        <f t="shared" si="39"/>
        <v>0</v>
      </c>
      <c r="FC15" s="5">
        <f t="shared" si="40"/>
        <v>0</v>
      </c>
      <c r="FD15" s="5">
        <f t="shared" si="41"/>
        <v>0</v>
      </c>
      <c r="FE15" s="12">
        <f t="shared" si="42"/>
        <v>0</v>
      </c>
      <c r="FF15" s="33"/>
      <c r="FG15" s="2674"/>
      <c r="FH15" s="9"/>
      <c r="FI15" s="5"/>
      <c r="FJ15" s="5"/>
      <c r="FK15" s="5"/>
      <c r="FL15" s="5"/>
      <c r="FM15" s="27"/>
      <c r="FN15" s="28">
        <f t="shared" si="43"/>
        <v>0</v>
      </c>
      <c r="FO15" s="36"/>
      <c r="FP15" s="27"/>
      <c r="FQ15" s="27"/>
      <c r="FR15" s="27"/>
      <c r="FS15" s="27"/>
      <c r="FT15" s="27"/>
      <c r="FU15" s="28">
        <f t="shared" si="44"/>
        <v>0</v>
      </c>
      <c r="FV15" s="36"/>
      <c r="FW15" s="36"/>
      <c r="FX15" s="27"/>
      <c r="FY15" s="27"/>
      <c r="FZ15" s="27"/>
      <c r="GA15" s="27"/>
      <c r="GB15" s="27"/>
      <c r="GC15" s="27"/>
      <c r="GD15" s="27"/>
      <c r="GE15" s="27"/>
      <c r="GF15" s="27"/>
      <c r="GG15" s="33"/>
      <c r="GH15" s="33">
        <f t="shared" si="45"/>
        <v>0</v>
      </c>
      <c r="GI15" s="2674"/>
      <c r="GK15" s="2">
        <f t="shared" si="108"/>
        <v>0</v>
      </c>
      <c r="GL15" s="63">
        <f t="shared" si="109"/>
        <v>0</v>
      </c>
      <c r="GM15" s="24">
        <f t="shared" si="110"/>
        <v>0</v>
      </c>
      <c r="GN15" s="1736">
        <f t="shared" si="46"/>
        <v>0</v>
      </c>
      <c r="GO15" s="141"/>
      <c r="GP15" s="141"/>
      <c r="GQ15" s="33"/>
      <c r="GR15" s="2702"/>
      <c r="GS15" s="1739">
        <v>0</v>
      </c>
      <c r="GT15" s="1721">
        <v>0</v>
      </c>
      <c r="GU15" s="1721">
        <v>0</v>
      </c>
      <c r="GV15" s="1721">
        <v>0</v>
      </c>
      <c r="GW15" s="1724">
        <f t="shared" si="47"/>
        <v>0</v>
      </c>
      <c r="GX15" s="2667"/>
      <c r="GY15" s="9"/>
      <c r="GZ15" s="9"/>
      <c r="HA15" s="5"/>
      <c r="HB15" s="5"/>
      <c r="HC15" s="5"/>
      <c r="HD15" s="5"/>
      <c r="HE15" s="5"/>
      <c r="HF15" s="5"/>
      <c r="HG15" s="24">
        <v>0</v>
      </c>
      <c r="HH15" s="5"/>
      <c r="HI15" s="24">
        <v>0</v>
      </c>
      <c r="HJ15" s="5"/>
      <c r="HK15" s="24">
        <v>0</v>
      </c>
      <c r="HL15" s="5"/>
      <c r="HM15" s="15">
        <f t="shared" si="48"/>
        <v>0</v>
      </c>
      <c r="HN15" s="9"/>
      <c r="HO15" s="5"/>
      <c r="HP15" s="5"/>
      <c r="HQ15" s="5"/>
      <c r="HR15" s="5"/>
      <c r="HS15" s="5"/>
      <c r="HT15" s="5" cm="1">
        <f t="array" ref="HT15">SUMPRODUCT(('Data Base hauling'!$C$2:$C$216="TCM-ROM SB1 BK05-ROM 4")*(ISNUMBER(SEARCH(TEXT('June TCM'!$B15,"00")&amp;"/03/2026",'Data Base hauling'!$E$2:$E$216)))*'Data Base hauling'!$N$2:$N$216)</f>
        <v>0</v>
      </c>
      <c r="HU15" s="5"/>
      <c r="HV15" s="5" cm="1">
        <f t="array" ref="HV15">SUMPRODUCT(('Data Base hauling'!$C$2:$C$216="TCM-ROM SB1 BK05-ROM 5")*(ISNUMBER(SEARCH(TEXT('June TCM'!$B15,"00")&amp;"/03/2026",'Data Base hauling'!$E$2:$E$216)))*'Data Base hauling'!$N$2:$N$216)</f>
        <v>0</v>
      </c>
      <c r="HW15" s="5"/>
      <c r="HX15" s="5"/>
      <c r="HY15" s="5"/>
      <c r="HZ15" s="5"/>
      <c r="IA15" s="5"/>
      <c r="IB15" s="12">
        <f t="shared" si="49"/>
        <v>0</v>
      </c>
      <c r="IC15" s="845"/>
      <c r="ID15" s="363"/>
      <c r="IE15" s="64"/>
      <c r="IF15" s="64"/>
      <c r="IG15" s="64"/>
      <c r="IH15" s="64"/>
      <c r="II15" s="1926">
        <v>0</v>
      </c>
      <c r="IJ15" s="1590"/>
      <c r="IK15" s="1926">
        <v>0</v>
      </c>
      <c r="IL15" s="64"/>
      <c r="IM15" s="49">
        <v>0</v>
      </c>
      <c r="IN15" s="64"/>
      <c r="IO15" s="64"/>
      <c r="IP15" s="49">
        <f>SUMPRODUCT(('Data Base hauling'!$C$2:$C$216="TCM-HAC1 (Production)-ROM 2(HAC)")*(ISNUMBER(SEARCH(TEXT('June TCM'!$B15,"00")&amp;"/06/2026",'Data Base hauling'!$E$2:$E$216)))*'Data Base hauling'!$N$2:$N$216)</f>
        <v>0</v>
      </c>
      <c r="IQ15" s="2195">
        <f t="shared" si="50"/>
        <v>0</v>
      </c>
      <c r="IR15" s="9"/>
      <c r="IS15" s="9"/>
      <c r="IT15" s="5"/>
      <c r="IU15" s="5"/>
      <c r="IV15" s="64"/>
      <c r="IW15" s="5"/>
      <c r="IX15" s="24">
        <v>0</v>
      </c>
      <c r="IY15" s="5"/>
      <c r="IZ15" s="24">
        <v>0</v>
      </c>
      <c r="JA15" s="5"/>
      <c r="JB15" s="24">
        <v>0</v>
      </c>
      <c r="JC15" s="5"/>
      <c r="JD15" s="5"/>
      <c r="JE15" s="5"/>
      <c r="JF15" s="12">
        <f t="shared" si="116"/>
        <v>0</v>
      </c>
      <c r="JG15" s="2667"/>
      <c r="JI15" s="2014">
        <v>0</v>
      </c>
      <c r="JJ15" s="2015">
        <v>0</v>
      </c>
      <c r="JK15" s="53"/>
      <c r="JL15" s="1736">
        <f t="shared" si="52"/>
        <v>0</v>
      </c>
      <c r="JM15" s="33"/>
      <c r="JN15" s="2669"/>
      <c r="JO15" s="66" t="s">
        <v>296</v>
      </c>
      <c r="JP15" s="67" t="s">
        <v>296</v>
      </c>
      <c r="JQ15" s="67" t="s">
        <v>296</v>
      </c>
      <c r="JR15" s="67" t="s">
        <v>296</v>
      </c>
      <c r="JS15" s="67" t="s">
        <v>296</v>
      </c>
      <c r="JT15" s="67" t="s">
        <v>296</v>
      </c>
      <c r="JU15" s="67" t="s">
        <v>296</v>
      </c>
      <c r="JV15" s="1921">
        <v>0</v>
      </c>
      <c r="JW15" s="66" t="s">
        <v>296</v>
      </c>
      <c r="JX15" s="67" t="s">
        <v>296</v>
      </c>
      <c r="JY15" s="67" t="s">
        <v>296</v>
      </c>
      <c r="JZ15" s="67" t="s">
        <v>296</v>
      </c>
      <c r="KA15" s="67" t="s">
        <v>296</v>
      </c>
      <c r="KB15" s="67" t="s">
        <v>296</v>
      </c>
      <c r="KC15" s="67" t="s">
        <v>296</v>
      </c>
      <c r="KD15" s="68" t="s">
        <v>296</v>
      </c>
      <c r="KE15" s="69"/>
      <c r="KF15" s="70"/>
      <c r="KG15" s="70"/>
      <c r="KH15" s="70"/>
      <c r="KI15" s="70"/>
      <c r="KJ15" s="70"/>
      <c r="KK15" s="70"/>
      <c r="KL15" s="70"/>
      <c r="KM15" s="33"/>
      <c r="KN15" s="2669"/>
      <c r="KO15" s="2203">
        <v>0</v>
      </c>
      <c r="KP15" s="1721">
        <v>0</v>
      </c>
      <c r="KQ15" s="1721">
        <v>0</v>
      </c>
      <c r="KR15" s="1721">
        <v>0</v>
      </c>
      <c r="KS15" s="1722">
        <v>0</v>
      </c>
      <c r="KT15" s="1958">
        <v>0</v>
      </c>
      <c r="KU15" s="1961">
        <v>0</v>
      </c>
      <c r="KV15" s="1961">
        <v>0</v>
      </c>
      <c r="KW15" s="1961">
        <v>0</v>
      </c>
      <c r="KX15" s="1962">
        <v>0</v>
      </c>
      <c r="KY15" s="36"/>
      <c r="KZ15" s="53"/>
      <c r="LA15" s="53"/>
      <c r="LB15" s="53"/>
      <c r="LC15" s="53"/>
      <c r="LD15" s="33"/>
      <c r="LE15" s="2669"/>
      <c r="LG15" s="998">
        <f t="shared" si="53"/>
        <v>7665.61</v>
      </c>
      <c r="LH15" s="27">
        <f t="shared" si="53"/>
        <v>0</v>
      </c>
      <c r="LI15" s="27">
        <f t="shared" si="53"/>
        <v>0</v>
      </c>
      <c r="LJ15" s="28">
        <f t="shared" si="54"/>
        <v>7665.61</v>
      </c>
      <c r="LK15" s="36">
        <v>1</v>
      </c>
      <c r="LL15" s="27"/>
      <c r="LM15" s="27">
        <v>1</v>
      </c>
      <c r="LN15" s="33"/>
      <c r="LO15" s="1041">
        <v>5.75</v>
      </c>
      <c r="LP15" s="486"/>
      <c r="LQ15" s="2688"/>
      <c r="LR15" s="2275">
        <v>7665.61</v>
      </c>
      <c r="LS15" s="2167"/>
      <c r="LT15" s="27"/>
      <c r="LU15" s="27"/>
      <c r="LV15" s="27"/>
      <c r="LW15" s="1117">
        <f t="shared" si="55"/>
        <v>7665.61</v>
      </c>
      <c r="LX15" s="2269"/>
      <c r="LY15" s="36"/>
      <c r="LZ15" s="27"/>
      <c r="MA15" s="27"/>
      <c r="MB15" s="33"/>
      <c r="MC15" s="28">
        <f t="shared" si="56"/>
        <v>0</v>
      </c>
      <c r="MD15" s="26"/>
      <c r="ME15" s="36"/>
      <c r="MF15" s="27"/>
      <c r="MG15" s="27"/>
      <c r="MH15" s="27"/>
      <c r="MI15" s="28"/>
      <c r="MJ15" s="36"/>
      <c r="MK15" s="36"/>
      <c r="ML15" s="27"/>
      <c r="MM15" s="27"/>
      <c r="MN15" s="27"/>
      <c r="MO15" s="28"/>
      <c r="MP15" s="36"/>
      <c r="MQ15" s="36"/>
      <c r="MR15" s="27"/>
      <c r="MS15" s="27"/>
      <c r="MT15" s="27"/>
      <c r="MU15" s="33">
        <f t="shared" si="57"/>
        <v>0</v>
      </c>
      <c r="MV15" s="2688"/>
      <c r="MX15" s="26">
        <f t="shared" si="58"/>
        <v>135032.55422972265</v>
      </c>
      <c r="MY15" s="27">
        <f t="shared" si="59"/>
        <v>133544.69785017916</v>
      </c>
      <c r="MZ15" s="27">
        <f t="shared" si="60"/>
        <v>21921.478559023406</v>
      </c>
      <c r="NA15" s="28">
        <f t="shared" si="61"/>
        <v>432590.40855851001</v>
      </c>
      <c r="NB15" s="2621"/>
      <c r="NC15" s="23">
        <f t="shared" si="62"/>
        <v>51225.755442786249</v>
      </c>
      <c r="ND15" s="1579">
        <f t="shared" si="63"/>
        <v>83806.798786936401</v>
      </c>
      <c r="NE15" s="60">
        <f t="shared" si="64"/>
        <v>0</v>
      </c>
      <c r="NF15" s="275">
        <f t="shared" si="4"/>
        <v>135032.55422972265</v>
      </c>
      <c r="NG15" s="26">
        <f t="shared" si="65"/>
        <v>0</v>
      </c>
      <c r="NH15" s="27">
        <f t="shared" si="65"/>
        <v>0</v>
      </c>
      <c r="NI15" s="27">
        <f t="shared" si="65"/>
        <v>0</v>
      </c>
      <c r="NJ15" s="27">
        <f t="shared" si="65"/>
        <v>0</v>
      </c>
      <c r="NK15" s="27">
        <f t="shared" si="65"/>
        <v>0</v>
      </c>
      <c r="NL15" s="33">
        <f t="shared" si="65"/>
        <v>0</v>
      </c>
      <c r="NM15" s="27">
        <f t="shared" si="65"/>
        <v>0</v>
      </c>
      <c r="NN15" s="36">
        <f t="shared" si="65"/>
        <v>0</v>
      </c>
      <c r="NO15" s="24">
        <f t="shared" si="111"/>
        <v>1828.3342192005614</v>
      </c>
      <c r="NP15" s="27">
        <f t="shared" si="65"/>
        <v>26196.696072681989</v>
      </c>
      <c r="NQ15" s="24">
        <f t="shared" si="112"/>
        <v>8756.5482322711578</v>
      </c>
      <c r="NR15" s="24">
        <f t="shared" si="113"/>
        <v>1506.8248469876016</v>
      </c>
      <c r="NS15" s="27">
        <f t="shared" si="0"/>
        <v>38288.403371141307</v>
      </c>
      <c r="NT15" s="27">
        <f t="shared" si="66"/>
        <v>0</v>
      </c>
      <c r="NU15" s="27">
        <f t="shared" si="66"/>
        <v>0</v>
      </c>
      <c r="NV15" s="27">
        <f t="shared" si="66"/>
        <v>0</v>
      </c>
      <c r="NW15" s="27">
        <f t="shared" si="66"/>
        <v>0</v>
      </c>
      <c r="NX15" s="27">
        <f t="shared" si="66"/>
        <v>0</v>
      </c>
      <c r="NY15" s="27">
        <f t="shared" si="66"/>
        <v>0</v>
      </c>
      <c r="NZ15" s="27">
        <f t="shared" si="66"/>
        <v>11900.580368235249</v>
      </c>
      <c r="OA15" s="27">
        <f t="shared" si="66"/>
        <v>0</v>
      </c>
      <c r="OB15" s="27">
        <f t="shared" si="66"/>
        <v>50382.457327968033</v>
      </c>
      <c r="OC15" s="280"/>
      <c r="OD15" s="24">
        <f t="shared" si="67"/>
        <v>454.51223506073143</v>
      </c>
      <c r="OE15" s="27">
        <f t="shared" si="67"/>
        <v>0</v>
      </c>
      <c r="OF15" s="28">
        <f t="shared" si="1"/>
        <v>62737.549931264017</v>
      </c>
      <c r="OG15" s="27">
        <f t="shared" si="68"/>
        <v>0</v>
      </c>
      <c r="OH15" s="27">
        <f t="shared" si="68"/>
        <v>0</v>
      </c>
      <c r="OI15" s="27">
        <f t="shared" si="68"/>
        <v>0</v>
      </c>
      <c r="OJ15" s="27">
        <f t="shared" si="68"/>
        <v>0</v>
      </c>
      <c r="OK15" s="27">
        <f t="shared" si="68"/>
        <v>0</v>
      </c>
      <c r="OL15" s="27">
        <f t="shared" si="68"/>
        <v>0</v>
      </c>
      <c r="OM15" s="24">
        <v>0</v>
      </c>
      <c r="ON15" s="27">
        <f t="shared" si="68"/>
        <v>0</v>
      </c>
      <c r="OO15" s="24">
        <f t="shared" si="118"/>
        <v>32518.744547773837</v>
      </c>
      <c r="OP15" s="27">
        <f t="shared" si="68"/>
        <v>0</v>
      </c>
      <c r="OQ15" s="24">
        <f t="shared" si="68"/>
        <v>0</v>
      </c>
      <c r="OR15" s="27">
        <f t="shared" si="68"/>
        <v>0</v>
      </c>
      <c r="OS15" s="28">
        <f t="shared" si="2"/>
        <v>32518.744547773837</v>
      </c>
      <c r="OT15" s="36"/>
      <c r="OU15" s="27"/>
      <c r="OV15" s="27"/>
      <c r="OW15" s="27"/>
      <c r="OX15" s="27"/>
      <c r="OY15" s="27"/>
      <c r="OZ15" s="28">
        <f t="shared" si="69"/>
        <v>0</v>
      </c>
      <c r="PA15" s="36">
        <f t="shared" si="70"/>
        <v>0</v>
      </c>
      <c r="PB15" s="27">
        <f t="shared" si="71"/>
        <v>0</v>
      </c>
      <c r="PC15" s="27">
        <f t="shared" si="72"/>
        <v>0</v>
      </c>
      <c r="PD15" s="27">
        <f t="shared" si="73"/>
        <v>0</v>
      </c>
      <c r="PE15" s="24"/>
      <c r="PF15" s="27">
        <f t="shared" si="74"/>
        <v>0</v>
      </c>
      <c r="PG15" s="33">
        <f t="shared" si="3"/>
        <v>0</v>
      </c>
      <c r="PH15" s="2621"/>
      <c r="PJ15" s="1907">
        <v>2312.3599999999997</v>
      </c>
      <c r="PK15" s="3">
        <v>798</v>
      </c>
      <c r="PL15" s="3">
        <v>266</v>
      </c>
      <c r="PM15" s="3">
        <v>0</v>
      </c>
      <c r="PN15" s="3">
        <v>30346.789776580692</v>
      </c>
      <c r="PO15" s="11">
        <f t="shared" si="75"/>
        <v>21921.478559023406</v>
      </c>
      <c r="PP15" s="15"/>
      <c r="PQ15" s="2615"/>
      <c r="PS15" s="4"/>
      <c r="PT15" s="9"/>
      <c r="PU15" s="9"/>
      <c r="PV15" s="9"/>
      <c r="PW15" s="8">
        <v>837.8599999999999</v>
      </c>
      <c r="PX15" s="9"/>
      <c r="PY15" s="8">
        <f t="shared" si="76"/>
        <v>837.8599999999999</v>
      </c>
      <c r="PZ15" s="5">
        <f t="shared" si="77"/>
        <v>2312.3599999999997</v>
      </c>
      <c r="QA15" s="5"/>
      <c r="QB15" s="5"/>
      <c r="QC15" s="5"/>
      <c r="QD15" s="5"/>
      <c r="QE15" s="5"/>
      <c r="QF15" s="12"/>
      <c r="QG15" s="12">
        <f t="shared" si="78"/>
        <v>29562.488999999998</v>
      </c>
      <c r="QH15" s="420">
        <f t="shared" si="79"/>
        <v>401329.53955851001</v>
      </c>
      <c r="QI15" s="1106">
        <f t="shared" si="80"/>
        <v>1698.3799999999999</v>
      </c>
      <c r="QJ15" s="484">
        <f t="shared" si="81"/>
        <v>5505.3678056099998</v>
      </c>
      <c r="QK15" s="12"/>
      <c r="QL15" s="2615"/>
      <c r="QN15" s="139" t="str">
        <f t="shared" si="82"/>
        <v/>
      </c>
      <c r="QO15" s="139" t="str">
        <f t="shared" si="83"/>
        <v/>
      </c>
      <c r="QQ15" s="139" t="str">
        <f t="shared" si="84"/>
        <v/>
      </c>
      <c r="QR15" s="139" t="str">
        <f t="shared" si="85"/>
        <v/>
      </c>
      <c r="QT15" s="1">
        <f t="shared" si="86"/>
        <v>0</v>
      </c>
      <c r="QU15" s="1">
        <f t="shared" si="87"/>
        <v>0</v>
      </c>
      <c r="QV15" s="1">
        <f t="shared" si="88"/>
        <v>0</v>
      </c>
      <c r="QW15" s="1">
        <f t="shared" si="89"/>
        <v>0</v>
      </c>
      <c r="QX15" s="1">
        <f t="shared" si="90"/>
        <v>0</v>
      </c>
      <c r="QY15" s="1">
        <f t="shared" si="91"/>
        <v>0</v>
      </c>
      <c r="RA15" s="1">
        <f t="shared" si="92"/>
        <v>0</v>
      </c>
      <c r="RB15" s="1">
        <f t="shared" si="93"/>
        <v>0</v>
      </c>
      <c r="RC15" s="1">
        <f t="shared" si="94"/>
        <v>0</v>
      </c>
      <c r="RD15" s="1">
        <f t="shared" si="95"/>
        <v>0</v>
      </c>
      <c r="RE15" s="1">
        <f t="shared" si="96"/>
        <v>0</v>
      </c>
      <c r="RF15" s="1">
        <f t="shared" si="97"/>
        <v>0</v>
      </c>
      <c r="RI15" s="1">
        <v>6</v>
      </c>
      <c r="RJ15" s="1">
        <f t="shared" si="98"/>
        <v>31715.819251083165</v>
      </c>
      <c r="RK15" s="1">
        <f t="shared" si="98"/>
        <v>7610.0960498622817</v>
      </c>
      <c r="RL15" s="1">
        <f t="shared" si="98"/>
        <v>9178.5689913333827</v>
      </c>
      <c r="RM15" s="89">
        <f t="shared" si="5"/>
        <v>48504.48429227883</v>
      </c>
      <c r="RN15" s="1033">
        <v>6</v>
      </c>
      <c r="RO15" s="1098">
        <f t="shared" si="99"/>
        <v>0</v>
      </c>
      <c r="RP15" s="1098">
        <f t="shared" si="100"/>
        <v>837.8599999999999</v>
      </c>
      <c r="RQ15" s="1097">
        <f t="shared" si="100"/>
        <v>0</v>
      </c>
      <c r="RR15" s="1097">
        <f t="shared" si="101"/>
        <v>9710.8799999999992</v>
      </c>
      <c r="RS15" s="1094"/>
      <c r="RT15" s="1094" t="s">
        <v>311</v>
      </c>
      <c r="RW15" s="421">
        <v>6</v>
      </c>
      <c r="RX15" s="1095">
        <f t="shared" si="102"/>
        <v>0</v>
      </c>
      <c r="RY15" s="1094"/>
      <c r="SA15" s="1090"/>
      <c r="SB15" s="1090">
        <f t="shared" si="103"/>
        <v>-837.85999999999876</v>
      </c>
      <c r="SC15" s="1090"/>
      <c r="SD15" s="1090">
        <f t="shared" si="104"/>
        <v>0</v>
      </c>
      <c r="SF15" s="1">
        <v>6</v>
      </c>
      <c r="SG15" s="1">
        <f t="shared" si="105"/>
        <v>0</v>
      </c>
      <c r="SH15" s="1094"/>
    </row>
    <row r="16" spans="1:502" s="1" customFormat="1">
      <c r="B16" s="471">
        <v>7</v>
      </c>
      <c r="C16" s="4">
        <f t="shared" si="6"/>
        <v>177869</v>
      </c>
      <c r="D16" s="1590">
        <f>P16+T16+X16+AB16</f>
        <v>10463.889999999998</v>
      </c>
      <c r="E16" s="1895">
        <f t="shared" si="7"/>
        <v>16.998362941506461</v>
      </c>
      <c r="F16" s="870"/>
      <c r="G16" s="870"/>
      <c r="H16" s="52"/>
      <c r="I16" s="61"/>
      <c r="J16" s="52"/>
      <c r="K16" s="54"/>
      <c r="L16" s="52"/>
      <c r="M16" s="61"/>
      <c r="N16" s="2629"/>
      <c r="O16" s="4">
        <f t="shared" si="117"/>
        <v>113400</v>
      </c>
      <c r="P16" s="1225">
        <f t="shared" si="8"/>
        <v>8873.0999999999985</v>
      </c>
      <c r="Q16" s="1913">
        <f t="shared" si="9"/>
        <v>12.780200831727358</v>
      </c>
      <c r="R16" s="33"/>
      <c r="S16" s="26">
        <f t="shared" si="10"/>
        <v>37454</v>
      </c>
      <c r="T16" s="27">
        <f t="shared" si="107"/>
        <v>1590.7899999999997</v>
      </c>
      <c r="U16" s="1909">
        <f t="shared" si="11"/>
        <v>23.544276743001909</v>
      </c>
      <c r="V16" s="15"/>
      <c r="W16" s="1742">
        <f t="shared" si="12"/>
        <v>27015</v>
      </c>
      <c r="X16" s="5">
        <f t="shared" si="12"/>
        <v>0</v>
      </c>
      <c r="Y16" s="1909">
        <f t="shared" si="13"/>
        <v>0</v>
      </c>
      <c r="Z16" s="33"/>
      <c r="AA16" s="26">
        <f t="shared" si="14"/>
        <v>0</v>
      </c>
      <c r="AB16" s="27">
        <f t="shared" si="15"/>
        <v>0</v>
      </c>
      <c r="AC16" s="53">
        <f t="shared" si="16"/>
        <v>0</v>
      </c>
      <c r="AD16" s="28"/>
      <c r="AE16" s="36"/>
      <c r="AF16" s="36"/>
      <c r="AG16" s="53">
        <f t="shared" si="17"/>
        <v>0</v>
      </c>
      <c r="AH16" s="28"/>
      <c r="AI16" s="23"/>
      <c r="AJ16" s="27"/>
      <c r="AK16" s="53">
        <f t="shared" si="18"/>
        <v>0</v>
      </c>
      <c r="AL16" s="28"/>
      <c r="AM16" s="2629"/>
      <c r="AN16" s="9"/>
      <c r="AO16" s="5"/>
      <c r="AP16" s="61">
        <f t="shared" si="19"/>
        <v>0</v>
      </c>
      <c r="AQ16" s="36"/>
      <c r="AR16" s="53"/>
      <c r="AS16" s="61">
        <f t="shared" si="20"/>
        <v>0</v>
      </c>
      <c r="AT16" s="36">
        <v>0</v>
      </c>
      <c r="AU16" s="27"/>
      <c r="AV16" s="54">
        <f t="shared" si="21"/>
        <v>0</v>
      </c>
      <c r="AW16" s="26">
        <v>56658</v>
      </c>
      <c r="AX16" s="27">
        <v>4640.34</v>
      </c>
      <c r="AY16" s="1735">
        <f t="shared" si="115"/>
        <v>12.209881172500291</v>
      </c>
      <c r="AZ16" s="36"/>
      <c r="BA16" s="27"/>
      <c r="BB16" s="61">
        <f t="shared" si="22"/>
        <v>0</v>
      </c>
      <c r="BC16" s="1740">
        <v>56742</v>
      </c>
      <c r="BD16" s="1926">
        <v>4232.7599999999993</v>
      </c>
      <c r="BE16" s="1735">
        <f t="shared" si="23"/>
        <v>13.405437586822785</v>
      </c>
      <c r="BF16" s="36"/>
      <c r="BG16" s="53"/>
      <c r="BH16" s="61">
        <f t="shared" si="24"/>
        <v>0</v>
      </c>
      <c r="BI16" s="36">
        <v>0</v>
      </c>
      <c r="BJ16" s="53">
        <v>0</v>
      </c>
      <c r="BK16" s="61">
        <f t="shared" si="25"/>
        <v>0</v>
      </c>
      <c r="BL16" s="1742">
        <v>37454</v>
      </c>
      <c r="BM16" s="1736">
        <v>1590.7899999999997</v>
      </c>
      <c r="BN16" s="2170"/>
      <c r="BO16" s="1735">
        <f t="shared" si="26"/>
        <v>23.544276743001909</v>
      </c>
      <c r="BP16" s="36"/>
      <c r="BQ16" s="53"/>
      <c r="BR16" s="61">
        <f t="shared" si="27"/>
        <v>0</v>
      </c>
      <c r="BS16" s="36"/>
      <c r="BT16" s="53"/>
      <c r="BU16" s="61">
        <f t="shared" si="28"/>
        <v>0</v>
      </c>
      <c r="BV16" s="36">
        <v>27015</v>
      </c>
      <c r="BW16" s="27">
        <v>0</v>
      </c>
      <c r="BX16" s="1906">
        <f t="shared" si="29"/>
        <v>0</v>
      </c>
      <c r="BY16" s="26"/>
      <c r="BZ16" s="27"/>
      <c r="CA16" s="61">
        <f t="shared" si="30"/>
        <v>0</v>
      </c>
      <c r="CB16" s="36"/>
      <c r="CC16" s="481"/>
      <c r="CD16" s="482">
        <f t="shared" si="31"/>
        <v>0</v>
      </c>
      <c r="CE16" s="4"/>
      <c r="CF16" s="5"/>
      <c r="CG16" s="28">
        <f t="shared" si="32"/>
        <v>0</v>
      </c>
      <c r="CH16" s="150"/>
      <c r="CI16" s="4"/>
      <c r="CJ16" s="5"/>
      <c r="CK16" s="5">
        <v>5384</v>
      </c>
      <c r="CL16" s="5"/>
      <c r="CM16" s="5"/>
      <c r="CN16" s="5"/>
      <c r="CO16" s="33"/>
      <c r="CP16" s="366"/>
      <c r="CR16" s="4">
        <f t="shared" si="33"/>
        <v>0</v>
      </c>
      <c r="CS16" s="9">
        <f t="shared" si="33"/>
        <v>0</v>
      </c>
      <c r="CT16" s="5">
        <f t="shared" si="33"/>
        <v>0</v>
      </c>
      <c r="CU16" s="5">
        <f t="shared" si="33"/>
        <v>0</v>
      </c>
      <c r="CV16" s="5">
        <f t="shared" si="33"/>
        <v>0</v>
      </c>
      <c r="CW16" s="5">
        <f t="shared" si="33"/>
        <v>0</v>
      </c>
      <c r="CX16" s="5">
        <f t="shared" si="33"/>
        <v>0</v>
      </c>
      <c r="CY16" s="5">
        <f t="shared" si="33"/>
        <v>0</v>
      </c>
      <c r="CZ16" s="5">
        <f t="shared" si="33"/>
        <v>10037.529999999999</v>
      </c>
      <c r="DA16" s="5">
        <f t="shared" si="33"/>
        <v>0</v>
      </c>
      <c r="DB16" s="5">
        <f t="shared" si="33"/>
        <v>0</v>
      </c>
      <c r="DC16" s="12">
        <f t="shared" si="33"/>
        <v>0</v>
      </c>
      <c r="DD16" s="310">
        <f t="shared" si="34"/>
        <v>10463.89</v>
      </c>
      <c r="DE16" s="2695"/>
      <c r="DF16" s="8"/>
      <c r="DG16" s="9"/>
      <c r="DH16" s="5"/>
      <c r="DI16" s="5"/>
      <c r="DJ16" s="5"/>
      <c r="DK16" s="5"/>
      <c r="DL16" s="3">
        <v>0</v>
      </c>
      <c r="DM16" s="5"/>
      <c r="DN16" s="3">
        <v>4213.9799999999996</v>
      </c>
      <c r="DO16" s="5"/>
      <c r="DP16" s="5"/>
      <c r="DQ16" s="12"/>
      <c r="DR16" s="1906">
        <f t="shared" si="35"/>
        <v>4213.9799999999996</v>
      </c>
      <c r="DS16" s="36"/>
      <c r="DT16" s="36"/>
      <c r="DU16" s="27"/>
      <c r="DV16" s="27"/>
      <c r="DW16" s="5"/>
      <c r="DX16" s="5"/>
      <c r="DY16" s="5"/>
      <c r="DZ16" s="5"/>
      <c r="EA16" s="3">
        <v>5823.5499999999993</v>
      </c>
      <c r="EB16" s="53"/>
      <c r="EC16" s="24">
        <v>0</v>
      </c>
      <c r="ED16" s="33"/>
      <c r="EE16" s="28">
        <f t="shared" si="36"/>
        <v>5823.5499999999993</v>
      </c>
      <c r="EF16" s="9"/>
      <c r="EG16" s="9"/>
      <c r="EH16" s="5"/>
      <c r="EI16" s="492"/>
      <c r="EJ16" s="27"/>
      <c r="EK16" s="27"/>
      <c r="EL16" s="27"/>
      <c r="EM16" s="27"/>
      <c r="EN16" s="5"/>
      <c r="EO16" s="5"/>
      <c r="EP16" s="5">
        <v>0</v>
      </c>
      <c r="EQ16" s="33"/>
      <c r="ER16" s="28">
        <f t="shared" si="37"/>
        <v>0</v>
      </c>
      <c r="ES16" s="36"/>
      <c r="ET16" s="27"/>
      <c r="EU16" s="27"/>
      <c r="EV16" s="27"/>
      <c r="EW16" s="27"/>
      <c r="EX16" s="27"/>
      <c r="EY16" s="33">
        <f t="shared" si="38"/>
        <v>0</v>
      </c>
      <c r="EZ16" s="2685"/>
      <c r="FB16" s="4">
        <f t="shared" si="39"/>
        <v>0</v>
      </c>
      <c r="FC16" s="5">
        <f t="shared" si="40"/>
        <v>0</v>
      </c>
      <c r="FD16" s="5">
        <f t="shared" si="41"/>
        <v>0</v>
      </c>
      <c r="FE16" s="12">
        <f t="shared" si="42"/>
        <v>0</v>
      </c>
      <c r="FF16" s="33"/>
      <c r="FG16" s="2674"/>
      <c r="FH16" s="9"/>
      <c r="FI16" s="5"/>
      <c r="FJ16" s="5"/>
      <c r="FK16" s="5"/>
      <c r="FL16" s="5"/>
      <c r="FM16" s="27"/>
      <c r="FN16" s="28">
        <f t="shared" si="43"/>
        <v>0</v>
      </c>
      <c r="FO16" s="36"/>
      <c r="FP16" s="27"/>
      <c r="FQ16" s="27"/>
      <c r="FR16" s="27"/>
      <c r="FS16" s="27"/>
      <c r="FT16" s="27"/>
      <c r="FU16" s="28">
        <f t="shared" si="44"/>
        <v>0</v>
      </c>
      <c r="FV16" s="36"/>
      <c r="FW16" s="36"/>
      <c r="FX16" s="27"/>
      <c r="FY16" s="27"/>
      <c r="FZ16" s="27"/>
      <c r="GA16" s="27"/>
      <c r="GB16" s="27"/>
      <c r="GC16" s="27"/>
      <c r="GD16" s="27"/>
      <c r="GE16" s="27"/>
      <c r="GF16" s="27"/>
      <c r="GG16" s="33"/>
      <c r="GH16" s="33">
        <f t="shared" si="45"/>
        <v>0</v>
      </c>
      <c r="GI16" s="2674"/>
      <c r="GK16" s="2">
        <f t="shared" si="108"/>
        <v>0</v>
      </c>
      <c r="GL16" s="63">
        <f t="shared" si="109"/>
        <v>0</v>
      </c>
      <c r="GM16" s="24">
        <f t="shared" si="110"/>
        <v>0</v>
      </c>
      <c r="GN16" s="1736">
        <f t="shared" si="46"/>
        <v>0</v>
      </c>
      <c r="GO16" s="141"/>
      <c r="GP16" s="141"/>
      <c r="GQ16" s="33"/>
      <c r="GR16" s="2667"/>
      <c r="GS16" s="1739">
        <v>0</v>
      </c>
      <c r="GT16" s="1721">
        <v>0</v>
      </c>
      <c r="GU16" s="1721">
        <v>0</v>
      </c>
      <c r="GV16" s="1721">
        <v>0</v>
      </c>
      <c r="GW16" s="1724">
        <f t="shared" si="47"/>
        <v>0</v>
      </c>
      <c r="GX16" s="2667"/>
      <c r="GY16" s="36"/>
      <c r="GZ16" s="36"/>
      <c r="HA16" s="27"/>
      <c r="HB16" s="27"/>
      <c r="HC16" s="27"/>
      <c r="HD16" s="27"/>
      <c r="HE16" s="27"/>
      <c r="HF16" s="27"/>
      <c r="HG16" s="24">
        <v>0</v>
      </c>
      <c r="HH16" s="27"/>
      <c r="HI16" s="24">
        <v>0</v>
      </c>
      <c r="HJ16" s="27"/>
      <c r="HK16" s="24">
        <v>0</v>
      </c>
      <c r="HL16" s="27"/>
      <c r="HM16" s="28">
        <f t="shared" si="48"/>
        <v>0</v>
      </c>
      <c r="HN16" s="36"/>
      <c r="HO16" s="27"/>
      <c r="HP16" s="27"/>
      <c r="HQ16" s="27"/>
      <c r="HR16" s="27"/>
      <c r="HS16" s="27"/>
      <c r="HT16" s="27" cm="1">
        <f t="array" ref="HT16">SUMPRODUCT(('Data Base hauling'!$C$2:$C$216="TCM-ROM SB1 BK05-ROM 4")*(ISNUMBER(SEARCH(TEXT('June TCM'!$B16,"00")&amp;"/03/2026",'Data Base hauling'!$E$2:$E$216)))*'Data Base hauling'!$N$2:$N$216)</f>
        <v>0</v>
      </c>
      <c r="HU16" s="27"/>
      <c r="HV16" s="27" cm="1">
        <f t="array" ref="HV16">SUMPRODUCT(('Data Base hauling'!$C$2:$C$216="TCM-ROM SB1 BK05-ROM 5")*(ISNUMBER(SEARCH(TEXT('June TCM'!$B16,"00")&amp;"/03/2026",'Data Base hauling'!$E$2:$E$216)))*'Data Base hauling'!$N$2:$N$216)</f>
        <v>0</v>
      </c>
      <c r="HW16" s="27"/>
      <c r="HX16" s="27"/>
      <c r="HY16" s="27"/>
      <c r="HZ16" s="27"/>
      <c r="IA16" s="27"/>
      <c r="IB16" s="33">
        <f t="shared" si="49"/>
        <v>0</v>
      </c>
      <c r="IC16" s="52"/>
      <c r="ID16" s="152"/>
      <c r="IE16" s="53"/>
      <c r="IF16" s="53"/>
      <c r="IG16" s="53"/>
      <c r="IH16" s="53"/>
      <c r="II16" s="1926">
        <v>0</v>
      </c>
      <c r="IJ16" s="1736"/>
      <c r="IK16" s="1926">
        <v>0</v>
      </c>
      <c r="IL16" s="53"/>
      <c r="IM16" s="49">
        <v>0</v>
      </c>
      <c r="IN16" s="53"/>
      <c r="IO16" s="53"/>
      <c r="IP16" s="49">
        <f>SUMPRODUCT(('Data Base hauling'!$C$2:$C$216="TCM-HAC1 (Production)-ROM 2(HAC)")*(ISNUMBER(SEARCH(TEXT('June TCM'!$B16,"00")&amp;"/06/2026",'Data Base hauling'!$E$2:$E$216)))*'Data Base hauling'!$N$2:$N$216)</f>
        <v>0</v>
      </c>
      <c r="IQ16" s="2195">
        <f t="shared" si="50"/>
        <v>0</v>
      </c>
      <c r="IR16" s="36"/>
      <c r="IS16" s="36"/>
      <c r="IT16" s="27"/>
      <c r="IU16" s="27"/>
      <c r="IV16" s="53"/>
      <c r="IW16" s="27"/>
      <c r="IX16" s="24">
        <v>0</v>
      </c>
      <c r="IY16" s="27"/>
      <c r="IZ16" s="24">
        <v>0</v>
      </c>
      <c r="JA16" s="27"/>
      <c r="JB16" s="24">
        <v>0</v>
      </c>
      <c r="JC16" s="27"/>
      <c r="JD16" s="27"/>
      <c r="JE16" s="27"/>
      <c r="JF16" s="54">
        <f t="shared" si="116"/>
        <v>0</v>
      </c>
      <c r="JG16" s="2667"/>
      <c r="JI16" s="2014">
        <v>0</v>
      </c>
      <c r="JJ16" s="2015">
        <v>0</v>
      </c>
      <c r="JK16" s="53"/>
      <c r="JL16" s="1736">
        <f t="shared" si="52"/>
        <v>0</v>
      </c>
      <c r="JM16" s="33"/>
      <c r="JN16" s="2669"/>
      <c r="JO16" s="66" t="s">
        <v>296</v>
      </c>
      <c r="JP16" s="67" t="s">
        <v>296</v>
      </c>
      <c r="JQ16" s="67" t="s">
        <v>296</v>
      </c>
      <c r="JR16" s="67" t="s">
        <v>296</v>
      </c>
      <c r="JS16" s="67" t="s">
        <v>296</v>
      </c>
      <c r="JT16" s="67" t="s">
        <v>296</v>
      </c>
      <c r="JU16" s="67" t="s">
        <v>296</v>
      </c>
      <c r="JV16" s="1921">
        <v>0</v>
      </c>
      <c r="JW16" s="66" t="s">
        <v>296</v>
      </c>
      <c r="JX16" s="67" t="s">
        <v>296</v>
      </c>
      <c r="JY16" s="67" t="s">
        <v>296</v>
      </c>
      <c r="JZ16" s="67" t="s">
        <v>296</v>
      </c>
      <c r="KA16" s="67" t="s">
        <v>296</v>
      </c>
      <c r="KB16" s="67" t="s">
        <v>296</v>
      </c>
      <c r="KC16" s="67" t="s">
        <v>296</v>
      </c>
      <c r="KD16" s="68" t="s">
        <v>296</v>
      </c>
      <c r="KE16" s="21"/>
      <c r="KF16" s="70"/>
      <c r="KG16" s="70"/>
      <c r="KH16" s="70"/>
      <c r="KI16" s="70"/>
      <c r="KJ16" s="70"/>
      <c r="KK16" s="70"/>
      <c r="KL16" s="70"/>
      <c r="KM16" s="33"/>
      <c r="KN16" s="2669"/>
      <c r="KO16" s="2203">
        <v>0</v>
      </c>
      <c r="KP16" s="1721">
        <v>0</v>
      </c>
      <c r="KQ16" s="1721">
        <v>0</v>
      </c>
      <c r="KR16" s="1721">
        <v>0</v>
      </c>
      <c r="KS16" s="1722">
        <v>0</v>
      </c>
      <c r="KT16" s="1958">
        <v>0</v>
      </c>
      <c r="KU16" s="1961">
        <v>0</v>
      </c>
      <c r="KV16" s="1961">
        <v>0</v>
      </c>
      <c r="KW16" s="1961">
        <v>0</v>
      </c>
      <c r="KX16" s="1962">
        <v>0</v>
      </c>
      <c r="KY16" s="36"/>
      <c r="KZ16" s="53"/>
      <c r="LA16" s="53"/>
      <c r="LB16" s="53"/>
      <c r="LC16" s="53"/>
      <c r="LD16" s="33"/>
      <c r="LE16" s="2669"/>
      <c r="LG16" s="1121">
        <f t="shared" si="53"/>
        <v>7501.79</v>
      </c>
      <c r="LH16" s="280">
        <f t="shared" si="53"/>
        <v>0</v>
      </c>
      <c r="LI16" s="280">
        <f t="shared" si="53"/>
        <v>0</v>
      </c>
      <c r="LJ16" s="844">
        <f t="shared" si="54"/>
        <v>7501.79</v>
      </c>
      <c r="LK16" s="36">
        <v>1</v>
      </c>
      <c r="LL16" s="27"/>
      <c r="LM16" s="27">
        <v>1</v>
      </c>
      <c r="LN16" s="33"/>
      <c r="LO16" s="1041">
        <v>5.34</v>
      </c>
      <c r="LP16" s="486"/>
      <c r="LQ16" s="2688"/>
      <c r="LR16" s="2276">
        <v>7501.79</v>
      </c>
      <c r="LS16" s="2167"/>
      <c r="LT16" s="27"/>
      <c r="LU16" s="27"/>
      <c r="LV16" s="27"/>
      <c r="LW16" s="1117">
        <f t="shared" si="55"/>
        <v>7501.79</v>
      </c>
      <c r="LX16" s="2269"/>
      <c r="LY16" s="36"/>
      <c r="LZ16" s="27"/>
      <c r="MA16" s="27"/>
      <c r="MB16" s="33"/>
      <c r="MC16" s="28">
        <f t="shared" si="56"/>
        <v>0</v>
      </c>
      <c r="MD16" s="36"/>
      <c r="ME16" s="36"/>
      <c r="MF16" s="27"/>
      <c r="MG16" s="27"/>
      <c r="MH16" s="33"/>
      <c r="MI16" s="28"/>
      <c r="MJ16" s="36"/>
      <c r="MK16" s="36"/>
      <c r="ML16" s="27"/>
      <c r="MM16" s="27"/>
      <c r="MN16" s="27"/>
      <c r="MO16" s="28"/>
      <c r="MP16" s="36"/>
      <c r="MQ16" s="36"/>
      <c r="MR16" s="27"/>
      <c r="MS16" s="27"/>
      <c r="MT16" s="27"/>
      <c r="MU16" s="33">
        <f t="shared" si="57"/>
        <v>0</v>
      </c>
      <c r="MV16" s="2688"/>
      <c r="MX16" s="26">
        <f t="shared" si="58"/>
        <v>127530.76422972264</v>
      </c>
      <c r="MY16" s="27">
        <f t="shared" si="59"/>
        <v>143582.22785017916</v>
      </c>
      <c r="MZ16" s="27">
        <f t="shared" si="60"/>
        <v>22283.478559023406</v>
      </c>
      <c r="NA16" s="28">
        <f t="shared" si="61"/>
        <v>431343.92855850997</v>
      </c>
      <c r="NB16" s="2621"/>
      <c r="NC16" s="23">
        <f t="shared" si="62"/>
        <v>43723.965442786248</v>
      </c>
      <c r="ND16" s="1579">
        <f t="shared" si="63"/>
        <v>83806.798786936401</v>
      </c>
      <c r="NE16" s="60">
        <f t="shared" si="64"/>
        <v>0</v>
      </c>
      <c r="NF16" s="275">
        <f t="shared" si="4"/>
        <v>127530.76422972264</v>
      </c>
      <c r="NG16" s="26">
        <f t="shared" si="65"/>
        <v>0</v>
      </c>
      <c r="NH16" s="27">
        <f t="shared" si="65"/>
        <v>0</v>
      </c>
      <c r="NI16" s="27">
        <f t="shared" si="65"/>
        <v>0</v>
      </c>
      <c r="NJ16" s="27">
        <f t="shared" si="65"/>
        <v>0</v>
      </c>
      <c r="NK16" s="27">
        <f t="shared" si="65"/>
        <v>0</v>
      </c>
      <c r="NL16" s="33">
        <f t="shared" si="65"/>
        <v>0</v>
      </c>
      <c r="NM16" s="27">
        <f t="shared" si="65"/>
        <v>0</v>
      </c>
      <c r="NN16" s="36">
        <f t="shared" si="65"/>
        <v>0</v>
      </c>
      <c r="NO16" s="24">
        <f t="shared" si="111"/>
        <v>1828.3342192005614</v>
      </c>
      <c r="NP16" s="27">
        <f t="shared" si="65"/>
        <v>26196.696072681989</v>
      </c>
      <c r="NQ16" s="24">
        <f t="shared" si="112"/>
        <v>8756.5482322711578</v>
      </c>
      <c r="NR16" s="24">
        <f t="shared" si="113"/>
        <v>1506.8248469876016</v>
      </c>
      <c r="NS16" s="27">
        <f t="shared" si="0"/>
        <v>38288.403371141307</v>
      </c>
      <c r="NT16" s="27">
        <f t="shared" si="66"/>
        <v>0</v>
      </c>
      <c r="NU16" s="27">
        <f t="shared" si="66"/>
        <v>0</v>
      </c>
      <c r="NV16" s="27">
        <f t="shared" si="66"/>
        <v>0</v>
      </c>
      <c r="NW16" s="27">
        <f t="shared" si="66"/>
        <v>0</v>
      </c>
      <c r="NX16" s="27">
        <f t="shared" si="66"/>
        <v>0</v>
      </c>
      <c r="NY16" s="27">
        <f t="shared" si="66"/>
        <v>0</v>
      </c>
      <c r="NZ16" s="27">
        <f t="shared" si="66"/>
        <v>11900.580368235249</v>
      </c>
      <c r="OA16" s="27">
        <f t="shared" si="66"/>
        <v>0</v>
      </c>
      <c r="OB16" s="27">
        <f t="shared" si="66"/>
        <v>54596.437327968029</v>
      </c>
      <c r="OC16" s="280"/>
      <c r="OD16" s="24">
        <f t="shared" si="67"/>
        <v>454.51223506073143</v>
      </c>
      <c r="OE16" s="27">
        <f t="shared" si="67"/>
        <v>0</v>
      </c>
      <c r="OF16" s="28">
        <f t="shared" si="1"/>
        <v>66951.529931264013</v>
      </c>
      <c r="OG16" s="27">
        <f t="shared" si="68"/>
        <v>0</v>
      </c>
      <c r="OH16" s="27">
        <f t="shared" si="68"/>
        <v>0</v>
      </c>
      <c r="OI16" s="27">
        <f t="shared" si="68"/>
        <v>0</v>
      </c>
      <c r="OJ16" s="27">
        <f t="shared" si="68"/>
        <v>0</v>
      </c>
      <c r="OK16" s="27">
        <f t="shared" si="68"/>
        <v>0</v>
      </c>
      <c r="OL16" s="27">
        <f t="shared" si="68"/>
        <v>0</v>
      </c>
      <c r="OM16" s="24">
        <v>0</v>
      </c>
      <c r="ON16" s="27">
        <f t="shared" si="68"/>
        <v>0</v>
      </c>
      <c r="OO16" s="24">
        <f t="shared" si="118"/>
        <v>38342.294547773839</v>
      </c>
      <c r="OP16" s="27">
        <f t="shared" si="68"/>
        <v>0</v>
      </c>
      <c r="OQ16" s="24">
        <f t="shared" si="68"/>
        <v>0</v>
      </c>
      <c r="OR16" s="27">
        <f t="shared" si="68"/>
        <v>0</v>
      </c>
      <c r="OS16" s="28">
        <f t="shared" si="2"/>
        <v>38342.294547773839</v>
      </c>
      <c r="OT16" s="36"/>
      <c r="OU16" s="27"/>
      <c r="OV16" s="27"/>
      <c r="OW16" s="27"/>
      <c r="OX16" s="27"/>
      <c r="OY16" s="27"/>
      <c r="OZ16" s="28">
        <f t="shared" si="69"/>
        <v>0</v>
      </c>
      <c r="PA16" s="36">
        <f t="shared" si="70"/>
        <v>0</v>
      </c>
      <c r="PB16" s="27">
        <f t="shared" si="71"/>
        <v>0</v>
      </c>
      <c r="PC16" s="27">
        <f t="shared" si="72"/>
        <v>0</v>
      </c>
      <c r="PD16" s="27">
        <f t="shared" si="73"/>
        <v>0</v>
      </c>
      <c r="PE16" s="24"/>
      <c r="PF16" s="27">
        <f t="shared" si="74"/>
        <v>0</v>
      </c>
      <c r="PG16" s="33">
        <f t="shared" si="3"/>
        <v>0</v>
      </c>
      <c r="PH16" s="2621"/>
      <c r="PJ16" s="1907">
        <v>2099.2000000000003</v>
      </c>
      <c r="PK16" s="3">
        <v>1086</v>
      </c>
      <c r="PL16" s="3">
        <v>362</v>
      </c>
      <c r="PM16" s="3">
        <v>0</v>
      </c>
      <c r="PN16" s="3">
        <v>31359.989776580693</v>
      </c>
      <c r="PO16" s="11">
        <f t="shared" si="75"/>
        <v>22283.478559023406</v>
      </c>
      <c r="PP16" s="15"/>
      <c r="PQ16" s="2615"/>
      <c r="PS16" s="4"/>
      <c r="PT16" s="9"/>
      <c r="PU16" s="9"/>
      <c r="PV16" s="9"/>
      <c r="PW16" s="8">
        <v>426.36</v>
      </c>
      <c r="PX16" s="9"/>
      <c r="PY16" s="8">
        <f t="shared" si="76"/>
        <v>426.36</v>
      </c>
      <c r="PZ16" s="5">
        <f t="shared" si="77"/>
        <v>2099.2000000000003</v>
      </c>
      <c r="QA16" s="5"/>
      <c r="QB16" s="5"/>
      <c r="QC16" s="5"/>
      <c r="QD16" s="5"/>
      <c r="QE16" s="5"/>
      <c r="QF16" s="12"/>
      <c r="QG16" s="12">
        <f t="shared" si="78"/>
        <v>29562.488999999998</v>
      </c>
      <c r="QH16" s="420">
        <f t="shared" si="79"/>
        <v>399656.69955850998</v>
      </c>
      <c r="QI16" s="1106">
        <f t="shared" si="80"/>
        <v>2124.7399999999998</v>
      </c>
      <c r="QJ16" s="484">
        <f t="shared" si="81"/>
        <v>5505.3678056099998</v>
      </c>
      <c r="QK16" s="12"/>
      <c r="QL16" s="2615"/>
      <c r="QN16" s="139" t="str">
        <f t="shared" si="82"/>
        <v/>
      </c>
      <c r="QO16" s="139" t="str">
        <f t="shared" si="83"/>
        <v/>
      </c>
      <c r="QQ16" s="139" t="str">
        <f t="shared" si="84"/>
        <v/>
      </c>
      <c r="QR16" s="139" t="str">
        <f t="shared" si="85"/>
        <v/>
      </c>
      <c r="QT16" s="1">
        <f t="shared" si="86"/>
        <v>0</v>
      </c>
      <c r="QU16" s="1">
        <f t="shared" si="87"/>
        <v>0</v>
      </c>
      <c r="QV16" s="1">
        <f t="shared" si="88"/>
        <v>0</v>
      </c>
      <c r="QW16" s="1">
        <f t="shared" si="89"/>
        <v>0</v>
      </c>
      <c r="QX16" s="1">
        <f t="shared" si="90"/>
        <v>0</v>
      </c>
      <c r="QY16" s="1">
        <f t="shared" si="91"/>
        <v>0</v>
      </c>
      <c r="RA16" s="1">
        <f t="shared" si="92"/>
        <v>0</v>
      </c>
      <c r="RB16" s="1">
        <f t="shared" si="93"/>
        <v>0</v>
      </c>
      <c r="RC16" s="1">
        <f t="shared" si="94"/>
        <v>0</v>
      </c>
      <c r="RD16" s="1">
        <f t="shared" si="95"/>
        <v>0</v>
      </c>
      <c r="RE16" s="1">
        <f t="shared" si="96"/>
        <v>0</v>
      </c>
      <c r="RF16" s="1">
        <f t="shared" si="97"/>
        <v>0</v>
      </c>
      <c r="RI16" s="1">
        <v>7</v>
      </c>
      <c r="RJ16" s="1">
        <f t="shared" si="98"/>
        <v>24214.029251083164</v>
      </c>
      <c r="RK16" s="1">
        <f t="shared" si="98"/>
        <v>7610.0960498622817</v>
      </c>
      <c r="RL16" s="1">
        <f t="shared" si="98"/>
        <v>9178.5689913333827</v>
      </c>
      <c r="RM16" s="89">
        <f t="shared" si="5"/>
        <v>41002.694292278829</v>
      </c>
      <c r="RN16" s="1033">
        <v>7</v>
      </c>
      <c r="RO16" s="1098">
        <f t="shared" si="99"/>
        <v>0</v>
      </c>
      <c r="RP16" s="1098">
        <f t="shared" si="100"/>
        <v>426.36</v>
      </c>
      <c r="RQ16" s="1097">
        <f t="shared" si="100"/>
        <v>0</v>
      </c>
      <c r="RR16" s="1097">
        <f t="shared" si="101"/>
        <v>10463.89</v>
      </c>
      <c r="RS16" s="1094"/>
      <c r="RT16" s="1094" t="s">
        <v>312</v>
      </c>
      <c r="RW16" s="421">
        <v>7</v>
      </c>
      <c r="RX16" s="1095">
        <f t="shared" si="102"/>
        <v>0</v>
      </c>
      <c r="RY16" s="1094"/>
      <c r="SA16" s="1090"/>
      <c r="SB16" s="1090">
        <f t="shared" si="103"/>
        <v>-426.36000000000058</v>
      </c>
      <c r="SC16" s="1090"/>
      <c r="SD16" s="1090">
        <f t="shared" si="104"/>
        <v>0</v>
      </c>
      <c r="SF16" s="1">
        <v>7</v>
      </c>
      <c r="SG16" s="1">
        <f t="shared" si="105"/>
        <v>0</v>
      </c>
      <c r="SH16" s="1094"/>
    </row>
    <row r="17" spans="1:502" s="1" customFormat="1">
      <c r="B17" s="471">
        <v>8</v>
      </c>
      <c r="C17" s="4">
        <f t="shared" si="6"/>
        <v>83187</v>
      </c>
      <c r="D17" s="1590">
        <f t="shared" ref="D17:D39" si="119">P17+T17+X17+AB17</f>
        <v>5458.74</v>
      </c>
      <c r="E17" s="1895">
        <f t="shared" si="7"/>
        <v>15.239231031336903</v>
      </c>
      <c r="F17" s="870"/>
      <c r="G17" s="870"/>
      <c r="H17" s="52">
        <v>78</v>
      </c>
      <c r="I17" s="61">
        <v>12</v>
      </c>
      <c r="J17" s="52"/>
      <c r="K17" s="54"/>
      <c r="L17" s="52">
        <v>78</v>
      </c>
      <c r="M17" s="61">
        <v>6.33</v>
      </c>
      <c r="N17" s="2629"/>
      <c r="O17" s="4">
        <f t="shared" si="117"/>
        <v>55188</v>
      </c>
      <c r="P17" s="1225">
        <f t="shared" si="8"/>
        <v>4781.88</v>
      </c>
      <c r="Q17" s="1913">
        <f t="shared" si="9"/>
        <v>11.541067529925469</v>
      </c>
      <c r="R17" s="33"/>
      <c r="S17" s="26">
        <f t="shared" si="10"/>
        <v>14211</v>
      </c>
      <c r="T17" s="27">
        <f t="shared" si="107"/>
        <v>676.86</v>
      </c>
      <c r="U17" s="1909">
        <f t="shared" si="11"/>
        <v>20.995479124191117</v>
      </c>
      <c r="W17" s="1742">
        <f t="shared" si="12"/>
        <v>13788</v>
      </c>
      <c r="X17" s="5">
        <f t="shared" si="12"/>
        <v>0</v>
      </c>
      <c r="Y17" s="1909">
        <f t="shared" si="13"/>
        <v>0</v>
      </c>
      <c r="Z17" s="33"/>
      <c r="AA17" s="26">
        <f t="shared" si="14"/>
        <v>0</v>
      </c>
      <c r="AB17" s="27">
        <f t="shared" si="15"/>
        <v>0</v>
      </c>
      <c r="AC17" s="53">
        <f t="shared" si="16"/>
        <v>0</v>
      </c>
      <c r="AD17" s="28"/>
      <c r="AE17" s="36"/>
      <c r="AF17" s="36"/>
      <c r="AG17" s="53">
        <f t="shared" si="17"/>
        <v>0</v>
      </c>
      <c r="AH17" s="28"/>
      <c r="AI17" s="26"/>
      <c r="AJ17" s="27"/>
      <c r="AK17" s="53">
        <f t="shared" si="18"/>
        <v>0</v>
      </c>
      <c r="AL17" s="28"/>
      <c r="AM17" s="2629"/>
      <c r="AN17" s="9"/>
      <c r="AO17" s="5"/>
      <c r="AP17" s="61">
        <f t="shared" si="19"/>
        <v>0</v>
      </c>
      <c r="AQ17" s="36"/>
      <c r="AR17" s="53"/>
      <c r="AS17" s="61">
        <f t="shared" si="20"/>
        <v>0</v>
      </c>
      <c r="AT17" s="36">
        <v>0</v>
      </c>
      <c r="AU17" s="27"/>
      <c r="AV17" s="54">
        <f t="shared" si="21"/>
        <v>0</v>
      </c>
      <c r="AW17" s="26">
        <v>30072</v>
      </c>
      <c r="AX17" s="27">
        <v>2940.78</v>
      </c>
      <c r="AY17" s="1735">
        <f t="shared" si="115"/>
        <v>10.225858445718481</v>
      </c>
      <c r="AZ17" s="36"/>
      <c r="BA17" s="27"/>
      <c r="BB17" s="61">
        <f t="shared" si="22"/>
        <v>0</v>
      </c>
      <c r="BC17" s="1740">
        <v>25116</v>
      </c>
      <c r="BD17" s="1926">
        <v>1841.1</v>
      </c>
      <c r="BE17" s="1735">
        <f t="shared" si="23"/>
        <v>13.641844549454131</v>
      </c>
      <c r="BF17" s="36"/>
      <c r="BG17" s="53"/>
      <c r="BH17" s="61">
        <f t="shared" si="24"/>
        <v>0</v>
      </c>
      <c r="BI17" s="36">
        <v>0</v>
      </c>
      <c r="BJ17" s="53">
        <v>0</v>
      </c>
      <c r="BK17" s="61">
        <f t="shared" si="25"/>
        <v>0</v>
      </c>
      <c r="BL17" s="1742">
        <v>14211</v>
      </c>
      <c r="BM17" s="1736">
        <v>676.86</v>
      </c>
      <c r="BN17" s="2170"/>
      <c r="BO17" s="1735">
        <f t="shared" si="26"/>
        <v>20.995479124191117</v>
      </c>
      <c r="BP17" s="36"/>
      <c r="BQ17" s="53"/>
      <c r="BR17" s="61">
        <f t="shared" si="27"/>
        <v>0</v>
      </c>
      <c r="BS17" s="36"/>
      <c r="BT17" s="53"/>
      <c r="BU17" s="61">
        <f t="shared" si="28"/>
        <v>0</v>
      </c>
      <c r="BV17" s="36">
        <v>13788</v>
      </c>
      <c r="BW17" s="27">
        <v>0</v>
      </c>
      <c r="BX17" s="1906">
        <f t="shared" si="29"/>
        <v>0</v>
      </c>
      <c r="BY17" s="26"/>
      <c r="BZ17" s="27"/>
      <c r="CA17" s="61">
        <f t="shared" si="30"/>
        <v>0</v>
      </c>
      <c r="CB17" s="36"/>
      <c r="CC17" s="481"/>
      <c r="CD17" s="482">
        <f t="shared" si="31"/>
        <v>0</v>
      </c>
      <c r="CE17" s="4"/>
      <c r="CF17" s="5"/>
      <c r="CG17" s="28">
        <f t="shared" si="32"/>
        <v>0</v>
      </c>
      <c r="CH17" s="150"/>
      <c r="CI17" s="4"/>
      <c r="CJ17" s="5"/>
      <c r="CK17" s="5">
        <v>3047</v>
      </c>
      <c r="CL17" s="5"/>
      <c r="CM17" s="5"/>
      <c r="CN17" s="5"/>
      <c r="CO17" s="33"/>
      <c r="CP17" s="366"/>
      <c r="CR17" s="4">
        <f t="shared" si="33"/>
        <v>0</v>
      </c>
      <c r="CS17" s="9">
        <f t="shared" si="33"/>
        <v>0</v>
      </c>
      <c r="CT17" s="5">
        <f t="shared" si="33"/>
        <v>0</v>
      </c>
      <c r="CU17" s="5">
        <f t="shared" si="33"/>
        <v>0</v>
      </c>
      <c r="CV17" s="5">
        <f t="shared" si="33"/>
        <v>0</v>
      </c>
      <c r="CW17" s="5">
        <f t="shared" si="33"/>
        <v>0</v>
      </c>
      <c r="CX17" s="5">
        <f t="shared" si="33"/>
        <v>0</v>
      </c>
      <c r="CY17" s="5">
        <f t="shared" si="33"/>
        <v>0</v>
      </c>
      <c r="CZ17" s="5">
        <f t="shared" si="33"/>
        <v>5458.74</v>
      </c>
      <c r="DA17" s="5">
        <f t="shared" si="33"/>
        <v>0</v>
      </c>
      <c r="DB17" s="5">
        <f t="shared" si="33"/>
        <v>0</v>
      </c>
      <c r="DC17" s="12">
        <f t="shared" si="33"/>
        <v>0</v>
      </c>
      <c r="DD17" s="310">
        <f t="shared" si="34"/>
        <v>5458.74</v>
      </c>
      <c r="DE17" s="2695"/>
      <c r="DF17" s="8"/>
      <c r="DG17" s="9"/>
      <c r="DH17" s="5"/>
      <c r="DI17" s="5"/>
      <c r="DJ17" s="5"/>
      <c r="DK17" s="5"/>
      <c r="DL17" s="3">
        <v>0</v>
      </c>
      <c r="DM17" s="5"/>
      <c r="DN17" s="3">
        <v>2940.78</v>
      </c>
      <c r="DO17" s="5"/>
      <c r="DP17" s="5"/>
      <c r="DQ17" s="12"/>
      <c r="DR17" s="1906">
        <f t="shared" si="35"/>
        <v>2940.78</v>
      </c>
      <c r="DS17" s="36"/>
      <c r="DT17" s="36"/>
      <c r="DU17" s="27"/>
      <c r="DV17" s="27"/>
      <c r="DW17" s="5"/>
      <c r="DX17" s="5"/>
      <c r="DY17" s="5"/>
      <c r="DZ17" s="5"/>
      <c r="EA17" s="3">
        <v>2517.9599999999996</v>
      </c>
      <c r="EB17" s="53"/>
      <c r="EC17" s="24">
        <v>0</v>
      </c>
      <c r="ED17" s="33"/>
      <c r="EE17" s="28">
        <f t="shared" si="36"/>
        <v>2517.9599999999996</v>
      </c>
      <c r="EF17" s="9"/>
      <c r="EG17" s="9"/>
      <c r="EH17" s="5"/>
      <c r="EI17" s="492"/>
      <c r="EJ17" s="27"/>
      <c r="EK17" s="27"/>
      <c r="EL17" s="27"/>
      <c r="EM17" s="27"/>
      <c r="EN17" s="5"/>
      <c r="EO17" s="5"/>
      <c r="EP17" s="5">
        <v>0</v>
      </c>
      <c r="EQ17" s="33"/>
      <c r="ER17" s="28">
        <f t="shared" si="37"/>
        <v>0</v>
      </c>
      <c r="ES17" s="36"/>
      <c r="ET17" s="27"/>
      <c r="EU17" s="27"/>
      <c r="EV17" s="27"/>
      <c r="EW17" s="27"/>
      <c r="EX17" s="27"/>
      <c r="EY17" s="33">
        <f t="shared" si="38"/>
        <v>0</v>
      </c>
      <c r="EZ17" s="2685"/>
      <c r="FB17" s="4">
        <f t="shared" si="39"/>
        <v>0</v>
      </c>
      <c r="FC17" s="5">
        <f t="shared" si="40"/>
        <v>0</v>
      </c>
      <c r="FD17" s="5">
        <f t="shared" si="41"/>
        <v>0</v>
      </c>
      <c r="FE17" s="12">
        <f t="shared" si="42"/>
        <v>0</v>
      </c>
      <c r="FF17" s="33"/>
      <c r="FG17" s="2674"/>
      <c r="FH17" s="9"/>
      <c r="FI17" s="5"/>
      <c r="FJ17" s="5"/>
      <c r="FK17" s="5"/>
      <c r="FL17" s="5"/>
      <c r="FM17" s="27"/>
      <c r="FN17" s="28">
        <f t="shared" si="43"/>
        <v>0</v>
      </c>
      <c r="FO17" s="36"/>
      <c r="FP17" s="27"/>
      <c r="FQ17" s="27"/>
      <c r="FR17" s="27"/>
      <c r="FS17" s="27"/>
      <c r="FT17" s="27"/>
      <c r="FU17" s="28">
        <f t="shared" si="44"/>
        <v>0</v>
      </c>
      <c r="FV17" s="36"/>
      <c r="FW17" s="36"/>
      <c r="FX17" s="27"/>
      <c r="FY17" s="27"/>
      <c r="FZ17" s="27"/>
      <c r="GA17" s="27"/>
      <c r="GB17" s="27"/>
      <c r="GC17" s="27"/>
      <c r="GD17" s="27"/>
      <c r="GE17" s="27"/>
      <c r="GF17" s="27"/>
      <c r="GG17" s="33"/>
      <c r="GH17" s="33">
        <f t="shared" si="45"/>
        <v>0</v>
      </c>
      <c r="GI17" s="2674"/>
      <c r="GK17" s="2">
        <f t="shared" si="108"/>
        <v>0</v>
      </c>
      <c r="GL17" s="63">
        <f t="shared" si="109"/>
        <v>1813.19</v>
      </c>
      <c r="GM17" s="24">
        <f t="shared" si="110"/>
        <v>7200.73</v>
      </c>
      <c r="GN17" s="1736">
        <f t="shared" si="46"/>
        <v>9013.92</v>
      </c>
      <c r="GO17" s="141"/>
      <c r="GP17" s="141"/>
      <c r="GQ17" s="33"/>
      <c r="GR17" s="2667"/>
      <c r="GS17" s="1739">
        <v>0</v>
      </c>
      <c r="GT17" s="1721">
        <v>0</v>
      </c>
      <c r="GU17" s="1721">
        <v>4879.7199999999993</v>
      </c>
      <c r="GV17" s="1721">
        <v>4134.2000000000007</v>
      </c>
      <c r="GW17" s="54">
        <f t="shared" si="47"/>
        <v>9013.92</v>
      </c>
      <c r="GX17" s="2667"/>
      <c r="GY17" s="36"/>
      <c r="GZ17" s="36"/>
      <c r="HA17" s="27"/>
      <c r="HB17" s="27"/>
      <c r="HC17" s="27"/>
      <c r="HD17" s="27"/>
      <c r="HE17" s="27"/>
      <c r="HF17" s="27"/>
      <c r="HG17" s="24">
        <v>0</v>
      </c>
      <c r="HH17" s="27"/>
      <c r="HI17" s="24">
        <v>0</v>
      </c>
      <c r="HJ17" s="27"/>
      <c r="HK17" s="24">
        <v>0</v>
      </c>
      <c r="HL17" s="27"/>
      <c r="HM17" s="28">
        <f>SUM(GY17:HL17)</f>
        <v>0</v>
      </c>
      <c r="HN17" s="36"/>
      <c r="HO17" s="27"/>
      <c r="HP17" s="27"/>
      <c r="HQ17" s="27"/>
      <c r="HR17" s="27"/>
      <c r="HS17" s="27"/>
      <c r="HT17" s="27" cm="1">
        <f t="array" ref="HT17">SUMPRODUCT(('Data Base hauling'!$C$2:$C$216="TCM-ROM SB1 BK05-ROM 4")*(ISNUMBER(SEARCH(TEXT('June TCM'!$B17,"00")&amp;"/03/2026",'Data Base hauling'!$E$2:$E$216)))*'Data Base hauling'!$N$2:$N$216)</f>
        <v>0</v>
      </c>
      <c r="HU17" s="27"/>
      <c r="HV17" s="27" cm="1">
        <f t="array" ref="HV17">SUMPRODUCT(('Data Base hauling'!$C$2:$C$216="TCM-ROM SB1 BK05-ROM 5")*(ISNUMBER(SEARCH(TEXT('June TCM'!$B17,"00")&amp;"/03/2026",'Data Base hauling'!$E$2:$E$216)))*'Data Base hauling'!$N$2:$N$216)</f>
        <v>0</v>
      </c>
      <c r="HW17" s="27"/>
      <c r="HX17" s="27"/>
      <c r="HY17" s="27"/>
      <c r="HZ17" s="27"/>
      <c r="IA17" s="27"/>
      <c r="IB17" s="33">
        <f t="shared" si="49"/>
        <v>0</v>
      </c>
      <c r="IC17" s="52"/>
      <c r="ID17" s="152"/>
      <c r="IE17" s="53"/>
      <c r="IF17" s="53"/>
      <c r="IG17" s="64"/>
      <c r="IH17" s="64"/>
      <c r="II17" s="1926">
        <v>0</v>
      </c>
      <c r="IJ17" s="1590"/>
      <c r="IK17" s="1926">
        <v>1813.19</v>
      </c>
      <c r="IL17" s="53"/>
      <c r="IM17" s="49">
        <v>0</v>
      </c>
      <c r="IN17" s="53"/>
      <c r="IO17" s="53"/>
      <c r="IP17" s="49">
        <f>SUMPRODUCT(('Data Base hauling'!$C$2:$C$216="TCM-HAC1 (Production)-ROM 2(HAC)")*(ISNUMBER(SEARCH(TEXT('June TCM'!$B17,"00")&amp;"/06/2026",'Data Base hauling'!$E$2:$E$216)))*'Data Base hauling'!$N$2:$N$216)</f>
        <v>0</v>
      </c>
      <c r="IQ17" s="2195">
        <f>SUM(IC17:IP17)</f>
        <v>1813.19</v>
      </c>
      <c r="IR17" s="36"/>
      <c r="IS17" s="36"/>
      <c r="IT17" s="27"/>
      <c r="IU17" s="27"/>
      <c r="IV17" s="53"/>
      <c r="IW17" s="27"/>
      <c r="IX17" s="24">
        <v>0</v>
      </c>
      <c r="IY17" s="27"/>
      <c r="IZ17" s="24">
        <v>7200.73</v>
      </c>
      <c r="JA17" s="27"/>
      <c r="JB17" s="24">
        <v>0</v>
      </c>
      <c r="JC17" s="27"/>
      <c r="JD17" s="27"/>
      <c r="JE17" s="27"/>
      <c r="JF17" s="33">
        <f>SUM(IR17:JE17)</f>
        <v>7200.73</v>
      </c>
      <c r="JG17" s="2667"/>
      <c r="JI17" s="2014">
        <v>9013.9200000000019</v>
      </c>
      <c r="JJ17" s="2015">
        <v>0</v>
      </c>
      <c r="JK17" s="53"/>
      <c r="JL17" s="1736">
        <f t="shared" si="52"/>
        <v>9013.9200000000019</v>
      </c>
      <c r="JM17" s="33"/>
      <c r="JN17" s="2669"/>
      <c r="JO17" s="66">
        <v>0</v>
      </c>
      <c r="JP17" s="67">
        <v>0</v>
      </c>
      <c r="JQ17" s="67">
        <v>0</v>
      </c>
      <c r="JR17" s="67">
        <v>0</v>
      </c>
      <c r="JS17" s="67">
        <v>1</v>
      </c>
      <c r="JT17" s="67">
        <v>0</v>
      </c>
      <c r="JU17" s="67">
        <v>0</v>
      </c>
      <c r="JV17" s="1921">
        <v>0</v>
      </c>
      <c r="JW17" s="66" t="s">
        <v>296</v>
      </c>
      <c r="JX17" s="67" t="s">
        <v>296</v>
      </c>
      <c r="JY17" s="67" t="s">
        <v>296</v>
      </c>
      <c r="JZ17" s="67" t="s">
        <v>296</v>
      </c>
      <c r="KA17" s="67" t="s">
        <v>296</v>
      </c>
      <c r="KB17" s="67" t="s">
        <v>296</v>
      </c>
      <c r="KC17" s="67" t="s">
        <v>296</v>
      </c>
      <c r="KD17" s="68" t="s">
        <v>296</v>
      </c>
      <c r="KE17" s="69"/>
      <c r="KF17" s="70"/>
      <c r="KG17" s="70"/>
      <c r="KH17" s="70"/>
      <c r="KI17" s="70"/>
      <c r="KJ17" s="70"/>
      <c r="KK17" s="70"/>
      <c r="KL17" s="70"/>
      <c r="KM17" s="33"/>
      <c r="KN17" s="2669"/>
      <c r="KO17" s="2203">
        <v>7003.7909120842933</v>
      </c>
      <c r="KP17" s="1721">
        <v>1.0804115903852487</v>
      </c>
      <c r="KQ17" s="1721">
        <v>3.1645933486993743</v>
      </c>
      <c r="KR17" s="1721">
        <v>7.2112512347711553</v>
      </c>
      <c r="KS17" s="1722">
        <v>10.784031390626716</v>
      </c>
      <c r="KT17" s="1958">
        <v>0</v>
      </c>
      <c r="KU17" s="1961">
        <v>0</v>
      </c>
      <c r="KV17" s="1961">
        <v>0</v>
      </c>
      <c r="KW17" s="1961">
        <v>0</v>
      </c>
      <c r="KX17" s="1962">
        <v>0</v>
      </c>
      <c r="KY17" s="36"/>
      <c r="KZ17" s="53"/>
      <c r="LA17" s="53"/>
      <c r="LB17" s="53"/>
      <c r="LC17" s="53"/>
      <c r="LD17" s="33"/>
      <c r="LE17" s="2669"/>
      <c r="LG17" s="26">
        <f t="shared" si="53"/>
        <v>4503</v>
      </c>
      <c r="LH17" s="27">
        <f t="shared" si="53"/>
        <v>3002</v>
      </c>
      <c r="LI17" s="27">
        <f t="shared" si="53"/>
        <v>0</v>
      </c>
      <c r="LJ17" s="28">
        <f t="shared" si="54"/>
        <v>7505</v>
      </c>
      <c r="LK17" s="36">
        <v>1</v>
      </c>
      <c r="LL17" s="27"/>
      <c r="LM17" s="27">
        <v>1</v>
      </c>
      <c r="LN17" s="33"/>
      <c r="LO17" s="1041">
        <v>5</v>
      </c>
      <c r="LP17" s="486"/>
      <c r="LQ17" s="2688"/>
      <c r="LR17" s="2274"/>
      <c r="LS17" s="2167"/>
      <c r="LT17" s="27"/>
      <c r="LU17" s="27"/>
      <c r="LV17" s="27"/>
      <c r="LW17" s="1117">
        <f t="shared" si="55"/>
        <v>0</v>
      </c>
      <c r="LX17" s="2269">
        <v>4503</v>
      </c>
      <c r="LY17" s="2269">
        <v>3002</v>
      </c>
      <c r="LZ17" s="27"/>
      <c r="MA17" s="27"/>
      <c r="MB17" s="33"/>
      <c r="MC17" s="28">
        <f t="shared" si="56"/>
        <v>7505</v>
      </c>
      <c r="MD17" s="26"/>
      <c r="ME17" s="36"/>
      <c r="MF17" s="27"/>
      <c r="MG17" s="27"/>
      <c r="MH17" s="27"/>
      <c r="MI17" s="28"/>
      <c r="MJ17" s="36"/>
      <c r="MK17" s="36"/>
      <c r="ML17" s="27"/>
      <c r="MM17" s="27"/>
      <c r="MN17" s="27"/>
      <c r="MO17" s="28"/>
      <c r="MP17" s="36"/>
      <c r="MQ17" s="36"/>
      <c r="MR17" s="27"/>
      <c r="MS17" s="27"/>
      <c r="MT17" s="27"/>
      <c r="MU17" s="33">
        <f t="shared" si="57"/>
        <v>0</v>
      </c>
      <c r="MV17" s="2688"/>
      <c r="MX17" s="26">
        <f t="shared" si="58"/>
        <v>129039.68422972265</v>
      </c>
      <c r="MY17" s="27">
        <f t="shared" si="59"/>
        <v>140027.04785017914</v>
      </c>
      <c r="MZ17" s="27">
        <f t="shared" si="60"/>
        <v>22453.478559023406</v>
      </c>
      <c r="NA17" s="28">
        <f t="shared" si="61"/>
        <v>430306.84855850996</v>
      </c>
      <c r="NB17" s="2621"/>
      <c r="NC17" s="23">
        <f t="shared" si="62"/>
        <v>48234.885442786253</v>
      </c>
      <c r="ND17" s="1579">
        <f t="shared" si="63"/>
        <v>80804.798786936401</v>
      </c>
      <c r="NE17" s="60">
        <f t="shared" si="64"/>
        <v>0</v>
      </c>
      <c r="NF17" s="275">
        <f t="shared" si="4"/>
        <v>129039.68422972265</v>
      </c>
      <c r="NG17" s="26">
        <f t="shared" si="65"/>
        <v>0</v>
      </c>
      <c r="NH17" s="27">
        <f t="shared" si="65"/>
        <v>0</v>
      </c>
      <c r="NI17" s="27">
        <f t="shared" si="65"/>
        <v>0</v>
      </c>
      <c r="NJ17" s="27">
        <f t="shared" si="65"/>
        <v>0</v>
      </c>
      <c r="NK17" s="27">
        <f t="shared" si="65"/>
        <v>0</v>
      </c>
      <c r="NL17" s="33">
        <f t="shared" si="65"/>
        <v>0</v>
      </c>
      <c r="NM17" s="27">
        <f t="shared" si="65"/>
        <v>0</v>
      </c>
      <c r="NN17" s="36">
        <f t="shared" si="65"/>
        <v>0</v>
      </c>
      <c r="NO17" s="24">
        <f t="shared" si="111"/>
        <v>1828.3342192005614</v>
      </c>
      <c r="NP17" s="27">
        <f t="shared" si="65"/>
        <v>26196.696072681989</v>
      </c>
      <c r="NQ17" s="24">
        <f t="shared" si="112"/>
        <v>8756.5482322711578</v>
      </c>
      <c r="NR17" s="24">
        <f t="shared" si="113"/>
        <v>1506.8248469876016</v>
      </c>
      <c r="NS17" s="27">
        <f t="shared" si="0"/>
        <v>38288.403371141307</v>
      </c>
      <c r="NT17" s="27">
        <f t="shared" si="66"/>
        <v>0</v>
      </c>
      <c r="NU17" s="27">
        <f t="shared" si="66"/>
        <v>0</v>
      </c>
      <c r="NV17" s="27">
        <f t="shared" si="66"/>
        <v>0</v>
      </c>
      <c r="NW17" s="27">
        <f t="shared" si="66"/>
        <v>0</v>
      </c>
      <c r="NX17" s="27">
        <f t="shared" si="66"/>
        <v>0</v>
      </c>
      <c r="NY17" s="27">
        <f t="shared" si="66"/>
        <v>0</v>
      </c>
      <c r="NZ17" s="27">
        <f t="shared" si="66"/>
        <v>11900.580368235249</v>
      </c>
      <c r="OA17" s="27">
        <f t="shared" si="66"/>
        <v>0</v>
      </c>
      <c r="OB17" s="27">
        <f t="shared" si="66"/>
        <v>55724.027327968026</v>
      </c>
      <c r="OC17" s="280"/>
      <c r="OD17" s="24">
        <f t="shared" si="67"/>
        <v>454.51223506073143</v>
      </c>
      <c r="OE17" s="27">
        <f t="shared" si="67"/>
        <v>0</v>
      </c>
      <c r="OF17" s="28">
        <f t="shared" si="1"/>
        <v>68079.119931264009</v>
      </c>
      <c r="OG17" s="27">
        <f t="shared" si="68"/>
        <v>0</v>
      </c>
      <c r="OH17" s="27">
        <f t="shared" si="68"/>
        <v>0</v>
      </c>
      <c r="OI17" s="27">
        <f t="shared" si="68"/>
        <v>0</v>
      </c>
      <c r="OJ17" s="27">
        <f t="shared" si="68"/>
        <v>0</v>
      </c>
      <c r="OK17" s="27">
        <f t="shared" si="68"/>
        <v>0</v>
      </c>
      <c r="OL17" s="27">
        <f t="shared" si="68"/>
        <v>0</v>
      </c>
      <c r="OM17" s="24">
        <f t="shared" si="68"/>
        <v>0</v>
      </c>
      <c r="ON17" s="27">
        <f t="shared" si="68"/>
        <v>0</v>
      </c>
      <c r="OO17" s="24">
        <f t="shared" si="118"/>
        <v>33659.524547773835</v>
      </c>
      <c r="OP17" s="27">
        <f t="shared" si="68"/>
        <v>0</v>
      </c>
      <c r="OQ17" s="24">
        <f t="shared" si="68"/>
        <v>0</v>
      </c>
      <c r="OR17" s="27">
        <f t="shared" si="68"/>
        <v>0</v>
      </c>
      <c r="OS17" s="28">
        <f t="shared" si="2"/>
        <v>33659.524547773835</v>
      </c>
      <c r="OT17" s="36"/>
      <c r="OU17" s="27"/>
      <c r="OV17" s="27"/>
      <c r="OW17" s="27"/>
      <c r="OX17" s="27"/>
      <c r="OY17" s="27"/>
      <c r="OZ17" s="28">
        <f t="shared" si="69"/>
        <v>0</v>
      </c>
      <c r="PA17" s="36">
        <f t="shared" si="70"/>
        <v>0</v>
      </c>
      <c r="PB17" s="27">
        <f t="shared" si="71"/>
        <v>0</v>
      </c>
      <c r="PC17" s="27">
        <f t="shared" si="72"/>
        <v>0</v>
      </c>
      <c r="PD17" s="27">
        <f t="shared" si="73"/>
        <v>0</v>
      </c>
      <c r="PE17" s="24"/>
      <c r="PF17" s="27">
        <f t="shared" si="74"/>
        <v>0</v>
      </c>
      <c r="PG17" s="33">
        <f t="shared" si="3"/>
        <v>0</v>
      </c>
      <c r="PH17" s="2621"/>
      <c r="PJ17" s="1907">
        <v>1037.08</v>
      </c>
      <c r="PK17" s="1101">
        <v>510</v>
      </c>
      <c r="PL17" s="1101">
        <v>170</v>
      </c>
      <c r="PM17" s="3">
        <v>0</v>
      </c>
      <c r="PN17" s="3">
        <v>31887.069776580691</v>
      </c>
      <c r="PO17" s="11">
        <f t="shared" si="75"/>
        <v>22453.478559023406</v>
      </c>
      <c r="PP17" s="15"/>
      <c r="PQ17" s="2615"/>
      <c r="PS17" s="4"/>
      <c r="PT17" s="9"/>
      <c r="PU17" s="9"/>
      <c r="PV17" s="9"/>
      <c r="PW17" s="8">
        <v>0</v>
      </c>
      <c r="PX17" s="9"/>
      <c r="PY17" s="8">
        <f t="shared" si="76"/>
        <v>0</v>
      </c>
      <c r="PZ17" s="5">
        <f t="shared" si="77"/>
        <v>1037.08</v>
      </c>
      <c r="QA17" s="5"/>
      <c r="QB17" s="5"/>
      <c r="QC17" s="5"/>
      <c r="QD17" s="5"/>
      <c r="QE17" s="5"/>
      <c r="QF17" s="12"/>
      <c r="QG17" s="12">
        <f t="shared" si="78"/>
        <v>29562.488999999998</v>
      </c>
      <c r="QH17" s="420">
        <f t="shared" si="79"/>
        <v>398619.61955850996</v>
      </c>
      <c r="QI17" s="1106">
        <f t="shared" si="80"/>
        <v>2124.7399999999998</v>
      </c>
      <c r="QJ17" s="484">
        <f t="shared" si="81"/>
        <v>5505.3678056099998</v>
      </c>
      <c r="QK17" s="12"/>
      <c r="QL17" s="2615"/>
      <c r="QN17" s="139">
        <f t="shared" si="82"/>
        <v>0</v>
      </c>
      <c r="QO17" s="139" t="str">
        <f t="shared" si="83"/>
        <v/>
      </c>
      <c r="QQ17" s="139">
        <f t="shared" si="84"/>
        <v>0</v>
      </c>
      <c r="QR17" s="139">
        <f t="shared" si="85"/>
        <v>0</v>
      </c>
      <c r="QT17" s="1">
        <f t="shared" si="86"/>
        <v>0</v>
      </c>
      <c r="QU17" s="1">
        <f t="shared" si="87"/>
        <v>0</v>
      </c>
      <c r="QV17" s="1">
        <f t="shared" si="88"/>
        <v>0</v>
      </c>
      <c r="QW17" s="1">
        <f t="shared" si="89"/>
        <v>0</v>
      </c>
      <c r="QX17" s="1">
        <f t="shared" si="90"/>
        <v>0</v>
      </c>
      <c r="QY17" s="1">
        <f t="shared" si="91"/>
        <v>0</v>
      </c>
      <c r="RA17" s="1">
        <f t="shared" si="92"/>
        <v>0</v>
      </c>
      <c r="RB17" s="1">
        <f t="shared" si="93"/>
        <v>0</v>
      </c>
      <c r="RC17" s="1">
        <f t="shared" si="94"/>
        <v>0</v>
      </c>
      <c r="RD17" s="1">
        <f t="shared" si="95"/>
        <v>0</v>
      </c>
      <c r="RE17" s="1">
        <f t="shared" si="96"/>
        <v>0</v>
      </c>
      <c r="RF17" s="1">
        <f t="shared" si="97"/>
        <v>0</v>
      </c>
      <c r="RI17" s="1">
        <v>8</v>
      </c>
      <c r="RJ17" s="1">
        <f t="shared" si="98"/>
        <v>28724.949251083162</v>
      </c>
      <c r="RK17" s="1">
        <f t="shared" si="98"/>
        <v>4608.0960498622817</v>
      </c>
      <c r="RL17" s="1">
        <f t="shared" si="98"/>
        <v>9178.5689913333827</v>
      </c>
      <c r="RM17" s="89">
        <f t="shared" si="5"/>
        <v>42511.614292278828</v>
      </c>
      <c r="RN17" s="1033">
        <v>8</v>
      </c>
      <c r="RO17" s="1098">
        <f t="shared" si="99"/>
        <v>0</v>
      </c>
      <c r="RP17" s="1098">
        <f t="shared" si="100"/>
        <v>0</v>
      </c>
      <c r="RQ17" s="1097">
        <f t="shared" si="100"/>
        <v>0</v>
      </c>
      <c r="RR17" s="1097">
        <f t="shared" si="101"/>
        <v>5458.74</v>
      </c>
      <c r="RS17" s="1096"/>
      <c r="RT17" s="1050" t="s">
        <v>313</v>
      </c>
      <c r="RU17" s="1048"/>
      <c r="RW17" s="421">
        <v>8</v>
      </c>
      <c r="RX17" s="1095">
        <f t="shared" si="102"/>
        <v>9013.92</v>
      </c>
      <c r="RY17" s="2163" t="s">
        <v>314</v>
      </c>
      <c r="RZ17" s="1048"/>
      <c r="SA17" s="1090"/>
      <c r="SB17" s="1090">
        <f t="shared" si="103"/>
        <v>0</v>
      </c>
      <c r="SC17" s="1090"/>
      <c r="SD17" s="1090">
        <f t="shared" si="104"/>
        <v>0</v>
      </c>
      <c r="SF17" s="1">
        <v>8</v>
      </c>
      <c r="SG17" s="1">
        <f t="shared" si="105"/>
        <v>0</v>
      </c>
      <c r="SH17" s="1094"/>
    </row>
    <row r="18" spans="1:502" s="1" customFormat="1" ht="15" customHeight="1">
      <c r="B18" s="471">
        <v>9</v>
      </c>
      <c r="C18" s="4">
        <f t="shared" si="6"/>
        <v>174656</v>
      </c>
      <c r="D18" s="1590">
        <f t="shared" si="119"/>
        <v>10661.240000000002</v>
      </c>
      <c r="E18" s="1895">
        <f t="shared" si="7"/>
        <v>16.382334512683325</v>
      </c>
      <c r="F18" s="870"/>
      <c r="G18" s="870"/>
      <c r="H18" s="52">
        <v>6</v>
      </c>
      <c r="I18" s="61">
        <v>2.33</v>
      </c>
      <c r="J18" s="52"/>
      <c r="K18" s="54"/>
      <c r="L18" s="52"/>
      <c r="M18" s="61"/>
      <c r="N18" s="2629"/>
      <c r="O18" s="4">
        <f t="shared" si="117"/>
        <v>113106</v>
      </c>
      <c r="P18" s="1225">
        <f t="shared" si="8"/>
        <v>8836.5800000000017</v>
      </c>
      <c r="Q18" s="1952">
        <f t="shared" si="9"/>
        <v>12.799748318919761</v>
      </c>
      <c r="R18" s="33"/>
      <c r="S18" s="26">
        <f t="shared" si="10"/>
        <v>34430</v>
      </c>
      <c r="T18" s="27">
        <f t="shared" si="107"/>
        <v>1824.6599999999999</v>
      </c>
      <c r="U18" s="1909">
        <f t="shared" si="11"/>
        <v>18.869268795282409</v>
      </c>
      <c r="V18" s="15"/>
      <c r="W18" s="1742">
        <f t="shared" si="12"/>
        <v>27120</v>
      </c>
      <c r="X18" s="1918">
        <f t="shared" si="12"/>
        <v>0</v>
      </c>
      <c r="Y18" s="1909">
        <f t="shared" si="13"/>
        <v>0</v>
      </c>
      <c r="Z18" s="33"/>
      <c r="AA18" s="26">
        <f t="shared" si="14"/>
        <v>0</v>
      </c>
      <c r="AB18" s="27">
        <f t="shared" si="15"/>
        <v>0</v>
      </c>
      <c r="AC18" s="53">
        <f t="shared" si="16"/>
        <v>0</v>
      </c>
      <c r="AD18" s="28"/>
      <c r="AE18" s="36"/>
      <c r="AF18" s="36"/>
      <c r="AG18" s="53">
        <f t="shared" si="17"/>
        <v>0</v>
      </c>
      <c r="AH18" s="28"/>
      <c r="AI18" s="23"/>
      <c r="AJ18" s="27"/>
      <c r="AK18" s="53">
        <f t="shared" si="18"/>
        <v>0</v>
      </c>
      <c r="AL18" s="28"/>
      <c r="AM18" s="2629"/>
      <c r="AN18" s="9"/>
      <c r="AO18" s="5"/>
      <c r="AP18" s="61">
        <f t="shared" si="19"/>
        <v>0</v>
      </c>
      <c r="AQ18" s="36"/>
      <c r="AR18" s="53"/>
      <c r="AS18" s="61">
        <f t="shared" si="20"/>
        <v>0</v>
      </c>
      <c r="AT18" s="36">
        <v>0</v>
      </c>
      <c r="AU18" s="27"/>
      <c r="AV18" s="54">
        <f t="shared" si="21"/>
        <v>0</v>
      </c>
      <c r="AW18" s="26">
        <v>56742</v>
      </c>
      <c r="AX18" s="27">
        <v>3948.88</v>
      </c>
      <c r="AY18" s="1735">
        <f t="shared" si="115"/>
        <v>14.369137578250035</v>
      </c>
      <c r="AZ18" s="36"/>
      <c r="BA18" s="27"/>
      <c r="BB18" s="61">
        <f t="shared" si="22"/>
        <v>0</v>
      </c>
      <c r="BC18" s="1740">
        <v>56364</v>
      </c>
      <c r="BD18" s="1926">
        <v>4887.7000000000007</v>
      </c>
      <c r="BE18" s="1735">
        <f t="shared" si="23"/>
        <v>11.531804325142703</v>
      </c>
      <c r="BF18" s="36"/>
      <c r="BG18" s="53"/>
      <c r="BH18" s="61">
        <f t="shared" si="24"/>
        <v>0</v>
      </c>
      <c r="BI18" s="36">
        <v>0</v>
      </c>
      <c r="BJ18" s="53">
        <v>0</v>
      </c>
      <c r="BK18" s="61">
        <f t="shared" si="25"/>
        <v>0</v>
      </c>
      <c r="BL18" s="1742">
        <v>34430</v>
      </c>
      <c r="BM18" s="1736">
        <v>1824.6599999999999</v>
      </c>
      <c r="BN18" s="2171"/>
      <c r="BO18" s="1920">
        <f t="shared" si="26"/>
        <v>18.869268795282409</v>
      </c>
      <c r="BP18" s="9"/>
      <c r="BQ18" s="64"/>
      <c r="BR18" s="482">
        <f t="shared" si="27"/>
        <v>0</v>
      </c>
      <c r="BS18" s="9"/>
      <c r="BT18" s="53"/>
      <c r="BU18" s="482">
        <f t="shared" si="28"/>
        <v>0</v>
      </c>
      <c r="BV18" s="9">
        <v>27120</v>
      </c>
      <c r="BW18" s="27">
        <v>0</v>
      </c>
      <c r="BX18" s="1051">
        <f t="shared" si="29"/>
        <v>0</v>
      </c>
      <c r="BY18" s="26"/>
      <c r="BZ18" s="27"/>
      <c r="CA18" s="869">
        <f t="shared" si="30"/>
        <v>0</v>
      </c>
      <c r="CB18" s="9"/>
      <c r="CC18" s="481"/>
      <c r="CD18" s="482">
        <f t="shared" si="31"/>
        <v>0</v>
      </c>
      <c r="CE18" s="4"/>
      <c r="CF18" s="5"/>
      <c r="CG18" s="28">
        <f t="shared" si="32"/>
        <v>0</v>
      </c>
      <c r="CH18" s="150"/>
      <c r="CI18" s="4"/>
      <c r="CJ18" s="5"/>
      <c r="CK18" s="5">
        <v>5170</v>
      </c>
      <c r="CL18" s="5"/>
      <c r="CM18" s="5"/>
      <c r="CN18" s="5"/>
      <c r="CO18" s="33"/>
      <c r="CP18" s="366"/>
      <c r="CR18" s="4">
        <f t="shared" si="33"/>
        <v>0</v>
      </c>
      <c r="CS18" s="9">
        <f t="shared" si="33"/>
        <v>0</v>
      </c>
      <c r="CT18" s="5">
        <f t="shared" si="33"/>
        <v>0</v>
      </c>
      <c r="CU18" s="5">
        <f t="shared" si="33"/>
        <v>0</v>
      </c>
      <c r="CV18" s="5">
        <f t="shared" si="33"/>
        <v>0</v>
      </c>
      <c r="CW18" s="5">
        <f t="shared" si="33"/>
        <v>0</v>
      </c>
      <c r="CX18" s="5">
        <f t="shared" si="33"/>
        <v>0</v>
      </c>
      <c r="CY18" s="5">
        <f t="shared" si="33"/>
        <v>0</v>
      </c>
      <c r="CZ18" s="5">
        <f t="shared" si="33"/>
        <v>10661.240000000002</v>
      </c>
      <c r="DA18" s="5">
        <f t="shared" si="33"/>
        <v>0</v>
      </c>
      <c r="DB18" s="5">
        <f t="shared" si="33"/>
        <v>0</v>
      </c>
      <c r="DC18" s="12">
        <f t="shared" si="33"/>
        <v>0</v>
      </c>
      <c r="DD18" s="310">
        <f t="shared" si="34"/>
        <v>10661.240000000002</v>
      </c>
      <c r="DE18" s="2695"/>
      <c r="DF18" s="8"/>
      <c r="DG18" s="9"/>
      <c r="DH18" s="5"/>
      <c r="DI18" s="5"/>
      <c r="DJ18" s="5"/>
      <c r="DK18" s="5"/>
      <c r="DL18" s="3">
        <v>0</v>
      </c>
      <c r="DM18" s="5"/>
      <c r="DN18" s="3">
        <v>3948.88</v>
      </c>
      <c r="DO18" s="5"/>
      <c r="DP18" s="5"/>
      <c r="DQ18" s="12"/>
      <c r="DR18" s="1906">
        <f t="shared" si="35"/>
        <v>3948.88</v>
      </c>
      <c r="DS18" s="36"/>
      <c r="DT18" s="36"/>
      <c r="DU18" s="27"/>
      <c r="DV18" s="27"/>
      <c r="DW18" s="5"/>
      <c r="DX18" s="5"/>
      <c r="DY18" s="5"/>
      <c r="DZ18" s="5"/>
      <c r="EA18" s="3">
        <v>6712.3600000000006</v>
      </c>
      <c r="EB18" s="53"/>
      <c r="EC18" s="24">
        <v>0</v>
      </c>
      <c r="ED18" s="33"/>
      <c r="EE18" s="28">
        <f t="shared" si="36"/>
        <v>6712.3600000000006</v>
      </c>
      <c r="EF18" s="9"/>
      <c r="EG18" s="36"/>
      <c r="EH18" s="5"/>
      <c r="EI18" s="313"/>
      <c r="EJ18" s="27"/>
      <c r="EK18" s="27"/>
      <c r="EL18" s="27"/>
      <c r="EM18" s="27"/>
      <c r="EN18" s="5"/>
      <c r="EO18" s="5"/>
      <c r="EP18" s="5">
        <v>0</v>
      </c>
      <c r="EQ18" s="33"/>
      <c r="ER18" s="28">
        <f t="shared" si="37"/>
        <v>0</v>
      </c>
      <c r="ES18" s="36"/>
      <c r="ET18" s="27"/>
      <c r="EU18" s="27"/>
      <c r="EV18" s="27"/>
      <c r="EW18" s="27"/>
      <c r="EX18" s="27"/>
      <c r="EY18" s="33">
        <f t="shared" si="38"/>
        <v>0</v>
      </c>
      <c r="EZ18" s="2685"/>
      <c r="FB18" s="4">
        <f t="shared" si="39"/>
        <v>0</v>
      </c>
      <c r="FC18" s="5">
        <f t="shared" si="40"/>
        <v>0</v>
      </c>
      <c r="FD18" s="5">
        <f t="shared" si="41"/>
        <v>0</v>
      </c>
      <c r="FE18" s="12">
        <f t="shared" si="42"/>
        <v>0</v>
      </c>
      <c r="FF18" s="33"/>
      <c r="FG18" s="2674"/>
      <c r="FH18" s="9"/>
      <c r="FI18" s="5"/>
      <c r="FJ18" s="5"/>
      <c r="FK18" s="5"/>
      <c r="FL18" s="5"/>
      <c r="FM18" s="27"/>
      <c r="FN18" s="28">
        <f t="shared" si="43"/>
        <v>0</v>
      </c>
      <c r="FO18" s="36"/>
      <c r="FP18" s="27"/>
      <c r="FQ18" s="27"/>
      <c r="FR18" s="27"/>
      <c r="FS18" s="27"/>
      <c r="FT18" s="27"/>
      <c r="FU18" s="28">
        <f t="shared" si="44"/>
        <v>0</v>
      </c>
      <c r="FV18" s="36"/>
      <c r="FW18" s="36"/>
      <c r="FX18" s="27"/>
      <c r="FY18" s="27"/>
      <c r="FZ18" s="27"/>
      <c r="GA18" s="27"/>
      <c r="GB18" s="27"/>
      <c r="GC18" s="27"/>
      <c r="GD18" s="27"/>
      <c r="GE18" s="27"/>
      <c r="GF18" s="27"/>
      <c r="GG18" s="33"/>
      <c r="GH18" s="33">
        <f t="shared" si="45"/>
        <v>0</v>
      </c>
      <c r="GI18" s="2674"/>
      <c r="GK18" s="2">
        <f t="shared" si="108"/>
        <v>2145.8100000000004</v>
      </c>
      <c r="GL18" s="63">
        <f t="shared" si="109"/>
        <v>6117.4299999999994</v>
      </c>
      <c r="GM18" s="24">
        <f t="shared" si="110"/>
        <v>3588.7299999999996</v>
      </c>
      <c r="GN18" s="1736">
        <f t="shared" si="46"/>
        <v>11851.97</v>
      </c>
      <c r="GO18" s="141"/>
      <c r="GP18" s="141"/>
      <c r="GQ18" s="33"/>
      <c r="GR18" s="2667"/>
      <c r="GS18" s="1739">
        <v>0</v>
      </c>
      <c r="GT18" s="1721">
        <v>877.81000000000006</v>
      </c>
      <c r="GU18" s="1721">
        <v>5576.6100000000006</v>
      </c>
      <c r="GV18" s="1721">
        <v>5397.55</v>
      </c>
      <c r="GW18" s="54">
        <f t="shared" si="47"/>
        <v>11851.970000000001</v>
      </c>
      <c r="GX18" s="2667"/>
      <c r="GY18" s="36"/>
      <c r="GZ18" s="36"/>
      <c r="HA18" s="27"/>
      <c r="HB18" s="27"/>
      <c r="HC18" s="27"/>
      <c r="HD18" s="27"/>
      <c r="HE18" s="27"/>
      <c r="HF18" s="27"/>
      <c r="HG18" s="24">
        <v>0</v>
      </c>
      <c r="HH18" s="27"/>
      <c r="HI18" s="24">
        <v>1268.0000000000002</v>
      </c>
      <c r="HJ18" s="27"/>
      <c r="HK18" s="24">
        <v>877.81000000000006</v>
      </c>
      <c r="HL18" s="27"/>
      <c r="HM18" s="28">
        <f t="shared" ref="HM18:HM42" si="120">SUM(GY18:HL18)</f>
        <v>2145.8100000000004</v>
      </c>
      <c r="HN18" s="36"/>
      <c r="HO18" s="27"/>
      <c r="HP18" s="27"/>
      <c r="HQ18" s="27"/>
      <c r="HR18" s="27"/>
      <c r="HS18" s="27"/>
      <c r="HT18" s="27" cm="1">
        <f t="array" ref="HT18">SUMPRODUCT(('Data Base hauling'!$C$2:$C$216="TCM-ROM SB1 BK05-ROM 4")*(ISNUMBER(SEARCH(TEXT('June TCM'!$B18,"00")&amp;"/03/2026",'Data Base hauling'!$E$2:$E$216)))*'Data Base hauling'!$N$2:$N$216)</f>
        <v>0</v>
      </c>
      <c r="HU18" s="27"/>
      <c r="HV18" s="27" cm="1">
        <f t="array" ref="HV18">SUMPRODUCT(('Data Base hauling'!$C$2:$C$216="TCM-ROM SB1 BK05-ROM 5")*(ISNUMBER(SEARCH(TEXT('June TCM'!$B18,"00")&amp;"/03/2026",'Data Base hauling'!$E$2:$E$216)))*'Data Base hauling'!$N$2:$N$216)</f>
        <v>0</v>
      </c>
      <c r="HW18" s="27"/>
      <c r="HX18" s="27"/>
      <c r="HY18" s="27"/>
      <c r="HZ18" s="27"/>
      <c r="IA18" s="27"/>
      <c r="IB18" s="33">
        <f t="shared" si="49"/>
        <v>0</v>
      </c>
      <c r="IC18" s="52"/>
      <c r="ID18" s="152"/>
      <c r="IE18" s="53"/>
      <c r="IF18" s="53"/>
      <c r="IG18" s="53"/>
      <c r="IH18" s="53"/>
      <c r="II18" s="1926">
        <v>5129.8899999999994</v>
      </c>
      <c r="IJ18" s="1736"/>
      <c r="IK18" s="1926">
        <v>987.54</v>
      </c>
      <c r="IL18" s="53"/>
      <c r="IM18" s="49">
        <v>0</v>
      </c>
      <c r="IN18" s="53"/>
      <c r="IO18" s="53"/>
      <c r="IP18" s="49">
        <f>SUMPRODUCT(('Data Base hauling'!$C$2:$C$216="TCM-HAC1 (Production)-ROM 2(HAC)")*(ISNUMBER(SEARCH(TEXT('June TCM'!$B18,"00")&amp;"/06/2026",'Data Base hauling'!$E$2:$E$216)))*'Data Base hauling'!$N$2:$N$216)</f>
        <v>0</v>
      </c>
      <c r="IQ18" s="2195">
        <f t="shared" ref="IQ18:IQ40" si="121">SUM(IC18:IP18)</f>
        <v>6117.4299999999994</v>
      </c>
      <c r="IR18" s="36"/>
      <c r="IS18" s="36"/>
      <c r="IT18" s="27"/>
      <c r="IU18" s="27"/>
      <c r="IV18" s="53"/>
      <c r="IW18" s="27"/>
      <c r="IX18" s="24">
        <v>0</v>
      </c>
      <c r="IY18" s="27"/>
      <c r="IZ18" s="24">
        <v>3588.7299999999996</v>
      </c>
      <c r="JA18" s="27"/>
      <c r="JB18" s="24">
        <v>0</v>
      </c>
      <c r="JC18" s="27"/>
      <c r="JD18" s="27"/>
      <c r="JE18" s="27"/>
      <c r="JF18" s="33">
        <f t="shared" ref="JF18:JF40" si="122">SUM(IR18:JE18)</f>
        <v>3588.7299999999996</v>
      </c>
      <c r="JG18" s="2667"/>
      <c r="JI18" s="2014">
        <v>4765.18</v>
      </c>
      <c r="JJ18" s="2015">
        <v>7086.7900000000009</v>
      </c>
      <c r="JK18" s="53"/>
      <c r="JL18" s="1736">
        <f t="shared" si="52"/>
        <v>11851.970000000001</v>
      </c>
      <c r="JM18" s="33"/>
      <c r="JN18" s="2669"/>
      <c r="JO18" s="66">
        <v>0</v>
      </c>
      <c r="JP18" s="67">
        <v>0</v>
      </c>
      <c r="JQ18" s="67">
        <v>0</v>
      </c>
      <c r="JR18" s="67">
        <v>0</v>
      </c>
      <c r="JS18" s="67">
        <v>0.93117573732786585</v>
      </c>
      <c r="JT18" s="67">
        <v>0</v>
      </c>
      <c r="JU18" s="67">
        <v>6.8824262672134109E-2</v>
      </c>
      <c r="JV18" s="1921">
        <v>0</v>
      </c>
      <c r="JW18" s="66">
        <v>0</v>
      </c>
      <c r="JX18" s="67">
        <v>0</v>
      </c>
      <c r="JY18" s="67">
        <v>0</v>
      </c>
      <c r="JZ18" s="67">
        <v>0.72386651784517375</v>
      </c>
      <c r="KA18" s="67">
        <v>1.9621013180861856E-2</v>
      </c>
      <c r="KB18" s="67">
        <v>0.17892444957449002</v>
      </c>
      <c r="KC18" s="67">
        <v>7.7588019399474226E-2</v>
      </c>
      <c r="KD18" s="68">
        <v>0</v>
      </c>
      <c r="KE18" s="69"/>
      <c r="KF18" s="70"/>
      <c r="KG18" s="70"/>
      <c r="KH18" s="70"/>
      <c r="KI18" s="70"/>
      <c r="KJ18" s="70"/>
      <c r="KK18" s="70"/>
      <c r="KL18" s="70"/>
      <c r="KM18" s="33"/>
      <c r="KN18" s="2669"/>
      <c r="KO18" s="2203">
        <v>7162</v>
      </c>
      <c r="KP18" s="1721">
        <v>1.5</v>
      </c>
      <c r="KQ18" s="1721">
        <v>1.74</v>
      </c>
      <c r="KR18" s="1721">
        <v>6.74</v>
      </c>
      <c r="KS18" s="1722">
        <v>10.78</v>
      </c>
      <c r="KT18" s="1958">
        <v>6768.4518622628248</v>
      </c>
      <c r="KU18" s="1961">
        <v>2.7308081517919889</v>
      </c>
      <c r="KV18" s="1961">
        <v>5.0489037245256494</v>
      </c>
      <c r="KW18" s="1961">
        <v>6.0497399859451866</v>
      </c>
      <c r="KX18" s="1962">
        <v>10.89975404075896</v>
      </c>
      <c r="KY18" s="36"/>
      <c r="KZ18" s="53"/>
      <c r="LA18" s="53"/>
      <c r="LB18" s="53"/>
      <c r="LC18" s="53"/>
      <c r="LD18" s="33"/>
      <c r="LE18" s="2669"/>
      <c r="LG18" s="26">
        <f t="shared" si="53"/>
        <v>0</v>
      </c>
      <c r="LH18" s="27">
        <f t="shared" si="53"/>
        <v>0</v>
      </c>
      <c r="LI18" s="27">
        <f t="shared" si="53"/>
        <v>0</v>
      </c>
      <c r="LJ18" s="28">
        <f t="shared" si="54"/>
        <v>0</v>
      </c>
      <c r="LK18" s="36"/>
      <c r="LL18" s="27"/>
      <c r="LM18" s="27"/>
      <c r="LN18" s="33"/>
      <c r="LO18" s="1041">
        <v>4.5999999999999996</v>
      </c>
      <c r="LP18" s="486"/>
      <c r="LQ18" s="2688"/>
      <c r="LR18" s="2274"/>
      <c r="LS18" s="2167"/>
      <c r="LT18" s="27"/>
      <c r="LU18" s="27"/>
      <c r="LV18" s="27"/>
      <c r="LW18" s="1117">
        <f t="shared" si="55"/>
        <v>0</v>
      </c>
      <c r="LX18" s="2269"/>
      <c r="LY18" s="2269"/>
      <c r="LZ18" s="27"/>
      <c r="MA18" s="27"/>
      <c r="MB18" s="33"/>
      <c r="MC18" s="28">
        <f t="shared" si="56"/>
        <v>0</v>
      </c>
      <c r="MD18" s="26"/>
      <c r="ME18" s="36"/>
      <c r="MF18" s="27"/>
      <c r="MG18" s="27"/>
      <c r="MH18" s="27"/>
      <c r="MI18" s="28"/>
      <c r="MJ18" s="36"/>
      <c r="MK18" s="36"/>
      <c r="ML18" s="27"/>
      <c r="MM18" s="27"/>
      <c r="MN18" s="27"/>
      <c r="MO18" s="28"/>
      <c r="MP18" s="36"/>
      <c r="MQ18" s="36"/>
      <c r="MR18" s="27"/>
      <c r="MS18" s="27"/>
      <c r="MT18" s="27"/>
      <c r="MU18" s="33">
        <f t="shared" si="57"/>
        <v>0</v>
      </c>
      <c r="MV18" s="2688"/>
      <c r="MX18" s="26">
        <f t="shared" si="58"/>
        <v>125951.9135759644</v>
      </c>
      <c r="MY18" s="27">
        <f t="shared" si="59"/>
        <v>139714.12785017915</v>
      </c>
      <c r="MZ18" s="27">
        <f t="shared" si="60"/>
        <v>21835.668559023405</v>
      </c>
      <c r="NA18" s="28">
        <f t="shared" si="61"/>
        <v>430020.88855850993</v>
      </c>
      <c r="NB18" s="2621"/>
      <c r="NC18" s="23">
        <v>44690.369867469497</v>
      </c>
      <c r="ND18" s="1579">
        <v>81261.543708494894</v>
      </c>
      <c r="NE18" s="60">
        <f t="shared" si="64"/>
        <v>0</v>
      </c>
      <c r="NF18" s="1110">
        <f t="shared" si="4"/>
        <v>125951.9135759644</v>
      </c>
      <c r="NG18" s="26">
        <f t="shared" si="65"/>
        <v>0</v>
      </c>
      <c r="NH18" s="27">
        <f t="shared" si="65"/>
        <v>0</v>
      </c>
      <c r="NI18" s="27">
        <f t="shared" si="65"/>
        <v>0</v>
      </c>
      <c r="NJ18" s="27">
        <f t="shared" si="65"/>
        <v>0</v>
      </c>
      <c r="NK18" s="27">
        <f t="shared" si="65"/>
        <v>0</v>
      </c>
      <c r="NL18" s="33">
        <f t="shared" si="65"/>
        <v>0</v>
      </c>
      <c r="NM18" s="27">
        <f t="shared" si="65"/>
        <v>0</v>
      </c>
      <c r="NN18" s="36">
        <f t="shared" si="65"/>
        <v>0</v>
      </c>
      <c r="NO18" s="24">
        <f t="shared" si="111"/>
        <v>1828.3342192005614</v>
      </c>
      <c r="NP18" s="27">
        <f t="shared" si="65"/>
        <v>26196.696072681989</v>
      </c>
      <c r="NQ18" s="24">
        <f t="shared" si="112"/>
        <v>8756.5482322711578</v>
      </c>
      <c r="NR18" s="24">
        <f t="shared" si="113"/>
        <v>238.8248469876014</v>
      </c>
      <c r="NS18" s="27">
        <f t="shared" si="0"/>
        <v>37020.403371141307</v>
      </c>
      <c r="NT18" s="27">
        <f t="shared" si="66"/>
        <v>0</v>
      </c>
      <c r="NU18" s="27">
        <f t="shared" si="66"/>
        <v>0</v>
      </c>
      <c r="NV18" s="27">
        <f t="shared" si="66"/>
        <v>0</v>
      </c>
      <c r="NW18" s="27">
        <f t="shared" si="66"/>
        <v>0</v>
      </c>
      <c r="NX18" s="27">
        <f t="shared" si="66"/>
        <v>0</v>
      </c>
      <c r="NY18" s="27">
        <f t="shared" si="66"/>
        <v>0</v>
      </c>
      <c r="NZ18" s="27">
        <f t="shared" si="66"/>
        <v>6770.6903682352495</v>
      </c>
      <c r="OA18" s="27">
        <f t="shared" si="66"/>
        <v>0</v>
      </c>
      <c r="OB18" s="27">
        <f t="shared" si="66"/>
        <v>58685.367327968022</v>
      </c>
      <c r="OC18" s="280"/>
      <c r="OD18" s="24">
        <f t="shared" si="67"/>
        <v>454.51223506073143</v>
      </c>
      <c r="OE18" s="27">
        <f t="shared" si="67"/>
        <v>0</v>
      </c>
      <c r="OF18" s="28">
        <f t="shared" si="1"/>
        <v>65910.569931264006</v>
      </c>
      <c r="OG18" s="27">
        <f t="shared" si="68"/>
        <v>0</v>
      </c>
      <c r="OH18" s="27">
        <f t="shared" si="68"/>
        <v>0</v>
      </c>
      <c r="OI18" s="27">
        <f t="shared" si="68"/>
        <v>0</v>
      </c>
      <c r="OJ18" s="27">
        <f t="shared" si="68"/>
        <v>0</v>
      </c>
      <c r="OK18" s="27">
        <f t="shared" si="68"/>
        <v>0</v>
      </c>
      <c r="OL18" s="27">
        <f t="shared" si="68"/>
        <v>0</v>
      </c>
      <c r="OM18" s="24">
        <f t="shared" si="68"/>
        <v>0</v>
      </c>
      <c r="ON18" s="27">
        <f t="shared" si="68"/>
        <v>0</v>
      </c>
      <c r="OO18" s="24">
        <f t="shared" si="118"/>
        <v>36783.15454777384</v>
      </c>
      <c r="OP18" s="27">
        <f t="shared" si="68"/>
        <v>0</v>
      </c>
      <c r="OQ18" s="24">
        <f t="shared" si="68"/>
        <v>0</v>
      </c>
      <c r="OR18" s="27">
        <f t="shared" si="68"/>
        <v>0</v>
      </c>
      <c r="OS18" s="28">
        <f t="shared" si="2"/>
        <v>36783.15454777384</v>
      </c>
      <c r="OT18" s="36"/>
      <c r="OU18" s="27"/>
      <c r="OV18" s="27"/>
      <c r="OW18" s="27"/>
      <c r="OX18" s="27"/>
      <c r="OY18" s="27"/>
      <c r="OZ18" s="28">
        <f t="shared" si="69"/>
        <v>0</v>
      </c>
      <c r="PA18" s="36">
        <f t="shared" si="70"/>
        <v>0</v>
      </c>
      <c r="PB18" s="27">
        <f t="shared" si="71"/>
        <v>0</v>
      </c>
      <c r="PC18" s="27">
        <f t="shared" si="72"/>
        <v>0</v>
      </c>
      <c r="PD18" s="27">
        <f t="shared" si="73"/>
        <v>0</v>
      </c>
      <c r="PE18" s="24"/>
      <c r="PF18" s="27">
        <f t="shared" si="74"/>
        <v>0</v>
      </c>
      <c r="PG18" s="33">
        <f t="shared" si="3"/>
        <v>0</v>
      </c>
      <c r="PH18" s="2621"/>
      <c r="PJ18" s="1907">
        <v>285.96000000000004</v>
      </c>
      <c r="PK18" s="1101">
        <v>780</v>
      </c>
      <c r="PL18" s="1101">
        <v>260</v>
      </c>
      <c r="PM18" s="3">
        <v>877.81000000000006</v>
      </c>
      <c r="PN18" s="3">
        <v>31393.02977658069</v>
      </c>
      <c r="PO18" s="11">
        <f t="shared" si="75"/>
        <v>21835.668559023405</v>
      </c>
      <c r="PP18" s="15"/>
      <c r="PQ18" s="2615"/>
      <c r="PS18" s="4"/>
      <c r="PT18" s="9"/>
      <c r="PU18" s="9"/>
      <c r="PV18" s="9"/>
      <c r="PW18" s="8">
        <v>0</v>
      </c>
      <c r="PX18" s="9"/>
      <c r="PY18" s="8">
        <f t="shared" si="76"/>
        <v>0</v>
      </c>
      <c r="PZ18" s="5">
        <f t="shared" si="77"/>
        <v>285.96000000000004</v>
      </c>
      <c r="QA18" s="5"/>
      <c r="QB18" s="5"/>
      <c r="QC18" s="5"/>
      <c r="QD18" s="5"/>
      <c r="QE18" s="5"/>
      <c r="QF18" s="12"/>
      <c r="QG18" s="12">
        <f t="shared" si="78"/>
        <v>29562.488999999998</v>
      </c>
      <c r="QH18" s="420">
        <f t="shared" si="79"/>
        <v>398333.65955850994</v>
      </c>
      <c r="QI18" s="1106">
        <f t="shared" si="80"/>
        <v>2124.7399999999998</v>
      </c>
      <c r="QJ18" s="484">
        <f t="shared" si="81"/>
        <v>5505.3678056099998</v>
      </c>
      <c r="QK18" s="12"/>
      <c r="QL18" s="2615"/>
      <c r="QN18" s="139">
        <f t="shared" si="82"/>
        <v>0</v>
      </c>
      <c r="QO18" s="139" t="str">
        <f t="shared" si="83"/>
        <v/>
      </c>
      <c r="QQ18" s="139">
        <f t="shared" si="84"/>
        <v>0</v>
      </c>
      <c r="QR18" s="139">
        <f t="shared" si="85"/>
        <v>0</v>
      </c>
      <c r="QT18" s="1">
        <f t="shared" si="86"/>
        <v>0</v>
      </c>
      <c r="QU18" s="1">
        <f t="shared" si="87"/>
        <v>0</v>
      </c>
      <c r="QV18" s="1">
        <f t="shared" si="88"/>
        <v>0</v>
      </c>
      <c r="QW18" s="1">
        <f t="shared" si="89"/>
        <v>0</v>
      </c>
      <c r="QX18" s="1">
        <f t="shared" si="90"/>
        <v>0</v>
      </c>
      <c r="QY18" s="1">
        <f t="shared" si="91"/>
        <v>0</v>
      </c>
      <c r="RA18" s="1">
        <f t="shared" si="92"/>
        <v>0</v>
      </c>
      <c r="RB18" s="1">
        <f t="shared" si="93"/>
        <v>0</v>
      </c>
      <c r="RC18" s="1">
        <f t="shared" si="94"/>
        <v>0</v>
      </c>
      <c r="RD18" s="1">
        <f t="shared" si="95"/>
        <v>0</v>
      </c>
      <c r="RE18" s="1">
        <f t="shared" si="96"/>
        <v>0</v>
      </c>
      <c r="RF18" s="1">
        <f t="shared" si="97"/>
        <v>0</v>
      </c>
      <c r="RI18" s="1">
        <v>9</v>
      </c>
      <c r="RJ18" s="421">
        <v>5984.4452097170979</v>
      </c>
      <c r="RK18" s="421">
        <v>5074.1017804837184</v>
      </c>
      <c r="RL18" s="421">
        <v>13404.263703387322</v>
      </c>
      <c r="RM18" s="490">
        <f t="shared" si="5"/>
        <v>24462.810693588137</v>
      </c>
      <c r="RN18" s="1033">
        <v>9</v>
      </c>
      <c r="RO18" s="1098">
        <f t="shared" si="99"/>
        <v>0</v>
      </c>
      <c r="RP18" s="1098">
        <f t="shared" si="100"/>
        <v>0</v>
      </c>
      <c r="RQ18" s="1097">
        <f t="shared" si="100"/>
        <v>0</v>
      </c>
      <c r="RR18" s="1097">
        <f t="shared" si="101"/>
        <v>10661.240000000002</v>
      </c>
      <c r="RS18" s="1046"/>
      <c r="RT18" s="1046" t="s">
        <v>315</v>
      </c>
      <c r="RW18" s="421">
        <v>9</v>
      </c>
      <c r="RX18" s="1095">
        <f t="shared" si="102"/>
        <v>11851.970000000001</v>
      </c>
      <c r="RY18" s="1046" t="s">
        <v>316</v>
      </c>
      <c r="SA18" s="1090"/>
      <c r="SB18" s="1090">
        <f t="shared" si="103"/>
        <v>0</v>
      </c>
      <c r="SC18" s="1090"/>
      <c r="SD18" s="1090">
        <f>JL18-RX18</f>
        <v>0</v>
      </c>
      <c r="SF18" s="1">
        <v>9</v>
      </c>
      <c r="SG18" s="1">
        <f t="shared" si="105"/>
        <v>877.81000000000006</v>
      </c>
      <c r="SH18" s="1094" t="s">
        <v>317</v>
      </c>
    </row>
    <row r="19" spans="1:502" s="1" customFormat="1" ht="15" customHeight="1">
      <c r="B19" s="471">
        <v>10</v>
      </c>
      <c r="C19" s="4">
        <f t="shared" si="6"/>
        <v>169423</v>
      </c>
      <c r="D19" s="1590">
        <f t="shared" si="119"/>
        <v>9820.4700000000012</v>
      </c>
      <c r="E19" s="1895">
        <f t="shared" si="7"/>
        <v>17.252025615881927</v>
      </c>
      <c r="F19" s="870"/>
      <c r="G19" s="870"/>
      <c r="H19" s="52"/>
      <c r="I19" s="61"/>
      <c r="J19" s="52"/>
      <c r="K19" s="54"/>
      <c r="L19" s="52"/>
      <c r="M19" s="61"/>
      <c r="N19" s="2629"/>
      <c r="O19" s="4">
        <f t="shared" si="117"/>
        <v>106932</v>
      </c>
      <c r="P19" s="1225">
        <f t="shared" si="8"/>
        <v>8655.3700000000008</v>
      </c>
      <c r="Q19" s="1952">
        <f t="shared" si="9"/>
        <v>12.354411192126967</v>
      </c>
      <c r="R19" s="33"/>
      <c r="S19" s="26">
        <f t="shared" si="10"/>
        <v>34702</v>
      </c>
      <c r="T19" s="27">
        <f t="shared" si="107"/>
        <v>1125.0999999999999</v>
      </c>
      <c r="U19" s="1909">
        <f t="shared" si="11"/>
        <v>30.843480579504046</v>
      </c>
      <c r="V19" s="15"/>
      <c r="W19" s="1742">
        <f t="shared" si="12"/>
        <v>27789</v>
      </c>
      <c r="X19" s="1918">
        <f t="shared" si="12"/>
        <v>40</v>
      </c>
      <c r="Y19" s="1909">
        <f t="shared" si="13"/>
        <v>694.72500000000002</v>
      </c>
      <c r="Z19" s="33"/>
      <c r="AA19" s="26">
        <f t="shared" si="14"/>
        <v>0</v>
      </c>
      <c r="AB19" s="27">
        <f t="shared" si="15"/>
        <v>0</v>
      </c>
      <c r="AC19" s="53">
        <f t="shared" si="16"/>
        <v>0</v>
      </c>
      <c r="AD19" s="28"/>
      <c r="AE19" s="36"/>
      <c r="AF19" s="36"/>
      <c r="AG19" s="53">
        <f t="shared" si="17"/>
        <v>0</v>
      </c>
      <c r="AH19" s="28"/>
      <c r="AI19" s="26"/>
      <c r="AJ19" s="27"/>
      <c r="AK19" s="53">
        <f t="shared" si="18"/>
        <v>0</v>
      </c>
      <c r="AL19" s="28"/>
      <c r="AM19" s="2629"/>
      <c r="AN19" s="9"/>
      <c r="AO19" s="5"/>
      <c r="AP19" s="61">
        <f t="shared" si="19"/>
        <v>0</v>
      </c>
      <c r="AQ19" s="36"/>
      <c r="AR19" s="53"/>
      <c r="AS19" s="61">
        <f t="shared" si="20"/>
        <v>0</v>
      </c>
      <c r="AT19" s="36">
        <v>0</v>
      </c>
      <c r="AU19" s="27"/>
      <c r="AV19" s="54">
        <f t="shared" si="21"/>
        <v>0</v>
      </c>
      <c r="AW19" s="26">
        <v>58002</v>
      </c>
      <c r="AX19" s="27">
        <v>4734.9100000000008</v>
      </c>
      <c r="AY19" s="1735">
        <f t="shared" si="115"/>
        <v>12.249863249776658</v>
      </c>
      <c r="AZ19" s="36"/>
      <c r="BA19" s="27"/>
      <c r="BB19" s="61">
        <f t="shared" si="22"/>
        <v>0</v>
      </c>
      <c r="BC19" s="1740">
        <v>48930</v>
      </c>
      <c r="BD19" s="1926">
        <v>3920.46</v>
      </c>
      <c r="BE19" s="1735">
        <f t="shared" si="23"/>
        <v>12.480678287751948</v>
      </c>
      <c r="BF19" s="36"/>
      <c r="BG19" s="53"/>
      <c r="BH19" s="61">
        <f t="shared" si="24"/>
        <v>0</v>
      </c>
      <c r="BI19" s="36">
        <v>0</v>
      </c>
      <c r="BJ19" s="53">
        <v>0</v>
      </c>
      <c r="BK19" s="61">
        <f t="shared" si="25"/>
        <v>0</v>
      </c>
      <c r="BL19" s="1742">
        <v>34702</v>
      </c>
      <c r="BM19" s="1736">
        <v>1125.0999999999999</v>
      </c>
      <c r="BN19" s="2170"/>
      <c r="BO19" s="1920">
        <f t="shared" si="26"/>
        <v>30.843480579504046</v>
      </c>
      <c r="BP19" s="9"/>
      <c r="BQ19" s="64"/>
      <c r="BR19" s="482">
        <f t="shared" si="27"/>
        <v>0</v>
      </c>
      <c r="BS19" s="9"/>
      <c r="BT19" s="53"/>
      <c r="BU19" s="482">
        <f t="shared" si="28"/>
        <v>0</v>
      </c>
      <c r="BV19" s="9">
        <v>27789</v>
      </c>
      <c r="BW19" s="27">
        <v>40</v>
      </c>
      <c r="BX19" s="1051">
        <f t="shared" si="29"/>
        <v>694.72500000000002</v>
      </c>
      <c r="BY19" s="26"/>
      <c r="BZ19" s="27"/>
      <c r="CA19" s="482">
        <f t="shared" si="30"/>
        <v>0</v>
      </c>
      <c r="CB19" s="9"/>
      <c r="CC19" s="481"/>
      <c r="CD19" s="482">
        <f t="shared" si="31"/>
        <v>0</v>
      </c>
      <c r="CE19" s="4"/>
      <c r="CF19" s="5"/>
      <c r="CG19" s="28">
        <f t="shared" si="32"/>
        <v>0</v>
      </c>
      <c r="CH19" s="150"/>
      <c r="CI19" s="4"/>
      <c r="CJ19" s="5"/>
      <c r="CK19" s="5">
        <v>4850</v>
      </c>
      <c r="CL19" s="5"/>
      <c r="CM19" s="5"/>
      <c r="CN19" s="5"/>
      <c r="CO19" s="5"/>
      <c r="CP19" s="5"/>
      <c r="CR19" s="4">
        <f t="shared" si="33"/>
        <v>0</v>
      </c>
      <c r="CS19" s="9">
        <f t="shared" si="33"/>
        <v>0</v>
      </c>
      <c r="CT19" s="5">
        <f t="shared" si="33"/>
        <v>0</v>
      </c>
      <c r="CU19" s="5">
        <f t="shared" si="33"/>
        <v>0</v>
      </c>
      <c r="CV19" s="5">
        <f t="shared" si="33"/>
        <v>0</v>
      </c>
      <c r="CW19" s="5">
        <f t="shared" si="33"/>
        <v>0</v>
      </c>
      <c r="CX19" s="5">
        <f t="shared" si="33"/>
        <v>2917.48</v>
      </c>
      <c r="CY19" s="5">
        <f t="shared" si="33"/>
        <v>0</v>
      </c>
      <c r="CZ19" s="5">
        <f t="shared" si="33"/>
        <v>6173.25</v>
      </c>
      <c r="DA19" s="5">
        <f t="shared" si="33"/>
        <v>0</v>
      </c>
      <c r="DB19" s="5">
        <f t="shared" si="33"/>
        <v>729.74</v>
      </c>
      <c r="DC19" s="12">
        <f t="shared" si="33"/>
        <v>0</v>
      </c>
      <c r="DD19" s="310">
        <f t="shared" si="34"/>
        <v>9820.4699999999993</v>
      </c>
      <c r="DE19" s="2695"/>
      <c r="DF19" s="8"/>
      <c r="DG19" s="9"/>
      <c r="DH19" s="5"/>
      <c r="DI19" s="5"/>
      <c r="DJ19" s="5"/>
      <c r="DK19" s="5"/>
      <c r="DL19" s="3">
        <v>2917.48</v>
      </c>
      <c r="DM19" s="5"/>
      <c r="DN19" s="3">
        <v>1817.4299999999998</v>
      </c>
      <c r="DO19" s="5"/>
      <c r="DP19" s="5"/>
      <c r="DQ19" s="12"/>
      <c r="DR19" s="1906">
        <f t="shared" si="35"/>
        <v>4734.91</v>
      </c>
      <c r="DS19" s="36"/>
      <c r="DT19" s="36"/>
      <c r="DU19" s="27"/>
      <c r="DV19" s="27"/>
      <c r="DW19" s="5"/>
      <c r="DX19" s="5"/>
      <c r="DY19" s="5"/>
      <c r="DZ19" s="5"/>
      <c r="EA19" s="3">
        <v>4355.82</v>
      </c>
      <c r="EB19" s="27"/>
      <c r="EC19" s="24">
        <v>689.74</v>
      </c>
      <c r="ED19" s="33"/>
      <c r="EE19" s="28">
        <f t="shared" si="36"/>
        <v>5045.5599999999995</v>
      </c>
      <c r="EF19" s="9"/>
      <c r="EG19" s="36"/>
      <c r="EH19" s="5"/>
      <c r="EI19" s="313"/>
      <c r="EJ19" s="27"/>
      <c r="EK19" s="27"/>
      <c r="EL19" s="27"/>
      <c r="EM19" s="27"/>
      <c r="EN19" s="5"/>
      <c r="EO19" s="5"/>
      <c r="EP19" s="5">
        <v>40</v>
      </c>
      <c r="EQ19" s="33"/>
      <c r="ER19" s="28">
        <f t="shared" si="37"/>
        <v>40</v>
      </c>
      <c r="ES19" s="36"/>
      <c r="ET19" s="27"/>
      <c r="EU19" s="27"/>
      <c r="EV19" s="27"/>
      <c r="EW19" s="27"/>
      <c r="EX19" s="27"/>
      <c r="EY19" s="33">
        <f t="shared" si="38"/>
        <v>0</v>
      </c>
      <c r="EZ19" s="2685"/>
      <c r="FB19" s="4">
        <f t="shared" si="39"/>
        <v>0</v>
      </c>
      <c r="FC19" s="5">
        <f t="shared" si="40"/>
        <v>0</v>
      </c>
      <c r="FD19" s="5">
        <f t="shared" si="41"/>
        <v>0</v>
      </c>
      <c r="FE19" s="12">
        <f t="shared" si="42"/>
        <v>0</v>
      </c>
      <c r="FF19" s="33"/>
      <c r="FG19" s="2674"/>
      <c r="FH19" s="9"/>
      <c r="FI19" s="5"/>
      <c r="FJ19" s="5"/>
      <c r="FK19" s="5"/>
      <c r="FL19" s="5"/>
      <c r="FM19" s="27"/>
      <c r="FN19" s="28">
        <f t="shared" si="43"/>
        <v>0</v>
      </c>
      <c r="FO19" s="36"/>
      <c r="FP19" s="27"/>
      <c r="FQ19" s="27"/>
      <c r="FR19" s="27"/>
      <c r="FS19" s="27"/>
      <c r="FT19" s="27"/>
      <c r="FU19" s="28">
        <f t="shared" si="44"/>
        <v>0</v>
      </c>
      <c r="FV19" s="36"/>
      <c r="FW19" s="36"/>
      <c r="FX19" s="27"/>
      <c r="FY19" s="27"/>
      <c r="FZ19" s="27"/>
      <c r="GA19" s="27"/>
      <c r="GB19" s="27"/>
      <c r="GC19" s="27"/>
      <c r="GD19" s="27"/>
      <c r="GE19" s="27"/>
      <c r="GF19" s="27"/>
      <c r="GG19" s="33"/>
      <c r="GH19" s="33">
        <f t="shared" si="45"/>
        <v>0</v>
      </c>
      <c r="GI19" s="2674"/>
      <c r="GK19" s="2">
        <f t="shared" si="108"/>
        <v>143.34</v>
      </c>
      <c r="GL19" s="63">
        <f t="shared" si="109"/>
        <v>2377.8999999999996</v>
      </c>
      <c r="GM19" s="24">
        <f t="shared" si="110"/>
        <v>4755.88</v>
      </c>
      <c r="GN19" s="1736">
        <f t="shared" si="46"/>
        <v>7277.12</v>
      </c>
      <c r="GO19" s="141"/>
      <c r="GP19" s="141"/>
      <c r="GQ19" s="33"/>
      <c r="GR19" s="2667"/>
      <c r="GS19" s="1739">
        <v>0</v>
      </c>
      <c r="GT19" s="1721">
        <v>143.34</v>
      </c>
      <c r="GU19" s="1721">
        <v>3983.3199999999997</v>
      </c>
      <c r="GV19" s="1721">
        <v>3150.4599999999996</v>
      </c>
      <c r="GW19" s="54">
        <f t="shared" si="47"/>
        <v>7277.119999999999</v>
      </c>
      <c r="GX19" s="2667"/>
      <c r="GY19" s="36"/>
      <c r="GZ19" s="36"/>
      <c r="HA19" s="27"/>
      <c r="HB19" s="27"/>
      <c r="HC19" s="27"/>
      <c r="HD19" s="27"/>
      <c r="HE19" s="27"/>
      <c r="HF19" s="27"/>
      <c r="HG19" s="24">
        <v>0</v>
      </c>
      <c r="HH19" s="27"/>
      <c r="HI19" s="24">
        <v>0</v>
      </c>
      <c r="HJ19" s="27"/>
      <c r="HK19" s="24">
        <v>143.34</v>
      </c>
      <c r="HL19" s="27"/>
      <c r="HM19" s="28">
        <f t="shared" si="120"/>
        <v>143.34</v>
      </c>
      <c r="HN19" s="36"/>
      <c r="HO19" s="27"/>
      <c r="HP19" s="27"/>
      <c r="HQ19" s="27"/>
      <c r="HR19" s="27"/>
      <c r="HS19" s="27"/>
      <c r="HT19" s="27" cm="1">
        <f t="array" ref="HT19">SUMPRODUCT(('Data Base hauling'!$C$2:$C$216="TCM-ROM SB1 BK05-ROM 4")*(ISNUMBER(SEARCH(TEXT('June TCM'!$B19,"00")&amp;"/03/2026",'Data Base hauling'!$E$2:$E$216)))*'Data Base hauling'!$N$2:$N$216)</f>
        <v>0</v>
      </c>
      <c r="HU19" s="27"/>
      <c r="HV19" s="27" cm="1">
        <f t="array" ref="HV19">SUMPRODUCT(('Data Base hauling'!$C$2:$C$216="TCM-ROM SB1 BK05-ROM 5")*(ISNUMBER(SEARCH(TEXT('June TCM'!$B19,"00")&amp;"/03/2026",'Data Base hauling'!$E$2:$E$216)))*'Data Base hauling'!$N$2:$N$216)</f>
        <v>0</v>
      </c>
      <c r="HW19" s="27"/>
      <c r="HX19" s="27"/>
      <c r="HY19" s="27"/>
      <c r="HZ19" s="27"/>
      <c r="IA19" s="27"/>
      <c r="IB19" s="33">
        <f t="shared" si="49"/>
        <v>0</v>
      </c>
      <c r="IC19" s="52"/>
      <c r="ID19" s="152"/>
      <c r="IE19" s="53"/>
      <c r="IF19" s="53"/>
      <c r="IG19" s="53"/>
      <c r="IH19" s="53"/>
      <c r="II19" s="1926">
        <v>0</v>
      </c>
      <c r="IJ19" s="1736"/>
      <c r="IK19" s="1926">
        <v>2377.8999999999996</v>
      </c>
      <c r="IL19" s="53"/>
      <c r="IM19" s="49">
        <v>0</v>
      </c>
      <c r="IN19" s="53"/>
      <c r="IO19" s="53"/>
      <c r="IP19" s="49">
        <f>SUMPRODUCT(('Data Base hauling'!$C$2:$C$216="TCM-HAC1 (Production)-ROM 2(HAC)")*(ISNUMBER(SEARCH(TEXT('June TCM'!$B19,"00")&amp;"/06/2026",'Data Base hauling'!$E$2:$E$216)))*'Data Base hauling'!$N$2:$N$216)</f>
        <v>0</v>
      </c>
      <c r="IQ19" s="2195">
        <f t="shared" si="121"/>
        <v>2377.8999999999996</v>
      </c>
      <c r="IR19" s="36"/>
      <c r="IS19" s="36"/>
      <c r="IT19" s="27"/>
      <c r="IU19" s="27"/>
      <c r="IV19" s="53"/>
      <c r="IW19" s="27"/>
      <c r="IX19" s="24">
        <v>0</v>
      </c>
      <c r="IY19" s="27"/>
      <c r="IZ19" s="24">
        <v>4755.88</v>
      </c>
      <c r="JA19" s="27"/>
      <c r="JB19" s="24">
        <v>0</v>
      </c>
      <c r="JC19" s="27"/>
      <c r="JD19" s="27"/>
      <c r="JE19" s="27"/>
      <c r="JF19" s="33">
        <f t="shared" si="122"/>
        <v>4755.88</v>
      </c>
      <c r="JG19" s="2667"/>
      <c r="JI19" s="2014">
        <v>7277.1200000000017</v>
      </c>
      <c r="JJ19" s="2015">
        <v>0</v>
      </c>
      <c r="JK19" s="53"/>
      <c r="JL19" s="53">
        <f t="shared" si="52"/>
        <v>7277.1200000000017</v>
      </c>
      <c r="JM19" s="33"/>
      <c r="JN19" s="2669"/>
      <c r="JO19" s="66">
        <v>0</v>
      </c>
      <c r="JP19" s="67">
        <v>0</v>
      </c>
      <c r="JQ19" s="67">
        <v>0</v>
      </c>
      <c r="JR19" s="67">
        <v>0</v>
      </c>
      <c r="JS19" s="67">
        <v>0.9803026472010905</v>
      </c>
      <c r="JT19" s="67">
        <v>0</v>
      </c>
      <c r="JU19" s="67">
        <v>1.9697352798909454E-2</v>
      </c>
      <c r="JV19" s="1921">
        <v>0</v>
      </c>
      <c r="JW19" s="66" t="s">
        <v>296</v>
      </c>
      <c r="JX19" s="67" t="s">
        <v>296</v>
      </c>
      <c r="JY19" s="67" t="s">
        <v>296</v>
      </c>
      <c r="JZ19" s="67" t="s">
        <v>296</v>
      </c>
      <c r="KA19" s="67" t="s">
        <v>296</v>
      </c>
      <c r="KB19" s="67" t="s">
        <v>296</v>
      </c>
      <c r="KC19" s="67" t="s">
        <v>296</v>
      </c>
      <c r="KD19" s="68" t="s">
        <v>296</v>
      </c>
      <c r="KE19" s="69"/>
      <c r="KF19" s="70"/>
      <c r="KG19" s="70"/>
      <c r="KH19" s="70"/>
      <c r="KI19" s="70"/>
      <c r="KJ19" s="70"/>
      <c r="KK19" s="70"/>
      <c r="KL19" s="70"/>
      <c r="KM19" s="33"/>
      <c r="KN19" s="2669"/>
      <c r="KO19" s="2203">
        <v>7059.0652382914432</v>
      </c>
      <c r="KP19" s="1721">
        <v>1.2861227853316852</v>
      </c>
      <c r="KQ19" s="1721">
        <v>3.2055569289932699</v>
      </c>
      <c r="KR19" s="1721">
        <v>6.6354031039692343</v>
      </c>
      <c r="KS19" s="1722">
        <v>11.243733003708281</v>
      </c>
      <c r="KT19" s="1958">
        <v>0</v>
      </c>
      <c r="KU19" s="1961">
        <v>0</v>
      </c>
      <c r="KV19" s="1961">
        <v>0</v>
      </c>
      <c r="KW19" s="1961">
        <v>0</v>
      </c>
      <c r="KX19" s="1962">
        <v>0</v>
      </c>
      <c r="KY19" s="36"/>
      <c r="KZ19" s="53"/>
      <c r="LA19" s="53"/>
      <c r="LB19" s="53"/>
      <c r="LC19" s="53"/>
      <c r="LD19" s="33"/>
      <c r="LE19" s="2669"/>
      <c r="LG19" s="26">
        <f t="shared" si="53"/>
        <v>0</v>
      </c>
      <c r="LH19" s="27">
        <f t="shared" si="53"/>
        <v>0</v>
      </c>
      <c r="LI19" s="27">
        <f t="shared" si="53"/>
        <v>0</v>
      </c>
      <c r="LJ19" s="28">
        <f t="shared" si="54"/>
        <v>0</v>
      </c>
      <c r="LK19" s="36"/>
      <c r="LL19" s="27"/>
      <c r="LM19" s="27"/>
      <c r="LN19" s="33"/>
      <c r="LO19" s="1041">
        <v>5.18</v>
      </c>
      <c r="LP19" s="486"/>
      <c r="LQ19" s="2688"/>
      <c r="LR19" s="2269"/>
      <c r="LS19" s="2269"/>
      <c r="LT19" s="27"/>
      <c r="LU19" s="27"/>
      <c r="LV19" s="27"/>
      <c r="LW19" s="1117">
        <f t="shared" si="55"/>
        <v>0</v>
      </c>
      <c r="LX19" s="2269"/>
      <c r="LY19" s="2269"/>
      <c r="LZ19" s="27"/>
      <c r="MA19" s="27"/>
      <c r="MB19" s="33"/>
      <c r="MC19" s="28">
        <f t="shared" si="56"/>
        <v>0</v>
      </c>
      <c r="MD19" s="26"/>
      <c r="ME19" s="36"/>
      <c r="MF19" s="27"/>
      <c r="MG19" s="27"/>
      <c r="MH19" s="27"/>
      <c r="MI19" s="28"/>
      <c r="MJ19" s="36"/>
      <c r="MK19" s="36"/>
      <c r="ML19" s="27"/>
      <c r="MM19" s="27"/>
      <c r="MN19" s="27"/>
      <c r="MO19" s="28"/>
      <c r="MP19" s="36"/>
      <c r="MQ19" s="36"/>
      <c r="MR19" s="27"/>
      <c r="MS19" s="27"/>
      <c r="MT19" s="27"/>
      <c r="MU19" s="33">
        <f t="shared" si="57"/>
        <v>0</v>
      </c>
      <c r="MV19" s="2688"/>
      <c r="MX19" s="26">
        <f t="shared" si="58"/>
        <v>133229.03357596439</v>
      </c>
      <c r="MY19" s="27">
        <f t="shared" si="59"/>
        <v>142400.81785017916</v>
      </c>
      <c r="MZ19" s="27">
        <f t="shared" si="60"/>
        <v>21888.328559023405</v>
      </c>
      <c r="NA19" s="28">
        <f t="shared" si="61"/>
        <v>428726.38855850993</v>
      </c>
      <c r="NB19" s="2621"/>
      <c r="NC19" s="23">
        <f t="shared" ref="NC19:NC40" si="123">+NC18+JI19-LG19-LI19</f>
        <v>51967.4898674695</v>
      </c>
      <c r="ND19" s="1579">
        <f t="shared" ref="ND19:ND40" si="124">+ND18+JJ19-LH19</f>
        <v>81261.543708494894</v>
      </c>
      <c r="NE19" s="60">
        <f t="shared" si="64"/>
        <v>0</v>
      </c>
      <c r="NF19" s="275">
        <f t="shared" si="4"/>
        <v>133229.03357596439</v>
      </c>
      <c r="NG19" s="26">
        <f t="shared" si="65"/>
        <v>0</v>
      </c>
      <c r="NH19" s="27">
        <f t="shared" si="65"/>
        <v>0</v>
      </c>
      <c r="NI19" s="27">
        <f t="shared" si="65"/>
        <v>0</v>
      </c>
      <c r="NJ19" s="27">
        <f t="shared" si="65"/>
        <v>0</v>
      </c>
      <c r="NK19" s="27">
        <f t="shared" si="65"/>
        <v>0</v>
      </c>
      <c r="NL19" s="33">
        <f t="shared" si="65"/>
        <v>0</v>
      </c>
      <c r="NM19" s="27">
        <f t="shared" si="65"/>
        <v>0</v>
      </c>
      <c r="NN19" s="36">
        <f t="shared" si="65"/>
        <v>0</v>
      </c>
      <c r="NO19" s="24">
        <f t="shared" si="111"/>
        <v>1828.3342192005614</v>
      </c>
      <c r="NP19" s="27">
        <f t="shared" si="65"/>
        <v>26196.696072681989</v>
      </c>
      <c r="NQ19" s="24">
        <f t="shared" si="112"/>
        <v>8756.5482322711578</v>
      </c>
      <c r="NR19" s="24">
        <f t="shared" si="113"/>
        <v>278.8248469876014</v>
      </c>
      <c r="NS19" s="27">
        <f t="shared" si="0"/>
        <v>37060.403371141307</v>
      </c>
      <c r="NT19" s="27">
        <f t="shared" si="66"/>
        <v>0</v>
      </c>
      <c r="NU19" s="27">
        <f t="shared" si="66"/>
        <v>0</v>
      </c>
      <c r="NV19" s="27">
        <f t="shared" si="66"/>
        <v>0</v>
      </c>
      <c r="NW19" s="27">
        <f t="shared" si="66"/>
        <v>0</v>
      </c>
      <c r="NX19" s="27">
        <f t="shared" si="66"/>
        <v>0</v>
      </c>
      <c r="NY19" s="27">
        <f t="shared" si="66"/>
        <v>0</v>
      </c>
      <c r="NZ19" s="27">
        <f t="shared" si="66"/>
        <v>9688.170368235249</v>
      </c>
      <c r="OA19" s="27">
        <f t="shared" si="66"/>
        <v>0</v>
      </c>
      <c r="OB19" s="27">
        <f t="shared" si="66"/>
        <v>58124.897327968021</v>
      </c>
      <c r="OC19" s="280"/>
      <c r="OD19" s="24">
        <f t="shared" si="67"/>
        <v>454.51223506073143</v>
      </c>
      <c r="OE19" s="27">
        <f t="shared" si="67"/>
        <v>0</v>
      </c>
      <c r="OF19" s="28">
        <f t="shared" si="1"/>
        <v>68267.579931264001</v>
      </c>
      <c r="OG19" s="27">
        <f t="shared" si="68"/>
        <v>0</v>
      </c>
      <c r="OH19" s="27">
        <f t="shared" si="68"/>
        <v>0</v>
      </c>
      <c r="OI19" s="27">
        <f t="shared" si="68"/>
        <v>0</v>
      </c>
      <c r="OJ19" s="27">
        <f t="shared" si="68"/>
        <v>0</v>
      </c>
      <c r="OK19" s="27">
        <f t="shared" si="68"/>
        <v>0</v>
      </c>
      <c r="OL19" s="27">
        <f t="shared" si="68"/>
        <v>0</v>
      </c>
      <c r="OM19" s="24">
        <f t="shared" si="68"/>
        <v>0</v>
      </c>
      <c r="ON19" s="27">
        <f t="shared" si="68"/>
        <v>0</v>
      </c>
      <c r="OO19" s="24">
        <f t="shared" si="118"/>
        <v>36383.094547773842</v>
      </c>
      <c r="OP19" s="27">
        <f t="shared" si="68"/>
        <v>0</v>
      </c>
      <c r="OQ19" s="24">
        <f t="shared" si="68"/>
        <v>689.74</v>
      </c>
      <c r="OR19" s="27">
        <f t="shared" si="68"/>
        <v>0</v>
      </c>
      <c r="OS19" s="28">
        <f t="shared" si="2"/>
        <v>37072.83454777384</v>
      </c>
      <c r="OT19" s="36"/>
      <c r="OU19" s="27"/>
      <c r="OV19" s="27"/>
      <c r="OW19" s="27"/>
      <c r="OX19" s="27"/>
      <c r="OY19" s="27"/>
      <c r="OZ19" s="28">
        <f t="shared" si="69"/>
        <v>0</v>
      </c>
      <c r="PA19" s="36">
        <f t="shared" si="70"/>
        <v>0</v>
      </c>
      <c r="PB19" s="27">
        <f t="shared" si="71"/>
        <v>0</v>
      </c>
      <c r="PC19" s="27">
        <f t="shared" si="72"/>
        <v>0</v>
      </c>
      <c r="PD19" s="27">
        <f t="shared" si="73"/>
        <v>0</v>
      </c>
      <c r="PE19" s="24"/>
      <c r="PF19" s="27">
        <f t="shared" si="74"/>
        <v>0</v>
      </c>
      <c r="PG19" s="33">
        <f t="shared" si="3"/>
        <v>0</v>
      </c>
      <c r="PH19" s="2621"/>
      <c r="PJ19" s="1907">
        <v>1294.5</v>
      </c>
      <c r="PK19" s="1101">
        <v>588</v>
      </c>
      <c r="PL19" s="1101">
        <v>196</v>
      </c>
      <c r="PM19" s="3">
        <v>143.34</v>
      </c>
      <c r="PN19" s="3">
        <v>32099.52977658069</v>
      </c>
      <c r="PO19" s="11">
        <f t="shared" si="75"/>
        <v>21888.328559023405</v>
      </c>
      <c r="PP19" s="15"/>
      <c r="PQ19" s="2615"/>
      <c r="PS19" s="4"/>
      <c r="PT19" s="9"/>
      <c r="PU19" s="9"/>
      <c r="PV19" s="9"/>
      <c r="PW19" s="8">
        <v>0</v>
      </c>
      <c r="PX19" s="9"/>
      <c r="PY19" s="8">
        <f t="shared" si="76"/>
        <v>0</v>
      </c>
      <c r="PZ19" s="5">
        <f t="shared" si="77"/>
        <v>1294.5</v>
      </c>
      <c r="QA19" s="5"/>
      <c r="QB19" s="5"/>
      <c r="QC19" s="5"/>
      <c r="QD19" s="5"/>
      <c r="QE19" s="5"/>
      <c r="QF19" s="12"/>
      <c r="QG19" s="12">
        <f t="shared" si="78"/>
        <v>29562.488999999998</v>
      </c>
      <c r="QH19" s="420">
        <f t="shared" si="79"/>
        <v>397039.15955850994</v>
      </c>
      <c r="QI19" s="1106">
        <f t="shared" si="80"/>
        <v>2124.7399999999998</v>
      </c>
      <c r="QJ19" s="484">
        <f t="shared" si="81"/>
        <v>5505.3678056099998</v>
      </c>
      <c r="QK19" s="12"/>
      <c r="QL19" s="2615"/>
      <c r="QN19" s="139">
        <f t="shared" si="82"/>
        <v>0</v>
      </c>
      <c r="QO19" s="139" t="str">
        <f t="shared" si="83"/>
        <v/>
      </c>
      <c r="QQ19" s="139">
        <f t="shared" si="84"/>
        <v>0</v>
      </c>
      <c r="QR19" s="139">
        <f t="shared" si="85"/>
        <v>0</v>
      </c>
      <c r="QT19" s="1">
        <f t="shared" si="86"/>
        <v>0</v>
      </c>
      <c r="QU19" s="1">
        <f t="shared" si="87"/>
        <v>0</v>
      </c>
      <c r="QV19" s="1">
        <f t="shared" si="88"/>
        <v>0</v>
      </c>
      <c r="QW19" s="1">
        <f t="shared" si="89"/>
        <v>0</v>
      </c>
      <c r="QX19" s="1">
        <f t="shared" si="90"/>
        <v>0</v>
      </c>
      <c r="QY19" s="1">
        <f t="shared" si="91"/>
        <v>0</v>
      </c>
      <c r="RA19" s="1">
        <f t="shared" si="92"/>
        <v>0</v>
      </c>
      <c r="RB19" s="1">
        <f t="shared" si="93"/>
        <v>0</v>
      </c>
      <c r="RC19" s="1">
        <f t="shared" si="94"/>
        <v>0</v>
      </c>
      <c r="RD19" s="1">
        <f t="shared" si="95"/>
        <v>0</v>
      </c>
      <c r="RE19" s="1">
        <f t="shared" si="96"/>
        <v>0</v>
      </c>
      <c r="RF19" s="1">
        <f t="shared" si="97"/>
        <v>0</v>
      </c>
      <c r="RI19" s="1">
        <v>10</v>
      </c>
      <c r="RJ19" s="1">
        <f t="shared" ref="RJ19:RL34" si="125">+RJ18+JI19-LG19</f>
        <v>13261.565209717101</v>
      </c>
      <c r="RK19" s="1">
        <f t="shared" si="125"/>
        <v>5074.1017804837184</v>
      </c>
      <c r="RL19" s="1">
        <f t="shared" si="125"/>
        <v>13404.263703387322</v>
      </c>
      <c r="RM19" s="89">
        <f t="shared" si="5"/>
        <v>31739.93069358814</v>
      </c>
      <c r="RN19" s="1033">
        <v>10</v>
      </c>
      <c r="RO19" s="1098">
        <f t="shared" si="99"/>
        <v>0</v>
      </c>
      <c r="RP19" s="1098">
        <f t="shared" si="100"/>
        <v>0</v>
      </c>
      <c r="RQ19" s="1097">
        <f t="shared" si="100"/>
        <v>0</v>
      </c>
      <c r="RR19" s="1097">
        <f t="shared" si="101"/>
        <v>9780.4700000000012</v>
      </c>
      <c r="RS19" s="1109"/>
      <c r="RT19" s="1050" t="s">
        <v>318</v>
      </c>
      <c r="RU19" s="1048"/>
      <c r="RW19" s="421">
        <v>10</v>
      </c>
      <c r="RX19" s="1095">
        <f t="shared" si="102"/>
        <v>7277.119999999999</v>
      </c>
      <c r="RY19" s="1046" t="s">
        <v>319</v>
      </c>
      <c r="SA19" s="1090"/>
      <c r="SB19" s="1090">
        <f t="shared" si="103"/>
        <v>0</v>
      </c>
      <c r="SC19" s="1090"/>
      <c r="SD19" s="1090">
        <f t="shared" ref="SD19:SD40" si="126">JL19-RX19</f>
        <v>0</v>
      </c>
      <c r="SF19" s="1">
        <v>10</v>
      </c>
      <c r="SG19" s="1">
        <f t="shared" si="105"/>
        <v>143.34</v>
      </c>
      <c r="SH19" s="1094" t="s">
        <v>320</v>
      </c>
    </row>
    <row r="20" spans="1:502" s="1" customFormat="1">
      <c r="B20" s="471">
        <v>11</v>
      </c>
      <c r="C20" s="4">
        <f t="shared" si="6"/>
        <v>161483</v>
      </c>
      <c r="D20" s="1590">
        <f t="shared" si="119"/>
        <v>11218.7</v>
      </c>
      <c r="E20" s="1895">
        <f t="shared" si="7"/>
        <v>14.394092007095296</v>
      </c>
      <c r="F20" s="870"/>
      <c r="G20" s="870"/>
      <c r="H20" s="52">
        <v>15</v>
      </c>
      <c r="I20" s="61">
        <v>4.07</v>
      </c>
      <c r="J20" s="52"/>
      <c r="K20" s="54"/>
      <c r="L20" s="52">
        <v>5.92</v>
      </c>
      <c r="M20" s="61">
        <v>2</v>
      </c>
      <c r="N20" s="2629"/>
      <c r="O20" s="4">
        <f t="shared" si="117"/>
        <v>100464</v>
      </c>
      <c r="P20" s="1225">
        <f t="shared" si="8"/>
        <v>9190.42</v>
      </c>
      <c r="Q20" s="1952">
        <f t="shared" si="9"/>
        <v>10.931382896537917</v>
      </c>
      <c r="R20" s="33"/>
      <c r="S20" s="26">
        <f t="shared" si="10"/>
        <v>37497</v>
      </c>
      <c r="T20" s="27">
        <f t="shared" si="107"/>
        <v>1888.2800000000002</v>
      </c>
      <c r="U20" s="1909">
        <f t="shared" si="11"/>
        <v>19.857754146630793</v>
      </c>
      <c r="V20" s="28"/>
      <c r="W20" s="1742">
        <f t="shared" si="12"/>
        <v>23522</v>
      </c>
      <c r="X20" s="1918">
        <f t="shared" si="12"/>
        <v>140</v>
      </c>
      <c r="Y20" s="1909">
        <f t="shared" si="13"/>
        <v>168.01428571428571</v>
      </c>
      <c r="Z20" s="33"/>
      <c r="AA20" s="26">
        <f t="shared" si="14"/>
        <v>0</v>
      </c>
      <c r="AB20" s="27">
        <f t="shared" si="15"/>
        <v>0</v>
      </c>
      <c r="AC20" s="53">
        <f t="shared" si="16"/>
        <v>0</v>
      </c>
      <c r="AD20" s="28"/>
      <c r="AE20" s="36"/>
      <c r="AF20" s="36"/>
      <c r="AG20" s="53">
        <f t="shared" si="17"/>
        <v>0</v>
      </c>
      <c r="AH20" s="28"/>
      <c r="AI20" s="23"/>
      <c r="AJ20" s="27"/>
      <c r="AK20" s="53">
        <f t="shared" si="18"/>
        <v>0</v>
      </c>
      <c r="AL20" s="28"/>
      <c r="AM20" s="2629"/>
      <c r="AN20" s="9"/>
      <c r="AO20" s="5"/>
      <c r="AP20" s="61">
        <f t="shared" si="19"/>
        <v>0</v>
      </c>
      <c r="AQ20" s="36"/>
      <c r="AR20" s="53"/>
      <c r="AS20" s="61">
        <f t="shared" si="20"/>
        <v>0</v>
      </c>
      <c r="AT20" s="36">
        <v>0</v>
      </c>
      <c r="AU20" s="27"/>
      <c r="AV20" s="54">
        <f t="shared" si="21"/>
        <v>0</v>
      </c>
      <c r="AW20" s="26">
        <v>49308</v>
      </c>
      <c r="AX20" s="27">
        <v>5605.8</v>
      </c>
      <c r="AY20" s="1735">
        <f t="shared" si="115"/>
        <v>8.7958899711013583</v>
      </c>
      <c r="AZ20" s="1908"/>
      <c r="BA20" s="1909"/>
      <c r="BB20" s="1895">
        <f t="shared" si="22"/>
        <v>0</v>
      </c>
      <c r="BC20" s="1740">
        <v>51156</v>
      </c>
      <c r="BD20" s="1926">
        <v>3584.62</v>
      </c>
      <c r="BE20" s="1895">
        <f t="shared" si="23"/>
        <v>14.270968749825645</v>
      </c>
      <c r="BF20" s="1908"/>
      <c r="BG20" s="1909"/>
      <c r="BH20" s="1895">
        <f t="shared" si="24"/>
        <v>0</v>
      </c>
      <c r="BI20" s="1908">
        <v>0</v>
      </c>
      <c r="BJ20" s="1909">
        <v>0</v>
      </c>
      <c r="BK20" s="1895">
        <f t="shared" si="25"/>
        <v>0</v>
      </c>
      <c r="BL20" s="1742">
        <v>37497</v>
      </c>
      <c r="BM20" s="1736">
        <v>1888.2800000000002</v>
      </c>
      <c r="BN20" s="2170"/>
      <c r="BO20" s="1920">
        <f t="shared" si="26"/>
        <v>19.857754146630793</v>
      </c>
      <c r="BP20" s="9"/>
      <c r="BQ20" s="64"/>
      <c r="BR20" s="482">
        <f t="shared" si="27"/>
        <v>0</v>
      </c>
      <c r="BS20" s="9"/>
      <c r="BT20" s="53"/>
      <c r="BU20" s="482">
        <f t="shared" si="28"/>
        <v>0</v>
      </c>
      <c r="BV20" s="9">
        <v>23522</v>
      </c>
      <c r="BW20" s="27">
        <v>140</v>
      </c>
      <c r="BX20" s="1051">
        <f t="shared" si="29"/>
        <v>168.01428571428571</v>
      </c>
      <c r="BY20" s="26"/>
      <c r="BZ20" s="27"/>
      <c r="CA20" s="482">
        <f t="shared" si="30"/>
        <v>0</v>
      </c>
      <c r="CB20" s="9"/>
      <c r="CC20" s="481"/>
      <c r="CD20" s="482">
        <f t="shared" si="31"/>
        <v>0</v>
      </c>
      <c r="CE20" s="4"/>
      <c r="CF20" s="5"/>
      <c r="CG20" s="28">
        <f t="shared" si="32"/>
        <v>0</v>
      </c>
      <c r="CH20" s="150"/>
      <c r="CI20" s="4"/>
      <c r="CJ20" s="5"/>
      <c r="CK20" s="5">
        <v>3960</v>
      </c>
      <c r="CL20" s="5"/>
      <c r="CM20" s="5"/>
      <c r="CN20" s="5"/>
      <c r="CO20" s="33"/>
      <c r="CP20" s="366"/>
      <c r="CR20" s="4">
        <f t="shared" si="33"/>
        <v>0</v>
      </c>
      <c r="CS20" s="9">
        <f t="shared" si="33"/>
        <v>0</v>
      </c>
      <c r="CT20" s="5">
        <f t="shared" si="33"/>
        <v>0</v>
      </c>
      <c r="CU20" s="5">
        <f t="shared" si="33"/>
        <v>0</v>
      </c>
      <c r="CV20" s="5">
        <f t="shared" si="33"/>
        <v>0</v>
      </c>
      <c r="CW20" s="5">
        <f t="shared" si="33"/>
        <v>0</v>
      </c>
      <c r="CX20" s="5">
        <f t="shared" si="33"/>
        <v>0</v>
      </c>
      <c r="CY20" s="5">
        <f t="shared" si="33"/>
        <v>0</v>
      </c>
      <c r="CZ20" s="5">
        <f t="shared" si="33"/>
        <v>11078.7</v>
      </c>
      <c r="DA20" s="5">
        <f t="shared" si="33"/>
        <v>0</v>
      </c>
      <c r="DB20" s="5">
        <f t="shared" si="33"/>
        <v>140</v>
      </c>
      <c r="DC20" s="12">
        <f t="shared" si="33"/>
        <v>0</v>
      </c>
      <c r="DD20" s="310">
        <f t="shared" si="34"/>
        <v>11218.7</v>
      </c>
      <c r="DE20" s="2695"/>
      <c r="DF20" s="8"/>
      <c r="DG20" s="9"/>
      <c r="DH20" s="5"/>
      <c r="DI20" s="5"/>
      <c r="DJ20" s="5"/>
      <c r="DK20" s="5"/>
      <c r="DL20" s="3">
        <v>0</v>
      </c>
      <c r="DM20" s="5"/>
      <c r="DN20" s="3">
        <v>5605.8</v>
      </c>
      <c r="DO20" s="27"/>
      <c r="DP20" s="27"/>
      <c r="DQ20" s="12"/>
      <c r="DR20" s="1906">
        <f t="shared" si="35"/>
        <v>5605.8</v>
      </c>
      <c r="DS20" s="36"/>
      <c r="DT20" s="36"/>
      <c r="DU20" s="27"/>
      <c r="DV20" s="27"/>
      <c r="DW20" s="5"/>
      <c r="DX20" s="5"/>
      <c r="DY20" s="5"/>
      <c r="DZ20" s="5"/>
      <c r="EA20" s="3">
        <v>5472.9</v>
      </c>
      <c r="EB20" s="27"/>
      <c r="EC20" s="24">
        <v>0</v>
      </c>
      <c r="ED20" s="33"/>
      <c r="EE20" s="28">
        <f t="shared" si="36"/>
        <v>5472.9</v>
      </c>
      <c r="EF20" s="9"/>
      <c r="EG20" s="416"/>
      <c r="EH20" s="5"/>
      <c r="EI20" s="313"/>
      <c r="EJ20" s="27"/>
      <c r="EK20" s="27"/>
      <c r="EL20" s="27"/>
      <c r="EM20" s="27"/>
      <c r="EN20" s="5"/>
      <c r="EO20" s="5"/>
      <c r="EP20" s="5">
        <v>140</v>
      </c>
      <c r="EQ20" s="33"/>
      <c r="ER20" s="28">
        <f t="shared" si="37"/>
        <v>140</v>
      </c>
      <c r="ES20" s="36"/>
      <c r="ET20" s="27"/>
      <c r="EU20" s="27"/>
      <c r="EV20" s="27"/>
      <c r="EW20" s="27"/>
      <c r="EX20" s="27"/>
      <c r="EY20" s="33">
        <f t="shared" si="38"/>
        <v>0</v>
      </c>
      <c r="EZ20" s="2685"/>
      <c r="FB20" s="4">
        <f t="shared" si="39"/>
        <v>0</v>
      </c>
      <c r="FC20" s="5">
        <f t="shared" si="40"/>
        <v>0</v>
      </c>
      <c r="FD20" s="5">
        <f t="shared" si="41"/>
        <v>0</v>
      </c>
      <c r="FE20" s="12">
        <f t="shared" si="42"/>
        <v>0</v>
      </c>
      <c r="FF20" s="33"/>
      <c r="FG20" s="2674"/>
      <c r="FH20" s="9"/>
      <c r="FI20" s="5"/>
      <c r="FJ20" s="5"/>
      <c r="FK20" s="5"/>
      <c r="FL20" s="5"/>
      <c r="FM20" s="27"/>
      <c r="FN20" s="28">
        <f t="shared" si="43"/>
        <v>0</v>
      </c>
      <c r="FO20" s="36"/>
      <c r="FP20" s="27"/>
      <c r="FQ20" s="27"/>
      <c r="FR20" s="27"/>
      <c r="FS20" s="27"/>
      <c r="FT20" s="27"/>
      <c r="FU20" s="28">
        <f t="shared" si="44"/>
        <v>0</v>
      </c>
      <c r="FV20" s="36"/>
      <c r="FW20" s="36"/>
      <c r="FX20" s="27"/>
      <c r="FY20" s="27"/>
      <c r="FZ20" s="27"/>
      <c r="GA20" s="27"/>
      <c r="GB20" s="27"/>
      <c r="GC20" s="27"/>
      <c r="GD20" s="27"/>
      <c r="GE20" s="27"/>
      <c r="GF20" s="27"/>
      <c r="GG20" s="33"/>
      <c r="GH20" s="33">
        <f t="shared" si="45"/>
        <v>0</v>
      </c>
      <c r="GI20" s="2674"/>
      <c r="GK20" s="2">
        <f t="shared" si="108"/>
        <v>0</v>
      </c>
      <c r="GL20" s="63">
        <f t="shared" si="109"/>
        <v>917.15</v>
      </c>
      <c r="GM20" s="24">
        <f t="shared" si="110"/>
        <v>3083.0699999999997</v>
      </c>
      <c r="GN20" s="1736">
        <f t="shared" si="46"/>
        <v>4000.22</v>
      </c>
      <c r="GO20" s="141"/>
      <c r="GP20" s="141"/>
      <c r="GQ20" s="33"/>
      <c r="GR20" s="2667"/>
      <c r="GS20" s="1739">
        <v>0</v>
      </c>
      <c r="GT20" s="1721">
        <v>0</v>
      </c>
      <c r="GU20" s="1721">
        <v>2161.8000000000002</v>
      </c>
      <c r="GV20" s="1721">
        <v>1838.42</v>
      </c>
      <c r="GW20" s="54">
        <f t="shared" si="47"/>
        <v>4000.2200000000003</v>
      </c>
      <c r="GX20" s="2667"/>
      <c r="GY20" s="36"/>
      <c r="GZ20" s="36"/>
      <c r="HA20" s="27"/>
      <c r="HB20" s="27"/>
      <c r="HC20" s="27"/>
      <c r="HD20" s="27"/>
      <c r="HE20" s="27"/>
      <c r="HF20" s="27"/>
      <c r="HG20" s="24">
        <v>0</v>
      </c>
      <c r="HH20" s="27"/>
      <c r="HI20" s="24">
        <v>0</v>
      </c>
      <c r="HJ20" s="27"/>
      <c r="HK20" s="24">
        <v>0</v>
      </c>
      <c r="HL20" s="27"/>
      <c r="HM20" s="28">
        <f t="shared" si="120"/>
        <v>0</v>
      </c>
      <c r="HN20" s="36"/>
      <c r="HO20" s="27"/>
      <c r="HP20" s="27"/>
      <c r="HQ20" s="27"/>
      <c r="HR20" s="27"/>
      <c r="HS20" s="27"/>
      <c r="HT20" s="27" cm="1">
        <f t="array" ref="HT20">SUMPRODUCT(('Data Base hauling'!$C$2:$C$216="TCM-ROM SB1 BK05-ROM 4")*(ISNUMBER(SEARCH(TEXT('June TCM'!$B20,"00")&amp;"/03/2026",'Data Base hauling'!$E$2:$E$216)))*'Data Base hauling'!$N$2:$N$216)</f>
        <v>0</v>
      </c>
      <c r="HU20" s="27"/>
      <c r="HV20" s="27" cm="1">
        <f t="array" ref="HV20">SUMPRODUCT(('Data Base hauling'!$C$2:$C$216="TCM-ROM SB1 BK05-ROM 5")*(ISNUMBER(SEARCH(TEXT('June TCM'!$B20,"00")&amp;"/03/2026",'Data Base hauling'!$E$2:$E$216)))*'Data Base hauling'!$N$2:$N$216)</f>
        <v>0</v>
      </c>
      <c r="HW20" s="27"/>
      <c r="HX20" s="27"/>
      <c r="HY20" s="27"/>
      <c r="HZ20" s="27"/>
      <c r="IA20" s="27"/>
      <c r="IB20" s="33">
        <f t="shared" si="49"/>
        <v>0</v>
      </c>
      <c r="IC20" s="52"/>
      <c r="ID20" s="152"/>
      <c r="IE20" s="53"/>
      <c r="IF20" s="53"/>
      <c r="IG20" s="53"/>
      <c r="IH20" s="53"/>
      <c r="II20" s="1926">
        <v>0</v>
      </c>
      <c r="IJ20" s="1736"/>
      <c r="IK20" s="1926">
        <v>917.15</v>
      </c>
      <c r="IL20" s="53"/>
      <c r="IM20" s="49">
        <v>0</v>
      </c>
      <c r="IN20" s="53"/>
      <c r="IO20" s="53"/>
      <c r="IP20" s="49">
        <f>SUMPRODUCT(('Data Base hauling'!$C$2:$C$216="TCM-HAC1 (Production)-ROM 2(HAC)")*(ISNUMBER(SEARCH(TEXT('June TCM'!$B20,"00")&amp;"/06/2026",'Data Base hauling'!$E$2:$E$216)))*'Data Base hauling'!$N$2:$N$216)</f>
        <v>0</v>
      </c>
      <c r="IQ20" s="2195">
        <f t="shared" si="121"/>
        <v>917.15</v>
      </c>
      <c r="IR20" s="36"/>
      <c r="IS20" s="36"/>
      <c r="IT20" s="27"/>
      <c r="IU20" s="27"/>
      <c r="IV20" s="53"/>
      <c r="IW20" s="27"/>
      <c r="IX20" s="24">
        <v>0</v>
      </c>
      <c r="IY20" s="27"/>
      <c r="IZ20" s="24">
        <v>3083.0699999999997</v>
      </c>
      <c r="JA20" s="27"/>
      <c r="JB20" s="24">
        <v>0</v>
      </c>
      <c r="JC20" s="27"/>
      <c r="JD20" s="27"/>
      <c r="JE20" s="27"/>
      <c r="JF20" s="33">
        <f t="shared" si="122"/>
        <v>3083.0699999999997</v>
      </c>
      <c r="JG20" s="2667"/>
      <c r="JI20" s="2014">
        <v>4000.2200000000003</v>
      </c>
      <c r="JJ20" s="2015">
        <v>0</v>
      </c>
      <c r="JK20" s="53"/>
      <c r="JL20" s="53">
        <f t="shared" si="52"/>
        <v>4000.2200000000003</v>
      </c>
      <c r="JM20" s="33"/>
      <c r="JN20" s="2669"/>
      <c r="JO20" s="66">
        <v>0</v>
      </c>
      <c r="JP20" s="67">
        <v>0</v>
      </c>
      <c r="JQ20" s="67">
        <v>0</v>
      </c>
      <c r="JR20" s="67">
        <v>0</v>
      </c>
      <c r="JS20" s="67">
        <v>1</v>
      </c>
      <c r="JT20" s="67">
        <v>0</v>
      </c>
      <c r="JU20" s="67">
        <v>0</v>
      </c>
      <c r="JV20" s="1921">
        <v>0</v>
      </c>
      <c r="JW20" s="66" t="s">
        <v>296</v>
      </c>
      <c r="JX20" s="67" t="s">
        <v>296</v>
      </c>
      <c r="JY20" s="67" t="s">
        <v>296</v>
      </c>
      <c r="JZ20" s="67" t="s">
        <v>296</v>
      </c>
      <c r="KA20" s="67" t="s">
        <v>296</v>
      </c>
      <c r="KB20" s="67" t="s">
        <v>296</v>
      </c>
      <c r="KC20" s="67" t="s">
        <v>296</v>
      </c>
      <c r="KD20" s="68" t="s">
        <v>296</v>
      </c>
      <c r="KE20" s="69"/>
      <c r="KF20" s="70"/>
      <c r="KG20" s="70"/>
      <c r="KH20" s="70"/>
      <c r="KI20" s="70"/>
      <c r="KJ20" s="70"/>
      <c r="KK20" s="70"/>
      <c r="KL20" s="70"/>
      <c r="KM20" s="33"/>
      <c r="KN20" s="2669"/>
      <c r="KO20" s="2203">
        <v>7103</v>
      </c>
      <c r="KP20" s="1721">
        <v>1.1299999999999999</v>
      </c>
      <c r="KQ20" s="1721">
        <v>2.23</v>
      </c>
      <c r="KR20" s="1721">
        <v>7.19</v>
      </c>
      <c r="KS20" s="1722">
        <v>11.94</v>
      </c>
      <c r="KT20" s="1958">
        <v>0</v>
      </c>
      <c r="KU20" s="1961">
        <v>0</v>
      </c>
      <c r="KV20" s="1961">
        <v>0</v>
      </c>
      <c r="KW20" s="1961">
        <v>0</v>
      </c>
      <c r="KX20" s="1962">
        <v>0</v>
      </c>
      <c r="KY20" s="36"/>
      <c r="KZ20" s="53"/>
      <c r="LA20" s="53"/>
      <c r="LB20" s="53"/>
      <c r="LC20" s="53"/>
      <c r="LD20" s="33"/>
      <c r="LE20" s="2669"/>
      <c r="LG20" s="26">
        <f t="shared" si="53"/>
        <v>0</v>
      </c>
      <c r="LH20" s="27">
        <f t="shared" si="53"/>
        <v>0</v>
      </c>
      <c r="LI20" s="27">
        <f t="shared" si="53"/>
        <v>0</v>
      </c>
      <c r="LJ20" s="28">
        <f t="shared" si="54"/>
        <v>0</v>
      </c>
      <c r="LK20" s="36"/>
      <c r="LL20" s="27"/>
      <c r="LM20" s="27">
        <v>2</v>
      </c>
      <c r="LN20" s="33"/>
      <c r="LO20" s="1041">
        <v>6.02</v>
      </c>
      <c r="LP20" s="486" t="s">
        <v>321</v>
      </c>
      <c r="LQ20" s="2688"/>
      <c r="LR20" s="2269"/>
      <c r="LS20" s="2269"/>
      <c r="LT20" s="27"/>
      <c r="LU20" s="27"/>
      <c r="LV20" s="27"/>
      <c r="LW20" s="1117">
        <f t="shared" si="55"/>
        <v>0</v>
      </c>
      <c r="LX20" s="2269"/>
      <c r="LY20" s="2269"/>
      <c r="LZ20" s="277"/>
      <c r="MA20" s="27"/>
      <c r="MB20" s="33"/>
      <c r="MC20" s="28">
        <f t="shared" si="56"/>
        <v>0</v>
      </c>
      <c r="MD20" s="26"/>
      <c r="ME20" s="36"/>
      <c r="MF20" s="27"/>
      <c r="MG20" s="27"/>
      <c r="MH20" s="27"/>
      <c r="MI20" s="28"/>
      <c r="MJ20" s="36"/>
      <c r="MK20" s="36"/>
      <c r="ML20" s="27"/>
      <c r="MM20" s="27"/>
      <c r="MN20" s="27"/>
      <c r="MO20" s="28"/>
      <c r="MP20" s="36"/>
      <c r="MQ20" s="36"/>
      <c r="MR20" s="27"/>
      <c r="MS20" s="27"/>
      <c r="MT20" s="27"/>
      <c r="MU20" s="33">
        <f t="shared" si="57"/>
        <v>0</v>
      </c>
      <c r="MV20" s="2688"/>
      <c r="MX20" s="26">
        <f t="shared" si="58"/>
        <v>137229.25357596439</v>
      </c>
      <c r="MY20" s="27">
        <f t="shared" si="59"/>
        <v>149619.29785017914</v>
      </c>
      <c r="MZ20" s="27">
        <f t="shared" si="60"/>
        <v>21987.328559023405</v>
      </c>
      <c r="NA20" s="28">
        <f t="shared" si="61"/>
        <v>427913.42855850991</v>
      </c>
      <c r="NB20" s="2621"/>
      <c r="NC20" s="23">
        <f t="shared" si="123"/>
        <v>55967.709867469501</v>
      </c>
      <c r="ND20" s="1579">
        <f t="shared" si="124"/>
        <v>81261.543708494894</v>
      </c>
      <c r="NE20" s="60">
        <f t="shared" si="64"/>
        <v>0</v>
      </c>
      <c r="NF20" s="275">
        <f t="shared" si="4"/>
        <v>137229.25357596439</v>
      </c>
      <c r="NG20" s="26">
        <f t="shared" si="65"/>
        <v>0</v>
      </c>
      <c r="NH20" s="27">
        <f t="shared" si="65"/>
        <v>0</v>
      </c>
      <c r="NI20" s="27">
        <f t="shared" si="65"/>
        <v>0</v>
      </c>
      <c r="NJ20" s="27">
        <f t="shared" si="65"/>
        <v>0</v>
      </c>
      <c r="NK20" s="27">
        <f t="shared" si="65"/>
        <v>0</v>
      </c>
      <c r="NL20" s="33">
        <f t="shared" si="65"/>
        <v>0</v>
      </c>
      <c r="NM20" s="27">
        <f t="shared" si="65"/>
        <v>0</v>
      </c>
      <c r="NN20" s="36">
        <f t="shared" si="65"/>
        <v>0</v>
      </c>
      <c r="NO20" s="24">
        <f t="shared" si="111"/>
        <v>1828.3342192005614</v>
      </c>
      <c r="NP20" s="27">
        <f t="shared" si="65"/>
        <v>26196.696072681989</v>
      </c>
      <c r="NQ20" s="24">
        <f t="shared" si="112"/>
        <v>8756.5482322711578</v>
      </c>
      <c r="NR20" s="24">
        <f t="shared" si="113"/>
        <v>418.8248469876014</v>
      </c>
      <c r="NS20" s="27">
        <f t="shared" si="0"/>
        <v>37200.403371141307</v>
      </c>
      <c r="NT20" s="27">
        <f t="shared" si="66"/>
        <v>0</v>
      </c>
      <c r="NU20" s="27">
        <f t="shared" si="66"/>
        <v>0</v>
      </c>
      <c r="NV20" s="27">
        <f t="shared" si="66"/>
        <v>0</v>
      </c>
      <c r="NW20" s="27">
        <f t="shared" si="66"/>
        <v>0</v>
      </c>
      <c r="NX20" s="27">
        <f t="shared" si="66"/>
        <v>0</v>
      </c>
      <c r="NY20" s="27">
        <f t="shared" si="66"/>
        <v>0</v>
      </c>
      <c r="NZ20" s="27">
        <f t="shared" si="66"/>
        <v>9688.170368235249</v>
      </c>
      <c r="OA20" s="27">
        <f t="shared" si="66"/>
        <v>0</v>
      </c>
      <c r="OB20" s="27">
        <f t="shared" si="66"/>
        <v>62813.547327968023</v>
      </c>
      <c r="OC20" s="280"/>
      <c r="OD20" s="24">
        <f t="shared" si="67"/>
        <v>454.51223506073143</v>
      </c>
      <c r="OE20" s="27">
        <f t="shared" si="67"/>
        <v>0</v>
      </c>
      <c r="OF20" s="28">
        <f t="shared" si="1"/>
        <v>72956.229931263995</v>
      </c>
      <c r="OG20" s="27">
        <f t="shared" si="68"/>
        <v>0</v>
      </c>
      <c r="OH20" s="27">
        <f t="shared" si="68"/>
        <v>0</v>
      </c>
      <c r="OI20" s="27">
        <v>0</v>
      </c>
      <c r="OJ20" s="27">
        <f t="shared" si="68"/>
        <v>0</v>
      </c>
      <c r="OK20" s="27">
        <f t="shared" si="68"/>
        <v>0</v>
      </c>
      <c r="OL20" s="27">
        <f t="shared" si="68"/>
        <v>0</v>
      </c>
      <c r="OM20" s="24">
        <f t="shared" si="68"/>
        <v>0</v>
      </c>
      <c r="ON20" s="27">
        <f t="shared" si="68"/>
        <v>0</v>
      </c>
      <c r="OO20" s="24">
        <f t="shared" si="118"/>
        <v>38772.924547773844</v>
      </c>
      <c r="OP20" s="27">
        <f t="shared" si="68"/>
        <v>0</v>
      </c>
      <c r="OQ20" s="24">
        <f t="shared" si="68"/>
        <v>689.74</v>
      </c>
      <c r="OR20" s="27">
        <f t="shared" si="68"/>
        <v>0</v>
      </c>
      <c r="OS20" s="28">
        <f t="shared" si="2"/>
        <v>39462.664547773842</v>
      </c>
      <c r="OT20" s="36"/>
      <c r="OU20" s="27"/>
      <c r="OV20" s="27"/>
      <c r="OW20" s="27"/>
      <c r="OX20" s="27"/>
      <c r="OY20" s="27"/>
      <c r="OZ20" s="28">
        <f t="shared" si="69"/>
        <v>0</v>
      </c>
      <c r="PA20" s="36">
        <f t="shared" si="70"/>
        <v>0</v>
      </c>
      <c r="PB20" s="27">
        <f t="shared" si="71"/>
        <v>0</v>
      </c>
      <c r="PC20" s="27">
        <f t="shared" si="72"/>
        <v>0</v>
      </c>
      <c r="PD20" s="27">
        <f t="shared" si="73"/>
        <v>0</v>
      </c>
      <c r="PE20" s="24"/>
      <c r="PF20" s="27">
        <f t="shared" si="74"/>
        <v>0</v>
      </c>
      <c r="PG20" s="33">
        <f t="shared" si="3"/>
        <v>0</v>
      </c>
      <c r="PH20" s="2621"/>
      <c r="PJ20" s="1907">
        <v>812.96</v>
      </c>
      <c r="PK20" s="1101">
        <v>296.99999999999994</v>
      </c>
      <c r="PL20" s="1101">
        <v>98.999999999999986</v>
      </c>
      <c r="PM20" s="3">
        <v>0</v>
      </c>
      <c r="PN20" s="3">
        <v>32615.489776580689</v>
      </c>
      <c r="PO20" s="11">
        <f t="shared" si="75"/>
        <v>21987.328559023405</v>
      </c>
      <c r="PP20" s="15"/>
      <c r="PQ20" s="2615"/>
      <c r="PS20" s="4"/>
      <c r="PT20" s="9"/>
      <c r="PU20" s="9"/>
      <c r="PV20" s="9"/>
      <c r="PW20" s="8">
        <v>0</v>
      </c>
      <c r="PX20" s="9"/>
      <c r="PY20" s="8">
        <f t="shared" si="76"/>
        <v>0</v>
      </c>
      <c r="PZ20" s="5">
        <f t="shared" si="77"/>
        <v>812.96</v>
      </c>
      <c r="QA20" s="5"/>
      <c r="QB20" s="5"/>
      <c r="QC20" s="5"/>
      <c r="QD20" s="5"/>
      <c r="QE20" s="5"/>
      <c r="QF20" s="12"/>
      <c r="QG20" s="12">
        <f t="shared" si="78"/>
        <v>29562.488999999998</v>
      </c>
      <c r="QH20" s="420">
        <f t="shared" si="79"/>
        <v>396226.19955850992</v>
      </c>
      <c r="QI20" s="1106">
        <f t="shared" si="80"/>
        <v>2124.7399999999998</v>
      </c>
      <c r="QJ20" s="484">
        <f t="shared" si="81"/>
        <v>5505.3678056099998</v>
      </c>
      <c r="QK20" s="12"/>
      <c r="QL20" s="2615"/>
      <c r="QN20" s="139">
        <f t="shared" si="82"/>
        <v>0</v>
      </c>
      <c r="QO20" s="139" t="str">
        <f t="shared" si="83"/>
        <v/>
      </c>
      <c r="QQ20" s="139">
        <f t="shared" si="84"/>
        <v>0</v>
      </c>
      <c r="QR20" s="139">
        <f t="shared" si="85"/>
        <v>0</v>
      </c>
      <c r="QT20" s="1">
        <f t="shared" si="86"/>
        <v>0</v>
      </c>
      <c r="QU20" s="1">
        <f t="shared" si="87"/>
        <v>0</v>
      </c>
      <c r="QV20" s="1">
        <f t="shared" si="88"/>
        <v>0</v>
      </c>
      <c r="QW20" s="1">
        <f t="shared" si="89"/>
        <v>0</v>
      </c>
      <c r="QX20" s="1">
        <f t="shared" si="90"/>
        <v>0</v>
      </c>
      <c r="QY20" s="1">
        <f t="shared" si="91"/>
        <v>0</v>
      </c>
      <c r="RA20" s="1">
        <f t="shared" si="92"/>
        <v>0</v>
      </c>
      <c r="RB20" s="1">
        <f t="shared" si="93"/>
        <v>0</v>
      </c>
      <c r="RC20" s="1">
        <f t="shared" si="94"/>
        <v>0</v>
      </c>
      <c r="RD20" s="1">
        <f t="shared" si="95"/>
        <v>0</v>
      </c>
      <c r="RE20" s="1">
        <f t="shared" si="96"/>
        <v>0</v>
      </c>
      <c r="RF20" s="1">
        <f t="shared" si="97"/>
        <v>0</v>
      </c>
      <c r="RI20" s="1">
        <v>11</v>
      </c>
      <c r="RJ20" s="1">
        <f t="shared" si="125"/>
        <v>17261.785209717102</v>
      </c>
      <c r="RK20" s="1">
        <f t="shared" si="125"/>
        <v>5074.1017804837184</v>
      </c>
      <c r="RL20" s="1">
        <f t="shared" si="125"/>
        <v>13404.263703387322</v>
      </c>
      <c r="RM20" s="89">
        <f t="shared" si="5"/>
        <v>35740.150693588141</v>
      </c>
      <c r="RN20" s="1033">
        <v>11</v>
      </c>
      <c r="RO20" s="1098">
        <f t="shared" si="99"/>
        <v>0</v>
      </c>
      <c r="RP20" s="1098">
        <f t="shared" si="100"/>
        <v>0</v>
      </c>
      <c r="RQ20" s="1097">
        <f t="shared" si="100"/>
        <v>0</v>
      </c>
      <c r="RR20" s="1097">
        <f t="shared" si="101"/>
        <v>11078.7</v>
      </c>
      <c r="RS20" s="1109"/>
      <c r="RT20" s="1046" t="s">
        <v>322</v>
      </c>
      <c r="RW20" s="421">
        <v>11</v>
      </c>
      <c r="RX20" s="1095">
        <f t="shared" si="102"/>
        <v>4000.2200000000003</v>
      </c>
      <c r="RY20" s="1046" t="s">
        <v>323</v>
      </c>
      <c r="SA20" s="1090"/>
      <c r="SB20" s="1090">
        <f t="shared" si="103"/>
        <v>0</v>
      </c>
      <c r="SC20" s="1090"/>
      <c r="SD20" s="1090">
        <f t="shared" si="126"/>
        <v>0</v>
      </c>
      <c r="SF20" s="1">
        <v>11</v>
      </c>
      <c r="SG20" s="1">
        <f t="shared" si="105"/>
        <v>0</v>
      </c>
      <c r="SH20" s="1094"/>
    </row>
    <row r="21" spans="1:502" s="1" customFormat="1" ht="16.95" customHeight="1">
      <c r="B21" s="471">
        <v>12</v>
      </c>
      <c r="C21" s="4">
        <f t="shared" si="6"/>
        <v>142281</v>
      </c>
      <c r="D21" s="1590">
        <f t="shared" si="119"/>
        <v>8643.16</v>
      </c>
      <c r="E21" s="1895">
        <f t="shared" si="7"/>
        <v>16.46168762350807</v>
      </c>
      <c r="F21" s="870"/>
      <c r="G21" s="870"/>
      <c r="H21" s="52">
        <v>9</v>
      </c>
      <c r="I21" s="61">
        <v>4.75</v>
      </c>
      <c r="J21" s="52"/>
      <c r="K21" s="54"/>
      <c r="L21" s="52">
        <v>25</v>
      </c>
      <c r="M21" s="61">
        <v>5</v>
      </c>
      <c r="N21" s="2629"/>
      <c r="O21" s="4">
        <f t="shared" si="117"/>
        <v>91350</v>
      </c>
      <c r="P21" s="1225">
        <f t="shared" si="8"/>
        <v>7118.18</v>
      </c>
      <c r="Q21" s="1913">
        <f t="shared" si="9"/>
        <v>12.833336611324805</v>
      </c>
      <c r="R21" s="33"/>
      <c r="S21" s="26">
        <f t="shared" si="10"/>
        <v>29034</v>
      </c>
      <c r="T21" s="27">
        <f t="shared" si="107"/>
        <v>1004.98</v>
      </c>
      <c r="U21" s="1909">
        <f t="shared" si="11"/>
        <v>28.890127166709785</v>
      </c>
      <c r="V21" s="28"/>
      <c r="W21" s="1742">
        <f t="shared" si="12"/>
        <v>21897</v>
      </c>
      <c r="X21" s="5">
        <f t="shared" si="12"/>
        <v>520</v>
      </c>
      <c r="Y21" s="1909">
        <f t="shared" si="13"/>
        <v>42.109615384615381</v>
      </c>
      <c r="Z21" s="33"/>
      <c r="AA21" s="26">
        <f t="shared" si="14"/>
        <v>0</v>
      </c>
      <c r="AB21" s="27">
        <f t="shared" si="15"/>
        <v>0</v>
      </c>
      <c r="AC21" s="53">
        <f t="shared" si="16"/>
        <v>0</v>
      </c>
      <c r="AD21" s="28"/>
      <c r="AE21" s="36"/>
      <c r="AF21" s="36"/>
      <c r="AG21" s="53">
        <f t="shared" si="17"/>
        <v>0</v>
      </c>
      <c r="AH21" s="28"/>
      <c r="AI21" s="26"/>
      <c r="AJ21" s="27"/>
      <c r="AK21" s="53">
        <f t="shared" si="18"/>
        <v>0</v>
      </c>
      <c r="AL21" s="28"/>
      <c r="AM21" s="2629"/>
      <c r="AN21" s="9"/>
      <c r="AO21" s="5"/>
      <c r="AP21" s="61">
        <f t="shared" si="19"/>
        <v>0</v>
      </c>
      <c r="AQ21" s="36"/>
      <c r="AR21" s="53"/>
      <c r="AS21" s="61">
        <f t="shared" si="20"/>
        <v>0</v>
      </c>
      <c r="AT21" s="36">
        <v>0</v>
      </c>
      <c r="AU21" s="27"/>
      <c r="AV21" s="54">
        <f t="shared" si="21"/>
        <v>0</v>
      </c>
      <c r="AW21" s="26">
        <v>45906</v>
      </c>
      <c r="AX21" s="27">
        <v>3411.04</v>
      </c>
      <c r="AY21" s="1895">
        <f t="shared" si="115"/>
        <v>13.45806557530841</v>
      </c>
      <c r="AZ21" s="1908"/>
      <c r="BA21" s="1909"/>
      <c r="BB21" s="1895">
        <f t="shared" si="22"/>
        <v>0</v>
      </c>
      <c r="BC21" s="1740">
        <v>45444</v>
      </c>
      <c r="BD21" s="1926">
        <v>3707.14</v>
      </c>
      <c r="BE21" s="1895">
        <f t="shared" si="23"/>
        <v>12.258506557615844</v>
      </c>
      <c r="BF21" s="1908"/>
      <c r="BG21" s="1909"/>
      <c r="BH21" s="1895">
        <f t="shared" si="24"/>
        <v>0</v>
      </c>
      <c r="BI21" s="1908">
        <v>0</v>
      </c>
      <c r="BJ21" s="1909">
        <v>0</v>
      </c>
      <c r="BK21" s="1895">
        <f t="shared" si="25"/>
        <v>0</v>
      </c>
      <c r="BL21" s="1742">
        <v>29034</v>
      </c>
      <c r="BM21" s="1736">
        <v>1004.98</v>
      </c>
      <c r="BN21" s="2170"/>
      <c r="BO21" s="1920">
        <f t="shared" si="26"/>
        <v>28.890127166709785</v>
      </c>
      <c r="BP21" s="9"/>
      <c r="BQ21" s="64"/>
      <c r="BR21" s="482">
        <f t="shared" si="27"/>
        <v>0</v>
      </c>
      <c r="BS21" s="9"/>
      <c r="BT21" s="53"/>
      <c r="BU21" s="482">
        <f t="shared" si="28"/>
        <v>0</v>
      </c>
      <c r="BV21" s="9">
        <v>21897</v>
      </c>
      <c r="BW21" s="27">
        <v>520</v>
      </c>
      <c r="BX21" s="1051">
        <f t="shared" si="29"/>
        <v>42.109615384615381</v>
      </c>
      <c r="BY21" s="26"/>
      <c r="BZ21" s="27"/>
      <c r="CA21" s="482">
        <f t="shared" si="30"/>
        <v>0</v>
      </c>
      <c r="CB21" s="9"/>
      <c r="CC21" s="481"/>
      <c r="CD21" s="482">
        <f t="shared" si="31"/>
        <v>0</v>
      </c>
      <c r="CE21" s="4"/>
      <c r="CF21" s="5"/>
      <c r="CG21" s="28">
        <f t="shared" si="32"/>
        <v>0</v>
      </c>
      <c r="CH21" s="150"/>
      <c r="CI21" s="4"/>
      <c r="CJ21" s="5"/>
      <c r="CK21" s="5">
        <v>3820</v>
      </c>
      <c r="CL21" s="5"/>
      <c r="CM21" s="5"/>
      <c r="CN21" s="5"/>
      <c r="CO21" s="33"/>
      <c r="CP21" s="366"/>
      <c r="CR21" s="4">
        <f t="shared" si="33"/>
        <v>0</v>
      </c>
      <c r="CS21" s="9">
        <f t="shared" si="33"/>
        <v>0</v>
      </c>
      <c r="CT21" s="5">
        <f t="shared" si="33"/>
        <v>0</v>
      </c>
      <c r="CU21" s="5">
        <f t="shared" si="33"/>
        <v>0</v>
      </c>
      <c r="CV21" s="5">
        <f t="shared" si="33"/>
        <v>0</v>
      </c>
      <c r="CW21" s="5">
        <f t="shared" si="33"/>
        <v>0</v>
      </c>
      <c r="CX21" s="5">
        <f t="shared" si="33"/>
        <v>0</v>
      </c>
      <c r="CY21" s="5">
        <f t="shared" si="33"/>
        <v>0</v>
      </c>
      <c r="CZ21" s="5">
        <f t="shared" si="33"/>
        <v>8123.1599999999989</v>
      </c>
      <c r="DA21" s="5">
        <f t="shared" si="33"/>
        <v>0</v>
      </c>
      <c r="DB21" s="5">
        <f t="shared" si="33"/>
        <v>520</v>
      </c>
      <c r="DC21" s="12">
        <f t="shared" si="33"/>
        <v>0</v>
      </c>
      <c r="DD21" s="310">
        <f t="shared" si="34"/>
        <v>8643.16</v>
      </c>
      <c r="DE21" s="2695"/>
      <c r="DF21" s="8"/>
      <c r="DG21" s="9"/>
      <c r="DH21" s="5"/>
      <c r="DI21" s="5"/>
      <c r="DJ21" s="5"/>
      <c r="DK21" s="5"/>
      <c r="DL21" s="3">
        <v>0</v>
      </c>
      <c r="DM21" s="5"/>
      <c r="DN21" s="3">
        <v>3411.04</v>
      </c>
      <c r="DO21" s="5"/>
      <c r="DP21" s="5"/>
      <c r="DQ21" s="12"/>
      <c r="DR21" s="28">
        <f t="shared" si="35"/>
        <v>3411.04</v>
      </c>
      <c r="DS21" s="36"/>
      <c r="DT21" s="36"/>
      <c r="DU21" s="53"/>
      <c r="DV21" s="27"/>
      <c r="DW21" s="5"/>
      <c r="DX21" s="5"/>
      <c r="DY21" s="5"/>
      <c r="DZ21" s="5"/>
      <c r="EA21" s="3">
        <v>4712.119999999999</v>
      </c>
      <c r="EB21" s="27"/>
      <c r="EC21" s="24">
        <v>0</v>
      </c>
      <c r="ED21" s="33"/>
      <c r="EE21" s="28">
        <f t="shared" si="36"/>
        <v>4712.119999999999</v>
      </c>
      <c r="EF21" s="9"/>
      <c r="EG21" s="36"/>
      <c r="EH21" s="5"/>
      <c r="EI21" s="313"/>
      <c r="EJ21" s="27"/>
      <c r="EK21" s="27"/>
      <c r="EL21" s="27"/>
      <c r="EM21" s="27"/>
      <c r="EN21" s="5"/>
      <c r="EO21" s="5"/>
      <c r="EP21" s="5">
        <v>520</v>
      </c>
      <c r="EQ21" s="33"/>
      <c r="ER21" s="28">
        <f t="shared" si="37"/>
        <v>520</v>
      </c>
      <c r="ES21" s="36"/>
      <c r="ET21" s="27"/>
      <c r="EU21" s="27"/>
      <c r="EV21" s="27"/>
      <c r="EW21" s="27"/>
      <c r="EX21" s="27"/>
      <c r="EY21" s="33">
        <f t="shared" si="38"/>
        <v>0</v>
      </c>
      <c r="EZ21" s="2685"/>
      <c r="FB21" s="4">
        <f t="shared" si="39"/>
        <v>0</v>
      </c>
      <c r="FC21" s="5">
        <f t="shared" si="40"/>
        <v>0</v>
      </c>
      <c r="FD21" s="5">
        <f t="shared" si="41"/>
        <v>0</v>
      </c>
      <c r="FE21" s="12">
        <f t="shared" si="42"/>
        <v>0</v>
      </c>
      <c r="FF21" s="33"/>
      <c r="FG21" s="2674"/>
      <c r="FH21" s="9"/>
      <c r="FI21" s="5"/>
      <c r="FJ21" s="5"/>
      <c r="FK21" s="5"/>
      <c r="FL21" s="5"/>
      <c r="FM21" s="27"/>
      <c r="FN21" s="28">
        <f t="shared" si="43"/>
        <v>0</v>
      </c>
      <c r="FO21" s="36"/>
      <c r="FP21" s="27"/>
      <c r="FQ21" s="27"/>
      <c r="FR21" s="27"/>
      <c r="FS21" s="27"/>
      <c r="FT21" s="27"/>
      <c r="FU21" s="28">
        <f t="shared" si="44"/>
        <v>0</v>
      </c>
      <c r="FV21" s="36"/>
      <c r="FW21" s="36"/>
      <c r="FX21" s="27"/>
      <c r="FY21" s="27"/>
      <c r="FZ21" s="27"/>
      <c r="GA21" s="27"/>
      <c r="GB21" s="27"/>
      <c r="GC21" s="27"/>
      <c r="GD21" s="27"/>
      <c r="GE21" s="27"/>
      <c r="GF21" s="27"/>
      <c r="GG21" s="33"/>
      <c r="GH21" s="33">
        <f t="shared" si="45"/>
        <v>0</v>
      </c>
      <c r="GI21" s="2674"/>
      <c r="GK21" s="2">
        <f t="shared" si="108"/>
        <v>256.64999999999998</v>
      </c>
      <c r="GL21" s="63">
        <f t="shared" si="109"/>
        <v>6862.54</v>
      </c>
      <c r="GM21" s="24">
        <f t="shared" si="110"/>
        <v>3259.6</v>
      </c>
      <c r="GN21" s="1736">
        <f t="shared" si="46"/>
        <v>10378.789999999999</v>
      </c>
      <c r="GO21" s="141"/>
      <c r="GP21" s="141"/>
      <c r="GQ21" s="33"/>
      <c r="GR21" s="2667"/>
      <c r="GS21" s="1739">
        <v>0</v>
      </c>
      <c r="GT21" s="1721">
        <v>256.64999999999998</v>
      </c>
      <c r="GU21" s="1721">
        <v>5645.5399999999991</v>
      </c>
      <c r="GV21" s="1721">
        <v>4476.5999999999995</v>
      </c>
      <c r="GW21" s="54">
        <f t="shared" si="47"/>
        <v>10378.789999999997</v>
      </c>
      <c r="GX21" s="2667"/>
      <c r="GY21" s="36"/>
      <c r="GZ21" s="36"/>
      <c r="HA21" s="27"/>
      <c r="HB21" s="27"/>
      <c r="HC21" s="27"/>
      <c r="HD21" s="27"/>
      <c r="HE21" s="27"/>
      <c r="HF21" s="27"/>
      <c r="HG21" s="24">
        <v>0</v>
      </c>
      <c r="HH21" s="27"/>
      <c r="HI21" s="24">
        <v>0</v>
      </c>
      <c r="HJ21" s="27"/>
      <c r="HK21" s="24">
        <v>256.64999999999998</v>
      </c>
      <c r="HL21" s="27"/>
      <c r="HM21" s="28">
        <f t="shared" si="120"/>
        <v>256.64999999999998</v>
      </c>
      <c r="HN21" s="36"/>
      <c r="HO21" s="27"/>
      <c r="HP21" s="27"/>
      <c r="HQ21" s="27"/>
      <c r="HR21" s="27"/>
      <c r="HS21" s="27"/>
      <c r="HT21" s="27" cm="1">
        <f t="array" ref="HT21">SUMPRODUCT(('Data Base hauling'!$C$2:$C$216="TCM-ROM SB1 BK05-ROM 4")*(ISNUMBER(SEARCH(TEXT('June TCM'!$B21,"00")&amp;"/03/2026",'Data Base hauling'!$E$2:$E$216)))*'Data Base hauling'!$N$2:$N$216)</f>
        <v>0</v>
      </c>
      <c r="HU21" s="27"/>
      <c r="HV21" s="27" cm="1">
        <f t="array" ref="HV21">SUMPRODUCT(('Data Base hauling'!$C$2:$C$216="TCM-ROM SB1 BK05-ROM 5")*(ISNUMBER(SEARCH(TEXT('June TCM'!$B21,"00")&amp;"/03/2026",'Data Base hauling'!$E$2:$E$216)))*'Data Base hauling'!$N$2:$N$216)</f>
        <v>0</v>
      </c>
      <c r="HW21" s="27"/>
      <c r="HX21" s="27"/>
      <c r="HY21" s="27"/>
      <c r="HZ21" s="27"/>
      <c r="IA21" s="27"/>
      <c r="IB21" s="33">
        <f t="shared" si="49"/>
        <v>0</v>
      </c>
      <c r="IC21" s="52"/>
      <c r="ID21" s="152"/>
      <c r="IE21" s="53"/>
      <c r="IF21" s="53"/>
      <c r="IG21" s="53"/>
      <c r="IH21" s="53"/>
      <c r="II21" s="1926">
        <v>2641.09</v>
      </c>
      <c r="IJ21" s="1736"/>
      <c r="IK21" s="1926">
        <v>4221.45</v>
      </c>
      <c r="IL21" s="53"/>
      <c r="IM21" s="1926">
        <v>0</v>
      </c>
      <c r="IN21" s="53"/>
      <c r="IO21" s="53"/>
      <c r="IP21" s="49">
        <f>SUMPRODUCT(('Data Base hauling'!$C$2:$C$216="TCM-HAC1 (Production)-ROM 2(HAC)")*(ISNUMBER(SEARCH(TEXT('June TCM'!$B21,"00")&amp;"/06/2026",'Data Base hauling'!$E$2:$E$216)))*'Data Base hauling'!$N$2:$N$216)</f>
        <v>0</v>
      </c>
      <c r="IQ21" s="2195">
        <f t="shared" si="121"/>
        <v>6862.54</v>
      </c>
      <c r="IR21" s="36"/>
      <c r="IS21" s="36"/>
      <c r="IT21" s="27"/>
      <c r="IU21" s="27"/>
      <c r="IV21" s="53"/>
      <c r="IW21" s="27"/>
      <c r="IX21" s="24">
        <v>0</v>
      </c>
      <c r="IY21" s="27"/>
      <c r="IZ21" s="24">
        <v>3192.45</v>
      </c>
      <c r="JA21" s="27"/>
      <c r="JB21" s="24">
        <v>67.150000000000006</v>
      </c>
      <c r="JC21" s="27"/>
      <c r="JD21" s="27"/>
      <c r="JE21" s="27"/>
      <c r="JF21" s="33">
        <f t="shared" si="122"/>
        <v>3259.6</v>
      </c>
      <c r="JG21" s="2667"/>
      <c r="JI21" s="2014">
        <v>5099.9999999999991</v>
      </c>
      <c r="JJ21" s="2015">
        <v>5278.79</v>
      </c>
      <c r="JK21" s="53"/>
      <c r="JL21" s="53">
        <f t="shared" si="52"/>
        <v>10378.789999999999</v>
      </c>
      <c r="JM21" s="33"/>
      <c r="JN21" s="2669"/>
      <c r="JO21" s="66">
        <v>0</v>
      </c>
      <c r="JP21" s="67">
        <v>0</v>
      </c>
      <c r="JQ21" s="67">
        <v>0</v>
      </c>
      <c r="JR21" s="67">
        <v>2.6519607843137259E-2</v>
      </c>
      <c r="JS21" s="67">
        <v>0.92315686274509812</v>
      </c>
      <c r="JT21" s="67">
        <v>0</v>
      </c>
      <c r="JU21" s="67">
        <v>5.0323529411764711E-2</v>
      </c>
      <c r="JV21" s="1921">
        <v>0</v>
      </c>
      <c r="JW21" s="66">
        <v>0</v>
      </c>
      <c r="JX21" s="67">
        <v>0</v>
      </c>
      <c r="JY21" s="67">
        <v>0</v>
      </c>
      <c r="JZ21" s="67">
        <v>0.47469969443755106</v>
      </c>
      <c r="KA21" s="67">
        <v>0.5125795873675596</v>
      </c>
      <c r="KB21" s="67">
        <v>1.2720718194889361E-2</v>
      </c>
      <c r="KC21" s="67">
        <v>0</v>
      </c>
      <c r="KD21" s="68">
        <v>0</v>
      </c>
      <c r="KE21" s="69"/>
      <c r="KF21" s="70"/>
      <c r="KG21" s="70"/>
      <c r="KH21" s="70"/>
      <c r="KI21" s="70"/>
      <c r="KJ21" s="70"/>
      <c r="KK21" s="70"/>
      <c r="KL21" s="70"/>
      <c r="KM21" s="33"/>
      <c r="KN21" s="2669"/>
      <c r="KO21" s="2203">
        <v>7220</v>
      </c>
      <c r="KP21" s="1721">
        <v>0.75</v>
      </c>
      <c r="KQ21" s="1721">
        <v>3.5</v>
      </c>
      <c r="KR21" s="1721">
        <v>5.8</v>
      </c>
      <c r="KS21" s="1722">
        <v>10.38</v>
      </c>
      <c r="KT21" s="1958">
        <v>6913</v>
      </c>
      <c r="KU21" s="1961">
        <v>2.36</v>
      </c>
      <c r="KV21" s="1961">
        <v>4.4400000000000004</v>
      </c>
      <c r="KW21" s="1961">
        <v>6.59</v>
      </c>
      <c r="KX21" s="1962">
        <v>9.49</v>
      </c>
      <c r="KY21" s="36"/>
      <c r="KZ21" s="53"/>
      <c r="LA21" s="53"/>
      <c r="LB21" s="53"/>
      <c r="LC21" s="53"/>
      <c r="LD21" s="33"/>
      <c r="LE21" s="2669"/>
      <c r="LG21" s="26">
        <f t="shared" si="53"/>
        <v>0</v>
      </c>
      <c r="LH21" s="27">
        <f t="shared" si="53"/>
        <v>0</v>
      </c>
      <c r="LI21" s="27">
        <f t="shared" si="53"/>
        <v>0</v>
      </c>
      <c r="LJ21" s="28">
        <f t="shared" si="54"/>
        <v>0</v>
      </c>
      <c r="LK21" s="36"/>
      <c r="LL21" s="27">
        <v>1</v>
      </c>
      <c r="LM21" s="27">
        <v>1</v>
      </c>
      <c r="LN21" s="33"/>
      <c r="LO21" s="1041">
        <v>6.08</v>
      </c>
      <c r="LP21" s="486"/>
      <c r="LQ21" s="2688"/>
      <c r="LR21" s="2269"/>
      <c r="LS21" s="2269"/>
      <c r="LT21" s="27"/>
      <c r="LU21" s="27"/>
      <c r="LV21" s="27"/>
      <c r="LW21" s="1117">
        <f t="shared" si="55"/>
        <v>0</v>
      </c>
      <c r="LX21" s="2269"/>
      <c r="LY21" s="2269"/>
      <c r="LZ21" s="27"/>
      <c r="MA21" s="27"/>
      <c r="MB21" s="33"/>
      <c r="MC21" s="28">
        <f t="shared" si="56"/>
        <v>0</v>
      </c>
      <c r="MD21" s="26"/>
      <c r="ME21" s="36"/>
      <c r="MF21" s="27"/>
      <c r="MG21" s="27"/>
      <c r="MH21" s="27"/>
      <c r="MI21" s="28"/>
      <c r="MJ21" s="36"/>
      <c r="MK21" s="36"/>
      <c r="ML21" s="27"/>
      <c r="MM21" s="27"/>
      <c r="MN21" s="27"/>
      <c r="MO21" s="28"/>
      <c r="MP21" s="36"/>
      <c r="MQ21" s="36"/>
      <c r="MR21" s="27"/>
      <c r="MS21" s="27"/>
      <c r="MT21" s="27"/>
      <c r="MU21" s="33">
        <f t="shared" si="57"/>
        <v>0</v>
      </c>
      <c r="MV21" s="2688"/>
      <c r="MX21" s="26">
        <f t="shared" si="58"/>
        <v>147608.0435759644</v>
      </c>
      <c r="MY21" s="27">
        <f t="shared" si="59"/>
        <v>148140.31785017916</v>
      </c>
      <c r="MZ21" s="27">
        <f t="shared" si="60"/>
        <v>21904.678559023403</v>
      </c>
      <c r="NA21" s="28">
        <f t="shared" si="61"/>
        <v>427422.62855850992</v>
      </c>
      <c r="NB21" s="2621"/>
      <c r="NC21" s="23">
        <f t="shared" si="123"/>
        <v>61067.709867469501</v>
      </c>
      <c r="ND21" s="1579">
        <f t="shared" si="124"/>
        <v>86540.333708494887</v>
      </c>
      <c r="NE21" s="60">
        <f t="shared" si="64"/>
        <v>0</v>
      </c>
      <c r="NF21" s="275">
        <f t="shared" si="4"/>
        <v>147608.0435759644</v>
      </c>
      <c r="NG21" s="26">
        <f t="shared" si="65"/>
        <v>0</v>
      </c>
      <c r="NH21" s="27">
        <f t="shared" si="65"/>
        <v>0</v>
      </c>
      <c r="NI21" s="27">
        <f t="shared" si="65"/>
        <v>0</v>
      </c>
      <c r="NJ21" s="27">
        <f t="shared" si="65"/>
        <v>0</v>
      </c>
      <c r="NK21" s="27">
        <f t="shared" si="65"/>
        <v>0</v>
      </c>
      <c r="NL21" s="33">
        <f t="shared" si="65"/>
        <v>0</v>
      </c>
      <c r="NM21" s="27">
        <f t="shared" si="65"/>
        <v>0</v>
      </c>
      <c r="NN21" s="36">
        <f t="shared" si="65"/>
        <v>0</v>
      </c>
      <c r="NO21" s="24">
        <f t="shared" si="111"/>
        <v>1828.3342192005614</v>
      </c>
      <c r="NP21" s="27">
        <f t="shared" si="65"/>
        <v>26196.696072681989</v>
      </c>
      <c r="NQ21" s="24">
        <f t="shared" si="112"/>
        <v>8756.5482322711578</v>
      </c>
      <c r="NR21" s="24">
        <f t="shared" si="113"/>
        <v>938.8248469876014</v>
      </c>
      <c r="NS21" s="27">
        <f t="shared" si="0"/>
        <v>37720.403371141307</v>
      </c>
      <c r="NT21" s="27">
        <f t="shared" si="66"/>
        <v>0</v>
      </c>
      <c r="NU21" s="27">
        <f t="shared" si="66"/>
        <v>0</v>
      </c>
      <c r="NV21" s="27">
        <f t="shared" si="66"/>
        <v>0</v>
      </c>
      <c r="NW21" s="27">
        <f t="shared" si="66"/>
        <v>0</v>
      </c>
      <c r="NX21" s="27">
        <f t="shared" si="66"/>
        <v>0</v>
      </c>
      <c r="NY21" s="27">
        <f t="shared" si="66"/>
        <v>0</v>
      </c>
      <c r="NZ21" s="27">
        <f t="shared" si="66"/>
        <v>7047.0803682352489</v>
      </c>
      <c r="OA21" s="27">
        <f t="shared" si="66"/>
        <v>0</v>
      </c>
      <c r="OB21" s="27">
        <f t="shared" si="66"/>
        <v>62003.137327968027</v>
      </c>
      <c r="OC21" s="280"/>
      <c r="OD21" s="24">
        <f t="shared" si="67"/>
        <v>454.51223506073143</v>
      </c>
      <c r="OE21" s="27">
        <f t="shared" si="67"/>
        <v>0</v>
      </c>
      <c r="OF21" s="28">
        <f t="shared" si="1"/>
        <v>69504.729931263995</v>
      </c>
      <c r="OG21" s="27">
        <f t="shared" si="68"/>
        <v>0</v>
      </c>
      <c r="OH21" s="27">
        <f t="shared" si="68"/>
        <v>0</v>
      </c>
      <c r="OI21" s="27">
        <f>+OI20+DU21+FX21-IT21</f>
        <v>0</v>
      </c>
      <c r="OJ21" s="27">
        <f t="shared" si="68"/>
        <v>0</v>
      </c>
      <c r="OK21" s="27">
        <f t="shared" si="68"/>
        <v>0</v>
      </c>
      <c r="OL21" s="27">
        <f t="shared" si="68"/>
        <v>0</v>
      </c>
      <c r="OM21" s="24">
        <f t="shared" si="68"/>
        <v>0</v>
      </c>
      <c r="ON21" s="27">
        <f t="shared" si="68"/>
        <v>0</v>
      </c>
      <c r="OO21" s="24">
        <f t="shared" si="118"/>
        <v>40292.594547773842</v>
      </c>
      <c r="OP21" s="27">
        <f t="shared" si="68"/>
        <v>0</v>
      </c>
      <c r="OQ21" s="24">
        <f t="shared" si="68"/>
        <v>622.59</v>
      </c>
      <c r="OR21" s="27">
        <f t="shared" si="68"/>
        <v>0</v>
      </c>
      <c r="OS21" s="28">
        <f t="shared" si="2"/>
        <v>40915.184547773839</v>
      </c>
      <c r="OT21" s="36"/>
      <c r="OU21" s="27"/>
      <c r="OV21" s="27"/>
      <c r="OW21" s="27"/>
      <c r="OX21" s="27"/>
      <c r="OY21" s="27"/>
      <c r="OZ21" s="28">
        <f t="shared" si="69"/>
        <v>0</v>
      </c>
      <c r="PA21" s="36">
        <f t="shared" si="70"/>
        <v>0</v>
      </c>
      <c r="PB21" s="27">
        <f t="shared" si="71"/>
        <v>0</v>
      </c>
      <c r="PC21" s="27">
        <f t="shared" si="72"/>
        <v>0</v>
      </c>
      <c r="PD21" s="27">
        <f t="shared" si="73"/>
        <v>0</v>
      </c>
      <c r="PE21" s="24"/>
      <c r="PF21" s="27">
        <f t="shared" si="74"/>
        <v>0</v>
      </c>
      <c r="PG21" s="33">
        <f t="shared" si="3"/>
        <v>0</v>
      </c>
      <c r="PH21" s="2621"/>
      <c r="PJ21" s="1907">
        <v>490.8</v>
      </c>
      <c r="PK21" s="1101">
        <v>522</v>
      </c>
      <c r="PL21" s="1101">
        <v>174</v>
      </c>
      <c r="PM21" s="3">
        <v>256.64999999999998</v>
      </c>
      <c r="PN21" s="3">
        <v>32584.289776580692</v>
      </c>
      <c r="PO21" s="11">
        <f t="shared" si="75"/>
        <v>21904.678559023403</v>
      </c>
      <c r="PP21" s="15"/>
      <c r="PQ21" s="2615"/>
      <c r="PS21" s="4"/>
      <c r="PT21" s="9"/>
      <c r="PU21" s="9"/>
      <c r="PV21" s="9"/>
      <c r="PW21" s="8">
        <v>0</v>
      </c>
      <c r="PX21" s="9"/>
      <c r="PY21" s="8">
        <f t="shared" si="76"/>
        <v>0</v>
      </c>
      <c r="PZ21" s="5">
        <f t="shared" si="77"/>
        <v>490.8</v>
      </c>
      <c r="QA21" s="5"/>
      <c r="QB21" s="5"/>
      <c r="QC21" s="5"/>
      <c r="QD21" s="5"/>
      <c r="QE21" s="5"/>
      <c r="QF21" s="12"/>
      <c r="QG21" s="12">
        <f t="shared" si="78"/>
        <v>29562.488999999998</v>
      </c>
      <c r="QH21" s="420">
        <f t="shared" si="79"/>
        <v>395735.39955850993</v>
      </c>
      <c r="QI21" s="1106">
        <f t="shared" si="80"/>
        <v>2124.7399999999998</v>
      </c>
      <c r="QJ21" s="484">
        <f t="shared" si="81"/>
        <v>5505.3678056099998</v>
      </c>
      <c r="QK21" s="12"/>
      <c r="QL21" s="2615"/>
      <c r="QN21" s="139">
        <f t="shared" si="82"/>
        <v>0</v>
      </c>
      <c r="QO21" s="139" t="str">
        <f t="shared" si="83"/>
        <v/>
      </c>
      <c r="QQ21" s="139">
        <f t="shared" si="84"/>
        <v>0</v>
      </c>
      <c r="QR21" s="139">
        <f t="shared" si="85"/>
        <v>0</v>
      </c>
      <c r="QT21" s="1">
        <f t="shared" si="86"/>
        <v>0</v>
      </c>
      <c r="QU21" s="1">
        <f t="shared" si="87"/>
        <v>0</v>
      </c>
      <c r="QV21" s="1">
        <f t="shared" si="88"/>
        <v>0</v>
      </c>
      <c r="QW21" s="1">
        <f t="shared" si="89"/>
        <v>0</v>
      </c>
      <c r="QX21" s="1">
        <f t="shared" si="90"/>
        <v>0</v>
      </c>
      <c r="QY21" s="1">
        <f t="shared" si="91"/>
        <v>0</v>
      </c>
      <c r="RA21" s="1">
        <f t="shared" si="92"/>
        <v>0</v>
      </c>
      <c r="RB21" s="1">
        <f t="shared" si="93"/>
        <v>0</v>
      </c>
      <c r="RC21" s="1">
        <f t="shared" si="94"/>
        <v>0</v>
      </c>
      <c r="RD21" s="1">
        <f t="shared" si="95"/>
        <v>0</v>
      </c>
      <c r="RE21" s="1">
        <f t="shared" si="96"/>
        <v>0</v>
      </c>
      <c r="RF21" s="1">
        <f t="shared" si="97"/>
        <v>0</v>
      </c>
      <c r="RI21" s="1">
        <v>12</v>
      </c>
      <c r="RJ21" s="1">
        <f t="shared" si="125"/>
        <v>22361.785209717102</v>
      </c>
      <c r="RK21" s="1">
        <f t="shared" si="125"/>
        <v>10352.891780483718</v>
      </c>
      <c r="RL21" s="1">
        <f t="shared" si="125"/>
        <v>13404.263703387322</v>
      </c>
      <c r="RM21" s="89">
        <f t="shared" si="5"/>
        <v>46118.940693588142</v>
      </c>
      <c r="RN21" s="1033">
        <v>12</v>
      </c>
      <c r="RO21" s="1098">
        <f t="shared" si="99"/>
        <v>0</v>
      </c>
      <c r="RP21" s="1098">
        <f t="shared" si="100"/>
        <v>0</v>
      </c>
      <c r="RQ21" s="1097">
        <f t="shared" si="100"/>
        <v>0</v>
      </c>
      <c r="RR21" s="1097">
        <f t="shared" si="101"/>
        <v>8123.16</v>
      </c>
      <c r="RS21" s="1109"/>
      <c r="RT21" s="1046" t="s">
        <v>324</v>
      </c>
      <c r="RU21" s="1048"/>
      <c r="RW21" s="421">
        <v>12</v>
      </c>
      <c r="RX21" s="1095">
        <f t="shared" si="102"/>
        <v>10378.789999999997</v>
      </c>
      <c r="RY21" s="1928">
        <v>2606125016</v>
      </c>
      <c r="SA21" s="1090"/>
      <c r="SB21" s="1090">
        <f t="shared" si="103"/>
        <v>0</v>
      </c>
      <c r="SC21" s="1090"/>
      <c r="SD21" s="1090">
        <f t="shared" si="126"/>
        <v>0</v>
      </c>
      <c r="SF21" s="1">
        <v>12</v>
      </c>
      <c r="SG21" s="1">
        <f t="shared" si="105"/>
        <v>256.64999999999998</v>
      </c>
      <c r="SH21" s="1094" t="s">
        <v>325</v>
      </c>
    </row>
    <row r="22" spans="1:502" s="1" customFormat="1">
      <c r="B22" s="471">
        <v>13</v>
      </c>
      <c r="C22" s="4">
        <f t="shared" si="6"/>
        <v>145123</v>
      </c>
      <c r="D22" s="1590">
        <f t="shared" si="119"/>
        <v>9855.5800000000017</v>
      </c>
      <c r="E22" s="1895">
        <f t="shared" si="7"/>
        <v>14.724957841141768</v>
      </c>
      <c r="F22" s="870"/>
      <c r="G22" s="870"/>
      <c r="H22" s="52"/>
      <c r="I22" s="61"/>
      <c r="J22" s="52"/>
      <c r="K22" s="54"/>
      <c r="L22" s="52"/>
      <c r="M22" s="61"/>
      <c r="N22" s="2629"/>
      <c r="O22" s="4">
        <f t="shared" si="117"/>
        <v>91224</v>
      </c>
      <c r="P22" s="1225">
        <f t="shared" si="8"/>
        <v>7473.9400000000005</v>
      </c>
      <c r="Q22" s="1913">
        <f t="shared" si="9"/>
        <v>12.205610427699446</v>
      </c>
      <c r="R22" s="33"/>
      <c r="S22" s="26">
        <f t="shared" si="10"/>
        <v>32131</v>
      </c>
      <c r="T22" s="27">
        <f t="shared" si="107"/>
        <v>1601.6400000000003</v>
      </c>
      <c r="U22" s="1909">
        <f t="shared" si="11"/>
        <v>20.06131215504108</v>
      </c>
      <c r="V22" s="28"/>
      <c r="W22" s="26">
        <f t="shared" si="12"/>
        <v>21768</v>
      </c>
      <c r="X22" s="5">
        <f t="shared" si="12"/>
        <v>780</v>
      </c>
      <c r="Y22" s="1909">
        <f t="shared" si="13"/>
        <v>27.907692307692308</v>
      </c>
      <c r="Z22" s="33"/>
      <c r="AA22" s="26">
        <f t="shared" si="14"/>
        <v>0</v>
      </c>
      <c r="AB22" s="27">
        <f t="shared" si="15"/>
        <v>0</v>
      </c>
      <c r="AC22" s="53">
        <f t="shared" si="16"/>
        <v>0</v>
      </c>
      <c r="AD22" s="28"/>
      <c r="AE22" s="36"/>
      <c r="AF22" s="36"/>
      <c r="AG22" s="53">
        <f t="shared" si="17"/>
        <v>0</v>
      </c>
      <c r="AH22" s="28"/>
      <c r="AI22" s="23"/>
      <c r="AJ22" s="27"/>
      <c r="AK22" s="53">
        <f t="shared" si="18"/>
        <v>0</v>
      </c>
      <c r="AL22" s="28"/>
      <c r="AM22" s="2629"/>
      <c r="AN22" s="9"/>
      <c r="AO22" s="64"/>
      <c r="AP22" s="61">
        <f t="shared" si="19"/>
        <v>0</v>
      </c>
      <c r="AQ22" s="36"/>
      <c r="AR22" s="53"/>
      <c r="AS22" s="61">
        <f t="shared" si="20"/>
        <v>0</v>
      </c>
      <c r="AT22" s="36">
        <v>0</v>
      </c>
      <c r="AU22" s="27"/>
      <c r="AV22" s="54">
        <f t="shared" si="21"/>
        <v>0</v>
      </c>
      <c r="AW22" s="26">
        <v>51072</v>
      </c>
      <c r="AX22" s="27">
        <v>3851.78</v>
      </c>
      <c r="AY22" s="1895">
        <f t="shared" si="115"/>
        <v>13.25932426047178</v>
      </c>
      <c r="AZ22" s="1908"/>
      <c r="BA22" s="1909"/>
      <c r="BB22" s="1895">
        <f t="shared" si="22"/>
        <v>0</v>
      </c>
      <c r="BC22" s="1740">
        <v>40152</v>
      </c>
      <c r="BD22" s="1926">
        <v>3622.1600000000003</v>
      </c>
      <c r="BE22" s="1895">
        <f t="shared" si="23"/>
        <v>11.085098394328245</v>
      </c>
      <c r="BF22" s="1908"/>
      <c r="BG22" s="1909"/>
      <c r="BH22" s="1895">
        <f t="shared" si="24"/>
        <v>0</v>
      </c>
      <c r="BI22" s="1908">
        <v>0</v>
      </c>
      <c r="BJ22" s="1909">
        <v>0</v>
      </c>
      <c r="BK22" s="1895">
        <f t="shared" si="25"/>
        <v>0</v>
      </c>
      <c r="BL22" s="1742">
        <v>32131</v>
      </c>
      <c r="BM22" s="1736">
        <v>1601.6400000000003</v>
      </c>
      <c r="BN22" s="2170"/>
      <c r="BO22" s="1920">
        <f t="shared" si="26"/>
        <v>20.06131215504108</v>
      </c>
      <c r="BP22" s="9"/>
      <c r="BQ22" s="64"/>
      <c r="BR22" s="482">
        <f t="shared" si="27"/>
        <v>0</v>
      </c>
      <c r="BS22" s="9"/>
      <c r="BT22" s="64"/>
      <c r="BU22" s="482">
        <f t="shared" si="28"/>
        <v>0</v>
      </c>
      <c r="BV22" s="9">
        <v>21768</v>
      </c>
      <c r="BW22" s="27">
        <v>780</v>
      </c>
      <c r="BX22" s="2131">
        <f t="shared" si="29"/>
        <v>27.907692307692308</v>
      </c>
      <c r="BY22" s="26"/>
      <c r="BZ22" s="27"/>
      <c r="CA22" s="482">
        <f t="shared" si="30"/>
        <v>0</v>
      </c>
      <c r="CB22" s="9"/>
      <c r="CC22" s="481"/>
      <c r="CD22" s="482">
        <f t="shared" si="31"/>
        <v>0</v>
      </c>
      <c r="CE22" s="4"/>
      <c r="CF22" s="5"/>
      <c r="CG22" s="28">
        <f t="shared" si="32"/>
        <v>0</v>
      </c>
      <c r="CH22" s="150"/>
      <c r="CI22" s="4"/>
      <c r="CJ22" s="5"/>
      <c r="CK22" s="5">
        <v>3980</v>
      </c>
      <c r="CL22" s="5"/>
      <c r="CM22" s="5"/>
      <c r="CN22" s="5"/>
      <c r="CO22" s="33"/>
      <c r="CP22" s="366"/>
      <c r="CR22" s="4">
        <f t="shared" si="33"/>
        <v>0</v>
      </c>
      <c r="CS22" s="9">
        <f t="shared" si="33"/>
        <v>0</v>
      </c>
      <c r="CT22" s="5">
        <f t="shared" si="33"/>
        <v>0</v>
      </c>
      <c r="CU22" s="5">
        <f t="shared" si="33"/>
        <v>0</v>
      </c>
      <c r="CV22" s="5">
        <f t="shared" si="33"/>
        <v>0</v>
      </c>
      <c r="CW22" s="5">
        <f t="shared" si="33"/>
        <v>0</v>
      </c>
      <c r="CX22" s="5">
        <f t="shared" si="33"/>
        <v>0</v>
      </c>
      <c r="CY22" s="5">
        <f t="shared" si="33"/>
        <v>0</v>
      </c>
      <c r="CZ22" s="5">
        <f t="shared" si="33"/>
        <v>8809.7000000000007</v>
      </c>
      <c r="DA22" s="5">
        <f t="shared" si="33"/>
        <v>0</v>
      </c>
      <c r="DB22" s="5">
        <f t="shared" si="33"/>
        <v>1045.8800000000001</v>
      </c>
      <c r="DC22" s="12">
        <f t="shared" si="33"/>
        <v>0</v>
      </c>
      <c r="DD22" s="310">
        <f t="shared" si="34"/>
        <v>9855.5800000000017</v>
      </c>
      <c r="DE22" s="2695"/>
      <c r="DF22" s="8"/>
      <c r="DG22" s="9"/>
      <c r="DH22" s="5"/>
      <c r="DI22" s="5"/>
      <c r="DJ22" s="5"/>
      <c r="DK22" s="5"/>
      <c r="DL22" s="3">
        <v>0</v>
      </c>
      <c r="DM22" s="5"/>
      <c r="DN22" s="3">
        <v>3851.78</v>
      </c>
      <c r="DO22" s="5"/>
      <c r="DP22" s="5"/>
      <c r="DQ22" s="12"/>
      <c r="DR22" s="28">
        <f t="shared" si="35"/>
        <v>3851.78</v>
      </c>
      <c r="DS22" s="36"/>
      <c r="DT22" s="36"/>
      <c r="DU22" s="53"/>
      <c r="DV22" s="27"/>
      <c r="DW22" s="5"/>
      <c r="DX22" s="5"/>
      <c r="DY22" s="5"/>
      <c r="DZ22" s="5"/>
      <c r="EA22" s="3">
        <v>4957.92</v>
      </c>
      <c r="EB22" s="27"/>
      <c r="EC22" s="24">
        <v>265.88</v>
      </c>
      <c r="ED22" s="33"/>
      <c r="EE22" s="28">
        <f t="shared" si="36"/>
        <v>5223.8</v>
      </c>
      <c r="EF22" s="9"/>
      <c r="EG22" s="36"/>
      <c r="EH22" s="5"/>
      <c r="EI22" s="325"/>
      <c r="EJ22" s="27"/>
      <c r="EK22" s="27"/>
      <c r="EL22" s="27"/>
      <c r="EM22" s="27"/>
      <c r="EN22" s="5"/>
      <c r="EO22" s="5"/>
      <c r="EP22" s="5">
        <v>780</v>
      </c>
      <c r="EQ22" s="33"/>
      <c r="ER22" s="28">
        <f t="shared" si="37"/>
        <v>780</v>
      </c>
      <c r="ES22" s="36"/>
      <c r="ET22" s="27"/>
      <c r="EU22" s="27"/>
      <c r="EV22" s="27"/>
      <c r="EW22" s="27"/>
      <c r="EX22" s="27"/>
      <c r="EY22" s="33">
        <f t="shared" si="38"/>
        <v>0</v>
      </c>
      <c r="EZ22" s="2685"/>
      <c r="FB22" s="4">
        <f t="shared" si="39"/>
        <v>0</v>
      </c>
      <c r="FC22" s="5">
        <f t="shared" si="40"/>
        <v>0</v>
      </c>
      <c r="FD22" s="5">
        <f t="shared" si="41"/>
        <v>0</v>
      </c>
      <c r="FE22" s="12">
        <f t="shared" si="42"/>
        <v>0</v>
      </c>
      <c r="FF22" s="33"/>
      <c r="FG22" s="2674"/>
      <c r="FH22" s="9"/>
      <c r="FI22" s="5"/>
      <c r="FJ22" s="5"/>
      <c r="FK22" s="5"/>
      <c r="FL22" s="5"/>
      <c r="FM22" s="27"/>
      <c r="FN22" s="28">
        <f t="shared" si="43"/>
        <v>0</v>
      </c>
      <c r="FO22" s="36"/>
      <c r="FP22" s="27"/>
      <c r="FQ22" s="27"/>
      <c r="FR22" s="27"/>
      <c r="FS22" s="27"/>
      <c r="FT22" s="27"/>
      <c r="FU22" s="28">
        <f t="shared" si="44"/>
        <v>0</v>
      </c>
      <c r="FV22" s="36"/>
      <c r="FW22" s="36"/>
      <c r="FX22" s="27"/>
      <c r="FY22" s="27"/>
      <c r="FZ22" s="27"/>
      <c r="GA22" s="27"/>
      <c r="GB22" s="27"/>
      <c r="GC22" s="27"/>
      <c r="GD22" s="27"/>
      <c r="GE22" s="27"/>
      <c r="GF22" s="27"/>
      <c r="GG22" s="33"/>
      <c r="GH22" s="33">
        <f t="shared" si="45"/>
        <v>0</v>
      </c>
      <c r="GI22" s="2674"/>
      <c r="GK22" s="2">
        <f t="shared" si="108"/>
        <v>967.87999999999988</v>
      </c>
      <c r="GL22" s="63">
        <f t="shared" si="109"/>
        <v>4684.59</v>
      </c>
      <c r="GM22" s="24">
        <f t="shared" si="110"/>
        <v>2496.44</v>
      </c>
      <c r="GN22" s="1736">
        <f t="shared" si="46"/>
        <v>8148.91</v>
      </c>
      <c r="GO22" s="141"/>
      <c r="GP22" s="141"/>
      <c r="GQ22" s="33"/>
      <c r="GR22" s="2667"/>
      <c r="GS22" s="1739">
        <v>0</v>
      </c>
      <c r="GT22" s="1721">
        <v>0</v>
      </c>
      <c r="GU22" s="1721">
        <v>3831.7499999999995</v>
      </c>
      <c r="GV22" s="1721">
        <v>4317.1600000000008</v>
      </c>
      <c r="GW22" s="54">
        <f t="shared" si="47"/>
        <v>8148.91</v>
      </c>
      <c r="GX22" s="2667"/>
      <c r="GY22" s="36"/>
      <c r="GZ22" s="36"/>
      <c r="HA22" s="27"/>
      <c r="HB22" s="27"/>
      <c r="HC22" s="27"/>
      <c r="HD22" s="27"/>
      <c r="HE22" s="27"/>
      <c r="HF22" s="27"/>
      <c r="HG22" s="24">
        <v>0</v>
      </c>
      <c r="HH22" s="27"/>
      <c r="HI22" s="24">
        <v>967.87999999999988</v>
      </c>
      <c r="HJ22" s="27"/>
      <c r="HK22" s="24">
        <v>0</v>
      </c>
      <c r="HL22" s="27"/>
      <c r="HM22" s="28">
        <f t="shared" si="120"/>
        <v>967.87999999999988</v>
      </c>
      <c r="HN22" s="36"/>
      <c r="HO22" s="27"/>
      <c r="HP22" s="27"/>
      <c r="HQ22" s="27"/>
      <c r="HR22" s="27"/>
      <c r="HS22" s="27"/>
      <c r="HT22" s="27" cm="1">
        <f t="array" ref="HT22">SUMPRODUCT(('Data Base hauling'!$C$2:$C$216="TCM-ROM SB1 BK05-ROM 4")*(ISNUMBER(SEARCH(TEXT('June TCM'!$B22,"00")&amp;"/03/2026",'Data Base hauling'!$E$2:$E$216)))*'Data Base hauling'!$N$2:$N$216)</f>
        <v>0</v>
      </c>
      <c r="HU22" s="27"/>
      <c r="HV22" s="27" cm="1">
        <f t="array" ref="HV22">SUMPRODUCT(('Data Base hauling'!$C$2:$C$216="TCM-ROM SB1 BK05-ROM 5")*(ISNUMBER(SEARCH(TEXT('June TCM'!$B22,"00")&amp;"/03/2026",'Data Base hauling'!$E$2:$E$216)))*'Data Base hauling'!$N$2:$N$216)</f>
        <v>0</v>
      </c>
      <c r="HW22" s="27"/>
      <c r="HX22" s="27"/>
      <c r="HY22" s="27"/>
      <c r="HZ22" s="27"/>
      <c r="IA22" s="27"/>
      <c r="IB22" s="33">
        <f t="shared" si="49"/>
        <v>0</v>
      </c>
      <c r="IC22" s="363"/>
      <c r="ID22" s="363"/>
      <c r="IE22" s="64"/>
      <c r="IF22" s="64"/>
      <c r="IG22" s="64"/>
      <c r="IH22" s="64"/>
      <c r="II22" s="1926">
        <v>1516.6000000000001</v>
      </c>
      <c r="IJ22" s="1590"/>
      <c r="IK22" s="1926">
        <v>3167.9900000000002</v>
      </c>
      <c r="IL22" s="64"/>
      <c r="IM22" s="1926">
        <v>0</v>
      </c>
      <c r="IN22" s="53"/>
      <c r="IO22" s="53"/>
      <c r="IP22" s="49">
        <f>SUMPRODUCT(('Data Base hauling'!$C$2:$C$216="TCM-HAC1 (Production)-ROM 2(HAC)")*(ISNUMBER(SEARCH(TEXT('June TCM'!$B22,"00")&amp;"/06/2026",'Data Base hauling'!$E$2:$E$216)))*'Data Base hauling'!$N$2:$N$216)</f>
        <v>0</v>
      </c>
      <c r="IQ22" s="2195">
        <f t="shared" si="121"/>
        <v>4684.59</v>
      </c>
      <c r="IR22" s="36"/>
      <c r="IS22" s="36"/>
      <c r="IT22" s="53"/>
      <c r="IU22" s="27"/>
      <c r="IV22" s="53"/>
      <c r="IW22" s="27"/>
      <c r="IX22" s="24">
        <v>0</v>
      </c>
      <c r="IY22" s="27"/>
      <c r="IZ22" s="24">
        <v>2349.65</v>
      </c>
      <c r="JA22" s="27"/>
      <c r="JB22" s="24">
        <v>146.79</v>
      </c>
      <c r="JC22" s="27"/>
      <c r="JD22" s="27"/>
      <c r="JE22" s="27"/>
      <c r="JF22" s="33">
        <f t="shared" si="122"/>
        <v>2496.44</v>
      </c>
      <c r="JG22" s="2667"/>
      <c r="JI22" s="2014">
        <v>4149.5400000000009</v>
      </c>
      <c r="JJ22" s="2015">
        <v>3999.3700000000003</v>
      </c>
      <c r="JK22" s="53"/>
      <c r="JL22" s="53">
        <f t="shared" si="52"/>
        <v>8148.9100000000017</v>
      </c>
      <c r="JM22" s="33"/>
      <c r="JN22" s="2669"/>
      <c r="JO22" s="66">
        <v>0</v>
      </c>
      <c r="JP22" s="67">
        <v>0</v>
      </c>
      <c r="JQ22" s="67">
        <v>0</v>
      </c>
      <c r="JR22" s="67">
        <v>0</v>
      </c>
      <c r="JS22" s="67">
        <v>1</v>
      </c>
      <c r="JT22" s="67">
        <v>0</v>
      </c>
      <c r="JU22" s="67">
        <v>0</v>
      </c>
      <c r="JV22" s="1921">
        <v>0</v>
      </c>
      <c r="JW22" s="66">
        <v>0</v>
      </c>
      <c r="JX22" s="67">
        <v>0</v>
      </c>
      <c r="JY22" s="67">
        <v>0</v>
      </c>
      <c r="JZ22" s="67">
        <v>0.37920972553177124</v>
      </c>
      <c r="KA22" s="67">
        <v>0.34207887742319415</v>
      </c>
      <c r="KB22" s="67">
        <v>0.27871139704503461</v>
      </c>
      <c r="KC22" s="67">
        <v>0</v>
      </c>
      <c r="KD22" s="68">
        <v>0</v>
      </c>
      <c r="KE22" s="69"/>
      <c r="KF22" s="70"/>
      <c r="KG22" s="70"/>
      <c r="KH22" s="70"/>
      <c r="KI22" s="70"/>
      <c r="KJ22" s="70"/>
      <c r="KK22" s="70"/>
      <c r="KL22" s="70"/>
      <c r="KM22" s="33"/>
      <c r="KN22" s="2669"/>
      <c r="KO22" s="2203">
        <v>7031</v>
      </c>
      <c r="KP22" s="1721">
        <v>0.73</v>
      </c>
      <c r="KQ22" s="1721">
        <v>2.91</v>
      </c>
      <c r="KR22" s="1721">
        <v>7.01</v>
      </c>
      <c r="KS22" s="1722">
        <v>10.43</v>
      </c>
      <c r="KT22" s="1958">
        <v>6401</v>
      </c>
      <c r="KU22" s="1961">
        <v>2.89</v>
      </c>
      <c r="KV22" s="1961">
        <v>16.399999999999999</v>
      </c>
      <c r="KW22" s="1961">
        <v>3.71</v>
      </c>
      <c r="KX22" s="1962">
        <v>12.31</v>
      </c>
      <c r="KY22" s="36"/>
      <c r="KZ22" s="53"/>
      <c r="LA22" s="53"/>
      <c r="LB22" s="53"/>
      <c r="LC22" s="53"/>
      <c r="LD22" s="33"/>
      <c r="LE22" s="2669"/>
      <c r="LG22" s="4">
        <f t="shared" si="53"/>
        <v>8266.469000000001</v>
      </c>
      <c r="LH22" s="27">
        <f t="shared" si="53"/>
        <v>6785.4410000000007</v>
      </c>
      <c r="LI22" s="27">
        <f t="shared" si="53"/>
        <v>0</v>
      </c>
      <c r="LJ22" s="28">
        <f t="shared" si="54"/>
        <v>15051.910000000002</v>
      </c>
      <c r="LK22" s="36">
        <v>2</v>
      </c>
      <c r="LL22" s="27"/>
      <c r="LM22" s="27"/>
      <c r="LN22" s="33"/>
      <c r="LO22" s="1041">
        <v>6.25</v>
      </c>
      <c r="LP22" s="486"/>
      <c r="LQ22" s="2688"/>
      <c r="LR22" s="2269"/>
      <c r="LS22" s="2269"/>
      <c r="LT22" s="27"/>
      <c r="LU22" s="27"/>
      <c r="LV22" s="27"/>
      <c r="LW22" s="1117">
        <f t="shared" si="55"/>
        <v>0</v>
      </c>
      <c r="LX22" s="2269">
        <v>8266.469000000001</v>
      </c>
      <c r="LY22" s="2269">
        <v>6785.4410000000007</v>
      </c>
      <c r="LZ22" s="27"/>
      <c r="MA22" s="27"/>
      <c r="MB22" s="33"/>
      <c r="MC22" s="28">
        <f t="shared" si="56"/>
        <v>15051.910000000002</v>
      </c>
      <c r="MD22" s="26"/>
      <c r="ME22" s="36"/>
      <c r="MF22" s="27"/>
      <c r="MG22" s="27"/>
      <c r="MH22" s="27"/>
      <c r="MI22" s="28"/>
      <c r="MJ22" s="36"/>
      <c r="MK22" s="36"/>
      <c r="ML22" s="27"/>
      <c r="MM22" s="27"/>
      <c r="MN22" s="27"/>
      <c r="MO22" s="28"/>
      <c r="MP22" s="36"/>
      <c r="MQ22" s="36"/>
      <c r="MR22" s="27"/>
      <c r="MS22" s="27"/>
      <c r="MT22" s="27"/>
      <c r="MU22" s="33">
        <f t="shared" si="57"/>
        <v>0</v>
      </c>
      <c r="MV22" s="2688"/>
      <c r="MX22" s="26">
        <f t="shared" si="58"/>
        <v>140705.04357596437</v>
      </c>
      <c r="MY22" s="27">
        <f t="shared" si="59"/>
        <v>149846.98785017914</v>
      </c>
      <c r="MZ22" s="27">
        <f t="shared" si="60"/>
        <v>21994.678559023403</v>
      </c>
      <c r="NA22" s="28">
        <f t="shared" si="61"/>
        <v>426654.1685585099</v>
      </c>
      <c r="NB22" s="2621"/>
      <c r="NC22" s="23">
        <f t="shared" si="123"/>
        <v>56950.780867469497</v>
      </c>
      <c r="ND22" s="1579">
        <f t="shared" si="124"/>
        <v>83754.262708494876</v>
      </c>
      <c r="NE22" s="60">
        <f t="shared" si="64"/>
        <v>0</v>
      </c>
      <c r="NF22" s="275">
        <f t="shared" si="4"/>
        <v>140705.04357596437</v>
      </c>
      <c r="NG22" s="26">
        <f t="shared" si="65"/>
        <v>0</v>
      </c>
      <c r="NH22" s="27">
        <f t="shared" si="65"/>
        <v>0</v>
      </c>
      <c r="NI22" s="27">
        <f t="shared" si="65"/>
        <v>0</v>
      </c>
      <c r="NJ22" s="27">
        <f t="shared" si="65"/>
        <v>0</v>
      </c>
      <c r="NK22" s="27">
        <f t="shared" si="65"/>
        <v>0</v>
      </c>
      <c r="NL22" s="33">
        <f t="shared" si="65"/>
        <v>0</v>
      </c>
      <c r="NM22" s="27">
        <f t="shared" si="65"/>
        <v>0</v>
      </c>
      <c r="NN22" s="36">
        <f t="shared" si="65"/>
        <v>0</v>
      </c>
      <c r="NO22" s="24">
        <f t="shared" si="111"/>
        <v>1828.3342192005614</v>
      </c>
      <c r="NP22" s="27">
        <f t="shared" si="65"/>
        <v>26196.696072681989</v>
      </c>
      <c r="NQ22" s="24">
        <f t="shared" si="112"/>
        <v>8756.5482322711578</v>
      </c>
      <c r="NR22" s="24">
        <f t="shared" si="113"/>
        <v>750.94484698760152</v>
      </c>
      <c r="NS22" s="27">
        <f t="shared" si="0"/>
        <v>37532.523371141309</v>
      </c>
      <c r="NT22" s="27">
        <f t="shared" si="66"/>
        <v>0</v>
      </c>
      <c r="NU22" s="27">
        <f t="shared" si="66"/>
        <v>0</v>
      </c>
      <c r="NV22" s="27">
        <f t="shared" si="66"/>
        <v>0</v>
      </c>
      <c r="NW22" s="27">
        <f t="shared" si="66"/>
        <v>0</v>
      </c>
      <c r="NX22" s="27">
        <f t="shared" si="66"/>
        <v>0</v>
      </c>
      <c r="NY22" s="27">
        <f t="shared" si="66"/>
        <v>0</v>
      </c>
      <c r="NZ22" s="27">
        <f t="shared" si="66"/>
        <v>5530.4803682352485</v>
      </c>
      <c r="OA22" s="27">
        <f t="shared" si="66"/>
        <v>0</v>
      </c>
      <c r="OB22" s="27">
        <f t="shared" si="66"/>
        <v>62686.927327968027</v>
      </c>
      <c r="OC22" s="280"/>
      <c r="OD22" s="24">
        <f t="shared" si="67"/>
        <v>454.51223506073143</v>
      </c>
      <c r="OE22" s="27">
        <f t="shared" ref="OE22:OE37" si="127">+OE21+DQ22-IN22</f>
        <v>0</v>
      </c>
      <c r="OF22" s="28">
        <f t="shared" si="1"/>
        <v>68671.919931263998</v>
      </c>
      <c r="OG22" s="27">
        <f t="shared" si="68"/>
        <v>0</v>
      </c>
      <c r="OH22" s="27">
        <f t="shared" si="68"/>
        <v>0</v>
      </c>
      <c r="OI22" s="27">
        <v>0</v>
      </c>
      <c r="OJ22" s="27">
        <f t="shared" si="68"/>
        <v>0</v>
      </c>
      <c r="OK22" s="27">
        <f t="shared" si="68"/>
        <v>0</v>
      </c>
      <c r="OL22" s="27">
        <f t="shared" si="68"/>
        <v>0</v>
      </c>
      <c r="OM22" s="24">
        <f t="shared" si="68"/>
        <v>0</v>
      </c>
      <c r="ON22" s="27">
        <f t="shared" si="68"/>
        <v>0</v>
      </c>
      <c r="OO22" s="24">
        <f t="shared" si="118"/>
        <v>42900.864547773839</v>
      </c>
      <c r="OP22" s="27">
        <f t="shared" si="68"/>
        <v>0</v>
      </c>
      <c r="OQ22" s="24">
        <f t="shared" si="68"/>
        <v>741.68000000000006</v>
      </c>
      <c r="OR22" s="27">
        <f t="shared" si="68"/>
        <v>0</v>
      </c>
      <c r="OS22" s="28">
        <f t="shared" si="2"/>
        <v>43642.544547773839</v>
      </c>
      <c r="OT22" s="36"/>
      <c r="OU22" s="27"/>
      <c r="OV22" s="27"/>
      <c r="OW22" s="27"/>
      <c r="OX22" s="27"/>
      <c r="OY22" s="27"/>
      <c r="OZ22" s="28">
        <f t="shared" si="69"/>
        <v>0</v>
      </c>
      <c r="PA22" s="36">
        <f t="shared" si="70"/>
        <v>0</v>
      </c>
      <c r="PB22" s="27">
        <f t="shared" si="71"/>
        <v>0</v>
      </c>
      <c r="PC22" s="27">
        <f t="shared" si="72"/>
        <v>0</v>
      </c>
      <c r="PD22" s="27">
        <f t="shared" si="73"/>
        <v>0</v>
      </c>
      <c r="PE22" s="24"/>
      <c r="PF22" s="27">
        <f t="shared" si="74"/>
        <v>0</v>
      </c>
      <c r="PG22" s="33">
        <f t="shared" si="3"/>
        <v>0</v>
      </c>
      <c r="PH22" s="2621"/>
      <c r="PJ22" s="1907">
        <v>768.46</v>
      </c>
      <c r="PK22" s="1101">
        <v>270</v>
      </c>
      <c r="PL22" s="1101">
        <v>90</v>
      </c>
      <c r="PM22" s="1101">
        <v>0</v>
      </c>
      <c r="PN22" s="3">
        <v>33082.749776580691</v>
      </c>
      <c r="PO22" s="11">
        <f t="shared" si="75"/>
        <v>21994.678559023403</v>
      </c>
      <c r="PP22" s="15"/>
      <c r="PQ22" s="2615"/>
      <c r="PS22" s="4"/>
      <c r="PT22" s="9"/>
      <c r="PU22" s="9"/>
      <c r="PV22" s="9"/>
      <c r="PW22" s="8">
        <v>0</v>
      </c>
      <c r="PX22" s="9"/>
      <c r="PY22" s="8">
        <f t="shared" si="76"/>
        <v>0</v>
      </c>
      <c r="PZ22" s="5">
        <f t="shared" si="77"/>
        <v>768.46</v>
      </c>
      <c r="QA22" s="5"/>
      <c r="QB22" s="5"/>
      <c r="QC22" s="5"/>
      <c r="QD22" s="5"/>
      <c r="QE22" s="5"/>
      <c r="QF22" s="12"/>
      <c r="QG22" s="12">
        <f t="shared" si="78"/>
        <v>29562.488999999998</v>
      </c>
      <c r="QH22" s="420">
        <f t="shared" si="79"/>
        <v>394966.93955850991</v>
      </c>
      <c r="QI22" s="1106">
        <f t="shared" si="80"/>
        <v>2124.7399999999998</v>
      </c>
      <c r="QJ22" s="484">
        <f t="shared" si="81"/>
        <v>5505.3678056099998</v>
      </c>
      <c r="QK22" s="12"/>
      <c r="QL22" s="2615"/>
      <c r="QN22" s="139">
        <f t="shared" si="82"/>
        <v>0</v>
      </c>
      <c r="QO22" s="139" t="str">
        <f t="shared" si="83"/>
        <v/>
      </c>
      <c r="QQ22" s="139">
        <f t="shared" si="84"/>
        <v>0</v>
      </c>
      <c r="QR22" s="139">
        <f t="shared" si="85"/>
        <v>0</v>
      </c>
      <c r="QT22" s="1">
        <f t="shared" si="86"/>
        <v>0</v>
      </c>
      <c r="QU22" s="1">
        <f t="shared" si="87"/>
        <v>0</v>
      </c>
      <c r="QV22" s="1">
        <f t="shared" si="88"/>
        <v>0</v>
      </c>
      <c r="QW22" s="1">
        <f t="shared" si="89"/>
        <v>0</v>
      </c>
      <c r="QX22" s="1">
        <f t="shared" si="90"/>
        <v>0</v>
      </c>
      <c r="QY22" s="1">
        <f t="shared" si="91"/>
        <v>0</v>
      </c>
      <c r="RA22" s="1">
        <f t="shared" si="92"/>
        <v>0</v>
      </c>
      <c r="RB22" s="1">
        <f t="shared" si="93"/>
        <v>0</v>
      </c>
      <c r="RC22" s="1">
        <f t="shared" si="94"/>
        <v>0</v>
      </c>
      <c r="RD22" s="1">
        <f t="shared" si="95"/>
        <v>0</v>
      </c>
      <c r="RE22" s="1">
        <f t="shared" si="96"/>
        <v>0</v>
      </c>
      <c r="RF22" s="1">
        <f t="shared" si="97"/>
        <v>0</v>
      </c>
      <c r="RI22" s="1">
        <v>13</v>
      </c>
      <c r="RJ22" s="1">
        <f t="shared" si="125"/>
        <v>18244.856209717102</v>
      </c>
      <c r="RK22" s="1">
        <f t="shared" si="125"/>
        <v>7566.8207804837184</v>
      </c>
      <c r="RL22" s="1">
        <f t="shared" si="125"/>
        <v>13404.263703387322</v>
      </c>
      <c r="RM22" s="89">
        <f t="shared" si="5"/>
        <v>39215.940693588142</v>
      </c>
      <c r="RN22" s="1033">
        <v>13</v>
      </c>
      <c r="RO22" s="1098">
        <f t="shared" si="99"/>
        <v>0</v>
      </c>
      <c r="RP22" s="1098">
        <f t="shared" si="100"/>
        <v>0</v>
      </c>
      <c r="RQ22" s="1097">
        <f t="shared" si="100"/>
        <v>0</v>
      </c>
      <c r="RR22" s="1097">
        <f t="shared" si="101"/>
        <v>9075.58</v>
      </c>
      <c r="RS22" s="1050"/>
      <c r="RT22" s="1050" t="s">
        <v>326</v>
      </c>
      <c r="RU22" s="1048"/>
      <c r="RW22" s="421">
        <v>13</v>
      </c>
      <c r="RX22" s="1095">
        <f t="shared" si="102"/>
        <v>8148.91</v>
      </c>
      <c r="RY22" s="1050" t="s">
        <v>327</v>
      </c>
      <c r="RZ22" s="1048"/>
      <c r="SA22" s="1090"/>
      <c r="SB22" s="1090">
        <f t="shared" si="103"/>
        <v>0</v>
      </c>
      <c r="SC22" s="1090"/>
      <c r="SD22" s="1090">
        <f t="shared" si="126"/>
        <v>0</v>
      </c>
      <c r="SF22" s="1">
        <v>13</v>
      </c>
      <c r="SG22" s="1">
        <f t="shared" si="105"/>
        <v>0</v>
      </c>
    </row>
    <row r="23" spans="1:502" s="1" customFormat="1" ht="15" customHeight="1">
      <c r="A23" s="1">
        <v>160</v>
      </c>
      <c r="B23" s="471">
        <v>14</v>
      </c>
      <c r="C23" s="4">
        <f t="shared" si="6"/>
        <v>167216</v>
      </c>
      <c r="D23" s="1726">
        <f t="shared" si="119"/>
        <v>12265.85</v>
      </c>
      <c r="E23" s="1895">
        <f t="shared" si="7"/>
        <v>13.632646738709505</v>
      </c>
      <c r="F23" s="870"/>
      <c r="G23" s="870"/>
      <c r="H23" s="52"/>
      <c r="I23" s="61"/>
      <c r="J23" s="52"/>
      <c r="K23" s="54"/>
      <c r="L23" s="52">
        <v>3</v>
      </c>
      <c r="M23" s="61">
        <v>4.1500000000000004</v>
      </c>
      <c r="N23" s="2629"/>
      <c r="O23" s="4">
        <f t="shared" si="117"/>
        <v>93408</v>
      </c>
      <c r="P23" s="1225">
        <f t="shared" si="8"/>
        <v>9335.19</v>
      </c>
      <c r="Q23" s="1913">
        <f t="shared" si="9"/>
        <v>10.00600951882072</v>
      </c>
      <c r="R23" s="33"/>
      <c r="S23" s="26">
        <f t="shared" si="10"/>
        <v>42629</v>
      </c>
      <c r="T23" s="27">
        <f t="shared" si="107"/>
        <v>2010.66</v>
      </c>
      <c r="U23" s="1909">
        <f t="shared" si="11"/>
        <v>21.201496026180457</v>
      </c>
      <c r="V23" s="28"/>
      <c r="W23" s="26">
        <f t="shared" si="12"/>
        <v>31179</v>
      </c>
      <c r="X23" s="5">
        <f t="shared" si="12"/>
        <v>920</v>
      </c>
      <c r="Y23" s="1909">
        <f t="shared" si="13"/>
        <v>33.890217391304347</v>
      </c>
      <c r="Z23" s="33"/>
      <c r="AA23" s="26">
        <f t="shared" si="14"/>
        <v>0</v>
      </c>
      <c r="AB23" s="27">
        <f t="shared" si="15"/>
        <v>0</v>
      </c>
      <c r="AC23" s="53">
        <f t="shared" si="16"/>
        <v>0</v>
      </c>
      <c r="AD23" s="28"/>
      <c r="AE23" s="36"/>
      <c r="AF23" s="36"/>
      <c r="AG23" s="53">
        <f t="shared" si="17"/>
        <v>0</v>
      </c>
      <c r="AH23" s="28"/>
      <c r="AI23" s="26"/>
      <c r="AJ23" s="27"/>
      <c r="AK23" s="53">
        <f t="shared" si="18"/>
        <v>0</v>
      </c>
      <c r="AL23" s="28"/>
      <c r="AM23" s="2629"/>
      <c r="AN23" s="9"/>
      <c r="AO23" s="5"/>
      <c r="AP23" s="61">
        <f t="shared" si="19"/>
        <v>0</v>
      </c>
      <c r="AQ23" s="36"/>
      <c r="AR23" s="53"/>
      <c r="AS23" s="61">
        <f t="shared" si="20"/>
        <v>0</v>
      </c>
      <c r="AT23" s="36">
        <v>0</v>
      </c>
      <c r="AU23" s="27"/>
      <c r="AV23" s="54">
        <f t="shared" si="21"/>
        <v>0</v>
      </c>
      <c r="AW23" s="26">
        <v>50988</v>
      </c>
      <c r="AX23" s="27">
        <v>5438.72</v>
      </c>
      <c r="AY23" s="1895">
        <f t="shared" si="115"/>
        <v>9.375</v>
      </c>
      <c r="AZ23" s="1908"/>
      <c r="BA23" s="1909"/>
      <c r="BB23" s="1895">
        <f t="shared" si="22"/>
        <v>0</v>
      </c>
      <c r="BC23" s="1740">
        <v>42420</v>
      </c>
      <c r="BD23" s="1926">
        <v>3896.47</v>
      </c>
      <c r="BE23" s="1895">
        <f t="shared" si="23"/>
        <v>10.886777005854016</v>
      </c>
      <c r="BF23" s="1908"/>
      <c r="BG23" s="1909"/>
      <c r="BH23" s="1895">
        <f t="shared" si="24"/>
        <v>0</v>
      </c>
      <c r="BI23" s="1908">
        <v>0</v>
      </c>
      <c r="BJ23" s="1909">
        <v>0</v>
      </c>
      <c r="BK23" s="1895">
        <f t="shared" si="25"/>
        <v>0</v>
      </c>
      <c r="BL23" s="1742">
        <v>42629</v>
      </c>
      <c r="BM23" s="1909">
        <v>2010.66</v>
      </c>
      <c r="BN23" s="2170"/>
      <c r="BO23" s="1911">
        <f t="shared" si="26"/>
        <v>21.201496026180457</v>
      </c>
      <c r="BP23" s="9"/>
      <c r="BQ23" s="64"/>
      <c r="BR23" s="482">
        <f t="shared" si="27"/>
        <v>0</v>
      </c>
      <c r="BS23" s="9"/>
      <c r="BT23" s="64"/>
      <c r="BU23" s="482">
        <f t="shared" si="28"/>
        <v>0</v>
      </c>
      <c r="BV23" s="9">
        <v>31179</v>
      </c>
      <c r="BW23" s="27">
        <v>920</v>
      </c>
      <c r="BX23" s="1051">
        <f t="shared" si="29"/>
        <v>33.890217391304347</v>
      </c>
      <c r="BY23" s="26"/>
      <c r="BZ23" s="27"/>
      <c r="CA23" s="482">
        <f t="shared" si="30"/>
        <v>0</v>
      </c>
      <c r="CB23" s="9"/>
      <c r="CC23" s="481"/>
      <c r="CD23" s="482">
        <f t="shared" si="31"/>
        <v>0</v>
      </c>
      <c r="CE23" s="4"/>
      <c r="CF23" s="5"/>
      <c r="CG23" s="28">
        <f t="shared" si="32"/>
        <v>0</v>
      </c>
      <c r="CH23" s="150"/>
      <c r="CI23" s="1108"/>
      <c r="CJ23" s="5"/>
      <c r="CK23" s="5">
        <v>3030</v>
      </c>
      <c r="CL23" s="5"/>
      <c r="CM23" s="5"/>
      <c r="CN23" s="5"/>
      <c r="CO23" s="33"/>
      <c r="CP23" s="366"/>
      <c r="CR23" s="4">
        <f t="shared" si="33"/>
        <v>0</v>
      </c>
      <c r="CS23" s="9">
        <f t="shared" si="33"/>
        <v>0</v>
      </c>
      <c r="CT23" s="5">
        <f t="shared" si="33"/>
        <v>0</v>
      </c>
      <c r="CU23" s="5">
        <f t="shared" si="33"/>
        <v>0</v>
      </c>
      <c r="CV23" s="5">
        <f t="shared" si="33"/>
        <v>0</v>
      </c>
      <c r="CW23" s="5">
        <f t="shared" si="33"/>
        <v>0</v>
      </c>
      <c r="CX23" s="5">
        <f t="shared" si="33"/>
        <v>1652.3999999999999</v>
      </c>
      <c r="CY23" s="5">
        <f t="shared" si="33"/>
        <v>0</v>
      </c>
      <c r="CZ23" s="5">
        <f t="shared" si="33"/>
        <v>8769.91</v>
      </c>
      <c r="DA23" s="5">
        <f t="shared" si="33"/>
        <v>0</v>
      </c>
      <c r="DB23" s="5">
        <f t="shared" si="33"/>
        <v>1843.54</v>
      </c>
      <c r="DC23" s="12">
        <f t="shared" si="33"/>
        <v>0</v>
      </c>
      <c r="DD23" s="310">
        <f t="shared" si="34"/>
        <v>12265.849999999999</v>
      </c>
      <c r="DE23" s="2695"/>
      <c r="DF23" s="8"/>
      <c r="DG23" s="9"/>
      <c r="DH23" s="5"/>
      <c r="DI23" s="5"/>
      <c r="DJ23" s="5"/>
      <c r="DK23" s="5"/>
      <c r="DL23" s="3">
        <v>1652.3999999999999</v>
      </c>
      <c r="DM23" s="5"/>
      <c r="DN23" s="3">
        <v>3786.32</v>
      </c>
      <c r="DO23" s="5"/>
      <c r="DP23" s="5"/>
      <c r="DQ23" s="12"/>
      <c r="DR23" s="28">
        <f t="shared" si="35"/>
        <v>5438.72</v>
      </c>
      <c r="DS23" s="36"/>
      <c r="DT23" s="9"/>
      <c r="DU23" s="5"/>
      <c r="DV23" s="5"/>
      <c r="DW23" s="5"/>
      <c r="DX23" s="5"/>
      <c r="DY23" s="5"/>
      <c r="DZ23" s="5"/>
      <c r="EA23" s="3">
        <v>4983.59</v>
      </c>
      <c r="EB23" s="27"/>
      <c r="EC23" s="24">
        <v>923.54</v>
      </c>
      <c r="ED23" s="33"/>
      <c r="EE23" s="28">
        <f t="shared" si="36"/>
        <v>5907.13</v>
      </c>
      <c r="EF23" s="9"/>
      <c r="EG23" s="36"/>
      <c r="EH23" s="5"/>
      <c r="EI23" s="27"/>
      <c r="EJ23" s="27"/>
      <c r="EK23" s="27"/>
      <c r="EL23" s="27"/>
      <c r="EM23" s="27"/>
      <c r="EN23" s="5"/>
      <c r="EO23" s="5"/>
      <c r="EP23" s="5">
        <v>920</v>
      </c>
      <c r="EQ23" s="33"/>
      <c r="ER23" s="28">
        <f t="shared" si="37"/>
        <v>920</v>
      </c>
      <c r="ES23" s="36"/>
      <c r="ET23" s="27"/>
      <c r="EU23" s="27"/>
      <c r="EV23" s="27"/>
      <c r="EW23" s="27"/>
      <c r="EX23" s="27"/>
      <c r="EY23" s="33">
        <f t="shared" si="38"/>
        <v>0</v>
      </c>
      <c r="EZ23" s="2685"/>
      <c r="FB23" s="4">
        <f t="shared" si="39"/>
        <v>0</v>
      </c>
      <c r="FC23" s="5">
        <f t="shared" si="40"/>
        <v>0</v>
      </c>
      <c r="FD23" s="5">
        <f t="shared" si="41"/>
        <v>0</v>
      </c>
      <c r="FE23" s="12">
        <f t="shared" si="42"/>
        <v>0</v>
      </c>
      <c r="FF23" s="33"/>
      <c r="FG23" s="2674"/>
      <c r="FH23" s="9"/>
      <c r="FI23" s="5"/>
      <c r="FJ23" s="5"/>
      <c r="FK23" s="5"/>
      <c r="FL23" s="5"/>
      <c r="FM23" s="27"/>
      <c r="FN23" s="28">
        <f t="shared" si="43"/>
        <v>0</v>
      </c>
      <c r="FO23" s="36"/>
      <c r="FP23" s="27"/>
      <c r="FQ23" s="27"/>
      <c r="FR23" s="27"/>
      <c r="FS23" s="27"/>
      <c r="FT23" s="27"/>
      <c r="FU23" s="28">
        <f t="shared" si="44"/>
        <v>0</v>
      </c>
      <c r="FV23" s="36"/>
      <c r="FW23" s="36"/>
      <c r="FX23" s="27"/>
      <c r="FY23" s="27"/>
      <c r="FZ23" s="27"/>
      <c r="GA23" s="27"/>
      <c r="GB23" s="27"/>
      <c r="GC23" s="27"/>
      <c r="GD23" s="27"/>
      <c r="GE23" s="27"/>
      <c r="GF23" s="27"/>
      <c r="GG23" s="33"/>
      <c r="GH23" s="33">
        <f t="shared" si="45"/>
        <v>0</v>
      </c>
      <c r="GI23" s="2674"/>
      <c r="GK23" s="2">
        <f t="shared" si="108"/>
        <v>0</v>
      </c>
      <c r="GL23" s="63">
        <f t="shared" si="109"/>
        <v>1542.85</v>
      </c>
      <c r="GM23" s="24">
        <f t="shared" si="110"/>
        <v>6633.4400000000005</v>
      </c>
      <c r="GN23" s="1736">
        <f t="shared" si="46"/>
        <v>8176.2900000000009</v>
      </c>
      <c r="GO23" s="141"/>
      <c r="GP23" s="141"/>
      <c r="GQ23" s="33"/>
      <c r="GR23" s="2667"/>
      <c r="GS23" s="1739">
        <v>0</v>
      </c>
      <c r="GT23" s="1721">
        <v>0</v>
      </c>
      <c r="GU23" s="1721">
        <v>3984.0299999999997</v>
      </c>
      <c r="GV23" s="1721">
        <v>4192.26</v>
      </c>
      <c r="GW23" s="54">
        <f t="shared" si="47"/>
        <v>8176.29</v>
      </c>
      <c r="GX23" s="2667"/>
      <c r="GY23" s="36"/>
      <c r="GZ23" s="36"/>
      <c r="HA23" s="27"/>
      <c r="HB23" s="27"/>
      <c r="HC23" s="27"/>
      <c r="HD23" s="27"/>
      <c r="HE23" s="27"/>
      <c r="HF23" s="27"/>
      <c r="HG23" s="24">
        <v>0</v>
      </c>
      <c r="HH23" s="27"/>
      <c r="HI23" s="24">
        <v>0</v>
      </c>
      <c r="HJ23" s="27"/>
      <c r="HK23" s="24">
        <v>0</v>
      </c>
      <c r="HL23" s="27"/>
      <c r="HM23" s="28">
        <f t="shared" si="120"/>
        <v>0</v>
      </c>
      <c r="HN23" s="36"/>
      <c r="HO23" s="27"/>
      <c r="HP23" s="27"/>
      <c r="HQ23" s="27"/>
      <c r="HR23" s="27"/>
      <c r="HS23" s="27"/>
      <c r="HT23" s="27" cm="1">
        <f t="array" ref="HT23">SUMPRODUCT(('Data Base hauling'!$C$2:$C$216="TCM-ROM SB1 BK05-ROM 4")*(ISNUMBER(SEARCH(TEXT('June TCM'!$B23,"00")&amp;"/03/2026",'Data Base hauling'!$E$2:$E$216)))*'Data Base hauling'!$N$2:$N$216)</f>
        <v>0</v>
      </c>
      <c r="HU23" s="27"/>
      <c r="HV23" s="27" cm="1">
        <f t="array" ref="HV23">SUMPRODUCT(('Data Base hauling'!$C$2:$C$216="TCM-ROM SB1 BK05-ROM 5")*(ISNUMBER(SEARCH(TEXT('June TCM'!$B23,"00")&amp;"/03/2026",'Data Base hauling'!$E$2:$E$216)))*'Data Base hauling'!$N$2:$N$216)</f>
        <v>0</v>
      </c>
      <c r="HW23" s="27"/>
      <c r="HX23" s="27"/>
      <c r="HY23" s="27"/>
      <c r="HZ23" s="27"/>
      <c r="IA23" s="27"/>
      <c r="IB23" s="33">
        <f t="shared" si="49"/>
        <v>0</v>
      </c>
      <c r="IC23" s="52"/>
      <c r="ID23" s="152"/>
      <c r="IE23" s="53"/>
      <c r="IF23" s="53"/>
      <c r="IG23" s="53"/>
      <c r="IH23" s="53"/>
      <c r="II23" s="1926">
        <v>0</v>
      </c>
      <c r="IJ23" s="1736"/>
      <c r="IK23" s="1926">
        <v>1542.85</v>
      </c>
      <c r="IL23" s="53"/>
      <c r="IM23" s="49">
        <v>0</v>
      </c>
      <c r="IN23" s="53"/>
      <c r="IO23" s="53"/>
      <c r="IP23" s="49">
        <f>SUMPRODUCT(('Data Base hauling'!$C$2:$C$216="TCM-HAC1 (Production)-ROM 2(HAC)")*(ISNUMBER(SEARCH(TEXT('June TCM'!$B23,"00")&amp;"/06/2026",'Data Base hauling'!$E$2:$E$216)))*'Data Base hauling'!$N$2:$N$216)</f>
        <v>0</v>
      </c>
      <c r="IQ23" s="2195">
        <f t="shared" si="121"/>
        <v>1542.85</v>
      </c>
      <c r="IR23" s="36"/>
      <c r="IS23" s="36"/>
      <c r="IT23" s="27"/>
      <c r="IU23" s="27"/>
      <c r="IV23" s="53"/>
      <c r="IW23" s="27"/>
      <c r="IX23" s="24">
        <v>0</v>
      </c>
      <c r="IY23" s="27"/>
      <c r="IZ23" s="24">
        <v>6633.4400000000005</v>
      </c>
      <c r="JA23" s="27"/>
      <c r="JB23" s="24">
        <v>0</v>
      </c>
      <c r="JC23" s="27"/>
      <c r="JD23" s="27"/>
      <c r="JE23" s="27"/>
      <c r="JF23" s="33">
        <f t="shared" si="122"/>
        <v>6633.4400000000005</v>
      </c>
      <c r="JG23" s="2667"/>
      <c r="JI23" s="2014">
        <v>8176.2899999999991</v>
      </c>
      <c r="JJ23" s="2015">
        <v>0</v>
      </c>
      <c r="JK23" s="53"/>
      <c r="JL23" s="53">
        <f t="shared" si="52"/>
        <v>8176.2899999999991</v>
      </c>
      <c r="JM23" s="33"/>
      <c r="JN23" s="2669"/>
      <c r="JO23" s="66">
        <v>0</v>
      </c>
      <c r="JP23" s="67">
        <v>0</v>
      </c>
      <c r="JQ23" s="67">
        <v>0</v>
      </c>
      <c r="JR23" s="67">
        <v>0</v>
      </c>
      <c r="JS23" s="67">
        <v>1</v>
      </c>
      <c r="JT23" s="67">
        <v>0</v>
      </c>
      <c r="JU23" s="67">
        <v>0</v>
      </c>
      <c r="JV23" s="1921">
        <v>0</v>
      </c>
      <c r="JW23" s="66" t="s">
        <v>296</v>
      </c>
      <c r="JX23" s="67" t="s">
        <v>296</v>
      </c>
      <c r="JY23" s="67" t="s">
        <v>296</v>
      </c>
      <c r="JZ23" s="67" t="s">
        <v>296</v>
      </c>
      <c r="KA23" s="67" t="s">
        <v>296</v>
      </c>
      <c r="KB23" s="67" t="s">
        <v>296</v>
      </c>
      <c r="KC23" s="67" t="s">
        <v>296</v>
      </c>
      <c r="KD23" s="68" t="s">
        <v>296</v>
      </c>
      <c r="KE23" s="69"/>
      <c r="KF23" s="70"/>
      <c r="KG23" s="70"/>
      <c r="KH23" s="70"/>
      <c r="KI23" s="70"/>
      <c r="KJ23" s="70"/>
      <c r="KK23" s="70"/>
      <c r="KL23" s="70"/>
      <c r="KM23" s="33"/>
      <c r="KN23" s="2669"/>
      <c r="KO23" s="2203">
        <v>6917.1584268277647</v>
      </c>
      <c r="KP23" s="1721">
        <v>1.1840389594378005</v>
      </c>
      <c r="KQ23" s="1721">
        <v>4.1288201208235726</v>
      </c>
      <c r="KR23" s="1721">
        <v>7.0647145851313029</v>
      </c>
      <c r="KS23" s="1722">
        <v>11.011108371347554</v>
      </c>
      <c r="KT23" s="1958">
        <v>0</v>
      </c>
      <c r="KU23" s="1961">
        <v>0</v>
      </c>
      <c r="KV23" s="1961">
        <v>0</v>
      </c>
      <c r="KW23" s="1961">
        <v>0</v>
      </c>
      <c r="KX23" s="1962">
        <v>0</v>
      </c>
      <c r="KY23" s="36"/>
      <c r="KZ23" s="53"/>
      <c r="LA23" s="53"/>
      <c r="LB23" s="53"/>
      <c r="LC23" s="53"/>
      <c r="LD23" s="33"/>
      <c r="LE23" s="2669"/>
      <c r="LG23" s="4">
        <f t="shared" si="53"/>
        <v>0</v>
      </c>
      <c r="LH23" s="27">
        <f t="shared" si="53"/>
        <v>0</v>
      </c>
      <c r="LI23" s="27">
        <f t="shared" si="53"/>
        <v>0</v>
      </c>
      <c r="LJ23" s="28">
        <f t="shared" si="54"/>
        <v>0</v>
      </c>
      <c r="LK23" s="36"/>
      <c r="LL23" s="27"/>
      <c r="LM23" s="27">
        <v>1</v>
      </c>
      <c r="LN23" s="33"/>
      <c r="LO23" s="1957">
        <v>6.8</v>
      </c>
      <c r="LP23" s="486"/>
      <c r="LQ23" s="2688"/>
      <c r="LR23" s="2269"/>
      <c r="LS23" s="2269"/>
      <c r="LT23" s="27"/>
      <c r="LU23" s="27"/>
      <c r="LV23" s="27"/>
      <c r="LW23" s="1117">
        <f t="shared" si="55"/>
        <v>0</v>
      </c>
      <c r="LX23" s="2269"/>
      <c r="LY23" s="2269"/>
      <c r="LZ23" s="27"/>
      <c r="MA23" s="27"/>
      <c r="MB23" s="33"/>
      <c r="MC23" s="28">
        <f t="shared" si="56"/>
        <v>0</v>
      </c>
      <c r="MD23" s="26"/>
      <c r="ME23" s="36"/>
      <c r="MF23" s="27"/>
      <c r="MG23" s="27"/>
      <c r="MH23" s="27"/>
      <c r="MI23" s="28"/>
      <c r="MJ23" s="36"/>
      <c r="MK23" s="36"/>
      <c r="ML23" s="27"/>
      <c r="MM23" s="27"/>
      <c r="MN23" s="27"/>
      <c r="MO23" s="28"/>
      <c r="MP23" s="36"/>
      <c r="MQ23" s="36"/>
      <c r="MR23" s="27"/>
      <c r="MS23" s="27"/>
      <c r="MT23" s="27"/>
      <c r="MU23" s="33">
        <f t="shared" si="57"/>
        <v>0</v>
      </c>
      <c r="MV23" s="2688"/>
      <c r="MX23" s="26">
        <f t="shared" si="58"/>
        <v>148881.33357596438</v>
      </c>
      <c r="MY23" s="27">
        <f t="shared" si="59"/>
        <v>153936.54785017917</v>
      </c>
      <c r="MZ23" s="27">
        <f t="shared" si="60"/>
        <v>22086.678559023403</v>
      </c>
      <c r="NA23" s="28">
        <f t="shared" si="61"/>
        <v>425015.20855850988</v>
      </c>
      <c r="NB23" s="2621"/>
      <c r="NC23" s="23">
        <f t="shared" si="123"/>
        <v>65127.070867469498</v>
      </c>
      <c r="ND23" s="1579">
        <f t="shared" si="124"/>
        <v>83754.262708494876</v>
      </c>
      <c r="NE23" s="60">
        <f t="shared" si="64"/>
        <v>0</v>
      </c>
      <c r="NF23" s="275">
        <f t="shared" si="4"/>
        <v>148881.33357596438</v>
      </c>
      <c r="NG23" s="26">
        <f t="shared" si="65"/>
        <v>0</v>
      </c>
      <c r="NH23" s="27">
        <f t="shared" si="65"/>
        <v>0</v>
      </c>
      <c r="NI23" s="27">
        <f t="shared" si="65"/>
        <v>0</v>
      </c>
      <c r="NJ23" s="27">
        <f t="shared" si="65"/>
        <v>0</v>
      </c>
      <c r="NK23" s="27">
        <f t="shared" si="65"/>
        <v>0</v>
      </c>
      <c r="NL23" s="33">
        <f t="shared" si="65"/>
        <v>0</v>
      </c>
      <c r="NM23" s="27">
        <f t="shared" si="65"/>
        <v>0</v>
      </c>
      <c r="NN23" s="36">
        <f t="shared" si="65"/>
        <v>0</v>
      </c>
      <c r="NO23" s="24">
        <f t="shared" si="111"/>
        <v>1828.3342192005614</v>
      </c>
      <c r="NP23" s="27">
        <f t="shared" si="65"/>
        <v>26196.696072681989</v>
      </c>
      <c r="NQ23" s="24">
        <f t="shared" si="112"/>
        <v>8756.5482322711578</v>
      </c>
      <c r="NR23" s="24">
        <f t="shared" si="113"/>
        <v>1670.9448469876015</v>
      </c>
      <c r="NS23" s="27">
        <f t="shared" si="0"/>
        <v>38452.523371141309</v>
      </c>
      <c r="NT23" s="27">
        <f t="shared" si="66"/>
        <v>0</v>
      </c>
      <c r="NU23" s="27">
        <f t="shared" si="66"/>
        <v>0</v>
      </c>
      <c r="NV23" s="27">
        <f t="shared" si="66"/>
        <v>0</v>
      </c>
      <c r="NW23" s="27">
        <f t="shared" si="66"/>
        <v>0</v>
      </c>
      <c r="NX23" s="27">
        <f t="shared" si="66"/>
        <v>0</v>
      </c>
      <c r="NY23" s="5">
        <f t="shared" si="66"/>
        <v>0</v>
      </c>
      <c r="NZ23" s="27">
        <f t="shared" si="66"/>
        <v>7182.8803682352482</v>
      </c>
      <c r="OA23" s="27">
        <f t="shared" si="66"/>
        <v>0</v>
      </c>
      <c r="OB23" s="27">
        <f t="shared" si="66"/>
        <v>64930.397327968029</v>
      </c>
      <c r="OC23" s="280"/>
      <c r="OD23" s="24">
        <f t="shared" si="67"/>
        <v>454.51223506073143</v>
      </c>
      <c r="OE23" s="27">
        <f t="shared" si="127"/>
        <v>0</v>
      </c>
      <c r="OF23" s="28">
        <f t="shared" si="1"/>
        <v>72567.789931264007</v>
      </c>
      <c r="OG23" s="27">
        <f t="shared" si="68"/>
        <v>0</v>
      </c>
      <c r="OH23" s="27">
        <f t="shared" si="68"/>
        <v>0</v>
      </c>
      <c r="OI23" s="27">
        <v>0</v>
      </c>
      <c r="OJ23" s="27">
        <f t="shared" si="68"/>
        <v>0</v>
      </c>
      <c r="OK23" s="27">
        <f t="shared" si="68"/>
        <v>0</v>
      </c>
      <c r="OL23" s="27">
        <f t="shared" si="68"/>
        <v>0</v>
      </c>
      <c r="OM23" s="24">
        <f t="shared" si="68"/>
        <v>0</v>
      </c>
      <c r="ON23" s="27">
        <f t="shared" si="68"/>
        <v>0</v>
      </c>
      <c r="OO23" s="24">
        <f t="shared" si="118"/>
        <v>41251.014547773841</v>
      </c>
      <c r="OP23" s="27">
        <f t="shared" si="68"/>
        <v>0</v>
      </c>
      <c r="OQ23" s="24">
        <f t="shared" si="68"/>
        <v>1665.22</v>
      </c>
      <c r="OR23" s="27">
        <f t="shared" si="68"/>
        <v>0</v>
      </c>
      <c r="OS23" s="28">
        <f t="shared" si="2"/>
        <v>42916.234547773842</v>
      </c>
      <c r="OT23" s="36"/>
      <c r="OU23" s="27"/>
      <c r="OV23" s="27"/>
      <c r="OW23" s="27"/>
      <c r="OX23" s="27"/>
      <c r="OY23" s="27"/>
      <c r="OZ23" s="28">
        <f t="shared" si="69"/>
        <v>0</v>
      </c>
      <c r="PA23" s="36">
        <f t="shared" si="70"/>
        <v>0</v>
      </c>
      <c r="PB23" s="27">
        <f t="shared" si="71"/>
        <v>0</v>
      </c>
      <c r="PC23" s="27">
        <f t="shared" si="72"/>
        <v>0</v>
      </c>
      <c r="PD23" s="27">
        <f t="shared" si="73"/>
        <v>0</v>
      </c>
      <c r="PE23" s="24"/>
      <c r="PF23" s="27">
        <f t="shared" si="74"/>
        <v>0</v>
      </c>
      <c r="PG23" s="33">
        <f t="shared" si="3"/>
        <v>0</v>
      </c>
      <c r="PH23" s="2621"/>
      <c r="PJ23" s="1907">
        <v>1638.96</v>
      </c>
      <c r="PK23" s="1101">
        <v>276</v>
      </c>
      <c r="PL23" s="1101">
        <v>92</v>
      </c>
      <c r="PM23" s="488">
        <v>0</v>
      </c>
      <c r="PN23" s="3">
        <v>34445.70977658069</v>
      </c>
      <c r="PO23" s="11">
        <f t="shared" si="75"/>
        <v>22086.678559023403</v>
      </c>
      <c r="PP23" s="15"/>
      <c r="PQ23" s="2615"/>
      <c r="PS23" s="4"/>
      <c r="PT23" s="9"/>
      <c r="PU23" s="9"/>
      <c r="PV23" s="9"/>
      <c r="PW23" s="8">
        <v>0</v>
      </c>
      <c r="PX23" s="9"/>
      <c r="PY23" s="8">
        <f t="shared" si="76"/>
        <v>0</v>
      </c>
      <c r="PZ23" s="5">
        <f t="shared" si="77"/>
        <v>1638.96</v>
      </c>
      <c r="QA23" s="5"/>
      <c r="QB23" s="5"/>
      <c r="QC23" s="5"/>
      <c r="QD23" s="5"/>
      <c r="QE23" s="5"/>
      <c r="QF23" s="12"/>
      <c r="QG23" s="12">
        <f t="shared" si="78"/>
        <v>29562.488999999998</v>
      </c>
      <c r="QH23" s="420">
        <f t="shared" si="79"/>
        <v>393327.97955850989</v>
      </c>
      <c r="QI23" s="1106">
        <f t="shared" si="80"/>
        <v>2124.7399999999998</v>
      </c>
      <c r="QJ23" s="484">
        <f t="shared" si="81"/>
        <v>5505.3678056099998</v>
      </c>
      <c r="QK23" s="12"/>
      <c r="QL23" s="2615"/>
      <c r="QN23" s="139">
        <f t="shared" si="82"/>
        <v>0</v>
      </c>
      <c r="QO23" s="139" t="str">
        <f t="shared" si="83"/>
        <v/>
      </c>
      <c r="QQ23" s="139">
        <f t="shared" si="84"/>
        <v>0</v>
      </c>
      <c r="QR23" s="139">
        <f t="shared" si="85"/>
        <v>0</v>
      </c>
      <c r="QT23" s="1">
        <f t="shared" si="86"/>
        <v>0</v>
      </c>
      <c r="QU23" s="1">
        <f t="shared" si="87"/>
        <v>0</v>
      </c>
      <c r="QV23" s="1">
        <f t="shared" si="88"/>
        <v>0</v>
      </c>
      <c r="QW23" s="1">
        <f t="shared" si="89"/>
        <v>0</v>
      </c>
      <c r="QX23" s="1">
        <f t="shared" si="90"/>
        <v>0</v>
      </c>
      <c r="QY23" s="1">
        <f t="shared" si="91"/>
        <v>0</v>
      </c>
      <c r="RA23" s="1">
        <f t="shared" si="92"/>
        <v>0</v>
      </c>
      <c r="RB23" s="1">
        <f t="shared" si="93"/>
        <v>0</v>
      </c>
      <c r="RC23" s="1">
        <f t="shared" si="94"/>
        <v>0</v>
      </c>
      <c r="RD23" s="1">
        <f t="shared" si="95"/>
        <v>0</v>
      </c>
      <c r="RE23" s="1">
        <f t="shared" si="96"/>
        <v>0</v>
      </c>
      <c r="RF23" s="1">
        <f t="shared" si="97"/>
        <v>0</v>
      </c>
      <c r="RI23" s="1">
        <v>14</v>
      </c>
      <c r="RJ23" s="1">
        <f t="shared" si="125"/>
        <v>26421.146209717102</v>
      </c>
      <c r="RK23" s="1">
        <f t="shared" si="125"/>
        <v>7566.8207804837184</v>
      </c>
      <c r="RL23" s="1">
        <f t="shared" si="125"/>
        <v>13404.263703387322</v>
      </c>
      <c r="RM23" s="89">
        <f t="shared" si="5"/>
        <v>47392.230693588135</v>
      </c>
      <c r="RN23" s="1033">
        <v>14</v>
      </c>
      <c r="RO23" s="1098">
        <f t="shared" si="99"/>
        <v>0</v>
      </c>
      <c r="RP23" s="1098">
        <f t="shared" si="100"/>
        <v>0</v>
      </c>
      <c r="RQ23" s="1097">
        <f t="shared" si="100"/>
        <v>0</v>
      </c>
      <c r="RR23" s="1097">
        <f t="shared" si="101"/>
        <v>11345.85</v>
      </c>
      <c r="RS23" s="1050"/>
      <c r="RT23" s="1050" t="s">
        <v>328</v>
      </c>
      <c r="RU23" s="1048"/>
      <c r="RW23" s="421">
        <v>14</v>
      </c>
      <c r="RX23" s="1095">
        <f t="shared" si="102"/>
        <v>8176.29</v>
      </c>
      <c r="RY23" s="1115" t="s">
        <v>329</v>
      </c>
      <c r="RZ23" s="1114"/>
      <c r="SA23" s="1090"/>
      <c r="SB23" s="1090">
        <f t="shared" si="103"/>
        <v>0</v>
      </c>
      <c r="SC23" s="1090"/>
      <c r="SD23" s="1090">
        <f t="shared" si="126"/>
        <v>0</v>
      </c>
      <c r="SF23" s="1">
        <v>14</v>
      </c>
      <c r="SG23" s="1">
        <f t="shared" si="105"/>
        <v>0</v>
      </c>
    </row>
    <row r="24" spans="1:502" s="1" customFormat="1" ht="15" customHeight="1">
      <c r="B24" s="471">
        <v>15</v>
      </c>
      <c r="C24" s="1959">
        <f t="shared" si="6"/>
        <v>146636</v>
      </c>
      <c r="D24" s="1726">
        <f t="shared" si="119"/>
        <v>10391.86</v>
      </c>
      <c r="E24" s="1895">
        <f t="shared" si="7"/>
        <v>14.110659689410749</v>
      </c>
      <c r="F24" s="870"/>
      <c r="G24" s="870"/>
      <c r="H24" s="52">
        <v>1</v>
      </c>
      <c r="I24" s="61">
        <v>0.97</v>
      </c>
      <c r="J24" s="52"/>
      <c r="K24" s="54"/>
      <c r="L24" s="52">
        <v>5.5</v>
      </c>
      <c r="M24" s="61">
        <v>6.3</v>
      </c>
      <c r="N24" s="2629"/>
      <c r="O24" s="4">
        <f t="shared" si="117"/>
        <v>94248</v>
      </c>
      <c r="P24" s="1225">
        <f t="shared" si="8"/>
        <v>7641.66</v>
      </c>
      <c r="Q24" s="1913">
        <f t="shared" si="9"/>
        <v>12.333445874325736</v>
      </c>
      <c r="R24" s="33"/>
      <c r="S24" s="26">
        <f t="shared" si="10"/>
        <v>27899</v>
      </c>
      <c r="T24" s="27">
        <f t="shared" si="107"/>
        <v>1410.2</v>
      </c>
      <c r="U24" s="1909">
        <f t="shared" si="11"/>
        <v>19.783718621472129</v>
      </c>
      <c r="V24" s="28"/>
      <c r="W24" s="26">
        <f t="shared" si="12"/>
        <v>24489</v>
      </c>
      <c r="X24" s="5">
        <f t="shared" si="12"/>
        <v>1340</v>
      </c>
      <c r="Y24" s="1909">
        <f t="shared" si="13"/>
        <v>18.275373134328358</v>
      </c>
      <c r="Z24" s="33"/>
      <c r="AA24" s="26">
        <f t="shared" si="14"/>
        <v>0</v>
      </c>
      <c r="AB24" s="27">
        <f t="shared" si="15"/>
        <v>0</v>
      </c>
      <c r="AC24" s="53">
        <f t="shared" si="16"/>
        <v>0</v>
      </c>
      <c r="AD24" s="28"/>
      <c r="AE24" s="36"/>
      <c r="AF24" s="36"/>
      <c r="AG24" s="53">
        <f t="shared" si="17"/>
        <v>0</v>
      </c>
      <c r="AH24" s="28"/>
      <c r="AI24" s="23"/>
      <c r="AJ24" s="27"/>
      <c r="AK24" s="53">
        <f t="shared" si="18"/>
        <v>0</v>
      </c>
      <c r="AL24" s="28"/>
      <c r="AM24" s="2629"/>
      <c r="AN24" s="9"/>
      <c r="AO24" s="5"/>
      <c r="AP24" s="61">
        <f t="shared" si="19"/>
        <v>0</v>
      </c>
      <c r="AQ24" s="36"/>
      <c r="AR24" s="53"/>
      <c r="AS24" s="61">
        <f t="shared" si="20"/>
        <v>0</v>
      </c>
      <c r="AT24" s="36">
        <v>0</v>
      </c>
      <c r="AU24" s="27"/>
      <c r="AV24" s="54">
        <f t="shared" si="21"/>
        <v>0</v>
      </c>
      <c r="AW24" s="26">
        <v>42966</v>
      </c>
      <c r="AX24" s="27">
        <v>3771.36</v>
      </c>
      <c r="AY24" s="1895">
        <f t="shared" si="115"/>
        <v>11.39270714012982</v>
      </c>
      <c r="AZ24" s="1908"/>
      <c r="BA24" s="1909"/>
      <c r="BB24" s="1895">
        <f t="shared" si="22"/>
        <v>0</v>
      </c>
      <c r="BC24" s="1740">
        <v>51282</v>
      </c>
      <c r="BD24" s="1926">
        <v>3870.3</v>
      </c>
      <c r="BE24" s="1895">
        <f t="shared" si="23"/>
        <v>13.250135648399349</v>
      </c>
      <c r="BF24" s="1908"/>
      <c r="BG24" s="1909"/>
      <c r="BH24" s="1895">
        <f t="shared" si="24"/>
        <v>0</v>
      </c>
      <c r="BI24" s="1908">
        <v>0</v>
      </c>
      <c r="BJ24" s="1909">
        <v>0</v>
      </c>
      <c r="BK24" s="1895">
        <f t="shared" si="25"/>
        <v>0</v>
      </c>
      <c r="BL24" s="1742">
        <v>27899</v>
      </c>
      <c r="BM24" s="1909">
        <v>1410.2</v>
      </c>
      <c r="BN24" s="1941"/>
      <c r="BO24" s="1911">
        <f t="shared" si="26"/>
        <v>19.783718621472129</v>
      </c>
      <c r="BP24" s="9"/>
      <c r="BQ24" s="64"/>
      <c r="BR24" s="482">
        <f t="shared" si="27"/>
        <v>0</v>
      </c>
      <c r="BS24" s="9"/>
      <c r="BT24" s="64"/>
      <c r="BU24" s="482">
        <f t="shared" si="28"/>
        <v>0</v>
      </c>
      <c r="BV24" s="9">
        <v>24489</v>
      </c>
      <c r="BW24" s="1448">
        <v>1340</v>
      </c>
      <c r="BX24" s="1051">
        <f t="shared" si="29"/>
        <v>18.275373134328358</v>
      </c>
      <c r="BY24" s="26"/>
      <c r="BZ24" s="27"/>
      <c r="CA24" s="482">
        <f t="shared" si="30"/>
        <v>0</v>
      </c>
      <c r="CB24" s="9"/>
      <c r="CC24" s="481"/>
      <c r="CD24" s="482">
        <f t="shared" si="31"/>
        <v>0</v>
      </c>
      <c r="CE24" s="4"/>
      <c r="CF24" s="5"/>
      <c r="CG24" s="28">
        <f t="shared" si="32"/>
        <v>0</v>
      </c>
      <c r="CH24" s="150"/>
      <c r="CI24" s="1108"/>
      <c r="CJ24" s="5"/>
      <c r="CK24" s="5">
        <v>3330</v>
      </c>
      <c r="CL24" s="5"/>
      <c r="CM24" s="5"/>
      <c r="CN24" s="5"/>
      <c r="CO24" s="33"/>
      <c r="CP24" s="366"/>
      <c r="CR24" s="4">
        <f t="shared" si="33"/>
        <v>0</v>
      </c>
      <c r="CS24" s="9">
        <f t="shared" si="33"/>
        <v>0</v>
      </c>
      <c r="CT24" s="5">
        <f t="shared" si="33"/>
        <v>0</v>
      </c>
      <c r="CU24" s="5">
        <f t="shared" si="33"/>
        <v>0</v>
      </c>
      <c r="CV24" s="5">
        <f t="shared" si="33"/>
        <v>0</v>
      </c>
      <c r="CW24" s="5">
        <f t="shared" si="33"/>
        <v>0</v>
      </c>
      <c r="CX24" s="5">
        <f t="shared" si="33"/>
        <v>3081.3999999999996</v>
      </c>
      <c r="CY24" s="5">
        <f t="shared" si="33"/>
        <v>0</v>
      </c>
      <c r="CZ24" s="5">
        <f t="shared" si="33"/>
        <v>4661.38</v>
      </c>
      <c r="DA24" s="5">
        <f t="shared" si="33"/>
        <v>0</v>
      </c>
      <c r="DB24" s="5">
        <f t="shared" si="33"/>
        <v>2649.08</v>
      </c>
      <c r="DC24" s="12">
        <f t="shared" si="33"/>
        <v>0</v>
      </c>
      <c r="DD24" s="2168">
        <f t="shared" si="34"/>
        <v>10391.86</v>
      </c>
      <c r="DE24" s="2695"/>
      <c r="DF24" s="8"/>
      <c r="DG24" s="9"/>
      <c r="DH24" s="5"/>
      <c r="DI24" s="5"/>
      <c r="DJ24" s="5"/>
      <c r="DK24" s="5"/>
      <c r="DL24" s="3">
        <v>3081.3999999999996</v>
      </c>
      <c r="DM24" s="5"/>
      <c r="DN24" s="3">
        <v>689.95999999999992</v>
      </c>
      <c r="DO24" s="5"/>
      <c r="DP24" s="5"/>
      <c r="DQ24" s="12"/>
      <c r="DR24" s="28">
        <f t="shared" si="35"/>
        <v>3771.3599999999997</v>
      </c>
      <c r="DS24" s="36"/>
      <c r="DT24" s="9"/>
      <c r="DU24" s="5"/>
      <c r="DV24" s="5"/>
      <c r="DW24" s="5"/>
      <c r="DX24" s="5"/>
      <c r="DY24" s="5"/>
      <c r="DZ24" s="5"/>
      <c r="EA24" s="3">
        <v>3971.42</v>
      </c>
      <c r="EB24" s="27"/>
      <c r="EC24" s="24">
        <v>1309.0800000000002</v>
      </c>
      <c r="ED24" s="33"/>
      <c r="EE24" s="28">
        <f t="shared" si="36"/>
        <v>5280.5</v>
      </c>
      <c r="EF24" s="9"/>
      <c r="EG24" s="36"/>
      <c r="EH24" s="5"/>
      <c r="EI24" s="27"/>
      <c r="EJ24" s="27"/>
      <c r="EK24" s="27"/>
      <c r="EL24" s="27"/>
      <c r="EM24" s="27"/>
      <c r="EN24" s="5"/>
      <c r="EO24" s="5"/>
      <c r="EP24" s="5">
        <v>1340</v>
      </c>
      <c r="EQ24" s="33"/>
      <c r="ER24" s="28">
        <f t="shared" si="37"/>
        <v>1340</v>
      </c>
      <c r="ES24" s="36"/>
      <c r="ET24" s="27"/>
      <c r="EU24" s="27"/>
      <c r="EV24" s="27"/>
      <c r="EW24" s="27"/>
      <c r="EX24" s="27"/>
      <c r="EY24" s="33">
        <f t="shared" si="38"/>
        <v>0</v>
      </c>
      <c r="EZ24" s="2685"/>
      <c r="FB24" s="4">
        <f t="shared" si="39"/>
        <v>0</v>
      </c>
      <c r="FC24" s="5">
        <f t="shared" si="40"/>
        <v>0</v>
      </c>
      <c r="FD24" s="5">
        <f t="shared" si="41"/>
        <v>0</v>
      </c>
      <c r="FE24" s="12">
        <f t="shared" si="42"/>
        <v>0</v>
      </c>
      <c r="FF24" s="33"/>
      <c r="FG24" s="2674"/>
      <c r="FH24" s="9"/>
      <c r="FI24" s="5"/>
      <c r="FJ24" s="5"/>
      <c r="FK24" s="5"/>
      <c r="FL24" s="5"/>
      <c r="FM24" s="27"/>
      <c r="FN24" s="28">
        <f t="shared" si="43"/>
        <v>0</v>
      </c>
      <c r="FO24" s="36"/>
      <c r="FP24" s="27"/>
      <c r="FQ24" s="27"/>
      <c r="FR24" s="27"/>
      <c r="FS24" s="27"/>
      <c r="FT24" s="27"/>
      <c r="FU24" s="28">
        <f t="shared" si="44"/>
        <v>0</v>
      </c>
      <c r="FV24" s="36"/>
      <c r="FW24" s="36"/>
      <c r="FX24" s="27"/>
      <c r="FY24" s="27"/>
      <c r="FZ24" s="27"/>
      <c r="GA24" s="27"/>
      <c r="GB24" s="27"/>
      <c r="GC24" s="27"/>
      <c r="GD24" s="27"/>
      <c r="GE24" s="27"/>
      <c r="GF24" s="27"/>
      <c r="GG24" s="33"/>
      <c r="GH24" s="33">
        <f t="shared" si="45"/>
        <v>0</v>
      </c>
      <c r="GI24" s="2674"/>
      <c r="GK24" s="2">
        <f t="shared" si="108"/>
        <v>554.5</v>
      </c>
      <c r="GL24" s="1942">
        <f t="shared" si="109"/>
        <v>4573.63</v>
      </c>
      <c r="GM24" s="1943">
        <f t="shared" si="110"/>
        <v>3842.58</v>
      </c>
      <c r="GN24" s="1736">
        <f t="shared" si="46"/>
        <v>8970.7099999999991</v>
      </c>
      <c r="GO24" s="141"/>
      <c r="GP24" s="141"/>
      <c r="GQ24" s="33"/>
      <c r="GR24" s="2667"/>
      <c r="GS24" s="1739">
        <v>0</v>
      </c>
      <c r="GT24" s="1721">
        <v>0</v>
      </c>
      <c r="GU24" s="1721">
        <v>4537.2600000000011</v>
      </c>
      <c r="GV24" s="1721">
        <v>4433.45</v>
      </c>
      <c r="GW24" s="1941">
        <f t="shared" si="47"/>
        <v>8970.7100000000009</v>
      </c>
      <c r="GX24" s="2667"/>
      <c r="GY24" s="36"/>
      <c r="GZ24" s="36"/>
      <c r="HA24" s="27"/>
      <c r="HB24" s="27"/>
      <c r="HC24" s="27"/>
      <c r="HD24" s="27"/>
      <c r="HE24" s="27"/>
      <c r="HF24" s="27"/>
      <c r="HG24" s="24">
        <v>0</v>
      </c>
      <c r="HH24" s="27"/>
      <c r="HI24" s="24">
        <v>554.5</v>
      </c>
      <c r="HJ24" s="27"/>
      <c r="HK24" s="24">
        <v>0</v>
      </c>
      <c r="HL24" s="27"/>
      <c r="HM24" s="1906">
        <f t="shared" si="120"/>
        <v>554.5</v>
      </c>
      <c r="HN24" s="36"/>
      <c r="HO24" s="27"/>
      <c r="HP24" s="27"/>
      <c r="HQ24" s="27"/>
      <c r="HR24" s="27"/>
      <c r="HS24" s="27"/>
      <c r="HT24" s="27" cm="1">
        <f t="array" ref="HT24">SUMPRODUCT(('Data Base hauling'!$C$2:$C$216="TCM-ROM SB1 BK05-ROM 4")*(ISNUMBER(SEARCH(TEXT('June TCM'!$B24,"00")&amp;"/03/2026",'Data Base hauling'!$E$2:$E$216)))*'Data Base hauling'!$N$2:$N$216)</f>
        <v>0</v>
      </c>
      <c r="HU24" s="27"/>
      <c r="HV24" s="27" cm="1">
        <f t="array" ref="HV24">SUMPRODUCT(('Data Base hauling'!$C$2:$C$216="TCM-ROM SB1 BK05-ROM 5")*(ISNUMBER(SEARCH(TEXT('June TCM'!$B24,"00")&amp;"/03/2026",'Data Base hauling'!$E$2:$E$216)))*'Data Base hauling'!$N$2:$N$216)</f>
        <v>0</v>
      </c>
      <c r="HW24" s="27"/>
      <c r="HX24" s="27"/>
      <c r="HY24" s="27"/>
      <c r="HZ24" s="27"/>
      <c r="IA24" s="27"/>
      <c r="IB24" s="33">
        <f t="shared" si="49"/>
        <v>0</v>
      </c>
      <c r="IC24" s="52"/>
      <c r="ID24" s="152"/>
      <c r="IE24" s="53"/>
      <c r="IF24" s="53"/>
      <c r="IG24" s="53"/>
      <c r="IH24" s="53"/>
      <c r="II24" s="1926">
        <v>2438.36</v>
      </c>
      <c r="IJ24" s="1736"/>
      <c r="IK24" s="1926">
        <v>2135.27</v>
      </c>
      <c r="IL24" s="53"/>
      <c r="IM24" s="49">
        <v>0</v>
      </c>
      <c r="IN24" s="53"/>
      <c r="IO24" s="53"/>
      <c r="IP24" s="49">
        <f>SUMPRODUCT(('Data Base hauling'!$C$2:$C$216="TCM-HAC1 (Production)-ROM 2(HAC)")*(ISNUMBER(SEARCH(TEXT('June TCM'!$B24,"00")&amp;"/06/2026",'Data Base hauling'!$E$2:$E$216)))*'Data Base hauling'!$N$2:$N$216)</f>
        <v>0</v>
      </c>
      <c r="IQ24" s="2195">
        <f t="shared" si="121"/>
        <v>4573.63</v>
      </c>
      <c r="IR24" s="36"/>
      <c r="IS24" s="36"/>
      <c r="IT24" s="53"/>
      <c r="IU24" s="27"/>
      <c r="IV24" s="53"/>
      <c r="IW24" s="27"/>
      <c r="IX24" s="24">
        <v>0</v>
      </c>
      <c r="IY24" s="27"/>
      <c r="IZ24" s="24">
        <v>3842.58</v>
      </c>
      <c r="JA24" s="27"/>
      <c r="JB24" s="24">
        <v>0</v>
      </c>
      <c r="JC24" s="27"/>
      <c r="JD24" s="27"/>
      <c r="JE24" s="27"/>
      <c r="JF24" s="1941">
        <f t="shared" si="122"/>
        <v>3842.58</v>
      </c>
      <c r="JG24" s="2667"/>
      <c r="JI24" s="2014">
        <v>4164.83</v>
      </c>
      <c r="JJ24" s="2015">
        <v>4805.88</v>
      </c>
      <c r="JK24" s="53"/>
      <c r="JL24" s="53">
        <f t="shared" si="52"/>
        <v>8970.7099999999991</v>
      </c>
      <c r="JM24" s="33"/>
      <c r="JN24" s="2669"/>
      <c r="JO24" s="66">
        <v>0</v>
      </c>
      <c r="JP24" s="67">
        <v>0</v>
      </c>
      <c r="JQ24" s="67">
        <v>0</v>
      </c>
      <c r="JR24" s="67">
        <v>0</v>
      </c>
      <c r="JS24" s="67">
        <v>1</v>
      </c>
      <c r="JT24" s="67">
        <v>0</v>
      </c>
      <c r="JU24" s="67">
        <v>0</v>
      </c>
      <c r="JV24" s="1921">
        <v>0</v>
      </c>
      <c r="JW24" s="66">
        <v>0</v>
      </c>
      <c r="JX24" s="67">
        <v>0</v>
      </c>
      <c r="JY24" s="67">
        <v>0</v>
      </c>
      <c r="JZ24" s="67">
        <v>0.5073701382473137</v>
      </c>
      <c r="KA24" s="67">
        <v>0.3772503682988339</v>
      </c>
      <c r="KB24" s="67">
        <v>0.11537949345385236</v>
      </c>
      <c r="KC24" s="67">
        <v>0</v>
      </c>
      <c r="KD24" s="68">
        <v>0</v>
      </c>
      <c r="KE24" s="69"/>
      <c r="KF24" s="70"/>
      <c r="KG24" s="70"/>
      <c r="KH24" s="70"/>
      <c r="KI24" s="70"/>
      <c r="KJ24" s="70"/>
      <c r="KK24" s="70"/>
      <c r="KL24" s="70"/>
      <c r="KM24" s="33"/>
      <c r="KN24" s="2669"/>
      <c r="KO24" s="2203">
        <v>7098</v>
      </c>
      <c r="KP24" s="1721">
        <v>0.52</v>
      </c>
      <c r="KQ24" s="1721">
        <v>3.61</v>
      </c>
      <c r="KR24" s="1721">
        <v>6.53</v>
      </c>
      <c r="KS24" s="1722">
        <v>9.15</v>
      </c>
      <c r="KT24" s="1958">
        <v>7133</v>
      </c>
      <c r="KU24" s="1961">
        <v>2.15</v>
      </c>
      <c r="KV24" s="1961">
        <v>5.93</v>
      </c>
      <c r="KW24" s="1961">
        <v>5.03</v>
      </c>
      <c r="KX24" s="1962">
        <v>7.9599999999999991</v>
      </c>
      <c r="KY24" s="36"/>
      <c r="KZ24" s="53"/>
      <c r="LA24" s="53"/>
      <c r="LB24" s="53"/>
      <c r="LC24" s="53"/>
      <c r="LD24" s="33"/>
      <c r="LE24" s="2669"/>
      <c r="LG24" s="4">
        <f t="shared" si="53"/>
        <v>0</v>
      </c>
      <c r="LH24" s="27">
        <f t="shared" si="53"/>
        <v>0</v>
      </c>
      <c r="LI24" s="27">
        <f t="shared" si="53"/>
        <v>0</v>
      </c>
      <c r="LJ24" s="28">
        <f t="shared" si="54"/>
        <v>0</v>
      </c>
      <c r="LK24" s="36"/>
      <c r="LL24" s="27"/>
      <c r="LM24" s="27">
        <v>4</v>
      </c>
      <c r="LN24" s="33"/>
      <c r="LO24" s="1957">
        <v>7.25</v>
      </c>
      <c r="LP24" s="486"/>
      <c r="LQ24" s="2688"/>
      <c r="LR24" s="2269"/>
      <c r="LS24" s="2269"/>
      <c r="LT24" s="27"/>
      <c r="LU24" s="27"/>
      <c r="LV24" s="27"/>
      <c r="LW24" s="1107">
        <f t="shared" si="55"/>
        <v>0</v>
      </c>
      <c r="LX24" s="2269"/>
      <c r="LY24" s="2269"/>
      <c r="LZ24" s="27"/>
      <c r="MA24" s="27"/>
      <c r="MB24" s="33"/>
      <c r="MC24" s="28">
        <f t="shared" si="56"/>
        <v>0</v>
      </c>
      <c r="MD24" s="26"/>
      <c r="ME24" s="36"/>
      <c r="MF24" s="27"/>
      <c r="MG24" s="27"/>
      <c r="MH24" s="27"/>
      <c r="MI24" s="28"/>
      <c r="MJ24" s="36"/>
      <c r="MK24" s="36"/>
      <c r="ML24" s="27"/>
      <c r="MM24" s="27"/>
      <c r="MN24" s="27"/>
      <c r="MO24" s="28"/>
      <c r="MP24" s="36"/>
      <c r="MQ24" s="36"/>
      <c r="MR24" s="27"/>
      <c r="MS24" s="27"/>
      <c r="MT24" s="27"/>
      <c r="MU24" s="33">
        <f t="shared" si="57"/>
        <v>0</v>
      </c>
      <c r="MV24" s="2688"/>
      <c r="MX24" s="26">
        <f t="shared" si="58"/>
        <v>157852.04357596437</v>
      </c>
      <c r="MY24" s="27">
        <f t="shared" si="59"/>
        <v>155357.69785017916</v>
      </c>
      <c r="MZ24" s="27">
        <f t="shared" si="60"/>
        <v>22086.678559023403</v>
      </c>
      <c r="NA24" s="28">
        <f t="shared" si="61"/>
        <v>424458.70855850988</v>
      </c>
      <c r="NB24" s="2621"/>
      <c r="NC24" s="23">
        <f t="shared" si="123"/>
        <v>69291.900867469492</v>
      </c>
      <c r="ND24" s="1579">
        <f t="shared" si="124"/>
        <v>88560.142708494881</v>
      </c>
      <c r="NE24" s="60">
        <f t="shared" si="64"/>
        <v>0</v>
      </c>
      <c r="NF24" s="275">
        <f t="shared" si="4"/>
        <v>157852.04357596437</v>
      </c>
      <c r="NG24" s="26">
        <f t="shared" si="65"/>
        <v>0</v>
      </c>
      <c r="NH24" s="27">
        <f t="shared" si="65"/>
        <v>0</v>
      </c>
      <c r="NI24" s="27">
        <f t="shared" si="65"/>
        <v>0</v>
      </c>
      <c r="NJ24" s="27">
        <f t="shared" si="65"/>
        <v>0</v>
      </c>
      <c r="NK24" s="27">
        <f t="shared" si="65"/>
        <v>0</v>
      </c>
      <c r="NL24" s="33">
        <f t="shared" si="65"/>
        <v>0</v>
      </c>
      <c r="NM24" s="27">
        <f t="shared" si="65"/>
        <v>0</v>
      </c>
      <c r="NN24" s="36">
        <f t="shared" si="65"/>
        <v>0</v>
      </c>
      <c r="NO24" s="24">
        <f t="shared" si="111"/>
        <v>1828.3342192005614</v>
      </c>
      <c r="NP24" s="27">
        <f t="shared" si="65"/>
        <v>26196.696072681989</v>
      </c>
      <c r="NQ24" s="24">
        <f t="shared" si="112"/>
        <v>8756.5482322711578</v>
      </c>
      <c r="NR24" s="24">
        <f t="shared" si="113"/>
        <v>2456.4448469876015</v>
      </c>
      <c r="NS24" s="27">
        <f t="shared" si="0"/>
        <v>39238.023371141309</v>
      </c>
      <c r="NT24" s="27">
        <f t="shared" si="66"/>
        <v>0</v>
      </c>
      <c r="NU24" s="27">
        <f t="shared" si="66"/>
        <v>0</v>
      </c>
      <c r="NV24" s="27">
        <f t="shared" si="66"/>
        <v>0</v>
      </c>
      <c r="NW24" s="27">
        <f t="shared" si="66"/>
        <v>0</v>
      </c>
      <c r="NX24" s="27">
        <f t="shared" si="66"/>
        <v>0</v>
      </c>
      <c r="NY24" s="5">
        <f t="shared" si="66"/>
        <v>0</v>
      </c>
      <c r="NZ24" s="27">
        <f t="shared" si="66"/>
        <v>7825.9203682352472</v>
      </c>
      <c r="OA24" s="27">
        <f t="shared" si="66"/>
        <v>0</v>
      </c>
      <c r="OB24" s="27">
        <f t="shared" si="66"/>
        <v>63485.087327968031</v>
      </c>
      <c r="OC24" s="280"/>
      <c r="OD24" s="24">
        <f t="shared" si="67"/>
        <v>454.51223506073143</v>
      </c>
      <c r="OE24" s="27">
        <f t="shared" si="127"/>
        <v>0</v>
      </c>
      <c r="OF24" s="28">
        <f t="shared" si="1"/>
        <v>71765.519931264003</v>
      </c>
      <c r="OG24" s="27">
        <f t="shared" si="68"/>
        <v>0</v>
      </c>
      <c r="OH24" s="27">
        <f t="shared" si="68"/>
        <v>0</v>
      </c>
      <c r="OI24" s="27">
        <f t="shared" si="68"/>
        <v>0</v>
      </c>
      <c r="OJ24" s="27">
        <f t="shared" si="68"/>
        <v>0</v>
      </c>
      <c r="OK24" s="27">
        <f t="shared" si="68"/>
        <v>0</v>
      </c>
      <c r="OL24" s="27">
        <f t="shared" si="68"/>
        <v>0</v>
      </c>
      <c r="OM24" s="24">
        <f t="shared" si="68"/>
        <v>0</v>
      </c>
      <c r="ON24" s="27">
        <f t="shared" si="68"/>
        <v>0</v>
      </c>
      <c r="OO24" s="24">
        <f t="shared" si="118"/>
        <v>41379.854547773837</v>
      </c>
      <c r="OP24" s="27">
        <f t="shared" si="68"/>
        <v>0</v>
      </c>
      <c r="OQ24" s="24">
        <f t="shared" si="68"/>
        <v>2974.3</v>
      </c>
      <c r="OR24" s="27">
        <f t="shared" si="68"/>
        <v>0</v>
      </c>
      <c r="OS24" s="28">
        <f t="shared" si="2"/>
        <v>44354.15454777384</v>
      </c>
      <c r="OT24" s="36"/>
      <c r="OU24" s="27"/>
      <c r="OV24" s="27"/>
      <c r="OW24" s="27"/>
      <c r="OX24" s="27"/>
      <c r="OY24" s="27"/>
      <c r="OZ24" s="28">
        <f t="shared" si="69"/>
        <v>0</v>
      </c>
      <c r="PA24" s="36">
        <f t="shared" si="70"/>
        <v>0</v>
      </c>
      <c r="PB24" s="27">
        <f t="shared" si="71"/>
        <v>0</v>
      </c>
      <c r="PC24" s="27">
        <f t="shared" si="72"/>
        <v>0</v>
      </c>
      <c r="PD24" s="27">
        <f t="shared" si="73"/>
        <v>0</v>
      </c>
      <c r="PE24" s="24"/>
      <c r="PF24" s="27">
        <f t="shared" si="74"/>
        <v>0</v>
      </c>
      <c r="PG24" s="33">
        <f t="shared" si="3"/>
        <v>0</v>
      </c>
      <c r="PH24" s="2621"/>
      <c r="PJ24" s="1907">
        <v>556.5</v>
      </c>
      <c r="PK24" s="488">
        <v>0</v>
      </c>
      <c r="PL24" s="488">
        <v>0</v>
      </c>
      <c r="PM24" s="3">
        <v>0</v>
      </c>
      <c r="PN24" s="3">
        <v>35002.20977658069</v>
      </c>
      <c r="PO24" s="11">
        <f t="shared" si="75"/>
        <v>22086.678559023403</v>
      </c>
      <c r="PP24" s="15"/>
      <c r="PQ24" s="2615"/>
      <c r="PS24" s="4"/>
      <c r="PT24" s="9"/>
      <c r="PU24" s="9"/>
      <c r="PV24" s="9"/>
      <c r="PW24" s="8">
        <v>0</v>
      </c>
      <c r="PX24" s="9"/>
      <c r="PY24" s="8">
        <f t="shared" si="76"/>
        <v>0</v>
      </c>
      <c r="PZ24" s="5">
        <f t="shared" si="77"/>
        <v>556.5</v>
      </c>
      <c r="QA24" s="5"/>
      <c r="QB24" s="5"/>
      <c r="QC24" s="5"/>
      <c r="QD24" s="5"/>
      <c r="QE24" s="5"/>
      <c r="QF24" s="12"/>
      <c r="QG24" s="12">
        <f t="shared" si="78"/>
        <v>29562.488999999998</v>
      </c>
      <c r="QH24" s="420">
        <f t="shared" si="79"/>
        <v>392771.47955850989</v>
      </c>
      <c r="QI24" s="1106">
        <f t="shared" si="80"/>
        <v>2124.7399999999998</v>
      </c>
      <c r="QJ24" s="484">
        <f t="shared" si="81"/>
        <v>5505.3678056099998</v>
      </c>
      <c r="QK24" s="12"/>
      <c r="QL24" s="2615"/>
      <c r="QN24" s="139">
        <f t="shared" si="82"/>
        <v>0</v>
      </c>
      <c r="QO24" s="139" t="str">
        <f t="shared" si="83"/>
        <v/>
      </c>
      <c r="QQ24" s="139">
        <f t="shared" si="84"/>
        <v>0</v>
      </c>
      <c r="QR24" s="139">
        <f t="shared" si="85"/>
        <v>0</v>
      </c>
      <c r="QT24" s="1">
        <f t="shared" si="86"/>
        <v>0</v>
      </c>
      <c r="QU24" s="1">
        <f t="shared" si="87"/>
        <v>0</v>
      </c>
      <c r="QV24" s="1">
        <f t="shared" si="88"/>
        <v>0</v>
      </c>
      <c r="QW24" s="1">
        <f t="shared" si="89"/>
        <v>0</v>
      </c>
      <c r="QX24" s="1">
        <f t="shared" si="90"/>
        <v>0</v>
      </c>
      <c r="QY24" s="1">
        <f t="shared" si="91"/>
        <v>0</v>
      </c>
      <c r="RA24" s="1">
        <f t="shared" si="92"/>
        <v>0</v>
      </c>
      <c r="RB24" s="1">
        <f t="shared" si="93"/>
        <v>0</v>
      </c>
      <c r="RC24" s="1">
        <f t="shared" si="94"/>
        <v>0</v>
      </c>
      <c r="RD24" s="1">
        <f t="shared" si="95"/>
        <v>0</v>
      </c>
      <c r="RE24" s="1">
        <f t="shared" si="96"/>
        <v>0</v>
      </c>
      <c r="RF24" s="1">
        <f t="shared" si="97"/>
        <v>0</v>
      </c>
      <c r="RI24" s="1">
        <v>15</v>
      </c>
      <c r="RJ24" s="1">
        <f t="shared" si="125"/>
        <v>30585.976209717104</v>
      </c>
      <c r="RK24" s="1">
        <f t="shared" si="125"/>
        <v>12372.700780483719</v>
      </c>
      <c r="RL24" s="1">
        <f t="shared" si="125"/>
        <v>13404.263703387322</v>
      </c>
      <c r="RM24" s="89">
        <f t="shared" si="5"/>
        <v>56362.940693588142</v>
      </c>
      <c r="RN24" s="1033">
        <v>15</v>
      </c>
      <c r="RO24" s="1098">
        <f t="shared" si="99"/>
        <v>0</v>
      </c>
      <c r="RP24" s="1098">
        <f t="shared" si="100"/>
        <v>0</v>
      </c>
      <c r="RQ24" s="1097">
        <f t="shared" si="100"/>
        <v>0</v>
      </c>
      <c r="RR24" s="1097">
        <f t="shared" si="101"/>
        <v>9051.86</v>
      </c>
      <c r="RS24" s="1050"/>
      <c r="RT24" s="1050" t="s">
        <v>330</v>
      </c>
      <c r="RU24" s="1048"/>
      <c r="RW24" s="421">
        <v>15</v>
      </c>
      <c r="RX24" s="1095">
        <f t="shared" si="102"/>
        <v>8970.7100000000009</v>
      </c>
      <c r="RY24" s="1046" t="s">
        <v>331</v>
      </c>
      <c r="SA24" s="1090"/>
      <c r="SB24" s="1090">
        <f t="shared" si="103"/>
        <v>0</v>
      </c>
      <c r="SC24" s="1090"/>
      <c r="SD24" s="1090">
        <f t="shared" si="126"/>
        <v>0</v>
      </c>
      <c r="SF24" s="1">
        <v>15</v>
      </c>
      <c r="SG24" s="1">
        <f t="shared" si="105"/>
        <v>0</v>
      </c>
      <c r="SH24" s="1094"/>
    </row>
    <row r="25" spans="1:502" s="1" customFormat="1">
      <c r="B25" s="471">
        <v>16</v>
      </c>
      <c r="C25" s="4">
        <f t="shared" si="6"/>
        <v>92237</v>
      </c>
      <c r="D25" s="1726">
        <f t="shared" si="119"/>
        <v>6514.7100000000009</v>
      </c>
      <c r="E25" s="1895">
        <f t="shared" si="7"/>
        <v>14.158266446242425</v>
      </c>
      <c r="F25" s="870"/>
      <c r="G25" s="870"/>
      <c r="H25" s="52">
        <v>50</v>
      </c>
      <c r="I25" s="61">
        <v>11.47</v>
      </c>
      <c r="J25" s="52"/>
      <c r="K25" s="54"/>
      <c r="L25" s="52">
        <v>32</v>
      </c>
      <c r="M25" s="61">
        <v>13</v>
      </c>
      <c r="N25" s="2629"/>
      <c r="O25" s="4">
        <f t="shared" si="117"/>
        <v>65142</v>
      </c>
      <c r="P25" s="1225">
        <f t="shared" si="8"/>
        <v>4784.5300000000007</v>
      </c>
      <c r="Q25" s="1913">
        <f t="shared" si="9"/>
        <v>13.615130430784212</v>
      </c>
      <c r="R25" s="33"/>
      <c r="S25" s="26">
        <f t="shared" si="10"/>
        <v>16555</v>
      </c>
      <c r="T25" s="27">
        <f t="shared" si="107"/>
        <v>1210.18</v>
      </c>
      <c r="U25" s="1909">
        <f t="shared" si="11"/>
        <v>13.67978317275116</v>
      </c>
      <c r="V25" s="28"/>
      <c r="W25" s="26">
        <f t="shared" si="12"/>
        <v>10540</v>
      </c>
      <c r="X25" s="5">
        <f t="shared" si="12"/>
        <v>520</v>
      </c>
      <c r="Y25" s="1909">
        <f t="shared" si="13"/>
        <v>20.26923076923077</v>
      </c>
      <c r="Z25" s="33"/>
      <c r="AA25" s="26">
        <f t="shared" si="14"/>
        <v>0</v>
      </c>
      <c r="AB25" s="27">
        <f t="shared" si="15"/>
        <v>0</v>
      </c>
      <c r="AC25" s="53">
        <f t="shared" si="16"/>
        <v>0</v>
      </c>
      <c r="AD25" s="28"/>
      <c r="AE25" s="36"/>
      <c r="AF25" s="36"/>
      <c r="AG25" s="53">
        <f t="shared" si="17"/>
        <v>0</v>
      </c>
      <c r="AH25" s="28"/>
      <c r="AI25" s="26"/>
      <c r="AJ25" s="27"/>
      <c r="AK25" s="53">
        <f t="shared" si="18"/>
        <v>0</v>
      </c>
      <c r="AL25" s="28"/>
      <c r="AM25" s="2629"/>
      <c r="AN25" s="9"/>
      <c r="AO25" s="5"/>
      <c r="AP25" s="61">
        <f t="shared" si="19"/>
        <v>0</v>
      </c>
      <c r="AQ25" s="36"/>
      <c r="AR25" s="53"/>
      <c r="AS25" s="61">
        <f t="shared" si="20"/>
        <v>0</v>
      </c>
      <c r="AT25" s="36">
        <v>0</v>
      </c>
      <c r="AU25" s="27"/>
      <c r="AV25" s="54">
        <f t="shared" si="21"/>
        <v>0</v>
      </c>
      <c r="AW25" s="26">
        <v>36582</v>
      </c>
      <c r="AX25" s="27">
        <v>3290.4300000000003</v>
      </c>
      <c r="AY25" s="1895">
        <f t="shared" si="115"/>
        <v>11.117695863458575</v>
      </c>
      <c r="AZ25" s="1908"/>
      <c r="BA25" s="1909"/>
      <c r="BB25" s="1895">
        <f t="shared" si="22"/>
        <v>0</v>
      </c>
      <c r="BC25" s="1740">
        <v>28560</v>
      </c>
      <c r="BD25" s="1926">
        <v>1494.1000000000001</v>
      </c>
      <c r="BE25" s="1895">
        <f t="shared" si="23"/>
        <v>19.115186399839367</v>
      </c>
      <c r="BF25" s="1908"/>
      <c r="BG25" s="1909"/>
      <c r="BH25" s="1895">
        <f t="shared" si="24"/>
        <v>0</v>
      </c>
      <c r="BI25" s="1908">
        <v>0</v>
      </c>
      <c r="BJ25" s="1909">
        <v>0</v>
      </c>
      <c r="BK25" s="1895">
        <f t="shared" si="25"/>
        <v>0</v>
      </c>
      <c r="BL25" s="1742">
        <v>16555</v>
      </c>
      <c r="BM25" s="1909">
        <v>1210.18</v>
      </c>
      <c r="BN25" s="2170"/>
      <c r="BO25" s="1911">
        <f t="shared" si="26"/>
        <v>13.67978317275116</v>
      </c>
      <c r="BP25" s="9"/>
      <c r="BQ25" s="64"/>
      <c r="BR25" s="482">
        <f t="shared" si="27"/>
        <v>0</v>
      </c>
      <c r="BS25" s="9"/>
      <c r="BT25" s="64"/>
      <c r="BU25" s="482">
        <f t="shared" si="28"/>
        <v>0</v>
      </c>
      <c r="BV25" s="9">
        <v>10540</v>
      </c>
      <c r="BW25" s="27">
        <v>520</v>
      </c>
      <c r="BX25" s="15">
        <f t="shared" si="29"/>
        <v>20.26923076923077</v>
      </c>
      <c r="BY25" s="26"/>
      <c r="BZ25" s="5"/>
      <c r="CA25" s="482">
        <f t="shared" si="30"/>
        <v>0</v>
      </c>
      <c r="CB25" s="9"/>
      <c r="CC25" s="481"/>
      <c r="CD25" s="482">
        <f t="shared" si="31"/>
        <v>0</v>
      </c>
      <c r="CE25" s="4"/>
      <c r="CF25" s="5"/>
      <c r="CG25" s="28">
        <f t="shared" si="32"/>
        <v>0</v>
      </c>
      <c r="CH25" s="150"/>
      <c r="CI25" s="1108"/>
      <c r="CJ25" s="5"/>
      <c r="CK25" s="5">
        <v>2840</v>
      </c>
      <c r="CL25" s="5"/>
      <c r="CM25" s="5"/>
      <c r="CN25" s="5"/>
      <c r="CO25" s="33"/>
      <c r="CP25" s="366"/>
      <c r="CR25" s="4">
        <f t="shared" si="33"/>
        <v>0</v>
      </c>
      <c r="CS25" s="9">
        <f t="shared" si="33"/>
        <v>0</v>
      </c>
      <c r="CT25" s="5">
        <f t="shared" si="33"/>
        <v>0</v>
      </c>
      <c r="CU25" s="5">
        <f t="shared" si="33"/>
        <v>0</v>
      </c>
      <c r="CV25" s="5">
        <f t="shared" si="33"/>
        <v>0</v>
      </c>
      <c r="CW25" s="5">
        <f t="shared" si="33"/>
        <v>0</v>
      </c>
      <c r="CX25" s="5">
        <f t="shared" si="33"/>
        <v>28.64</v>
      </c>
      <c r="CY25" s="5">
        <f t="shared" si="33"/>
        <v>0</v>
      </c>
      <c r="CZ25" s="5">
        <f t="shared" si="33"/>
        <v>5605.8100000000013</v>
      </c>
      <c r="DA25" s="5">
        <f t="shared" si="33"/>
        <v>0</v>
      </c>
      <c r="DB25" s="5">
        <f t="shared" si="33"/>
        <v>880.26</v>
      </c>
      <c r="DC25" s="12">
        <f t="shared" si="33"/>
        <v>0</v>
      </c>
      <c r="DD25" s="310">
        <f t="shared" si="34"/>
        <v>6514.7100000000019</v>
      </c>
      <c r="DE25" s="2695"/>
      <c r="DF25" s="8"/>
      <c r="DG25" s="9"/>
      <c r="DH25" s="5"/>
      <c r="DI25" s="5"/>
      <c r="DJ25" s="5"/>
      <c r="DK25" s="5"/>
      <c r="DL25" s="3">
        <v>28.64</v>
      </c>
      <c r="DM25" s="5"/>
      <c r="DN25" s="3">
        <v>3261.7900000000009</v>
      </c>
      <c r="DO25" s="5"/>
      <c r="DP25" s="5"/>
      <c r="DQ25" s="12"/>
      <c r="DR25" s="28">
        <f t="shared" si="35"/>
        <v>3290.4300000000007</v>
      </c>
      <c r="DS25" s="36"/>
      <c r="DT25" s="9"/>
      <c r="DU25" s="5"/>
      <c r="DV25" s="5"/>
      <c r="DW25" s="5"/>
      <c r="DX25" s="5"/>
      <c r="DY25" s="5"/>
      <c r="DZ25" s="5"/>
      <c r="EA25" s="3">
        <v>2344.02</v>
      </c>
      <c r="EB25" s="27"/>
      <c r="EC25" s="24">
        <v>360.26</v>
      </c>
      <c r="ED25" s="33"/>
      <c r="EE25" s="28">
        <f t="shared" si="36"/>
        <v>2704.2799999999997</v>
      </c>
      <c r="EF25" s="9"/>
      <c r="EG25" s="36"/>
      <c r="EH25" s="5"/>
      <c r="EI25" s="27"/>
      <c r="EJ25" s="27"/>
      <c r="EK25" s="27"/>
      <c r="EL25" s="27"/>
      <c r="EM25" s="27"/>
      <c r="EN25" s="5"/>
      <c r="EO25" s="5"/>
      <c r="EP25" s="5">
        <v>520</v>
      </c>
      <c r="EQ25" s="33"/>
      <c r="ER25" s="28">
        <f t="shared" si="37"/>
        <v>520</v>
      </c>
      <c r="ES25" s="36"/>
      <c r="ET25" s="27"/>
      <c r="EU25" s="27"/>
      <c r="EV25" s="27"/>
      <c r="EW25" s="27"/>
      <c r="EX25" s="27"/>
      <c r="EY25" s="33">
        <f t="shared" si="38"/>
        <v>0</v>
      </c>
      <c r="EZ25" s="2685"/>
      <c r="FB25" s="4">
        <f t="shared" si="39"/>
        <v>0</v>
      </c>
      <c r="FC25" s="5">
        <f t="shared" si="40"/>
        <v>0</v>
      </c>
      <c r="FD25" s="5">
        <f t="shared" si="41"/>
        <v>0</v>
      </c>
      <c r="FE25" s="12">
        <f t="shared" si="42"/>
        <v>0</v>
      </c>
      <c r="FF25" s="33"/>
      <c r="FG25" s="2674"/>
      <c r="FH25" s="9"/>
      <c r="FI25" s="5"/>
      <c r="FJ25" s="5"/>
      <c r="FK25" s="5"/>
      <c r="FL25" s="5"/>
      <c r="FM25" s="27"/>
      <c r="FN25" s="28">
        <f t="shared" si="43"/>
        <v>0</v>
      </c>
      <c r="FO25" s="36"/>
      <c r="FP25" s="27"/>
      <c r="FQ25" s="27"/>
      <c r="FR25" s="27"/>
      <c r="FS25" s="27"/>
      <c r="FT25" s="27"/>
      <c r="FU25" s="28">
        <f t="shared" si="44"/>
        <v>0</v>
      </c>
      <c r="FV25" s="36"/>
      <c r="FW25" s="36"/>
      <c r="FX25" s="27"/>
      <c r="FY25" s="27"/>
      <c r="FZ25" s="27"/>
      <c r="GA25" s="27"/>
      <c r="GB25" s="27"/>
      <c r="GC25" s="27"/>
      <c r="GD25" s="27"/>
      <c r="GE25" s="27"/>
      <c r="GF25" s="27"/>
      <c r="GG25" s="33"/>
      <c r="GH25" s="33">
        <f t="shared" si="45"/>
        <v>0</v>
      </c>
      <c r="GI25" s="2674"/>
      <c r="GK25" s="2">
        <f t="shared" si="108"/>
        <v>0</v>
      </c>
      <c r="GL25" s="63">
        <f t="shared" si="109"/>
        <v>1088.3</v>
      </c>
      <c r="GM25" s="24">
        <f t="shared" si="110"/>
        <v>6556.4299999999994</v>
      </c>
      <c r="GN25" s="1736">
        <f t="shared" si="46"/>
        <v>7644.73</v>
      </c>
      <c r="GO25" s="141"/>
      <c r="GP25" s="141"/>
      <c r="GQ25" s="33"/>
      <c r="GR25" s="2667"/>
      <c r="GS25" s="1739">
        <v>0</v>
      </c>
      <c r="GT25" s="1721">
        <v>0</v>
      </c>
      <c r="GU25" s="1721">
        <v>3490.6899999999996</v>
      </c>
      <c r="GV25" s="1721">
        <v>4154.04</v>
      </c>
      <c r="GW25" s="33">
        <f t="shared" si="47"/>
        <v>7644.73</v>
      </c>
      <c r="GX25" s="2667"/>
      <c r="GY25" s="26"/>
      <c r="GZ25" s="27"/>
      <c r="HA25" s="64"/>
      <c r="HB25" s="27"/>
      <c r="HC25" s="27"/>
      <c r="HD25" s="27"/>
      <c r="HE25" s="27"/>
      <c r="HF25" s="27"/>
      <c r="HG25" s="24">
        <v>0</v>
      </c>
      <c r="HH25" s="27"/>
      <c r="HI25" s="24">
        <v>0</v>
      </c>
      <c r="HJ25" s="27"/>
      <c r="HK25" s="24">
        <v>0</v>
      </c>
      <c r="HL25" s="27"/>
      <c r="HM25" s="28">
        <f t="shared" si="120"/>
        <v>0</v>
      </c>
      <c r="HN25" s="36"/>
      <c r="HO25" s="27"/>
      <c r="HP25" s="27"/>
      <c r="HQ25" s="27"/>
      <c r="HR25" s="27"/>
      <c r="HS25" s="27"/>
      <c r="HT25" s="27" cm="1">
        <f t="array" ref="HT25">SUMPRODUCT(('Data Base hauling'!$C$2:$C$216="TCM-ROM SB1 BK05-ROM 4")*(ISNUMBER(SEARCH(TEXT('June TCM'!$B25,"00")&amp;"/03/2026",'Data Base hauling'!$E$2:$E$216)))*'Data Base hauling'!$N$2:$N$216)</f>
        <v>0</v>
      </c>
      <c r="HU25" s="27"/>
      <c r="HV25" s="27" cm="1">
        <f t="array" ref="HV25">SUMPRODUCT(('Data Base hauling'!$C$2:$C$216="TCM-ROM SB1 BK05-ROM 5")*(ISNUMBER(SEARCH(TEXT('June TCM'!$B25,"00")&amp;"/03/2026",'Data Base hauling'!$E$2:$E$216)))*'Data Base hauling'!$N$2:$N$216)</f>
        <v>0</v>
      </c>
      <c r="HW25" s="27"/>
      <c r="HX25" s="27"/>
      <c r="HY25" s="27"/>
      <c r="HZ25" s="27"/>
      <c r="IA25" s="27"/>
      <c r="IB25" s="33">
        <f t="shared" si="49"/>
        <v>0</v>
      </c>
      <c r="IC25" s="52"/>
      <c r="ID25" s="152"/>
      <c r="IE25" s="53"/>
      <c r="IF25" s="53"/>
      <c r="IG25" s="53"/>
      <c r="IH25" s="53"/>
      <c r="II25" s="1926">
        <v>0</v>
      </c>
      <c r="IJ25" s="1736"/>
      <c r="IK25" s="1926">
        <v>1088.3</v>
      </c>
      <c r="IL25" s="53"/>
      <c r="IM25" s="49">
        <v>0</v>
      </c>
      <c r="IN25" s="53"/>
      <c r="IO25" s="53"/>
      <c r="IP25" s="49">
        <f>SUMPRODUCT(('Data Base hauling'!$C$2:$C$216="TCM-HAC1 (Production)-ROM 2(HAC)")*(ISNUMBER(SEARCH(TEXT('June TCM'!$B25,"00")&amp;"/06/2026",'Data Base hauling'!$E$2:$E$216)))*'Data Base hauling'!$N$2:$N$216)</f>
        <v>0</v>
      </c>
      <c r="IQ25" s="2195">
        <f t="shared" si="121"/>
        <v>1088.3</v>
      </c>
      <c r="IR25" s="36"/>
      <c r="IS25" s="36"/>
      <c r="IT25" s="27"/>
      <c r="IU25" s="27"/>
      <c r="IV25" s="53"/>
      <c r="IW25" s="27"/>
      <c r="IX25" s="24">
        <v>0</v>
      </c>
      <c r="IY25" s="27"/>
      <c r="IZ25" s="24">
        <v>6556.4299999999994</v>
      </c>
      <c r="JA25" s="27"/>
      <c r="JB25" s="24">
        <v>0</v>
      </c>
      <c r="JC25" s="27"/>
      <c r="JD25" s="27"/>
      <c r="JE25" s="27"/>
      <c r="JF25" s="33">
        <f t="shared" si="122"/>
        <v>6556.4299999999994</v>
      </c>
      <c r="JG25" s="2667"/>
      <c r="JI25" s="2014">
        <v>7644.7299999999987</v>
      </c>
      <c r="JJ25" s="2015">
        <v>0</v>
      </c>
      <c r="JK25" s="53"/>
      <c r="JL25" s="53">
        <f t="shared" si="52"/>
        <v>7644.7299999999987</v>
      </c>
      <c r="JM25" s="33"/>
      <c r="JN25" s="2669"/>
      <c r="JO25" s="66">
        <v>0</v>
      </c>
      <c r="JP25" s="67">
        <v>0</v>
      </c>
      <c r="JQ25" s="67">
        <v>0</v>
      </c>
      <c r="JR25" s="67">
        <v>0</v>
      </c>
      <c r="JS25" s="67">
        <v>1</v>
      </c>
      <c r="JT25" s="67">
        <v>0</v>
      </c>
      <c r="JU25" s="67">
        <v>0</v>
      </c>
      <c r="JV25" s="1921">
        <v>0</v>
      </c>
      <c r="JW25" s="66" t="s">
        <v>296</v>
      </c>
      <c r="JX25" s="67" t="s">
        <v>296</v>
      </c>
      <c r="JY25" s="67" t="s">
        <v>296</v>
      </c>
      <c r="JZ25" s="67" t="s">
        <v>296</v>
      </c>
      <c r="KA25" s="67" t="s">
        <v>296</v>
      </c>
      <c r="KB25" s="67" t="s">
        <v>296</v>
      </c>
      <c r="KC25" s="67" t="s">
        <v>296</v>
      </c>
      <c r="KD25" s="68" t="s">
        <v>296</v>
      </c>
      <c r="KE25" s="69"/>
      <c r="KF25" s="70"/>
      <c r="KG25" s="70"/>
      <c r="KH25" s="70"/>
      <c r="KI25" s="70"/>
      <c r="KJ25" s="70"/>
      <c r="KK25" s="70"/>
      <c r="KL25" s="70"/>
      <c r="KM25" s="33"/>
      <c r="KN25" s="2669"/>
      <c r="KO25" s="2203">
        <v>6964.6656693118248</v>
      </c>
      <c r="KP25" s="1721">
        <v>0.49346038766749056</v>
      </c>
      <c r="KQ25" s="1721">
        <v>4.2008403798621048</v>
      </c>
      <c r="KR25" s="1721">
        <v>6.4980941849876412</v>
      </c>
      <c r="KS25" s="1722">
        <v>10.93171978665279</v>
      </c>
      <c r="KT25" s="1958">
        <v>0</v>
      </c>
      <c r="KU25" s="1961">
        <v>0</v>
      </c>
      <c r="KV25" s="1961">
        <v>0</v>
      </c>
      <c r="KW25" s="1961">
        <v>0</v>
      </c>
      <c r="KX25" s="1962">
        <v>0</v>
      </c>
      <c r="KY25" s="36"/>
      <c r="KZ25" s="53"/>
      <c r="LA25" s="53"/>
      <c r="LB25" s="53"/>
      <c r="LC25" s="53"/>
      <c r="LD25" s="33"/>
      <c r="LE25" s="2669"/>
      <c r="LG25" s="4">
        <f t="shared" si="53"/>
        <v>0</v>
      </c>
      <c r="LH25" s="27">
        <f t="shared" si="53"/>
        <v>0</v>
      </c>
      <c r="LI25" s="27">
        <f t="shared" si="53"/>
        <v>0</v>
      </c>
      <c r="LJ25" s="28">
        <f t="shared" si="54"/>
        <v>0</v>
      </c>
      <c r="LK25" s="36"/>
      <c r="LL25" s="27"/>
      <c r="LM25" s="27">
        <v>3</v>
      </c>
      <c r="LN25" s="33"/>
      <c r="LO25" s="1041">
        <v>7.35</v>
      </c>
      <c r="LP25" s="486"/>
      <c r="LQ25" s="2688"/>
      <c r="LR25" s="2269"/>
      <c r="LS25" s="2269"/>
      <c r="LT25" s="27"/>
      <c r="LU25" s="27"/>
      <c r="LV25" s="27"/>
      <c r="LW25" s="1107">
        <f t="shared" si="55"/>
        <v>0</v>
      </c>
      <c r="LX25" s="2269"/>
      <c r="LY25" s="2269"/>
      <c r="LZ25" s="27"/>
      <c r="MA25" s="27"/>
      <c r="MB25" s="33"/>
      <c r="MC25" s="28">
        <f t="shared" si="56"/>
        <v>0</v>
      </c>
      <c r="MD25" s="26"/>
      <c r="ME25" s="36"/>
      <c r="MF25" s="27"/>
      <c r="MG25" s="27"/>
      <c r="MH25" s="27"/>
      <c r="MI25" s="28"/>
      <c r="MJ25" s="36"/>
      <c r="MK25" s="36"/>
      <c r="ML25" s="27"/>
      <c r="MM25" s="27"/>
      <c r="MN25" s="27"/>
      <c r="MO25" s="28"/>
      <c r="MP25" s="36"/>
      <c r="MQ25" s="36"/>
      <c r="MR25" s="27"/>
      <c r="MS25" s="27"/>
      <c r="MT25" s="27"/>
      <c r="MU25" s="33">
        <f t="shared" si="57"/>
        <v>0</v>
      </c>
      <c r="MV25" s="2688"/>
      <c r="MX25" s="26">
        <f t="shared" si="58"/>
        <v>165496.77357596438</v>
      </c>
      <c r="MY25" s="27">
        <f t="shared" si="59"/>
        <v>154227.67785017914</v>
      </c>
      <c r="MZ25" s="27">
        <f t="shared" si="60"/>
        <v>22086.678559023403</v>
      </c>
      <c r="NA25" s="28">
        <f t="shared" si="61"/>
        <v>424070.96855850989</v>
      </c>
      <c r="NB25" s="2621"/>
      <c r="NC25" s="23">
        <f t="shared" si="123"/>
        <v>76936.630867469488</v>
      </c>
      <c r="ND25" s="1579">
        <f t="shared" si="124"/>
        <v>88560.142708494881</v>
      </c>
      <c r="NE25" s="60">
        <f t="shared" si="64"/>
        <v>0</v>
      </c>
      <c r="NF25" s="275">
        <f t="shared" si="4"/>
        <v>165496.77357596438</v>
      </c>
      <c r="NG25" s="26">
        <f t="shared" si="65"/>
        <v>0</v>
      </c>
      <c r="NH25" s="27">
        <f t="shared" si="65"/>
        <v>0</v>
      </c>
      <c r="NI25" s="27">
        <f t="shared" si="65"/>
        <v>0</v>
      </c>
      <c r="NJ25" s="27">
        <f t="shared" si="65"/>
        <v>0</v>
      </c>
      <c r="NK25" s="27">
        <f t="shared" si="65"/>
        <v>0</v>
      </c>
      <c r="NL25" s="33">
        <f t="shared" si="65"/>
        <v>0</v>
      </c>
      <c r="NM25" s="27">
        <f t="shared" si="65"/>
        <v>0</v>
      </c>
      <c r="NN25" s="36">
        <f t="shared" si="65"/>
        <v>0</v>
      </c>
      <c r="NO25" s="24">
        <f t="shared" si="111"/>
        <v>1828.3342192005614</v>
      </c>
      <c r="NP25" s="27">
        <f t="shared" si="65"/>
        <v>26196.696072681989</v>
      </c>
      <c r="NQ25" s="24">
        <f t="shared" si="112"/>
        <v>8756.5482322711578</v>
      </c>
      <c r="NR25" s="24">
        <f t="shared" si="113"/>
        <v>2976.4448469876015</v>
      </c>
      <c r="NS25" s="27">
        <f t="shared" si="0"/>
        <v>39758.023371141309</v>
      </c>
      <c r="NT25" s="27">
        <f t="shared" si="66"/>
        <v>0</v>
      </c>
      <c r="NU25" s="27">
        <f t="shared" si="66"/>
        <v>0</v>
      </c>
      <c r="NV25" s="27">
        <f t="shared" si="66"/>
        <v>0</v>
      </c>
      <c r="NW25" s="27">
        <f t="shared" si="66"/>
        <v>0</v>
      </c>
      <c r="NX25" s="27">
        <f t="shared" si="66"/>
        <v>0</v>
      </c>
      <c r="NY25" s="5">
        <f t="shared" si="66"/>
        <v>0</v>
      </c>
      <c r="NZ25" s="27">
        <f t="shared" si="66"/>
        <v>7854.5603682352476</v>
      </c>
      <c r="OA25" s="27">
        <f t="shared" si="66"/>
        <v>0</v>
      </c>
      <c r="OB25" s="27">
        <f t="shared" si="66"/>
        <v>65658.577327968029</v>
      </c>
      <c r="OC25" s="280"/>
      <c r="OD25" s="24">
        <f t="shared" si="67"/>
        <v>454.51223506073143</v>
      </c>
      <c r="OE25" s="27">
        <f t="shared" si="127"/>
        <v>0</v>
      </c>
      <c r="OF25" s="28">
        <f t="shared" si="1"/>
        <v>73967.649931264008</v>
      </c>
      <c r="OG25" s="27">
        <f t="shared" si="68"/>
        <v>0</v>
      </c>
      <c r="OH25" s="27">
        <f t="shared" si="68"/>
        <v>0</v>
      </c>
      <c r="OI25" s="27">
        <f t="shared" si="68"/>
        <v>0</v>
      </c>
      <c r="OJ25" s="27">
        <f t="shared" si="68"/>
        <v>0</v>
      </c>
      <c r="OK25" s="27">
        <f t="shared" si="68"/>
        <v>0</v>
      </c>
      <c r="OL25" s="27">
        <f t="shared" si="68"/>
        <v>0</v>
      </c>
      <c r="OM25" s="24">
        <f t="shared" si="68"/>
        <v>0</v>
      </c>
      <c r="ON25" s="27">
        <f t="shared" si="68"/>
        <v>0</v>
      </c>
      <c r="OO25" s="24">
        <f t="shared" si="118"/>
        <v>37167.444547773834</v>
      </c>
      <c r="OP25" s="27">
        <f t="shared" si="68"/>
        <v>0</v>
      </c>
      <c r="OQ25" s="24">
        <f t="shared" si="68"/>
        <v>3334.5600000000004</v>
      </c>
      <c r="OR25" s="27">
        <f t="shared" si="68"/>
        <v>0</v>
      </c>
      <c r="OS25" s="28">
        <f t="shared" si="2"/>
        <v>40502.004547773831</v>
      </c>
      <c r="OT25" s="36"/>
      <c r="OU25" s="27"/>
      <c r="OV25" s="27"/>
      <c r="OW25" s="27"/>
      <c r="OX25" s="27"/>
      <c r="OY25" s="27"/>
      <c r="OZ25" s="28">
        <f t="shared" si="69"/>
        <v>0</v>
      </c>
      <c r="PA25" s="36">
        <f t="shared" si="70"/>
        <v>0</v>
      </c>
      <c r="PB25" s="27">
        <f t="shared" si="71"/>
        <v>0</v>
      </c>
      <c r="PC25" s="27">
        <f t="shared" si="72"/>
        <v>0</v>
      </c>
      <c r="PD25" s="27">
        <f t="shared" si="73"/>
        <v>0</v>
      </c>
      <c r="PE25" s="24"/>
      <c r="PF25" s="27">
        <f t="shared" si="74"/>
        <v>0</v>
      </c>
      <c r="PG25" s="33">
        <f t="shared" si="3"/>
        <v>0</v>
      </c>
      <c r="PH25" s="2621"/>
      <c r="PJ25" s="1907">
        <v>387.74</v>
      </c>
      <c r="PK25" s="3">
        <v>0</v>
      </c>
      <c r="PL25" s="3">
        <v>0</v>
      </c>
      <c r="PM25" s="3">
        <v>0</v>
      </c>
      <c r="PN25" s="3">
        <v>35389.949776580688</v>
      </c>
      <c r="PO25" s="11">
        <f t="shared" si="75"/>
        <v>22086.678559023403</v>
      </c>
      <c r="PP25" s="15"/>
      <c r="PQ25" s="2615"/>
      <c r="PS25" s="4"/>
      <c r="PT25" s="9"/>
      <c r="PU25" s="9"/>
      <c r="PV25" s="486"/>
      <c r="PW25" s="8">
        <v>0</v>
      </c>
      <c r="PX25" s="9"/>
      <c r="PY25" s="8">
        <f t="shared" si="76"/>
        <v>0</v>
      </c>
      <c r="PZ25" s="5">
        <f t="shared" si="77"/>
        <v>387.74</v>
      </c>
      <c r="QA25" s="5"/>
      <c r="QB25" s="5"/>
      <c r="QC25" s="5"/>
      <c r="QD25" s="5"/>
      <c r="QE25" s="5"/>
      <c r="QF25" s="12"/>
      <c r="QG25" s="12">
        <f t="shared" si="78"/>
        <v>29562.488999999998</v>
      </c>
      <c r="QH25" s="420">
        <f t="shared" si="79"/>
        <v>392383.7395585099</v>
      </c>
      <c r="QI25" s="1106">
        <f t="shared" si="80"/>
        <v>2124.7399999999998</v>
      </c>
      <c r="QJ25" s="484">
        <f t="shared" si="81"/>
        <v>5505.3678056099998</v>
      </c>
      <c r="QK25" s="12"/>
      <c r="QL25" s="2615"/>
      <c r="QN25" s="139">
        <f t="shared" si="82"/>
        <v>0</v>
      </c>
      <c r="QO25" s="139" t="str">
        <f t="shared" si="83"/>
        <v/>
      </c>
      <c r="QQ25" s="139">
        <f t="shared" si="84"/>
        <v>0</v>
      </c>
      <c r="QR25" s="139">
        <f t="shared" si="85"/>
        <v>0</v>
      </c>
      <c r="QT25" s="1">
        <f t="shared" si="86"/>
        <v>0</v>
      </c>
      <c r="QU25" s="1">
        <f t="shared" si="87"/>
        <v>0</v>
      </c>
      <c r="QV25" s="1">
        <f t="shared" si="88"/>
        <v>0</v>
      </c>
      <c r="QW25" s="1">
        <f t="shared" si="89"/>
        <v>0</v>
      </c>
      <c r="QX25" s="1">
        <f t="shared" si="90"/>
        <v>0</v>
      </c>
      <c r="QY25" s="1">
        <f t="shared" si="91"/>
        <v>0</v>
      </c>
      <c r="RA25" s="1">
        <f t="shared" si="92"/>
        <v>0</v>
      </c>
      <c r="RB25" s="1">
        <f t="shared" si="93"/>
        <v>0</v>
      </c>
      <c r="RC25" s="1">
        <f t="shared" si="94"/>
        <v>0</v>
      </c>
      <c r="RD25" s="1">
        <f t="shared" si="95"/>
        <v>0</v>
      </c>
      <c r="RE25" s="1">
        <f t="shared" si="96"/>
        <v>0</v>
      </c>
      <c r="RF25" s="1">
        <f t="shared" si="97"/>
        <v>0</v>
      </c>
      <c r="RI25" s="1">
        <v>16</v>
      </c>
      <c r="RJ25" s="1">
        <f t="shared" si="125"/>
        <v>38230.7062097171</v>
      </c>
      <c r="RK25" s="1">
        <f t="shared" si="125"/>
        <v>12372.700780483719</v>
      </c>
      <c r="RL25" s="1">
        <f t="shared" si="125"/>
        <v>13404.263703387322</v>
      </c>
      <c r="RM25" s="89">
        <f t="shared" si="5"/>
        <v>64007.670693588138</v>
      </c>
      <c r="RN25" s="1033">
        <v>16</v>
      </c>
      <c r="RO25" s="1098">
        <f t="shared" si="99"/>
        <v>0</v>
      </c>
      <c r="RP25" s="1098">
        <f t="shared" si="100"/>
        <v>0</v>
      </c>
      <c r="RQ25" s="1097">
        <f t="shared" si="100"/>
        <v>0</v>
      </c>
      <c r="RR25" s="1097">
        <f t="shared" si="101"/>
        <v>5994.7100000000009</v>
      </c>
      <c r="RS25" s="1046"/>
      <c r="RT25" s="1046" t="s">
        <v>332</v>
      </c>
      <c r="RU25" s="1048"/>
      <c r="RW25" s="421">
        <v>16</v>
      </c>
      <c r="RX25" s="1095">
        <f t="shared" si="102"/>
        <v>7644.73</v>
      </c>
      <c r="RY25" s="1050" t="s">
        <v>333</v>
      </c>
      <c r="RZ25" s="1048"/>
      <c r="SA25" s="1090"/>
      <c r="SB25" s="1090">
        <f t="shared" si="103"/>
        <v>0</v>
      </c>
      <c r="SC25" s="1090"/>
      <c r="SD25" s="1090">
        <f t="shared" si="126"/>
        <v>0</v>
      </c>
      <c r="SF25" s="1">
        <v>16</v>
      </c>
      <c r="SG25" s="1">
        <f t="shared" si="105"/>
        <v>0</v>
      </c>
      <c r="SH25" s="1094"/>
    </row>
    <row r="26" spans="1:502" s="1" customFormat="1" ht="13.95" customHeight="1">
      <c r="B26" s="471">
        <v>17</v>
      </c>
      <c r="C26" s="4">
        <f t="shared" si="6"/>
        <v>152182</v>
      </c>
      <c r="D26" s="1726">
        <f t="shared" si="119"/>
        <v>9794.98</v>
      </c>
      <c r="E26" s="1895">
        <f t="shared" si="7"/>
        <v>15.536734122989532</v>
      </c>
      <c r="F26" s="870"/>
      <c r="G26" s="870"/>
      <c r="H26" s="52"/>
      <c r="I26" s="61"/>
      <c r="J26" s="52"/>
      <c r="K26" s="54"/>
      <c r="L26" s="52">
        <v>2</v>
      </c>
      <c r="M26" s="61">
        <v>2</v>
      </c>
      <c r="N26" s="2629"/>
      <c r="O26" s="4">
        <f t="shared" si="117"/>
        <v>95172</v>
      </c>
      <c r="P26" s="1225">
        <f t="shared" si="8"/>
        <v>6422.5</v>
      </c>
      <c r="Q26" s="1913">
        <f t="shared" si="9"/>
        <v>14.818528610354223</v>
      </c>
      <c r="R26" s="33"/>
      <c r="S26" s="26">
        <f t="shared" si="10"/>
        <v>31073</v>
      </c>
      <c r="T26" s="27">
        <f t="shared" si="107"/>
        <v>1392.48</v>
      </c>
      <c r="U26" s="1909">
        <f t="shared" si="11"/>
        <v>22.314862691026082</v>
      </c>
      <c r="V26" s="28"/>
      <c r="W26" s="26">
        <f t="shared" si="12"/>
        <v>25937</v>
      </c>
      <c r="X26" s="5">
        <f t="shared" si="12"/>
        <v>1980</v>
      </c>
      <c r="Y26" s="1909">
        <f t="shared" si="13"/>
        <v>13.09949494949495</v>
      </c>
      <c r="Z26" s="33"/>
      <c r="AA26" s="26">
        <f t="shared" si="14"/>
        <v>0</v>
      </c>
      <c r="AB26" s="27">
        <f t="shared" si="15"/>
        <v>0</v>
      </c>
      <c r="AC26" s="53">
        <f t="shared" si="16"/>
        <v>0</v>
      </c>
      <c r="AD26" s="28"/>
      <c r="AE26" s="36"/>
      <c r="AF26" s="36"/>
      <c r="AG26" s="53">
        <f t="shared" si="17"/>
        <v>0</v>
      </c>
      <c r="AH26" s="28"/>
      <c r="AI26" s="23"/>
      <c r="AJ26" s="27"/>
      <c r="AK26" s="53">
        <f t="shared" si="18"/>
        <v>0</v>
      </c>
      <c r="AL26" s="28"/>
      <c r="AM26" s="2629"/>
      <c r="AN26" s="9"/>
      <c r="AO26" s="5"/>
      <c r="AP26" s="61">
        <f t="shared" si="19"/>
        <v>0</v>
      </c>
      <c r="AQ26" s="36"/>
      <c r="AR26" s="53"/>
      <c r="AS26" s="61">
        <f t="shared" si="20"/>
        <v>0</v>
      </c>
      <c r="AT26" s="36">
        <v>0</v>
      </c>
      <c r="AU26" s="27"/>
      <c r="AV26" s="54">
        <f t="shared" si="21"/>
        <v>0</v>
      </c>
      <c r="AW26" s="26">
        <v>51576</v>
      </c>
      <c r="AX26" s="27">
        <v>6286.66</v>
      </c>
      <c r="AY26" s="1895">
        <f t="shared" si="115"/>
        <v>8.204038392405506</v>
      </c>
      <c r="AZ26" s="1908"/>
      <c r="BA26" s="1909"/>
      <c r="BB26" s="1895">
        <f t="shared" si="22"/>
        <v>0</v>
      </c>
      <c r="BC26" s="1740">
        <v>43596</v>
      </c>
      <c r="BD26" s="1926">
        <v>135.84</v>
      </c>
      <c r="BE26" s="1895">
        <f t="shared" si="23"/>
        <v>320.9363957597173</v>
      </c>
      <c r="BF26" s="1908"/>
      <c r="BG26" s="1909"/>
      <c r="BH26" s="1895">
        <f t="shared" si="24"/>
        <v>0</v>
      </c>
      <c r="BI26" s="1908">
        <v>0</v>
      </c>
      <c r="BJ26" s="1909">
        <v>0</v>
      </c>
      <c r="BK26" s="1895">
        <f t="shared" si="25"/>
        <v>0</v>
      </c>
      <c r="BL26" s="1742">
        <v>31073</v>
      </c>
      <c r="BM26" s="1909">
        <v>1392.48</v>
      </c>
      <c r="BN26" s="2170"/>
      <c r="BO26" s="1911">
        <f t="shared" si="26"/>
        <v>22.314862691026082</v>
      </c>
      <c r="BP26" s="9"/>
      <c r="BQ26" s="64"/>
      <c r="BR26" s="482">
        <f t="shared" si="27"/>
        <v>0</v>
      </c>
      <c r="BS26" s="9"/>
      <c r="BT26" s="64"/>
      <c r="BU26" s="482">
        <f t="shared" si="28"/>
        <v>0</v>
      </c>
      <c r="BV26" s="9">
        <v>25937</v>
      </c>
      <c r="BW26" s="27">
        <v>1980</v>
      </c>
      <c r="BX26" s="15">
        <f t="shared" si="29"/>
        <v>13.09949494949495</v>
      </c>
      <c r="BY26" s="26"/>
      <c r="BZ26" s="5"/>
      <c r="CA26" s="482">
        <f t="shared" si="30"/>
        <v>0</v>
      </c>
      <c r="CB26" s="9"/>
      <c r="CC26" s="5"/>
      <c r="CD26" s="483">
        <f t="shared" si="31"/>
        <v>0</v>
      </c>
      <c r="CE26" s="4"/>
      <c r="CF26" s="5"/>
      <c r="CG26" s="28">
        <f t="shared" si="32"/>
        <v>0</v>
      </c>
      <c r="CH26" s="150"/>
      <c r="CI26" s="1108"/>
      <c r="CJ26" s="5"/>
      <c r="CK26" s="5">
        <v>4160</v>
      </c>
      <c r="CL26" s="5"/>
      <c r="CM26" s="5"/>
      <c r="CN26" s="5"/>
      <c r="CO26" s="33"/>
      <c r="CP26" s="366"/>
      <c r="CR26" s="4">
        <f t="shared" si="33"/>
        <v>0</v>
      </c>
      <c r="CS26" s="9">
        <f t="shared" si="33"/>
        <v>0</v>
      </c>
      <c r="CT26" s="5">
        <f t="shared" si="33"/>
        <v>0</v>
      </c>
      <c r="CU26" s="5">
        <f t="shared" si="33"/>
        <v>0</v>
      </c>
      <c r="CV26" s="5">
        <f t="shared" si="33"/>
        <v>0</v>
      </c>
      <c r="CW26" s="5">
        <f t="shared" si="33"/>
        <v>0</v>
      </c>
      <c r="CX26" s="5">
        <f t="shared" si="33"/>
        <v>0</v>
      </c>
      <c r="CY26" s="5">
        <f t="shared" si="33"/>
        <v>0</v>
      </c>
      <c r="CZ26" s="5">
        <f t="shared" si="33"/>
        <v>7814.98</v>
      </c>
      <c r="DA26" s="5">
        <f t="shared" si="33"/>
        <v>0</v>
      </c>
      <c r="DB26" s="5">
        <f t="shared" si="33"/>
        <v>1980</v>
      </c>
      <c r="DC26" s="12">
        <f t="shared" si="33"/>
        <v>0</v>
      </c>
      <c r="DD26" s="310">
        <f t="shared" si="34"/>
        <v>9794.98</v>
      </c>
      <c r="DE26" s="2695"/>
      <c r="DF26" s="8"/>
      <c r="DG26" s="9"/>
      <c r="DH26" s="5"/>
      <c r="DI26" s="5"/>
      <c r="DJ26" s="5"/>
      <c r="DK26" s="5"/>
      <c r="DL26" s="3">
        <v>0</v>
      </c>
      <c r="DM26" s="5"/>
      <c r="DN26" s="3">
        <v>6286.66</v>
      </c>
      <c r="DO26" s="5"/>
      <c r="DP26" s="487"/>
      <c r="DQ26" s="12"/>
      <c r="DR26" s="28">
        <f t="shared" si="35"/>
        <v>6286.66</v>
      </c>
      <c r="DS26" s="36"/>
      <c r="DT26" s="9"/>
      <c r="DU26" s="5"/>
      <c r="DV26" s="5"/>
      <c r="DW26" s="5"/>
      <c r="DX26" s="5"/>
      <c r="DY26" s="5"/>
      <c r="DZ26" s="5"/>
      <c r="EA26" s="3">
        <v>1528.3200000000002</v>
      </c>
      <c r="EB26" s="27"/>
      <c r="EC26" s="24">
        <v>0</v>
      </c>
      <c r="ED26" s="33"/>
      <c r="EE26" s="28">
        <f t="shared" si="36"/>
        <v>1528.3200000000002</v>
      </c>
      <c r="EF26" s="9"/>
      <c r="EG26" s="36"/>
      <c r="EH26" s="5"/>
      <c r="EI26" s="27"/>
      <c r="EJ26" s="27"/>
      <c r="EK26" s="27"/>
      <c r="EL26" s="27"/>
      <c r="EM26" s="27"/>
      <c r="EN26" s="5"/>
      <c r="EO26" s="5"/>
      <c r="EP26" s="5">
        <v>1980</v>
      </c>
      <c r="EQ26" s="33"/>
      <c r="ER26" s="28">
        <f t="shared" si="37"/>
        <v>1980</v>
      </c>
      <c r="ES26" s="36"/>
      <c r="ET26" s="27"/>
      <c r="EU26" s="27"/>
      <c r="EV26" s="27"/>
      <c r="EW26" s="27"/>
      <c r="EX26" s="27"/>
      <c r="EY26" s="33">
        <f t="shared" si="38"/>
        <v>0</v>
      </c>
      <c r="EZ26" s="2685"/>
      <c r="FB26" s="4">
        <f t="shared" si="39"/>
        <v>0</v>
      </c>
      <c r="FC26" s="5">
        <f t="shared" si="40"/>
        <v>0</v>
      </c>
      <c r="FD26" s="5">
        <f t="shared" si="41"/>
        <v>0</v>
      </c>
      <c r="FE26" s="12">
        <f t="shared" si="42"/>
        <v>0</v>
      </c>
      <c r="FF26" s="33"/>
      <c r="FG26" s="2674"/>
      <c r="FH26" s="9"/>
      <c r="FI26" s="5"/>
      <c r="FJ26" s="5"/>
      <c r="FK26" s="5"/>
      <c r="FL26" s="5"/>
      <c r="FM26" s="27"/>
      <c r="FN26" s="28">
        <f t="shared" si="43"/>
        <v>0</v>
      </c>
      <c r="FO26" s="36"/>
      <c r="FP26" s="27"/>
      <c r="FQ26" s="27"/>
      <c r="FR26" s="27"/>
      <c r="FS26" s="27"/>
      <c r="FT26" s="27"/>
      <c r="FU26" s="28">
        <f t="shared" si="44"/>
        <v>0</v>
      </c>
      <c r="FV26" s="36"/>
      <c r="FW26" s="36"/>
      <c r="FX26" s="27"/>
      <c r="FY26" s="27"/>
      <c r="FZ26" s="27"/>
      <c r="GA26" s="27"/>
      <c r="GB26" s="27"/>
      <c r="GC26" s="27"/>
      <c r="GD26" s="27"/>
      <c r="GE26" s="27"/>
      <c r="GF26" s="27"/>
      <c r="GG26" s="33"/>
      <c r="GH26" s="33">
        <f t="shared" si="45"/>
        <v>0</v>
      </c>
      <c r="GI26" s="2674"/>
      <c r="GK26" s="2">
        <f t="shared" si="108"/>
        <v>72.05</v>
      </c>
      <c r="GL26" s="63">
        <f t="shared" si="109"/>
        <v>722.56</v>
      </c>
      <c r="GM26" s="24">
        <f t="shared" si="110"/>
        <v>6430.27</v>
      </c>
      <c r="GN26" s="1736">
        <f t="shared" si="46"/>
        <v>7224.88</v>
      </c>
      <c r="GO26" s="141"/>
      <c r="GP26" s="141"/>
      <c r="GQ26" s="33"/>
      <c r="GR26" s="2667"/>
      <c r="GS26" s="1739">
        <v>0</v>
      </c>
      <c r="GT26" s="1721">
        <v>72.05</v>
      </c>
      <c r="GU26" s="1721">
        <v>3219.04</v>
      </c>
      <c r="GV26" s="1721">
        <v>3933.79</v>
      </c>
      <c r="GW26" s="33">
        <f t="shared" si="47"/>
        <v>7224.88</v>
      </c>
      <c r="GX26" s="2667"/>
      <c r="GY26" s="36"/>
      <c r="GZ26" s="36"/>
      <c r="HA26" s="27"/>
      <c r="HB26" s="27"/>
      <c r="HC26" s="27"/>
      <c r="HD26" s="27"/>
      <c r="HE26" s="27"/>
      <c r="HF26" s="27"/>
      <c r="HG26" s="24">
        <v>0</v>
      </c>
      <c r="HH26" s="27"/>
      <c r="HI26" s="24">
        <v>0</v>
      </c>
      <c r="HJ26" s="27"/>
      <c r="HK26" s="24">
        <v>72.05</v>
      </c>
      <c r="HL26" s="27"/>
      <c r="HM26" s="28">
        <f t="shared" si="120"/>
        <v>72.05</v>
      </c>
      <c r="HN26" s="36"/>
      <c r="HO26" s="27"/>
      <c r="HP26" s="27"/>
      <c r="HQ26" s="27"/>
      <c r="HR26" s="27"/>
      <c r="HS26" s="27"/>
      <c r="HT26" s="27" cm="1">
        <f t="array" ref="HT26">SUMPRODUCT(('Data Base hauling'!$C$2:$C$216="TCM-ROM SB1 BK05-ROM 4")*(ISNUMBER(SEARCH(TEXT('June TCM'!$B26,"00")&amp;"/03/2026",'Data Base hauling'!$E$2:$E$216)))*'Data Base hauling'!$N$2:$N$216)</f>
        <v>0</v>
      </c>
      <c r="HU26" s="27"/>
      <c r="HV26" s="27" cm="1">
        <f t="array" ref="HV26">SUMPRODUCT(('Data Base hauling'!$C$2:$C$216="TCM-ROM SB1 BK05-ROM 5")*(ISNUMBER(SEARCH(TEXT('June TCM'!$B26,"00")&amp;"/03/2026",'Data Base hauling'!$E$2:$E$216)))*'Data Base hauling'!$N$2:$N$216)</f>
        <v>0</v>
      </c>
      <c r="HW26" s="27"/>
      <c r="HX26" s="27"/>
      <c r="HY26" s="27"/>
      <c r="HZ26" s="27"/>
      <c r="IA26" s="27"/>
      <c r="IB26" s="33">
        <f t="shared" si="49"/>
        <v>0</v>
      </c>
      <c r="IC26" s="52"/>
      <c r="ID26" s="152"/>
      <c r="IE26" s="53"/>
      <c r="IF26" s="53"/>
      <c r="IG26" s="53"/>
      <c r="IH26" s="53"/>
      <c r="II26" s="1926">
        <v>0</v>
      </c>
      <c r="IJ26" s="1736"/>
      <c r="IK26" s="1926">
        <v>722.56</v>
      </c>
      <c r="IL26" s="53"/>
      <c r="IM26" s="49">
        <v>0</v>
      </c>
      <c r="IN26" s="64"/>
      <c r="IO26" s="53"/>
      <c r="IP26" s="49">
        <f>SUMPRODUCT(('Data Base hauling'!$C$2:$C$216="TCM-HAC1 (Production)-ROM 2(HAC)")*(ISNUMBER(SEARCH(TEXT('June TCM'!$B26,"00")&amp;"/06/2026",'Data Base hauling'!$E$2:$E$216)))*'Data Base hauling'!$N$2:$N$216)</f>
        <v>0</v>
      </c>
      <c r="IQ26" s="2195">
        <f t="shared" si="121"/>
        <v>722.56</v>
      </c>
      <c r="IR26" s="36"/>
      <c r="IS26" s="36"/>
      <c r="IT26" s="53"/>
      <c r="IU26" s="27"/>
      <c r="IV26" s="53"/>
      <c r="IW26" s="27"/>
      <c r="IX26" s="24">
        <v>0</v>
      </c>
      <c r="IY26" s="27"/>
      <c r="IZ26" s="24">
        <v>6430.27</v>
      </c>
      <c r="JA26" s="27"/>
      <c r="JB26" s="24">
        <v>0</v>
      </c>
      <c r="JC26" s="27"/>
      <c r="JD26" s="27"/>
      <c r="JE26" s="27"/>
      <c r="JF26" s="33">
        <f t="shared" si="122"/>
        <v>6430.27</v>
      </c>
      <c r="JG26" s="2667"/>
      <c r="JI26" s="2014">
        <v>7224.88</v>
      </c>
      <c r="JJ26" s="2015">
        <v>0</v>
      </c>
      <c r="JK26" s="53"/>
      <c r="JL26" s="53">
        <f t="shared" si="52"/>
        <v>7224.88</v>
      </c>
      <c r="JM26" s="33"/>
      <c r="JN26" s="2669"/>
      <c r="JO26" s="66">
        <v>0</v>
      </c>
      <c r="JP26" s="67">
        <v>0</v>
      </c>
      <c r="JQ26" s="67">
        <v>0</v>
      </c>
      <c r="JR26" s="67">
        <v>0</v>
      </c>
      <c r="JS26" s="67">
        <v>0.99002751602794781</v>
      </c>
      <c r="JT26" s="67">
        <v>0</v>
      </c>
      <c r="JU26" s="67">
        <v>9.9724839720521305E-3</v>
      </c>
      <c r="JV26" s="1921">
        <v>0</v>
      </c>
      <c r="JW26" s="66" t="s">
        <v>296</v>
      </c>
      <c r="JX26" s="67" t="s">
        <v>296</v>
      </c>
      <c r="JY26" s="67" t="s">
        <v>296</v>
      </c>
      <c r="JZ26" s="67" t="s">
        <v>296</v>
      </c>
      <c r="KA26" s="67" t="s">
        <v>296</v>
      </c>
      <c r="KB26" s="67" t="s">
        <v>296</v>
      </c>
      <c r="KC26" s="67" t="s">
        <v>296</v>
      </c>
      <c r="KD26" s="68" t="s">
        <v>296</v>
      </c>
      <c r="KE26" s="69"/>
      <c r="KF26" s="70"/>
      <c r="KG26" s="70"/>
      <c r="KH26" s="70"/>
      <c r="KI26" s="70"/>
      <c r="KJ26" s="70"/>
      <c r="KK26" s="70"/>
      <c r="KL26" s="70"/>
      <c r="KM26" s="33"/>
      <c r="KN26" s="2669"/>
      <c r="KO26" s="2203">
        <v>7038.273806237924</v>
      </c>
      <c r="KP26" s="1721">
        <v>0.55470052442727014</v>
      </c>
      <c r="KQ26" s="1721">
        <v>3.3346094396908641</v>
      </c>
      <c r="KR26" s="1721">
        <v>6.5794010488545407</v>
      </c>
      <c r="KS26" s="1722">
        <v>10.961363510902569</v>
      </c>
      <c r="KT26" s="1958">
        <v>0</v>
      </c>
      <c r="KU26" s="1961">
        <v>0</v>
      </c>
      <c r="KV26" s="1961">
        <v>0</v>
      </c>
      <c r="KW26" s="1961">
        <v>0</v>
      </c>
      <c r="KX26" s="1962">
        <v>0</v>
      </c>
      <c r="KY26" s="36"/>
      <c r="KZ26" s="53"/>
      <c r="LA26" s="53"/>
      <c r="LB26" s="53"/>
      <c r="LC26" s="53"/>
      <c r="LD26" s="33"/>
      <c r="LE26" s="2669"/>
      <c r="LG26" s="853">
        <f t="shared" si="53"/>
        <v>0</v>
      </c>
      <c r="LH26" s="27">
        <f t="shared" si="53"/>
        <v>0</v>
      </c>
      <c r="LI26" s="27">
        <f t="shared" si="53"/>
        <v>0</v>
      </c>
      <c r="LJ26" s="28">
        <f t="shared" si="54"/>
        <v>0</v>
      </c>
      <c r="LK26" s="36"/>
      <c r="LL26" s="27"/>
      <c r="LM26" s="27">
        <v>2</v>
      </c>
      <c r="LN26" s="33"/>
      <c r="LO26" s="1041">
        <v>7.3</v>
      </c>
      <c r="LP26" s="486" t="s">
        <v>334</v>
      </c>
      <c r="LQ26" s="2688"/>
      <c r="LR26" s="2269"/>
      <c r="LS26" s="2269"/>
      <c r="LT26" s="27"/>
      <c r="LU26" s="27"/>
      <c r="LV26" s="27"/>
      <c r="LW26" s="1107">
        <f t="shared" si="55"/>
        <v>0</v>
      </c>
      <c r="LX26" s="2269"/>
      <c r="LY26" s="2269"/>
      <c r="LZ26" s="27"/>
      <c r="MA26" s="27"/>
      <c r="MB26" s="33"/>
      <c r="MC26" s="28">
        <f t="shared" si="56"/>
        <v>0</v>
      </c>
      <c r="MD26" s="26"/>
      <c r="ME26" s="36"/>
      <c r="MF26" s="27"/>
      <c r="MG26" s="27"/>
      <c r="MH26" s="27"/>
      <c r="MI26" s="28"/>
      <c r="MJ26" s="36"/>
      <c r="MK26" s="36"/>
      <c r="ML26" s="27"/>
      <c r="MM26" s="27"/>
      <c r="MN26" s="27"/>
      <c r="MO26" s="28"/>
      <c r="MP26" s="36"/>
      <c r="MQ26" s="36"/>
      <c r="MR26" s="27"/>
      <c r="MS26" s="27"/>
      <c r="MT26" s="27"/>
      <c r="MU26" s="33">
        <f t="shared" si="57"/>
        <v>0</v>
      </c>
      <c r="MV26" s="2688"/>
      <c r="MX26" s="26">
        <f t="shared" si="58"/>
        <v>172721.65357596439</v>
      </c>
      <c r="MY26" s="27">
        <f t="shared" si="59"/>
        <v>156869.82785017916</v>
      </c>
      <c r="MZ26" s="27">
        <f t="shared" si="60"/>
        <v>22204.628559023404</v>
      </c>
      <c r="NA26" s="28">
        <f t="shared" si="61"/>
        <v>423619.74855850992</v>
      </c>
      <c r="NB26" s="2621"/>
      <c r="NC26" s="23">
        <f t="shared" si="123"/>
        <v>84161.510867469493</v>
      </c>
      <c r="ND26" s="1579">
        <f t="shared" si="124"/>
        <v>88560.142708494881</v>
      </c>
      <c r="NE26" s="60">
        <f t="shared" si="64"/>
        <v>0</v>
      </c>
      <c r="NF26" s="275">
        <f t="shared" si="4"/>
        <v>172721.65357596439</v>
      </c>
      <c r="NG26" s="26">
        <f t="shared" ref="NG26:NP36" si="128">+NG25+EF26-GY26</f>
        <v>0</v>
      </c>
      <c r="NH26" s="27">
        <f t="shared" si="128"/>
        <v>0</v>
      </c>
      <c r="NI26" s="27">
        <f t="shared" si="128"/>
        <v>0</v>
      </c>
      <c r="NJ26" s="27">
        <f t="shared" si="128"/>
        <v>0</v>
      </c>
      <c r="NK26" s="27">
        <f t="shared" si="128"/>
        <v>0</v>
      </c>
      <c r="NL26" s="33">
        <f t="shared" si="128"/>
        <v>0</v>
      </c>
      <c r="NM26" s="27">
        <f t="shared" si="128"/>
        <v>0</v>
      </c>
      <c r="NN26" s="36">
        <f t="shared" si="128"/>
        <v>0</v>
      </c>
      <c r="NO26" s="24">
        <f t="shared" si="111"/>
        <v>1828.3342192005614</v>
      </c>
      <c r="NP26" s="27">
        <f t="shared" si="128"/>
        <v>26196.696072681989</v>
      </c>
      <c r="NQ26" s="24">
        <f t="shared" si="112"/>
        <v>8756.5482322711578</v>
      </c>
      <c r="NR26" s="24">
        <f t="shared" si="113"/>
        <v>4956.4448469876015</v>
      </c>
      <c r="NS26" s="27">
        <f t="shared" si="0"/>
        <v>41738.023371141309</v>
      </c>
      <c r="NT26" s="27">
        <f t="shared" ref="NT26:OB40" si="129">+NT25+DF26-IC26</f>
        <v>0</v>
      </c>
      <c r="NU26" s="27">
        <f t="shared" si="129"/>
        <v>0</v>
      </c>
      <c r="NV26" s="27">
        <f t="shared" si="129"/>
        <v>0</v>
      </c>
      <c r="NW26" s="27">
        <f t="shared" si="129"/>
        <v>0</v>
      </c>
      <c r="NX26" s="27">
        <f t="shared" si="129"/>
        <v>0</v>
      </c>
      <c r="NY26" s="5">
        <f t="shared" si="129"/>
        <v>0</v>
      </c>
      <c r="NZ26" s="27">
        <f t="shared" si="129"/>
        <v>7854.5603682352476</v>
      </c>
      <c r="OA26" s="27">
        <f t="shared" si="129"/>
        <v>0</v>
      </c>
      <c r="OB26" s="27">
        <f t="shared" si="129"/>
        <v>71222.677327968035</v>
      </c>
      <c r="OC26" s="280"/>
      <c r="OD26" s="24">
        <f t="shared" ref="OD26" si="130">+OD25+DP26-IM26</f>
        <v>454.51223506073143</v>
      </c>
      <c r="OE26" s="27">
        <f t="shared" si="127"/>
        <v>0</v>
      </c>
      <c r="OF26" s="28">
        <f t="shared" si="1"/>
        <v>79531.749931264014</v>
      </c>
      <c r="OG26" s="27">
        <f t="shared" ref="OG26:OR40" si="131">+OG25+DS26+FV26-IR26</f>
        <v>0</v>
      </c>
      <c r="OH26" s="27">
        <f t="shared" si="131"/>
        <v>0</v>
      </c>
      <c r="OI26" s="27">
        <f t="shared" si="131"/>
        <v>0</v>
      </c>
      <c r="OJ26" s="27">
        <f t="shared" si="131"/>
        <v>0</v>
      </c>
      <c r="OK26" s="27">
        <f t="shared" si="131"/>
        <v>0</v>
      </c>
      <c r="OL26" s="27">
        <f t="shared" si="131"/>
        <v>0</v>
      </c>
      <c r="OM26" s="24">
        <f t="shared" si="131"/>
        <v>0</v>
      </c>
      <c r="ON26" s="27">
        <f t="shared" si="131"/>
        <v>0</v>
      </c>
      <c r="OO26" s="24">
        <f t="shared" si="118"/>
        <v>32265.494547773833</v>
      </c>
      <c r="OP26" s="27">
        <f t="shared" si="131"/>
        <v>0</v>
      </c>
      <c r="OQ26" s="24">
        <f t="shared" si="131"/>
        <v>3334.5600000000004</v>
      </c>
      <c r="OR26" s="27">
        <f t="shared" si="131"/>
        <v>0</v>
      </c>
      <c r="OS26" s="28">
        <f t="shared" si="2"/>
        <v>35600.054547773834</v>
      </c>
      <c r="OT26" s="36"/>
      <c r="OU26" s="27"/>
      <c r="OV26" s="27"/>
      <c r="OW26" s="27"/>
      <c r="OX26" s="27"/>
      <c r="OY26" s="27"/>
      <c r="OZ26" s="28">
        <f t="shared" si="69"/>
        <v>0</v>
      </c>
      <c r="PA26" s="36">
        <f t="shared" si="70"/>
        <v>0</v>
      </c>
      <c r="PB26" s="27">
        <f t="shared" si="71"/>
        <v>0</v>
      </c>
      <c r="PC26" s="27">
        <f t="shared" si="72"/>
        <v>0</v>
      </c>
      <c r="PD26" s="27">
        <f t="shared" si="73"/>
        <v>0</v>
      </c>
      <c r="PE26" s="24"/>
      <c r="PF26" s="27">
        <f t="shared" si="74"/>
        <v>0</v>
      </c>
      <c r="PG26" s="33">
        <f t="shared" si="3"/>
        <v>0</v>
      </c>
      <c r="PH26" s="2621"/>
      <c r="PJ26" s="1907">
        <v>451.22</v>
      </c>
      <c r="PK26" s="3">
        <v>570</v>
      </c>
      <c r="PL26" s="3">
        <v>190</v>
      </c>
      <c r="PM26" s="3">
        <v>72.05</v>
      </c>
      <c r="PN26" s="3">
        <v>35271.169776580689</v>
      </c>
      <c r="PO26" s="11">
        <f t="shared" si="75"/>
        <v>22204.628559023404</v>
      </c>
      <c r="PP26" s="15"/>
      <c r="PQ26" s="2615"/>
      <c r="PS26" s="4"/>
      <c r="PT26" s="9"/>
      <c r="PU26" s="9"/>
      <c r="PV26" s="9"/>
      <c r="PW26" s="8">
        <v>0</v>
      </c>
      <c r="PX26" s="9"/>
      <c r="PY26" s="8">
        <f t="shared" si="76"/>
        <v>0</v>
      </c>
      <c r="PZ26" s="5">
        <f t="shared" si="77"/>
        <v>451.22</v>
      </c>
      <c r="QA26" s="5"/>
      <c r="QB26" s="5"/>
      <c r="QC26" s="5"/>
      <c r="QD26" s="5"/>
      <c r="QE26" s="5"/>
      <c r="QF26" s="12"/>
      <c r="QG26" s="12">
        <f t="shared" si="78"/>
        <v>29562.488999999998</v>
      </c>
      <c r="QH26" s="420">
        <f t="shared" si="79"/>
        <v>391932.51955850993</v>
      </c>
      <c r="QI26" s="1106">
        <f t="shared" si="80"/>
        <v>2124.7399999999998</v>
      </c>
      <c r="QJ26" s="484">
        <f t="shared" si="81"/>
        <v>5505.3678056099998</v>
      </c>
      <c r="QK26" s="12"/>
      <c r="QL26" s="2615"/>
      <c r="QN26" s="139">
        <f t="shared" si="82"/>
        <v>0</v>
      </c>
      <c r="QO26" s="139" t="str">
        <f t="shared" si="83"/>
        <v/>
      </c>
      <c r="QQ26" s="139">
        <f t="shared" si="84"/>
        <v>0</v>
      </c>
      <c r="QR26" s="139">
        <f t="shared" si="85"/>
        <v>0</v>
      </c>
      <c r="QT26" s="1">
        <f t="shared" si="86"/>
        <v>0</v>
      </c>
      <c r="QU26" s="1">
        <f t="shared" si="87"/>
        <v>0</v>
      </c>
      <c r="QV26" s="1">
        <f t="shared" si="88"/>
        <v>0</v>
      </c>
      <c r="QW26" s="1">
        <f t="shared" si="89"/>
        <v>0</v>
      </c>
      <c r="QX26" s="1">
        <f t="shared" si="90"/>
        <v>0</v>
      </c>
      <c r="QY26" s="1">
        <f t="shared" si="91"/>
        <v>0</v>
      </c>
      <c r="RA26" s="1">
        <f t="shared" si="92"/>
        <v>0</v>
      </c>
      <c r="RB26" s="1">
        <f t="shared" si="93"/>
        <v>0</v>
      </c>
      <c r="RC26" s="1">
        <f t="shared" si="94"/>
        <v>0</v>
      </c>
      <c r="RD26" s="1">
        <f t="shared" si="95"/>
        <v>0</v>
      </c>
      <c r="RE26" s="1">
        <f t="shared" si="96"/>
        <v>0</v>
      </c>
      <c r="RF26" s="1">
        <f t="shared" si="97"/>
        <v>0</v>
      </c>
      <c r="RI26" s="1">
        <v>17</v>
      </c>
      <c r="RJ26" s="1">
        <f t="shared" si="125"/>
        <v>45455.586209717098</v>
      </c>
      <c r="RK26" s="1">
        <f t="shared" si="125"/>
        <v>12372.700780483719</v>
      </c>
      <c r="RL26" s="1">
        <f t="shared" si="125"/>
        <v>13404.263703387322</v>
      </c>
      <c r="RM26" s="89">
        <f t="shared" si="5"/>
        <v>71232.550693588142</v>
      </c>
      <c r="RN26" s="1033">
        <v>17</v>
      </c>
      <c r="RO26" s="1098">
        <f t="shared" si="99"/>
        <v>0</v>
      </c>
      <c r="RP26" s="1098">
        <f t="shared" si="100"/>
        <v>0</v>
      </c>
      <c r="RQ26" s="1097">
        <f t="shared" si="100"/>
        <v>0</v>
      </c>
      <c r="RR26" s="1097">
        <f t="shared" si="101"/>
        <v>7814.98</v>
      </c>
      <c r="RS26" s="1050"/>
      <c r="RT26" s="1046" t="s">
        <v>335</v>
      </c>
      <c r="RU26" s="1048"/>
      <c r="RW26" s="421">
        <v>17</v>
      </c>
      <c r="RX26" s="1095">
        <f t="shared" si="102"/>
        <v>7224.88</v>
      </c>
      <c r="RY26" s="1046" t="s">
        <v>336</v>
      </c>
      <c r="SA26" s="1090"/>
      <c r="SB26" s="1090">
        <f t="shared" si="103"/>
        <v>0</v>
      </c>
      <c r="SC26" s="1090"/>
      <c r="SD26" s="1090">
        <f t="shared" si="126"/>
        <v>0</v>
      </c>
      <c r="SF26" s="1">
        <v>17</v>
      </c>
      <c r="SG26" s="1">
        <f t="shared" si="105"/>
        <v>72.05</v>
      </c>
      <c r="SH26" s="1094" t="s">
        <v>337</v>
      </c>
    </row>
    <row r="27" spans="1:502" s="1" customFormat="1" ht="15.6" customHeight="1">
      <c r="B27" s="471">
        <v>18</v>
      </c>
      <c r="C27" s="4">
        <f t="shared" si="6"/>
        <v>162596</v>
      </c>
      <c r="D27" s="1726">
        <f t="shared" si="119"/>
        <v>11758.1</v>
      </c>
      <c r="E27" s="1911">
        <f t="shared" si="7"/>
        <v>13.82842466044684</v>
      </c>
      <c r="F27" s="1113"/>
      <c r="G27" s="1113"/>
      <c r="H27" s="845">
        <v>3</v>
      </c>
      <c r="I27" s="482">
        <v>2.33</v>
      </c>
      <c r="J27" s="845"/>
      <c r="K27" s="846"/>
      <c r="L27" s="845">
        <v>0.5</v>
      </c>
      <c r="M27" s="482">
        <v>2.58</v>
      </c>
      <c r="N27" s="2629"/>
      <c r="O27" s="4">
        <f t="shared" si="117"/>
        <v>99708</v>
      </c>
      <c r="P27" s="1225">
        <f t="shared" si="8"/>
        <v>6976.94</v>
      </c>
      <c r="Q27" s="1913">
        <f t="shared" si="9"/>
        <v>14.291078897052291</v>
      </c>
      <c r="R27" s="12"/>
      <c r="S27" s="4">
        <f t="shared" si="10"/>
        <v>38915</v>
      </c>
      <c r="T27" s="27">
        <f t="shared" si="107"/>
        <v>2021.16</v>
      </c>
      <c r="U27" s="1913">
        <f t="shared" si="11"/>
        <v>19.253794850481899</v>
      </c>
      <c r="V27" s="15"/>
      <c r="W27" s="26">
        <f t="shared" si="12"/>
        <v>23973</v>
      </c>
      <c r="X27" s="5">
        <f t="shared" si="12"/>
        <v>2760</v>
      </c>
      <c r="Y27" s="1913">
        <f t="shared" si="13"/>
        <v>8.6858695652173914</v>
      </c>
      <c r="Z27" s="12"/>
      <c r="AA27" s="26">
        <f t="shared" si="14"/>
        <v>0</v>
      </c>
      <c r="AB27" s="27">
        <f t="shared" si="15"/>
        <v>0</v>
      </c>
      <c r="AC27" s="64">
        <f t="shared" si="16"/>
        <v>0</v>
      </c>
      <c r="AD27" s="15"/>
      <c r="AE27" s="9"/>
      <c r="AF27" s="9"/>
      <c r="AG27" s="64">
        <f t="shared" si="17"/>
        <v>0</v>
      </c>
      <c r="AH27" s="15"/>
      <c r="AI27" s="4"/>
      <c r="AJ27" s="5"/>
      <c r="AK27" s="64">
        <f t="shared" si="18"/>
        <v>0</v>
      </c>
      <c r="AL27" s="15"/>
      <c r="AM27" s="2629"/>
      <c r="AN27" s="9"/>
      <c r="AO27" s="5"/>
      <c r="AP27" s="482">
        <f t="shared" si="19"/>
        <v>0</v>
      </c>
      <c r="AQ27" s="9"/>
      <c r="AR27" s="64"/>
      <c r="AS27" s="482">
        <f t="shared" si="20"/>
        <v>0</v>
      </c>
      <c r="AT27" s="9">
        <v>0</v>
      </c>
      <c r="AU27" s="5"/>
      <c r="AV27" s="846">
        <f t="shared" si="21"/>
        <v>0</v>
      </c>
      <c r="AW27" s="4">
        <v>53802</v>
      </c>
      <c r="AX27" s="27">
        <v>5860.36</v>
      </c>
      <c r="AY27" s="1911">
        <f t="shared" si="115"/>
        <v>9.1806646690646989</v>
      </c>
      <c r="AZ27" s="1912"/>
      <c r="BA27" s="1913"/>
      <c r="BB27" s="1911">
        <f t="shared" si="22"/>
        <v>0</v>
      </c>
      <c r="BC27" s="1940">
        <v>45906</v>
      </c>
      <c r="BD27" s="1926">
        <v>1116.58</v>
      </c>
      <c r="BE27" s="1911">
        <f t="shared" si="23"/>
        <v>41.11304160919952</v>
      </c>
      <c r="BF27" s="1908"/>
      <c r="BG27" s="1909"/>
      <c r="BH27" s="1911">
        <f t="shared" si="24"/>
        <v>0</v>
      </c>
      <c r="BI27" s="1908">
        <v>0</v>
      </c>
      <c r="BJ27" s="1909">
        <v>0</v>
      </c>
      <c r="BK27" s="1911">
        <f t="shared" si="25"/>
        <v>0</v>
      </c>
      <c r="BL27" s="1741">
        <v>38915</v>
      </c>
      <c r="BM27" s="1909">
        <v>2021.16</v>
      </c>
      <c r="BN27" s="2172"/>
      <c r="BO27" s="1911">
        <f t="shared" si="26"/>
        <v>19.253794850481899</v>
      </c>
      <c r="BP27" s="9"/>
      <c r="BQ27" s="64"/>
      <c r="BR27" s="482">
        <f t="shared" si="27"/>
        <v>0</v>
      </c>
      <c r="BS27" s="9"/>
      <c r="BT27" s="64"/>
      <c r="BU27" s="482">
        <f t="shared" si="28"/>
        <v>0</v>
      </c>
      <c r="BV27" s="9">
        <v>23973</v>
      </c>
      <c r="BW27" s="27">
        <v>2760</v>
      </c>
      <c r="BX27" s="15">
        <f t="shared" si="29"/>
        <v>8.6858695652173914</v>
      </c>
      <c r="BY27" s="26"/>
      <c r="BZ27" s="5"/>
      <c r="CA27" s="482">
        <f t="shared" si="30"/>
        <v>0</v>
      </c>
      <c r="CB27" s="9"/>
      <c r="CC27" s="5"/>
      <c r="CD27" s="482">
        <f t="shared" si="31"/>
        <v>0</v>
      </c>
      <c r="CE27" s="4"/>
      <c r="CF27" s="5"/>
      <c r="CG27" s="15">
        <f t="shared" si="32"/>
        <v>0</v>
      </c>
      <c r="CH27" s="150"/>
      <c r="CI27" s="1108"/>
      <c r="CJ27" s="5"/>
      <c r="CK27" s="5">
        <v>3120</v>
      </c>
      <c r="CL27" s="5"/>
      <c r="CM27" s="5"/>
      <c r="CN27" s="5"/>
      <c r="CO27" s="12"/>
      <c r="CP27" s="366"/>
      <c r="CR27" s="4">
        <f t="shared" si="33"/>
        <v>0</v>
      </c>
      <c r="CS27" s="9">
        <f t="shared" si="33"/>
        <v>0</v>
      </c>
      <c r="CT27" s="5">
        <f t="shared" si="33"/>
        <v>0</v>
      </c>
      <c r="CU27" s="5">
        <f t="shared" si="33"/>
        <v>0</v>
      </c>
      <c r="CV27" s="5">
        <f t="shared" si="33"/>
        <v>0</v>
      </c>
      <c r="CW27" s="5">
        <f t="shared" si="33"/>
        <v>0</v>
      </c>
      <c r="CX27" s="5">
        <f t="shared" si="33"/>
        <v>0</v>
      </c>
      <c r="CY27" s="5">
        <f t="shared" si="33"/>
        <v>0</v>
      </c>
      <c r="CZ27" s="5">
        <f t="shared" si="33"/>
        <v>9301.52</v>
      </c>
      <c r="DA27" s="5">
        <f t="shared" si="33"/>
        <v>0</v>
      </c>
      <c r="DB27" s="5">
        <f t="shared" si="33"/>
        <v>2456.58</v>
      </c>
      <c r="DC27" s="12">
        <f t="shared" si="33"/>
        <v>0</v>
      </c>
      <c r="DD27" s="847">
        <f t="shared" si="34"/>
        <v>11758.1</v>
      </c>
      <c r="DE27" s="2695"/>
      <c r="DF27" s="8"/>
      <c r="DG27" s="9"/>
      <c r="DH27" s="5"/>
      <c r="DI27" s="5"/>
      <c r="DJ27" s="5"/>
      <c r="DK27" s="5"/>
      <c r="DL27" s="3">
        <v>0</v>
      </c>
      <c r="DM27" s="5"/>
      <c r="DN27" s="3">
        <v>5860.36</v>
      </c>
      <c r="DO27" s="12"/>
      <c r="DP27" s="5"/>
      <c r="DQ27" s="486"/>
      <c r="DR27" s="15">
        <f t="shared" si="35"/>
        <v>5860.36</v>
      </c>
      <c r="DS27" s="9"/>
      <c r="DT27" s="9"/>
      <c r="DU27" s="5"/>
      <c r="DV27" s="5"/>
      <c r="DW27" s="5"/>
      <c r="DX27" s="5"/>
      <c r="DY27" s="5"/>
      <c r="DZ27" s="5"/>
      <c r="EA27" s="3">
        <v>2021.16</v>
      </c>
      <c r="EB27" s="5"/>
      <c r="EC27" s="24">
        <v>1116.58</v>
      </c>
      <c r="ED27" s="12"/>
      <c r="EE27" s="15">
        <f t="shared" si="36"/>
        <v>3137.74</v>
      </c>
      <c r="EF27" s="9"/>
      <c r="EG27" s="9"/>
      <c r="EH27" s="5"/>
      <c r="EI27" s="5"/>
      <c r="EJ27" s="5"/>
      <c r="EK27" s="5"/>
      <c r="EL27" s="5"/>
      <c r="EM27" s="5"/>
      <c r="EN27" s="5">
        <v>1420</v>
      </c>
      <c r="EO27" s="5"/>
      <c r="EP27" s="5">
        <v>1340</v>
      </c>
      <c r="EQ27" s="12"/>
      <c r="ER27" s="15">
        <f t="shared" si="37"/>
        <v>2760</v>
      </c>
      <c r="ES27" s="9"/>
      <c r="ET27" s="5"/>
      <c r="EU27" s="5"/>
      <c r="EV27" s="5"/>
      <c r="EW27" s="5"/>
      <c r="EX27" s="5"/>
      <c r="EY27" s="12">
        <f t="shared" si="38"/>
        <v>0</v>
      </c>
      <c r="EZ27" s="2685"/>
      <c r="FB27" s="4">
        <f t="shared" si="39"/>
        <v>0</v>
      </c>
      <c r="FC27" s="5">
        <f t="shared" si="40"/>
        <v>0</v>
      </c>
      <c r="FD27" s="5">
        <f t="shared" si="41"/>
        <v>0</v>
      </c>
      <c r="FE27" s="12">
        <f t="shared" si="42"/>
        <v>0</v>
      </c>
      <c r="FF27" s="12"/>
      <c r="FG27" s="2674"/>
      <c r="FH27" s="9"/>
      <c r="FI27" s="5"/>
      <c r="FJ27" s="5"/>
      <c r="FK27" s="5"/>
      <c r="FL27" s="5"/>
      <c r="FM27" s="5"/>
      <c r="FN27" s="15">
        <f t="shared" si="43"/>
        <v>0</v>
      </c>
      <c r="FO27" s="9"/>
      <c r="FP27" s="5"/>
      <c r="FQ27" s="5"/>
      <c r="FR27" s="5"/>
      <c r="FS27" s="5"/>
      <c r="FT27" s="5"/>
      <c r="FU27" s="15">
        <f t="shared" si="44"/>
        <v>0</v>
      </c>
      <c r="FV27" s="9"/>
      <c r="FW27" s="9"/>
      <c r="FX27" s="5"/>
      <c r="FY27" s="5"/>
      <c r="FZ27" s="5"/>
      <c r="GA27" s="5"/>
      <c r="GB27" s="5"/>
      <c r="GC27" s="5"/>
      <c r="GD27" s="5"/>
      <c r="GE27" s="5"/>
      <c r="GF27" s="5"/>
      <c r="GG27" s="12"/>
      <c r="GH27" s="12">
        <f t="shared" si="45"/>
        <v>0</v>
      </c>
      <c r="GI27" s="2674"/>
      <c r="GK27" s="2">
        <f t="shared" si="108"/>
        <v>358.4</v>
      </c>
      <c r="GL27" s="63">
        <f t="shared" si="109"/>
        <v>1854.7</v>
      </c>
      <c r="GM27" s="24">
        <f t="shared" si="110"/>
        <v>3564.3999999999996</v>
      </c>
      <c r="GN27" s="1590">
        <f t="shared" si="46"/>
        <v>5777.5</v>
      </c>
      <c r="GO27" s="848"/>
      <c r="GP27" s="848"/>
      <c r="GQ27" s="12"/>
      <c r="GR27" s="2667"/>
      <c r="GS27" s="1739">
        <v>0</v>
      </c>
      <c r="GT27" s="1721">
        <v>358.4</v>
      </c>
      <c r="GU27" s="1721">
        <v>3300.32</v>
      </c>
      <c r="GV27" s="1721">
        <v>2118.7799999999997</v>
      </c>
      <c r="GW27" s="12">
        <f t="shared" si="47"/>
        <v>5777.5</v>
      </c>
      <c r="GX27" s="2667"/>
      <c r="GY27" s="9"/>
      <c r="GZ27" s="9"/>
      <c r="HA27" s="5"/>
      <c r="HB27" s="5"/>
      <c r="HC27" s="5"/>
      <c r="HD27" s="5"/>
      <c r="HE27" s="5"/>
      <c r="HF27" s="5"/>
      <c r="HG27" s="24">
        <v>0</v>
      </c>
      <c r="HH27" s="5"/>
      <c r="HI27" s="24">
        <v>0</v>
      </c>
      <c r="HJ27" s="5"/>
      <c r="HK27" s="24">
        <v>358.4</v>
      </c>
      <c r="HL27" s="5"/>
      <c r="HM27" s="15">
        <f t="shared" si="120"/>
        <v>358.4</v>
      </c>
      <c r="HN27" s="9"/>
      <c r="HO27" s="5"/>
      <c r="HP27" s="5"/>
      <c r="HQ27" s="5"/>
      <c r="HR27" s="5"/>
      <c r="HS27" s="5"/>
      <c r="HT27" s="5" cm="1">
        <f t="array" ref="HT27">SUMPRODUCT(('Data Base hauling'!$C$2:$C$216="TCM-ROM SB1 BK05-ROM 4")*(ISNUMBER(SEARCH(TEXT('June TCM'!$B27,"00")&amp;"/03/2026",'Data Base hauling'!$E$2:$E$216)))*'Data Base hauling'!$N$2:$N$216)</f>
        <v>0</v>
      </c>
      <c r="HU27" s="5"/>
      <c r="HV27" s="5" cm="1">
        <f t="array" ref="HV27">SUMPRODUCT(('Data Base hauling'!$C$2:$C$216="TCM-ROM SB1 BK05-ROM 5")*(ISNUMBER(SEARCH(TEXT('June TCM'!$B27,"00")&amp;"/03/2026",'Data Base hauling'!$E$2:$E$216)))*'Data Base hauling'!$N$2:$N$216)</f>
        <v>0</v>
      </c>
      <c r="HW27" s="5"/>
      <c r="HX27" s="5"/>
      <c r="HY27" s="5"/>
      <c r="HZ27" s="5"/>
      <c r="IA27" s="5"/>
      <c r="IB27" s="12">
        <f t="shared" si="49"/>
        <v>0</v>
      </c>
      <c r="IC27" s="845"/>
      <c r="ID27" s="363"/>
      <c r="IE27" s="64"/>
      <c r="IF27" s="64"/>
      <c r="IG27" s="64"/>
      <c r="IH27" s="64"/>
      <c r="II27" s="1926">
        <v>818.8</v>
      </c>
      <c r="IJ27" s="1590"/>
      <c r="IK27" s="1926">
        <v>1035.9000000000001</v>
      </c>
      <c r="IL27" s="64"/>
      <c r="IM27" s="49">
        <v>0</v>
      </c>
      <c r="IN27" s="64"/>
      <c r="IO27" s="64"/>
      <c r="IP27" s="49">
        <f>SUMPRODUCT(('Data Base hauling'!$C$2:$C$216="TCM-HAC1 (Production)-ROM 2(HAC)")*(ISNUMBER(SEARCH(TEXT('June TCM'!$B27,"00")&amp;"/06/2026",'Data Base hauling'!$E$2:$E$216)))*'Data Base hauling'!$N$2:$N$216)</f>
        <v>0</v>
      </c>
      <c r="IQ27" s="2195">
        <f t="shared" si="121"/>
        <v>1854.7</v>
      </c>
      <c r="IR27" s="9"/>
      <c r="IS27" s="9"/>
      <c r="IT27" s="64"/>
      <c r="IU27" s="5"/>
      <c r="IV27" s="64"/>
      <c r="IW27" s="5"/>
      <c r="IX27" s="24">
        <v>0</v>
      </c>
      <c r="IY27" s="5"/>
      <c r="IZ27" s="24">
        <v>3564.3999999999996</v>
      </c>
      <c r="JA27" s="5"/>
      <c r="JB27" s="24">
        <v>0</v>
      </c>
      <c r="JC27" s="5"/>
      <c r="JD27" s="5"/>
      <c r="JE27" s="5"/>
      <c r="JF27" s="12">
        <f t="shared" si="122"/>
        <v>3564.3999999999996</v>
      </c>
      <c r="JG27" s="2667"/>
      <c r="JI27" s="2014">
        <v>4189.55</v>
      </c>
      <c r="JJ27" s="2015">
        <v>1587.95</v>
      </c>
      <c r="JK27" s="64"/>
      <c r="JL27" s="64">
        <f t="shared" si="52"/>
        <v>5777.5</v>
      </c>
      <c r="JM27" s="12"/>
      <c r="JN27" s="2669"/>
      <c r="JO27" s="66">
        <v>0</v>
      </c>
      <c r="JP27" s="67">
        <v>0</v>
      </c>
      <c r="JQ27" s="67">
        <v>0</v>
      </c>
      <c r="JR27" s="67">
        <v>0</v>
      </c>
      <c r="JS27" s="67">
        <v>0.9144538196226325</v>
      </c>
      <c r="JT27" s="67">
        <v>0</v>
      </c>
      <c r="JU27" s="67">
        <v>8.5546180377367484E-2</v>
      </c>
      <c r="JV27" s="1921">
        <v>0</v>
      </c>
      <c r="JW27" s="66">
        <v>0</v>
      </c>
      <c r="JX27" s="67">
        <v>0</v>
      </c>
      <c r="JY27" s="67">
        <v>0</v>
      </c>
      <c r="JZ27" s="67">
        <v>0.51563336377089952</v>
      </c>
      <c r="KA27" s="67">
        <v>0.48436663622910037</v>
      </c>
      <c r="KB27" s="67">
        <v>0</v>
      </c>
      <c r="KC27" s="67">
        <v>0</v>
      </c>
      <c r="KD27" s="68">
        <v>0</v>
      </c>
      <c r="KE27" s="849"/>
      <c r="KF27" s="850"/>
      <c r="KG27" s="850"/>
      <c r="KH27" s="850"/>
      <c r="KI27" s="850"/>
      <c r="KJ27" s="850"/>
      <c r="KK27" s="850"/>
      <c r="KL27" s="850"/>
      <c r="KM27" s="12"/>
      <c r="KN27" s="2669"/>
      <c r="KO27" s="2203">
        <v>6757</v>
      </c>
      <c r="KP27" s="1721">
        <v>0.75</v>
      </c>
      <c r="KQ27" s="1721">
        <v>7.02</v>
      </c>
      <c r="KR27" s="1721">
        <v>6.35</v>
      </c>
      <c r="KS27" s="1722">
        <v>11.99</v>
      </c>
      <c r="KT27" s="1958">
        <v>6853</v>
      </c>
      <c r="KU27" s="1961">
        <v>2.34</v>
      </c>
      <c r="KV27" s="1961">
        <v>5.7999999999999989</v>
      </c>
      <c r="KW27" s="1961">
        <v>6.37</v>
      </c>
      <c r="KX27" s="1962">
        <v>10.849999999999998</v>
      </c>
      <c r="KY27" s="9"/>
      <c r="KZ27" s="64"/>
      <c r="LA27" s="64"/>
      <c r="LB27" s="64"/>
      <c r="LC27" s="64"/>
      <c r="LD27" s="12"/>
      <c r="LE27" s="2669"/>
      <c r="LG27" s="4">
        <f t="shared" si="53"/>
        <v>0</v>
      </c>
      <c r="LH27" s="5">
        <f t="shared" si="53"/>
        <v>0</v>
      </c>
      <c r="LI27" s="5">
        <f t="shared" si="53"/>
        <v>0</v>
      </c>
      <c r="LJ27" s="15">
        <f t="shared" si="54"/>
        <v>0</v>
      </c>
      <c r="LK27" s="9"/>
      <c r="LL27" s="5"/>
      <c r="LM27" s="5">
        <v>5</v>
      </c>
      <c r="LN27" s="12"/>
      <c r="LO27" s="1111">
        <v>7.43</v>
      </c>
      <c r="LP27" s="486" t="s">
        <v>338</v>
      </c>
      <c r="LQ27" s="2688"/>
      <c r="LR27" s="2271"/>
      <c r="LS27" s="2271"/>
      <c r="LT27" s="5"/>
      <c r="LU27" s="5"/>
      <c r="LV27" s="5"/>
      <c r="LW27" s="1107">
        <f t="shared" si="55"/>
        <v>0</v>
      </c>
      <c r="LX27" s="2271"/>
      <c r="LY27" s="2271"/>
      <c r="LZ27" s="5"/>
      <c r="MA27" s="5"/>
      <c r="MB27" s="12"/>
      <c r="MC27" s="28">
        <f t="shared" si="56"/>
        <v>0</v>
      </c>
      <c r="MD27" s="4"/>
      <c r="ME27" s="9"/>
      <c r="MF27" s="5"/>
      <c r="MG27" s="5"/>
      <c r="MH27" s="5"/>
      <c r="MI27" s="15"/>
      <c r="MJ27" s="9"/>
      <c r="MK27" s="9"/>
      <c r="ML27" s="5"/>
      <c r="MM27" s="5"/>
      <c r="MN27" s="5"/>
      <c r="MO27" s="15"/>
      <c r="MP27" s="9"/>
      <c r="MQ27" s="9"/>
      <c r="MR27" s="5"/>
      <c r="MS27" s="5"/>
      <c r="MT27" s="5"/>
      <c r="MU27" s="12">
        <f t="shared" si="57"/>
        <v>0</v>
      </c>
      <c r="MV27" s="2688"/>
      <c r="MX27" s="4">
        <f t="shared" si="58"/>
        <v>178499.15357596439</v>
      </c>
      <c r="MY27" s="5">
        <f t="shared" si="59"/>
        <v>163208.82785017916</v>
      </c>
      <c r="MZ27" s="5">
        <f t="shared" si="60"/>
        <v>22176.228559023402</v>
      </c>
      <c r="NA27" s="15">
        <f t="shared" si="61"/>
        <v>423619.74855850992</v>
      </c>
      <c r="NB27" s="2621"/>
      <c r="NC27" s="23">
        <f t="shared" si="123"/>
        <v>88351.060867469496</v>
      </c>
      <c r="ND27" s="1579">
        <f t="shared" si="124"/>
        <v>90148.092708494878</v>
      </c>
      <c r="NE27" s="60">
        <f t="shared" si="64"/>
        <v>0</v>
      </c>
      <c r="NF27" s="1042">
        <f t="shared" si="4"/>
        <v>178499.15357596439</v>
      </c>
      <c r="NG27" s="4">
        <f t="shared" si="128"/>
        <v>0</v>
      </c>
      <c r="NH27" s="5">
        <f t="shared" si="128"/>
        <v>0</v>
      </c>
      <c r="NI27" s="5">
        <f t="shared" si="128"/>
        <v>0</v>
      </c>
      <c r="NJ27" s="5">
        <f t="shared" si="128"/>
        <v>0</v>
      </c>
      <c r="NK27" s="5">
        <f t="shared" si="128"/>
        <v>0</v>
      </c>
      <c r="NL27" s="12">
        <f t="shared" si="128"/>
        <v>0</v>
      </c>
      <c r="NM27" s="27">
        <f t="shared" si="128"/>
        <v>0</v>
      </c>
      <c r="NN27" s="9">
        <f t="shared" si="128"/>
        <v>0</v>
      </c>
      <c r="NO27" s="24">
        <f t="shared" si="111"/>
        <v>3248.3342192005612</v>
      </c>
      <c r="NP27" s="5">
        <f t="shared" si="128"/>
        <v>26196.696072681989</v>
      </c>
      <c r="NQ27" s="24">
        <f t="shared" si="112"/>
        <v>8756.5482322711578</v>
      </c>
      <c r="NR27" s="24">
        <f t="shared" si="113"/>
        <v>6296.4448469876015</v>
      </c>
      <c r="NS27" s="5">
        <f t="shared" si="0"/>
        <v>44498.023371141309</v>
      </c>
      <c r="NT27" s="27">
        <f t="shared" si="129"/>
        <v>0</v>
      </c>
      <c r="NU27" s="5">
        <f t="shared" si="129"/>
        <v>0</v>
      </c>
      <c r="NV27" s="5">
        <f t="shared" si="129"/>
        <v>0</v>
      </c>
      <c r="NW27" s="5">
        <f t="shared" si="129"/>
        <v>0</v>
      </c>
      <c r="NX27" s="5">
        <f t="shared" si="129"/>
        <v>0</v>
      </c>
      <c r="NY27" s="5">
        <f t="shared" si="129"/>
        <v>0</v>
      </c>
      <c r="NZ27" s="27">
        <f t="shared" si="129"/>
        <v>7035.7603682352474</v>
      </c>
      <c r="OA27" s="5">
        <f t="shared" si="129"/>
        <v>0</v>
      </c>
      <c r="OB27" s="27">
        <f t="shared" si="129"/>
        <v>76047.137327968041</v>
      </c>
      <c r="OC27" s="5"/>
      <c r="OD27" s="24">
        <f t="shared" ref="OD27:OD40" si="132">+OD26+DP27-IM27</f>
        <v>454.51223506073143</v>
      </c>
      <c r="OE27" s="5">
        <f t="shared" si="127"/>
        <v>0</v>
      </c>
      <c r="OF27" s="5">
        <f t="shared" si="1"/>
        <v>83537.409931264017</v>
      </c>
      <c r="OG27" s="5">
        <f t="shared" si="131"/>
        <v>0</v>
      </c>
      <c r="OH27" s="5">
        <f t="shared" si="131"/>
        <v>0</v>
      </c>
      <c r="OI27" s="5">
        <f t="shared" si="131"/>
        <v>0</v>
      </c>
      <c r="OJ27" s="5">
        <f t="shared" si="131"/>
        <v>0</v>
      </c>
      <c r="OK27" s="27">
        <f t="shared" si="131"/>
        <v>0</v>
      </c>
      <c r="OL27" s="5">
        <f t="shared" si="131"/>
        <v>0</v>
      </c>
      <c r="OM27" s="24">
        <f t="shared" si="131"/>
        <v>0</v>
      </c>
      <c r="ON27" s="5">
        <f t="shared" si="131"/>
        <v>0</v>
      </c>
      <c r="OO27" s="24">
        <f t="shared" si="118"/>
        <v>30722.254547773831</v>
      </c>
      <c r="OP27" s="5">
        <f t="shared" si="131"/>
        <v>0</v>
      </c>
      <c r="OQ27" s="24">
        <f t="shared" si="131"/>
        <v>4451.1400000000003</v>
      </c>
      <c r="OR27" s="5">
        <f t="shared" si="131"/>
        <v>0</v>
      </c>
      <c r="OS27" s="15">
        <f t="shared" si="2"/>
        <v>35173.394547773831</v>
      </c>
      <c r="OT27" s="9"/>
      <c r="OU27" s="5"/>
      <c r="OV27" s="5"/>
      <c r="OW27" s="5"/>
      <c r="OX27" s="5"/>
      <c r="OY27" s="5"/>
      <c r="OZ27" s="15">
        <f t="shared" si="69"/>
        <v>0</v>
      </c>
      <c r="PA27" s="9">
        <f t="shared" si="70"/>
        <v>0</v>
      </c>
      <c r="PB27" s="5">
        <f t="shared" si="71"/>
        <v>0</v>
      </c>
      <c r="PC27" s="5">
        <f t="shared" si="72"/>
        <v>0</v>
      </c>
      <c r="PD27" s="5">
        <f t="shared" si="73"/>
        <v>0</v>
      </c>
      <c r="PE27" s="24"/>
      <c r="PF27" s="5">
        <f t="shared" si="74"/>
        <v>0</v>
      </c>
      <c r="PG27" s="12">
        <f t="shared" si="3"/>
        <v>0</v>
      </c>
      <c r="PH27" s="2621"/>
      <c r="PJ27" s="1907">
        <v>0</v>
      </c>
      <c r="PK27" s="3">
        <v>990</v>
      </c>
      <c r="PL27" s="3">
        <v>330</v>
      </c>
      <c r="PM27" s="3">
        <v>358.4</v>
      </c>
      <c r="PN27" s="3">
        <v>34281.169776580689</v>
      </c>
      <c r="PO27" s="11">
        <f t="shared" si="75"/>
        <v>22176.228559023402</v>
      </c>
      <c r="PP27" s="15"/>
      <c r="PQ27" s="2615"/>
      <c r="PS27" s="4"/>
      <c r="PT27" s="9"/>
      <c r="PU27" s="9"/>
      <c r="PV27" s="9"/>
      <c r="PW27" s="8">
        <v>0</v>
      </c>
      <c r="PX27" s="9"/>
      <c r="PY27" s="8">
        <f t="shared" si="76"/>
        <v>0</v>
      </c>
      <c r="PZ27" s="5">
        <f t="shared" si="77"/>
        <v>0</v>
      </c>
      <c r="QA27" s="5"/>
      <c r="QB27" s="5"/>
      <c r="QC27" s="5"/>
      <c r="QD27" s="5"/>
      <c r="QE27" s="5"/>
      <c r="QF27" s="12"/>
      <c r="QG27" s="12">
        <f t="shared" si="78"/>
        <v>29562.488999999998</v>
      </c>
      <c r="QH27" s="420">
        <f t="shared" si="79"/>
        <v>391932.51955850993</v>
      </c>
      <c r="QI27" s="1106">
        <f t="shared" si="80"/>
        <v>2124.7399999999998</v>
      </c>
      <c r="QJ27" s="484">
        <f t="shared" si="81"/>
        <v>5505.3678056099998</v>
      </c>
      <c r="QK27" s="12"/>
      <c r="QL27" s="2615"/>
      <c r="QN27" s="139">
        <f t="shared" si="82"/>
        <v>0</v>
      </c>
      <c r="QO27" s="139" t="str">
        <f t="shared" si="83"/>
        <v/>
      </c>
      <c r="QQ27" s="139">
        <f t="shared" si="84"/>
        <v>0</v>
      </c>
      <c r="QR27" s="139">
        <f t="shared" si="85"/>
        <v>0</v>
      </c>
      <c r="QT27" s="1">
        <f t="shared" si="86"/>
        <v>0</v>
      </c>
      <c r="QU27" s="1">
        <f t="shared" si="87"/>
        <v>0</v>
      </c>
      <c r="QV27" s="1">
        <f t="shared" si="88"/>
        <v>0</v>
      </c>
      <c r="QW27" s="1">
        <f t="shared" si="89"/>
        <v>0</v>
      </c>
      <c r="QX27" s="1">
        <f t="shared" si="90"/>
        <v>0</v>
      </c>
      <c r="QY27" s="1">
        <f t="shared" si="91"/>
        <v>0</v>
      </c>
      <c r="RA27" s="1">
        <f t="shared" si="92"/>
        <v>0</v>
      </c>
      <c r="RB27" s="1">
        <f t="shared" si="93"/>
        <v>0</v>
      </c>
      <c r="RC27" s="1">
        <f t="shared" si="94"/>
        <v>0</v>
      </c>
      <c r="RD27" s="1">
        <f t="shared" si="95"/>
        <v>0</v>
      </c>
      <c r="RE27" s="1">
        <f t="shared" si="96"/>
        <v>0</v>
      </c>
      <c r="RF27" s="1">
        <f t="shared" si="97"/>
        <v>0</v>
      </c>
      <c r="RI27" s="1">
        <v>18</v>
      </c>
      <c r="RJ27" s="1">
        <f t="shared" si="125"/>
        <v>49645.1362097171</v>
      </c>
      <c r="RK27" s="1">
        <f t="shared" si="125"/>
        <v>13960.65078048372</v>
      </c>
      <c r="RL27" s="1">
        <f t="shared" si="125"/>
        <v>13404.263703387322</v>
      </c>
      <c r="RM27" s="89">
        <f t="shared" si="5"/>
        <v>77010.050693588142</v>
      </c>
      <c r="RN27" s="1033">
        <v>18</v>
      </c>
      <c r="RO27" s="1098">
        <f t="shared" si="99"/>
        <v>0</v>
      </c>
      <c r="RP27" s="1098">
        <f t="shared" si="100"/>
        <v>0</v>
      </c>
      <c r="RQ27" s="1097">
        <f t="shared" si="100"/>
        <v>0</v>
      </c>
      <c r="RR27" s="1097">
        <f t="shared" si="101"/>
        <v>8998.0999999999985</v>
      </c>
      <c r="RS27" s="1050"/>
      <c r="RT27" s="1050" t="s">
        <v>339</v>
      </c>
      <c r="RU27" s="1048"/>
      <c r="RW27" s="421">
        <v>18</v>
      </c>
      <c r="RX27" s="1095">
        <f t="shared" si="102"/>
        <v>5777.5</v>
      </c>
      <c r="RY27" s="1046" t="s">
        <v>340</v>
      </c>
      <c r="RZ27" s="1048"/>
      <c r="SA27" s="1090"/>
      <c r="SB27" s="1090">
        <f t="shared" si="103"/>
        <v>0</v>
      </c>
      <c r="SC27" s="1090"/>
      <c r="SD27" s="1090">
        <f t="shared" si="126"/>
        <v>0</v>
      </c>
      <c r="SF27" s="1">
        <v>18</v>
      </c>
      <c r="SG27" s="1">
        <f t="shared" si="105"/>
        <v>358.4</v>
      </c>
      <c r="SH27" s="1094" t="s">
        <v>341</v>
      </c>
    </row>
    <row r="28" spans="1:502" s="1" customFormat="1">
      <c r="B28" s="471">
        <v>19</v>
      </c>
      <c r="C28" s="4">
        <f t="shared" si="6"/>
        <v>141521</v>
      </c>
      <c r="D28" s="1726">
        <f t="shared" si="119"/>
        <v>11751.16</v>
      </c>
      <c r="E28" s="1895">
        <f t="shared" si="7"/>
        <v>12.043151484619392</v>
      </c>
      <c r="F28" s="870"/>
      <c r="G28" s="870"/>
      <c r="H28" s="52">
        <v>2</v>
      </c>
      <c r="I28" s="61">
        <v>2</v>
      </c>
      <c r="J28" s="52"/>
      <c r="K28" s="54"/>
      <c r="L28" s="52">
        <v>1</v>
      </c>
      <c r="M28" s="61">
        <v>1.37</v>
      </c>
      <c r="N28" s="2629"/>
      <c r="O28" s="4">
        <f t="shared" si="117"/>
        <v>93534</v>
      </c>
      <c r="P28" s="1225">
        <f t="shared" si="8"/>
        <v>7034.52</v>
      </c>
      <c r="Q28" s="1913">
        <f t="shared" si="9"/>
        <v>13.296429607137373</v>
      </c>
      <c r="R28" s="33"/>
      <c r="S28" s="26">
        <f t="shared" si="10"/>
        <v>28491</v>
      </c>
      <c r="T28" s="27">
        <f t="shared" si="107"/>
        <v>2176.64</v>
      </c>
      <c r="U28" s="1909">
        <f t="shared" si="11"/>
        <v>13.089440605704205</v>
      </c>
      <c r="V28" s="28"/>
      <c r="W28" s="26">
        <f t="shared" si="12"/>
        <v>19496</v>
      </c>
      <c r="X28" s="5">
        <f t="shared" si="12"/>
        <v>2540</v>
      </c>
      <c r="Y28" s="1909">
        <f t="shared" si="13"/>
        <v>7.6755905511811022</v>
      </c>
      <c r="Z28" s="33"/>
      <c r="AA28" s="26">
        <f t="shared" si="14"/>
        <v>0</v>
      </c>
      <c r="AB28" s="27">
        <f t="shared" si="15"/>
        <v>0</v>
      </c>
      <c r="AC28" s="53">
        <f t="shared" si="16"/>
        <v>0</v>
      </c>
      <c r="AD28" s="28"/>
      <c r="AE28" s="36"/>
      <c r="AF28" s="36"/>
      <c r="AG28" s="53">
        <f t="shared" si="17"/>
        <v>0</v>
      </c>
      <c r="AH28" s="28"/>
      <c r="AI28" s="23"/>
      <c r="AJ28" s="27"/>
      <c r="AK28" s="53">
        <f t="shared" si="18"/>
        <v>0</v>
      </c>
      <c r="AL28" s="28"/>
      <c r="AM28" s="2629"/>
      <c r="AN28" s="9"/>
      <c r="AO28" s="5"/>
      <c r="AP28" s="61">
        <f t="shared" si="19"/>
        <v>0</v>
      </c>
      <c r="AQ28" s="36"/>
      <c r="AR28" s="53"/>
      <c r="AS28" s="61">
        <f t="shared" si="20"/>
        <v>0</v>
      </c>
      <c r="AT28" s="36">
        <v>0</v>
      </c>
      <c r="AU28" s="27"/>
      <c r="AV28" s="54">
        <f t="shared" si="21"/>
        <v>0</v>
      </c>
      <c r="AW28" s="26">
        <v>49938</v>
      </c>
      <c r="AX28" s="27">
        <v>6755.64</v>
      </c>
      <c r="AY28" s="1895">
        <f t="shared" si="115"/>
        <v>7.3920457573227702</v>
      </c>
      <c r="AZ28" s="1908"/>
      <c r="BA28" s="1909"/>
      <c r="BB28" s="1895">
        <f t="shared" si="22"/>
        <v>0</v>
      </c>
      <c r="BC28" s="1740">
        <v>43596</v>
      </c>
      <c r="BD28" s="1926">
        <v>278.88</v>
      </c>
      <c r="BE28" s="1895">
        <f t="shared" si="23"/>
        <v>156.32530120481928</v>
      </c>
      <c r="BF28" s="1908"/>
      <c r="BG28" s="1909"/>
      <c r="BH28" s="1895">
        <f t="shared" si="24"/>
        <v>0</v>
      </c>
      <c r="BI28" s="1908">
        <v>0</v>
      </c>
      <c r="BJ28" s="1909">
        <v>0</v>
      </c>
      <c r="BK28" s="1895">
        <f t="shared" si="25"/>
        <v>0</v>
      </c>
      <c r="BL28" s="1742">
        <v>28491</v>
      </c>
      <c r="BM28" s="1909">
        <v>2176.64</v>
      </c>
      <c r="BN28" s="2170"/>
      <c r="BO28" s="1911">
        <f t="shared" si="26"/>
        <v>13.089440605704205</v>
      </c>
      <c r="BP28" s="9"/>
      <c r="BQ28" s="64"/>
      <c r="BR28" s="482">
        <f t="shared" si="27"/>
        <v>0</v>
      </c>
      <c r="BS28" s="9"/>
      <c r="BT28" s="64"/>
      <c r="BU28" s="482">
        <f t="shared" si="28"/>
        <v>0</v>
      </c>
      <c r="BV28" s="9">
        <v>19496</v>
      </c>
      <c r="BW28" s="27">
        <v>2540</v>
      </c>
      <c r="BX28" s="15">
        <f t="shared" si="29"/>
        <v>7.6755905511811022</v>
      </c>
      <c r="BY28" s="26"/>
      <c r="BZ28" s="5"/>
      <c r="CA28" s="482">
        <f t="shared" si="30"/>
        <v>0</v>
      </c>
      <c r="CB28" s="9"/>
      <c r="CC28" s="5"/>
      <c r="CD28" s="482">
        <f t="shared" si="31"/>
        <v>0</v>
      </c>
      <c r="CE28" s="4"/>
      <c r="CF28" s="5"/>
      <c r="CG28" s="28">
        <f t="shared" si="32"/>
        <v>0</v>
      </c>
      <c r="CH28" s="150"/>
      <c r="CI28" s="1108"/>
      <c r="CJ28" s="5"/>
      <c r="CK28" s="5">
        <v>3080</v>
      </c>
      <c r="CL28" s="5"/>
      <c r="CM28" s="5"/>
      <c r="CN28" s="5"/>
      <c r="CO28" s="33"/>
      <c r="CP28" s="366"/>
      <c r="CR28" s="4">
        <f t="shared" si="33"/>
        <v>0</v>
      </c>
      <c r="CS28" s="9">
        <f t="shared" si="33"/>
        <v>0</v>
      </c>
      <c r="CT28" s="5">
        <f t="shared" si="33"/>
        <v>0</v>
      </c>
      <c r="CU28" s="5">
        <f t="shared" si="33"/>
        <v>0</v>
      </c>
      <c r="CV28" s="5">
        <f t="shared" si="33"/>
        <v>0</v>
      </c>
      <c r="CW28" s="5">
        <f t="shared" si="33"/>
        <v>0</v>
      </c>
      <c r="CX28" s="5">
        <f t="shared" si="33"/>
        <v>0</v>
      </c>
      <c r="CY28" s="5">
        <f t="shared" si="33"/>
        <v>0</v>
      </c>
      <c r="CZ28" s="5">
        <f t="shared" si="33"/>
        <v>10786.46</v>
      </c>
      <c r="DA28" s="5">
        <f t="shared" si="33"/>
        <v>0</v>
      </c>
      <c r="DB28" s="5">
        <f t="shared" si="33"/>
        <v>964.7</v>
      </c>
      <c r="DC28" s="12">
        <f t="shared" si="33"/>
        <v>0</v>
      </c>
      <c r="DD28" s="310">
        <f t="shared" si="34"/>
        <v>11751.16</v>
      </c>
      <c r="DE28" s="2695"/>
      <c r="DF28" s="8"/>
      <c r="DG28" s="9"/>
      <c r="DH28" s="5"/>
      <c r="DI28" s="5"/>
      <c r="DJ28" s="5"/>
      <c r="DK28" s="5"/>
      <c r="DL28" s="3">
        <v>0</v>
      </c>
      <c r="DM28" s="5"/>
      <c r="DN28" s="3">
        <v>6755.64</v>
      </c>
      <c r="DO28" s="5"/>
      <c r="DP28" s="488"/>
      <c r="DQ28" s="324"/>
      <c r="DR28" s="28">
        <f t="shared" si="35"/>
        <v>6755.64</v>
      </c>
      <c r="DS28" s="36"/>
      <c r="DT28" s="9"/>
      <c r="DU28" s="5"/>
      <c r="DV28" s="5"/>
      <c r="DW28" s="5"/>
      <c r="DX28" s="5"/>
      <c r="DY28" s="27"/>
      <c r="DZ28" s="27"/>
      <c r="EA28" s="3">
        <v>2210.8199999999997</v>
      </c>
      <c r="EB28" s="27"/>
      <c r="EC28" s="24">
        <v>244.7</v>
      </c>
      <c r="ED28" s="33"/>
      <c r="EE28" s="28">
        <f t="shared" si="36"/>
        <v>2455.5199999999995</v>
      </c>
      <c r="EF28" s="856"/>
      <c r="EG28" s="36"/>
      <c r="EH28" s="27"/>
      <c r="EI28" s="27"/>
      <c r="EJ28" s="27"/>
      <c r="EK28" s="27"/>
      <c r="EL28" s="27"/>
      <c r="EM28" s="27"/>
      <c r="EN28" s="5">
        <v>1820</v>
      </c>
      <c r="EO28" s="5"/>
      <c r="EP28" s="5">
        <v>720</v>
      </c>
      <c r="EQ28" s="33"/>
      <c r="ER28" s="28">
        <f t="shared" si="37"/>
        <v>2540</v>
      </c>
      <c r="ES28" s="36"/>
      <c r="ET28" s="27"/>
      <c r="EU28" s="27"/>
      <c r="EV28" s="27"/>
      <c r="EW28" s="27"/>
      <c r="EX28" s="27"/>
      <c r="EY28" s="33">
        <f t="shared" si="38"/>
        <v>0</v>
      </c>
      <c r="EZ28" s="2685"/>
      <c r="FB28" s="4">
        <f t="shared" si="39"/>
        <v>0</v>
      </c>
      <c r="FC28" s="5">
        <f t="shared" si="40"/>
        <v>0</v>
      </c>
      <c r="FD28" s="5">
        <f t="shared" si="41"/>
        <v>0</v>
      </c>
      <c r="FE28" s="12">
        <f t="shared" si="42"/>
        <v>0</v>
      </c>
      <c r="FF28" s="33"/>
      <c r="FG28" s="2674"/>
      <c r="FH28" s="9"/>
      <c r="FI28" s="5"/>
      <c r="FJ28" s="5"/>
      <c r="FK28" s="5"/>
      <c r="FL28" s="5"/>
      <c r="FM28" s="27"/>
      <c r="FN28" s="28">
        <f t="shared" si="43"/>
        <v>0</v>
      </c>
      <c r="FO28" s="36"/>
      <c r="FP28" s="27"/>
      <c r="FQ28" s="27"/>
      <c r="FR28" s="27"/>
      <c r="FS28" s="27"/>
      <c r="FT28" s="27"/>
      <c r="FU28" s="28">
        <f t="shared" si="44"/>
        <v>0</v>
      </c>
      <c r="FV28" s="36"/>
      <c r="FW28" s="36"/>
      <c r="FX28" s="27"/>
      <c r="FY28" s="27"/>
      <c r="FZ28" s="27"/>
      <c r="GA28" s="27"/>
      <c r="GB28" s="27"/>
      <c r="GC28" s="27"/>
      <c r="GD28" s="27"/>
      <c r="GE28" s="27"/>
      <c r="GF28" s="27"/>
      <c r="GG28" s="33"/>
      <c r="GH28" s="33">
        <f t="shared" si="45"/>
        <v>0</v>
      </c>
      <c r="GI28" s="2674"/>
      <c r="GK28" s="2">
        <f t="shared" si="108"/>
        <v>277.2</v>
      </c>
      <c r="GL28" s="63">
        <f t="shared" si="109"/>
        <v>681.59999999999991</v>
      </c>
      <c r="GM28" s="24">
        <f t="shared" si="110"/>
        <v>6071.2300000000005</v>
      </c>
      <c r="GN28" s="1736">
        <f t="shared" si="46"/>
        <v>7030.0300000000007</v>
      </c>
      <c r="GO28" s="141"/>
      <c r="GP28" s="141"/>
      <c r="GQ28" s="33"/>
      <c r="GR28" s="2667"/>
      <c r="GS28" s="1739">
        <v>0</v>
      </c>
      <c r="GT28" s="1721">
        <v>277.2</v>
      </c>
      <c r="GU28" s="1721">
        <v>3655.8900000000003</v>
      </c>
      <c r="GV28" s="1721">
        <v>3096.94</v>
      </c>
      <c r="GW28" s="33">
        <f t="shared" si="47"/>
        <v>7030.0300000000007</v>
      </c>
      <c r="GX28" s="2667"/>
      <c r="GY28" s="36"/>
      <c r="GZ28" s="36"/>
      <c r="HA28" s="27"/>
      <c r="HB28" s="27"/>
      <c r="HC28" s="27"/>
      <c r="HD28" s="27"/>
      <c r="HE28" s="27"/>
      <c r="HF28" s="27"/>
      <c r="HG28" s="24">
        <v>0</v>
      </c>
      <c r="HH28" s="27"/>
      <c r="HI28" s="24">
        <v>0</v>
      </c>
      <c r="HJ28" s="27"/>
      <c r="HK28" s="24">
        <v>277.2</v>
      </c>
      <c r="HL28" s="27"/>
      <c r="HM28" s="28">
        <f t="shared" si="120"/>
        <v>277.2</v>
      </c>
      <c r="HN28" s="36"/>
      <c r="HO28" s="27"/>
      <c r="HP28" s="27"/>
      <c r="HQ28" s="27"/>
      <c r="HR28" s="27"/>
      <c r="HS28" s="27"/>
      <c r="HT28" s="27" cm="1">
        <f t="array" ref="HT28">SUMPRODUCT(('Data Base hauling'!$C$2:$C$216="TCM-ROM SB1 BK05-ROM 4")*(ISNUMBER(SEARCH(TEXT('June TCM'!$B28,"00")&amp;"/03/2026",'Data Base hauling'!$E$2:$E$216)))*'Data Base hauling'!$N$2:$N$216)</f>
        <v>0</v>
      </c>
      <c r="HU28" s="27"/>
      <c r="HV28" s="27" cm="1">
        <f t="array" ref="HV28">SUMPRODUCT(('Data Base hauling'!$C$2:$C$216="TCM-ROM SB1 BK05-ROM 5")*(ISNUMBER(SEARCH(TEXT('June TCM'!$B28,"00")&amp;"/03/2026",'Data Base hauling'!$E$2:$E$216)))*'Data Base hauling'!$N$2:$N$216)</f>
        <v>0</v>
      </c>
      <c r="HW28" s="27"/>
      <c r="HX28" s="27"/>
      <c r="HY28" s="27"/>
      <c r="HZ28" s="27"/>
      <c r="IA28" s="27"/>
      <c r="IB28" s="33">
        <f t="shared" si="49"/>
        <v>0</v>
      </c>
      <c r="IC28" s="52"/>
      <c r="ID28" s="152"/>
      <c r="IE28" s="53"/>
      <c r="IF28" s="53"/>
      <c r="IG28" s="53"/>
      <c r="IH28" s="53"/>
      <c r="II28" s="1926">
        <v>0</v>
      </c>
      <c r="IJ28" s="1736"/>
      <c r="IK28" s="1926">
        <v>681.59999999999991</v>
      </c>
      <c r="IL28" s="53"/>
      <c r="IM28" s="49">
        <v>0</v>
      </c>
      <c r="IN28" s="53"/>
      <c r="IO28" s="53"/>
      <c r="IP28" s="49">
        <f>SUMPRODUCT(('Data Base hauling'!$C$2:$C$216="TCM-HAC1 (Production)-ROM 2(HAC)")*(ISNUMBER(SEARCH(TEXT('June TCM'!$B28,"00")&amp;"/06/2026",'Data Base hauling'!$E$2:$E$216)))*'Data Base hauling'!$N$2:$N$216)</f>
        <v>0</v>
      </c>
      <c r="IQ28" s="2195">
        <f t="shared" si="121"/>
        <v>681.59999999999991</v>
      </c>
      <c r="IR28" s="36"/>
      <c r="IS28" s="36"/>
      <c r="IT28" s="27"/>
      <c r="IU28" s="27"/>
      <c r="IV28" s="53"/>
      <c r="IW28" s="27"/>
      <c r="IX28" s="24">
        <v>0</v>
      </c>
      <c r="IY28" s="27"/>
      <c r="IZ28" s="24">
        <v>6071.2300000000005</v>
      </c>
      <c r="JA28" s="27"/>
      <c r="JB28" s="24">
        <v>0</v>
      </c>
      <c r="JC28" s="27"/>
      <c r="JD28" s="27"/>
      <c r="JE28" s="27"/>
      <c r="JF28" s="33">
        <f t="shared" si="122"/>
        <v>6071.2300000000005</v>
      </c>
      <c r="JG28" s="2667"/>
      <c r="JI28" s="2014">
        <v>7030.03</v>
      </c>
      <c r="JJ28" s="2015">
        <v>0</v>
      </c>
      <c r="JK28" s="53"/>
      <c r="JL28" s="53">
        <f t="shared" si="52"/>
        <v>7030.03</v>
      </c>
      <c r="JM28" s="33"/>
      <c r="JN28" s="2669"/>
      <c r="JO28" s="66">
        <v>0</v>
      </c>
      <c r="JP28" s="67">
        <v>0</v>
      </c>
      <c r="JQ28" s="67">
        <v>0</v>
      </c>
      <c r="JR28" s="67">
        <v>0</v>
      </c>
      <c r="JS28" s="67">
        <v>0.96056915831084644</v>
      </c>
      <c r="JT28" s="67">
        <v>0</v>
      </c>
      <c r="JU28" s="67">
        <v>3.9430841689153534E-2</v>
      </c>
      <c r="JV28" s="1921">
        <v>0</v>
      </c>
      <c r="JW28" s="66" t="s">
        <v>296</v>
      </c>
      <c r="JX28" s="67" t="s">
        <v>296</v>
      </c>
      <c r="JY28" s="67" t="s">
        <v>296</v>
      </c>
      <c r="JZ28" s="67" t="s">
        <v>296</v>
      </c>
      <c r="KA28" s="67" t="s">
        <v>296</v>
      </c>
      <c r="KB28" s="67" t="s">
        <v>296</v>
      </c>
      <c r="KC28" s="67" t="s">
        <v>296</v>
      </c>
      <c r="KD28" s="68" t="s">
        <v>296</v>
      </c>
      <c r="KE28" s="69"/>
      <c r="KF28" s="70"/>
      <c r="KG28" s="70"/>
      <c r="KH28" s="70"/>
      <c r="KI28" s="70"/>
      <c r="KJ28" s="70"/>
      <c r="KK28" s="70"/>
      <c r="KL28" s="70"/>
      <c r="KM28" s="33"/>
      <c r="KN28" s="2669"/>
      <c r="KO28" s="2203">
        <v>7056.0377197958023</v>
      </c>
      <c r="KP28" s="1721">
        <v>0.44703630175836639</v>
      </c>
      <c r="KQ28" s="1721">
        <v>3.7455516165626772</v>
      </c>
      <c r="KR28" s="1721">
        <v>6.7462960862166765</v>
      </c>
      <c r="KS28" s="1722">
        <v>11.028145207033468</v>
      </c>
      <c r="KT28" s="1958">
        <v>0</v>
      </c>
      <c r="KU28" s="1961">
        <v>0</v>
      </c>
      <c r="KV28" s="1961">
        <v>0</v>
      </c>
      <c r="KW28" s="1961">
        <v>0</v>
      </c>
      <c r="KX28" s="1962">
        <v>0</v>
      </c>
      <c r="KY28" s="36"/>
      <c r="KZ28" s="53"/>
      <c r="LA28" s="53"/>
      <c r="LB28" s="53"/>
      <c r="LC28" s="53"/>
      <c r="LD28" s="33"/>
      <c r="LE28" s="2669"/>
      <c r="LG28" s="4">
        <f t="shared" si="53"/>
        <v>0</v>
      </c>
      <c r="LH28" s="27">
        <f t="shared" si="53"/>
        <v>0</v>
      </c>
      <c r="LI28" s="27">
        <f t="shared" si="53"/>
        <v>0</v>
      </c>
      <c r="LJ28" s="28">
        <f t="shared" si="54"/>
        <v>0</v>
      </c>
      <c r="LK28" s="36"/>
      <c r="LL28" s="27"/>
      <c r="LM28" s="27">
        <v>6</v>
      </c>
      <c r="LN28" s="33"/>
      <c r="LO28" s="1041">
        <v>7.52</v>
      </c>
      <c r="LP28" s="486" t="s">
        <v>342</v>
      </c>
      <c r="LQ28" s="2688"/>
      <c r="LR28" s="2277"/>
      <c r="LS28" s="2269"/>
      <c r="LT28" s="27"/>
      <c r="LU28" s="27"/>
      <c r="LV28" s="27"/>
      <c r="LW28" s="1107">
        <f t="shared" si="55"/>
        <v>0</v>
      </c>
      <c r="LX28" s="2269"/>
      <c r="LY28" s="2269"/>
      <c r="LZ28" s="27"/>
      <c r="MA28" s="27"/>
      <c r="MB28" s="33"/>
      <c r="MC28" s="28">
        <f t="shared" si="56"/>
        <v>0</v>
      </c>
      <c r="MD28" s="26"/>
      <c r="ME28" s="36"/>
      <c r="MF28" s="27"/>
      <c r="MG28" s="27"/>
      <c r="MH28" s="27"/>
      <c r="MI28" s="28"/>
      <c r="MJ28" s="36"/>
      <c r="MK28" s="36"/>
      <c r="ML28" s="27"/>
      <c r="MM28" s="27"/>
      <c r="MN28" s="27"/>
      <c r="MO28" s="28"/>
      <c r="MP28" s="36"/>
      <c r="MQ28" s="36"/>
      <c r="MR28" s="27"/>
      <c r="MS28" s="27"/>
      <c r="MT28" s="27"/>
      <c r="MU28" s="33">
        <f t="shared" si="57"/>
        <v>0</v>
      </c>
      <c r="MV28" s="2688"/>
      <c r="MX28" s="26">
        <f t="shared" si="58"/>
        <v>185529.18357596436</v>
      </c>
      <c r="MY28" s="27">
        <f t="shared" si="59"/>
        <v>168207.15785017915</v>
      </c>
      <c r="MZ28" s="27">
        <f t="shared" si="60"/>
        <v>22181.028559023402</v>
      </c>
      <c r="NA28" s="28">
        <f t="shared" si="61"/>
        <v>423619.74855850992</v>
      </c>
      <c r="NB28" s="2621"/>
      <c r="NC28" s="23">
        <f t="shared" si="123"/>
        <v>95381.090867469495</v>
      </c>
      <c r="ND28" s="1579">
        <f t="shared" si="124"/>
        <v>90148.092708494878</v>
      </c>
      <c r="NE28" s="60">
        <f t="shared" si="64"/>
        <v>0</v>
      </c>
      <c r="NF28" s="1110">
        <f t="shared" si="4"/>
        <v>185529.18357596436</v>
      </c>
      <c r="NG28" s="26">
        <f t="shared" si="128"/>
        <v>0</v>
      </c>
      <c r="NH28" s="27">
        <f t="shared" si="128"/>
        <v>0</v>
      </c>
      <c r="NI28" s="27">
        <f t="shared" si="128"/>
        <v>0</v>
      </c>
      <c r="NJ28" s="27">
        <f t="shared" si="128"/>
        <v>0</v>
      </c>
      <c r="NK28" s="27">
        <f t="shared" si="128"/>
        <v>0</v>
      </c>
      <c r="NL28" s="33">
        <f t="shared" si="128"/>
        <v>0</v>
      </c>
      <c r="NM28" s="27">
        <f t="shared" si="128"/>
        <v>0</v>
      </c>
      <c r="NN28" s="36">
        <f t="shared" si="128"/>
        <v>0</v>
      </c>
      <c r="NO28" s="24">
        <f t="shared" si="111"/>
        <v>5068.3342192005612</v>
      </c>
      <c r="NP28" s="27">
        <f t="shared" si="128"/>
        <v>26196.696072681989</v>
      </c>
      <c r="NQ28" s="24">
        <f t="shared" si="112"/>
        <v>8756.5482322711578</v>
      </c>
      <c r="NR28" s="24">
        <f t="shared" si="113"/>
        <v>7016.4448469876015</v>
      </c>
      <c r="NS28" s="27">
        <f t="shared" si="0"/>
        <v>47038.023371141309</v>
      </c>
      <c r="NT28" s="27">
        <f t="shared" si="129"/>
        <v>0</v>
      </c>
      <c r="NU28" s="27">
        <f t="shared" si="129"/>
        <v>0</v>
      </c>
      <c r="NV28" s="27">
        <f t="shared" si="129"/>
        <v>0</v>
      </c>
      <c r="NW28" s="27">
        <f t="shared" si="129"/>
        <v>0</v>
      </c>
      <c r="NX28" s="27">
        <f t="shared" si="129"/>
        <v>0</v>
      </c>
      <c r="NY28" s="5">
        <f t="shared" si="129"/>
        <v>0</v>
      </c>
      <c r="NZ28" s="27">
        <f t="shared" si="129"/>
        <v>7035.7603682352474</v>
      </c>
      <c r="OA28" s="27">
        <f t="shared" si="129"/>
        <v>0</v>
      </c>
      <c r="OB28" s="27">
        <f t="shared" si="129"/>
        <v>82121.177327968035</v>
      </c>
      <c r="OC28" s="27"/>
      <c r="OD28" s="24">
        <f t="shared" si="132"/>
        <v>454.51223506073143</v>
      </c>
      <c r="OE28" s="27">
        <f t="shared" si="127"/>
        <v>0</v>
      </c>
      <c r="OF28" s="28">
        <f t="shared" si="1"/>
        <v>89611.449931264011</v>
      </c>
      <c r="OG28" s="27">
        <f t="shared" si="131"/>
        <v>0</v>
      </c>
      <c r="OH28" s="27">
        <f t="shared" si="131"/>
        <v>0</v>
      </c>
      <c r="OI28" s="27">
        <f t="shared" si="131"/>
        <v>0</v>
      </c>
      <c r="OJ28" s="27">
        <f t="shared" si="131"/>
        <v>0</v>
      </c>
      <c r="OK28" s="27">
        <f t="shared" si="131"/>
        <v>0</v>
      </c>
      <c r="OL28" s="27">
        <f t="shared" si="131"/>
        <v>0</v>
      </c>
      <c r="OM28" s="24">
        <f t="shared" si="131"/>
        <v>0</v>
      </c>
      <c r="ON28" s="27">
        <f t="shared" si="131"/>
        <v>0</v>
      </c>
      <c r="OO28" s="24">
        <f t="shared" si="118"/>
        <v>26861.844547773831</v>
      </c>
      <c r="OP28" s="27">
        <f t="shared" si="131"/>
        <v>0</v>
      </c>
      <c r="OQ28" s="24">
        <f t="shared" si="131"/>
        <v>4695.84</v>
      </c>
      <c r="OR28" s="27">
        <f t="shared" si="131"/>
        <v>0</v>
      </c>
      <c r="OS28" s="28">
        <f t="shared" si="2"/>
        <v>31557.684547773832</v>
      </c>
      <c r="OT28" s="36"/>
      <c r="OU28" s="27"/>
      <c r="OV28" s="27"/>
      <c r="OW28" s="27"/>
      <c r="OX28" s="27"/>
      <c r="OY28" s="27"/>
      <c r="OZ28" s="28">
        <f t="shared" si="69"/>
        <v>0</v>
      </c>
      <c r="PA28" s="36">
        <f t="shared" si="70"/>
        <v>0</v>
      </c>
      <c r="PB28" s="27">
        <f t="shared" si="71"/>
        <v>0</v>
      </c>
      <c r="PC28" s="27">
        <f t="shared" si="72"/>
        <v>0</v>
      </c>
      <c r="PD28" s="27">
        <f t="shared" si="73"/>
        <v>0</v>
      </c>
      <c r="PE28" s="24"/>
      <c r="PF28" s="27">
        <f t="shared" si="74"/>
        <v>0</v>
      </c>
      <c r="PG28" s="33">
        <f t="shared" si="3"/>
        <v>0</v>
      </c>
      <c r="PH28" s="2621"/>
      <c r="PJ28" s="1907">
        <v>0</v>
      </c>
      <c r="PK28" s="3">
        <v>846</v>
      </c>
      <c r="PL28" s="3">
        <v>282</v>
      </c>
      <c r="PM28" s="3">
        <v>277.2</v>
      </c>
      <c r="PN28" s="3">
        <v>33435.169776580689</v>
      </c>
      <c r="PO28" s="11">
        <f t="shared" si="75"/>
        <v>22181.028559023402</v>
      </c>
      <c r="PP28" s="15"/>
      <c r="PQ28" s="2615"/>
      <c r="PS28" s="4"/>
      <c r="PT28" s="9"/>
      <c r="PU28" s="9"/>
      <c r="PV28" s="9"/>
      <c r="PW28" s="8">
        <v>0</v>
      </c>
      <c r="PX28" s="9"/>
      <c r="PY28" s="8">
        <f t="shared" si="76"/>
        <v>0</v>
      </c>
      <c r="PZ28" s="5">
        <f t="shared" si="77"/>
        <v>0</v>
      </c>
      <c r="QA28" s="5"/>
      <c r="QB28" s="5"/>
      <c r="QC28" s="5"/>
      <c r="QD28" s="5"/>
      <c r="QE28" s="5"/>
      <c r="QF28" s="12"/>
      <c r="QG28" s="12">
        <f t="shared" si="78"/>
        <v>29562.488999999998</v>
      </c>
      <c r="QH28" s="420">
        <f t="shared" si="79"/>
        <v>391932.51955850993</v>
      </c>
      <c r="QI28" s="1106">
        <f t="shared" si="80"/>
        <v>2124.7399999999998</v>
      </c>
      <c r="QJ28" s="484">
        <f t="shared" si="81"/>
        <v>5505.3678056099998</v>
      </c>
      <c r="QK28" s="12"/>
      <c r="QL28" s="2615"/>
      <c r="QN28" s="139">
        <f t="shared" si="82"/>
        <v>0</v>
      </c>
      <c r="QO28" s="139" t="str">
        <f t="shared" si="83"/>
        <v/>
      </c>
      <c r="QQ28" s="139">
        <f t="shared" si="84"/>
        <v>0</v>
      </c>
      <c r="QR28" s="139">
        <f t="shared" si="85"/>
        <v>0</v>
      </c>
      <c r="QT28" s="1">
        <f t="shared" si="86"/>
        <v>0</v>
      </c>
      <c r="QU28" s="1">
        <f t="shared" si="87"/>
        <v>0</v>
      </c>
      <c r="QV28" s="1">
        <f t="shared" si="88"/>
        <v>0</v>
      </c>
      <c r="QW28" s="1">
        <f t="shared" si="89"/>
        <v>0</v>
      </c>
      <c r="QX28" s="1">
        <f t="shared" si="90"/>
        <v>0</v>
      </c>
      <c r="QY28" s="1">
        <f t="shared" si="91"/>
        <v>0</v>
      </c>
      <c r="RA28" s="1">
        <f t="shared" si="92"/>
        <v>0</v>
      </c>
      <c r="RB28" s="1">
        <f t="shared" si="93"/>
        <v>0</v>
      </c>
      <c r="RC28" s="1">
        <f t="shared" si="94"/>
        <v>0</v>
      </c>
      <c r="RD28" s="1">
        <f t="shared" si="95"/>
        <v>0</v>
      </c>
      <c r="RE28" s="1">
        <f t="shared" si="96"/>
        <v>0</v>
      </c>
      <c r="RF28" s="1">
        <f t="shared" si="97"/>
        <v>0</v>
      </c>
      <c r="RI28" s="1">
        <v>19</v>
      </c>
      <c r="RJ28" s="1">
        <f t="shared" si="125"/>
        <v>56675.166209717099</v>
      </c>
      <c r="RK28" s="1">
        <f t="shared" si="125"/>
        <v>13960.65078048372</v>
      </c>
      <c r="RL28" s="1">
        <f t="shared" si="125"/>
        <v>13404.263703387322</v>
      </c>
      <c r="RM28" s="89">
        <f t="shared" si="5"/>
        <v>84040.080693588141</v>
      </c>
      <c r="RN28" s="1033">
        <v>19</v>
      </c>
      <c r="RO28" s="1098">
        <f t="shared" si="99"/>
        <v>0</v>
      </c>
      <c r="RP28" s="1098">
        <f t="shared" si="100"/>
        <v>0</v>
      </c>
      <c r="RQ28" s="1097">
        <f t="shared" si="100"/>
        <v>0</v>
      </c>
      <c r="RR28" s="1097">
        <f t="shared" si="101"/>
        <v>9211.16</v>
      </c>
      <c r="RS28" s="1050"/>
      <c r="RT28" s="1046" t="s">
        <v>343</v>
      </c>
      <c r="RU28" s="1048"/>
      <c r="RW28" s="421">
        <v>19</v>
      </c>
      <c r="RX28" s="1095">
        <f t="shared" si="102"/>
        <v>7030.0300000000007</v>
      </c>
      <c r="RY28" s="1046" t="s">
        <v>343</v>
      </c>
      <c r="RZ28" s="1048"/>
      <c r="SA28" s="1090"/>
      <c r="SB28" s="1090">
        <f t="shared" si="103"/>
        <v>0</v>
      </c>
      <c r="SC28" s="1090"/>
      <c r="SD28" s="1090">
        <f t="shared" si="126"/>
        <v>0</v>
      </c>
      <c r="SF28" s="1">
        <v>19</v>
      </c>
      <c r="SG28" s="1">
        <f t="shared" si="105"/>
        <v>277.2</v>
      </c>
      <c r="SH28" s="1096" t="s">
        <v>344</v>
      </c>
    </row>
    <row r="29" spans="1:502" s="1" customFormat="1">
      <c r="B29" s="471">
        <v>20</v>
      </c>
      <c r="C29" s="4">
        <f t="shared" si="6"/>
        <v>148967</v>
      </c>
      <c r="D29" s="1726">
        <f t="shared" si="119"/>
        <v>12137.119999999999</v>
      </c>
      <c r="E29" s="1911">
        <f t="shared" si="7"/>
        <v>12.273669536100822</v>
      </c>
      <c r="F29" s="870"/>
      <c r="G29" s="870"/>
      <c r="H29" s="845"/>
      <c r="I29" s="482"/>
      <c r="J29" s="845"/>
      <c r="K29" s="846"/>
      <c r="L29" s="845"/>
      <c r="M29" s="482"/>
      <c r="N29" s="2629"/>
      <c r="O29" s="4">
        <f t="shared" si="117"/>
        <v>97398</v>
      </c>
      <c r="P29" s="1225">
        <f t="shared" si="8"/>
        <v>6802.5599999999995</v>
      </c>
      <c r="Q29" s="1913">
        <f t="shared" si="9"/>
        <v>14.317845046570703</v>
      </c>
      <c r="R29" s="12"/>
      <c r="S29" s="26">
        <f t="shared" si="10"/>
        <v>34483</v>
      </c>
      <c r="T29" s="27">
        <f t="shared" si="107"/>
        <v>1854.5600000000002</v>
      </c>
      <c r="U29" s="1913">
        <f t="shared" si="11"/>
        <v>18.593628677422135</v>
      </c>
      <c r="V29" s="15"/>
      <c r="W29" s="26">
        <f t="shared" si="12"/>
        <v>17086</v>
      </c>
      <c r="X29" s="5">
        <f t="shared" si="12"/>
        <v>3480</v>
      </c>
      <c r="Y29" s="1913">
        <f t="shared" si="13"/>
        <v>4.9097701149425284</v>
      </c>
      <c r="Z29" s="12"/>
      <c r="AA29" s="26">
        <f t="shared" si="14"/>
        <v>0</v>
      </c>
      <c r="AB29" s="27">
        <f t="shared" si="15"/>
        <v>0</v>
      </c>
      <c r="AC29" s="64">
        <f t="shared" si="16"/>
        <v>0</v>
      </c>
      <c r="AD29" s="15"/>
      <c r="AE29" s="9"/>
      <c r="AF29" s="9"/>
      <c r="AG29" s="64">
        <f t="shared" si="17"/>
        <v>0</v>
      </c>
      <c r="AH29" s="15"/>
      <c r="AI29" s="4"/>
      <c r="AJ29" s="5"/>
      <c r="AK29" s="64">
        <f t="shared" si="18"/>
        <v>0</v>
      </c>
      <c r="AL29" s="15"/>
      <c r="AM29" s="2629"/>
      <c r="AN29" s="9"/>
      <c r="AO29" s="5"/>
      <c r="AP29" s="482">
        <f t="shared" si="19"/>
        <v>0</v>
      </c>
      <c r="AQ29" s="9"/>
      <c r="AR29" s="64"/>
      <c r="AS29" s="482">
        <f t="shared" si="20"/>
        <v>0</v>
      </c>
      <c r="AT29" s="9">
        <v>0</v>
      </c>
      <c r="AU29" s="5"/>
      <c r="AV29" s="846">
        <f t="shared" si="21"/>
        <v>0</v>
      </c>
      <c r="AW29" s="4">
        <v>54180</v>
      </c>
      <c r="AX29" s="27">
        <v>5407.6799999999994</v>
      </c>
      <c r="AY29" s="1911">
        <f t="shared" si="115"/>
        <v>10.019083969465649</v>
      </c>
      <c r="AZ29" s="1912"/>
      <c r="BA29" s="1913"/>
      <c r="BB29" s="1911">
        <f t="shared" si="22"/>
        <v>0</v>
      </c>
      <c r="BC29" s="1940">
        <v>43218</v>
      </c>
      <c r="BD29" s="1926">
        <v>1394.88</v>
      </c>
      <c r="BE29" s="1911">
        <f t="shared" si="23"/>
        <v>30.983310392291809</v>
      </c>
      <c r="BF29" s="1908"/>
      <c r="BG29" s="1909"/>
      <c r="BH29" s="1911">
        <f t="shared" si="24"/>
        <v>0</v>
      </c>
      <c r="BI29" s="1912">
        <v>0</v>
      </c>
      <c r="BJ29" s="1909">
        <v>0</v>
      </c>
      <c r="BK29" s="1911">
        <f t="shared" si="25"/>
        <v>0</v>
      </c>
      <c r="BL29" s="1742">
        <v>34483</v>
      </c>
      <c r="BM29" s="1909">
        <v>1854.5600000000002</v>
      </c>
      <c r="BN29" s="2170"/>
      <c r="BO29" s="1911">
        <f t="shared" si="26"/>
        <v>18.593628677422135</v>
      </c>
      <c r="BP29" s="9"/>
      <c r="BQ29" s="64"/>
      <c r="BR29" s="482">
        <f t="shared" si="27"/>
        <v>0</v>
      </c>
      <c r="BS29" s="9"/>
      <c r="BT29" s="64"/>
      <c r="BU29" s="482">
        <f t="shared" si="28"/>
        <v>0</v>
      </c>
      <c r="BV29" s="9">
        <v>17086</v>
      </c>
      <c r="BW29" s="27">
        <v>3480</v>
      </c>
      <c r="BX29" s="15">
        <f t="shared" si="29"/>
        <v>4.9097701149425284</v>
      </c>
      <c r="BY29" s="26"/>
      <c r="BZ29" s="5"/>
      <c r="CA29" s="482">
        <f t="shared" si="30"/>
        <v>0</v>
      </c>
      <c r="CB29" s="9"/>
      <c r="CC29" s="5"/>
      <c r="CD29" s="482">
        <f t="shared" si="31"/>
        <v>0</v>
      </c>
      <c r="CE29" s="4"/>
      <c r="CF29" s="494"/>
      <c r="CG29" s="15">
        <f t="shared" si="32"/>
        <v>0</v>
      </c>
      <c r="CH29" s="150"/>
      <c r="CI29" s="1108"/>
      <c r="CJ29" s="5"/>
      <c r="CK29" s="5">
        <v>2940</v>
      </c>
      <c r="CL29" s="5"/>
      <c r="CM29" s="5"/>
      <c r="CN29" s="5"/>
      <c r="CO29" s="12"/>
      <c r="CP29" s="366"/>
      <c r="CR29" s="4">
        <f t="shared" si="33"/>
        <v>0</v>
      </c>
      <c r="CS29" s="9">
        <f t="shared" si="33"/>
        <v>0</v>
      </c>
      <c r="CT29" s="5">
        <f t="shared" si="33"/>
        <v>0</v>
      </c>
      <c r="CU29" s="5">
        <f t="shared" si="33"/>
        <v>0</v>
      </c>
      <c r="CV29" s="5">
        <f t="shared" si="33"/>
        <v>0</v>
      </c>
      <c r="CW29" s="5">
        <f t="shared" si="33"/>
        <v>0</v>
      </c>
      <c r="CX29" s="5">
        <f t="shared" si="33"/>
        <v>0</v>
      </c>
      <c r="CY29" s="5">
        <f t="shared" si="33"/>
        <v>0</v>
      </c>
      <c r="CZ29" s="5">
        <f t="shared" si="33"/>
        <v>9762.24</v>
      </c>
      <c r="DA29" s="5">
        <f t="shared" si="33"/>
        <v>0</v>
      </c>
      <c r="DB29" s="5">
        <f t="shared" si="33"/>
        <v>2374.88</v>
      </c>
      <c r="DC29" s="12">
        <f t="shared" si="33"/>
        <v>0</v>
      </c>
      <c r="DD29" s="847">
        <f t="shared" si="34"/>
        <v>12137.119999999999</v>
      </c>
      <c r="DE29" s="2695"/>
      <c r="DF29" s="8"/>
      <c r="DG29" s="9"/>
      <c r="DH29" s="5"/>
      <c r="DI29" s="5"/>
      <c r="DJ29" s="5"/>
      <c r="DK29" s="5"/>
      <c r="DL29" s="3">
        <v>0</v>
      </c>
      <c r="DM29" s="5"/>
      <c r="DN29" s="3">
        <v>5407.6799999999994</v>
      </c>
      <c r="DO29" s="5"/>
      <c r="DP29" s="5"/>
      <c r="DQ29" s="12"/>
      <c r="DR29" s="15">
        <f t="shared" si="35"/>
        <v>5407.6799999999994</v>
      </c>
      <c r="DS29" s="9"/>
      <c r="DT29" s="9"/>
      <c r="DU29" s="5"/>
      <c r="DV29" s="5"/>
      <c r="DW29" s="5"/>
      <c r="DX29" s="5"/>
      <c r="DY29" s="5"/>
      <c r="DZ29" s="5"/>
      <c r="EA29" s="3">
        <v>1854.5600000000002</v>
      </c>
      <c r="EB29" s="5"/>
      <c r="EC29" s="24">
        <v>1394.88</v>
      </c>
      <c r="ED29" s="12"/>
      <c r="EE29" s="15">
        <f t="shared" si="36"/>
        <v>3249.4400000000005</v>
      </c>
      <c r="EF29" s="9"/>
      <c r="EG29" s="9"/>
      <c r="EH29" s="5"/>
      <c r="EI29" s="5"/>
      <c r="EJ29" s="5"/>
      <c r="EK29" s="5"/>
      <c r="EL29" s="5"/>
      <c r="EM29" s="5"/>
      <c r="EN29" s="5">
        <v>2500</v>
      </c>
      <c r="EO29" s="5"/>
      <c r="EP29" s="5">
        <v>980</v>
      </c>
      <c r="EQ29" s="12"/>
      <c r="ER29" s="15">
        <f t="shared" si="37"/>
        <v>3480</v>
      </c>
      <c r="ES29" s="9"/>
      <c r="ET29" s="5"/>
      <c r="EU29" s="5"/>
      <c r="EV29" s="5"/>
      <c r="EW29" s="5"/>
      <c r="EX29" s="5"/>
      <c r="EY29" s="12">
        <f t="shared" si="38"/>
        <v>0</v>
      </c>
      <c r="EZ29" s="2685"/>
      <c r="FB29" s="4">
        <f t="shared" si="39"/>
        <v>0</v>
      </c>
      <c r="FC29" s="5">
        <f t="shared" si="40"/>
        <v>0</v>
      </c>
      <c r="FD29" s="5">
        <f t="shared" si="41"/>
        <v>0</v>
      </c>
      <c r="FE29" s="12">
        <f t="shared" si="42"/>
        <v>0</v>
      </c>
      <c r="FF29" s="12"/>
      <c r="FG29" s="2674"/>
      <c r="FH29" s="9"/>
      <c r="FI29" s="5"/>
      <c r="FJ29" s="5"/>
      <c r="FK29" s="5"/>
      <c r="FL29" s="5"/>
      <c r="FM29" s="5"/>
      <c r="FN29" s="15">
        <f t="shared" si="43"/>
        <v>0</v>
      </c>
      <c r="FO29" s="9"/>
      <c r="FP29" s="5"/>
      <c r="FQ29" s="5"/>
      <c r="FR29" s="5"/>
      <c r="FS29" s="5"/>
      <c r="FT29" s="5"/>
      <c r="FU29" s="15">
        <f t="shared" si="44"/>
        <v>0</v>
      </c>
      <c r="FV29" s="9"/>
      <c r="FW29" s="9"/>
      <c r="FX29" s="5"/>
      <c r="FY29" s="5"/>
      <c r="FZ29" s="5"/>
      <c r="GA29" s="5"/>
      <c r="GB29" s="5"/>
      <c r="GC29" s="5"/>
      <c r="GD29" s="5"/>
      <c r="GE29" s="5"/>
      <c r="GF29" s="5"/>
      <c r="GG29" s="12"/>
      <c r="GH29" s="12">
        <f t="shared" si="45"/>
        <v>0</v>
      </c>
      <c r="GI29" s="2674"/>
      <c r="GK29" s="2">
        <f t="shared" si="108"/>
        <v>0</v>
      </c>
      <c r="GL29" s="63">
        <f t="shared" si="109"/>
        <v>3202.2400000000002</v>
      </c>
      <c r="GM29" s="24">
        <f t="shared" si="110"/>
        <v>5181.9800000000005</v>
      </c>
      <c r="GN29" s="1590">
        <f t="shared" si="46"/>
        <v>8384.2200000000012</v>
      </c>
      <c r="GO29" s="848"/>
      <c r="GP29" s="848"/>
      <c r="GQ29" s="12"/>
      <c r="GR29" s="2667"/>
      <c r="GS29" s="1739">
        <v>0</v>
      </c>
      <c r="GT29" s="1721">
        <v>0</v>
      </c>
      <c r="GU29" s="1721">
        <v>4205.1499999999996</v>
      </c>
      <c r="GV29" s="1721">
        <v>4179.0700000000006</v>
      </c>
      <c r="GW29" s="12">
        <f t="shared" si="47"/>
        <v>8384.2200000000012</v>
      </c>
      <c r="GX29" s="2667"/>
      <c r="GY29" s="9"/>
      <c r="GZ29" s="9"/>
      <c r="HA29" s="5"/>
      <c r="HB29" s="5"/>
      <c r="HC29" s="5"/>
      <c r="HD29" s="5"/>
      <c r="HE29" s="5"/>
      <c r="HF29" s="5"/>
      <c r="HG29" s="24">
        <v>0</v>
      </c>
      <c r="HH29" s="5"/>
      <c r="HI29" s="24">
        <v>0</v>
      </c>
      <c r="HJ29" s="5"/>
      <c r="HK29" s="24">
        <v>0</v>
      </c>
      <c r="HL29" s="5"/>
      <c r="HM29" s="15">
        <f t="shared" si="120"/>
        <v>0</v>
      </c>
      <c r="HN29" s="9"/>
      <c r="HO29" s="5"/>
      <c r="HP29" s="5"/>
      <c r="HQ29" s="5"/>
      <c r="HR29" s="5"/>
      <c r="HS29" s="5"/>
      <c r="HT29" s="5" cm="1">
        <f t="array" ref="HT29">SUMPRODUCT(('Data Base hauling'!$C$2:$C$216="TCM-ROM SB1 BK05-ROM 4")*(ISNUMBER(SEARCH(TEXT('June TCM'!$B29,"00")&amp;"/03/2026",'Data Base hauling'!$E$2:$E$216)))*'Data Base hauling'!$N$2:$N$216)</f>
        <v>0</v>
      </c>
      <c r="HU29" s="5"/>
      <c r="HV29" s="5" cm="1">
        <f t="array" ref="HV29">SUMPRODUCT(('Data Base hauling'!$C$2:$C$216="TCM-ROM SB1 BK05-ROM 5")*(ISNUMBER(SEARCH(TEXT('June TCM'!$B29,"00")&amp;"/03/2026",'Data Base hauling'!$E$2:$E$216)))*'Data Base hauling'!$N$2:$N$216)</f>
        <v>0</v>
      </c>
      <c r="HW29" s="5"/>
      <c r="HX29" s="5"/>
      <c r="HY29" s="5"/>
      <c r="HZ29" s="5"/>
      <c r="IA29" s="5"/>
      <c r="IB29" s="12">
        <f t="shared" si="49"/>
        <v>0</v>
      </c>
      <c r="IC29" s="845"/>
      <c r="ID29" s="363"/>
      <c r="IE29" s="64"/>
      <c r="IF29" s="64"/>
      <c r="IG29" s="64"/>
      <c r="IH29" s="64"/>
      <c r="II29" s="1926">
        <v>0</v>
      </c>
      <c r="IJ29" s="1590"/>
      <c r="IK29" s="1926">
        <v>3202.2400000000002</v>
      </c>
      <c r="IL29" s="64"/>
      <c r="IM29" s="49">
        <v>0</v>
      </c>
      <c r="IN29" s="64"/>
      <c r="IO29" s="64"/>
      <c r="IP29" s="49">
        <f>SUMPRODUCT(('Data Base hauling'!$C$2:$C$216="TCM-HAC1 (Production)-ROM 2(HAC)")*(ISNUMBER(SEARCH(TEXT('June TCM'!$B29,"00")&amp;"/06/2026",'Data Base hauling'!$E$2:$E$216)))*'Data Base hauling'!$N$2:$N$216)</f>
        <v>0</v>
      </c>
      <c r="IQ29" s="2195">
        <f t="shared" si="121"/>
        <v>3202.2400000000002</v>
      </c>
      <c r="IR29" s="9"/>
      <c r="IS29" s="9"/>
      <c r="IT29" s="5"/>
      <c r="IU29" s="5"/>
      <c r="IV29" s="64"/>
      <c r="IW29" s="5"/>
      <c r="IX29" s="24">
        <v>0</v>
      </c>
      <c r="IY29" s="5"/>
      <c r="IZ29" s="24">
        <v>5181.9800000000005</v>
      </c>
      <c r="JA29" s="5"/>
      <c r="JB29" s="24">
        <v>0</v>
      </c>
      <c r="JC29" s="5"/>
      <c r="JD29" s="5"/>
      <c r="JE29" s="5"/>
      <c r="JF29" s="12">
        <f t="shared" si="122"/>
        <v>5181.9800000000005</v>
      </c>
      <c r="JG29" s="2667"/>
      <c r="JI29" s="2014">
        <v>8384.2200000000012</v>
      </c>
      <c r="JJ29" s="2015">
        <v>0</v>
      </c>
      <c r="JK29" s="64"/>
      <c r="JL29" s="64">
        <f t="shared" si="52"/>
        <v>8384.2200000000012</v>
      </c>
      <c r="JM29" s="12"/>
      <c r="JN29" s="2669"/>
      <c r="JO29" s="66">
        <v>0</v>
      </c>
      <c r="JP29" s="67">
        <v>0</v>
      </c>
      <c r="JQ29" s="67">
        <v>0</v>
      </c>
      <c r="JR29" s="67">
        <v>0</v>
      </c>
      <c r="JS29" s="67">
        <v>1</v>
      </c>
      <c r="JT29" s="67">
        <v>0</v>
      </c>
      <c r="JU29" s="67">
        <v>0</v>
      </c>
      <c r="JV29" s="1921">
        <v>0</v>
      </c>
      <c r="JW29" s="66" t="s">
        <v>296</v>
      </c>
      <c r="JX29" s="67" t="s">
        <v>296</v>
      </c>
      <c r="JY29" s="67" t="s">
        <v>296</v>
      </c>
      <c r="JZ29" s="67" t="s">
        <v>296</v>
      </c>
      <c r="KA29" s="67" t="s">
        <v>296</v>
      </c>
      <c r="KB29" s="67" t="s">
        <v>296</v>
      </c>
      <c r="KC29" s="67" t="s">
        <v>296</v>
      </c>
      <c r="KD29" s="68" t="s">
        <v>296</v>
      </c>
      <c r="KE29" s="849"/>
      <c r="KF29" s="850"/>
      <c r="KG29" s="850"/>
      <c r="KH29" s="850"/>
      <c r="KI29" s="850"/>
      <c r="KJ29" s="850"/>
      <c r="KK29" s="850"/>
      <c r="KL29" s="850"/>
      <c r="KM29" s="12"/>
      <c r="KN29" s="2669"/>
      <c r="KO29" s="2203">
        <v>7020.6832611832615</v>
      </c>
      <c r="KP29" s="1721">
        <v>0.64543891293891298</v>
      </c>
      <c r="KQ29" s="1721">
        <v>3.5849050024050024</v>
      </c>
      <c r="KR29" s="1721">
        <v>7.3396921596921603</v>
      </c>
      <c r="KS29" s="1722">
        <v>10.57738455988456</v>
      </c>
      <c r="KT29" s="1958">
        <v>0</v>
      </c>
      <c r="KU29" s="1961">
        <v>0</v>
      </c>
      <c r="KV29" s="1961">
        <v>0</v>
      </c>
      <c r="KW29" s="1961">
        <v>0</v>
      </c>
      <c r="KX29" s="1962">
        <v>0</v>
      </c>
      <c r="KY29" s="9"/>
      <c r="KZ29" s="64"/>
      <c r="LA29" s="64"/>
      <c r="LB29" s="64"/>
      <c r="LC29" s="64"/>
      <c r="LD29" s="12"/>
      <c r="LE29" s="2669"/>
      <c r="LG29" s="4">
        <f t="shared" si="53"/>
        <v>0</v>
      </c>
      <c r="LH29" s="5">
        <f t="shared" si="53"/>
        <v>0</v>
      </c>
      <c r="LI29" s="5">
        <f t="shared" si="53"/>
        <v>0</v>
      </c>
      <c r="LJ29" s="15">
        <f t="shared" si="54"/>
        <v>0</v>
      </c>
      <c r="LK29" s="9"/>
      <c r="LL29" s="5"/>
      <c r="LM29" s="5"/>
      <c r="LN29" s="12"/>
      <c r="LO29" s="1956">
        <v>7.65</v>
      </c>
      <c r="LP29" s="486"/>
      <c r="LQ29" s="2688"/>
      <c r="LR29" s="2271"/>
      <c r="LS29" s="2271"/>
      <c r="LT29" s="5"/>
      <c r="LU29" s="5"/>
      <c r="LV29" s="5"/>
      <c r="LW29" s="1107">
        <f t="shared" si="55"/>
        <v>0</v>
      </c>
      <c r="LX29" s="2271"/>
      <c r="LY29" s="2271"/>
      <c r="LZ29" s="5"/>
      <c r="MA29" s="5"/>
      <c r="MB29" s="12"/>
      <c r="MC29" s="28">
        <f t="shared" si="56"/>
        <v>0</v>
      </c>
      <c r="MD29" s="4"/>
      <c r="ME29" s="9"/>
      <c r="MF29" s="5"/>
      <c r="MG29" s="5"/>
      <c r="MH29" s="5"/>
      <c r="MI29" s="15"/>
      <c r="MJ29" s="9"/>
      <c r="MK29" s="9"/>
      <c r="ML29" s="5"/>
      <c r="MM29" s="5"/>
      <c r="MN29" s="5"/>
      <c r="MO29" s="15"/>
      <c r="MP29" s="9"/>
      <c r="MQ29" s="9"/>
      <c r="MR29" s="5"/>
      <c r="MS29" s="5"/>
      <c r="MT29" s="5"/>
      <c r="MU29" s="12">
        <f t="shared" si="57"/>
        <v>0</v>
      </c>
      <c r="MV29" s="2688"/>
      <c r="MX29" s="4">
        <f t="shared" si="58"/>
        <v>193913.40357596439</v>
      </c>
      <c r="MY29" s="5">
        <f t="shared" si="59"/>
        <v>171960.05785017915</v>
      </c>
      <c r="MZ29" s="5">
        <f t="shared" si="60"/>
        <v>22406.028559023402</v>
      </c>
      <c r="NA29" s="15">
        <f t="shared" si="61"/>
        <v>422737.06855850993</v>
      </c>
      <c r="NB29" s="2621"/>
      <c r="NC29" s="23">
        <f t="shared" si="123"/>
        <v>103765.3108674695</v>
      </c>
      <c r="ND29" s="1579">
        <f t="shared" si="124"/>
        <v>90148.092708494878</v>
      </c>
      <c r="NE29" s="60">
        <f t="shared" si="64"/>
        <v>0</v>
      </c>
      <c r="NF29" s="1042">
        <f t="shared" si="4"/>
        <v>193913.40357596439</v>
      </c>
      <c r="NG29" s="4">
        <f t="shared" si="128"/>
        <v>0</v>
      </c>
      <c r="NH29" s="5">
        <f t="shared" si="128"/>
        <v>0</v>
      </c>
      <c r="NI29" s="27">
        <f t="shared" si="128"/>
        <v>0</v>
      </c>
      <c r="NJ29" s="5">
        <f t="shared" si="128"/>
        <v>0</v>
      </c>
      <c r="NK29" s="5">
        <f t="shared" si="128"/>
        <v>0</v>
      </c>
      <c r="NL29" s="12">
        <f t="shared" si="128"/>
        <v>0</v>
      </c>
      <c r="NM29" s="27">
        <f t="shared" si="128"/>
        <v>0</v>
      </c>
      <c r="NN29" s="9">
        <f t="shared" si="128"/>
        <v>0</v>
      </c>
      <c r="NO29" s="24">
        <f t="shared" si="111"/>
        <v>7568.3342192005612</v>
      </c>
      <c r="NP29" s="5">
        <f t="shared" si="128"/>
        <v>26196.696072681989</v>
      </c>
      <c r="NQ29" s="24">
        <f t="shared" si="112"/>
        <v>8756.5482322711578</v>
      </c>
      <c r="NR29" s="24">
        <f t="shared" si="113"/>
        <v>7996.4448469876015</v>
      </c>
      <c r="NS29" s="5">
        <f t="shared" si="0"/>
        <v>50518.023371141309</v>
      </c>
      <c r="NT29" s="27">
        <f t="shared" si="129"/>
        <v>0</v>
      </c>
      <c r="NU29" s="5">
        <f t="shared" si="129"/>
        <v>0</v>
      </c>
      <c r="NV29" s="27">
        <f t="shared" si="129"/>
        <v>0</v>
      </c>
      <c r="NW29" s="5">
        <f t="shared" si="129"/>
        <v>0</v>
      </c>
      <c r="NX29" s="5">
        <f t="shared" si="129"/>
        <v>0</v>
      </c>
      <c r="NY29" s="5">
        <f t="shared" si="129"/>
        <v>0</v>
      </c>
      <c r="NZ29" s="27">
        <f t="shared" si="129"/>
        <v>7035.7603682352474</v>
      </c>
      <c r="OA29" s="5">
        <f t="shared" si="129"/>
        <v>0</v>
      </c>
      <c r="OB29" s="27">
        <f t="shared" si="129"/>
        <v>84326.617327968022</v>
      </c>
      <c r="OC29" s="27"/>
      <c r="OD29" s="24">
        <f t="shared" si="132"/>
        <v>454.51223506073143</v>
      </c>
      <c r="OE29" s="5">
        <f t="shared" si="127"/>
        <v>0</v>
      </c>
      <c r="OF29" s="15">
        <f t="shared" si="1"/>
        <v>91816.889931263999</v>
      </c>
      <c r="OG29" s="27">
        <f t="shared" si="131"/>
        <v>0</v>
      </c>
      <c r="OH29" s="5">
        <f t="shared" si="131"/>
        <v>0</v>
      </c>
      <c r="OI29" s="5">
        <f t="shared" si="131"/>
        <v>0</v>
      </c>
      <c r="OJ29" s="5">
        <f t="shared" si="131"/>
        <v>0</v>
      </c>
      <c r="OK29" s="27">
        <f t="shared" si="131"/>
        <v>0</v>
      </c>
      <c r="OL29" s="5">
        <f t="shared" si="131"/>
        <v>0</v>
      </c>
      <c r="OM29" s="24">
        <f t="shared" si="131"/>
        <v>0</v>
      </c>
      <c r="ON29" s="5">
        <f t="shared" si="131"/>
        <v>0</v>
      </c>
      <c r="OO29" s="24">
        <f t="shared" si="118"/>
        <v>23534.424547773833</v>
      </c>
      <c r="OP29" s="5">
        <f t="shared" si="131"/>
        <v>0</v>
      </c>
      <c r="OQ29" s="24">
        <f t="shared" si="131"/>
        <v>6090.72</v>
      </c>
      <c r="OR29" s="5">
        <f t="shared" si="131"/>
        <v>0</v>
      </c>
      <c r="OS29" s="15">
        <f t="shared" si="2"/>
        <v>29625.144547773834</v>
      </c>
      <c r="OT29" s="9"/>
      <c r="OU29" s="5"/>
      <c r="OV29" s="5"/>
      <c r="OW29" s="5"/>
      <c r="OX29" s="5"/>
      <c r="OY29" s="5"/>
      <c r="OZ29" s="15">
        <f t="shared" si="69"/>
        <v>0</v>
      </c>
      <c r="PA29" s="9">
        <f t="shared" si="70"/>
        <v>0</v>
      </c>
      <c r="PB29" s="5">
        <f t="shared" si="71"/>
        <v>0</v>
      </c>
      <c r="PC29" s="5">
        <f t="shared" si="72"/>
        <v>0</v>
      </c>
      <c r="PD29" s="5">
        <f t="shared" si="73"/>
        <v>0</v>
      </c>
      <c r="PE29" s="24"/>
      <c r="PF29" s="5">
        <f t="shared" si="74"/>
        <v>0</v>
      </c>
      <c r="PG29" s="12">
        <f t="shared" si="3"/>
        <v>0</v>
      </c>
      <c r="PH29" s="2621"/>
      <c r="PJ29" s="1907">
        <v>882.68000000000006</v>
      </c>
      <c r="PK29" s="3">
        <v>675</v>
      </c>
      <c r="PL29" s="3">
        <v>225</v>
      </c>
      <c r="PM29" s="3">
        <v>0</v>
      </c>
      <c r="PN29" s="3">
        <v>33642.84977658069</v>
      </c>
      <c r="PO29" s="11">
        <f t="shared" si="75"/>
        <v>22406.028559023402</v>
      </c>
      <c r="PP29" s="15"/>
      <c r="PQ29" s="2615"/>
      <c r="PS29" s="4"/>
      <c r="PT29" s="9"/>
      <c r="PU29" s="9"/>
      <c r="PV29" s="9"/>
      <c r="PW29" s="8">
        <v>0</v>
      </c>
      <c r="PX29" s="9"/>
      <c r="PY29" s="8">
        <f t="shared" si="76"/>
        <v>0</v>
      </c>
      <c r="PZ29" s="5">
        <f t="shared" si="77"/>
        <v>882.68000000000006</v>
      </c>
      <c r="QA29" s="5"/>
      <c r="QB29" s="5"/>
      <c r="QC29" s="5"/>
      <c r="QD29" s="5"/>
      <c r="QE29" s="5"/>
      <c r="QF29" s="12"/>
      <c r="QG29" s="12">
        <f t="shared" si="78"/>
        <v>29562.488999999998</v>
      </c>
      <c r="QH29" s="420">
        <f t="shared" si="79"/>
        <v>391049.83955850994</v>
      </c>
      <c r="QI29" s="1106">
        <f t="shared" si="80"/>
        <v>2124.7399999999998</v>
      </c>
      <c r="QJ29" s="484">
        <f t="shared" si="81"/>
        <v>5505.3678056099998</v>
      </c>
      <c r="QK29" s="12"/>
      <c r="QL29" s="2615"/>
      <c r="QN29" s="139">
        <f t="shared" si="82"/>
        <v>0</v>
      </c>
      <c r="QO29" s="139" t="str">
        <f t="shared" si="83"/>
        <v/>
      </c>
      <c r="QQ29" s="139">
        <f t="shared" si="84"/>
        <v>0</v>
      </c>
      <c r="QR29" s="139">
        <f t="shared" si="85"/>
        <v>0</v>
      </c>
      <c r="QT29" s="1">
        <f t="shared" si="86"/>
        <v>0</v>
      </c>
      <c r="QU29" s="1">
        <f t="shared" si="87"/>
        <v>0</v>
      </c>
      <c r="QV29" s="1">
        <f t="shared" si="88"/>
        <v>0</v>
      </c>
      <c r="QW29" s="1">
        <f t="shared" si="89"/>
        <v>0</v>
      </c>
      <c r="QX29" s="1">
        <f t="shared" si="90"/>
        <v>0</v>
      </c>
      <c r="QY29" s="1">
        <f t="shared" si="91"/>
        <v>0</v>
      </c>
      <c r="RA29" s="1">
        <f t="shared" si="92"/>
        <v>0</v>
      </c>
      <c r="RB29" s="1">
        <f t="shared" si="93"/>
        <v>0</v>
      </c>
      <c r="RC29" s="1">
        <f t="shared" si="94"/>
        <v>0</v>
      </c>
      <c r="RD29" s="1">
        <f t="shared" si="95"/>
        <v>0</v>
      </c>
      <c r="RE29" s="1">
        <f t="shared" si="96"/>
        <v>0</v>
      </c>
      <c r="RF29" s="1">
        <f t="shared" si="97"/>
        <v>0</v>
      </c>
      <c r="RI29" s="1">
        <v>20</v>
      </c>
      <c r="RJ29" s="1">
        <f t="shared" si="125"/>
        <v>65059.3862097171</v>
      </c>
      <c r="RK29" s="1">
        <f t="shared" si="125"/>
        <v>13960.65078048372</v>
      </c>
      <c r="RL29" s="1">
        <f t="shared" si="125"/>
        <v>13404.263703387322</v>
      </c>
      <c r="RM29" s="89">
        <f t="shared" si="5"/>
        <v>92424.300693588142</v>
      </c>
      <c r="RN29" s="1033">
        <v>20</v>
      </c>
      <c r="RO29" s="1098">
        <f t="shared" si="99"/>
        <v>0</v>
      </c>
      <c r="RP29" s="1098">
        <f t="shared" si="100"/>
        <v>0</v>
      </c>
      <c r="RQ29" s="1097">
        <f t="shared" si="100"/>
        <v>0</v>
      </c>
      <c r="RR29" s="1097">
        <f t="shared" si="101"/>
        <v>8657.119999999999</v>
      </c>
      <c r="RS29" s="1109"/>
      <c r="RT29" s="1046" t="s">
        <v>345</v>
      </c>
      <c r="RW29" s="421">
        <v>20</v>
      </c>
      <c r="RX29" s="1095">
        <f t="shared" si="102"/>
        <v>8384.2200000000012</v>
      </c>
      <c r="RY29" s="1050" t="s">
        <v>346</v>
      </c>
      <c r="RZ29" s="1048"/>
      <c r="SA29" s="1090"/>
      <c r="SB29" s="1090">
        <f t="shared" si="103"/>
        <v>0</v>
      </c>
      <c r="SC29" s="1090"/>
      <c r="SD29" s="1090">
        <f t="shared" si="126"/>
        <v>0</v>
      </c>
      <c r="SF29" s="1">
        <v>20</v>
      </c>
      <c r="SG29" s="1">
        <f t="shared" si="105"/>
        <v>0</v>
      </c>
      <c r="SH29" s="1094"/>
    </row>
    <row r="30" spans="1:502" s="1" customFormat="1">
      <c r="B30" s="471">
        <v>21</v>
      </c>
      <c r="C30" s="4">
        <f t="shared" si="6"/>
        <v>152271</v>
      </c>
      <c r="D30" s="1726">
        <f t="shared" si="119"/>
        <v>9786.1</v>
      </c>
      <c r="E30" s="1895">
        <f t="shared" si="7"/>
        <v>15.559926835000663</v>
      </c>
      <c r="F30" s="870"/>
      <c r="G30" s="870"/>
      <c r="H30" s="52">
        <v>2</v>
      </c>
      <c r="I30" s="61">
        <v>1.67</v>
      </c>
      <c r="J30" s="52"/>
      <c r="K30" s="54"/>
      <c r="L30" s="52"/>
      <c r="M30" s="61"/>
      <c r="N30" s="2629"/>
      <c r="O30" s="4">
        <f t="shared" si="117"/>
        <v>96524</v>
      </c>
      <c r="P30" s="1225">
        <f t="shared" si="8"/>
        <v>6296.22</v>
      </c>
      <c r="Q30" s="1913">
        <f t="shared" si="9"/>
        <v>15.330468122143127</v>
      </c>
      <c r="R30" s="33"/>
      <c r="S30" s="26">
        <f t="shared" si="10"/>
        <v>38865</v>
      </c>
      <c r="T30" s="27">
        <f t="shared" si="107"/>
        <v>1729.88</v>
      </c>
      <c r="U30" s="1909">
        <f t="shared" si="11"/>
        <v>22.466876315120121</v>
      </c>
      <c r="V30" s="28"/>
      <c r="W30" s="26">
        <f t="shared" si="12"/>
        <v>16882</v>
      </c>
      <c r="X30" s="5">
        <f t="shared" si="12"/>
        <v>1760</v>
      </c>
      <c r="Y30" s="1909">
        <f t="shared" si="13"/>
        <v>9.5920454545454543</v>
      </c>
      <c r="Z30" s="33"/>
      <c r="AA30" s="26">
        <f t="shared" si="14"/>
        <v>0</v>
      </c>
      <c r="AB30" s="27">
        <f t="shared" si="15"/>
        <v>0</v>
      </c>
      <c r="AC30" s="53">
        <f t="shared" si="16"/>
        <v>0</v>
      </c>
      <c r="AD30" s="28"/>
      <c r="AE30" s="36"/>
      <c r="AF30" s="36"/>
      <c r="AG30" s="53">
        <f t="shared" si="17"/>
        <v>0</v>
      </c>
      <c r="AH30" s="28"/>
      <c r="AI30" s="23"/>
      <c r="AJ30" s="27"/>
      <c r="AK30" s="53">
        <f t="shared" si="18"/>
        <v>0</v>
      </c>
      <c r="AL30" s="28"/>
      <c r="AM30" s="2629"/>
      <c r="AN30" s="9"/>
      <c r="AO30" s="5"/>
      <c r="AP30" s="61">
        <f t="shared" si="19"/>
        <v>0</v>
      </c>
      <c r="AQ30" s="36"/>
      <c r="AR30" s="53"/>
      <c r="AS30" s="61">
        <f t="shared" si="20"/>
        <v>0</v>
      </c>
      <c r="AT30" s="36">
        <v>0</v>
      </c>
      <c r="AU30" s="27"/>
      <c r="AV30" s="54">
        <f t="shared" si="21"/>
        <v>0</v>
      </c>
      <c r="AW30" s="26">
        <v>53508</v>
      </c>
      <c r="AX30" s="27">
        <v>5595.52</v>
      </c>
      <c r="AY30" s="1895">
        <f t="shared" si="115"/>
        <v>9.5626501200960767</v>
      </c>
      <c r="AZ30" s="1908"/>
      <c r="BA30" s="1909"/>
      <c r="BB30" s="1895">
        <f t="shared" si="22"/>
        <v>0</v>
      </c>
      <c r="BC30" s="1740">
        <v>43016</v>
      </c>
      <c r="BD30" s="1926">
        <v>700.7</v>
      </c>
      <c r="BE30" s="1895">
        <f t="shared" si="23"/>
        <v>61.390038532895673</v>
      </c>
      <c r="BF30" s="1908"/>
      <c r="BG30" s="1909"/>
      <c r="BH30" s="1895">
        <f t="shared" si="24"/>
        <v>0</v>
      </c>
      <c r="BI30" s="1908">
        <v>0</v>
      </c>
      <c r="BJ30" s="1909">
        <v>0</v>
      </c>
      <c r="BK30" s="1895">
        <f t="shared" si="25"/>
        <v>0</v>
      </c>
      <c r="BL30" s="1742">
        <v>38865</v>
      </c>
      <c r="BM30" s="1909">
        <v>1729.88</v>
      </c>
      <c r="BN30" s="2170"/>
      <c r="BO30" s="1911">
        <f t="shared" si="26"/>
        <v>22.466876315120121</v>
      </c>
      <c r="BP30" s="9"/>
      <c r="BQ30" s="64"/>
      <c r="BR30" s="482">
        <f t="shared" si="27"/>
        <v>0</v>
      </c>
      <c r="BS30" s="9"/>
      <c r="BT30" s="64"/>
      <c r="BU30" s="482">
        <f t="shared" si="28"/>
        <v>0</v>
      </c>
      <c r="BV30" s="9">
        <v>16882</v>
      </c>
      <c r="BW30" s="27">
        <v>1760</v>
      </c>
      <c r="BX30" s="15">
        <f t="shared" si="29"/>
        <v>9.5920454545454543</v>
      </c>
      <c r="BY30" s="4"/>
      <c r="BZ30" s="5"/>
      <c r="CA30" s="482">
        <f t="shared" si="30"/>
        <v>0</v>
      </c>
      <c r="CB30" s="9"/>
      <c r="CC30" s="5"/>
      <c r="CD30" s="482">
        <f t="shared" si="31"/>
        <v>0</v>
      </c>
      <c r="CE30" s="4"/>
      <c r="CF30" s="5"/>
      <c r="CG30" s="28">
        <f t="shared" si="32"/>
        <v>0</v>
      </c>
      <c r="CH30" s="150"/>
      <c r="CI30" s="1108"/>
      <c r="CJ30" s="5"/>
      <c r="CK30" s="5">
        <v>1690</v>
      </c>
      <c r="CL30" s="5"/>
      <c r="CM30" s="5"/>
      <c r="CN30" s="5"/>
      <c r="CO30" s="33"/>
      <c r="CP30" s="366"/>
      <c r="CR30" s="4">
        <f t="shared" si="33"/>
        <v>0</v>
      </c>
      <c r="CS30" s="9">
        <f t="shared" si="33"/>
        <v>0</v>
      </c>
      <c r="CT30" s="5">
        <f t="shared" si="33"/>
        <v>0</v>
      </c>
      <c r="CU30" s="5">
        <f t="shared" si="33"/>
        <v>0</v>
      </c>
      <c r="CV30" s="5">
        <f t="shared" si="33"/>
        <v>0</v>
      </c>
      <c r="CW30" s="5">
        <f t="shared" si="33"/>
        <v>0</v>
      </c>
      <c r="CX30" s="5">
        <f t="shared" si="33"/>
        <v>2106.2799999999997</v>
      </c>
      <c r="CY30" s="5">
        <f t="shared" si="33"/>
        <v>0</v>
      </c>
      <c r="CZ30" s="5">
        <f t="shared" si="33"/>
        <v>6103.2</v>
      </c>
      <c r="DA30" s="5">
        <f t="shared" si="33"/>
        <v>0</v>
      </c>
      <c r="DB30" s="5">
        <f t="shared" si="33"/>
        <v>1576.62</v>
      </c>
      <c r="DC30" s="12">
        <f t="shared" si="33"/>
        <v>0</v>
      </c>
      <c r="DD30" s="310">
        <f t="shared" si="34"/>
        <v>9786.0999999999985</v>
      </c>
      <c r="DE30" s="2695"/>
      <c r="DF30" s="8"/>
      <c r="DG30" s="9"/>
      <c r="DH30" s="5"/>
      <c r="DI30" s="5"/>
      <c r="DJ30" s="5"/>
      <c r="DK30" s="5"/>
      <c r="DL30" s="3">
        <v>2106.2799999999997</v>
      </c>
      <c r="DM30" s="5"/>
      <c r="DN30" s="3">
        <v>3489.24</v>
      </c>
      <c r="DO30" s="5"/>
      <c r="DP30" s="5"/>
      <c r="DQ30" s="12"/>
      <c r="DR30" s="28">
        <f t="shared" si="35"/>
        <v>5595.5199999999995</v>
      </c>
      <c r="DS30" s="36"/>
      <c r="DT30" s="9"/>
      <c r="DU30" s="5"/>
      <c r="DV30" s="5"/>
      <c r="DW30" s="5"/>
      <c r="DX30" s="5"/>
      <c r="DY30" s="27"/>
      <c r="DZ30" s="27"/>
      <c r="EA30" s="3">
        <v>1873.96</v>
      </c>
      <c r="EB30" s="27"/>
      <c r="EC30" s="24">
        <v>556.62</v>
      </c>
      <c r="ED30" s="33"/>
      <c r="EE30" s="28">
        <f t="shared" si="36"/>
        <v>2430.58</v>
      </c>
      <c r="EF30" s="9"/>
      <c r="EG30" s="36"/>
      <c r="EH30" s="27"/>
      <c r="EI30" s="27"/>
      <c r="EJ30" s="27"/>
      <c r="EK30" s="27"/>
      <c r="EL30" s="27"/>
      <c r="EM30" s="27"/>
      <c r="EN30" s="5">
        <v>740</v>
      </c>
      <c r="EO30" s="5"/>
      <c r="EP30" s="5">
        <v>1020</v>
      </c>
      <c r="EQ30" s="33"/>
      <c r="ER30" s="28">
        <f t="shared" si="37"/>
        <v>1760</v>
      </c>
      <c r="ES30" s="36"/>
      <c r="ET30" s="27"/>
      <c r="EU30" s="27"/>
      <c r="EV30" s="27"/>
      <c r="EW30" s="27"/>
      <c r="EX30" s="27"/>
      <c r="EY30" s="33">
        <f t="shared" si="38"/>
        <v>0</v>
      </c>
      <c r="EZ30" s="2685"/>
      <c r="FB30" s="4">
        <f t="shared" si="39"/>
        <v>0</v>
      </c>
      <c r="FC30" s="5">
        <f t="shared" si="40"/>
        <v>0</v>
      </c>
      <c r="FD30" s="5">
        <f t="shared" si="41"/>
        <v>0</v>
      </c>
      <c r="FE30" s="12">
        <f t="shared" si="42"/>
        <v>0</v>
      </c>
      <c r="FF30" s="33"/>
      <c r="FG30" s="2674"/>
      <c r="FH30" s="9"/>
      <c r="FI30" s="5"/>
      <c r="FJ30" s="5"/>
      <c r="FK30" s="5"/>
      <c r="FL30" s="5"/>
      <c r="FM30" s="27"/>
      <c r="FN30" s="28">
        <f t="shared" si="43"/>
        <v>0</v>
      </c>
      <c r="FO30" s="36"/>
      <c r="FP30" s="27"/>
      <c r="FQ30" s="27"/>
      <c r="FR30" s="27"/>
      <c r="FS30" s="27"/>
      <c r="FT30" s="27"/>
      <c r="FU30" s="28">
        <f t="shared" si="44"/>
        <v>0</v>
      </c>
      <c r="FV30" s="36"/>
      <c r="FW30" s="36"/>
      <c r="FX30" s="27"/>
      <c r="FY30" s="27"/>
      <c r="FZ30" s="27"/>
      <c r="GA30" s="27"/>
      <c r="GB30" s="27"/>
      <c r="GC30" s="27"/>
      <c r="GD30" s="27"/>
      <c r="GE30" s="27"/>
      <c r="GF30" s="27"/>
      <c r="GG30" s="33"/>
      <c r="GH30" s="33">
        <f t="shared" si="45"/>
        <v>0</v>
      </c>
      <c r="GI30" s="2674"/>
      <c r="GK30" s="2">
        <f t="shared" si="108"/>
        <v>377.3</v>
      </c>
      <c r="GL30" s="63">
        <f t="shared" si="109"/>
        <v>8475.81</v>
      </c>
      <c r="GM30" s="24">
        <f t="shared" si="110"/>
        <v>1073.02</v>
      </c>
      <c r="GN30" s="1736">
        <f t="shared" si="46"/>
        <v>9926.1299999999992</v>
      </c>
      <c r="GO30" s="141"/>
      <c r="GP30" s="141"/>
      <c r="GQ30" s="33"/>
      <c r="GR30" s="2667"/>
      <c r="GS30" s="1739">
        <v>0</v>
      </c>
      <c r="GT30" s="1721">
        <v>377.3</v>
      </c>
      <c r="GU30" s="1721">
        <v>4621.5</v>
      </c>
      <c r="GV30" s="1721">
        <v>4927.33</v>
      </c>
      <c r="GW30" s="33">
        <f t="shared" si="47"/>
        <v>9926.130000000001</v>
      </c>
      <c r="GX30" s="2667"/>
      <c r="GY30" s="36"/>
      <c r="GZ30" s="36"/>
      <c r="HA30" s="27"/>
      <c r="HB30" s="27"/>
      <c r="HC30" s="27"/>
      <c r="HD30" s="27"/>
      <c r="HE30" s="27"/>
      <c r="HF30" s="27"/>
      <c r="HG30" s="24">
        <v>0</v>
      </c>
      <c r="HH30" s="27"/>
      <c r="HI30" s="24">
        <v>0</v>
      </c>
      <c r="HJ30" s="27"/>
      <c r="HK30" s="24">
        <v>377.3</v>
      </c>
      <c r="HL30" s="27"/>
      <c r="HM30" s="28">
        <f t="shared" si="120"/>
        <v>377.3</v>
      </c>
      <c r="HN30" s="36"/>
      <c r="HO30" s="27"/>
      <c r="HP30" s="27"/>
      <c r="HQ30" s="27"/>
      <c r="HR30" s="27"/>
      <c r="HS30" s="27"/>
      <c r="HT30" s="27" cm="1">
        <f t="array" ref="HT30">SUMPRODUCT(('Data Base hauling'!$C$2:$C$216="TCM-ROM SB1 BK05-ROM 4")*(ISNUMBER(SEARCH(TEXT('June TCM'!$B30,"00")&amp;"/03/2026",'Data Base hauling'!$E$2:$E$216)))*'Data Base hauling'!$N$2:$N$216)</f>
        <v>0</v>
      </c>
      <c r="HU30" s="27"/>
      <c r="HV30" s="27" cm="1">
        <f t="array" ref="HV30">SUMPRODUCT(('Data Base hauling'!$C$2:$C$216="TCM-ROM SB1 BK05-ROM 5")*(ISNUMBER(SEARCH(TEXT('June TCM'!$B30,"00")&amp;"/03/2026",'Data Base hauling'!$E$2:$E$216)))*'Data Base hauling'!$N$2:$N$216)</f>
        <v>0</v>
      </c>
      <c r="HW30" s="27"/>
      <c r="HX30" s="27"/>
      <c r="HY30" s="27"/>
      <c r="HZ30" s="27"/>
      <c r="IA30" s="27"/>
      <c r="IB30" s="33">
        <f t="shared" si="49"/>
        <v>0</v>
      </c>
      <c r="IC30" s="52"/>
      <c r="ID30" s="152"/>
      <c r="IE30" s="53"/>
      <c r="IF30" s="53"/>
      <c r="IG30" s="53"/>
      <c r="IH30" s="53"/>
      <c r="II30" s="1926">
        <v>2886.85</v>
      </c>
      <c r="IJ30" s="1736"/>
      <c r="IK30" s="1926">
        <v>5588.9599999999991</v>
      </c>
      <c r="IL30" s="53"/>
      <c r="IM30" s="49">
        <v>0</v>
      </c>
      <c r="IN30" s="53"/>
      <c r="IO30" s="53"/>
      <c r="IP30" s="49">
        <f>SUMPRODUCT(('Data Base hauling'!$C$2:$C$216="TCM-HAC1 (Production)-ROM 2(HAC)")*(ISNUMBER(SEARCH(TEXT('June TCM'!$B30,"00")&amp;"/06/2026",'Data Base hauling'!$E$2:$E$216)))*'Data Base hauling'!$N$2:$N$216)</f>
        <v>0</v>
      </c>
      <c r="IQ30" s="2195">
        <f t="shared" si="121"/>
        <v>8475.81</v>
      </c>
      <c r="IR30" s="36"/>
      <c r="IS30" s="36"/>
      <c r="IT30" s="27"/>
      <c r="IU30" s="27"/>
      <c r="IV30" s="53"/>
      <c r="IW30" s="27"/>
      <c r="IX30" s="24">
        <v>0</v>
      </c>
      <c r="IY30" s="27"/>
      <c r="IZ30" s="24">
        <v>135.05000000000001</v>
      </c>
      <c r="JA30" s="27"/>
      <c r="JB30" s="24">
        <v>937.97</v>
      </c>
      <c r="JC30" s="27"/>
      <c r="JD30" s="27"/>
      <c r="JE30" s="27"/>
      <c r="JF30" s="33">
        <f t="shared" si="122"/>
        <v>1073.02</v>
      </c>
      <c r="JG30" s="2667"/>
      <c r="JI30" s="2014">
        <v>0</v>
      </c>
      <c r="JJ30" s="2015">
        <v>9926.130000000001</v>
      </c>
      <c r="JK30" s="53"/>
      <c r="JL30" s="53">
        <f t="shared" si="52"/>
        <v>9926.130000000001</v>
      </c>
      <c r="JM30" s="33"/>
      <c r="JN30" s="2669"/>
      <c r="JO30" s="66" t="s">
        <v>296</v>
      </c>
      <c r="JP30" s="67" t="s">
        <v>296</v>
      </c>
      <c r="JQ30" s="67" t="s">
        <v>296</v>
      </c>
      <c r="JR30" s="67" t="s">
        <v>296</v>
      </c>
      <c r="JS30" s="67" t="s">
        <v>296</v>
      </c>
      <c r="JT30" s="67" t="s">
        <v>296</v>
      </c>
      <c r="JU30" s="67" t="s">
        <v>296</v>
      </c>
      <c r="JV30" s="1921">
        <v>0</v>
      </c>
      <c r="JW30" s="66">
        <v>0</v>
      </c>
      <c r="JX30" s="67">
        <v>0</v>
      </c>
      <c r="JY30" s="67">
        <v>0</v>
      </c>
      <c r="JZ30" s="67">
        <v>0.29083338622403693</v>
      </c>
      <c r="KA30" s="67">
        <v>0.57666079327995901</v>
      </c>
      <c r="KB30" s="67">
        <v>9.4495034822231816E-2</v>
      </c>
      <c r="KC30" s="67">
        <v>3.8010785673772154E-2</v>
      </c>
      <c r="KD30" s="68">
        <v>0</v>
      </c>
      <c r="KE30" s="69"/>
      <c r="KF30" s="70"/>
      <c r="KG30" s="70"/>
      <c r="KH30" s="70"/>
      <c r="KI30" s="70"/>
      <c r="KJ30" s="70"/>
      <c r="KK30" s="70"/>
      <c r="KL30" s="70"/>
      <c r="KM30" s="33"/>
      <c r="KN30" s="2669"/>
      <c r="KO30" s="2203">
        <v>0</v>
      </c>
      <c r="KP30" s="1721">
        <v>0</v>
      </c>
      <c r="KQ30" s="1721">
        <v>0</v>
      </c>
      <c r="KR30" s="1721">
        <v>0</v>
      </c>
      <c r="KS30" s="1722">
        <v>0</v>
      </c>
      <c r="KT30" s="1958">
        <v>7070.6564605021431</v>
      </c>
      <c r="KU30" s="1961">
        <v>1.8982731169626452</v>
      </c>
      <c r="KV30" s="1961">
        <v>3.0572280057154524</v>
      </c>
      <c r="KW30" s="1961">
        <v>6.894486629924474</v>
      </c>
      <c r="KX30" s="1962">
        <v>10.365170442947541</v>
      </c>
      <c r="KY30" s="36"/>
      <c r="KZ30" s="53"/>
      <c r="LA30" s="53"/>
      <c r="LB30" s="53"/>
      <c r="LC30" s="53"/>
      <c r="LD30" s="33"/>
      <c r="LE30" s="2669"/>
      <c r="LG30" s="4">
        <f t="shared" si="53"/>
        <v>16494.309999999998</v>
      </c>
      <c r="LH30" s="27">
        <f t="shared" si="53"/>
        <v>0</v>
      </c>
      <c r="LI30" s="27">
        <f t="shared" si="53"/>
        <v>0</v>
      </c>
      <c r="LJ30" s="28">
        <f t="shared" si="54"/>
        <v>16494.309999999998</v>
      </c>
      <c r="LK30" s="36">
        <v>2</v>
      </c>
      <c r="LL30" s="27"/>
      <c r="LM30" s="27">
        <v>7</v>
      </c>
      <c r="LN30" s="33"/>
      <c r="LO30" s="1041">
        <v>7.42</v>
      </c>
      <c r="LP30" s="486"/>
      <c r="LQ30" s="2688"/>
      <c r="LR30" s="2269">
        <v>16494.309999999998</v>
      </c>
      <c r="LS30" s="2269"/>
      <c r="LT30" s="27"/>
      <c r="LU30" s="27"/>
      <c r="LV30" s="27"/>
      <c r="LW30" s="1107">
        <f t="shared" si="55"/>
        <v>16494.309999999998</v>
      </c>
      <c r="LX30" s="2269"/>
      <c r="LY30" s="2269"/>
      <c r="LZ30" s="27"/>
      <c r="MA30" s="27"/>
      <c r="MB30" s="33"/>
      <c r="MC30" s="28">
        <f t="shared" si="56"/>
        <v>0</v>
      </c>
      <c r="MD30" s="26"/>
      <c r="ME30" s="36"/>
      <c r="MF30" s="27"/>
      <c r="MG30" s="27"/>
      <c r="MH30" s="27"/>
      <c r="MI30" s="28"/>
      <c r="MJ30" s="36"/>
      <c r="MK30" s="36"/>
      <c r="ML30" s="27"/>
      <c r="MM30" s="27"/>
      <c r="MN30" s="27"/>
      <c r="MO30" s="28"/>
      <c r="MP30" s="36"/>
      <c r="MQ30" s="36"/>
      <c r="MR30" s="27"/>
      <c r="MS30" s="27"/>
      <c r="MT30" s="27"/>
      <c r="MU30" s="33">
        <f t="shared" si="57"/>
        <v>0</v>
      </c>
      <c r="MV30" s="2688"/>
      <c r="MX30" s="26">
        <f t="shared" si="58"/>
        <v>208591.60004856001</v>
      </c>
      <c r="MY30" s="27">
        <f t="shared" si="59"/>
        <v>172197.32785017916</v>
      </c>
      <c r="MZ30" s="27">
        <f t="shared" si="60"/>
        <v>22308.728559023402</v>
      </c>
      <c r="NA30" s="28">
        <f t="shared" si="61"/>
        <v>421150.50855850993</v>
      </c>
      <c r="NB30" s="2621"/>
      <c r="NC30" s="23">
        <v>111113.22851155</v>
      </c>
      <c r="ND30" s="1579">
        <v>97478.371537010011</v>
      </c>
      <c r="NE30" s="60">
        <f t="shared" si="64"/>
        <v>0</v>
      </c>
      <c r="NF30" s="275">
        <f t="shared" si="4"/>
        <v>208591.60004856001</v>
      </c>
      <c r="NG30" s="26">
        <f t="shared" si="128"/>
        <v>0</v>
      </c>
      <c r="NH30" s="27">
        <f t="shared" si="128"/>
        <v>0</v>
      </c>
      <c r="NI30" s="27">
        <f t="shared" si="128"/>
        <v>0</v>
      </c>
      <c r="NJ30" s="27">
        <v>0</v>
      </c>
      <c r="NK30" s="27">
        <f t="shared" si="128"/>
        <v>0</v>
      </c>
      <c r="NL30" s="33">
        <f t="shared" si="128"/>
        <v>0</v>
      </c>
      <c r="NM30" s="27">
        <f t="shared" si="128"/>
        <v>0</v>
      </c>
      <c r="NN30" s="36">
        <f t="shared" si="128"/>
        <v>0</v>
      </c>
      <c r="NO30" s="24">
        <f t="shared" si="111"/>
        <v>8308.3342192005621</v>
      </c>
      <c r="NP30" s="27">
        <f t="shared" si="128"/>
        <v>26196.696072681989</v>
      </c>
      <c r="NQ30" s="24">
        <f t="shared" si="112"/>
        <v>8756.5482322711578</v>
      </c>
      <c r="NR30" s="24">
        <f t="shared" si="113"/>
        <v>9016.4448469876006</v>
      </c>
      <c r="NS30" s="27">
        <f t="shared" si="0"/>
        <v>52278.023371141309</v>
      </c>
      <c r="NT30" s="27">
        <f t="shared" si="129"/>
        <v>0</v>
      </c>
      <c r="NU30" s="27">
        <f t="shared" si="129"/>
        <v>0</v>
      </c>
      <c r="NV30" s="27">
        <f t="shared" si="129"/>
        <v>0</v>
      </c>
      <c r="NW30" s="27">
        <f t="shared" si="129"/>
        <v>0</v>
      </c>
      <c r="NX30" s="27">
        <f t="shared" si="129"/>
        <v>0</v>
      </c>
      <c r="NY30" s="5">
        <f t="shared" si="129"/>
        <v>0</v>
      </c>
      <c r="NZ30" s="27">
        <f t="shared" si="129"/>
        <v>6255.1903682352477</v>
      </c>
      <c r="OA30" s="27">
        <f t="shared" si="129"/>
        <v>0</v>
      </c>
      <c r="OB30" s="27">
        <f t="shared" si="129"/>
        <v>82226.897327968036</v>
      </c>
      <c r="OC30" s="27"/>
      <c r="OD30" s="24">
        <f t="shared" si="132"/>
        <v>454.51223506073143</v>
      </c>
      <c r="OE30" s="27">
        <f t="shared" si="127"/>
        <v>0</v>
      </c>
      <c r="OF30" s="28">
        <f t="shared" si="1"/>
        <v>88936.599931264005</v>
      </c>
      <c r="OG30" s="27">
        <f t="shared" si="131"/>
        <v>0</v>
      </c>
      <c r="OH30" s="27">
        <f t="shared" si="131"/>
        <v>0</v>
      </c>
      <c r="OI30" s="27">
        <f t="shared" si="131"/>
        <v>0</v>
      </c>
      <c r="OJ30" s="27">
        <f t="shared" si="131"/>
        <v>0</v>
      </c>
      <c r="OK30" s="27">
        <f t="shared" si="131"/>
        <v>0</v>
      </c>
      <c r="OL30" s="27">
        <f t="shared" si="131"/>
        <v>0</v>
      </c>
      <c r="OM30" s="24">
        <f t="shared" si="131"/>
        <v>0</v>
      </c>
      <c r="ON30" s="27">
        <f t="shared" si="131"/>
        <v>0</v>
      </c>
      <c r="OO30" s="24">
        <f t="shared" si="118"/>
        <v>25273.334547773833</v>
      </c>
      <c r="OP30" s="27">
        <f t="shared" si="131"/>
        <v>0</v>
      </c>
      <c r="OQ30" s="24">
        <f t="shared" si="131"/>
        <v>5709.37</v>
      </c>
      <c r="OR30" s="27">
        <f t="shared" si="131"/>
        <v>0</v>
      </c>
      <c r="OS30" s="28">
        <f t="shared" si="2"/>
        <v>30982.704547773832</v>
      </c>
      <c r="OT30" s="36"/>
      <c r="OU30" s="27"/>
      <c r="OV30" s="27"/>
      <c r="OW30" s="27"/>
      <c r="OX30" s="27"/>
      <c r="OY30" s="27"/>
      <c r="OZ30" s="28">
        <f t="shared" si="69"/>
        <v>0</v>
      </c>
      <c r="PA30" s="36">
        <f t="shared" si="70"/>
        <v>0</v>
      </c>
      <c r="PB30" s="27">
        <f t="shared" si="71"/>
        <v>0</v>
      </c>
      <c r="PC30" s="27">
        <f t="shared" si="72"/>
        <v>0</v>
      </c>
      <c r="PD30" s="27">
        <f t="shared" si="73"/>
        <v>0</v>
      </c>
      <c r="PE30" s="24"/>
      <c r="PF30" s="27">
        <f t="shared" si="74"/>
        <v>0</v>
      </c>
      <c r="PG30" s="33">
        <f t="shared" si="3"/>
        <v>0</v>
      </c>
      <c r="PH30" s="2621"/>
      <c r="PJ30" s="1907">
        <v>1586.56</v>
      </c>
      <c r="PK30" s="3">
        <v>840</v>
      </c>
      <c r="PL30" s="3">
        <v>280</v>
      </c>
      <c r="PM30" s="3">
        <v>377.3</v>
      </c>
      <c r="PN30" s="3">
        <v>34389.409776580687</v>
      </c>
      <c r="PO30" s="11">
        <f t="shared" si="75"/>
        <v>22308.728559023402</v>
      </c>
      <c r="PP30" s="15"/>
      <c r="PQ30" s="2615"/>
      <c r="PS30" s="4"/>
      <c r="PT30" s="9"/>
      <c r="PU30" s="9"/>
      <c r="PV30" s="9"/>
      <c r="PW30" s="8">
        <v>0</v>
      </c>
      <c r="PX30" s="9"/>
      <c r="PY30" s="8">
        <f t="shared" si="76"/>
        <v>0</v>
      </c>
      <c r="PZ30" s="5">
        <f t="shared" si="77"/>
        <v>1586.56</v>
      </c>
      <c r="QA30" s="5"/>
      <c r="QB30" s="5"/>
      <c r="QC30" s="5"/>
      <c r="QD30" s="5"/>
      <c r="QE30" s="5"/>
      <c r="QF30" s="12"/>
      <c r="QG30" s="12">
        <f t="shared" si="78"/>
        <v>29562.488999999998</v>
      </c>
      <c r="QH30" s="420">
        <f t="shared" si="79"/>
        <v>389463.27955850994</v>
      </c>
      <c r="QI30" s="1106">
        <f t="shared" si="80"/>
        <v>2124.7399999999998</v>
      </c>
      <c r="QJ30" s="484">
        <f t="shared" si="81"/>
        <v>5505.3678056099998</v>
      </c>
      <c r="QK30" s="12"/>
      <c r="QL30" s="2615"/>
      <c r="QN30" s="139" t="str">
        <f t="shared" si="82"/>
        <v/>
      </c>
      <c r="QO30" s="139" t="str">
        <f t="shared" si="83"/>
        <v/>
      </c>
      <c r="QQ30" s="139">
        <f t="shared" si="84"/>
        <v>0</v>
      </c>
      <c r="QR30" s="139">
        <f t="shared" si="85"/>
        <v>0</v>
      </c>
      <c r="QT30" s="1">
        <f t="shared" si="86"/>
        <v>0</v>
      </c>
      <c r="QU30" s="1">
        <f t="shared" si="87"/>
        <v>0</v>
      </c>
      <c r="QV30" s="1">
        <f t="shared" si="88"/>
        <v>0</v>
      </c>
      <c r="QW30" s="1">
        <f t="shared" si="89"/>
        <v>0</v>
      </c>
      <c r="QX30" s="1">
        <f t="shared" si="90"/>
        <v>0</v>
      </c>
      <c r="QY30" s="1">
        <f t="shared" si="91"/>
        <v>0</v>
      </c>
      <c r="RA30" s="1">
        <f t="shared" si="92"/>
        <v>0</v>
      </c>
      <c r="RB30" s="1">
        <f t="shared" si="93"/>
        <v>0</v>
      </c>
      <c r="RC30" s="1">
        <f t="shared" si="94"/>
        <v>0</v>
      </c>
      <c r="RD30" s="1">
        <f t="shared" si="95"/>
        <v>0</v>
      </c>
      <c r="RE30" s="1">
        <f t="shared" si="96"/>
        <v>0</v>
      </c>
      <c r="RF30" s="1">
        <f t="shared" si="97"/>
        <v>0</v>
      </c>
      <c r="RI30" s="1">
        <v>21</v>
      </c>
      <c r="RJ30" s="1">
        <f t="shared" si="125"/>
        <v>48565.076209717103</v>
      </c>
      <c r="RK30" s="1">
        <f t="shared" si="125"/>
        <v>23886.780780483721</v>
      </c>
      <c r="RL30" s="1">
        <f t="shared" si="125"/>
        <v>13404.263703387322</v>
      </c>
      <c r="RM30" s="89">
        <f t="shared" si="5"/>
        <v>85856.120693588135</v>
      </c>
      <c r="RN30" s="1033">
        <v>21</v>
      </c>
      <c r="RO30" s="1098">
        <f t="shared" si="99"/>
        <v>0</v>
      </c>
      <c r="RP30" s="1098">
        <f t="shared" si="100"/>
        <v>0</v>
      </c>
      <c r="RQ30" s="1097">
        <f t="shared" si="100"/>
        <v>0</v>
      </c>
      <c r="RR30" s="1097">
        <f t="shared" si="101"/>
        <v>8026.1</v>
      </c>
      <c r="RS30" s="1109"/>
      <c r="RT30" s="1050" t="s">
        <v>347</v>
      </c>
      <c r="RU30" s="1048"/>
      <c r="RW30" s="421">
        <v>21</v>
      </c>
      <c r="RX30" s="1095">
        <f t="shared" si="102"/>
        <v>9926.130000000001</v>
      </c>
      <c r="RY30" s="1050" t="s">
        <v>348</v>
      </c>
      <c r="SA30" s="1090"/>
      <c r="SB30" s="1090">
        <f t="shared" si="103"/>
        <v>0</v>
      </c>
      <c r="SC30" s="1090"/>
      <c r="SD30" s="1090">
        <f t="shared" si="126"/>
        <v>0</v>
      </c>
      <c r="SF30" s="1">
        <v>21</v>
      </c>
      <c r="SG30" s="1">
        <f t="shared" si="105"/>
        <v>377.3</v>
      </c>
      <c r="SH30" s="1094" t="s">
        <v>349</v>
      </c>
    </row>
    <row r="31" spans="1:502" s="1" customFormat="1">
      <c r="B31" s="471">
        <v>22</v>
      </c>
      <c r="C31" s="4">
        <f t="shared" si="6"/>
        <v>116477</v>
      </c>
      <c r="D31" s="1726">
        <f t="shared" si="119"/>
        <v>8489.2000000000007</v>
      </c>
      <c r="E31" s="1895">
        <f t="shared" si="7"/>
        <v>13.720609715874286</v>
      </c>
      <c r="F31" s="870"/>
      <c r="G31" s="870"/>
      <c r="H31" s="52">
        <v>80</v>
      </c>
      <c r="I31" s="61">
        <v>12</v>
      </c>
      <c r="J31" s="52"/>
      <c r="K31" s="54"/>
      <c r="L31" s="52">
        <v>17</v>
      </c>
      <c r="M31" s="61">
        <v>5.58</v>
      </c>
      <c r="N31" s="2629"/>
      <c r="O31" s="4">
        <f t="shared" si="117"/>
        <v>87058</v>
      </c>
      <c r="P31" s="1225">
        <f t="shared" si="8"/>
        <v>5483.8600000000006</v>
      </c>
      <c r="Q31" s="1913">
        <f t="shared" si="9"/>
        <v>15.875314103569382</v>
      </c>
      <c r="R31" s="33"/>
      <c r="S31" s="26">
        <f t="shared" si="10"/>
        <v>20027</v>
      </c>
      <c r="T31" s="27">
        <f t="shared" si="107"/>
        <v>1405.34</v>
      </c>
      <c r="U31" s="1909">
        <f t="shared" si="11"/>
        <v>14.250643972277173</v>
      </c>
      <c r="V31" s="28"/>
      <c r="W31" s="26">
        <f t="shared" si="12"/>
        <v>9392</v>
      </c>
      <c r="X31" s="5">
        <f t="shared" si="12"/>
        <v>1600</v>
      </c>
      <c r="Y31" s="1909">
        <f t="shared" si="13"/>
        <v>5.87</v>
      </c>
      <c r="Z31" s="33"/>
      <c r="AA31" s="26">
        <f t="shared" si="14"/>
        <v>0</v>
      </c>
      <c r="AB31" s="27">
        <f t="shared" si="15"/>
        <v>0</v>
      </c>
      <c r="AC31" s="53">
        <f t="shared" si="16"/>
        <v>0</v>
      </c>
      <c r="AD31" s="28"/>
      <c r="AE31" s="36"/>
      <c r="AF31" s="36"/>
      <c r="AG31" s="53">
        <f t="shared" si="17"/>
        <v>0</v>
      </c>
      <c r="AH31" s="28"/>
      <c r="AI31" s="26"/>
      <c r="AJ31" s="27"/>
      <c r="AK31" s="53">
        <f t="shared" si="18"/>
        <v>0</v>
      </c>
      <c r="AL31" s="28"/>
      <c r="AM31" s="2629"/>
      <c r="AN31" s="9"/>
      <c r="AO31" s="5"/>
      <c r="AP31" s="61">
        <f t="shared" si="19"/>
        <v>0</v>
      </c>
      <c r="AQ31" s="36"/>
      <c r="AR31" s="53"/>
      <c r="AS31" s="61">
        <f t="shared" si="20"/>
        <v>0</v>
      </c>
      <c r="AT31" s="36">
        <v>0</v>
      </c>
      <c r="AU31" s="27"/>
      <c r="AV31" s="54">
        <f t="shared" si="21"/>
        <v>0</v>
      </c>
      <c r="AW31" s="26">
        <v>53340</v>
      </c>
      <c r="AX31" s="27">
        <v>3546.0800000000004</v>
      </c>
      <c r="AY31" s="1895">
        <f t="shared" si="115"/>
        <v>15.041961828272344</v>
      </c>
      <c r="AZ31" s="1908"/>
      <c r="BA31" s="1909"/>
      <c r="BB31" s="1895">
        <f t="shared" si="22"/>
        <v>0</v>
      </c>
      <c r="BC31" s="1740">
        <v>33718</v>
      </c>
      <c r="BD31" s="1926">
        <v>1937.7800000000002</v>
      </c>
      <c r="BE31" s="1895">
        <f t="shared" si="23"/>
        <v>17.400324082197152</v>
      </c>
      <c r="BF31" s="1908"/>
      <c r="BG31" s="1909"/>
      <c r="BH31" s="1895">
        <f t="shared" si="24"/>
        <v>0</v>
      </c>
      <c r="BI31" s="1908">
        <v>0</v>
      </c>
      <c r="BJ31" s="1909">
        <v>0</v>
      </c>
      <c r="BK31" s="1895">
        <f t="shared" si="25"/>
        <v>0</v>
      </c>
      <c r="BL31" s="1742">
        <v>20027</v>
      </c>
      <c r="BM31" s="1909">
        <v>1405.34</v>
      </c>
      <c r="BN31" s="2170"/>
      <c r="BO31" s="1911">
        <f t="shared" si="26"/>
        <v>14.250643972277173</v>
      </c>
      <c r="BP31" s="9"/>
      <c r="BQ31" s="64"/>
      <c r="BR31" s="482">
        <f t="shared" si="27"/>
        <v>0</v>
      </c>
      <c r="BS31" s="9"/>
      <c r="BT31" s="64"/>
      <c r="BU31" s="482">
        <f t="shared" si="28"/>
        <v>0</v>
      </c>
      <c r="BV31" s="9">
        <v>9392</v>
      </c>
      <c r="BW31" s="27">
        <v>1600</v>
      </c>
      <c r="BX31" s="15">
        <f t="shared" si="29"/>
        <v>5.87</v>
      </c>
      <c r="BY31" s="4"/>
      <c r="BZ31" s="5"/>
      <c r="CA31" s="482">
        <f t="shared" si="30"/>
        <v>0</v>
      </c>
      <c r="CB31" s="9"/>
      <c r="CC31" s="5"/>
      <c r="CD31" s="482">
        <f t="shared" si="31"/>
        <v>0</v>
      </c>
      <c r="CE31" s="4"/>
      <c r="CF31" s="5"/>
      <c r="CG31" s="28">
        <f t="shared" si="32"/>
        <v>0</v>
      </c>
      <c r="CH31" s="150"/>
      <c r="CI31" s="1108"/>
      <c r="CJ31" s="5"/>
      <c r="CK31" s="5">
        <v>1200</v>
      </c>
      <c r="CL31" s="5"/>
      <c r="CM31" s="5"/>
      <c r="CN31" s="5"/>
      <c r="CO31" s="33"/>
      <c r="CP31" s="366"/>
      <c r="CR31" s="4">
        <f t="shared" si="33"/>
        <v>0</v>
      </c>
      <c r="CS31" s="9">
        <f t="shared" si="33"/>
        <v>0</v>
      </c>
      <c r="CT31" s="5">
        <f t="shared" si="33"/>
        <v>0</v>
      </c>
      <c r="CU31" s="5">
        <f t="shared" ref="CU31:DC40" si="133">SUM(DI31,DV31,EI31)</f>
        <v>0</v>
      </c>
      <c r="CV31" s="5">
        <f t="shared" si="133"/>
        <v>0</v>
      </c>
      <c r="CW31" s="5">
        <f t="shared" si="133"/>
        <v>0</v>
      </c>
      <c r="CX31" s="5">
        <f t="shared" si="133"/>
        <v>0</v>
      </c>
      <c r="CY31" s="5">
        <f t="shared" si="133"/>
        <v>0</v>
      </c>
      <c r="CZ31" s="5">
        <f t="shared" si="133"/>
        <v>6941.64</v>
      </c>
      <c r="DA31" s="5">
        <f t="shared" si="133"/>
        <v>0</v>
      </c>
      <c r="DB31" s="5">
        <f t="shared" si="133"/>
        <v>1547.5600000000002</v>
      </c>
      <c r="DC31" s="12">
        <f t="shared" si="133"/>
        <v>0</v>
      </c>
      <c r="DD31" s="310">
        <f t="shared" si="34"/>
        <v>8489.2000000000007</v>
      </c>
      <c r="DE31" s="2695"/>
      <c r="DF31" s="8"/>
      <c r="DG31" s="9"/>
      <c r="DH31" s="5"/>
      <c r="DI31" s="5"/>
      <c r="DJ31" s="5"/>
      <c r="DK31" s="5"/>
      <c r="DL31" s="3">
        <v>0</v>
      </c>
      <c r="DM31" s="5"/>
      <c r="DN31" s="3">
        <v>3546.0800000000004</v>
      </c>
      <c r="DO31" s="5"/>
      <c r="DP31" s="5"/>
      <c r="DQ31" s="12"/>
      <c r="DR31" s="28">
        <f t="shared" si="35"/>
        <v>3546.0800000000004</v>
      </c>
      <c r="DS31" s="36"/>
      <c r="DT31" s="9"/>
      <c r="DU31" s="5"/>
      <c r="DV31" s="5"/>
      <c r="DW31" s="5"/>
      <c r="DX31" s="5"/>
      <c r="DY31" s="27"/>
      <c r="DZ31" s="27"/>
      <c r="EA31" s="3">
        <v>2195.56</v>
      </c>
      <c r="EB31" s="27"/>
      <c r="EC31" s="24">
        <v>1147.5600000000002</v>
      </c>
      <c r="ED31" s="33"/>
      <c r="EE31" s="28">
        <f t="shared" si="36"/>
        <v>3343.12</v>
      </c>
      <c r="EF31" s="9"/>
      <c r="EG31" s="36"/>
      <c r="EH31"/>
      <c r="EI31" s="27"/>
      <c r="EJ31" s="27"/>
      <c r="EK31" s="27"/>
      <c r="EL31" s="27"/>
      <c r="EM31" s="27"/>
      <c r="EN31" s="5">
        <v>1200</v>
      </c>
      <c r="EO31" s="5"/>
      <c r="EP31" s="5">
        <v>400</v>
      </c>
      <c r="EQ31" s="33"/>
      <c r="ER31" s="28">
        <f t="shared" si="37"/>
        <v>1600</v>
      </c>
      <c r="ES31" s="36"/>
      <c r="ET31" s="27"/>
      <c r="EU31" s="27"/>
      <c r="EV31" s="27"/>
      <c r="EW31" s="27"/>
      <c r="EX31" s="27"/>
      <c r="EY31" s="33">
        <f t="shared" si="38"/>
        <v>0</v>
      </c>
      <c r="EZ31" s="2685"/>
      <c r="FB31" s="4">
        <f t="shared" si="39"/>
        <v>0</v>
      </c>
      <c r="FC31" s="5">
        <f t="shared" si="40"/>
        <v>0</v>
      </c>
      <c r="FD31" s="5">
        <f t="shared" si="41"/>
        <v>0</v>
      </c>
      <c r="FE31" s="12">
        <f t="shared" si="42"/>
        <v>0</v>
      </c>
      <c r="FF31" s="33"/>
      <c r="FG31" s="2674"/>
      <c r="FH31" s="9"/>
      <c r="FI31" s="5"/>
      <c r="FJ31" s="5"/>
      <c r="FK31" s="5"/>
      <c r="FL31" s="5"/>
      <c r="FM31" s="27"/>
      <c r="FN31" s="28">
        <f t="shared" si="43"/>
        <v>0</v>
      </c>
      <c r="FO31" s="36"/>
      <c r="FP31" s="27"/>
      <c r="FQ31" s="27"/>
      <c r="FR31" s="27"/>
      <c r="FS31" s="27"/>
      <c r="FT31" s="27"/>
      <c r="FU31" s="28">
        <f t="shared" si="44"/>
        <v>0</v>
      </c>
      <c r="FV31" s="36"/>
      <c r="FW31" s="36"/>
      <c r="FX31" s="27"/>
      <c r="FY31" s="27"/>
      <c r="FZ31" s="27"/>
      <c r="GA31" s="27"/>
      <c r="GB31" s="27"/>
      <c r="GC31" s="27"/>
      <c r="GD31" s="27"/>
      <c r="GE31" s="27"/>
      <c r="GF31" s="27"/>
      <c r="GG31" s="33"/>
      <c r="GH31" s="33">
        <f t="shared" si="45"/>
        <v>0</v>
      </c>
      <c r="GI31" s="2674"/>
      <c r="GK31" s="2">
        <f t="shared" si="108"/>
        <v>0</v>
      </c>
      <c r="GL31" s="63">
        <f t="shared" si="109"/>
        <v>2124.56</v>
      </c>
      <c r="GM31" s="24">
        <f t="shared" si="110"/>
        <v>5090.6200000000008</v>
      </c>
      <c r="GN31" s="1736">
        <f t="shared" si="46"/>
        <v>7215.18</v>
      </c>
      <c r="GO31" s="141"/>
      <c r="GP31" s="141"/>
      <c r="GQ31" s="33"/>
      <c r="GR31" s="2667"/>
      <c r="GS31" s="1739">
        <v>0</v>
      </c>
      <c r="GT31" s="1721">
        <v>0</v>
      </c>
      <c r="GU31" s="1721">
        <v>2593.7000000000003</v>
      </c>
      <c r="GV31" s="1721">
        <v>4621.4800000000005</v>
      </c>
      <c r="GW31" s="33">
        <f t="shared" si="47"/>
        <v>7215.18</v>
      </c>
      <c r="GX31" s="2667"/>
      <c r="GY31" s="36"/>
      <c r="GZ31" s="36"/>
      <c r="HA31" s="27"/>
      <c r="HB31" s="27"/>
      <c r="HC31" s="27"/>
      <c r="HD31" s="27"/>
      <c r="HE31" s="27"/>
      <c r="HF31" s="27"/>
      <c r="HG31" s="24">
        <v>0</v>
      </c>
      <c r="HH31" s="27"/>
      <c r="HI31" s="24">
        <v>0</v>
      </c>
      <c r="HJ31" s="27"/>
      <c r="HK31" s="24">
        <v>0</v>
      </c>
      <c r="HL31" s="27"/>
      <c r="HM31" s="28">
        <f t="shared" si="120"/>
        <v>0</v>
      </c>
      <c r="HN31" s="36"/>
      <c r="HO31" s="27"/>
      <c r="HP31" s="27"/>
      <c r="HQ31" s="27"/>
      <c r="HR31" s="27"/>
      <c r="HS31" s="27"/>
      <c r="HT31" s="27" cm="1">
        <f t="array" ref="HT31">SUMPRODUCT(('Data Base hauling'!$C$2:$C$216="TCM-ROM SB1 BK05-ROM 4")*(ISNUMBER(SEARCH(TEXT('June TCM'!$B31,"00")&amp;"/03/2026",'Data Base hauling'!$E$2:$E$216)))*'Data Base hauling'!$N$2:$N$216)</f>
        <v>0</v>
      </c>
      <c r="HU31" s="27"/>
      <c r="HV31" s="27" cm="1">
        <f t="array" ref="HV31">SUMPRODUCT(('Data Base hauling'!$C$2:$C$216="TCM-ROM SB1 BK05-ROM 5")*(ISNUMBER(SEARCH(TEXT('June TCM'!$B31,"00")&amp;"/03/2026",'Data Base hauling'!$E$2:$E$216)))*'Data Base hauling'!$N$2:$N$216)</f>
        <v>0</v>
      </c>
      <c r="HW31" s="27"/>
      <c r="HX31" s="27"/>
      <c r="HY31" s="27"/>
      <c r="HZ31" s="27"/>
      <c r="IA31" s="27"/>
      <c r="IB31" s="33">
        <f t="shared" si="49"/>
        <v>0</v>
      </c>
      <c r="IC31" s="52"/>
      <c r="ID31" s="152"/>
      <c r="IE31" s="53"/>
      <c r="IF31" s="53"/>
      <c r="IG31" s="53"/>
      <c r="IH31" s="53"/>
      <c r="II31" s="1926">
        <v>0</v>
      </c>
      <c r="IJ31" s="1736"/>
      <c r="IK31" s="1926">
        <v>2124.56</v>
      </c>
      <c r="IL31" s="53"/>
      <c r="IM31" s="49">
        <v>0</v>
      </c>
      <c r="IN31" s="53"/>
      <c r="IO31" s="53"/>
      <c r="IP31" s="49">
        <f>SUMPRODUCT(('Data Base hauling'!$C$2:$C$216="TCM-HAC1 (Production)-ROM 2(HAC)")*(ISNUMBER(SEARCH(TEXT('June TCM'!$B31,"00")&amp;"/06/2026",'Data Base hauling'!$E$2:$E$216)))*'Data Base hauling'!$N$2:$N$216)</f>
        <v>0</v>
      </c>
      <c r="IQ31" s="2195">
        <f t="shared" si="121"/>
        <v>2124.56</v>
      </c>
      <c r="IR31" s="36"/>
      <c r="IS31" s="36"/>
      <c r="IT31" s="27"/>
      <c r="IU31" s="27"/>
      <c r="IV31" s="53"/>
      <c r="IW31" s="27"/>
      <c r="IX31" s="24">
        <v>0</v>
      </c>
      <c r="IY31" s="27"/>
      <c r="IZ31" s="24">
        <v>5090.6200000000008</v>
      </c>
      <c r="JA31" s="27"/>
      <c r="JB31" s="24">
        <v>0</v>
      </c>
      <c r="JC31" s="27"/>
      <c r="JD31" s="27"/>
      <c r="JE31" s="27"/>
      <c r="JF31" s="33">
        <f t="shared" si="122"/>
        <v>5090.6200000000008</v>
      </c>
      <c r="JG31" s="2667"/>
      <c r="JI31" s="2014">
        <v>7215.1800000000012</v>
      </c>
      <c r="JJ31" s="2015">
        <v>0</v>
      </c>
      <c r="JK31" s="53"/>
      <c r="JL31" s="53">
        <f t="shared" si="52"/>
        <v>7215.1800000000012</v>
      </c>
      <c r="JM31" s="33"/>
      <c r="JN31" s="2669"/>
      <c r="JO31" s="66">
        <v>0</v>
      </c>
      <c r="JP31" s="67">
        <v>0</v>
      </c>
      <c r="JQ31" s="67">
        <v>0</v>
      </c>
      <c r="JR31" s="67">
        <v>0</v>
      </c>
      <c r="JS31" s="67">
        <v>1</v>
      </c>
      <c r="JT31" s="67">
        <v>0</v>
      </c>
      <c r="JU31" s="67">
        <v>0</v>
      </c>
      <c r="JV31" s="1921">
        <v>0</v>
      </c>
      <c r="JW31" s="66" t="s">
        <v>296</v>
      </c>
      <c r="JX31" s="67" t="s">
        <v>296</v>
      </c>
      <c r="JY31" s="67" t="s">
        <v>296</v>
      </c>
      <c r="JZ31" s="67" t="s">
        <v>296</v>
      </c>
      <c r="KA31" s="67" t="s">
        <v>296</v>
      </c>
      <c r="KB31" s="67" t="s">
        <v>296</v>
      </c>
      <c r="KC31" s="67" t="s">
        <v>296</v>
      </c>
      <c r="KD31" s="68" t="s">
        <v>296</v>
      </c>
      <c r="KE31" s="69"/>
      <c r="KF31" s="70"/>
      <c r="KG31" s="70"/>
      <c r="KH31" s="70"/>
      <c r="KI31" s="70"/>
      <c r="KJ31" s="70"/>
      <c r="KK31" s="70"/>
      <c r="KL31" s="70"/>
      <c r="KM31" s="33"/>
      <c r="KN31" s="2669"/>
      <c r="KO31" s="2203">
        <v>6859.430612805716</v>
      </c>
      <c r="KP31" s="1721">
        <v>0.62223962627095353</v>
      </c>
      <c r="KQ31" s="1721">
        <v>4.3817367408628742</v>
      </c>
      <c r="KR31" s="1721">
        <v>7.7334569936795825</v>
      </c>
      <c r="KS31" s="1722">
        <v>10.830862874416049</v>
      </c>
      <c r="KT31" s="1958">
        <v>0</v>
      </c>
      <c r="KU31" s="1961">
        <v>0</v>
      </c>
      <c r="KV31" s="1961">
        <v>0</v>
      </c>
      <c r="KW31" s="1961">
        <v>0</v>
      </c>
      <c r="KX31" s="1962">
        <v>0</v>
      </c>
      <c r="KY31" s="36"/>
      <c r="KZ31" s="53"/>
      <c r="LA31" s="53"/>
      <c r="LB31" s="53"/>
      <c r="LC31" s="53"/>
      <c r="LD31" s="33"/>
      <c r="LE31" s="2669"/>
      <c r="LG31" s="4">
        <f t="shared" si="53"/>
        <v>0</v>
      </c>
      <c r="LH31" s="5">
        <f t="shared" si="53"/>
        <v>0</v>
      </c>
      <c r="LI31" s="27">
        <f t="shared" si="53"/>
        <v>0</v>
      </c>
      <c r="LJ31" s="28">
        <f t="shared" si="54"/>
        <v>0</v>
      </c>
      <c r="LK31" s="36"/>
      <c r="LL31" s="27">
        <v>1</v>
      </c>
      <c r="LM31" s="27">
        <v>6</v>
      </c>
      <c r="LN31" s="33"/>
      <c r="LO31" s="1041">
        <v>7.47</v>
      </c>
      <c r="LP31" s="486" t="s">
        <v>350</v>
      </c>
      <c r="LQ31" s="2688"/>
      <c r="LR31" s="2269"/>
      <c r="LS31" s="2269"/>
      <c r="LT31" s="27"/>
      <c r="LU31" s="27"/>
      <c r="LV31" s="27"/>
      <c r="LW31" s="1107">
        <f t="shared" si="55"/>
        <v>0</v>
      </c>
      <c r="LX31" s="2269"/>
      <c r="LY31" s="2269"/>
      <c r="LZ31" s="27"/>
      <c r="MA31" s="27"/>
      <c r="MB31" s="33"/>
      <c r="MC31" s="28">
        <f t="shared" si="56"/>
        <v>0</v>
      </c>
      <c r="MD31" s="26"/>
      <c r="ME31" s="36"/>
      <c r="MF31" s="27"/>
      <c r="MG31" s="27"/>
      <c r="MH31" s="27"/>
      <c r="MI31" s="28"/>
      <c r="MJ31" s="36"/>
      <c r="MK31" s="36"/>
      <c r="ML31" s="27"/>
      <c r="MM31" s="27"/>
      <c r="MN31" s="27"/>
      <c r="MO31" s="28"/>
      <c r="MP31" s="36"/>
      <c r="MQ31" s="36"/>
      <c r="MR31" s="27"/>
      <c r="MS31" s="27"/>
      <c r="MT31" s="27"/>
      <c r="MU31" s="33">
        <f t="shared" si="57"/>
        <v>0</v>
      </c>
      <c r="MV31" s="2688"/>
      <c r="MX31" s="26">
        <f t="shared" si="58"/>
        <v>215806.78004856</v>
      </c>
      <c r="MY31" s="27">
        <f t="shared" si="59"/>
        <v>173471.34785017915</v>
      </c>
      <c r="MZ31" s="27">
        <f t="shared" si="60"/>
        <v>22406.728559023402</v>
      </c>
      <c r="NA31" s="28">
        <f t="shared" si="61"/>
        <v>421012.50855850993</v>
      </c>
      <c r="NB31" s="2621"/>
      <c r="NC31" s="23">
        <f t="shared" si="123"/>
        <v>118328.40851155001</v>
      </c>
      <c r="ND31" s="1579">
        <f t="shared" si="124"/>
        <v>97478.371537010011</v>
      </c>
      <c r="NE31" s="60">
        <f t="shared" si="64"/>
        <v>0</v>
      </c>
      <c r="NF31" s="1110">
        <f t="shared" si="4"/>
        <v>215806.78004856</v>
      </c>
      <c r="NG31" s="26">
        <f t="shared" si="128"/>
        <v>0</v>
      </c>
      <c r="NH31" s="27">
        <f t="shared" si="128"/>
        <v>0</v>
      </c>
      <c r="NI31" s="27">
        <f t="shared" si="128"/>
        <v>0</v>
      </c>
      <c r="NJ31" s="27">
        <f t="shared" si="128"/>
        <v>0</v>
      </c>
      <c r="NK31" s="27">
        <f t="shared" si="128"/>
        <v>0</v>
      </c>
      <c r="NL31" s="33">
        <f t="shared" si="128"/>
        <v>0</v>
      </c>
      <c r="NM31" s="27">
        <f t="shared" si="128"/>
        <v>0</v>
      </c>
      <c r="NN31" s="36">
        <f t="shared" si="128"/>
        <v>0</v>
      </c>
      <c r="NO31" s="24">
        <f t="shared" si="111"/>
        <v>9508.3342192005621</v>
      </c>
      <c r="NP31" s="27">
        <f t="shared" si="128"/>
        <v>26196.696072681989</v>
      </c>
      <c r="NQ31" s="24">
        <f t="shared" si="112"/>
        <v>8756.5482322711578</v>
      </c>
      <c r="NR31" s="24">
        <f t="shared" si="113"/>
        <v>9416.4448469876006</v>
      </c>
      <c r="NS31" s="27">
        <f t="shared" si="0"/>
        <v>53878.023371141309</v>
      </c>
      <c r="NT31" s="27">
        <f t="shared" si="129"/>
        <v>0</v>
      </c>
      <c r="NU31" s="27">
        <f t="shared" si="129"/>
        <v>0</v>
      </c>
      <c r="NV31" s="27">
        <f t="shared" si="129"/>
        <v>0</v>
      </c>
      <c r="NW31" s="27">
        <f t="shared" si="129"/>
        <v>0</v>
      </c>
      <c r="NX31" s="27">
        <f t="shared" si="129"/>
        <v>0</v>
      </c>
      <c r="NY31" s="5">
        <f t="shared" si="129"/>
        <v>0</v>
      </c>
      <c r="NZ31" s="27">
        <f t="shared" si="129"/>
        <v>6255.1903682352477</v>
      </c>
      <c r="OA31" s="27">
        <f t="shared" si="129"/>
        <v>0</v>
      </c>
      <c r="OB31" s="27">
        <f t="shared" si="129"/>
        <v>83648.41732796804</v>
      </c>
      <c r="OC31" s="27"/>
      <c r="OD31" s="24">
        <f t="shared" si="132"/>
        <v>454.51223506073143</v>
      </c>
      <c r="OE31" s="27">
        <f t="shared" si="127"/>
        <v>0</v>
      </c>
      <c r="OF31" s="28">
        <f t="shared" si="1"/>
        <v>90358.119931264009</v>
      </c>
      <c r="OG31" s="27">
        <f t="shared" si="131"/>
        <v>0</v>
      </c>
      <c r="OH31" s="27">
        <f t="shared" si="131"/>
        <v>0</v>
      </c>
      <c r="OI31" s="27">
        <f t="shared" si="131"/>
        <v>0</v>
      </c>
      <c r="OJ31" s="27">
        <f t="shared" si="131"/>
        <v>0</v>
      </c>
      <c r="OK31" s="27">
        <f t="shared" si="131"/>
        <v>0</v>
      </c>
      <c r="OL31" s="27">
        <f t="shared" si="131"/>
        <v>0</v>
      </c>
      <c r="OM31" s="24">
        <f t="shared" si="131"/>
        <v>0</v>
      </c>
      <c r="ON31" s="27">
        <f t="shared" si="131"/>
        <v>0</v>
      </c>
      <c r="OO31" s="24">
        <f t="shared" si="118"/>
        <v>22378.274547773835</v>
      </c>
      <c r="OP31" s="27">
        <f t="shared" si="131"/>
        <v>0</v>
      </c>
      <c r="OQ31" s="24">
        <f t="shared" si="131"/>
        <v>6856.93</v>
      </c>
      <c r="OR31" s="27">
        <f t="shared" si="131"/>
        <v>0</v>
      </c>
      <c r="OS31" s="28">
        <f t="shared" si="2"/>
        <v>29235.204547773836</v>
      </c>
      <c r="OT31" s="36"/>
      <c r="OU31" s="27"/>
      <c r="OV31" s="27"/>
      <c r="OW31" s="27"/>
      <c r="OX31" s="27"/>
      <c r="OY31" s="27"/>
      <c r="OZ31" s="28">
        <f t="shared" si="69"/>
        <v>0</v>
      </c>
      <c r="PA31" s="36">
        <f t="shared" si="70"/>
        <v>0</v>
      </c>
      <c r="PB31" s="27">
        <f t="shared" si="71"/>
        <v>0</v>
      </c>
      <c r="PC31" s="27">
        <f t="shared" si="72"/>
        <v>0</v>
      </c>
      <c r="PD31" s="27">
        <f t="shared" si="73"/>
        <v>0</v>
      </c>
      <c r="PE31" s="24"/>
      <c r="PF31" s="27">
        <f t="shared" si="74"/>
        <v>0</v>
      </c>
      <c r="PG31" s="33">
        <f t="shared" si="3"/>
        <v>0</v>
      </c>
      <c r="PH31" s="2621"/>
      <c r="PJ31" s="1907">
        <v>138</v>
      </c>
      <c r="PK31" s="3">
        <v>294</v>
      </c>
      <c r="PL31" s="3">
        <v>98</v>
      </c>
      <c r="PM31" s="3">
        <v>0</v>
      </c>
      <c r="PN31" s="3">
        <v>34233.409776580687</v>
      </c>
      <c r="PO31" s="11">
        <f t="shared" si="75"/>
        <v>22406.728559023402</v>
      </c>
      <c r="PP31" s="15"/>
      <c r="PQ31" s="2615"/>
      <c r="PS31" s="4"/>
      <c r="PT31" s="9"/>
      <c r="PU31" s="9"/>
      <c r="PV31" s="9"/>
      <c r="PW31" s="8">
        <v>0</v>
      </c>
      <c r="PX31" s="9"/>
      <c r="PY31" s="8">
        <f t="shared" si="76"/>
        <v>0</v>
      </c>
      <c r="PZ31" s="5">
        <f t="shared" si="77"/>
        <v>138</v>
      </c>
      <c r="QA31" s="5"/>
      <c r="QB31" s="5"/>
      <c r="QC31" s="5"/>
      <c r="QD31" s="5"/>
      <c r="QE31" s="5"/>
      <c r="QF31" s="12"/>
      <c r="QG31" s="12">
        <f t="shared" si="78"/>
        <v>29562.488999999998</v>
      </c>
      <c r="QH31" s="420">
        <f t="shared" si="79"/>
        <v>389325.27955850994</v>
      </c>
      <c r="QI31" s="1106">
        <f t="shared" si="80"/>
        <v>2124.7399999999998</v>
      </c>
      <c r="QJ31" s="484">
        <f t="shared" si="81"/>
        <v>5505.3678056099998</v>
      </c>
      <c r="QK31" s="12"/>
      <c r="QL31" s="2615"/>
      <c r="QN31" s="139">
        <f t="shared" si="82"/>
        <v>0</v>
      </c>
      <c r="QO31" s="139" t="str">
        <f t="shared" si="83"/>
        <v/>
      </c>
      <c r="QQ31" s="139">
        <f t="shared" si="84"/>
        <v>0</v>
      </c>
      <c r="QR31" s="139">
        <f t="shared" si="85"/>
        <v>0</v>
      </c>
      <c r="QT31" s="1">
        <f t="shared" si="86"/>
        <v>0</v>
      </c>
      <c r="QU31" s="1">
        <f t="shared" si="87"/>
        <v>0</v>
      </c>
      <c r="QV31" s="1">
        <f t="shared" si="88"/>
        <v>0</v>
      </c>
      <c r="QW31" s="1">
        <f t="shared" si="89"/>
        <v>0</v>
      </c>
      <c r="QX31" s="1">
        <f t="shared" si="90"/>
        <v>0</v>
      </c>
      <c r="QY31" s="1">
        <f t="shared" si="91"/>
        <v>0</v>
      </c>
      <c r="RA31" s="1">
        <f t="shared" si="92"/>
        <v>0</v>
      </c>
      <c r="RB31" s="1">
        <f t="shared" si="93"/>
        <v>0</v>
      </c>
      <c r="RC31" s="1">
        <f t="shared" si="94"/>
        <v>0</v>
      </c>
      <c r="RD31" s="1">
        <f t="shared" si="95"/>
        <v>0</v>
      </c>
      <c r="RE31" s="1">
        <f t="shared" si="96"/>
        <v>0</v>
      </c>
      <c r="RF31" s="1">
        <f t="shared" si="97"/>
        <v>0</v>
      </c>
      <c r="RI31" s="1">
        <v>22</v>
      </c>
      <c r="RJ31" s="1">
        <f t="shared" si="125"/>
        <v>55780.256209717103</v>
      </c>
      <c r="RK31" s="1">
        <f t="shared" si="125"/>
        <v>23886.780780483721</v>
      </c>
      <c r="RL31" s="1">
        <f t="shared" si="125"/>
        <v>13404.263703387322</v>
      </c>
      <c r="RM31" s="89">
        <f t="shared" si="5"/>
        <v>93071.300693588142</v>
      </c>
      <c r="RN31" s="1033">
        <v>22</v>
      </c>
      <c r="RO31" s="1098">
        <f t="shared" si="99"/>
        <v>0</v>
      </c>
      <c r="RP31" s="1098">
        <f t="shared" si="100"/>
        <v>0</v>
      </c>
      <c r="RQ31" s="1097">
        <f t="shared" si="100"/>
        <v>0</v>
      </c>
      <c r="RR31" s="1097">
        <f t="shared" si="101"/>
        <v>6889.2000000000007</v>
      </c>
      <c r="RS31" s="1109"/>
      <c r="RT31" s="1109" t="s">
        <v>351</v>
      </c>
      <c r="RU31" s="1048"/>
      <c r="RW31" s="421">
        <v>22</v>
      </c>
      <c r="RX31" s="1095">
        <f t="shared" si="102"/>
        <v>7215.18</v>
      </c>
      <c r="RY31" s="1046" t="s">
        <v>352</v>
      </c>
      <c r="SA31" s="1090"/>
      <c r="SB31" s="1090">
        <f t="shared" si="103"/>
        <v>0</v>
      </c>
      <c r="SC31" s="1090"/>
      <c r="SD31" s="1090">
        <f t="shared" si="126"/>
        <v>0</v>
      </c>
      <c r="SF31" s="1">
        <v>22</v>
      </c>
      <c r="SG31" s="1">
        <f t="shared" si="105"/>
        <v>0</v>
      </c>
      <c r="SH31" s="1094"/>
    </row>
    <row r="32" spans="1:502" s="1" customFormat="1">
      <c r="B32" s="471">
        <v>23</v>
      </c>
      <c r="C32" s="4">
        <f t="shared" si="6"/>
        <v>154308</v>
      </c>
      <c r="D32" s="1726">
        <f t="shared" si="119"/>
        <v>12008.240000000002</v>
      </c>
      <c r="E32" s="1895">
        <f t="shared" si="7"/>
        <v>12.850176212334196</v>
      </c>
      <c r="F32" s="870"/>
      <c r="G32" s="870"/>
      <c r="H32" s="52">
        <v>3</v>
      </c>
      <c r="I32" s="61">
        <v>3.25</v>
      </c>
      <c r="J32" s="52"/>
      <c r="K32" s="54"/>
      <c r="L32" s="52">
        <v>3</v>
      </c>
      <c r="M32" s="61">
        <v>3.25</v>
      </c>
      <c r="N32" s="2629"/>
      <c r="O32" s="4">
        <f t="shared" si="117"/>
        <v>100551</v>
      </c>
      <c r="P32" s="1225">
        <f t="shared" si="8"/>
        <v>7143.7800000000007</v>
      </c>
      <c r="Q32" s="1913">
        <f t="shared" si="9"/>
        <v>14.075321468466273</v>
      </c>
      <c r="R32" s="33"/>
      <c r="S32" s="26">
        <f t="shared" si="10"/>
        <v>36330</v>
      </c>
      <c r="T32" s="27">
        <f t="shared" si="107"/>
        <v>2444.46</v>
      </c>
      <c r="U32" s="1909">
        <f t="shared" si="11"/>
        <v>14.86217814977541</v>
      </c>
      <c r="V32" s="28"/>
      <c r="W32" s="26">
        <f t="shared" si="12"/>
        <v>17427</v>
      </c>
      <c r="X32" s="5">
        <f t="shared" si="12"/>
        <v>2420</v>
      </c>
      <c r="Y32" s="1909">
        <f t="shared" si="13"/>
        <v>7.2012396694214873</v>
      </c>
      <c r="Z32" s="33"/>
      <c r="AA32" s="26">
        <f t="shared" si="14"/>
        <v>0</v>
      </c>
      <c r="AB32" s="27">
        <f t="shared" si="15"/>
        <v>0</v>
      </c>
      <c r="AC32" s="53">
        <f t="shared" si="16"/>
        <v>0</v>
      </c>
      <c r="AD32" s="28"/>
      <c r="AE32" s="36"/>
      <c r="AF32" s="36"/>
      <c r="AG32" s="53">
        <f t="shared" si="17"/>
        <v>0</v>
      </c>
      <c r="AH32" s="28"/>
      <c r="AI32" s="23"/>
      <c r="AJ32" s="27"/>
      <c r="AK32" s="53">
        <f t="shared" si="18"/>
        <v>0</v>
      </c>
      <c r="AL32" s="28"/>
      <c r="AM32" s="2629"/>
      <c r="AN32" s="9"/>
      <c r="AO32" s="5"/>
      <c r="AP32" s="61">
        <f t="shared" si="19"/>
        <v>0</v>
      </c>
      <c r="AQ32" s="36"/>
      <c r="AR32" s="53"/>
      <c r="AS32" s="61">
        <f t="shared" si="20"/>
        <v>0</v>
      </c>
      <c r="AT32" s="36">
        <v>0</v>
      </c>
      <c r="AU32" s="27"/>
      <c r="AV32" s="54">
        <f t="shared" si="21"/>
        <v>0</v>
      </c>
      <c r="AW32" s="26">
        <v>64134</v>
      </c>
      <c r="AX32" s="27">
        <v>5559.8000000000011</v>
      </c>
      <c r="AY32" s="1895">
        <f t="shared" si="115"/>
        <v>11.535307025432568</v>
      </c>
      <c r="AZ32" s="1908"/>
      <c r="BA32" s="1909"/>
      <c r="BB32" s="1895">
        <f t="shared" si="22"/>
        <v>0</v>
      </c>
      <c r="BC32" s="1740">
        <v>36417</v>
      </c>
      <c r="BD32" s="1926">
        <v>1583.98</v>
      </c>
      <c r="BE32" s="1895">
        <f t="shared" si="23"/>
        <v>22.990820591169079</v>
      </c>
      <c r="BF32" s="1908"/>
      <c r="BG32" s="1909"/>
      <c r="BH32" s="1895">
        <f t="shared" si="24"/>
        <v>0</v>
      </c>
      <c r="BI32" s="1908">
        <v>0</v>
      </c>
      <c r="BJ32" s="1909">
        <v>0</v>
      </c>
      <c r="BK32" s="1895">
        <f t="shared" si="25"/>
        <v>0</v>
      </c>
      <c r="BL32" s="1742">
        <v>36330</v>
      </c>
      <c r="BM32" s="1909">
        <v>2444.46</v>
      </c>
      <c r="BN32" s="2170"/>
      <c r="BO32" s="1911">
        <f t="shared" si="26"/>
        <v>14.86217814977541</v>
      </c>
      <c r="BP32" s="9"/>
      <c r="BQ32" s="64"/>
      <c r="BR32" s="482">
        <f t="shared" si="27"/>
        <v>0</v>
      </c>
      <c r="BS32" s="9"/>
      <c r="BT32" s="64"/>
      <c r="BU32" s="482">
        <f t="shared" si="28"/>
        <v>0</v>
      </c>
      <c r="BV32" s="9">
        <v>17427</v>
      </c>
      <c r="BW32" s="5">
        <v>2420</v>
      </c>
      <c r="BX32" s="15">
        <f t="shared" si="29"/>
        <v>7.2012396694214873</v>
      </c>
      <c r="BY32" s="4"/>
      <c r="BZ32" s="5"/>
      <c r="CA32" s="482">
        <f t="shared" si="30"/>
        <v>0</v>
      </c>
      <c r="CB32" s="9"/>
      <c r="CC32" s="5"/>
      <c r="CD32" s="482">
        <f t="shared" si="31"/>
        <v>0</v>
      </c>
      <c r="CE32" s="4"/>
      <c r="CF32" s="5"/>
      <c r="CG32" s="28">
        <f t="shared" si="32"/>
        <v>0</v>
      </c>
      <c r="CH32" s="150"/>
      <c r="CI32" s="1108"/>
      <c r="CJ32" s="5"/>
      <c r="CK32" s="5">
        <v>1490</v>
      </c>
      <c r="CL32" s="5"/>
      <c r="CM32" s="5"/>
      <c r="CN32" s="5"/>
      <c r="CO32" s="33"/>
      <c r="CP32" s="368"/>
      <c r="CR32" s="4">
        <f t="shared" ref="CR32:CT40" si="134">SUM(DF32,DS32,EF32)</f>
        <v>0</v>
      </c>
      <c r="CS32" s="9">
        <f t="shared" si="134"/>
        <v>0</v>
      </c>
      <c r="CT32" s="5">
        <f t="shared" si="134"/>
        <v>0</v>
      </c>
      <c r="CU32" s="5">
        <f t="shared" si="133"/>
        <v>0</v>
      </c>
      <c r="CV32" s="5">
        <f t="shared" si="133"/>
        <v>0</v>
      </c>
      <c r="CW32" s="5">
        <f t="shared" si="133"/>
        <v>0</v>
      </c>
      <c r="CX32" s="5">
        <f t="shared" si="133"/>
        <v>0</v>
      </c>
      <c r="CY32" s="5">
        <f t="shared" si="133"/>
        <v>0</v>
      </c>
      <c r="CZ32" s="5">
        <f t="shared" si="133"/>
        <v>10608.240000000002</v>
      </c>
      <c r="DA32" s="5">
        <f t="shared" si="133"/>
        <v>0</v>
      </c>
      <c r="DB32" s="5">
        <f t="shared" si="133"/>
        <v>1400</v>
      </c>
      <c r="DC32" s="12">
        <f t="shared" si="133"/>
        <v>0</v>
      </c>
      <c r="DD32" s="310">
        <f>SUM(CR32:DC32,PW32,PX32,)</f>
        <v>12008.240000000002</v>
      </c>
      <c r="DE32" s="2695"/>
      <c r="DF32" s="8"/>
      <c r="DG32" s="9"/>
      <c r="DH32" s="5"/>
      <c r="DI32" s="5"/>
      <c r="DJ32" s="5"/>
      <c r="DK32" s="5"/>
      <c r="DL32" s="3">
        <v>0</v>
      </c>
      <c r="DM32" s="12"/>
      <c r="DN32" s="3">
        <v>5559.8000000000011</v>
      </c>
      <c r="DO32" s="9"/>
      <c r="DP32" s="5"/>
      <c r="DQ32" s="12"/>
      <c r="DR32" s="28">
        <f t="shared" si="35"/>
        <v>5559.8000000000011</v>
      </c>
      <c r="DS32" s="36"/>
      <c r="DT32" s="9"/>
      <c r="DU32" s="5"/>
      <c r="DV32" s="5"/>
      <c r="DW32" s="5"/>
      <c r="DX32" s="5"/>
      <c r="DY32" s="27"/>
      <c r="DZ32" s="27"/>
      <c r="EA32" s="3">
        <v>4028.44</v>
      </c>
      <c r="EB32" s="27"/>
      <c r="EC32" s="24">
        <v>0</v>
      </c>
      <c r="ED32" s="33"/>
      <c r="EE32" s="28">
        <f t="shared" si="36"/>
        <v>4028.44</v>
      </c>
      <c r="EF32" s="9"/>
      <c r="EG32" s="36"/>
      <c r="EH32" s="27"/>
      <c r="EI32" s="27"/>
      <c r="EJ32" s="27"/>
      <c r="EK32" s="27"/>
      <c r="EL32" s="27"/>
      <c r="EM32" s="27"/>
      <c r="EN32" s="5">
        <v>1020</v>
      </c>
      <c r="EO32" s="5"/>
      <c r="EP32" s="5">
        <v>1400</v>
      </c>
      <c r="EQ32" s="33"/>
      <c r="ER32" s="28">
        <f t="shared" si="37"/>
        <v>2420</v>
      </c>
      <c r="ES32" s="36"/>
      <c r="ET32" s="27"/>
      <c r="EU32" s="27"/>
      <c r="EV32" s="27"/>
      <c r="EW32" s="27"/>
      <c r="EX32" s="27"/>
      <c r="EY32" s="33">
        <f t="shared" si="38"/>
        <v>0</v>
      </c>
      <c r="EZ32" s="2685"/>
      <c r="FB32" s="4">
        <f t="shared" si="39"/>
        <v>0</v>
      </c>
      <c r="FC32" s="5">
        <f t="shared" si="40"/>
        <v>0</v>
      </c>
      <c r="FD32" s="5">
        <f t="shared" si="41"/>
        <v>0</v>
      </c>
      <c r="FE32" s="12">
        <f t="shared" si="42"/>
        <v>0</v>
      </c>
      <c r="FF32" s="33"/>
      <c r="FG32" s="2674"/>
      <c r="FH32" s="9"/>
      <c r="FI32" s="5"/>
      <c r="FJ32" s="5"/>
      <c r="FK32" s="5"/>
      <c r="FL32" s="5"/>
      <c r="FM32" s="27"/>
      <c r="FN32" s="28">
        <f t="shared" si="43"/>
        <v>0</v>
      </c>
      <c r="FO32" s="36"/>
      <c r="FP32" s="27"/>
      <c r="FQ32" s="27"/>
      <c r="FR32" s="27"/>
      <c r="FS32" s="27"/>
      <c r="FT32" s="27"/>
      <c r="FU32" s="28">
        <f t="shared" si="44"/>
        <v>0</v>
      </c>
      <c r="FV32" s="36"/>
      <c r="FW32" s="36"/>
      <c r="FX32" s="27"/>
      <c r="FY32" s="27"/>
      <c r="FZ32" s="27"/>
      <c r="GA32" s="27"/>
      <c r="GB32" s="27"/>
      <c r="GC32" s="27"/>
      <c r="GD32" s="27"/>
      <c r="GE32" s="27"/>
      <c r="GF32" s="27"/>
      <c r="GG32" s="33"/>
      <c r="GH32" s="33">
        <f t="shared" si="45"/>
        <v>0</v>
      </c>
      <c r="GI32" s="2674"/>
      <c r="GK32" s="2">
        <f t="shared" si="108"/>
        <v>0</v>
      </c>
      <c r="GL32" s="63">
        <f t="shared" si="109"/>
        <v>4043.31</v>
      </c>
      <c r="GM32" s="24">
        <f t="shared" si="110"/>
        <v>4822.76</v>
      </c>
      <c r="GN32" s="1736">
        <f t="shared" si="46"/>
        <v>8866.07</v>
      </c>
      <c r="GO32" s="141"/>
      <c r="GP32" s="141"/>
      <c r="GQ32" s="33"/>
      <c r="GR32" s="2667"/>
      <c r="GS32" s="1739">
        <v>0</v>
      </c>
      <c r="GT32" s="1721">
        <v>0</v>
      </c>
      <c r="GU32" s="1721">
        <v>4511.2700000000004</v>
      </c>
      <c r="GV32" s="1721">
        <v>4354.8</v>
      </c>
      <c r="GW32" s="33">
        <f t="shared" si="47"/>
        <v>8866.07</v>
      </c>
      <c r="GX32" s="2667"/>
      <c r="GY32" s="36"/>
      <c r="GZ32" s="36"/>
      <c r="HA32" s="27"/>
      <c r="HB32" s="27"/>
      <c r="HC32" s="27"/>
      <c r="HD32" s="27"/>
      <c r="HE32" s="27"/>
      <c r="HF32" s="27"/>
      <c r="HG32" s="24">
        <v>0</v>
      </c>
      <c r="HH32" s="27"/>
      <c r="HI32" s="24">
        <v>0</v>
      </c>
      <c r="HJ32" s="27"/>
      <c r="HK32" s="24">
        <v>0</v>
      </c>
      <c r="HL32" s="27"/>
      <c r="HM32" s="28">
        <f t="shared" si="120"/>
        <v>0</v>
      </c>
      <c r="HN32" s="36"/>
      <c r="HO32" s="27"/>
      <c r="HP32" s="27"/>
      <c r="HQ32" s="27"/>
      <c r="HR32" s="27"/>
      <c r="HS32" s="27"/>
      <c r="HT32" s="27" cm="1">
        <f t="array" ref="HT32">SUMPRODUCT(('Data Base hauling'!$C$2:$C$216="TCM-ROM SB1 BK05-ROM 4")*(ISNUMBER(SEARCH(TEXT('June TCM'!$B32,"00")&amp;"/03/2026",'Data Base hauling'!$E$2:$E$216)))*'Data Base hauling'!$N$2:$N$216)</f>
        <v>0</v>
      </c>
      <c r="HU32" s="27"/>
      <c r="HV32" s="27" cm="1">
        <f t="array" ref="HV32">SUMPRODUCT(('Data Base hauling'!$C$2:$C$216="TCM-ROM SB1 BK05-ROM 5")*(ISNUMBER(SEARCH(TEXT('June TCM'!$B32,"00")&amp;"/03/2026",'Data Base hauling'!$E$2:$E$216)))*'Data Base hauling'!$N$2:$N$216)</f>
        <v>0</v>
      </c>
      <c r="HW32" s="27"/>
      <c r="HX32" s="27"/>
      <c r="HY32" s="27"/>
      <c r="HZ32" s="27"/>
      <c r="IA32" s="27"/>
      <c r="IB32" s="33">
        <f t="shared" si="49"/>
        <v>0</v>
      </c>
      <c r="IC32" s="52"/>
      <c r="ID32" s="152"/>
      <c r="IE32" s="53"/>
      <c r="IF32" s="53"/>
      <c r="IG32" s="53"/>
      <c r="IH32" s="53"/>
      <c r="II32" s="1926">
        <v>0</v>
      </c>
      <c r="IJ32" s="1736"/>
      <c r="IK32" s="1926">
        <v>4043.31</v>
      </c>
      <c r="IL32" s="53"/>
      <c r="IM32" s="49">
        <v>0</v>
      </c>
      <c r="IN32" s="53"/>
      <c r="IO32" s="53"/>
      <c r="IP32" s="49">
        <f>SUMPRODUCT(('Data Base hauling'!$C$2:$C$216="TCM-HAC1 (Production)-ROM 2(HAC)")*(ISNUMBER(SEARCH(TEXT('June TCM'!$B32,"00")&amp;"/06/2026",'Data Base hauling'!$E$2:$E$216)))*'Data Base hauling'!$N$2:$N$216)</f>
        <v>0</v>
      </c>
      <c r="IQ32" s="2195">
        <f t="shared" si="121"/>
        <v>4043.31</v>
      </c>
      <c r="IR32" s="36"/>
      <c r="IS32" s="36"/>
      <c r="IT32" s="27"/>
      <c r="IU32" s="27"/>
      <c r="IV32" s="53"/>
      <c r="IW32" s="27"/>
      <c r="IX32" s="24">
        <v>0</v>
      </c>
      <c r="IY32" s="27"/>
      <c r="IZ32" s="24">
        <v>4822.76</v>
      </c>
      <c r="JA32" s="27"/>
      <c r="JB32" s="24">
        <v>0</v>
      </c>
      <c r="JC32" s="27"/>
      <c r="JD32" s="27"/>
      <c r="JE32" s="27"/>
      <c r="JF32" s="33">
        <f t="shared" si="122"/>
        <v>4822.76</v>
      </c>
      <c r="JG32" s="2667"/>
      <c r="JI32" s="2014">
        <v>8866.0700000000015</v>
      </c>
      <c r="JJ32" s="2015">
        <v>0</v>
      </c>
      <c r="JK32" s="53"/>
      <c r="JL32" s="53">
        <f t="shared" si="52"/>
        <v>8866.0700000000015</v>
      </c>
      <c r="JM32" s="33"/>
      <c r="JN32" s="2669"/>
      <c r="JO32" s="66">
        <v>0</v>
      </c>
      <c r="JP32" s="67">
        <v>0</v>
      </c>
      <c r="JQ32" s="67">
        <v>0</v>
      </c>
      <c r="JR32" s="67">
        <v>0</v>
      </c>
      <c r="JS32" s="67">
        <v>1</v>
      </c>
      <c r="JT32" s="67">
        <v>0</v>
      </c>
      <c r="JU32" s="67">
        <v>0</v>
      </c>
      <c r="JV32" s="1921">
        <v>0</v>
      </c>
      <c r="JW32" s="66" t="s">
        <v>296</v>
      </c>
      <c r="JX32" s="67" t="s">
        <v>296</v>
      </c>
      <c r="JY32" s="67" t="s">
        <v>296</v>
      </c>
      <c r="JZ32" s="67" t="s">
        <v>296</v>
      </c>
      <c r="KA32" s="67" t="s">
        <v>296</v>
      </c>
      <c r="KB32" s="67" t="s">
        <v>296</v>
      </c>
      <c r="KC32" s="67" t="s">
        <v>296</v>
      </c>
      <c r="KD32" s="68" t="s">
        <v>296</v>
      </c>
      <c r="KE32" s="69"/>
      <c r="KF32" s="70"/>
      <c r="KG32" s="70"/>
      <c r="KH32" s="70"/>
      <c r="KI32" s="70"/>
      <c r="KJ32" s="70"/>
      <c r="KK32" s="70"/>
      <c r="KL32" s="70"/>
      <c r="KM32" s="33"/>
      <c r="KN32" s="2669"/>
      <c r="KO32" s="2203">
        <v>7057.5011892626571</v>
      </c>
      <c r="KP32" s="1721">
        <v>0.81767923887189931</v>
      </c>
      <c r="KQ32" s="1721">
        <v>2.8863336731226639</v>
      </c>
      <c r="KR32" s="1721">
        <v>7.1712572205232759</v>
      </c>
      <c r="KS32" s="1722">
        <v>11.773730886850153</v>
      </c>
      <c r="KT32" s="1958">
        <v>0</v>
      </c>
      <c r="KU32" s="1961">
        <v>0</v>
      </c>
      <c r="KV32" s="1961">
        <v>0</v>
      </c>
      <c r="KW32" s="1961">
        <v>0</v>
      </c>
      <c r="KX32" s="1962">
        <v>0</v>
      </c>
      <c r="KY32" s="36"/>
      <c r="KZ32" s="53"/>
      <c r="LA32" s="53"/>
      <c r="LB32" s="53"/>
      <c r="LC32" s="53"/>
      <c r="LD32" s="33"/>
      <c r="LE32" s="2669"/>
      <c r="LG32" s="4">
        <f t="shared" si="53"/>
        <v>18075.347999999998</v>
      </c>
      <c r="LH32" s="5">
        <f t="shared" si="53"/>
        <v>12050.232</v>
      </c>
      <c r="LI32" s="27">
        <f t="shared" si="53"/>
        <v>0</v>
      </c>
      <c r="LJ32" s="28">
        <f t="shared" si="54"/>
        <v>30125.579999999998</v>
      </c>
      <c r="LK32" s="36">
        <v>4</v>
      </c>
      <c r="LL32" s="27"/>
      <c r="LM32" s="27">
        <v>4</v>
      </c>
      <c r="LN32" s="33"/>
      <c r="LO32" s="1041">
        <v>7.29</v>
      </c>
      <c r="LP32" s="486" t="s">
        <v>353</v>
      </c>
      <c r="LQ32" s="2688"/>
      <c r="LR32" s="2269"/>
      <c r="LS32" s="2269"/>
      <c r="LT32" s="27"/>
      <c r="LU32" s="27"/>
      <c r="LV32" s="27"/>
      <c r="LW32" s="1107">
        <f t="shared" si="55"/>
        <v>0</v>
      </c>
      <c r="LX32" s="2269">
        <v>18075.347999999998</v>
      </c>
      <c r="LY32" s="2269">
        <v>12050.232</v>
      </c>
      <c r="LZ32" s="27"/>
      <c r="MA32" s="27"/>
      <c r="MB32" s="33"/>
      <c r="MC32" s="28">
        <f t="shared" si="56"/>
        <v>30125.579999999998</v>
      </c>
      <c r="MD32" s="26"/>
      <c r="ME32" s="36"/>
      <c r="MF32" s="27"/>
      <c r="MG32" s="27"/>
      <c r="MH32" s="27"/>
      <c r="MI32" s="28"/>
      <c r="MJ32" s="36"/>
      <c r="MK32" s="36"/>
      <c r="ML32" s="27"/>
      <c r="MM32" s="27"/>
      <c r="MN32" s="27"/>
      <c r="MO32" s="28"/>
      <c r="MP32" s="36"/>
      <c r="MQ32" s="36"/>
      <c r="MR32" s="27"/>
      <c r="MS32" s="27"/>
      <c r="MT32" s="27"/>
      <c r="MU32" s="33">
        <f t="shared" si="57"/>
        <v>0</v>
      </c>
      <c r="MV32" s="2688"/>
      <c r="MX32" s="26">
        <f t="shared" si="58"/>
        <v>194547.27004856002</v>
      </c>
      <c r="MY32" s="27">
        <f t="shared" si="59"/>
        <v>176613.51785017917</v>
      </c>
      <c r="MZ32" s="27">
        <f t="shared" si="60"/>
        <v>22592.728559023402</v>
      </c>
      <c r="NA32" s="28">
        <f t="shared" si="61"/>
        <v>421012.50855850993</v>
      </c>
      <c r="NB32" s="2621"/>
      <c r="NC32" s="23">
        <f t="shared" si="123"/>
        <v>109119.13051155001</v>
      </c>
      <c r="ND32" s="1579">
        <f t="shared" si="124"/>
        <v>85428.139537010007</v>
      </c>
      <c r="NE32" s="60">
        <f t="shared" si="64"/>
        <v>0</v>
      </c>
      <c r="NF32" s="275">
        <f t="shared" si="4"/>
        <v>194547.27004856002</v>
      </c>
      <c r="NG32" s="26">
        <f t="shared" si="128"/>
        <v>0</v>
      </c>
      <c r="NH32" s="27">
        <f t="shared" si="128"/>
        <v>0</v>
      </c>
      <c r="NI32" s="27">
        <f t="shared" si="128"/>
        <v>0</v>
      </c>
      <c r="NJ32" s="27">
        <f t="shared" si="128"/>
        <v>0</v>
      </c>
      <c r="NK32" s="27">
        <f t="shared" si="128"/>
        <v>0</v>
      </c>
      <c r="NL32" s="33">
        <f t="shared" si="128"/>
        <v>0</v>
      </c>
      <c r="NM32" s="27">
        <f t="shared" si="128"/>
        <v>0</v>
      </c>
      <c r="NN32" s="36">
        <f t="shared" si="128"/>
        <v>0</v>
      </c>
      <c r="NO32" s="24">
        <f t="shared" si="111"/>
        <v>10528.334219200562</v>
      </c>
      <c r="NP32" s="27">
        <f t="shared" si="128"/>
        <v>26196.696072681989</v>
      </c>
      <c r="NQ32" s="24">
        <f t="shared" si="112"/>
        <v>8756.5482322711578</v>
      </c>
      <c r="NR32" s="24">
        <f t="shared" si="113"/>
        <v>10816.444846987601</v>
      </c>
      <c r="NS32" s="27">
        <f t="shared" si="0"/>
        <v>56298.023371141309</v>
      </c>
      <c r="NT32" s="27">
        <f t="shared" si="129"/>
        <v>0</v>
      </c>
      <c r="NU32" s="27">
        <f t="shared" si="129"/>
        <v>0</v>
      </c>
      <c r="NV32" s="27">
        <f t="shared" si="129"/>
        <v>0</v>
      </c>
      <c r="NW32" s="27">
        <f t="shared" si="129"/>
        <v>0</v>
      </c>
      <c r="NX32" s="27">
        <f t="shared" si="129"/>
        <v>0</v>
      </c>
      <c r="NY32" s="5">
        <f t="shared" si="129"/>
        <v>0</v>
      </c>
      <c r="NZ32" s="27">
        <f t="shared" si="129"/>
        <v>6255.1903682352477</v>
      </c>
      <c r="OA32" s="27">
        <f t="shared" si="129"/>
        <v>0</v>
      </c>
      <c r="OB32" s="27">
        <f t="shared" si="129"/>
        <v>85164.907327968045</v>
      </c>
      <c r="OC32" s="27"/>
      <c r="OD32" s="24">
        <f t="shared" si="132"/>
        <v>454.51223506073143</v>
      </c>
      <c r="OE32" s="27">
        <f t="shared" si="127"/>
        <v>0</v>
      </c>
      <c r="OF32" s="28">
        <f t="shared" si="1"/>
        <v>91874.609931264014</v>
      </c>
      <c r="OG32" s="27">
        <f t="shared" si="131"/>
        <v>0</v>
      </c>
      <c r="OH32" s="27">
        <f t="shared" si="131"/>
        <v>0</v>
      </c>
      <c r="OI32" s="27">
        <f t="shared" si="131"/>
        <v>0</v>
      </c>
      <c r="OJ32" s="27">
        <f t="shared" si="131"/>
        <v>0</v>
      </c>
      <c r="OK32" s="27">
        <f t="shared" si="131"/>
        <v>0</v>
      </c>
      <c r="OL32" s="27">
        <f t="shared" si="131"/>
        <v>0</v>
      </c>
      <c r="OM32" s="24">
        <f t="shared" si="131"/>
        <v>0</v>
      </c>
      <c r="ON32" s="27">
        <f t="shared" si="131"/>
        <v>0</v>
      </c>
      <c r="OO32" s="24">
        <f t="shared" si="118"/>
        <v>21583.954547773836</v>
      </c>
      <c r="OP32" s="27">
        <f t="shared" si="131"/>
        <v>0</v>
      </c>
      <c r="OQ32" s="24">
        <f t="shared" si="131"/>
        <v>6856.93</v>
      </c>
      <c r="OR32" s="27">
        <f t="shared" si="131"/>
        <v>0</v>
      </c>
      <c r="OS32" s="28">
        <f t="shared" si="2"/>
        <v>28440.884547773836</v>
      </c>
      <c r="OT32" s="36"/>
      <c r="OU32" s="27"/>
      <c r="OV32" s="27"/>
      <c r="OW32" s="27"/>
      <c r="OX32" s="27"/>
      <c r="OY32" s="27"/>
      <c r="OZ32" s="28">
        <f t="shared" si="69"/>
        <v>0</v>
      </c>
      <c r="PA32" s="36">
        <f t="shared" si="70"/>
        <v>0</v>
      </c>
      <c r="PB32" s="27">
        <f t="shared" si="71"/>
        <v>0</v>
      </c>
      <c r="PC32" s="27">
        <f t="shared" si="72"/>
        <v>0</v>
      </c>
      <c r="PD32" s="27">
        <f t="shared" si="73"/>
        <v>0</v>
      </c>
      <c r="PE32" s="24"/>
      <c r="PF32" s="27">
        <f t="shared" si="74"/>
        <v>0</v>
      </c>
      <c r="PG32" s="33">
        <f t="shared" si="3"/>
        <v>0</v>
      </c>
      <c r="PH32" s="2621"/>
      <c r="PJ32" s="1907">
        <v>0</v>
      </c>
      <c r="PK32" s="3">
        <v>557.99999999999989</v>
      </c>
      <c r="PL32" s="3">
        <v>185.99999999999997</v>
      </c>
      <c r="PM32" s="3">
        <v>0</v>
      </c>
      <c r="PN32" s="3">
        <v>33675.409776580687</v>
      </c>
      <c r="PO32" s="11">
        <f t="shared" si="75"/>
        <v>22592.728559023402</v>
      </c>
      <c r="PP32" s="15"/>
      <c r="PQ32" s="2615"/>
      <c r="PS32" s="4"/>
      <c r="PT32" s="9"/>
      <c r="PU32" s="9"/>
      <c r="PV32" s="9"/>
      <c r="PW32" s="8">
        <v>0</v>
      </c>
      <c r="PX32" s="9"/>
      <c r="PY32" s="8">
        <f t="shared" si="76"/>
        <v>0</v>
      </c>
      <c r="PZ32" s="5">
        <f t="shared" si="77"/>
        <v>0</v>
      </c>
      <c r="QA32" s="5"/>
      <c r="QB32" s="5"/>
      <c r="QC32" s="5"/>
      <c r="QD32" s="5"/>
      <c r="QE32" s="5"/>
      <c r="QF32" s="12"/>
      <c r="QG32" s="12">
        <f t="shared" si="78"/>
        <v>29562.488999999998</v>
      </c>
      <c r="QH32" s="420">
        <f t="shared" si="79"/>
        <v>389325.27955850994</v>
      </c>
      <c r="QI32" s="1106">
        <f t="shared" si="80"/>
        <v>2124.7399999999998</v>
      </c>
      <c r="QJ32" s="484">
        <f t="shared" si="81"/>
        <v>5505.3678056099998</v>
      </c>
      <c r="QK32" s="12"/>
      <c r="QL32" s="2615"/>
      <c r="QN32" s="139">
        <f t="shared" si="82"/>
        <v>0</v>
      </c>
      <c r="QO32" s="139" t="str">
        <f t="shared" si="83"/>
        <v/>
      </c>
      <c r="QQ32" s="139">
        <f t="shared" si="84"/>
        <v>0</v>
      </c>
      <c r="QR32" s="139">
        <f t="shared" si="85"/>
        <v>0</v>
      </c>
      <c r="QT32" s="1">
        <f t="shared" si="86"/>
        <v>0</v>
      </c>
      <c r="QU32" s="1">
        <f t="shared" si="87"/>
        <v>0</v>
      </c>
      <c r="QV32" s="1">
        <f t="shared" si="88"/>
        <v>0</v>
      </c>
      <c r="QW32" s="1">
        <f t="shared" si="89"/>
        <v>0</v>
      </c>
      <c r="QX32" s="1">
        <f t="shared" si="90"/>
        <v>0</v>
      </c>
      <c r="QY32" s="1">
        <f t="shared" si="91"/>
        <v>0</v>
      </c>
      <c r="RA32" s="1">
        <f t="shared" si="92"/>
        <v>0</v>
      </c>
      <c r="RB32" s="1">
        <f t="shared" si="93"/>
        <v>0</v>
      </c>
      <c r="RC32" s="1">
        <f t="shared" si="94"/>
        <v>0</v>
      </c>
      <c r="RD32" s="1">
        <f t="shared" si="95"/>
        <v>0</v>
      </c>
      <c r="RE32" s="1">
        <f t="shared" si="96"/>
        <v>0</v>
      </c>
      <c r="RF32" s="1">
        <f t="shared" si="97"/>
        <v>0</v>
      </c>
      <c r="RI32" s="1">
        <v>23</v>
      </c>
      <c r="RJ32" s="1">
        <f t="shared" si="125"/>
        <v>46570.978209717105</v>
      </c>
      <c r="RK32" s="1">
        <f t="shared" si="125"/>
        <v>11836.548780483721</v>
      </c>
      <c r="RL32" s="1">
        <f t="shared" si="125"/>
        <v>13404.263703387322</v>
      </c>
      <c r="RM32" s="89">
        <f t="shared" si="5"/>
        <v>71811.790693588147</v>
      </c>
      <c r="RN32" s="1033">
        <v>23</v>
      </c>
      <c r="RO32" s="1098">
        <f t="shared" si="99"/>
        <v>0</v>
      </c>
      <c r="RP32" s="1098">
        <f t="shared" si="100"/>
        <v>0</v>
      </c>
      <c r="RQ32" s="1097">
        <f t="shared" si="100"/>
        <v>0</v>
      </c>
      <c r="RR32" s="1097">
        <f t="shared" si="101"/>
        <v>9588.2400000000016</v>
      </c>
      <c r="RS32" s="1094"/>
      <c r="RT32" s="1094" t="s">
        <v>354</v>
      </c>
      <c r="RW32" s="421">
        <v>23</v>
      </c>
      <c r="RX32" s="1095">
        <f t="shared" si="102"/>
        <v>8866.07</v>
      </c>
      <c r="RY32" s="1094" t="s">
        <v>355</v>
      </c>
      <c r="SA32" s="1090"/>
      <c r="SB32" s="1090">
        <f t="shared" si="103"/>
        <v>0</v>
      </c>
      <c r="SC32" s="1090"/>
      <c r="SD32" s="1090">
        <f t="shared" si="126"/>
        <v>0</v>
      </c>
      <c r="SF32" s="1">
        <v>23</v>
      </c>
      <c r="SG32" s="1">
        <f t="shared" si="105"/>
        <v>0</v>
      </c>
      <c r="SH32" s="1094"/>
    </row>
    <row r="33" spans="1:502" s="1" customFormat="1">
      <c r="B33" s="471">
        <v>24</v>
      </c>
      <c r="C33" s="4">
        <f t="shared" si="6"/>
        <v>156472</v>
      </c>
      <c r="D33" s="1726">
        <f t="shared" si="119"/>
        <v>12712.269999999999</v>
      </c>
      <c r="E33" s="1895">
        <f t="shared" si="7"/>
        <v>12.30873793586826</v>
      </c>
      <c r="F33" s="870"/>
      <c r="G33" s="870"/>
      <c r="H33" s="52"/>
      <c r="I33" s="61"/>
      <c r="J33" s="52"/>
      <c r="K33" s="54"/>
      <c r="L33" s="52"/>
      <c r="M33" s="61"/>
      <c r="N33" s="2629"/>
      <c r="O33" s="4">
        <f t="shared" si="117"/>
        <v>97752</v>
      </c>
      <c r="P33" s="1225">
        <f t="shared" si="8"/>
        <v>8035.3099999999995</v>
      </c>
      <c r="Q33" s="1913">
        <f t="shared" si="9"/>
        <v>12.165305383364178</v>
      </c>
      <c r="R33" s="33"/>
      <c r="S33" s="26">
        <f t="shared" si="10"/>
        <v>39298</v>
      </c>
      <c r="T33" s="27">
        <f t="shared" si="107"/>
        <v>1736.9599999999998</v>
      </c>
      <c r="U33" s="1909">
        <f t="shared" si="11"/>
        <v>22.624585482682392</v>
      </c>
      <c r="V33" s="28"/>
      <c r="W33" s="26">
        <f t="shared" si="12"/>
        <v>19422</v>
      </c>
      <c r="X33" s="5">
        <f t="shared" si="12"/>
        <v>2940</v>
      </c>
      <c r="Y33" s="1909">
        <f t="shared" si="13"/>
        <v>6.6061224489795922</v>
      </c>
      <c r="Z33" s="33"/>
      <c r="AA33" s="26">
        <f t="shared" si="14"/>
        <v>0</v>
      </c>
      <c r="AB33" s="27">
        <f t="shared" si="15"/>
        <v>0</v>
      </c>
      <c r="AC33" s="53">
        <f t="shared" si="16"/>
        <v>0</v>
      </c>
      <c r="AD33" s="28"/>
      <c r="AE33" s="36"/>
      <c r="AF33" s="36"/>
      <c r="AG33" s="53">
        <f t="shared" si="17"/>
        <v>0</v>
      </c>
      <c r="AH33" s="28"/>
      <c r="AI33" s="26"/>
      <c r="AJ33" s="27"/>
      <c r="AK33" s="53">
        <f t="shared" si="18"/>
        <v>0</v>
      </c>
      <c r="AL33" s="28"/>
      <c r="AM33" s="2629"/>
      <c r="AN33" s="9"/>
      <c r="AO33" s="5"/>
      <c r="AP33" s="61">
        <f t="shared" si="19"/>
        <v>0</v>
      </c>
      <c r="AQ33" s="36"/>
      <c r="AR33" s="53"/>
      <c r="AS33" s="61">
        <f t="shared" si="20"/>
        <v>0</v>
      </c>
      <c r="AT33" s="36">
        <v>0</v>
      </c>
      <c r="AU33" s="27"/>
      <c r="AV33" s="54">
        <f t="shared" si="21"/>
        <v>0</v>
      </c>
      <c r="AW33" s="26">
        <v>62790</v>
      </c>
      <c r="AX33" s="27">
        <v>6205.49</v>
      </c>
      <c r="AY33" s="1895">
        <f t="shared" si="115"/>
        <v>10.118459622044352</v>
      </c>
      <c r="AZ33" s="1908"/>
      <c r="BA33" s="1909"/>
      <c r="BB33" s="1895">
        <f t="shared" si="22"/>
        <v>0</v>
      </c>
      <c r="BC33" s="1740">
        <v>34962</v>
      </c>
      <c r="BD33" s="1926">
        <v>1829.8200000000002</v>
      </c>
      <c r="BE33" s="1895">
        <f t="shared" si="23"/>
        <v>19.106797389907204</v>
      </c>
      <c r="BF33" s="1908"/>
      <c r="BG33" s="1909"/>
      <c r="BH33" s="1895">
        <f t="shared" si="24"/>
        <v>0</v>
      </c>
      <c r="BI33" s="1908">
        <v>0</v>
      </c>
      <c r="BJ33" s="1909">
        <v>0</v>
      </c>
      <c r="BK33" s="1895">
        <f t="shared" si="25"/>
        <v>0</v>
      </c>
      <c r="BL33" s="1742">
        <v>39298</v>
      </c>
      <c r="BM33" s="1909">
        <v>1736.9599999999998</v>
      </c>
      <c r="BN33" s="2170"/>
      <c r="BO33" s="1911">
        <f t="shared" si="26"/>
        <v>22.624585482682392</v>
      </c>
      <c r="BP33" s="9"/>
      <c r="BQ33" s="64"/>
      <c r="BR33" s="482">
        <f t="shared" si="27"/>
        <v>0</v>
      </c>
      <c r="BS33" s="9"/>
      <c r="BT33" s="64"/>
      <c r="BU33" s="482">
        <f t="shared" si="28"/>
        <v>0</v>
      </c>
      <c r="BV33" s="9">
        <v>19422</v>
      </c>
      <c r="BW33" s="5">
        <v>2940</v>
      </c>
      <c r="BX33" s="15">
        <f t="shared" si="29"/>
        <v>6.6061224489795922</v>
      </c>
      <c r="BY33" s="4"/>
      <c r="BZ33" s="5"/>
      <c r="CA33" s="482">
        <f t="shared" si="30"/>
        <v>0</v>
      </c>
      <c r="CB33" s="9"/>
      <c r="CC33" s="5"/>
      <c r="CD33" s="482">
        <f t="shared" si="31"/>
        <v>0</v>
      </c>
      <c r="CE33" s="4"/>
      <c r="CF33" s="5"/>
      <c r="CG33" s="28">
        <f t="shared" si="32"/>
        <v>0</v>
      </c>
      <c r="CH33" s="150"/>
      <c r="CI33" s="1108"/>
      <c r="CJ33" s="5"/>
      <c r="CK33" s="5">
        <v>2050</v>
      </c>
      <c r="CL33" s="5"/>
      <c r="CM33" s="5"/>
      <c r="CN33" s="5"/>
      <c r="CO33" s="33"/>
      <c r="CP33" s="366"/>
      <c r="CR33" s="4">
        <f t="shared" si="134"/>
        <v>0</v>
      </c>
      <c r="CS33" s="9">
        <f t="shared" si="134"/>
        <v>0</v>
      </c>
      <c r="CT33" s="5">
        <f t="shared" si="134"/>
        <v>0</v>
      </c>
      <c r="CU33" s="5">
        <f t="shared" si="133"/>
        <v>0</v>
      </c>
      <c r="CV33" s="5">
        <f t="shared" si="133"/>
        <v>0</v>
      </c>
      <c r="CW33" s="5">
        <f t="shared" si="133"/>
        <v>0</v>
      </c>
      <c r="CX33" s="5">
        <f t="shared" si="133"/>
        <v>929.24</v>
      </c>
      <c r="CY33" s="5">
        <f t="shared" si="133"/>
        <v>0</v>
      </c>
      <c r="CZ33" s="5">
        <f t="shared" si="133"/>
        <v>11063.03</v>
      </c>
      <c r="DA33" s="5">
        <f t="shared" si="133"/>
        <v>0</v>
      </c>
      <c r="DB33" s="5">
        <f t="shared" si="133"/>
        <v>720</v>
      </c>
      <c r="DC33" s="12">
        <f t="shared" si="133"/>
        <v>0</v>
      </c>
      <c r="DD33" s="310">
        <f>SUM(CR33:DC33,PW33)</f>
        <v>12712.27</v>
      </c>
      <c r="DE33" s="2695"/>
      <c r="DF33" s="8"/>
      <c r="DG33" s="9"/>
      <c r="DH33" s="5"/>
      <c r="DI33" s="5"/>
      <c r="DJ33" s="5"/>
      <c r="DK33" s="5"/>
      <c r="DL33" s="3">
        <v>929.24</v>
      </c>
      <c r="DM33" s="5"/>
      <c r="DN33" s="3">
        <v>5276.25</v>
      </c>
      <c r="DO33" s="5"/>
      <c r="DP33" s="5"/>
      <c r="DQ33" s="12"/>
      <c r="DR33" s="28">
        <f t="shared" si="35"/>
        <v>6205.49</v>
      </c>
      <c r="DS33" s="36"/>
      <c r="DT33" s="9"/>
      <c r="DU33" s="5"/>
      <c r="DV33" s="5"/>
      <c r="DW33" s="5"/>
      <c r="DX33" s="5"/>
      <c r="DY33" s="27"/>
      <c r="DZ33" s="27"/>
      <c r="EA33" s="3">
        <v>3566.78</v>
      </c>
      <c r="EB33" s="27"/>
      <c r="EC33" s="24">
        <v>0</v>
      </c>
      <c r="ED33" s="33"/>
      <c r="EE33" s="28">
        <f t="shared" si="36"/>
        <v>3566.78</v>
      </c>
      <c r="EF33" s="9"/>
      <c r="EG33" s="36"/>
      <c r="EH33" s="27"/>
      <c r="EI33" s="27"/>
      <c r="EJ33" s="27"/>
      <c r="EK33" s="27"/>
      <c r="EL33" s="27"/>
      <c r="EM33" s="27"/>
      <c r="EN33" s="5">
        <v>2220</v>
      </c>
      <c r="EO33" s="5"/>
      <c r="EP33" s="5">
        <v>720</v>
      </c>
      <c r="EQ33" s="33"/>
      <c r="ER33" s="28">
        <f t="shared" si="37"/>
        <v>2940</v>
      </c>
      <c r="ES33" s="36"/>
      <c r="ET33" s="27"/>
      <c r="EU33" s="27"/>
      <c r="EV33" s="27"/>
      <c r="EW33" s="27"/>
      <c r="EX33" s="27"/>
      <c r="EY33" s="33">
        <f t="shared" si="38"/>
        <v>0</v>
      </c>
      <c r="EZ33" s="2685"/>
      <c r="FB33" s="4">
        <f t="shared" si="39"/>
        <v>0</v>
      </c>
      <c r="FC33" s="5">
        <f t="shared" si="40"/>
        <v>0</v>
      </c>
      <c r="FD33" s="5">
        <f t="shared" si="41"/>
        <v>421.29999999999995</v>
      </c>
      <c r="FE33" s="12">
        <f t="shared" si="42"/>
        <v>421.29999999999995</v>
      </c>
      <c r="FF33" s="33"/>
      <c r="FG33" s="2674"/>
      <c r="FH33" s="9"/>
      <c r="FI33" s="5"/>
      <c r="FJ33" s="5"/>
      <c r="FK33" s="5"/>
      <c r="FL33" s="5"/>
      <c r="FM33" s="27"/>
      <c r="FN33" s="28">
        <f t="shared" si="43"/>
        <v>0</v>
      </c>
      <c r="FO33" s="36"/>
      <c r="FP33" s="27"/>
      <c r="FQ33" s="27"/>
      <c r="FR33" s="27"/>
      <c r="FS33" s="27"/>
      <c r="FT33" s="27"/>
      <c r="FU33" s="28">
        <f t="shared" si="44"/>
        <v>0</v>
      </c>
      <c r="FV33" s="36"/>
      <c r="FW33" s="36"/>
      <c r="FX33" s="27"/>
      <c r="FY33" s="27"/>
      <c r="FZ33" s="27"/>
      <c r="GA33" s="27"/>
      <c r="GB33" s="27"/>
      <c r="GC33" s="27"/>
      <c r="GD33" s="27">
        <v>421.29999999999995</v>
      </c>
      <c r="GE33" s="27"/>
      <c r="GF33" s="27"/>
      <c r="GG33" s="33"/>
      <c r="GH33" s="33">
        <f t="shared" si="45"/>
        <v>421.29999999999995</v>
      </c>
      <c r="GI33" s="2674"/>
      <c r="GK33" s="2">
        <f t="shared" si="108"/>
        <v>0</v>
      </c>
      <c r="GL33" s="63">
        <f t="shared" si="109"/>
        <v>4716.79</v>
      </c>
      <c r="GM33" s="24">
        <f t="shared" si="110"/>
        <v>5500.5300000000007</v>
      </c>
      <c r="GN33" s="1736">
        <f t="shared" si="46"/>
        <v>10217.32</v>
      </c>
      <c r="GO33" s="141"/>
      <c r="GP33" s="141"/>
      <c r="GQ33" s="33"/>
      <c r="GR33" s="2667"/>
      <c r="GS33" s="1739">
        <v>0</v>
      </c>
      <c r="GT33" s="1721">
        <v>0</v>
      </c>
      <c r="GU33" s="1721">
        <v>5124.2199999999993</v>
      </c>
      <c r="GV33" s="1721">
        <v>5093.0999999999995</v>
      </c>
      <c r="GW33" s="33">
        <f t="shared" si="47"/>
        <v>10217.32</v>
      </c>
      <c r="GX33" s="2667"/>
      <c r="GY33" s="36"/>
      <c r="GZ33" s="152"/>
      <c r="HA33" s="27"/>
      <c r="HB33" s="53"/>
      <c r="HC33" s="27"/>
      <c r="HD33" s="27"/>
      <c r="HE33" s="27"/>
      <c r="HF33" s="27"/>
      <c r="HG33" s="24">
        <v>0</v>
      </c>
      <c r="HH33" s="27"/>
      <c r="HI33" s="24">
        <v>0</v>
      </c>
      <c r="HJ33" s="27"/>
      <c r="HK33" s="24">
        <v>0</v>
      </c>
      <c r="HL33" s="27"/>
      <c r="HM33" s="28">
        <f t="shared" si="120"/>
        <v>0</v>
      </c>
      <c r="HN33" s="36"/>
      <c r="HO33" s="27"/>
      <c r="HP33" s="27"/>
      <c r="HQ33" s="27"/>
      <c r="HR33" s="27"/>
      <c r="HS33" s="27"/>
      <c r="HT33" s="27" cm="1">
        <f t="array" ref="HT33">SUMPRODUCT(('Data Base hauling'!$C$2:$C$216="TCM-ROM SB1 BK05-ROM 4")*(ISNUMBER(SEARCH(TEXT('June TCM'!$B33,"00")&amp;"/03/2026",'Data Base hauling'!$E$2:$E$216)))*'Data Base hauling'!$N$2:$N$216)</f>
        <v>0</v>
      </c>
      <c r="HU33" s="27"/>
      <c r="HV33" s="27" cm="1">
        <f t="array" ref="HV33">SUMPRODUCT(('Data Base hauling'!$C$2:$C$216="TCM-ROM SB1 BK05-ROM 5")*(ISNUMBER(SEARCH(TEXT('June TCM'!$B33,"00")&amp;"/03/2026",'Data Base hauling'!$E$2:$E$216)))*'Data Base hauling'!$N$2:$N$216)</f>
        <v>0</v>
      </c>
      <c r="HW33" s="27"/>
      <c r="HX33" s="27"/>
      <c r="HY33" s="27"/>
      <c r="HZ33" s="27"/>
      <c r="IA33" s="27"/>
      <c r="IB33" s="33">
        <f t="shared" si="49"/>
        <v>0</v>
      </c>
      <c r="IC33" s="52"/>
      <c r="ID33" s="152"/>
      <c r="IE33" s="53"/>
      <c r="IF33" s="53"/>
      <c r="IG33" s="53"/>
      <c r="IH33" s="53"/>
      <c r="II33" s="1926">
        <v>0</v>
      </c>
      <c r="IJ33" s="1736"/>
      <c r="IK33" s="1926">
        <v>4716.79</v>
      </c>
      <c r="IL33" s="53"/>
      <c r="IM33" s="49">
        <v>0</v>
      </c>
      <c r="IN33" s="53"/>
      <c r="IO33" s="53"/>
      <c r="IP33" s="49">
        <f>SUMPRODUCT(('Data Base hauling'!$C$2:$C$216="TCM-HAC1 (Production)-ROM 2(HAC)")*(ISNUMBER(SEARCH(TEXT('June TCM'!$B33,"00")&amp;"/06/2026",'Data Base hauling'!$E$2:$E$216)))*'Data Base hauling'!$N$2:$N$216)</f>
        <v>0</v>
      </c>
      <c r="IQ33" s="2195">
        <f t="shared" si="121"/>
        <v>4716.79</v>
      </c>
      <c r="IR33" s="152"/>
      <c r="IS33" s="152"/>
      <c r="IT33" s="53"/>
      <c r="IU33" s="53"/>
      <c r="IV33" s="53"/>
      <c r="IW33" s="27"/>
      <c r="IX33" s="24">
        <v>0</v>
      </c>
      <c r="IY33" s="27"/>
      <c r="IZ33" s="24">
        <v>5500.5300000000007</v>
      </c>
      <c r="JA33" s="27"/>
      <c r="JB33" s="24">
        <v>0</v>
      </c>
      <c r="JC33" s="27"/>
      <c r="JD33" s="27"/>
      <c r="JE33" s="27"/>
      <c r="JF33" s="33">
        <f t="shared" si="122"/>
        <v>5500.5300000000007</v>
      </c>
      <c r="JG33" s="2667"/>
      <c r="JI33" s="2014">
        <v>10217.319999999998</v>
      </c>
      <c r="JJ33" s="2015">
        <v>0</v>
      </c>
      <c r="JK33" s="53"/>
      <c r="JL33" s="53">
        <f t="shared" si="52"/>
        <v>10217.319999999998</v>
      </c>
      <c r="JM33" s="33"/>
      <c r="JN33" s="2669"/>
      <c r="JO33" s="66">
        <v>0</v>
      </c>
      <c r="JP33" s="67">
        <v>0</v>
      </c>
      <c r="JQ33" s="67">
        <v>0</v>
      </c>
      <c r="JR33" s="67">
        <v>0</v>
      </c>
      <c r="JS33" s="67">
        <v>1</v>
      </c>
      <c r="JT33" s="67">
        <v>0</v>
      </c>
      <c r="JU33" s="67">
        <v>0</v>
      </c>
      <c r="JV33" s="1921">
        <v>0</v>
      </c>
      <c r="JW33" s="66" t="s">
        <v>296</v>
      </c>
      <c r="JX33" s="67" t="s">
        <v>296</v>
      </c>
      <c r="JY33" s="67" t="s">
        <v>296</v>
      </c>
      <c r="JZ33" s="67" t="s">
        <v>296</v>
      </c>
      <c r="KA33" s="67" t="s">
        <v>296</v>
      </c>
      <c r="KB33" s="67" t="s">
        <v>296</v>
      </c>
      <c r="KC33" s="67" t="s">
        <v>296</v>
      </c>
      <c r="KD33" s="68" t="s">
        <v>296</v>
      </c>
      <c r="KE33" s="69"/>
      <c r="KF33" s="70"/>
      <c r="KG33" s="70"/>
      <c r="KH33" s="70"/>
      <c r="KI33" s="70"/>
      <c r="KJ33" s="70"/>
      <c r="KK33" s="70"/>
      <c r="KL33" s="70"/>
      <c r="KM33" s="33"/>
      <c r="KN33" s="2669"/>
      <c r="KO33" s="2203">
        <v>6929.7499508937344</v>
      </c>
      <c r="KP33" s="1721">
        <v>1.0528285209192694</v>
      </c>
      <c r="KQ33" s="1721">
        <v>3.8463818503241014</v>
      </c>
      <c r="KR33" s="1721">
        <v>7.0498683952072279</v>
      </c>
      <c r="KS33" s="1722">
        <v>11.346578275387939</v>
      </c>
      <c r="KT33" s="1958">
        <v>0</v>
      </c>
      <c r="KU33" s="1961">
        <v>0</v>
      </c>
      <c r="KV33" s="1961">
        <v>0</v>
      </c>
      <c r="KW33" s="1961">
        <v>0</v>
      </c>
      <c r="KX33" s="1962">
        <v>0</v>
      </c>
      <c r="KY33" s="36"/>
      <c r="KZ33" s="53"/>
      <c r="LA33" s="53"/>
      <c r="LB33" s="53"/>
      <c r="LC33" s="53"/>
      <c r="LD33" s="33"/>
      <c r="LE33" s="2669"/>
      <c r="LG33" s="26">
        <f t="shared" si="53"/>
        <v>0</v>
      </c>
      <c r="LH33" s="27">
        <f t="shared" si="53"/>
        <v>7351.75</v>
      </c>
      <c r="LI33" s="27">
        <f t="shared" si="53"/>
        <v>0</v>
      </c>
      <c r="LJ33" s="28">
        <f t="shared" si="54"/>
        <v>7351.75</v>
      </c>
      <c r="LK33" s="36">
        <v>1</v>
      </c>
      <c r="LL33" s="27"/>
      <c r="LM33" s="27">
        <v>3</v>
      </c>
      <c r="LN33" s="33"/>
      <c r="LO33" s="1041">
        <v>7.2</v>
      </c>
      <c r="LP33" s="486" t="s">
        <v>353</v>
      </c>
      <c r="LQ33" s="2688"/>
      <c r="LR33" s="2269"/>
      <c r="LS33" s="2269"/>
      <c r="LT33" s="27"/>
      <c r="LU33" s="27"/>
      <c r="LV33" s="27"/>
      <c r="LW33" s="1107">
        <f t="shared" si="55"/>
        <v>0</v>
      </c>
      <c r="LX33" s="2269"/>
      <c r="LY33" s="2269">
        <v>7351.75</v>
      </c>
      <c r="LZ33" s="27"/>
      <c r="MA33" s="27"/>
      <c r="MB33" s="33"/>
      <c r="MC33" s="28">
        <f t="shared" si="56"/>
        <v>7351.75</v>
      </c>
      <c r="MD33" s="26"/>
      <c r="ME33" s="36"/>
      <c r="MF33" s="27"/>
      <c r="MG33" s="27"/>
      <c r="MH33" s="27"/>
      <c r="MI33" s="28"/>
      <c r="MJ33" s="36"/>
      <c r="MK33" s="152"/>
      <c r="ML33" s="27"/>
      <c r="MM33" s="27"/>
      <c r="MN33" s="27"/>
      <c r="MO33" s="28"/>
      <c r="MP33" s="36"/>
      <c r="MQ33" s="36"/>
      <c r="MR33" s="27"/>
      <c r="MS33" s="27"/>
      <c r="MT33" s="27"/>
      <c r="MU33" s="33">
        <f t="shared" si="57"/>
        <v>0</v>
      </c>
      <c r="MV33" s="2688"/>
      <c r="MX33" s="26">
        <f t="shared" si="58"/>
        <v>197412.84004856</v>
      </c>
      <c r="MY33" s="27">
        <f t="shared" si="59"/>
        <v>179529.76785017917</v>
      </c>
      <c r="MZ33" s="27">
        <f t="shared" si="60"/>
        <v>23002.728559023402</v>
      </c>
      <c r="NA33" s="28">
        <f t="shared" si="61"/>
        <v>420700.86855850992</v>
      </c>
      <c r="NB33" s="2621"/>
      <c r="NC33" s="23">
        <f t="shared" si="123"/>
        <v>119336.45051155001</v>
      </c>
      <c r="ND33" s="1579">
        <f t="shared" si="124"/>
        <v>78076.389537010007</v>
      </c>
      <c r="NE33" s="60">
        <f t="shared" si="64"/>
        <v>0</v>
      </c>
      <c r="NF33" s="275">
        <f t="shared" si="4"/>
        <v>197412.84004856</v>
      </c>
      <c r="NG33" s="26">
        <f t="shared" si="128"/>
        <v>0</v>
      </c>
      <c r="NH33" s="27">
        <f t="shared" si="128"/>
        <v>0</v>
      </c>
      <c r="NI33" s="27">
        <f t="shared" si="128"/>
        <v>0</v>
      </c>
      <c r="NJ33" s="27">
        <f t="shared" si="128"/>
        <v>0</v>
      </c>
      <c r="NK33" s="27">
        <f t="shared" si="128"/>
        <v>0</v>
      </c>
      <c r="NL33" s="33">
        <f t="shared" si="128"/>
        <v>0</v>
      </c>
      <c r="NM33" s="27">
        <f t="shared" si="128"/>
        <v>0</v>
      </c>
      <c r="NN33" s="36">
        <f t="shared" si="128"/>
        <v>0</v>
      </c>
      <c r="NO33" s="24">
        <f t="shared" si="111"/>
        <v>12748.334219200562</v>
      </c>
      <c r="NP33" s="27">
        <f t="shared" si="128"/>
        <v>26196.696072681989</v>
      </c>
      <c r="NQ33" s="24">
        <f t="shared" si="112"/>
        <v>8756.5482322711578</v>
      </c>
      <c r="NR33" s="24">
        <f t="shared" si="113"/>
        <v>11536.444846987601</v>
      </c>
      <c r="NS33" s="27">
        <f t="shared" si="0"/>
        <v>59238.023371141309</v>
      </c>
      <c r="NT33" s="27">
        <f t="shared" si="129"/>
        <v>0</v>
      </c>
      <c r="NU33" s="27">
        <f t="shared" si="129"/>
        <v>0</v>
      </c>
      <c r="NV33" s="27">
        <f t="shared" si="129"/>
        <v>0</v>
      </c>
      <c r="NW33" s="27">
        <f t="shared" si="129"/>
        <v>0</v>
      </c>
      <c r="NX33" s="27">
        <f t="shared" si="129"/>
        <v>0</v>
      </c>
      <c r="NY33" s="5">
        <f t="shared" si="129"/>
        <v>0</v>
      </c>
      <c r="NZ33" s="27">
        <f t="shared" si="129"/>
        <v>7184.4303682352474</v>
      </c>
      <c r="OA33" s="27">
        <f t="shared" si="129"/>
        <v>0</v>
      </c>
      <c r="OB33" s="27">
        <f t="shared" si="129"/>
        <v>85724.367327968052</v>
      </c>
      <c r="OC33" s="27"/>
      <c r="OD33" s="24">
        <f t="shared" si="132"/>
        <v>454.51223506073143</v>
      </c>
      <c r="OE33" s="27">
        <f t="shared" si="127"/>
        <v>0</v>
      </c>
      <c r="OF33" s="28">
        <f t="shared" si="1"/>
        <v>93363.309931264026</v>
      </c>
      <c r="OG33" s="27">
        <f t="shared" si="131"/>
        <v>0</v>
      </c>
      <c r="OH33" s="27">
        <f t="shared" si="131"/>
        <v>0</v>
      </c>
      <c r="OI33" s="27">
        <f t="shared" si="131"/>
        <v>0</v>
      </c>
      <c r="OJ33" s="27">
        <f t="shared" si="131"/>
        <v>0</v>
      </c>
      <c r="OK33" s="27">
        <f t="shared" si="131"/>
        <v>0</v>
      </c>
      <c r="OL33" s="27">
        <f t="shared" si="131"/>
        <v>0</v>
      </c>
      <c r="OM33" s="24">
        <f t="shared" si="131"/>
        <v>0</v>
      </c>
      <c r="ON33" s="27">
        <f t="shared" si="131"/>
        <v>0</v>
      </c>
      <c r="OO33" s="24">
        <f t="shared" si="118"/>
        <v>20071.504547773831</v>
      </c>
      <c r="OP33" s="27">
        <f t="shared" si="131"/>
        <v>0</v>
      </c>
      <c r="OQ33" s="24">
        <f t="shared" si="131"/>
        <v>6856.93</v>
      </c>
      <c r="OR33" s="27">
        <f t="shared" si="131"/>
        <v>0</v>
      </c>
      <c r="OS33" s="28">
        <f t="shared" si="2"/>
        <v>26928.434547773832</v>
      </c>
      <c r="OT33" s="36"/>
      <c r="OU33" s="27"/>
      <c r="OV33" s="27"/>
      <c r="OW33" s="27"/>
      <c r="OX33" s="27"/>
      <c r="OY33" s="27"/>
      <c r="OZ33" s="28">
        <f t="shared" si="69"/>
        <v>0</v>
      </c>
      <c r="PA33" s="36">
        <f t="shared" si="70"/>
        <v>0</v>
      </c>
      <c r="PB33" s="27">
        <f t="shared" si="71"/>
        <v>0</v>
      </c>
      <c r="PC33" s="27">
        <f t="shared" si="72"/>
        <v>0</v>
      </c>
      <c r="PD33" s="27">
        <f t="shared" si="73"/>
        <v>0</v>
      </c>
      <c r="PE33" s="24"/>
      <c r="PF33" s="27">
        <f t="shared" si="74"/>
        <v>0</v>
      </c>
      <c r="PG33" s="33">
        <f t="shared" si="3"/>
        <v>0</v>
      </c>
      <c r="PH33" s="2621"/>
      <c r="PJ33" s="1907">
        <v>311.64</v>
      </c>
      <c r="PK33" s="3">
        <v>1230</v>
      </c>
      <c r="PL33" s="3">
        <v>410</v>
      </c>
      <c r="PM33" s="3">
        <v>0</v>
      </c>
      <c r="PN33" s="3">
        <v>32757.049776580687</v>
      </c>
      <c r="PO33" s="11">
        <f t="shared" si="75"/>
        <v>23002.728559023402</v>
      </c>
      <c r="PP33" s="15"/>
      <c r="PQ33" s="2615"/>
      <c r="PS33" s="4"/>
      <c r="PT33" s="9"/>
      <c r="PU33" s="9"/>
      <c r="PV33" s="9"/>
      <c r="PW33" s="8">
        <v>0</v>
      </c>
      <c r="PX33" s="9"/>
      <c r="PY33" s="8">
        <f t="shared" si="76"/>
        <v>0</v>
      </c>
      <c r="PZ33" s="5">
        <f t="shared" si="77"/>
        <v>311.64</v>
      </c>
      <c r="QA33" s="5"/>
      <c r="QB33" s="5"/>
      <c r="QC33" s="5"/>
      <c r="QD33" s="5"/>
      <c r="QE33" s="5"/>
      <c r="QF33" s="12"/>
      <c r="QG33" s="12">
        <f t="shared" si="78"/>
        <v>29562.488999999998</v>
      </c>
      <c r="QH33" s="420">
        <f t="shared" si="79"/>
        <v>389013.63955850992</v>
      </c>
      <c r="QI33" s="1106">
        <f t="shared" si="80"/>
        <v>2124.7399999999998</v>
      </c>
      <c r="QJ33" s="484">
        <f t="shared" si="81"/>
        <v>5505.3678056099998</v>
      </c>
      <c r="QK33" s="12"/>
      <c r="QL33" s="2615"/>
      <c r="QN33" s="139">
        <f t="shared" si="82"/>
        <v>0</v>
      </c>
      <c r="QO33" s="139" t="str">
        <f t="shared" si="83"/>
        <v/>
      </c>
      <c r="QQ33" s="139">
        <f t="shared" si="84"/>
        <v>0</v>
      </c>
      <c r="QR33" s="139">
        <f t="shared" si="85"/>
        <v>0</v>
      </c>
      <c r="QT33" s="1">
        <f t="shared" si="86"/>
        <v>0</v>
      </c>
      <c r="QU33" s="1">
        <f t="shared" si="87"/>
        <v>0</v>
      </c>
      <c r="QV33" s="1">
        <f t="shared" si="88"/>
        <v>0</v>
      </c>
      <c r="QW33" s="1">
        <f t="shared" si="89"/>
        <v>0</v>
      </c>
      <c r="QX33" s="1">
        <f t="shared" si="90"/>
        <v>0</v>
      </c>
      <c r="QY33" s="1">
        <f t="shared" si="91"/>
        <v>0</v>
      </c>
      <c r="RA33" s="1">
        <f t="shared" si="92"/>
        <v>0</v>
      </c>
      <c r="RB33" s="1">
        <f t="shared" si="93"/>
        <v>0</v>
      </c>
      <c r="RC33" s="1">
        <f t="shared" si="94"/>
        <v>0</v>
      </c>
      <c r="RD33" s="1">
        <f t="shared" si="95"/>
        <v>0</v>
      </c>
      <c r="RE33" s="1">
        <f t="shared" si="96"/>
        <v>0</v>
      </c>
      <c r="RF33" s="1">
        <f t="shared" si="97"/>
        <v>0</v>
      </c>
      <c r="RI33" s="1">
        <v>24</v>
      </c>
      <c r="RJ33" s="1">
        <f t="shared" si="125"/>
        <v>56788.298209717104</v>
      </c>
      <c r="RK33" s="1">
        <f t="shared" si="125"/>
        <v>4484.7987804837212</v>
      </c>
      <c r="RL33" s="1">
        <f t="shared" si="125"/>
        <v>13404.263703387322</v>
      </c>
      <c r="RM33" s="89">
        <f t="shared" si="5"/>
        <v>74677.36069358814</v>
      </c>
      <c r="RN33" s="1033">
        <v>24</v>
      </c>
      <c r="RO33" s="1098">
        <f t="shared" si="99"/>
        <v>0</v>
      </c>
      <c r="RP33" s="1098">
        <f t="shared" si="100"/>
        <v>0</v>
      </c>
      <c r="RQ33" s="1097">
        <f t="shared" si="100"/>
        <v>0</v>
      </c>
      <c r="RR33" s="1097">
        <f t="shared" si="101"/>
        <v>9772.27</v>
      </c>
      <c r="RS33" s="1046"/>
      <c r="RT33" s="1046" t="s">
        <v>356</v>
      </c>
      <c r="RU33" s="1048"/>
      <c r="RW33" s="421">
        <v>24</v>
      </c>
      <c r="RX33" s="1095">
        <f t="shared" si="102"/>
        <v>10217.32</v>
      </c>
      <c r="RY33" s="1046" t="s">
        <v>357</v>
      </c>
      <c r="RZ33" s="1048"/>
      <c r="SA33" s="1090"/>
      <c r="SB33" s="1090">
        <f t="shared" si="103"/>
        <v>0</v>
      </c>
      <c r="SC33" s="1090"/>
      <c r="SD33" s="1090">
        <f t="shared" si="126"/>
        <v>0</v>
      </c>
      <c r="SF33" s="1">
        <v>24</v>
      </c>
      <c r="SG33" s="1">
        <f t="shared" si="105"/>
        <v>0</v>
      </c>
      <c r="SH33" s="1094"/>
    </row>
    <row r="34" spans="1:502" s="1" customFormat="1">
      <c r="B34" s="471">
        <v>25</v>
      </c>
      <c r="C34" s="4">
        <f t="shared" si="6"/>
        <v>180077</v>
      </c>
      <c r="D34" s="2260">
        <f t="shared" si="119"/>
        <v>14811.82</v>
      </c>
      <c r="E34" s="1895">
        <f t="shared" si="7"/>
        <v>12.157655169992614</v>
      </c>
      <c r="F34" s="870"/>
      <c r="G34" s="870"/>
      <c r="H34" s="52"/>
      <c r="I34" s="61"/>
      <c r="J34" s="52"/>
      <c r="K34" s="54"/>
      <c r="L34" s="52"/>
      <c r="M34" s="61"/>
      <c r="N34" s="2629"/>
      <c r="O34" s="4">
        <f t="shared" si="117"/>
        <v>113022</v>
      </c>
      <c r="P34" s="1225">
        <f t="shared" si="8"/>
        <v>8700.39</v>
      </c>
      <c r="Q34" s="1913">
        <f t="shared" si="9"/>
        <v>12.990452152144904</v>
      </c>
      <c r="R34" s="33"/>
      <c r="S34" s="26">
        <f t="shared" si="10"/>
        <v>45784</v>
      </c>
      <c r="T34" s="27">
        <f t="shared" si="107"/>
        <v>2809.4300000000003</v>
      </c>
      <c r="U34" s="1909">
        <f t="shared" si="11"/>
        <v>16.296544138846667</v>
      </c>
      <c r="V34" s="28"/>
      <c r="W34" s="26">
        <f t="shared" si="12"/>
        <v>21271</v>
      </c>
      <c r="X34" s="5">
        <f t="shared" si="12"/>
        <v>3302</v>
      </c>
      <c r="Y34" s="1909">
        <f t="shared" si="13"/>
        <v>6.441853422168383</v>
      </c>
      <c r="Z34" s="33"/>
      <c r="AA34" s="26">
        <f t="shared" si="14"/>
        <v>0</v>
      </c>
      <c r="AB34" s="27">
        <f t="shared" si="15"/>
        <v>0</v>
      </c>
      <c r="AC34" s="53">
        <f t="shared" si="16"/>
        <v>0</v>
      </c>
      <c r="AD34" s="28"/>
      <c r="AE34" s="36"/>
      <c r="AF34" s="36"/>
      <c r="AG34" s="53">
        <f t="shared" si="17"/>
        <v>0</v>
      </c>
      <c r="AH34" s="28"/>
      <c r="AI34" s="23"/>
      <c r="AJ34" s="27"/>
      <c r="AK34" s="53">
        <f t="shared" si="18"/>
        <v>0</v>
      </c>
      <c r="AL34" s="28"/>
      <c r="AM34" s="2629"/>
      <c r="AN34" s="9"/>
      <c r="AO34" s="5"/>
      <c r="AP34" s="61">
        <f t="shared" si="19"/>
        <v>0</v>
      </c>
      <c r="AQ34" s="36"/>
      <c r="AR34" s="53"/>
      <c r="AS34" s="61">
        <f t="shared" si="20"/>
        <v>0</v>
      </c>
      <c r="AT34" s="36">
        <v>0</v>
      </c>
      <c r="AU34" s="27"/>
      <c r="AV34" s="54">
        <f t="shared" si="21"/>
        <v>0</v>
      </c>
      <c r="AW34" s="26">
        <v>57918</v>
      </c>
      <c r="AX34" s="27">
        <v>5679.6900000000005</v>
      </c>
      <c r="AY34" s="1895">
        <f t="shared" si="115"/>
        <v>10.197387533474537</v>
      </c>
      <c r="AZ34" s="1908"/>
      <c r="BA34" s="1909"/>
      <c r="BB34" s="1895">
        <f t="shared" si="22"/>
        <v>0</v>
      </c>
      <c r="BC34" s="1740">
        <v>55104</v>
      </c>
      <c r="BD34" s="1926">
        <v>3020.7</v>
      </c>
      <c r="BE34" s="1895">
        <f t="shared" si="23"/>
        <v>18.242129307776345</v>
      </c>
      <c r="BF34" s="1908"/>
      <c r="BG34" s="1909"/>
      <c r="BH34" s="1895">
        <f t="shared" si="24"/>
        <v>0</v>
      </c>
      <c r="BI34" s="1908">
        <v>0</v>
      </c>
      <c r="BJ34" s="1909">
        <v>0</v>
      </c>
      <c r="BK34" s="1895">
        <f t="shared" si="25"/>
        <v>0</v>
      </c>
      <c r="BL34" s="1742">
        <v>45784</v>
      </c>
      <c r="BM34" s="1909">
        <v>2809.4300000000003</v>
      </c>
      <c r="BN34" s="2170"/>
      <c r="BO34" s="1911">
        <f t="shared" si="26"/>
        <v>16.296544138846667</v>
      </c>
      <c r="BP34" s="9"/>
      <c r="BQ34" s="64"/>
      <c r="BR34" s="482">
        <f t="shared" si="27"/>
        <v>0</v>
      </c>
      <c r="BS34" s="9"/>
      <c r="BT34" s="64"/>
      <c r="BU34" s="482">
        <f t="shared" si="28"/>
        <v>0</v>
      </c>
      <c r="BV34" s="9">
        <v>21271</v>
      </c>
      <c r="BW34" s="5">
        <v>3302</v>
      </c>
      <c r="BX34" s="15">
        <f t="shared" si="29"/>
        <v>6.441853422168383</v>
      </c>
      <c r="BY34" s="4"/>
      <c r="BZ34" s="5"/>
      <c r="CA34" s="482">
        <f t="shared" si="30"/>
        <v>0</v>
      </c>
      <c r="CB34" s="9"/>
      <c r="CC34" s="5"/>
      <c r="CD34" s="482">
        <f t="shared" si="31"/>
        <v>0</v>
      </c>
      <c r="CE34" s="4"/>
      <c r="CF34" s="5"/>
      <c r="CG34" s="28">
        <f t="shared" si="32"/>
        <v>0</v>
      </c>
      <c r="CH34" s="150"/>
      <c r="CI34" s="1108"/>
      <c r="CJ34" s="5"/>
      <c r="CK34" s="5">
        <v>1700</v>
      </c>
      <c r="CL34" s="5"/>
      <c r="CM34" s="5"/>
      <c r="CN34" s="5"/>
      <c r="CO34" s="33"/>
      <c r="CP34" s="366"/>
      <c r="CR34" s="4">
        <f t="shared" si="134"/>
        <v>0</v>
      </c>
      <c r="CS34" s="9">
        <f t="shared" si="134"/>
        <v>0</v>
      </c>
      <c r="CT34" s="5">
        <f t="shared" si="134"/>
        <v>0</v>
      </c>
      <c r="CU34" s="5">
        <f t="shared" si="133"/>
        <v>0</v>
      </c>
      <c r="CV34" s="5">
        <f t="shared" si="133"/>
        <v>0</v>
      </c>
      <c r="CW34" s="5">
        <f t="shared" si="133"/>
        <v>0</v>
      </c>
      <c r="CX34" s="5">
        <f t="shared" si="133"/>
        <v>2176.8199999999997</v>
      </c>
      <c r="CY34" s="5">
        <f t="shared" si="133"/>
        <v>0</v>
      </c>
      <c r="CZ34" s="5">
        <f t="shared" si="133"/>
        <v>12073</v>
      </c>
      <c r="DA34" s="5">
        <f t="shared" si="133"/>
        <v>0</v>
      </c>
      <c r="DB34" s="5">
        <f t="shared" si="133"/>
        <v>562</v>
      </c>
      <c r="DC34" s="12">
        <f t="shared" si="133"/>
        <v>0</v>
      </c>
      <c r="DD34" s="310">
        <f>SUM(CR34:DC34,PW34)</f>
        <v>14811.82</v>
      </c>
      <c r="DE34" s="2695"/>
      <c r="DF34" s="8"/>
      <c r="DG34" s="9"/>
      <c r="DH34" s="5"/>
      <c r="DI34" s="5"/>
      <c r="DJ34" s="5"/>
      <c r="DK34" s="5"/>
      <c r="DL34" s="3">
        <v>2176.8199999999997</v>
      </c>
      <c r="DM34" s="5"/>
      <c r="DN34" s="3">
        <v>3502.87</v>
      </c>
      <c r="DO34" s="5"/>
      <c r="DP34" s="5"/>
      <c r="DQ34" s="12"/>
      <c r="DR34" s="28">
        <f t="shared" si="35"/>
        <v>5679.69</v>
      </c>
      <c r="DS34" s="36"/>
      <c r="DT34" s="36"/>
      <c r="DU34" s="27"/>
      <c r="DV34" s="27"/>
      <c r="DW34" s="27"/>
      <c r="DX34" s="27"/>
      <c r="DY34" s="27"/>
      <c r="DZ34" s="27"/>
      <c r="EA34" s="3">
        <v>5830.13</v>
      </c>
      <c r="EB34" s="27"/>
      <c r="EC34" s="24">
        <v>0</v>
      </c>
      <c r="ED34" s="33"/>
      <c r="EE34" s="28">
        <f t="shared" si="36"/>
        <v>5830.13</v>
      </c>
      <c r="EF34" s="9"/>
      <c r="EG34" s="36"/>
      <c r="EH34" s="27"/>
      <c r="EI34" s="27"/>
      <c r="EJ34" s="27"/>
      <c r="EK34" s="27"/>
      <c r="EL34" s="27"/>
      <c r="EM34" s="27"/>
      <c r="EN34" s="5">
        <v>2740</v>
      </c>
      <c r="EO34" s="5"/>
      <c r="EP34" s="5">
        <v>562</v>
      </c>
      <c r="EQ34" s="33"/>
      <c r="ER34" s="28">
        <f t="shared" si="37"/>
        <v>3302</v>
      </c>
      <c r="ES34" s="36"/>
      <c r="ET34" s="27"/>
      <c r="EU34" s="27"/>
      <c r="EV34" s="27"/>
      <c r="EW34" s="27"/>
      <c r="EX34" s="27"/>
      <c r="EY34" s="33">
        <f t="shared" si="38"/>
        <v>0</v>
      </c>
      <c r="EZ34" s="2685"/>
      <c r="FB34" s="4">
        <f t="shared" si="39"/>
        <v>0</v>
      </c>
      <c r="FC34" s="5">
        <f t="shared" si="40"/>
        <v>0</v>
      </c>
      <c r="FD34" s="5">
        <f t="shared" si="41"/>
        <v>824.72</v>
      </c>
      <c r="FE34" s="12">
        <f t="shared" si="42"/>
        <v>824.72</v>
      </c>
      <c r="FF34" s="33"/>
      <c r="FG34" s="2674"/>
      <c r="FH34" s="9"/>
      <c r="FI34" s="5"/>
      <c r="FJ34" s="5"/>
      <c r="FK34" s="5"/>
      <c r="FL34" s="5"/>
      <c r="FM34" s="27"/>
      <c r="FN34" s="28">
        <f t="shared" si="43"/>
        <v>0</v>
      </c>
      <c r="FO34" s="36"/>
      <c r="FP34" s="27"/>
      <c r="FQ34" s="27"/>
      <c r="FR34" s="27"/>
      <c r="FS34" s="27"/>
      <c r="FT34" s="27"/>
      <c r="FU34" s="28">
        <f t="shared" si="44"/>
        <v>0</v>
      </c>
      <c r="FV34" s="36"/>
      <c r="FW34" s="36"/>
      <c r="FX34" s="27"/>
      <c r="FY34" s="27"/>
      <c r="FZ34" s="27"/>
      <c r="GA34" s="27"/>
      <c r="GB34" s="27"/>
      <c r="GC34" s="27"/>
      <c r="GD34" s="27">
        <v>824.72</v>
      </c>
      <c r="GE34" s="27"/>
      <c r="GF34" s="27"/>
      <c r="GG34" s="33"/>
      <c r="GH34" s="33">
        <f t="shared" si="45"/>
        <v>824.72</v>
      </c>
      <c r="GI34" s="2674"/>
      <c r="GK34" s="2">
        <f t="shared" si="108"/>
        <v>2170.25</v>
      </c>
      <c r="GL34" s="63">
        <f t="shared" si="109"/>
        <v>4209.29</v>
      </c>
      <c r="GM34" s="24">
        <f t="shared" si="110"/>
        <v>1895.3000000000002</v>
      </c>
      <c r="GN34" s="1736">
        <f t="shared" si="46"/>
        <v>8274.84</v>
      </c>
      <c r="GO34" s="141"/>
      <c r="GP34" s="141"/>
      <c r="GQ34" s="33"/>
      <c r="GR34" s="2667"/>
      <c r="GS34" s="1739">
        <v>0</v>
      </c>
      <c r="GT34" s="1721">
        <v>553.25</v>
      </c>
      <c r="GU34" s="1721">
        <v>5192.3399999999992</v>
      </c>
      <c r="GV34" s="1721">
        <v>2529.2500000000005</v>
      </c>
      <c r="GW34" s="33">
        <f t="shared" si="47"/>
        <v>8274.84</v>
      </c>
      <c r="GX34" s="2667"/>
      <c r="GY34" s="36"/>
      <c r="GZ34" s="36"/>
      <c r="HA34" s="27"/>
      <c r="HB34" s="27"/>
      <c r="HC34" s="27"/>
      <c r="HD34" s="27"/>
      <c r="HE34" s="27"/>
      <c r="HF34" s="27"/>
      <c r="HG34" s="24">
        <v>1150.5500000000002</v>
      </c>
      <c r="HH34" s="27"/>
      <c r="HI34" s="24">
        <v>466.45</v>
      </c>
      <c r="HJ34" s="27"/>
      <c r="HK34" s="24">
        <v>553.25</v>
      </c>
      <c r="HL34" s="27"/>
      <c r="HM34" s="28">
        <f t="shared" si="120"/>
        <v>2170.25</v>
      </c>
      <c r="HN34" s="36"/>
      <c r="HO34" s="27"/>
      <c r="HP34" s="27"/>
      <c r="HQ34" s="27"/>
      <c r="HR34" s="27"/>
      <c r="HS34" s="27"/>
      <c r="HT34" s="27" cm="1">
        <f t="array" ref="HT34">SUMPRODUCT(('Data Base hauling'!$C$2:$C$216="TCM-ROM SB1 BK05-ROM 4")*(ISNUMBER(SEARCH(TEXT('June TCM'!$B34,"00")&amp;"/03/2026",'Data Base hauling'!$E$2:$E$216)))*'Data Base hauling'!$N$2:$N$216)</f>
        <v>0</v>
      </c>
      <c r="HU34" s="27"/>
      <c r="HV34" s="27" cm="1">
        <f t="array" ref="HV34">SUMPRODUCT(('Data Base hauling'!$C$2:$C$216="TCM-ROM SB1 BK05-ROM 5")*(ISNUMBER(SEARCH(TEXT('June TCM'!$B34,"00")&amp;"/03/2026",'Data Base hauling'!$E$2:$E$216)))*'Data Base hauling'!$N$2:$N$216)</f>
        <v>0</v>
      </c>
      <c r="HW34" s="27"/>
      <c r="HX34" s="27"/>
      <c r="HY34" s="27"/>
      <c r="HZ34" s="27"/>
      <c r="IA34" s="27"/>
      <c r="IB34" s="33">
        <f t="shared" si="49"/>
        <v>0</v>
      </c>
      <c r="IC34" s="52"/>
      <c r="ID34" s="152"/>
      <c r="IE34" s="53"/>
      <c r="IF34" s="53"/>
      <c r="IG34" s="53"/>
      <c r="IH34" s="53"/>
      <c r="II34" s="1926">
        <v>760.85</v>
      </c>
      <c r="IJ34" s="1736"/>
      <c r="IK34" s="1926">
        <v>3448.4399999999996</v>
      </c>
      <c r="IL34" s="53"/>
      <c r="IM34" s="49">
        <v>0</v>
      </c>
      <c r="IN34" s="53"/>
      <c r="IO34" s="53"/>
      <c r="IP34" s="49">
        <f>SUMPRODUCT(('Data Base hauling'!$C$2:$C$216="TCM-HAC1 (Production)-ROM 2(HAC)")*(ISNUMBER(SEARCH(TEXT('June TCM'!$B34,"00")&amp;"/06/2026",'Data Base hauling'!$E$2:$E$216)))*'Data Base hauling'!$N$2:$N$216)</f>
        <v>0</v>
      </c>
      <c r="IQ34" s="2195">
        <f t="shared" si="121"/>
        <v>4209.29</v>
      </c>
      <c r="IR34" s="36"/>
      <c r="IS34" s="36"/>
      <c r="IT34" s="27"/>
      <c r="IU34" s="27"/>
      <c r="IV34" s="53"/>
      <c r="IW34" s="27"/>
      <c r="IX34" s="24">
        <v>0</v>
      </c>
      <c r="IY34" s="27"/>
      <c r="IZ34" s="24">
        <v>1895.3000000000002</v>
      </c>
      <c r="JA34" s="27"/>
      <c r="JB34" s="24">
        <v>0</v>
      </c>
      <c r="JC34" s="27"/>
      <c r="JD34" s="27"/>
      <c r="JE34" s="27"/>
      <c r="JF34" s="33">
        <f t="shared" si="122"/>
        <v>1895.3000000000002</v>
      </c>
      <c r="JG34" s="2667"/>
      <c r="JI34" s="2014">
        <v>5460.65</v>
      </c>
      <c r="JJ34" s="2015">
        <v>2814.1899999999996</v>
      </c>
      <c r="JK34" s="53"/>
      <c r="JL34" s="53">
        <f t="shared" si="52"/>
        <v>8274.84</v>
      </c>
      <c r="JM34" s="33"/>
      <c r="JN34" s="2669"/>
      <c r="JO34" s="66">
        <v>0</v>
      </c>
      <c r="JP34" s="67">
        <v>0</v>
      </c>
      <c r="JQ34" s="67">
        <v>0</v>
      </c>
      <c r="JR34" s="67">
        <v>1.3267651286934707E-2</v>
      </c>
      <c r="JS34" s="67">
        <v>0.88541657128730078</v>
      </c>
      <c r="JT34" s="67">
        <v>0</v>
      </c>
      <c r="JU34" s="67">
        <v>0.10131577742576434</v>
      </c>
      <c r="JV34" s="1921">
        <v>0</v>
      </c>
      <c r="JW34" s="66">
        <v>0</v>
      </c>
      <c r="JX34" s="67">
        <v>0</v>
      </c>
      <c r="JY34" s="67">
        <v>0</v>
      </c>
      <c r="JZ34" s="67">
        <v>0.24461745653278566</v>
      </c>
      <c r="KA34" s="67">
        <v>0.58963325148621815</v>
      </c>
      <c r="KB34" s="67">
        <v>0.16574929198099633</v>
      </c>
      <c r="KC34" s="67">
        <v>0</v>
      </c>
      <c r="KD34" s="68">
        <v>0</v>
      </c>
      <c r="KE34" s="69"/>
      <c r="KF34" s="70"/>
      <c r="KG34" s="70"/>
      <c r="KH34" s="70"/>
      <c r="KI34" s="70"/>
      <c r="KJ34" s="70"/>
      <c r="KK34" s="70"/>
      <c r="KL34" s="70"/>
      <c r="KM34" s="33"/>
      <c r="KN34" s="2669"/>
      <c r="KO34" s="2203">
        <v>6844</v>
      </c>
      <c r="KP34" s="1721">
        <v>0.83</v>
      </c>
      <c r="KQ34" s="1721">
        <v>5.86</v>
      </c>
      <c r="KR34" s="1721">
        <v>5.63</v>
      </c>
      <c r="KS34" s="1722">
        <v>11.46</v>
      </c>
      <c r="KT34" s="1958">
        <v>6997</v>
      </c>
      <c r="KU34" s="1961">
        <v>1.53</v>
      </c>
      <c r="KV34" s="1961">
        <v>2.4700000000000002</v>
      </c>
      <c r="KW34" s="1961">
        <v>7.35</v>
      </c>
      <c r="KX34" s="1962">
        <v>10.48</v>
      </c>
      <c r="KY34" s="36"/>
      <c r="KZ34" s="53"/>
      <c r="LA34" s="53"/>
      <c r="LB34" s="53"/>
      <c r="LC34" s="53"/>
      <c r="LD34" s="33"/>
      <c r="LE34" s="2669"/>
      <c r="LG34" s="26">
        <f t="shared" si="53"/>
        <v>0</v>
      </c>
      <c r="LH34" s="27">
        <f t="shared" si="53"/>
        <v>0</v>
      </c>
      <c r="LI34" s="27">
        <f t="shared" si="53"/>
        <v>0</v>
      </c>
      <c r="LJ34" s="28">
        <f t="shared" si="54"/>
        <v>0</v>
      </c>
      <c r="LK34" s="36"/>
      <c r="LL34" s="27"/>
      <c r="LM34" s="27"/>
      <c r="LN34" s="33"/>
      <c r="LO34" s="1041">
        <v>7.05</v>
      </c>
      <c r="LP34" s="486"/>
      <c r="LQ34" s="2688"/>
      <c r="LR34" s="2269"/>
      <c r="LS34" s="2269"/>
      <c r="LT34" s="27"/>
      <c r="LU34" s="27"/>
      <c r="LV34" s="27"/>
      <c r="LW34" s="1107">
        <f t="shared" si="55"/>
        <v>0</v>
      </c>
      <c r="LX34" s="2269"/>
      <c r="LY34" s="2269"/>
      <c r="LZ34" s="27"/>
      <c r="MA34" s="27"/>
      <c r="MB34" s="33"/>
      <c r="MC34" s="28">
        <f t="shared" si="56"/>
        <v>0</v>
      </c>
      <c r="MD34" s="26"/>
      <c r="ME34" s="36"/>
      <c r="MF34" s="27"/>
      <c r="MG34" s="27"/>
      <c r="MH34" s="27"/>
      <c r="MI34" s="28"/>
      <c r="MJ34" s="36"/>
      <c r="MK34" s="36"/>
      <c r="ML34" s="27"/>
      <c r="MM34" s="27"/>
      <c r="MN34" s="27"/>
      <c r="MO34" s="28"/>
      <c r="MP34" s="36"/>
      <c r="MQ34" s="36"/>
      <c r="MR34" s="27"/>
      <c r="MS34" s="27"/>
      <c r="MT34" s="27"/>
      <c r="MU34" s="33">
        <f t="shared" si="57"/>
        <v>0</v>
      </c>
      <c r="MV34" s="2688"/>
      <c r="MX34" s="26">
        <f t="shared" si="58"/>
        <v>205687.68004856003</v>
      </c>
      <c r="MY34" s="27">
        <f t="shared" si="59"/>
        <v>187444.71785017918</v>
      </c>
      <c r="MZ34" s="27">
        <f t="shared" si="60"/>
        <v>22558.478559023402</v>
      </c>
      <c r="NA34" s="28">
        <f t="shared" si="61"/>
        <v>419252.12855850992</v>
      </c>
      <c r="NB34" s="2621"/>
      <c r="NC34" s="23">
        <f t="shared" si="123"/>
        <v>124797.10051155</v>
      </c>
      <c r="ND34" s="1579">
        <f t="shared" si="124"/>
        <v>80890.57953701001</v>
      </c>
      <c r="NE34" s="60">
        <f t="shared" si="64"/>
        <v>0</v>
      </c>
      <c r="NF34" s="275">
        <f t="shared" si="4"/>
        <v>205687.68004856003</v>
      </c>
      <c r="NG34" s="26">
        <f t="shared" si="128"/>
        <v>0</v>
      </c>
      <c r="NH34" s="27">
        <f t="shared" si="128"/>
        <v>0</v>
      </c>
      <c r="NI34" s="27">
        <f t="shared" si="128"/>
        <v>0</v>
      </c>
      <c r="NJ34" s="27">
        <f t="shared" si="128"/>
        <v>0</v>
      </c>
      <c r="NK34" s="27">
        <f t="shared" si="128"/>
        <v>0</v>
      </c>
      <c r="NL34" s="33">
        <f t="shared" si="128"/>
        <v>0</v>
      </c>
      <c r="NM34" s="27">
        <f t="shared" si="128"/>
        <v>0</v>
      </c>
      <c r="NN34" s="36">
        <f t="shared" si="128"/>
        <v>0</v>
      </c>
      <c r="NO34" s="24">
        <f t="shared" si="111"/>
        <v>14337.784219200563</v>
      </c>
      <c r="NP34" s="27">
        <f t="shared" si="128"/>
        <v>26196.696072681989</v>
      </c>
      <c r="NQ34" s="24">
        <f t="shared" si="112"/>
        <v>8756.5482322711578</v>
      </c>
      <c r="NR34" s="24">
        <f t="shared" si="113"/>
        <v>11631.9948469876</v>
      </c>
      <c r="NS34" s="27">
        <f t="shared" si="0"/>
        <v>60923.023371141302</v>
      </c>
      <c r="NT34" s="27">
        <f t="shared" si="129"/>
        <v>0</v>
      </c>
      <c r="NU34" s="27">
        <f t="shared" si="129"/>
        <v>0</v>
      </c>
      <c r="NV34" s="27">
        <f t="shared" si="129"/>
        <v>0</v>
      </c>
      <c r="NW34" s="27">
        <f t="shared" si="129"/>
        <v>0</v>
      </c>
      <c r="NX34" s="27">
        <f t="shared" si="129"/>
        <v>0</v>
      </c>
      <c r="NY34" s="5">
        <f t="shared" si="129"/>
        <v>0</v>
      </c>
      <c r="NZ34" s="27">
        <f t="shared" si="129"/>
        <v>8600.4003682352468</v>
      </c>
      <c r="OA34" s="27">
        <f t="shared" si="129"/>
        <v>0</v>
      </c>
      <c r="OB34" s="27">
        <f t="shared" si="129"/>
        <v>85778.797327968045</v>
      </c>
      <c r="OC34" s="27"/>
      <c r="OD34" s="24">
        <f t="shared" si="132"/>
        <v>454.51223506073143</v>
      </c>
      <c r="OE34" s="27">
        <f t="shared" si="127"/>
        <v>0</v>
      </c>
      <c r="OF34" s="28">
        <f t="shared" si="1"/>
        <v>94833.70993126402</v>
      </c>
      <c r="OG34" s="27">
        <f t="shared" si="131"/>
        <v>0</v>
      </c>
      <c r="OH34" s="27">
        <f t="shared" si="131"/>
        <v>0</v>
      </c>
      <c r="OI34" s="27">
        <f t="shared" si="131"/>
        <v>0</v>
      </c>
      <c r="OJ34" s="27">
        <f t="shared" si="131"/>
        <v>0</v>
      </c>
      <c r="OK34" s="27">
        <f t="shared" si="131"/>
        <v>0</v>
      </c>
      <c r="OL34" s="27">
        <f t="shared" si="131"/>
        <v>0</v>
      </c>
      <c r="OM34" s="24">
        <f t="shared" si="131"/>
        <v>0</v>
      </c>
      <c r="ON34" s="27">
        <f t="shared" si="131"/>
        <v>0</v>
      </c>
      <c r="OO34" s="24">
        <f t="shared" si="118"/>
        <v>24831.054547773834</v>
      </c>
      <c r="OP34" s="27">
        <f t="shared" si="131"/>
        <v>0</v>
      </c>
      <c r="OQ34" s="24">
        <f t="shared" si="131"/>
        <v>6856.93</v>
      </c>
      <c r="OR34" s="27">
        <f t="shared" si="131"/>
        <v>0</v>
      </c>
      <c r="OS34" s="28">
        <f t="shared" si="2"/>
        <v>31687.984547773834</v>
      </c>
      <c r="OT34" s="36"/>
      <c r="OU34" s="27"/>
      <c r="OV34" s="27"/>
      <c r="OW34" s="27"/>
      <c r="OX34" s="27"/>
      <c r="OY34" s="27"/>
      <c r="OZ34" s="28">
        <f t="shared" si="69"/>
        <v>0</v>
      </c>
      <c r="PA34" s="36">
        <f t="shared" si="70"/>
        <v>0</v>
      </c>
      <c r="PB34" s="27">
        <f t="shared" si="71"/>
        <v>0</v>
      </c>
      <c r="PC34" s="27">
        <f t="shared" si="72"/>
        <v>0</v>
      </c>
      <c r="PD34" s="27">
        <f t="shared" si="73"/>
        <v>0</v>
      </c>
      <c r="PE34" s="24"/>
      <c r="PF34" s="27">
        <f t="shared" si="74"/>
        <v>0</v>
      </c>
      <c r="PG34" s="33">
        <f t="shared" si="3"/>
        <v>0</v>
      </c>
      <c r="PH34" s="2621"/>
      <c r="PJ34" s="2261">
        <v>1448.74</v>
      </c>
      <c r="PK34" s="2192">
        <v>327</v>
      </c>
      <c r="PL34" s="2262">
        <v>109</v>
      </c>
      <c r="PM34" s="8">
        <v>553.25</v>
      </c>
      <c r="PN34" s="3">
        <v>33878.789776580685</v>
      </c>
      <c r="PO34" s="11">
        <f t="shared" si="75"/>
        <v>22558.478559023402</v>
      </c>
      <c r="PP34" s="15"/>
      <c r="PQ34" s="2615"/>
      <c r="PS34" s="4"/>
      <c r="PT34" s="9"/>
      <c r="PU34" s="9"/>
      <c r="PV34" s="9"/>
      <c r="PW34" s="8">
        <v>0</v>
      </c>
      <c r="PX34" s="9"/>
      <c r="PY34" s="8">
        <f t="shared" si="76"/>
        <v>0</v>
      </c>
      <c r="PZ34" s="5">
        <f t="shared" si="77"/>
        <v>1448.74</v>
      </c>
      <c r="QA34" s="5"/>
      <c r="QB34" s="5"/>
      <c r="QC34" s="5"/>
      <c r="QD34" s="5"/>
      <c r="QE34" s="5"/>
      <c r="QF34" s="12"/>
      <c r="QG34" s="12">
        <f t="shared" si="78"/>
        <v>29562.488999999998</v>
      </c>
      <c r="QH34" s="420">
        <f t="shared" si="79"/>
        <v>387564.89955850993</v>
      </c>
      <c r="QI34" s="1106">
        <f t="shared" si="80"/>
        <v>2124.7399999999998</v>
      </c>
      <c r="QJ34" s="484">
        <f t="shared" si="81"/>
        <v>5505.3678056099998</v>
      </c>
      <c r="QK34" s="12"/>
      <c r="QL34" s="2615"/>
      <c r="QN34" s="139">
        <f t="shared" si="82"/>
        <v>0</v>
      </c>
      <c r="QO34" s="139" t="str">
        <f t="shared" si="83"/>
        <v/>
      </c>
      <c r="QQ34" s="139">
        <f t="shared" si="84"/>
        <v>0</v>
      </c>
      <c r="QR34" s="139">
        <f t="shared" si="85"/>
        <v>0</v>
      </c>
      <c r="QT34" s="1">
        <f t="shared" si="86"/>
        <v>0</v>
      </c>
      <c r="QU34" s="1">
        <f t="shared" si="87"/>
        <v>0</v>
      </c>
      <c r="QV34" s="1">
        <f t="shared" si="88"/>
        <v>0</v>
      </c>
      <c r="QW34" s="1">
        <f t="shared" si="89"/>
        <v>0</v>
      </c>
      <c r="QX34" s="1">
        <f t="shared" si="90"/>
        <v>0</v>
      </c>
      <c r="QY34" s="1">
        <f t="shared" si="91"/>
        <v>0</v>
      </c>
      <c r="RA34" s="1">
        <f t="shared" si="92"/>
        <v>0</v>
      </c>
      <c r="RB34" s="1">
        <f t="shared" si="93"/>
        <v>0</v>
      </c>
      <c r="RC34" s="1">
        <f t="shared" si="94"/>
        <v>0</v>
      </c>
      <c r="RD34" s="1">
        <f t="shared" si="95"/>
        <v>0</v>
      </c>
      <c r="RE34" s="1">
        <f t="shared" si="96"/>
        <v>0</v>
      </c>
      <c r="RF34" s="1">
        <f t="shared" si="97"/>
        <v>0</v>
      </c>
      <c r="RI34" s="1">
        <v>25</v>
      </c>
      <c r="RJ34" s="1">
        <f t="shared" si="125"/>
        <v>62248.948209717106</v>
      </c>
      <c r="RK34" s="1">
        <f t="shared" si="125"/>
        <v>7298.9887804837208</v>
      </c>
      <c r="RL34" s="1">
        <f t="shared" si="125"/>
        <v>13404.263703387322</v>
      </c>
      <c r="RM34" s="89">
        <f t="shared" si="5"/>
        <v>82952.200693588151</v>
      </c>
      <c r="RN34" s="1033">
        <v>25</v>
      </c>
      <c r="RO34" s="1098">
        <f t="shared" si="99"/>
        <v>0</v>
      </c>
      <c r="RP34" s="1098">
        <f t="shared" si="100"/>
        <v>0</v>
      </c>
      <c r="RQ34" s="1097">
        <f t="shared" si="100"/>
        <v>0</v>
      </c>
      <c r="RR34" s="1097">
        <f t="shared" si="101"/>
        <v>11509.82</v>
      </c>
      <c r="RS34" s="1094"/>
      <c r="RT34" s="1094" t="s">
        <v>358</v>
      </c>
      <c r="RW34" s="421">
        <v>25</v>
      </c>
      <c r="RX34" s="1095">
        <f t="shared" si="102"/>
        <v>8274.84</v>
      </c>
      <c r="RY34" s="1046" t="s">
        <v>359</v>
      </c>
      <c r="SA34" s="1090"/>
      <c r="SB34" s="1090">
        <f t="shared" si="103"/>
        <v>0</v>
      </c>
      <c r="SC34" s="1090"/>
      <c r="SD34" s="1090">
        <f t="shared" si="126"/>
        <v>0</v>
      </c>
      <c r="SF34" s="1">
        <v>25</v>
      </c>
      <c r="SG34" s="1">
        <f t="shared" si="105"/>
        <v>553.25</v>
      </c>
      <c r="SH34" s="1094" t="s">
        <v>360</v>
      </c>
    </row>
    <row r="35" spans="1:502" s="1" customFormat="1">
      <c r="B35" s="471">
        <v>26</v>
      </c>
      <c r="C35" s="4">
        <f t="shared" si="6"/>
        <v>169556</v>
      </c>
      <c r="D35" s="1726">
        <f t="shared" si="119"/>
        <v>12766.240000000002</v>
      </c>
      <c r="E35" s="1895">
        <f t="shared" si="7"/>
        <v>13.281592700748222</v>
      </c>
      <c r="F35" s="870"/>
      <c r="G35" s="870"/>
      <c r="H35" s="52"/>
      <c r="I35" s="61"/>
      <c r="J35" s="52"/>
      <c r="K35" s="54"/>
      <c r="L35" s="52"/>
      <c r="M35" s="61"/>
      <c r="N35" s="2629"/>
      <c r="O35" s="4">
        <f t="shared" si="117"/>
        <v>112350</v>
      </c>
      <c r="P35" s="1225">
        <f t="shared" si="8"/>
        <v>7253.9000000000015</v>
      </c>
      <c r="Q35" s="1913">
        <f t="shared" si="9"/>
        <v>15.488220129861174</v>
      </c>
      <c r="R35" s="33"/>
      <c r="S35" s="26">
        <f t="shared" si="10"/>
        <v>39023</v>
      </c>
      <c r="T35" s="27">
        <f t="shared" si="107"/>
        <v>2632.3399999999997</v>
      </c>
      <c r="U35" s="1909">
        <f t="shared" si="11"/>
        <v>14.824452768259421</v>
      </c>
      <c r="V35" s="28"/>
      <c r="W35" s="26">
        <f t="shared" si="12"/>
        <v>18183</v>
      </c>
      <c r="X35" s="5">
        <f t="shared" si="12"/>
        <v>2880</v>
      </c>
      <c r="Y35" s="1909">
        <f t="shared" si="13"/>
        <v>6.3135416666666666</v>
      </c>
      <c r="Z35" s="33"/>
      <c r="AA35" s="26">
        <f t="shared" si="14"/>
        <v>0</v>
      </c>
      <c r="AB35" s="27">
        <f t="shared" si="15"/>
        <v>0</v>
      </c>
      <c r="AC35" s="53">
        <f t="shared" si="16"/>
        <v>0</v>
      </c>
      <c r="AD35" s="28"/>
      <c r="AE35" s="36"/>
      <c r="AF35" s="36"/>
      <c r="AG35" s="53">
        <f t="shared" si="17"/>
        <v>0</v>
      </c>
      <c r="AH35" s="28"/>
      <c r="AI35" s="26"/>
      <c r="AJ35" s="27"/>
      <c r="AK35" s="53">
        <f t="shared" si="18"/>
        <v>0</v>
      </c>
      <c r="AL35" s="28"/>
      <c r="AM35" s="2629"/>
      <c r="AN35" s="9"/>
      <c r="AO35" s="5"/>
      <c r="AP35" s="61">
        <f t="shared" si="19"/>
        <v>0</v>
      </c>
      <c r="AQ35" s="36"/>
      <c r="AR35" s="53"/>
      <c r="AS35" s="61">
        <f t="shared" si="20"/>
        <v>0</v>
      </c>
      <c r="AT35" s="36">
        <v>0</v>
      </c>
      <c r="AU35" s="27"/>
      <c r="AV35" s="54">
        <f t="shared" si="21"/>
        <v>0</v>
      </c>
      <c r="AW35" s="26">
        <v>58884</v>
      </c>
      <c r="AX35" s="27">
        <v>4119.8200000000006</v>
      </c>
      <c r="AY35" s="1895">
        <f t="shared" si="115"/>
        <v>14.29285745493735</v>
      </c>
      <c r="AZ35" s="1908"/>
      <c r="BA35" s="1909"/>
      <c r="BB35" s="1895">
        <f t="shared" si="22"/>
        <v>0</v>
      </c>
      <c r="BC35" s="1908">
        <v>53466</v>
      </c>
      <c r="BD35" s="1926">
        <v>3134.0800000000004</v>
      </c>
      <c r="BE35" s="1895">
        <f t="shared" si="23"/>
        <v>17.059551766387582</v>
      </c>
      <c r="BF35" s="1908"/>
      <c r="BG35" s="1909"/>
      <c r="BH35" s="1895">
        <f t="shared" si="24"/>
        <v>0</v>
      </c>
      <c r="BI35" s="1908">
        <v>0</v>
      </c>
      <c r="BJ35" s="1909">
        <v>0</v>
      </c>
      <c r="BK35" s="1895">
        <f t="shared" si="25"/>
        <v>0</v>
      </c>
      <c r="BL35" s="1742">
        <v>39023</v>
      </c>
      <c r="BM35" s="1909">
        <v>2632.3399999999997</v>
      </c>
      <c r="BN35" s="2170"/>
      <c r="BO35" s="1895">
        <f t="shared" si="26"/>
        <v>14.824452768259421</v>
      </c>
      <c r="BP35" s="9"/>
      <c r="BQ35" s="64"/>
      <c r="BR35" s="61">
        <f t="shared" si="27"/>
        <v>0</v>
      </c>
      <c r="BS35" s="36"/>
      <c r="BT35" s="53"/>
      <c r="BU35" s="61">
        <f t="shared" si="28"/>
        <v>0</v>
      </c>
      <c r="BV35" s="36">
        <v>18183</v>
      </c>
      <c r="BW35" s="5">
        <v>2880</v>
      </c>
      <c r="BX35" s="28">
        <f t="shared" si="29"/>
        <v>6.3135416666666666</v>
      </c>
      <c r="BY35" s="4"/>
      <c r="BZ35" s="5"/>
      <c r="CA35" s="61">
        <f t="shared" si="30"/>
        <v>0</v>
      </c>
      <c r="CB35" s="36"/>
      <c r="CC35" s="5"/>
      <c r="CD35" s="61">
        <f t="shared" si="31"/>
        <v>0</v>
      </c>
      <c r="CE35" s="26"/>
      <c r="CF35" s="5"/>
      <c r="CG35" s="28">
        <f t="shared" si="32"/>
        <v>0</v>
      </c>
      <c r="CH35" s="150"/>
      <c r="CI35" s="1108"/>
      <c r="CJ35" s="5"/>
      <c r="CK35" s="5">
        <v>1490</v>
      </c>
      <c r="CL35" s="5"/>
      <c r="CM35" s="5"/>
      <c r="CN35" s="5"/>
      <c r="CO35" s="33"/>
      <c r="CP35" s="366"/>
      <c r="CR35" s="4">
        <f t="shared" si="134"/>
        <v>0</v>
      </c>
      <c r="CS35" s="9">
        <f t="shared" si="134"/>
        <v>0</v>
      </c>
      <c r="CT35" s="5">
        <f t="shared" si="134"/>
        <v>0</v>
      </c>
      <c r="CU35" s="5">
        <f t="shared" si="133"/>
        <v>0</v>
      </c>
      <c r="CV35" s="5">
        <f t="shared" si="133"/>
        <v>0</v>
      </c>
      <c r="CW35" s="5">
        <f t="shared" si="133"/>
        <v>0</v>
      </c>
      <c r="CX35" s="5">
        <f t="shared" si="133"/>
        <v>440.9</v>
      </c>
      <c r="CY35" s="5">
        <f t="shared" si="133"/>
        <v>0</v>
      </c>
      <c r="CZ35" s="5">
        <f t="shared" si="133"/>
        <v>11985.34</v>
      </c>
      <c r="DA35" s="5">
        <f t="shared" si="133"/>
        <v>0</v>
      </c>
      <c r="DB35" s="5">
        <f t="shared" si="133"/>
        <v>340</v>
      </c>
      <c r="DC35" s="12">
        <f t="shared" si="133"/>
        <v>0</v>
      </c>
      <c r="DD35" s="310">
        <f>SUM(CR35:DC35,PW35)</f>
        <v>12766.24</v>
      </c>
      <c r="DE35" s="2695"/>
      <c r="DF35" s="8"/>
      <c r="DG35" s="9"/>
      <c r="DH35" s="5"/>
      <c r="DI35" s="5"/>
      <c r="DJ35" s="5"/>
      <c r="DK35" s="5"/>
      <c r="DL35" s="3">
        <v>440.9</v>
      </c>
      <c r="DM35" s="5"/>
      <c r="DN35" s="3">
        <v>3678.92</v>
      </c>
      <c r="DO35" s="5"/>
      <c r="DP35" s="5"/>
      <c r="DQ35" s="12"/>
      <c r="DR35" s="28">
        <f t="shared" si="35"/>
        <v>4119.82</v>
      </c>
      <c r="DS35" s="36"/>
      <c r="DT35" s="36"/>
      <c r="DU35" s="27"/>
      <c r="DV35" s="27"/>
      <c r="DW35" s="27"/>
      <c r="DX35" s="27"/>
      <c r="DY35" s="27"/>
      <c r="DZ35" s="27"/>
      <c r="EA35" s="3">
        <v>5766.42</v>
      </c>
      <c r="EB35" s="27"/>
      <c r="EC35" s="24">
        <v>0</v>
      </c>
      <c r="ED35" s="33"/>
      <c r="EE35" s="28">
        <f t="shared" si="36"/>
        <v>5766.42</v>
      </c>
      <c r="EF35" s="9"/>
      <c r="EG35" s="36"/>
      <c r="EH35" s="27"/>
      <c r="EI35" s="27"/>
      <c r="EJ35" s="27"/>
      <c r="EK35" s="27"/>
      <c r="EL35" s="27"/>
      <c r="EM35" s="27"/>
      <c r="EN35" s="5">
        <v>2540</v>
      </c>
      <c r="EO35" s="5"/>
      <c r="EP35" s="5">
        <v>340</v>
      </c>
      <c r="EQ35" s="33"/>
      <c r="ER35" s="28">
        <f t="shared" si="37"/>
        <v>2880</v>
      </c>
      <c r="ES35" s="36"/>
      <c r="ET35" s="27"/>
      <c r="EU35" s="27"/>
      <c r="EV35" s="27"/>
      <c r="EW35" s="27"/>
      <c r="EX35" s="27"/>
      <c r="EY35" s="33">
        <f t="shared" si="38"/>
        <v>0</v>
      </c>
      <c r="EZ35" s="2685"/>
      <c r="FB35" s="4">
        <f t="shared" si="39"/>
        <v>0</v>
      </c>
      <c r="FC35" s="5">
        <f t="shared" si="40"/>
        <v>0</v>
      </c>
      <c r="FD35" s="5">
        <f t="shared" si="41"/>
        <v>1391.8799999999999</v>
      </c>
      <c r="FE35" s="12">
        <f t="shared" si="42"/>
        <v>1391.8799999999999</v>
      </c>
      <c r="FF35" s="33"/>
      <c r="FG35" s="2674"/>
      <c r="FH35" s="9"/>
      <c r="FI35" s="5"/>
      <c r="FJ35" s="5"/>
      <c r="FK35" s="5"/>
      <c r="FL35" s="5"/>
      <c r="FM35" s="27"/>
      <c r="FN35" s="28">
        <f t="shared" si="43"/>
        <v>0</v>
      </c>
      <c r="FO35" s="36"/>
      <c r="FP35" s="27"/>
      <c r="FQ35" s="27"/>
      <c r="FR35" s="27"/>
      <c r="FS35" s="27"/>
      <c r="FT35" s="27"/>
      <c r="FU35" s="28">
        <f t="shared" si="44"/>
        <v>0</v>
      </c>
      <c r="FV35" s="36"/>
      <c r="FW35" s="36"/>
      <c r="FX35" s="27"/>
      <c r="FY35" s="27"/>
      <c r="FZ35" s="27"/>
      <c r="GA35" s="27"/>
      <c r="GB35" s="27"/>
      <c r="GC35" s="27"/>
      <c r="GD35" s="27">
        <v>1391.8799999999999</v>
      </c>
      <c r="GE35" s="27"/>
      <c r="GF35" s="27"/>
      <c r="GG35" s="33"/>
      <c r="GH35" s="33">
        <f t="shared" si="45"/>
        <v>1391.8799999999999</v>
      </c>
      <c r="GI35" s="2674"/>
      <c r="GK35" s="2">
        <f t="shared" si="108"/>
        <v>2546.96</v>
      </c>
      <c r="GL35" s="63">
        <f t="shared" si="109"/>
        <v>4080.63</v>
      </c>
      <c r="GM35" s="24">
        <f t="shared" si="110"/>
        <v>3716.6099999999997</v>
      </c>
      <c r="GN35" s="1736">
        <f t="shared" si="46"/>
        <v>10344.200000000001</v>
      </c>
      <c r="GO35" s="141"/>
      <c r="GP35" s="141"/>
      <c r="GQ35" s="33"/>
      <c r="GR35" s="2667"/>
      <c r="GS35" s="1739">
        <v>0</v>
      </c>
      <c r="GT35" s="1721">
        <v>322.75</v>
      </c>
      <c r="GU35" s="1721">
        <v>5250.7</v>
      </c>
      <c r="GV35" s="1721">
        <v>4770.7499999999991</v>
      </c>
      <c r="GW35" s="33">
        <f t="shared" si="47"/>
        <v>10344.199999999999</v>
      </c>
      <c r="GX35" s="2667"/>
      <c r="GY35" s="36"/>
      <c r="GZ35" s="36"/>
      <c r="HA35" s="27"/>
      <c r="HB35" s="27"/>
      <c r="HC35" s="27"/>
      <c r="HD35" s="27"/>
      <c r="HE35" s="27"/>
      <c r="HF35" s="27"/>
      <c r="HG35" s="24">
        <v>2224.21</v>
      </c>
      <c r="HH35" s="27"/>
      <c r="HI35" s="24">
        <v>0</v>
      </c>
      <c r="HJ35" s="27"/>
      <c r="HK35" s="24">
        <v>322.75</v>
      </c>
      <c r="HL35" s="27"/>
      <c r="HM35" s="28">
        <f t="shared" si="120"/>
        <v>2546.96</v>
      </c>
      <c r="HN35" s="36"/>
      <c r="HO35" s="27"/>
      <c r="HP35" s="27"/>
      <c r="HQ35" s="27"/>
      <c r="HR35" s="27"/>
      <c r="HS35" s="27"/>
      <c r="HT35" s="27" cm="1">
        <f t="array" ref="HT35">SUMPRODUCT(('Data Base hauling'!$C$2:$C$216="TCM-ROM SB1 BK05-ROM 4")*(ISNUMBER(SEARCH(TEXT('June TCM'!$B35,"00")&amp;"/03/2026",'Data Base hauling'!$E$2:$E$216)))*'Data Base hauling'!$N$2:$N$216)</f>
        <v>0</v>
      </c>
      <c r="HU35" s="27"/>
      <c r="HV35" s="27" cm="1">
        <f t="array" ref="HV35">SUMPRODUCT(('Data Base hauling'!$C$2:$C$216="TCM-ROM SB1 BK05-ROM 5")*(ISNUMBER(SEARCH(TEXT('June TCM'!$B35,"00")&amp;"/03/2026",'Data Base hauling'!$E$2:$E$216)))*'Data Base hauling'!$N$2:$N$216)</f>
        <v>0</v>
      </c>
      <c r="HW35" s="27"/>
      <c r="HX35" s="27"/>
      <c r="HY35" s="27"/>
      <c r="HZ35" s="27"/>
      <c r="IA35" s="27"/>
      <c r="IB35" s="33">
        <f t="shared" si="49"/>
        <v>0</v>
      </c>
      <c r="IC35" s="52"/>
      <c r="ID35" s="152"/>
      <c r="IE35" s="53"/>
      <c r="IF35" s="53"/>
      <c r="IG35" s="53"/>
      <c r="IH35" s="53"/>
      <c r="II35" s="1926">
        <v>0</v>
      </c>
      <c r="IJ35" s="1736"/>
      <c r="IK35" s="1926">
        <v>4080.63</v>
      </c>
      <c r="IL35" s="53"/>
      <c r="IM35" s="49">
        <v>0</v>
      </c>
      <c r="IN35" s="53"/>
      <c r="IO35" s="53"/>
      <c r="IP35" s="49">
        <f>SUMPRODUCT(('Data Base hauling'!$C$2:$C$216="TCM-HAC1 (Production)-ROM 2(HAC)")*(ISNUMBER(SEARCH(TEXT('June TCM'!$B35,"00")&amp;"/06/2026",'Data Base hauling'!$E$2:$E$216)))*'Data Base hauling'!$N$2:$N$216)</f>
        <v>0</v>
      </c>
      <c r="IQ35" s="2195">
        <f t="shared" si="121"/>
        <v>4080.63</v>
      </c>
      <c r="IR35" s="36"/>
      <c r="IS35" s="36"/>
      <c r="IT35" s="27"/>
      <c r="IU35" s="27"/>
      <c r="IV35" s="53"/>
      <c r="IW35" s="27"/>
      <c r="IX35" s="24">
        <v>0</v>
      </c>
      <c r="IY35" s="27"/>
      <c r="IZ35" s="24">
        <v>3716.6099999999997</v>
      </c>
      <c r="JA35" s="27"/>
      <c r="JB35" s="24">
        <v>0</v>
      </c>
      <c r="JC35" s="27"/>
      <c r="JD35" s="27"/>
      <c r="JE35" s="27"/>
      <c r="JF35" s="33">
        <f t="shared" si="122"/>
        <v>3716.6099999999997</v>
      </c>
      <c r="JG35" s="2667"/>
      <c r="JI35" s="2014">
        <v>10344.199999999999</v>
      </c>
      <c r="JJ35" s="2015">
        <v>0</v>
      </c>
      <c r="JK35" s="53"/>
      <c r="JL35" s="53">
        <f t="shared" si="52"/>
        <v>10344.199999999999</v>
      </c>
      <c r="JM35" s="33"/>
      <c r="JN35" s="2669"/>
      <c r="JO35" s="66">
        <v>0</v>
      </c>
      <c r="JP35" s="67">
        <v>0</v>
      </c>
      <c r="JQ35" s="67">
        <v>0</v>
      </c>
      <c r="JR35" s="67">
        <v>0</v>
      </c>
      <c r="JS35" s="67">
        <v>0.96879894046905513</v>
      </c>
      <c r="JT35" s="67">
        <v>0</v>
      </c>
      <c r="JU35" s="67">
        <v>3.1201059530944882E-2</v>
      </c>
      <c r="JV35" s="1921">
        <v>0</v>
      </c>
      <c r="JW35" s="66" t="s">
        <v>296</v>
      </c>
      <c r="JX35" s="67" t="s">
        <v>296</v>
      </c>
      <c r="JY35" s="67" t="s">
        <v>296</v>
      </c>
      <c r="JZ35" s="67" t="s">
        <v>296</v>
      </c>
      <c r="KA35" s="67" t="s">
        <v>296</v>
      </c>
      <c r="KB35" s="67" t="s">
        <v>296</v>
      </c>
      <c r="KC35" s="67" t="s">
        <v>296</v>
      </c>
      <c r="KD35" s="68" t="s">
        <v>296</v>
      </c>
      <c r="KE35" s="69"/>
      <c r="KF35" s="70"/>
      <c r="KG35" s="70"/>
      <c r="KH35" s="70"/>
      <c r="KI35" s="70"/>
      <c r="KJ35" s="70"/>
      <c r="KK35" s="70"/>
      <c r="KL35" s="70"/>
      <c r="KM35" s="33"/>
      <c r="KN35" s="2669"/>
      <c r="KO35" s="2203">
        <v>7015.8869731800769</v>
      </c>
      <c r="KP35" s="1721">
        <v>1.3975938697318009</v>
      </c>
      <c r="KQ35" s="1721">
        <v>2.8139501915708811</v>
      </c>
      <c r="KR35" s="1721">
        <v>6.3335900383141759</v>
      </c>
      <c r="KS35" s="1722">
        <v>9.9021187739463592</v>
      </c>
      <c r="KT35" s="1958">
        <v>0</v>
      </c>
      <c r="KU35" s="1961">
        <v>0</v>
      </c>
      <c r="KV35" s="1961">
        <v>0</v>
      </c>
      <c r="KW35" s="1961">
        <v>0</v>
      </c>
      <c r="KX35" s="1962">
        <v>0</v>
      </c>
      <c r="KY35" s="36"/>
      <c r="KZ35" s="53"/>
      <c r="LA35" s="53"/>
      <c r="LB35" s="53"/>
      <c r="LC35" s="53"/>
      <c r="LD35" s="33"/>
      <c r="LE35" s="2669"/>
      <c r="LG35" s="26">
        <f t="shared" si="53"/>
        <v>12850.39</v>
      </c>
      <c r="LH35" s="27">
        <f t="shared" si="53"/>
        <v>0</v>
      </c>
      <c r="LI35" s="27">
        <f t="shared" si="53"/>
        <v>0</v>
      </c>
      <c r="LJ35" s="28">
        <f t="shared" si="54"/>
        <v>12850.39</v>
      </c>
      <c r="LK35" s="36">
        <v>2</v>
      </c>
      <c r="LL35" s="27">
        <v>1</v>
      </c>
      <c r="LM35" s="27">
        <v>2</v>
      </c>
      <c r="LN35" s="33"/>
      <c r="LO35" s="1041">
        <v>6.5</v>
      </c>
      <c r="LP35" s="486"/>
      <c r="LQ35" s="2688"/>
      <c r="LR35" s="2269">
        <v>12850.39</v>
      </c>
      <c r="LS35" s="2269"/>
      <c r="LT35" s="27"/>
      <c r="LU35" s="27"/>
      <c r="LV35" s="27"/>
      <c r="LW35" s="1107">
        <f t="shared" si="55"/>
        <v>12850.39</v>
      </c>
      <c r="LX35" s="2269"/>
      <c r="LY35" s="2269"/>
      <c r="LZ35" s="27"/>
      <c r="MA35" s="27"/>
      <c r="MB35" s="33"/>
      <c r="MC35" s="28">
        <f t="shared" si="56"/>
        <v>0</v>
      </c>
      <c r="MD35" s="26"/>
      <c r="ME35" s="36"/>
      <c r="MF35" s="27"/>
      <c r="MG35" s="27"/>
      <c r="MH35" s="27"/>
      <c r="MI35" s="28"/>
      <c r="MJ35" s="36"/>
      <c r="MK35" s="36"/>
      <c r="ML35" s="27"/>
      <c r="MM35" s="27"/>
      <c r="MN35" s="27"/>
      <c r="MO35" s="28"/>
      <c r="MP35" s="36"/>
      <c r="MQ35" s="36"/>
      <c r="MR35" s="27"/>
      <c r="MS35" s="27"/>
      <c r="MT35" s="27"/>
      <c r="MU35" s="33">
        <f t="shared" si="57"/>
        <v>0</v>
      </c>
      <c r="MV35" s="2688"/>
      <c r="MX35" s="26">
        <f t="shared" si="58"/>
        <v>203181.49004856002</v>
      </c>
      <c r="MY35" s="27">
        <f t="shared" si="59"/>
        <v>191581.38785017916</v>
      </c>
      <c r="MZ35" s="27">
        <f t="shared" si="60"/>
        <v>22603.728559023402</v>
      </c>
      <c r="NA35" s="28">
        <f t="shared" si="61"/>
        <v>416425.04855850991</v>
      </c>
      <c r="NB35" s="2621"/>
      <c r="NC35" s="23">
        <f t="shared" si="123"/>
        <v>122290.91051155001</v>
      </c>
      <c r="ND35" s="1579">
        <f t="shared" si="124"/>
        <v>80890.57953701001</v>
      </c>
      <c r="NE35" s="60">
        <f t="shared" si="64"/>
        <v>0</v>
      </c>
      <c r="NF35" s="275">
        <f t="shared" si="4"/>
        <v>203181.49004856002</v>
      </c>
      <c r="NG35" s="26">
        <f t="shared" si="128"/>
        <v>0</v>
      </c>
      <c r="NH35" s="27">
        <f t="shared" si="128"/>
        <v>0</v>
      </c>
      <c r="NI35" s="27">
        <f t="shared" si="128"/>
        <v>0</v>
      </c>
      <c r="NJ35" s="27">
        <f t="shared" si="128"/>
        <v>0</v>
      </c>
      <c r="NK35" s="27">
        <f t="shared" si="128"/>
        <v>0</v>
      </c>
      <c r="NL35" s="33">
        <f t="shared" si="128"/>
        <v>0</v>
      </c>
      <c r="NM35" s="27">
        <f t="shared" si="128"/>
        <v>0</v>
      </c>
      <c r="NN35" s="36">
        <f t="shared" si="128"/>
        <v>0</v>
      </c>
      <c r="NO35" s="24">
        <f t="shared" si="111"/>
        <v>14653.574219200564</v>
      </c>
      <c r="NP35" s="27">
        <f t="shared" si="128"/>
        <v>26196.696072681989</v>
      </c>
      <c r="NQ35" s="24">
        <f t="shared" si="112"/>
        <v>8756.5482322711578</v>
      </c>
      <c r="NR35" s="24">
        <f t="shared" si="113"/>
        <v>11971.9948469876</v>
      </c>
      <c r="NS35" s="27">
        <f t="shared" si="0"/>
        <v>61578.81337114131</v>
      </c>
      <c r="NT35" s="27">
        <f t="shared" si="129"/>
        <v>0</v>
      </c>
      <c r="NU35" s="27">
        <f t="shared" si="129"/>
        <v>0</v>
      </c>
      <c r="NV35" s="27">
        <f t="shared" si="129"/>
        <v>0</v>
      </c>
      <c r="NW35" s="27">
        <f t="shared" si="129"/>
        <v>0</v>
      </c>
      <c r="NX35" s="27">
        <f t="shared" si="129"/>
        <v>0</v>
      </c>
      <c r="NY35" s="5">
        <f t="shared" si="129"/>
        <v>0</v>
      </c>
      <c r="NZ35" s="27">
        <f t="shared" si="129"/>
        <v>9041.3003682352464</v>
      </c>
      <c r="OA35" s="27">
        <f t="shared" si="129"/>
        <v>0</v>
      </c>
      <c r="OB35" s="27">
        <f t="shared" si="129"/>
        <v>85377.087327968038</v>
      </c>
      <c r="OC35" s="27"/>
      <c r="OD35" s="24">
        <f t="shared" si="132"/>
        <v>454.51223506073143</v>
      </c>
      <c r="OE35" s="27">
        <f t="shared" si="127"/>
        <v>0</v>
      </c>
      <c r="OF35" s="28">
        <f t="shared" si="1"/>
        <v>94872.899931264008</v>
      </c>
      <c r="OG35" s="27">
        <f t="shared" si="131"/>
        <v>0</v>
      </c>
      <c r="OH35" s="27">
        <f t="shared" si="131"/>
        <v>0</v>
      </c>
      <c r="OI35" s="27">
        <f t="shared" si="131"/>
        <v>0</v>
      </c>
      <c r="OJ35" s="27">
        <f t="shared" si="131"/>
        <v>0</v>
      </c>
      <c r="OK35" s="27">
        <f t="shared" si="131"/>
        <v>0</v>
      </c>
      <c r="OL35" s="27">
        <f t="shared" si="131"/>
        <v>0</v>
      </c>
      <c r="OM35" s="24">
        <f t="shared" si="131"/>
        <v>0</v>
      </c>
      <c r="ON35" s="27">
        <f t="shared" si="131"/>
        <v>0</v>
      </c>
      <c r="OO35" s="24">
        <f t="shared" si="118"/>
        <v>28272.744547773833</v>
      </c>
      <c r="OP35" s="27">
        <f t="shared" si="131"/>
        <v>0</v>
      </c>
      <c r="OQ35" s="24">
        <f t="shared" si="131"/>
        <v>6856.93</v>
      </c>
      <c r="OR35" s="27">
        <f t="shared" si="131"/>
        <v>0</v>
      </c>
      <c r="OS35" s="28">
        <f t="shared" si="2"/>
        <v>35129.67454777383</v>
      </c>
      <c r="OT35" s="36"/>
      <c r="OU35" s="27"/>
      <c r="OV35" s="27"/>
      <c r="OW35" s="27"/>
      <c r="OX35" s="27"/>
      <c r="OY35" s="27"/>
      <c r="OZ35" s="28">
        <f t="shared" si="69"/>
        <v>0</v>
      </c>
      <c r="PA35" s="36">
        <f t="shared" si="70"/>
        <v>0</v>
      </c>
      <c r="PB35" s="27">
        <f t="shared" si="71"/>
        <v>0</v>
      </c>
      <c r="PC35" s="27">
        <f t="shared" si="72"/>
        <v>0</v>
      </c>
      <c r="PD35" s="27">
        <f t="shared" si="73"/>
        <v>0</v>
      </c>
      <c r="PE35" s="24"/>
      <c r="PF35" s="27">
        <f t="shared" si="74"/>
        <v>0</v>
      </c>
      <c r="PG35" s="33">
        <f t="shared" si="3"/>
        <v>0</v>
      </c>
      <c r="PH35" s="2621"/>
      <c r="PJ35" s="1907">
        <v>2827.0800000000004</v>
      </c>
      <c r="PK35" s="488">
        <v>1104</v>
      </c>
      <c r="PL35" s="488">
        <v>368</v>
      </c>
      <c r="PM35" s="3">
        <v>322.75</v>
      </c>
      <c r="PN35" s="3">
        <v>35601.869776580686</v>
      </c>
      <c r="PO35" s="11">
        <f t="shared" si="75"/>
        <v>22603.728559023402</v>
      </c>
      <c r="PP35" s="15"/>
      <c r="PQ35" s="2615"/>
      <c r="PS35" s="4"/>
      <c r="PT35" s="9"/>
      <c r="PU35" s="9"/>
      <c r="PV35" s="9"/>
      <c r="PW35" s="8">
        <v>0</v>
      </c>
      <c r="PX35" s="9"/>
      <c r="PY35" s="8">
        <f t="shared" si="76"/>
        <v>0</v>
      </c>
      <c r="PZ35" s="5">
        <f t="shared" si="77"/>
        <v>2827.0800000000004</v>
      </c>
      <c r="QA35" s="5"/>
      <c r="QB35" s="5"/>
      <c r="QC35" s="5"/>
      <c r="QD35" s="5"/>
      <c r="QE35" s="5"/>
      <c r="QF35" s="12"/>
      <c r="QG35" s="12">
        <f t="shared" si="78"/>
        <v>29562.488999999998</v>
      </c>
      <c r="QH35" s="420">
        <f t="shared" si="79"/>
        <v>384737.81955850992</v>
      </c>
      <c r="QI35" s="1106">
        <f t="shared" si="80"/>
        <v>2124.7399999999998</v>
      </c>
      <c r="QJ35" s="484">
        <f t="shared" si="81"/>
        <v>5505.3678056099998</v>
      </c>
      <c r="QK35" s="12"/>
      <c r="QL35" s="2615"/>
      <c r="QN35" s="139">
        <f t="shared" si="82"/>
        <v>0</v>
      </c>
      <c r="QO35" s="139" t="str">
        <f t="shared" si="83"/>
        <v/>
      </c>
      <c r="QQ35" s="139">
        <f t="shared" si="84"/>
        <v>0</v>
      </c>
      <c r="QR35" s="139">
        <f t="shared" si="85"/>
        <v>0</v>
      </c>
      <c r="QT35" s="1">
        <f t="shared" si="86"/>
        <v>0</v>
      </c>
      <c r="QU35" s="1">
        <f t="shared" si="87"/>
        <v>0</v>
      </c>
      <c r="QV35" s="1">
        <f t="shared" si="88"/>
        <v>0</v>
      </c>
      <c r="QW35" s="1">
        <f t="shared" si="89"/>
        <v>0</v>
      </c>
      <c r="QX35" s="1">
        <f t="shared" si="90"/>
        <v>0</v>
      </c>
      <c r="QY35" s="1">
        <f t="shared" si="91"/>
        <v>0</v>
      </c>
      <c r="RA35" s="1">
        <f t="shared" si="92"/>
        <v>0</v>
      </c>
      <c r="RB35" s="1">
        <f t="shared" si="93"/>
        <v>0</v>
      </c>
      <c r="RC35" s="1">
        <f t="shared" si="94"/>
        <v>0</v>
      </c>
      <c r="RD35" s="1">
        <f t="shared" si="95"/>
        <v>0</v>
      </c>
      <c r="RE35" s="1">
        <f t="shared" si="96"/>
        <v>0</v>
      </c>
      <c r="RF35" s="1">
        <f t="shared" si="97"/>
        <v>0</v>
      </c>
      <c r="RI35" s="1">
        <v>26</v>
      </c>
      <c r="RJ35" s="1">
        <f t="shared" ref="RJ35:RL40" si="135">+RJ34+JI35-LG35</f>
        <v>59742.758209717111</v>
      </c>
      <c r="RK35" s="1">
        <f t="shared" si="135"/>
        <v>7298.9887804837208</v>
      </c>
      <c r="RL35" s="1">
        <f t="shared" si="135"/>
        <v>13404.263703387322</v>
      </c>
      <c r="RM35" s="89">
        <f t="shared" si="5"/>
        <v>80446.010693588149</v>
      </c>
      <c r="RN35" s="1033">
        <v>26</v>
      </c>
      <c r="RO35" s="1098">
        <f t="shared" si="99"/>
        <v>0</v>
      </c>
      <c r="RP35" s="1098">
        <f t="shared" si="100"/>
        <v>0</v>
      </c>
      <c r="RQ35" s="1097">
        <f t="shared" si="100"/>
        <v>0</v>
      </c>
      <c r="RR35" s="1097">
        <f t="shared" si="101"/>
        <v>9886.24</v>
      </c>
      <c r="RS35" s="1050"/>
      <c r="RT35" s="1050" t="s">
        <v>361</v>
      </c>
      <c r="RU35" s="1048"/>
      <c r="RW35" s="421">
        <v>26</v>
      </c>
      <c r="RX35" s="1095">
        <f t="shared" si="102"/>
        <v>10344.199999999999</v>
      </c>
      <c r="RY35" s="1050" t="s">
        <v>362</v>
      </c>
      <c r="RZ35" s="1048"/>
      <c r="SA35" s="1090"/>
      <c r="SB35" s="1090">
        <f t="shared" si="103"/>
        <v>0</v>
      </c>
      <c r="SC35" s="1090"/>
      <c r="SD35" s="1090">
        <f t="shared" si="126"/>
        <v>0</v>
      </c>
      <c r="SF35" s="1">
        <v>26</v>
      </c>
      <c r="SG35" s="1">
        <f t="shared" si="105"/>
        <v>322.75</v>
      </c>
      <c r="SH35" s="1094" t="s">
        <v>363</v>
      </c>
    </row>
    <row r="36" spans="1:502" s="1" customFormat="1" ht="15">
      <c r="B36" s="471">
        <v>27</v>
      </c>
      <c r="C36" s="4">
        <f t="shared" si="6"/>
        <v>178119</v>
      </c>
      <c r="D36" s="1726">
        <f t="shared" si="119"/>
        <v>12675.480000000001</v>
      </c>
      <c r="E36" s="1895">
        <f t="shared" si="7"/>
        <v>14.052248908917058</v>
      </c>
      <c r="F36" s="870"/>
      <c r="G36" s="870"/>
      <c r="H36" s="52"/>
      <c r="I36" s="61"/>
      <c r="J36" s="52"/>
      <c r="K36" s="54"/>
      <c r="L36" s="52"/>
      <c r="M36" s="61"/>
      <c r="N36" s="2629"/>
      <c r="O36" s="4">
        <f t="shared" si="117"/>
        <v>115080</v>
      </c>
      <c r="P36" s="5">
        <f t="shared" si="8"/>
        <v>6792.9800000000005</v>
      </c>
      <c r="Q36" s="1913">
        <f t="shared" si="9"/>
        <v>16.941018522062482</v>
      </c>
      <c r="R36" s="33"/>
      <c r="S36" s="26">
        <f t="shared" si="10"/>
        <v>41600</v>
      </c>
      <c r="T36" s="27">
        <f t="shared" si="107"/>
        <v>2502.5000000000005</v>
      </c>
      <c r="U36" s="1909">
        <f t="shared" si="11"/>
        <v>16.623376623376622</v>
      </c>
      <c r="V36" s="28"/>
      <c r="W36" s="26">
        <f t="shared" si="12"/>
        <v>21439</v>
      </c>
      <c r="X36" s="5">
        <f t="shared" si="12"/>
        <v>3380</v>
      </c>
      <c r="Y36" s="1909">
        <f t="shared" si="13"/>
        <v>6.3428994082840235</v>
      </c>
      <c r="Z36" s="33"/>
      <c r="AA36" s="26">
        <f t="shared" si="14"/>
        <v>0</v>
      </c>
      <c r="AB36" s="27">
        <f t="shared" si="15"/>
        <v>0</v>
      </c>
      <c r="AC36" s="53">
        <f t="shared" si="16"/>
        <v>0</v>
      </c>
      <c r="AD36" s="28"/>
      <c r="AE36" s="36"/>
      <c r="AF36" s="36"/>
      <c r="AG36" s="53">
        <f t="shared" si="17"/>
        <v>0</v>
      </c>
      <c r="AH36" s="28"/>
      <c r="AI36" s="23"/>
      <c r="AJ36" s="27"/>
      <c r="AK36" s="53">
        <f t="shared" si="18"/>
        <v>0</v>
      </c>
      <c r="AL36" s="28"/>
      <c r="AM36" s="2629"/>
      <c r="AN36" s="9"/>
      <c r="AO36" s="5"/>
      <c r="AP36" s="61">
        <f t="shared" si="19"/>
        <v>0</v>
      </c>
      <c r="AQ36" s="36"/>
      <c r="AR36" s="53"/>
      <c r="AS36" s="61">
        <f t="shared" si="20"/>
        <v>0</v>
      </c>
      <c r="AT36" s="36"/>
      <c r="AU36" s="27"/>
      <c r="AV36" s="54">
        <f t="shared" si="21"/>
        <v>0</v>
      </c>
      <c r="AW36" s="26">
        <v>55566</v>
      </c>
      <c r="AX36" s="27">
        <v>3865.6600000000003</v>
      </c>
      <c r="AY36" s="1895">
        <f t="shared" si="115"/>
        <v>14.374259505491946</v>
      </c>
      <c r="AZ36" s="1908"/>
      <c r="BA36" s="1909"/>
      <c r="BB36" s="1895">
        <f t="shared" si="22"/>
        <v>0</v>
      </c>
      <c r="BC36" s="1908">
        <v>59514</v>
      </c>
      <c r="BD36" s="1926">
        <v>2927.32</v>
      </c>
      <c r="BE36" s="1895">
        <f t="shared" si="23"/>
        <v>20.330541245917768</v>
      </c>
      <c r="BF36" s="1908"/>
      <c r="BG36" s="1909"/>
      <c r="BH36" s="1895">
        <f t="shared" si="24"/>
        <v>0</v>
      </c>
      <c r="BI36" s="1908">
        <v>0</v>
      </c>
      <c r="BJ36" s="1909">
        <v>0</v>
      </c>
      <c r="BK36" s="1895">
        <f t="shared" si="25"/>
        <v>0</v>
      </c>
      <c r="BL36" s="1742">
        <v>41600</v>
      </c>
      <c r="BM36" s="1909">
        <v>2502.5000000000005</v>
      </c>
      <c r="BN36" s="2170"/>
      <c r="BO36" s="1895">
        <f t="shared" si="26"/>
        <v>16.623376623376622</v>
      </c>
      <c r="BP36" s="9"/>
      <c r="BQ36" s="64"/>
      <c r="BR36" s="61">
        <f t="shared" si="27"/>
        <v>0</v>
      </c>
      <c r="BS36" s="36"/>
      <c r="BT36" s="53"/>
      <c r="BU36" s="61">
        <f t="shared" si="28"/>
        <v>0</v>
      </c>
      <c r="BV36" s="9">
        <v>21439</v>
      </c>
      <c r="BW36" s="5">
        <v>3380</v>
      </c>
      <c r="BX36" s="28">
        <f t="shared" si="29"/>
        <v>6.3428994082840235</v>
      </c>
      <c r="BY36" s="4"/>
      <c r="BZ36" s="5"/>
      <c r="CA36" s="61">
        <f t="shared" si="30"/>
        <v>0</v>
      </c>
      <c r="CB36" s="36"/>
      <c r="CC36" s="5"/>
      <c r="CD36" s="61">
        <f t="shared" si="31"/>
        <v>0</v>
      </c>
      <c r="CE36" s="26"/>
      <c r="CF36" s="5"/>
      <c r="CG36" s="28">
        <f t="shared" si="32"/>
        <v>0</v>
      </c>
      <c r="CH36" s="150"/>
      <c r="CI36" s="1108"/>
      <c r="CJ36" s="5"/>
      <c r="CK36" s="5">
        <v>1720</v>
      </c>
      <c r="CL36" s="5"/>
      <c r="CM36" s="5"/>
      <c r="CN36" s="5"/>
      <c r="CO36" s="33"/>
      <c r="CP36" s="366"/>
      <c r="CR36" s="4">
        <f t="shared" si="134"/>
        <v>0</v>
      </c>
      <c r="CS36" s="9">
        <f t="shared" si="134"/>
        <v>0</v>
      </c>
      <c r="CT36" s="5">
        <f t="shared" si="134"/>
        <v>0</v>
      </c>
      <c r="CU36" s="5">
        <f t="shared" si="133"/>
        <v>0</v>
      </c>
      <c r="CV36" s="5">
        <f t="shared" si="133"/>
        <v>0</v>
      </c>
      <c r="CW36" s="5">
        <f t="shared" si="133"/>
        <v>0</v>
      </c>
      <c r="CX36" s="5">
        <f t="shared" si="133"/>
        <v>3297.44</v>
      </c>
      <c r="CY36" s="5">
        <f t="shared" si="133"/>
        <v>0</v>
      </c>
      <c r="CZ36" s="5">
        <f t="shared" si="133"/>
        <v>8185.3600000000015</v>
      </c>
      <c r="DA36" s="5">
        <f t="shared" si="133"/>
        <v>0</v>
      </c>
      <c r="DB36" s="5">
        <f t="shared" si="133"/>
        <v>1192.68</v>
      </c>
      <c r="DC36" s="12">
        <f t="shared" si="133"/>
        <v>0</v>
      </c>
      <c r="DD36" s="310">
        <f>SUM(CR36:DC36,PW36)</f>
        <v>12675.480000000001</v>
      </c>
      <c r="DE36" s="2695"/>
      <c r="DF36" s="8"/>
      <c r="DG36" s="9"/>
      <c r="DH36" s="5"/>
      <c r="DI36" s="5"/>
      <c r="DJ36" s="5"/>
      <c r="DK36" s="5"/>
      <c r="DL36" s="3">
        <v>3297.44</v>
      </c>
      <c r="DM36" s="5"/>
      <c r="DN36" s="3">
        <v>568.22</v>
      </c>
      <c r="DO36" s="5"/>
      <c r="DP36" s="5"/>
      <c r="DQ36" s="12"/>
      <c r="DR36" s="28">
        <f t="shared" si="35"/>
        <v>3865.66</v>
      </c>
      <c r="DS36" s="36"/>
      <c r="DT36" s="36"/>
      <c r="DU36" s="27"/>
      <c r="DV36" s="27"/>
      <c r="DW36" s="27"/>
      <c r="DX36" s="27"/>
      <c r="DY36" s="27"/>
      <c r="DZ36" s="27"/>
      <c r="EA36" s="3">
        <v>4937.1400000000012</v>
      </c>
      <c r="EB36" s="27"/>
      <c r="EC36" s="24">
        <v>492.68</v>
      </c>
      <c r="ED36" s="33"/>
      <c r="EE36" s="28">
        <f t="shared" si="36"/>
        <v>5429.8200000000015</v>
      </c>
      <c r="EF36" s="9"/>
      <c r="EG36" s="36"/>
      <c r="EH36" s="27"/>
      <c r="EI36" s="27"/>
      <c r="EJ36" s="27"/>
      <c r="EK36" s="27"/>
      <c r="EL36" s="27"/>
      <c r="EM36" s="27"/>
      <c r="EN36" s="5">
        <v>2680</v>
      </c>
      <c r="EO36" s="5"/>
      <c r="EP36" s="5">
        <v>700</v>
      </c>
      <c r="EQ36" s="33"/>
      <c r="ER36" s="28">
        <f t="shared" si="37"/>
        <v>3380</v>
      </c>
      <c r="ES36" s="36"/>
      <c r="ET36" s="27"/>
      <c r="EU36" s="27"/>
      <c r="EV36" s="27"/>
      <c r="EW36" s="27"/>
      <c r="EX36" s="27"/>
      <c r="EY36" s="33">
        <f t="shared" si="38"/>
        <v>0</v>
      </c>
      <c r="EZ36" s="2685"/>
      <c r="FB36" s="4">
        <f t="shared" si="39"/>
        <v>0</v>
      </c>
      <c r="FC36" s="5">
        <f t="shared" si="40"/>
        <v>0</v>
      </c>
      <c r="FD36" s="5">
        <f t="shared" si="41"/>
        <v>0</v>
      </c>
      <c r="FE36" s="12">
        <f t="shared" si="42"/>
        <v>0</v>
      </c>
      <c r="FF36" s="33"/>
      <c r="FG36" s="2674"/>
      <c r="FH36" s="9"/>
      <c r="FI36" s="5"/>
      <c r="FJ36" s="5"/>
      <c r="FK36" s="5"/>
      <c r="FL36" s="5"/>
      <c r="FM36" s="27"/>
      <c r="FN36" s="28">
        <f t="shared" si="43"/>
        <v>0</v>
      </c>
      <c r="FO36" s="36"/>
      <c r="FP36" s="27"/>
      <c r="FQ36" s="27"/>
      <c r="FR36" s="27"/>
      <c r="FS36" s="27"/>
      <c r="FT36" s="27"/>
      <c r="FU36" s="28">
        <f t="shared" si="44"/>
        <v>0</v>
      </c>
      <c r="FV36" s="36"/>
      <c r="FW36" s="36"/>
      <c r="FX36" s="27"/>
      <c r="FY36" s="27"/>
      <c r="FZ36" s="27"/>
      <c r="GA36" s="27"/>
      <c r="GB36" s="27"/>
      <c r="GC36" s="27"/>
      <c r="GD36" s="27"/>
      <c r="GE36" s="27"/>
      <c r="GF36" s="27"/>
      <c r="GG36" s="33"/>
      <c r="GH36" s="33">
        <f t="shared" si="45"/>
        <v>0</v>
      </c>
      <c r="GI36" s="2674"/>
      <c r="GK36" s="2">
        <f t="shared" si="108"/>
        <v>2813.46</v>
      </c>
      <c r="GL36" s="63">
        <f t="shared" si="109"/>
        <v>7019.6699999999992</v>
      </c>
      <c r="GM36" s="24">
        <f t="shared" si="110"/>
        <v>1655.1399999999999</v>
      </c>
      <c r="GN36" s="1736">
        <f t="shared" si="46"/>
        <v>11488.269999999999</v>
      </c>
      <c r="GO36" s="141"/>
      <c r="GP36" s="141"/>
      <c r="GQ36" s="33"/>
      <c r="GR36" s="2667"/>
      <c r="GS36" s="1739">
        <v>0</v>
      </c>
      <c r="GT36" s="1721">
        <v>403.95</v>
      </c>
      <c r="GU36" s="1721">
        <v>5463.9500000000007</v>
      </c>
      <c r="GV36" s="1721">
        <v>5620.37</v>
      </c>
      <c r="GW36" s="33">
        <f t="shared" si="47"/>
        <v>11488.27</v>
      </c>
      <c r="GX36" s="2667"/>
      <c r="GY36" s="36"/>
      <c r="GZ36" s="36"/>
      <c r="HA36" s="27"/>
      <c r="HB36" s="27"/>
      <c r="HC36" s="27"/>
      <c r="HD36" s="27"/>
      <c r="HE36" s="27"/>
      <c r="HF36" s="27"/>
      <c r="HG36" s="24">
        <v>899.71</v>
      </c>
      <c r="HH36" s="27"/>
      <c r="HI36" s="24">
        <v>1509.8</v>
      </c>
      <c r="HJ36" s="27"/>
      <c r="HK36" s="24">
        <v>403.95</v>
      </c>
      <c r="HL36" s="27"/>
      <c r="HM36" s="28">
        <f t="shared" si="120"/>
        <v>2813.46</v>
      </c>
      <c r="HN36" s="36"/>
      <c r="HO36" s="27"/>
      <c r="HP36" s="27"/>
      <c r="HQ36" s="27"/>
      <c r="HR36" s="27"/>
      <c r="HS36" s="27"/>
      <c r="HT36" s="27" cm="1">
        <f t="array" ref="HT36">SUMPRODUCT(('Data Base hauling'!$C$2:$C$216="TCM-ROM SB1 BK05-ROM 4")*(ISNUMBER(SEARCH(TEXT('June TCM'!$B36,"00")&amp;"/03/2026",'Data Base hauling'!$E$2:$E$216)))*'Data Base hauling'!$N$2:$N$216)</f>
        <v>0</v>
      </c>
      <c r="HU36" s="27"/>
      <c r="HV36" s="27" cm="1">
        <f t="array" ref="HV36">SUMPRODUCT(('Data Base hauling'!$C$2:$C$216="TCM-ROM SB1 BK05-ROM 5")*(ISNUMBER(SEARCH(TEXT('June TCM'!$B36,"00")&amp;"/03/2026",'Data Base hauling'!$E$2:$E$216)))*'Data Base hauling'!$N$2:$N$216)</f>
        <v>0</v>
      </c>
      <c r="HW36" s="27"/>
      <c r="HX36" s="27"/>
      <c r="HY36" s="27"/>
      <c r="HZ36" s="27"/>
      <c r="IA36" s="27"/>
      <c r="IB36" s="33">
        <f t="shared" si="49"/>
        <v>0</v>
      </c>
      <c r="IC36" s="52"/>
      <c r="ID36" s="152"/>
      <c r="IE36" s="53"/>
      <c r="IF36" s="53"/>
      <c r="IG36" s="53"/>
      <c r="IH36" s="53"/>
      <c r="II36" s="1926">
        <v>2002.71</v>
      </c>
      <c r="IJ36" s="1736"/>
      <c r="IK36" s="1926">
        <v>5016.9599999999991</v>
      </c>
      <c r="IL36" s="53"/>
      <c r="IM36" s="49">
        <v>0</v>
      </c>
      <c r="IN36" s="53"/>
      <c r="IO36" s="53"/>
      <c r="IP36" s="49">
        <f>SUMPRODUCT(('Data Base hauling'!$C$2:$C$216="TCM-HAC1 (Production)-ROM 2(HAC)")*(ISNUMBER(SEARCH(TEXT('June TCM'!$B36,"00")&amp;"/06/2026",'Data Base hauling'!$E$2:$E$216)))*'Data Base hauling'!$N$2:$N$216)</f>
        <v>0</v>
      </c>
      <c r="IQ36" s="2195">
        <f t="shared" si="121"/>
        <v>7019.6699999999992</v>
      </c>
      <c r="IR36" s="36"/>
      <c r="IS36" s="36"/>
      <c r="IT36" s="27"/>
      <c r="IU36" s="27"/>
      <c r="IV36" s="53"/>
      <c r="IW36" s="27"/>
      <c r="IX36" s="24">
        <v>0</v>
      </c>
      <c r="IY36" s="27"/>
      <c r="IZ36" s="24">
        <v>1655.1399999999999</v>
      </c>
      <c r="JA36" s="27"/>
      <c r="JB36" s="24">
        <v>0</v>
      </c>
      <c r="JC36" s="27"/>
      <c r="JD36" s="27"/>
      <c r="JE36" s="27"/>
      <c r="JF36" s="33">
        <f t="shared" si="122"/>
        <v>1655.1399999999999</v>
      </c>
      <c r="JG36" s="2667"/>
      <c r="JI36" s="2014">
        <v>4985.8099999999995</v>
      </c>
      <c r="JJ36" s="2015">
        <v>6502.46</v>
      </c>
      <c r="JK36" s="53"/>
      <c r="JL36" s="53">
        <f t="shared" si="52"/>
        <v>11488.27</v>
      </c>
      <c r="JM36" s="33"/>
      <c r="JN36" s="2669"/>
      <c r="JO36" s="66">
        <v>0</v>
      </c>
      <c r="JP36" s="67">
        <v>0</v>
      </c>
      <c r="JQ36" s="67">
        <v>0</v>
      </c>
      <c r="JR36" s="67">
        <v>0</v>
      </c>
      <c r="JS36" s="67">
        <v>0.91898006542567812</v>
      </c>
      <c r="JT36" s="67">
        <v>0</v>
      </c>
      <c r="JU36" s="67">
        <v>8.1019934574321925E-2</v>
      </c>
      <c r="JV36" s="1921">
        <v>0</v>
      </c>
      <c r="JW36" s="66">
        <v>0</v>
      </c>
      <c r="JX36" s="67">
        <v>0</v>
      </c>
      <c r="JY36" s="67">
        <v>0</v>
      </c>
      <c r="JZ36" s="67">
        <v>0.3079926673904953</v>
      </c>
      <c r="KA36" s="67">
        <v>0.45981828415707288</v>
      </c>
      <c r="KB36" s="67">
        <v>0.23218904845243185</v>
      </c>
      <c r="KC36" s="67">
        <v>0</v>
      </c>
      <c r="KD36" s="68">
        <v>0</v>
      </c>
      <c r="KE36" s="69"/>
      <c r="KF36" s="70"/>
      <c r="KG36" s="70"/>
      <c r="KH36" s="70"/>
      <c r="KI36" s="70"/>
      <c r="KJ36" s="70"/>
      <c r="KK36" s="70"/>
      <c r="KL36" s="70"/>
      <c r="KM36" s="33"/>
      <c r="KN36" s="2669"/>
      <c r="KO36" s="2203">
        <v>6996</v>
      </c>
      <c r="KP36" s="1721">
        <v>0.97000000000000008</v>
      </c>
      <c r="KQ36" s="1721">
        <v>2.89</v>
      </c>
      <c r="KR36" s="1721">
        <v>5.9</v>
      </c>
      <c r="KS36" s="1722">
        <v>9.57</v>
      </c>
      <c r="KT36" s="1958">
        <v>6981.6728423652921</v>
      </c>
      <c r="KU36" s="1961">
        <v>1.8228037671761617</v>
      </c>
      <c r="KV36" s="1961">
        <v>2.8362806855025475</v>
      </c>
      <c r="KW36" s="1961">
        <v>6.5712150687046478</v>
      </c>
      <c r="KX36" s="1962">
        <v>9.6577381503782611</v>
      </c>
      <c r="KY36" s="36"/>
      <c r="KZ36" s="53"/>
      <c r="LA36" s="53"/>
      <c r="LB36" s="53"/>
      <c r="LC36" s="53"/>
      <c r="LD36" s="33"/>
      <c r="LE36" s="2669"/>
      <c r="LG36" s="26">
        <f t="shared" si="53"/>
        <v>20737.263999999999</v>
      </c>
      <c r="LH36" s="27">
        <f t="shared" si="53"/>
        <v>3841.5360000000001</v>
      </c>
      <c r="LI36" s="27">
        <f t="shared" si="53"/>
        <v>0</v>
      </c>
      <c r="LJ36" s="28">
        <f t="shared" si="54"/>
        <v>24578.799999999999</v>
      </c>
      <c r="LK36" s="36"/>
      <c r="LL36" s="27"/>
      <c r="LM36" s="27"/>
      <c r="LN36" s="33"/>
      <c r="LO36" s="1041">
        <v>5.7</v>
      </c>
      <c r="LP36" s="2196"/>
      <c r="LQ36" s="2688"/>
      <c r="LR36" s="2269">
        <v>14974.96</v>
      </c>
      <c r="LS36" s="2269"/>
      <c r="LT36" s="27"/>
      <c r="LU36" s="27"/>
      <c r="LV36" s="27"/>
      <c r="LW36" s="1107">
        <f t="shared" si="55"/>
        <v>14974.96</v>
      </c>
      <c r="LX36" s="2269">
        <v>5762.3040000000001</v>
      </c>
      <c r="LY36" s="2269">
        <v>3841.5360000000001</v>
      </c>
      <c r="LZ36" s="27"/>
      <c r="MA36" s="27"/>
      <c r="MB36" s="33"/>
      <c r="MC36" s="28">
        <f t="shared" si="56"/>
        <v>9603.84</v>
      </c>
      <c r="MD36" s="26"/>
      <c r="ME36" s="36"/>
      <c r="MF36" s="27"/>
      <c r="MG36" s="27"/>
      <c r="MH36" s="27"/>
      <c r="MI36" s="28"/>
      <c r="MJ36" s="36"/>
      <c r="MK36" s="36"/>
      <c r="ML36" s="27"/>
      <c r="MM36" s="27"/>
      <c r="MN36" s="27"/>
      <c r="MO36" s="28"/>
      <c r="MP36" s="36"/>
      <c r="MQ36" s="36"/>
      <c r="MR36" s="27"/>
      <c r="MS36" s="27"/>
      <c r="MT36" s="27"/>
      <c r="MU36" s="33">
        <f t="shared" si="57"/>
        <v>0</v>
      </c>
      <c r="MV36" s="2688"/>
      <c r="MX36" s="26">
        <f t="shared" si="58"/>
        <v>190090.96004856005</v>
      </c>
      <c r="MY36" s="27">
        <f t="shared" si="59"/>
        <v>193172.54785017917</v>
      </c>
      <c r="MZ36" s="27">
        <f t="shared" si="60"/>
        <v>22443.778559023402</v>
      </c>
      <c r="NA36" s="28">
        <f t="shared" si="61"/>
        <v>415885.68855850992</v>
      </c>
      <c r="NB36" s="2621"/>
      <c r="NC36" s="23">
        <f t="shared" si="123"/>
        <v>106539.45651155002</v>
      </c>
      <c r="ND36" s="1579">
        <f t="shared" si="124"/>
        <v>83551.503537010023</v>
      </c>
      <c r="NE36" s="60">
        <f t="shared" si="64"/>
        <v>0</v>
      </c>
      <c r="NF36" s="275">
        <f t="shared" si="4"/>
        <v>190090.96004856005</v>
      </c>
      <c r="NG36" s="26">
        <v>0</v>
      </c>
      <c r="NH36" s="27">
        <v>0</v>
      </c>
      <c r="NI36" s="27">
        <v>0</v>
      </c>
      <c r="NJ36" s="27">
        <v>0</v>
      </c>
      <c r="NK36" s="27">
        <v>0</v>
      </c>
      <c r="NL36" s="33">
        <v>0</v>
      </c>
      <c r="NM36" s="27">
        <v>0</v>
      </c>
      <c r="NN36" s="36">
        <v>0</v>
      </c>
      <c r="NO36" s="24">
        <f t="shared" si="111"/>
        <v>16433.864219200565</v>
      </c>
      <c r="NP36" s="27">
        <f t="shared" si="128"/>
        <v>26196.696072681989</v>
      </c>
      <c r="NQ36" s="24">
        <f t="shared" si="112"/>
        <v>8756.5482322711578</v>
      </c>
      <c r="NR36" s="24">
        <f t="shared" si="113"/>
        <v>11162.194846987601</v>
      </c>
      <c r="NS36" s="27">
        <f t="shared" si="0"/>
        <v>62549.303371141308</v>
      </c>
      <c r="NT36" s="27">
        <f t="shared" si="129"/>
        <v>0</v>
      </c>
      <c r="NU36" s="27">
        <f t="shared" si="129"/>
        <v>0</v>
      </c>
      <c r="NV36" s="27">
        <f t="shared" si="129"/>
        <v>0</v>
      </c>
      <c r="NW36" s="27">
        <f t="shared" si="129"/>
        <v>0</v>
      </c>
      <c r="NX36" s="27">
        <f t="shared" si="129"/>
        <v>0</v>
      </c>
      <c r="NY36" s="5">
        <f t="shared" si="129"/>
        <v>0</v>
      </c>
      <c r="NZ36" s="27">
        <f t="shared" si="129"/>
        <v>10336.030368235246</v>
      </c>
      <c r="OA36" s="27">
        <f t="shared" si="129"/>
        <v>0</v>
      </c>
      <c r="OB36" s="27">
        <f t="shared" si="129"/>
        <v>80928.347327968047</v>
      </c>
      <c r="OC36" s="27"/>
      <c r="OD36" s="24">
        <f t="shared" si="132"/>
        <v>454.51223506073143</v>
      </c>
      <c r="OE36" s="27">
        <f t="shared" si="127"/>
        <v>0</v>
      </c>
      <c r="OF36" s="28">
        <f t="shared" si="1"/>
        <v>91718.889931264028</v>
      </c>
      <c r="OG36" s="27">
        <f t="shared" si="131"/>
        <v>0</v>
      </c>
      <c r="OH36" s="27">
        <f t="shared" si="131"/>
        <v>0</v>
      </c>
      <c r="OI36" s="27">
        <f t="shared" si="131"/>
        <v>0</v>
      </c>
      <c r="OJ36" s="27">
        <f t="shared" si="131"/>
        <v>0</v>
      </c>
      <c r="OK36" s="27">
        <f t="shared" si="131"/>
        <v>0</v>
      </c>
      <c r="OL36" s="27">
        <f t="shared" si="131"/>
        <v>0</v>
      </c>
      <c r="OM36" s="24">
        <f t="shared" si="131"/>
        <v>0</v>
      </c>
      <c r="ON36" s="27">
        <f t="shared" si="131"/>
        <v>0</v>
      </c>
      <c r="OO36" s="24">
        <f t="shared" si="118"/>
        <v>31554.744547773837</v>
      </c>
      <c r="OP36" s="27">
        <f t="shared" si="131"/>
        <v>0</v>
      </c>
      <c r="OQ36" s="24">
        <f t="shared" si="131"/>
        <v>7349.6100000000006</v>
      </c>
      <c r="OR36" s="27">
        <f t="shared" si="131"/>
        <v>0</v>
      </c>
      <c r="OS36" s="28">
        <f t="shared" si="2"/>
        <v>38904.354547773837</v>
      </c>
      <c r="OT36" s="36"/>
      <c r="OU36" s="27"/>
      <c r="OV36" s="27"/>
      <c r="OW36" s="27"/>
      <c r="OX36" s="27"/>
      <c r="OY36" s="27"/>
      <c r="OZ36" s="28">
        <f t="shared" si="69"/>
        <v>0</v>
      </c>
      <c r="PA36" s="36">
        <f t="shared" si="70"/>
        <v>0</v>
      </c>
      <c r="PB36" s="27">
        <f t="shared" si="71"/>
        <v>0</v>
      </c>
      <c r="PC36" s="27">
        <f t="shared" si="72"/>
        <v>0</v>
      </c>
      <c r="PD36" s="27">
        <f t="shared" si="73"/>
        <v>0</v>
      </c>
      <c r="PE36" s="24"/>
      <c r="PF36" s="27">
        <f t="shared" si="74"/>
        <v>0</v>
      </c>
      <c r="PG36" s="33">
        <f t="shared" si="3"/>
        <v>0</v>
      </c>
      <c r="PH36" s="2621"/>
      <c r="PJ36" s="1907">
        <v>539.36</v>
      </c>
      <c r="PK36" s="3">
        <v>732</v>
      </c>
      <c r="PL36" s="3">
        <v>244</v>
      </c>
      <c r="PM36" s="3">
        <v>403.95</v>
      </c>
      <c r="PN36" s="3">
        <v>35409.229776580687</v>
      </c>
      <c r="PO36" s="11">
        <f t="shared" si="75"/>
        <v>22443.778559023402</v>
      </c>
      <c r="PP36" s="15"/>
      <c r="PQ36" s="2615"/>
      <c r="PS36" s="4"/>
      <c r="PT36" s="9"/>
      <c r="PU36" s="9"/>
      <c r="PV36" s="9"/>
      <c r="PW36" s="8">
        <v>0</v>
      </c>
      <c r="PX36" s="9"/>
      <c r="PY36" s="8">
        <f t="shared" si="76"/>
        <v>0</v>
      </c>
      <c r="PZ36" s="5">
        <f t="shared" si="77"/>
        <v>539.36</v>
      </c>
      <c r="QA36" s="5"/>
      <c r="QB36" s="5"/>
      <c r="QC36" s="5"/>
      <c r="QD36" s="5"/>
      <c r="QE36" s="5"/>
      <c r="QF36" s="12"/>
      <c r="QG36" s="12">
        <f t="shared" si="78"/>
        <v>29562.488999999998</v>
      </c>
      <c r="QH36" s="420">
        <f t="shared" si="79"/>
        <v>384198.45955850993</v>
      </c>
      <c r="QI36" s="1106">
        <f t="shared" si="80"/>
        <v>2124.7399999999998</v>
      </c>
      <c r="QJ36" s="484">
        <f t="shared" si="81"/>
        <v>5505.3678056099998</v>
      </c>
      <c r="QK36" s="12"/>
      <c r="QL36" s="2615"/>
      <c r="QN36" s="139">
        <f t="shared" si="82"/>
        <v>0</v>
      </c>
      <c r="QO36" s="139" t="str">
        <f t="shared" si="83"/>
        <v/>
      </c>
      <c r="QQ36" s="139">
        <f t="shared" si="84"/>
        <v>0</v>
      </c>
      <c r="QR36" s="139">
        <f t="shared" si="85"/>
        <v>0</v>
      </c>
      <c r="QT36" s="1">
        <f t="shared" si="86"/>
        <v>0</v>
      </c>
      <c r="QU36" s="1">
        <f t="shared" si="87"/>
        <v>0</v>
      </c>
      <c r="QV36" s="1">
        <f t="shared" si="88"/>
        <v>0</v>
      </c>
      <c r="QW36" s="1">
        <f t="shared" si="89"/>
        <v>0</v>
      </c>
      <c r="QX36" s="1">
        <f t="shared" si="90"/>
        <v>0</v>
      </c>
      <c r="QY36" s="1">
        <f t="shared" si="91"/>
        <v>0</v>
      </c>
      <c r="RA36" s="1">
        <f t="shared" si="92"/>
        <v>0</v>
      </c>
      <c r="RB36" s="1">
        <f t="shared" si="93"/>
        <v>0</v>
      </c>
      <c r="RC36" s="1">
        <f t="shared" si="94"/>
        <v>0</v>
      </c>
      <c r="RD36" s="1">
        <f t="shared" si="95"/>
        <v>0</v>
      </c>
      <c r="RE36" s="1">
        <f t="shared" si="96"/>
        <v>0</v>
      </c>
      <c r="RF36" s="1">
        <f t="shared" si="97"/>
        <v>0</v>
      </c>
      <c r="RI36" s="1">
        <v>27</v>
      </c>
      <c r="RJ36" s="1">
        <f t="shared" si="135"/>
        <v>43991.304209717113</v>
      </c>
      <c r="RK36" s="1">
        <f t="shared" si="135"/>
        <v>9959.9127804837208</v>
      </c>
      <c r="RL36" s="1">
        <f t="shared" si="135"/>
        <v>13404.263703387322</v>
      </c>
      <c r="RM36" s="89">
        <f t="shared" si="5"/>
        <v>67355.48069358815</v>
      </c>
      <c r="RN36" s="1033">
        <v>27</v>
      </c>
      <c r="RO36" s="1098">
        <f t="shared" si="99"/>
        <v>0</v>
      </c>
      <c r="RP36" s="1098">
        <f t="shared" si="100"/>
        <v>0</v>
      </c>
      <c r="RQ36" s="1097">
        <f t="shared" si="100"/>
        <v>0</v>
      </c>
      <c r="RR36" s="1097">
        <f t="shared" si="101"/>
        <v>9295.4800000000014</v>
      </c>
      <c r="RS36" s="1050"/>
      <c r="RT36" s="1050" t="s">
        <v>364</v>
      </c>
      <c r="RW36" s="421">
        <v>27</v>
      </c>
      <c r="RX36" s="1095">
        <f t="shared" si="102"/>
        <v>11488.27</v>
      </c>
      <c r="RY36" s="1046" t="s">
        <v>365</v>
      </c>
      <c r="SA36" s="1090"/>
      <c r="SB36" s="1090">
        <f t="shared" si="103"/>
        <v>0</v>
      </c>
      <c r="SC36" s="1090"/>
      <c r="SD36" s="1090">
        <f t="shared" si="126"/>
        <v>0</v>
      </c>
      <c r="SF36" s="1">
        <v>27</v>
      </c>
      <c r="SG36" s="1">
        <f t="shared" si="105"/>
        <v>403.95</v>
      </c>
      <c r="SH36" s="1094" t="s">
        <v>366</v>
      </c>
    </row>
    <row r="37" spans="1:502" s="1" customFormat="1">
      <c r="B37" s="471">
        <v>28</v>
      </c>
      <c r="C37" s="4">
        <f t="shared" si="6"/>
        <v>172866</v>
      </c>
      <c r="D37" s="1726">
        <f t="shared" si="119"/>
        <v>13534.7</v>
      </c>
      <c r="E37" s="1895">
        <f t="shared" si="7"/>
        <v>12.772059964387832</v>
      </c>
      <c r="F37" s="870"/>
      <c r="G37" s="870"/>
      <c r="H37" s="52"/>
      <c r="I37" s="61"/>
      <c r="J37" s="52"/>
      <c r="K37" s="54"/>
      <c r="L37" s="52"/>
      <c r="M37" s="61"/>
      <c r="N37" s="2629"/>
      <c r="O37" s="4">
        <f t="shared" si="117"/>
        <v>108528</v>
      </c>
      <c r="P37" s="5">
        <f t="shared" si="8"/>
        <v>8619.32</v>
      </c>
      <c r="Q37" s="1913">
        <f t="shared" si="9"/>
        <v>12.591248497561294</v>
      </c>
      <c r="R37" s="33"/>
      <c r="S37" s="26">
        <f t="shared" si="10"/>
        <v>45268</v>
      </c>
      <c r="T37" s="27">
        <f t="shared" si="107"/>
        <v>2095.38</v>
      </c>
      <c r="U37" s="1909">
        <f t="shared" si="11"/>
        <v>21.603718657236396</v>
      </c>
      <c r="V37" s="28"/>
      <c r="W37" s="26">
        <f t="shared" si="12"/>
        <v>19070</v>
      </c>
      <c r="X37" s="5">
        <f t="shared" si="12"/>
        <v>2820</v>
      </c>
      <c r="Y37" s="1909">
        <f t="shared" si="13"/>
        <v>6.7624113475177303</v>
      </c>
      <c r="Z37" s="33"/>
      <c r="AA37" s="26">
        <f t="shared" si="14"/>
        <v>0</v>
      </c>
      <c r="AB37" s="27">
        <f t="shared" si="15"/>
        <v>0</v>
      </c>
      <c r="AC37" s="53">
        <f t="shared" si="16"/>
        <v>0</v>
      </c>
      <c r="AD37" s="28"/>
      <c r="AE37" s="36"/>
      <c r="AF37" s="36"/>
      <c r="AG37" s="53">
        <f t="shared" si="17"/>
        <v>0</v>
      </c>
      <c r="AH37" s="28"/>
      <c r="AI37" s="26"/>
      <c r="AJ37" s="27"/>
      <c r="AK37" s="53">
        <f t="shared" si="18"/>
        <v>0</v>
      </c>
      <c r="AL37" s="28"/>
      <c r="AM37" s="2629"/>
      <c r="AN37" s="9"/>
      <c r="AO37" s="5"/>
      <c r="AP37" s="61">
        <f t="shared" si="19"/>
        <v>0</v>
      </c>
      <c r="AQ37" s="36"/>
      <c r="AR37" s="53"/>
      <c r="AS37" s="61">
        <f t="shared" si="20"/>
        <v>0</v>
      </c>
      <c r="AT37" s="36"/>
      <c r="AU37" s="27"/>
      <c r="AV37" s="54">
        <f t="shared" si="21"/>
        <v>0</v>
      </c>
      <c r="AW37" s="26">
        <v>59724</v>
      </c>
      <c r="AX37" s="27">
        <v>4495.82</v>
      </c>
      <c r="AY37" s="1895">
        <f t="shared" si="115"/>
        <v>13.284339675520817</v>
      </c>
      <c r="AZ37" s="1908"/>
      <c r="BA37" s="1909"/>
      <c r="BB37" s="1895">
        <f t="shared" si="22"/>
        <v>0</v>
      </c>
      <c r="BC37" s="1908">
        <v>48804</v>
      </c>
      <c r="BD37" s="1926">
        <v>4123.5</v>
      </c>
      <c r="BE37" s="1895">
        <f t="shared" si="23"/>
        <v>11.835576573299381</v>
      </c>
      <c r="BF37" s="1908"/>
      <c r="BG37" s="1909"/>
      <c r="BH37" s="1895">
        <f t="shared" si="24"/>
        <v>0</v>
      </c>
      <c r="BI37" s="1908">
        <v>0</v>
      </c>
      <c r="BJ37" s="1909">
        <v>0</v>
      </c>
      <c r="BK37" s="1895">
        <f t="shared" si="25"/>
        <v>0</v>
      </c>
      <c r="BL37" s="1742">
        <v>45268</v>
      </c>
      <c r="BM37" s="1909">
        <v>2095.38</v>
      </c>
      <c r="BN37" s="2170"/>
      <c r="BO37" s="1895">
        <f t="shared" si="26"/>
        <v>21.603718657236396</v>
      </c>
      <c r="BP37" s="9"/>
      <c r="BQ37" s="64"/>
      <c r="BR37" s="61">
        <f t="shared" si="27"/>
        <v>0</v>
      </c>
      <c r="BS37" s="36"/>
      <c r="BT37" s="53"/>
      <c r="BU37" s="61">
        <f t="shared" si="28"/>
        <v>0</v>
      </c>
      <c r="BV37" s="36">
        <v>19070</v>
      </c>
      <c r="BW37" s="5">
        <v>2820</v>
      </c>
      <c r="BX37" s="28">
        <f t="shared" si="29"/>
        <v>6.7624113475177303</v>
      </c>
      <c r="BY37" s="26"/>
      <c r="BZ37" s="5"/>
      <c r="CA37" s="61">
        <f t="shared" si="30"/>
        <v>0</v>
      </c>
      <c r="CB37" s="36"/>
      <c r="CC37" s="5"/>
      <c r="CD37" s="61">
        <f t="shared" si="31"/>
        <v>0</v>
      </c>
      <c r="CE37" s="26"/>
      <c r="CF37" s="5"/>
      <c r="CG37" s="28">
        <f t="shared" si="32"/>
        <v>0</v>
      </c>
      <c r="CH37" s="150"/>
      <c r="CI37" s="1108"/>
      <c r="CJ37" s="5"/>
      <c r="CK37" s="5">
        <v>2100</v>
      </c>
      <c r="CL37" s="5"/>
      <c r="CM37" s="5"/>
      <c r="CN37" s="5"/>
      <c r="CO37" s="33"/>
      <c r="CP37" s="366"/>
      <c r="CR37" s="4">
        <f t="shared" si="134"/>
        <v>0</v>
      </c>
      <c r="CS37" s="9">
        <f t="shared" si="134"/>
        <v>0</v>
      </c>
      <c r="CT37" s="5">
        <f t="shared" si="134"/>
        <v>0</v>
      </c>
      <c r="CU37" s="5">
        <f t="shared" si="133"/>
        <v>0</v>
      </c>
      <c r="CV37" s="5">
        <f t="shared" si="133"/>
        <v>0</v>
      </c>
      <c r="CW37" s="5">
        <f t="shared" si="133"/>
        <v>0</v>
      </c>
      <c r="CX37" s="5">
        <f t="shared" si="133"/>
        <v>1251.54</v>
      </c>
      <c r="CY37" s="5">
        <f t="shared" si="133"/>
        <v>0</v>
      </c>
      <c r="CZ37" s="5">
        <f t="shared" si="133"/>
        <v>8456.0400000000009</v>
      </c>
      <c r="DA37" s="5">
        <f t="shared" si="133"/>
        <v>0</v>
      </c>
      <c r="DB37" s="5">
        <f t="shared" si="133"/>
        <v>3827.12</v>
      </c>
      <c r="DC37" s="12">
        <f t="shared" si="133"/>
        <v>0</v>
      </c>
      <c r="DD37" s="310">
        <f>SUM(CR37:DC37,PW37,PX37)</f>
        <v>13534.7</v>
      </c>
      <c r="DE37" s="2695"/>
      <c r="DF37" s="8"/>
      <c r="DG37" s="9"/>
      <c r="DH37" s="5"/>
      <c r="DI37" s="5"/>
      <c r="DJ37" s="5"/>
      <c r="DK37" s="5"/>
      <c r="DL37" s="3">
        <v>1251.54</v>
      </c>
      <c r="DM37" s="5"/>
      <c r="DN37" s="3">
        <v>3244.28</v>
      </c>
      <c r="DO37" s="5"/>
      <c r="DP37" s="5"/>
      <c r="DQ37" s="12"/>
      <c r="DR37" s="28">
        <f t="shared" si="35"/>
        <v>4495.82</v>
      </c>
      <c r="DS37" s="36"/>
      <c r="DT37" s="36"/>
      <c r="DU37" s="27"/>
      <c r="DV37" s="27"/>
      <c r="DW37" s="27"/>
      <c r="DX37" s="27"/>
      <c r="DY37" s="27"/>
      <c r="DZ37" s="27"/>
      <c r="EA37" s="3">
        <v>3431.7600000000007</v>
      </c>
      <c r="EB37" s="27"/>
      <c r="EC37" s="24">
        <v>2787.12</v>
      </c>
      <c r="ED37" s="33"/>
      <c r="EE37" s="28">
        <f t="shared" si="36"/>
        <v>6218.880000000001</v>
      </c>
      <c r="EF37" s="9"/>
      <c r="EG37" s="36"/>
      <c r="EH37" s="27"/>
      <c r="EI37" s="27"/>
      <c r="EJ37" s="27"/>
      <c r="EK37" s="27"/>
      <c r="EL37" s="27"/>
      <c r="EM37" s="27"/>
      <c r="EN37" s="5">
        <v>1780</v>
      </c>
      <c r="EO37" s="5"/>
      <c r="EP37" s="5">
        <v>1040</v>
      </c>
      <c r="EQ37" s="33"/>
      <c r="ER37" s="28">
        <f t="shared" si="37"/>
        <v>2820</v>
      </c>
      <c r="ES37" s="36"/>
      <c r="ET37" s="27"/>
      <c r="EU37" s="27"/>
      <c r="EV37" s="27"/>
      <c r="EW37" s="27"/>
      <c r="EX37" s="27"/>
      <c r="EY37" s="33">
        <f t="shared" si="38"/>
        <v>0</v>
      </c>
      <c r="EZ37" s="2685"/>
      <c r="FB37" s="4">
        <f t="shared" si="39"/>
        <v>0</v>
      </c>
      <c r="FC37" s="5">
        <f t="shared" si="40"/>
        <v>0</v>
      </c>
      <c r="FD37" s="5">
        <f t="shared" si="41"/>
        <v>0</v>
      </c>
      <c r="FE37" s="12">
        <f t="shared" si="42"/>
        <v>0</v>
      </c>
      <c r="FF37" s="33"/>
      <c r="FG37" s="2674"/>
      <c r="FH37" s="9"/>
      <c r="FI37" s="5"/>
      <c r="FJ37" s="5"/>
      <c r="FK37" s="5"/>
      <c r="FL37" s="5"/>
      <c r="FM37" s="27"/>
      <c r="FN37" s="28">
        <f t="shared" si="43"/>
        <v>0</v>
      </c>
      <c r="FO37" s="36"/>
      <c r="FP37" s="27"/>
      <c r="FQ37" s="27"/>
      <c r="FR37" s="27"/>
      <c r="FS37" s="27"/>
      <c r="FT37" s="27"/>
      <c r="FU37" s="28">
        <f t="shared" si="44"/>
        <v>0</v>
      </c>
      <c r="FV37" s="36"/>
      <c r="FW37" s="36"/>
      <c r="FX37" s="27"/>
      <c r="FY37" s="27"/>
      <c r="FZ37" s="27"/>
      <c r="GA37" s="27"/>
      <c r="GB37" s="27"/>
      <c r="GC37" s="27"/>
      <c r="GD37" s="27"/>
      <c r="GE37" s="27"/>
      <c r="GF37" s="27"/>
      <c r="GG37" s="33"/>
      <c r="GH37" s="33">
        <f t="shared" si="45"/>
        <v>0</v>
      </c>
      <c r="GI37" s="2674"/>
      <c r="GK37" s="2">
        <f t="shared" si="108"/>
        <v>2738.45</v>
      </c>
      <c r="GL37" s="63">
        <f t="shared" si="109"/>
        <v>5241.9500000000007</v>
      </c>
      <c r="GM37" s="24">
        <f t="shared" si="110"/>
        <v>2010.8000000000002</v>
      </c>
      <c r="GN37" s="53">
        <f t="shared" si="46"/>
        <v>9991.2000000000007</v>
      </c>
      <c r="GO37" s="141"/>
      <c r="GP37" s="141"/>
      <c r="GQ37" s="33"/>
      <c r="GR37" s="2667"/>
      <c r="GS37" s="1739">
        <v>0</v>
      </c>
      <c r="GT37" s="1721">
        <v>0</v>
      </c>
      <c r="GU37" s="1721">
        <v>4753.24</v>
      </c>
      <c r="GV37" s="1721">
        <v>5237.9600000000009</v>
      </c>
      <c r="GW37" s="33">
        <f t="shared" si="47"/>
        <v>9991.2000000000007</v>
      </c>
      <c r="GX37" s="2667"/>
      <c r="GY37" s="36"/>
      <c r="GZ37" s="36"/>
      <c r="HA37" s="27"/>
      <c r="HB37" s="27"/>
      <c r="HC37" s="27"/>
      <c r="HD37" s="27"/>
      <c r="HE37" s="27"/>
      <c r="HF37" s="27"/>
      <c r="HG37" s="24">
        <v>1483.85</v>
      </c>
      <c r="HH37" s="27"/>
      <c r="HI37" s="24">
        <v>1254.6000000000001</v>
      </c>
      <c r="HJ37" s="27"/>
      <c r="HK37" s="24">
        <v>0</v>
      </c>
      <c r="HL37" s="27"/>
      <c r="HM37" s="28">
        <f t="shared" si="120"/>
        <v>2738.45</v>
      </c>
      <c r="HN37" s="36"/>
      <c r="HO37" s="27"/>
      <c r="HP37" s="27"/>
      <c r="HQ37" s="27"/>
      <c r="HR37" s="27"/>
      <c r="HS37" s="27"/>
      <c r="HT37" s="27" cm="1">
        <f t="array" ref="HT37">SUMPRODUCT(('Data Base hauling'!$C$2:$C$216="TCM-ROM SB1 BK05-ROM 4")*(ISNUMBER(SEARCH(TEXT('June TCM'!$B37,"00")&amp;"/03/2026",'Data Base hauling'!$E$2:$E$216)))*'Data Base hauling'!$N$2:$N$216)</f>
        <v>0</v>
      </c>
      <c r="HU37" s="27"/>
      <c r="HV37" s="27" cm="1">
        <f t="array" ref="HV37">SUMPRODUCT(('Data Base hauling'!$C$2:$C$216="TCM-ROM SB1 BK05-ROM 5")*(ISNUMBER(SEARCH(TEXT('June TCM'!$B37,"00")&amp;"/03/2026",'Data Base hauling'!$E$2:$E$216)))*'Data Base hauling'!$N$2:$N$216)</f>
        <v>0</v>
      </c>
      <c r="HW37" s="27"/>
      <c r="HX37" s="27"/>
      <c r="HY37" s="27"/>
      <c r="HZ37" s="27"/>
      <c r="IA37" s="27"/>
      <c r="IB37" s="33">
        <f t="shared" si="49"/>
        <v>0</v>
      </c>
      <c r="IC37" s="52"/>
      <c r="ID37" s="152"/>
      <c r="IE37" s="53"/>
      <c r="IF37" s="53"/>
      <c r="IG37" s="53"/>
      <c r="IH37" s="53"/>
      <c r="II37" s="1926">
        <v>1139.81</v>
      </c>
      <c r="IJ37" s="1736"/>
      <c r="IK37" s="1926">
        <v>4102.1400000000003</v>
      </c>
      <c r="IL37" s="53"/>
      <c r="IM37" s="49">
        <v>0</v>
      </c>
      <c r="IN37" s="53"/>
      <c r="IO37" s="53"/>
      <c r="IP37" s="49">
        <f>SUMPRODUCT(('Data Base hauling'!$C$2:$C$216="TCM-HAC1 (Production)-ROM 2(HAC)")*(ISNUMBER(SEARCH(TEXT('June TCM'!$B37,"00")&amp;"/06/2026",'Data Base hauling'!$E$2:$E$216)))*'Data Base hauling'!$N$2:$N$216)</f>
        <v>0</v>
      </c>
      <c r="IQ37" s="61">
        <f t="shared" si="121"/>
        <v>5241.9500000000007</v>
      </c>
      <c r="IR37" s="36"/>
      <c r="IS37" s="36"/>
      <c r="IT37" s="27"/>
      <c r="IU37" s="27"/>
      <c r="IV37" s="53"/>
      <c r="IW37" s="27"/>
      <c r="IX37" s="24">
        <v>0</v>
      </c>
      <c r="IY37" s="27"/>
      <c r="IZ37" s="24">
        <v>1546.16</v>
      </c>
      <c r="JA37" s="27"/>
      <c r="JB37" s="24">
        <v>464.64</v>
      </c>
      <c r="JC37" s="27"/>
      <c r="JD37" s="27"/>
      <c r="JE37" s="27"/>
      <c r="JF37" s="33">
        <f t="shared" si="122"/>
        <v>2010.8000000000002</v>
      </c>
      <c r="JG37" s="2667"/>
      <c r="JI37" s="2014">
        <v>4851.8999999999996</v>
      </c>
      <c r="JJ37" s="2015">
        <v>5139.2999999999984</v>
      </c>
      <c r="JK37" s="53"/>
      <c r="JL37" s="53">
        <f t="shared" si="52"/>
        <v>9991.1999999999971</v>
      </c>
      <c r="JM37" s="33"/>
      <c r="JN37" s="2669"/>
      <c r="JO37" s="66">
        <v>0</v>
      </c>
      <c r="JP37" s="67">
        <v>0</v>
      </c>
      <c r="JQ37" s="67">
        <v>0</v>
      </c>
      <c r="JR37" s="67">
        <v>1.7735320183845504E-2</v>
      </c>
      <c r="JS37" s="67">
        <v>0.98226467981615451</v>
      </c>
      <c r="JT37" s="67">
        <v>0</v>
      </c>
      <c r="JU37" s="67">
        <v>0</v>
      </c>
      <c r="JV37" s="1921">
        <v>0</v>
      </c>
      <c r="JW37" s="66">
        <v>0</v>
      </c>
      <c r="JX37" s="67">
        <v>0</v>
      </c>
      <c r="JY37" s="67">
        <v>0</v>
      </c>
      <c r="JZ37" s="67">
        <v>0.20503959683225348</v>
      </c>
      <c r="KA37" s="67">
        <v>0.46043235460082133</v>
      </c>
      <c r="KB37" s="67">
        <v>0.33452804856692558</v>
      </c>
      <c r="KC37" s="67">
        <v>0</v>
      </c>
      <c r="KD37" s="68">
        <v>0</v>
      </c>
      <c r="KE37" s="69"/>
      <c r="KF37" s="70"/>
      <c r="KG37" s="70"/>
      <c r="KH37" s="70"/>
      <c r="KI37" s="70"/>
      <c r="KJ37" s="70"/>
      <c r="KK37" s="70"/>
      <c r="KL37" s="70"/>
      <c r="KM37" s="33"/>
      <c r="KN37" s="2669"/>
      <c r="KO37" s="2203">
        <v>6883</v>
      </c>
      <c r="KP37" s="1721">
        <v>0.69</v>
      </c>
      <c r="KQ37" s="1721">
        <v>3.4600000000000004</v>
      </c>
      <c r="KR37" s="1721">
        <v>6.8599999999999994</v>
      </c>
      <c r="KS37" s="1722">
        <v>10.64</v>
      </c>
      <c r="KT37" s="1958">
        <v>7093</v>
      </c>
      <c r="KU37" s="1961">
        <v>1.93</v>
      </c>
      <c r="KV37" s="1961">
        <v>3.5</v>
      </c>
      <c r="KW37" s="1961">
        <v>6.9300000000000006</v>
      </c>
      <c r="KX37" s="1962">
        <v>9.68</v>
      </c>
      <c r="KY37" s="36"/>
      <c r="KZ37" s="53"/>
      <c r="LA37" s="53"/>
      <c r="LB37" s="53"/>
      <c r="LC37" s="53"/>
      <c r="LD37" s="33"/>
      <c r="LE37" s="2669"/>
      <c r="LG37" s="26">
        <f t="shared" si="53"/>
        <v>0</v>
      </c>
      <c r="LH37" s="27">
        <f t="shared" si="53"/>
        <v>0</v>
      </c>
      <c r="LI37" s="27">
        <f t="shared" si="53"/>
        <v>0</v>
      </c>
      <c r="LJ37" s="28">
        <f t="shared" si="54"/>
        <v>0</v>
      </c>
      <c r="LK37" s="36">
        <v>3</v>
      </c>
      <c r="LL37" s="27"/>
      <c r="LM37" s="27"/>
      <c r="LN37" s="33"/>
      <c r="LO37" s="1041">
        <v>5.04</v>
      </c>
      <c r="LP37" s="486"/>
      <c r="LQ37" s="2688"/>
      <c r="LR37" s="2278"/>
      <c r="LS37" s="2269"/>
      <c r="LT37" s="27"/>
      <c r="LU37" s="27"/>
      <c r="LV37" s="27"/>
      <c r="LW37" s="1107">
        <f t="shared" si="55"/>
        <v>0</v>
      </c>
      <c r="LX37" s="2269"/>
      <c r="LY37" s="2269"/>
      <c r="LZ37" s="27"/>
      <c r="MA37" s="27"/>
      <c r="MB37" s="33"/>
      <c r="MC37" s="28">
        <f t="shared" si="56"/>
        <v>0</v>
      </c>
      <c r="MD37" s="26"/>
      <c r="ME37" s="36"/>
      <c r="MF37" s="27"/>
      <c r="MG37" s="27"/>
      <c r="MH37" s="27"/>
      <c r="MI37" s="28"/>
      <c r="MJ37" s="36"/>
      <c r="MK37" s="36"/>
      <c r="ML37" s="27"/>
      <c r="MM37" s="27"/>
      <c r="MN37" s="27"/>
      <c r="MO37" s="28"/>
      <c r="MP37" s="36"/>
      <c r="MQ37" s="36"/>
      <c r="MR37" s="27"/>
      <c r="MS37" s="27"/>
      <c r="MT37" s="27"/>
      <c r="MU37" s="33">
        <f t="shared" si="57"/>
        <v>0</v>
      </c>
      <c r="MV37" s="2688"/>
      <c r="MX37" s="26">
        <f t="shared" si="58"/>
        <v>200082.16004856004</v>
      </c>
      <c r="MY37" s="27">
        <f t="shared" si="59"/>
        <v>196716.04785017919</v>
      </c>
      <c r="MZ37" s="27">
        <f t="shared" si="60"/>
        <v>22621.778559023402</v>
      </c>
      <c r="NA37" s="28">
        <f t="shared" si="61"/>
        <v>413345.04855850991</v>
      </c>
      <c r="NB37" s="2621"/>
      <c r="NC37" s="23">
        <f t="shared" si="123"/>
        <v>111391.35651155001</v>
      </c>
      <c r="ND37" s="1579">
        <f t="shared" si="124"/>
        <v>88690.803537010026</v>
      </c>
      <c r="NE37" s="60">
        <f t="shared" si="64"/>
        <v>0</v>
      </c>
      <c r="NF37" s="275">
        <f t="shared" si="4"/>
        <v>200082.16004856004</v>
      </c>
      <c r="NG37" s="26">
        <f t="shared" ref="NG37:NP40" si="136">+NG36+EF37-GY37</f>
        <v>0</v>
      </c>
      <c r="NH37" s="27">
        <f t="shared" si="136"/>
        <v>0</v>
      </c>
      <c r="NI37" s="27">
        <f t="shared" si="136"/>
        <v>0</v>
      </c>
      <c r="NJ37" s="27">
        <f t="shared" si="136"/>
        <v>0</v>
      </c>
      <c r="NK37" s="27">
        <f t="shared" si="136"/>
        <v>0</v>
      </c>
      <c r="NL37" s="33">
        <f t="shared" si="136"/>
        <v>0</v>
      </c>
      <c r="NM37" s="27">
        <f t="shared" si="136"/>
        <v>0</v>
      </c>
      <c r="NN37" s="152">
        <f t="shared" si="136"/>
        <v>0</v>
      </c>
      <c r="NO37" s="24">
        <f t="shared" si="111"/>
        <v>16730.014219200566</v>
      </c>
      <c r="NP37" s="27">
        <f t="shared" si="136"/>
        <v>26196.696072681989</v>
      </c>
      <c r="NQ37" s="24">
        <f t="shared" si="112"/>
        <v>8756.5482322711578</v>
      </c>
      <c r="NR37" s="24">
        <f t="shared" si="113"/>
        <v>10947.5948469876</v>
      </c>
      <c r="NS37" s="27">
        <f t="shared" si="0"/>
        <v>62630.853371141318</v>
      </c>
      <c r="NT37" s="27">
        <f t="shared" si="129"/>
        <v>0</v>
      </c>
      <c r="NU37" s="27">
        <f t="shared" si="129"/>
        <v>0</v>
      </c>
      <c r="NV37" s="27">
        <f t="shared" si="129"/>
        <v>0</v>
      </c>
      <c r="NW37" s="27">
        <f t="shared" si="129"/>
        <v>0</v>
      </c>
      <c r="NX37" s="27">
        <f t="shared" si="129"/>
        <v>0</v>
      </c>
      <c r="NY37" s="5">
        <f t="shared" si="129"/>
        <v>0</v>
      </c>
      <c r="NZ37" s="27">
        <f t="shared" si="129"/>
        <v>10447.760368235247</v>
      </c>
      <c r="OA37" s="27">
        <f t="shared" si="129"/>
        <v>0</v>
      </c>
      <c r="OB37" s="27">
        <f t="shared" si="129"/>
        <v>80070.487327968047</v>
      </c>
      <c r="OC37" s="27"/>
      <c r="OD37" s="24">
        <f t="shared" si="132"/>
        <v>454.51223506073143</v>
      </c>
      <c r="OE37" s="27">
        <f t="shared" si="127"/>
        <v>0</v>
      </c>
      <c r="OF37" s="28">
        <f t="shared" si="1"/>
        <v>90972.759931264023</v>
      </c>
      <c r="OG37" s="27">
        <f t="shared" si="131"/>
        <v>0</v>
      </c>
      <c r="OH37" s="27">
        <f t="shared" si="131"/>
        <v>0</v>
      </c>
      <c r="OI37" s="27">
        <f t="shared" si="131"/>
        <v>0</v>
      </c>
      <c r="OJ37" s="27">
        <f t="shared" si="131"/>
        <v>0</v>
      </c>
      <c r="OK37" s="27">
        <f t="shared" si="131"/>
        <v>0</v>
      </c>
      <c r="OL37" s="27">
        <f t="shared" si="131"/>
        <v>0</v>
      </c>
      <c r="OM37" s="24">
        <f t="shared" si="131"/>
        <v>0</v>
      </c>
      <c r="ON37" s="27">
        <f t="shared" si="131"/>
        <v>0</v>
      </c>
      <c r="OO37" s="24">
        <f t="shared" si="118"/>
        <v>33440.344547773835</v>
      </c>
      <c r="OP37" s="27">
        <f t="shared" si="131"/>
        <v>0</v>
      </c>
      <c r="OQ37" s="24">
        <f t="shared" si="131"/>
        <v>9672.09</v>
      </c>
      <c r="OR37" s="27">
        <f t="shared" si="131"/>
        <v>0</v>
      </c>
      <c r="OS37" s="28">
        <f t="shared" si="2"/>
        <v>43112.434547773839</v>
      </c>
      <c r="OT37" s="36"/>
      <c r="OU37" s="27"/>
      <c r="OV37" s="27"/>
      <c r="OW37" s="27"/>
      <c r="OX37" s="27"/>
      <c r="OY37" s="27"/>
      <c r="OZ37" s="28">
        <f t="shared" si="69"/>
        <v>0</v>
      </c>
      <c r="PA37" s="36">
        <f t="shared" si="70"/>
        <v>0</v>
      </c>
      <c r="PB37" s="27">
        <f t="shared" si="71"/>
        <v>0</v>
      </c>
      <c r="PC37" s="27">
        <f t="shared" si="72"/>
        <v>0</v>
      </c>
      <c r="PD37" s="27">
        <f t="shared" si="73"/>
        <v>0</v>
      </c>
      <c r="PE37" s="24"/>
      <c r="PF37" s="27">
        <f t="shared" si="74"/>
        <v>0</v>
      </c>
      <c r="PG37" s="33">
        <f t="shared" si="3"/>
        <v>0</v>
      </c>
      <c r="PH37" s="2621"/>
      <c r="PJ37" s="1907">
        <v>2540.64</v>
      </c>
      <c r="PK37" s="3">
        <v>534</v>
      </c>
      <c r="PL37" s="3">
        <v>178</v>
      </c>
      <c r="PM37" s="3">
        <v>0</v>
      </c>
      <c r="PN37" s="3">
        <v>37415.869776580686</v>
      </c>
      <c r="PO37" s="11">
        <f t="shared" si="75"/>
        <v>22621.778559023402</v>
      </c>
      <c r="PP37" s="15"/>
      <c r="PQ37" s="2615"/>
      <c r="PS37" s="4"/>
      <c r="PT37" s="9"/>
      <c r="PU37" s="9"/>
      <c r="PV37" s="9"/>
      <c r="PW37" s="8">
        <v>0</v>
      </c>
      <c r="PX37" s="9"/>
      <c r="PY37" s="8">
        <f t="shared" si="76"/>
        <v>0</v>
      </c>
      <c r="PZ37" s="5">
        <f t="shared" si="77"/>
        <v>2540.64</v>
      </c>
      <c r="QA37" s="5"/>
      <c r="QB37" s="5"/>
      <c r="QC37" s="5"/>
      <c r="QD37" s="5"/>
      <c r="QE37" s="5"/>
      <c r="QF37" s="12"/>
      <c r="QG37" s="12">
        <f t="shared" si="78"/>
        <v>29562.488999999998</v>
      </c>
      <c r="QH37" s="420">
        <f t="shared" si="79"/>
        <v>381657.81955850992</v>
      </c>
      <c r="QI37" s="1106">
        <f t="shared" si="80"/>
        <v>2124.7399999999998</v>
      </c>
      <c r="QJ37" s="484">
        <f t="shared" si="81"/>
        <v>5505.3678056099998</v>
      </c>
      <c r="QK37" s="12"/>
      <c r="QL37" s="2615"/>
      <c r="QN37" s="139">
        <f t="shared" si="82"/>
        <v>0</v>
      </c>
      <c r="QO37" s="139" t="str">
        <f t="shared" si="83"/>
        <v/>
      </c>
      <c r="QQ37" s="139">
        <f t="shared" si="84"/>
        <v>0</v>
      </c>
      <c r="QR37" s="139">
        <f t="shared" si="85"/>
        <v>0</v>
      </c>
      <c r="QT37" s="1">
        <f t="shared" si="86"/>
        <v>0</v>
      </c>
      <c r="QU37" s="1">
        <f t="shared" si="87"/>
        <v>0</v>
      </c>
      <c r="QV37" s="1">
        <f t="shared" si="88"/>
        <v>0</v>
      </c>
      <c r="QW37" s="1">
        <f t="shared" si="89"/>
        <v>0</v>
      </c>
      <c r="QX37" s="1">
        <f t="shared" si="90"/>
        <v>0</v>
      </c>
      <c r="QY37" s="1">
        <f t="shared" si="91"/>
        <v>0</v>
      </c>
      <c r="RA37" s="1">
        <f t="shared" si="92"/>
        <v>0</v>
      </c>
      <c r="RB37" s="1">
        <f t="shared" si="93"/>
        <v>0</v>
      </c>
      <c r="RC37" s="1">
        <f t="shared" si="94"/>
        <v>0</v>
      </c>
      <c r="RD37" s="1">
        <f t="shared" si="95"/>
        <v>0</v>
      </c>
      <c r="RE37" s="1">
        <f t="shared" si="96"/>
        <v>0</v>
      </c>
      <c r="RF37" s="1">
        <f t="shared" si="97"/>
        <v>0</v>
      </c>
      <c r="RI37" s="1">
        <v>28</v>
      </c>
      <c r="RJ37" s="1">
        <f t="shared" si="135"/>
        <v>48843.204209717114</v>
      </c>
      <c r="RK37" s="1">
        <f t="shared" si="135"/>
        <v>15099.212780483718</v>
      </c>
      <c r="RL37" s="1">
        <f t="shared" si="135"/>
        <v>13404.263703387322</v>
      </c>
      <c r="RM37" s="89">
        <f t="shared" si="5"/>
        <v>77346.680693588147</v>
      </c>
      <c r="RN37" s="1033">
        <v>28</v>
      </c>
      <c r="RO37" s="1098">
        <f t="shared" si="99"/>
        <v>0</v>
      </c>
      <c r="RP37" s="1098">
        <f t="shared" si="100"/>
        <v>0</v>
      </c>
      <c r="RQ37" s="1097">
        <f t="shared" si="100"/>
        <v>0</v>
      </c>
      <c r="RR37" s="1097">
        <f t="shared" si="101"/>
        <v>10714.7</v>
      </c>
      <c r="RS37" s="1046"/>
      <c r="RT37" s="1046" t="s">
        <v>367</v>
      </c>
      <c r="RW37" s="421">
        <v>28</v>
      </c>
      <c r="RX37" s="1095">
        <f t="shared" si="102"/>
        <v>9991.2000000000007</v>
      </c>
      <c r="RY37" s="1050" t="s">
        <v>368</v>
      </c>
      <c r="RZ37" s="1048"/>
      <c r="SA37" s="1090"/>
      <c r="SB37" s="1090">
        <f t="shared" si="103"/>
        <v>0</v>
      </c>
      <c r="SC37" s="1090"/>
      <c r="SD37" s="1090">
        <f t="shared" si="126"/>
        <v>0</v>
      </c>
      <c r="SF37" s="1">
        <v>28</v>
      </c>
      <c r="SG37" s="1">
        <f t="shared" si="105"/>
        <v>0</v>
      </c>
      <c r="SH37" s="1094"/>
    </row>
    <row r="38" spans="1:502" s="1" customFormat="1">
      <c r="B38" s="471">
        <v>29</v>
      </c>
      <c r="C38" s="4">
        <f t="shared" si="6"/>
        <v>81730</v>
      </c>
      <c r="D38" s="1726">
        <f t="shared" si="119"/>
        <v>5792.32</v>
      </c>
      <c r="E38" s="1895">
        <f t="shared" si="7"/>
        <v>14.110062979945861</v>
      </c>
      <c r="F38" s="870"/>
      <c r="G38" s="870"/>
      <c r="H38" s="52">
        <v>65</v>
      </c>
      <c r="I38" s="61">
        <v>19.649999999999999</v>
      </c>
      <c r="J38" s="52"/>
      <c r="K38" s="54"/>
      <c r="L38" s="52">
        <v>19.5</v>
      </c>
      <c r="M38" s="61">
        <v>13.63</v>
      </c>
      <c r="N38" s="2629"/>
      <c r="O38" s="4">
        <f t="shared" si="117"/>
        <v>58758</v>
      </c>
      <c r="P38" s="5">
        <f t="shared" si="8"/>
        <v>3913.96</v>
      </c>
      <c r="Q38" s="1913">
        <f t="shared" si="9"/>
        <v>15.012417091641202</v>
      </c>
      <c r="R38" s="33"/>
      <c r="S38" s="26">
        <f t="shared" si="10"/>
        <v>16292</v>
      </c>
      <c r="T38" s="27">
        <f t="shared" si="107"/>
        <v>798.36</v>
      </c>
      <c r="U38" s="1909">
        <f t="shared" si="11"/>
        <v>20.406834009719926</v>
      </c>
      <c r="V38" s="28"/>
      <c r="W38" s="26">
        <f t="shared" si="12"/>
        <v>6680</v>
      </c>
      <c r="X38" s="5">
        <f t="shared" si="12"/>
        <v>1080</v>
      </c>
      <c r="Y38" s="1909">
        <f t="shared" si="13"/>
        <v>6.1851851851851851</v>
      </c>
      <c r="Z38" s="33"/>
      <c r="AA38" s="26">
        <f t="shared" si="14"/>
        <v>0</v>
      </c>
      <c r="AB38" s="27">
        <f t="shared" si="15"/>
        <v>0</v>
      </c>
      <c r="AC38" s="53">
        <f t="shared" si="16"/>
        <v>0</v>
      </c>
      <c r="AD38" s="28"/>
      <c r="AE38" s="36"/>
      <c r="AF38" s="36"/>
      <c r="AG38" s="53">
        <f t="shared" si="17"/>
        <v>0</v>
      </c>
      <c r="AH38" s="28"/>
      <c r="AI38" s="23"/>
      <c r="AJ38" s="27"/>
      <c r="AK38" s="53">
        <f t="shared" si="18"/>
        <v>0</v>
      </c>
      <c r="AL38" s="28"/>
      <c r="AM38" s="2629"/>
      <c r="AN38" s="9"/>
      <c r="AO38" s="5"/>
      <c r="AP38" s="61">
        <f t="shared" si="19"/>
        <v>0</v>
      </c>
      <c r="AQ38" s="36"/>
      <c r="AR38" s="53"/>
      <c r="AS38" s="61">
        <f t="shared" si="20"/>
        <v>0</v>
      </c>
      <c r="AT38" s="36"/>
      <c r="AU38" s="27"/>
      <c r="AV38" s="54">
        <f t="shared" si="21"/>
        <v>0</v>
      </c>
      <c r="AW38" s="26">
        <v>34818</v>
      </c>
      <c r="AX38" s="27">
        <v>1953.9</v>
      </c>
      <c r="AY38" s="1895">
        <f t="shared" si="115"/>
        <v>17.819745125134347</v>
      </c>
      <c r="AZ38" s="1908"/>
      <c r="BA38" s="1909"/>
      <c r="BB38" s="1895">
        <f t="shared" si="22"/>
        <v>0</v>
      </c>
      <c r="BC38" s="1908">
        <v>23940</v>
      </c>
      <c r="BD38" s="1926">
        <v>1960.0600000000002</v>
      </c>
      <c r="BE38" s="1895">
        <f t="shared" si="23"/>
        <v>12.213911819025947</v>
      </c>
      <c r="BF38" s="1908"/>
      <c r="BG38" s="1909"/>
      <c r="BH38" s="1895">
        <f t="shared" si="24"/>
        <v>0</v>
      </c>
      <c r="BI38" s="1908">
        <v>0</v>
      </c>
      <c r="BJ38" s="1909">
        <v>0</v>
      </c>
      <c r="BK38" s="1895">
        <f t="shared" si="25"/>
        <v>0</v>
      </c>
      <c r="BL38" s="1742">
        <v>16292</v>
      </c>
      <c r="BM38" s="1909">
        <v>798.36</v>
      </c>
      <c r="BN38" s="2170"/>
      <c r="BO38" s="1895">
        <f t="shared" si="26"/>
        <v>20.406834009719926</v>
      </c>
      <c r="BP38" s="36"/>
      <c r="BQ38" s="53"/>
      <c r="BR38" s="61">
        <f t="shared" si="27"/>
        <v>0</v>
      </c>
      <c r="BS38" s="36"/>
      <c r="BT38" s="27"/>
      <c r="BU38" s="61">
        <f t="shared" si="28"/>
        <v>0</v>
      </c>
      <c r="BV38" s="36">
        <v>6680</v>
      </c>
      <c r="BW38" s="5">
        <v>1080</v>
      </c>
      <c r="BX38" s="28">
        <f t="shared" si="29"/>
        <v>6.1851851851851851</v>
      </c>
      <c r="BY38" s="26"/>
      <c r="BZ38" s="5"/>
      <c r="CA38" s="61">
        <f t="shared" si="30"/>
        <v>0</v>
      </c>
      <c r="CB38" s="36"/>
      <c r="CC38" s="5"/>
      <c r="CD38" s="61">
        <f t="shared" si="31"/>
        <v>0</v>
      </c>
      <c r="CE38" s="26"/>
      <c r="CF38" s="5"/>
      <c r="CG38" s="28">
        <f t="shared" si="32"/>
        <v>0</v>
      </c>
      <c r="CH38" s="150"/>
      <c r="CI38" s="9"/>
      <c r="CJ38" s="5"/>
      <c r="CK38" s="5">
        <v>1370</v>
      </c>
      <c r="CL38" s="5"/>
      <c r="CM38" s="5"/>
      <c r="CN38" s="5"/>
      <c r="CO38" s="33"/>
      <c r="CP38" s="366"/>
      <c r="CR38" s="4">
        <f t="shared" si="134"/>
        <v>0</v>
      </c>
      <c r="CS38" s="9">
        <f t="shared" si="134"/>
        <v>0</v>
      </c>
      <c r="CT38" s="5">
        <f t="shared" si="134"/>
        <v>0</v>
      </c>
      <c r="CU38" s="5">
        <f t="shared" si="133"/>
        <v>0</v>
      </c>
      <c r="CV38" s="5">
        <f t="shared" si="133"/>
        <v>0</v>
      </c>
      <c r="CW38" s="5">
        <f t="shared" si="133"/>
        <v>0</v>
      </c>
      <c r="CX38" s="5">
        <f t="shared" si="133"/>
        <v>1953.9</v>
      </c>
      <c r="CY38" s="5">
        <f t="shared" si="133"/>
        <v>0</v>
      </c>
      <c r="CZ38" s="5">
        <f t="shared" si="133"/>
        <v>2535.14</v>
      </c>
      <c r="DA38" s="5">
        <f t="shared" si="133"/>
        <v>0</v>
      </c>
      <c r="DB38" s="5">
        <f t="shared" si="133"/>
        <v>1303.2800000000002</v>
      </c>
      <c r="DC38" s="12">
        <f t="shared" si="133"/>
        <v>0</v>
      </c>
      <c r="DD38" s="310">
        <f>SUM(CR38:DC38,PW38)</f>
        <v>5792.32</v>
      </c>
      <c r="DE38" s="2695"/>
      <c r="DF38" s="8"/>
      <c r="DG38" s="9"/>
      <c r="DH38" s="5"/>
      <c r="DI38" s="5"/>
      <c r="DJ38" s="5"/>
      <c r="DK38" s="5"/>
      <c r="DL38" s="3">
        <v>1953.9</v>
      </c>
      <c r="DM38" s="5"/>
      <c r="DN38" s="3">
        <v>0</v>
      </c>
      <c r="DO38" s="5"/>
      <c r="DP38" s="5"/>
      <c r="DQ38" s="12"/>
      <c r="DR38" s="28">
        <f t="shared" si="35"/>
        <v>1953.9</v>
      </c>
      <c r="DS38" s="36"/>
      <c r="DT38" s="36"/>
      <c r="DU38" s="27"/>
      <c r="DV38" s="27"/>
      <c r="DW38" s="27"/>
      <c r="DX38" s="27"/>
      <c r="DY38" s="27"/>
      <c r="DZ38" s="27"/>
      <c r="EA38" s="3">
        <v>1675.1399999999999</v>
      </c>
      <c r="EB38" s="27"/>
      <c r="EC38" s="24">
        <v>1083.2800000000002</v>
      </c>
      <c r="ED38" s="33"/>
      <c r="EE38" s="28">
        <f t="shared" si="36"/>
        <v>2758.42</v>
      </c>
      <c r="EF38" s="36"/>
      <c r="EG38" s="36"/>
      <c r="EH38" s="27"/>
      <c r="EI38" s="27"/>
      <c r="EJ38" s="27"/>
      <c r="EK38" s="27"/>
      <c r="EL38" s="27"/>
      <c r="EM38" s="27"/>
      <c r="EN38" s="5">
        <v>860</v>
      </c>
      <c r="EO38" s="5"/>
      <c r="EP38" s="5">
        <v>220</v>
      </c>
      <c r="EQ38" s="33"/>
      <c r="ER38" s="28">
        <f t="shared" si="37"/>
        <v>1080</v>
      </c>
      <c r="ES38" s="36"/>
      <c r="ET38" s="27"/>
      <c r="EU38" s="27"/>
      <c r="EV38" s="27"/>
      <c r="EW38" s="27"/>
      <c r="EX38" s="27"/>
      <c r="EY38" s="33">
        <f t="shared" si="38"/>
        <v>0</v>
      </c>
      <c r="EZ38" s="2685"/>
      <c r="FB38" s="4">
        <f t="shared" si="39"/>
        <v>0</v>
      </c>
      <c r="FC38" s="5">
        <f t="shared" si="40"/>
        <v>0</v>
      </c>
      <c r="FD38" s="5">
        <f t="shared" si="41"/>
        <v>597.44000000000005</v>
      </c>
      <c r="FE38" s="12">
        <f t="shared" si="42"/>
        <v>597.44000000000005</v>
      </c>
      <c r="FF38" s="33"/>
      <c r="FG38" s="2674"/>
      <c r="FH38" s="9"/>
      <c r="FI38" s="5"/>
      <c r="FJ38" s="5"/>
      <c r="FK38" s="5"/>
      <c r="FL38" s="5"/>
      <c r="FM38" s="27"/>
      <c r="FN38" s="28">
        <f t="shared" si="43"/>
        <v>0</v>
      </c>
      <c r="FO38" s="36"/>
      <c r="FP38" s="27"/>
      <c r="FQ38" s="27"/>
      <c r="FR38" s="27"/>
      <c r="FS38" s="27"/>
      <c r="FT38" s="27"/>
      <c r="FU38" s="28">
        <f t="shared" si="44"/>
        <v>0</v>
      </c>
      <c r="FV38" s="36"/>
      <c r="FW38" s="36"/>
      <c r="FX38" s="27"/>
      <c r="FY38" s="27"/>
      <c r="FZ38" s="27"/>
      <c r="GA38" s="27"/>
      <c r="GB38" s="27"/>
      <c r="GC38" s="27"/>
      <c r="GD38" s="27">
        <v>597.44000000000005</v>
      </c>
      <c r="GE38" s="27"/>
      <c r="GF38" s="27"/>
      <c r="GG38" s="33"/>
      <c r="GH38" s="33">
        <f t="shared" si="45"/>
        <v>597.44000000000005</v>
      </c>
      <c r="GI38" s="2674"/>
      <c r="GK38" s="2">
        <f t="shared" si="108"/>
        <v>3294.4500000000003</v>
      </c>
      <c r="GL38" s="63">
        <f t="shared" si="109"/>
        <v>3469.900000000001</v>
      </c>
      <c r="GM38" s="24">
        <f t="shared" si="110"/>
        <v>4302.43</v>
      </c>
      <c r="GN38" s="53">
        <f t="shared" si="46"/>
        <v>11066.780000000002</v>
      </c>
      <c r="GO38" s="141"/>
      <c r="GP38" s="141"/>
      <c r="GQ38" s="33"/>
      <c r="GR38" s="2667"/>
      <c r="GS38" s="1739">
        <v>0</v>
      </c>
      <c r="GT38" s="1721">
        <v>336.4</v>
      </c>
      <c r="GU38" s="1721">
        <v>5361.7399999999989</v>
      </c>
      <c r="GV38" s="1721">
        <v>5368.6399999999994</v>
      </c>
      <c r="GW38" s="33">
        <f t="shared" si="47"/>
        <v>11066.779999999999</v>
      </c>
      <c r="GX38" s="2667"/>
      <c r="GY38" s="36"/>
      <c r="GZ38" s="36"/>
      <c r="HA38" s="27"/>
      <c r="HB38" s="27"/>
      <c r="HC38" s="27"/>
      <c r="HD38" s="27"/>
      <c r="HE38" s="27"/>
      <c r="HF38" s="27"/>
      <c r="HG38" s="24">
        <v>2958.05</v>
      </c>
      <c r="HH38" s="27"/>
      <c r="HI38" s="24">
        <v>0</v>
      </c>
      <c r="HJ38" s="27"/>
      <c r="HK38" s="24">
        <v>336.4</v>
      </c>
      <c r="HL38" s="27"/>
      <c r="HM38" s="28">
        <f t="shared" si="120"/>
        <v>3294.4500000000003</v>
      </c>
      <c r="HN38" s="36"/>
      <c r="HO38" s="27"/>
      <c r="HP38" s="27"/>
      <c r="HQ38" s="27"/>
      <c r="HR38" s="27"/>
      <c r="HS38" s="27"/>
      <c r="HT38" s="27" cm="1">
        <f t="array" ref="HT38">SUMPRODUCT(('Data Base hauling'!$C$2:$C$216="TCM-ROM SB1 BK05-ROM 4")*(ISNUMBER(SEARCH(TEXT('June TCM'!$B38,"00")&amp;"/03/2026",'Data Base hauling'!$E$2:$E$216)))*'Data Base hauling'!$N$2:$N$216)</f>
        <v>0</v>
      </c>
      <c r="HU38" s="27"/>
      <c r="HV38" s="27" cm="1">
        <f t="array" ref="HV38">SUMPRODUCT(('Data Base hauling'!$C$2:$C$216="TCM-ROM SB1 BK05-ROM 5")*(ISNUMBER(SEARCH(TEXT('June TCM'!$B38,"00")&amp;"/03/2026",'Data Base hauling'!$E$2:$E$216)))*'Data Base hauling'!$N$2:$N$216)</f>
        <v>0</v>
      </c>
      <c r="HW38" s="27"/>
      <c r="HX38" s="27"/>
      <c r="HY38" s="27"/>
      <c r="HZ38" s="27"/>
      <c r="IA38" s="27"/>
      <c r="IB38" s="33">
        <f t="shared" si="49"/>
        <v>0</v>
      </c>
      <c r="IC38" s="52"/>
      <c r="ID38" s="152"/>
      <c r="IE38" s="53"/>
      <c r="IF38" s="53"/>
      <c r="IG38" s="53"/>
      <c r="IH38" s="53"/>
      <c r="II38" s="1926">
        <v>0</v>
      </c>
      <c r="IJ38" s="53"/>
      <c r="IK38" s="1926">
        <v>3469.900000000001</v>
      </c>
      <c r="IL38" s="53"/>
      <c r="IM38" s="49">
        <v>0</v>
      </c>
      <c r="IN38" s="53"/>
      <c r="IO38" s="53"/>
      <c r="IP38" s="49">
        <f>SUMPRODUCT(('Data Base hauling'!$C$2:$C$216="TCM-HAC1 (Production)-ROM 2(HAC)")*(ISNUMBER(SEARCH(TEXT('June TCM'!$B38,"00")&amp;"/06/2026",'Data Base hauling'!$E$2:$E$216)))*'Data Base hauling'!$N$2:$N$216)</f>
        <v>0</v>
      </c>
      <c r="IQ38" s="61">
        <f t="shared" si="121"/>
        <v>3469.900000000001</v>
      </c>
      <c r="IR38" s="36"/>
      <c r="IS38" s="36"/>
      <c r="IT38" s="27"/>
      <c r="IU38" s="27"/>
      <c r="IV38" s="53"/>
      <c r="IW38" s="53"/>
      <c r="IX38" s="24">
        <v>0</v>
      </c>
      <c r="IY38" s="53"/>
      <c r="IZ38" s="24">
        <v>4302.43</v>
      </c>
      <c r="JA38" s="53"/>
      <c r="JB38" s="24">
        <v>0</v>
      </c>
      <c r="JC38" s="27"/>
      <c r="JD38" s="27"/>
      <c r="JE38" s="27"/>
      <c r="JF38" s="33">
        <f t="shared" si="122"/>
        <v>4302.43</v>
      </c>
      <c r="JG38" s="2667"/>
      <c r="JI38" s="2014">
        <v>11066.779999999999</v>
      </c>
      <c r="JJ38" s="2015">
        <v>0</v>
      </c>
      <c r="JK38" s="27"/>
      <c r="JL38" s="53">
        <f t="shared" si="52"/>
        <v>11066.779999999999</v>
      </c>
      <c r="JM38" s="33"/>
      <c r="JN38" s="2669"/>
      <c r="JO38" s="66">
        <v>0</v>
      </c>
      <c r="JP38" s="67">
        <v>0</v>
      </c>
      <c r="JQ38" s="67">
        <v>0</v>
      </c>
      <c r="JR38" s="67">
        <v>0</v>
      </c>
      <c r="JS38" s="67">
        <v>0.96960272093599031</v>
      </c>
      <c r="JT38" s="67">
        <v>0</v>
      </c>
      <c r="JU38" s="67">
        <v>3.0397279064009585E-2</v>
      </c>
      <c r="JV38" s="1921">
        <v>0</v>
      </c>
      <c r="JW38" s="66" t="s">
        <v>296</v>
      </c>
      <c r="JX38" s="67" t="s">
        <v>296</v>
      </c>
      <c r="JY38" s="67" t="s">
        <v>296</v>
      </c>
      <c r="JZ38" s="67" t="s">
        <v>296</v>
      </c>
      <c r="KA38" s="67" t="s">
        <v>296</v>
      </c>
      <c r="KB38" s="67" t="s">
        <v>296</v>
      </c>
      <c r="KC38" s="67" t="s">
        <v>296</v>
      </c>
      <c r="KD38" s="68" t="s">
        <v>296</v>
      </c>
      <c r="KE38" s="69"/>
      <c r="KF38" s="70"/>
      <c r="KG38" s="70"/>
      <c r="KH38" s="70"/>
      <c r="KI38" s="70"/>
      <c r="KJ38" s="70"/>
      <c r="KK38" s="70"/>
      <c r="KL38" s="70"/>
      <c r="KM38" s="33"/>
      <c r="KN38" s="2669"/>
      <c r="KO38" s="2203">
        <v>7030.3595343380557</v>
      </c>
      <c r="KP38" s="1721">
        <v>0.67491562133381466</v>
      </c>
      <c r="KQ38" s="1721">
        <v>2.6481535962458262</v>
      </c>
      <c r="KR38" s="1721">
        <v>6.8387654543813738</v>
      </c>
      <c r="KS38" s="1722">
        <v>10.138573233462683</v>
      </c>
      <c r="KT38" s="1958">
        <v>0</v>
      </c>
      <c r="KU38" s="1961">
        <v>0</v>
      </c>
      <c r="KV38" s="1961">
        <v>0</v>
      </c>
      <c r="KW38" s="1961">
        <v>0</v>
      </c>
      <c r="KX38" s="1962">
        <v>0</v>
      </c>
      <c r="KY38" s="36"/>
      <c r="KZ38" s="53"/>
      <c r="LA38" s="53"/>
      <c r="LB38" s="53"/>
      <c r="LC38" s="53"/>
      <c r="LD38" s="33"/>
      <c r="LE38" s="2669"/>
      <c r="LG38" s="26">
        <f t="shared" si="53"/>
        <v>11146.53</v>
      </c>
      <c r="LH38" s="27">
        <f t="shared" si="53"/>
        <v>0</v>
      </c>
      <c r="LI38" s="27">
        <f t="shared" si="53"/>
        <v>0</v>
      </c>
      <c r="LJ38" s="28">
        <f t="shared" si="54"/>
        <v>11146.53</v>
      </c>
      <c r="LK38" s="36">
        <v>2</v>
      </c>
      <c r="LL38" s="27"/>
      <c r="LM38" s="27">
        <v>1</v>
      </c>
      <c r="LN38" s="33"/>
      <c r="LO38" s="1041">
        <v>5.0199999999999996</v>
      </c>
      <c r="LP38" s="486"/>
      <c r="LQ38" s="2688"/>
      <c r="LR38" s="2278">
        <v>11146.53</v>
      </c>
      <c r="LS38" s="2269"/>
      <c r="LT38" s="27"/>
      <c r="LU38" s="27"/>
      <c r="LV38" s="27"/>
      <c r="LW38" s="1107">
        <f t="shared" si="55"/>
        <v>11146.53</v>
      </c>
      <c r="LX38" s="2269"/>
      <c r="LY38" s="2269"/>
      <c r="LZ38" s="27"/>
      <c r="MA38" s="27"/>
      <c r="MB38" s="33"/>
      <c r="MC38" s="28">
        <f t="shared" si="56"/>
        <v>0</v>
      </c>
      <c r="MD38" s="26"/>
      <c r="ME38" s="36"/>
      <c r="MF38" s="27"/>
      <c r="MG38" s="27"/>
      <c r="MH38" s="27"/>
      <c r="MI38" s="28"/>
      <c r="MJ38" s="36"/>
      <c r="MK38" s="36"/>
      <c r="ML38" s="27"/>
      <c r="MM38" s="27"/>
      <c r="MN38" s="27"/>
      <c r="MO38" s="28"/>
      <c r="MP38" s="36"/>
      <c r="MQ38" s="36"/>
      <c r="MR38" s="27"/>
      <c r="MS38" s="27"/>
      <c r="MT38" s="27"/>
      <c r="MU38" s="33">
        <f t="shared" si="57"/>
        <v>0</v>
      </c>
      <c r="MV38" s="2688"/>
      <c r="MX38" s="26">
        <f t="shared" si="58"/>
        <v>200002.41004856004</v>
      </c>
      <c r="MY38" s="27">
        <f t="shared" si="59"/>
        <v>192375.4278501792</v>
      </c>
      <c r="MZ38" s="27">
        <f t="shared" si="60"/>
        <v>22515.3785590234</v>
      </c>
      <c r="NA38" s="28">
        <f t="shared" si="61"/>
        <v>412132.7285585099</v>
      </c>
      <c r="NB38" s="2621"/>
      <c r="NC38" s="23">
        <f t="shared" si="123"/>
        <v>111311.60651155001</v>
      </c>
      <c r="ND38" s="1579">
        <f t="shared" si="124"/>
        <v>88690.803537010026</v>
      </c>
      <c r="NE38" s="60">
        <f t="shared" si="64"/>
        <v>0</v>
      </c>
      <c r="NF38" s="275">
        <f t="shared" si="4"/>
        <v>200002.41004856004</v>
      </c>
      <c r="NG38" s="26">
        <f t="shared" si="136"/>
        <v>0</v>
      </c>
      <c r="NH38" s="27">
        <f t="shared" si="136"/>
        <v>0</v>
      </c>
      <c r="NI38" s="27">
        <f t="shared" si="136"/>
        <v>0</v>
      </c>
      <c r="NJ38" s="27">
        <f t="shared" si="136"/>
        <v>0</v>
      </c>
      <c r="NK38" s="27">
        <f t="shared" si="136"/>
        <v>0</v>
      </c>
      <c r="NL38" s="33">
        <f t="shared" si="136"/>
        <v>0</v>
      </c>
      <c r="NM38" s="27">
        <f t="shared" si="136"/>
        <v>0</v>
      </c>
      <c r="NN38" s="152">
        <f t="shared" si="136"/>
        <v>0</v>
      </c>
      <c r="NO38" s="24">
        <f t="shared" si="111"/>
        <v>14631.964219200567</v>
      </c>
      <c r="NP38" s="27">
        <f t="shared" si="136"/>
        <v>26196.696072681989</v>
      </c>
      <c r="NQ38" s="24">
        <f t="shared" si="112"/>
        <v>8756.5482322711578</v>
      </c>
      <c r="NR38" s="24">
        <f t="shared" si="113"/>
        <v>11167.5948469876</v>
      </c>
      <c r="NS38" s="27">
        <f t="shared" si="0"/>
        <v>60752.803371141315</v>
      </c>
      <c r="NT38" s="27">
        <f t="shared" si="129"/>
        <v>0</v>
      </c>
      <c r="NU38" s="27">
        <f t="shared" si="129"/>
        <v>0</v>
      </c>
      <c r="NV38" s="27">
        <f t="shared" si="129"/>
        <v>0</v>
      </c>
      <c r="NW38" s="27">
        <f t="shared" si="129"/>
        <v>0</v>
      </c>
      <c r="NX38" s="5">
        <f t="shared" si="129"/>
        <v>0</v>
      </c>
      <c r="NY38" s="5">
        <f t="shared" si="129"/>
        <v>0</v>
      </c>
      <c r="NZ38" s="27">
        <f t="shared" si="129"/>
        <v>12401.660368235247</v>
      </c>
      <c r="OA38" s="27">
        <f t="shared" si="129"/>
        <v>0</v>
      </c>
      <c r="OB38" s="27">
        <f t="shared" si="129"/>
        <v>76600.587327968053</v>
      </c>
      <c r="OC38" s="27"/>
      <c r="OD38" s="24">
        <f t="shared" si="132"/>
        <v>454.51223506073143</v>
      </c>
      <c r="OE38" s="27">
        <f t="shared" ref="OE38:OE40" si="137">+OE37+DQ38-IN38</f>
        <v>0</v>
      </c>
      <c r="OF38" s="28">
        <f t="shared" si="1"/>
        <v>89456.759931264023</v>
      </c>
      <c r="OG38" s="27">
        <f t="shared" si="131"/>
        <v>0</v>
      </c>
      <c r="OH38" s="27">
        <f t="shared" si="131"/>
        <v>0</v>
      </c>
      <c r="OI38" s="27">
        <f t="shared" si="131"/>
        <v>0</v>
      </c>
      <c r="OJ38" s="27">
        <f t="shared" si="131"/>
        <v>0</v>
      </c>
      <c r="OK38" s="27">
        <f t="shared" si="131"/>
        <v>0</v>
      </c>
      <c r="OL38" s="27">
        <f t="shared" si="131"/>
        <v>0</v>
      </c>
      <c r="OM38" s="24">
        <f t="shared" si="131"/>
        <v>0</v>
      </c>
      <c r="ON38" s="27">
        <f t="shared" si="131"/>
        <v>0</v>
      </c>
      <c r="OO38" s="24">
        <f t="shared" si="118"/>
        <v>31410.494547773837</v>
      </c>
      <c r="OP38" s="27">
        <f t="shared" si="131"/>
        <v>0</v>
      </c>
      <c r="OQ38" s="24">
        <f t="shared" si="131"/>
        <v>10755.37</v>
      </c>
      <c r="OR38" s="27">
        <f t="shared" si="131"/>
        <v>0</v>
      </c>
      <c r="OS38" s="28">
        <f t="shared" si="2"/>
        <v>42165.864547773839</v>
      </c>
      <c r="OT38" s="36"/>
      <c r="OU38" s="27"/>
      <c r="OV38" s="27"/>
      <c r="OW38" s="27"/>
      <c r="OX38" s="27"/>
      <c r="OY38" s="27"/>
      <c r="OZ38" s="28">
        <f t="shared" si="69"/>
        <v>0</v>
      </c>
      <c r="PA38" s="36">
        <f t="shared" si="70"/>
        <v>0</v>
      </c>
      <c r="PB38" s="27">
        <f t="shared" si="71"/>
        <v>0</v>
      </c>
      <c r="PC38" s="27">
        <f t="shared" si="72"/>
        <v>0</v>
      </c>
      <c r="PD38" s="27">
        <f t="shared" si="73"/>
        <v>0</v>
      </c>
      <c r="PE38" s="24"/>
      <c r="PF38" s="27">
        <f t="shared" si="74"/>
        <v>0</v>
      </c>
      <c r="PG38" s="33">
        <f t="shared" si="3"/>
        <v>0</v>
      </c>
      <c r="PH38" s="2621"/>
      <c r="PJ38" s="1907">
        <v>1212.3200000000002</v>
      </c>
      <c r="PK38" s="3">
        <v>690</v>
      </c>
      <c r="PL38" s="3">
        <v>230</v>
      </c>
      <c r="PM38" s="3">
        <v>336.4</v>
      </c>
      <c r="PN38" s="3">
        <v>37938.189776580686</v>
      </c>
      <c r="PO38" s="11">
        <f t="shared" si="75"/>
        <v>22515.3785590234</v>
      </c>
      <c r="PP38" s="15"/>
      <c r="PQ38" s="2615"/>
      <c r="PS38" s="4"/>
      <c r="PT38" s="9"/>
      <c r="PU38" s="9"/>
      <c r="PV38" s="9"/>
      <c r="PW38" s="8">
        <v>0</v>
      </c>
      <c r="PX38" s="9"/>
      <c r="PY38" s="8">
        <f t="shared" si="76"/>
        <v>0</v>
      </c>
      <c r="PZ38" s="5">
        <f t="shared" si="77"/>
        <v>1212.3200000000002</v>
      </c>
      <c r="QA38" s="5"/>
      <c r="QB38" s="5"/>
      <c r="QC38" s="5"/>
      <c r="QD38" s="5"/>
      <c r="QE38" s="5"/>
      <c r="QF38" s="12"/>
      <c r="QG38" s="12">
        <f t="shared" si="78"/>
        <v>29562.488999999998</v>
      </c>
      <c r="QH38" s="420">
        <f t="shared" si="79"/>
        <v>380445.49955850991</v>
      </c>
      <c r="QI38" s="1106">
        <f t="shared" si="80"/>
        <v>2124.7399999999998</v>
      </c>
      <c r="QJ38" s="484">
        <f t="shared" si="81"/>
        <v>5505.3678056099998</v>
      </c>
      <c r="QK38" s="12"/>
      <c r="QL38" s="2615"/>
      <c r="QN38" s="139">
        <f t="shared" si="82"/>
        <v>0</v>
      </c>
      <c r="QO38" s="139" t="str">
        <f t="shared" si="83"/>
        <v/>
      </c>
      <c r="QQ38" s="139">
        <f t="shared" si="84"/>
        <v>0</v>
      </c>
      <c r="QR38" s="139">
        <f t="shared" si="85"/>
        <v>0</v>
      </c>
      <c r="QT38" s="1">
        <f t="shared" si="86"/>
        <v>0</v>
      </c>
      <c r="QU38" s="1">
        <f t="shared" si="87"/>
        <v>0</v>
      </c>
      <c r="QV38" s="1">
        <f t="shared" si="88"/>
        <v>0</v>
      </c>
      <c r="QW38" s="1">
        <f t="shared" si="89"/>
        <v>0</v>
      </c>
      <c r="QX38" s="1">
        <f t="shared" si="90"/>
        <v>0</v>
      </c>
      <c r="QY38" s="1">
        <f t="shared" si="91"/>
        <v>0</v>
      </c>
      <c r="RA38" s="1">
        <f t="shared" si="92"/>
        <v>0</v>
      </c>
      <c r="RB38" s="1">
        <f t="shared" si="93"/>
        <v>0</v>
      </c>
      <c r="RC38" s="1">
        <f t="shared" si="94"/>
        <v>0</v>
      </c>
      <c r="RD38" s="1">
        <f t="shared" si="95"/>
        <v>0</v>
      </c>
      <c r="RE38" s="1">
        <f t="shared" si="96"/>
        <v>0</v>
      </c>
      <c r="RF38" s="1">
        <f t="shared" si="97"/>
        <v>0</v>
      </c>
      <c r="RI38" s="1">
        <v>29</v>
      </c>
      <c r="RJ38" s="1">
        <f t="shared" si="135"/>
        <v>48763.454209717114</v>
      </c>
      <c r="RK38" s="1">
        <f t="shared" si="135"/>
        <v>15099.212780483718</v>
      </c>
      <c r="RL38" s="1">
        <f t="shared" si="135"/>
        <v>13404.263703387322</v>
      </c>
      <c r="RM38" s="89">
        <f t="shared" si="5"/>
        <v>77266.930693588147</v>
      </c>
      <c r="RN38" s="1033">
        <v>29</v>
      </c>
      <c r="RO38" s="1098">
        <f t="shared" si="99"/>
        <v>0</v>
      </c>
      <c r="RP38" s="1098">
        <f t="shared" si="100"/>
        <v>0</v>
      </c>
      <c r="RQ38" s="1097">
        <f t="shared" si="100"/>
        <v>0</v>
      </c>
      <c r="RR38" s="1097">
        <f t="shared" si="101"/>
        <v>4712.3200000000006</v>
      </c>
      <c r="RS38" s="1094"/>
      <c r="RT38" s="1094" t="s">
        <v>369</v>
      </c>
      <c r="RW38" s="421">
        <v>29</v>
      </c>
      <c r="RX38" s="1095">
        <f t="shared" si="102"/>
        <v>11066.779999999999</v>
      </c>
      <c r="RY38" s="1096" t="s">
        <v>370</v>
      </c>
      <c r="SA38" s="1090"/>
      <c r="SB38" s="1090">
        <f t="shared" si="103"/>
        <v>0</v>
      </c>
      <c r="SC38" s="1090"/>
      <c r="SD38" s="1090">
        <f t="shared" si="126"/>
        <v>0</v>
      </c>
      <c r="SF38" s="1">
        <v>29</v>
      </c>
      <c r="SG38" s="1">
        <f t="shared" si="105"/>
        <v>336.4</v>
      </c>
      <c r="SH38" s="1094" t="s">
        <v>371</v>
      </c>
    </row>
    <row r="39" spans="1:502" s="1" customFormat="1">
      <c r="B39" s="471">
        <v>30</v>
      </c>
      <c r="C39" s="4">
        <f t="shared" si="6"/>
        <v>159241</v>
      </c>
      <c r="D39" s="1726">
        <f t="shared" si="119"/>
        <v>13047.92</v>
      </c>
      <c r="E39" s="1895">
        <f t="shared" si="7"/>
        <v>12.204320688661488</v>
      </c>
      <c r="F39" s="870"/>
      <c r="G39" s="870"/>
      <c r="H39" s="52">
        <v>2</v>
      </c>
      <c r="I39" s="61">
        <v>3</v>
      </c>
      <c r="J39" s="52"/>
      <c r="K39" s="54"/>
      <c r="L39" s="52">
        <v>15</v>
      </c>
      <c r="M39" s="61">
        <v>1.5</v>
      </c>
      <c r="N39" s="2629"/>
      <c r="O39" s="4">
        <f t="shared" si="117"/>
        <v>96432</v>
      </c>
      <c r="P39" s="5">
        <f t="shared" si="8"/>
        <v>8592.84</v>
      </c>
      <c r="Q39" s="1913">
        <f t="shared" si="9"/>
        <v>11.222366528412026</v>
      </c>
      <c r="R39" s="33"/>
      <c r="S39" s="26">
        <f t="shared" si="10"/>
        <v>44005</v>
      </c>
      <c r="T39" s="27">
        <f t="shared" si="107"/>
        <v>1715.0800000000002</v>
      </c>
      <c r="U39" s="1909">
        <f t="shared" si="11"/>
        <v>25.657695267859221</v>
      </c>
      <c r="V39" s="28"/>
      <c r="W39" s="26">
        <f t="shared" si="12"/>
        <v>18804</v>
      </c>
      <c r="X39" s="5">
        <f t="shared" si="12"/>
        <v>2740</v>
      </c>
      <c r="Y39" s="1909">
        <f t="shared" si="13"/>
        <v>6.862773722627737</v>
      </c>
      <c r="Z39" s="33"/>
      <c r="AA39" s="26">
        <f t="shared" si="14"/>
        <v>0</v>
      </c>
      <c r="AB39" s="27">
        <f t="shared" si="15"/>
        <v>0</v>
      </c>
      <c r="AC39" s="53">
        <f t="shared" si="16"/>
        <v>0</v>
      </c>
      <c r="AD39" s="28"/>
      <c r="AE39" s="36"/>
      <c r="AF39" s="36"/>
      <c r="AG39" s="53">
        <f t="shared" si="17"/>
        <v>0</v>
      </c>
      <c r="AH39" s="28"/>
      <c r="AI39" s="26"/>
      <c r="AJ39" s="27"/>
      <c r="AK39" s="53">
        <f t="shared" si="18"/>
        <v>0</v>
      </c>
      <c r="AL39" s="28"/>
      <c r="AM39" s="2629"/>
      <c r="AN39" s="9"/>
      <c r="AO39" s="5"/>
      <c r="AP39" s="61">
        <f t="shared" si="19"/>
        <v>0</v>
      </c>
      <c r="AQ39" s="36"/>
      <c r="AR39" s="53"/>
      <c r="AS39" s="61">
        <f t="shared" si="20"/>
        <v>0</v>
      </c>
      <c r="AT39" s="36"/>
      <c r="AU39" s="27"/>
      <c r="AV39" s="54">
        <f t="shared" si="21"/>
        <v>0</v>
      </c>
      <c r="AW39" s="26">
        <v>57162</v>
      </c>
      <c r="AX39" s="27">
        <v>5219.76</v>
      </c>
      <c r="AY39" s="1895">
        <f t="shared" si="115"/>
        <v>10.951078210492437</v>
      </c>
      <c r="AZ39" s="1908"/>
      <c r="BA39" s="1909"/>
      <c r="BB39" s="1895">
        <f t="shared" si="22"/>
        <v>0</v>
      </c>
      <c r="BC39" s="1908">
        <v>39270</v>
      </c>
      <c r="BD39" s="1926">
        <v>3373.0800000000004</v>
      </c>
      <c r="BE39" s="1895">
        <f t="shared" si="23"/>
        <v>11.642178661638619</v>
      </c>
      <c r="BF39" s="1908"/>
      <c r="BG39" s="1909"/>
      <c r="BH39" s="1895">
        <f t="shared" si="24"/>
        <v>0</v>
      </c>
      <c r="BI39" s="1908"/>
      <c r="BJ39" s="1909"/>
      <c r="BK39" s="1895">
        <f t="shared" si="25"/>
        <v>0</v>
      </c>
      <c r="BL39" s="1910">
        <v>44005</v>
      </c>
      <c r="BM39" s="1909">
        <v>1715.0800000000002</v>
      </c>
      <c r="BN39" s="2170"/>
      <c r="BO39" s="1895">
        <f t="shared" si="26"/>
        <v>25.657695267859221</v>
      </c>
      <c r="BP39" s="36"/>
      <c r="BQ39" s="53"/>
      <c r="BR39" s="61">
        <f t="shared" si="27"/>
        <v>0</v>
      </c>
      <c r="BS39" s="36"/>
      <c r="BT39" s="27"/>
      <c r="BU39" s="61">
        <f t="shared" si="28"/>
        <v>0</v>
      </c>
      <c r="BV39" s="36">
        <v>18804</v>
      </c>
      <c r="BW39" s="27">
        <v>2740</v>
      </c>
      <c r="BX39" s="28">
        <f t="shared" si="29"/>
        <v>6.862773722627737</v>
      </c>
      <c r="BY39" s="26"/>
      <c r="BZ39" s="5"/>
      <c r="CA39" s="61">
        <f t="shared" si="30"/>
        <v>0</v>
      </c>
      <c r="CB39" s="36"/>
      <c r="CC39" s="5"/>
      <c r="CD39" s="61">
        <f t="shared" si="31"/>
        <v>0</v>
      </c>
      <c r="CE39" s="26"/>
      <c r="CF39" s="27"/>
      <c r="CG39" s="28">
        <f t="shared" si="32"/>
        <v>0</v>
      </c>
      <c r="CH39" s="150"/>
      <c r="CI39" s="9"/>
      <c r="CJ39" s="5"/>
      <c r="CK39" s="5">
        <v>2540</v>
      </c>
      <c r="CL39" s="5"/>
      <c r="CM39" s="5"/>
      <c r="CN39" s="5"/>
      <c r="CO39" s="33"/>
      <c r="CP39" s="366"/>
      <c r="CR39" s="4">
        <f t="shared" si="134"/>
        <v>0</v>
      </c>
      <c r="CS39" s="9">
        <f t="shared" si="134"/>
        <v>0</v>
      </c>
      <c r="CT39" s="5">
        <f t="shared" si="134"/>
        <v>0</v>
      </c>
      <c r="CU39" s="5">
        <f t="shared" si="133"/>
        <v>0</v>
      </c>
      <c r="CV39" s="5">
        <f t="shared" si="133"/>
        <v>0</v>
      </c>
      <c r="CW39" s="5">
        <f t="shared" si="133"/>
        <v>0</v>
      </c>
      <c r="CX39" s="5">
        <f t="shared" si="133"/>
        <v>1818.7399999999998</v>
      </c>
      <c r="CY39" s="5">
        <f t="shared" si="133"/>
        <v>0</v>
      </c>
      <c r="CZ39" s="5">
        <f t="shared" si="133"/>
        <v>8930.32</v>
      </c>
      <c r="DA39" s="5">
        <f t="shared" si="133"/>
        <v>0</v>
      </c>
      <c r="DB39" s="5">
        <f t="shared" si="133"/>
        <v>2298.86</v>
      </c>
      <c r="DC39" s="12">
        <f t="shared" si="133"/>
        <v>0</v>
      </c>
      <c r="DD39" s="310">
        <f>SUM(CR39:DC39,PW39)</f>
        <v>13047.92</v>
      </c>
      <c r="DE39" s="2695"/>
      <c r="DF39" s="8"/>
      <c r="DG39" s="9"/>
      <c r="DH39" s="5"/>
      <c r="DI39" s="5"/>
      <c r="DJ39" s="5"/>
      <c r="DK39" s="5"/>
      <c r="DL39" s="3">
        <v>1818.7399999999998</v>
      </c>
      <c r="DM39" s="5"/>
      <c r="DN39" s="3">
        <v>3401.02</v>
      </c>
      <c r="DO39" s="5"/>
      <c r="DP39" s="5"/>
      <c r="DQ39" s="12"/>
      <c r="DR39" s="28">
        <f t="shared" si="35"/>
        <v>5219.76</v>
      </c>
      <c r="DS39" s="36"/>
      <c r="DT39" s="36"/>
      <c r="DU39" s="27"/>
      <c r="DV39" s="27"/>
      <c r="DW39" s="27"/>
      <c r="DX39" s="27"/>
      <c r="DY39" s="27"/>
      <c r="DZ39" s="27"/>
      <c r="EA39" s="3">
        <v>2849.2999999999997</v>
      </c>
      <c r="EB39" s="27"/>
      <c r="EC39" s="24">
        <v>2238.86</v>
      </c>
      <c r="ED39" s="33"/>
      <c r="EE39" s="28">
        <f t="shared" si="36"/>
        <v>5088.16</v>
      </c>
      <c r="EF39" s="36"/>
      <c r="EG39" s="36"/>
      <c r="EH39" s="27"/>
      <c r="EI39" s="27"/>
      <c r="EJ39" s="27"/>
      <c r="EK39" s="27"/>
      <c r="EL39" s="27"/>
      <c r="EM39" s="27"/>
      <c r="EN39" s="5">
        <v>2680</v>
      </c>
      <c r="EO39" s="5"/>
      <c r="EP39" s="5">
        <v>60</v>
      </c>
      <c r="EQ39" s="33"/>
      <c r="ER39" s="28">
        <f t="shared" si="37"/>
        <v>2740</v>
      </c>
      <c r="ES39" s="36"/>
      <c r="ET39" s="27"/>
      <c r="EU39" s="27"/>
      <c r="EV39" s="27"/>
      <c r="EW39" s="27"/>
      <c r="EX39" s="27"/>
      <c r="EY39" s="33">
        <f t="shared" si="38"/>
        <v>0</v>
      </c>
      <c r="EZ39" s="2685"/>
      <c r="FB39" s="4">
        <f t="shared" si="39"/>
        <v>0</v>
      </c>
      <c r="FC39" s="5">
        <f t="shared" si="40"/>
        <v>0</v>
      </c>
      <c r="FD39" s="5">
        <f t="shared" si="41"/>
        <v>486.12</v>
      </c>
      <c r="FE39" s="12">
        <f t="shared" si="42"/>
        <v>486.12</v>
      </c>
      <c r="FF39" s="33"/>
      <c r="FG39" s="2674"/>
      <c r="FH39" s="9"/>
      <c r="FI39" s="5"/>
      <c r="FJ39" s="5"/>
      <c r="FK39" s="5"/>
      <c r="FL39" s="5"/>
      <c r="FM39" s="27"/>
      <c r="FN39" s="28">
        <f t="shared" si="43"/>
        <v>0</v>
      </c>
      <c r="FO39" s="36"/>
      <c r="FP39" s="27"/>
      <c r="FQ39" s="27"/>
      <c r="FR39" s="27"/>
      <c r="FS39" s="27"/>
      <c r="FT39" s="27"/>
      <c r="FU39" s="28">
        <f t="shared" si="44"/>
        <v>0</v>
      </c>
      <c r="FV39" s="36"/>
      <c r="FW39" s="36"/>
      <c r="FX39" s="27"/>
      <c r="FY39" s="27"/>
      <c r="FZ39" s="27"/>
      <c r="GA39" s="27"/>
      <c r="GB39" s="27"/>
      <c r="GC39" s="27"/>
      <c r="GD39" s="27">
        <v>486.12</v>
      </c>
      <c r="GE39" s="27"/>
      <c r="GF39" s="27"/>
      <c r="GG39" s="33"/>
      <c r="GH39" s="33">
        <f t="shared" si="45"/>
        <v>486.12</v>
      </c>
      <c r="GI39" s="2674"/>
      <c r="GK39" s="2">
        <f t="shared" si="108"/>
        <v>3161.36</v>
      </c>
      <c r="GL39" s="63">
        <f t="shared" si="109"/>
        <v>5350.65</v>
      </c>
      <c r="GM39" s="24">
        <f t="shared" si="110"/>
        <v>2188.0400000000004</v>
      </c>
      <c r="GN39" s="27">
        <f t="shared" si="46"/>
        <v>10700.050000000001</v>
      </c>
      <c r="GO39" s="141"/>
      <c r="GP39" s="141"/>
      <c r="GQ39" s="33"/>
      <c r="GR39" s="2667"/>
      <c r="GS39" s="1739">
        <v>0</v>
      </c>
      <c r="GT39" s="1721">
        <v>432.1</v>
      </c>
      <c r="GU39" s="1721">
        <v>5375.8400000000011</v>
      </c>
      <c r="GV39" s="1721">
        <v>4892.1099999999997</v>
      </c>
      <c r="GW39" s="33">
        <f t="shared" si="47"/>
        <v>10700.050000000001</v>
      </c>
      <c r="GX39" s="2667"/>
      <c r="GY39" s="36"/>
      <c r="GZ39" s="36"/>
      <c r="HA39" s="27"/>
      <c r="HB39" s="27"/>
      <c r="HC39" s="27"/>
      <c r="HD39" s="27"/>
      <c r="HE39" s="27"/>
      <c r="HF39" s="27"/>
      <c r="HG39" s="24">
        <v>1331.5</v>
      </c>
      <c r="HH39" s="27"/>
      <c r="HI39" s="24">
        <v>1397.76</v>
      </c>
      <c r="HJ39" s="27"/>
      <c r="HK39" s="24">
        <v>432.1</v>
      </c>
      <c r="HL39" s="27"/>
      <c r="HM39" s="28">
        <f t="shared" si="120"/>
        <v>3161.36</v>
      </c>
      <c r="HN39" s="36"/>
      <c r="HO39" s="27"/>
      <c r="HP39" s="27"/>
      <c r="HQ39" s="27"/>
      <c r="HR39" s="27"/>
      <c r="HS39" s="27"/>
      <c r="HT39" s="27" cm="1">
        <f t="array" ref="HT39">SUMPRODUCT(('Data Base hauling'!$C$2:$C$216="TCM-ROM SB1 BK05-ROM 4")*(ISNUMBER(SEARCH(TEXT('June TCM'!$B39,"00")&amp;"/03/2026",'Data Base hauling'!$E$2:$E$216)))*'Data Base hauling'!$N$2:$N$216)</f>
        <v>0</v>
      </c>
      <c r="HU39" s="27"/>
      <c r="HV39" s="27" cm="1">
        <f t="array" ref="HV39">SUMPRODUCT(('Data Base hauling'!$C$2:$C$216="TCM-ROM SB1 BK05-ROM 5")*(ISNUMBER(SEARCH(TEXT('June TCM'!$B39,"00")&amp;"/03/2026",'Data Base hauling'!$E$2:$E$216)))*'Data Base hauling'!$N$2:$N$216)</f>
        <v>0</v>
      </c>
      <c r="HW39" s="27"/>
      <c r="HX39" s="27"/>
      <c r="HY39" s="27"/>
      <c r="HZ39" s="27"/>
      <c r="IA39" s="27"/>
      <c r="IB39" s="33">
        <f t="shared" si="49"/>
        <v>0</v>
      </c>
      <c r="IC39" s="52"/>
      <c r="ID39" s="152"/>
      <c r="IE39" s="53"/>
      <c r="IF39" s="53"/>
      <c r="IG39" s="53"/>
      <c r="IH39" s="53"/>
      <c r="II39" s="1926">
        <v>2185.3399999999997</v>
      </c>
      <c r="IJ39" s="53"/>
      <c r="IK39" s="1926">
        <v>3165.3100000000004</v>
      </c>
      <c r="IL39" s="53"/>
      <c r="IM39" s="49">
        <v>0</v>
      </c>
      <c r="IN39" s="27"/>
      <c r="IO39" s="27"/>
      <c r="IP39" s="49">
        <f>SUMPRODUCT(('Data Base hauling'!$C$2:$C$216="TCM-HAC1 (Production)-ROM 2(HAC)")*(ISNUMBER(SEARCH(TEXT('June TCM'!$B39,"00")&amp;"/06/2026",'Data Base hauling'!$E$2:$E$216)))*'Data Base hauling'!$N$2:$N$216)</f>
        <v>0</v>
      </c>
      <c r="IQ39" s="61">
        <f t="shared" si="121"/>
        <v>5350.65</v>
      </c>
      <c r="IR39" s="36"/>
      <c r="IS39" s="36"/>
      <c r="IT39" s="27"/>
      <c r="IU39" s="27"/>
      <c r="IV39" s="53"/>
      <c r="IW39" s="27"/>
      <c r="IX39" s="24">
        <v>0</v>
      </c>
      <c r="IY39" s="27"/>
      <c r="IZ39" s="24">
        <v>2188.0400000000004</v>
      </c>
      <c r="JA39" s="27"/>
      <c r="JB39" s="24">
        <v>0</v>
      </c>
      <c r="JC39" s="27"/>
      <c r="JD39" s="27"/>
      <c r="JE39" s="27"/>
      <c r="JF39" s="33">
        <f t="shared" si="122"/>
        <v>2188.0400000000004</v>
      </c>
      <c r="JG39" s="2667"/>
      <c r="JI39" s="2014">
        <v>4890.55</v>
      </c>
      <c r="JJ39" s="2015">
        <v>5809.5000000000009</v>
      </c>
      <c r="JK39" s="27"/>
      <c r="JL39" s="53">
        <f t="shared" si="52"/>
        <v>10700.050000000001</v>
      </c>
      <c r="JM39" s="33"/>
      <c r="JN39" s="2669"/>
      <c r="JO39" s="66">
        <v>0</v>
      </c>
      <c r="JP39" s="67">
        <v>0</v>
      </c>
      <c r="JQ39" s="67">
        <v>0</v>
      </c>
      <c r="JR39" s="67">
        <v>3.858461727208596E-2</v>
      </c>
      <c r="JS39" s="67">
        <v>0.87306131212235838</v>
      </c>
      <c r="JT39" s="67">
        <v>0</v>
      </c>
      <c r="JU39" s="67">
        <v>8.8354070605555612E-2</v>
      </c>
      <c r="JV39" s="1921">
        <v>0</v>
      </c>
      <c r="JW39" s="66">
        <v>0</v>
      </c>
      <c r="JX39" s="67">
        <v>0</v>
      </c>
      <c r="JY39" s="67">
        <v>0</v>
      </c>
      <c r="JZ39" s="67">
        <v>0.34368534297271702</v>
      </c>
      <c r="KA39" s="67">
        <v>0.41571563817884499</v>
      </c>
      <c r="KB39" s="67">
        <v>0.24059901884843787</v>
      </c>
      <c r="KC39" s="67">
        <v>0</v>
      </c>
      <c r="KD39" s="68">
        <v>0</v>
      </c>
      <c r="KE39" s="69"/>
      <c r="KF39" s="70"/>
      <c r="KG39" s="70"/>
      <c r="KH39" s="70"/>
      <c r="KI39" s="70"/>
      <c r="KJ39" s="70"/>
      <c r="KK39" s="70"/>
      <c r="KL39" s="70"/>
      <c r="KM39" s="33"/>
      <c r="KN39" s="2669"/>
      <c r="KO39" s="2203">
        <v>0</v>
      </c>
      <c r="KP39" s="1721">
        <v>0</v>
      </c>
      <c r="KQ39" s="1721">
        <v>0</v>
      </c>
      <c r="KR39" s="1721">
        <v>0</v>
      </c>
      <c r="KS39" s="1722">
        <v>0</v>
      </c>
      <c r="KT39" s="1958">
        <v>6777</v>
      </c>
      <c r="KU39" s="1961">
        <v>1.6599999999999997</v>
      </c>
      <c r="KV39" s="1961">
        <v>4.01</v>
      </c>
      <c r="KW39" s="1961">
        <v>8.08</v>
      </c>
      <c r="KX39" s="1962">
        <v>12.1</v>
      </c>
      <c r="KY39" s="36"/>
      <c r="KZ39" s="53"/>
      <c r="LA39" s="53"/>
      <c r="LB39" s="53"/>
      <c r="LC39" s="53"/>
      <c r="LD39" s="33"/>
      <c r="LE39" s="2669"/>
      <c r="LG39" s="26">
        <f t="shared" si="53"/>
        <v>0</v>
      </c>
      <c r="LH39" s="27">
        <f t="shared" si="53"/>
        <v>7681.86</v>
      </c>
      <c r="LI39" s="27">
        <f t="shared" si="53"/>
        <v>0</v>
      </c>
      <c r="LJ39" s="28">
        <f t="shared" si="54"/>
        <v>7681.86</v>
      </c>
      <c r="LK39" s="36">
        <v>1</v>
      </c>
      <c r="LL39" s="27"/>
      <c r="LM39" s="27"/>
      <c r="LN39" s="33"/>
      <c r="LO39" s="1041">
        <v>4.4000000000000004</v>
      </c>
      <c r="LP39" s="21"/>
      <c r="LQ39" s="2688"/>
      <c r="LR39" s="26"/>
      <c r="LS39" s="2269"/>
      <c r="LT39" s="27"/>
      <c r="LU39" s="27"/>
      <c r="LV39" s="27"/>
      <c r="LW39" s="1107">
        <f t="shared" si="55"/>
        <v>0</v>
      </c>
      <c r="LX39" s="2269"/>
      <c r="LY39" s="2269">
        <v>7681.86</v>
      </c>
      <c r="LZ39" s="27"/>
      <c r="MA39" s="27"/>
      <c r="MB39" s="33"/>
      <c r="MC39" s="28">
        <f t="shared" si="56"/>
        <v>7681.86</v>
      </c>
      <c r="MD39" s="26"/>
      <c r="ME39" s="36"/>
      <c r="MF39" s="27"/>
      <c r="MG39" s="27"/>
      <c r="MH39" s="27"/>
      <c r="MI39" s="28"/>
      <c r="MJ39" s="36"/>
      <c r="MK39" s="36"/>
      <c r="ML39" s="27"/>
      <c r="MM39" s="27"/>
      <c r="MN39" s="27"/>
      <c r="MO39" s="28"/>
      <c r="MP39" s="36"/>
      <c r="MQ39" s="36"/>
      <c r="MR39" s="27"/>
      <c r="MS39" s="27"/>
      <c r="MT39" s="27"/>
      <c r="MU39" s="33">
        <f t="shared" si="57"/>
        <v>0</v>
      </c>
      <c r="MV39" s="2688"/>
      <c r="MX39" s="26">
        <f t="shared" si="58"/>
        <v>203020.60004856004</v>
      </c>
      <c r="MY39" s="27">
        <f t="shared" si="59"/>
        <v>195641.5178501792</v>
      </c>
      <c r="MZ39" s="27">
        <f t="shared" si="60"/>
        <v>22083.278559023402</v>
      </c>
      <c r="NA39" s="28">
        <f t="shared" si="61"/>
        <v>410748.98855850991</v>
      </c>
      <c r="NB39" s="2621"/>
      <c r="NC39" s="23">
        <f t="shared" si="123"/>
        <v>116202.15651155001</v>
      </c>
      <c r="ND39" s="1579">
        <f t="shared" si="124"/>
        <v>86818.443537010025</v>
      </c>
      <c r="NE39" s="60">
        <f t="shared" si="64"/>
        <v>0</v>
      </c>
      <c r="NF39" s="275">
        <f t="shared" si="4"/>
        <v>203020.60004856004</v>
      </c>
      <c r="NG39" s="26">
        <f t="shared" si="136"/>
        <v>0</v>
      </c>
      <c r="NH39" s="27">
        <f t="shared" si="136"/>
        <v>0</v>
      </c>
      <c r="NI39" s="27">
        <f t="shared" si="136"/>
        <v>0</v>
      </c>
      <c r="NJ39" s="27">
        <f t="shared" si="136"/>
        <v>0</v>
      </c>
      <c r="NK39" s="27">
        <f t="shared" si="136"/>
        <v>0</v>
      </c>
      <c r="NL39" s="33">
        <f t="shared" si="136"/>
        <v>0</v>
      </c>
      <c r="NM39" s="27">
        <f t="shared" si="136"/>
        <v>0</v>
      </c>
      <c r="NN39" s="152">
        <f t="shared" si="136"/>
        <v>0</v>
      </c>
      <c r="NO39" s="24">
        <f t="shared" si="111"/>
        <v>15980.464219200567</v>
      </c>
      <c r="NP39" s="27">
        <f t="shared" si="136"/>
        <v>26196.696072681989</v>
      </c>
      <c r="NQ39" s="24">
        <f t="shared" si="112"/>
        <v>8756.5482322711578</v>
      </c>
      <c r="NR39" s="24">
        <f t="shared" si="113"/>
        <v>9829.8348469876</v>
      </c>
      <c r="NS39" s="27">
        <f t="shared" si="0"/>
        <v>60763.543371141313</v>
      </c>
      <c r="NT39" s="27">
        <f t="shared" si="129"/>
        <v>0</v>
      </c>
      <c r="NU39" s="27">
        <f t="shared" si="129"/>
        <v>0</v>
      </c>
      <c r="NV39" s="27">
        <f t="shared" si="129"/>
        <v>0</v>
      </c>
      <c r="NW39" s="27">
        <f t="shared" si="129"/>
        <v>0</v>
      </c>
      <c r="NX39" s="5">
        <f t="shared" si="129"/>
        <v>0</v>
      </c>
      <c r="NY39" s="5">
        <f t="shared" si="129"/>
        <v>0</v>
      </c>
      <c r="NZ39" s="27">
        <f t="shared" si="129"/>
        <v>12035.060368235247</v>
      </c>
      <c r="OA39" s="27">
        <f t="shared" si="129"/>
        <v>0</v>
      </c>
      <c r="OB39" s="27">
        <f t="shared" si="129"/>
        <v>76836.297327968059</v>
      </c>
      <c r="OC39" s="27"/>
      <c r="OD39" s="24">
        <f t="shared" si="132"/>
        <v>454.51223506073143</v>
      </c>
      <c r="OE39" s="27">
        <f t="shared" si="137"/>
        <v>0</v>
      </c>
      <c r="OF39" s="28">
        <f t="shared" si="1"/>
        <v>89325.869931264038</v>
      </c>
      <c r="OG39" s="27">
        <f t="shared" si="131"/>
        <v>0</v>
      </c>
      <c r="OH39" s="27">
        <f t="shared" si="131"/>
        <v>0</v>
      </c>
      <c r="OI39" s="27">
        <f t="shared" si="131"/>
        <v>0</v>
      </c>
      <c r="OJ39" s="27">
        <f t="shared" si="131"/>
        <v>0</v>
      </c>
      <c r="OK39" s="27">
        <f t="shared" si="131"/>
        <v>0</v>
      </c>
      <c r="OL39" s="27">
        <f t="shared" si="131"/>
        <v>0</v>
      </c>
      <c r="OM39" s="24">
        <f t="shared" si="131"/>
        <v>0</v>
      </c>
      <c r="ON39" s="27">
        <f t="shared" si="131"/>
        <v>0</v>
      </c>
      <c r="OO39" s="24">
        <f t="shared" si="118"/>
        <v>32557.874547773841</v>
      </c>
      <c r="OP39" s="27">
        <f t="shared" si="131"/>
        <v>0</v>
      </c>
      <c r="OQ39" s="24">
        <f t="shared" si="131"/>
        <v>12994.230000000001</v>
      </c>
      <c r="OR39" s="27">
        <f t="shared" si="131"/>
        <v>0</v>
      </c>
      <c r="OS39" s="28">
        <f t="shared" si="2"/>
        <v>45552.104547773844</v>
      </c>
      <c r="OT39" s="36"/>
      <c r="OU39" s="27"/>
      <c r="OV39" s="27"/>
      <c r="OW39" s="27"/>
      <c r="OX39" s="27"/>
      <c r="OY39" s="27"/>
      <c r="OZ39" s="28">
        <f t="shared" si="69"/>
        <v>0</v>
      </c>
      <c r="PA39" s="36">
        <f t="shared" si="70"/>
        <v>0</v>
      </c>
      <c r="PB39" s="27">
        <f t="shared" si="71"/>
        <v>0</v>
      </c>
      <c r="PC39" s="27">
        <f t="shared" si="72"/>
        <v>0</v>
      </c>
      <c r="PD39" s="27">
        <f t="shared" si="73"/>
        <v>0</v>
      </c>
      <c r="PE39" s="24"/>
      <c r="PF39" s="27">
        <f t="shared" si="74"/>
        <v>0</v>
      </c>
      <c r="PG39" s="33">
        <f t="shared" si="3"/>
        <v>0</v>
      </c>
      <c r="PH39" s="2621"/>
      <c r="PI39" s="2263"/>
      <c r="PJ39" s="1907">
        <v>1383.74</v>
      </c>
      <c r="PK39" s="3"/>
      <c r="PL39" s="3"/>
      <c r="PM39" s="3">
        <v>432.1</v>
      </c>
      <c r="PN39" s="3">
        <v>39321.929776580684</v>
      </c>
      <c r="PO39" s="11">
        <f t="shared" si="75"/>
        <v>22083.278559023402</v>
      </c>
      <c r="PP39" s="15"/>
      <c r="PQ39" s="2615"/>
      <c r="PS39" s="4"/>
      <c r="PT39" s="9"/>
      <c r="PU39" s="9"/>
      <c r="PV39" s="9"/>
      <c r="PW39" s="8">
        <v>0</v>
      </c>
      <c r="PX39" s="9"/>
      <c r="PY39" s="8">
        <f t="shared" si="76"/>
        <v>0</v>
      </c>
      <c r="PZ39" s="5">
        <f t="shared" si="77"/>
        <v>1383.74</v>
      </c>
      <c r="QA39" s="5"/>
      <c r="QB39" s="5"/>
      <c r="QC39" s="5"/>
      <c r="QD39" s="5"/>
      <c r="QE39" s="5"/>
      <c r="QF39" s="12"/>
      <c r="QG39" s="12">
        <f t="shared" si="78"/>
        <v>29562.488999999998</v>
      </c>
      <c r="QH39" s="420">
        <f t="shared" si="79"/>
        <v>379061.75955850992</v>
      </c>
      <c r="QI39" s="1106">
        <f t="shared" si="80"/>
        <v>2124.7399999999998</v>
      </c>
      <c r="QJ39" s="484">
        <f t="shared" si="81"/>
        <v>5505.3678056099998</v>
      </c>
      <c r="QK39" s="12"/>
      <c r="QL39" s="2615"/>
      <c r="QN39" s="139">
        <f t="shared" si="82"/>
        <v>0</v>
      </c>
      <c r="QO39" s="139" t="str">
        <f t="shared" si="83"/>
        <v/>
      </c>
      <c r="QQ39" s="139">
        <f t="shared" si="84"/>
        <v>0</v>
      </c>
      <c r="QR39" s="139">
        <f t="shared" si="85"/>
        <v>0</v>
      </c>
      <c r="QT39" s="1">
        <f t="shared" si="86"/>
        <v>0</v>
      </c>
      <c r="QU39" s="1">
        <f t="shared" si="87"/>
        <v>0</v>
      </c>
      <c r="QV39" s="1">
        <f t="shared" si="88"/>
        <v>0</v>
      </c>
      <c r="QW39" s="1">
        <f t="shared" si="89"/>
        <v>0</v>
      </c>
      <c r="QX39" s="1">
        <f t="shared" si="90"/>
        <v>0</v>
      </c>
      <c r="QY39" s="1">
        <f t="shared" si="91"/>
        <v>0</v>
      </c>
      <c r="RA39" s="1">
        <f t="shared" si="92"/>
        <v>0</v>
      </c>
      <c r="RB39" s="1">
        <f t="shared" si="93"/>
        <v>0</v>
      </c>
      <c r="RC39" s="1">
        <f t="shared" si="94"/>
        <v>0</v>
      </c>
      <c r="RD39" s="1">
        <f t="shared" si="95"/>
        <v>0</v>
      </c>
      <c r="RE39" s="1">
        <f t="shared" si="96"/>
        <v>0</v>
      </c>
      <c r="RF39" s="1">
        <f t="shared" si="97"/>
        <v>0</v>
      </c>
      <c r="RI39" s="1">
        <v>30</v>
      </c>
      <c r="RJ39" s="1">
        <f t="shared" si="135"/>
        <v>53654.004209717117</v>
      </c>
      <c r="RK39" s="1">
        <f t="shared" si="135"/>
        <v>13226.852780483718</v>
      </c>
      <c r="RL39" s="1">
        <f t="shared" si="135"/>
        <v>13404.263703387322</v>
      </c>
      <c r="RM39" s="89">
        <f t="shared" si="5"/>
        <v>80285.120693588149</v>
      </c>
      <c r="RN39" s="1033">
        <v>30</v>
      </c>
      <c r="RO39" s="1098">
        <f t="shared" si="99"/>
        <v>0</v>
      </c>
      <c r="RP39" s="1098">
        <f t="shared" si="100"/>
        <v>0</v>
      </c>
      <c r="RQ39" s="1097">
        <f t="shared" si="100"/>
        <v>0</v>
      </c>
      <c r="RR39" s="1097">
        <f t="shared" si="101"/>
        <v>10307.92</v>
      </c>
      <c r="RS39" s="1094"/>
      <c r="RT39" s="1094" t="s">
        <v>372</v>
      </c>
      <c r="RW39" s="421">
        <v>30</v>
      </c>
      <c r="RX39" s="1095">
        <f t="shared" si="102"/>
        <v>10700.050000000001</v>
      </c>
      <c r="RY39" s="1096" t="s">
        <v>373</v>
      </c>
      <c r="SA39" s="1090"/>
      <c r="SB39" s="1090">
        <f t="shared" si="103"/>
        <v>0</v>
      </c>
      <c r="SC39" s="1090"/>
      <c r="SD39" s="1090">
        <f t="shared" si="126"/>
        <v>0</v>
      </c>
      <c r="SF39" s="1">
        <v>30</v>
      </c>
      <c r="SG39" s="1">
        <f t="shared" si="105"/>
        <v>432.1</v>
      </c>
      <c r="SH39" s="1094" t="s">
        <v>374</v>
      </c>
    </row>
    <row r="40" spans="1:502" s="1" customFormat="1">
      <c r="B40" s="1105">
        <v>31</v>
      </c>
      <c r="C40" s="6">
        <f t="shared" si="6"/>
        <v>0</v>
      </c>
      <c r="D40" s="1955">
        <f>P40+T40+X40+AB40</f>
        <v>0</v>
      </c>
      <c r="E40" s="1915">
        <f t="shared" si="7"/>
        <v>0</v>
      </c>
      <c r="F40" s="1444"/>
      <c r="G40" s="1445"/>
      <c r="H40" s="56"/>
      <c r="I40" s="62"/>
      <c r="J40" s="56"/>
      <c r="K40" s="58"/>
      <c r="L40" s="56"/>
      <c r="M40" s="62"/>
      <c r="N40" s="2630"/>
      <c r="O40" s="4">
        <f t="shared" si="117"/>
        <v>0</v>
      </c>
      <c r="P40" s="5">
        <f t="shared" si="8"/>
        <v>0</v>
      </c>
      <c r="Q40" s="1955">
        <f t="shared" si="9"/>
        <v>0</v>
      </c>
      <c r="R40" s="34"/>
      <c r="S40" s="29">
        <f t="shared" si="10"/>
        <v>0</v>
      </c>
      <c r="T40" s="27">
        <f t="shared" si="107"/>
        <v>0</v>
      </c>
      <c r="U40" s="1917">
        <f t="shared" si="11"/>
        <v>0</v>
      </c>
      <c r="V40" s="31"/>
      <c r="W40" s="29">
        <f t="shared" si="12"/>
        <v>0</v>
      </c>
      <c r="X40" s="7">
        <f t="shared" si="12"/>
        <v>0</v>
      </c>
      <c r="Y40" s="1917">
        <f t="shared" si="13"/>
        <v>0</v>
      </c>
      <c r="Z40" s="34"/>
      <c r="AA40" s="29">
        <f>SUM(BP40,BS40)</f>
        <v>0</v>
      </c>
      <c r="AB40" s="30">
        <f t="shared" si="15"/>
        <v>0</v>
      </c>
      <c r="AC40" s="57">
        <f t="shared" si="16"/>
        <v>0</v>
      </c>
      <c r="AD40" s="31"/>
      <c r="AE40" s="36"/>
      <c r="AF40" s="36"/>
      <c r="AG40" s="57">
        <f t="shared" si="17"/>
        <v>0</v>
      </c>
      <c r="AH40" s="31"/>
      <c r="AI40" s="23"/>
      <c r="AJ40" s="30"/>
      <c r="AK40" s="57">
        <f t="shared" si="18"/>
        <v>0</v>
      </c>
      <c r="AL40" s="31"/>
      <c r="AM40" s="2630"/>
      <c r="AN40" s="10"/>
      <c r="AO40" s="7"/>
      <c r="AP40" s="62">
        <f t="shared" si="19"/>
        <v>0</v>
      </c>
      <c r="AQ40" s="37"/>
      <c r="AR40" s="57"/>
      <c r="AS40" s="62">
        <f t="shared" si="20"/>
        <v>0</v>
      </c>
      <c r="AT40" s="37"/>
      <c r="AU40" s="30"/>
      <c r="AV40" s="58">
        <f t="shared" si="21"/>
        <v>0</v>
      </c>
      <c r="AW40" s="29"/>
      <c r="AX40" s="27">
        <f>SUMPRODUCT(ISNUMBER(SEARCH("BK20",'Data Base Coal Wining'!$C$2:$C$1000))*ISNUMBER(SEARCH("P3000",'Data Base Coal Wining'!$C$2:$C$1000))*('Data Base Coal Wining'!$H$2:$H$1000="PAMA")*('Data Base Coal Wining'!$G$2:$G$1000="Coal Winning")*ISNUMBER(SEARCH(TEXT('June TCM'!$B40,"00")&amp;"/06/2026",'Data Base Coal Wining'!$E$2:$E$1000))*'Data Base Coal Wining'!$N$2:$N$1000)</f>
        <v>0</v>
      </c>
      <c r="AY40" s="1915">
        <f t="shared" si="115"/>
        <v>0</v>
      </c>
      <c r="AZ40" s="1916"/>
      <c r="BA40" s="1917"/>
      <c r="BB40" s="1915">
        <f t="shared" si="22"/>
        <v>0</v>
      </c>
      <c r="BC40" s="1916"/>
      <c r="BD40" s="1926">
        <f>SUMPRODUCT(ISNUMBER(SEARCH("BK30",'Data Base Coal Wining'!$C$2:$C$1000))*ISNUMBER(SEARCH("P3000",'Data Base Coal Wining'!$C$2:$C$1000))*('Data Base Coal Wining'!$H$2:$H$1000="PAMA")*('Data Base Coal Wining'!$G$2:$G$1000="Coal Winning")*ISNUMBER(SEARCH(TEXT('June TCM'!$B40,"00")&amp;"/06/2026",'Data Base Coal Wining'!$E$2:$E$1000))*'Data Base Coal Wining'!$N$2:$N$1000)</f>
        <v>0</v>
      </c>
      <c r="BE40" s="1915">
        <f t="shared" si="23"/>
        <v>0</v>
      </c>
      <c r="BF40" s="1916"/>
      <c r="BG40" s="1917"/>
      <c r="BH40" s="1915">
        <f t="shared" si="24"/>
        <v>0</v>
      </c>
      <c r="BI40" s="1916"/>
      <c r="BJ40" s="1917"/>
      <c r="BK40" s="1915">
        <f t="shared" si="25"/>
        <v>0</v>
      </c>
      <c r="BL40" s="1916"/>
      <c r="BM40" s="1909">
        <f>SUMPRODUCT(ISNUMBER(SEARCH("BK26",'Data Base Coal Wining'!$C$2:$C$1000))*ISNUMBER(SEARCH("P4400",'Data Base Coal Wining'!$C$2:$C$1000))*('Data Base Coal Wining'!$H$2:$H$1000="MAP")*('Data Base Coal Wining'!$G$2:$G$1000="Coal Winning")*ISNUMBER(SEARCH(TEXT('June TCM'!$B40,"00")&amp;"/06/2026",'Data Base Coal Wining'!$E$2:$E$1000))*'Data Base Coal Wining'!$N$2:$N$1000)</f>
        <v>0</v>
      </c>
      <c r="BN40" s="2173"/>
      <c r="BO40" s="1915">
        <f t="shared" si="26"/>
        <v>0</v>
      </c>
      <c r="BP40" s="37"/>
      <c r="BQ40" s="57"/>
      <c r="BR40" s="62">
        <f t="shared" si="27"/>
        <v>0</v>
      </c>
      <c r="BS40" s="37"/>
      <c r="BT40" s="30"/>
      <c r="BU40" s="62">
        <f t="shared" si="28"/>
        <v>0</v>
      </c>
      <c r="BV40" s="37"/>
      <c r="BW40" s="30"/>
      <c r="BX40" s="31">
        <f t="shared" si="29"/>
        <v>0</v>
      </c>
      <c r="BY40" s="29"/>
      <c r="BZ40" s="7"/>
      <c r="CA40" s="62">
        <f t="shared" si="30"/>
        <v>0</v>
      </c>
      <c r="CB40" s="37"/>
      <c r="CC40" s="30"/>
      <c r="CD40" s="62">
        <f t="shared" si="31"/>
        <v>0</v>
      </c>
      <c r="CE40" s="29"/>
      <c r="CF40" s="30"/>
      <c r="CG40" s="31">
        <f t="shared" si="32"/>
        <v>0</v>
      </c>
      <c r="CH40" s="151"/>
      <c r="CI40" s="10"/>
      <c r="CJ40" s="7"/>
      <c r="CK40" s="7"/>
      <c r="CL40" s="7"/>
      <c r="CM40" s="7"/>
      <c r="CN40" s="7">
        <f t="shared" ref="CN40" si="138">SUM(CI40:CM40)</f>
        <v>0</v>
      </c>
      <c r="CO40" s="34"/>
      <c r="CP40" s="367"/>
      <c r="CR40" s="6">
        <f t="shared" si="134"/>
        <v>0</v>
      </c>
      <c r="CS40" s="10">
        <f t="shared" si="134"/>
        <v>0</v>
      </c>
      <c r="CT40" s="7">
        <f t="shared" si="134"/>
        <v>0</v>
      </c>
      <c r="CU40" s="7">
        <f t="shared" si="133"/>
        <v>0</v>
      </c>
      <c r="CV40" s="7">
        <f t="shared" si="133"/>
        <v>0</v>
      </c>
      <c r="CW40" s="7">
        <f t="shared" si="133"/>
        <v>0</v>
      </c>
      <c r="CX40" s="7">
        <f t="shared" si="133"/>
        <v>0</v>
      </c>
      <c r="CY40" s="7">
        <f t="shared" si="133"/>
        <v>0</v>
      </c>
      <c r="CZ40" s="7">
        <f t="shared" si="133"/>
        <v>0</v>
      </c>
      <c r="DA40" s="7">
        <f t="shared" si="133"/>
        <v>0</v>
      </c>
      <c r="DB40" s="7">
        <f t="shared" si="133"/>
        <v>0</v>
      </c>
      <c r="DC40" s="13">
        <f t="shared" si="133"/>
        <v>0</v>
      </c>
      <c r="DD40" s="310">
        <f>SUM(CR40:DC40,PW40)</f>
        <v>0</v>
      </c>
      <c r="DE40" s="2696"/>
      <c r="DF40" s="8"/>
      <c r="DG40" s="10"/>
      <c r="DH40" s="7"/>
      <c r="DI40" s="7"/>
      <c r="DJ40" s="7"/>
      <c r="DK40" s="7"/>
      <c r="DL40" s="3">
        <v>0</v>
      </c>
      <c r="DM40" s="7"/>
      <c r="DN40" s="3">
        <v>0</v>
      </c>
      <c r="DO40" s="7"/>
      <c r="DP40" s="7"/>
      <c r="DQ40" s="13"/>
      <c r="DR40" s="31">
        <f t="shared" si="35"/>
        <v>0</v>
      </c>
      <c r="DS40" s="37"/>
      <c r="DT40" s="37"/>
      <c r="DU40" s="30"/>
      <c r="DV40" s="30"/>
      <c r="DW40" s="30"/>
      <c r="DX40" s="30"/>
      <c r="DY40" s="30"/>
      <c r="DZ40" s="30"/>
      <c r="EA40" s="3">
        <v>0</v>
      </c>
      <c r="EB40" s="30"/>
      <c r="EC40" s="24">
        <v>0</v>
      </c>
      <c r="ED40" s="34"/>
      <c r="EE40" s="28">
        <f t="shared" si="36"/>
        <v>0</v>
      </c>
      <c r="EF40" s="37"/>
      <c r="EG40" s="37"/>
      <c r="EH40" s="30"/>
      <c r="EI40" s="30"/>
      <c r="EJ40" s="30"/>
      <c r="EK40" s="30"/>
      <c r="EL40" s="30"/>
      <c r="EM40" s="30"/>
      <c r="EN40" s="30"/>
      <c r="EO40" s="30"/>
      <c r="EP40" s="30"/>
      <c r="EQ40" s="34"/>
      <c r="ER40" s="31">
        <f t="shared" si="37"/>
        <v>0</v>
      </c>
      <c r="ES40" s="37"/>
      <c r="ET40" s="30"/>
      <c r="EU40" s="30"/>
      <c r="EV40" s="30"/>
      <c r="EW40" s="30"/>
      <c r="EX40" s="30"/>
      <c r="EY40" s="34">
        <f t="shared" si="38"/>
        <v>0</v>
      </c>
      <c r="EZ40" s="2686"/>
      <c r="FB40" s="6">
        <f t="shared" si="39"/>
        <v>0</v>
      </c>
      <c r="FC40" s="7">
        <f t="shared" si="40"/>
        <v>0</v>
      </c>
      <c r="FD40" s="7">
        <f t="shared" si="41"/>
        <v>0</v>
      </c>
      <c r="FE40" s="13">
        <f t="shared" si="42"/>
        <v>0</v>
      </c>
      <c r="FF40" s="34"/>
      <c r="FG40" s="2675"/>
      <c r="FH40" s="10"/>
      <c r="FI40" s="7"/>
      <c r="FJ40" s="7"/>
      <c r="FK40" s="7"/>
      <c r="FL40" s="7"/>
      <c r="FM40" s="30"/>
      <c r="FN40" s="31">
        <f t="shared" si="43"/>
        <v>0</v>
      </c>
      <c r="FO40" s="37"/>
      <c r="FP40" s="30"/>
      <c r="FQ40" s="30"/>
      <c r="FR40" s="30"/>
      <c r="FS40" s="30"/>
      <c r="FT40" s="30"/>
      <c r="FU40" s="31">
        <f t="shared" si="44"/>
        <v>0</v>
      </c>
      <c r="FV40" s="37"/>
      <c r="FW40" s="37"/>
      <c r="FX40" s="30"/>
      <c r="FY40" s="30"/>
      <c r="FZ40" s="30"/>
      <c r="GA40" s="30"/>
      <c r="GB40" s="30"/>
      <c r="GC40" s="30"/>
      <c r="GD40" s="30"/>
      <c r="GE40" s="30"/>
      <c r="GF40" s="30"/>
      <c r="GG40" s="34"/>
      <c r="GH40" s="34">
        <f t="shared" si="45"/>
        <v>0</v>
      </c>
      <c r="GI40" s="2675"/>
      <c r="GK40" s="2">
        <f t="shared" si="108"/>
        <v>0</v>
      </c>
      <c r="GL40" s="63">
        <f t="shared" si="109"/>
        <v>0</v>
      </c>
      <c r="GM40" s="24">
        <f t="shared" si="110"/>
        <v>0</v>
      </c>
      <c r="GN40" s="30">
        <f t="shared" si="46"/>
        <v>0</v>
      </c>
      <c r="GO40" s="279"/>
      <c r="GP40" s="279"/>
      <c r="GQ40" s="34"/>
      <c r="GR40" s="2668"/>
      <c r="GS40" s="1739">
        <f>SUMPRODUCT(('Data Base hauling'!$H$2:$H$216="TRUST")*(ISNUMBER(SEARCH(TEXT('June TCM'!$B40,"00")&amp;"/06/2026",'Data Base hauling'!$E$2:$E$216)))*'Data Base hauling'!$N$2:$N$216)</f>
        <v>0</v>
      </c>
      <c r="GT40" s="1721">
        <f>SUMPRODUCT(('Data Base hauling'!$H$2:$H$216="RT")*(ISNUMBER(SEARCH(TEXT('June TCM'!$B40,"00")&amp;"/06/2026",'Data Base hauling'!$E$2:$E$216)))*'Data Base hauling'!$N$2:$N$216)</f>
        <v>0</v>
      </c>
      <c r="GU40" s="1721">
        <f>SUMPRODUCT(('Data Base hauling'!$H$2:$H$216="MPE")*(ISNUMBER(SEARCH(TEXT('June TCM'!$B40,"00")&amp;"/06/2026",'Data Base hauling'!$E$2:$E$216)))*'Data Base hauling'!$N$2:$N$216)</f>
        <v>0</v>
      </c>
      <c r="GV40" s="1721">
        <f>SUMPRODUCT(('Data Base hauling'!$H$2:$H$216="RP")*(ISNUMBER(SEARCH(TEXT('June TCM'!$B40,"00")&amp;"/06/2026",'Data Base hauling'!$E$2:$E$216)))*'Data Base hauling'!$N$2:$N$216)</f>
        <v>0</v>
      </c>
      <c r="GW40" s="31">
        <f t="shared" si="47"/>
        <v>0</v>
      </c>
      <c r="GX40" s="2668"/>
      <c r="GY40" s="37"/>
      <c r="GZ40" s="37"/>
      <c r="HA40" s="30"/>
      <c r="HB40" s="30"/>
      <c r="HC40" s="30"/>
      <c r="HD40" s="30"/>
      <c r="HE40" s="30"/>
      <c r="HF40" s="30"/>
      <c r="HG40" s="24">
        <v>0</v>
      </c>
      <c r="HH40" s="30"/>
      <c r="HI40" s="24">
        <v>0</v>
      </c>
      <c r="HJ40" s="30"/>
      <c r="HK40" s="24">
        <v>0</v>
      </c>
      <c r="HL40" s="30"/>
      <c r="HM40" s="31">
        <f t="shared" si="120"/>
        <v>0</v>
      </c>
      <c r="HN40" s="37"/>
      <c r="HO40" s="30"/>
      <c r="HP40" s="30"/>
      <c r="HQ40" s="30"/>
      <c r="HR40" s="30"/>
      <c r="HS40" s="30"/>
      <c r="HT40" s="30" cm="1">
        <f t="array" ref="HT40">SUMPRODUCT(('Data Base hauling'!$C$2:$C$216="TCM-ROM SB1 BK05-ROM 4")*(ISNUMBER(SEARCH(TEXT('June TCM'!$B40,"00")&amp;"/03/2026",'Data Base hauling'!$E$2:$E$216)))*'Data Base hauling'!$N$2:$N$216)</f>
        <v>0</v>
      </c>
      <c r="HU40" s="30"/>
      <c r="HV40" s="30" cm="1">
        <f t="array" ref="HV40">SUMPRODUCT(('Data Base hauling'!$C$2:$C$216="TCM-ROM SB1 BK05-ROM 5")*(ISNUMBER(SEARCH(TEXT('June TCM'!$B40,"00")&amp;"/03/2026",'Data Base hauling'!$E$2:$E$216)))*'Data Base hauling'!$N$2:$N$216)</f>
        <v>0</v>
      </c>
      <c r="HW40" s="30"/>
      <c r="HX40" s="30"/>
      <c r="HY40" s="30"/>
      <c r="HZ40" s="30"/>
      <c r="IA40" s="30"/>
      <c r="IB40" s="34">
        <f t="shared" si="49"/>
        <v>0</v>
      </c>
      <c r="IC40" s="56"/>
      <c r="ID40" s="1104"/>
      <c r="IE40" s="57"/>
      <c r="IF40" s="57"/>
      <c r="IG40" s="57"/>
      <c r="IH40" s="57"/>
      <c r="II40" s="1926">
        <v>0</v>
      </c>
      <c r="IJ40" s="57"/>
      <c r="IK40" s="1926">
        <v>0</v>
      </c>
      <c r="IL40" s="57"/>
      <c r="IM40" s="49">
        <v>0</v>
      </c>
      <c r="IN40" s="30"/>
      <c r="IO40" s="30"/>
      <c r="IP40" s="49">
        <f>SUMPRODUCT(('Data Base hauling'!$C$2:$C$216="TCM-HAC1 (Production)-ROM 2(HAC)")*(ISNUMBER(SEARCH(TEXT('June TCM'!$B40,"00")&amp;"/06/2026",'Data Base hauling'!$E$2:$E$216)))*'Data Base hauling'!$N$2:$N$216)</f>
        <v>0</v>
      </c>
      <c r="IQ40" s="62">
        <f t="shared" si="121"/>
        <v>0</v>
      </c>
      <c r="IR40" s="37"/>
      <c r="IS40" s="37"/>
      <c r="IT40" s="30"/>
      <c r="IU40" s="30"/>
      <c r="IV40" s="57"/>
      <c r="IW40" s="30"/>
      <c r="IX40" s="24">
        <v>0</v>
      </c>
      <c r="IY40" s="30"/>
      <c r="IZ40" s="24">
        <v>0</v>
      </c>
      <c r="JA40" s="30"/>
      <c r="JB40" s="24">
        <v>0</v>
      </c>
      <c r="JC40" s="30"/>
      <c r="JD40" s="30"/>
      <c r="JE40" s="30"/>
      <c r="JF40" s="854">
        <f t="shared" si="122"/>
        <v>0</v>
      </c>
      <c r="JG40" s="2668"/>
      <c r="JI40" s="2014">
        <v>0</v>
      </c>
      <c r="JJ40" s="2015">
        <v>0</v>
      </c>
      <c r="JK40" s="30"/>
      <c r="JL40" s="57">
        <f t="shared" si="52"/>
        <v>0</v>
      </c>
      <c r="JM40" s="31"/>
      <c r="JN40" s="2670"/>
      <c r="JO40" s="66" t="s">
        <v>296</v>
      </c>
      <c r="JP40" s="67" t="s">
        <v>296</v>
      </c>
      <c r="JQ40" s="67" t="s">
        <v>296</v>
      </c>
      <c r="JR40" s="67" t="s">
        <v>296</v>
      </c>
      <c r="JS40" s="67" t="s">
        <v>296</v>
      </c>
      <c r="JT40" s="67" t="s">
        <v>296</v>
      </c>
      <c r="JU40" s="67" t="s">
        <v>296</v>
      </c>
      <c r="JV40" s="1921">
        <v>0</v>
      </c>
      <c r="JW40" s="66" t="s">
        <v>296</v>
      </c>
      <c r="JX40" s="67" t="s">
        <v>296</v>
      </c>
      <c r="JY40" s="67" t="s">
        <v>296</v>
      </c>
      <c r="JZ40" s="67" t="s">
        <v>296</v>
      </c>
      <c r="KA40" s="67" t="s">
        <v>296</v>
      </c>
      <c r="KB40" s="67" t="s">
        <v>296</v>
      </c>
      <c r="KC40" s="67" t="s">
        <v>296</v>
      </c>
      <c r="KD40" s="68" t="s">
        <v>296</v>
      </c>
      <c r="KE40" s="77"/>
      <c r="KF40" s="75"/>
      <c r="KG40" s="75"/>
      <c r="KH40" s="75"/>
      <c r="KI40" s="75"/>
      <c r="KJ40" s="75"/>
      <c r="KK40" s="75"/>
      <c r="KL40" s="75"/>
      <c r="KM40" s="31"/>
      <c r="KN40" s="2670"/>
      <c r="KO40" s="2204">
        <v>0</v>
      </c>
      <c r="KP40" s="2205">
        <v>0</v>
      </c>
      <c r="KQ40" s="2205">
        <v>0</v>
      </c>
      <c r="KR40" s="2205">
        <v>0</v>
      </c>
      <c r="KS40" s="2206">
        <v>0</v>
      </c>
      <c r="KT40" s="2207">
        <v>0</v>
      </c>
      <c r="KU40" s="2208">
        <v>0</v>
      </c>
      <c r="KV40" s="2208">
        <v>0</v>
      </c>
      <c r="KW40" s="2208">
        <v>0</v>
      </c>
      <c r="KX40" s="2209">
        <v>0</v>
      </c>
      <c r="KY40" s="37"/>
      <c r="KZ40" s="57"/>
      <c r="LA40" s="57"/>
      <c r="LB40" s="57"/>
      <c r="LC40" s="57"/>
      <c r="LD40" s="31"/>
      <c r="LE40" s="2670"/>
      <c r="LG40" s="29">
        <f t="shared" si="53"/>
        <v>0</v>
      </c>
      <c r="LH40" s="30">
        <f t="shared" si="53"/>
        <v>0</v>
      </c>
      <c r="LI40" s="30">
        <f t="shared" si="53"/>
        <v>0</v>
      </c>
      <c r="LJ40" s="31">
        <f t="shared" si="54"/>
        <v>0</v>
      </c>
      <c r="LK40" s="37"/>
      <c r="LL40" s="30"/>
      <c r="LM40" s="30"/>
      <c r="LN40" s="34"/>
      <c r="LO40" s="1103"/>
      <c r="LP40" s="332"/>
      <c r="LQ40" s="2689"/>
      <c r="LR40" s="29"/>
      <c r="LS40" s="37"/>
      <c r="LT40" s="30"/>
      <c r="LU40" s="30"/>
      <c r="LV40" s="30"/>
      <c r="LW40" s="1102">
        <f t="shared" si="55"/>
        <v>0</v>
      </c>
      <c r="LX40" s="2272"/>
      <c r="LY40" s="2272"/>
      <c r="LZ40" s="30"/>
      <c r="MA40" s="30"/>
      <c r="MB40" s="34"/>
      <c r="MC40" s="31">
        <f t="shared" si="56"/>
        <v>0</v>
      </c>
      <c r="MD40" s="29"/>
      <c r="ME40" s="37"/>
      <c r="MF40" s="30"/>
      <c r="MG40" s="30"/>
      <c r="MH40" s="30"/>
      <c r="MI40" s="31"/>
      <c r="MJ40" s="37"/>
      <c r="MK40" s="37"/>
      <c r="ML40" s="30"/>
      <c r="MM40" s="30"/>
      <c r="MN40" s="30"/>
      <c r="MO40" s="31"/>
      <c r="MP40" s="37"/>
      <c r="MQ40" s="37"/>
      <c r="MR40" s="30"/>
      <c r="MS40" s="30"/>
      <c r="MT40" s="30"/>
      <c r="MU40" s="34">
        <f t="shared" si="57"/>
        <v>0</v>
      </c>
      <c r="MV40" s="2689"/>
      <c r="MX40" s="29">
        <f t="shared" si="58"/>
        <v>203020.60004856004</v>
      </c>
      <c r="MY40" s="30">
        <f t="shared" si="59"/>
        <v>195641.5178501792</v>
      </c>
      <c r="MZ40" s="30">
        <f t="shared" si="60"/>
        <v>22083.278559023402</v>
      </c>
      <c r="NA40" s="31">
        <f t="shared" si="61"/>
        <v>410748.98855850991</v>
      </c>
      <c r="NB40" s="2622"/>
      <c r="NC40" s="2231">
        <f t="shared" si="123"/>
        <v>116202.15651155001</v>
      </c>
      <c r="ND40" s="2232">
        <f t="shared" si="124"/>
        <v>86818.443537010025</v>
      </c>
      <c r="NE40" s="2233">
        <f t="shared" si="64"/>
        <v>0</v>
      </c>
      <c r="NF40" s="276">
        <f t="shared" si="4"/>
        <v>203020.60004856004</v>
      </c>
      <c r="NG40" s="29">
        <f t="shared" si="136"/>
        <v>0</v>
      </c>
      <c r="NH40" s="30">
        <f t="shared" si="136"/>
        <v>0</v>
      </c>
      <c r="NI40" s="30">
        <f t="shared" si="136"/>
        <v>0</v>
      </c>
      <c r="NJ40" s="30">
        <f t="shared" si="136"/>
        <v>0</v>
      </c>
      <c r="NK40" s="30">
        <f t="shared" si="136"/>
        <v>0</v>
      </c>
      <c r="NL40" s="34">
        <f t="shared" si="136"/>
        <v>0</v>
      </c>
      <c r="NM40" s="1233">
        <f t="shared" si="136"/>
        <v>0</v>
      </c>
      <c r="NN40" s="57">
        <f t="shared" si="136"/>
        <v>0</v>
      </c>
      <c r="NO40" s="2234">
        <f t="shared" si="111"/>
        <v>15980.464219200567</v>
      </c>
      <c r="NP40" s="30">
        <f t="shared" si="136"/>
        <v>26196.696072681989</v>
      </c>
      <c r="NQ40" s="2234">
        <f t="shared" si="112"/>
        <v>8756.5482322711578</v>
      </c>
      <c r="NR40" s="2234">
        <f t="shared" si="113"/>
        <v>9829.8348469876</v>
      </c>
      <c r="NS40" s="30">
        <f t="shared" si="0"/>
        <v>60763.543371141313</v>
      </c>
      <c r="NT40" s="30">
        <f t="shared" si="129"/>
        <v>0</v>
      </c>
      <c r="NU40" s="30">
        <f t="shared" si="129"/>
        <v>0</v>
      </c>
      <c r="NV40" s="30">
        <f t="shared" si="129"/>
        <v>0</v>
      </c>
      <c r="NW40" s="30">
        <f t="shared" si="129"/>
        <v>0</v>
      </c>
      <c r="NX40" s="7">
        <f t="shared" si="129"/>
        <v>0</v>
      </c>
      <c r="NY40" s="7">
        <f t="shared" si="129"/>
        <v>0</v>
      </c>
      <c r="NZ40" s="30">
        <f t="shared" si="129"/>
        <v>12035.060368235247</v>
      </c>
      <c r="OA40" s="30">
        <f t="shared" si="129"/>
        <v>0</v>
      </c>
      <c r="OB40" s="30">
        <f t="shared" si="129"/>
        <v>76836.297327968059</v>
      </c>
      <c r="OC40" s="30"/>
      <c r="OD40" s="2234">
        <f t="shared" si="132"/>
        <v>454.51223506073143</v>
      </c>
      <c r="OE40" s="30">
        <f t="shared" si="137"/>
        <v>0</v>
      </c>
      <c r="OF40" s="30">
        <f t="shared" si="1"/>
        <v>89325.869931264038</v>
      </c>
      <c r="OG40" s="30">
        <f t="shared" si="131"/>
        <v>0</v>
      </c>
      <c r="OH40" s="30">
        <f t="shared" si="131"/>
        <v>0</v>
      </c>
      <c r="OI40" s="30">
        <f t="shared" si="131"/>
        <v>0</v>
      </c>
      <c r="OJ40" s="30">
        <f t="shared" si="131"/>
        <v>0</v>
      </c>
      <c r="OK40" s="30">
        <f t="shared" si="131"/>
        <v>0</v>
      </c>
      <c r="OL40" s="30">
        <f t="shared" si="131"/>
        <v>0</v>
      </c>
      <c r="OM40" s="2234">
        <f t="shared" si="131"/>
        <v>0</v>
      </c>
      <c r="ON40" s="30">
        <f t="shared" si="131"/>
        <v>0</v>
      </c>
      <c r="OO40" s="2234">
        <f t="shared" si="118"/>
        <v>32557.874547773841</v>
      </c>
      <c r="OP40" s="30">
        <f t="shared" si="131"/>
        <v>0</v>
      </c>
      <c r="OQ40" s="2234">
        <f t="shared" si="131"/>
        <v>12994.230000000001</v>
      </c>
      <c r="OR40" s="30">
        <f t="shared" si="131"/>
        <v>0</v>
      </c>
      <c r="OS40" s="31">
        <f t="shared" si="2"/>
        <v>45552.104547773844</v>
      </c>
      <c r="OT40" s="37"/>
      <c r="OU40" s="30"/>
      <c r="OV40" s="30"/>
      <c r="OW40" s="30"/>
      <c r="OX40" s="30"/>
      <c r="OY40" s="30"/>
      <c r="OZ40" s="31">
        <f t="shared" si="69"/>
        <v>0</v>
      </c>
      <c r="PA40" s="37">
        <f t="shared" si="70"/>
        <v>0</v>
      </c>
      <c r="PB40" s="30">
        <f t="shared" si="71"/>
        <v>0</v>
      </c>
      <c r="PC40" s="30">
        <f t="shared" si="72"/>
        <v>0</v>
      </c>
      <c r="PD40" s="30">
        <f t="shared" si="73"/>
        <v>0</v>
      </c>
      <c r="PE40" s="24"/>
      <c r="PF40" s="30">
        <f t="shared" si="74"/>
        <v>0</v>
      </c>
      <c r="PG40" s="34">
        <f t="shared" si="3"/>
        <v>0</v>
      </c>
      <c r="PH40" s="2622"/>
      <c r="PI40" s="2263"/>
      <c r="PJ40" s="1907">
        <v>0</v>
      </c>
      <c r="PK40" s="3"/>
      <c r="PL40" s="3"/>
      <c r="PM40" s="3">
        <v>0</v>
      </c>
      <c r="PN40" s="3">
        <v>39321.929776580684</v>
      </c>
      <c r="PO40" s="11">
        <f t="shared" si="75"/>
        <v>22083.278559023402</v>
      </c>
      <c r="PP40" s="16"/>
      <c r="PQ40" s="2616"/>
      <c r="PS40" s="6"/>
      <c r="PT40" s="10"/>
      <c r="PU40" s="10"/>
      <c r="PV40" s="10"/>
      <c r="PW40" s="8">
        <v>0</v>
      </c>
      <c r="PX40" s="10"/>
      <c r="PY40" s="1101">
        <f t="shared" si="76"/>
        <v>0</v>
      </c>
      <c r="PZ40" s="7">
        <f t="shared" si="77"/>
        <v>0</v>
      </c>
      <c r="QA40" s="7"/>
      <c r="QB40" s="7"/>
      <c r="QC40" s="7"/>
      <c r="QD40" s="7"/>
      <c r="QE40" s="7"/>
      <c r="QF40" s="13"/>
      <c r="QG40" s="13">
        <f t="shared" si="78"/>
        <v>29562.488999999998</v>
      </c>
      <c r="QH40" s="1100">
        <f t="shared" si="79"/>
        <v>379061.75955850992</v>
      </c>
      <c r="QI40" s="1099">
        <f t="shared" si="80"/>
        <v>2124.7399999999998</v>
      </c>
      <c r="QJ40" s="484">
        <f t="shared" si="81"/>
        <v>5505.3678056099998</v>
      </c>
      <c r="QK40" s="13"/>
      <c r="QL40" s="2616"/>
      <c r="QN40" s="139" t="str">
        <f t="shared" si="82"/>
        <v/>
      </c>
      <c r="QO40" s="139" t="str">
        <f t="shared" si="83"/>
        <v/>
      </c>
      <c r="QQ40" s="139" t="str">
        <f t="shared" si="84"/>
        <v/>
      </c>
      <c r="QR40" s="139" t="str">
        <f t="shared" si="85"/>
        <v/>
      </c>
      <c r="QT40" s="1">
        <f t="shared" si="86"/>
        <v>0</v>
      </c>
      <c r="QU40" s="1">
        <f t="shared" si="87"/>
        <v>0</v>
      </c>
      <c r="QV40" s="1">
        <f t="shared" si="88"/>
        <v>0</v>
      </c>
      <c r="QW40" s="1">
        <f t="shared" si="89"/>
        <v>0</v>
      </c>
      <c r="QX40" s="1">
        <f t="shared" si="90"/>
        <v>0</v>
      </c>
      <c r="QY40" s="1">
        <f t="shared" si="91"/>
        <v>0</v>
      </c>
      <c r="RA40" s="1">
        <f t="shared" si="92"/>
        <v>0</v>
      </c>
      <c r="RB40" s="1">
        <f t="shared" si="93"/>
        <v>0</v>
      </c>
      <c r="RC40" s="1">
        <f t="shared" si="94"/>
        <v>0</v>
      </c>
      <c r="RD40" s="1">
        <f t="shared" si="95"/>
        <v>0</v>
      </c>
      <c r="RE40" s="1">
        <f t="shared" si="96"/>
        <v>0</v>
      </c>
      <c r="RF40" s="1">
        <f t="shared" si="97"/>
        <v>0</v>
      </c>
      <c r="RI40" s="1">
        <v>31</v>
      </c>
      <c r="RJ40" s="1">
        <f t="shared" si="135"/>
        <v>53654.004209717117</v>
      </c>
      <c r="RK40" s="1">
        <f t="shared" si="135"/>
        <v>13226.852780483718</v>
      </c>
      <c r="RL40" s="1">
        <f t="shared" si="135"/>
        <v>13404.263703387322</v>
      </c>
      <c r="RM40" s="89">
        <f t="shared" si="5"/>
        <v>80285.120693588149</v>
      </c>
      <c r="RN40" s="1033">
        <v>31</v>
      </c>
      <c r="RO40" s="1098">
        <f t="shared" si="99"/>
        <v>0</v>
      </c>
      <c r="RP40" s="1098">
        <f t="shared" si="100"/>
        <v>0</v>
      </c>
      <c r="RQ40" s="1097">
        <f t="shared" si="100"/>
        <v>0</v>
      </c>
      <c r="RR40" s="1097">
        <f t="shared" si="101"/>
        <v>0</v>
      </c>
      <c r="RS40" s="1094"/>
      <c r="RT40" s="1096"/>
      <c r="RW40" s="421">
        <v>31</v>
      </c>
      <c r="RX40" s="1095">
        <f t="shared" si="102"/>
        <v>0</v>
      </c>
      <c r="RY40" s="1094"/>
      <c r="SA40" s="1090"/>
      <c r="SB40" s="1090">
        <f t="shared" si="103"/>
        <v>0</v>
      </c>
      <c r="SC40" s="1090"/>
      <c r="SD40" s="1090">
        <f t="shared" si="126"/>
        <v>0</v>
      </c>
      <c r="SF40" s="1">
        <v>31</v>
      </c>
      <c r="SG40" s="1">
        <f t="shared" si="105"/>
        <v>0</v>
      </c>
      <c r="SH40" s="1094"/>
    </row>
    <row r="41" spans="1:502" s="38" customFormat="1" ht="13.95" customHeight="1">
      <c r="A41" s="307" t="s">
        <v>206</v>
      </c>
      <c r="B41" s="307"/>
      <c r="C41" s="72">
        <f>SUM(C10:C40)</f>
        <v>4431734</v>
      </c>
      <c r="D41" s="72">
        <f>SUM(D10:D40)</f>
        <v>306994.95</v>
      </c>
      <c r="E41" s="2266">
        <f t="shared" si="7"/>
        <v>14.435853097909265</v>
      </c>
      <c r="H41" s="38">
        <f t="shared" ref="H41:P41" si="139">SUM(H10:H40)</f>
        <v>375</v>
      </c>
      <c r="I41" s="38">
        <f t="shared" si="139"/>
        <v>94.82</v>
      </c>
      <c r="J41" s="38">
        <f t="shared" si="139"/>
        <v>0</v>
      </c>
      <c r="K41" s="38">
        <f t="shared" si="139"/>
        <v>0</v>
      </c>
      <c r="L41" s="38">
        <f t="shared" si="139"/>
        <v>336.41999999999996</v>
      </c>
      <c r="M41" s="38">
        <f t="shared" si="139"/>
        <v>85.969999999999985</v>
      </c>
      <c r="N41" s="72">
        <f t="shared" si="139"/>
        <v>0</v>
      </c>
      <c r="O41" s="72">
        <f t="shared" si="139"/>
        <v>2822043</v>
      </c>
      <c r="P41" s="38">
        <f t="shared" si="139"/>
        <v>215521.00999999995</v>
      </c>
      <c r="Q41" s="342">
        <f t="shared" si="9"/>
        <v>13.094050552194426</v>
      </c>
      <c r="R41" s="72">
        <f>SUM(R10:R40)</f>
        <v>0</v>
      </c>
      <c r="S41" s="1409">
        <f t="shared" si="10"/>
        <v>984210</v>
      </c>
      <c r="T41" s="1410">
        <f>SUM(T10:T40)</f>
        <v>50591.939999999995</v>
      </c>
      <c r="U41" s="2285">
        <f t="shared" si="11"/>
        <v>19.453889295409507</v>
      </c>
      <c r="V41" s="72">
        <f>SUM(V10:V40)</f>
        <v>0</v>
      </c>
      <c r="W41" s="72">
        <f>SUM(W10:W40)</f>
        <v>625481</v>
      </c>
      <c r="X41" s="72">
        <f>SUM(X10:X40)</f>
        <v>40882</v>
      </c>
      <c r="Y41" s="1743">
        <f t="shared" si="13"/>
        <v>15.29966733525757</v>
      </c>
      <c r="Z41" s="72">
        <f>SUM(Z10:Z40)</f>
        <v>0</v>
      </c>
      <c r="AA41" s="72">
        <f>SUM(AA10:AA40)</f>
        <v>0</v>
      </c>
      <c r="AB41" s="72">
        <f t="shared" si="15"/>
        <v>0</v>
      </c>
      <c r="AC41" s="38">
        <f t="shared" si="16"/>
        <v>0</v>
      </c>
      <c r="AD41" s="72"/>
      <c r="AE41" s="72">
        <f>SUM(AE10:AE40)</f>
        <v>0</v>
      </c>
      <c r="AF41" s="38">
        <f>SUM(AF10:AF40)</f>
        <v>0</v>
      </c>
      <c r="AG41" s="38">
        <f t="shared" si="17"/>
        <v>0</v>
      </c>
      <c r="AH41" s="72">
        <f>SUM(AH10:AH40)</f>
        <v>0</v>
      </c>
      <c r="AI41" s="72">
        <f>SUM(AI10:AI40)</f>
        <v>0</v>
      </c>
      <c r="AJ41" s="72">
        <f>SUM(AJ10:AJ40)</f>
        <v>0</v>
      </c>
      <c r="AK41" s="38">
        <f t="shared" si="18"/>
        <v>0</v>
      </c>
      <c r="AL41" s="72">
        <f>SUM(AL10:AL40)</f>
        <v>0</v>
      </c>
      <c r="AM41" s="72">
        <f>SUM(AM10:AM40)</f>
        <v>0</v>
      </c>
      <c r="AN41" s="72">
        <f>SUM(AN10:AN40)</f>
        <v>0</v>
      </c>
      <c r="AO41" s="72">
        <f>SUM(AO10:AO40)</f>
        <v>0</v>
      </c>
      <c r="AP41" s="38">
        <f t="shared" si="19"/>
        <v>0</v>
      </c>
      <c r="AQ41" s="72">
        <f>SUM(AQ10:AQ40)</f>
        <v>0</v>
      </c>
      <c r="AR41" s="38">
        <f>SUM(AR10:AR40)</f>
        <v>0</v>
      </c>
      <c r="AS41" s="38">
        <f t="shared" si="20"/>
        <v>0</v>
      </c>
      <c r="AT41" s="72">
        <f>SUM(AT10:AT40)</f>
        <v>0</v>
      </c>
      <c r="AU41" s="72">
        <f>SUM(AU10:AU40)</f>
        <v>0</v>
      </c>
      <c r="AV41" s="38">
        <f t="shared" si="21"/>
        <v>0</v>
      </c>
      <c r="AW41" s="72">
        <f>SUM(AW10:AW40)</f>
        <v>1518930</v>
      </c>
      <c r="AX41" s="38">
        <f>SUM(AX10:AX40)</f>
        <v>139935.62000000002</v>
      </c>
      <c r="AY41" s="1904">
        <f>IFERROR(SUM(AW10:AW40)/SUM(AX10:AX40),0)</f>
        <v>10.854491515455463</v>
      </c>
      <c r="AZ41" s="72">
        <f>SUM(AZ10:AZ40)</f>
        <v>0</v>
      </c>
      <c r="BA41" s="72">
        <f>SUM(BA10:BA40)</f>
        <v>0</v>
      </c>
      <c r="BB41" s="38">
        <f>IFERROR(SUM(AZ10:AZ40)/SUM(BA10:BA40),0)</f>
        <v>0</v>
      </c>
      <c r="BC41" s="72">
        <f>SUM(BC10:BC40)</f>
        <v>1303113</v>
      </c>
      <c r="BD41" s="865">
        <f>SUM(BD10:BD40)</f>
        <v>75585.39</v>
      </c>
      <c r="BE41" s="1904">
        <f>IFERROR(SUM(BC10:BC40)/SUM(BD10:BD40),0)</f>
        <v>17.240276196233161</v>
      </c>
      <c r="BF41" s="72">
        <f>SUM(BF10:BF40)</f>
        <v>0</v>
      </c>
      <c r="BG41" s="38">
        <f>SUM(BG10:BG40)</f>
        <v>0</v>
      </c>
      <c r="BH41" s="38">
        <f>IFERROR(SUM(BF10:BF40)/SUM(BG10:BG40),0)</f>
        <v>0</v>
      </c>
      <c r="BI41" s="72">
        <f>SUM(BI10:BI40)</f>
        <v>0</v>
      </c>
      <c r="BJ41" s="38">
        <f>SUM(BJ10:BJ40)</f>
        <v>0</v>
      </c>
      <c r="BK41" s="38">
        <f>IFERROR(SUM(BI10:BI40)/SUM(BJ10:BJ40),0)</f>
        <v>0</v>
      </c>
      <c r="BL41" s="72">
        <f>SUM(BL10:BL40)</f>
        <v>984210</v>
      </c>
      <c r="BM41" s="1743">
        <f>SUM(BM10:BM40)</f>
        <v>50591.939999999995</v>
      </c>
      <c r="BN41" s="72">
        <f>SUM(BN10:BN40)</f>
        <v>0</v>
      </c>
      <c r="BO41" s="1904">
        <f>IFERROR(SUM(BL10:BL40)/SUM(BM10:BM40),0)</f>
        <v>19.453889295409507</v>
      </c>
      <c r="BP41" s="72">
        <f>SUM(BP10:BP40)</f>
        <v>0</v>
      </c>
      <c r="BQ41" s="38">
        <f>SUM(BQ10:BQ40)</f>
        <v>0</v>
      </c>
      <c r="BR41" s="38">
        <f>IFERROR(SUM(BP10:BP40)/SUM(BQ10:BQ40),0)</f>
        <v>0</v>
      </c>
      <c r="BS41" s="72">
        <f>SUM(BS10:BS40)</f>
        <v>0</v>
      </c>
      <c r="BT41" s="38">
        <f>SUM(BT10:BT40)</f>
        <v>0</v>
      </c>
      <c r="BU41" s="38">
        <f>IFERROR(SUM(BS10:BS40)/SUM(BT10:BT40),0)</f>
        <v>0</v>
      </c>
      <c r="BV41" s="72">
        <f>SUM(BV10:BV40)</f>
        <v>625481</v>
      </c>
      <c r="BW41" s="72">
        <f>SUM(BW10:BW40)</f>
        <v>40882</v>
      </c>
      <c r="BX41" s="1904">
        <f>IFERROR(SUM(BV10:BV40)/SUM(BW10:BW40),0)</f>
        <v>15.29966733525757</v>
      </c>
      <c r="BY41" s="72">
        <f>SUM(BY10:BY40)</f>
        <v>0</v>
      </c>
      <c r="BZ41" s="72">
        <f>SUM(BZ10:BZ40)</f>
        <v>0</v>
      </c>
      <c r="CA41" s="38">
        <f t="shared" si="30"/>
        <v>0</v>
      </c>
      <c r="CB41" s="72">
        <f>SUM(CB10:CB40)</f>
        <v>0</v>
      </c>
      <c r="CC41" s="72">
        <f>SUM(CC10:CC40)</f>
        <v>0</v>
      </c>
      <c r="CD41" s="38">
        <f t="shared" si="31"/>
        <v>0</v>
      </c>
      <c r="CE41" s="72">
        <f>SUM(CE10:CE40)</f>
        <v>0</v>
      </c>
      <c r="CF41" s="278">
        <f>SUM(CF10:CF40)</f>
        <v>0</v>
      </c>
      <c r="CG41" s="38">
        <f t="shared" si="32"/>
        <v>0</v>
      </c>
      <c r="CH41" s="72">
        <f t="shared" ref="CH41:CR41" si="140">SUM(CH10:CH40)</f>
        <v>0</v>
      </c>
      <c r="CI41" s="72">
        <f t="shared" si="140"/>
        <v>0</v>
      </c>
      <c r="CJ41" s="72">
        <f t="shared" si="140"/>
        <v>0</v>
      </c>
      <c r="CK41" s="72">
        <f t="shared" si="140"/>
        <v>100038</v>
      </c>
      <c r="CL41" s="72">
        <f t="shared" si="140"/>
        <v>0</v>
      </c>
      <c r="CM41" s="72">
        <f t="shared" si="140"/>
        <v>0</v>
      </c>
      <c r="CN41" s="72">
        <f t="shared" si="140"/>
        <v>0</v>
      </c>
      <c r="CO41" s="72">
        <f t="shared" si="140"/>
        <v>0</v>
      </c>
      <c r="CP41" s="72">
        <f t="shared" si="140"/>
        <v>0</v>
      </c>
      <c r="CQ41" s="72">
        <f t="shared" si="140"/>
        <v>0</v>
      </c>
      <c r="CR41" s="72">
        <f t="shared" si="140"/>
        <v>0</v>
      </c>
      <c r="CS41" s="72"/>
      <c r="CT41" s="72">
        <f>SUM(CT10:CT40)</f>
        <v>0</v>
      </c>
      <c r="CU41" s="72"/>
      <c r="CV41" s="72">
        <f>SUM(CV10:CV40)</f>
        <v>0</v>
      </c>
      <c r="CW41" s="72"/>
      <c r="CX41" s="72">
        <f>SUM(CX10:CX40)</f>
        <v>21693.519999999997</v>
      </c>
      <c r="CY41" s="72"/>
      <c r="CZ41" s="72">
        <f>SUM(CZ10:CZ40)</f>
        <v>251883.91000000003</v>
      </c>
      <c r="DA41" s="72"/>
      <c r="DB41" s="72">
        <f>SUM(DB10:DB40)</f>
        <v>31292.78</v>
      </c>
      <c r="DC41" s="72"/>
      <c r="DD41" s="72">
        <f>SUM(DD10:DD40)</f>
        <v>306994.95</v>
      </c>
      <c r="DE41" s="72">
        <f>SUM(DE10:DE40)</f>
        <v>0</v>
      </c>
      <c r="DF41" s="72">
        <f>SUM(DF10:DF40)</f>
        <v>0</v>
      </c>
      <c r="DG41" s="72"/>
      <c r="DH41" s="72">
        <f>SUM(DH10:DH40)</f>
        <v>0</v>
      </c>
      <c r="DI41" s="72"/>
      <c r="DJ41" s="72">
        <f>SUM(DJ10:DJ40)</f>
        <v>0</v>
      </c>
      <c r="DK41" s="72"/>
      <c r="DL41" s="72">
        <f>SUM(DL10:DL40)</f>
        <v>21693.519999999997</v>
      </c>
      <c r="DM41" s="72"/>
      <c r="DN41" s="72">
        <f t="shared" ref="DN41:DS41" si="141">SUM(DN10:DN40)</f>
        <v>116117.36</v>
      </c>
      <c r="DO41" s="72">
        <f t="shared" si="141"/>
        <v>0</v>
      </c>
      <c r="DP41" s="72">
        <f t="shared" si="141"/>
        <v>0</v>
      </c>
      <c r="DQ41" s="72">
        <f t="shared" si="141"/>
        <v>0</v>
      </c>
      <c r="DR41" s="72">
        <f t="shared" si="141"/>
        <v>137810.88000000003</v>
      </c>
      <c r="DS41" s="72">
        <f t="shared" si="141"/>
        <v>0</v>
      </c>
      <c r="DT41" s="72"/>
      <c r="DU41" s="72">
        <f>SUM(DU10:DU40)</f>
        <v>0</v>
      </c>
      <c r="DV41" s="72"/>
      <c r="DW41" s="72">
        <f>SUM(DW10:DW40)</f>
        <v>0</v>
      </c>
      <c r="DX41" s="72"/>
      <c r="DY41" s="72">
        <f>SUM(DY10:DY40)</f>
        <v>0</v>
      </c>
      <c r="DZ41" s="72"/>
      <c r="EA41" s="72">
        <f>SUM(EA10:EA40)</f>
        <v>111566.55000000002</v>
      </c>
      <c r="EC41" s="72">
        <f>SUM(EC10:EC40)</f>
        <v>14610.78</v>
      </c>
      <c r="ED41" s="72"/>
      <c r="EE41" s="72">
        <f t="shared" ref="EE41:EJ41" si="142">SUM(EE10:EE40)</f>
        <v>126177.33000000003</v>
      </c>
      <c r="EF41" s="72">
        <f t="shared" si="142"/>
        <v>0</v>
      </c>
      <c r="EG41" s="72">
        <f t="shared" si="142"/>
        <v>0</v>
      </c>
      <c r="EH41" s="72">
        <f t="shared" si="142"/>
        <v>0</v>
      </c>
      <c r="EI41" s="72">
        <f t="shared" si="142"/>
        <v>0</v>
      </c>
      <c r="EJ41" s="72">
        <f t="shared" si="142"/>
        <v>0</v>
      </c>
      <c r="EK41" s="72"/>
      <c r="EL41" s="72">
        <f>SUM(EL10:EL40)</f>
        <v>0</v>
      </c>
      <c r="EM41" s="278">
        <f>SUM(EM10:EM40)</f>
        <v>0</v>
      </c>
      <c r="EN41" s="72">
        <f>SUM(EN10:EN40)</f>
        <v>24200</v>
      </c>
      <c r="EO41" s="72"/>
      <c r="EP41" s="72">
        <f>SUM(EP10:EP40)</f>
        <v>16682</v>
      </c>
      <c r="EQ41" s="72"/>
      <c r="ER41" s="72">
        <f>SUM(ER10:ER40)</f>
        <v>40882</v>
      </c>
      <c r="ES41" s="72">
        <f>SUM(ES10:ES40)</f>
        <v>0</v>
      </c>
      <c r="ET41" s="72">
        <f>SUM(ET10:ET40)</f>
        <v>0</v>
      </c>
      <c r="EU41" s="72">
        <f>SUM(EU10:EU40)</f>
        <v>0</v>
      </c>
      <c r="EV41" s="72">
        <f t="shared" ref="EV41:FV41" si="143">SUM(EV10:EV40)</f>
        <v>0</v>
      </c>
      <c r="EW41" s="72">
        <f t="shared" si="143"/>
        <v>0</v>
      </c>
      <c r="EX41" s="72">
        <f t="shared" si="143"/>
        <v>0</v>
      </c>
      <c r="EY41" s="72">
        <f t="shared" si="143"/>
        <v>0</v>
      </c>
      <c r="EZ41" s="72">
        <f t="shared" si="143"/>
        <v>0</v>
      </c>
      <c r="FA41" s="72">
        <f t="shared" si="143"/>
        <v>0</v>
      </c>
      <c r="FB41" s="72">
        <f t="shared" si="143"/>
        <v>0</v>
      </c>
      <c r="FC41" s="72">
        <f t="shared" si="143"/>
        <v>0</v>
      </c>
      <c r="FD41" s="72">
        <f t="shared" si="143"/>
        <v>3721.4599999999996</v>
      </c>
      <c r="FE41" s="72">
        <f t="shared" si="143"/>
        <v>3721.4599999999996</v>
      </c>
      <c r="FF41" s="72">
        <f t="shared" si="143"/>
        <v>0</v>
      </c>
      <c r="FG41" s="72">
        <f t="shared" si="143"/>
        <v>0</v>
      </c>
      <c r="FH41" s="72">
        <f t="shared" si="143"/>
        <v>0</v>
      </c>
      <c r="FI41" s="72">
        <f t="shared" si="143"/>
        <v>0</v>
      </c>
      <c r="FJ41" s="72">
        <f t="shared" si="143"/>
        <v>0</v>
      </c>
      <c r="FK41" s="72">
        <f t="shared" si="143"/>
        <v>0</v>
      </c>
      <c r="FL41" s="72">
        <f t="shared" si="143"/>
        <v>0</v>
      </c>
      <c r="FM41" s="72">
        <f t="shared" si="143"/>
        <v>0</v>
      </c>
      <c r="FN41" s="72">
        <f t="shared" si="143"/>
        <v>0</v>
      </c>
      <c r="FO41" s="72">
        <f t="shared" si="143"/>
        <v>0</v>
      </c>
      <c r="FP41" s="72">
        <f t="shared" si="143"/>
        <v>0</v>
      </c>
      <c r="FQ41" s="72">
        <f t="shared" si="143"/>
        <v>0</v>
      </c>
      <c r="FR41" s="72">
        <f t="shared" si="143"/>
        <v>0</v>
      </c>
      <c r="FS41" s="72">
        <f t="shared" si="143"/>
        <v>0</v>
      </c>
      <c r="FT41" s="72">
        <f t="shared" si="143"/>
        <v>0</v>
      </c>
      <c r="FU41" s="72">
        <f t="shared" si="143"/>
        <v>0</v>
      </c>
      <c r="FV41" s="72">
        <f t="shared" si="143"/>
        <v>0</v>
      </c>
      <c r="FW41" s="72"/>
      <c r="FX41" s="72">
        <f>SUM(FX10:FX40)</f>
        <v>0</v>
      </c>
      <c r="FY41" s="72"/>
      <c r="FZ41" s="72">
        <f>SUM(FZ10:FZ40)</f>
        <v>0</v>
      </c>
      <c r="GA41" s="72"/>
      <c r="GB41" s="72">
        <f>SUM(GB10:GB40)</f>
        <v>0</v>
      </c>
      <c r="GC41" s="72"/>
      <c r="GD41" s="72">
        <f>SUM(GD10:GD40)</f>
        <v>3721.4599999999996</v>
      </c>
      <c r="GF41" s="72">
        <f>SUM(GF10:GF40)</f>
        <v>0</v>
      </c>
      <c r="GG41" s="72"/>
      <c r="GH41" s="72">
        <f t="shared" ref="GH41:HL41" si="144">SUM(GH10:GH40)</f>
        <v>3721.4599999999996</v>
      </c>
      <c r="GI41" s="72">
        <f t="shared" si="144"/>
        <v>0</v>
      </c>
      <c r="GJ41" s="72">
        <f t="shared" si="144"/>
        <v>0</v>
      </c>
      <c r="GK41" s="38">
        <f t="shared" si="144"/>
        <v>24156.620000000003</v>
      </c>
      <c r="GL41" s="63">
        <f t="shared" si="109"/>
        <v>98536.679999999964</v>
      </c>
      <c r="GM41" s="38">
        <f t="shared" si="144"/>
        <v>107998.8</v>
      </c>
      <c r="GN41" s="2104">
        <f t="shared" si="144"/>
        <v>230692.1</v>
      </c>
      <c r="GO41" s="72">
        <f t="shared" si="144"/>
        <v>0</v>
      </c>
      <c r="GP41" s="72">
        <f t="shared" si="144"/>
        <v>0</v>
      </c>
      <c r="GQ41" s="72">
        <f t="shared" si="144"/>
        <v>0</v>
      </c>
      <c r="GR41" s="72">
        <f t="shared" si="144"/>
        <v>0</v>
      </c>
      <c r="GS41" s="38">
        <f t="shared" si="144"/>
        <v>0</v>
      </c>
      <c r="GT41" s="38">
        <f t="shared" si="144"/>
        <v>4868.29</v>
      </c>
      <c r="GU41" s="38">
        <f t="shared" si="144"/>
        <v>113941.75</v>
      </c>
      <c r="GV41" s="72">
        <f t="shared" si="144"/>
        <v>111882.06000000001</v>
      </c>
      <c r="GW41" s="38">
        <f t="shared" si="144"/>
        <v>230692.1</v>
      </c>
      <c r="GX41" s="72">
        <f t="shared" si="144"/>
        <v>0</v>
      </c>
      <c r="GY41" s="38">
        <f t="shared" si="144"/>
        <v>0</v>
      </c>
      <c r="GZ41" s="72">
        <f t="shared" si="144"/>
        <v>0</v>
      </c>
      <c r="HA41" s="72">
        <f t="shared" si="144"/>
        <v>0</v>
      </c>
      <c r="HB41" s="72">
        <f t="shared" si="144"/>
        <v>0</v>
      </c>
      <c r="HC41" s="72">
        <f t="shared" si="144"/>
        <v>0</v>
      </c>
      <c r="HD41" s="72">
        <f t="shared" si="144"/>
        <v>0</v>
      </c>
      <c r="HE41" s="72">
        <f t="shared" si="144"/>
        <v>0</v>
      </c>
      <c r="HF41" s="72">
        <f t="shared" si="144"/>
        <v>0</v>
      </c>
      <c r="HG41" s="38">
        <f t="shared" si="144"/>
        <v>10397.630000000001</v>
      </c>
      <c r="HH41" s="72">
        <f t="shared" si="144"/>
        <v>0</v>
      </c>
      <c r="HI41" s="38">
        <f t="shared" si="144"/>
        <v>8890.7000000000007</v>
      </c>
      <c r="HJ41" s="72">
        <f t="shared" si="144"/>
        <v>0</v>
      </c>
      <c r="HK41" s="38">
        <f t="shared" si="144"/>
        <v>4868.29</v>
      </c>
      <c r="HL41" s="72">
        <f t="shared" si="144"/>
        <v>0</v>
      </c>
      <c r="HM41" s="38">
        <f t="shared" si="120"/>
        <v>24156.620000000003</v>
      </c>
      <c r="HN41" s="38">
        <f t="shared" ref="HN41:IA41" si="145">SUM(HN10:HN40)</f>
        <v>0</v>
      </c>
      <c r="HO41" s="38">
        <f t="shared" si="145"/>
        <v>0</v>
      </c>
      <c r="HP41" s="38">
        <f t="shared" si="145"/>
        <v>0</v>
      </c>
      <c r="HQ41" s="38">
        <f t="shared" si="145"/>
        <v>0</v>
      </c>
      <c r="HR41" s="38">
        <f t="shared" si="145"/>
        <v>0</v>
      </c>
      <c r="HS41" s="38">
        <f t="shared" si="145"/>
        <v>0</v>
      </c>
      <c r="HT41" s="38">
        <f t="shared" si="145"/>
        <v>0</v>
      </c>
      <c r="HU41" s="38">
        <f t="shared" si="145"/>
        <v>0</v>
      </c>
      <c r="HV41" s="38">
        <f t="shared" si="145"/>
        <v>0</v>
      </c>
      <c r="HW41" s="38">
        <f t="shared" si="145"/>
        <v>0</v>
      </c>
      <c r="HX41" s="38">
        <f t="shared" si="145"/>
        <v>0</v>
      </c>
      <c r="HY41" s="38">
        <f t="shared" si="145"/>
        <v>0</v>
      </c>
      <c r="HZ41" s="38">
        <f t="shared" si="145"/>
        <v>0</v>
      </c>
      <c r="IA41" s="38">
        <f t="shared" si="145"/>
        <v>0</v>
      </c>
      <c r="IB41" s="38">
        <f t="shared" si="49"/>
        <v>0</v>
      </c>
      <c r="IC41" s="38">
        <f t="shared" ref="IC41:JN41" si="146">SUM(IC10:IC40)</f>
        <v>0</v>
      </c>
      <c r="ID41" s="38">
        <f t="shared" si="146"/>
        <v>0</v>
      </c>
      <c r="IE41" s="38">
        <f t="shared" si="146"/>
        <v>0</v>
      </c>
      <c r="IF41" s="38">
        <f t="shared" si="146"/>
        <v>0</v>
      </c>
      <c r="IG41" s="38">
        <f t="shared" si="146"/>
        <v>0</v>
      </c>
      <c r="IH41" s="38">
        <f t="shared" si="146"/>
        <v>0</v>
      </c>
      <c r="II41" s="38">
        <f t="shared" si="146"/>
        <v>25627.89</v>
      </c>
      <c r="IJ41" s="38">
        <f t="shared" si="146"/>
        <v>0</v>
      </c>
      <c r="IK41" s="38">
        <f t="shared" si="146"/>
        <v>72760.59</v>
      </c>
      <c r="IL41" s="38">
        <f t="shared" si="146"/>
        <v>0</v>
      </c>
      <c r="IM41" s="38">
        <f t="shared" si="146"/>
        <v>0</v>
      </c>
      <c r="IN41" s="72">
        <f t="shared" si="146"/>
        <v>0</v>
      </c>
      <c r="IO41" s="72">
        <f t="shared" si="146"/>
        <v>0</v>
      </c>
      <c r="IP41" s="72">
        <f t="shared" si="146"/>
        <v>148.19999999999999</v>
      </c>
      <c r="IQ41" s="38">
        <f t="shared" si="146"/>
        <v>98536.679999999964</v>
      </c>
      <c r="IR41" s="72">
        <f t="shared" si="146"/>
        <v>0</v>
      </c>
      <c r="IS41" s="72">
        <f t="shared" si="146"/>
        <v>0</v>
      </c>
      <c r="IT41" s="72">
        <f t="shared" si="146"/>
        <v>0</v>
      </c>
      <c r="IU41" s="72">
        <f t="shared" si="146"/>
        <v>0</v>
      </c>
      <c r="IV41" s="38">
        <f t="shared" si="146"/>
        <v>0</v>
      </c>
      <c r="IW41" s="72">
        <f t="shared" si="146"/>
        <v>0</v>
      </c>
      <c r="IX41" s="72">
        <f t="shared" si="146"/>
        <v>0</v>
      </c>
      <c r="IY41" s="72">
        <f t="shared" si="146"/>
        <v>0</v>
      </c>
      <c r="IZ41" s="38">
        <f t="shared" si="146"/>
        <v>106382.24999999999</v>
      </c>
      <c r="JA41" s="72">
        <f t="shared" si="146"/>
        <v>0</v>
      </c>
      <c r="JB41" s="38">
        <f t="shared" si="146"/>
        <v>1616.5500000000002</v>
      </c>
      <c r="JC41" s="72">
        <f t="shared" si="146"/>
        <v>0</v>
      </c>
      <c r="JD41" s="72">
        <f t="shared" si="146"/>
        <v>0</v>
      </c>
      <c r="JE41" s="72">
        <f t="shared" si="146"/>
        <v>0</v>
      </c>
      <c r="JF41" s="38">
        <f t="shared" si="146"/>
        <v>107998.8</v>
      </c>
      <c r="JG41" s="72">
        <f t="shared" si="146"/>
        <v>0</v>
      </c>
      <c r="JH41" s="72">
        <f t="shared" si="146"/>
        <v>0</v>
      </c>
      <c r="JI41" s="2104">
        <f>SUM(JI10:JI40)</f>
        <v>166286.98000000001</v>
      </c>
      <c r="JJ41" s="2104">
        <f t="shared" si="146"/>
        <v>64405.119999999995</v>
      </c>
      <c r="JK41" s="72">
        <f t="shared" si="146"/>
        <v>0</v>
      </c>
      <c r="JL41" s="1904">
        <f t="shared" si="146"/>
        <v>230692.1</v>
      </c>
      <c r="JM41" s="72">
        <f t="shared" si="146"/>
        <v>0</v>
      </c>
      <c r="JN41" s="72">
        <f t="shared" si="146"/>
        <v>0</v>
      </c>
      <c r="JO41" s="305">
        <f t="shared" ref="JO41:JV41" si="147">IFERROR(SUM(JO10:JO40)/SUM($JO$10:$JV$40),"")</f>
        <v>0</v>
      </c>
      <c r="JP41" s="305">
        <f t="shared" si="147"/>
        <v>0</v>
      </c>
      <c r="JQ41" s="305">
        <f t="shared" si="147"/>
        <v>0</v>
      </c>
      <c r="JR41" s="305">
        <f t="shared" si="147"/>
        <v>5.1832103719029517E-3</v>
      </c>
      <c r="JS41" s="305">
        <f t="shared" si="147"/>
        <v>0.968737449345771</v>
      </c>
      <c r="JT41" s="305">
        <f t="shared" si="147"/>
        <v>0</v>
      </c>
      <c r="JU41" s="305">
        <f t="shared" si="147"/>
        <v>2.6079340282325982E-2</v>
      </c>
      <c r="JV41" s="305">
        <f t="shared" si="147"/>
        <v>0</v>
      </c>
      <c r="JW41" s="305">
        <f t="shared" ref="JW41:KL41" si="148">IFERROR(SUM(JW10:JW40)/SUM($JW$10:$KD$40),"")</f>
        <v>0</v>
      </c>
      <c r="JX41" s="305">
        <f t="shared" si="148"/>
        <v>0</v>
      </c>
      <c r="JY41" s="305">
        <f t="shared" si="148"/>
        <v>0</v>
      </c>
      <c r="JZ41" s="305">
        <f t="shared" si="148"/>
        <v>0.36088949936909609</v>
      </c>
      <c r="KA41" s="305">
        <f t="shared" si="148"/>
        <v>0.4062025496746407</v>
      </c>
      <c r="KB41" s="305">
        <f t="shared" si="148"/>
        <v>0.14709265825832088</v>
      </c>
      <c r="KC41" s="305">
        <f t="shared" si="148"/>
        <v>8.5815292697942011E-2</v>
      </c>
      <c r="KD41" s="305">
        <f t="shared" si="148"/>
        <v>0</v>
      </c>
      <c r="KE41" s="38">
        <f t="shared" si="148"/>
        <v>0</v>
      </c>
      <c r="KF41" s="38">
        <f t="shared" si="148"/>
        <v>0</v>
      </c>
      <c r="KG41" s="38">
        <f t="shared" si="148"/>
        <v>0</v>
      </c>
      <c r="KH41" s="38">
        <f t="shared" si="148"/>
        <v>0</v>
      </c>
      <c r="KI41" s="38">
        <f t="shared" si="148"/>
        <v>0</v>
      </c>
      <c r="KJ41" s="38">
        <f t="shared" si="148"/>
        <v>0</v>
      </c>
      <c r="KK41" s="38">
        <f t="shared" si="148"/>
        <v>0</v>
      </c>
      <c r="KL41" s="38">
        <f t="shared" si="148"/>
        <v>0</v>
      </c>
      <c r="KM41" s="72">
        <f>SUM(KM10:KM40)</f>
        <v>0</v>
      </c>
      <c r="KN41" s="72">
        <f>SUM(KN10:KN40)</f>
        <v>0</v>
      </c>
      <c r="KO41" s="72">
        <f>IFERROR(SUMPRODUCT((KO10:KO40&lt;&gt;"")*KO10:KO40,$JI$10:$JI$40)/SUMIFS($JI$10:$JI$40,KO10:KO40,"&gt;"&amp;0),0)</f>
        <v>6982.6959616343966</v>
      </c>
      <c r="KP41" s="1904">
        <f>IFERROR(SUMPRODUCT((KP10:KP40&lt;&gt;"")*KP10:KP40,$JI$10:$JI$40)/SUMIFS($JI$10:$JI$40,KP10:KP40,"&gt;"&amp;0),0)</f>
        <v>0.88771798041663175</v>
      </c>
      <c r="KQ41" s="38">
        <f>IFERROR(SUMPRODUCT((KQ10:KQ40&lt;&gt;"")*KQ10:KQ40,$JI$10:$JI$40)/SUMIFS($JI$10:$JI$40,KQ10:KQ40,"&gt;"&amp;0),0)</f>
        <v>3.6461047520084633</v>
      </c>
      <c r="KR41" s="38">
        <f>IFERROR(SUMPRODUCT((KR10:KR40&lt;&gt;"")*KR10:KR40,$JI$10:$JI$40)/SUMIFS($JI$10:$JI$40,KR10:KR40,"&gt;"&amp;0),0)</f>
        <v>6.8278047419154531</v>
      </c>
      <c r="KS41" s="38">
        <f>IFERROR(SUMPRODUCT((KS10:KS40&lt;&gt;"")*KS10:KS40,$JI$10:$JI$40)/SUMIFS($JI$10:$JI$40,KS10:KS40,"&gt;"&amp;0),0)</f>
        <v>10.94841604302413</v>
      </c>
      <c r="KT41" s="72">
        <f>IFERROR(SUMPRODUCT((KT10:KT40&lt;&gt;"")*KT10:KT40,$JJ$10:$JJ$40)/SUMIFS($JJ$10:$JJ$40,KT10:KT40,"&gt;"&amp;0),0)</f>
        <v>6951.0751209002538</v>
      </c>
      <c r="KU41" s="1904">
        <f>IFERROR(SUMPRODUCT((KU10:KU40&lt;&gt;"")*KU10:KU40,$JJ$10:$JJ$40)/SUMIFS($JJ$10:$JJ$40,KU10:KU40,"&gt;"&amp;0),0)</f>
        <v>2.1497079971758217</v>
      </c>
      <c r="KV41" s="38">
        <f>IFERROR(SUMPRODUCT((KV10:KV40&lt;&gt;"")*KV10:KV40,$JJ$10:$JJ$40)/SUMIFS($JJ$10:$JJ$40,KV10:KV40,"&gt;"&amp;0),0)</f>
        <v>4.508210592747516</v>
      </c>
      <c r="KW41" s="38">
        <f>IFERROR(SUMPRODUCT((KW10:KW40&lt;&gt;"")*KW10:KW40,$JJ$10:$JJ$40)/SUMIFS($JJ$10:$JJ$40,KW10:KW40,"&gt;"&amp;0),0)</f>
        <v>6.4235379041232337</v>
      </c>
      <c r="KX41" s="38">
        <f>IFERROR(SUMPRODUCT((KX10:KX40&lt;&gt;"")*KX10:KX40,$JJ$10:$JJ$40)/SUMIFS($JJ$10:$JJ$40,KX10:KX40,"&gt;"&amp;0),0)</f>
        <v>10.644411737150806</v>
      </c>
      <c r="KY41" s="72">
        <f>IFERROR(SUMPRODUCT((KY10:KY40&lt;&gt;"")*KY10:KY40,$JK$10:$JK$40)/SUMIFS($JK$10:$JK$40,KY10:KY40,"&gt;"&amp;0),0)</f>
        <v>0</v>
      </c>
      <c r="KZ41" s="38">
        <f>IFERROR(SUMPRODUCT((KZ10:KZ40&lt;&gt;"")*KZ10:KZ40,$JK$10:$JK$40)/SUMIFS($JK$10:$JK$40,KZ10:KZ40,"&gt;"&amp;0),0)</f>
        <v>0</v>
      </c>
      <c r="LA41" s="38">
        <f>IFERROR(SUMPRODUCT((LA10:LA40&lt;&gt;"")*LA10:LA40,$JK$10:$JK$40)/SUMIFS($JK$10:$JK$40,LA10:LA40,"&gt;"&amp;0),0)</f>
        <v>0</v>
      </c>
      <c r="LB41" s="38">
        <f>IFERROR(SUMPRODUCT((LB10:LB40&lt;&gt;"")*LB10:LB40,$JK$10:$JK$40)/SUMIFS($JK$10:$JK$40,LB10:LB40,"&gt;"&amp;0),0)</f>
        <v>0</v>
      </c>
      <c r="LC41" s="38">
        <f>IFERROR(SUMPRODUCT((LC10:LC40&lt;&gt;"")*LC10:LC40,$JK$10:$JK$40)/SUMIFS($JK$10:$JK$40,LC10:LC40,"&gt;"&amp;0),0)</f>
        <v>0</v>
      </c>
      <c r="LD41" s="72"/>
      <c r="LE41" s="72">
        <f t="shared" ref="LE41:LN41" si="149">SUM(LE10:LE40)</f>
        <v>0</v>
      </c>
      <c r="LF41" s="72">
        <f t="shared" si="149"/>
        <v>0</v>
      </c>
      <c r="LG41" s="2273">
        <f t="shared" si="149"/>
        <v>130551.45349999999</v>
      </c>
      <c r="LH41" s="2268">
        <f t="shared" si="149"/>
        <v>48483.066500000001</v>
      </c>
      <c r="LI41" s="865">
        <f t="shared" si="149"/>
        <v>0</v>
      </c>
      <c r="LJ41" s="970">
        <f t="shared" si="149"/>
        <v>179034.52</v>
      </c>
      <c r="LK41" s="72">
        <f t="shared" si="149"/>
        <v>24</v>
      </c>
      <c r="LL41" s="72">
        <f t="shared" si="149"/>
        <v>4</v>
      </c>
      <c r="LM41" s="72">
        <f t="shared" si="149"/>
        <v>62</v>
      </c>
      <c r="LN41" s="72">
        <f t="shared" si="149"/>
        <v>0</v>
      </c>
      <c r="LO41" s="72">
        <f>AVERAGE(LO10:LO40)</f>
        <v>6.3499999999999988</v>
      </c>
      <c r="LP41" s="72">
        <f t="shared" ref="LP41:MJ41" si="150">SUM(LP10:LP40)</f>
        <v>0</v>
      </c>
      <c r="LQ41" s="72">
        <f t="shared" si="150"/>
        <v>0</v>
      </c>
      <c r="LR41" s="38">
        <f t="shared" si="150"/>
        <v>93944.33249999999</v>
      </c>
      <c r="LS41" s="72">
        <f t="shared" si="150"/>
        <v>7770.2474999999995</v>
      </c>
      <c r="LT41" s="72">
        <f t="shared" si="150"/>
        <v>0</v>
      </c>
      <c r="LU41" s="72">
        <f t="shared" si="150"/>
        <v>0</v>
      </c>
      <c r="LV41" s="72">
        <f t="shared" si="150"/>
        <v>0</v>
      </c>
      <c r="LW41" s="72">
        <f t="shared" si="150"/>
        <v>101714.57999999999</v>
      </c>
      <c r="LX41" s="72">
        <f t="shared" si="150"/>
        <v>36607.120999999999</v>
      </c>
      <c r="LY41" s="72">
        <f t="shared" si="150"/>
        <v>40712.819000000003</v>
      </c>
      <c r="LZ41" s="72">
        <f t="shared" si="150"/>
        <v>0</v>
      </c>
      <c r="MA41" s="72">
        <f t="shared" si="150"/>
        <v>0</v>
      </c>
      <c r="MB41" s="72">
        <f t="shared" si="150"/>
        <v>0</v>
      </c>
      <c r="MC41" s="72">
        <f t="shared" si="150"/>
        <v>77319.94</v>
      </c>
      <c r="MD41" s="72">
        <f t="shared" si="150"/>
        <v>0</v>
      </c>
      <c r="ME41" s="72">
        <f t="shared" si="150"/>
        <v>0</v>
      </c>
      <c r="MF41" s="72">
        <f t="shared" si="150"/>
        <v>0</v>
      </c>
      <c r="MG41" s="72">
        <f t="shared" si="150"/>
        <v>0</v>
      </c>
      <c r="MH41" s="72">
        <f t="shared" si="150"/>
        <v>0</v>
      </c>
      <c r="MI41" s="72">
        <f t="shared" si="150"/>
        <v>0</v>
      </c>
      <c r="MJ41" s="72">
        <f t="shared" si="150"/>
        <v>0</v>
      </c>
      <c r="MK41" s="72"/>
      <c r="ML41" s="72">
        <f>SUM(ML10:ML40)</f>
        <v>0</v>
      </c>
      <c r="MM41" s="72">
        <f>SUM(MM10:MM40)</f>
        <v>0</v>
      </c>
      <c r="MN41" s="72">
        <f>SUM(MN10:MN40)</f>
        <v>0</v>
      </c>
      <c r="MO41" s="72">
        <f>SUM(MO10:MO40)</f>
        <v>0</v>
      </c>
      <c r="MP41" s="72">
        <f>SUM(MP10:MP40)</f>
        <v>0</v>
      </c>
      <c r="MQ41" s="72"/>
      <c r="MR41" s="72">
        <f t="shared" ref="MR41:MW41" si="151">SUM(MR10:MR40)</f>
        <v>0</v>
      </c>
      <c r="MS41" s="72">
        <f t="shared" si="151"/>
        <v>0</v>
      </c>
      <c r="MT41" s="72">
        <f t="shared" si="151"/>
        <v>0</v>
      </c>
      <c r="MU41" s="72">
        <f t="shared" si="151"/>
        <v>0</v>
      </c>
      <c r="MV41" s="72">
        <f t="shared" si="151"/>
        <v>0</v>
      </c>
      <c r="MW41" s="72">
        <f t="shared" si="151"/>
        <v>0</v>
      </c>
      <c r="MX41" s="72">
        <f>+MX40</f>
        <v>203020.60004856004</v>
      </c>
      <c r="MY41" s="72">
        <f>+MY40</f>
        <v>195641.5178501792</v>
      </c>
      <c r="MZ41" s="72">
        <f>+MZ40</f>
        <v>22083.278559023402</v>
      </c>
      <c r="NA41" s="72">
        <f>+NA40</f>
        <v>410748.98855850991</v>
      </c>
      <c r="NB41" s="72">
        <f>+NB40</f>
        <v>0</v>
      </c>
      <c r="NC41" s="1093">
        <f t="shared" ref="NC41:NE42" si="152">NC40</f>
        <v>116202.15651155001</v>
      </c>
      <c r="ND41" s="1656">
        <f t="shared" si="152"/>
        <v>86818.443537010025</v>
      </c>
      <c r="NE41" s="72">
        <f t="shared" si="152"/>
        <v>0</v>
      </c>
      <c r="NF41" s="72">
        <f t="shared" ref="NF41:PG42" si="153">+NF40</f>
        <v>203020.60004856004</v>
      </c>
      <c r="NG41" s="72">
        <f t="shared" si="153"/>
        <v>0</v>
      </c>
      <c r="NH41" s="72">
        <f t="shared" si="153"/>
        <v>0</v>
      </c>
      <c r="NI41" s="72">
        <f t="shared" si="153"/>
        <v>0</v>
      </c>
      <c r="NJ41" s="72">
        <f t="shared" si="153"/>
        <v>0</v>
      </c>
      <c r="NK41" s="72">
        <f t="shared" si="153"/>
        <v>0</v>
      </c>
      <c r="NL41" s="72">
        <f t="shared" si="153"/>
        <v>0</v>
      </c>
      <c r="NM41" s="72">
        <f t="shared" si="153"/>
        <v>0</v>
      </c>
      <c r="NN41" s="278">
        <f t="shared" si="153"/>
        <v>0</v>
      </c>
      <c r="NO41" s="280">
        <f>NO40</f>
        <v>15980.464219200567</v>
      </c>
      <c r="NP41" s="72">
        <f t="shared" si="153"/>
        <v>26196.696072681989</v>
      </c>
      <c r="NQ41" s="72">
        <f t="shared" si="153"/>
        <v>8756.5482322711578</v>
      </c>
      <c r="NR41" s="72">
        <f t="shared" si="153"/>
        <v>9829.8348469876</v>
      </c>
      <c r="NS41" s="72">
        <f t="shared" si="153"/>
        <v>60763.543371141313</v>
      </c>
      <c r="NT41" s="72">
        <f t="shared" si="153"/>
        <v>0</v>
      </c>
      <c r="NU41" s="72">
        <f t="shared" si="153"/>
        <v>0</v>
      </c>
      <c r="NV41" s="72">
        <f t="shared" si="153"/>
        <v>0</v>
      </c>
      <c r="NW41" s="72">
        <f t="shared" si="153"/>
        <v>0</v>
      </c>
      <c r="NX41" s="72">
        <f t="shared" si="153"/>
        <v>0</v>
      </c>
      <c r="NY41" s="72">
        <f t="shared" si="153"/>
        <v>0</v>
      </c>
      <c r="NZ41" s="72">
        <f t="shared" si="153"/>
        <v>12035.060368235247</v>
      </c>
      <c r="OA41" s="72">
        <f t="shared" si="153"/>
        <v>0</v>
      </c>
      <c r="OB41" s="72">
        <f t="shared" si="153"/>
        <v>76836.297327968059</v>
      </c>
      <c r="OC41" s="72">
        <f t="shared" si="153"/>
        <v>0</v>
      </c>
      <c r="OD41" s="72">
        <f t="shared" si="153"/>
        <v>454.51223506073143</v>
      </c>
      <c r="OE41" s="72">
        <f t="shared" si="153"/>
        <v>0</v>
      </c>
      <c r="OF41" s="72">
        <f t="shared" si="153"/>
        <v>89325.869931264038</v>
      </c>
      <c r="OG41" s="72">
        <f t="shared" si="153"/>
        <v>0</v>
      </c>
      <c r="OH41" s="72">
        <f t="shared" si="153"/>
        <v>0</v>
      </c>
      <c r="OI41" s="72">
        <f t="shared" si="153"/>
        <v>0</v>
      </c>
      <c r="OJ41" s="72">
        <f t="shared" si="153"/>
        <v>0</v>
      </c>
      <c r="OK41" s="72">
        <f t="shared" si="153"/>
        <v>0</v>
      </c>
      <c r="OL41" s="72">
        <f t="shared" si="153"/>
        <v>0</v>
      </c>
      <c r="OM41" s="72">
        <f t="shared" si="153"/>
        <v>0</v>
      </c>
      <c r="ON41" s="72">
        <f t="shared" si="153"/>
        <v>0</v>
      </c>
      <c r="OO41" s="72">
        <f t="shared" si="153"/>
        <v>32557.874547773841</v>
      </c>
      <c r="OP41" s="72">
        <f t="shared" si="153"/>
        <v>0</v>
      </c>
      <c r="OQ41" s="72">
        <f t="shared" si="153"/>
        <v>12994.230000000001</v>
      </c>
      <c r="OR41" s="72">
        <f t="shared" si="153"/>
        <v>0</v>
      </c>
      <c r="OS41" s="72">
        <f t="shared" si="153"/>
        <v>45552.104547773844</v>
      </c>
      <c r="OT41" s="72">
        <f t="shared" si="153"/>
        <v>0</v>
      </c>
      <c r="OU41" s="72">
        <f t="shared" si="153"/>
        <v>0</v>
      </c>
      <c r="OV41" s="72">
        <f t="shared" si="153"/>
        <v>0</v>
      </c>
      <c r="OW41" s="72">
        <f t="shared" si="153"/>
        <v>0</v>
      </c>
      <c r="OX41" s="72">
        <f t="shared" si="153"/>
        <v>0</v>
      </c>
      <c r="OY41" s="72">
        <f t="shared" si="153"/>
        <v>0</v>
      </c>
      <c r="OZ41" s="72">
        <f t="shared" si="153"/>
        <v>0</v>
      </c>
      <c r="PA41" s="72">
        <f t="shared" si="153"/>
        <v>0</v>
      </c>
      <c r="PB41" s="72">
        <f t="shared" si="153"/>
        <v>0</v>
      </c>
      <c r="PC41" s="72">
        <f t="shared" si="153"/>
        <v>0</v>
      </c>
      <c r="PD41" s="72">
        <f t="shared" si="153"/>
        <v>0</v>
      </c>
      <c r="PE41" s="72">
        <f t="shared" si="153"/>
        <v>0</v>
      </c>
      <c r="PF41" s="72">
        <f t="shared" si="153"/>
        <v>0</v>
      </c>
      <c r="PG41" s="72">
        <f t="shared" si="153"/>
        <v>0</v>
      </c>
      <c r="PH41" s="72">
        <f t="shared" ref="PH41:PM41" si="154">SUM(PH10:PH40)</f>
        <v>0</v>
      </c>
      <c r="PI41" s="72">
        <f t="shared" si="154"/>
        <v>0</v>
      </c>
      <c r="PJ41" s="341">
        <f t="shared" si="154"/>
        <v>29417.64</v>
      </c>
      <c r="PK41" s="72">
        <f t="shared" si="154"/>
        <v>17172</v>
      </c>
      <c r="PL41" s="72">
        <f t="shared" si="154"/>
        <v>5724</v>
      </c>
      <c r="PM41" s="72">
        <f t="shared" si="154"/>
        <v>4868.29</v>
      </c>
      <c r="PN41" s="72">
        <f>PN40</f>
        <v>39321.929776580684</v>
      </c>
      <c r="PO41" s="72">
        <f>+PO40</f>
        <v>22083.278559023402</v>
      </c>
      <c r="PP41" s="72">
        <f>SUM(PP10:PP40)</f>
        <v>0</v>
      </c>
      <c r="PQ41" s="72">
        <f>SUM(PQ10:PQ40)</f>
        <v>0</v>
      </c>
      <c r="PR41" s="72">
        <f>SUM(PR10:PR40)</f>
        <v>0</v>
      </c>
      <c r="PS41" s="72">
        <f>SUM(PS10:PS40)</f>
        <v>0</v>
      </c>
      <c r="PT41" s="72">
        <f>SUM(PT10:PT40)</f>
        <v>0</v>
      </c>
      <c r="PU41" s="72"/>
      <c r="PV41" s="72">
        <f>SUM(PV10:PV40)</f>
        <v>0</v>
      </c>
      <c r="PW41" s="341">
        <f>SUM(PW10:PW40)</f>
        <v>2124.7399999999998</v>
      </c>
      <c r="PX41" s="72">
        <f>SUM(PX10:PX40)</f>
        <v>0</v>
      </c>
      <c r="PY41" s="72">
        <f>SUM(PY10:PY40)</f>
        <v>2124.7399999999998</v>
      </c>
      <c r="PZ41" s="72">
        <f>SUM(PZ10:PZ40)</f>
        <v>29417.64</v>
      </c>
      <c r="QA41" s="72">
        <f>+QA40</f>
        <v>0</v>
      </c>
      <c r="QB41" s="72"/>
      <c r="QC41" s="72"/>
      <c r="QD41" s="72"/>
      <c r="QE41" s="72"/>
      <c r="QF41" s="72"/>
      <c r="QG41" s="72">
        <f>+QG40</f>
        <v>29562.488999999998</v>
      </c>
      <c r="QH41" s="72">
        <f>+QH40</f>
        <v>379061.75955850992</v>
      </c>
      <c r="QI41" s="72">
        <f>+QI40</f>
        <v>2124.7399999999998</v>
      </c>
      <c r="QJ41" s="72">
        <f>+QJ40</f>
        <v>5505.3678056099998</v>
      </c>
      <c r="RR41" s="1091"/>
      <c r="RY41" s="72"/>
      <c r="SA41" s="1089"/>
      <c r="SB41" s="1090"/>
      <c r="SC41" s="1089"/>
      <c r="SD41" s="1089"/>
    </row>
    <row r="42" spans="1:502" s="38" customFormat="1">
      <c r="A42" s="307" t="s">
        <v>207</v>
      </c>
      <c r="B42" s="307"/>
      <c r="C42" s="1068">
        <f>SUM(O42,S42,W42,AA42)</f>
        <v>4380133.2649400001</v>
      </c>
      <c r="D42" s="1068">
        <f>SUM(P42,T42,X42,AB42)</f>
        <v>308609.06810764299</v>
      </c>
      <c r="E42" s="2266">
        <f t="shared" si="7"/>
        <v>14.193145042038129</v>
      </c>
      <c r="F42" s="72"/>
      <c r="G42" s="72"/>
      <c r="H42" s="307">
        <f t="shared" ref="H42:N42" si="155">H41</f>
        <v>375</v>
      </c>
      <c r="I42" s="364">
        <f t="shared" si="155"/>
        <v>94.82</v>
      </c>
      <c r="J42" s="307">
        <f t="shared" si="155"/>
        <v>0</v>
      </c>
      <c r="K42" s="364">
        <f t="shared" si="155"/>
        <v>0</v>
      </c>
      <c r="L42" s="307">
        <f t="shared" si="155"/>
        <v>336.41999999999996</v>
      </c>
      <c r="M42" s="364">
        <f t="shared" si="155"/>
        <v>85.969999999999985</v>
      </c>
      <c r="N42" s="72">
        <f t="shared" si="155"/>
        <v>0</v>
      </c>
      <c r="O42" s="364">
        <f>SUM(AW42,BC42)</f>
        <v>2788340.7571</v>
      </c>
      <c r="P42" s="364">
        <f>SUM(AX42,BD42)</f>
        <v>215521.01</v>
      </c>
      <c r="Q42" s="2286">
        <f t="shared" si="9"/>
        <v>12.937674879585986</v>
      </c>
      <c r="R42" s="72">
        <f>R41</f>
        <v>0</v>
      </c>
      <c r="S42" s="364">
        <f>BL42</f>
        <v>1019457.12174</v>
      </c>
      <c r="T42" s="364">
        <f>BM42</f>
        <v>52556.652807642975</v>
      </c>
      <c r="U42" s="1743">
        <f t="shared" si="11"/>
        <v>19.3972992433747</v>
      </c>
      <c r="V42" s="72">
        <f>V41</f>
        <v>0</v>
      </c>
      <c r="W42" s="412">
        <f>BV42</f>
        <v>572335.3861</v>
      </c>
      <c r="X42" s="412">
        <f>BW42</f>
        <v>40531.405299999999</v>
      </c>
      <c r="Y42" s="1743">
        <f t="shared" si="13"/>
        <v>14.120788111435159</v>
      </c>
      <c r="Z42" s="72">
        <f>Z41</f>
        <v>0</v>
      </c>
      <c r="AA42" s="364">
        <f>AA41</f>
        <v>0</v>
      </c>
      <c r="AB42" s="364">
        <f>AB41</f>
        <v>0</v>
      </c>
      <c r="AC42" s="38">
        <f>AC41</f>
        <v>0</v>
      </c>
      <c r="AD42" s="72"/>
      <c r="AE42" s="412">
        <f>AE41</f>
        <v>0</v>
      </c>
      <c r="AF42" s="412">
        <f>AF41</f>
        <v>0</v>
      </c>
      <c r="AG42" s="38">
        <f t="shared" si="17"/>
        <v>0</v>
      </c>
      <c r="AH42" s="72">
        <f>AH41</f>
        <v>0</v>
      </c>
      <c r="AI42" s="412"/>
      <c r="AJ42" s="412"/>
      <c r="AK42" s="38">
        <f t="shared" si="18"/>
        <v>0</v>
      </c>
      <c r="AL42" s="72">
        <f t="shared" ref="AL42:AR42" si="156">AL41</f>
        <v>0</v>
      </c>
      <c r="AM42" s="72">
        <f t="shared" si="156"/>
        <v>0</v>
      </c>
      <c r="AN42" s="72">
        <f t="shared" si="156"/>
        <v>0</v>
      </c>
      <c r="AO42" s="72">
        <f t="shared" si="156"/>
        <v>0</v>
      </c>
      <c r="AP42" s="72">
        <f t="shared" si="156"/>
        <v>0</v>
      </c>
      <c r="AQ42" s="364">
        <f t="shared" si="156"/>
        <v>0</v>
      </c>
      <c r="AR42" s="1088">
        <f t="shared" si="156"/>
        <v>0</v>
      </c>
      <c r="AS42" s="38">
        <f t="shared" si="20"/>
        <v>0</v>
      </c>
      <c r="AT42" s="364">
        <f t="shared" ref="AT42:BZ42" si="157">AT41</f>
        <v>0</v>
      </c>
      <c r="AU42" s="364">
        <f t="shared" si="157"/>
        <v>0</v>
      </c>
      <c r="AV42" s="72">
        <f t="shared" si="157"/>
        <v>0</v>
      </c>
      <c r="AW42" s="1701">
        <v>1530133.2694999999</v>
      </c>
      <c r="AX42" s="2280">
        <f>AX41</f>
        <v>139935.62000000002</v>
      </c>
      <c r="AY42" s="2282">
        <f t="shared" si="157"/>
        <v>10.854491515455463</v>
      </c>
      <c r="AZ42" s="1090">
        <f t="shared" si="157"/>
        <v>0</v>
      </c>
      <c r="BA42" s="1090">
        <f t="shared" si="157"/>
        <v>0</v>
      </c>
      <c r="BB42" s="1090">
        <f t="shared" si="157"/>
        <v>0</v>
      </c>
      <c r="BC42" s="1701">
        <v>1258207.4875999999</v>
      </c>
      <c r="BD42" s="1701">
        <f>BD41</f>
        <v>75585.39</v>
      </c>
      <c r="BE42" s="1090">
        <f t="shared" si="157"/>
        <v>17.240276196233161</v>
      </c>
      <c r="BF42" s="1701">
        <f t="shared" si="157"/>
        <v>0</v>
      </c>
      <c r="BG42" s="1701">
        <f t="shared" si="157"/>
        <v>0</v>
      </c>
      <c r="BH42" s="2281">
        <f t="shared" si="157"/>
        <v>0</v>
      </c>
      <c r="BI42" s="1701">
        <f t="shared" si="157"/>
        <v>0</v>
      </c>
      <c r="BJ42" s="1089">
        <f t="shared" si="157"/>
        <v>0</v>
      </c>
      <c r="BK42" s="1089">
        <f t="shared" si="157"/>
        <v>0</v>
      </c>
      <c r="BL42" s="1701">
        <v>1019457.12174</v>
      </c>
      <c r="BM42" s="1701">
        <v>52556.652807642975</v>
      </c>
      <c r="BN42" s="1701">
        <f>SUM(BN10:BN40)</f>
        <v>0</v>
      </c>
      <c r="BO42" s="2279">
        <f>BL42/BM42</f>
        <v>19.3972992433747</v>
      </c>
      <c r="BP42" s="1701">
        <f t="shared" si="157"/>
        <v>0</v>
      </c>
      <c r="BQ42" s="2281">
        <f t="shared" si="157"/>
        <v>0</v>
      </c>
      <c r="BR42" s="1089">
        <f t="shared" si="157"/>
        <v>0</v>
      </c>
      <c r="BS42" s="1701">
        <f t="shared" si="157"/>
        <v>0</v>
      </c>
      <c r="BT42" s="2281">
        <f t="shared" si="157"/>
        <v>0</v>
      </c>
      <c r="BU42" s="1089">
        <f t="shared" si="157"/>
        <v>0</v>
      </c>
      <c r="BV42" s="1701">
        <v>572335.3861</v>
      </c>
      <c r="BW42" s="1701">
        <v>40531.405299999999</v>
      </c>
      <c r="BX42" s="2283">
        <f t="shared" si="157"/>
        <v>15.29966733525757</v>
      </c>
      <c r="BY42" s="364">
        <f t="shared" si="157"/>
        <v>0</v>
      </c>
      <c r="BZ42" s="72">
        <f t="shared" si="157"/>
        <v>0</v>
      </c>
      <c r="CA42" s="38">
        <f t="shared" si="30"/>
        <v>0</v>
      </c>
      <c r="CB42" s="364"/>
      <c r="CC42" s="364">
        <f>CC41</f>
        <v>0</v>
      </c>
      <c r="CD42" s="38">
        <f t="shared" si="31"/>
        <v>0</v>
      </c>
      <c r="CE42" s="364">
        <f>CE41</f>
        <v>0</v>
      </c>
      <c r="CF42" s="364">
        <f>CF41</f>
        <v>0</v>
      </c>
      <c r="CG42" s="38">
        <f>CG41</f>
        <v>0</v>
      </c>
      <c r="CH42" s="72">
        <f>+CH41</f>
        <v>0</v>
      </c>
      <c r="CI42" s="364">
        <f>CI41</f>
        <v>0</v>
      </c>
      <c r="CJ42" s="72">
        <f t="shared" ref="CJ42:CO42" si="158">+CJ41</f>
        <v>0</v>
      </c>
      <c r="CK42" s="72">
        <f t="shared" si="158"/>
        <v>100038</v>
      </c>
      <c r="CL42" s="72">
        <f t="shared" si="158"/>
        <v>0</v>
      </c>
      <c r="CM42" s="72">
        <f t="shared" si="158"/>
        <v>0</v>
      </c>
      <c r="CN42" s="72">
        <f t="shared" si="158"/>
        <v>0</v>
      </c>
      <c r="CO42" s="72">
        <f t="shared" si="158"/>
        <v>0</v>
      </c>
      <c r="CP42" s="364"/>
      <c r="CQ42" s="72">
        <f>+CQ41</f>
        <v>0</v>
      </c>
      <c r="CR42" s="72">
        <f>+CR41</f>
        <v>0</v>
      </c>
      <c r="CS42" s="72"/>
      <c r="CT42" s="72">
        <f>+CT41</f>
        <v>0</v>
      </c>
      <c r="CU42" s="72"/>
      <c r="CV42" s="72">
        <f>+CV41</f>
        <v>0</v>
      </c>
      <c r="CW42" s="72"/>
      <c r="CX42" s="72">
        <f>+CX41</f>
        <v>21693.519999999997</v>
      </c>
      <c r="CY42" s="72"/>
      <c r="CZ42" s="72">
        <f>+CZ41</f>
        <v>251883.91000000003</v>
      </c>
      <c r="DA42" s="72"/>
      <c r="DB42" s="72">
        <f>+DB41</f>
        <v>31292.78</v>
      </c>
      <c r="DC42" s="72"/>
      <c r="DD42" s="72">
        <f>+DD41</f>
        <v>306994.95</v>
      </c>
      <c r="DE42" s="72">
        <f>+DE41</f>
        <v>0</v>
      </c>
      <c r="DF42" s="72">
        <f>+DF41</f>
        <v>0</v>
      </c>
      <c r="DG42" s="72"/>
      <c r="DH42" s="72">
        <f>DH41</f>
        <v>0</v>
      </c>
      <c r="DI42" s="72"/>
      <c r="DJ42" s="72">
        <f>+DJ41</f>
        <v>0</v>
      </c>
      <c r="DK42" s="72"/>
      <c r="DL42" s="72">
        <f>DL41</f>
        <v>21693.519999999997</v>
      </c>
      <c r="DM42" s="72"/>
      <c r="DN42" s="72">
        <f>DN41</f>
        <v>116117.36</v>
      </c>
      <c r="DO42" s="72">
        <f>+DO41</f>
        <v>0</v>
      </c>
      <c r="DP42" s="72">
        <f>+DP41</f>
        <v>0</v>
      </c>
      <c r="DQ42" s="72">
        <f>+DQ41</f>
        <v>0</v>
      </c>
      <c r="DR42" s="1904">
        <f>DR41</f>
        <v>137810.88000000003</v>
      </c>
      <c r="DS42" s="72">
        <f>+DS41</f>
        <v>0</v>
      </c>
      <c r="DT42" s="72"/>
      <c r="DU42" s="72">
        <f>+DU41</f>
        <v>0</v>
      </c>
      <c r="DV42" s="72"/>
      <c r="DW42" s="72">
        <f>+DW41</f>
        <v>0</v>
      </c>
      <c r="DX42" s="72"/>
      <c r="DY42" s="72">
        <f>+DY41</f>
        <v>0</v>
      </c>
      <c r="DZ42" s="72"/>
      <c r="EA42" s="72">
        <f>EA41</f>
        <v>111566.55000000002</v>
      </c>
      <c r="EB42" s="72"/>
      <c r="EC42" s="72">
        <f>EC41</f>
        <v>14610.78</v>
      </c>
      <c r="ED42" s="72"/>
      <c r="EE42" s="72">
        <f>EE41</f>
        <v>126177.33000000003</v>
      </c>
      <c r="EF42" s="72">
        <f>+EF41</f>
        <v>0</v>
      </c>
      <c r="EG42" s="72">
        <f>+EG41</f>
        <v>0</v>
      </c>
      <c r="EH42" s="72">
        <f>+EH41</f>
        <v>0</v>
      </c>
      <c r="EI42" s="72"/>
      <c r="EJ42" s="72">
        <f>+EJ41</f>
        <v>0</v>
      </c>
      <c r="EK42" s="72"/>
      <c r="EL42" s="72">
        <f>+EL41</f>
        <v>0</v>
      </c>
      <c r="EM42" s="72">
        <f>+EM41</f>
        <v>0</v>
      </c>
      <c r="EN42" s="72">
        <f>+EN41</f>
        <v>24200</v>
      </c>
      <c r="EO42" s="72"/>
      <c r="EP42" s="72">
        <f>+EP41</f>
        <v>16682</v>
      </c>
      <c r="EQ42" s="72"/>
      <c r="ER42" s="72">
        <f>+ER41</f>
        <v>40882</v>
      </c>
      <c r="ES42" s="72">
        <f>+ES41</f>
        <v>0</v>
      </c>
      <c r="ET42" s="72">
        <f>+ET41</f>
        <v>0</v>
      </c>
      <c r="EU42" s="72">
        <f>+EU41</f>
        <v>0</v>
      </c>
      <c r="EV42" s="72">
        <f t="shared" ref="EV42:FV42" si="159">+EV41</f>
        <v>0</v>
      </c>
      <c r="EW42" s="72">
        <f t="shared" si="159"/>
        <v>0</v>
      </c>
      <c r="EX42" s="72">
        <f t="shared" si="159"/>
        <v>0</v>
      </c>
      <c r="EY42" s="72">
        <f t="shared" si="159"/>
        <v>0</v>
      </c>
      <c r="EZ42" s="72">
        <f t="shared" si="159"/>
        <v>0</v>
      </c>
      <c r="FA42" s="72">
        <f t="shared" si="159"/>
        <v>0</v>
      </c>
      <c r="FB42" s="72">
        <f t="shared" si="159"/>
        <v>0</v>
      </c>
      <c r="FC42" s="72">
        <f t="shared" si="159"/>
        <v>0</v>
      </c>
      <c r="FD42" s="72">
        <f t="shared" si="159"/>
        <v>3721.4599999999996</v>
      </c>
      <c r="FE42" s="72">
        <f t="shared" si="159"/>
        <v>3721.4599999999996</v>
      </c>
      <c r="FF42" s="72">
        <f t="shared" si="159"/>
        <v>0</v>
      </c>
      <c r="FG42" s="72">
        <f t="shared" si="159"/>
        <v>0</v>
      </c>
      <c r="FH42" s="72">
        <f t="shared" si="159"/>
        <v>0</v>
      </c>
      <c r="FI42" s="72">
        <f t="shared" si="159"/>
        <v>0</v>
      </c>
      <c r="FJ42" s="72">
        <f t="shared" si="159"/>
        <v>0</v>
      </c>
      <c r="FK42" s="72">
        <f t="shared" si="159"/>
        <v>0</v>
      </c>
      <c r="FL42" s="72">
        <f t="shared" si="159"/>
        <v>0</v>
      </c>
      <c r="FM42" s="72">
        <f t="shared" si="159"/>
        <v>0</v>
      </c>
      <c r="FN42" s="72">
        <f t="shared" si="159"/>
        <v>0</v>
      </c>
      <c r="FO42" s="72">
        <f t="shared" si="159"/>
        <v>0</v>
      </c>
      <c r="FP42" s="72">
        <f t="shared" si="159"/>
        <v>0</v>
      </c>
      <c r="FQ42" s="72">
        <f t="shared" si="159"/>
        <v>0</v>
      </c>
      <c r="FR42" s="72">
        <f t="shared" si="159"/>
        <v>0</v>
      </c>
      <c r="FS42" s="72">
        <f t="shared" si="159"/>
        <v>0</v>
      </c>
      <c r="FT42" s="72">
        <f t="shared" si="159"/>
        <v>0</v>
      </c>
      <c r="FU42" s="72">
        <f t="shared" si="159"/>
        <v>0</v>
      </c>
      <c r="FV42" s="72">
        <f t="shared" si="159"/>
        <v>0</v>
      </c>
      <c r="FW42" s="72"/>
      <c r="FX42" s="72">
        <f>+FX41</f>
        <v>0</v>
      </c>
      <c r="FY42" s="72"/>
      <c r="FZ42" s="72">
        <f>+FZ41</f>
        <v>0</v>
      </c>
      <c r="GA42" s="72"/>
      <c r="GB42" s="72">
        <f>+GB41</f>
        <v>0</v>
      </c>
      <c r="GC42" s="72"/>
      <c r="GD42" s="72">
        <f>+GD41</f>
        <v>3721.4599999999996</v>
      </c>
      <c r="GE42" s="72"/>
      <c r="GF42" s="72">
        <f>+GF41</f>
        <v>0</v>
      </c>
      <c r="GG42" s="72"/>
      <c r="GH42" s="72">
        <f t="shared" ref="GH42:HL42" si="160">+GH41</f>
        <v>3721.4599999999996</v>
      </c>
      <c r="GI42" s="72">
        <f t="shared" si="160"/>
        <v>0</v>
      </c>
      <c r="GJ42" s="72">
        <f t="shared" si="160"/>
        <v>0</v>
      </c>
      <c r="GK42" s="72">
        <f t="shared" si="160"/>
        <v>24156.620000000003</v>
      </c>
      <c r="GL42" s="72">
        <f t="shared" si="160"/>
        <v>98536.679999999964</v>
      </c>
      <c r="GM42" s="72">
        <f t="shared" si="160"/>
        <v>107998.8</v>
      </c>
      <c r="GN42" s="2104">
        <f t="shared" si="160"/>
        <v>230692.1</v>
      </c>
      <c r="GO42" s="72">
        <f t="shared" si="160"/>
        <v>0</v>
      </c>
      <c r="GP42" s="72">
        <f t="shared" si="160"/>
        <v>0</v>
      </c>
      <c r="GQ42" s="72">
        <f t="shared" si="160"/>
        <v>0</v>
      </c>
      <c r="GR42" s="72">
        <f t="shared" si="160"/>
        <v>0</v>
      </c>
      <c r="GS42" s="72">
        <f t="shared" si="160"/>
        <v>0</v>
      </c>
      <c r="GT42" s="72">
        <f t="shared" si="160"/>
        <v>4868.29</v>
      </c>
      <c r="GU42" s="72">
        <f t="shared" si="160"/>
        <v>113941.75</v>
      </c>
      <c r="GV42" s="72">
        <f t="shared" si="160"/>
        <v>111882.06000000001</v>
      </c>
      <c r="GW42" s="72">
        <f t="shared" si="160"/>
        <v>230692.1</v>
      </c>
      <c r="GX42" s="72">
        <f t="shared" si="160"/>
        <v>0</v>
      </c>
      <c r="GY42" s="72">
        <f t="shared" si="160"/>
        <v>0</v>
      </c>
      <c r="GZ42" s="72">
        <f t="shared" si="160"/>
        <v>0</v>
      </c>
      <c r="HA42" s="72">
        <f t="shared" si="160"/>
        <v>0</v>
      </c>
      <c r="HB42" s="72">
        <f t="shared" si="160"/>
        <v>0</v>
      </c>
      <c r="HC42" s="72">
        <f t="shared" si="160"/>
        <v>0</v>
      </c>
      <c r="HD42" s="72">
        <f t="shared" si="160"/>
        <v>0</v>
      </c>
      <c r="HE42" s="72">
        <f t="shared" si="160"/>
        <v>0</v>
      </c>
      <c r="HF42" s="72">
        <f t="shared" si="160"/>
        <v>0</v>
      </c>
      <c r="HG42" s="72">
        <f t="shared" si="160"/>
        <v>10397.630000000001</v>
      </c>
      <c r="HH42" s="72">
        <f t="shared" si="160"/>
        <v>0</v>
      </c>
      <c r="HI42" s="72">
        <f t="shared" si="160"/>
        <v>8890.7000000000007</v>
      </c>
      <c r="HJ42" s="72">
        <f t="shared" si="160"/>
        <v>0</v>
      </c>
      <c r="HK42" s="72">
        <f t="shared" si="160"/>
        <v>4868.29</v>
      </c>
      <c r="HL42" s="72">
        <f t="shared" si="160"/>
        <v>0</v>
      </c>
      <c r="HM42" s="72">
        <f t="shared" si="120"/>
        <v>24156.620000000003</v>
      </c>
      <c r="HN42" s="72">
        <f t="shared" ref="HN42:IA42" si="161">+HN41</f>
        <v>0</v>
      </c>
      <c r="HO42" s="72">
        <f t="shared" si="161"/>
        <v>0</v>
      </c>
      <c r="HP42" s="72">
        <f t="shared" si="161"/>
        <v>0</v>
      </c>
      <c r="HQ42" s="72">
        <f t="shared" si="161"/>
        <v>0</v>
      </c>
      <c r="HR42" s="72">
        <f t="shared" si="161"/>
        <v>0</v>
      </c>
      <c r="HS42" s="72">
        <f t="shared" si="161"/>
        <v>0</v>
      </c>
      <c r="HT42" s="72">
        <f t="shared" si="161"/>
        <v>0</v>
      </c>
      <c r="HU42" s="72">
        <f t="shared" si="161"/>
        <v>0</v>
      </c>
      <c r="HV42" s="72">
        <f t="shared" si="161"/>
        <v>0</v>
      </c>
      <c r="HW42" s="72">
        <f t="shared" si="161"/>
        <v>0</v>
      </c>
      <c r="HX42" s="72">
        <f t="shared" si="161"/>
        <v>0</v>
      </c>
      <c r="HY42" s="72">
        <f t="shared" si="161"/>
        <v>0</v>
      </c>
      <c r="HZ42" s="72">
        <f t="shared" si="161"/>
        <v>0</v>
      </c>
      <c r="IA42" s="72">
        <f t="shared" si="161"/>
        <v>0</v>
      </c>
      <c r="IB42" s="72">
        <f t="shared" si="49"/>
        <v>0</v>
      </c>
      <c r="IC42" s="72">
        <f t="shared" ref="IC42:IP42" si="162">+IC41</f>
        <v>0</v>
      </c>
      <c r="ID42" s="72">
        <f t="shared" si="162"/>
        <v>0</v>
      </c>
      <c r="IE42" s="72">
        <f t="shared" si="162"/>
        <v>0</v>
      </c>
      <c r="IF42" s="72">
        <f t="shared" si="162"/>
        <v>0</v>
      </c>
      <c r="IG42" s="72">
        <f t="shared" si="162"/>
        <v>0</v>
      </c>
      <c r="IH42" s="72">
        <f t="shared" si="162"/>
        <v>0</v>
      </c>
      <c r="II42" s="72">
        <f t="shared" si="162"/>
        <v>25627.89</v>
      </c>
      <c r="IJ42" s="72">
        <f t="shared" si="162"/>
        <v>0</v>
      </c>
      <c r="IK42" s="38">
        <f t="shared" si="162"/>
        <v>72760.59</v>
      </c>
      <c r="IL42" s="72">
        <f t="shared" si="162"/>
        <v>0</v>
      </c>
      <c r="IM42" s="72">
        <f t="shared" si="162"/>
        <v>0</v>
      </c>
      <c r="IN42" s="38">
        <f t="shared" si="162"/>
        <v>0</v>
      </c>
      <c r="IO42" s="72">
        <f t="shared" si="162"/>
        <v>0</v>
      </c>
      <c r="IP42" s="72">
        <f t="shared" si="162"/>
        <v>148.19999999999999</v>
      </c>
      <c r="IQ42" s="421">
        <f>SUM(IC42:IP42)</f>
        <v>98536.68</v>
      </c>
      <c r="IR42" s="72">
        <f t="shared" ref="IR42:JE42" si="163">+IR41</f>
        <v>0</v>
      </c>
      <c r="IS42" s="72">
        <f t="shared" si="163"/>
        <v>0</v>
      </c>
      <c r="IT42" s="38">
        <f t="shared" si="163"/>
        <v>0</v>
      </c>
      <c r="IU42" s="72">
        <f t="shared" si="163"/>
        <v>0</v>
      </c>
      <c r="IV42" s="38">
        <f t="shared" si="163"/>
        <v>0</v>
      </c>
      <c r="IW42" s="72">
        <f t="shared" si="163"/>
        <v>0</v>
      </c>
      <c r="IX42" s="72">
        <f t="shared" si="163"/>
        <v>0</v>
      </c>
      <c r="IY42" s="72">
        <f t="shared" si="163"/>
        <v>0</v>
      </c>
      <c r="IZ42" s="72">
        <f t="shared" si="163"/>
        <v>106382.24999999999</v>
      </c>
      <c r="JA42" s="72">
        <f t="shared" si="163"/>
        <v>0</v>
      </c>
      <c r="JB42" s="72">
        <f t="shared" si="163"/>
        <v>1616.5500000000002</v>
      </c>
      <c r="JC42" s="72">
        <f t="shared" si="163"/>
        <v>0</v>
      </c>
      <c r="JD42" s="72">
        <f t="shared" si="163"/>
        <v>0</v>
      </c>
      <c r="JE42" s="72">
        <f t="shared" si="163"/>
        <v>0</v>
      </c>
      <c r="JF42" s="421">
        <f>SUM(IR42:JE42)</f>
        <v>107998.79999999999</v>
      </c>
      <c r="JG42" s="72">
        <f t="shared" ref="JG42:KN42" si="164">+JG41</f>
        <v>0</v>
      </c>
      <c r="JH42" s="72">
        <f t="shared" si="164"/>
        <v>0</v>
      </c>
      <c r="JI42" s="72">
        <f t="shared" si="164"/>
        <v>166286.98000000001</v>
      </c>
      <c r="JJ42" s="72">
        <f t="shared" si="164"/>
        <v>64405.119999999995</v>
      </c>
      <c r="JK42" s="38">
        <f t="shared" si="164"/>
        <v>0</v>
      </c>
      <c r="JL42" s="72">
        <f t="shared" si="164"/>
        <v>230692.1</v>
      </c>
      <c r="JM42" s="72">
        <f t="shared" si="164"/>
        <v>0</v>
      </c>
      <c r="JN42" s="72">
        <f t="shared" si="164"/>
        <v>0</v>
      </c>
      <c r="JO42" s="305">
        <f t="shared" si="164"/>
        <v>0</v>
      </c>
      <c r="JP42" s="305">
        <f t="shared" si="164"/>
        <v>0</v>
      </c>
      <c r="JQ42" s="305">
        <f t="shared" si="164"/>
        <v>0</v>
      </c>
      <c r="JR42" s="305">
        <f t="shared" si="164"/>
        <v>5.1832103719029517E-3</v>
      </c>
      <c r="JS42" s="305">
        <f t="shared" si="164"/>
        <v>0.968737449345771</v>
      </c>
      <c r="JT42" s="305">
        <f t="shared" si="164"/>
        <v>0</v>
      </c>
      <c r="JU42" s="305">
        <f t="shared" si="164"/>
        <v>2.6079340282325982E-2</v>
      </c>
      <c r="JV42" s="305">
        <f t="shared" si="164"/>
        <v>0</v>
      </c>
      <c r="JW42" s="305">
        <f t="shared" si="164"/>
        <v>0</v>
      </c>
      <c r="JX42" s="305">
        <f t="shared" si="164"/>
        <v>0</v>
      </c>
      <c r="JY42" s="305">
        <f t="shared" si="164"/>
        <v>0</v>
      </c>
      <c r="JZ42" s="305">
        <f t="shared" si="164"/>
        <v>0.36088949936909609</v>
      </c>
      <c r="KA42" s="305">
        <f t="shared" si="164"/>
        <v>0.4062025496746407</v>
      </c>
      <c r="KB42" s="305">
        <f t="shared" si="164"/>
        <v>0.14709265825832088</v>
      </c>
      <c r="KC42" s="305">
        <f t="shared" si="164"/>
        <v>8.5815292697942011E-2</v>
      </c>
      <c r="KD42" s="305">
        <f t="shared" si="164"/>
        <v>0</v>
      </c>
      <c r="KE42" s="38">
        <f t="shared" si="164"/>
        <v>0</v>
      </c>
      <c r="KF42" s="38">
        <f t="shared" si="164"/>
        <v>0</v>
      </c>
      <c r="KG42" s="38">
        <f t="shared" si="164"/>
        <v>0</v>
      </c>
      <c r="KH42" s="38">
        <f t="shared" si="164"/>
        <v>0</v>
      </c>
      <c r="KI42" s="38">
        <f t="shared" si="164"/>
        <v>0</v>
      </c>
      <c r="KJ42" s="38">
        <f t="shared" si="164"/>
        <v>0</v>
      </c>
      <c r="KK42" s="38">
        <f t="shared" si="164"/>
        <v>0</v>
      </c>
      <c r="KL42" s="38">
        <f t="shared" si="164"/>
        <v>0</v>
      </c>
      <c r="KM42" s="72">
        <f t="shared" si="164"/>
        <v>0</v>
      </c>
      <c r="KN42" s="72">
        <f t="shared" si="164"/>
        <v>0</v>
      </c>
      <c r="KO42" s="72">
        <f t="shared" ref="KO42:LC42" si="165">KO41</f>
        <v>6982.6959616343966</v>
      </c>
      <c r="KP42" s="1904">
        <f t="shared" si="165"/>
        <v>0.88771798041663175</v>
      </c>
      <c r="KQ42" s="38">
        <f t="shared" si="165"/>
        <v>3.6461047520084633</v>
      </c>
      <c r="KR42" s="38">
        <f t="shared" si="165"/>
        <v>6.8278047419154531</v>
      </c>
      <c r="KS42" s="38">
        <f t="shared" si="165"/>
        <v>10.94841604302413</v>
      </c>
      <c r="KT42" s="72">
        <f t="shared" si="165"/>
        <v>6951.0751209002538</v>
      </c>
      <c r="KU42" s="1904">
        <f t="shared" si="165"/>
        <v>2.1497079971758217</v>
      </c>
      <c r="KV42" s="38">
        <f t="shared" si="165"/>
        <v>4.508210592747516</v>
      </c>
      <c r="KW42" s="38">
        <f t="shared" si="165"/>
        <v>6.4235379041232337</v>
      </c>
      <c r="KX42" s="38">
        <f t="shared" si="165"/>
        <v>10.644411737150806</v>
      </c>
      <c r="KY42" s="72">
        <f t="shared" si="165"/>
        <v>0</v>
      </c>
      <c r="KZ42" s="38">
        <f t="shared" si="165"/>
        <v>0</v>
      </c>
      <c r="LA42" s="38">
        <f t="shared" si="165"/>
        <v>0</v>
      </c>
      <c r="LB42" s="38">
        <f t="shared" si="165"/>
        <v>0</v>
      </c>
      <c r="LC42" s="38">
        <f t="shared" si="165"/>
        <v>0</v>
      </c>
      <c r="LD42" s="72"/>
      <c r="LE42" s="72">
        <f t="shared" ref="LE42:MJ42" si="166">+LE41</f>
        <v>0</v>
      </c>
      <c r="LF42" s="72">
        <f t="shared" si="166"/>
        <v>0</v>
      </c>
      <c r="LG42" s="865">
        <f t="shared" si="166"/>
        <v>130551.45349999999</v>
      </c>
      <c r="LH42" s="865">
        <f t="shared" si="166"/>
        <v>48483.066500000001</v>
      </c>
      <c r="LI42" s="865">
        <f t="shared" si="166"/>
        <v>0</v>
      </c>
      <c r="LJ42" s="865">
        <f t="shared" si="166"/>
        <v>179034.52</v>
      </c>
      <c r="LK42" s="72">
        <f t="shared" si="166"/>
        <v>24</v>
      </c>
      <c r="LL42" s="72">
        <f t="shared" si="166"/>
        <v>4</v>
      </c>
      <c r="LM42" s="72">
        <f t="shared" si="166"/>
        <v>62</v>
      </c>
      <c r="LN42" s="72">
        <f t="shared" si="166"/>
        <v>0</v>
      </c>
      <c r="LO42" s="72">
        <f t="shared" si="166"/>
        <v>6.3499999999999988</v>
      </c>
      <c r="LP42" s="72">
        <f t="shared" si="166"/>
        <v>0</v>
      </c>
      <c r="LQ42" s="72">
        <f t="shared" si="166"/>
        <v>0</v>
      </c>
      <c r="LR42" s="72">
        <f t="shared" si="166"/>
        <v>93944.33249999999</v>
      </c>
      <c r="LS42" s="72">
        <f t="shared" si="166"/>
        <v>7770.2474999999995</v>
      </c>
      <c r="LT42" s="72">
        <f t="shared" si="166"/>
        <v>0</v>
      </c>
      <c r="LU42" s="72">
        <f t="shared" si="166"/>
        <v>0</v>
      </c>
      <c r="LV42" s="72">
        <f t="shared" si="166"/>
        <v>0</v>
      </c>
      <c r="LW42" s="72">
        <f t="shared" si="166"/>
        <v>101714.57999999999</v>
      </c>
      <c r="LX42" s="72">
        <f t="shared" si="166"/>
        <v>36607.120999999999</v>
      </c>
      <c r="LY42" s="72">
        <f t="shared" si="166"/>
        <v>40712.819000000003</v>
      </c>
      <c r="LZ42" s="72">
        <f t="shared" si="166"/>
        <v>0</v>
      </c>
      <c r="MA42" s="72">
        <f t="shared" si="166"/>
        <v>0</v>
      </c>
      <c r="MB42" s="72">
        <f t="shared" si="166"/>
        <v>0</v>
      </c>
      <c r="MC42" s="72">
        <f t="shared" si="166"/>
        <v>77319.94</v>
      </c>
      <c r="MD42" s="72">
        <f t="shared" si="166"/>
        <v>0</v>
      </c>
      <c r="ME42" s="72">
        <f t="shared" si="166"/>
        <v>0</v>
      </c>
      <c r="MF42" s="72">
        <f t="shared" si="166"/>
        <v>0</v>
      </c>
      <c r="MG42" s="72">
        <f t="shared" si="166"/>
        <v>0</v>
      </c>
      <c r="MH42" s="72">
        <f t="shared" si="166"/>
        <v>0</v>
      </c>
      <c r="MI42" s="72">
        <f t="shared" si="166"/>
        <v>0</v>
      </c>
      <c r="MJ42" s="72">
        <f t="shared" si="166"/>
        <v>0</v>
      </c>
      <c r="MK42" s="72"/>
      <c r="ML42" s="72">
        <f>+ML41</f>
        <v>0</v>
      </c>
      <c r="MM42" s="72">
        <f>+MM41</f>
        <v>0</v>
      </c>
      <c r="MN42" s="72">
        <f>+MN41</f>
        <v>0</v>
      </c>
      <c r="MO42" s="72">
        <f>+MO41</f>
        <v>0</v>
      </c>
      <c r="MP42" s="72">
        <f>+MP41</f>
        <v>0</v>
      </c>
      <c r="MQ42" s="72"/>
      <c r="MR42" s="72">
        <f t="shared" ref="MR42:MW42" si="167">+MR41</f>
        <v>0</v>
      </c>
      <c r="MS42" s="72">
        <f t="shared" si="167"/>
        <v>0</v>
      </c>
      <c r="MT42" s="72">
        <f t="shared" si="167"/>
        <v>0</v>
      </c>
      <c r="MU42" s="72">
        <f t="shared" si="167"/>
        <v>0</v>
      </c>
      <c r="MV42" s="72">
        <f t="shared" si="167"/>
        <v>0</v>
      </c>
      <c r="MW42" s="72">
        <f t="shared" si="167"/>
        <v>0</v>
      </c>
      <c r="MX42" s="364">
        <f>MX41</f>
        <v>203020.60004856004</v>
      </c>
      <c r="MY42" s="364">
        <f>MY41</f>
        <v>195641.5178501792</v>
      </c>
      <c r="MZ42" s="364">
        <f>+MZ41</f>
        <v>22083.278559023402</v>
      </c>
      <c r="NA42" s="364">
        <f>NA41</f>
        <v>410748.98855850991</v>
      </c>
      <c r="NB42" s="72">
        <f>+NB41</f>
        <v>0</v>
      </c>
      <c r="NC42" s="1086">
        <v>102735.03485483871</v>
      </c>
      <c r="ND42" s="1086">
        <v>100693.56083241603</v>
      </c>
      <c r="NE42" s="364">
        <f t="shared" si="152"/>
        <v>0</v>
      </c>
      <c r="NF42" s="364">
        <f>SUM(NC42:ND42)</f>
        <v>203428.59568725474</v>
      </c>
      <c r="NG42" s="412">
        <f>NG41</f>
        <v>0</v>
      </c>
      <c r="NH42" s="364">
        <f t="shared" ref="NH42:NN42" si="168">NH41</f>
        <v>0</v>
      </c>
      <c r="NI42" s="364">
        <f t="shared" si="168"/>
        <v>0</v>
      </c>
      <c r="NJ42" s="364">
        <f t="shared" si="168"/>
        <v>0</v>
      </c>
      <c r="NK42" s="364">
        <f>NK41</f>
        <v>0</v>
      </c>
      <c r="NL42" s="72">
        <f t="shared" si="168"/>
        <v>0</v>
      </c>
      <c r="NM42" s="364">
        <f>NM41</f>
        <v>0</v>
      </c>
      <c r="NN42" s="364">
        <f t="shared" si="168"/>
        <v>0</v>
      </c>
      <c r="NO42" s="2287">
        <v>16645.650671164178</v>
      </c>
      <c r="NP42" s="1701">
        <v>24549.88002237798</v>
      </c>
      <c r="NQ42" s="1701">
        <v>8756.5482322711578</v>
      </c>
      <c r="NR42" s="1701">
        <v>10133.851351487181</v>
      </c>
      <c r="NS42" s="1701">
        <f>SUM(NO42:NR42)</f>
        <v>60085.930277300497</v>
      </c>
      <c r="NT42" s="364">
        <f t="shared" ref="NT42:OJ42" si="169">NT41</f>
        <v>0</v>
      </c>
      <c r="NU42" s="364">
        <f t="shared" si="169"/>
        <v>0</v>
      </c>
      <c r="NV42" s="364">
        <f t="shared" si="169"/>
        <v>0</v>
      </c>
      <c r="NW42" s="364">
        <f t="shared" si="169"/>
        <v>0</v>
      </c>
      <c r="NX42" s="364">
        <f>NX41</f>
        <v>0</v>
      </c>
      <c r="NY42" s="364">
        <f t="shared" si="169"/>
        <v>0</v>
      </c>
      <c r="NZ42" s="1701">
        <v>10016.588814178836</v>
      </c>
      <c r="OA42" s="1701">
        <f t="shared" si="169"/>
        <v>0</v>
      </c>
      <c r="OB42" s="1701">
        <v>75596.949365972585</v>
      </c>
      <c r="OC42" s="1701">
        <f t="shared" si="169"/>
        <v>0</v>
      </c>
      <c r="OD42" s="1701"/>
      <c r="OE42" s="1701">
        <f t="shared" si="169"/>
        <v>0</v>
      </c>
      <c r="OF42" s="1701">
        <f>SUM(NZ42:OD42)</f>
        <v>85613.538180151416</v>
      </c>
      <c r="OG42" s="364">
        <v>0</v>
      </c>
      <c r="OH42" s="364">
        <f t="shared" si="169"/>
        <v>0</v>
      </c>
      <c r="OI42" s="364">
        <f t="shared" si="169"/>
        <v>0</v>
      </c>
      <c r="OJ42" s="364">
        <f t="shared" si="169"/>
        <v>0</v>
      </c>
      <c r="OK42" s="364">
        <v>0</v>
      </c>
      <c r="OL42" s="364">
        <f>OL41</f>
        <v>0</v>
      </c>
      <c r="OM42" s="364">
        <v>0</v>
      </c>
      <c r="ON42" s="364">
        <f t="shared" ref="ON42:OR42" si="170">ON41</f>
        <v>0</v>
      </c>
      <c r="OO42" s="364">
        <v>35233.135076326238</v>
      </c>
      <c r="OP42" s="364">
        <f t="shared" si="170"/>
        <v>0</v>
      </c>
      <c r="OQ42" s="364">
        <v>13046.877258794844</v>
      </c>
      <c r="OR42" s="364">
        <f t="shared" si="170"/>
        <v>0</v>
      </c>
      <c r="OS42" s="364">
        <f>SUM(OO42:OQ42)</f>
        <v>48280.012335121079</v>
      </c>
      <c r="OT42" s="72">
        <f t="shared" si="153"/>
        <v>0</v>
      </c>
      <c r="OU42" s="72">
        <f t="shared" si="153"/>
        <v>0</v>
      </c>
      <c r="OV42" s="72">
        <f t="shared" si="153"/>
        <v>0</v>
      </c>
      <c r="OW42" s="72">
        <f t="shared" si="153"/>
        <v>0</v>
      </c>
      <c r="OX42" s="72">
        <f t="shared" si="153"/>
        <v>0</v>
      </c>
      <c r="OY42" s="72">
        <f t="shared" si="153"/>
        <v>0</v>
      </c>
      <c r="OZ42" s="72">
        <f t="shared" si="153"/>
        <v>0</v>
      </c>
      <c r="PA42" s="72">
        <f t="shared" si="153"/>
        <v>0</v>
      </c>
      <c r="PB42" s="72">
        <f t="shared" si="153"/>
        <v>0</v>
      </c>
      <c r="PC42" s="72">
        <f t="shared" si="153"/>
        <v>0</v>
      </c>
      <c r="PD42" s="72">
        <f t="shared" si="153"/>
        <v>0</v>
      </c>
      <c r="PE42" s="72">
        <f t="shared" si="153"/>
        <v>0</v>
      </c>
      <c r="PF42" s="72">
        <f t="shared" si="153"/>
        <v>0</v>
      </c>
      <c r="PG42" s="72">
        <f t="shared" si="153"/>
        <v>0</v>
      </c>
      <c r="PH42" s="72">
        <f t="shared" ref="PH42:PM42" si="171">+PH41</f>
        <v>0</v>
      </c>
      <c r="PI42" s="72">
        <f t="shared" si="171"/>
        <v>0</v>
      </c>
      <c r="PJ42" s="72">
        <f t="shared" si="171"/>
        <v>29417.64</v>
      </c>
      <c r="PK42" s="72">
        <f t="shared" si="171"/>
        <v>17172</v>
      </c>
      <c r="PL42" s="72">
        <f t="shared" si="171"/>
        <v>5724</v>
      </c>
      <c r="PM42" s="72">
        <f t="shared" si="171"/>
        <v>4868.29</v>
      </c>
      <c r="PN42" s="421">
        <v>28024.74350465872</v>
      </c>
      <c r="PO42" s="421">
        <v>21441.84521011731</v>
      </c>
      <c r="PP42" s="72">
        <f>+PP41</f>
        <v>0</v>
      </c>
      <c r="PQ42" s="72">
        <f>+PQ41</f>
        <v>0</v>
      </c>
      <c r="PR42" s="72">
        <f>+PR41</f>
        <v>0</v>
      </c>
      <c r="PS42" s="72">
        <f>+PS41</f>
        <v>0</v>
      </c>
      <c r="PT42" s="72"/>
      <c r="PU42" s="72"/>
      <c r="PV42" s="72">
        <f>+PV41</f>
        <v>0</v>
      </c>
      <c r="PW42" s="72">
        <f>PW41</f>
        <v>2124.7399999999998</v>
      </c>
      <c r="PX42" s="72">
        <f>+PX41</f>
        <v>0</v>
      </c>
      <c r="PY42" s="72"/>
      <c r="PZ42" s="72">
        <f>+PZ41</f>
        <v>29417.64</v>
      </c>
      <c r="QA42" s="72"/>
      <c r="QB42" s="72"/>
      <c r="QC42" s="72"/>
      <c r="QD42" s="72"/>
      <c r="QE42" s="72"/>
      <c r="QF42" s="72"/>
      <c r="QG42" s="364">
        <v>29562.488999999998</v>
      </c>
      <c r="QH42" s="364">
        <v>304624.53180818999</v>
      </c>
      <c r="QI42" s="876">
        <v>2219.9567940000002</v>
      </c>
      <c r="QJ42" s="876">
        <f>QJ41</f>
        <v>5505.3678056099998</v>
      </c>
      <c r="RY42" s="72"/>
    </row>
    <row r="43" spans="1:502" s="311" customFormat="1">
      <c r="A43" s="312" t="s">
        <v>12</v>
      </c>
      <c r="B43" s="312"/>
      <c r="C43" s="337">
        <f>SUM(O43,S43,W43)</f>
        <v>4310000</v>
      </c>
      <c r="D43" s="337">
        <f>SUM(P43,T43,X43)</f>
        <v>295000</v>
      </c>
      <c r="E43" s="1744">
        <f>IFERROR(C43/D43,0)</f>
        <v>14.610169491525424</v>
      </c>
      <c r="F43" s="309"/>
      <c r="G43" s="309"/>
      <c r="H43" s="308"/>
      <c r="I43" s="308"/>
      <c r="J43" s="308"/>
      <c r="K43" s="308"/>
      <c r="L43" s="308"/>
      <c r="M43" s="308"/>
      <c r="N43" s="308"/>
      <c r="O43" s="337">
        <f>SUM(AQ43,AW43,BC43)</f>
        <v>2550000</v>
      </c>
      <c r="P43" s="337">
        <f>SUM(AX43,BD43)</f>
        <v>190000</v>
      </c>
      <c r="Q43" s="2284">
        <f t="shared" si="9"/>
        <v>13.421052631578947</v>
      </c>
      <c r="R43" s="308"/>
      <c r="S43" s="1085">
        <f t="shared" si="10"/>
        <v>920000</v>
      </c>
      <c r="T43" s="1085">
        <f>SUM(BG43,BJ43,BM43,BZ43)</f>
        <v>50000</v>
      </c>
      <c r="U43" s="1083">
        <f t="shared" si="11"/>
        <v>18.399999999999999</v>
      </c>
      <c r="V43" s="308"/>
      <c r="W43" s="337">
        <f>SUM(BS43,BV43,CE43)</f>
        <v>840000</v>
      </c>
      <c r="X43" s="337">
        <f>BW43</f>
        <v>55000</v>
      </c>
      <c r="Y43" s="1744">
        <f t="shared" si="13"/>
        <v>15.272727272727273</v>
      </c>
      <c r="Z43" s="308"/>
      <c r="AA43" s="337"/>
      <c r="AB43" s="1085">
        <f>BT43</f>
        <v>0</v>
      </c>
      <c r="AC43" s="1084">
        <f>AC42</f>
        <v>0</v>
      </c>
      <c r="AD43" s="337"/>
      <c r="AE43" s="308"/>
      <c r="AF43" s="308"/>
      <c r="AG43" s="309"/>
      <c r="AH43" s="308"/>
      <c r="AI43" s="308">
        <f>BS43</f>
        <v>0</v>
      </c>
      <c r="AJ43" s="308">
        <f>BT43</f>
        <v>0</v>
      </c>
      <c r="AK43" s="309">
        <f t="shared" si="18"/>
        <v>0</v>
      </c>
      <c r="AL43" s="308"/>
      <c r="AM43" s="308"/>
      <c r="AN43" s="308"/>
      <c r="AO43" s="308"/>
      <c r="AP43" s="308">
        <f>IFERROR(AN43/AO43,0)</f>
        <v>0</v>
      </c>
      <c r="AQ43" s="337"/>
      <c r="AR43" s="337"/>
      <c r="AS43" s="309"/>
      <c r="AT43" s="337"/>
      <c r="AU43" s="337"/>
      <c r="AV43" s="309"/>
      <c r="AW43" s="337">
        <v>1450000</v>
      </c>
      <c r="AX43" s="337">
        <v>130000</v>
      </c>
      <c r="AY43" s="1084">
        <f>IFERROR(AW43/AX43,0)</f>
        <v>11.153846153846153</v>
      </c>
      <c r="AZ43" s="337"/>
      <c r="BA43" s="337"/>
      <c r="BB43" s="1084"/>
      <c r="BC43" s="337">
        <v>1100000</v>
      </c>
      <c r="BD43" s="337">
        <v>60000</v>
      </c>
      <c r="BE43" s="1084">
        <f>IFERROR(BC43/BD43,0)</f>
        <v>18.333333333333332</v>
      </c>
      <c r="BF43" s="337"/>
      <c r="BG43" s="337"/>
      <c r="BH43" s="309"/>
      <c r="BI43" s="337"/>
      <c r="BJ43" s="308">
        <v>0</v>
      </c>
      <c r="BK43" s="309">
        <f>IFERROR(BI43/BJ43,0)</f>
        <v>0</v>
      </c>
      <c r="BL43" s="337">
        <v>920000</v>
      </c>
      <c r="BM43" s="337">
        <v>50000</v>
      </c>
      <c r="BN43" s="337"/>
      <c r="BO43" s="1084">
        <f>IFERROR(BL43/BM43,0)</f>
        <v>18.399999999999999</v>
      </c>
      <c r="BP43" s="309">
        <v>0</v>
      </c>
      <c r="BQ43" s="337">
        <v>0</v>
      </c>
      <c r="BR43" s="309">
        <f>IFERROR(BQ43/#REF!,0)</f>
        <v>0</v>
      </c>
      <c r="BS43" s="337"/>
      <c r="BT43" s="337"/>
      <c r="BU43" s="309">
        <f>IFERROR(BS43/BT43,0)</f>
        <v>0</v>
      </c>
      <c r="BV43" s="337">
        <v>840000</v>
      </c>
      <c r="BW43" s="337">
        <v>55000</v>
      </c>
      <c r="BX43" s="2105">
        <f>IFERROR(BV43/BW43,0)</f>
        <v>15.272727272727273</v>
      </c>
      <c r="BY43" s="337"/>
      <c r="BZ43" s="337"/>
      <c r="CA43" s="1083">
        <f t="shared" si="30"/>
        <v>0</v>
      </c>
      <c r="CB43" s="337"/>
      <c r="CC43" s="337"/>
      <c r="CD43" s="78">
        <f t="shared" si="31"/>
        <v>0</v>
      </c>
      <c r="CE43" s="337"/>
      <c r="CF43" s="308"/>
      <c r="CG43" s="309">
        <f>IFERROR(CE43/CF43,0)</f>
        <v>0</v>
      </c>
      <c r="CH43" s="308"/>
      <c r="CI43" s="337">
        <v>81999.826000000001</v>
      </c>
      <c r="CJ43" s="337"/>
      <c r="CK43" s="308"/>
      <c r="CL43" s="337">
        <v>0</v>
      </c>
      <c r="CM43" s="337"/>
      <c r="CN43" s="337">
        <f>SUM(CI43:CL43)</f>
        <v>81999.826000000001</v>
      </c>
      <c r="CO43" s="308"/>
      <c r="CP43" s="308"/>
      <c r="CQ43" s="308"/>
      <c r="CR43" s="308"/>
      <c r="CS43" s="308"/>
      <c r="CT43" s="308"/>
      <c r="CU43" s="308"/>
      <c r="CV43" s="308"/>
      <c r="CW43" s="308"/>
      <c r="CX43" s="308"/>
      <c r="CY43" s="308"/>
      <c r="CZ43" s="308"/>
      <c r="DA43" s="308"/>
      <c r="DB43" s="308"/>
      <c r="DC43" s="308"/>
      <c r="DD43" s="308"/>
      <c r="DE43" s="308"/>
      <c r="DF43" s="308"/>
      <c r="DG43" s="308"/>
      <c r="DH43" s="308"/>
      <c r="DI43" s="308"/>
      <c r="DJ43" s="308"/>
      <c r="DK43" s="308"/>
      <c r="DL43" s="308"/>
      <c r="DM43" s="308"/>
      <c r="DN43" s="308"/>
      <c r="DO43" s="308"/>
      <c r="DP43" s="308"/>
      <c r="DQ43" s="308"/>
      <c r="DR43" s="308"/>
      <c r="DS43" s="308"/>
      <c r="DT43" s="308"/>
      <c r="DU43" s="308"/>
      <c r="DV43" s="308"/>
      <c r="DW43" s="308"/>
      <c r="DX43" s="308"/>
      <c r="DY43" s="308"/>
      <c r="DZ43" s="308"/>
      <c r="EA43" s="308"/>
      <c r="EB43" s="308"/>
      <c r="EC43" s="308"/>
      <c r="ED43" s="308"/>
      <c r="EE43" s="308"/>
      <c r="EF43" s="308"/>
      <c r="EG43" s="308"/>
      <c r="EH43" s="308"/>
      <c r="EI43" s="308"/>
      <c r="EJ43" s="308"/>
      <c r="EK43" s="308"/>
      <c r="EL43" s="308"/>
      <c r="EM43" s="308"/>
      <c r="EN43" s="308"/>
      <c r="EO43" s="308"/>
      <c r="EP43" s="308"/>
      <c r="EQ43" s="308"/>
      <c r="ER43" s="308"/>
      <c r="ES43" s="308"/>
      <c r="ET43" s="308"/>
      <c r="EU43" s="308"/>
      <c r="EV43" s="308"/>
      <c r="EW43" s="308"/>
      <c r="EX43" s="308"/>
      <c r="EY43" s="308"/>
      <c r="EZ43" s="308"/>
      <c r="FA43" s="308"/>
      <c r="FB43" s="308"/>
      <c r="FC43" s="308"/>
      <c r="FD43" s="308"/>
      <c r="FE43" s="308"/>
      <c r="FF43" s="308"/>
      <c r="FG43" s="308"/>
      <c r="FH43" s="308"/>
      <c r="FI43" s="308"/>
      <c r="FJ43" s="308"/>
      <c r="FK43" s="308"/>
      <c r="FL43" s="308"/>
      <c r="FM43" s="308"/>
      <c r="FN43" s="308"/>
      <c r="FO43" s="308"/>
      <c r="FP43" s="308"/>
      <c r="FQ43" s="308"/>
      <c r="FR43" s="308"/>
      <c r="FS43" s="308"/>
      <c r="FT43" s="308"/>
      <c r="FU43" s="308"/>
      <c r="FV43" s="308"/>
      <c r="FW43" s="308"/>
      <c r="FX43" s="308"/>
      <c r="FY43" s="308"/>
      <c r="FZ43" s="308"/>
      <c r="GA43" s="308"/>
      <c r="GB43" s="308"/>
      <c r="GC43" s="308"/>
      <c r="GD43" s="308"/>
      <c r="GE43" s="308"/>
      <c r="GF43" s="308"/>
      <c r="GG43" s="308"/>
      <c r="GH43" s="308"/>
      <c r="GI43" s="308"/>
      <c r="GJ43" s="308"/>
      <c r="GK43" s="337">
        <v>23200.636307428977</v>
      </c>
      <c r="GL43" s="337">
        <v>104683.5488390181</v>
      </c>
      <c r="GM43" s="337">
        <v>102115.81485355293</v>
      </c>
      <c r="GN43" s="337">
        <f>GL43+GM43+GK43</f>
        <v>230000</v>
      </c>
      <c r="GO43" s="308">
        <v>0</v>
      </c>
      <c r="GP43" s="308">
        <v>0</v>
      </c>
      <c r="GQ43" s="308"/>
      <c r="GR43" s="308"/>
      <c r="GS43" s="308"/>
      <c r="GT43" s="308"/>
      <c r="GU43" s="308"/>
      <c r="GV43" s="308"/>
      <c r="GW43" s="308">
        <f>SUM(GS43:GU43)</f>
        <v>0</v>
      </c>
      <c r="GX43" s="308"/>
      <c r="GY43" s="308"/>
      <c r="GZ43" s="308"/>
      <c r="HA43" s="308"/>
      <c r="HB43" s="308"/>
      <c r="HC43" s="308"/>
      <c r="HD43" s="308"/>
      <c r="HE43" s="308"/>
      <c r="HF43" s="308"/>
      <c r="HG43" s="308"/>
      <c r="HH43" s="308"/>
      <c r="HI43" s="308"/>
      <c r="HJ43" s="308"/>
      <c r="HK43" s="308"/>
      <c r="HL43" s="308"/>
      <c r="HM43" s="308"/>
      <c r="HN43" s="308"/>
      <c r="HO43" s="308"/>
      <c r="HP43" s="308"/>
      <c r="HQ43" s="308"/>
      <c r="HR43" s="308"/>
      <c r="HS43" s="308"/>
      <c r="HT43" s="308"/>
      <c r="HU43" s="308"/>
      <c r="HV43" s="308"/>
      <c r="HW43" s="308"/>
      <c r="HX43" s="308"/>
      <c r="HY43" s="308"/>
      <c r="HZ43" s="308"/>
      <c r="IA43" s="308"/>
      <c r="IB43" s="308"/>
      <c r="IC43" s="308"/>
      <c r="ID43" s="308"/>
      <c r="IE43" s="308"/>
      <c r="IF43" s="308"/>
      <c r="IG43" s="308"/>
      <c r="IH43" s="308"/>
      <c r="II43" s="308"/>
      <c r="IJ43" s="308"/>
      <c r="IK43" s="308"/>
      <c r="IL43" s="308"/>
      <c r="IM43" s="308"/>
      <c r="IN43" s="308"/>
      <c r="IO43" s="308"/>
      <c r="IP43" s="308"/>
      <c r="IQ43" s="478">
        <f>SUM(IC43:IP43)</f>
        <v>0</v>
      </c>
      <c r="IR43" s="308"/>
      <c r="IS43" s="308"/>
      <c r="IT43" s="308"/>
      <c r="IU43" s="308"/>
      <c r="IV43" s="308"/>
      <c r="IW43" s="308"/>
      <c r="IX43" s="308"/>
      <c r="IY43" s="308"/>
      <c r="IZ43" s="308"/>
      <c r="JA43" s="308"/>
      <c r="JB43" s="308"/>
      <c r="JC43" s="308"/>
      <c r="JD43" s="308"/>
      <c r="JE43" s="308"/>
      <c r="JF43" s="308">
        <f>SUM(IR43:JE43)</f>
        <v>0</v>
      </c>
      <c r="JG43" s="308"/>
      <c r="JH43" s="308"/>
      <c r="JI43" s="337">
        <v>150000</v>
      </c>
      <c r="JJ43" s="337">
        <v>80000</v>
      </c>
      <c r="JK43" s="337"/>
      <c r="JL43" s="337">
        <f>SUM(JI43:JK43)</f>
        <v>230000</v>
      </c>
      <c r="JM43" s="308"/>
      <c r="JN43" s="308"/>
      <c r="JO43" s="309"/>
      <c r="JP43" s="309"/>
      <c r="JQ43" s="309"/>
      <c r="JR43" s="309"/>
      <c r="JS43" s="309"/>
      <c r="JT43" s="309"/>
      <c r="JU43" s="309"/>
      <c r="JV43" s="309"/>
      <c r="JW43" s="309"/>
      <c r="JX43" s="309"/>
      <c r="JY43" s="309"/>
      <c r="JZ43" s="309"/>
      <c r="KA43" s="309"/>
      <c r="KB43" s="309"/>
      <c r="KC43" s="309"/>
      <c r="KD43" s="309"/>
      <c r="KE43" s="309">
        <v>0</v>
      </c>
      <c r="KF43" s="309">
        <v>0</v>
      </c>
      <c r="KG43" s="309">
        <v>0</v>
      </c>
      <c r="KH43" s="309">
        <v>0</v>
      </c>
      <c r="KI43" s="309">
        <v>0</v>
      </c>
      <c r="KJ43" s="309">
        <v>0</v>
      </c>
      <c r="KK43" s="309">
        <v>0</v>
      </c>
      <c r="KL43" s="309">
        <v>0</v>
      </c>
      <c r="KM43" s="308"/>
      <c r="KN43" s="308"/>
      <c r="KO43" s="337">
        <v>6984</v>
      </c>
      <c r="KP43" s="2105">
        <v>0.86</v>
      </c>
      <c r="KQ43" s="2105">
        <v>4.29</v>
      </c>
      <c r="KR43" s="2105">
        <v>6.52</v>
      </c>
      <c r="KS43" s="2105">
        <v>10.77</v>
      </c>
      <c r="KT43" s="337">
        <v>6912</v>
      </c>
      <c r="KU43" s="2105">
        <v>1.89</v>
      </c>
      <c r="KV43" s="2105">
        <v>4.72</v>
      </c>
      <c r="KW43" s="2105">
        <v>6.25</v>
      </c>
      <c r="KX43" s="2105">
        <v>10.55</v>
      </c>
      <c r="KY43" s="308"/>
      <c r="KZ43" s="309"/>
      <c r="LA43" s="309"/>
      <c r="LB43" s="309"/>
      <c r="LC43" s="309"/>
      <c r="LD43" s="308">
        <v>13.25</v>
      </c>
      <c r="LE43" s="308"/>
      <c r="LF43" s="308"/>
      <c r="LG43" s="337">
        <v>160000</v>
      </c>
      <c r="LH43" s="337">
        <v>85000</v>
      </c>
      <c r="LI43" s="337"/>
      <c r="LJ43" s="337">
        <f>SUM(LG43:LI43)</f>
        <v>245000</v>
      </c>
      <c r="LK43" s="308"/>
      <c r="LL43" s="308"/>
      <c r="LM43" s="308"/>
      <c r="LN43" s="308"/>
      <c r="LO43" s="308"/>
      <c r="LP43" s="308"/>
      <c r="LQ43" s="308"/>
      <c r="LR43" s="308"/>
      <c r="LS43" s="308"/>
      <c r="LT43" s="308"/>
      <c r="LU43" s="308"/>
      <c r="LV43" s="308"/>
      <c r="LW43" s="308"/>
      <c r="LX43" s="308"/>
      <c r="LY43" s="308"/>
      <c r="LZ43" s="308"/>
      <c r="MA43" s="308"/>
      <c r="MB43" s="308"/>
      <c r="MC43" s="308"/>
      <c r="MD43" s="308"/>
      <c r="ME43" s="308"/>
      <c r="MG43" s="308"/>
      <c r="MH43" s="308"/>
      <c r="MI43" s="308"/>
      <c r="MJ43" s="308"/>
      <c r="MK43" s="308"/>
      <c r="ML43" s="308"/>
      <c r="MM43" s="308"/>
      <c r="MN43" s="308"/>
      <c r="MO43" s="308"/>
      <c r="MP43" s="308"/>
      <c r="MQ43" s="308"/>
      <c r="MR43" s="308"/>
      <c r="MS43" s="308"/>
      <c r="MT43" s="308"/>
      <c r="MU43" s="308"/>
      <c r="MV43" s="308"/>
      <c r="MW43" s="308"/>
      <c r="MX43" s="308"/>
      <c r="MY43" s="308"/>
      <c r="MZ43" s="308"/>
      <c r="NA43" s="308"/>
      <c r="NB43" s="308"/>
      <c r="NC43" s="308"/>
      <c r="ND43" s="308"/>
      <c r="NE43" s="308"/>
      <c r="NF43" s="308"/>
      <c r="NG43" s="308"/>
      <c r="NH43" s="308"/>
      <c r="NI43" s="308"/>
      <c r="NJ43" s="308"/>
      <c r="NK43" s="308"/>
      <c r="NL43" s="308"/>
      <c r="NM43" s="308"/>
      <c r="NN43" s="308"/>
      <c r="NO43" s="308"/>
      <c r="NP43" s="308"/>
      <c r="NQ43" s="308"/>
      <c r="NR43" s="308"/>
      <c r="NS43" s="308"/>
      <c r="NT43" s="308"/>
      <c r="NU43" s="308"/>
      <c r="NV43" s="308"/>
      <c r="NW43" s="308"/>
      <c r="NX43" s="308"/>
      <c r="NY43" s="308"/>
      <c r="NZ43" s="308"/>
      <c r="OA43" s="308"/>
      <c r="OB43" s="308"/>
      <c r="OC43" s="308"/>
      <c r="OD43" s="308"/>
      <c r="OE43" s="308"/>
      <c r="OF43" s="308"/>
      <c r="OG43" s="308"/>
      <c r="OH43" s="308"/>
      <c r="OI43" s="308"/>
      <c r="OJ43" s="308"/>
      <c r="OK43" s="308"/>
      <c r="OL43" s="308"/>
      <c r="OM43" s="308"/>
      <c r="ON43" s="308"/>
      <c r="OO43" s="308"/>
      <c r="OP43" s="308"/>
      <c r="OQ43" s="308"/>
      <c r="OR43" s="308"/>
      <c r="OS43" s="308"/>
      <c r="OT43" s="308"/>
      <c r="OU43" s="308"/>
      <c r="OV43" s="308"/>
      <c r="OW43" s="308"/>
      <c r="OX43" s="308"/>
      <c r="OY43" s="308"/>
      <c r="OZ43" s="308"/>
      <c r="PA43" s="308"/>
      <c r="PB43" s="308"/>
      <c r="PC43" s="308"/>
      <c r="PD43" s="308"/>
      <c r="PE43" s="308"/>
      <c r="PF43" s="308"/>
      <c r="PG43" s="308"/>
      <c r="PH43" s="308"/>
      <c r="PI43" s="308"/>
      <c r="PJ43" s="308"/>
      <c r="PK43" s="308"/>
      <c r="PL43" s="308"/>
      <c r="PM43" s="308"/>
      <c r="PN43" s="308"/>
      <c r="PO43" s="308"/>
      <c r="PP43" s="308"/>
      <c r="PQ43" s="308"/>
      <c r="PR43" s="308"/>
      <c r="PS43" s="308"/>
      <c r="PT43" s="308"/>
      <c r="PU43" s="308"/>
      <c r="PV43" s="308"/>
      <c r="PW43" s="308"/>
      <c r="PX43" s="308"/>
      <c r="PY43" s="308"/>
      <c r="PZ43" s="308"/>
      <c r="QA43" s="308"/>
      <c r="QB43" s="308"/>
      <c r="QC43" s="308"/>
      <c r="QD43" s="308"/>
      <c r="QE43" s="308"/>
      <c r="QF43" s="308"/>
      <c r="QG43" s="308"/>
      <c r="RY43" s="1073"/>
    </row>
    <row r="44" spans="1:502">
      <c r="A44" t="s">
        <v>208</v>
      </c>
      <c r="C44" s="38">
        <f>IFERROR(C42/C43,"")</f>
        <v>1.0162722192436195</v>
      </c>
      <c r="D44" s="38">
        <f>IFERROR(D42/D43,"")</f>
        <v>1.0461324342631966</v>
      </c>
      <c r="E44" s="38">
        <f>IFERROR(E42/E43,"")</f>
        <v>0.97145656320214568</v>
      </c>
      <c r="F44" s="38"/>
      <c r="G44" s="38"/>
      <c r="H44" s="38"/>
      <c r="I44" s="38"/>
      <c r="J44" s="38" t="str">
        <f t="shared" ref="J44:T44" si="172">IFERROR(J42/J43,"")</f>
        <v/>
      </c>
      <c r="K44" s="38" t="str">
        <f t="shared" si="172"/>
        <v/>
      </c>
      <c r="L44" s="38" t="str">
        <f t="shared" si="172"/>
        <v/>
      </c>
      <c r="M44" s="38" t="str">
        <f t="shared" si="172"/>
        <v/>
      </c>
      <c r="N44" s="38" t="str">
        <f t="shared" si="172"/>
        <v/>
      </c>
      <c r="O44" s="38">
        <f t="shared" si="172"/>
        <v>1.0934669635686274</v>
      </c>
      <c r="P44" s="38">
        <f t="shared" si="172"/>
        <v>1.1343211052631579</v>
      </c>
      <c r="Q44" s="38">
        <f t="shared" si="172"/>
        <v>0.96398361847895586</v>
      </c>
      <c r="R44" s="38" t="str">
        <f t="shared" si="172"/>
        <v/>
      </c>
      <c r="S44" s="1082">
        <f t="shared" si="172"/>
        <v>1.1081055671086957</v>
      </c>
      <c r="T44" s="38">
        <f t="shared" si="172"/>
        <v>1.0511330561528596</v>
      </c>
      <c r="U44" s="1081">
        <f t="shared" si="11"/>
        <v>1.0542010458355815</v>
      </c>
      <c r="V44" s="38" t="str">
        <f t="shared" ref="V44:AA44" si="173">IFERROR(V42/V43,"")</f>
        <v/>
      </c>
      <c r="W44" s="38">
        <f t="shared" si="173"/>
        <v>0.68135165011904764</v>
      </c>
      <c r="X44" s="38">
        <f t="shared" si="173"/>
        <v>0.7369346418181818</v>
      </c>
      <c r="Y44" s="38">
        <f t="shared" si="173"/>
        <v>0.92457541205825444</v>
      </c>
      <c r="Z44" s="38" t="str">
        <f t="shared" si="173"/>
        <v/>
      </c>
      <c r="AA44" s="38" t="str">
        <f t="shared" si="173"/>
        <v/>
      </c>
      <c r="AB44" s="72" t="str">
        <f>BQ44</f>
        <v/>
      </c>
      <c r="AC44" s="38" t="str">
        <f>IFERROR(AC42/AC43,"")</f>
        <v/>
      </c>
      <c r="AD44" s="38"/>
      <c r="AE44" s="38" t="str">
        <f t="shared" ref="AE44:BO44" si="174">IFERROR(AE42/AE43,"")</f>
        <v/>
      </c>
      <c r="AF44" s="38" t="str">
        <f t="shared" si="174"/>
        <v/>
      </c>
      <c r="AG44" s="38" t="str">
        <f t="shared" si="174"/>
        <v/>
      </c>
      <c r="AH44" s="38" t="str">
        <f t="shared" si="174"/>
        <v/>
      </c>
      <c r="AI44" s="38" t="str">
        <f t="shared" si="174"/>
        <v/>
      </c>
      <c r="AJ44" s="38" t="str">
        <f t="shared" si="174"/>
        <v/>
      </c>
      <c r="AK44" s="38" t="str">
        <f t="shared" si="174"/>
        <v/>
      </c>
      <c r="AL44" s="38" t="str">
        <f t="shared" si="174"/>
        <v/>
      </c>
      <c r="AM44" s="38" t="str">
        <f t="shared" si="174"/>
        <v/>
      </c>
      <c r="AN44" s="38" t="str">
        <f t="shared" si="174"/>
        <v/>
      </c>
      <c r="AO44" s="38" t="str">
        <f t="shared" si="174"/>
        <v/>
      </c>
      <c r="AP44" s="38" t="str">
        <f t="shared" si="174"/>
        <v/>
      </c>
      <c r="AQ44" s="38" t="str">
        <f t="shared" si="174"/>
        <v/>
      </c>
      <c r="AR44" s="38" t="str">
        <f t="shared" si="174"/>
        <v/>
      </c>
      <c r="AS44" s="38" t="str">
        <f t="shared" si="174"/>
        <v/>
      </c>
      <c r="AT44" s="38" t="str">
        <f t="shared" si="174"/>
        <v/>
      </c>
      <c r="AU44" s="38" t="str">
        <f t="shared" si="174"/>
        <v/>
      </c>
      <c r="AV44" s="38" t="str">
        <f t="shared" si="174"/>
        <v/>
      </c>
      <c r="AW44" s="38">
        <f t="shared" si="174"/>
        <v>1.0552643237931034</v>
      </c>
      <c r="AX44" s="38">
        <f t="shared" si="174"/>
        <v>1.0764278461538463</v>
      </c>
      <c r="AY44" s="38">
        <f t="shared" si="174"/>
        <v>0.97316130828221392</v>
      </c>
      <c r="AZ44" s="38" t="str">
        <f t="shared" si="174"/>
        <v/>
      </c>
      <c r="BA44" s="38" t="str">
        <f t="shared" si="174"/>
        <v/>
      </c>
      <c r="BB44" s="38" t="str">
        <f t="shared" si="174"/>
        <v/>
      </c>
      <c r="BC44" s="38">
        <f t="shared" si="174"/>
        <v>1.1438249887272727</v>
      </c>
      <c r="BD44" s="38">
        <f t="shared" si="174"/>
        <v>1.2597564999999999</v>
      </c>
      <c r="BE44" s="38">
        <f t="shared" si="174"/>
        <v>0.94037870161271797</v>
      </c>
      <c r="BF44" s="38" t="str">
        <f t="shared" si="174"/>
        <v/>
      </c>
      <c r="BG44" s="38" t="str">
        <f t="shared" si="174"/>
        <v/>
      </c>
      <c r="BH44" s="38" t="str">
        <f t="shared" si="174"/>
        <v/>
      </c>
      <c r="BI44" s="38" t="str">
        <f t="shared" si="174"/>
        <v/>
      </c>
      <c r="BJ44" s="38" t="str">
        <f t="shared" si="174"/>
        <v/>
      </c>
      <c r="BK44" s="38" t="str">
        <f t="shared" si="174"/>
        <v/>
      </c>
      <c r="BL44" s="38">
        <f t="shared" si="174"/>
        <v>1.1081055671086957</v>
      </c>
      <c r="BM44" s="38">
        <f t="shared" si="174"/>
        <v>1.0511330561528596</v>
      </c>
      <c r="BN44" s="38"/>
      <c r="BO44" s="38">
        <f t="shared" si="174"/>
        <v>1.0542010458355817</v>
      </c>
      <c r="BP44" s="38" t="str">
        <f>IFERROR(BP42/BQ43,"")</f>
        <v/>
      </c>
      <c r="BQ44" s="38" t="str">
        <f>IFERROR(BQ42/#REF!,"")</f>
        <v/>
      </c>
      <c r="BR44" s="38" t="str">
        <f t="shared" ref="BR44:CR44" si="175">IFERROR(BR42/BR43,"")</f>
        <v/>
      </c>
      <c r="BS44" s="38" t="str">
        <f t="shared" si="175"/>
        <v/>
      </c>
      <c r="BT44" s="38" t="str">
        <f t="shared" si="175"/>
        <v/>
      </c>
      <c r="BU44" s="38" t="str">
        <f t="shared" si="175"/>
        <v/>
      </c>
      <c r="BV44" s="38">
        <f t="shared" si="175"/>
        <v>0.68135165011904764</v>
      </c>
      <c r="BW44" s="38">
        <f t="shared" si="175"/>
        <v>0.7369346418181818</v>
      </c>
      <c r="BX44" s="38">
        <f t="shared" si="175"/>
        <v>1.0017639326656742</v>
      </c>
      <c r="BY44" s="38" t="str">
        <f t="shared" si="175"/>
        <v/>
      </c>
      <c r="BZ44" s="38" t="str">
        <f t="shared" si="175"/>
        <v/>
      </c>
      <c r="CA44" s="38" t="str">
        <f t="shared" si="175"/>
        <v/>
      </c>
      <c r="CB44" s="38" t="str">
        <f t="shared" si="175"/>
        <v/>
      </c>
      <c r="CC44" s="38" t="str">
        <f t="shared" si="175"/>
        <v/>
      </c>
      <c r="CD44" s="38" t="str">
        <f t="shared" si="175"/>
        <v/>
      </c>
      <c r="CE44" s="38" t="str">
        <f t="shared" si="175"/>
        <v/>
      </c>
      <c r="CF44" s="38" t="str">
        <f t="shared" si="175"/>
        <v/>
      </c>
      <c r="CG44" s="38" t="str">
        <f t="shared" si="175"/>
        <v/>
      </c>
      <c r="CH44" s="38" t="str">
        <f t="shared" si="175"/>
        <v/>
      </c>
      <c r="CI44" s="38">
        <f t="shared" si="175"/>
        <v>0</v>
      </c>
      <c r="CJ44" s="38" t="str">
        <f t="shared" si="175"/>
        <v/>
      </c>
      <c r="CK44" s="38" t="str">
        <f t="shared" si="175"/>
        <v/>
      </c>
      <c r="CL44" s="38" t="str">
        <f t="shared" si="175"/>
        <v/>
      </c>
      <c r="CM44" s="38" t="str">
        <f t="shared" si="175"/>
        <v/>
      </c>
      <c r="CN44" s="38">
        <f t="shared" si="175"/>
        <v>0</v>
      </c>
      <c r="CO44" s="38" t="str">
        <f t="shared" si="175"/>
        <v/>
      </c>
      <c r="CP44" s="38" t="str">
        <f t="shared" si="175"/>
        <v/>
      </c>
      <c r="CQ44" s="38" t="str">
        <f t="shared" si="175"/>
        <v/>
      </c>
      <c r="CR44" s="38" t="str">
        <f t="shared" si="175"/>
        <v/>
      </c>
      <c r="CS44" s="38"/>
      <c r="CT44" s="38" t="str">
        <f>IFERROR(CT42/CT43,"")</f>
        <v/>
      </c>
      <c r="CU44" s="38"/>
      <c r="CV44" s="38" t="str">
        <f>IFERROR(CV42/CV43,"")</f>
        <v/>
      </c>
      <c r="CW44" s="38"/>
      <c r="CX44" s="38" t="str">
        <f>IFERROR(CX42/CX43,"")</f>
        <v/>
      </c>
      <c r="CY44" s="38"/>
      <c r="CZ44" s="38" t="str">
        <f>IFERROR(CZ42/CZ43,"")</f>
        <v/>
      </c>
      <c r="DA44" s="38"/>
      <c r="DB44" s="38" t="str">
        <f>IFERROR(DB42/DB43,"")</f>
        <v/>
      </c>
      <c r="DC44" s="38"/>
      <c r="DD44" s="38" t="str">
        <f>IFERROR(DD42/DD43,"")</f>
        <v/>
      </c>
      <c r="DE44" s="38" t="str">
        <f>IFERROR(DE42/DE43,"")</f>
        <v/>
      </c>
      <c r="DF44" s="38" t="str">
        <f>IFERROR(DF42/DF43,"")</f>
        <v/>
      </c>
      <c r="DG44" s="38"/>
      <c r="DH44" s="38" t="str">
        <f>IFERROR(DH42/DH43,"")</f>
        <v/>
      </c>
      <c r="DI44" s="38"/>
      <c r="DJ44" s="38" t="str">
        <f>IFERROR(DJ42/DJ43,"")</f>
        <v/>
      </c>
      <c r="DK44" s="38"/>
      <c r="DL44" s="38" t="str">
        <f>IFERROR(DL42/DL43,"")</f>
        <v/>
      </c>
      <c r="DM44" s="38"/>
      <c r="DN44" s="38" t="str">
        <f>IFERROR(DN42/DN43,"")</f>
        <v/>
      </c>
      <c r="DO44" s="38"/>
      <c r="DP44" s="38" t="str">
        <f>IFERROR(DP42/DP43,"")</f>
        <v/>
      </c>
      <c r="DQ44" s="38"/>
      <c r="DR44" s="38" t="str">
        <f>IFERROR(DR42/DR43,"")</f>
        <v/>
      </c>
      <c r="DS44" s="38" t="str">
        <f>IFERROR(DS42/DS43,"")</f>
        <v/>
      </c>
      <c r="DT44" s="38"/>
      <c r="DU44" s="38" t="str">
        <f>IFERROR(DU42/DU43,"")</f>
        <v/>
      </c>
      <c r="DV44" s="38"/>
      <c r="DW44" s="38" t="str">
        <f>IFERROR(DW42/DW43,"")</f>
        <v/>
      </c>
      <c r="DX44" s="38"/>
      <c r="DY44" s="38" t="str">
        <f>IFERROR(DY42/DY43,"")</f>
        <v/>
      </c>
      <c r="DZ44" s="38"/>
      <c r="EA44" s="38" t="str">
        <f>IFERROR(EA42/EA43,"")</f>
        <v/>
      </c>
      <c r="EB44" s="38"/>
      <c r="EC44" s="38" t="str">
        <f>IFERROR(EC42/EC43,"")</f>
        <v/>
      </c>
      <c r="ED44" s="38"/>
      <c r="EE44" s="38" t="str">
        <f>IFERROR(EE42/EE43,"")</f>
        <v/>
      </c>
      <c r="EF44" s="38" t="str">
        <f>IFERROR(EF42/EF43,"")</f>
        <v/>
      </c>
      <c r="EG44" s="38"/>
      <c r="EH44" s="38"/>
      <c r="EI44" s="38"/>
      <c r="EJ44" s="38" t="str">
        <f>IFERROR(EJ42/EJ43,"")</f>
        <v/>
      </c>
      <c r="EK44" s="38"/>
      <c r="EL44" s="38" t="str">
        <f>IFERROR(EL42/EL43,"")</f>
        <v/>
      </c>
      <c r="EM44" s="38"/>
      <c r="EN44" s="38" t="str">
        <f>IFERROR(EN42/EN43,"")</f>
        <v/>
      </c>
      <c r="EO44" s="38"/>
      <c r="EP44" s="38" t="str">
        <f>IFERROR(EP42/EP43,"")</f>
        <v/>
      </c>
      <c r="EQ44" s="38"/>
      <c r="ER44" s="38" t="str">
        <f>IFERROR(ER42/ER43,"")</f>
        <v/>
      </c>
      <c r="ES44" s="38" t="str">
        <f>IFERROR(ES42/ES43,"")</f>
        <v/>
      </c>
      <c r="ET44" s="38" t="str">
        <f>IFERROR(ET42/ET43,"")</f>
        <v/>
      </c>
      <c r="EU44" s="38" t="str">
        <f>IFERROR(EU42/EU43,"")</f>
        <v/>
      </c>
      <c r="EV44" s="38" t="str">
        <f t="shared" ref="EV44:FV44" si="176">IFERROR(EV42/EV43,"")</f>
        <v/>
      </c>
      <c r="EW44" s="38" t="str">
        <f t="shared" si="176"/>
        <v/>
      </c>
      <c r="EX44" s="38" t="str">
        <f t="shared" si="176"/>
        <v/>
      </c>
      <c r="EY44" s="38" t="str">
        <f t="shared" si="176"/>
        <v/>
      </c>
      <c r="EZ44" s="38" t="str">
        <f t="shared" si="176"/>
        <v/>
      </c>
      <c r="FA44" s="38" t="str">
        <f t="shared" si="176"/>
        <v/>
      </c>
      <c r="FB44" s="38" t="str">
        <f t="shared" si="176"/>
        <v/>
      </c>
      <c r="FC44" s="38" t="str">
        <f t="shared" si="176"/>
        <v/>
      </c>
      <c r="FD44" s="38" t="str">
        <f t="shared" si="176"/>
        <v/>
      </c>
      <c r="FE44" s="38" t="str">
        <f t="shared" si="176"/>
        <v/>
      </c>
      <c r="FF44" s="38" t="str">
        <f t="shared" si="176"/>
        <v/>
      </c>
      <c r="FG44" s="38" t="str">
        <f t="shared" si="176"/>
        <v/>
      </c>
      <c r="FH44" s="38" t="str">
        <f t="shared" si="176"/>
        <v/>
      </c>
      <c r="FI44" s="38" t="str">
        <f t="shared" si="176"/>
        <v/>
      </c>
      <c r="FJ44" s="38" t="str">
        <f t="shared" si="176"/>
        <v/>
      </c>
      <c r="FK44" s="38" t="str">
        <f t="shared" si="176"/>
        <v/>
      </c>
      <c r="FL44" s="38" t="str">
        <f t="shared" si="176"/>
        <v/>
      </c>
      <c r="FM44" s="38" t="str">
        <f t="shared" si="176"/>
        <v/>
      </c>
      <c r="FN44" s="38" t="str">
        <f t="shared" si="176"/>
        <v/>
      </c>
      <c r="FO44" s="38" t="str">
        <f t="shared" si="176"/>
        <v/>
      </c>
      <c r="FP44" s="38" t="str">
        <f t="shared" si="176"/>
        <v/>
      </c>
      <c r="FQ44" s="38" t="str">
        <f t="shared" si="176"/>
        <v/>
      </c>
      <c r="FR44" s="38" t="str">
        <f t="shared" si="176"/>
        <v/>
      </c>
      <c r="FS44" s="38" t="str">
        <f t="shared" si="176"/>
        <v/>
      </c>
      <c r="FT44" s="38" t="str">
        <f t="shared" si="176"/>
        <v/>
      </c>
      <c r="FU44" s="38" t="str">
        <f t="shared" si="176"/>
        <v/>
      </c>
      <c r="FV44" s="38" t="str">
        <f t="shared" si="176"/>
        <v/>
      </c>
      <c r="FW44" s="38"/>
      <c r="FX44" s="38" t="str">
        <f>IFERROR(FX42/FX43,"")</f>
        <v/>
      </c>
      <c r="FY44" s="38"/>
      <c r="FZ44" s="38" t="str">
        <f>IFERROR(FZ42/FZ43,"")</f>
        <v/>
      </c>
      <c r="GA44" s="38"/>
      <c r="GB44" s="38" t="str">
        <f>IFERROR(GB42/GB43,"")</f>
        <v/>
      </c>
      <c r="GC44" s="38"/>
      <c r="GD44" s="38" t="str">
        <f>IFERROR(GD42/GD43,"")</f>
        <v/>
      </c>
      <c r="GE44" s="38"/>
      <c r="GF44" s="38" t="str">
        <f>IFERROR(GF42/GF43,"")</f>
        <v/>
      </c>
      <c r="GG44" s="38"/>
      <c r="GH44" s="38" t="str">
        <f t="shared" ref="GH44:GX44" si="177">IFERROR(GH42/GH43,"")</f>
        <v/>
      </c>
      <c r="GI44" s="38" t="str">
        <f t="shared" si="177"/>
        <v/>
      </c>
      <c r="GJ44" s="38" t="str">
        <f t="shared" si="177"/>
        <v/>
      </c>
      <c r="GK44" s="38">
        <f t="shared" si="177"/>
        <v>1.0412050635121983</v>
      </c>
      <c r="GL44" s="38">
        <f t="shared" si="177"/>
        <v>0.94128142475881516</v>
      </c>
      <c r="GM44" s="38">
        <f t="shared" si="177"/>
        <v>1.0576109112470387</v>
      </c>
      <c r="GN44" s="38">
        <f t="shared" si="177"/>
        <v>1.0030091304347826</v>
      </c>
      <c r="GO44" s="38" t="str">
        <f t="shared" si="177"/>
        <v/>
      </c>
      <c r="GP44" s="38" t="str">
        <f t="shared" si="177"/>
        <v/>
      </c>
      <c r="GQ44" s="38" t="str">
        <f t="shared" si="177"/>
        <v/>
      </c>
      <c r="GR44" s="38" t="str">
        <f t="shared" si="177"/>
        <v/>
      </c>
      <c r="GS44" s="38" t="str">
        <f t="shared" si="177"/>
        <v/>
      </c>
      <c r="GT44" s="38" t="str">
        <f t="shared" si="177"/>
        <v/>
      </c>
      <c r="GU44" s="38" t="str">
        <f t="shared" si="177"/>
        <v/>
      </c>
      <c r="GV44" s="38" t="str">
        <f t="shared" si="177"/>
        <v/>
      </c>
      <c r="GW44" s="38" t="str">
        <f t="shared" si="177"/>
        <v/>
      </c>
      <c r="GX44" s="38" t="str">
        <f t="shared" si="177"/>
        <v/>
      </c>
      <c r="GY44" s="72"/>
      <c r="GZ44" s="38"/>
      <c r="HA44" s="38" t="str">
        <f>IFERROR(HA42/HA43,"")</f>
        <v/>
      </c>
      <c r="HB44" s="38"/>
      <c r="HC44" s="38" t="str">
        <f>IFERROR(HC42/HC43,"")</f>
        <v/>
      </c>
      <c r="HD44" s="38"/>
      <c r="HE44" s="38" t="str">
        <f>IFERROR(HE42/HE43,"")</f>
        <v/>
      </c>
      <c r="HF44" s="38"/>
      <c r="HG44" s="38" t="str">
        <f>IFERROR(HG42/HG43,"")</f>
        <v/>
      </c>
      <c r="HH44" s="38"/>
      <c r="HI44" s="38" t="str">
        <f>IFERROR(HI42/HI43,"")</f>
        <v/>
      </c>
      <c r="HJ44" s="38"/>
      <c r="HK44" s="38" t="str">
        <f>IFERROR(HK42/HK43,"")</f>
        <v/>
      </c>
      <c r="HL44" s="38" t="str">
        <f>IFERROR(HL42/HL43,"")</f>
        <v/>
      </c>
      <c r="HM44" s="38" t="str">
        <f>IFERROR(HM42/HM43,"")</f>
        <v/>
      </c>
      <c r="HN44" s="38"/>
      <c r="HO44" s="38"/>
      <c r="HP44" s="38"/>
      <c r="HQ44" s="38"/>
      <c r="HR44" s="38"/>
      <c r="HS44" s="38"/>
      <c r="HT44" s="38"/>
      <c r="HU44" s="38"/>
      <c r="HV44" s="38"/>
      <c r="HW44" s="38"/>
      <c r="HX44" s="38"/>
      <c r="HY44" s="38"/>
      <c r="HZ44" s="38"/>
      <c r="IA44" s="38"/>
      <c r="IB44" s="38"/>
      <c r="IC44" s="38" t="str">
        <f>IFERROR(IC42/IC43,"")</f>
        <v/>
      </c>
      <c r="ID44" s="38"/>
      <c r="IE44" s="38" t="str">
        <f>IFERROR(IE42/IE43,"")</f>
        <v/>
      </c>
      <c r="IF44" s="38"/>
      <c r="IG44" s="38" t="str">
        <f>IFERROR(IG42/IG43,"")</f>
        <v/>
      </c>
      <c r="IH44" s="38"/>
      <c r="II44" s="72">
        <f>SUM(II42:IK42)</f>
        <v>98388.479999999996</v>
      </c>
      <c r="IJ44" s="38"/>
      <c r="IK44" s="38" t="str">
        <f>IFERROR(IK42/IK43,"")</f>
        <v/>
      </c>
      <c r="IL44" s="38"/>
      <c r="IM44" s="38" t="str">
        <f>IFERROR(IM42/IM43,"")</f>
        <v/>
      </c>
      <c r="IN44" s="38"/>
      <c r="IO44" s="38" t="str">
        <f>IFERROR(IO42/IO43,"")</f>
        <v/>
      </c>
      <c r="IP44" s="38" t="str">
        <f>IFERROR(IP42/IP43,"")</f>
        <v/>
      </c>
      <c r="IQ44" s="38" t="str">
        <f>IFERROR(IQ42/IQ43,"")</f>
        <v/>
      </c>
      <c r="IR44" s="38"/>
      <c r="IS44" s="38"/>
      <c r="IT44" s="38" t="str">
        <f>IFERROR(IT42/IT43,"")</f>
        <v/>
      </c>
      <c r="IU44" s="38"/>
      <c r="IV44" s="38" t="str">
        <f>IFERROR(IV42/IV43,"")</f>
        <v/>
      </c>
      <c r="IW44" s="38"/>
      <c r="IX44" s="38" t="str">
        <f>IFERROR(IX42/IX43,"")</f>
        <v/>
      </c>
      <c r="IY44" s="38"/>
      <c r="IZ44" s="38" t="str">
        <f>IFERROR(IZ42/IZ43,"")</f>
        <v/>
      </c>
      <c r="JA44" s="38"/>
      <c r="JB44" s="38" t="str">
        <f>IFERROR(JB42/JB43,"")</f>
        <v/>
      </c>
      <c r="JC44" s="38"/>
      <c r="JD44" s="38" t="str">
        <f t="shared" ref="JD44:JN44" si="178">IFERROR(JD42/JD43,"")</f>
        <v/>
      </c>
      <c r="JE44" s="38" t="str">
        <f t="shared" si="178"/>
        <v/>
      </c>
      <c r="JF44" s="38" t="str">
        <f t="shared" si="178"/>
        <v/>
      </c>
      <c r="JG44" s="38" t="str">
        <f t="shared" si="178"/>
        <v/>
      </c>
      <c r="JH44" s="38" t="str">
        <f t="shared" si="178"/>
        <v/>
      </c>
      <c r="JI44" s="1973">
        <f t="shared" si="178"/>
        <v>1.1085798666666666</v>
      </c>
      <c r="JJ44" s="1973">
        <f t="shared" si="178"/>
        <v>0.80506399999999989</v>
      </c>
      <c r="JK44" s="1973" t="str">
        <f t="shared" si="178"/>
        <v/>
      </c>
      <c r="JL44" s="1973">
        <f t="shared" si="178"/>
        <v>1.0030091304347826</v>
      </c>
      <c r="JM44" s="38" t="str">
        <f t="shared" si="178"/>
        <v/>
      </c>
      <c r="JN44" s="38" t="str">
        <f t="shared" si="178"/>
        <v/>
      </c>
      <c r="JO44" s="38">
        <f t="shared" ref="JO44:KL44" si="179">IFERROR(IF(1-ABS(1-(JO42/JO43))&lt;0,0,1-ABS(1-(JO42/JO43))),0)</f>
        <v>0</v>
      </c>
      <c r="JP44" s="38">
        <f t="shared" si="179"/>
        <v>0</v>
      </c>
      <c r="JQ44" s="38">
        <f t="shared" si="179"/>
        <v>0</v>
      </c>
      <c r="JR44" s="38">
        <f t="shared" si="179"/>
        <v>0</v>
      </c>
      <c r="JS44" s="38">
        <f t="shared" si="179"/>
        <v>0</v>
      </c>
      <c r="JT44" s="38">
        <f t="shared" si="179"/>
        <v>0</v>
      </c>
      <c r="JU44" s="38">
        <f t="shared" si="179"/>
        <v>0</v>
      </c>
      <c r="JV44" s="38">
        <f t="shared" si="179"/>
        <v>0</v>
      </c>
      <c r="JW44" s="38">
        <f t="shared" si="179"/>
        <v>0</v>
      </c>
      <c r="JX44" s="38">
        <f t="shared" si="179"/>
        <v>0</v>
      </c>
      <c r="JY44" s="38">
        <f t="shared" si="179"/>
        <v>0</v>
      </c>
      <c r="JZ44" s="38">
        <f t="shared" si="179"/>
        <v>0</v>
      </c>
      <c r="KA44" s="38">
        <f t="shared" si="179"/>
        <v>0</v>
      </c>
      <c r="KB44" s="38">
        <f t="shared" si="179"/>
        <v>0</v>
      </c>
      <c r="KC44" s="38">
        <f t="shared" si="179"/>
        <v>0</v>
      </c>
      <c r="KD44" s="38">
        <f t="shared" si="179"/>
        <v>0</v>
      </c>
      <c r="KE44" s="38">
        <f t="shared" si="179"/>
        <v>0</v>
      </c>
      <c r="KF44" s="38">
        <f t="shared" si="179"/>
        <v>0</v>
      </c>
      <c r="KG44" s="38">
        <f t="shared" si="179"/>
        <v>0</v>
      </c>
      <c r="KH44" s="38">
        <f t="shared" si="179"/>
        <v>0</v>
      </c>
      <c r="KI44" s="38">
        <f t="shared" si="179"/>
        <v>0</v>
      </c>
      <c r="KJ44" s="38">
        <f t="shared" si="179"/>
        <v>0</v>
      </c>
      <c r="KK44" s="38">
        <f t="shared" si="179"/>
        <v>0</v>
      </c>
      <c r="KL44" s="38">
        <f t="shared" si="179"/>
        <v>0</v>
      </c>
      <c r="KM44" s="38" t="str">
        <f t="shared" ref="KM44:LF44" si="180">IFERROR(KM42/KM43,"")</f>
        <v/>
      </c>
      <c r="KN44" s="38" t="str">
        <f t="shared" si="180"/>
        <v/>
      </c>
      <c r="KO44" s="38">
        <f t="shared" si="180"/>
        <v>0.99981328202096176</v>
      </c>
      <c r="KP44" s="38">
        <f t="shared" si="180"/>
        <v>1.032230209786781</v>
      </c>
      <c r="KQ44" s="38">
        <f t="shared" si="180"/>
        <v>0.84990786760104042</v>
      </c>
      <c r="KR44" s="38">
        <f t="shared" si="180"/>
        <v>1.0472093162447014</v>
      </c>
      <c r="KS44" s="38">
        <f t="shared" si="180"/>
        <v>1.0165660207079044</v>
      </c>
      <c r="KT44" s="38">
        <f t="shared" si="180"/>
        <v>1.0056532292969118</v>
      </c>
      <c r="KU44" s="38">
        <f t="shared" si="180"/>
        <v>1.1374116387173661</v>
      </c>
      <c r="KV44" s="38">
        <f t="shared" si="180"/>
        <v>0.95512936287023653</v>
      </c>
      <c r="KW44" s="38">
        <f t="shared" si="180"/>
        <v>1.0277660646597173</v>
      </c>
      <c r="KX44" s="38">
        <f t="shared" si="180"/>
        <v>1.0089489798247209</v>
      </c>
      <c r="KY44" s="38" t="str">
        <f t="shared" si="180"/>
        <v/>
      </c>
      <c r="KZ44" s="38" t="str">
        <f t="shared" si="180"/>
        <v/>
      </c>
      <c r="LA44" s="38" t="str">
        <f t="shared" si="180"/>
        <v/>
      </c>
      <c r="LB44" s="38" t="str">
        <f t="shared" si="180"/>
        <v/>
      </c>
      <c r="LC44" s="38" t="str">
        <f t="shared" si="180"/>
        <v/>
      </c>
      <c r="LD44" s="38">
        <f t="shared" si="180"/>
        <v>0</v>
      </c>
      <c r="LE44" s="38" t="str">
        <f t="shared" si="180"/>
        <v/>
      </c>
      <c r="LF44" s="38" t="str">
        <f t="shared" si="180"/>
        <v/>
      </c>
      <c r="LG44" s="38"/>
      <c r="LH44" s="38"/>
      <c r="LI44" s="38"/>
      <c r="LJ44" s="38"/>
      <c r="LK44" s="38"/>
      <c r="LL44" s="38"/>
      <c r="LM44" s="38" t="str">
        <f t="shared" ref="LM44:LR44" si="181">IFERROR(LM42/LM43,"")</f>
        <v/>
      </c>
      <c r="LN44" s="38" t="str">
        <f t="shared" si="181"/>
        <v/>
      </c>
      <c r="LO44" s="38" t="str">
        <f t="shared" si="181"/>
        <v/>
      </c>
      <c r="LP44" s="38" t="str">
        <f t="shared" si="181"/>
        <v/>
      </c>
      <c r="LQ44" s="38" t="str">
        <f t="shared" si="181"/>
        <v/>
      </c>
      <c r="LR44" s="38" t="str">
        <f t="shared" si="181"/>
        <v/>
      </c>
      <c r="LS44" s="38"/>
      <c r="LT44" s="38" t="str">
        <f>IFERROR(LT42/LT43,"")</f>
        <v/>
      </c>
      <c r="LU44" s="38" t="str">
        <f>IFERROR(LU42/LU43,"")</f>
        <v/>
      </c>
      <c r="LV44" s="38" t="str">
        <f>IFERROR(LV42/LV43,"")</f>
        <v/>
      </c>
      <c r="LW44" s="38" t="str">
        <f>IFERROR(LW42/LW43,"")</f>
        <v/>
      </c>
      <c r="LX44" s="38" t="str">
        <f>IFERROR(LX42/LX43,"")</f>
        <v/>
      </c>
      <c r="LY44" s="38"/>
      <c r="LZ44" s="38" t="str">
        <f>IFERROR(LZ42/LZ43,"")</f>
        <v/>
      </c>
      <c r="MA44" s="38" t="str">
        <f>IFERROR(MA42/MA43,"")</f>
        <v/>
      </c>
      <c r="MB44" s="38"/>
      <c r="MC44" s="38" t="str">
        <f>IFERROR(MC42/MC43,"")</f>
        <v/>
      </c>
      <c r="MD44" s="38" t="str">
        <f>IFERROR(MD42/MD43,"")</f>
        <v/>
      </c>
      <c r="ME44" s="38"/>
      <c r="MF44" s="38"/>
      <c r="MG44" s="38" t="str">
        <f>IFERROR(MG42/MG43,"")</f>
        <v/>
      </c>
      <c r="MH44" s="38" t="str">
        <f>IFERROR(MH42/MH43,"")</f>
        <v/>
      </c>
      <c r="MI44" s="38" t="str">
        <f>IFERROR(MI42/MI43,"")</f>
        <v/>
      </c>
      <c r="MJ44" s="38" t="str">
        <f>IFERROR(MJ42/MJ43,"")</f>
        <v/>
      </c>
      <c r="MK44" s="38"/>
      <c r="ML44" s="38" t="str">
        <f>IFERROR(ML42/ML43,"")</f>
        <v/>
      </c>
      <c r="MM44" s="38" t="str">
        <f>IFERROR(MM42/MM43,"")</f>
        <v/>
      </c>
      <c r="MN44" s="38" t="str">
        <f>IFERROR(MN42/MN43,"")</f>
        <v/>
      </c>
      <c r="MO44" s="38" t="str">
        <f>IFERROR(MO42/MO43,"")</f>
        <v/>
      </c>
      <c r="MP44" s="38" t="str">
        <f>IFERROR(MP42/MP43,"")</f>
        <v/>
      </c>
      <c r="MQ44" s="38"/>
      <c r="MR44" s="38" t="str">
        <f t="shared" ref="MR44:NC44" si="182">IFERROR(MR42/MR43,"")</f>
        <v/>
      </c>
      <c r="MS44" s="38" t="str">
        <f t="shared" si="182"/>
        <v/>
      </c>
      <c r="MT44" s="38" t="str">
        <f t="shared" si="182"/>
        <v/>
      </c>
      <c r="MU44" s="38" t="str">
        <f t="shared" si="182"/>
        <v/>
      </c>
      <c r="MV44" s="38" t="str">
        <f t="shared" si="182"/>
        <v/>
      </c>
      <c r="MW44" s="38" t="str">
        <f t="shared" si="182"/>
        <v/>
      </c>
      <c r="MX44" s="38" t="str">
        <f t="shared" si="182"/>
        <v/>
      </c>
      <c r="MY44" s="38" t="str">
        <f t="shared" si="182"/>
        <v/>
      </c>
      <c r="MZ44" s="38" t="str">
        <f t="shared" si="182"/>
        <v/>
      </c>
      <c r="NA44" s="38" t="str">
        <f t="shared" si="182"/>
        <v/>
      </c>
      <c r="NB44" s="38" t="str">
        <f t="shared" si="182"/>
        <v/>
      </c>
      <c r="NC44" s="38" t="str">
        <f t="shared" si="182"/>
        <v/>
      </c>
      <c r="ND44" s="38"/>
      <c r="NE44" s="38" t="str">
        <f>IFERROR(NE42/NE43,"")</f>
        <v/>
      </c>
      <c r="NF44" s="38" t="str">
        <f>IFERROR(NF42/NF43,"")</f>
        <v/>
      </c>
      <c r="NG44" s="38" t="str">
        <f>IFERROR(NG42/NG43,"")</f>
        <v/>
      </c>
      <c r="NH44" s="38"/>
      <c r="NI44" s="38" t="str">
        <f>IFERROR(NI42/NI43,"")</f>
        <v/>
      </c>
      <c r="NJ44" s="38"/>
      <c r="NK44" s="38" t="str">
        <f>IFERROR(NK42/NK43,"")</f>
        <v/>
      </c>
      <c r="NL44" s="38"/>
      <c r="NM44" s="38" t="str">
        <f>IFERROR(NM42/NM43,"")</f>
        <v/>
      </c>
      <c r="NN44" s="38"/>
      <c r="NO44" s="38" t="str">
        <f>IFERROR(NO42/NO43,"")</f>
        <v/>
      </c>
      <c r="NP44" s="38"/>
      <c r="NQ44" s="38" t="str">
        <f>IFERROR(NQ42/NQ43,"")</f>
        <v/>
      </c>
      <c r="NR44" s="38"/>
      <c r="NS44" s="38" t="str">
        <f>IFERROR(NS42/NS43,"")</f>
        <v/>
      </c>
      <c r="NT44" s="38" t="str">
        <f>IFERROR(NT42/NT43,"")</f>
        <v/>
      </c>
      <c r="NU44" s="38"/>
      <c r="NV44" s="38" t="str">
        <f>IFERROR(NV42/NV43,"")</f>
        <v/>
      </c>
      <c r="NW44" s="38"/>
      <c r="NX44" s="38" t="str">
        <f>IFERROR(NX42/NX43,"")</f>
        <v/>
      </c>
      <c r="NY44" s="38"/>
      <c r="NZ44" s="38" t="str">
        <f>IFERROR(NZ42/NZ43,"")</f>
        <v/>
      </c>
      <c r="OA44" s="38"/>
      <c r="OB44" s="38" t="str">
        <f>IFERROR(OB42/OB43,"")</f>
        <v/>
      </c>
      <c r="OC44" s="38"/>
      <c r="OD44" s="38" t="str">
        <f>IFERROR(OD42/OD43,"")</f>
        <v/>
      </c>
      <c r="OE44" s="38"/>
      <c r="OF44" s="38" t="str">
        <f>IFERROR(OF42/OF43,"")</f>
        <v/>
      </c>
      <c r="OG44" s="38" t="str">
        <f>IFERROR(OG42/OG43,"")</f>
        <v/>
      </c>
      <c r="OH44" s="38"/>
      <c r="OI44" s="38" t="str">
        <f>IFERROR(OI42/OI43,"")</f>
        <v/>
      </c>
      <c r="OJ44" s="38"/>
      <c r="OK44" s="38" t="str">
        <f>IFERROR(OK42/OK43,"")</f>
        <v/>
      </c>
      <c r="OL44" s="38"/>
      <c r="OM44" s="38" t="str">
        <f>IFERROR(OM42/OM43,"")</f>
        <v/>
      </c>
      <c r="ON44" s="38"/>
      <c r="OO44" s="38" t="str">
        <f>IFERROR(OO42/OO43,"")</f>
        <v/>
      </c>
      <c r="OP44" s="38"/>
      <c r="OQ44" s="38" t="str">
        <f>IFERROR(OQ42/OQ43,"")</f>
        <v/>
      </c>
      <c r="OR44" s="38"/>
      <c r="OS44" s="38" t="str">
        <f t="shared" ref="OS44:PK44" si="183">IFERROR(OS42/OS43,"")</f>
        <v/>
      </c>
      <c r="OT44" s="38" t="str">
        <f t="shared" si="183"/>
        <v/>
      </c>
      <c r="OU44" s="38" t="str">
        <f t="shared" si="183"/>
        <v/>
      </c>
      <c r="OV44" s="38" t="str">
        <f t="shared" si="183"/>
        <v/>
      </c>
      <c r="OW44" s="38" t="str">
        <f t="shared" si="183"/>
        <v/>
      </c>
      <c r="OX44" s="38" t="str">
        <f t="shared" si="183"/>
        <v/>
      </c>
      <c r="OY44" s="38" t="str">
        <f t="shared" si="183"/>
        <v/>
      </c>
      <c r="OZ44" s="38" t="str">
        <f t="shared" si="183"/>
        <v/>
      </c>
      <c r="PA44" s="38" t="str">
        <f t="shared" si="183"/>
        <v/>
      </c>
      <c r="PB44" s="38" t="str">
        <f t="shared" si="183"/>
        <v/>
      </c>
      <c r="PC44" s="38" t="str">
        <f t="shared" si="183"/>
        <v/>
      </c>
      <c r="PD44" s="38" t="str">
        <f t="shared" si="183"/>
        <v/>
      </c>
      <c r="PE44" s="38" t="str">
        <f t="shared" si="183"/>
        <v/>
      </c>
      <c r="PF44" s="38" t="str">
        <f t="shared" si="183"/>
        <v/>
      </c>
      <c r="PG44" s="38" t="str">
        <f t="shared" si="183"/>
        <v/>
      </c>
      <c r="PH44" s="38" t="str">
        <f t="shared" si="183"/>
        <v/>
      </c>
      <c r="PI44" s="38" t="str">
        <f t="shared" si="183"/>
        <v/>
      </c>
      <c r="PJ44" s="38" t="str">
        <f t="shared" si="183"/>
        <v/>
      </c>
      <c r="PK44" s="38" t="str">
        <f t="shared" si="183"/>
        <v/>
      </c>
      <c r="PL44" s="38"/>
      <c r="PM44" s="38"/>
      <c r="PN44" s="38" t="str">
        <f t="shared" ref="PN44:PS44" si="184">IFERROR(PN42/PN43,"")</f>
        <v/>
      </c>
      <c r="PO44" s="38" t="str">
        <f t="shared" si="184"/>
        <v/>
      </c>
      <c r="PP44" s="38" t="str">
        <f t="shared" si="184"/>
        <v/>
      </c>
      <c r="PQ44" s="38" t="str">
        <f t="shared" si="184"/>
        <v/>
      </c>
      <c r="PR44" s="38" t="str">
        <f t="shared" si="184"/>
        <v/>
      </c>
      <c r="PS44" s="38" t="str">
        <f t="shared" si="184"/>
        <v/>
      </c>
      <c r="PT44" s="38"/>
      <c r="PU44" s="38"/>
      <c r="PV44" s="38" t="str">
        <f>IFERROR(PV42/PV43,"")</f>
        <v/>
      </c>
      <c r="PW44" s="38"/>
      <c r="PX44" s="38" t="str">
        <f>IFERROR(PX42/PX43,"")</f>
        <v/>
      </c>
      <c r="PY44" s="38"/>
      <c r="PZ44" s="38" t="str">
        <f>IFERROR(PZ42/PZ43,"")</f>
        <v/>
      </c>
      <c r="QA44" s="38" t="str">
        <f>IFERROR(QA42/QA43,"")</f>
        <v/>
      </c>
      <c r="QB44" s="38"/>
      <c r="QC44" s="38"/>
      <c r="QD44" s="38"/>
      <c r="QE44" s="38"/>
      <c r="QF44" s="38"/>
      <c r="QG44" s="38" t="str">
        <f>IFERROR(QG42/QG43,"")</f>
        <v/>
      </c>
      <c r="RY44" s="1"/>
    </row>
    <row r="45" spans="1:502">
      <c r="D45" s="1"/>
      <c r="O45" t="e">
        <f ca="1">IF(VALUE(MONTH(DATEVALUE(MID(CELL("filename",A1),FIND("]",CELL("filename",A1))+1,255)&amp;"1")))&lt;&gt;MONTH(TODAY()),O43/(DAY(EOMONTH(DATE(YEAR(TODAY()),VALUE(MONTH(DATEVALUE(MID(CELL("filename",A1),FIND("]",CELL("filename",A1))+1,255)&amp;"1"))),1),0))),(O43-O42)/('[1]Summary TCM'!$AB$140-DAY(TODAY()-1)))</f>
        <v>#VALUE!</v>
      </c>
      <c r="P45" t="e">
        <f ca="1">IF(VALUE(MONTH(DATEVALUE(MID(CELL("filename",B1),FIND("]",CELL("filename",B1))+1,255)&amp;"1")))&lt;&gt;MONTH(TODAY()),P43/(DAY(EOMONTH(DATE(YEAR(TODAY()),VALUE(MONTH(DATEVALUE(MID(CELL("filename",B1),FIND("]",CELL("filename",B1))+1,255)&amp;"1"))),1),0))),(P43-P42)/('[1]Summary TCM'!$AB$140-DAY(TODAY()-1)))</f>
        <v>#VALUE!</v>
      </c>
      <c r="Q45" t="e">
        <f ca="1">IF(VALUE(MONTH(DATEVALUE(MID(CELL("filename",C1),FIND("]",CELL("filename",C1))+1,255)&amp;"1")))&lt;&gt;MONTH(TODAY()),Q43/(DAY(EOMONTH(DATE(YEAR(TODAY()),VALUE(MONTH(DATEVALUE(MID(CELL("filename",C1),FIND("]",CELL("filename",C1))+1,255)&amp;"1"))),1),0))),(Q43-Q42)/('[1]Summary TCM'!$AB$140-DAY(TODAY()-1)))</f>
        <v>#VALUE!</v>
      </c>
      <c r="R45" t="e">
        <f ca="1">IF(VALUE(MONTH(DATEVALUE(MID(CELL("filename",D1),FIND("]",CELL("filename",D1))+1,255)&amp;"1")))&lt;&gt;MONTH(TODAY()),R43/(DAY(EOMONTH(DATE(YEAR(TODAY()),VALUE(MONTH(DATEVALUE(MID(CELL("filename",D1),FIND("]",CELL("filename",D1))+1,255)&amp;"1"))),1),0))),(R43-R42)/('[1]Summary TCM'!$AB$140-DAY(TODAY()-1)))</f>
        <v>#VALUE!</v>
      </c>
      <c r="S45" s="72" t="e">
        <f ca="1">SUM(BF45,BI45,BL45,BY45)</f>
        <v>#VALUE!</v>
      </c>
      <c r="T45" t="e">
        <f ca="1">IF(VALUE(MONTH(DATEVALUE(MID(CELL("filename",H1),FIND("]",CELL("filename",H1))+1,255)&amp;"1")))&lt;&gt;MONTH(TODAY()),T43/(DAY(EOMONTH(DATE(YEAR(TODAY()),VALUE(MONTH(DATEVALUE(MID(CELL("filename",H1),FIND("]",CELL("filename",H1))+1,255)&amp;"1"))),1),0))),(T43-T42)/('[1]Summary TCM'!$AB$140-DAY(TODAY()-1)))</f>
        <v>#VALUE!</v>
      </c>
      <c r="U45" t="e">
        <f ca="1">IF(VALUE(MONTH(DATEVALUE(MID(CELL("filename",I1),FIND("]",CELL("filename",I1))+1,255)&amp;"1")))&lt;&gt;MONTH(TODAY()),U43/(DAY(EOMONTH(DATE(YEAR(TODAY()),VALUE(MONTH(DATEVALUE(MID(CELL("filename",I1),FIND("]",CELL("filename",I1))+1,255)&amp;"1"))),1),0))),(U43-U42)/('[1]Summary TCM'!$AB$140-DAY(TODAY()-1)))</f>
        <v>#VALUE!</v>
      </c>
      <c r="V45" t="e">
        <f ca="1">IF(VALUE(MONTH(DATEVALUE(MID(CELL("filename",L1),FIND("]",CELL("filename",L1))+1,255)&amp;"1")))&lt;&gt;MONTH(TODAY()),V43/(DAY(EOMONTH(DATE(YEAR(TODAY()),VALUE(MONTH(DATEVALUE(MID(CELL("filename",L1),FIND("]",CELL("filename",L1))+1,255)&amp;"1"))),1),0))),(V43-V42)/('[1]Summary TCM'!$AB$140-DAY(TODAY()-1)))</f>
        <v>#VALUE!</v>
      </c>
      <c r="W45" t="e">
        <f ca="1">IF(VALUE(MONTH(DATEVALUE(MID(CELL("filename",M1),FIND("]",CELL("filename",M1))+1,255)&amp;"1")))&lt;&gt;MONTH(TODAY()),W43/(DAY(EOMONTH(DATE(YEAR(TODAY()),VALUE(MONTH(DATEVALUE(MID(CELL("filename",M1),FIND("]",CELL("filename",M1))+1,255)&amp;"1"))),1),0))),(W43-W42)/('[1]Summary TCM'!$AB$140-DAY(TODAY()-1)))</f>
        <v>#VALUE!</v>
      </c>
      <c r="X45" t="e">
        <f ca="1">IF(VALUE(MONTH(DATEVALUE(MID(CELL("filename",N1),FIND("]",CELL("filename",N1))+1,255)&amp;"1")))&lt;&gt;MONTH(TODAY()),X43/(DAY(EOMONTH(DATE(YEAR(TODAY()),VALUE(MONTH(DATEVALUE(MID(CELL("filename",N1),FIND("]",CELL("filename",N1))+1,255)&amp;"1"))),1),0))),(X43-X42)/('[1]Summary TCM'!$AB$140-DAY(TODAY()-1)))</f>
        <v>#VALUE!</v>
      </c>
      <c r="Y45" t="e">
        <f ca="1">IF(VALUE(MONTH(DATEVALUE(MID(CELL("filename",O1),FIND("]",CELL("filename",O1))+1,255)&amp;"1")))&lt;&gt;MONTH(TODAY()),Y43/(DAY(EOMONTH(DATE(YEAR(TODAY()),VALUE(MONTH(DATEVALUE(MID(CELL("filename",O1),FIND("]",CELL("filename",O1))+1,255)&amp;"1"))),1),0))),(Y43-Y42)/('[1]Summary TCM'!$AB$140-DAY(TODAY()-1)))</f>
        <v>#VALUE!</v>
      </c>
      <c r="Z45" t="e">
        <f ca="1">IF(VALUE(MONTH(DATEVALUE(MID(CELL("filename",P1),FIND("]",CELL("filename",P1))+1,255)&amp;"1")))&lt;&gt;MONTH(TODAY()),Z43/(DAY(EOMONTH(DATE(YEAR(TODAY()),VALUE(MONTH(DATEVALUE(MID(CELL("filename",P1),FIND("]",CELL("filename",P1))+1,255)&amp;"1"))),1),0))),(Z43-Z42)/('[1]Summary TCM'!$AB$140-DAY(TODAY()-1)))</f>
        <v>#VALUE!</v>
      </c>
      <c r="AE45" t="e">
        <f ca="1">IF(VALUE(MONTH(DATEVALUE(MID(CELL("filename",Q1),FIND("]",CELL("filename",Q1))+1,255)&amp;"1")))&lt;&gt;MONTH(TODAY()),AE43/(DAY(EOMONTH(DATE(YEAR(TODAY()),VALUE(MONTH(DATEVALUE(MID(CELL("filename",Q1),FIND("]",CELL("filename",Q1))+1,255)&amp;"1"))),1),0))),(AE43-AE42)/('[1]Summary TCM'!$AB$140-DAY(TODAY()-1)))</f>
        <v>#VALUE!</v>
      </c>
      <c r="AF45" t="e">
        <f ca="1">IF(VALUE(MONTH(DATEVALUE(MID(CELL("filename",R1),FIND("]",CELL("filename",R1))+1,255)&amp;"1")))&lt;&gt;MONTH(TODAY()),AF43/(DAY(EOMONTH(DATE(YEAR(TODAY()),VALUE(MONTH(DATEVALUE(MID(CELL("filename",R1),FIND("]",CELL("filename",R1))+1,255)&amp;"1"))),1),0))),(AF43-AF42)/('[1]Summary TCM'!$AB$140-DAY(TODAY()-1)))</f>
        <v>#VALUE!</v>
      </c>
      <c r="AG45" t="e">
        <f ca="1">IF(VALUE(MONTH(DATEVALUE(MID(CELL("filename",S1),FIND("]",CELL("filename",S1))+1,255)&amp;"1")))&lt;&gt;MONTH(TODAY()),AG43/(DAY(EOMONTH(DATE(YEAR(TODAY()),VALUE(MONTH(DATEVALUE(MID(CELL("filename",S1),FIND("]",CELL("filename",S1))+1,255)&amp;"1"))),1),0))),(AG43-AG42)/('[1]Summary TCM'!$AB$140-DAY(TODAY()-1)))</f>
        <v>#VALUE!</v>
      </c>
      <c r="AH45" t="e">
        <f ca="1">IF(VALUE(MONTH(DATEVALUE(MID(CELL("filename",T1),FIND("]",CELL("filename",T1))+1,255)&amp;"1")))&lt;&gt;MONTH(TODAY()),AH43/(DAY(EOMONTH(DATE(YEAR(TODAY()),VALUE(MONTH(DATEVALUE(MID(CELL("filename",T1),FIND("]",CELL("filename",T1))+1,255)&amp;"1"))),1),0))),(AH43-AH42)/('[1]Summary TCM'!$AB$140-DAY(TODAY()-1)))</f>
        <v>#VALUE!</v>
      </c>
      <c r="AI45" t="e">
        <f ca="1">IF(VALUE(MONTH(DATEVALUE(MID(CELL("filename",U1),FIND("]",CELL("filename",U1))+1,255)&amp;"1")))&lt;&gt;MONTH(TODAY()),AI43/(DAY(EOMONTH(DATE(YEAR(TODAY()),VALUE(MONTH(DATEVALUE(MID(CELL("filename",U1),FIND("]",CELL("filename",U1))+1,255)&amp;"1"))),1),0))),(AI43-AI42)/('[1]Summary TCM'!$AB$140-DAY(TODAY()-1)))</f>
        <v>#VALUE!</v>
      </c>
      <c r="AJ45" t="e">
        <f ca="1">IF(VALUE(MONTH(DATEVALUE(MID(CELL("filename",V1),FIND("]",CELL("filename",V1))+1,255)&amp;"1")))&lt;&gt;MONTH(TODAY()),AJ43/(DAY(EOMONTH(DATE(YEAR(TODAY()),VALUE(MONTH(DATEVALUE(MID(CELL("filename",V1),FIND("]",CELL("filename",V1))+1,255)&amp;"1"))),1),0))),(AJ43-AJ42)/('[1]Summary TCM'!$AB$140-DAY(TODAY()-1)))</f>
        <v>#VALUE!</v>
      </c>
      <c r="AK45" t="e">
        <f ca="1">IF(VALUE(MONTH(DATEVALUE(MID(CELL("filename",W1),FIND("]",CELL("filename",W1))+1,255)&amp;"1")))&lt;&gt;MONTH(TODAY()),AK43/(DAY(EOMONTH(DATE(YEAR(TODAY()),VALUE(MONTH(DATEVALUE(MID(CELL("filename",W1),FIND("]",CELL("filename",W1))+1,255)&amp;"1"))),1),0))),(AK43-AK42)/('[1]Summary TCM'!$AB$140-DAY(TODAY()-1)))</f>
        <v>#VALUE!</v>
      </c>
      <c r="AL45" t="e">
        <f ca="1">IF(VALUE(MONTH(DATEVALUE(MID(CELL("filename",X1),FIND("]",CELL("filename",X1))+1,255)&amp;"1")))&lt;&gt;MONTH(TODAY()),AL43/(DAY(EOMONTH(DATE(YEAR(TODAY()),VALUE(MONTH(DATEVALUE(MID(CELL("filename",X1),FIND("]",CELL("filename",X1))+1,255)&amp;"1"))),1),0))),(AL43-AL42)/('[1]Summary TCM'!$AB$140-DAY(TODAY()-1)))</f>
        <v>#VALUE!</v>
      </c>
      <c r="AN45" t="e">
        <f ca="1">IF(VALUE(MONTH(DATEVALUE(MID(CELL("filename",Z1),FIND("]",CELL("filename",Z1))+1,255)&amp;"1")))&lt;&gt;MONTH(TODAY()),AN43/(DAY(EOMONTH(DATE(YEAR(TODAY()),VALUE(MONTH(DATEVALUE(MID(CELL("filename",Z1),FIND("]",CELL("filename",Z1))+1,255)&amp;"1"))),1),0))),(AN43-AN42)/('[1]Summary TCM'!$AB$140-DAY(TODAY()-1)))</f>
        <v>#VALUE!</v>
      </c>
      <c r="AO45" t="e">
        <f ca="1">IF(VALUE(MONTH(DATEVALUE(MID(CELL("filename",AE1),FIND("]",CELL("filename",AE1))+1,255)&amp;"1")))&lt;&gt;MONTH(TODAY()),AO43/(DAY(EOMONTH(DATE(YEAR(TODAY()),VALUE(MONTH(DATEVALUE(MID(CELL("filename",AE1),FIND("]",CELL("filename",AE1))+1,255)&amp;"1"))),1),0))),(AO43-AO42)/('[1]Summary TCM'!$AB$140-DAY(TODAY()-1)))</f>
        <v>#VALUE!</v>
      </c>
      <c r="AP45" t="e">
        <f ca="1">IF(VALUE(MONTH(DATEVALUE(MID(CELL("filename",AF1),FIND("]",CELL("filename",AF1))+1,255)&amp;"1")))&lt;&gt;MONTH(TODAY()),AP43/(DAY(EOMONTH(DATE(YEAR(TODAY()),VALUE(MONTH(DATEVALUE(MID(CELL("filename",AF1),FIND("]",CELL("filename",AF1))+1,255)&amp;"1"))),1),0))),(AP43-AP42)/('[1]Summary TCM'!$AB$140-DAY(TODAY()-1)))</f>
        <v>#VALUE!</v>
      </c>
      <c r="AQ45" t="e">
        <f ca="1">IF(VALUE(MONTH(DATEVALUE(MID(CELL("filename",AG1),FIND("]",CELL("filename",AG1))+1,255)&amp;"1")))&lt;&gt;MONTH(TODAY()),AQ43/(DAY(EOMONTH(DATE(YEAR(TODAY()),VALUE(MONTH(DATEVALUE(MID(CELL("filename",AG1),FIND("]",CELL("filename",AG1))+1,255)&amp;"1"))),1),0))),(AQ43-AQ42)/('[1]Summary TCM'!$AB$140-DAY(TODAY()-1)))</f>
        <v>#VALUE!</v>
      </c>
      <c r="AR45" t="e">
        <f ca="1">IF(VALUE(MONTH(DATEVALUE(MID(CELL("filename",AH1),FIND("]",CELL("filename",AH1))+1,255)&amp;"1")))&lt;&gt;MONTH(TODAY()),AR43/(DAY(EOMONTH(DATE(YEAR(TODAY()),VALUE(MONTH(DATEVALUE(MID(CELL("filename",AH1),FIND("]",CELL("filename",AH1))+1,255)&amp;"1"))),1),0))),(AR43-AR42)/('[1]Summary TCM'!$AB$140-DAY(TODAY()-1)))</f>
        <v>#VALUE!</v>
      </c>
      <c r="AS45" t="e">
        <f ca="1">IF(VALUE(MONTH(DATEVALUE(MID(CELL("filename",AI1),FIND("]",CELL("filename",AI1))+1,255)&amp;"1")))&lt;&gt;MONTH(TODAY()),AS43/(DAY(EOMONTH(DATE(YEAR(TODAY()),VALUE(MONTH(DATEVALUE(MID(CELL("filename",AI1),FIND("]",CELL("filename",AI1))+1,255)&amp;"1"))),1),0))),(AS43-AS42)/('[1]Summary TCM'!$AB$140-DAY(TODAY()-1)))</f>
        <v>#VALUE!</v>
      </c>
      <c r="AT45" t="e">
        <f ca="1">IF(VALUE(MONTH(DATEVALUE(MID(CELL("filename",AJ1),FIND("]",CELL("filename",AJ1))+1,255)&amp;"1")))&lt;&gt;MONTH(TODAY()),AT43/(DAY(EOMONTH(DATE(YEAR(TODAY()),VALUE(MONTH(DATEVALUE(MID(CELL("filename",AJ1),FIND("]",CELL("filename",AJ1))+1,255)&amp;"1"))),1),0))),(AT43-AT42)/('[1]Summary TCM'!$AB$140-DAY(TODAY()-1)))</f>
        <v>#VALUE!</v>
      </c>
      <c r="AU45" t="e">
        <f ca="1">IF(VALUE(MONTH(DATEVALUE(MID(CELL("filename",AK1),FIND("]",CELL("filename",AK1))+1,255)&amp;"1")))&lt;&gt;MONTH(TODAY()),AU43/(DAY(EOMONTH(DATE(YEAR(TODAY()),VALUE(MONTH(DATEVALUE(MID(CELL("filename",AK1),FIND("]",CELL("filename",AK1))+1,255)&amp;"1"))),1),0))),(AU43-AU42)/('[1]Summary TCM'!$AB$140-DAY(TODAY()-1)))</f>
        <v>#VALUE!</v>
      </c>
      <c r="AV45" t="e">
        <f ca="1">IF(VALUE(MONTH(DATEVALUE(MID(CELL("filename",AL1),FIND("]",CELL("filename",AL1))+1,255)&amp;"1")))&lt;&gt;MONTH(TODAY()),AV43/(DAY(EOMONTH(DATE(YEAR(TODAY()),VALUE(MONTH(DATEVALUE(MID(CELL("filename",AL1),FIND("]",CELL("filename",AL1))+1,255)&amp;"1"))),1),0))),(AV43-AV42)/('[1]Summary TCM'!$AB$140-DAY(TODAY()-1)))</f>
        <v>#VALUE!</v>
      </c>
      <c r="AW45" t="e">
        <f ca="1">IF(VALUE(MONTH(DATEVALUE(MID(CELL("filename",AM1),FIND("]",CELL("filename",AM1))+1,255)&amp;"1")))&lt;&gt;MONTH(TODAY()),AW43/(DAY(EOMONTH(DATE(YEAR(TODAY()),VALUE(MONTH(DATEVALUE(MID(CELL("filename",AM1),FIND("]",CELL("filename",AM1))+1,255)&amp;"1"))),1),0))),(AW43-AW42)/('[1]Summary TCM'!$AB$140-DAY(TODAY()-1)))</f>
        <v>#VALUE!</v>
      </c>
      <c r="AX45" t="e">
        <f ca="1">IF(VALUE(MONTH(DATEVALUE(MID(CELL("filename",AN1),FIND("]",CELL("filename",AN1))+1,255)&amp;"1")))&lt;&gt;MONTH(TODAY()),AX43/(DAY(EOMONTH(DATE(YEAR(TODAY()),VALUE(MONTH(DATEVALUE(MID(CELL("filename",AN1),FIND("]",CELL("filename",AN1))+1,255)&amp;"1"))),1),0))),(AX43-AX42)/('[1]Summary TCM'!$AB$140-DAY(TODAY()-1)))</f>
        <v>#VALUE!</v>
      </c>
      <c r="AY45" t="e">
        <f ca="1">IF(VALUE(MONTH(DATEVALUE(MID(CELL("filename",AO1),FIND("]",CELL("filename",AO1))+1,255)&amp;"1")))&lt;&gt;MONTH(TODAY()),AY43/(DAY(EOMONTH(DATE(YEAR(TODAY()),VALUE(MONTH(DATEVALUE(MID(CELL("filename",AO1),FIND("]",CELL("filename",AO1))+1,255)&amp;"1"))),1),0))),(AY43-AY42)/('[1]Summary TCM'!$AB$140-DAY(TODAY()-1)))</f>
        <v>#VALUE!</v>
      </c>
      <c r="AZ45" t="e">
        <f ca="1">IF(VALUE(MONTH(DATEVALUE(MID(CELL("filename",AP1),FIND("]",CELL("filename",AP1))+1,255)&amp;"1")))&lt;&gt;MONTH(TODAY()),AZ43/(DAY(EOMONTH(DATE(YEAR(TODAY()),VALUE(MONTH(DATEVALUE(MID(CELL("filename",AP1),FIND("]",CELL("filename",AP1))+1,255)&amp;"1"))),1),0))),(AZ43-AZ42)/('[1]Summary TCM'!$AB$140-DAY(TODAY()-1)))</f>
        <v>#VALUE!</v>
      </c>
      <c r="BA45" t="e">
        <f ca="1">IF(VALUE(MONTH(DATEVALUE(MID(CELL("filename",AQ1),FIND("]",CELL("filename",AQ1))+1,255)&amp;"1")))&lt;&gt;MONTH(TODAY()),BA43/(DAY(EOMONTH(DATE(YEAR(TODAY()),VALUE(MONTH(DATEVALUE(MID(CELL("filename",AQ1),FIND("]",CELL("filename",AQ1))+1,255)&amp;"1"))),1),0))),(BA43-BA42)/('[1]Summary TCM'!$AB$140-DAY(TODAY()-1)))</f>
        <v>#VALUE!</v>
      </c>
      <c r="BB45" t="e">
        <f ca="1">IF(VALUE(MONTH(DATEVALUE(MID(CELL("filename",AR1),FIND("]",CELL("filename",AR1))+1,255)&amp;"1")))&lt;&gt;MONTH(TODAY()),BB43/(DAY(EOMONTH(DATE(YEAR(TODAY()),VALUE(MONTH(DATEVALUE(MID(CELL("filename",AR1),FIND("]",CELL("filename",AR1))+1,255)&amp;"1"))),1),0))),(BB43-BB42)/('[1]Summary TCM'!$AB$140-DAY(TODAY()-1)))</f>
        <v>#VALUE!</v>
      </c>
      <c r="BC45" t="e">
        <f ca="1">IF(VALUE(MONTH(DATEVALUE(MID(CELL("filename",AS1),FIND("]",CELL("filename",AS1))+1,255)&amp;"1")))&lt;&gt;MONTH(TODAY()),BC43/(DAY(EOMONTH(DATE(YEAR(TODAY()),VALUE(MONTH(DATEVALUE(MID(CELL("filename",AS1),FIND("]",CELL("filename",AS1))+1,255)&amp;"1"))),1),0))),(BC43-BC42)/('[1]Summary TCM'!$AB$140-DAY(TODAY()-1)))</f>
        <v>#VALUE!</v>
      </c>
      <c r="BD45" t="e">
        <f ca="1">IF(VALUE(MONTH(DATEVALUE(MID(CELL("filename",AT1),FIND("]",CELL("filename",AT1))+1,255)&amp;"1")))&lt;&gt;MONTH(TODAY()),BD43/(DAY(EOMONTH(DATE(YEAR(TODAY()),VALUE(MONTH(DATEVALUE(MID(CELL("filename",AT1),FIND("]",CELL("filename",AT1))+1,255)&amp;"1"))),1),0))),(BD43-BD42)/('[1]Summary TCM'!$AB$140-DAY(TODAY()-1)))</f>
        <v>#VALUE!</v>
      </c>
      <c r="BE45" t="e">
        <f ca="1">IF(VALUE(MONTH(DATEVALUE(MID(CELL("filename",AU1),FIND("]",CELL("filename",AU1))+1,255)&amp;"1")))&lt;&gt;MONTH(TODAY()),BE43/(DAY(EOMONTH(DATE(YEAR(TODAY()),VALUE(MONTH(DATEVALUE(MID(CELL("filename",AU1),FIND("]",CELL("filename",AU1))+1,255)&amp;"1"))),1),0))),(BE43-BE42)/('[1]Summary TCM'!$AB$140-DAY(TODAY()-1)))</f>
        <v>#VALUE!</v>
      </c>
      <c r="BF45" t="e">
        <f ca="1">IF(VALUE(MONTH(DATEVALUE(MID(CELL("filename",AV1),FIND("]",CELL("filename",AV1))+1,255)&amp;"1")))&lt;&gt;MONTH(TODAY()),BF43/(DAY(EOMONTH(DATE(YEAR(TODAY()),VALUE(MONTH(DATEVALUE(MID(CELL("filename",AV1),FIND("]",CELL("filename",AV1))+1,255)&amp;"1"))),1),0))),(BF43-BF42)/('[1]Summary TCM'!$AB$140-DAY(TODAY()-1)))</f>
        <v>#VALUE!</v>
      </c>
      <c r="BG45" t="e">
        <f ca="1">IF(VALUE(MONTH(DATEVALUE(MID(CELL("filename",AW1),FIND("]",CELL("filename",AW1))+1,255)&amp;"1")))&lt;&gt;MONTH(TODAY()),BG43/(DAY(EOMONTH(DATE(YEAR(TODAY()),VALUE(MONTH(DATEVALUE(MID(CELL("filename",AW1),FIND("]",CELL("filename",AW1))+1,255)&amp;"1"))),1),0))),(BG43-BG42)/('[1]Summary TCM'!$AB$140-DAY(TODAY()-1)))</f>
        <v>#VALUE!</v>
      </c>
      <c r="BH45" t="e">
        <f ca="1">IF(VALUE(MONTH(DATEVALUE(MID(CELL("filename",AX1),FIND("]",CELL("filename",AX1))+1,255)&amp;"1")))&lt;&gt;MONTH(TODAY()),BH43/(DAY(EOMONTH(DATE(YEAR(TODAY()),VALUE(MONTH(DATEVALUE(MID(CELL("filename",AX1),FIND("]",CELL("filename",AX1))+1,255)&amp;"1"))),1),0))),(BH43-BH42)/('[1]Summary TCM'!$AB$140-DAY(TODAY()-1)))</f>
        <v>#VALUE!</v>
      </c>
      <c r="BI45" t="e">
        <f ca="1">IF(VALUE(MONTH(DATEVALUE(MID(CELL("filename",AY1),FIND("]",CELL("filename",AY1))+1,255)&amp;"1")))&lt;&gt;MONTH(TODAY()),BI43/(DAY(EOMONTH(DATE(YEAR(TODAY()),VALUE(MONTH(DATEVALUE(MID(CELL("filename",AY1),FIND("]",CELL("filename",AY1))+1,255)&amp;"1"))),1),0))),(BI43-BI42)/('[1]Summary TCM'!$AB$140-DAY(TODAY()-1)))</f>
        <v>#VALUE!</v>
      </c>
      <c r="BJ45" t="e">
        <f ca="1">IF(VALUE(MONTH(DATEVALUE(MID(CELL("filename",AZ1),FIND("]",CELL("filename",AZ1))+1,255)&amp;"1")))&lt;&gt;MONTH(TODAY()),BJ43/(DAY(EOMONTH(DATE(YEAR(TODAY()),VALUE(MONTH(DATEVALUE(MID(CELL("filename",AZ1),FIND("]",CELL("filename",AZ1))+1,255)&amp;"1"))),1),0))),(BJ43-BJ42)/('[1]Summary TCM'!$AB$140-DAY(TODAY()-1)))</f>
        <v>#VALUE!</v>
      </c>
      <c r="BK45" t="e">
        <f ca="1">IF(VALUE(MONTH(DATEVALUE(MID(CELL("filename",BA1),FIND("]",CELL("filename",BA1))+1,255)&amp;"1")))&lt;&gt;MONTH(TODAY()),BK43/(DAY(EOMONTH(DATE(YEAR(TODAY()),VALUE(MONTH(DATEVALUE(MID(CELL("filename",BA1),FIND("]",CELL("filename",BA1))+1,255)&amp;"1"))),1),0))),(BK43-BK42)/('[1]Summary TCM'!$AB$140-DAY(TODAY()-1)))</f>
        <v>#VALUE!</v>
      </c>
      <c r="BL45" t="e">
        <f ca="1">IF(VALUE(MONTH(DATEVALUE(MID(CELL("filename",BB1),FIND("]",CELL("filename",BB1))+1,255)&amp;"1")))&lt;&gt;MONTH(TODAY()),BL43/(DAY(EOMONTH(DATE(YEAR(TODAY()),VALUE(MONTH(DATEVALUE(MID(CELL("filename",BB1),FIND("]",CELL("filename",BB1))+1,255)&amp;"1"))),1),0))),(BL43-BL42)/('[1]Summary TCM'!$AB$140-DAY(TODAY()-1)))</f>
        <v>#VALUE!</v>
      </c>
      <c r="BM45" t="e">
        <f ca="1">IF(VALUE(MONTH(DATEVALUE(MID(CELL("filename",BC1),FIND("]",CELL("filename",BC1))+1,255)&amp;"1")))&lt;&gt;MONTH(TODAY()),BM43/(DAY(EOMONTH(DATE(YEAR(TODAY()),VALUE(MONTH(DATEVALUE(MID(CELL("filename",BC1),FIND("]",CELL("filename",BC1))+1,255)&amp;"1"))),1),0))),(BM43-BM42)/('[1]Summary TCM'!$AB$140-DAY(TODAY()-1)))</f>
        <v>#VALUE!</v>
      </c>
      <c r="BO45" t="e">
        <f ca="1">IF(VALUE(MONTH(DATEVALUE(MID(CELL("filename",BD1),FIND("]",CELL("filename",BD1))+1,255)&amp;"1")))&lt;&gt;MONTH(TODAY()),BO43/(DAY(EOMONTH(DATE(YEAR(TODAY()),VALUE(MONTH(DATEVALUE(MID(CELL("filename",BD1),FIND("]",CELL("filename",BD1))+1,255)&amp;"1"))),1),0))),(BO43-BO42)/('[1]Summary TCM'!$AB$140-DAY(TODAY()-1)))</f>
        <v>#VALUE!</v>
      </c>
      <c r="BP45" t="e">
        <f ca="1">IF(VALUE(MONTH(DATEVALUE(MID(CELL("filename",BE1),FIND("]",CELL("filename",BE1))+1,255)&amp;"1")))&lt;&gt;MONTH(TODAY()),BQ43/(DAY(EOMONTH(DATE(YEAR(TODAY()),VALUE(MONTH(DATEVALUE(MID(CELL("filename",BE1),FIND("]",CELL("filename",BE1))+1,255)&amp;"1"))),1),0))),(BQ43-BP42)/('[1]Summary TCM'!$AB$140-DAY(TODAY()-1)))</f>
        <v>#VALUE!</v>
      </c>
      <c r="BQ45" t="e">
        <f ca="1">IF(VALUE(MONTH(DATEVALUE(MID(CELL("filename",BF1),FIND("]",CELL("filename",BF1))+1,255)&amp;"1")))&lt;&gt;MONTH(TODAY()),#REF!/(DAY(EOMONTH(DATE(YEAR(TODAY()),VALUE(MONTH(DATEVALUE(MID(CELL("filename",BF1),FIND("]",CELL("filename",BF1))+1,255)&amp;"1"))),1),0))),(#REF!-BQ42)/('[1]Summary TCM'!$AB$140-DAY(TODAY()-1)))</f>
        <v>#VALUE!</v>
      </c>
      <c r="BR45" t="e">
        <f ca="1">IF(VALUE(MONTH(DATEVALUE(MID(CELL("filename",BG1),FIND("]",CELL("filename",BG1))+1,255)&amp;"1")))&lt;&gt;MONTH(TODAY()),BR43/(DAY(EOMONTH(DATE(YEAR(TODAY()),VALUE(MONTH(DATEVALUE(MID(CELL("filename",BG1),FIND("]",CELL("filename",BG1))+1,255)&amp;"1"))),1),0))),(BR43-BR42)/('[1]Summary TCM'!$AB$140-DAY(TODAY()-1)))</f>
        <v>#VALUE!</v>
      </c>
      <c r="BS45" t="e">
        <f ca="1">IF(VALUE(MONTH(DATEVALUE(MID(CELL("filename",BE1),FIND("]",CELL("filename",BE1))+1,255)&amp;"1")))&lt;&gt;MONTH(TODAY()),BS43/(DAY(EOMONTH(DATE(YEAR(TODAY()),VALUE(MONTH(DATEVALUE(MID(CELL("filename",BE1),FIND("]",CELL("filename",BE1))+1,255)&amp;"1"))),1),0))),(BS43-BS42)/('[1]Summary TCM'!$AB$140-DAY(TODAY()-1)))</f>
        <v>#VALUE!</v>
      </c>
      <c r="BT45" t="e">
        <f ca="1">IF(VALUE(MONTH(DATEVALUE(MID(CELL("filename",BF1),FIND("]",CELL("filename",BF1))+1,255)&amp;"1")))&lt;&gt;MONTH(TODAY()),BT43/(DAY(EOMONTH(DATE(YEAR(TODAY()),VALUE(MONTH(DATEVALUE(MID(CELL("filename",BF1),FIND("]",CELL("filename",BF1))+1,255)&amp;"1"))),1),0))),(BT43-BT42)/('[1]Summary TCM'!$AB$140-DAY(TODAY()-1)))</f>
        <v>#VALUE!</v>
      </c>
      <c r="BU45" t="e">
        <f ca="1">IF(VALUE(MONTH(DATEVALUE(MID(CELL("filename",BG1),FIND("]",CELL("filename",BG1))+1,255)&amp;"1")))&lt;&gt;MONTH(TODAY()),BU43/(DAY(EOMONTH(DATE(YEAR(TODAY()),VALUE(MONTH(DATEVALUE(MID(CELL("filename",BG1),FIND("]",CELL("filename",BG1))+1,255)&amp;"1"))),1),0))),(BU43-BU42)/('[1]Summary TCM'!$AB$140-DAY(TODAY()-1)))</f>
        <v>#VALUE!</v>
      </c>
      <c r="BV45" t="e">
        <f ca="1">IF(VALUE(MONTH(DATEVALUE(MID(CELL("filename",BH1),FIND("]",CELL("filename",BH1))+1,255)&amp;"1")))&lt;&gt;MONTH(TODAY()),BV43/(DAY(EOMONTH(DATE(YEAR(TODAY()),VALUE(MONTH(DATEVALUE(MID(CELL("filename",BH1),FIND("]",CELL("filename",BH1))+1,255)&amp;"1"))),1),0))),(BV43-BV42)/('[1]Summary TCM'!$AB$140-DAY(TODAY()-1)))</f>
        <v>#VALUE!</v>
      </c>
      <c r="BW45" t="e">
        <f ca="1">IF(VALUE(MONTH(DATEVALUE(MID(CELL("filename",BI1),FIND("]",CELL("filename",BI1))+1,255)&amp;"1")))&lt;&gt;MONTH(TODAY()),BW43/(DAY(EOMONTH(DATE(YEAR(TODAY()),VALUE(MONTH(DATEVALUE(MID(CELL("filename",BI1),FIND("]",CELL("filename",BI1))+1,255)&amp;"1"))),1),0))),(BW43-BW42)/('[1]Summary TCM'!$AB$140-DAY(TODAY()-1)))</f>
        <v>#VALUE!</v>
      </c>
      <c r="BX45" t="e">
        <f ca="1">IF(VALUE(MONTH(DATEVALUE(MID(CELL("filename",BJ1),FIND("]",CELL("filename",BJ1))+1,255)&amp;"1")))&lt;&gt;MONTH(TODAY()),BX43/(DAY(EOMONTH(DATE(YEAR(TODAY()),VALUE(MONTH(DATEVALUE(MID(CELL("filename",BJ1),FIND("]",CELL("filename",BJ1))+1,255)&amp;"1"))),1),0))),(BX43-BX42)/('[1]Summary TCM'!$AB$140-DAY(TODAY()-1)))</f>
        <v>#VALUE!</v>
      </c>
      <c r="CE45" t="e">
        <f ca="1">IF(VALUE(MONTH(DATEVALUE(MID(CELL("filename",BK1),FIND("]",CELL("filename",BK1))+1,255)&amp;"1")))&lt;&gt;MONTH(TODAY()),CE43/(DAY(EOMONTH(DATE(YEAR(TODAY()),VALUE(MONTH(DATEVALUE(MID(CELL("filename",BK1),FIND("]",CELL("filename",BK1))+1,255)&amp;"1"))),1),0))),(CE43-CE42)/('[1]Summary TCM'!$AB$140-DAY(TODAY()-1)))</f>
        <v>#VALUE!</v>
      </c>
      <c r="CF45" t="e">
        <f ca="1">IF(VALUE(MONTH(DATEVALUE(MID(CELL("filename",BL1),FIND("]",CELL("filename",BL1))+1,255)&amp;"1")))&lt;&gt;MONTH(TODAY()),CF43/(DAY(EOMONTH(DATE(YEAR(TODAY()),VALUE(MONTH(DATEVALUE(MID(CELL("filename",BL1),FIND("]",CELL("filename",BL1))+1,255)&amp;"1"))),1),0))),(CF43-CF42)/('[1]Summary TCM'!$AB$140-DAY(TODAY()-1)))</f>
        <v>#VALUE!</v>
      </c>
      <c r="CG45" t="e">
        <f ca="1">IF(VALUE(MONTH(DATEVALUE(MID(CELL("filename",BM1),FIND("]",CELL("filename",BM1))+1,255)&amp;"1")))&lt;&gt;MONTH(TODAY()),CG43/(DAY(EOMONTH(DATE(YEAR(TODAY()),VALUE(MONTH(DATEVALUE(MID(CELL("filename",BM1),FIND("]",CELL("filename",BM1))+1,255)&amp;"1"))),1),0))),(CG43-CG42)/('[1]Summary TCM'!$AB$140-DAY(TODAY()-1)))</f>
        <v>#VALUE!</v>
      </c>
      <c r="DL45" s="281"/>
      <c r="HG45" s="1">
        <f>SUM(HG42:HI42)</f>
        <v>19288.330000000002</v>
      </c>
      <c r="JO45">
        <f>SUMPRODUCT(JO43:JV43,JO44:JV44)</f>
        <v>0</v>
      </c>
      <c r="JW45">
        <f>SUMPRODUCT(JW43:KD43,JW44:KD44)</f>
        <v>0</v>
      </c>
      <c r="KE45">
        <f>SUMPRODUCT(KE43:KL43,KE44:KL44)</f>
        <v>0</v>
      </c>
      <c r="LX45" s="314"/>
      <c r="LZ45" s="314"/>
      <c r="MB45" s="1"/>
      <c r="OD45" s="95"/>
      <c r="QN45" s="1"/>
      <c r="QO45" s="1"/>
      <c r="QQ45" s="1"/>
      <c r="QR45" s="1"/>
      <c r="RY45" s="1"/>
    </row>
    <row r="46" spans="1:502">
      <c r="D46" s="1"/>
      <c r="E46" s="1"/>
      <c r="F46" s="1"/>
      <c r="G46" s="1"/>
      <c r="H46" s="95"/>
      <c r="I46" s="1"/>
      <c r="AB46" s="887"/>
      <c r="DL46" s="1"/>
      <c r="GQ46" s="887">
        <f>GL41+GM41</f>
        <v>206535.47999999998</v>
      </c>
      <c r="JL46" s="95"/>
      <c r="JM46" s="1"/>
      <c r="LK46" s="330"/>
      <c r="LS46" s="314"/>
      <c r="NO46" s="1"/>
      <c r="NX46" s="1"/>
      <c r="NY46" s="1"/>
      <c r="OD46" s="95"/>
      <c r="RY46" s="1"/>
    </row>
    <row r="47" spans="1:502">
      <c r="C47" s="1"/>
      <c r="D47" s="887"/>
      <c r="E47" s="1"/>
      <c r="F47" s="1"/>
      <c r="G47" s="1"/>
      <c r="H47" s="887"/>
      <c r="I47" s="1"/>
      <c r="P47" s="887"/>
      <c r="T47" s="887"/>
      <c r="AB47" s="887"/>
      <c r="AQ47" s="95"/>
      <c r="AR47" s="95"/>
      <c r="AS47" s="95"/>
      <c r="AT47" s="95"/>
      <c r="AU47" s="95"/>
      <c r="AV47" s="95"/>
      <c r="AW47" s="95"/>
      <c r="AX47" s="95"/>
      <c r="AY47" s="95"/>
      <c r="AZ47" s="95"/>
      <c r="BA47" s="95"/>
      <c r="BB47" s="95"/>
      <c r="BC47" s="95"/>
      <c r="BD47" s="95"/>
      <c r="BE47" s="95"/>
      <c r="BF47" s="95"/>
      <c r="BG47" s="95"/>
      <c r="BH47" s="95"/>
      <c r="BI47" s="95"/>
      <c r="BJ47" s="95"/>
      <c r="BK47" s="95"/>
      <c r="BL47" s="95"/>
      <c r="BM47" s="95"/>
      <c r="BN47" s="95"/>
      <c r="BO47" s="95"/>
      <c r="BP47" s="95">
        <f ca="1">BP47</f>
        <v>0</v>
      </c>
      <c r="BQ47" s="95"/>
      <c r="BR47" s="95"/>
      <c r="BS47" s="95"/>
      <c r="BT47" s="95"/>
      <c r="BU47" s="95"/>
      <c r="BV47" s="95"/>
      <c r="BW47" s="95"/>
      <c r="BX47" s="95"/>
      <c r="BY47" s="95"/>
      <c r="BZ47" s="95"/>
      <c r="CA47" s="95"/>
      <c r="CB47" s="95"/>
      <c r="CC47" s="95"/>
      <c r="CD47" s="95"/>
      <c r="DX47" s="1">
        <f>DW28+DS28</f>
        <v>0</v>
      </c>
      <c r="GN47" s="887"/>
      <c r="GQ47" s="887"/>
      <c r="JI47" s="887"/>
      <c r="JJ47" s="887"/>
      <c r="JL47" s="887">
        <f>JL43-JL41</f>
        <v>-692.10000000000582</v>
      </c>
      <c r="JM47" s="887"/>
      <c r="LI47" s="329"/>
      <c r="LK47" s="1447"/>
      <c r="LL47" s="314"/>
      <c r="LM47" s="314"/>
      <c r="LP47" s="314"/>
      <c r="LQ47" s="314">
        <v>5222.3980000000001</v>
      </c>
      <c r="LS47" s="314"/>
      <c r="NO47" s="1"/>
      <c r="RY47" s="1"/>
    </row>
    <row r="48" spans="1:502">
      <c r="D48" s="887"/>
      <c r="E48" s="1"/>
      <c r="F48" s="1"/>
      <c r="G48" s="1"/>
      <c r="I48" s="95"/>
      <c r="O48" s="887"/>
      <c r="P48" s="887"/>
      <c r="S48" s="887"/>
      <c r="T48" s="887"/>
      <c r="AB48" s="887"/>
      <c r="AC48" s="1"/>
      <c r="AD48" s="1"/>
      <c r="AE48" s="1"/>
      <c r="AQ48" s="887"/>
      <c r="AR48" s="887"/>
      <c r="AW48" s="1">
        <f>AW43-AW42</f>
        <v>-80133.269499999937</v>
      </c>
      <c r="BC48" s="1">
        <f>BC43-BC42</f>
        <v>-158207.48759999988</v>
      </c>
      <c r="BG48" s="887"/>
      <c r="BL48" s="1">
        <f>BL43-BL42</f>
        <v>-99457.121739999973</v>
      </c>
      <c r="BM48" s="887">
        <f>BM43/31</f>
        <v>1612.9032258064517</v>
      </c>
      <c r="BN48" s="887"/>
      <c r="BP48" s="887"/>
      <c r="BQ48" s="887"/>
      <c r="BS48" s="421">
        <f>BS43-BS42</f>
        <v>0</v>
      </c>
      <c r="BT48" s="95"/>
      <c r="BV48" s="1">
        <f>BV43-BV42</f>
        <v>267664.6139</v>
      </c>
      <c r="BW48" s="1">
        <f>BW43-BW41</f>
        <v>14118</v>
      </c>
      <c r="BY48" s="1">
        <f>BY43-BY42</f>
        <v>0</v>
      </c>
      <c r="CE48" s="421">
        <f>CE43-CE42</f>
        <v>0</v>
      </c>
      <c r="CH48" s="887"/>
      <c r="IM48" s="1"/>
      <c r="JI48" s="887">
        <f>JI43-JI41</f>
        <v>-16286.98000000001</v>
      </c>
      <c r="JJ48" s="887">
        <f>JJ43-JJ41</f>
        <v>15594.880000000005</v>
      </c>
      <c r="JK48" s="887"/>
      <c r="JL48" s="887">
        <f>JL47/13</f>
        <v>-53.238461538461983</v>
      </c>
      <c r="JM48" s="887"/>
      <c r="JO48" s="2715"/>
      <c r="JP48" s="2715"/>
      <c r="LG48" s="328"/>
      <c r="LH48" s="328"/>
      <c r="LI48" s="331"/>
      <c r="LL48" s="328"/>
      <c r="LM48" s="314"/>
      <c r="LQ48" s="314">
        <v>7444.732</v>
      </c>
      <c r="LS48" s="314"/>
      <c r="NO48" s="1"/>
      <c r="PJ48" t="s">
        <v>79</v>
      </c>
      <c r="RY48" s="1"/>
    </row>
    <row r="49" spans="2:493" ht="25.2" hidden="1" customHeight="1">
      <c r="D49" s="887"/>
      <c r="O49" s="1">
        <f>O43-O42</f>
        <v>-238340.75710000005</v>
      </c>
      <c r="P49" s="887">
        <f>P43-P41</f>
        <v>-25521.009999999951</v>
      </c>
      <c r="S49" s="887">
        <f>S43-S42</f>
        <v>-99457.121739999973</v>
      </c>
      <c r="T49" s="887">
        <f>T43-T41</f>
        <v>-591.93999999999505</v>
      </c>
      <c r="X49" s="887">
        <f>X43-X42</f>
        <v>14468.594700000001</v>
      </c>
      <c r="Y49" s="887"/>
      <c r="Z49" s="1"/>
      <c r="AA49" s="887">
        <f>P41+T41+AB41</f>
        <v>266112.94999999995</v>
      </c>
      <c r="AB49" s="887"/>
      <c r="AD49" s="1"/>
      <c r="AE49" s="1"/>
      <c r="BG49" s="887"/>
      <c r="BW49" s="887">
        <f>BW43/31</f>
        <v>1774.1935483870968</v>
      </c>
      <c r="BZ49" s="887"/>
      <c r="DT49" s="1"/>
      <c r="EM49" s="1"/>
      <c r="GY49" s="887">
        <f>GW38-GN38</f>
        <v>0</v>
      </c>
      <c r="JI49" s="887"/>
      <c r="JL49" s="887"/>
      <c r="JM49" s="887"/>
      <c r="LG49" s="306"/>
      <c r="LH49" s="887"/>
      <c r="LI49" s="887"/>
      <c r="LJ49" s="327"/>
      <c r="LM49" s="314"/>
      <c r="LQ49" s="314">
        <v>7339.2969999999996</v>
      </c>
      <c r="NO49" s="1"/>
      <c r="OB49" s="1"/>
      <c r="RY49" s="1"/>
    </row>
    <row r="50" spans="2:493" hidden="1">
      <c r="M50" s="92"/>
      <c r="O50">
        <f>'Summary TCM'!AZ21</f>
        <v>2740000</v>
      </c>
      <c r="P50" s="887">
        <f>'Summary TCM'!AZ38</f>
        <v>205000</v>
      </c>
      <c r="S50">
        <f>'Summary TCM'!AZ25/30</f>
        <v>33666.666666666664</v>
      </c>
      <c r="T50" s="887">
        <f>'Summary TCM'!AZ42/30</f>
        <v>1666.6666666666667</v>
      </c>
      <c r="U50" s="887"/>
      <c r="W50">
        <f>'Summary TCM'!AZ29+'Summary TCM'!AZ99</f>
        <v>720000</v>
      </c>
      <c r="X50" s="887">
        <f>'Summary TCM'!AZ46+'Summary TCM'!AZ113</f>
        <v>70000</v>
      </c>
      <c r="AB50" s="887"/>
      <c r="AD50" s="887"/>
      <c r="AX50" s="887"/>
      <c r="BD50" s="887"/>
      <c r="BM50" s="887"/>
      <c r="BN50" s="887"/>
      <c r="BQ50" s="887"/>
      <c r="BW50" s="887"/>
      <c r="GN50" s="1079"/>
      <c r="GS50" s="887">
        <f>GS43/31</f>
        <v>0</v>
      </c>
      <c r="JI50" s="887"/>
      <c r="JL50" s="95"/>
      <c r="JM50" s="887"/>
      <c r="JO50" s="95"/>
      <c r="JQ50" s="887"/>
      <c r="LH50" s="887"/>
      <c r="LI50" s="95"/>
      <c r="LL50" s="314"/>
      <c r="LM50" s="314"/>
      <c r="LY50" s="1078"/>
      <c r="NO50" s="1"/>
      <c r="RY50" s="1"/>
    </row>
    <row r="51" spans="2:493" ht="22.95" hidden="1" customHeight="1">
      <c r="M51" s="39"/>
      <c r="O51" s="1">
        <f>O50/30</f>
        <v>91333.333333333328</v>
      </c>
      <c r="P51" s="887">
        <f>P50/30</f>
        <v>6833.333333333333</v>
      </c>
      <c r="W51">
        <f>W50/30</f>
        <v>24000</v>
      </c>
      <c r="X51" s="887">
        <f>X50/30</f>
        <v>2333.3333333333335</v>
      </c>
      <c r="Y51" s="887"/>
      <c r="AB51" s="887"/>
      <c r="JL51" s="485"/>
      <c r="LK51" s="95"/>
      <c r="NO51" s="1"/>
      <c r="RY51" s="1"/>
    </row>
    <row r="52" spans="2:493" s="145" customFormat="1" hidden="1">
      <c r="M52" s="982"/>
      <c r="O52" s="1717">
        <v>91333.333333333328</v>
      </c>
      <c r="P52" s="1717">
        <v>6833.333333333333</v>
      </c>
      <c r="S52" s="2222">
        <f>S50</f>
        <v>33666.666666666664</v>
      </c>
      <c r="T52" s="2222">
        <f>T50</f>
        <v>1666.6666666666667</v>
      </c>
      <c r="W52" s="2222">
        <v>24000</v>
      </c>
      <c r="X52" s="2222">
        <v>2333.3333333333335</v>
      </c>
      <c r="AB52" s="489">
        <f>P43-P41</f>
        <v>-25521.009999999951</v>
      </c>
      <c r="AW52" s="145">
        <f>114433+880303+87096</f>
        <v>1081832</v>
      </c>
      <c r="AX52" s="145">
        <f>14516+24194+16935</f>
        <v>55645</v>
      </c>
      <c r="BC52" s="145">
        <f>10391+32968</f>
        <v>43359</v>
      </c>
      <c r="JM52" s="432"/>
      <c r="NO52" s="1"/>
      <c r="RY52" s="459"/>
    </row>
    <row r="53" spans="2:493" s="145" customFormat="1" hidden="1">
      <c r="B53" s="145">
        <v>1</v>
      </c>
      <c r="C53" s="459"/>
      <c r="D53" s="459"/>
      <c r="M53" s="982"/>
      <c r="N53" s="145">
        <v>1</v>
      </c>
      <c r="O53" s="459">
        <f>O52</f>
        <v>91333.333333333328</v>
      </c>
      <c r="P53" s="986">
        <f>P52</f>
        <v>6833.333333333333</v>
      </c>
      <c r="R53" s="145">
        <v>1</v>
      </c>
      <c r="S53" s="459">
        <f>S52</f>
        <v>33666.666666666664</v>
      </c>
      <c r="T53" s="459">
        <f>T52</f>
        <v>1666.6666666666667</v>
      </c>
      <c r="V53" s="145">
        <v>1</v>
      </c>
      <c r="W53" s="459">
        <f>W52</f>
        <v>24000</v>
      </c>
      <c r="X53" s="145">
        <f>X52</f>
        <v>2333.3333333333335</v>
      </c>
      <c r="Z53" s="145">
        <v>1</v>
      </c>
      <c r="AB53" s="145">
        <v>30</v>
      </c>
      <c r="BF53" s="145">
        <v>121506</v>
      </c>
      <c r="NO53" s="1"/>
      <c r="RY53" s="459"/>
    </row>
    <row r="54" spans="2:493" s="145" customFormat="1" hidden="1">
      <c r="B54" s="145">
        <v>2</v>
      </c>
      <c r="C54" s="459"/>
      <c r="D54" s="459"/>
      <c r="M54" s="982"/>
      <c r="N54" s="145">
        <v>2</v>
      </c>
      <c r="O54" s="459">
        <f t="shared" ref="O54:O83" si="185">O53+($O$52)</f>
        <v>182666.66666666666</v>
      </c>
      <c r="P54" s="986">
        <f t="shared" ref="P54:P83" si="186">P53+($P$52)</f>
        <v>13666.666666666666</v>
      </c>
      <c r="R54" s="145">
        <v>2</v>
      </c>
      <c r="S54" s="459">
        <f t="shared" ref="S54:S83" si="187">S53+($S$52)</f>
        <v>67333.333333333328</v>
      </c>
      <c r="T54" s="459">
        <f t="shared" ref="T54:T83" si="188">T53+$T$52</f>
        <v>3333.3333333333335</v>
      </c>
      <c r="V54" s="145">
        <v>2</v>
      </c>
      <c r="W54" s="459">
        <f t="shared" ref="W54:W83" si="189">W53+($W$52)</f>
        <v>48000</v>
      </c>
      <c r="X54" s="459">
        <f t="shared" ref="X54:X83" si="190">X53+$X$52</f>
        <v>4666.666666666667</v>
      </c>
      <c r="Z54" s="145">
        <v>2</v>
      </c>
      <c r="AB54" s="489">
        <f>AB52/AB53</f>
        <v>-850.70033333333174</v>
      </c>
      <c r="BF54" s="145">
        <v>896260</v>
      </c>
      <c r="NO54" s="1"/>
      <c r="RY54" s="459"/>
    </row>
    <row r="55" spans="2:493" s="145" customFormat="1" hidden="1">
      <c r="B55" s="145">
        <v>3</v>
      </c>
      <c r="C55" s="459"/>
      <c r="D55" s="459"/>
      <c r="M55" s="982"/>
      <c r="N55" s="145">
        <v>3</v>
      </c>
      <c r="O55" s="459">
        <f t="shared" si="185"/>
        <v>274000</v>
      </c>
      <c r="P55" s="986">
        <f t="shared" si="186"/>
        <v>20500</v>
      </c>
      <c r="R55" s="145">
        <v>3</v>
      </c>
      <c r="S55" s="459">
        <f t="shared" si="187"/>
        <v>101000</v>
      </c>
      <c r="T55" s="459">
        <f t="shared" si="188"/>
        <v>5000</v>
      </c>
      <c r="V55" s="145">
        <v>3</v>
      </c>
      <c r="W55" s="459">
        <f t="shared" si="189"/>
        <v>72000</v>
      </c>
      <c r="X55" s="459">
        <f t="shared" si="190"/>
        <v>7000</v>
      </c>
      <c r="Z55" s="145">
        <v>3</v>
      </c>
      <c r="BF55" s="145">
        <v>24906</v>
      </c>
      <c r="NO55" s="1"/>
      <c r="RY55" s="459"/>
    </row>
    <row r="56" spans="2:493" s="145" customFormat="1" hidden="1">
      <c r="B56" s="145">
        <v>4</v>
      </c>
      <c r="C56" s="459"/>
      <c r="D56" s="459"/>
      <c r="M56" s="982"/>
      <c r="N56" s="145">
        <v>4</v>
      </c>
      <c r="O56" s="459">
        <f t="shared" si="185"/>
        <v>365333.33333333331</v>
      </c>
      <c r="P56" s="986">
        <f t="shared" si="186"/>
        <v>27333.333333333332</v>
      </c>
      <c r="R56" s="145">
        <v>4</v>
      </c>
      <c r="S56" s="459">
        <f t="shared" si="187"/>
        <v>134666.66666666666</v>
      </c>
      <c r="T56" s="459">
        <f t="shared" si="188"/>
        <v>6666.666666666667</v>
      </c>
      <c r="V56" s="145">
        <v>4</v>
      </c>
      <c r="W56" s="459">
        <f t="shared" si="189"/>
        <v>96000</v>
      </c>
      <c r="X56" s="459">
        <f t="shared" si="190"/>
        <v>9333.3333333333339</v>
      </c>
      <c r="Z56" s="145">
        <v>4</v>
      </c>
      <c r="NO56" s="1"/>
      <c r="RY56" s="459"/>
    </row>
    <row r="57" spans="2:493" s="145" customFormat="1" hidden="1">
      <c r="B57" s="145">
        <v>5</v>
      </c>
      <c r="C57" s="459"/>
      <c r="D57" s="459"/>
      <c r="M57" s="982"/>
      <c r="N57" s="145">
        <v>5</v>
      </c>
      <c r="O57" s="459">
        <f t="shared" si="185"/>
        <v>456666.66666666663</v>
      </c>
      <c r="P57" s="986">
        <f t="shared" si="186"/>
        <v>34166.666666666664</v>
      </c>
      <c r="R57" s="145">
        <v>5</v>
      </c>
      <c r="S57" s="459">
        <f t="shared" si="187"/>
        <v>168333.33333333331</v>
      </c>
      <c r="T57" s="459">
        <f t="shared" si="188"/>
        <v>8333.3333333333339</v>
      </c>
      <c r="V57" s="145">
        <v>5</v>
      </c>
      <c r="W57" s="459">
        <f t="shared" si="189"/>
        <v>120000</v>
      </c>
      <c r="X57" s="459">
        <f t="shared" si="190"/>
        <v>11666.666666666668</v>
      </c>
      <c r="Z57" s="145">
        <v>5</v>
      </c>
      <c r="BF57" s="1005">
        <f>SUM(BF53:BF56)</f>
        <v>1042672</v>
      </c>
      <c r="NO57" s="1"/>
      <c r="RY57" s="459"/>
    </row>
    <row r="58" spans="2:493" s="145" customFormat="1" hidden="1">
      <c r="B58" s="145">
        <v>6</v>
      </c>
      <c r="C58" s="459"/>
      <c r="D58" s="459"/>
      <c r="M58" s="982"/>
      <c r="N58" s="145">
        <v>6</v>
      </c>
      <c r="O58" s="459">
        <f t="shared" si="185"/>
        <v>548000</v>
      </c>
      <c r="P58" s="986">
        <f t="shared" si="186"/>
        <v>41000</v>
      </c>
      <c r="R58" s="145">
        <v>6</v>
      </c>
      <c r="S58" s="459">
        <f t="shared" si="187"/>
        <v>201999.99999999997</v>
      </c>
      <c r="T58" s="459">
        <f t="shared" si="188"/>
        <v>10000</v>
      </c>
      <c r="V58" s="145">
        <v>6</v>
      </c>
      <c r="W58" s="459">
        <f t="shared" si="189"/>
        <v>144000</v>
      </c>
      <c r="X58" s="459">
        <f t="shared" si="190"/>
        <v>14000.000000000002</v>
      </c>
      <c r="Z58" s="145">
        <v>6</v>
      </c>
      <c r="BF58" s="145">
        <f>1038834-1017766</f>
        <v>21068</v>
      </c>
      <c r="NO58" s="1"/>
      <c r="RY58" s="459"/>
    </row>
    <row r="59" spans="2:493" s="145" customFormat="1" hidden="1">
      <c r="B59" s="145">
        <v>7</v>
      </c>
      <c r="C59" s="459"/>
      <c r="D59" s="459"/>
      <c r="M59" s="982"/>
      <c r="N59" s="145">
        <v>7</v>
      </c>
      <c r="O59" s="459">
        <f t="shared" si="185"/>
        <v>639333.33333333337</v>
      </c>
      <c r="P59" s="986">
        <f t="shared" si="186"/>
        <v>47833.333333333336</v>
      </c>
      <c r="R59" s="145">
        <v>7</v>
      </c>
      <c r="S59" s="459">
        <f t="shared" si="187"/>
        <v>235666.66666666663</v>
      </c>
      <c r="T59" s="459">
        <f t="shared" si="188"/>
        <v>11666.666666666666</v>
      </c>
      <c r="V59" s="145">
        <v>7</v>
      </c>
      <c r="W59" s="459">
        <f t="shared" si="189"/>
        <v>168000</v>
      </c>
      <c r="X59" s="459">
        <f t="shared" si="190"/>
        <v>16333.333333333336</v>
      </c>
      <c r="Z59" s="145">
        <v>7</v>
      </c>
      <c r="BF59" s="145">
        <f>BF57-1038834</f>
        <v>3838</v>
      </c>
      <c r="NO59" s="1"/>
      <c r="RY59" s="459"/>
    </row>
    <row r="60" spans="2:493" s="145" customFormat="1" hidden="1">
      <c r="B60" s="145">
        <v>8</v>
      </c>
      <c r="C60" s="459"/>
      <c r="D60" s="459"/>
      <c r="M60" s="982"/>
      <c r="N60" s="145">
        <v>8</v>
      </c>
      <c r="O60" s="459">
        <f t="shared" si="185"/>
        <v>730666.66666666674</v>
      </c>
      <c r="P60" s="986">
        <f t="shared" si="186"/>
        <v>54666.666666666672</v>
      </c>
      <c r="R60" s="145">
        <v>8</v>
      </c>
      <c r="S60" s="459">
        <f t="shared" si="187"/>
        <v>269333.33333333331</v>
      </c>
      <c r="T60" s="459">
        <f t="shared" si="188"/>
        <v>13333.333333333332</v>
      </c>
      <c r="V60" s="145">
        <v>8</v>
      </c>
      <c r="W60" s="459">
        <f t="shared" si="189"/>
        <v>192000</v>
      </c>
      <c r="X60" s="459">
        <f t="shared" si="190"/>
        <v>18666.666666666668</v>
      </c>
      <c r="Z60" s="145">
        <v>8</v>
      </c>
      <c r="AP60" s="145">
        <v>37911.700000000004</v>
      </c>
      <c r="NO60" s="1"/>
      <c r="RY60" s="459"/>
    </row>
    <row r="61" spans="2:493" s="145" customFormat="1" hidden="1">
      <c r="B61" s="145">
        <v>9</v>
      </c>
      <c r="C61" s="459"/>
      <c r="D61" s="459"/>
      <c r="M61" s="982"/>
      <c r="N61" s="145">
        <v>9</v>
      </c>
      <c r="O61" s="459">
        <f t="shared" si="185"/>
        <v>822000.00000000012</v>
      </c>
      <c r="P61" s="986">
        <f t="shared" si="186"/>
        <v>61500.000000000007</v>
      </c>
      <c r="R61" s="145">
        <v>9</v>
      </c>
      <c r="S61" s="459">
        <f t="shared" si="187"/>
        <v>303000</v>
      </c>
      <c r="T61" s="459">
        <f t="shared" si="188"/>
        <v>14999.999999999998</v>
      </c>
      <c r="V61" s="145">
        <v>9</v>
      </c>
      <c r="W61" s="459">
        <f t="shared" si="189"/>
        <v>216000</v>
      </c>
      <c r="X61" s="459">
        <f t="shared" si="190"/>
        <v>21000</v>
      </c>
      <c r="Z61" s="145">
        <v>9</v>
      </c>
      <c r="NO61" s="1"/>
      <c r="RY61" s="459"/>
    </row>
    <row r="62" spans="2:493" s="145" customFormat="1" hidden="1">
      <c r="B62" s="145">
        <v>10</v>
      </c>
      <c r="C62" s="459"/>
      <c r="D62" s="459"/>
      <c r="M62" s="982"/>
      <c r="N62" s="145">
        <v>10</v>
      </c>
      <c r="O62" s="459">
        <f t="shared" si="185"/>
        <v>913333.33333333349</v>
      </c>
      <c r="P62" s="986">
        <f t="shared" si="186"/>
        <v>68333.333333333343</v>
      </c>
      <c r="R62" s="145">
        <v>10</v>
      </c>
      <c r="S62" s="459">
        <f t="shared" si="187"/>
        <v>336666.66666666669</v>
      </c>
      <c r="T62" s="459">
        <f t="shared" si="188"/>
        <v>16666.666666666664</v>
      </c>
      <c r="V62" s="145">
        <v>10</v>
      </c>
      <c r="W62" s="459">
        <f t="shared" si="189"/>
        <v>240000</v>
      </c>
      <c r="X62" s="459">
        <f t="shared" si="190"/>
        <v>23333.333333333332</v>
      </c>
      <c r="Z62" s="145">
        <v>10</v>
      </c>
      <c r="NO62" s="1"/>
      <c r="RY62" s="459"/>
    </row>
    <row r="63" spans="2:493" s="145" customFormat="1" hidden="1">
      <c r="B63" s="145">
        <v>11</v>
      </c>
      <c r="C63" s="459"/>
      <c r="D63" s="459"/>
      <c r="M63" s="982"/>
      <c r="N63" s="145">
        <v>11</v>
      </c>
      <c r="O63" s="459">
        <f t="shared" si="185"/>
        <v>1004666.6666666669</v>
      </c>
      <c r="P63" s="986">
        <f t="shared" si="186"/>
        <v>75166.666666666672</v>
      </c>
      <c r="R63" s="145">
        <v>11</v>
      </c>
      <c r="S63" s="459">
        <f t="shared" si="187"/>
        <v>370333.33333333337</v>
      </c>
      <c r="T63" s="459">
        <f t="shared" si="188"/>
        <v>18333.333333333332</v>
      </c>
      <c r="V63" s="145">
        <v>11</v>
      </c>
      <c r="W63" s="459">
        <f t="shared" si="189"/>
        <v>264000</v>
      </c>
      <c r="X63" s="459">
        <f t="shared" si="190"/>
        <v>25666.666666666664</v>
      </c>
      <c r="Z63" s="145">
        <v>11</v>
      </c>
      <c r="NO63" s="1"/>
      <c r="RY63" s="459"/>
    </row>
    <row r="64" spans="2:493" s="145" customFormat="1" hidden="1">
      <c r="B64" s="145">
        <v>12</v>
      </c>
      <c r="C64" s="459"/>
      <c r="D64" s="459"/>
      <c r="M64" s="982"/>
      <c r="N64" s="145">
        <v>12</v>
      </c>
      <c r="O64" s="459">
        <f t="shared" si="185"/>
        <v>1096000.0000000002</v>
      </c>
      <c r="P64" s="986">
        <f t="shared" si="186"/>
        <v>82000</v>
      </c>
      <c r="R64" s="145">
        <v>12</v>
      </c>
      <c r="S64" s="459">
        <f t="shared" si="187"/>
        <v>404000.00000000006</v>
      </c>
      <c r="T64" s="459">
        <f t="shared" si="188"/>
        <v>20000</v>
      </c>
      <c r="V64" s="145">
        <v>12</v>
      </c>
      <c r="W64" s="459">
        <f t="shared" si="189"/>
        <v>288000</v>
      </c>
      <c r="X64" s="459">
        <f t="shared" si="190"/>
        <v>27999.999999999996</v>
      </c>
      <c r="Z64" s="145">
        <v>12</v>
      </c>
      <c r="NO64" s="1"/>
      <c r="RY64" s="459"/>
    </row>
    <row r="65" spans="2:493" s="145" customFormat="1" hidden="1">
      <c r="B65" s="145">
        <v>13</v>
      </c>
      <c r="C65" s="459"/>
      <c r="D65" s="459"/>
      <c r="M65" s="982"/>
      <c r="N65" s="145">
        <v>13</v>
      </c>
      <c r="O65" s="459">
        <f t="shared" si="185"/>
        <v>1187333.3333333335</v>
      </c>
      <c r="P65" s="986">
        <f t="shared" si="186"/>
        <v>88833.333333333328</v>
      </c>
      <c r="R65" s="145">
        <v>13</v>
      </c>
      <c r="S65" s="459">
        <f t="shared" si="187"/>
        <v>437666.66666666674</v>
      </c>
      <c r="T65" s="459">
        <f t="shared" si="188"/>
        <v>21666.666666666668</v>
      </c>
      <c r="V65" s="145">
        <v>13</v>
      </c>
      <c r="W65" s="459">
        <f t="shared" si="189"/>
        <v>312000</v>
      </c>
      <c r="X65" s="459">
        <f t="shared" si="190"/>
        <v>30333.333333333328</v>
      </c>
      <c r="Z65" s="145">
        <v>13</v>
      </c>
      <c r="NO65" s="1"/>
      <c r="RY65" s="459"/>
    </row>
    <row r="66" spans="2:493" s="145" customFormat="1" hidden="1">
      <c r="B66" s="145">
        <v>14</v>
      </c>
      <c r="C66" s="459"/>
      <c r="D66" s="459"/>
      <c r="M66" s="982"/>
      <c r="N66" s="145">
        <v>14</v>
      </c>
      <c r="O66" s="459">
        <f t="shared" si="185"/>
        <v>1278666.6666666667</v>
      </c>
      <c r="P66" s="986">
        <f t="shared" si="186"/>
        <v>95666.666666666657</v>
      </c>
      <c r="R66" s="145">
        <v>14</v>
      </c>
      <c r="S66" s="459">
        <f t="shared" si="187"/>
        <v>471333.33333333343</v>
      </c>
      <c r="T66" s="459">
        <f t="shared" si="188"/>
        <v>23333.333333333336</v>
      </c>
      <c r="V66" s="145">
        <v>14</v>
      </c>
      <c r="W66" s="459">
        <f t="shared" si="189"/>
        <v>336000</v>
      </c>
      <c r="X66" s="459">
        <f t="shared" si="190"/>
        <v>32666.666666666661</v>
      </c>
      <c r="Z66" s="145">
        <v>14</v>
      </c>
      <c r="NO66" s="1"/>
      <c r="RY66" s="459"/>
    </row>
    <row r="67" spans="2:493" s="145" customFormat="1" hidden="1">
      <c r="B67" s="145">
        <v>15</v>
      </c>
      <c r="C67" s="459"/>
      <c r="D67" s="459"/>
      <c r="M67" s="982"/>
      <c r="N67" s="145">
        <v>15</v>
      </c>
      <c r="O67" s="459">
        <f t="shared" si="185"/>
        <v>1370000</v>
      </c>
      <c r="P67" s="986">
        <f t="shared" si="186"/>
        <v>102499.99999999999</v>
      </c>
      <c r="R67" s="145">
        <v>15</v>
      </c>
      <c r="S67" s="459">
        <f t="shared" si="187"/>
        <v>505000.00000000012</v>
      </c>
      <c r="T67" s="459">
        <f t="shared" si="188"/>
        <v>25000.000000000004</v>
      </c>
      <c r="V67" s="145">
        <v>15</v>
      </c>
      <c r="W67" s="459">
        <f t="shared" si="189"/>
        <v>360000</v>
      </c>
      <c r="X67" s="459">
        <f t="shared" si="190"/>
        <v>34999.999999999993</v>
      </c>
      <c r="Z67" s="145">
        <v>15</v>
      </c>
      <c r="NO67" s="1"/>
      <c r="RY67" s="459"/>
    </row>
    <row r="68" spans="2:493" s="145" customFormat="1" hidden="1">
      <c r="B68" s="145">
        <v>16</v>
      </c>
      <c r="C68" s="459"/>
      <c r="D68" s="459"/>
      <c r="M68" s="982"/>
      <c r="N68" s="145">
        <v>16</v>
      </c>
      <c r="O68" s="459">
        <f t="shared" si="185"/>
        <v>1461333.3333333333</v>
      </c>
      <c r="P68" s="986">
        <f t="shared" si="186"/>
        <v>109333.33333333331</v>
      </c>
      <c r="R68" s="145">
        <v>16</v>
      </c>
      <c r="S68" s="459">
        <f t="shared" si="187"/>
        <v>538666.66666666674</v>
      </c>
      <c r="T68" s="459">
        <f t="shared" si="188"/>
        <v>26666.666666666672</v>
      </c>
      <c r="V68" s="145">
        <v>16</v>
      </c>
      <c r="W68" s="459">
        <f t="shared" si="189"/>
        <v>384000</v>
      </c>
      <c r="X68" s="459">
        <f t="shared" si="190"/>
        <v>37333.333333333328</v>
      </c>
      <c r="Z68" s="145">
        <v>16</v>
      </c>
      <c r="NO68" s="1"/>
      <c r="RY68" s="459"/>
    </row>
    <row r="69" spans="2:493" s="145" customFormat="1" hidden="1">
      <c r="B69" s="145">
        <v>17</v>
      </c>
      <c r="C69" s="459"/>
      <c r="D69" s="459"/>
      <c r="N69" s="145">
        <v>17</v>
      </c>
      <c r="O69" s="459">
        <f t="shared" si="185"/>
        <v>1552666.6666666665</v>
      </c>
      <c r="P69" s="986">
        <f t="shared" si="186"/>
        <v>116166.66666666664</v>
      </c>
      <c r="R69" s="145">
        <v>17</v>
      </c>
      <c r="S69" s="459">
        <f t="shared" si="187"/>
        <v>572333.33333333337</v>
      </c>
      <c r="T69" s="459">
        <f t="shared" si="188"/>
        <v>28333.333333333339</v>
      </c>
      <c r="V69" s="145">
        <v>17</v>
      </c>
      <c r="W69" s="459">
        <f t="shared" si="189"/>
        <v>408000</v>
      </c>
      <c r="X69" s="459">
        <f t="shared" si="190"/>
        <v>39666.666666666664</v>
      </c>
      <c r="Z69" s="145">
        <v>17</v>
      </c>
      <c r="NO69" s="1"/>
      <c r="RY69" s="459"/>
    </row>
    <row r="70" spans="2:493" s="145" customFormat="1" hidden="1">
      <c r="B70" s="145">
        <v>18</v>
      </c>
      <c r="C70" s="459"/>
      <c r="D70" s="459"/>
      <c r="N70" s="145">
        <v>18</v>
      </c>
      <c r="O70" s="459">
        <f t="shared" si="185"/>
        <v>1643999.9999999998</v>
      </c>
      <c r="P70" s="986">
        <f t="shared" si="186"/>
        <v>122999.99999999997</v>
      </c>
      <c r="R70" s="145">
        <v>18</v>
      </c>
      <c r="S70" s="459">
        <f t="shared" si="187"/>
        <v>606000</v>
      </c>
      <c r="T70" s="459">
        <f t="shared" si="188"/>
        <v>30000.000000000007</v>
      </c>
      <c r="V70" s="145">
        <v>18</v>
      </c>
      <c r="W70" s="459">
        <f t="shared" si="189"/>
        <v>432000</v>
      </c>
      <c r="X70" s="459">
        <f t="shared" si="190"/>
        <v>42000</v>
      </c>
      <c r="Z70" s="145">
        <v>18</v>
      </c>
      <c r="NO70" s="1"/>
      <c r="RY70" s="459"/>
    </row>
    <row r="71" spans="2:493" s="145" customFormat="1" hidden="1">
      <c r="B71" s="145">
        <v>19</v>
      </c>
      <c r="C71" s="459"/>
      <c r="D71" s="459"/>
      <c r="N71" s="145">
        <v>19</v>
      </c>
      <c r="O71" s="459">
        <f t="shared" si="185"/>
        <v>1735333.333333333</v>
      </c>
      <c r="P71" s="986">
        <f t="shared" si="186"/>
        <v>129833.3333333333</v>
      </c>
      <c r="R71" s="145">
        <v>19</v>
      </c>
      <c r="S71" s="459">
        <f t="shared" si="187"/>
        <v>639666.66666666663</v>
      </c>
      <c r="T71" s="459">
        <f t="shared" si="188"/>
        <v>31666.666666666675</v>
      </c>
      <c r="V71" s="145">
        <v>19</v>
      </c>
      <c r="W71" s="459">
        <f t="shared" si="189"/>
        <v>456000</v>
      </c>
      <c r="X71" s="459">
        <f t="shared" si="190"/>
        <v>44333.333333333336</v>
      </c>
      <c r="Z71" s="145">
        <v>19</v>
      </c>
      <c r="NO71" s="1"/>
      <c r="RY71" s="459"/>
    </row>
    <row r="72" spans="2:493" s="145" customFormat="1" hidden="1">
      <c r="B72" s="145">
        <v>20</v>
      </c>
      <c r="C72" s="459"/>
      <c r="D72" s="459"/>
      <c r="N72" s="145">
        <v>20</v>
      </c>
      <c r="O72" s="459">
        <f t="shared" si="185"/>
        <v>1826666.6666666663</v>
      </c>
      <c r="P72" s="986">
        <f t="shared" si="186"/>
        <v>136666.66666666663</v>
      </c>
      <c r="R72" s="145">
        <v>20</v>
      </c>
      <c r="S72" s="459">
        <f t="shared" si="187"/>
        <v>673333.33333333326</v>
      </c>
      <c r="T72" s="459">
        <f t="shared" si="188"/>
        <v>33333.333333333343</v>
      </c>
      <c r="V72" s="145">
        <v>20</v>
      </c>
      <c r="W72" s="459">
        <f t="shared" si="189"/>
        <v>480000</v>
      </c>
      <c r="X72" s="459">
        <f t="shared" si="190"/>
        <v>46666.666666666672</v>
      </c>
      <c r="Z72" s="145">
        <v>20</v>
      </c>
      <c r="NO72" s="1"/>
      <c r="RY72" s="459"/>
    </row>
    <row r="73" spans="2:493" s="145" customFormat="1" hidden="1">
      <c r="B73" s="145">
        <v>21</v>
      </c>
      <c r="C73" s="459"/>
      <c r="D73" s="459"/>
      <c r="N73" s="145">
        <v>21</v>
      </c>
      <c r="O73" s="459">
        <f t="shared" si="185"/>
        <v>1917999.9999999995</v>
      </c>
      <c r="P73" s="986">
        <f t="shared" si="186"/>
        <v>143499.99999999997</v>
      </c>
      <c r="R73" s="145">
        <v>21</v>
      </c>
      <c r="S73" s="459">
        <f t="shared" si="187"/>
        <v>706999.99999999988</v>
      </c>
      <c r="T73" s="459">
        <f t="shared" si="188"/>
        <v>35000.000000000007</v>
      </c>
      <c r="V73" s="145">
        <v>21</v>
      </c>
      <c r="W73" s="459">
        <f t="shared" si="189"/>
        <v>504000</v>
      </c>
      <c r="X73" s="459">
        <f t="shared" si="190"/>
        <v>49000.000000000007</v>
      </c>
      <c r="Z73" s="145">
        <v>21</v>
      </c>
      <c r="NO73" s="1"/>
      <c r="RY73" s="459"/>
    </row>
    <row r="74" spans="2:493" s="145" customFormat="1" hidden="1">
      <c r="B74" s="145">
        <v>22</v>
      </c>
      <c r="C74" s="459"/>
      <c r="D74" s="459"/>
      <c r="N74" s="145">
        <v>22</v>
      </c>
      <c r="O74" s="459">
        <f t="shared" si="185"/>
        <v>2009333.3333333328</v>
      </c>
      <c r="P74" s="986">
        <f t="shared" si="186"/>
        <v>150333.33333333331</v>
      </c>
      <c r="R74" s="145">
        <v>22</v>
      </c>
      <c r="S74" s="459">
        <f t="shared" si="187"/>
        <v>740666.66666666651</v>
      </c>
      <c r="T74" s="459">
        <f t="shared" si="188"/>
        <v>36666.666666666672</v>
      </c>
      <c r="V74" s="145">
        <v>22</v>
      </c>
      <c r="W74" s="459">
        <f t="shared" si="189"/>
        <v>528000</v>
      </c>
      <c r="X74" s="459">
        <f t="shared" si="190"/>
        <v>51333.333333333343</v>
      </c>
      <c r="Z74" s="145">
        <v>22</v>
      </c>
      <c r="NO74" s="1"/>
      <c r="RY74" s="459"/>
    </row>
    <row r="75" spans="2:493" s="145" customFormat="1" hidden="1">
      <c r="B75" s="145">
        <v>23</v>
      </c>
      <c r="C75" s="459"/>
      <c r="D75" s="459"/>
      <c r="N75" s="145">
        <v>23</v>
      </c>
      <c r="O75" s="459">
        <f t="shared" si="185"/>
        <v>2100666.666666666</v>
      </c>
      <c r="P75" s="986">
        <f t="shared" si="186"/>
        <v>157166.66666666666</v>
      </c>
      <c r="R75" s="145">
        <v>23</v>
      </c>
      <c r="S75" s="459">
        <f t="shared" si="187"/>
        <v>774333.33333333314</v>
      </c>
      <c r="T75" s="459">
        <f t="shared" si="188"/>
        <v>38333.333333333336</v>
      </c>
      <c r="V75" s="145">
        <v>23</v>
      </c>
      <c r="W75" s="459">
        <f t="shared" si="189"/>
        <v>552000</v>
      </c>
      <c r="X75" s="459">
        <f t="shared" si="190"/>
        <v>53666.666666666679</v>
      </c>
      <c r="Y75" s="459"/>
      <c r="Z75" s="145">
        <v>23</v>
      </c>
      <c r="NO75" s="1"/>
      <c r="RY75" s="459"/>
    </row>
    <row r="76" spans="2:493" s="145" customFormat="1" hidden="1">
      <c r="B76" s="145">
        <v>24</v>
      </c>
      <c r="C76" s="459"/>
      <c r="D76" s="459"/>
      <c r="N76" s="145">
        <v>24</v>
      </c>
      <c r="O76" s="459">
        <f t="shared" si="185"/>
        <v>2191999.9999999995</v>
      </c>
      <c r="P76" s="986">
        <f t="shared" si="186"/>
        <v>164000</v>
      </c>
      <c r="R76" s="145">
        <v>24</v>
      </c>
      <c r="S76" s="459">
        <f t="shared" si="187"/>
        <v>807999.99999999977</v>
      </c>
      <c r="T76" s="459">
        <f t="shared" si="188"/>
        <v>40000</v>
      </c>
      <c r="V76" s="145">
        <v>24</v>
      </c>
      <c r="W76" s="459">
        <f t="shared" si="189"/>
        <v>576000</v>
      </c>
      <c r="X76" s="459">
        <f t="shared" si="190"/>
        <v>56000.000000000015</v>
      </c>
      <c r="Z76" s="145">
        <v>24</v>
      </c>
      <c r="NO76" s="1"/>
      <c r="RY76" s="459"/>
    </row>
    <row r="77" spans="2:493" s="145" customFormat="1" hidden="1">
      <c r="B77" s="145">
        <v>25</v>
      </c>
      <c r="C77" s="459"/>
      <c r="D77" s="459"/>
      <c r="N77" s="145">
        <v>25</v>
      </c>
      <c r="O77" s="459">
        <f t="shared" si="185"/>
        <v>2283333.333333333</v>
      </c>
      <c r="P77" s="986">
        <f t="shared" si="186"/>
        <v>170833.33333333334</v>
      </c>
      <c r="R77" s="145">
        <v>25</v>
      </c>
      <c r="S77" s="459">
        <f t="shared" si="187"/>
        <v>841666.6666666664</v>
      </c>
      <c r="T77" s="459">
        <f t="shared" si="188"/>
        <v>41666.666666666664</v>
      </c>
      <c r="V77" s="145">
        <v>25</v>
      </c>
      <c r="W77" s="459">
        <f t="shared" si="189"/>
        <v>600000</v>
      </c>
      <c r="X77" s="459">
        <f t="shared" si="190"/>
        <v>58333.33333333335</v>
      </c>
      <c r="Z77" s="145">
        <v>25</v>
      </c>
      <c r="NO77" s="1"/>
      <c r="RY77" s="459"/>
    </row>
    <row r="78" spans="2:493" s="145" customFormat="1" hidden="1">
      <c r="B78" s="145">
        <v>26</v>
      </c>
      <c r="C78" s="459"/>
      <c r="D78" s="459"/>
      <c r="N78" s="145">
        <v>26</v>
      </c>
      <c r="O78" s="459">
        <f t="shared" si="185"/>
        <v>2374666.6666666665</v>
      </c>
      <c r="P78" s="986">
        <f t="shared" si="186"/>
        <v>177666.66666666669</v>
      </c>
      <c r="R78" s="145">
        <v>26</v>
      </c>
      <c r="S78" s="459">
        <f t="shared" si="187"/>
        <v>875333.33333333302</v>
      </c>
      <c r="T78" s="459">
        <f t="shared" si="188"/>
        <v>43333.333333333328</v>
      </c>
      <c r="V78" s="145">
        <v>26</v>
      </c>
      <c r="W78" s="459">
        <f t="shared" si="189"/>
        <v>624000</v>
      </c>
      <c r="X78" s="459">
        <f t="shared" si="190"/>
        <v>60666.666666666686</v>
      </c>
      <c r="Z78" s="145">
        <v>26</v>
      </c>
      <c r="NO78" s="1"/>
      <c r="RY78" s="459"/>
    </row>
    <row r="79" spans="2:493" s="145" customFormat="1" hidden="1">
      <c r="B79" s="145">
        <v>27</v>
      </c>
      <c r="C79" s="459"/>
      <c r="D79" s="459"/>
      <c r="N79" s="145">
        <v>27</v>
      </c>
      <c r="O79" s="459">
        <f t="shared" si="185"/>
        <v>2466000</v>
      </c>
      <c r="P79" s="986">
        <f t="shared" si="186"/>
        <v>184500.00000000003</v>
      </c>
      <c r="R79" s="145">
        <v>27</v>
      </c>
      <c r="S79" s="459">
        <f t="shared" si="187"/>
        <v>908999.99999999965</v>
      </c>
      <c r="T79" s="459">
        <f t="shared" si="188"/>
        <v>44999.999999999993</v>
      </c>
      <c r="V79" s="145">
        <v>27</v>
      </c>
      <c r="W79" s="459">
        <f t="shared" si="189"/>
        <v>648000</v>
      </c>
      <c r="X79" s="459">
        <f t="shared" si="190"/>
        <v>63000.000000000022</v>
      </c>
      <c r="Z79" s="145">
        <v>27</v>
      </c>
      <c r="NO79" s="1"/>
      <c r="RY79" s="459"/>
    </row>
    <row r="80" spans="2:493" s="145" customFormat="1" hidden="1">
      <c r="B80" s="145">
        <v>28</v>
      </c>
      <c r="C80" s="459"/>
      <c r="D80" s="459"/>
      <c r="N80" s="145">
        <v>28</v>
      </c>
      <c r="O80" s="459">
        <f t="shared" si="185"/>
        <v>2557333.3333333335</v>
      </c>
      <c r="P80" s="986">
        <f t="shared" si="186"/>
        <v>191333.33333333337</v>
      </c>
      <c r="R80" s="145">
        <v>28</v>
      </c>
      <c r="S80" s="459">
        <f t="shared" si="187"/>
        <v>942666.66666666628</v>
      </c>
      <c r="T80" s="459">
        <f t="shared" si="188"/>
        <v>46666.666666666657</v>
      </c>
      <c r="V80" s="145">
        <v>28</v>
      </c>
      <c r="W80" s="459">
        <f t="shared" si="189"/>
        <v>672000</v>
      </c>
      <c r="X80" s="459">
        <f t="shared" si="190"/>
        <v>65333.333333333358</v>
      </c>
      <c r="Z80" s="145">
        <v>28</v>
      </c>
      <c r="NO80" s="1"/>
      <c r="RY80" s="459"/>
    </row>
    <row r="81" spans="2:493" s="145" customFormat="1" hidden="1">
      <c r="B81" s="145">
        <v>29</v>
      </c>
      <c r="C81" s="459"/>
      <c r="D81" s="459"/>
      <c r="N81" s="145">
        <v>29</v>
      </c>
      <c r="O81" s="459">
        <f t="shared" si="185"/>
        <v>2648666.666666667</v>
      </c>
      <c r="P81" s="986">
        <f t="shared" si="186"/>
        <v>198166.66666666672</v>
      </c>
      <c r="R81" s="145">
        <v>29</v>
      </c>
      <c r="S81" s="459">
        <f t="shared" si="187"/>
        <v>976333.33333333291</v>
      </c>
      <c r="T81" s="459">
        <f t="shared" si="188"/>
        <v>48333.333333333321</v>
      </c>
      <c r="V81" s="145">
        <v>29</v>
      </c>
      <c r="W81" s="459">
        <f t="shared" si="189"/>
        <v>696000</v>
      </c>
      <c r="X81" s="459">
        <f t="shared" si="190"/>
        <v>67666.666666666686</v>
      </c>
      <c r="Z81" s="145">
        <v>29</v>
      </c>
      <c r="NO81" s="1"/>
      <c r="RY81" s="459"/>
    </row>
    <row r="82" spans="2:493" s="145" customFormat="1" hidden="1">
      <c r="B82" s="145">
        <v>30</v>
      </c>
      <c r="C82" s="459"/>
      <c r="D82" s="459"/>
      <c r="N82" s="145">
        <v>30</v>
      </c>
      <c r="O82" s="459">
        <f t="shared" si="185"/>
        <v>2740000.0000000005</v>
      </c>
      <c r="P82" s="986">
        <f t="shared" si="186"/>
        <v>205000.00000000006</v>
      </c>
      <c r="R82" s="145">
        <v>30</v>
      </c>
      <c r="S82" s="459">
        <f t="shared" si="187"/>
        <v>1009999.9999999995</v>
      </c>
      <c r="T82" s="459">
        <f t="shared" si="188"/>
        <v>49999.999999999985</v>
      </c>
      <c r="V82" s="145">
        <v>30</v>
      </c>
      <c r="W82" s="459">
        <f t="shared" si="189"/>
        <v>720000</v>
      </c>
      <c r="X82" s="459">
        <f t="shared" si="190"/>
        <v>70000.000000000015</v>
      </c>
      <c r="NO82" s="1"/>
      <c r="RY82" s="459"/>
    </row>
    <row r="83" spans="2:493" s="145" customFormat="1" hidden="1">
      <c r="B83" s="145">
        <v>31</v>
      </c>
      <c r="C83" s="459"/>
      <c r="D83" s="459"/>
      <c r="N83" s="145">
        <v>31</v>
      </c>
      <c r="O83" s="459">
        <f t="shared" si="185"/>
        <v>2831333.333333334</v>
      </c>
      <c r="P83" s="986">
        <f t="shared" si="186"/>
        <v>211833.3333333334</v>
      </c>
      <c r="Q83" s="982"/>
      <c r="R83" s="145">
        <v>31</v>
      </c>
      <c r="S83" s="459">
        <f t="shared" si="187"/>
        <v>1043666.6666666662</v>
      </c>
      <c r="T83" s="459">
        <f t="shared" si="188"/>
        <v>51666.66666666665</v>
      </c>
      <c r="U83" s="982"/>
      <c r="V83" s="145">
        <v>31</v>
      </c>
      <c r="W83" s="459">
        <f t="shared" si="189"/>
        <v>744000</v>
      </c>
      <c r="X83" s="459">
        <f t="shared" si="190"/>
        <v>72333.333333333343</v>
      </c>
      <c r="NO83" s="1"/>
      <c r="RY83" s="459"/>
    </row>
    <row r="84" spans="2:493" s="145" customFormat="1" hidden="1">
      <c r="NO84" s="1"/>
      <c r="RY84" s="459"/>
    </row>
    <row r="85" spans="2:493" s="145" customFormat="1" hidden="1">
      <c r="NO85" s="1"/>
      <c r="RY85" s="459"/>
    </row>
    <row r="86" spans="2:493" s="145" customFormat="1" hidden="1">
      <c r="NO86" s="1"/>
      <c r="RY86" s="459"/>
    </row>
    <row r="87" spans="2:493" s="145" customFormat="1" hidden="1">
      <c r="NO87" s="1"/>
      <c r="RY87" s="459"/>
    </row>
    <row r="88" spans="2:493" s="145" customFormat="1" hidden="1">
      <c r="W88" s="459"/>
      <c r="X88" s="459"/>
      <c r="NO88" s="1"/>
      <c r="RY88" s="459"/>
    </row>
    <row r="89" spans="2:493" s="145" customFormat="1" hidden="1">
      <c r="O89" s="489"/>
      <c r="P89" s="489"/>
      <c r="S89" s="489"/>
      <c r="T89" s="489"/>
      <c r="W89" s="489"/>
      <c r="X89" s="489"/>
      <c r="NO89" s="1"/>
      <c r="RY89" s="459"/>
    </row>
    <row r="90" spans="2:493" s="145" customFormat="1" hidden="1">
      <c r="O90" s="489">
        <f>O43/30</f>
        <v>85000</v>
      </c>
      <c r="P90" s="489">
        <f>P43/30</f>
        <v>6333.333333333333</v>
      </c>
      <c r="S90" s="489">
        <f>S43/30</f>
        <v>30666.666666666668</v>
      </c>
      <c r="T90" s="489">
        <f>T43/30</f>
        <v>1666.6666666666667</v>
      </c>
      <c r="W90" s="489">
        <f>W43/30</f>
        <v>28000</v>
      </c>
      <c r="X90" s="489">
        <f>X43/30</f>
        <v>1833.3333333333333</v>
      </c>
      <c r="NO90" s="1"/>
      <c r="RY90" s="459"/>
    </row>
    <row r="91" spans="2:493" s="145" customFormat="1" hidden="1">
      <c r="NO91" s="1"/>
      <c r="RY91" s="459"/>
    </row>
    <row r="92" spans="2:493" s="145" customFormat="1" hidden="1">
      <c r="NO92" s="1"/>
      <c r="RY92" s="459"/>
    </row>
    <row r="93" spans="2:493" s="145" customFormat="1" hidden="1">
      <c r="NO93" s="1"/>
      <c r="RY93" s="459"/>
    </row>
    <row r="94" spans="2:493" s="145" customFormat="1" hidden="1">
      <c r="M94" s="982"/>
      <c r="O94" s="1076">
        <v>85000</v>
      </c>
      <c r="P94" s="1076">
        <v>6333.333333333333</v>
      </c>
      <c r="Q94" s="459"/>
      <c r="R94" s="459"/>
      <c r="S94" s="983">
        <v>30666.666666666668</v>
      </c>
      <c r="T94" s="983">
        <v>1666.6666666666667</v>
      </c>
      <c r="U94" s="984"/>
      <c r="V94" s="984"/>
      <c r="W94" s="1076">
        <v>28000</v>
      </c>
      <c r="X94" s="983">
        <v>1833.3333333333333</v>
      </c>
      <c r="Y94" s="985"/>
      <c r="Z94" s="985"/>
      <c r="AB94" s="459">
        <f>P94*31</f>
        <v>196333.33333333331</v>
      </c>
      <c r="JM94" s="432"/>
      <c r="NO94" s="1"/>
      <c r="RY94" s="459"/>
    </row>
    <row r="95" spans="2:493" s="145" customFormat="1" hidden="1">
      <c r="B95" s="145">
        <v>1</v>
      </c>
      <c r="C95" s="459"/>
      <c r="D95" s="459"/>
      <c r="M95" s="982"/>
      <c r="N95" s="145">
        <v>1</v>
      </c>
      <c r="O95" s="459">
        <f>O94</f>
        <v>85000</v>
      </c>
      <c r="P95" s="459">
        <f>P94</f>
        <v>6333.333333333333</v>
      </c>
      <c r="R95" s="145">
        <v>1</v>
      </c>
      <c r="S95" s="459">
        <f>S94</f>
        <v>30666.666666666668</v>
      </c>
      <c r="T95" s="145">
        <f>T94</f>
        <v>1666.6666666666667</v>
      </c>
      <c r="V95" s="145">
        <v>1</v>
      </c>
      <c r="W95" s="459">
        <f>W94</f>
        <v>28000</v>
      </c>
      <c r="X95" s="459">
        <f>X94</f>
        <v>1833.3333333333333</v>
      </c>
      <c r="Z95" s="145">
        <v>1</v>
      </c>
      <c r="NO95" s="1"/>
      <c r="RY95" s="459"/>
    </row>
    <row r="96" spans="2:493" s="145" customFormat="1" hidden="1">
      <c r="B96" s="145">
        <v>2</v>
      </c>
      <c r="C96" s="459"/>
      <c r="D96" s="459"/>
      <c r="M96" s="982"/>
      <c r="N96" s="145">
        <v>2</v>
      </c>
      <c r="O96" s="459">
        <f t="shared" ref="O96:O125" si="191">O95+($O$94)</f>
        <v>170000</v>
      </c>
      <c r="P96" s="459">
        <f t="shared" ref="P96:P125" si="192">P95+($P$94)</f>
        <v>12666.666666666666</v>
      </c>
      <c r="R96" s="145">
        <v>2</v>
      </c>
      <c r="S96" s="459">
        <f t="shared" ref="S96:S125" si="193">S95+($S$94)</f>
        <v>61333.333333333336</v>
      </c>
      <c r="T96" s="489">
        <f t="shared" ref="T96:T125" si="194">T95+($T$94)</f>
        <v>3333.3333333333335</v>
      </c>
      <c r="V96" s="145">
        <v>2</v>
      </c>
      <c r="W96" s="459">
        <f t="shared" ref="W96:W125" si="195">W95+($W$94)</f>
        <v>56000</v>
      </c>
      <c r="X96" s="459">
        <f t="shared" ref="X96:X125" si="196">X95+$X$94</f>
        <v>3666.6666666666665</v>
      </c>
      <c r="Z96" s="145">
        <v>2</v>
      </c>
      <c r="NO96" s="1"/>
      <c r="RY96" s="459"/>
    </row>
    <row r="97" spans="2:493" s="145" customFormat="1" hidden="1">
      <c r="B97" s="145">
        <v>3</v>
      </c>
      <c r="C97" s="459"/>
      <c r="D97" s="459"/>
      <c r="M97" s="982"/>
      <c r="N97" s="145">
        <v>3</v>
      </c>
      <c r="O97" s="459">
        <f t="shared" si="191"/>
        <v>255000</v>
      </c>
      <c r="P97" s="459">
        <f t="shared" si="192"/>
        <v>19000</v>
      </c>
      <c r="R97" s="145">
        <v>3</v>
      </c>
      <c r="S97" s="459">
        <f t="shared" si="193"/>
        <v>92000</v>
      </c>
      <c r="T97" s="489">
        <f t="shared" si="194"/>
        <v>5000</v>
      </c>
      <c r="V97" s="145">
        <v>3</v>
      </c>
      <c r="W97" s="459">
        <f t="shared" si="195"/>
        <v>84000</v>
      </c>
      <c r="X97" s="459">
        <f t="shared" si="196"/>
        <v>5500</v>
      </c>
      <c r="Z97" s="145">
        <v>3</v>
      </c>
      <c r="NO97" s="1"/>
      <c r="RY97" s="459"/>
    </row>
    <row r="98" spans="2:493" s="145" customFormat="1" hidden="1">
      <c r="B98" s="145">
        <v>4</v>
      </c>
      <c r="C98" s="459"/>
      <c r="D98" s="459"/>
      <c r="M98" s="982"/>
      <c r="N98" s="145">
        <v>4</v>
      </c>
      <c r="O98" s="459">
        <f t="shared" si="191"/>
        <v>340000</v>
      </c>
      <c r="P98" s="459">
        <f t="shared" si="192"/>
        <v>25333.333333333332</v>
      </c>
      <c r="R98" s="145">
        <v>4</v>
      </c>
      <c r="S98" s="459">
        <f t="shared" si="193"/>
        <v>122666.66666666667</v>
      </c>
      <c r="T98" s="489">
        <f t="shared" si="194"/>
        <v>6666.666666666667</v>
      </c>
      <c r="V98" s="145">
        <v>4</v>
      </c>
      <c r="W98" s="459">
        <f t="shared" si="195"/>
        <v>112000</v>
      </c>
      <c r="X98" s="459">
        <f t="shared" si="196"/>
        <v>7333.333333333333</v>
      </c>
      <c r="Z98" s="145">
        <v>4</v>
      </c>
      <c r="NO98" s="1"/>
      <c r="RY98" s="459"/>
    </row>
    <row r="99" spans="2:493" s="145" customFormat="1" hidden="1">
      <c r="B99" s="145">
        <v>5</v>
      </c>
      <c r="C99" s="459"/>
      <c r="D99" s="459"/>
      <c r="M99" s="982"/>
      <c r="N99" s="145">
        <v>5</v>
      </c>
      <c r="O99" s="459">
        <f t="shared" si="191"/>
        <v>425000</v>
      </c>
      <c r="P99" s="459">
        <f t="shared" si="192"/>
        <v>31666.666666666664</v>
      </c>
      <c r="R99" s="145">
        <v>5</v>
      </c>
      <c r="S99" s="459">
        <f t="shared" si="193"/>
        <v>153333.33333333334</v>
      </c>
      <c r="T99" s="489">
        <f t="shared" si="194"/>
        <v>8333.3333333333339</v>
      </c>
      <c r="V99" s="145">
        <v>5</v>
      </c>
      <c r="W99" s="459">
        <f t="shared" si="195"/>
        <v>140000</v>
      </c>
      <c r="X99" s="459">
        <f t="shared" si="196"/>
        <v>9166.6666666666661</v>
      </c>
      <c r="Z99" s="145">
        <v>5</v>
      </c>
      <c r="NO99" s="1"/>
      <c r="RY99" s="459"/>
    </row>
    <row r="100" spans="2:493" s="145" customFormat="1" hidden="1">
      <c r="B100" s="145">
        <v>6</v>
      </c>
      <c r="C100" s="459"/>
      <c r="D100" s="459"/>
      <c r="M100" s="982"/>
      <c r="N100" s="145">
        <v>6</v>
      </c>
      <c r="O100" s="459">
        <f t="shared" si="191"/>
        <v>510000</v>
      </c>
      <c r="P100" s="459">
        <f t="shared" si="192"/>
        <v>38000</v>
      </c>
      <c r="R100" s="145">
        <v>6</v>
      </c>
      <c r="S100" s="459">
        <f t="shared" si="193"/>
        <v>184000</v>
      </c>
      <c r="T100" s="489">
        <f t="shared" si="194"/>
        <v>10000</v>
      </c>
      <c r="V100" s="145">
        <v>6</v>
      </c>
      <c r="W100" s="459">
        <f t="shared" si="195"/>
        <v>168000</v>
      </c>
      <c r="X100" s="459">
        <f t="shared" si="196"/>
        <v>11000</v>
      </c>
      <c r="Z100" s="145">
        <v>6</v>
      </c>
      <c r="NO100" s="1"/>
      <c r="RY100" s="459"/>
    </row>
    <row r="101" spans="2:493" s="145" customFormat="1" hidden="1">
      <c r="B101" s="145">
        <v>7</v>
      </c>
      <c r="C101" s="459"/>
      <c r="D101" s="459"/>
      <c r="M101" s="982"/>
      <c r="N101" s="145">
        <v>7</v>
      </c>
      <c r="O101" s="459">
        <f t="shared" si="191"/>
        <v>595000</v>
      </c>
      <c r="P101" s="459">
        <f t="shared" si="192"/>
        <v>44333.333333333336</v>
      </c>
      <c r="R101" s="145">
        <v>7</v>
      </c>
      <c r="S101" s="459">
        <f t="shared" si="193"/>
        <v>214666.66666666666</v>
      </c>
      <c r="T101" s="489">
        <f t="shared" si="194"/>
        <v>11666.666666666666</v>
      </c>
      <c r="V101" s="145">
        <v>7</v>
      </c>
      <c r="W101" s="459">
        <f t="shared" si="195"/>
        <v>196000</v>
      </c>
      <c r="X101" s="459">
        <f t="shared" si="196"/>
        <v>12833.333333333334</v>
      </c>
      <c r="Z101" s="145">
        <v>7</v>
      </c>
      <c r="NO101" s="1"/>
      <c r="RY101" s="459"/>
    </row>
    <row r="102" spans="2:493" s="145" customFormat="1" hidden="1">
      <c r="B102" s="145">
        <v>8</v>
      </c>
      <c r="C102" s="459"/>
      <c r="D102" s="459"/>
      <c r="M102" s="982"/>
      <c r="N102" s="145">
        <v>8</v>
      </c>
      <c r="O102" s="459">
        <f t="shared" si="191"/>
        <v>680000</v>
      </c>
      <c r="P102" s="459">
        <f t="shared" si="192"/>
        <v>50666.666666666672</v>
      </c>
      <c r="R102" s="145">
        <v>8</v>
      </c>
      <c r="S102" s="459">
        <f t="shared" si="193"/>
        <v>245333.33333333331</v>
      </c>
      <c r="T102" s="489">
        <f t="shared" si="194"/>
        <v>13333.333333333332</v>
      </c>
      <c r="V102" s="145">
        <v>8</v>
      </c>
      <c r="W102" s="459">
        <f t="shared" si="195"/>
        <v>224000</v>
      </c>
      <c r="X102" s="459">
        <f t="shared" si="196"/>
        <v>14666.666666666668</v>
      </c>
      <c r="Z102" s="145">
        <v>8</v>
      </c>
      <c r="AP102" s="145">
        <v>37911.700000000004</v>
      </c>
      <c r="NO102" s="1"/>
      <c r="RY102" s="459"/>
    </row>
    <row r="103" spans="2:493" s="145" customFormat="1" hidden="1">
      <c r="B103" s="145">
        <v>9</v>
      </c>
      <c r="C103" s="459"/>
      <c r="D103" s="459"/>
      <c r="M103" s="982"/>
      <c r="N103" s="145">
        <v>9</v>
      </c>
      <c r="O103" s="459">
        <f t="shared" si="191"/>
        <v>765000</v>
      </c>
      <c r="P103" s="459">
        <f t="shared" si="192"/>
        <v>57000.000000000007</v>
      </c>
      <c r="R103" s="145">
        <v>9</v>
      </c>
      <c r="S103" s="459">
        <f t="shared" si="193"/>
        <v>276000</v>
      </c>
      <c r="T103" s="489">
        <f t="shared" si="194"/>
        <v>14999.999999999998</v>
      </c>
      <c r="V103" s="145">
        <v>9</v>
      </c>
      <c r="W103" s="459">
        <f t="shared" si="195"/>
        <v>252000</v>
      </c>
      <c r="X103" s="459">
        <f t="shared" si="196"/>
        <v>16500</v>
      </c>
      <c r="Z103" s="145">
        <v>9</v>
      </c>
      <c r="NO103" s="1"/>
      <c r="RY103" s="459"/>
    </row>
    <row r="104" spans="2:493" s="145" customFormat="1" hidden="1">
      <c r="B104" s="145">
        <v>10</v>
      </c>
      <c r="C104" s="459"/>
      <c r="D104" s="459"/>
      <c r="M104" s="982"/>
      <c r="N104" s="145">
        <v>10</v>
      </c>
      <c r="O104" s="459">
        <f t="shared" si="191"/>
        <v>850000</v>
      </c>
      <c r="P104" s="459">
        <f t="shared" si="192"/>
        <v>63333.333333333343</v>
      </c>
      <c r="R104" s="145">
        <v>10</v>
      </c>
      <c r="S104" s="459">
        <f t="shared" si="193"/>
        <v>306666.66666666669</v>
      </c>
      <c r="T104" s="489">
        <f t="shared" si="194"/>
        <v>16666.666666666664</v>
      </c>
      <c r="V104" s="145">
        <v>10</v>
      </c>
      <c r="W104" s="459">
        <f t="shared" si="195"/>
        <v>280000</v>
      </c>
      <c r="X104" s="459">
        <f t="shared" si="196"/>
        <v>18333.333333333332</v>
      </c>
      <c r="Z104" s="145">
        <v>10</v>
      </c>
      <c r="NO104" s="1"/>
      <c r="RY104" s="459"/>
    </row>
    <row r="105" spans="2:493" s="145" customFormat="1" hidden="1">
      <c r="B105" s="145">
        <v>11</v>
      </c>
      <c r="C105" s="459"/>
      <c r="D105" s="459"/>
      <c r="M105" s="982"/>
      <c r="N105" s="145">
        <v>11</v>
      </c>
      <c r="O105" s="459">
        <f t="shared" si="191"/>
        <v>935000</v>
      </c>
      <c r="P105" s="459">
        <f t="shared" si="192"/>
        <v>69666.666666666672</v>
      </c>
      <c r="R105" s="145">
        <v>11</v>
      </c>
      <c r="S105" s="459">
        <f t="shared" si="193"/>
        <v>337333.33333333337</v>
      </c>
      <c r="T105" s="489">
        <f t="shared" si="194"/>
        <v>18333.333333333332</v>
      </c>
      <c r="V105" s="145">
        <v>11</v>
      </c>
      <c r="W105" s="459">
        <f t="shared" si="195"/>
        <v>308000</v>
      </c>
      <c r="X105" s="459">
        <f t="shared" si="196"/>
        <v>20166.666666666664</v>
      </c>
      <c r="Z105" s="145">
        <v>11</v>
      </c>
      <c r="NO105" s="1"/>
      <c r="RY105" s="459"/>
    </row>
    <row r="106" spans="2:493" s="145" customFormat="1" hidden="1">
      <c r="B106" s="145">
        <v>12</v>
      </c>
      <c r="C106" s="459"/>
      <c r="D106" s="459"/>
      <c r="M106" s="982"/>
      <c r="N106" s="145">
        <v>12</v>
      </c>
      <c r="O106" s="459">
        <f t="shared" si="191"/>
        <v>1020000</v>
      </c>
      <c r="P106" s="459">
        <f t="shared" si="192"/>
        <v>76000</v>
      </c>
      <c r="R106" s="145">
        <v>12</v>
      </c>
      <c r="S106" s="459">
        <f t="shared" si="193"/>
        <v>368000.00000000006</v>
      </c>
      <c r="T106" s="489">
        <f t="shared" si="194"/>
        <v>20000</v>
      </c>
      <c r="V106" s="145">
        <v>12</v>
      </c>
      <c r="W106" s="459">
        <f t="shared" si="195"/>
        <v>336000</v>
      </c>
      <c r="X106" s="459">
        <f t="shared" si="196"/>
        <v>21999.999999999996</v>
      </c>
      <c r="Z106" s="145">
        <v>12</v>
      </c>
      <c r="NO106" s="1"/>
      <c r="RY106" s="459"/>
    </row>
    <row r="107" spans="2:493" s="145" customFormat="1" hidden="1">
      <c r="B107" s="145">
        <v>13</v>
      </c>
      <c r="C107" s="459"/>
      <c r="D107" s="459"/>
      <c r="M107" s="982"/>
      <c r="N107" s="145">
        <v>13</v>
      </c>
      <c r="O107" s="459">
        <f t="shared" si="191"/>
        <v>1105000</v>
      </c>
      <c r="P107" s="459">
        <f t="shared" si="192"/>
        <v>82333.333333333328</v>
      </c>
      <c r="R107" s="145">
        <v>13</v>
      </c>
      <c r="S107" s="459">
        <f t="shared" si="193"/>
        <v>398666.66666666674</v>
      </c>
      <c r="T107" s="489">
        <f t="shared" si="194"/>
        <v>21666.666666666668</v>
      </c>
      <c r="V107" s="145">
        <v>13</v>
      </c>
      <c r="W107" s="459">
        <f t="shared" si="195"/>
        <v>364000</v>
      </c>
      <c r="X107" s="459">
        <f t="shared" si="196"/>
        <v>23833.333333333328</v>
      </c>
      <c r="Z107" s="145">
        <v>13</v>
      </c>
      <c r="NO107" s="1"/>
      <c r="RY107" s="459"/>
    </row>
    <row r="108" spans="2:493" s="145" customFormat="1" hidden="1">
      <c r="B108" s="145">
        <v>14</v>
      </c>
      <c r="C108" s="459"/>
      <c r="D108" s="459"/>
      <c r="M108" s="982"/>
      <c r="N108" s="145">
        <v>14</v>
      </c>
      <c r="O108" s="459">
        <f t="shared" si="191"/>
        <v>1190000</v>
      </c>
      <c r="P108" s="459">
        <f t="shared" si="192"/>
        <v>88666.666666666657</v>
      </c>
      <c r="R108" s="145">
        <v>14</v>
      </c>
      <c r="S108" s="459">
        <f t="shared" si="193"/>
        <v>429333.33333333343</v>
      </c>
      <c r="T108" s="489">
        <f t="shared" si="194"/>
        <v>23333.333333333336</v>
      </c>
      <c r="V108" s="145">
        <v>14</v>
      </c>
      <c r="W108" s="459">
        <f t="shared" si="195"/>
        <v>392000</v>
      </c>
      <c r="X108" s="459">
        <f t="shared" si="196"/>
        <v>25666.666666666661</v>
      </c>
      <c r="Z108" s="145">
        <v>14</v>
      </c>
      <c r="NO108" s="1"/>
      <c r="RY108" s="459"/>
    </row>
    <row r="109" spans="2:493" s="145" customFormat="1" hidden="1">
      <c r="B109" s="145">
        <v>15</v>
      </c>
      <c r="C109" s="459"/>
      <c r="D109" s="459"/>
      <c r="M109" s="982"/>
      <c r="N109" s="145">
        <v>15</v>
      </c>
      <c r="O109" s="459">
        <f t="shared" si="191"/>
        <v>1275000</v>
      </c>
      <c r="P109" s="459">
        <f t="shared" si="192"/>
        <v>94999.999999999985</v>
      </c>
      <c r="R109" s="145">
        <v>15</v>
      </c>
      <c r="S109" s="459">
        <f t="shared" si="193"/>
        <v>460000.00000000012</v>
      </c>
      <c r="T109" s="489">
        <f t="shared" si="194"/>
        <v>25000.000000000004</v>
      </c>
      <c r="V109" s="145">
        <v>15</v>
      </c>
      <c r="W109" s="459">
        <f t="shared" si="195"/>
        <v>420000</v>
      </c>
      <c r="X109" s="459">
        <f t="shared" si="196"/>
        <v>27499.999999999993</v>
      </c>
      <c r="Z109" s="145">
        <v>15</v>
      </c>
      <c r="NO109" s="1"/>
      <c r="RY109" s="459"/>
    </row>
    <row r="110" spans="2:493" s="145" customFormat="1" hidden="1">
      <c r="B110" s="145">
        <v>16</v>
      </c>
      <c r="C110" s="459"/>
      <c r="D110" s="459"/>
      <c r="M110" s="982"/>
      <c r="N110" s="145">
        <v>16</v>
      </c>
      <c r="O110" s="459">
        <f t="shared" si="191"/>
        <v>1360000</v>
      </c>
      <c r="P110" s="459">
        <f t="shared" si="192"/>
        <v>101333.33333333331</v>
      </c>
      <c r="R110" s="145">
        <v>16</v>
      </c>
      <c r="S110" s="459">
        <f t="shared" si="193"/>
        <v>490666.6666666668</v>
      </c>
      <c r="T110" s="489">
        <f t="shared" si="194"/>
        <v>26666.666666666672</v>
      </c>
      <c r="V110" s="145">
        <v>16</v>
      </c>
      <c r="W110" s="459">
        <f t="shared" si="195"/>
        <v>448000</v>
      </c>
      <c r="X110" s="459">
        <f t="shared" si="196"/>
        <v>29333.333333333325</v>
      </c>
      <c r="Z110" s="145">
        <v>16</v>
      </c>
      <c r="NO110" s="1"/>
      <c r="RY110" s="459"/>
    </row>
    <row r="111" spans="2:493" s="145" customFormat="1" hidden="1">
      <c r="B111" s="145">
        <v>17</v>
      </c>
      <c r="C111" s="459"/>
      <c r="D111" s="459"/>
      <c r="N111" s="145">
        <v>17</v>
      </c>
      <c r="O111" s="459">
        <f t="shared" si="191"/>
        <v>1445000</v>
      </c>
      <c r="P111" s="459">
        <f t="shared" si="192"/>
        <v>107666.66666666664</v>
      </c>
      <c r="R111" s="145">
        <v>17</v>
      </c>
      <c r="S111" s="459">
        <f t="shared" si="193"/>
        <v>521333.33333333349</v>
      </c>
      <c r="T111" s="489">
        <f t="shared" si="194"/>
        <v>28333.333333333339</v>
      </c>
      <c r="V111" s="145">
        <v>17</v>
      </c>
      <c r="W111" s="459">
        <f t="shared" si="195"/>
        <v>476000</v>
      </c>
      <c r="X111" s="459">
        <f t="shared" si="196"/>
        <v>31166.666666666657</v>
      </c>
      <c r="Z111" s="145">
        <v>17</v>
      </c>
      <c r="NO111" s="1"/>
      <c r="RY111" s="459"/>
    </row>
    <row r="112" spans="2:493" s="145" customFormat="1" hidden="1">
      <c r="B112" s="145">
        <v>18</v>
      </c>
      <c r="C112" s="459"/>
      <c r="D112" s="459"/>
      <c r="N112" s="145">
        <v>18</v>
      </c>
      <c r="O112" s="459">
        <f t="shared" si="191"/>
        <v>1530000</v>
      </c>
      <c r="P112" s="459">
        <f t="shared" si="192"/>
        <v>113999.99999999997</v>
      </c>
      <c r="R112" s="145">
        <v>18</v>
      </c>
      <c r="S112" s="459">
        <f t="shared" si="193"/>
        <v>552000.00000000012</v>
      </c>
      <c r="T112" s="489">
        <f t="shared" si="194"/>
        <v>30000.000000000007</v>
      </c>
      <c r="V112" s="145">
        <v>18</v>
      </c>
      <c r="W112" s="459">
        <f t="shared" si="195"/>
        <v>504000</v>
      </c>
      <c r="X112" s="459">
        <f t="shared" si="196"/>
        <v>32999.999999999993</v>
      </c>
      <c r="Z112" s="145">
        <v>18</v>
      </c>
      <c r="NO112" s="1"/>
      <c r="RY112" s="459"/>
    </row>
    <row r="113" spans="2:493" s="145" customFormat="1" hidden="1">
      <c r="B113" s="145">
        <v>19</v>
      </c>
      <c r="C113" s="459"/>
      <c r="D113" s="459"/>
      <c r="N113" s="145">
        <v>19</v>
      </c>
      <c r="O113" s="459">
        <f t="shared" si="191"/>
        <v>1615000</v>
      </c>
      <c r="P113" s="459">
        <f t="shared" si="192"/>
        <v>120333.3333333333</v>
      </c>
      <c r="R113" s="145">
        <v>19</v>
      </c>
      <c r="S113" s="459">
        <f t="shared" si="193"/>
        <v>582666.66666666674</v>
      </c>
      <c r="T113" s="489">
        <f t="shared" si="194"/>
        <v>31666.666666666675</v>
      </c>
      <c r="V113" s="145">
        <v>19</v>
      </c>
      <c r="W113" s="459">
        <f t="shared" si="195"/>
        <v>532000</v>
      </c>
      <c r="X113" s="459">
        <f t="shared" si="196"/>
        <v>34833.333333333328</v>
      </c>
      <c r="Z113" s="145">
        <v>19</v>
      </c>
      <c r="NO113" s="1"/>
      <c r="RY113" s="459"/>
    </row>
    <row r="114" spans="2:493" s="145" customFormat="1" hidden="1">
      <c r="B114" s="145">
        <v>20</v>
      </c>
      <c r="C114" s="459"/>
      <c r="D114" s="459"/>
      <c r="N114" s="145">
        <v>20</v>
      </c>
      <c r="O114" s="459">
        <f t="shared" si="191"/>
        <v>1700000</v>
      </c>
      <c r="P114" s="459">
        <f t="shared" si="192"/>
        <v>126666.66666666663</v>
      </c>
      <c r="R114" s="145">
        <v>20</v>
      </c>
      <c r="S114" s="459">
        <f t="shared" si="193"/>
        <v>613333.33333333337</v>
      </c>
      <c r="T114" s="489">
        <f t="shared" si="194"/>
        <v>33333.333333333343</v>
      </c>
      <c r="V114" s="145">
        <v>20</v>
      </c>
      <c r="W114" s="459">
        <f t="shared" si="195"/>
        <v>560000</v>
      </c>
      <c r="X114" s="459">
        <f t="shared" si="196"/>
        <v>36666.666666666664</v>
      </c>
      <c r="Z114" s="145">
        <v>20</v>
      </c>
      <c r="NO114" s="1"/>
      <c r="RY114" s="459"/>
    </row>
    <row r="115" spans="2:493" s="145" customFormat="1" hidden="1">
      <c r="B115" s="145">
        <v>21</v>
      </c>
      <c r="C115" s="459"/>
      <c r="D115" s="459"/>
      <c r="N115" s="145">
        <v>21</v>
      </c>
      <c r="O115" s="459">
        <f t="shared" si="191"/>
        <v>1785000</v>
      </c>
      <c r="P115" s="459">
        <f t="shared" si="192"/>
        <v>132999.99999999997</v>
      </c>
      <c r="R115" s="145">
        <v>21</v>
      </c>
      <c r="S115" s="459">
        <f t="shared" si="193"/>
        <v>644000</v>
      </c>
      <c r="T115" s="489">
        <f t="shared" si="194"/>
        <v>35000.000000000007</v>
      </c>
      <c r="V115" s="145">
        <v>21</v>
      </c>
      <c r="W115" s="459">
        <f t="shared" si="195"/>
        <v>588000</v>
      </c>
      <c r="X115" s="459">
        <f t="shared" si="196"/>
        <v>38500</v>
      </c>
      <c r="Z115" s="145">
        <v>21</v>
      </c>
      <c r="NO115" s="1"/>
      <c r="RY115" s="459"/>
    </row>
    <row r="116" spans="2:493" s="145" customFormat="1" hidden="1">
      <c r="B116" s="145">
        <v>22</v>
      </c>
      <c r="C116" s="459"/>
      <c r="D116" s="459"/>
      <c r="N116" s="145">
        <v>22</v>
      </c>
      <c r="O116" s="459">
        <f t="shared" si="191"/>
        <v>1870000</v>
      </c>
      <c r="P116" s="459">
        <f t="shared" si="192"/>
        <v>139333.33333333331</v>
      </c>
      <c r="R116" s="145">
        <v>22</v>
      </c>
      <c r="S116" s="459">
        <f t="shared" si="193"/>
        <v>674666.66666666663</v>
      </c>
      <c r="T116" s="489">
        <f t="shared" si="194"/>
        <v>36666.666666666672</v>
      </c>
      <c r="V116" s="145">
        <v>22</v>
      </c>
      <c r="W116" s="459">
        <f t="shared" si="195"/>
        <v>616000</v>
      </c>
      <c r="X116" s="459">
        <f t="shared" si="196"/>
        <v>40333.333333333336</v>
      </c>
      <c r="Z116" s="145">
        <v>22</v>
      </c>
      <c r="NO116" s="1"/>
      <c r="RY116" s="459"/>
    </row>
    <row r="117" spans="2:493" s="145" customFormat="1" hidden="1">
      <c r="B117" s="145">
        <v>23</v>
      </c>
      <c r="C117" s="459"/>
      <c r="D117" s="459"/>
      <c r="N117" s="145">
        <v>23</v>
      </c>
      <c r="O117" s="459">
        <f t="shared" si="191"/>
        <v>1955000</v>
      </c>
      <c r="P117" s="459">
        <f t="shared" si="192"/>
        <v>145666.66666666666</v>
      </c>
      <c r="R117" s="145">
        <v>23</v>
      </c>
      <c r="S117" s="459">
        <f t="shared" si="193"/>
        <v>705333.33333333326</v>
      </c>
      <c r="T117" s="489">
        <f t="shared" si="194"/>
        <v>38333.333333333336</v>
      </c>
      <c r="V117" s="145">
        <v>23</v>
      </c>
      <c r="W117" s="459">
        <f t="shared" si="195"/>
        <v>644000</v>
      </c>
      <c r="X117" s="459">
        <f t="shared" si="196"/>
        <v>42166.666666666672</v>
      </c>
      <c r="Y117" s="459"/>
      <c r="Z117" s="145">
        <v>23</v>
      </c>
      <c r="NO117" s="1"/>
      <c r="RY117" s="459"/>
    </row>
    <row r="118" spans="2:493" s="145" customFormat="1" hidden="1">
      <c r="B118" s="145">
        <v>24</v>
      </c>
      <c r="C118" s="459"/>
      <c r="D118" s="459"/>
      <c r="N118" s="145">
        <v>24</v>
      </c>
      <c r="O118" s="459">
        <f t="shared" si="191"/>
        <v>2040000</v>
      </c>
      <c r="P118" s="459">
        <f t="shared" si="192"/>
        <v>152000</v>
      </c>
      <c r="R118" s="145">
        <v>24</v>
      </c>
      <c r="S118" s="459">
        <f t="shared" si="193"/>
        <v>735999.99999999988</v>
      </c>
      <c r="T118" s="489">
        <f t="shared" si="194"/>
        <v>40000</v>
      </c>
      <c r="V118" s="145">
        <v>24</v>
      </c>
      <c r="W118" s="459">
        <f t="shared" si="195"/>
        <v>672000</v>
      </c>
      <c r="X118" s="459">
        <f t="shared" si="196"/>
        <v>44000.000000000007</v>
      </c>
      <c r="Z118" s="145">
        <v>24</v>
      </c>
      <c r="NO118" s="1"/>
      <c r="RY118" s="459"/>
    </row>
    <row r="119" spans="2:493" s="145" customFormat="1" hidden="1">
      <c r="B119" s="145">
        <v>25</v>
      </c>
      <c r="C119" s="459"/>
      <c r="D119" s="459"/>
      <c r="N119" s="145">
        <v>25</v>
      </c>
      <c r="O119" s="459">
        <f t="shared" si="191"/>
        <v>2125000</v>
      </c>
      <c r="P119" s="459">
        <f t="shared" si="192"/>
        <v>158333.33333333334</v>
      </c>
      <c r="R119" s="145">
        <v>25</v>
      </c>
      <c r="S119" s="459">
        <f t="shared" si="193"/>
        <v>766666.66666666651</v>
      </c>
      <c r="T119" s="489">
        <f t="shared" si="194"/>
        <v>41666.666666666664</v>
      </c>
      <c r="V119" s="145">
        <v>25</v>
      </c>
      <c r="W119" s="459">
        <f t="shared" si="195"/>
        <v>700000</v>
      </c>
      <c r="X119" s="459">
        <f t="shared" si="196"/>
        <v>45833.333333333343</v>
      </c>
      <c r="Z119" s="145">
        <v>25</v>
      </c>
      <c r="NO119" s="1"/>
      <c r="RY119" s="459"/>
    </row>
    <row r="120" spans="2:493" s="145" customFormat="1" hidden="1">
      <c r="B120" s="145">
        <v>26</v>
      </c>
      <c r="C120" s="459"/>
      <c r="D120" s="459"/>
      <c r="N120" s="145">
        <v>26</v>
      </c>
      <c r="O120" s="459">
        <f t="shared" si="191"/>
        <v>2210000</v>
      </c>
      <c r="P120" s="459">
        <f t="shared" si="192"/>
        <v>164666.66666666669</v>
      </c>
      <c r="R120" s="145">
        <v>26</v>
      </c>
      <c r="S120" s="459">
        <f t="shared" si="193"/>
        <v>797333.33333333314</v>
      </c>
      <c r="T120" s="489">
        <f t="shared" si="194"/>
        <v>43333.333333333328</v>
      </c>
      <c r="V120" s="145">
        <v>26</v>
      </c>
      <c r="W120" s="459">
        <f t="shared" si="195"/>
        <v>728000</v>
      </c>
      <c r="X120" s="459">
        <f t="shared" si="196"/>
        <v>47666.666666666679</v>
      </c>
      <c r="Z120" s="145">
        <v>26</v>
      </c>
      <c r="NO120" s="1"/>
      <c r="RY120" s="459"/>
    </row>
    <row r="121" spans="2:493" s="145" customFormat="1" hidden="1">
      <c r="B121" s="145">
        <v>27</v>
      </c>
      <c r="C121" s="459"/>
      <c r="D121" s="459"/>
      <c r="N121" s="145">
        <v>27</v>
      </c>
      <c r="O121" s="459">
        <f t="shared" si="191"/>
        <v>2295000</v>
      </c>
      <c r="P121" s="459">
        <f t="shared" si="192"/>
        <v>171000.00000000003</v>
      </c>
      <c r="R121" s="145">
        <v>27</v>
      </c>
      <c r="S121" s="459">
        <f t="shared" si="193"/>
        <v>827999.99999999977</v>
      </c>
      <c r="T121" s="489">
        <f t="shared" si="194"/>
        <v>44999.999999999993</v>
      </c>
      <c r="V121" s="145">
        <v>27</v>
      </c>
      <c r="W121" s="459">
        <f t="shared" si="195"/>
        <v>756000</v>
      </c>
      <c r="X121" s="459">
        <f t="shared" si="196"/>
        <v>49500.000000000015</v>
      </c>
      <c r="Z121" s="145">
        <v>27</v>
      </c>
      <c r="NO121" s="1"/>
      <c r="RY121" s="459"/>
    </row>
    <row r="122" spans="2:493" s="145" customFormat="1" hidden="1">
      <c r="B122" s="145">
        <v>28</v>
      </c>
      <c r="C122" s="459"/>
      <c r="D122" s="459"/>
      <c r="N122" s="145">
        <v>28</v>
      </c>
      <c r="O122" s="459">
        <f t="shared" si="191"/>
        <v>2380000</v>
      </c>
      <c r="P122" s="459">
        <f t="shared" si="192"/>
        <v>177333.33333333337</v>
      </c>
      <c r="R122" s="145">
        <v>28</v>
      </c>
      <c r="S122" s="459">
        <f t="shared" si="193"/>
        <v>858666.6666666664</v>
      </c>
      <c r="T122" s="489">
        <f t="shared" si="194"/>
        <v>46666.666666666657</v>
      </c>
      <c r="V122" s="145">
        <v>28</v>
      </c>
      <c r="W122" s="459">
        <f t="shared" si="195"/>
        <v>784000</v>
      </c>
      <c r="X122" s="459">
        <f t="shared" si="196"/>
        <v>51333.33333333335</v>
      </c>
      <c r="Z122" s="145">
        <v>28</v>
      </c>
      <c r="NO122" s="1"/>
      <c r="RY122" s="459"/>
    </row>
    <row r="123" spans="2:493" s="145" customFormat="1" hidden="1">
      <c r="B123" s="145">
        <v>29</v>
      </c>
      <c r="C123" s="459"/>
      <c r="D123" s="459"/>
      <c r="N123" s="145">
        <v>29</v>
      </c>
      <c r="O123" s="459">
        <f t="shared" si="191"/>
        <v>2465000</v>
      </c>
      <c r="P123" s="459">
        <f t="shared" si="192"/>
        <v>183666.66666666672</v>
      </c>
      <c r="R123" s="145">
        <v>29</v>
      </c>
      <c r="S123" s="459">
        <f t="shared" si="193"/>
        <v>889333.33333333302</v>
      </c>
      <c r="T123" s="489">
        <f t="shared" si="194"/>
        <v>48333.333333333321</v>
      </c>
      <c r="V123" s="145">
        <v>29</v>
      </c>
      <c r="W123" s="459">
        <f t="shared" si="195"/>
        <v>812000</v>
      </c>
      <c r="X123" s="459">
        <f t="shared" si="196"/>
        <v>53166.666666666686</v>
      </c>
      <c r="Z123" s="145">
        <v>29</v>
      </c>
      <c r="NO123" s="1"/>
      <c r="RY123" s="459"/>
    </row>
    <row r="124" spans="2:493" s="145" customFormat="1" hidden="1">
      <c r="B124" s="145">
        <v>30</v>
      </c>
      <c r="C124" s="459"/>
      <c r="D124" s="459"/>
      <c r="N124" s="145">
        <v>30</v>
      </c>
      <c r="O124" s="459">
        <f t="shared" si="191"/>
        <v>2550000</v>
      </c>
      <c r="P124" s="459">
        <f t="shared" si="192"/>
        <v>190000.00000000006</v>
      </c>
      <c r="R124" s="145">
        <v>30</v>
      </c>
      <c r="S124" s="459">
        <f t="shared" si="193"/>
        <v>919999.99999999965</v>
      </c>
      <c r="T124" s="489">
        <f t="shared" si="194"/>
        <v>49999.999999999985</v>
      </c>
      <c r="V124" s="145">
        <v>30</v>
      </c>
      <c r="W124" s="459">
        <f t="shared" si="195"/>
        <v>840000</v>
      </c>
      <c r="X124" s="459">
        <f t="shared" si="196"/>
        <v>55000.000000000022</v>
      </c>
      <c r="Z124" s="145">
        <v>29</v>
      </c>
      <c r="NO124" s="1"/>
      <c r="RY124" s="459"/>
    </row>
    <row r="125" spans="2:493" hidden="1">
      <c r="B125" s="145">
        <v>31</v>
      </c>
      <c r="C125" s="459"/>
      <c r="D125" s="459"/>
      <c r="N125" s="145">
        <v>31</v>
      </c>
      <c r="O125" s="459">
        <f t="shared" si="191"/>
        <v>2635000</v>
      </c>
      <c r="P125" s="459">
        <f t="shared" si="192"/>
        <v>196333.3333333334</v>
      </c>
      <c r="Q125" s="985"/>
      <c r="R125" s="145">
        <v>31</v>
      </c>
      <c r="S125" s="459">
        <f t="shared" si="193"/>
        <v>950666.66666666628</v>
      </c>
      <c r="T125" s="489">
        <f t="shared" si="194"/>
        <v>51666.66666666665</v>
      </c>
      <c r="U125" s="985"/>
      <c r="V125" s="145">
        <v>31</v>
      </c>
      <c r="W125" s="459">
        <f t="shared" si="195"/>
        <v>868000</v>
      </c>
      <c r="X125" s="459">
        <f t="shared" si="196"/>
        <v>56833.333333333358</v>
      </c>
      <c r="Y125" s="145"/>
      <c r="Z125" s="145">
        <v>29</v>
      </c>
      <c r="NO125" s="1"/>
      <c r="RY125" s="1"/>
    </row>
    <row r="126" spans="2:493" hidden="1">
      <c r="NO126" s="1"/>
      <c r="RY126" s="1"/>
    </row>
    <row r="127" spans="2:493" hidden="1">
      <c r="NO127" s="1"/>
      <c r="RY127" s="1"/>
    </row>
    <row r="128" spans="2:493" hidden="1">
      <c r="NO128" s="1"/>
      <c r="RY128" s="1"/>
    </row>
    <row r="129" spans="2:493" hidden="1">
      <c r="NO129" s="1"/>
      <c r="RY129" s="1"/>
    </row>
    <row r="130" spans="2:493" hidden="1">
      <c r="NO130" s="1"/>
      <c r="RY130" s="1"/>
    </row>
    <row r="131" spans="2:493" hidden="1">
      <c r="P131" s="887"/>
      <c r="NO131" s="1"/>
      <c r="RY131" s="1"/>
    </row>
    <row r="132" spans="2:493" hidden="1">
      <c r="O132" s="347">
        <f>'Summary TIS'!AC3/30</f>
        <v>31081.674070223416</v>
      </c>
      <c r="P132" s="347">
        <f>'Summary TIS'!AC8/30</f>
        <v>1833.3333333333333</v>
      </c>
      <c r="NO132" s="1"/>
      <c r="RY132" s="1"/>
    </row>
    <row r="133" spans="2:493" hidden="1">
      <c r="O133" s="347"/>
      <c r="P133" s="347"/>
      <c r="NO133" s="1"/>
      <c r="RY133" s="1"/>
    </row>
    <row r="134" spans="2:493" ht="23.4" hidden="1">
      <c r="C134" s="1075"/>
      <c r="O134" s="347"/>
      <c r="P134" s="347"/>
      <c r="NO134" s="1"/>
      <c r="RY134" s="1"/>
    </row>
    <row r="135" spans="2:493" hidden="1">
      <c r="O135" s="2161">
        <v>31081.674070223416</v>
      </c>
      <c r="P135" s="2161">
        <v>1833.3333333333333</v>
      </c>
      <c r="NO135" s="1"/>
      <c r="RY135" s="1"/>
    </row>
    <row r="136" spans="2:493" hidden="1">
      <c r="B136">
        <v>1</v>
      </c>
      <c r="N136">
        <v>1</v>
      </c>
      <c r="O136" s="1067">
        <f>O135</f>
        <v>31081.674070223416</v>
      </c>
      <c r="P136" s="1067">
        <f>P135</f>
        <v>1833.3333333333333</v>
      </c>
      <c r="NO136" s="1"/>
      <c r="RY136" s="1"/>
    </row>
    <row r="137" spans="2:493" hidden="1">
      <c r="B137">
        <v>2</v>
      </c>
      <c r="N137">
        <v>2</v>
      </c>
      <c r="O137" s="1067">
        <f t="shared" ref="O137:O166" si="197">O136+($O$135)</f>
        <v>62163.348140446833</v>
      </c>
      <c r="P137" s="1067">
        <f t="shared" ref="P137:P166" si="198">P136+($P$135)</f>
        <v>3666.6666666666665</v>
      </c>
      <c r="T137">
        <f>74000/31</f>
        <v>2387.0967741935483</v>
      </c>
      <c r="NO137" s="1"/>
      <c r="RY137" s="1"/>
    </row>
    <row r="138" spans="2:493" hidden="1">
      <c r="B138">
        <v>3</v>
      </c>
      <c r="N138">
        <v>3</v>
      </c>
      <c r="O138" s="1067">
        <f t="shared" si="197"/>
        <v>93245.022210670257</v>
      </c>
      <c r="P138" s="1067">
        <f t="shared" si="198"/>
        <v>5500</v>
      </c>
      <c r="NO138" s="1"/>
      <c r="RY138" s="1"/>
    </row>
    <row r="139" spans="2:493" hidden="1">
      <c r="B139">
        <v>4</v>
      </c>
      <c r="N139">
        <v>4</v>
      </c>
      <c r="O139" s="1067">
        <f t="shared" si="197"/>
        <v>124326.69628089367</v>
      </c>
      <c r="P139" s="1067">
        <f t="shared" si="198"/>
        <v>7333.333333333333</v>
      </c>
      <c r="NO139" s="1"/>
      <c r="RY139" s="1"/>
    </row>
    <row r="140" spans="2:493" hidden="1">
      <c r="B140">
        <v>5</v>
      </c>
      <c r="N140">
        <v>5</v>
      </c>
      <c r="O140" s="1067">
        <f t="shared" si="197"/>
        <v>155408.37035111708</v>
      </c>
      <c r="P140" s="1067">
        <f t="shared" si="198"/>
        <v>9166.6666666666661</v>
      </c>
      <c r="NO140" s="1"/>
      <c r="RY140" s="1"/>
    </row>
    <row r="141" spans="2:493" hidden="1">
      <c r="B141">
        <v>6</v>
      </c>
      <c r="N141">
        <v>6</v>
      </c>
      <c r="O141" s="1067">
        <f t="shared" si="197"/>
        <v>186490.04442134048</v>
      </c>
      <c r="P141" s="1067">
        <f t="shared" si="198"/>
        <v>11000</v>
      </c>
      <c r="NO141" s="1"/>
      <c r="RY141" s="1"/>
    </row>
    <row r="142" spans="2:493" hidden="1">
      <c r="B142">
        <v>7</v>
      </c>
      <c r="N142">
        <v>7</v>
      </c>
      <c r="O142" s="1067">
        <f t="shared" si="197"/>
        <v>217571.71849156389</v>
      </c>
      <c r="P142" s="1067">
        <f t="shared" si="198"/>
        <v>12833.333333333334</v>
      </c>
      <c r="NO142" s="1"/>
      <c r="RY142" s="1"/>
    </row>
    <row r="143" spans="2:493" hidden="1">
      <c r="B143">
        <v>8</v>
      </c>
      <c r="N143">
        <v>8</v>
      </c>
      <c r="O143" s="1067">
        <f t="shared" si="197"/>
        <v>248653.3925617873</v>
      </c>
      <c r="P143" s="1067">
        <f t="shared" si="198"/>
        <v>14666.666666666668</v>
      </c>
      <c r="NO143" s="1"/>
      <c r="RY143" s="1"/>
    </row>
    <row r="144" spans="2:493" hidden="1">
      <c r="B144">
        <v>9</v>
      </c>
      <c r="N144">
        <v>9</v>
      </c>
      <c r="O144" s="1067">
        <f t="shared" si="197"/>
        <v>279735.06663201074</v>
      </c>
      <c r="P144" s="1067">
        <f t="shared" si="198"/>
        <v>16500</v>
      </c>
      <c r="NO144" s="1"/>
      <c r="RY144" s="1"/>
    </row>
    <row r="145" spans="2:493" hidden="1">
      <c r="B145">
        <v>10</v>
      </c>
      <c r="N145">
        <v>10</v>
      </c>
      <c r="O145" s="1067">
        <f t="shared" si="197"/>
        <v>310816.74070223415</v>
      </c>
      <c r="P145" s="1067">
        <f t="shared" si="198"/>
        <v>18333.333333333332</v>
      </c>
      <c r="NO145" s="1"/>
      <c r="RY145" s="1"/>
    </row>
    <row r="146" spans="2:493" hidden="1">
      <c r="B146">
        <v>11</v>
      </c>
      <c r="N146">
        <v>11</v>
      </c>
      <c r="O146" s="1067">
        <f t="shared" si="197"/>
        <v>341898.41477245756</v>
      </c>
      <c r="P146" s="1067">
        <f t="shared" si="198"/>
        <v>20166.666666666664</v>
      </c>
      <c r="NO146" s="1"/>
      <c r="RY146" s="1"/>
    </row>
    <row r="147" spans="2:493" hidden="1">
      <c r="B147">
        <v>12</v>
      </c>
      <c r="N147">
        <v>12</v>
      </c>
      <c r="O147" s="1067">
        <f t="shared" si="197"/>
        <v>372980.08884268097</v>
      </c>
      <c r="P147" s="1067">
        <f t="shared" si="198"/>
        <v>21999.999999999996</v>
      </c>
      <c r="NO147" s="1"/>
      <c r="RY147" s="1"/>
    </row>
    <row r="148" spans="2:493" hidden="1">
      <c r="B148">
        <v>13</v>
      </c>
      <c r="N148">
        <v>13</v>
      </c>
      <c r="O148" s="1067">
        <f t="shared" si="197"/>
        <v>404061.76291290438</v>
      </c>
      <c r="P148" s="1067">
        <f t="shared" si="198"/>
        <v>23833.333333333328</v>
      </c>
      <c r="NO148" s="1"/>
      <c r="RY148" s="1"/>
    </row>
    <row r="149" spans="2:493" hidden="1">
      <c r="B149">
        <v>14</v>
      </c>
      <c r="N149">
        <v>14</v>
      </c>
      <c r="O149" s="1067">
        <f t="shared" si="197"/>
        <v>435143.43698312779</v>
      </c>
      <c r="P149" s="1067">
        <f t="shared" si="198"/>
        <v>25666.666666666661</v>
      </c>
      <c r="NO149" s="1"/>
      <c r="RY149" s="1"/>
    </row>
    <row r="150" spans="2:493" hidden="1">
      <c r="B150">
        <v>15</v>
      </c>
      <c r="N150">
        <v>15</v>
      </c>
      <c r="O150" s="1067">
        <f t="shared" si="197"/>
        <v>466225.1110533512</v>
      </c>
      <c r="P150" s="1067">
        <f t="shared" si="198"/>
        <v>27499.999999999993</v>
      </c>
      <c r="NO150" s="1"/>
      <c r="RY150" s="1"/>
    </row>
    <row r="151" spans="2:493" hidden="1">
      <c r="B151">
        <v>16</v>
      </c>
      <c r="N151">
        <v>16</v>
      </c>
      <c r="O151" s="1067">
        <f t="shared" si="197"/>
        <v>497306.78512357461</v>
      </c>
      <c r="P151" s="1067">
        <f t="shared" si="198"/>
        <v>29333.333333333325</v>
      </c>
      <c r="NO151" s="1"/>
      <c r="RY151" s="1"/>
    </row>
    <row r="152" spans="2:493" hidden="1">
      <c r="B152">
        <v>17</v>
      </c>
      <c r="N152">
        <v>17</v>
      </c>
      <c r="O152" s="1067">
        <f t="shared" si="197"/>
        <v>528388.45919379801</v>
      </c>
      <c r="P152" s="1067">
        <f t="shared" si="198"/>
        <v>31166.666666666657</v>
      </c>
      <c r="NO152" s="1"/>
      <c r="RY152" s="1"/>
    </row>
    <row r="153" spans="2:493" hidden="1">
      <c r="B153">
        <v>18</v>
      </c>
      <c r="N153">
        <v>18</v>
      </c>
      <c r="O153" s="1067">
        <f t="shared" si="197"/>
        <v>559470.13326402148</v>
      </c>
      <c r="P153" s="1067">
        <f t="shared" si="198"/>
        <v>32999.999999999993</v>
      </c>
      <c r="NO153" s="1"/>
      <c r="RY153" s="1"/>
    </row>
    <row r="154" spans="2:493" hidden="1">
      <c r="B154">
        <v>19</v>
      </c>
      <c r="N154">
        <v>19</v>
      </c>
      <c r="O154" s="1067">
        <f t="shared" si="197"/>
        <v>590551.80733424495</v>
      </c>
      <c r="P154" s="1067">
        <f t="shared" si="198"/>
        <v>34833.333333333328</v>
      </c>
      <c r="NO154" s="1"/>
      <c r="RY154" s="1"/>
    </row>
    <row r="155" spans="2:493" hidden="1">
      <c r="B155">
        <v>20</v>
      </c>
      <c r="N155">
        <v>20</v>
      </c>
      <c r="O155" s="1067">
        <f t="shared" si="197"/>
        <v>621633.48140446842</v>
      </c>
      <c r="P155" s="1067">
        <f t="shared" si="198"/>
        <v>36666.666666666664</v>
      </c>
      <c r="NO155" s="1"/>
      <c r="RY155" s="1"/>
    </row>
    <row r="156" spans="2:493" hidden="1">
      <c r="B156">
        <v>21</v>
      </c>
      <c r="N156">
        <v>21</v>
      </c>
      <c r="O156" s="1067">
        <f t="shared" si="197"/>
        <v>652715.15547469188</v>
      </c>
      <c r="P156" s="1067">
        <f t="shared" si="198"/>
        <v>38500</v>
      </c>
      <c r="NO156" s="1"/>
      <c r="RY156" s="1"/>
    </row>
    <row r="157" spans="2:493" hidden="1">
      <c r="B157">
        <v>22</v>
      </c>
      <c r="N157">
        <v>22</v>
      </c>
      <c r="O157" s="1067">
        <f t="shared" si="197"/>
        <v>683796.82954491535</v>
      </c>
      <c r="P157" s="1067">
        <f t="shared" si="198"/>
        <v>40333.333333333336</v>
      </c>
      <c r="NO157" s="1"/>
      <c r="RY157" s="1"/>
    </row>
    <row r="158" spans="2:493" hidden="1">
      <c r="B158">
        <v>23</v>
      </c>
      <c r="N158">
        <v>23</v>
      </c>
      <c r="O158" s="1067">
        <f t="shared" si="197"/>
        <v>714878.50361513882</v>
      </c>
      <c r="P158" s="1067">
        <f t="shared" si="198"/>
        <v>42166.666666666672</v>
      </c>
      <c r="NO158" s="1"/>
      <c r="RY158" s="1"/>
    </row>
    <row r="159" spans="2:493" hidden="1">
      <c r="B159">
        <v>24</v>
      </c>
      <c r="N159">
        <v>24</v>
      </c>
      <c r="O159" s="1067">
        <f t="shared" si="197"/>
        <v>745960.17768536229</v>
      </c>
      <c r="P159" s="1067">
        <f t="shared" si="198"/>
        <v>44000.000000000007</v>
      </c>
      <c r="NO159" s="1"/>
      <c r="RY159" s="1"/>
    </row>
    <row r="160" spans="2:493" hidden="1">
      <c r="B160">
        <v>25</v>
      </c>
      <c r="N160">
        <v>25</v>
      </c>
      <c r="O160" s="1067">
        <f t="shared" si="197"/>
        <v>777041.85175558575</v>
      </c>
      <c r="P160" s="1067">
        <f t="shared" si="198"/>
        <v>45833.333333333343</v>
      </c>
      <c r="NO160" s="1"/>
      <c r="RY160" s="1"/>
    </row>
    <row r="161" spans="2:493" hidden="1">
      <c r="B161">
        <v>26</v>
      </c>
      <c r="N161">
        <v>26</v>
      </c>
      <c r="O161" s="1067">
        <f t="shared" si="197"/>
        <v>808123.52582580922</v>
      </c>
      <c r="P161" s="1067">
        <f t="shared" si="198"/>
        <v>47666.666666666679</v>
      </c>
      <c r="NO161" s="1"/>
      <c r="RY161" s="1"/>
    </row>
    <row r="162" spans="2:493" hidden="1">
      <c r="B162">
        <v>27</v>
      </c>
      <c r="N162">
        <v>27</v>
      </c>
      <c r="O162" s="1067">
        <f t="shared" si="197"/>
        <v>839205.19989603269</v>
      </c>
      <c r="P162" s="1067">
        <f t="shared" si="198"/>
        <v>49500.000000000015</v>
      </c>
      <c r="NO162" s="1"/>
      <c r="RY162" s="1"/>
    </row>
    <row r="163" spans="2:493" hidden="1">
      <c r="B163">
        <v>28</v>
      </c>
      <c r="N163">
        <v>28</v>
      </c>
      <c r="O163" s="1067">
        <f t="shared" si="197"/>
        <v>870286.87396625616</v>
      </c>
      <c r="P163" s="1067">
        <f t="shared" si="198"/>
        <v>51333.33333333335</v>
      </c>
      <c r="NO163" s="1"/>
      <c r="RY163" s="1"/>
    </row>
    <row r="164" spans="2:493" hidden="1">
      <c r="B164">
        <v>29</v>
      </c>
      <c r="N164">
        <v>29</v>
      </c>
      <c r="O164" s="1067">
        <f t="shared" si="197"/>
        <v>901368.54803647962</v>
      </c>
      <c r="P164" s="1067">
        <f t="shared" si="198"/>
        <v>53166.666666666686</v>
      </c>
      <c r="NO164" s="1"/>
      <c r="RY164" s="1"/>
    </row>
    <row r="165" spans="2:493" hidden="1">
      <c r="B165">
        <v>30</v>
      </c>
      <c r="N165">
        <v>30</v>
      </c>
      <c r="O165" s="1067">
        <f t="shared" si="197"/>
        <v>932450.22210670309</v>
      </c>
      <c r="P165" s="1067">
        <f t="shared" si="198"/>
        <v>55000.000000000022</v>
      </c>
      <c r="NO165" s="1"/>
      <c r="RY165" s="1"/>
    </row>
    <row r="166" spans="2:493" hidden="1">
      <c r="B166">
        <v>31</v>
      </c>
      <c r="N166">
        <v>31</v>
      </c>
      <c r="O166" s="1067">
        <f t="shared" si="197"/>
        <v>963531.89617692656</v>
      </c>
      <c r="P166" s="1067">
        <f t="shared" si="198"/>
        <v>56833.333333333358</v>
      </c>
      <c r="NO166" s="1"/>
      <c r="RY166" s="1"/>
    </row>
    <row r="167" spans="2:493" hidden="1">
      <c r="O167" s="1067"/>
      <c r="P167" s="1067"/>
      <c r="NO167" s="1"/>
      <c r="RY167" s="1"/>
    </row>
    <row r="168" spans="2:493" hidden="1">
      <c r="O168" s="1067"/>
      <c r="P168" s="1067"/>
      <c r="NO168" s="1"/>
    </row>
    <row r="169" spans="2:493" hidden="1">
      <c r="O169" s="1067"/>
      <c r="P169" s="1067"/>
      <c r="NO169" s="1"/>
    </row>
    <row r="170" spans="2:493" hidden="1">
      <c r="O170" s="1067"/>
      <c r="P170" s="1067"/>
      <c r="NO170" s="1"/>
    </row>
    <row r="171" spans="2:493" hidden="1">
      <c r="O171" s="1067"/>
      <c r="P171" s="1067"/>
      <c r="NO171" s="1"/>
    </row>
    <row r="172" spans="2:493" hidden="1">
      <c r="O172" s="1067"/>
      <c r="P172" s="1067"/>
      <c r="NO172" s="1"/>
    </row>
    <row r="173" spans="2:493" hidden="1">
      <c r="O173" s="1067">
        <f>'June TIS'!C45/30</f>
        <v>32333.333333333332</v>
      </c>
      <c r="P173" s="1067">
        <f>'June TIS'!D45/30</f>
        <v>2000</v>
      </c>
      <c r="NO173" s="1"/>
    </row>
    <row r="174" spans="2:493" hidden="1">
      <c r="O174" s="1067"/>
      <c r="P174" s="1067"/>
      <c r="NO174" s="1"/>
    </row>
    <row r="175" spans="2:493" hidden="1">
      <c r="O175" s="1067"/>
      <c r="P175" s="1067"/>
      <c r="NO175" s="1"/>
    </row>
    <row r="176" spans="2:493" hidden="1">
      <c r="O176" s="1067"/>
      <c r="P176" s="1067"/>
      <c r="NO176" s="1"/>
    </row>
    <row r="177" spans="2:493" hidden="1">
      <c r="O177" s="2161">
        <v>32333.333333333332</v>
      </c>
      <c r="P177" s="2161">
        <v>2000</v>
      </c>
      <c r="Q177" s="887">
        <f>P177/31</f>
        <v>64.516129032258064</v>
      </c>
      <c r="NO177" s="1"/>
      <c r="RY177" s="1"/>
    </row>
    <row r="178" spans="2:493" hidden="1">
      <c r="B178">
        <v>1</v>
      </c>
      <c r="N178">
        <v>1</v>
      </c>
      <c r="O178" s="1067">
        <f>O177</f>
        <v>32333.333333333332</v>
      </c>
      <c r="P178" s="1067">
        <f>P177</f>
        <v>2000</v>
      </c>
      <c r="NO178" s="1"/>
      <c r="RY178" s="1"/>
    </row>
    <row r="179" spans="2:493" hidden="1">
      <c r="B179">
        <v>2</v>
      </c>
      <c r="N179">
        <v>2</v>
      </c>
      <c r="O179" s="1067">
        <f t="shared" ref="O179:O208" si="199">O178+($O$177)</f>
        <v>64666.666666666664</v>
      </c>
      <c r="P179" s="1067">
        <f t="shared" ref="P179:P208" si="200">P178+($P$177)</f>
        <v>4000</v>
      </c>
      <c r="NO179" s="1"/>
      <c r="RY179" s="1"/>
    </row>
    <row r="180" spans="2:493" hidden="1">
      <c r="B180">
        <v>3</v>
      </c>
      <c r="N180">
        <v>3</v>
      </c>
      <c r="O180" s="1067">
        <f t="shared" si="199"/>
        <v>97000</v>
      </c>
      <c r="P180" s="1067">
        <f t="shared" si="200"/>
        <v>6000</v>
      </c>
      <c r="NO180" s="1"/>
      <c r="RY180" s="1"/>
    </row>
    <row r="181" spans="2:493" hidden="1">
      <c r="B181">
        <v>4</v>
      </c>
      <c r="N181">
        <v>4</v>
      </c>
      <c r="O181" s="1067">
        <f t="shared" si="199"/>
        <v>129333.33333333333</v>
      </c>
      <c r="P181" s="1067">
        <f t="shared" si="200"/>
        <v>8000</v>
      </c>
      <c r="NO181" s="1"/>
      <c r="RY181" s="1"/>
    </row>
    <row r="182" spans="2:493" hidden="1">
      <c r="B182">
        <v>5</v>
      </c>
      <c r="N182">
        <v>5</v>
      </c>
      <c r="O182" s="1067">
        <f t="shared" si="199"/>
        <v>161666.66666666666</v>
      </c>
      <c r="P182" s="1067">
        <f t="shared" si="200"/>
        <v>10000</v>
      </c>
      <c r="NO182" s="1"/>
      <c r="RY182" s="1"/>
    </row>
    <row r="183" spans="2:493" hidden="1">
      <c r="B183">
        <v>6</v>
      </c>
      <c r="N183">
        <v>6</v>
      </c>
      <c r="O183" s="1067">
        <f t="shared" si="199"/>
        <v>194000</v>
      </c>
      <c r="P183" s="1067">
        <f t="shared" si="200"/>
        <v>12000</v>
      </c>
      <c r="NO183" s="1"/>
      <c r="RY183" s="1"/>
    </row>
    <row r="184" spans="2:493" hidden="1">
      <c r="B184">
        <v>7</v>
      </c>
      <c r="N184">
        <v>7</v>
      </c>
      <c r="O184" s="1067">
        <f t="shared" si="199"/>
        <v>226333.33333333334</v>
      </c>
      <c r="P184" s="1067">
        <f t="shared" si="200"/>
        <v>14000</v>
      </c>
      <c r="NO184" s="1"/>
      <c r="RY184" s="1"/>
    </row>
    <row r="185" spans="2:493" hidden="1">
      <c r="B185">
        <v>8</v>
      </c>
      <c r="N185">
        <v>8</v>
      </c>
      <c r="O185" s="1067">
        <f t="shared" si="199"/>
        <v>258666.66666666669</v>
      </c>
      <c r="P185" s="1067">
        <f t="shared" si="200"/>
        <v>16000</v>
      </c>
      <c r="NO185" s="1"/>
      <c r="RY185" s="1"/>
    </row>
    <row r="186" spans="2:493" hidden="1">
      <c r="B186">
        <v>9</v>
      </c>
      <c r="N186">
        <v>9</v>
      </c>
      <c r="O186" s="1067">
        <f t="shared" si="199"/>
        <v>291000</v>
      </c>
      <c r="P186" s="1067">
        <f t="shared" si="200"/>
        <v>18000</v>
      </c>
      <c r="NO186" s="1"/>
      <c r="RY186" s="1"/>
    </row>
    <row r="187" spans="2:493" hidden="1">
      <c r="B187">
        <v>10</v>
      </c>
      <c r="N187">
        <v>10</v>
      </c>
      <c r="O187" s="1067">
        <f t="shared" si="199"/>
        <v>323333.33333333331</v>
      </c>
      <c r="P187" s="1067">
        <f t="shared" si="200"/>
        <v>20000</v>
      </c>
      <c r="NO187" s="1"/>
      <c r="RY187" s="1"/>
    </row>
    <row r="188" spans="2:493" hidden="1">
      <c r="B188">
        <v>11</v>
      </c>
      <c r="N188">
        <v>11</v>
      </c>
      <c r="O188" s="1067">
        <f t="shared" si="199"/>
        <v>355666.66666666663</v>
      </c>
      <c r="P188" s="1067">
        <f t="shared" si="200"/>
        <v>22000</v>
      </c>
      <c r="NO188" s="1"/>
      <c r="RY188" s="1"/>
    </row>
    <row r="189" spans="2:493" hidden="1">
      <c r="B189">
        <v>12</v>
      </c>
      <c r="N189">
        <v>12</v>
      </c>
      <c r="O189" s="1067">
        <f t="shared" si="199"/>
        <v>387999.99999999994</v>
      </c>
      <c r="P189" s="1067">
        <f t="shared" si="200"/>
        <v>24000</v>
      </c>
      <c r="NO189" s="1"/>
      <c r="RY189" s="1"/>
    </row>
    <row r="190" spans="2:493" hidden="1">
      <c r="B190">
        <v>13</v>
      </c>
      <c r="N190">
        <v>13</v>
      </c>
      <c r="O190" s="1067">
        <f t="shared" si="199"/>
        <v>420333.33333333326</v>
      </c>
      <c r="P190" s="1067">
        <f t="shared" si="200"/>
        <v>26000</v>
      </c>
      <c r="NO190" s="1"/>
      <c r="RY190" s="1"/>
    </row>
    <row r="191" spans="2:493" hidden="1">
      <c r="B191">
        <v>14</v>
      </c>
      <c r="N191">
        <v>14</v>
      </c>
      <c r="O191" s="1067">
        <f t="shared" si="199"/>
        <v>452666.66666666657</v>
      </c>
      <c r="P191" s="1067">
        <f t="shared" si="200"/>
        <v>28000</v>
      </c>
      <c r="NO191" s="1"/>
      <c r="RY191" s="1"/>
    </row>
    <row r="192" spans="2:493" hidden="1">
      <c r="B192">
        <v>15</v>
      </c>
      <c r="N192">
        <v>15</v>
      </c>
      <c r="O192" s="1067">
        <f t="shared" si="199"/>
        <v>484999.99999999988</v>
      </c>
      <c r="P192" s="1067">
        <f t="shared" si="200"/>
        <v>30000</v>
      </c>
      <c r="NO192" s="1"/>
      <c r="RY192" s="1"/>
    </row>
    <row r="193" spans="2:493" hidden="1">
      <c r="B193">
        <v>16</v>
      </c>
      <c r="N193">
        <v>16</v>
      </c>
      <c r="O193" s="1067">
        <f t="shared" si="199"/>
        <v>517333.3333333332</v>
      </c>
      <c r="P193" s="1067">
        <f t="shared" si="200"/>
        <v>32000</v>
      </c>
      <c r="NO193" s="1"/>
      <c r="RY193" s="1"/>
    </row>
    <row r="194" spans="2:493" hidden="1">
      <c r="B194">
        <v>17</v>
      </c>
      <c r="N194">
        <v>17</v>
      </c>
      <c r="O194" s="1067">
        <f t="shared" si="199"/>
        <v>549666.66666666651</v>
      </c>
      <c r="P194" s="1067">
        <f t="shared" si="200"/>
        <v>34000</v>
      </c>
      <c r="NO194" s="1"/>
      <c r="RY194" s="1"/>
    </row>
    <row r="195" spans="2:493" hidden="1">
      <c r="B195">
        <v>18</v>
      </c>
      <c r="N195">
        <v>18</v>
      </c>
      <c r="O195" s="1067">
        <f t="shared" si="199"/>
        <v>581999.99999999988</v>
      </c>
      <c r="P195" s="1067">
        <f t="shared" si="200"/>
        <v>36000</v>
      </c>
      <c r="NO195" s="1"/>
      <c r="RY195" s="1"/>
    </row>
    <row r="196" spans="2:493" hidden="1">
      <c r="B196">
        <v>19</v>
      </c>
      <c r="N196">
        <v>19</v>
      </c>
      <c r="O196" s="1067">
        <f t="shared" si="199"/>
        <v>614333.33333333326</v>
      </c>
      <c r="P196" s="1067">
        <f t="shared" si="200"/>
        <v>38000</v>
      </c>
      <c r="NO196" s="1"/>
      <c r="RY196" s="1"/>
    </row>
    <row r="197" spans="2:493" hidden="1">
      <c r="B197">
        <v>20</v>
      </c>
      <c r="N197">
        <v>20</v>
      </c>
      <c r="O197" s="1067">
        <f t="shared" si="199"/>
        <v>646666.66666666663</v>
      </c>
      <c r="P197" s="1067">
        <f t="shared" si="200"/>
        <v>40000</v>
      </c>
      <c r="NO197" s="1"/>
      <c r="RY197" s="1"/>
    </row>
    <row r="198" spans="2:493" hidden="1">
      <c r="B198">
        <v>21</v>
      </c>
      <c r="N198">
        <v>21</v>
      </c>
      <c r="O198" s="1067">
        <f t="shared" si="199"/>
        <v>679000</v>
      </c>
      <c r="P198" s="1067">
        <f t="shared" si="200"/>
        <v>42000</v>
      </c>
      <c r="NO198" s="1"/>
      <c r="RY198" s="1"/>
    </row>
    <row r="199" spans="2:493" hidden="1">
      <c r="B199">
        <v>22</v>
      </c>
      <c r="N199">
        <v>22</v>
      </c>
      <c r="O199" s="1067">
        <f t="shared" si="199"/>
        <v>711333.33333333337</v>
      </c>
      <c r="P199" s="1067">
        <f t="shared" si="200"/>
        <v>44000</v>
      </c>
      <c r="NO199" s="1"/>
      <c r="RY199" s="1"/>
    </row>
    <row r="200" spans="2:493" hidden="1">
      <c r="B200">
        <v>23</v>
      </c>
      <c r="N200">
        <v>23</v>
      </c>
      <c r="O200" s="1067">
        <f t="shared" si="199"/>
        <v>743666.66666666674</v>
      </c>
      <c r="P200" s="1067">
        <f t="shared" si="200"/>
        <v>46000</v>
      </c>
      <c r="NO200" s="1"/>
      <c r="RY200" s="1"/>
    </row>
    <row r="201" spans="2:493" hidden="1">
      <c r="B201">
        <v>24</v>
      </c>
      <c r="N201">
        <v>24</v>
      </c>
      <c r="O201" s="1067">
        <f t="shared" si="199"/>
        <v>776000.00000000012</v>
      </c>
      <c r="P201" s="1067">
        <f t="shared" si="200"/>
        <v>48000</v>
      </c>
      <c r="NO201" s="1"/>
      <c r="RY201" s="1"/>
    </row>
    <row r="202" spans="2:493" hidden="1">
      <c r="B202">
        <v>25</v>
      </c>
      <c r="N202">
        <v>25</v>
      </c>
      <c r="O202" s="1067">
        <f t="shared" si="199"/>
        <v>808333.33333333349</v>
      </c>
      <c r="P202" s="1067">
        <f t="shared" si="200"/>
        <v>50000</v>
      </c>
      <c r="NO202" s="1"/>
      <c r="RY202" s="1"/>
    </row>
    <row r="203" spans="2:493" hidden="1">
      <c r="B203">
        <v>26</v>
      </c>
      <c r="N203">
        <v>26</v>
      </c>
      <c r="O203" s="1067">
        <f t="shared" si="199"/>
        <v>840666.66666666686</v>
      </c>
      <c r="P203" s="1067">
        <f t="shared" si="200"/>
        <v>52000</v>
      </c>
      <c r="NO203" s="1"/>
      <c r="RY203" s="1"/>
    </row>
    <row r="204" spans="2:493" hidden="1">
      <c r="B204">
        <v>27</v>
      </c>
      <c r="N204">
        <v>27</v>
      </c>
      <c r="O204" s="1067">
        <f t="shared" si="199"/>
        <v>873000.00000000023</v>
      </c>
      <c r="P204" s="1067">
        <f t="shared" si="200"/>
        <v>54000</v>
      </c>
      <c r="NO204" s="1"/>
      <c r="RY204" s="1"/>
    </row>
    <row r="205" spans="2:493" hidden="1">
      <c r="B205">
        <v>28</v>
      </c>
      <c r="N205">
        <v>28</v>
      </c>
      <c r="O205" s="1067">
        <f t="shared" si="199"/>
        <v>905333.3333333336</v>
      </c>
      <c r="P205" s="1067">
        <f t="shared" si="200"/>
        <v>56000</v>
      </c>
      <c r="NO205" s="1"/>
      <c r="RY205" s="1"/>
    </row>
    <row r="206" spans="2:493" hidden="1">
      <c r="B206">
        <v>29</v>
      </c>
      <c r="N206">
        <v>29</v>
      </c>
      <c r="O206" s="1067">
        <f t="shared" si="199"/>
        <v>937666.66666666698</v>
      </c>
      <c r="P206" s="1067">
        <f t="shared" si="200"/>
        <v>58000</v>
      </c>
      <c r="NO206" s="1"/>
      <c r="RY206" s="1"/>
    </row>
    <row r="207" spans="2:493" hidden="1">
      <c r="B207">
        <v>30</v>
      </c>
      <c r="N207">
        <v>30</v>
      </c>
      <c r="O207" s="1067">
        <f t="shared" si="199"/>
        <v>970000.00000000035</v>
      </c>
      <c r="P207" s="1067">
        <f t="shared" si="200"/>
        <v>60000</v>
      </c>
      <c r="NO207" s="1"/>
      <c r="RY207" s="1"/>
    </row>
    <row r="208" spans="2:493" hidden="1">
      <c r="B208">
        <v>31</v>
      </c>
      <c r="N208">
        <v>31</v>
      </c>
      <c r="O208" s="1067">
        <f t="shared" si="199"/>
        <v>1002333.3333333337</v>
      </c>
      <c r="P208" s="1067">
        <f t="shared" si="200"/>
        <v>62000</v>
      </c>
      <c r="NO208" s="1"/>
      <c r="RY208" s="1"/>
    </row>
    <row r="209" spans="15:493">
      <c r="O209" s="1067"/>
      <c r="P209" s="1067"/>
      <c r="DL209" s="1"/>
      <c r="DM209" s="1"/>
      <c r="JI209" s="887">
        <f>JI48/13</f>
        <v>-1252.8446153846162</v>
      </c>
      <c r="JJ209" s="887">
        <f>JJ48/13</f>
        <v>1199.6061538461543</v>
      </c>
      <c r="NO209" s="1"/>
      <c r="RY209" s="1"/>
    </row>
    <row r="210" spans="15:493">
      <c r="O210" s="1067"/>
      <c r="P210" s="1067"/>
      <c r="AA210" s="1"/>
      <c r="AB210" s="887">
        <f>(AB43+X43)/30</f>
        <v>1833.3333333333333</v>
      </c>
      <c r="BM210" s="887">
        <f>BM43/30</f>
        <v>1666.6666666666667</v>
      </c>
      <c r="BN210" s="887"/>
      <c r="BQ210" s="887" t="e">
        <f>#REF!/30</f>
        <v>#REF!</v>
      </c>
      <c r="BW210" s="887">
        <f>BW43/30</f>
        <v>1833.3333333333333</v>
      </c>
      <c r="DL210" s="1"/>
      <c r="DM210" s="1"/>
      <c r="NO210" s="1"/>
      <c r="RY210" s="1"/>
    </row>
    <row r="211" spans="15:493">
      <c r="O211" s="1067"/>
      <c r="P211" s="1067"/>
      <c r="BZ211" s="887">
        <f>BZ43/30</f>
        <v>0</v>
      </c>
      <c r="DL211" s="1"/>
      <c r="DM211" s="1"/>
      <c r="JL211" s="887"/>
      <c r="JM211" s="1"/>
      <c r="LY211" s="1074"/>
      <c r="NO211" s="1"/>
      <c r="RY211" s="1"/>
    </row>
    <row r="212" spans="15:493">
      <c r="O212" s="1067"/>
      <c r="P212" s="1067"/>
      <c r="AB212" s="887">
        <f>X41+AB41</f>
        <v>40882</v>
      </c>
      <c r="DL212" s="1"/>
      <c r="DM212" s="1"/>
      <c r="JM212" s="887"/>
      <c r="NO212" s="1"/>
      <c r="RY212" s="1"/>
    </row>
    <row r="213" spans="15:493">
      <c r="O213" s="1067"/>
      <c r="P213" s="1067"/>
      <c r="DL213" s="1"/>
      <c r="DM213" s="1"/>
      <c r="GS213" s="887"/>
      <c r="NO213" s="1"/>
      <c r="RY213" s="1"/>
    </row>
    <row r="214" spans="15:493">
      <c r="O214" s="1067"/>
      <c r="P214" s="1067"/>
      <c r="DL214" s="1"/>
      <c r="DM214" s="1"/>
      <c r="NO214" s="1"/>
    </row>
    <row r="215" spans="15:493">
      <c r="O215" s="1067"/>
      <c r="P215" s="1067"/>
      <c r="DL215" s="1"/>
      <c r="DM215" s="1"/>
      <c r="NO215" s="1"/>
    </row>
    <row r="216" spans="15:493">
      <c r="O216" s="1067"/>
      <c r="P216" s="1067"/>
      <c r="DL216" s="1"/>
      <c r="DM216" s="1"/>
      <c r="NO216" s="1"/>
    </row>
    <row r="217" spans="15:493">
      <c r="O217" s="1067"/>
      <c r="P217" s="1067"/>
      <c r="DL217" s="1"/>
      <c r="DM217" s="1"/>
      <c r="NO217" s="1"/>
    </row>
    <row r="218" spans="15:493">
      <c r="O218" s="1067"/>
      <c r="P218" s="1067"/>
      <c r="DL218" s="1"/>
      <c r="DM218" s="1"/>
      <c r="NO218" s="1"/>
    </row>
    <row r="219" spans="15:493">
      <c r="O219" s="1067"/>
      <c r="P219" s="1067"/>
      <c r="DL219" s="1"/>
      <c r="DM219" s="1"/>
      <c r="NO219" s="1"/>
    </row>
    <row r="220" spans="15:493">
      <c r="O220" s="1067"/>
      <c r="P220" s="1067"/>
      <c r="DL220" s="1"/>
      <c r="DM220" s="1"/>
      <c r="NO220" s="1"/>
    </row>
    <row r="221" spans="15:493">
      <c r="O221" s="1067"/>
      <c r="P221" s="1067"/>
      <c r="DL221" s="1"/>
      <c r="DM221" s="1"/>
      <c r="NO221" s="1"/>
    </row>
    <row r="222" spans="15:493">
      <c r="O222" s="1067"/>
      <c r="P222" s="1067"/>
      <c r="DL222" s="1"/>
      <c r="DM222" s="1"/>
      <c r="NO222" s="1"/>
    </row>
    <row r="223" spans="15:493">
      <c r="O223" s="1067"/>
      <c r="P223" s="1067"/>
      <c r="DL223" s="1"/>
      <c r="DM223" s="1"/>
      <c r="NO223" s="1"/>
    </row>
    <row r="224" spans="15:493">
      <c r="O224" s="1067"/>
      <c r="P224" s="1067"/>
      <c r="DL224" s="1"/>
      <c r="DM224" s="1"/>
      <c r="JI224" s="887">
        <f>JI43/31</f>
        <v>4838.7096774193551</v>
      </c>
      <c r="NO224" s="1"/>
    </row>
    <row r="225" spans="15:379">
      <c r="O225" s="1067"/>
      <c r="P225" s="1067"/>
      <c r="DL225" s="1"/>
      <c r="DM225" s="1"/>
      <c r="NO225" s="1"/>
    </row>
    <row r="226" spans="15:379">
      <c r="O226" s="1067"/>
      <c r="P226" s="1067"/>
      <c r="DL226" s="1"/>
      <c r="DM226" s="1"/>
      <c r="NO226" s="1"/>
    </row>
    <row r="227" spans="15:379">
      <c r="O227" s="1067"/>
      <c r="P227" s="1067"/>
      <c r="DL227" s="1"/>
      <c r="DM227" s="1"/>
      <c r="NO227" s="1"/>
    </row>
    <row r="228" spans="15:379">
      <c r="O228" s="1067"/>
      <c r="P228" s="1067"/>
      <c r="T228" s="887">
        <f>P41+T41+AB41</f>
        <v>266112.94999999995</v>
      </c>
      <c r="DL228" s="1"/>
      <c r="DM228" s="1"/>
      <c r="NO228" s="1"/>
    </row>
    <row r="229" spans="15:379">
      <c r="O229" s="1067"/>
      <c r="P229" s="1067"/>
      <c r="DL229" s="1"/>
      <c r="DM229" s="1"/>
      <c r="NO229" s="1"/>
    </row>
    <row r="230" spans="15:379">
      <c r="O230" s="1067"/>
      <c r="P230" s="1067"/>
      <c r="DL230" s="1"/>
      <c r="DM230" s="1"/>
      <c r="NO230" s="1"/>
    </row>
    <row r="231" spans="15:379">
      <c r="O231" s="1067"/>
      <c r="P231" s="1067"/>
      <c r="DL231" s="1"/>
      <c r="DM231" s="1"/>
      <c r="NO231" s="1"/>
    </row>
    <row r="232" spans="15:379">
      <c r="O232" s="1067"/>
      <c r="P232" s="1067"/>
      <c r="DL232" s="1"/>
      <c r="DM232" s="1"/>
      <c r="NO232" s="1"/>
    </row>
    <row r="233" spans="15:379">
      <c r="O233" s="1067"/>
      <c r="P233" s="1067"/>
      <c r="DL233" s="1"/>
      <c r="DM233" s="1"/>
      <c r="NO233" s="1"/>
    </row>
    <row r="234" spans="15:379">
      <c r="O234" s="1067"/>
      <c r="P234" s="1067"/>
      <c r="DL234" s="1"/>
      <c r="DM234" s="1"/>
      <c r="NO234" s="1"/>
    </row>
    <row r="235" spans="15:379">
      <c r="O235" s="1067"/>
      <c r="P235" s="1067"/>
      <c r="NO235" s="1"/>
    </row>
    <row r="236" spans="15:379">
      <c r="O236" s="1067"/>
      <c r="P236" s="1067"/>
      <c r="NO236" s="1"/>
    </row>
    <row r="237" spans="15:379">
      <c r="O237" s="1067"/>
      <c r="P237" s="1067"/>
    </row>
    <row r="238" spans="15:379">
      <c r="O238" s="1067"/>
      <c r="P238" s="1067"/>
    </row>
    <row r="239" spans="15:379">
      <c r="O239" s="1067"/>
      <c r="P239" s="1067"/>
    </row>
    <row r="240" spans="15:379">
      <c r="O240" s="1067"/>
      <c r="P240" s="1067"/>
    </row>
    <row r="241" spans="15:16">
      <c r="O241" s="1067"/>
      <c r="P241" s="1067"/>
    </row>
    <row r="242" spans="15:16">
      <c r="O242" s="1067"/>
      <c r="P242" s="1067"/>
    </row>
    <row r="243" spans="15:16">
      <c r="O243" s="1067"/>
      <c r="P243" s="1067"/>
    </row>
    <row r="244" spans="15:16">
      <c r="O244" s="1067"/>
      <c r="P244" s="1067"/>
    </row>
    <row r="245" spans="15:16">
      <c r="O245" s="1067"/>
      <c r="P245" s="1067"/>
    </row>
    <row r="246" spans="15:16">
      <c r="O246" s="1067"/>
      <c r="P246" s="1067"/>
    </row>
    <row r="247" spans="15:16">
      <c r="O247" s="1067"/>
      <c r="P247" s="1067"/>
    </row>
    <row r="248" spans="15:16">
      <c r="O248" s="1067"/>
      <c r="P248" s="1067"/>
    </row>
    <row r="249" spans="15:16">
      <c r="O249" s="1067"/>
      <c r="P249" s="1067"/>
    </row>
    <row r="250" spans="15:16">
      <c r="O250" s="1067"/>
      <c r="P250" s="1067"/>
    </row>
    <row r="251" spans="15:16">
      <c r="O251" s="1067"/>
      <c r="P251" s="1067"/>
    </row>
    <row r="252" spans="15:16">
      <c r="O252" s="1067"/>
      <c r="P252" s="1067"/>
    </row>
    <row r="253" spans="15:16">
      <c r="O253" s="1067"/>
      <c r="P253" s="1067"/>
    </row>
    <row r="254" spans="15:16">
      <c r="O254" s="1067"/>
      <c r="P254" s="1067"/>
    </row>
    <row r="255" spans="15:16">
      <c r="O255" s="1067"/>
      <c r="P255" s="1067"/>
    </row>
    <row r="256" spans="15:16">
      <c r="O256" s="1067"/>
      <c r="P256" s="1067"/>
    </row>
    <row r="257" spans="15:16">
      <c r="O257" s="1067"/>
      <c r="P257" s="1067"/>
    </row>
    <row r="258" spans="15:16">
      <c r="O258" s="1067"/>
      <c r="P258" s="1067"/>
    </row>
    <row r="259" spans="15:16">
      <c r="O259" s="1067"/>
      <c r="P259" s="1067"/>
    </row>
    <row r="260" spans="15:16">
      <c r="O260" s="1067"/>
      <c r="P260" s="1067"/>
    </row>
    <row r="261" spans="15:16">
      <c r="O261" s="1067"/>
      <c r="P261" s="1067"/>
    </row>
    <row r="262" spans="15:16">
      <c r="O262" s="1067"/>
      <c r="P262" s="1067"/>
    </row>
    <row r="263" spans="15:16">
      <c r="O263" s="1067"/>
      <c r="P263" s="1067"/>
    </row>
    <row r="264" spans="15:16">
      <c r="O264" s="1067"/>
      <c r="P264" s="1067"/>
    </row>
    <row r="265" spans="15:16">
      <c r="O265" s="1067"/>
      <c r="P265" s="1067"/>
    </row>
    <row r="266" spans="15:16">
      <c r="O266" s="1067"/>
      <c r="P266" s="1067"/>
    </row>
    <row r="267" spans="15:16">
      <c r="O267" s="1067"/>
      <c r="P267" s="1067"/>
    </row>
    <row r="268" spans="15:16">
      <c r="O268" s="1067"/>
      <c r="P268" s="1067"/>
    </row>
    <row r="300" spans="28:272">
      <c r="AB300" s="1">
        <f>AB43-AB41</f>
        <v>0</v>
      </c>
      <c r="JL300" s="887"/>
    </row>
    <row r="301" spans="28:272">
      <c r="JJ301" s="1">
        <f>JI41+JJ41</f>
        <v>230692.1</v>
      </c>
    </row>
  </sheetData>
  <mergeCells count="203">
    <mergeCell ref="RW8:RZ8"/>
    <mergeCell ref="SA8:SD8"/>
    <mergeCell ref="JO48:JP48"/>
    <mergeCell ref="QG6:QI6"/>
    <mergeCell ref="QK6:QK7"/>
    <mergeCell ref="RJ6:RL6"/>
    <mergeCell ref="RM6:RM7"/>
    <mergeCell ref="AA8:AD9"/>
    <mergeCell ref="RO8:RT8"/>
    <mergeCell ref="QA6:QA7"/>
    <mergeCell ref="QB6:QB7"/>
    <mergeCell ref="QC6:QC7"/>
    <mergeCell ref="QD6:QD7"/>
    <mergeCell ref="QE6:QE7"/>
    <mergeCell ref="QF6:QF7"/>
    <mergeCell ref="PN6:PN7"/>
    <mergeCell ref="PO6:PO7"/>
    <mergeCell ref="PP6:PP7"/>
    <mergeCell ref="PS6:PT6"/>
    <mergeCell ref="PU6:PY6"/>
    <mergeCell ref="PZ6:PZ7"/>
    <mergeCell ref="OG6:OQ6"/>
    <mergeCell ref="OS6:OS7"/>
    <mergeCell ref="OT6:OY6"/>
    <mergeCell ref="LK6:LN6"/>
    <mergeCell ref="LO6:LO7"/>
    <mergeCell ref="LP6:LP7"/>
    <mergeCell ref="LR6:LV6"/>
    <mergeCell ref="LW6:LW7"/>
    <mergeCell ref="LX6:MC6"/>
    <mergeCell ref="OZ6:OZ7"/>
    <mergeCell ref="PA6:PF6"/>
    <mergeCell ref="PG6:PG7"/>
    <mergeCell ref="NC6:NE6"/>
    <mergeCell ref="NF6:NF7"/>
    <mergeCell ref="NG6:NR6"/>
    <mergeCell ref="NS6:NS7"/>
    <mergeCell ref="NT6:OD6"/>
    <mergeCell ref="OF6:OF7"/>
    <mergeCell ref="JM6:JM7"/>
    <mergeCell ref="JO6:JV6"/>
    <mergeCell ref="JW6:KD6"/>
    <mergeCell ref="KE6:KL6"/>
    <mergeCell ref="KM6:KM7"/>
    <mergeCell ref="KO6:KS6"/>
    <mergeCell ref="IR6:JE6"/>
    <mergeCell ref="JF6:JF7"/>
    <mergeCell ref="JI6:JI7"/>
    <mergeCell ref="JJ6:JJ7"/>
    <mergeCell ref="JK6:JK7"/>
    <mergeCell ref="JL6:JL7"/>
    <mergeCell ref="GY6:HL6"/>
    <mergeCell ref="HM6:HM7"/>
    <mergeCell ref="HN6:IA6"/>
    <mergeCell ref="IB6:IB7"/>
    <mergeCell ref="IC6:IP6"/>
    <mergeCell ref="IQ6:IQ7"/>
    <mergeCell ref="FV6:GF6"/>
    <mergeCell ref="GH6:GH7"/>
    <mergeCell ref="GK6:GM6"/>
    <mergeCell ref="GN6:GN7"/>
    <mergeCell ref="GQ6:GQ7"/>
    <mergeCell ref="GS6:GS7"/>
    <mergeCell ref="EY6:EY7"/>
    <mergeCell ref="FB6:FB7"/>
    <mergeCell ref="FC6:FC7"/>
    <mergeCell ref="FD6:FD7"/>
    <mergeCell ref="FE6:FE7"/>
    <mergeCell ref="FF6:FF7"/>
    <mergeCell ref="DR6:DR7"/>
    <mergeCell ref="DS6:EC6"/>
    <mergeCell ref="EE6:EE7"/>
    <mergeCell ref="EF6:EP6"/>
    <mergeCell ref="ER6:ER7"/>
    <mergeCell ref="ES6:EX6"/>
    <mergeCell ref="CZ6:CZ7"/>
    <mergeCell ref="DA6:DA7"/>
    <mergeCell ref="DB6:DB7"/>
    <mergeCell ref="DC6:DC7"/>
    <mergeCell ref="DD6:DD7"/>
    <mergeCell ref="DF6:DP6"/>
    <mergeCell ref="CT6:CT7"/>
    <mergeCell ref="CU6:CU7"/>
    <mergeCell ref="CV6:CV7"/>
    <mergeCell ref="CW6:CW7"/>
    <mergeCell ref="CX6:CX7"/>
    <mergeCell ref="CY6:CY7"/>
    <mergeCell ref="CN6:CN7"/>
    <mergeCell ref="CO6:CO7"/>
    <mergeCell ref="CP6:CP7"/>
    <mergeCell ref="CR6:CR7"/>
    <mergeCell ref="CS6:CS7"/>
    <mergeCell ref="CB6:CD6"/>
    <mergeCell ref="CE6:CG6"/>
    <mergeCell ref="CI6:CI7"/>
    <mergeCell ref="CJ6:CJ7"/>
    <mergeCell ref="CK6:CK7"/>
    <mergeCell ref="CL6:CL7"/>
    <mergeCell ref="BV6:BX6"/>
    <mergeCell ref="BY6:CA6"/>
    <mergeCell ref="AQ6:AS6"/>
    <mergeCell ref="AT6:AV6"/>
    <mergeCell ref="AW6:AY6"/>
    <mergeCell ref="AZ6:BB6"/>
    <mergeCell ref="BC6:BE6"/>
    <mergeCell ref="BF6:BH6"/>
    <mergeCell ref="CM6:CM7"/>
    <mergeCell ref="AI6:AL6"/>
    <mergeCell ref="AN6:AP6"/>
    <mergeCell ref="QT5:QY5"/>
    <mergeCell ref="RA5:RF5"/>
    <mergeCell ref="C6:C7"/>
    <mergeCell ref="D6:D7"/>
    <mergeCell ref="E6:E7"/>
    <mergeCell ref="F6:G6"/>
    <mergeCell ref="H6:I6"/>
    <mergeCell ref="J6:K6"/>
    <mergeCell ref="L6:M6"/>
    <mergeCell ref="O6:R6"/>
    <mergeCell ref="PJ5:PP5"/>
    <mergeCell ref="PQ5:PQ40"/>
    <mergeCell ref="PS5:QK5"/>
    <mergeCell ref="QL5:QL40"/>
    <mergeCell ref="QN5:QO5"/>
    <mergeCell ref="QQ5:QR5"/>
    <mergeCell ref="PJ6:PJ7"/>
    <mergeCell ref="PK6:PK7"/>
    <mergeCell ref="BI6:BK6"/>
    <mergeCell ref="BL6:BO6"/>
    <mergeCell ref="BP6:BR6"/>
    <mergeCell ref="BS6:BU6"/>
    <mergeCell ref="LG5:LP5"/>
    <mergeCell ref="LQ5:LQ40"/>
    <mergeCell ref="KT6:KX6"/>
    <mergeCell ref="KY6:LC6"/>
    <mergeCell ref="LD6:LD7"/>
    <mergeCell ref="LG6:LJ6"/>
    <mergeCell ref="PL6:PL7"/>
    <mergeCell ref="PM6:PM7"/>
    <mergeCell ref="LR5:MU5"/>
    <mergeCell ref="MV5:MV40"/>
    <mergeCell ref="MX5:NA5"/>
    <mergeCell ref="NB5:NB40"/>
    <mergeCell ref="NC5:PG5"/>
    <mergeCell ref="PH5:PH40"/>
    <mergeCell ref="MD6:MH6"/>
    <mergeCell ref="MI6:MI7"/>
    <mergeCell ref="MJ6:MN6"/>
    <mergeCell ref="MO6:MO7"/>
    <mergeCell ref="MP6:MT6"/>
    <mergeCell ref="MU6:MU7"/>
    <mergeCell ref="MX6:MX7"/>
    <mergeCell ref="MY6:MY7"/>
    <mergeCell ref="MZ6:MZ7"/>
    <mergeCell ref="NA6:NA7"/>
    <mergeCell ref="LG4:MV4"/>
    <mergeCell ref="MX4:PH4"/>
    <mergeCell ref="PJ4:PQ4"/>
    <mergeCell ref="PS4:QL4"/>
    <mergeCell ref="C5:M5"/>
    <mergeCell ref="N5:N40"/>
    <mergeCell ref="O5:AL5"/>
    <mergeCell ref="AM5:AM40"/>
    <mergeCell ref="AN5:CG5"/>
    <mergeCell ref="CI5:CO5"/>
    <mergeCell ref="FB5:FF5"/>
    <mergeCell ref="FG5:FG40"/>
    <mergeCell ref="FH5:GH5"/>
    <mergeCell ref="GI5:GI40"/>
    <mergeCell ref="GK5:GQ5"/>
    <mergeCell ref="GR5:GR40"/>
    <mergeCell ref="FH6:FM6"/>
    <mergeCell ref="FN6:FN7"/>
    <mergeCell ref="FO6:FT6"/>
    <mergeCell ref="FU6:FU7"/>
    <mergeCell ref="GS5:GW5"/>
    <mergeCell ref="GX5:GX40"/>
    <mergeCell ref="GY5:JF5"/>
    <mergeCell ref="JG5:JG40"/>
    <mergeCell ref="B4:B7"/>
    <mergeCell ref="C4:CP4"/>
    <mergeCell ref="CR4:EZ4"/>
    <mergeCell ref="FB4:GI4"/>
    <mergeCell ref="GK4:JG4"/>
    <mergeCell ref="JI4:LE4"/>
    <mergeCell ref="CR5:DD5"/>
    <mergeCell ref="DE5:DE40"/>
    <mergeCell ref="DF5:EY5"/>
    <mergeCell ref="EZ5:EZ40"/>
    <mergeCell ref="JI5:JM5"/>
    <mergeCell ref="JN5:JN40"/>
    <mergeCell ref="GT6:GT7"/>
    <mergeCell ref="GU6:GU7"/>
    <mergeCell ref="GV6:GV7"/>
    <mergeCell ref="GW6:GW7"/>
    <mergeCell ref="JO5:KM5"/>
    <mergeCell ref="KN5:KN40"/>
    <mergeCell ref="KO5:LD5"/>
    <mergeCell ref="LE5:LE40"/>
    <mergeCell ref="S6:V6"/>
    <mergeCell ref="W6:Z6"/>
    <mergeCell ref="AA6:AD6"/>
    <mergeCell ref="AE6:AH6"/>
  </mergeCells>
  <conditionalFormatting sqref="B10:B40">
    <cfRule type="expression" dxfId="409" priority="17" stopIfTrue="1">
      <formula>SUMIFS($AQ10:$CG10,$AQ$7:$CG$7,"ROM")&lt;&gt;SUM($DR10,$EE10,$ER10,$PY10)</formula>
    </cfRule>
    <cfRule type="expression" dxfId="408" priority="18" stopIfTrue="1">
      <formula>OR(SUM(GS10:GV10)&lt;&gt;SUM(HM10,IQ10,JF10),SUM(HM10,IQ10,JF10)&lt;&gt;SUM(JI10:JK10))</formula>
    </cfRule>
    <cfRule type="expression" dxfId="407" priority="19">
      <formula>OR(SUM(#REF!)&lt;&gt;SUM(P1048567,AE1048567,AT1048567),SUM(P1048567,AE1048567,AT1048567)&lt;&gt;SUM(AW1048567:AY1048567))</formula>
    </cfRule>
  </conditionalFormatting>
  <conditionalFormatting sqref="C10:S10 U10:CD10 CF10:JK10 JN10:QK10 T10:T40 AC11:AV11 BN11:CD11 CF11:CM11 U11:W15 NF11:NL18 X11:Z23 KY11:LV34 C11:R40 AA11:AA40 AX11:BM40 JN11:KX40 LW11:NB40 NM11:NN40 NP11:QK40 GL11:GL41 NC11:NE42 NO11:NO42 AB11:AB44 S11:S45 CA12:CD18 CF12:CH18 BZ12:BZ19 BO12:BY29 CI12:CM37 AC12:AW40 BN12:BN40 W16:W17 U16:U20 V18:W20 CA19:CH19 NG19:NL20 NF19:NF25 BZ20:CH29 U21:W23 NH21:NL24 NG21:NG25 V24:Z40 U24:U44 NH25:NH31 NI25:NL33 NF26:NG31 BO30:CH37 NF32:NH33 NF34:NL40 KY35:LP35 LQ35:LV36 KY36:LO36 KY37:LV40 BO38:CM40 T42:T43">
    <cfRule type="expression" dxfId="406" priority="15">
      <formula>$B10=DAY(TODAY()-1)</formula>
    </cfRule>
  </conditionalFormatting>
  <conditionalFormatting sqref="O10:R40">
    <cfRule type="expression" dxfId="405" priority="13">
      <formula>OR(AND(O10&lt;(O$45-(10%*O$45)),O$7="OB"),AND(O10&lt;(O$45-(10%*O$45)),O$7="ROM"))</formula>
    </cfRule>
  </conditionalFormatting>
  <conditionalFormatting sqref="T10:T40 S10:S45 AK11:AV11 AK12:AW40 T42:T43">
    <cfRule type="expression" dxfId="404" priority="12">
      <formula>OR(AND(S10&lt;(S$45-(10%*S$45)),S$7="OB"),AND(S10&lt;(S$45-(10%*S$45)),S$7="ROM"))</formula>
    </cfRule>
  </conditionalFormatting>
  <conditionalFormatting sqref="V16">
    <cfRule type="expression" dxfId="403" priority="16">
      <formula>$B16=DAY(TODAY()-1)</formula>
    </cfRule>
  </conditionalFormatting>
  <conditionalFormatting sqref="W10:X40">
    <cfRule type="expression" dxfId="402" priority="9">
      <formula>OR(AND(W10&lt;(W$45-(10%*W$45)),W$7="OB"),AND(W10&lt;(W$45-(10%*W$45)),W$7="ROM"))</formula>
    </cfRule>
  </conditionalFormatting>
  <conditionalFormatting sqref="Y10:AD10 U10:V16 BO11:BZ11 Y11:AA40 AC11:AD40 AG11:AJ40 CA11:CA40 AB11:AB44 BO12:BX12 BY12:BZ29 BO13:BS15 BT13:BX21 BP16:BS16 U17:U20 BO17:BS21 V18:V20 U21:V23 BO22:BX29 V24:V40 U24:U44 BO30:BZ40 O40">
    <cfRule type="expression" dxfId="401" priority="14">
      <formula>OR(AND(O10&lt;(O$45-(10%*O$45)),O$7="OB"),AND(O10&lt;(O$45-(10%*O$45)),O$7="ROM"))</formula>
    </cfRule>
  </conditionalFormatting>
  <conditionalFormatting sqref="AE10:AF40">
    <cfRule type="expression" dxfId="400" priority="10">
      <formula>OR(AND(AE10&lt;(AE$45-(10%*AE$45)),AE$7="OB"),AND(AE10&lt;(AE$45-(10%*AE$45)),AE$7="ROM"))</formula>
    </cfRule>
  </conditionalFormatting>
  <conditionalFormatting sqref="AG10:CA10 AX11:BN40">
    <cfRule type="expression" dxfId="399" priority="11">
      <formula>OR(AND(AG10&lt;(AG$45-(10%*AG$45)),AG$7="OB"),AND(AG10&lt;(AG$45-(10%*AG$45)),AG$7="ROM"))</formula>
    </cfRule>
  </conditionalFormatting>
  <conditionalFormatting sqref="AW10">
    <cfRule type="expression" dxfId="398" priority="20">
      <formula>$B11=DAY(TODAY()-1)</formula>
    </cfRule>
  </conditionalFormatting>
  <conditionalFormatting sqref="CB10:CG40">
    <cfRule type="expression" dxfId="397" priority="6">
      <formula>OR(AND(CB10&lt;(CB$45-(10%*CB$45)),CB$7="OB"),AND(CB10&lt;(CB$45-(10%*CB$45)),CB$7="ROM"))</formula>
    </cfRule>
  </conditionalFormatting>
  <conditionalFormatting sqref="CE10:CE18">
    <cfRule type="expression" dxfId="396" priority="7">
      <formula>$B10=DAY(TODAY()-1)</formula>
    </cfRule>
  </conditionalFormatting>
  <conditionalFormatting sqref="CN11:GK40 GM11:JK40">
    <cfRule type="expression" dxfId="395" priority="3">
      <formula>$B11=DAY(TODAY()-1)</formula>
    </cfRule>
  </conditionalFormatting>
  <conditionalFormatting sqref="EE1">
    <cfRule type="expression" dxfId="394" priority="2">
      <formula>$B1=DAY(TODAY()-1)</formula>
    </cfRule>
  </conditionalFormatting>
  <conditionalFormatting sqref="EF10">
    <cfRule type="expression" dxfId="393" priority="5">
      <formula>OR(AND(EF10&lt;(EF$45-(10%*EF$45)),EF$7="OB"),AND(EF10&lt;(EF$45-(10%*EF$45)),EF$7="ROM"))</formula>
    </cfRule>
  </conditionalFormatting>
  <conditionalFormatting sqref="EH21">
    <cfRule type="expression" dxfId="392" priority="8">
      <formula>OR(AND(EH21&lt;(EH$45-(10%*EH$45)),EH$7="OB"),AND(EH21&lt;(EH$45-(10%*EH$45)),EH$7="ROM"))</formula>
    </cfRule>
  </conditionalFormatting>
  <conditionalFormatting sqref="JL10:JM40">
    <cfRule type="expression" dxfId="391" priority="4">
      <formula>$B10=DAY(TODAY()-1)</formula>
    </cfRule>
  </conditionalFormatting>
  <conditionalFormatting sqref="OJ1">
    <cfRule type="expression" dxfId="390" priority="1">
      <formula>$B1=DAY(TODAY()-1)</formula>
    </cfRule>
  </conditionalFormatting>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B2:TF141"/>
  <sheetViews>
    <sheetView showGridLines="0" zoomScale="70" zoomScaleNormal="70" workbookViewId="0">
      <pane xSplit="2" ySplit="1" topLeftCell="AO9" activePane="bottomRight" state="frozen"/>
      <selection pane="topRight" activeCell="H17" sqref="H17"/>
      <selection pane="bottomLeft" activeCell="H17" sqref="H17"/>
      <selection pane="bottomRight" activeCell="AS33" sqref="AS33"/>
    </sheetView>
  </sheetViews>
  <sheetFormatPr defaultColWidth="8.6640625" defaultRowHeight="14.4"/>
  <cols>
    <col min="1" max="1" width="2.33203125" customWidth="1"/>
    <col min="2" max="2" width="7.33203125" customWidth="1"/>
    <col min="3" max="3" width="15.33203125" customWidth="1"/>
    <col min="4" max="4" width="13" customWidth="1"/>
    <col min="5" max="7" width="10.44140625" customWidth="1"/>
    <col min="8" max="8" width="13.6640625" customWidth="1"/>
    <col min="9" max="9" width="10.44140625" customWidth="1"/>
    <col min="10" max="10" width="12.33203125" hidden="1" customWidth="1"/>
    <col min="11" max="11" width="8.6640625" hidden="1" customWidth="1"/>
    <col min="12" max="12" width="14.6640625" hidden="1" customWidth="1"/>
    <col min="13" max="13" width="8.6640625" hidden="1" customWidth="1"/>
    <col min="14" max="14" width="5" customWidth="1"/>
    <col min="15" max="15" width="14.6640625" customWidth="1"/>
    <col min="16" max="16" width="12.109375" customWidth="1"/>
    <col min="17" max="17" width="12.6640625" bestFit="1" customWidth="1"/>
    <col min="18" max="18" width="11.5546875" bestFit="1" customWidth="1"/>
    <col min="19" max="19" width="11.6640625" hidden="1" customWidth="1"/>
    <col min="20" max="20" width="22.33203125" hidden="1" customWidth="1"/>
    <col min="21" max="23" width="17.44140625" customWidth="1"/>
    <col min="24" max="24" width="17" customWidth="1"/>
    <col min="25" max="25" width="1.33203125" customWidth="1"/>
    <col min="26" max="26" width="11.33203125" customWidth="1"/>
    <col min="27" max="27" width="14.33203125" customWidth="1"/>
    <col min="28" max="28" width="11.33203125" customWidth="1"/>
    <col min="29" max="29" width="17.6640625" customWidth="1"/>
    <col min="30" max="33" width="11.33203125" customWidth="1"/>
    <col min="34" max="34" width="18.6640625" customWidth="1"/>
    <col min="35" max="37" width="12.33203125" customWidth="1"/>
    <col min="38" max="38" width="12.109375" customWidth="1"/>
    <col min="39" max="40" width="12.109375" hidden="1" customWidth="1"/>
    <col min="41" max="42" width="17.5546875" customWidth="1"/>
    <col min="43" max="43" width="12" customWidth="1"/>
    <col min="44" max="45" width="18.44140625" customWidth="1"/>
    <col min="46" max="46" width="18.44140625" hidden="1" customWidth="1"/>
    <col min="47" max="47" width="18.44140625" customWidth="1"/>
    <col min="48" max="48" width="12.109375" hidden="1" customWidth="1"/>
    <col min="49" max="49" width="1.33203125" customWidth="1"/>
    <col min="50" max="50" width="15" customWidth="1"/>
    <col min="51" max="51" width="15" hidden="1" customWidth="1"/>
    <col min="52" max="52" width="8" customWidth="1"/>
    <col min="53" max="57" width="8.44140625" customWidth="1"/>
    <col min="58" max="58" width="2.44140625" customWidth="1"/>
    <col min="59" max="61" width="17.88671875" hidden="1" customWidth="1"/>
    <col min="62" max="62" width="0.5546875" customWidth="1"/>
    <col min="63" max="63" width="13.88671875" customWidth="1"/>
    <col min="64" max="65" width="6.6640625" customWidth="1"/>
    <col min="66" max="66" width="8.88671875" customWidth="1"/>
    <col min="67" max="67" width="7" customWidth="1"/>
    <col min="68" max="68" width="9.33203125" customWidth="1"/>
    <col min="69" max="69" width="19.44140625" customWidth="1"/>
    <col min="70" max="70" width="2.5546875" customWidth="1"/>
    <col min="71" max="71" width="19" customWidth="1"/>
    <col min="72" max="88" width="30.5546875" hidden="1" customWidth="1"/>
    <col min="89" max="89" width="1.6640625" customWidth="1"/>
    <col min="90" max="90" width="9.33203125" customWidth="1"/>
    <col min="91" max="91" width="8.6640625" customWidth="1"/>
    <col min="92" max="92" width="14.109375" customWidth="1"/>
    <col min="93" max="93" width="19.44140625" customWidth="1"/>
    <col min="94" max="94" width="5.44140625" customWidth="1"/>
    <col min="95" max="95" width="6.6640625" customWidth="1"/>
    <col min="96" max="96" width="12.6640625" customWidth="1"/>
    <col min="97" max="97" width="20" customWidth="1"/>
    <col min="98" max="98" width="8.6640625" customWidth="1"/>
    <col min="99" max="99" width="10.33203125" customWidth="1"/>
    <col min="100" max="100" width="9.33203125" customWidth="1"/>
    <col min="101" max="102" width="8.6640625" customWidth="1"/>
    <col min="103" max="103" width="1.33203125" customWidth="1"/>
    <col min="104" max="104" width="12" customWidth="1"/>
    <col min="105" max="105" width="8.6640625" customWidth="1"/>
    <col min="106" max="106" width="3.33203125" customWidth="1"/>
    <col min="107" max="107" width="14.5546875" bestFit="1" customWidth="1"/>
    <col min="108" max="108" width="16.33203125" customWidth="1"/>
    <col min="109" max="109" width="12.33203125" customWidth="1"/>
    <col min="110" max="110" width="14.6640625" hidden="1" customWidth="1"/>
    <col min="111" max="111" width="11.44140625" hidden="1" customWidth="1"/>
    <col min="112" max="112" width="11.6640625" hidden="1" customWidth="1"/>
    <col min="113" max="113" width="14.5546875" customWidth="1"/>
    <col min="114" max="114" width="16.33203125" customWidth="1"/>
    <col min="115" max="115" width="8.6640625" customWidth="1"/>
    <col min="116" max="116" width="8.5546875" hidden="1" customWidth="1"/>
    <col min="117" max="117" width="8.6640625" hidden="1" customWidth="1"/>
    <col min="118" max="118" width="9.33203125" hidden="1" customWidth="1"/>
    <col min="119" max="120" width="8.6640625" hidden="1" customWidth="1"/>
    <col min="121" max="121" width="8.33203125" hidden="1" customWidth="1"/>
    <col min="122" max="122" width="13.6640625" customWidth="1"/>
    <col min="123" max="123" width="15.33203125" customWidth="1"/>
    <col min="124" max="124" width="9.33203125" customWidth="1"/>
    <col min="125" max="125" width="11.6640625" customWidth="1"/>
    <col min="126" max="126" width="11.33203125" customWidth="1"/>
    <col min="127" max="127" width="8.6640625" customWidth="1"/>
    <col min="128" max="128" width="17.33203125" hidden="1" customWidth="1"/>
    <col min="129" max="129" width="18.33203125" hidden="1" customWidth="1"/>
    <col min="130" max="130" width="8.6640625" hidden="1" customWidth="1"/>
    <col min="131" max="131" width="16.44140625" customWidth="1"/>
    <col min="132" max="132" width="13.5546875" customWidth="1"/>
    <col min="133" max="133" width="10.6640625" customWidth="1"/>
    <col min="134" max="134" width="14.6640625" customWidth="1"/>
    <col min="135" max="135" width="14" customWidth="1"/>
    <col min="136" max="136" width="8.6640625" customWidth="1"/>
    <col min="137" max="137" width="13.33203125" customWidth="1"/>
    <col min="138" max="138" width="12.6640625" customWidth="1"/>
    <col min="139" max="139" width="9.33203125" customWidth="1"/>
    <col min="140" max="140" width="13.5546875" hidden="1" customWidth="1"/>
    <col min="141" max="141" width="12.33203125" hidden="1" customWidth="1"/>
    <col min="142" max="142" width="9.33203125" hidden="1" customWidth="1"/>
    <col min="143" max="143" width="12.6640625" hidden="1" customWidth="1"/>
    <col min="144" max="144" width="11.33203125" hidden="1" customWidth="1"/>
    <col min="145" max="145" width="9.33203125" hidden="1" customWidth="1"/>
    <col min="146" max="146" width="13.44140625" hidden="1" customWidth="1"/>
    <col min="147" max="147" width="13" hidden="1" customWidth="1"/>
    <col min="148" max="148" width="9.33203125" hidden="1" customWidth="1"/>
    <col min="149" max="149" width="7.6640625" customWidth="1"/>
    <col min="150" max="152" width="10.6640625" customWidth="1"/>
    <col min="156" max="156" width="0" hidden="1" customWidth="1"/>
    <col min="157" max="157" width="18.33203125" customWidth="1"/>
    <col min="158" max="158" width="6.6640625" customWidth="1"/>
    <col min="160" max="160" width="11.6640625" bestFit="1" customWidth="1"/>
    <col min="162" max="162" width="11.6640625" bestFit="1" customWidth="1"/>
    <col min="164" max="164" width="11.6640625" bestFit="1" customWidth="1"/>
    <col min="166" max="166" width="11.6640625" bestFit="1" customWidth="1"/>
    <col min="168" max="168" width="11.6640625" bestFit="1" customWidth="1"/>
    <col min="170" max="170" width="11.6640625" bestFit="1" customWidth="1"/>
    <col min="171" max="171" width="13.33203125" bestFit="1" customWidth="1"/>
    <col min="172" max="172" width="7.6640625" customWidth="1"/>
    <col min="174" max="174" width="11.6640625" bestFit="1" customWidth="1"/>
    <col min="175" max="175" width="11.6640625" customWidth="1"/>
    <col min="176" max="176" width="11.6640625" bestFit="1" customWidth="1"/>
    <col min="177" max="177" width="12.5546875" bestFit="1" customWidth="1"/>
    <col min="178" max="178" width="11.6640625" bestFit="1" customWidth="1"/>
    <col min="180" max="180" width="11.6640625" bestFit="1" customWidth="1"/>
    <col min="181" max="181" width="12.6640625" bestFit="1" customWidth="1"/>
    <col min="182" max="182" width="11.6640625" bestFit="1" customWidth="1"/>
    <col min="183" max="183" width="10.6640625" bestFit="1" customWidth="1"/>
    <col min="184" max="184" width="11.6640625" bestFit="1" customWidth="1"/>
    <col min="185" max="185" width="13.6640625" bestFit="1" customWidth="1"/>
    <col min="186" max="186" width="11.33203125" customWidth="1"/>
    <col min="187" max="187" width="16.6640625" customWidth="1"/>
    <col min="188" max="188" width="9.6640625" customWidth="1"/>
    <col min="189" max="189" width="11.6640625" bestFit="1" customWidth="1"/>
    <col min="190" max="190" width="10.33203125" bestFit="1" customWidth="1"/>
    <col min="191" max="191" width="11.6640625" bestFit="1" customWidth="1"/>
    <col min="192" max="192" width="10.33203125" customWidth="1"/>
    <col min="193" max="193" width="11.6640625" bestFit="1" customWidth="1"/>
    <col min="194" max="194" width="12.33203125" customWidth="1"/>
    <col min="195" max="195" width="10.33203125" customWidth="1"/>
    <col min="196" max="196" width="9.33203125" customWidth="1"/>
    <col min="197" max="197" width="11.6640625" bestFit="1" customWidth="1"/>
    <col min="198" max="198" width="14.6640625" customWidth="1"/>
    <col min="199" max="199" width="12.6640625" bestFit="1" customWidth="1"/>
    <col min="200" max="200" width="12.33203125" hidden="1" customWidth="1"/>
    <col min="201" max="201" width="12.6640625" bestFit="1" customWidth="1"/>
    <col min="202" max="202" width="12.33203125" hidden="1" customWidth="1"/>
    <col min="203" max="203" width="12.6640625" bestFit="1" customWidth="1"/>
    <col min="204" max="204" width="12.33203125" hidden="1" customWidth="1"/>
    <col min="205" max="205" width="12.6640625" bestFit="1" customWidth="1"/>
    <col min="206" max="206" width="12.33203125" hidden="1" customWidth="1"/>
    <col min="207" max="207" width="12.6640625" bestFit="1" customWidth="1"/>
    <col min="208" max="208" width="12.33203125" hidden="1" customWidth="1"/>
    <col min="209" max="209" width="12.6640625" bestFit="1" customWidth="1"/>
    <col min="210" max="210" width="11.6640625" hidden="1" customWidth="1"/>
    <col min="211" max="211" width="12.6640625" customWidth="1"/>
    <col min="212" max="218" width="8.6640625" hidden="1" customWidth="1"/>
    <col min="219" max="219" width="1.33203125" customWidth="1"/>
    <col min="220" max="220" width="6.6640625" customWidth="1"/>
    <col min="223" max="223" width="9.33203125" bestFit="1" customWidth="1"/>
    <col min="226" max="226" width="1.33203125" customWidth="1"/>
    <col min="227" max="240" width="8.6640625" hidden="1" customWidth="1"/>
    <col min="241" max="241" width="7.33203125" bestFit="1" customWidth="1"/>
    <col min="242" max="242" width="11.6640625" bestFit="1" customWidth="1"/>
    <col min="243" max="243" width="6.6640625" bestFit="1" customWidth="1"/>
    <col min="244" max="244" width="11.6640625" bestFit="1" customWidth="1"/>
    <col min="245" max="245" width="6.6640625" bestFit="1" customWidth="1"/>
    <col min="246" max="246" width="11.6640625" bestFit="1" customWidth="1"/>
    <col min="247" max="247" width="6.6640625" bestFit="1" customWidth="1"/>
    <col min="248" max="248" width="11.6640625" bestFit="1" customWidth="1"/>
    <col min="249" max="249" width="10.33203125" bestFit="1" customWidth="1"/>
    <col min="250" max="250" width="11.6640625" bestFit="1" customWidth="1"/>
    <col min="251" max="251" width="6.6640625" bestFit="1" customWidth="1"/>
    <col min="252" max="252" width="11.6640625" bestFit="1" customWidth="1"/>
    <col min="254" max="254" width="1.33203125" customWidth="1"/>
    <col min="255" max="255" width="6.6640625" customWidth="1"/>
    <col min="256" max="256" width="13" customWidth="1"/>
    <col min="257" max="257" width="13.44140625" customWidth="1"/>
    <col min="258" max="258" width="12" customWidth="1"/>
    <col min="259" max="259" width="12.6640625" customWidth="1"/>
    <col min="260" max="260" width="10.33203125" hidden="1" customWidth="1"/>
    <col min="261" max="261" width="0" hidden="1" customWidth="1"/>
    <col min="262" max="262" width="37.44140625" customWidth="1"/>
    <col min="263" max="263" width="1.33203125" customWidth="1"/>
    <col min="264" max="264" width="13.33203125" bestFit="1" customWidth="1"/>
    <col min="265" max="265" width="12.33203125" bestFit="1" customWidth="1"/>
    <col min="266" max="266" width="13.33203125" customWidth="1"/>
    <col min="267" max="267" width="12.33203125" hidden="1" customWidth="1"/>
    <col min="268" max="268" width="12.33203125" bestFit="1" customWidth="1"/>
    <col min="269" max="269" width="1.33203125" customWidth="1"/>
    <col min="270" max="270" width="13.5546875" hidden="1" customWidth="1"/>
    <col min="271" max="271" width="12.33203125" hidden="1" customWidth="1"/>
    <col min="272" max="272" width="13.33203125" hidden="1" customWidth="1"/>
    <col min="273" max="273" width="13" hidden="1" customWidth="1"/>
    <col min="274" max="274" width="12.6640625" hidden="1" customWidth="1"/>
    <col min="275" max="275" width="14.44140625" hidden="1" customWidth="1"/>
    <col min="276" max="276" width="12" hidden="1" customWidth="1"/>
    <col min="277" max="278" width="11.6640625" hidden="1" customWidth="1"/>
    <col min="279" max="279" width="13" hidden="1" customWidth="1"/>
    <col min="280" max="280" width="10.33203125" hidden="1" customWidth="1"/>
    <col min="281" max="281" width="11.6640625" hidden="1" customWidth="1"/>
    <col min="282" max="282" width="0" hidden="1" customWidth="1"/>
    <col min="283" max="283" width="10.33203125" hidden="1" customWidth="1"/>
    <col min="284" max="284" width="10.44140625" hidden="1" customWidth="1"/>
    <col min="285" max="285" width="11.33203125" customWidth="1"/>
    <col min="286" max="286" width="11.6640625" bestFit="1" customWidth="1"/>
    <col min="287" max="287" width="10.33203125" bestFit="1" customWidth="1"/>
    <col min="288" max="288" width="11.6640625" bestFit="1" customWidth="1"/>
    <col min="289" max="289" width="12.33203125" bestFit="1" customWidth="1"/>
    <col min="290" max="290" width="11.6640625" bestFit="1" customWidth="1"/>
    <col min="291" max="291" width="10.44140625" bestFit="1" customWidth="1"/>
    <col min="292" max="292" width="11.6640625" bestFit="1" customWidth="1"/>
    <col min="293" max="293" width="12.33203125" bestFit="1" customWidth="1"/>
    <col min="294" max="294" width="11.6640625" bestFit="1" customWidth="1"/>
    <col min="295" max="295" width="12" customWidth="1"/>
    <col min="296" max="296" width="12.33203125" bestFit="1" customWidth="1"/>
    <col min="299" max="299" width="11.6640625" bestFit="1" customWidth="1"/>
    <col min="300" max="300" width="7.33203125" bestFit="1" customWidth="1"/>
    <col min="301" max="301" width="11.6640625" bestFit="1" customWidth="1"/>
    <col min="302" max="302" width="9.44140625" customWidth="1"/>
    <col min="303" max="303" width="11.6640625" bestFit="1" customWidth="1"/>
    <col min="304" max="305" width="12" bestFit="1" customWidth="1"/>
    <col min="306" max="306" width="8.5546875" customWidth="1"/>
    <col min="307" max="307" width="11.6640625" bestFit="1" customWidth="1"/>
    <col min="308" max="308" width="10.44140625" bestFit="1" customWidth="1"/>
    <col min="309" max="309" width="12" bestFit="1" customWidth="1"/>
    <col min="310" max="310" width="9.5546875" customWidth="1"/>
    <col min="311" max="311" width="11.6640625" bestFit="1" customWidth="1"/>
    <col min="314" max="314" width="13" customWidth="1"/>
    <col min="315" max="315" width="1.33203125" customWidth="1"/>
    <col min="316" max="316" width="6.6640625" customWidth="1"/>
    <col min="317" max="317" width="21.33203125" customWidth="1"/>
    <col min="318" max="318" width="16" customWidth="1"/>
    <col min="319" max="319" width="15.5546875" bestFit="1" customWidth="1"/>
    <col min="320" max="320" width="13.33203125" bestFit="1" customWidth="1"/>
    <col min="321" max="321" width="13" bestFit="1" customWidth="1"/>
    <col min="322" max="322" width="3.6640625" customWidth="1"/>
    <col min="323" max="323" width="12.5546875" bestFit="1" customWidth="1"/>
    <col min="327" max="327" width="11.5546875" customWidth="1"/>
    <col min="331" max="338" width="8.6640625" customWidth="1"/>
    <col min="345" max="345" width="8.6640625" customWidth="1"/>
    <col min="346" max="346" width="6.33203125" customWidth="1"/>
    <col min="348" max="348" width="1.33203125" customWidth="1"/>
    <col min="354" max="354" width="12.33203125" customWidth="1"/>
    <col min="355" max="358" width="8.6640625" customWidth="1"/>
    <col min="364" max="364" width="0" hidden="1" customWidth="1"/>
    <col min="365" max="365" width="1.33203125" customWidth="1"/>
    <col min="366" max="366" width="6.6640625" customWidth="1"/>
    <col min="367" max="367" width="16.33203125" customWidth="1"/>
    <col min="368" max="368" width="13.33203125" customWidth="1"/>
    <col min="369" max="369" width="25.33203125" customWidth="1"/>
    <col min="370" max="370" width="14.33203125" bestFit="1" customWidth="1"/>
    <col min="371" max="371" width="14.44140625" customWidth="1"/>
    <col min="372" max="372" width="13.44140625" bestFit="1" customWidth="1"/>
    <col min="374" max="374" width="0" hidden="1" customWidth="1"/>
    <col min="376" max="376" width="49.33203125" customWidth="1"/>
    <col min="377" max="377" width="1.33203125" customWidth="1"/>
    <col min="378" max="378" width="15.33203125" customWidth="1"/>
    <col min="379" max="379" width="10.33203125" bestFit="1" customWidth="1"/>
    <col min="380" max="380" width="13.6640625" bestFit="1" customWidth="1"/>
    <col min="381" max="381" width="9.44140625" customWidth="1"/>
    <col min="382" max="382" width="9.6640625" customWidth="1"/>
    <col min="383" max="383" width="12.33203125" customWidth="1"/>
    <col min="384" max="384" width="10.44140625" bestFit="1" customWidth="1"/>
    <col min="385" max="385" width="9" customWidth="1"/>
    <col min="386" max="386" width="13.6640625" bestFit="1" customWidth="1"/>
    <col min="387" max="387" width="12" bestFit="1" customWidth="1"/>
    <col min="388" max="388" width="13" bestFit="1" customWidth="1"/>
    <col min="389" max="389" width="9.6640625" bestFit="1" customWidth="1"/>
    <col min="390" max="390" width="9.33203125" bestFit="1" customWidth="1"/>
    <col min="391" max="391" width="12.6640625" customWidth="1"/>
    <col min="392" max="392" width="13.6640625" bestFit="1" customWidth="1"/>
    <col min="393" max="393" width="9.44140625" bestFit="1" customWidth="1"/>
    <col min="394" max="394" width="9.6640625" bestFit="1" customWidth="1"/>
    <col min="395" max="395" width="13.5546875" bestFit="1" customWidth="1"/>
    <col min="396" max="396" width="7.6640625" customWidth="1"/>
    <col min="397" max="397" width="9.33203125" customWidth="1"/>
    <col min="398" max="398" width="15.5546875" customWidth="1"/>
    <col min="399" max="399" width="9.44140625" customWidth="1"/>
    <col min="400" max="400" width="9.6640625" customWidth="1"/>
    <col min="401" max="401" width="13.5546875" customWidth="1"/>
    <col min="402" max="403" width="9.33203125" customWidth="1"/>
    <col min="404" max="404" width="15.5546875" customWidth="1"/>
    <col min="405" max="405" width="9.44140625" customWidth="1"/>
    <col min="406" max="406" width="9.6640625" customWidth="1"/>
    <col min="407" max="407" width="8.6640625" customWidth="1"/>
    <col min="408" max="408" width="1.33203125" customWidth="1"/>
    <col min="409" max="409" width="6.6640625" customWidth="1"/>
    <col min="410" max="410" width="13" customWidth="1"/>
    <col min="411" max="411" width="12.33203125" customWidth="1"/>
    <col min="413" max="413" width="12" customWidth="1"/>
    <col min="414" max="414" width="1.33203125" customWidth="1"/>
    <col min="415" max="415" width="17.33203125" customWidth="1"/>
    <col min="416" max="417" width="17.6640625" customWidth="1"/>
    <col min="418" max="418" width="15.33203125" customWidth="1"/>
    <col min="419" max="419" width="13.6640625" customWidth="1"/>
    <col min="420" max="420" width="14.44140625" customWidth="1"/>
    <col min="421" max="421" width="12.33203125" bestFit="1" customWidth="1"/>
    <col min="422" max="422" width="11.6640625" bestFit="1" customWidth="1"/>
    <col min="423" max="423" width="12" bestFit="1" customWidth="1"/>
    <col min="424" max="424" width="11.6640625" bestFit="1" customWidth="1"/>
    <col min="425" max="425" width="13.33203125" customWidth="1"/>
    <col min="426" max="426" width="13.44140625" customWidth="1"/>
    <col min="427" max="427" width="10.33203125" customWidth="1"/>
    <col min="428" max="428" width="11.6640625" bestFit="1" customWidth="1"/>
    <col min="429" max="429" width="6.6640625" bestFit="1" customWidth="1"/>
    <col min="430" max="430" width="11.6640625" bestFit="1" customWidth="1"/>
    <col min="431" max="431" width="11.5546875" bestFit="1" customWidth="1"/>
    <col min="432" max="432" width="12.33203125" customWidth="1"/>
    <col min="433" max="433" width="11.6640625" bestFit="1" customWidth="1"/>
    <col min="434" max="434" width="11.33203125" customWidth="1"/>
    <col min="435" max="435" width="11.6640625" bestFit="1" customWidth="1"/>
    <col min="436" max="436" width="10.33203125" customWidth="1"/>
    <col min="437" max="437" width="11.6640625" bestFit="1" customWidth="1"/>
    <col min="438" max="438" width="12.33203125" customWidth="1"/>
    <col min="439" max="439" width="11.6640625" bestFit="1" customWidth="1"/>
    <col min="440" max="440" width="13.44140625" customWidth="1"/>
    <col min="441" max="441" width="14.6640625" customWidth="1"/>
    <col min="442" max="442" width="11.33203125" bestFit="1" customWidth="1"/>
    <col min="443" max="443" width="12.6640625" bestFit="1" customWidth="1"/>
    <col min="444" max="444" width="12.33203125" customWidth="1"/>
    <col min="445" max="445" width="10" customWidth="1"/>
    <col min="446" max="446" width="11.6640625" bestFit="1" customWidth="1"/>
    <col min="447" max="447" width="9.6640625" customWidth="1"/>
    <col min="448" max="448" width="11.6640625" bestFit="1" customWidth="1"/>
    <col min="449" max="449" width="11" customWidth="1"/>
    <col min="450" max="450" width="11.6640625" bestFit="1" customWidth="1"/>
    <col min="451" max="451" width="9.6640625" customWidth="1"/>
    <col min="452" max="452" width="11.6640625" bestFit="1" customWidth="1"/>
    <col min="453" max="453" width="9.33203125" bestFit="1" customWidth="1"/>
    <col min="454" max="454" width="11.6640625" bestFit="1" customWidth="1"/>
    <col min="455" max="455" width="8.33203125" customWidth="1"/>
    <col min="456" max="456" width="11.6640625" bestFit="1" customWidth="1"/>
    <col min="457" max="457" width="13.6640625" customWidth="1"/>
    <col min="458" max="458" width="9.33203125" hidden="1" customWidth="1"/>
    <col min="459" max="459" width="9.5546875" hidden="1" customWidth="1"/>
    <col min="460" max="463" width="9.33203125" hidden="1" customWidth="1"/>
    <col min="464" max="464" width="9.5546875" hidden="1" customWidth="1"/>
    <col min="465" max="468" width="8.6640625" hidden="1" customWidth="1"/>
    <col min="469" max="469" width="13.44140625" hidden="1" customWidth="1"/>
    <col min="470" max="470" width="8.6640625" hidden="1" customWidth="1"/>
    <col min="471" max="471" width="9.33203125" hidden="1" customWidth="1"/>
    <col min="472" max="472" width="1.33203125" customWidth="1"/>
    <col min="473" max="473" width="6.6640625" customWidth="1"/>
    <col min="479" max="479" width="1.33203125" customWidth="1"/>
    <col min="480" max="480" width="6.6640625" customWidth="1"/>
    <col min="481" max="482" width="14" customWidth="1"/>
    <col min="484" max="485" width="12.33203125" customWidth="1"/>
    <col min="486" max="487" width="14" customWidth="1"/>
    <col min="488" max="488" width="10.6640625" customWidth="1"/>
    <col min="489" max="489" width="12" bestFit="1" customWidth="1"/>
    <col min="490" max="493" width="12" customWidth="1"/>
    <col min="494" max="494" width="12.6640625" customWidth="1"/>
    <col min="495" max="495" width="11.5546875" customWidth="1"/>
    <col min="496" max="497" width="14.33203125" customWidth="1"/>
    <col min="507" max="522" width="0" hidden="1" customWidth="1"/>
    <col min="523" max="523" width="12.33203125" hidden="1" customWidth="1"/>
    <col min="524" max="526" width="8.6640625" hidden="1" customWidth="1"/>
    <col min="527" max="527" width="8.6640625" customWidth="1"/>
  </cols>
  <sheetData>
    <row r="2" spans="2:97">
      <c r="O2" s="887"/>
      <c r="P2" s="887"/>
      <c r="Q2" s="887"/>
      <c r="R2" s="887"/>
      <c r="AS2">
        <v>2548.0778736734878</v>
      </c>
    </row>
    <row r="3" spans="2:97">
      <c r="AS3">
        <v>171.482126326512</v>
      </c>
    </row>
    <row r="4" spans="2:97">
      <c r="AS4" s="1903">
        <f>AS2+AS3</f>
        <v>2719.56</v>
      </c>
    </row>
    <row r="6" spans="2:97">
      <c r="G6" s="431">
        <f>+ROUND('June TIS'!H43,0)</f>
        <v>338</v>
      </c>
      <c r="AR6" s="987"/>
    </row>
    <row r="7" spans="2:97" ht="27.6" customHeight="1">
      <c r="G7" s="98" t="e">
        <f>+ROUND('June TIS'!H44,0/mm)</f>
        <v>#NAME?</v>
      </c>
      <c r="AI7" s="1006"/>
      <c r="AJ7" s="1006"/>
      <c r="AK7" s="1006"/>
    </row>
    <row r="8" spans="2:97" ht="14.7" customHeight="1">
      <c r="B8" s="2625" t="s">
        <v>103</v>
      </c>
      <c r="C8" s="993"/>
      <c r="D8" s="993"/>
      <c r="E8" s="993"/>
      <c r="F8" s="993"/>
      <c r="G8" s="993"/>
      <c r="H8" s="993"/>
      <c r="I8" s="993"/>
      <c r="J8" s="993"/>
      <c r="K8" s="993"/>
      <c r="L8" s="993"/>
      <c r="M8" s="993"/>
      <c r="N8" s="993"/>
      <c r="O8" s="2727" t="s">
        <v>18</v>
      </c>
      <c r="P8" s="2727"/>
      <c r="Q8" s="2727"/>
      <c r="R8" s="2727"/>
      <c r="S8" s="2727"/>
      <c r="T8" s="2728"/>
      <c r="U8" s="1221"/>
      <c r="V8" s="1221"/>
      <c r="W8" s="1221"/>
      <c r="X8" s="1222"/>
      <c r="Z8" s="2729"/>
      <c r="AA8" s="2729"/>
      <c r="AB8" s="2730"/>
      <c r="AC8" s="1702"/>
      <c r="AD8" s="1702"/>
      <c r="AE8" s="1702"/>
      <c r="AF8" s="1702"/>
      <c r="AG8" s="1702"/>
      <c r="AH8" s="1702"/>
      <c r="AI8" s="2731" t="s">
        <v>126</v>
      </c>
      <c r="AJ8" s="2732"/>
      <c r="AK8" s="2732"/>
      <c r="AL8" s="2733"/>
      <c r="AM8" s="1269"/>
      <c r="AN8" s="1269"/>
      <c r="AO8" s="1269"/>
      <c r="AP8" s="1269"/>
      <c r="AQ8" s="1269"/>
      <c r="AR8" s="1269"/>
      <c r="AS8" s="1269"/>
      <c r="AT8" s="466"/>
      <c r="AU8" s="1007"/>
      <c r="AV8" s="1269"/>
      <c r="AX8" s="2734" t="s">
        <v>107</v>
      </c>
      <c r="AY8" s="2735"/>
      <c r="AZ8" s="2735"/>
      <c r="BA8" s="2735"/>
      <c r="BB8" s="2735"/>
      <c r="BC8" s="2735"/>
      <c r="BD8" s="2736"/>
      <c r="BE8" s="41"/>
      <c r="BK8" s="2753" t="s">
        <v>108</v>
      </c>
      <c r="BL8" s="2754"/>
      <c r="BM8" s="2754"/>
      <c r="BN8" s="2754"/>
      <c r="BO8" s="2754"/>
      <c r="BP8" s="2754"/>
      <c r="BQ8" s="2755"/>
      <c r="BR8" s="42"/>
      <c r="BS8" s="2671" t="s">
        <v>181</v>
      </c>
      <c r="BT8" s="42"/>
      <c r="BU8" s="42"/>
      <c r="BV8" s="42"/>
      <c r="BW8" s="42"/>
      <c r="BX8" s="42"/>
      <c r="BY8" s="42"/>
      <c r="BZ8" s="42"/>
      <c r="CA8" s="42"/>
      <c r="CB8" s="42"/>
      <c r="CC8" s="42"/>
      <c r="CD8" s="42"/>
      <c r="CE8" s="42"/>
      <c r="CF8" s="42"/>
      <c r="CG8" s="42"/>
      <c r="CH8" s="42"/>
      <c r="CI8" s="42"/>
      <c r="CJ8" s="42"/>
      <c r="CK8" s="42"/>
    </row>
    <row r="9" spans="2:97" ht="14.4" customHeight="1">
      <c r="B9" s="2626"/>
      <c r="C9" s="2624" t="s">
        <v>111</v>
      </c>
      <c r="D9" s="2628"/>
      <c r="E9" s="2628"/>
      <c r="F9" s="2628"/>
      <c r="G9" s="2628"/>
      <c r="H9" s="2628"/>
      <c r="I9" s="2628"/>
      <c r="J9" s="2628"/>
      <c r="K9" s="2628"/>
      <c r="L9" s="2628"/>
      <c r="M9" s="2628"/>
      <c r="N9" s="993"/>
      <c r="O9" s="2740" t="s">
        <v>3</v>
      </c>
      <c r="P9" s="2742"/>
      <c r="Q9" s="2742"/>
      <c r="R9" s="2740"/>
      <c r="S9" s="2671" t="s">
        <v>127</v>
      </c>
      <c r="T9" s="2671" t="s">
        <v>145</v>
      </c>
      <c r="U9" s="42"/>
      <c r="V9" s="42"/>
      <c r="W9" s="42"/>
      <c r="X9" s="2671" t="s">
        <v>375</v>
      </c>
      <c r="Y9" s="42"/>
      <c r="Z9" s="2743" t="s">
        <v>376</v>
      </c>
      <c r="AA9" s="2744"/>
      <c r="AB9" s="2745"/>
      <c r="AC9" s="1704" t="s">
        <v>112</v>
      </c>
      <c r="AD9" s="1703"/>
      <c r="AE9" s="1703"/>
      <c r="AF9" s="1703"/>
      <c r="AG9" s="1703"/>
      <c r="AH9" s="1703"/>
      <c r="AI9" s="2749" t="s">
        <v>377</v>
      </c>
      <c r="AJ9" s="2750"/>
      <c r="AK9" s="2750"/>
      <c r="AL9" s="2751"/>
      <c r="AM9" s="1270"/>
      <c r="AN9" s="1270"/>
      <c r="AO9" s="2752"/>
      <c r="AP9" s="2752"/>
      <c r="AQ9" s="2752"/>
      <c r="AR9" s="2752"/>
      <c r="AS9" s="1270"/>
      <c r="AT9" s="1007"/>
      <c r="AU9" s="1359" t="s">
        <v>378</v>
      </c>
      <c r="AV9" s="1270"/>
      <c r="AW9" s="1007"/>
      <c r="AX9" s="2632" t="s">
        <v>77</v>
      </c>
      <c r="AY9" s="2671" t="s">
        <v>167</v>
      </c>
      <c r="AZ9" s="2624" t="s">
        <v>379</v>
      </c>
      <c r="BA9" s="2628"/>
      <c r="BB9" s="2628"/>
      <c r="BC9" s="2628"/>
      <c r="BD9" s="2631"/>
      <c r="BE9" s="41"/>
      <c r="BF9" s="1007"/>
      <c r="BG9" s="1007"/>
      <c r="BH9" s="1007"/>
      <c r="BI9" s="1007"/>
      <c r="BJ9" s="1007"/>
      <c r="BK9" s="182" t="s">
        <v>170</v>
      </c>
      <c r="BL9" s="2619" t="s">
        <v>171</v>
      </c>
      <c r="BM9" s="2673"/>
      <c r="BN9" s="2673"/>
      <c r="BO9" s="2676"/>
      <c r="BP9" s="2690" t="s">
        <v>172</v>
      </c>
      <c r="BQ9" s="2671" t="s">
        <v>145</v>
      </c>
      <c r="BR9" s="42"/>
      <c r="BS9" s="2672"/>
      <c r="BT9" s="42"/>
      <c r="BU9" s="42"/>
      <c r="BV9" s="42"/>
      <c r="BW9" s="42"/>
      <c r="BX9" s="42"/>
      <c r="BY9" s="42"/>
      <c r="BZ9" s="42"/>
      <c r="CA9" s="42"/>
      <c r="CB9" s="42"/>
      <c r="CC9" s="42"/>
      <c r="CD9" s="42"/>
      <c r="CE9" s="42"/>
      <c r="CF9" s="42"/>
      <c r="CG9" s="42"/>
      <c r="CH9" s="42"/>
      <c r="CI9" s="42"/>
      <c r="CJ9" s="42"/>
      <c r="CK9" s="42"/>
      <c r="CL9" s="1046"/>
    </row>
    <row r="10" spans="2:97" ht="34.200000000000003" customHeight="1">
      <c r="B10" s="2626"/>
      <c r="C10" s="2632" t="s">
        <v>3</v>
      </c>
      <c r="D10" s="2632" t="s">
        <v>126</v>
      </c>
      <c r="E10" s="2632" t="s">
        <v>127</v>
      </c>
      <c r="F10" s="2632" t="s">
        <v>212</v>
      </c>
      <c r="G10" s="2632"/>
      <c r="H10" s="2632" t="s">
        <v>128</v>
      </c>
      <c r="I10" s="2632"/>
      <c r="J10" s="2633"/>
      <c r="K10" s="2634"/>
      <c r="L10" s="2633"/>
      <c r="M10" s="2635"/>
      <c r="N10" s="993"/>
      <c r="O10" s="2741"/>
      <c r="P10" s="2681"/>
      <c r="Q10" s="2681"/>
      <c r="R10" s="2682"/>
      <c r="S10" s="2737"/>
      <c r="T10" s="2737"/>
      <c r="U10" s="2738" t="s">
        <v>380</v>
      </c>
      <c r="V10" s="2739"/>
      <c r="W10" s="2739"/>
      <c r="X10" s="2737"/>
      <c r="Y10" s="42"/>
      <c r="Z10" s="2746"/>
      <c r="AA10" s="2747"/>
      <c r="AB10" s="2748"/>
      <c r="AC10" s="1003" t="s">
        <v>130</v>
      </c>
      <c r="AD10" s="1003" t="s">
        <v>243</v>
      </c>
      <c r="AE10" s="1003" t="s">
        <v>244</v>
      </c>
      <c r="AF10" s="1003" t="s">
        <v>165</v>
      </c>
      <c r="AG10" s="1003" t="s">
        <v>7</v>
      </c>
      <c r="AH10" s="1003" t="s">
        <v>145</v>
      </c>
      <c r="AI10" s="1008" t="s">
        <v>147</v>
      </c>
      <c r="AJ10" s="1008" t="s">
        <v>69</v>
      </c>
      <c r="AK10" s="1008" t="s">
        <v>71</v>
      </c>
      <c r="AL10" s="1009"/>
      <c r="AM10" s="1413"/>
      <c r="AN10" s="1413"/>
      <c r="AO10" s="1308" t="s">
        <v>381</v>
      </c>
      <c r="AP10" s="1308" t="s">
        <v>382</v>
      </c>
      <c r="AQ10" s="1322" t="s">
        <v>7</v>
      </c>
      <c r="AR10" s="1308" t="s">
        <v>383</v>
      </c>
      <c r="AS10" s="1308" t="s">
        <v>384</v>
      </c>
      <c r="AT10" s="1007"/>
      <c r="AU10" s="1360" t="s">
        <v>385</v>
      </c>
      <c r="AV10" s="1413"/>
      <c r="AW10" s="1007"/>
      <c r="AX10" s="2632"/>
      <c r="AY10" s="2737"/>
      <c r="AZ10" s="2632" t="s">
        <v>168</v>
      </c>
      <c r="BA10" s="2632"/>
      <c r="BB10" s="2632"/>
      <c r="BC10" s="2632"/>
      <c r="BD10" s="2632"/>
      <c r="BE10" s="42"/>
      <c r="BF10" s="1007"/>
      <c r="BG10" s="1007"/>
      <c r="BH10" s="1007"/>
      <c r="BI10" s="1007"/>
      <c r="BJ10" s="1007"/>
      <c r="BK10" s="184" t="s">
        <v>168</v>
      </c>
      <c r="BL10" s="43" t="s">
        <v>198</v>
      </c>
      <c r="BM10" s="43" t="s">
        <v>199</v>
      </c>
      <c r="BN10" s="44" t="s">
        <v>200</v>
      </c>
      <c r="BO10" s="45" t="s">
        <v>201</v>
      </c>
      <c r="BP10" s="2691"/>
      <c r="BQ10" s="2672"/>
      <c r="BR10" s="42"/>
      <c r="BS10" s="181" t="s">
        <v>377</v>
      </c>
      <c r="BT10" s="42"/>
      <c r="BU10" s="42"/>
      <c r="BV10" s="42"/>
      <c r="BW10" s="42"/>
      <c r="BX10" s="42"/>
      <c r="BY10" s="42"/>
      <c r="BZ10" s="42"/>
      <c r="CA10" s="42"/>
      <c r="CB10" s="42"/>
      <c r="CC10" s="42"/>
      <c r="CD10" s="42"/>
      <c r="CE10" s="42"/>
      <c r="CF10" s="42"/>
      <c r="CG10" s="42"/>
      <c r="CH10" s="42"/>
      <c r="CI10" s="42"/>
      <c r="CJ10" s="42"/>
      <c r="CK10" s="42"/>
    </row>
    <row r="11" spans="2:97" ht="15" thickBot="1">
      <c r="B11" s="2726"/>
      <c r="C11" s="2632"/>
      <c r="D11" s="2632"/>
      <c r="E11" s="2632"/>
      <c r="F11" s="181"/>
      <c r="G11" s="181"/>
      <c r="H11" s="181" t="s">
        <v>193</v>
      </c>
      <c r="I11" s="181" t="s">
        <v>194</v>
      </c>
      <c r="J11" s="181"/>
      <c r="K11" s="181"/>
      <c r="L11" s="181"/>
      <c r="M11" s="182"/>
      <c r="N11" s="993"/>
      <c r="O11" s="2682"/>
      <c r="P11" s="1002" t="s">
        <v>69</v>
      </c>
      <c r="Q11" s="184" t="s">
        <v>71</v>
      </c>
      <c r="R11" s="184" t="s">
        <v>284</v>
      </c>
      <c r="S11" s="2672"/>
      <c r="T11" s="2672"/>
      <c r="U11" s="1411" t="s">
        <v>386</v>
      </c>
      <c r="V11" s="1010" t="s">
        <v>387</v>
      </c>
      <c r="W11" s="1010" t="s">
        <v>388</v>
      </c>
      <c r="X11" s="2672"/>
      <c r="Y11" s="42"/>
      <c r="Z11" s="888" t="s">
        <v>69</v>
      </c>
      <c r="AA11" s="184" t="s">
        <v>71</v>
      </c>
      <c r="AB11" s="184" t="s">
        <v>284</v>
      </c>
      <c r="AC11" s="184"/>
      <c r="AD11" s="184"/>
      <c r="AE11" s="184"/>
      <c r="AF11" s="184"/>
      <c r="AG11" s="184"/>
      <c r="AH11" s="184"/>
      <c r="AI11" s="1011">
        <f>'March TIS'!AI44</f>
        <v>0</v>
      </c>
      <c r="AJ11" s="1011">
        <f>'May TIS'!AJ44</f>
        <v>731.69488613999999</v>
      </c>
      <c r="AK11" s="1011">
        <f>'May TIS'!AK44</f>
        <v>42401.838512669994</v>
      </c>
      <c r="AL11" s="1932">
        <f t="shared" ref="AL11:AL42" si="0">SUM(AI11:AK11)</f>
        <v>43133.533398809996</v>
      </c>
      <c r="AM11" s="1007"/>
      <c r="AN11" s="1007"/>
      <c r="AO11" s="1309"/>
      <c r="AP11" s="1318">
        <v>0</v>
      </c>
      <c r="AQ11" s="1318"/>
      <c r="AR11" s="1728">
        <f>'April TIS'!AR44</f>
        <v>0</v>
      </c>
      <c r="AS11" s="1728">
        <f>'May TIS'!AS44</f>
        <v>31221.617873673484</v>
      </c>
      <c r="AT11" s="1007"/>
      <c r="AU11" s="1476"/>
      <c r="AV11" s="1007"/>
      <c r="AW11" s="1013"/>
      <c r="AX11" s="2632"/>
      <c r="AY11" s="2672"/>
      <c r="AZ11" s="181" t="s">
        <v>61</v>
      </c>
      <c r="BA11" s="181" t="s">
        <v>62</v>
      </c>
      <c r="BB11" s="181" t="s">
        <v>63</v>
      </c>
      <c r="BC11" s="181" t="s">
        <v>196</v>
      </c>
      <c r="BD11" s="181" t="s">
        <v>197</v>
      </c>
      <c r="BE11" s="42"/>
      <c r="BF11" s="1013"/>
      <c r="BG11" s="1013"/>
      <c r="BH11" s="1013"/>
      <c r="BI11" s="1013"/>
      <c r="BJ11" s="1013"/>
      <c r="BK11" s="1395"/>
      <c r="BL11" s="17"/>
      <c r="BM11" s="18"/>
      <c r="BN11" s="1397"/>
      <c r="BO11" s="17"/>
      <c r="BP11" s="17"/>
      <c r="BQ11" s="1014"/>
      <c r="BR11" s="89"/>
      <c r="BS11" s="1228">
        <f>'May TIS'!BS44</f>
        <v>98589.913847770003</v>
      </c>
      <c r="BT11" s="89"/>
      <c r="BU11" s="89"/>
      <c r="BV11" s="89"/>
      <c r="BW11" s="89"/>
      <c r="BX11" s="89"/>
      <c r="BY11" s="89"/>
      <c r="BZ11" s="89"/>
      <c r="CA11" s="89"/>
      <c r="CB11" s="89"/>
      <c r="CC11" s="89"/>
      <c r="CD11" s="89"/>
      <c r="CE11" s="89"/>
      <c r="CF11" s="89"/>
      <c r="CG11" s="89"/>
      <c r="CH11" s="89"/>
      <c r="CI11" s="89"/>
      <c r="CJ11" s="89"/>
      <c r="CK11" s="89"/>
      <c r="CM11" s="1006"/>
      <c r="CN11" s="1015" t="s">
        <v>285</v>
      </c>
      <c r="CO11" s="1015" t="s">
        <v>293</v>
      </c>
      <c r="CQ11" s="1006"/>
      <c r="CR11" s="1015" t="s">
        <v>286</v>
      </c>
      <c r="CS11" s="1015" t="s">
        <v>293</v>
      </c>
    </row>
    <row r="12" spans="2:97" ht="15" thickBot="1">
      <c r="B12" s="988">
        <v>1</v>
      </c>
      <c r="C12" s="488">
        <f t="shared" ref="C12:C43" si="1">O12</f>
        <v>12935</v>
      </c>
      <c r="D12" s="488">
        <f t="shared" ref="D12:D42" si="2">Q12+P12+AQ12</f>
        <v>672.96</v>
      </c>
      <c r="E12" s="1016">
        <f t="shared" ref="E12:E42" si="3">S12</f>
        <v>19.221053257251544</v>
      </c>
      <c r="F12" s="1017"/>
      <c r="G12" s="494"/>
      <c r="H12" s="1018">
        <v>74</v>
      </c>
      <c r="I12" s="2109">
        <v>11.92</v>
      </c>
      <c r="N12" s="993"/>
      <c r="O12" s="26">
        <v>12935</v>
      </c>
      <c r="P12" s="1020"/>
      <c r="Q12" s="1933">
        <f t="shared" ref="Q12:Q42" si="4">W12+V12+U12</f>
        <v>672.96</v>
      </c>
      <c r="R12" s="1227">
        <f t="shared" ref="R12:R42" si="5">SUM(P12:Q12)</f>
        <v>672.96</v>
      </c>
      <c r="S12" s="27">
        <f t="shared" ref="S12:S42" si="6">IFERROR(O12/R12,0)</f>
        <v>19.221053257251544</v>
      </c>
      <c r="T12" s="33"/>
      <c r="U12" s="2023">
        <v>672.96</v>
      </c>
      <c r="V12" s="2225">
        <v>0</v>
      </c>
      <c r="W12" s="2225">
        <v>0</v>
      </c>
      <c r="X12" s="1024"/>
      <c r="Y12" s="1"/>
      <c r="Z12" s="1025"/>
      <c r="AA12" s="2174">
        <v>0</v>
      </c>
      <c r="AB12" s="1025">
        <v>0</v>
      </c>
      <c r="AC12" s="1025">
        <v>0</v>
      </c>
      <c r="AD12" s="1025">
        <v>0</v>
      </c>
      <c r="AE12" s="1025">
        <v>0</v>
      </c>
      <c r="AF12" s="1025">
        <v>0</v>
      </c>
      <c r="AG12" s="1025">
        <v>0</v>
      </c>
      <c r="AH12" s="1025"/>
      <c r="AI12" s="1026"/>
      <c r="AJ12" s="1026">
        <v>731.69488613999999</v>
      </c>
      <c r="AK12" s="1026">
        <v>43355.058512669995</v>
      </c>
      <c r="AL12" s="1027">
        <f t="shared" si="0"/>
        <v>44086.753398809997</v>
      </c>
      <c r="AM12" s="1414"/>
      <c r="AN12" s="1414"/>
      <c r="AO12" s="1310"/>
      <c r="AP12" s="1310"/>
      <c r="AQ12" s="1934">
        <f t="shared" ref="AQ12:AQ42" si="7">AO12+AP12</f>
        <v>0</v>
      </c>
      <c r="AR12" s="1729">
        <f t="shared" ref="AR12:AS27" si="8">AR11+AO12-AT12</f>
        <v>0</v>
      </c>
      <c r="AS12" s="1729">
        <f t="shared" si="8"/>
        <v>30941.357873673485</v>
      </c>
      <c r="AT12" s="1007"/>
      <c r="AU12" s="1476">
        <v>280.26</v>
      </c>
      <c r="AV12" s="1414"/>
      <c r="AW12" s="987"/>
      <c r="AX12" s="1028">
        <v>0</v>
      </c>
      <c r="AY12" s="171"/>
      <c r="AZ12" s="2" cm="1">
        <f t="array" ref="AZ12">IFERROR(SUMPRODUCT((TIS.HCV.MS!$A$3:$A$92=DATE(2026,6,$B12))*(TIS.HCV.MS!$O$3:$O$92&gt;0)*TIS.HCV.MS!$C$3:$C$92*TIS.HCV.MS!$O$3:$O$92)/SUMPRODUCT((TIS.HCV.MS!$A$3:$A$92=DATE(2026,6,$B12))*(TIS.HCV.MS!$O$3:$O$92&gt;0)*TIS.HCV.MS!$C$3:$C$92),0)</f>
        <v>0</v>
      </c>
      <c r="BA12" s="2110" cm="1">
        <f t="array" ref="BA12">IFERROR(SUMPRODUCT((TIS.HCV.MS!$A$3:$A$92=DATE(2026,6,$B12))*(TIS.HCV.MS!$M$3:$M$92&gt;0)*TIS.HCV.MS!$C$3:$C$92*TIS.HCV.MS!$M$3:$M$92)/SUMPRODUCT((TIS.HCV.MS!$A$3:$A$92=DATE(2026,6,$B12))*(TIS.HCV.MS!$M$3:$M$92&gt;0)*TIS.HCV.MS!$C$3:$C$92),0)</f>
        <v>0</v>
      </c>
      <c r="BB12" s="2110" cm="1">
        <f t="array" ref="BB12">IFERROR(SUMPRODUCT((TIS.HCV.MS!$A$3:$A$92=DATE(2026,6,$B12))*(TIS.HCV.MS!$G$3:$G$92&gt;0)*TIS.HCV.MS!$C$3:$C$92*TIS.HCV.MS!$G$3:$G$92)/SUMPRODUCT((TIS.HCV.MS!$A$3:$A$92=DATE(2026,6,$B12))*(TIS.HCV.MS!$G$3:$G$92&gt;0)*TIS.HCV.MS!$C$3:$C$92),0)</f>
        <v>0</v>
      </c>
      <c r="BC12" s="2110" cm="1">
        <f t="array" ref="BC12">IFERROR(SUMPRODUCT((TIS.HCV.MS!$A$3:$A$92=DATE(2026,6,$B12))*(TIS.HCV.MS!$F$3:$F$92&gt;0)*TIS.HCV.MS!$C$3:$C$92*TIS.HCV.MS!$F$3:$F$92)/SUMPRODUCT((TIS.HCV.MS!$A$3:$A$92=DATE(2026,6,$B12))*(TIS.HCV.MS!$F$3:$F$92&gt;0)*TIS.HCV.MS!$C$3:$C$92),0)</f>
        <v>0</v>
      </c>
      <c r="BD12" s="2111" cm="1">
        <f t="array" ref="BD12">IFERROR(SUMPRODUCT((TIS.HCV.MS!$A$3:$A$92=DATE(2026,6,$B12))*(TIS.HCV.MS!$E$3:$E$92&gt;0)*TIS.HCV.MS!$C$3:$C$92*TIS.HCV.MS!$E$3:$E$92)/SUMPRODUCT((TIS.HCV.MS!$A$3:$A$92=DATE(2026,6,$B12))*(TIS.HCV.MS!$E$3:$E$92&gt;0)*TIS.HCV.MS!$C$3:$C$92),0)</f>
        <v>0</v>
      </c>
      <c r="BF12" s="987"/>
      <c r="BG12" s="987"/>
      <c r="BH12" s="987"/>
      <c r="BI12" s="987"/>
      <c r="BJ12" s="987"/>
      <c r="BK12" s="1028"/>
      <c r="BL12" s="1028"/>
      <c r="BM12" s="1028"/>
      <c r="BN12" s="1028"/>
      <c r="BO12" s="1028"/>
      <c r="BP12" s="1030">
        <f>'June TCM'!LO10</f>
        <v>7.1</v>
      </c>
      <c r="BQ12" s="1031"/>
      <c r="BR12" s="1"/>
      <c r="BS12" s="1032">
        <f t="shared" ref="BS12:BS42" si="9">+BS11+AB12-BK12</f>
        <v>98589.913847770003</v>
      </c>
      <c r="BT12" s="1"/>
      <c r="BU12" s="1"/>
      <c r="BV12" s="1"/>
      <c r="BW12" s="1"/>
      <c r="BX12" s="1"/>
      <c r="BY12" s="1"/>
      <c r="BZ12" s="1"/>
      <c r="CA12" s="1"/>
      <c r="CB12" s="1"/>
      <c r="CC12" s="1"/>
      <c r="CD12" s="1"/>
      <c r="CE12" s="1"/>
      <c r="CF12" s="1"/>
      <c r="CG12" s="1"/>
      <c r="CH12" s="1"/>
      <c r="CI12" s="1"/>
      <c r="CJ12" s="1"/>
      <c r="CK12" s="1"/>
      <c r="CM12" s="1033">
        <v>1</v>
      </c>
      <c r="CN12" s="1">
        <f t="shared" ref="CN12:CN42" si="10">D12</f>
        <v>672.96</v>
      </c>
      <c r="CO12">
        <v>2606010062</v>
      </c>
      <c r="CQ12" s="412">
        <v>1</v>
      </c>
      <c r="CR12" s="1">
        <f t="shared" ref="CR12:CR42" si="11">AB12</f>
        <v>0</v>
      </c>
    </row>
    <row r="13" spans="2:97" ht="15" thickBot="1">
      <c r="B13" s="989">
        <v>2</v>
      </c>
      <c r="C13" s="5">
        <f t="shared" si="1"/>
        <v>14077</v>
      </c>
      <c r="D13" s="488">
        <f t="shared" si="2"/>
        <v>167.96</v>
      </c>
      <c r="E13" s="15">
        <f t="shared" si="3"/>
        <v>83.811621814717782</v>
      </c>
      <c r="F13" s="363"/>
      <c r="G13" s="64"/>
      <c r="H13" s="1034">
        <v>15</v>
      </c>
      <c r="I13" s="1035">
        <v>9.15</v>
      </c>
      <c r="N13" s="993"/>
      <c r="O13" s="26">
        <v>14077</v>
      </c>
      <c r="P13" s="1036"/>
      <c r="Q13" s="277">
        <f t="shared" si="4"/>
        <v>167.96</v>
      </c>
      <c r="R13" s="1227">
        <f t="shared" si="5"/>
        <v>167.96</v>
      </c>
      <c r="S13" s="27">
        <f t="shared" si="6"/>
        <v>83.811621814717782</v>
      </c>
      <c r="T13" s="33"/>
      <c r="U13" s="2226">
        <v>167.96</v>
      </c>
      <c r="V13" s="2225">
        <v>0</v>
      </c>
      <c r="W13" s="2225">
        <v>0</v>
      </c>
      <c r="X13" s="1038"/>
      <c r="Y13" s="1"/>
      <c r="Z13" s="847"/>
      <c r="AA13" s="1025">
        <v>0</v>
      </c>
      <c r="AB13" s="1025">
        <v>0</v>
      </c>
      <c r="AC13" s="1025">
        <v>0</v>
      </c>
      <c r="AD13" s="1025">
        <v>0</v>
      </c>
      <c r="AE13" s="1025">
        <v>0</v>
      </c>
      <c r="AF13" s="1025">
        <v>0</v>
      </c>
      <c r="AG13" s="1025">
        <v>0</v>
      </c>
      <c r="AH13" s="1025"/>
      <c r="AI13" s="1039"/>
      <c r="AJ13" s="1026">
        <v>731.69488613999999</v>
      </c>
      <c r="AK13" s="1026">
        <v>45123.198512669995</v>
      </c>
      <c r="AL13" s="1040">
        <f t="shared" si="0"/>
        <v>45854.893398809996</v>
      </c>
      <c r="AM13" s="1414"/>
      <c r="AN13" s="1414"/>
      <c r="AO13" s="1310"/>
      <c r="AP13" s="1310"/>
      <c r="AQ13" s="1934">
        <f t="shared" si="7"/>
        <v>0</v>
      </c>
      <c r="AR13" s="1729">
        <f t="shared" si="8"/>
        <v>0</v>
      </c>
      <c r="AS13" s="1729">
        <f t="shared" si="8"/>
        <v>29341.177873673485</v>
      </c>
      <c r="AT13" s="1007"/>
      <c r="AU13" s="1476">
        <v>1600.1799999999998</v>
      </c>
      <c r="AV13" s="1414"/>
      <c r="AW13" s="987"/>
      <c r="AX13" s="310">
        <v>0</v>
      </c>
      <c r="AY13" s="998"/>
      <c r="AZ13" s="2" cm="1">
        <f t="array" ref="AZ13">IFERROR(SUMPRODUCT((TIS.HCV.MS!$A$3:$A$92=DATE(2026,6,$B13))*(TIS.HCV.MS!$O$3:$O$92&gt;0)*TIS.HCV.MS!$C$3:$C$92*TIS.HCV.MS!$O$3:$O$92)/SUMPRODUCT((TIS.HCV.MS!$A$3:$A$92=DATE(2026,6,$B13))*(TIS.HCV.MS!$O$3:$O$92&gt;0)*TIS.HCV.MS!$C$3:$C$92),0)</f>
        <v>0</v>
      </c>
      <c r="BA13" s="2110" cm="1">
        <f t="array" ref="BA13">IFERROR(SUMPRODUCT((TIS.HCV.MS!$A$3:$A$92=DATE(2026,6,$B13))*(TIS.HCV.MS!$M$3:$M$92&gt;0)*TIS.HCV.MS!$C$3:$C$92*TIS.HCV.MS!$M$3:$M$92)/SUMPRODUCT((TIS.HCV.MS!$A$3:$A$92=DATE(2026,6,$B13))*(TIS.HCV.MS!$M$3:$M$92&gt;0)*TIS.HCV.MS!$C$3:$C$92),0)</f>
        <v>0</v>
      </c>
      <c r="BB13" s="2110" cm="1">
        <f t="array" ref="BB13">IFERROR(SUMPRODUCT((TIS.HCV.MS!$A$3:$A$92=DATE(2026,6,$B13))*(TIS.HCV.MS!$G$3:$G$92&gt;0)*TIS.HCV.MS!$C$3:$C$92*TIS.HCV.MS!$G$3:$G$92)/SUMPRODUCT((TIS.HCV.MS!$A$3:$A$92=DATE(2026,6,$B13))*(TIS.HCV.MS!$G$3:$G$92&gt;0)*TIS.HCV.MS!$C$3:$C$92),0)</f>
        <v>0</v>
      </c>
      <c r="BC13" s="2110" cm="1">
        <f t="array" ref="BC13">IFERROR(SUMPRODUCT((TIS.HCV.MS!$A$3:$A$92=DATE(2026,6,$B13))*(TIS.HCV.MS!$F$3:$F$92&gt;0)*TIS.HCV.MS!$C$3:$C$92*TIS.HCV.MS!$F$3:$F$92)/SUMPRODUCT((TIS.HCV.MS!$A$3:$A$92=DATE(2026,6,$B13))*(TIS.HCV.MS!$F$3:$F$92&gt;0)*TIS.HCV.MS!$C$3:$C$92),0)</f>
        <v>0</v>
      </c>
      <c r="BD13" s="2111" cm="1">
        <f t="array" ref="BD13">IFERROR(SUMPRODUCT((TIS.HCV.MS!$A$3:$A$92=DATE(2026,6,$B13))*(TIS.HCV.MS!$E$3:$E$92&gt;0)*TIS.HCV.MS!$C$3:$C$92*TIS.HCV.MS!$E$3:$E$92)/SUMPRODUCT((TIS.HCV.MS!$A$3:$A$92=DATE(2026,6,$B13))*(TIS.HCV.MS!$E$3:$E$92&gt;0)*TIS.HCV.MS!$C$3:$C$92),0)</f>
        <v>0</v>
      </c>
      <c r="BF13" s="987"/>
      <c r="BG13" s="987"/>
      <c r="BH13" s="987"/>
      <c r="BI13" s="987"/>
      <c r="BJ13" s="987"/>
      <c r="BK13" s="310"/>
      <c r="BL13" s="310"/>
      <c r="BM13" s="310"/>
      <c r="BN13" s="310"/>
      <c r="BO13" s="310"/>
      <c r="BP13" s="1041">
        <f>'June TCM'!LO11</f>
        <v>7</v>
      </c>
      <c r="BQ13" s="1042"/>
      <c r="BR13" s="1"/>
      <c r="BS13" s="1032">
        <f t="shared" si="9"/>
        <v>98589.913847770003</v>
      </c>
      <c r="BT13" s="1"/>
      <c r="BU13" s="1"/>
      <c r="BV13" s="1"/>
      <c r="BW13" s="1"/>
      <c r="BX13" s="1"/>
      <c r="BY13" s="1"/>
      <c r="BZ13" s="1"/>
      <c r="CA13" s="1"/>
      <c r="CB13" s="1"/>
      <c r="CC13" s="1"/>
      <c r="CD13" s="1"/>
      <c r="CE13" s="1"/>
      <c r="CF13" s="1"/>
      <c r="CG13" s="1"/>
      <c r="CH13" s="1"/>
      <c r="CI13" s="1"/>
      <c r="CJ13" s="1"/>
      <c r="CK13" s="1"/>
      <c r="CM13" s="1033">
        <v>2</v>
      </c>
      <c r="CN13" s="1">
        <f t="shared" si="10"/>
        <v>167.96</v>
      </c>
      <c r="CO13" s="1046">
        <v>2606020167</v>
      </c>
      <c r="CQ13" s="412">
        <v>2</v>
      </c>
      <c r="CR13" s="1">
        <f t="shared" si="11"/>
        <v>0</v>
      </c>
    </row>
    <row r="14" spans="2:97" ht="15" thickBot="1">
      <c r="B14" s="989">
        <v>3</v>
      </c>
      <c r="C14" s="5">
        <f t="shared" si="1"/>
        <v>28686</v>
      </c>
      <c r="D14" s="488">
        <f t="shared" si="2"/>
        <v>495</v>
      </c>
      <c r="E14" s="15">
        <f t="shared" si="3"/>
        <v>57.951515151515153</v>
      </c>
      <c r="F14" s="363"/>
      <c r="G14" s="64"/>
      <c r="H14" s="1034"/>
      <c r="I14" s="1035"/>
      <c r="N14" s="993"/>
      <c r="O14" s="26">
        <v>28686</v>
      </c>
      <c r="P14" s="1036"/>
      <c r="Q14" s="277">
        <f t="shared" si="4"/>
        <v>495</v>
      </c>
      <c r="R14" s="1227">
        <f t="shared" si="5"/>
        <v>495</v>
      </c>
      <c r="S14" s="27">
        <f t="shared" si="6"/>
        <v>57.951515151515153</v>
      </c>
      <c r="T14" s="33"/>
      <c r="U14" s="2226">
        <v>495</v>
      </c>
      <c r="V14" s="2225">
        <v>0</v>
      </c>
      <c r="W14" s="2225">
        <v>0</v>
      </c>
      <c r="X14" s="1038"/>
      <c r="Y14" s="1"/>
      <c r="Z14" s="847"/>
      <c r="AA14" s="1025">
        <v>0</v>
      </c>
      <c r="AB14" s="1025">
        <v>0</v>
      </c>
      <c r="AC14" s="1025">
        <v>0</v>
      </c>
      <c r="AD14" s="1025">
        <v>0</v>
      </c>
      <c r="AE14" s="1025">
        <v>0</v>
      </c>
      <c r="AF14" s="1025">
        <v>0</v>
      </c>
      <c r="AG14" s="1025">
        <v>0</v>
      </c>
      <c r="AH14" s="1025"/>
      <c r="AI14" s="1039"/>
      <c r="AJ14" s="1026">
        <v>731.69488613999999</v>
      </c>
      <c r="AK14" s="1026">
        <v>48051.118512669993</v>
      </c>
      <c r="AL14" s="1040">
        <f t="shared" si="0"/>
        <v>48782.813398809994</v>
      </c>
      <c r="AM14" s="1414"/>
      <c r="AN14" s="1414"/>
      <c r="AO14" s="1310"/>
      <c r="AP14" s="1310"/>
      <c r="AQ14" s="1934">
        <f t="shared" si="7"/>
        <v>0</v>
      </c>
      <c r="AR14" s="1729">
        <f t="shared" si="8"/>
        <v>0</v>
      </c>
      <c r="AS14" s="1729">
        <f t="shared" si="8"/>
        <v>26908.257873673487</v>
      </c>
      <c r="AT14" s="1007"/>
      <c r="AU14" s="1476">
        <v>2432.92</v>
      </c>
      <c r="AV14" s="1414"/>
      <c r="AW14" s="987"/>
      <c r="AX14" s="310">
        <v>0</v>
      </c>
      <c r="AY14" s="1043"/>
      <c r="AZ14" s="2" cm="1">
        <f t="array" ref="AZ14">IFERROR(SUMPRODUCT((TIS.HCV.MS!$A$3:$A$92=DATE(2026,6,$B14))*(TIS.HCV.MS!$O$3:$O$92&gt;0)*TIS.HCV.MS!$C$3:$C$92*TIS.HCV.MS!$O$3:$O$92)/SUMPRODUCT((TIS.HCV.MS!$A$3:$A$92=DATE(2026,6,$B14))*(TIS.HCV.MS!$O$3:$O$92&gt;0)*TIS.HCV.MS!$C$3:$C$92),0)</f>
        <v>0</v>
      </c>
      <c r="BA14" s="2110" cm="1">
        <f t="array" ref="BA14">IFERROR(SUMPRODUCT((TIS.HCV.MS!$A$3:$A$92=DATE(2026,6,$B14))*(TIS.HCV.MS!$M$3:$M$92&gt;0)*TIS.HCV.MS!$C$3:$C$92*TIS.HCV.MS!$M$3:$M$92)/SUMPRODUCT((TIS.HCV.MS!$A$3:$A$92=DATE(2026,6,$B14))*(TIS.HCV.MS!$M$3:$M$92&gt;0)*TIS.HCV.MS!$C$3:$C$92),0)</f>
        <v>0</v>
      </c>
      <c r="BB14" s="2110" cm="1">
        <f t="array" ref="BB14">IFERROR(SUMPRODUCT((TIS.HCV.MS!$A$3:$A$92=DATE(2026,6,$B14))*(TIS.HCV.MS!$G$3:$G$92&gt;0)*TIS.HCV.MS!$C$3:$C$92*TIS.HCV.MS!$G$3:$G$92)/SUMPRODUCT((TIS.HCV.MS!$A$3:$A$92=DATE(2026,6,$B14))*(TIS.HCV.MS!$G$3:$G$92&gt;0)*TIS.HCV.MS!$C$3:$C$92),0)</f>
        <v>0</v>
      </c>
      <c r="BC14" s="2110" cm="1">
        <f t="array" ref="BC14">IFERROR(SUMPRODUCT((TIS.HCV.MS!$A$3:$A$92=DATE(2026,6,$B14))*(TIS.HCV.MS!$F$3:$F$92&gt;0)*TIS.HCV.MS!$C$3:$C$92*TIS.HCV.MS!$F$3:$F$92)/SUMPRODUCT((TIS.HCV.MS!$A$3:$A$92=DATE(2026,6,$B14))*(TIS.HCV.MS!$F$3:$F$92&gt;0)*TIS.HCV.MS!$C$3:$C$92),0)</f>
        <v>0</v>
      </c>
      <c r="BD14" s="2111" cm="1">
        <f t="array" ref="BD14">IFERROR(SUMPRODUCT((TIS.HCV.MS!$A$3:$A$92=DATE(2026,6,$B14))*(TIS.HCV.MS!$E$3:$E$92&gt;0)*TIS.HCV.MS!$C$3:$C$92*TIS.HCV.MS!$E$3:$E$92)/SUMPRODUCT((TIS.HCV.MS!$A$3:$A$92=DATE(2026,6,$B14))*(TIS.HCV.MS!$E$3:$E$92&gt;0)*TIS.HCV.MS!$C$3:$C$92),0)</f>
        <v>0</v>
      </c>
      <c r="BF14" s="987"/>
      <c r="BG14" s="987"/>
      <c r="BH14" s="987"/>
      <c r="BI14" s="987"/>
      <c r="BJ14" s="987"/>
      <c r="BK14" s="310"/>
      <c r="BL14" s="310"/>
      <c r="BM14" s="310"/>
      <c r="BN14" s="310"/>
      <c r="BO14" s="310">
        <v>2</v>
      </c>
      <c r="BP14" s="1041">
        <f>'June TCM'!LO12</f>
        <v>6.2</v>
      </c>
      <c r="BQ14" s="1042"/>
      <c r="BR14" s="1"/>
      <c r="BS14" s="1032">
        <f t="shared" si="9"/>
        <v>98589.913847770003</v>
      </c>
      <c r="BT14" s="1"/>
      <c r="BU14" s="1"/>
      <c r="BV14" s="1"/>
      <c r="BW14" s="1"/>
      <c r="BX14" s="1"/>
      <c r="BY14" s="1"/>
      <c r="BZ14" s="1"/>
      <c r="CA14" s="1"/>
      <c r="CB14" s="1"/>
      <c r="CC14" s="1"/>
      <c r="CD14" s="1"/>
      <c r="CE14" s="1"/>
      <c r="CF14" s="1"/>
      <c r="CG14" s="1"/>
      <c r="CH14" s="1"/>
      <c r="CI14" s="1"/>
      <c r="CJ14" s="1"/>
      <c r="CK14" s="1"/>
      <c r="CM14" s="1033">
        <v>3</v>
      </c>
      <c r="CN14" s="1">
        <f t="shared" si="10"/>
        <v>495</v>
      </c>
      <c r="CO14">
        <v>2606030328</v>
      </c>
      <c r="CQ14" s="412">
        <v>3</v>
      </c>
      <c r="CR14" s="1">
        <f t="shared" si="11"/>
        <v>0</v>
      </c>
    </row>
    <row r="15" spans="2:97" ht="15" thickBot="1">
      <c r="B15" s="989">
        <v>4</v>
      </c>
      <c r="C15" s="5">
        <f t="shared" si="1"/>
        <v>32806</v>
      </c>
      <c r="D15" s="488">
        <f t="shared" si="2"/>
        <v>1001.58</v>
      </c>
      <c r="E15" s="15">
        <f t="shared" si="3"/>
        <v>32.754248287705423</v>
      </c>
      <c r="F15" s="363"/>
      <c r="G15" s="64"/>
      <c r="H15" s="1034"/>
      <c r="I15" s="1035"/>
      <c r="N15" s="993"/>
      <c r="O15" s="26">
        <v>32806</v>
      </c>
      <c r="P15" s="1036"/>
      <c r="Q15" s="277">
        <f t="shared" si="4"/>
        <v>1001.58</v>
      </c>
      <c r="R15" s="1227">
        <f t="shared" si="5"/>
        <v>1001.58</v>
      </c>
      <c r="S15" s="27">
        <f t="shared" si="6"/>
        <v>32.754248287705423</v>
      </c>
      <c r="T15" s="33"/>
      <c r="U15" s="2226">
        <v>1001.58</v>
      </c>
      <c r="V15" s="2225">
        <v>0</v>
      </c>
      <c r="W15" s="2225">
        <v>0</v>
      </c>
      <c r="X15" s="1038"/>
      <c r="Y15" s="1"/>
      <c r="Z15" s="847"/>
      <c r="AA15" s="1025">
        <v>0</v>
      </c>
      <c r="AB15" s="1025">
        <v>0</v>
      </c>
      <c r="AC15" s="1025">
        <v>0</v>
      </c>
      <c r="AD15" s="1025">
        <v>0</v>
      </c>
      <c r="AE15" s="1025">
        <v>0</v>
      </c>
      <c r="AF15" s="1025">
        <v>0</v>
      </c>
      <c r="AG15" s="1025">
        <v>0</v>
      </c>
      <c r="AH15" s="1025"/>
      <c r="AI15" s="1039"/>
      <c r="AJ15" s="1026">
        <v>731.69488613999999</v>
      </c>
      <c r="AK15" s="1026">
        <v>51730.838512669994</v>
      </c>
      <c r="AL15" s="1040">
        <f t="shared" si="0"/>
        <v>52462.533398809996</v>
      </c>
      <c r="AM15" s="1414"/>
      <c r="AN15" s="1414"/>
      <c r="AO15" s="1310"/>
      <c r="AP15" s="1310"/>
      <c r="AQ15" s="1934">
        <f t="shared" si="7"/>
        <v>0</v>
      </c>
      <c r="AR15" s="1729">
        <f t="shared" si="8"/>
        <v>0</v>
      </c>
      <c r="AS15" s="1729">
        <f t="shared" si="8"/>
        <v>24230.117873673487</v>
      </c>
      <c r="AT15" s="1007"/>
      <c r="AU15" s="1476">
        <v>2678.14</v>
      </c>
      <c r="AV15" s="1414"/>
      <c r="AW15" s="987"/>
      <c r="AX15" s="310">
        <v>0</v>
      </c>
      <c r="AY15" s="998"/>
      <c r="AZ15" s="2" cm="1">
        <f t="array" ref="AZ15">IFERROR(SUMPRODUCT((TIS.HCV.MS!$A$3:$A$92=DATE(2026,6,$B15))*(TIS.HCV.MS!$O$3:$O$92&gt;0)*TIS.HCV.MS!$C$3:$C$92*TIS.HCV.MS!$O$3:$O$92)/SUMPRODUCT((TIS.HCV.MS!$A$3:$A$92=DATE(2026,6,$B15))*(TIS.HCV.MS!$O$3:$O$92&gt;0)*TIS.HCV.MS!$C$3:$C$92),0)</f>
        <v>0</v>
      </c>
      <c r="BA15" s="2110" cm="1">
        <f t="array" ref="BA15">IFERROR(SUMPRODUCT((TIS.HCV.MS!$A$3:$A$92=DATE(2026,6,$B15))*(TIS.HCV.MS!$M$3:$M$92&gt;0)*TIS.HCV.MS!$C$3:$C$92*TIS.HCV.MS!$M$3:$M$92)/SUMPRODUCT((TIS.HCV.MS!$A$3:$A$92=DATE(2026,6,$B15))*(TIS.HCV.MS!$M$3:$M$92&gt;0)*TIS.HCV.MS!$C$3:$C$92),0)</f>
        <v>0</v>
      </c>
      <c r="BB15" s="2110" cm="1">
        <f t="array" ref="BB15">IFERROR(SUMPRODUCT((TIS.HCV.MS!$A$3:$A$92=DATE(2026,6,$B15))*(TIS.HCV.MS!$G$3:$G$92&gt;0)*TIS.HCV.MS!$C$3:$C$92*TIS.HCV.MS!$G$3:$G$92)/SUMPRODUCT((TIS.HCV.MS!$A$3:$A$92=DATE(2026,6,$B15))*(TIS.HCV.MS!$G$3:$G$92&gt;0)*TIS.HCV.MS!$C$3:$C$92),0)</f>
        <v>0</v>
      </c>
      <c r="BC15" s="2110" cm="1">
        <f t="array" ref="BC15">IFERROR(SUMPRODUCT((TIS.HCV.MS!$A$3:$A$92=DATE(2026,6,$B15))*(TIS.HCV.MS!$F$3:$F$92&gt;0)*TIS.HCV.MS!$C$3:$C$92*TIS.HCV.MS!$F$3:$F$92)/SUMPRODUCT((TIS.HCV.MS!$A$3:$A$92=DATE(2026,6,$B15))*(TIS.HCV.MS!$F$3:$F$92&gt;0)*TIS.HCV.MS!$C$3:$C$92),0)</f>
        <v>0</v>
      </c>
      <c r="BD15" s="2111" cm="1">
        <f t="array" ref="BD15">IFERROR(SUMPRODUCT((TIS.HCV.MS!$A$3:$A$92=DATE(2026,6,$B15))*(TIS.HCV.MS!$E$3:$E$92&gt;0)*TIS.HCV.MS!$C$3:$C$92*TIS.HCV.MS!$E$3:$E$92)/SUMPRODUCT((TIS.HCV.MS!$A$3:$A$92=DATE(2026,6,$B15))*(TIS.HCV.MS!$E$3:$E$92&gt;0)*TIS.HCV.MS!$C$3:$C$92),0)</f>
        <v>0</v>
      </c>
      <c r="BF15" s="987"/>
      <c r="BG15" s="987"/>
      <c r="BH15" s="987"/>
      <c r="BI15" s="987"/>
      <c r="BJ15" s="987"/>
      <c r="BK15" s="310"/>
      <c r="BL15" s="310"/>
      <c r="BM15" s="310"/>
      <c r="BN15" s="310"/>
      <c r="BO15" s="310">
        <v>2</v>
      </c>
      <c r="BP15" s="1041">
        <f>'June TCM'!LO13</f>
        <v>5.9</v>
      </c>
      <c r="BQ15" s="1042"/>
      <c r="BR15" s="1"/>
      <c r="BS15" s="1032">
        <f t="shared" si="9"/>
        <v>98589.913847770003</v>
      </c>
      <c r="BT15" s="1"/>
      <c r="BU15" s="1"/>
      <c r="BV15" s="1"/>
      <c r="BW15" s="1"/>
      <c r="BX15" s="1"/>
      <c r="BY15" s="1"/>
      <c r="BZ15" s="1"/>
      <c r="CA15" s="1"/>
      <c r="CB15" s="1"/>
      <c r="CC15" s="1"/>
      <c r="CD15" s="1"/>
      <c r="CE15" s="1"/>
      <c r="CF15" s="1"/>
      <c r="CG15" s="1"/>
      <c r="CH15" s="1"/>
      <c r="CI15" s="1"/>
      <c r="CJ15" s="1"/>
      <c r="CK15" s="1"/>
      <c r="CM15" s="1033">
        <v>4</v>
      </c>
      <c r="CN15" s="1">
        <f t="shared" si="10"/>
        <v>1001.58</v>
      </c>
      <c r="CO15">
        <v>2606040618</v>
      </c>
      <c r="CQ15" s="412">
        <v>4</v>
      </c>
      <c r="CR15" s="1">
        <f t="shared" si="11"/>
        <v>0</v>
      </c>
    </row>
    <row r="16" spans="2:97" ht="13.5" customHeight="1" thickBot="1">
      <c r="B16" s="989">
        <v>5</v>
      </c>
      <c r="C16" s="5">
        <f t="shared" si="1"/>
        <v>32643</v>
      </c>
      <c r="D16" s="488">
        <f t="shared" si="2"/>
        <v>1215.52</v>
      </c>
      <c r="E16" s="15">
        <f t="shared" si="3"/>
        <v>26.855173094642623</v>
      </c>
      <c r="F16" s="363"/>
      <c r="G16" s="64"/>
      <c r="H16" s="1034"/>
      <c r="I16" s="1035"/>
      <c r="N16" s="993"/>
      <c r="O16" s="26">
        <v>32643</v>
      </c>
      <c r="P16" s="36"/>
      <c r="Q16" s="277">
        <f t="shared" si="4"/>
        <v>1215.52</v>
      </c>
      <c r="R16" s="1227">
        <f t="shared" si="5"/>
        <v>1215.52</v>
      </c>
      <c r="S16" s="27">
        <f t="shared" si="6"/>
        <v>26.855173094642623</v>
      </c>
      <c r="T16" s="33"/>
      <c r="U16" s="2226">
        <v>1215.52</v>
      </c>
      <c r="V16" s="2225">
        <v>0</v>
      </c>
      <c r="W16" s="2225">
        <v>0</v>
      </c>
      <c r="X16" s="1038"/>
      <c r="Y16" s="1"/>
      <c r="Z16" s="847"/>
      <c r="AA16" s="1025">
        <v>11704.510000000002</v>
      </c>
      <c r="AB16" s="1025">
        <v>11704.510000000002</v>
      </c>
      <c r="AC16" s="1025">
        <v>0</v>
      </c>
      <c r="AD16" s="1025">
        <v>0</v>
      </c>
      <c r="AE16" s="1025">
        <v>6507.39</v>
      </c>
      <c r="AF16" s="1025">
        <v>5197.12</v>
      </c>
      <c r="AG16" s="1025">
        <v>11704.51</v>
      </c>
      <c r="AH16" s="1025"/>
      <c r="AI16" s="1039"/>
      <c r="AJ16" s="1026">
        <v>731.69488613999999</v>
      </c>
      <c r="AK16" s="1026">
        <v>43618.908512669987</v>
      </c>
      <c r="AL16" s="1040">
        <f t="shared" si="0"/>
        <v>44350.603398809988</v>
      </c>
      <c r="AM16" s="1414"/>
      <c r="AN16" s="1414"/>
      <c r="AO16" s="1310"/>
      <c r="AP16" s="1310"/>
      <c r="AQ16" s="1934">
        <f t="shared" si="7"/>
        <v>0</v>
      </c>
      <c r="AR16" s="1729">
        <f t="shared" si="8"/>
        <v>0</v>
      </c>
      <c r="AS16" s="1729">
        <f t="shared" si="8"/>
        <v>21853.05787367349</v>
      </c>
      <c r="AT16" s="1007"/>
      <c r="AU16" s="1476">
        <v>2377.0599999999995</v>
      </c>
      <c r="AV16" s="1414"/>
      <c r="AW16" s="987"/>
      <c r="AX16" s="310">
        <v>11704.510000000002</v>
      </c>
      <c r="AY16" s="998"/>
      <c r="AZ16" s="2" cm="1">
        <f t="array" ref="AZ16">IFERROR(SUMPRODUCT((TIS.HCV.MS!$A$3:$A$92=DATE(2026,6,$B16))*(TIS.HCV.MS!$O$3:$O$92&gt;0)*TIS.HCV.MS!$C$3:$C$92*TIS.HCV.MS!$O$3:$O$92)/SUMPRODUCT((TIS.HCV.MS!$A$3:$A$92=DATE(2026,6,$B16))*(TIS.HCV.MS!$O$3:$O$92&gt;0)*TIS.HCV.MS!$C$3:$C$92),0)</f>
        <v>0</v>
      </c>
      <c r="BA16" s="2110" cm="1">
        <f t="array" ref="BA16">IFERROR(SUMPRODUCT((TIS.HCV.MS!$A$3:$A$92=DATE(2026,6,$B16))*(TIS.HCV.MS!$M$3:$M$92&gt;0)*TIS.HCV.MS!$C$3:$C$92*TIS.HCV.MS!$M$3:$M$92)/SUMPRODUCT((TIS.HCV.MS!$A$3:$A$92=DATE(2026,6,$B16))*(TIS.HCV.MS!$M$3:$M$92&gt;0)*TIS.HCV.MS!$C$3:$C$92),0)</f>
        <v>0</v>
      </c>
      <c r="BB16" s="2110" cm="1">
        <f t="array" ref="BB16">IFERROR(SUMPRODUCT((TIS.HCV.MS!$A$3:$A$92=DATE(2026,6,$B16))*(TIS.HCV.MS!$G$3:$G$92&gt;0)*TIS.HCV.MS!$C$3:$C$92*TIS.HCV.MS!$G$3:$G$92)/SUMPRODUCT((TIS.HCV.MS!$A$3:$A$92=DATE(2026,6,$B16))*(TIS.HCV.MS!$G$3:$G$92&gt;0)*TIS.HCV.MS!$C$3:$C$92),0)</f>
        <v>0</v>
      </c>
      <c r="BC16" s="2110" cm="1">
        <f t="array" ref="BC16">IFERROR(SUMPRODUCT((TIS.HCV.MS!$A$3:$A$92=DATE(2026,6,$B16))*(TIS.HCV.MS!$F$3:$F$92&gt;0)*TIS.HCV.MS!$C$3:$C$92*TIS.HCV.MS!$F$3:$F$92)/SUMPRODUCT((TIS.HCV.MS!$A$3:$A$92=DATE(2026,6,$B16))*(TIS.HCV.MS!$F$3:$F$92&gt;0)*TIS.HCV.MS!$C$3:$C$92),0)</f>
        <v>0</v>
      </c>
      <c r="BD16" s="2111" cm="1">
        <f t="array" ref="BD16">IFERROR(SUMPRODUCT((TIS.HCV.MS!$A$3:$A$92=DATE(2026,6,$B16))*(TIS.HCV.MS!$E$3:$E$92&gt;0)*TIS.HCV.MS!$C$3:$C$92*TIS.HCV.MS!$E$3:$E$92)/SUMPRODUCT((TIS.HCV.MS!$A$3:$A$92=DATE(2026,6,$B16))*(TIS.HCV.MS!$E$3:$E$92&gt;0)*TIS.HCV.MS!$C$3:$C$92),0)</f>
        <v>0</v>
      </c>
      <c r="BF16" s="987"/>
      <c r="BG16" s="987"/>
      <c r="BH16" s="987"/>
      <c r="BI16" s="987"/>
      <c r="BJ16" s="987"/>
      <c r="BK16" s="310"/>
      <c r="BL16" s="310"/>
      <c r="BM16" s="310"/>
      <c r="BN16" s="310"/>
      <c r="BO16" s="310">
        <v>1</v>
      </c>
      <c r="BP16" s="1041">
        <f>'June TCM'!LO14</f>
        <v>5.69</v>
      </c>
      <c r="BQ16" s="2214" t="s">
        <v>389</v>
      </c>
      <c r="BR16" s="1"/>
      <c r="BS16" s="1032">
        <f t="shared" si="9"/>
        <v>110294.42384777</v>
      </c>
      <c r="BT16" s="1"/>
      <c r="BU16" s="1"/>
      <c r="BV16" s="1"/>
      <c r="BW16" s="1"/>
      <c r="BX16" s="1"/>
      <c r="BY16" s="1"/>
      <c r="BZ16" s="1"/>
      <c r="CA16" s="1"/>
      <c r="CB16" s="1"/>
      <c r="CC16" s="1"/>
      <c r="CD16" s="1"/>
      <c r="CE16" s="1"/>
      <c r="CF16" s="1"/>
      <c r="CG16" s="1"/>
      <c r="CH16" s="1"/>
      <c r="CI16" s="1"/>
      <c r="CJ16" s="1"/>
      <c r="CK16" s="1"/>
      <c r="CM16" s="1033">
        <v>5</v>
      </c>
      <c r="CN16" s="1">
        <f t="shared" si="10"/>
        <v>1215.52</v>
      </c>
      <c r="CO16" s="1045">
        <v>2606051004</v>
      </c>
      <c r="CQ16" s="412">
        <v>5</v>
      </c>
      <c r="CR16" s="1">
        <f t="shared" si="11"/>
        <v>11704.510000000002</v>
      </c>
      <c r="CS16" s="1046">
        <v>2606051719</v>
      </c>
    </row>
    <row r="17" spans="2:97" ht="15" thickBot="1">
      <c r="B17" s="989">
        <v>6</v>
      </c>
      <c r="C17" s="5">
        <f t="shared" si="1"/>
        <v>31891</v>
      </c>
      <c r="D17" s="488">
        <f t="shared" si="2"/>
        <v>680.42000000000007</v>
      </c>
      <c r="E17" s="15">
        <f t="shared" si="3"/>
        <v>46.869580553187731</v>
      </c>
      <c r="F17" s="363"/>
      <c r="G17" s="64"/>
      <c r="H17" s="1034"/>
      <c r="I17" s="1035"/>
      <c r="N17" s="993"/>
      <c r="O17" s="26">
        <v>31891</v>
      </c>
      <c r="P17" s="36"/>
      <c r="Q17" s="277">
        <f t="shared" si="4"/>
        <v>680.42000000000007</v>
      </c>
      <c r="R17" s="1227">
        <f t="shared" si="5"/>
        <v>680.42000000000007</v>
      </c>
      <c r="S17" s="27">
        <f t="shared" si="6"/>
        <v>46.869580553187731</v>
      </c>
      <c r="T17" s="33"/>
      <c r="U17" s="2226">
        <v>680.42000000000007</v>
      </c>
      <c r="V17" s="2225">
        <v>0</v>
      </c>
      <c r="W17" s="2225">
        <v>0</v>
      </c>
      <c r="X17" s="1038"/>
      <c r="Y17" s="1"/>
      <c r="Z17" s="847"/>
      <c r="AA17" s="1025">
        <v>11647.3</v>
      </c>
      <c r="AB17" s="1025">
        <v>11647.3</v>
      </c>
      <c r="AC17" s="1025">
        <v>0</v>
      </c>
      <c r="AD17" s="1025">
        <v>0</v>
      </c>
      <c r="AE17" s="1025">
        <v>6289.130000000001</v>
      </c>
      <c r="AF17" s="1025">
        <v>5358.1699999999992</v>
      </c>
      <c r="AG17" s="1025">
        <v>11647.3</v>
      </c>
      <c r="AH17" s="1025"/>
      <c r="AI17" s="1039"/>
      <c r="AJ17" s="1026">
        <v>731.69488613999999</v>
      </c>
      <c r="AK17" s="1026">
        <v>36089.74851266999</v>
      </c>
      <c r="AL17" s="1040">
        <f t="shared" si="0"/>
        <v>36821.443398809992</v>
      </c>
      <c r="AM17" s="1414"/>
      <c r="AN17" s="1414"/>
      <c r="AO17" s="1310"/>
      <c r="AP17" s="1310"/>
      <c r="AQ17" s="1934">
        <f t="shared" si="7"/>
        <v>0</v>
      </c>
      <c r="AR17" s="1729">
        <f t="shared" si="8"/>
        <v>0</v>
      </c>
      <c r="AS17" s="1729">
        <f t="shared" si="8"/>
        <v>18415.337873673489</v>
      </c>
      <c r="AT17" s="1007"/>
      <c r="AU17" s="1476">
        <v>3437.7200000000003</v>
      </c>
      <c r="AV17" s="1414"/>
      <c r="AW17" s="987"/>
      <c r="AX17" s="310">
        <v>11647.3</v>
      </c>
      <c r="AY17" s="998"/>
      <c r="AZ17" s="2" cm="1">
        <f t="array" ref="AZ17">IFERROR(SUMPRODUCT((TIS.HCV.MS!$A$3:$A$92=DATE(2026,6,$B17))*(TIS.HCV.MS!$O$3:$O$92&gt;0)*TIS.HCV.MS!$C$3:$C$92*TIS.HCV.MS!$O$3:$O$92)/SUMPRODUCT((TIS.HCV.MS!$A$3:$A$92=DATE(2026,6,$B17))*(TIS.HCV.MS!$O$3:$O$92&gt;0)*TIS.HCV.MS!$C$3:$C$92),0)</f>
        <v>0</v>
      </c>
      <c r="BA17" s="2110" cm="1">
        <f t="array" ref="BA17">IFERROR(SUMPRODUCT((TIS.HCV.MS!$A$3:$A$92=DATE(2026,6,$B17))*(TIS.HCV.MS!$M$3:$M$92&gt;0)*TIS.HCV.MS!$C$3:$C$92*TIS.HCV.MS!$M$3:$M$92)/SUMPRODUCT((TIS.HCV.MS!$A$3:$A$92=DATE(2026,6,$B17))*(TIS.HCV.MS!$M$3:$M$92&gt;0)*TIS.HCV.MS!$C$3:$C$92),0)</f>
        <v>0</v>
      </c>
      <c r="BB17" s="2110" cm="1">
        <f t="array" ref="BB17">IFERROR(SUMPRODUCT((TIS.HCV.MS!$A$3:$A$92=DATE(2026,6,$B17))*(TIS.HCV.MS!$G$3:$G$92&gt;0)*TIS.HCV.MS!$C$3:$C$92*TIS.HCV.MS!$G$3:$G$92)/SUMPRODUCT((TIS.HCV.MS!$A$3:$A$92=DATE(2026,6,$B17))*(TIS.HCV.MS!$G$3:$G$92&gt;0)*TIS.HCV.MS!$C$3:$C$92),0)</f>
        <v>0</v>
      </c>
      <c r="BC17" s="2110" cm="1">
        <f t="array" ref="BC17">IFERROR(SUMPRODUCT((TIS.HCV.MS!$A$3:$A$92=DATE(2026,6,$B17))*(TIS.HCV.MS!$F$3:$F$92&gt;0)*TIS.HCV.MS!$C$3:$C$92*TIS.HCV.MS!$F$3:$F$92)/SUMPRODUCT((TIS.HCV.MS!$A$3:$A$92=DATE(2026,6,$B17))*(TIS.HCV.MS!$F$3:$F$92&gt;0)*TIS.HCV.MS!$C$3:$C$92),0)</f>
        <v>0</v>
      </c>
      <c r="BD17" s="2111" cm="1">
        <f t="array" ref="BD17">IFERROR(SUMPRODUCT((TIS.HCV.MS!$A$3:$A$92=DATE(2026,6,$B17))*(TIS.HCV.MS!$E$3:$E$92&gt;0)*TIS.HCV.MS!$C$3:$C$92*TIS.HCV.MS!$E$3:$E$92)/SUMPRODUCT((TIS.HCV.MS!$A$3:$A$92=DATE(2026,6,$B17))*(TIS.HCV.MS!$E$3:$E$92&gt;0)*TIS.HCV.MS!$C$3:$C$92),0)</f>
        <v>0</v>
      </c>
      <c r="BF17" s="987"/>
      <c r="BG17" s="987"/>
      <c r="BH17" s="987"/>
      <c r="BI17" s="987"/>
      <c r="BJ17" s="987"/>
      <c r="BK17" s="310">
        <v>7620.64</v>
      </c>
      <c r="BL17" s="310">
        <v>1</v>
      </c>
      <c r="BM17" s="310"/>
      <c r="BN17" s="310">
        <v>1</v>
      </c>
      <c r="BO17" s="310"/>
      <c r="BP17" s="1041">
        <f>'June TCM'!LO15</f>
        <v>5.75</v>
      </c>
      <c r="BQ17" s="1042"/>
      <c r="BR17" s="1"/>
      <c r="BS17" s="1032">
        <f t="shared" si="9"/>
        <v>114321.08384777</v>
      </c>
      <c r="BT17" s="1"/>
      <c r="BU17" s="1"/>
      <c r="BV17" s="1"/>
      <c r="BW17" s="1"/>
      <c r="BX17" s="1"/>
      <c r="BY17" s="1"/>
      <c r="BZ17" s="1"/>
      <c r="CA17" s="1"/>
      <c r="CB17" s="1"/>
      <c r="CC17" s="1"/>
      <c r="CD17" s="1"/>
      <c r="CE17" s="1"/>
      <c r="CF17" s="1"/>
      <c r="CG17" s="1"/>
      <c r="CH17" s="1"/>
      <c r="CI17" s="1"/>
      <c r="CJ17" s="1"/>
      <c r="CK17" s="1"/>
      <c r="CM17" s="1033">
        <v>6</v>
      </c>
      <c r="CN17" s="1">
        <f t="shared" si="10"/>
        <v>680.42000000000007</v>
      </c>
      <c r="CO17" s="1226">
        <v>2606061407</v>
      </c>
      <c r="CQ17" s="412">
        <v>6</v>
      </c>
      <c r="CR17" s="1">
        <f t="shared" si="11"/>
        <v>11647.3</v>
      </c>
      <c r="CS17">
        <v>2606062194</v>
      </c>
    </row>
    <row r="18" spans="2:97" ht="15" thickBot="1">
      <c r="B18" s="989">
        <v>7</v>
      </c>
      <c r="C18" s="5">
        <f t="shared" si="1"/>
        <v>30852</v>
      </c>
      <c r="D18" s="488">
        <f t="shared" si="2"/>
        <v>1044.3200000000002</v>
      </c>
      <c r="E18" s="15">
        <f t="shared" si="3"/>
        <v>29.542668913742908</v>
      </c>
      <c r="F18" s="363"/>
      <c r="G18" s="64"/>
      <c r="H18" s="1034"/>
      <c r="I18" s="2107"/>
      <c r="N18" s="993"/>
      <c r="O18" s="26">
        <v>30852</v>
      </c>
      <c r="P18" s="36"/>
      <c r="Q18" s="277">
        <f t="shared" si="4"/>
        <v>1044.3200000000002</v>
      </c>
      <c r="R18" s="1227">
        <f t="shared" si="5"/>
        <v>1044.3200000000002</v>
      </c>
      <c r="S18" s="27">
        <f t="shared" si="6"/>
        <v>29.542668913742908</v>
      </c>
      <c r="T18" s="33"/>
      <c r="U18" s="2226">
        <v>1044.3200000000002</v>
      </c>
      <c r="V18" s="2225">
        <v>0</v>
      </c>
      <c r="W18" s="2225">
        <v>0</v>
      </c>
      <c r="X18" s="1038"/>
      <c r="Y18" s="1"/>
      <c r="Z18" s="847"/>
      <c r="AA18" s="1025">
        <v>11888.98</v>
      </c>
      <c r="AB18" s="1025">
        <v>11888.98</v>
      </c>
      <c r="AC18" s="1025">
        <v>0</v>
      </c>
      <c r="AD18" s="1025">
        <v>0</v>
      </c>
      <c r="AE18" s="1025">
        <v>6163.9</v>
      </c>
      <c r="AF18" s="1025">
        <v>5725.08</v>
      </c>
      <c r="AG18" s="1025">
        <v>11888.98</v>
      </c>
      <c r="AH18" s="1025"/>
      <c r="AI18" s="1039"/>
      <c r="AJ18" s="1026">
        <v>731.69488613999999</v>
      </c>
      <c r="AK18" s="1026">
        <v>28025.628512669991</v>
      </c>
      <c r="AL18" s="1040">
        <f t="shared" si="0"/>
        <v>28757.323398809993</v>
      </c>
      <c r="AM18" s="1414"/>
      <c r="AN18" s="1414"/>
      <c r="AO18" s="1310"/>
      <c r="AP18" s="1310"/>
      <c r="AQ18" s="1934">
        <f t="shared" si="7"/>
        <v>0</v>
      </c>
      <c r="AR18" s="1729">
        <f t="shared" si="8"/>
        <v>0</v>
      </c>
      <c r="AS18" s="1729">
        <f t="shared" si="8"/>
        <v>15634.797873673488</v>
      </c>
      <c r="AT18" s="1007"/>
      <c r="AU18" s="1476">
        <v>2780.54</v>
      </c>
      <c r="AV18" s="1414"/>
      <c r="AW18" s="987"/>
      <c r="AX18" s="310">
        <v>11888.98</v>
      </c>
      <c r="AY18" s="998"/>
      <c r="AZ18" s="2" cm="1">
        <f t="array" ref="AZ18">IFERROR(SUMPRODUCT((TIS.HCV.MS!$A$3:$A$92=DATE(2026,6,$B18))*(TIS.HCV.MS!$O$3:$O$92&gt;0)*TIS.HCV.MS!$C$3:$C$92*TIS.HCV.MS!$O$3:$O$92)/SUMPRODUCT((TIS.HCV.MS!$A$3:$A$92=DATE(2026,6,$B18))*(TIS.HCV.MS!$O$3:$O$92&gt;0)*TIS.HCV.MS!$C$3:$C$92),0)</f>
        <v>0</v>
      </c>
      <c r="BA18" s="2110" cm="1">
        <f t="array" ref="BA18">IFERROR(SUMPRODUCT((TIS.HCV.MS!$A$3:$A$92=DATE(2026,6,$B18))*(TIS.HCV.MS!$M$3:$M$92&gt;0)*TIS.HCV.MS!$C$3:$C$92*TIS.HCV.MS!$M$3:$M$92)/SUMPRODUCT((TIS.HCV.MS!$A$3:$A$92=DATE(2026,6,$B18))*(TIS.HCV.MS!$M$3:$M$92&gt;0)*TIS.HCV.MS!$C$3:$C$92),0)</f>
        <v>0</v>
      </c>
      <c r="BB18" s="2110" cm="1">
        <f t="array" ref="BB18">IFERROR(SUMPRODUCT((TIS.HCV.MS!$A$3:$A$92=DATE(2026,6,$B18))*(TIS.HCV.MS!$G$3:$G$92&gt;0)*TIS.HCV.MS!$C$3:$C$92*TIS.HCV.MS!$G$3:$G$92)/SUMPRODUCT((TIS.HCV.MS!$A$3:$A$92=DATE(2026,6,$B18))*(TIS.HCV.MS!$G$3:$G$92&gt;0)*TIS.HCV.MS!$C$3:$C$92),0)</f>
        <v>0</v>
      </c>
      <c r="BC18" s="2110" cm="1">
        <f t="array" ref="BC18">IFERROR(SUMPRODUCT((TIS.HCV.MS!$A$3:$A$92=DATE(2026,6,$B18))*(TIS.HCV.MS!$F$3:$F$92&gt;0)*TIS.HCV.MS!$C$3:$C$92*TIS.HCV.MS!$F$3:$F$92)/SUMPRODUCT((TIS.HCV.MS!$A$3:$A$92=DATE(2026,6,$B18))*(TIS.HCV.MS!$F$3:$F$92&gt;0)*TIS.HCV.MS!$C$3:$C$92),0)</f>
        <v>0</v>
      </c>
      <c r="BD18" s="2111" cm="1">
        <f t="array" ref="BD18">IFERROR(SUMPRODUCT((TIS.HCV.MS!$A$3:$A$92=DATE(2026,6,$B18))*(TIS.HCV.MS!$E$3:$E$92&gt;0)*TIS.HCV.MS!$C$3:$C$92*TIS.HCV.MS!$E$3:$E$92)/SUMPRODUCT((TIS.HCV.MS!$A$3:$A$92=DATE(2026,6,$B18))*(TIS.HCV.MS!$E$3:$E$92&gt;0)*TIS.HCV.MS!$C$3:$C$92),0)</f>
        <v>0</v>
      </c>
      <c r="BF18" s="987"/>
      <c r="BG18" s="987"/>
      <c r="BH18" s="987"/>
      <c r="BI18" s="987"/>
      <c r="BJ18" s="987"/>
      <c r="BK18" s="1047">
        <v>7655.42</v>
      </c>
      <c r="BL18" s="310"/>
      <c r="BM18" s="310"/>
      <c r="BN18" s="310">
        <v>3</v>
      </c>
      <c r="BO18" s="310"/>
      <c r="BP18" s="1041">
        <f>'June TCM'!LO16</f>
        <v>5.34</v>
      </c>
      <c r="BQ18" s="1042"/>
      <c r="BR18" s="1"/>
      <c r="BS18" s="1032">
        <f t="shared" si="9"/>
        <v>118554.64384777</v>
      </c>
      <c r="BT18" s="1"/>
      <c r="BU18" s="1"/>
      <c r="BV18" s="1"/>
      <c r="BW18" s="1"/>
      <c r="BX18" s="1"/>
      <c r="BY18" s="1"/>
      <c r="BZ18" s="1"/>
      <c r="CA18" s="1"/>
      <c r="CB18" s="1"/>
      <c r="CC18" s="1"/>
      <c r="CD18" s="1"/>
      <c r="CE18" s="1"/>
      <c r="CF18" s="1"/>
      <c r="CG18" s="1"/>
      <c r="CH18" s="1"/>
      <c r="CI18" s="1"/>
      <c r="CJ18" s="1"/>
      <c r="CK18" s="1"/>
      <c r="CM18" s="1033">
        <v>7</v>
      </c>
      <c r="CN18" s="1">
        <f t="shared" si="10"/>
        <v>1044.3200000000002</v>
      </c>
      <c r="CO18">
        <v>2606071805</v>
      </c>
      <c r="CQ18" s="412">
        <v>7</v>
      </c>
      <c r="CR18" s="1">
        <f t="shared" si="11"/>
        <v>11888.98</v>
      </c>
      <c r="CS18">
        <v>2606072737</v>
      </c>
    </row>
    <row r="19" spans="2:97" ht="15" thickBot="1">
      <c r="B19" s="989">
        <v>8</v>
      </c>
      <c r="C19" s="5">
        <f t="shared" si="1"/>
        <v>15039</v>
      </c>
      <c r="D19" s="488">
        <f t="shared" si="2"/>
        <v>824.31999999999994</v>
      </c>
      <c r="E19" s="15">
        <f t="shared" si="3"/>
        <v>18.244128493788821</v>
      </c>
      <c r="F19" s="363"/>
      <c r="G19" s="64"/>
      <c r="H19" s="2108">
        <v>40</v>
      </c>
      <c r="I19" s="1035">
        <v>11</v>
      </c>
      <c r="N19" s="993"/>
      <c r="O19" s="26">
        <v>15039</v>
      </c>
      <c r="P19" s="36"/>
      <c r="Q19" s="277">
        <f t="shared" si="4"/>
        <v>824.31999999999994</v>
      </c>
      <c r="R19" s="1227">
        <f t="shared" si="5"/>
        <v>824.31999999999994</v>
      </c>
      <c r="S19" s="27">
        <f t="shared" si="6"/>
        <v>18.244128493788821</v>
      </c>
      <c r="T19" s="33"/>
      <c r="U19" s="2226">
        <v>824.31999999999994</v>
      </c>
      <c r="V19" s="2225">
        <v>0</v>
      </c>
      <c r="W19" s="2225">
        <v>0</v>
      </c>
      <c r="X19" s="1038"/>
      <c r="Y19" s="1"/>
      <c r="Z19" s="847"/>
      <c r="AA19" s="1025">
        <v>0</v>
      </c>
      <c r="AB19" s="1025">
        <v>0</v>
      </c>
      <c r="AC19" s="1025">
        <v>0</v>
      </c>
      <c r="AD19" s="1025">
        <v>0</v>
      </c>
      <c r="AE19" s="1025">
        <v>0</v>
      </c>
      <c r="AF19" s="1025">
        <v>0</v>
      </c>
      <c r="AG19" s="1025">
        <v>0</v>
      </c>
      <c r="AH19" s="1025"/>
      <c r="AI19" s="1039"/>
      <c r="AJ19" s="1026">
        <v>731.69488613999999</v>
      </c>
      <c r="AK19" s="1026">
        <v>30291.948512669991</v>
      </c>
      <c r="AL19" s="1040">
        <f t="shared" si="0"/>
        <v>31023.643398809993</v>
      </c>
      <c r="AM19" s="1414"/>
      <c r="AN19" s="1414"/>
      <c r="AO19" s="1310"/>
      <c r="AP19" s="1310"/>
      <c r="AQ19" s="1934">
        <f t="shared" si="7"/>
        <v>0</v>
      </c>
      <c r="AR19" s="1729">
        <f t="shared" si="8"/>
        <v>0</v>
      </c>
      <c r="AS19" s="1729">
        <f t="shared" si="8"/>
        <v>14192.797873673488</v>
      </c>
      <c r="AT19" s="1007"/>
      <c r="AU19" s="1476">
        <v>1442</v>
      </c>
      <c r="AV19" s="1414"/>
      <c r="AW19" s="987"/>
      <c r="AX19" s="310">
        <v>0</v>
      </c>
      <c r="AY19" s="998"/>
      <c r="AZ19" s="2" cm="1">
        <f t="array" ref="AZ19">IFERROR(SUMPRODUCT((TIS.HCV.MS!$A$3:$A$92=DATE(2026,6,$B19))*(TIS.HCV.MS!$O$3:$O$92&gt;0)*TIS.HCV.MS!$C$3:$C$92*TIS.HCV.MS!$O$3:$O$92)/SUMPRODUCT((TIS.HCV.MS!$A$3:$A$92=DATE(2026,6,$B19))*(TIS.HCV.MS!$O$3:$O$92&gt;0)*TIS.HCV.MS!$C$3:$C$92),0)</f>
        <v>0</v>
      </c>
      <c r="BA19" s="2110" cm="1">
        <f t="array" ref="BA19">IFERROR(SUMPRODUCT((TIS.HCV.MS!$A$3:$A$92=DATE(2026,6,$B19))*(TIS.HCV.MS!$M$3:$M$92&gt;0)*TIS.HCV.MS!$C$3:$C$92*TIS.HCV.MS!$M$3:$M$92)/SUMPRODUCT((TIS.HCV.MS!$A$3:$A$92=DATE(2026,6,$B19))*(TIS.HCV.MS!$M$3:$M$92&gt;0)*TIS.HCV.MS!$C$3:$C$92),0)</f>
        <v>0</v>
      </c>
      <c r="BB19" s="2110" cm="1">
        <f t="array" ref="BB19">IFERROR(SUMPRODUCT((TIS.HCV.MS!$A$3:$A$92=DATE(2026,6,$B19))*(TIS.HCV.MS!$G$3:$G$92&gt;0)*TIS.HCV.MS!$C$3:$C$92*TIS.HCV.MS!$G$3:$G$92)/SUMPRODUCT((TIS.HCV.MS!$A$3:$A$92=DATE(2026,6,$B19))*(TIS.HCV.MS!$G$3:$G$92&gt;0)*TIS.HCV.MS!$C$3:$C$92),0)</f>
        <v>0</v>
      </c>
      <c r="BC19" s="2110" cm="1">
        <f t="array" ref="BC19">IFERROR(SUMPRODUCT((TIS.HCV.MS!$A$3:$A$92=DATE(2026,6,$B19))*(TIS.HCV.MS!$F$3:$F$92&gt;0)*TIS.HCV.MS!$C$3:$C$92*TIS.HCV.MS!$F$3:$F$92)/SUMPRODUCT((TIS.HCV.MS!$A$3:$A$92=DATE(2026,6,$B19))*(TIS.HCV.MS!$F$3:$F$92&gt;0)*TIS.HCV.MS!$C$3:$C$92),0)</f>
        <v>0</v>
      </c>
      <c r="BD19" s="2111" cm="1">
        <f t="array" ref="BD19">IFERROR(SUMPRODUCT((TIS.HCV.MS!$A$3:$A$92=DATE(2026,6,$B19))*(TIS.HCV.MS!$E$3:$E$92&gt;0)*TIS.HCV.MS!$C$3:$C$92*TIS.HCV.MS!$E$3:$E$92)/SUMPRODUCT((TIS.HCV.MS!$A$3:$A$92=DATE(2026,6,$B19))*(TIS.HCV.MS!$E$3:$E$92&gt;0)*TIS.HCV.MS!$C$3:$C$92),0)</f>
        <v>0</v>
      </c>
      <c r="BF19" s="987"/>
      <c r="BG19" s="987"/>
      <c r="BH19" s="987"/>
      <c r="BI19" s="987"/>
      <c r="BJ19" s="987"/>
      <c r="BK19" s="310"/>
      <c r="BL19" s="310"/>
      <c r="BM19" s="310"/>
      <c r="BN19" s="310"/>
      <c r="BO19" s="310">
        <v>4</v>
      </c>
      <c r="BP19" s="1041">
        <f>'June TCM'!LO17</f>
        <v>5</v>
      </c>
      <c r="BQ19" s="1042"/>
      <c r="BR19" s="1"/>
      <c r="BS19" s="1032">
        <f t="shared" si="9"/>
        <v>118554.64384777</v>
      </c>
      <c r="BT19" s="1"/>
      <c r="BU19" s="1"/>
      <c r="BV19" s="1"/>
      <c r="BW19" s="1"/>
      <c r="BX19" s="1"/>
      <c r="BY19" s="1"/>
      <c r="BZ19" s="1"/>
      <c r="CA19" s="1"/>
      <c r="CB19" s="1"/>
      <c r="CC19" s="1"/>
      <c r="CD19" s="1"/>
      <c r="CE19" s="1"/>
      <c r="CF19" s="1"/>
      <c r="CG19" s="1"/>
      <c r="CH19" s="1"/>
      <c r="CI19" s="1"/>
      <c r="CJ19" s="1"/>
      <c r="CK19" s="1"/>
      <c r="CM19" s="1033">
        <v>8</v>
      </c>
      <c r="CN19" s="1">
        <f t="shared" si="10"/>
        <v>824.31999999999994</v>
      </c>
      <c r="CO19">
        <v>2606082172</v>
      </c>
      <c r="CQ19" s="412">
        <v>8</v>
      </c>
      <c r="CR19" s="1">
        <f t="shared" si="11"/>
        <v>0</v>
      </c>
    </row>
    <row r="20" spans="2:97" ht="15" thickBot="1">
      <c r="B20" s="989">
        <v>9</v>
      </c>
      <c r="C20" s="5">
        <f t="shared" si="1"/>
        <v>30361</v>
      </c>
      <c r="D20" s="488">
        <f t="shared" si="2"/>
        <v>582.22</v>
      </c>
      <c r="E20" s="15">
        <f t="shared" si="3"/>
        <v>52.146954759369308</v>
      </c>
      <c r="F20" s="363"/>
      <c r="G20" s="64"/>
      <c r="H20" s="1034">
        <v>7</v>
      </c>
      <c r="I20" s="1018">
        <v>2.5</v>
      </c>
      <c r="N20" s="993"/>
      <c r="O20" s="26">
        <v>30361</v>
      </c>
      <c r="P20" s="36"/>
      <c r="Q20" s="277">
        <f t="shared" si="4"/>
        <v>582.22</v>
      </c>
      <c r="R20" s="1227">
        <f t="shared" si="5"/>
        <v>582.22</v>
      </c>
      <c r="S20" s="27">
        <f t="shared" si="6"/>
        <v>52.146954759369308</v>
      </c>
      <c r="T20" s="33"/>
      <c r="U20" s="2226">
        <v>582.22</v>
      </c>
      <c r="V20" s="2225">
        <v>0</v>
      </c>
      <c r="W20" s="2225">
        <v>0</v>
      </c>
      <c r="X20" s="1038"/>
      <c r="Y20" s="1"/>
      <c r="Z20" s="847"/>
      <c r="AA20" s="1025">
        <v>0</v>
      </c>
      <c r="AB20" s="1025">
        <v>0</v>
      </c>
      <c r="AC20" s="1025">
        <v>0</v>
      </c>
      <c r="AD20" s="1025">
        <v>0</v>
      </c>
      <c r="AE20" s="1025">
        <v>0</v>
      </c>
      <c r="AF20" s="1025">
        <v>0</v>
      </c>
      <c r="AG20" s="1025">
        <v>0</v>
      </c>
      <c r="AH20" s="1025"/>
      <c r="AI20" s="1039"/>
      <c r="AJ20" s="1026">
        <v>731.69488613999999</v>
      </c>
      <c r="AK20" s="1026">
        <v>33269.128512669995</v>
      </c>
      <c r="AL20" s="1040">
        <f t="shared" si="0"/>
        <v>34000.823398809996</v>
      </c>
      <c r="AM20" s="1414"/>
      <c r="AN20" s="1414"/>
      <c r="AO20" s="1310"/>
      <c r="AP20" s="1310"/>
      <c r="AQ20" s="1934">
        <f t="shared" si="7"/>
        <v>0</v>
      </c>
      <c r="AR20" s="1729">
        <f t="shared" si="8"/>
        <v>0</v>
      </c>
      <c r="AS20" s="1729">
        <f t="shared" si="8"/>
        <v>11797.837873673489</v>
      </c>
      <c r="AT20" s="1007"/>
      <c r="AU20" s="1476">
        <v>2394.96</v>
      </c>
      <c r="AV20" s="1414"/>
      <c r="AW20" s="987"/>
      <c r="AX20" s="310">
        <v>0</v>
      </c>
      <c r="AY20" s="998"/>
      <c r="AZ20" s="2" cm="1">
        <f t="array" ref="AZ20">IFERROR(SUMPRODUCT((TIS.HCV.MS!$A$3:$A$92=DATE(2026,6,$B20))*(TIS.HCV.MS!$O$3:$O$92&gt;0)*TIS.HCV.MS!$C$3:$C$92*TIS.HCV.MS!$O$3:$O$92)/SUMPRODUCT((TIS.HCV.MS!$A$3:$A$92=DATE(2026,6,$B20))*(TIS.HCV.MS!$O$3:$O$92&gt;0)*TIS.HCV.MS!$C$3:$C$92),0)</f>
        <v>0</v>
      </c>
      <c r="BA20" s="2110" cm="1">
        <f t="array" ref="BA20">IFERROR(SUMPRODUCT((TIS.HCV.MS!$A$3:$A$92=DATE(2026,6,$B20))*(TIS.HCV.MS!$M$3:$M$92&gt;0)*TIS.HCV.MS!$C$3:$C$92*TIS.HCV.MS!$M$3:$M$92)/SUMPRODUCT((TIS.HCV.MS!$A$3:$A$92=DATE(2026,6,$B20))*(TIS.HCV.MS!$M$3:$M$92&gt;0)*TIS.HCV.MS!$C$3:$C$92),0)</f>
        <v>0</v>
      </c>
      <c r="BB20" s="2110" cm="1">
        <f t="array" ref="BB20">IFERROR(SUMPRODUCT((TIS.HCV.MS!$A$3:$A$92=DATE(2026,6,$B20))*(TIS.HCV.MS!$G$3:$G$92&gt;0)*TIS.HCV.MS!$C$3:$C$92*TIS.HCV.MS!$G$3:$G$92)/SUMPRODUCT((TIS.HCV.MS!$A$3:$A$92=DATE(2026,6,$B20))*(TIS.HCV.MS!$G$3:$G$92&gt;0)*TIS.HCV.MS!$C$3:$C$92),0)</f>
        <v>0</v>
      </c>
      <c r="BC20" s="2110" cm="1">
        <f t="array" ref="BC20">IFERROR(SUMPRODUCT((TIS.HCV.MS!$A$3:$A$92=DATE(2026,6,$B20))*(TIS.HCV.MS!$F$3:$F$92&gt;0)*TIS.HCV.MS!$C$3:$C$92*TIS.HCV.MS!$F$3:$F$92)/SUMPRODUCT((TIS.HCV.MS!$A$3:$A$92=DATE(2026,6,$B20))*(TIS.HCV.MS!$F$3:$F$92&gt;0)*TIS.HCV.MS!$C$3:$C$92),0)</f>
        <v>0</v>
      </c>
      <c r="BD20" s="2111" cm="1">
        <f t="array" ref="BD20">IFERROR(SUMPRODUCT((TIS.HCV.MS!$A$3:$A$92=DATE(2026,6,$B20))*(TIS.HCV.MS!$E$3:$E$92&gt;0)*TIS.HCV.MS!$C$3:$C$92*TIS.HCV.MS!$E$3:$E$92)/SUMPRODUCT((TIS.HCV.MS!$A$3:$A$92=DATE(2026,6,$B20))*(TIS.HCV.MS!$E$3:$E$92&gt;0)*TIS.HCV.MS!$C$3:$C$92),0)</f>
        <v>0</v>
      </c>
      <c r="BF20" s="987"/>
      <c r="BG20" s="987"/>
      <c r="BH20" s="987"/>
      <c r="BI20" s="987"/>
      <c r="BJ20" s="987"/>
      <c r="BK20" s="310"/>
      <c r="BL20" s="310"/>
      <c r="BM20" s="310"/>
      <c r="BN20" s="310">
        <v>1</v>
      </c>
      <c r="BO20" s="310"/>
      <c r="BP20" s="1041">
        <f>'June TCM'!LO18</f>
        <v>4.5999999999999996</v>
      </c>
      <c r="BQ20" s="1042"/>
      <c r="BR20" s="1"/>
      <c r="BS20" s="1032">
        <f t="shared" si="9"/>
        <v>118554.64384777</v>
      </c>
      <c r="BT20" s="1"/>
      <c r="BU20" s="1"/>
      <c r="BV20" s="1"/>
      <c r="BW20" s="1"/>
      <c r="BX20" s="1"/>
      <c r="BY20" s="1"/>
      <c r="BZ20" s="1"/>
      <c r="CA20" s="1"/>
      <c r="CB20" s="1"/>
      <c r="CC20" s="1"/>
      <c r="CD20" s="1"/>
      <c r="CE20" s="1"/>
      <c r="CF20" s="1"/>
      <c r="CG20" s="1"/>
      <c r="CH20" s="1"/>
      <c r="CI20" s="1"/>
      <c r="CJ20" s="1"/>
      <c r="CK20" s="1"/>
      <c r="CM20" s="1033">
        <v>9</v>
      </c>
      <c r="CN20" s="1">
        <f t="shared" si="10"/>
        <v>582.22</v>
      </c>
      <c r="CO20" s="1046">
        <v>2606092405</v>
      </c>
      <c r="CQ20" s="412">
        <v>9</v>
      </c>
      <c r="CR20" s="1">
        <f t="shared" si="11"/>
        <v>0</v>
      </c>
    </row>
    <row r="21" spans="2:97" ht="15" thickBot="1">
      <c r="B21" s="989">
        <v>10</v>
      </c>
      <c r="C21" s="5">
        <f t="shared" si="1"/>
        <v>28728</v>
      </c>
      <c r="D21" s="488">
        <f t="shared" si="2"/>
        <v>911.1400000000001</v>
      </c>
      <c r="E21" s="15">
        <f t="shared" si="3"/>
        <v>31.529731984107819</v>
      </c>
      <c r="F21" s="363"/>
      <c r="G21" s="64"/>
      <c r="H21" s="1034"/>
      <c r="I21" s="1034"/>
      <c r="N21" s="993"/>
      <c r="O21" s="26">
        <v>28728</v>
      </c>
      <c r="P21" s="36"/>
      <c r="Q21" s="277">
        <f t="shared" si="4"/>
        <v>911.1400000000001</v>
      </c>
      <c r="R21" s="1227">
        <f t="shared" si="5"/>
        <v>911.1400000000001</v>
      </c>
      <c r="S21" s="27">
        <f t="shared" si="6"/>
        <v>31.529731984107819</v>
      </c>
      <c r="T21" s="33"/>
      <c r="U21" s="2226">
        <v>911.1400000000001</v>
      </c>
      <c r="V21" s="2225">
        <v>0</v>
      </c>
      <c r="W21" s="2225">
        <v>0</v>
      </c>
      <c r="X21" s="1038"/>
      <c r="Y21" s="1"/>
      <c r="Z21" s="847"/>
      <c r="AA21" s="1025">
        <v>0</v>
      </c>
      <c r="AB21" s="1025">
        <v>0</v>
      </c>
      <c r="AC21" s="1025">
        <v>0</v>
      </c>
      <c r="AD21" s="1025">
        <v>0</v>
      </c>
      <c r="AE21" s="1025">
        <v>0</v>
      </c>
      <c r="AF21" s="1025">
        <v>0</v>
      </c>
      <c r="AG21" s="1025">
        <v>0</v>
      </c>
      <c r="AH21" s="1025"/>
      <c r="AI21" s="1039"/>
      <c r="AJ21" s="1026">
        <v>731.69488613999999</v>
      </c>
      <c r="AK21" s="1026">
        <v>37428.528512669996</v>
      </c>
      <c r="AL21" s="1040">
        <f t="shared" si="0"/>
        <v>38160.223398809998</v>
      </c>
      <c r="AM21" s="1414"/>
      <c r="AN21" s="1414"/>
      <c r="AO21" s="1310"/>
      <c r="AP21" s="1310"/>
      <c r="AQ21" s="1934">
        <f t="shared" si="7"/>
        <v>0</v>
      </c>
      <c r="AR21" s="1729">
        <f t="shared" si="8"/>
        <v>0</v>
      </c>
      <c r="AS21" s="1729">
        <f t="shared" si="8"/>
        <v>8549.5778736734883</v>
      </c>
      <c r="AT21" s="1007"/>
      <c r="AU21" s="1476">
        <v>3248.26</v>
      </c>
      <c r="AV21" s="1414"/>
      <c r="AW21" s="987"/>
      <c r="AX21" s="310">
        <v>0</v>
      </c>
      <c r="AY21" s="998"/>
      <c r="AZ21" s="2" cm="1">
        <f t="array" ref="AZ21">IFERROR(SUMPRODUCT((TIS.HCV.MS!$A$3:$A$92=DATE(2026,6,$B21))*(TIS.HCV.MS!$O$3:$O$92&gt;0)*TIS.HCV.MS!$C$3:$C$92*TIS.HCV.MS!$O$3:$O$92)/SUMPRODUCT((TIS.HCV.MS!$A$3:$A$92=DATE(2026,6,$B21))*(TIS.HCV.MS!$O$3:$O$92&gt;0)*TIS.HCV.MS!$C$3:$C$92),0)</f>
        <v>0</v>
      </c>
      <c r="BA21" s="2110" cm="1">
        <f t="array" ref="BA21">IFERROR(SUMPRODUCT((TIS.HCV.MS!$A$3:$A$92=DATE(2026,6,$B21))*(TIS.HCV.MS!$M$3:$M$92&gt;0)*TIS.HCV.MS!$C$3:$C$92*TIS.HCV.MS!$M$3:$M$92)/SUMPRODUCT((TIS.HCV.MS!$A$3:$A$92=DATE(2026,6,$B21))*(TIS.HCV.MS!$M$3:$M$92&gt;0)*TIS.HCV.MS!$C$3:$C$92),0)</f>
        <v>0</v>
      </c>
      <c r="BB21" s="2110" cm="1">
        <f t="array" ref="BB21">IFERROR(SUMPRODUCT((TIS.HCV.MS!$A$3:$A$92=DATE(2026,6,$B21))*(TIS.HCV.MS!$G$3:$G$92&gt;0)*TIS.HCV.MS!$C$3:$C$92*TIS.HCV.MS!$G$3:$G$92)/SUMPRODUCT((TIS.HCV.MS!$A$3:$A$92=DATE(2026,6,$B21))*(TIS.HCV.MS!$G$3:$G$92&gt;0)*TIS.HCV.MS!$C$3:$C$92),0)</f>
        <v>0</v>
      </c>
      <c r="BC21" s="2110" cm="1">
        <f t="array" ref="BC21">IFERROR(SUMPRODUCT((TIS.HCV.MS!$A$3:$A$92=DATE(2026,6,$B21))*(TIS.HCV.MS!$F$3:$F$92&gt;0)*TIS.HCV.MS!$C$3:$C$92*TIS.HCV.MS!$F$3:$F$92)/SUMPRODUCT((TIS.HCV.MS!$A$3:$A$92=DATE(2026,6,$B21))*(TIS.HCV.MS!$F$3:$F$92&gt;0)*TIS.HCV.MS!$C$3:$C$92),0)</f>
        <v>0</v>
      </c>
      <c r="BD21" s="2111" cm="1">
        <f t="array" ref="BD21">IFERROR(SUMPRODUCT((TIS.HCV.MS!$A$3:$A$92=DATE(2026,6,$B21))*(TIS.HCV.MS!$E$3:$E$92&gt;0)*TIS.HCV.MS!$C$3:$C$92*TIS.HCV.MS!$E$3:$E$92)/SUMPRODUCT((TIS.HCV.MS!$A$3:$A$92=DATE(2026,6,$B21))*(TIS.HCV.MS!$E$3:$E$92&gt;0)*TIS.HCV.MS!$C$3:$C$92),0)</f>
        <v>0</v>
      </c>
      <c r="BF21" s="987"/>
      <c r="BG21" s="987"/>
      <c r="BH21" s="987"/>
      <c r="BI21" s="987"/>
      <c r="BJ21" s="987"/>
      <c r="BK21" s="310"/>
      <c r="BL21" s="310"/>
      <c r="BM21" s="310"/>
      <c r="BN21" s="310"/>
      <c r="BO21" s="310">
        <v>4</v>
      </c>
      <c r="BP21" s="1041">
        <f>'June TCM'!LO19</f>
        <v>5.18</v>
      </c>
      <c r="BQ21" s="1042"/>
      <c r="BR21" s="1"/>
      <c r="BS21" s="1032">
        <f t="shared" si="9"/>
        <v>118554.64384777</v>
      </c>
      <c r="BT21" s="1"/>
      <c r="BU21" s="1"/>
      <c r="BV21" s="1"/>
      <c r="BW21" s="1"/>
      <c r="BX21" s="1"/>
      <c r="BY21" s="1"/>
      <c r="BZ21" s="1"/>
      <c r="CA21" s="1"/>
      <c r="CB21" s="1"/>
      <c r="CC21" s="1"/>
      <c r="CD21" s="1"/>
      <c r="CE21" s="1"/>
      <c r="CF21" s="1"/>
      <c r="CG21" s="1"/>
      <c r="CH21" s="1"/>
      <c r="CI21" s="1"/>
      <c r="CJ21" s="1"/>
      <c r="CK21" s="1"/>
      <c r="CM21" s="1033">
        <v>10</v>
      </c>
      <c r="CN21" s="1">
        <f t="shared" si="10"/>
        <v>911.1400000000001</v>
      </c>
      <c r="CO21">
        <v>2606102640</v>
      </c>
      <c r="CQ21" s="412">
        <v>10</v>
      </c>
      <c r="CR21" s="1">
        <f t="shared" si="11"/>
        <v>0</v>
      </c>
    </row>
    <row r="22" spans="2:97" ht="15" thickBot="1">
      <c r="B22" s="989">
        <v>11</v>
      </c>
      <c r="C22" s="5">
        <f t="shared" si="1"/>
        <v>26407</v>
      </c>
      <c r="D22" s="488">
        <f t="shared" si="2"/>
        <v>1668</v>
      </c>
      <c r="E22" s="15">
        <f t="shared" si="3"/>
        <v>15.831534772182254</v>
      </c>
      <c r="F22" s="363"/>
      <c r="G22" s="64"/>
      <c r="H22" s="1034">
        <v>15</v>
      </c>
      <c r="I22" s="1034">
        <v>2.5</v>
      </c>
      <c r="N22" s="993"/>
      <c r="O22" s="26">
        <v>26407</v>
      </c>
      <c r="P22" s="36"/>
      <c r="Q22" s="277">
        <f t="shared" si="4"/>
        <v>1668</v>
      </c>
      <c r="R22" s="1227">
        <f t="shared" si="5"/>
        <v>1668</v>
      </c>
      <c r="S22" s="27">
        <f t="shared" si="6"/>
        <v>15.831534772182254</v>
      </c>
      <c r="T22" s="33"/>
      <c r="U22" s="2226">
        <v>1668</v>
      </c>
      <c r="V22" s="2225">
        <v>0</v>
      </c>
      <c r="W22" s="2225">
        <v>0</v>
      </c>
      <c r="X22" s="1038"/>
      <c r="Y22" s="1"/>
      <c r="Z22" s="847"/>
      <c r="AA22" s="1025">
        <v>0</v>
      </c>
      <c r="AB22" s="1025">
        <v>0</v>
      </c>
      <c r="AC22" s="1025">
        <v>0</v>
      </c>
      <c r="AD22" s="1025">
        <v>0</v>
      </c>
      <c r="AE22" s="1025">
        <v>0</v>
      </c>
      <c r="AF22" s="1025">
        <v>0</v>
      </c>
      <c r="AG22" s="1025">
        <v>0</v>
      </c>
      <c r="AH22" s="1025"/>
      <c r="AI22" s="1039"/>
      <c r="AJ22" s="1026">
        <v>731.69488613999999</v>
      </c>
      <c r="AK22" s="1026">
        <v>41173.088512669994</v>
      </c>
      <c r="AL22" s="1040">
        <f t="shared" si="0"/>
        <v>41904.783398809996</v>
      </c>
      <c r="AM22" s="1414"/>
      <c r="AN22" s="1414"/>
      <c r="AO22" s="1310"/>
      <c r="AP22" s="1310"/>
      <c r="AQ22" s="1934">
        <f t="shared" si="7"/>
        <v>0</v>
      </c>
      <c r="AR22" s="1729">
        <f t="shared" si="8"/>
        <v>0</v>
      </c>
      <c r="AS22" s="1729">
        <f t="shared" si="8"/>
        <v>6473.0178736734879</v>
      </c>
      <c r="AT22" s="1007"/>
      <c r="AU22" s="1476">
        <v>2076.5600000000004</v>
      </c>
      <c r="AV22" s="1414"/>
      <c r="AW22" s="987"/>
      <c r="AX22" s="310">
        <v>0</v>
      </c>
      <c r="AY22" s="998"/>
      <c r="AZ22" s="2" cm="1">
        <f t="array" ref="AZ22">IFERROR(SUMPRODUCT((TIS.HCV.MS!$A$3:$A$92=DATE(2026,6,$B22))*(TIS.HCV.MS!$O$3:$O$92&gt;0)*TIS.HCV.MS!$C$3:$C$92*TIS.HCV.MS!$O$3:$O$92)/SUMPRODUCT((TIS.HCV.MS!$A$3:$A$92=DATE(2026,6,$B22))*(TIS.HCV.MS!$O$3:$O$92&gt;0)*TIS.HCV.MS!$C$3:$C$92),0)</f>
        <v>0</v>
      </c>
      <c r="BA22" s="2110" cm="1">
        <f t="array" ref="BA22">IFERROR(SUMPRODUCT((TIS.HCV.MS!$A$3:$A$92=DATE(2026,6,$B22))*(TIS.HCV.MS!$M$3:$M$92&gt;0)*TIS.HCV.MS!$C$3:$C$92*TIS.HCV.MS!$M$3:$M$92)/SUMPRODUCT((TIS.HCV.MS!$A$3:$A$92=DATE(2026,6,$B22))*(TIS.HCV.MS!$M$3:$M$92&gt;0)*TIS.HCV.MS!$C$3:$C$92),0)</f>
        <v>0</v>
      </c>
      <c r="BB22" s="2110" cm="1">
        <f t="array" ref="BB22">IFERROR(SUMPRODUCT((TIS.HCV.MS!$A$3:$A$92=DATE(2026,6,$B22))*(TIS.HCV.MS!$G$3:$G$92&gt;0)*TIS.HCV.MS!$C$3:$C$92*TIS.HCV.MS!$G$3:$G$92)/SUMPRODUCT((TIS.HCV.MS!$A$3:$A$92=DATE(2026,6,$B22))*(TIS.HCV.MS!$G$3:$G$92&gt;0)*TIS.HCV.MS!$C$3:$C$92),0)</f>
        <v>0</v>
      </c>
      <c r="BC22" s="2110" cm="1">
        <f t="array" ref="BC22">IFERROR(SUMPRODUCT((TIS.HCV.MS!$A$3:$A$92=DATE(2026,6,$B22))*(TIS.HCV.MS!$F$3:$F$92&gt;0)*TIS.HCV.MS!$C$3:$C$92*TIS.HCV.MS!$F$3:$F$92)/SUMPRODUCT((TIS.HCV.MS!$A$3:$A$92=DATE(2026,6,$B22))*(TIS.HCV.MS!$F$3:$F$92&gt;0)*TIS.HCV.MS!$C$3:$C$92),0)</f>
        <v>0</v>
      </c>
      <c r="BD22" s="2111" cm="1">
        <f t="array" ref="BD22">IFERROR(SUMPRODUCT((TIS.HCV.MS!$A$3:$A$92=DATE(2026,6,$B22))*(TIS.HCV.MS!$E$3:$E$92&gt;0)*TIS.HCV.MS!$C$3:$C$92*TIS.HCV.MS!$E$3:$E$92)/SUMPRODUCT((TIS.HCV.MS!$A$3:$A$92=DATE(2026,6,$B22))*(TIS.HCV.MS!$E$3:$E$92&gt;0)*TIS.HCV.MS!$C$3:$C$92),0)</f>
        <v>0</v>
      </c>
      <c r="BF22" s="987"/>
      <c r="BG22" s="987"/>
      <c r="BH22" s="987"/>
      <c r="BI22" s="987"/>
      <c r="BJ22" s="987"/>
      <c r="BK22" s="310"/>
      <c r="BL22" s="310"/>
      <c r="BM22" s="310"/>
      <c r="BN22" s="310"/>
      <c r="BO22" s="310">
        <v>4</v>
      </c>
      <c r="BP22" s="1041">
        <f>'June TCM'!LO20</f>
        <v>6.02</v>
      </c>
      <c r="BQ22" s="1042" t="s">
        <v>321</v>
      </c>
      <c r="BR22" s="1"/>
      <c r="BS22" s="1032">
        <f t="shared" si="9"/>
        <v>118554.64384777</v>
      </c>
      <c r="BT22" s="1"/>
      <c r="BU22" s="1"/>
      <c r="BV22" s="1"/>
      <c r="BW22" s="1"/>
      <c r="BX22" s="1"/>
      <c r="BY22" s="1"/>
      <c r="BZ22" s="1"/>
      <c r="CA22" s="1"/>
      <c r="CB22" s="1"/>
      <c r="CC22" s="1"/>
      <c r="CD22" s="1"/>
      <c r="CE22" s="1"/>
      <c r="CF22" s="1"/>
      <c r="CG22" s="1"/>
      <c r="CH22" s="1"/>
      <c r="CI22" s="1"/>
      <c r="CJ22" s="1"/>
      <c r="CK22" s="1"/>
      <c r="CM22" s="1033">
        <v>11</v>
      </c>
      <c r="CN22" s="1">
        <f t="shared" si="10"/>
        <v>1668</v>
      </c>
      <c r="CO22">
        <v>2606112991</v>
      </c>
      <c r="CQ22" s="412">
        <v>11</v>
      </c>
      <c r="CR22" s="1">
        <f t="shared" si="11"/>
        <v>0</v>
      </c>
    </row>
    <row r="23" spans="2:97" ht="15" thickBot="1">
      <c r="B23" s="989">
        <v>12</v>
      </c>
      <c r="C23" s="5">
        <f t="shared" si="1"/>
        <v>18127</v>
      </c>
      <c r="D23" s="488">
        <f t="shared" si="2"/>
        <v>621.24</v>
      </c>
      <c r="E23" s="15">
        <f t="shared" si="3"/>
        <v>29.178739295602345</v>
      </c>
      <c r="F23" s="363"/>
      <c r="G23" s="64"/>
      <c r="H23" s="1034">
        <v>33</v>
      </c>
      <c r="I23" s="1034">
        <v>7.08</v>
      </c>
      <c r="N23" s="993"/>
      <c r="O23" s="26">
        <v>18127</v>
      </c>
      <c r="P23" s="36"/>
      <c r="Q23" s="277">
        <f t="shared" si="4"/>
        <v>621.24</v>
      </c>
      <c r="R23" s="1227">
        <f t="shared" si="5"/>
        <v>621.24</v>
      </c>
      <c r="S23" s="27">
        <f t="shared" si="6"/>
        <v>29.178739295602345</v>
      </c>
      <c r="U23" s="2226">
        <v>621.24</v>
      </c>
      <c r="V23" s="2225">
        <v>0</v>
      </c>
      <c r="W23" s="2225">
        <v>0</v>
      </c>
      <c r="X23" s="1038"/>
      <c r="Y23" s="1"/>
      <c r="Z23" s="847"/>
      <c r="AA23" s="1025">
        <v>0</v>
      </c>
      <c r="AB23" s="1025">
        <v>0</v>
      </c>
      <c r="AC23" s="1025">
        <v>0</v>
      </c>
      <c r="AD23" s="1025">
        <v>0</v>
      </c>
      <c r="AE23" s="1025">
        <v>0</v>
      </c>
      <c r="AF23" s="1025">
        <v>0</v>
      </c>
      <c r="AG23" s="1025">
        <v>0</v>
      </c>
      <c r="AH23" s="1025"/>
      <c r="AI23" s="1039"/>
      <c r="AJ23" s="1026">
        <v>731.69488613999999</v>
      </c>
      <c r="AK23" s="1026">
        <v>43261.74851266999</v>
      </c>
      <c r="AL23" s="1040">
        <f t="shared" si="0"/>
        <v>43993.443398809992</v>
      </c>
      <c r="AM23" s="1414"/>
      <c r="AN23" s="1414"/>
      <c r="AO23" s="1310"/>
      <c r="AP23" s="1310"/>
      <c r="AQ23" s="1934">
        <f t="shared" si="7"/>
        <v>0</v>
      </c>
      <c r="AR23" s="1729">
        <f t="shared" si="8"/>
        <v>0</v>
      </c>
      <c r="AS23" s="1729">
        <f t="shared" si="8"/>
        <v>5005.5978736734878</v>
      </c>
      <c r="AT23" s="1007"/>
      <c r="AU23" s="1476">
        <v>1467.4199999999998</v>
      </c>
      <c r="AV23" s="1414"/>
      <c r="AW23" s="987"/>
      <c r="AX23" s="310">
        <v>0</v>
      </c>
      <c r="AY23" s="998"/>
      <c r="AZ23" s="2" cm="1">
        <f t="array" ref="AZ23">IFERROR(SUMPRODUCT((TIS.HCV.MS!$A$3:$A$92=DATE(2026,6,$B23))*(TIS.HCV.MS!$O$3:$O$92&gt;0)*TIS.HCV.MS!$C$3:$C$92*TIS.HCV.MS!$O$3:$O$92)/SUMPRODUCT((TIS.HCV.MS!$A$3:$A$92=DATE(2026,6,$B23))*(TIS.HCV.MS!$O$3:$O$92&gt;0)*TIS.HCV.MS!$C$3:$C$92),0)</f>
        <v>0</v>
      </c>
      <c r="BA23" s="2110" cm="1">
        <f t="array" ref="BA23">IFERROR(SUMPRODUCT((TIS.HCV.MS!$A$3:$A$92=DATE(2026,6,$B23))*(TIS.HCV.MS!$M$3:$M$92&gt;0)*TIS.HCV.MS!$C$3:$C$92*TIS.HCV.MS!$M$3:$M$92)/SUMPRODUCT((TIS.HCV.MS!$A$3:$A$92=DATE(2026,6,$B23))*(TIS.HCV.MS!$M$3:$M$92&gt;0)*TIS.HCV.MS!$C$3:$C$92),0)</f>
        <v>0</v>
      </c>
      <c r="BB23" s="2110" cm="1">
        <f t="array" ref="BB23">IFERROR(SUMPRODUCT((TIS.HCV.MS!$A$3:$A$92=DATE(2026,6,$B23))*(TIS.HCV.MS!$G$3:$G$92&gt;0)*TIS.HCV.MS!$C$3:$C$92*TIS.HCV.MS!$G$3:$G$92)/SUMPRODUCT((TIS.HCV.MS!$A$3:$A$92=DATE(2026,6,$B23))*(TIS.HCV.MS!$G$3:$G$92&gt;0)*TIS.HCV.MS!$C$3:$C$92),0)</f>
        <v>0</v>
      </c>
      <c r="BC23" s="2110" cm="1">
        <f t="array" ref="BC23">IFERROR(SUMPRODUCT((TIS.HCV.MS!$A$3:$A$92=DATE(2026,6,$B23))*(TIS.HCV.MS!$F$3:$F$92&gt;0)*TIS.HCV.MS!$C$3:$C$92*TIS.HCV.MS!$F$3:$F$92)/SUMPRODUCT((TIS.HCV.MS!$A$3:$A$92=DATE(2026,6,$B23))*(TIS.HCV.MS!$F$3:$F$92&gt;0)*TIS.HCV.MS!$C$3:$C$92),0)</f>
        <v>0</v>
      </c>
      <c r="BD23" s="2111" cm="1">
        <f t="array" ref="BD23">IFERROR(SUMPRODUCT((TIS.HCV.MS!$A$3:$A$92=DATE(2026,6,$B23))*(TIS.HCV.MS!$E$3:$E$92&gt;0)*TIS.HCV.MS!$C$3:$C$92*TIS.HCV.MS!$E$3:$E$92)/SUMPRODUCT((TIS.HCV.MS!$A$3:$A$92=DATE(2026,6,$B23))*(TIS.HCV.MS!$E$3:$E$92&gt;0)*TIS.HCV.MS!$C$3:$C$92),0)</f>
        <v>0</v>
      </c>
      <c r="BF23" s="987"/>
      <c r="BG23" s="987"/>
      <c r="BH23" s="987"/>
      <c r="BI23" s="987"/>
      <c r="BJ23" s="987"/>
      <c r="BK23" s="310">
        <v>29849.759999999998</v>
      </c>
      <c r="BL23" s="310">
        <v>4</v>
      </c>
      <c r="BM23" s="310"/>
      <c r="BN23" s="310"/>
      <c r="BO23" s="310"/>
      <c r="BP23" s="1041">
        <f>'June TCM'!LO21</f>
        <v>6.08</v>
      </c>
      <c r="BQ23" s="1042"/>
      <c r="BR23" s="1"/>
      <c r="BS23" s="1032">
        <f t="shared" si="9"/>
        <v>88704.883847770005</v>
      </c>
      <c r="BT23" s="1"/>
      <c r="BU23" s="1"/>
      <c r="BV23" s="1"/>
      <c r="BW23" s="1"/>
      <c r="BX23" s="1"/>
      <c r="BY23" s="1"/>
      <c r="BZ23" s="1"/>
      <c r="CA23" s="1"/>
      <c r="CB23" s="1"/>
      <c r="CC23" s="1"/>
      <c r="CD23" s="1"/>
      <c r="CE23" s="1"/>
      <c r="CF23" s="1"/>
      <c r="CG23" s="1"/>
      <c r="CH23" s="1"/>
      <c r="CI23" s="1"/>
      <c r="CJ23" s="1"/>
      <c r="CK23" s="1"/>
      <c r="CM23" s="1033">
        <v>12</v>
      </c>
      <c r="CN23" s="1">
        <f t="shared" si="10"/>
        <v>621.24</v>
      </c>
      <c r="CO23">
        <v>2606123373</v>
      </c>
      <c r="CP23" s="1048"/>
      <c r="CQ23" s="412">
        <v>12</v>
      </c>
      <c r="CR23" s="1">
        <f t="shared" si="11"/>
        <v>0</v>
      </c>
    </row>
    <row r="24" spans="2:97" ht="15" thickBot="1">
      <c r="B24" s="989">
        <v>13</v>
      </c>
      <c r="C24" s="5">
        <f t="shared" si="1"/>
        <v>16911</v>
      </c>
      <c r="D24" s="488">
        <f t="shared" si="2"/>
        <v>114.56</v>
      </c>
      <c r="E24" s="15">
        <f t="shared" si="3"/>
        <v>147.61696927374302</v>
      </c>
      <c r="F24" s="363"/>
      <c r="G24" s="64"/>
      <c r="H24" s="1034"/>
      <c r="I24" s="1034"/>
      <c r="N24" s="993"/>
      <c r="O24" s="26">
        <v>16911</v>
      </c>
      <c r="P24" s="36"/>
      <c r="Q24" s="277">
        <f t="shared" si="4"/>
        <v>114.56</v>
      </c>
      <c r="R24" s="1227">
        <f t="shared" si="5"/>
        <v>114.56</v>
      </c>
      <c r="S24" s="27">
        <f t="shared" si="6"/>
        <v>147.61696927374302</v>
      </c>
      <c r="T24" s="33"/>
      <c r="U24" s="2226">
        <v>114.56</v>
      </c>
      <c r="V24" s="2225">
        <v>0</v>
      </c>
      <c r="W24" s="2225">
        <v>0</v>
      </c>
      <c r="X24" s="1038"/>
      <c r="Y24" s="1"/>
      <c r="Z24" s="847"/>
      <c r="AA24" s="1025">
        <v>0</v>
      </c>
      <c r="AB24" s="1025">
        <v>0</v>
      </c>
      <c r="AC24" s="1025">
        <v>0</v>
      </c>
      <c r="AD24" s="1025">
        <v>0</v>
      </c>
      <c r="AE24" s="1025">
        <v>0</v>
      </c>
      <c r="AF24" s="1025">
        <v>0</v>
      </c>
      <c r="AG24" s="1025">
        <v>0</v>
      </c>
      <c r="AH24" s="1025"/>
      <c r="AI24" s="1039"/>
      <c r="AJ24" s="1026">
        <v>731.69488613999999</v>
      </c>
      <c r="AK24" s="1026">
        <v>45833.828512669985</v>
      </c>
      <c r="AL24" s="1040">
        <f t="shared" si="0"/>
        <v>46565.523398809986</v>
      </c>
      <c r="AM24" s="1414"/>
      <c r="AN24" s="1414"/>
      <c r="AO24" s="1310"/>
      <c r="AP24" s="1310"/>
      <c r="AQ24" s="1934">
        <f t="shared" si="7"/>
        <v>0</v>
      </c>
      <c r="AR24" s="1729">
        <f t="shared" si="8"/>
        <v>0</v>
      </c>
      <c r="AS24" s="1729">
        <f t="shared" si="8"/>
        <v>2548.0778736734878</v>
      </c>
      <c r="AT24" s="1007"/>
      <c r="AU24" s="1476">
        <v>2457.52</v>
      </c>
      <c r="AV24" s="1414"/>
      <c r="AW24" s="987"/>
      <c r="AX24" s="310">
        <v>0</v>
      </c>
      <c r="AY24" s="998"/>
      <c r="AZ24" s="2" cm="1">
        <f t="array" ref="AZ24">IFERROR(SUMPRODUCT((TIS.HCV.MS!$A$3:$A$92=DATE(2026,6,$B24))*(TIS.HCV.MS!$O$3:$O$92&gt;0)*TIS.HCV.MS!$C$3:$C$92*TIS.HCV.MS!$O$3:$O$92)/SUMPRODUCT((TIS.HCV.MS!$A$3:$A$92=DATE(2026,6,$B24))*(TIS.HCV.MS!$O$3:$O$92&gt;0)*TIS.HCV.MS!$C$3:$C$92),0)</f>
        <v>0</v>
      </c>
      <c r="BA24" s="2110" cm="1">
        <f t="array" ref="BA24">IFERROR(SUMPRODUCT((TIS.HCV.MS!$A$3:$A$92=DATE(2026,6,$B24))*(TIS.HCV.MS!$M$3:$M$92&gt;0)*TIS.HCV.MS!$C$3:$C$92*TIS.HCV.MS!$M$3:$M$92)/SUMPRODUCT((TIS.HCV.MS!$A$3:$A$92=DATE(2026,6,$B24))*(TIS.HCV.MS!$M$3:$M$92&gt;0)*TIS.HCV.MS!$C$3:$C$92),0)</f>
        <v>0</v>
      </c>
      <c r="BB24" s="2110" cm="1">
        <f t="array" ref="BB24">IFERROR(SUMPRODUCT((TIS.HCV.MS!$A$3:$A$92=DATE(2026,6,$B24))*(TIS.HCV.MS!$G$3:$G$92&gt;0)*TIS.HCV.MS!$C$3:$C$92*TIS.HCV.MS!$G$3:$G$92)/SUMPRODUCT((TIS.HCV.MS!$A$3:$A$92=DATE(2026,6,$B24))*(TIS.HCV.MS!$G$3:$G$92&gt;0)*TIS.HCV.MS!$C$3:$C$92),0)</f>
        <v>0</v>
      </c>
      <c r="BC24" s="2110" cm="1">
        <f t="array" ref="BC24">IFERROR(SUMPRODUCT((TIS.HCV.MS!$A$3:$A$92=DATE(2026,6,$B24))*(TIS.HCV.MS!$F$3:$F$92&gt;0)*TIS.HCV.MS!$C$3:$C$92*TIS.HCV.MS!$F$3:$F$92)/SUMPRODUCT((TIS.HCV.MS!$A$3:$A$92=DATE(2026,6,$B24))*(TIS.HCV.MS!$F$3:$F$92&gt;0)*TIS.HCV.MS!$C$3:$C$92),0)</f>
        <v>0</v>
      </c>
      <c r="BD24" s="2111" cm="1">
        <f t="array" ref="BD24">IFERROR(SUMPRODUCT((TIS.HCV.MS!$A$3:$A$92=DATE(2026,6,$B24))*(TIS.HCV.MS!$E$3:$E$92&gt;0)*TIS.HCV.MS!$C$3:$C$92*TIS.HCV.MS!$E$3:$E$92)/SUMPRODUCT((TIS.HCV.MS!$A$3:$A$92=DATE(2026,6,$B24))*(TIS.HCV.MS!$E$3:$E$92&gt;0)*TIS.HCV.MS!$C$3:$C$92),0)</f>
        <v>0</v>
      </c>
      <c r="BF24" s="987"/>
      <c r="BG24" s="987"/>
      <c r="BH24" s="987"/>
      <c r="BI24" s="987"/>
      <c r="BJ24" s="987"/>
      <c r="BK24" s="847"/>
      <c r="BL24" s="310"/>
      <c r="BM24" s="310"/>
      <c r="BN24" s="310"/>
      <c r="BO24" s="310"/>
      <c r="BP24" s="1041">
        <f>'June TCM'!LO22</f>
        <v>6.25</v>
      </c>
      <c r="BQ24" s="1042"/>
      <c r="BR24" s="1"/>
      <c r="BS24" s="1032">
        <f t="shared" si="9"/>
        <v>88704.883847770005</v>
      </c>
      <c r="BT24" s="1"/>
      <c r="BU24" s="1"/>
      <c r="BV24" s="1"/>
      <c r="BW24" s="1"/>
      <c r="BX24" s="1"/>
      <c r="BY24" s="1"/>
      <c r="BZ24" s="1"/>
      <c r="CA24" s="1"/>
      <c r="CB24" s="1"/>
      <c r="CC24" s="1"/>
      <c r="CD24" s="1"/>
      <c r="CE24" s="1"/>
      <c r="CF24" s="1"/>
      <c r="CG24" s="1"/>
      <c r="CH24" s="1"/>
      <c r="CI24" s="1"/>
      <c r="CJ24" s="1"/>
      <c r="CK24" s="1"/>
      <c r="CM24" s="1033">
        <v>13</v>
      </c>
      <c r="CN24" s="1">
        <f t="shared" si="10"/>
        <v>114.56</v>
      </c>
      <c r="CO24" s="1048">
        <v>2606133574</v>
      </c>
      <c r="CP24" s="1048"/>
      <c r="CQ24" s="412">
        <v>13</v>
      </c>
      <c r="CR24" s="1">
        <f t="shared" si="11"/>
        <v>0</v>
      </c>
    </row>
    <row r="25" spans="2:97" ht="15" thickBot="1">
      <c r="B25" s="989">
        <v>14</v>
      </c>
      <c r="C25" s="5">
        <f t="shared" si="1"/>
        <v>30219</v>
      </c>
      <c r="D25" s="488">
        <f t="shared" si="2"/>
        <v>671.78</v>
      </c>
      <c r="E25" s="15">
        <f t="shared" si="3"/>
        <v>44.98347673345441</v>
      </c>
      <c r="F25" s="363"/>
      <c r="G25" s="64"/>
      <c r="H25" s="1034">
        <v>5</v>
      </c>
      <c r="I25" s="1034">
        <v>0.9</v>
      </c>
      <c r="N25" s="993"/>
      <c r="O25" s="26">
        <v>30219</v>
      </c>
      <c r="P25" s="36"/>
      <c r="Q25" s="277">
        <f t="shared" si="4"/>
        <v>671.78</v>
      </c>
      <c r="R25" s="1227">
        <f t="shared" si="5"/>
        <v>671.78</v>
      </c>
      <c r="S25" s="27">
        <f t="shared" si="6"/>
        <v>44.98347673345441</v>
      </c>
      <c r="T25" s="33"/>
      <c r="U25" s="2226">
        <v>671.78</v>
      </c>
      <c r="V25" s="2225">
        <v>0</v>
      </c>
      <c r="W25" s="2225">
        <v>0</v>
      </c>
      <c r="X25" s="1038"/>
      <c r="Y25" s="1"/>
      <c r="Z25" s="847"/>
      <c r="AA25" s="1025">
        <v>0</v>
      </c>
      <c r="AB25" s="1025">
        <v>0</v>
      </c>
      <c r="AC25" s="1025">
        <v>0</v>
      </c>
      <c r="AD25" s="1025">
        <v>0</v>
      </c>
      <c r="AE25" s="1025">
        <v>0</v>
      </c>
      <c r="AF25" s="1025">
        <v>0</v>
      </c>
      <c r="AG25" s="1025">
        <v>0</v>
      </c>
      <c r="AH25" s="1025"/>
      <c r="AI25" s="1039"/>
      <c r="AJ25" s="1026">
        <v>731.69488613999999</v>
      </c>
      <c r="AK25" s="1026">
        <v>49225.168512669981</v>
      </c>
      <c r="AL25" s="1040">
        <f t="shared" si="0"/>
        <v>49956.863398809983</v>
      </c>
      <c r="AM25" s="1414"/>
      <c r="AN25" s="1414"/>
      <c r="AO25" s="1310"/>
      <c r="AP25" s="1310"/>
      <c r="AQ25" s="1934">
        <f t="shared" si="7"/>
        <v>0</v>
      </c>
      <c r="AR25" s="1729">
        <f t="shared" si="8"/>
        <v>0</v>
      </c>
      <c r="AS25" s="1729">
        <f>AS24+AP25-AU25</f>
        <v>-171.48212632651212</v>
      </c>
      <c r="AT25" s="1007"/>
      <c r="AU25" s="1476">
        <v>2719.56</v>
      </c>
      <c r="AV25" s="1414"/>
      <c r="AW25" s="987"/>
      <c r="AX25" s="310">
        <v>0</v>
      </c>
      <c r="AY25" s="998"/>
      <c r="AZ25" s="2" cm="1">
        <f t="array" ref="AZ25">IFERROR(SUMPRODUCT((TIS.HCV.MS!$A$3:$A$92=DATE(2026,6,$B26))*(TIS.HCV.MS!$O$3:$O$92&gt;0)*TIS.HCV.MS!$C$3:$C$92*TIS.HCV.MS!$O$3:$O$92)/SUMPRODUCT((TIS.HCV.MS!$A$3:$A$92=DATE(2026,6,$B26))*(TIS.HCV.MS!$O$3:$O$92&gt;0)*TIS.HCV.MS!$C$3:$C$92),0)</f>
        <v>0</v>
      </c>
      <c r="BA25" s="2110" cm="1">
        <f t="array" ref="BA25">IFERROR(SUMPRODUCT((TIS.HCV.MS!$A$3:$A$92=DATE(2026,6,$B26))*(TIS.HCV.MS!$M$3:$M$92&gt;0)*TIS.HCV.MS!$C$3:$C$92*TIS.HCV.MS!$M$3:$M$92)/SUMPRODUCT((TIS.HCV.MS!$A$3:$A$92=DATE(2026,6,$B26))*(TIS.HCV.MS!$M$3:$M$92&gt;0)*TIS.HCV.MS!$C$3:$C$92),0)</f>
        <v>0</v>
      </c>
      <c r="BB25" s="2110" cm="1">
        <f t="array" ref="BB25">IFERROR(SUMPRODUCT((TIS.HCV.MS!$A$3:$A$92=DATE(2026,6,$B26))*(TIS.HCV.MS!$G$3:$G$92&gt;0)*TIS.HCV.MS!$C$3:$C$92*TIS.HCV.MS!$G$3:$G$92)/SUMPRODUCT((TIS.HCV.MS!$A$3:$A$92=DATE(2026,6,$B26))*(TIS.HCV.MS!$G$3:$G$92&gt;0)*TIS.HCV.MS!$C$3:$C$92),0)</f>
        <v>0</v>
      </c>
      <c r="BC25" s="2110" cm="1">
        <f t="array" ref="BC25">IFERROR(SUMPRODUCT((TIS.HCV.MS!$A$3:$A$92=DATE(2026,6,$B26))*(TIS.HCV.MS!$F$3:$F$92&gt;0)*TIS.HCV.MS!$C$3:$C$92*TIS.HCV.MS!$F$3:$F$92)/SUMPRODUCT((TIS.HCV.MS!$A$3:$A$92=DATE(2026,6,$B26))*(TIS.HCV.MS!$F$3:$F$92&gt;0)*TIS.HCV.MS!$C$3:$C$92),0)</f>
        <v>0</v>
      </c>
      <c r="BD25" s="2111" cm="1">
        <f t="array" ref="BD25">IFERROR(SUMPRODUCT((TIS.HCV.MS!$A$3:$A$92=DATE(2026,6,$B26))*(TIS.HCV.MS!$E$3:$E$92&gt;0)*TIS.HCV.MS!$C$3:$C$92*TIS.HCV.MS!$E$3:$E$92)/SUMPRODUCT((TIS.HCV.MS!$A$3:$A$92=DATE(2026,6,$B26))*(TIS.HCV.MS!$E$3:$E$92&gt;0)*TIS.HCV.MS!$C$3:$C$92),0)</f>
        <v>0</v>
      </c>
      <c r="BF25" s="987"/>
      <c r="BG25" s="987"/>
      <c r="BH25" s="987"/>
      <c r="BI25" s="987"/>
      <c r="BJ25" s="987"/>
      <c r="BK25" s="847"/>
      <c r="BL25" s="310"/>
      <c r="BM25" s="310"/>
      <c r="BN25" s="310"/>
      <c r="BO25" s="310"/>
      <c r="BP25" s="1041">
        <f>'June TCM'!LO23</f>
        <v>6.8</v>
      </c>
      <c r="BQ25" s="1042"/>
      <c r="BR25" s="1"/>
      <c r="BS25" s="1032">
        <f t="shared" si="9"/>
        <v>88704.883847770005</v>
      </c>
      <c r="BT25" s="1"/>
      <c r="BU25" s="1"/>
      <c r="BV25" s="1"/>
      <c r="BW25" s="1"/>
      <c r="BX25" s="1"/>
      <c r="BY25" s="1"/>
      <c r="BZ25" s="1"/>
      <c r="CA25" s="1"/>
      <c r="CB25" s="1"/>
      <c r="CC25" s="1"/>
      <c r="CD25" s="1"/>
      <c r="CE25" s="1"/>
      <c r="CF25" s="1"/>
      <c r="CG25" s="1"/>
      <c r="CH25" s="1"/>
      <c r="CI25" s="1"/>
      <c r="CJ25" s="1"/>
      <c r="CK25" s="1"/>
      <c r="CM25" s="1033">
        <v>14</v>
      </c>
      <c r="CN25" s="1">
        <f t="shared" si="10"/>
        <v>671.78</v>
      </c>
      <c r="CO25" s="1048">
        <v>2606143829</v>
      </c>
      <c r="CP25" s="1048"/>
      <c r="CQ25" s="412">
        <v>14</v>
      </c>
      <c r="CR25" s="1">
        <f t="shared" si="11"/>
        <v>0</v>
      </c>
    </row>
    <row r="26" spans="2:97" ht="15" thickBot="1">
      <c r="B26" s="989">
        <v>15</v>
      </c>
      <c r="C26" s="5">
        <f t="shared" si="1"/>
        <v>24977</v>
      </c>
      <c r="D26" s="488">
        <f t="shared" si="2"/>
        <v>1654.32</v>
      </c>
      <c r="E26" s="15">
        <f t="shared" si="3"/>
        <v>15.098046327191838</v>
      </c>
      <c r="F26" s="363"/>
      <c r="G26" s="64"/>
      <c r="H26" s="1034">
        <v>55</v>
      </c>
      <c r="I26" s="1034">
        <v>11.3</v>
      </c>
      <c r="N26" s="993"/>
      <c r="O26" s="26">
        <v>24977</v>
      </c>
      <c r="P26" s="36"/>
      <c r="Q26" s="277">
        <f t="shared" si="4"/>
        <v>1654.32</v>
      </c>
      <c r="R26" s="1227">
        <f t="shared" si="5"/>
        <v>1654.32</v>
      </c>
      <c r="S26" s="27">
        <f t="shared" si="6"/>
        <v>15.098046327191838</v>
      </c>
      <c r="T26" s="33"/>
      <c r="U26" s="2226">
        <v>1654.32</v>
      </c>
      <c r="V26" s="2225">
        <v>0</v>
      </c>
      <c r="W26" s="2225">
        <v>0</v>
      </c>
      <c r="X26" s="1038"/>
      <c r="Y26" s="1"/>
      <c r="Z26" s="847"/>
      <c r="AA26" s="1025">
        <v>0</v>
      </c>
      <c r="AB26" s="1025">
        <v>0</v>
      </c>
      <c r="AC26" s="1025">
        <v>0</v>
      </c>
      <c r="AD26" s="1025">
        <v>0</v>
      </c>
      <c r="AE26" s="1025">
        <v>0</v>
      </c>
      <c r="AF26" s="1025">
        <v>0</v>
      </c>
      <c r="AG26" s="1025">
        <v>0</v>
      </c>
      <c r="AH26" s="1025"/>
      <c r="AI26" s="1039"/>
      <c r="AJ26" s="1026">
        <v>731.69488613999999</v>
      </c>
      <c r="AK26" s="1026">
        <v>50879.488512669981</v>
      </c>
      <c r="AL26" s="1040">
        <f t="shared" si="0"/>
        <v>51611.183398809982</v>
      </c>
      <c r="AM26" s="1414"/>
      <c r="AN26" s="1414"/>
      <c r="AO26" s="1310"/>
      <c r="AP26" s="1310"/>
      <c r="AQ26" s="1934">
        <f t="shared" si="7"/>
        <v>0</v>
      </c>
      <c r="AR26" s="1729">
        <f t="shared" si="8"/>
        <v>0</v>
      </c>
      <c r="AS26" s="1729">
        <f>AS25+AP26-AU26</f>
        <v>-171.48212632651212</v>
      </c>
      <c r="AT26" s="1007"/>
      <c r="AU26" s="1476">
        <v>0</v>
      </c>
      <c r="AV26" s="1414"/>
      <c r="AW26" s="987"/>
      <c r="AX26" s="310">
        <v>0</v>
      </c>
      <c r="AY26" s="998"/>
      <c r="AZ26" s="2" cm="1">
        <f t="array" ref="AZ26">IFERROR(SUMPRODUCT((TIS.HCV.MS!$A$3:$A$92=DATE(2026,6,$B26))*(TIS.HCV.MS!$O$3:$O$92&gt;0)*TIS.HCV.MS!$C$3:$C$92*TIS.HCV.MS!$O$3:$O$92)/SUMPRODUCT((TIS.HCV.MS!$A$3:$A$92=DATE(2026,6,$B26))*(TIS.HCV.MS!$O$3:$O$92&gt;0)*TIS.HCV.MS!$C$3:$C$92),0)</f>
        <v>0</v>
      </c>
      <c r="BA26" s="2110" cm="1">
        <f t="array" ref="BA26">IFERROR(SUMPRODUCT((TIS.HCV.MS!$A$3:$A$92=DATE(2026,6,$B26))*(TIS.HCV.MS!$M$3:$M$92&gt;0)*TIS.HCV.MS!$C$3:$C$92*TIS.HCV.MS!$M$3:$M$92)/SUMPRODUCT((TIS.HCV.MS!$A$3:$A$92=DATE(2026,6,$B26))*(TIS.HCV.MS!$M$3:$M$92&gt;0)*TIS.HCV.MS!$C$3:$C$92),0)</f>
        <v>0</v>
      </c>
      <c r="BB26" s="2110" cm="1">
        <f t="array" ref="BB26">IFERROR(SUMPRODUCT((TIS.HCV.MS!$A$3:$A$92=DATE(2026,6,$B26))*(TIS.HCV.MS!$G$3:$G$92&gt;0)*TIS.HCV.MS!$C$3:$C$92*TIS.HCV.MS!$G$3:$G$92)/SUMPRODUCT((TIS.HCV.MS!$A$3:$A$92=DATE(2026,6,$B26))*(TIS.HCV.MS!$G$3:$G$92&gt;0)*TIS.HCV.MS!$C$3:$C$92),0)</f>
        <v>0</v>
      </c>
      <c r="BC26" s="2110" cm="1">
        <f t="array" ref="BC26">IFERROR(SUMPRODUCT((TIS.HCV.MS!$A$3:$A$92=DATE(2026,6,$B26))*(TIS.HCV.MS!$F$3:$F$92&gt;0)*TIS.HCV.MS!$C$3:$C$92*TIS.HCV.MS!$F$3:$F$92)/SUMPRODUCT((TIS.HCV.MS!$A$3:$A$92=DATE(2026,6,$B26))*(TIS.HCV.MS!$F$3:$F$92&gt;0)*TIS.HCV.MS!$C$3:$C$92),0)</f>
        <v>0</v>
      </c>
      <c r="BD26" s="2111" cm="1">
        <f t="array" ref="BD26">IFERROR(SUMPRODUCT((TIS.HCV.MS!$A$3:$A$92=DATE(2026,6,$B26))*(TIS.HCV.MS!$E$3:$E$92&gt;0)*TIS.HCV.MS!$C$3:$C$92*TIS.HCV.MS!$E$3:$E$92)/SUMPRODUCT((TIS.HCV.MS!$A$3:$A$92=DATE(2026,6,$B26))*(TIS.HCV.MS!$E$3:$E$92&gt;0)*TIS.HCV.MS!$C$3:$C$92),0)</f>
        <v>0</v>
      </c>
      <c r="BF26" s="987"/>
      <c r="BG26" s="987"/>
      <c r="BH26" s="987"/>
      <c r="BI26" s="987"/>
      <c r="BJ26" s="987"/>
      <c r="BK26" s="847"/>
      <c r="BL26" s="310"/>
      <c r="BM26" s="310"/>
      <c r="BN26" s="310"/>
      <c r="BO26" s="310">
        <v>1</v>
      </c>
      <c r="BP26" s="1041">
        <f>'June TCM'!LO24</f>
        <v>7.25</v>
      </c>
      <c r="BQ26" s="1042"/>
      <c r="BR26" s="1"/>
      <c r="BS26" s="1032">
        <f t="shared" si="9"/>
        <v>88704.883847770005</v>
      </c>
      <c r="BT26" s="1"/>
      <c r="BU26" s="1"/>
      <c r="BV26" s="1"/>
      <c r="BW26" s="1"/>
      <c r="BX26" s="1"/>
      <c r="BY26" s="1"/>
      <c r="BZ26" s="1"/>
      <c r="CA26" s="1"/>
      <c r="CB26" s="1"/>
      <c r="CC26" s="1"/>
      <c r="CD26" s="1"/>
      <c r="CE26" s="1"/>
      <c r="CF26" s="1"/>
      <c r="CG26" s="1"/>
      <c r="CH26" s="1"/>
      <c r="CI26" s="1"/>
      <c r="CJ26" s="1"/>
      <c r="CK26" s="1"/>
      <c r="CM26" s="1033">
        <v>15</v>
      </c>
      <c r="CN26" s="1">
        <f t="shared" si="10"/>
        <v>1654.32</v>
      </c>
      <c r="CO26">
        <v>2606154186</v>
      </c>
      <c r="CQ26" s="412">
        <v>15</v>
      </c>
      <c r="CR26" s="1">
        <f t="shared" si="11"/>
        <v>0</v>
      </c>
    </row>
    <row r="27" spans="2:97" ht="15" thickBot="1">
      <c r="B27" s="989">
        <v>16</v>
      </c>
      <c r="C27" s="5">
        <f t="shared" si="1"/>
        <v>22677</v>
      </c>
      <c r="D27" s="488">
        <f t="shared" si="2"/>
        <v>2813.0399999999995</v>
      </c>
      <c r="E27" s="15">
        <f t="shared" si="3"/>
        <v>8.0613855473082516</v>
      </c>
      <c r="F27" s="363"/>
      <c r="G27" s="64"/>
      <c r="H27" s="1034">
        <v>17</v>
      </c>
      <c r="I27" s="1034">
        <v>6.23</v>
      </c>
      <c r="N27" s="993"/>
      <c r="O27" s="26">
        <v>22677</v>
      </c>
      <c r="P27" s="36"/>
      <c r="Q27" s="277">
        <f t="shared" si="4"/>
        <v>2813.0399999999995</v>
      </c>
      <c r="R27" s="1227">
        <f t="shared" si="5"/>
        <v>2813.0399999999995</v>
      </c>
      <c r="S27" s="27">
        <f t="shared" si="6"/>
        <v>8.0613855473082516</v>
      </c>
      <c r="T27" s="33"/>
      <c r="U27" s="2226">
        <v>2424.8599999999997</v>
      </c>
      <c r="V27" s="2225">
        <v>0</v>
      </c>
      <c r="W27" s="2225">
        <v>388.17999999999995</v>
      </c>
      <c r="X27" s="1038"/>
      <c r="Y27" s="1"/>
      <c r="Z27" s="847"/>
      <c r="AA27" s="1025">
        <v>0</v>
      </c>
      <c r="AB27" s="1025">
        <v>0</v>
      </c>
      <c r="AC27" s="1025">
        <v>0</v>
      </c>
      <c r="AD27" s="1025">
        <v>0</v>
      </c>
      <c r="AE27" s="1025">
        <v>0</v>
      </c>
      <c r="AF27" s="1025">
        <v>0</v>
      </c>
      <c r="AG27" s="1025">
        <v>0</v>
      </c>
      <c r="AH27" s="1025"/>
      <c r="AI27" s="1039"/>
      <c r="AJ27" s="1026">
        <v>731.69488613999999</v>
      </c>
      <c r="AK27" s="1026">
        <v>53717.728512669979</v>
      </c>
      <c r="AL27" s="1040">
        <f t="shared" si="0"/>
        <v>54449.42339880998</v>
      </c>
      <c r="AM27" s="1414"/>
      <c r="AN27" s="1414"/>
      <c r="AO27" s="1310"/>
      <c r="AP27" s="1310"/>
      <c r="AQ27" s="1934">
        <f t="shared" si="7"/>
        <v>0</v>
      </c>
      <c r="AR27" s="1729">
        <f t="shared" si="8"/>
        <v>0</v>
      </c>
      <c r="AS27" s="1729">
        <f t="shared" si="8"/>
        <v>-196.6821263265121</v>
      </c>
      <c r="AT27" s="1007"/>
      <c r="AU27" s="1476">
        <v>25.2</v>
      </c>
      <c r="AV27" s="1414"/>
      <c r="AW27" s="987"/>
      <c r="AX27" s="310">
        <v>0</v>
      </c>
      <c r="AY27" s="998"/>
      <c r="AZ27" s="2" cm="1">
        <f t="array" ref="AZ27">IFERROR(SUMPRODUCT((TIS.HCV.MS!$A$3:$A$92=DATE(2026,6,$B27))*(TIS.HCV.MS!$O$3:$O$92&gt;0)*TIS.HCV.MS!$C$3:$C$92*TIS.HCV.MS!$O$3:$O$92)/SUMPRODUCT((TIS.HCV.MS!$A$3:$A$92=DATE(2026,6,$B27))*(TIS.HCV.MS!$O$3:$O$92&gt;0)*TIS.HCV.MS!$C$3:$C$92),0)</f>
        <v>0</v>
      </c>
      <c r="BA27" s="2110" cm="1">
        <f t="array" ref="BA27">IFERROR(SUMPRODUCT((TIS.HCV.MS!$A$3:$A$92=DATE(2026,6,$B27))*(TIS.HCV.MS!$M$3:$M$92&gt;0)*TIS.HCV.MS!$C$3:$C$92*TIS.HCV.MS!$M$3:$M$92)/SUMPRODUCT((TIS.HCV.MS!$A$3:$A$92=DATE(2026,6,$B27))*(TIS.HCV.MS!$M$3:$M$92&gt;0)*TIS.HCV.MS!$C$3:$C$92),0)</f>
        <v>0</v>
      </c>
      <c r="BB27" s="2110" cm="1">
        <f t="array" ref="BB27">IFERROR(SUMPRODUCT((TIS.HCV.MS!$A$3:$A$92=DATE(2026,6,$B27))*(TIS.HCV.MS!$G$3:$G$92&gt;0)*TIS.HCV.MS!$C$3:$C$92*TIS.HCV.MS!$G$3:$G$92)/SUMPRODUCT((TIS.HCV.MS!$A$3:$A$92=DATE(2026,6,$B27))*(TIS.HCV.MS!$G$3:$G$92&gt;0)*TIS.HCV.MS!$C$3:$C$92),0)</f>
        <v>0</v>
      </c>
      <c r="BC27" s="2110" cm="1">
        <f t="array" ref="BC27">IFERROR(SUMPRODUCT((TIS.HCV.MS!$A$3:$A$92=DATE(2026,6,$B27))*(TIS.HCV.MS!$F$3:$F$92&gt;0)*TIS.HCV.MS!$C$3:$C$92*TIS.HCV.MS!$F$3:$F$92)/SUMPRODUCT((TIS.HCV.MS!$A$3:$A$92=DATE(2026,6,$B27))*(TIS.HCV.MS!$F$3:$F$92&gt;0)*TIS.HCV.MS!$C$3:$C$92),0)</f>
        <v>0</v>
      </c>
      <c r="BD27" s="2111" cm="1">
        <f t="array" ref="BD27">IFERROR(SUMPRODUCT((TIS.HCV.MS!$A$3:$A$92=DATE(2026,6,$B27))*(TIS.HCV.MS!$E$3:$E$92&gt;0)*TIS.HCV.MS!$C$3:$C$92*TIS.HCV.MS!$E$3:$E$92)/SUMPRODUCT((TIS.HCV.MS!$A$3:$A$92=DATE(2026,6,$B27))*(TIS.HCV.MS!$E$3:$E$92&gt;0)*TIS.HCV.MS!$C$3:$C$92),0)</f>
        <v>0</v>
      </c>
      <c r="BF27" s="987"/>
      <c r="BG27" s="987"/>
      <c r="BH27" s="987"/>
      <c r="BI27" s="987"/>
      <c r="BJ27" s="987"/>
      <c r="BK27" s="847"/>
      <c r="BL27" s="310"/>
      <c r="BM27" s="310"/>
      <c r="BN27" s="310"/>
      <c r="BO27" s="310"/>
      <c r="BP27" s="1041">
        <f>'June TCM'!LO25</f>
        <v>7.35</v>
      </c>
      <c r="BQ27" s="1042"/>
      <c r="BR27" s="1"/>
      <c r="BS27" s="1032">
        <f t="shared" si="9"/>
        <v>88704.883847770005</v>
      </c>
      <c r="BT27" s="1"/>
      <c r="BU27" s="1"/>
      <c r="BV27" s="1"/>
      <c r="BW27" s="1"/>
      <c r="BX27" s="1"/>
      <c r="BY27" s="1"/>
      <c r="BZ27" s="1"/>
      <c r="CA27" s="1"/>
      <c r="CB27" s="1"/>
      <c r="CC27" s="1"/>
      <c r="CD27" s="1"/>
      <c r="CE27" s="1"/>
      <c r="CF27" s="1"/>
      <c r="CG27" s="1"/>
      <c r="CH27" s="1"/>
      <c r="CI27" s="1"/>
      <c r="CJ27" s="1"/>
      <c r="CK27" s="1"/>
      <c r="CM27" s="1033">
        <v>16</v>
      </c>
      <c r="CN27" s="1">
        <f t="shared" si="10"/>
        <v>2813.0399999999995</v>
      </c>
      <c r="CO27">
        <v>2606164387</v>
      </c>
      <c r="CP27" s="1048"/>
      <c r="CQ27" s="412">
        <v>16</v>
      </c>
      <c r="CR27" s="1">
        <f t="shared" si="11"/>
        <v>0</v>
      </c>
    </row>
    <row r="28" spans="2:97" ht="15" thickBot="1">
      <c r="B28" s="989">
        <v>17</v>
      </c>
      <c r="C28" s="5">
        <f t="shared" si="1"/>
        <v>29657</v>
      </c>
      <c r="D28" s="488">
        <f t="shared" si="2"/>
        <v>3751.55</v>
      </c>
      <c r="E28" s="15">
        <f t="shared" si="3"/>
        <v>7.9052658234596365</v>
      </c>
      <c r="F28" s="363"/>
      <c r="G28" s="64"/>
      <c r="H28" s="1034"/>
      <c r="I28" s="1034"/>
      <c r="N28" s="993"/>
      <c r="O28" s="26">
        <v>29657</v>
      </c>
      <c r="P28" s="36"/>
      <c r="Q28" s="277">
        <f t="shared" si="4"/>
        <v>3751.55</v>
      </c>
      <c r="R28" s="1227">
        <f t="shared" si="5"/>
        <v>3751.55</v>
      </c>
      <c r="S28" s="27">
        <f t="shared" si="6"/>
        <v>7.9052658234596365</v>
      </c>
      <c r="T28" s="33"/>
      <c r="U28" s="2226">
        <v>3730.8100000000004</v>
      </c>
      <c r="V28" s="2225">
        <v>0</v>
      </c>
      <c r="W28" s="2225">
        <v>20.74</v>
      </c>
      <c r="X28" s="1038"/>
      <c r="Y28" s="1"/>
      <c r="Z28" s="847"/>
      <c r="AA28" s="1025">
        <v>0</v>
      </c>
      <c r="AB28" s="1025">
        <v>0</v>
      </c>
      <c r="AC28" s="1025">
        <v>0</v>
      </c>
      <c r="AD28" s="1025">
        <v>0</v>
      </c>
      <c r="AE28" s="1025">
        <v>0</v>
      </c>
      <c r="AF28" s="1025">
        <v>0</v>
      </c>
      <c r="AG28" s="1025">
        <v>0</v>
      </c>
      <c r="AH28" s="1025"/>
      <c r="AI28" s="1039"/>
      <c r="AJ28" s="1026">
        <v>731.69488613999999</v>
      </c>
      <c r="AK28" s="1026">
        <v>57469.278512669982</v>
      </c>
      <c r="AL28" s="1040">
        <f t="shared" si="0"/>
        <v>58200.973398809983</v>
      </c>
      <c r="AM28" s="1414"/>
      <c r="AN28" s="1414"/>
      <c r="AO28" s="1310"/>
      <c r="AP28" s="1310"/>
      <c r="AQ28" s="1934">
        <f t="shared" si="7"/>
        <v>0</v>
      </c>
      <c r="AR28" s="1729">
        <f t="shared" ref="AR28:AS42" si="12">AR27+AO28-AT28</f>
        <v>0</v>
      </c>
      <c r="AS28" s="1729">
        <f t="shared" si="12"/>
        <v>-196.6821263265121</v>
      </c>
      <c r="AT28" s="1007"/>
      <c r="AU28" s="1476">
        <v>0</v>
      </c>
      <c r="AV28" s="1414"/>
      <c r="AW28" s="987"/>
      <c r="AX28" s="310">
        <v>0</v>
      </c>
      <c r="AY28" s="998"/>
      <c r="AZ28" s="2" cm="1">
        <f t="array" ref="AZ28">IFERROR(SUMPRODUCT((TIS.HCV.MS!$A$3:$A$92=DATE(2026,6,$B28))*(TIS.HCV.MS!$O$3:$O$92&gt;0)*TIS.HCV.MS!$C$3:$C$92*TIS.HCV.MS!$O$3:$O$92)/SUMPRODUCT((TIS.HCV.MS!$A$3:$A$92=DATE(2026,6,$B28))*(TIS.HCV.MS!$O$3:$O$92&gt;0)*TIS.HCV.MS!$C$3:$C$92),0)</f>
        <v>0</v>
      </c>
      <c r="BA28" s="2110" cm="1">
        <f t="array" ref="BA28">IFERROR(SUMPRODUCT((TIS.HCV.MS!$A$3:$A$92=DATE(2026,6,$B28))*(TIS.HCV.MS!$M$3:$M$92&gt;0)*TIS.HCV.MS!$C$3:$C$92*TIS.HCV.MS!$M$3:$M$92)/SUMPRODUCT((TIS.HCV.MS!$A$3:$A$92=DATE(2026,6,$B28))*(TIS.HCV.MS!$M$3:$M$92&gt;0)*TIS.HCV.MS!$C$3:$C$92),0)</f>
        <v>0</v>
      </c>
      <c r="BB28" s="2110" cm="1">
        <f t="array" ref="BB28">IFERROR(SUMPRODUCT((TIS.HCV.MS!$A$3:$A$92=DATE(2026,6,$B28))*(TIS.HCV.MS!$G$3:$G$92&gt;0)*TIS.HCV.MS!$C$3:$C$92*TIS.HCV.MS!$G$3:$G$92)/SUMPRODUCT((TIS.HCV.MS!$A$3:$A$92=DATE(2026,6,$B28))*(TIS.HCV.MS!$G$3:$G$92&gt;0)*TIS.HCV.MS!$C$3:$C$92),0)</f>
        <v>0</v>
      </c>
      <c r="BC28" s="2110" cm="1">
        <f t="array" ref="BC28">IFERROR(SUMPRODUCT((TIS.HCV.MS!$A$3:$A$92=DATE(2026,6,$B28))*(TIS.HCV.MS!$F$3:$F$92&gt;0)*TIS.HCV.MS!$C$3:$C$92*TIS.HCV.MS!$F$3:$F$92)/SUMPRODUCT((TIS.HCV.MS!$A$3:$A$92=DATE(2026,6,$B28))*(TIS.HCV.MS!$F$3:$F$92&gt;0)*TIS.HCV.MS!$C$3:$C$92),0)</f>
        <v>0</v>
      </c>
      <c r="BD28" s="2111" cm="1">
        <f t="array" ref="BD28">IFERROR(SUMPRODUCT((TIS.HCV.MS!$A$3:$A$92=DATE(2026,6,$B28))*(TIS.HCV.MS!$E$3:$E$92&gt;0)*TIS.HCV.MS!$C$3:$C$92*TIS.HCV.MS!$E$3:$E$92)/SUMPRODUCT((TIS.HCV.MS!$A$3:$A$92=DATE(2026,6,$B28))*(TIS.HCV.MS!$E$3:$E$92&gt;0)*TIS.HCV.MS!$C$3:$C$92),0)</f>
        <v>0</v>
      </c>
      <c r="BF28" s="987"/>
      <c r="BG28" s="987"/>
      <c r="BH28" s="987"/>
      <c r="BI28" s="987"/>
      <c r="BJ28" s="987"/>
      <c r="BK28" s="1049"/>
      <c r="BL28" s="310"/>
      <c r="BM28" s="310"/>
      <c r="BN28" s="310"/>
      <c r="BO28" s="310"/>
      <c r="BP28" s="1041">
        <f>'June TCM'!LO26</f>
        <v>7.3</v>
      </c>
      <c r="BQ28" s="1042"/>
      <c r="BR28" s="1"/>
      <c r="BS28" s="1032">
        <f t="shared" si="9"/>
        <v>88704.883847770005</v>
      </c>
      <c r="BT28" s="1"/>
      <c r="BU28" s="1"/>
      <c r="BV28" s="1"/>
      <c r="BW28" s="1"/>
      <c r="BX28" s="1"/>
      <c r="BY28" s="1"/>
      <c r="BZ28" s="1"/>
      <c r="CA28" s="1"/>
      <c r="CB28" s="1"/>
      <c r="CC28" s="1"/>
      <c r="CD28" s="1"/>
      <c r="CE28" s="1"/>
      <c r="CF28" s="1"/>
      <c r="CG28" s="1"/>
      <c r="CH28" s="1"/>
      <c r="CI28" s="1"/>
      <c r="CJ28" s="1"/>
      <c r="CK28" s="1"/>
      <c r="CM28" s="1033">
        <v>17</v>
      </c>
      <c r="CN28" s="1">
        <f t="shared" si="10"/>
        <v>3751.55</v>
      </c>
      <c r="CO28">
        <v>2606174626</v>
      </c>
      <c r="CQ28" s="412">
        <v>17</v>
      </c>
      <c r="CR28" s="1">
        <f t="shared" si="11"/>
        <v>0</v>
      </c>
    </row>
    <row r="29" spans="2:97" ht="15" thickBot="1">
      <c r="B29" s="989">
        <v>18</v>
      </c>
      <c r="C29" s="5">
        <f t="shared" si="1"/>
        <v>32140</v>
      </c>
      <c r="D29" s="488">
        <f t="shared" si="2"/>
        <v>3918.9</v>
      </c>
      <c r="E29" s="15">
        <f t="shared" si="3"/>
        <v>8.2012809717012427</v>
      </c>
      <c r="F29" s="363"/>
      <c r="G29" s="64"/>
      <c r="H29" s="1034">
        <v>1</v>
      </c>
      <c r="I29" s="1034">
        <v>0.67</v>
      </c>
      <c r="N29" s="993"/>
      <c r="O29" s="26">
        <v>32140</v>
      </c>
      <c r="P29" s="36"/>
      <c r="Q29" s="277">
        <f t="shared" si="4"/>
        <v>3918.9</v>
      </c>
      <c r="R29" s="1227">
        <f t="shared" si="5"/>
        <v>3918.9</v>
      </c>
      <c r="S29" s="27">
        <f t="shared" si="6"/>
        <v>8.2012809717012427</v>
      </c>
      <c r="T29" s="33"/>
      <c r="U29" s="2226">
        <v>3918.9</v>
      </c>
      <c r="V29" s="2225">
        <v>0</v>
      </c>
      <c r="W29" s="2225">
        <v>0</v>
      </c>
      <c r="X29" s="1038"/>
      <c r="Y29" s="1"/>
      <c r="Z29" s="847"/>
      <c r="AA29" s="1025">
        <v>0</v>
      </c>
      <c r="AB29" s="1025">
        <v>0</v>
      </c>
      <c r="AC29" s="1025">
        <v>0</v>
      </c>
      <c r="AD29" s="1025">
        <v>0</v>
      </c>
      <c r="AE29" s="1025">
        <v>0</v>
      </c>
      <c r="AF29" s="1025">
        <v>0</v>
      </c>
      <c r="AG29" s="1025">
        <v>0</v>
      </c>
      <c r="AH29" s="1025"/>
      <c r="AI29" s="1039"/>
      <c r="AJ29" s="1026">
        <v>731.69488613999999</v>
      </c>
      <c r="AK29" s="1026">
        <v>61388.178512669983</v>
      </c>
      <c r="AL29" s="1040">
        <f t="shared" si="0"/>
        <v>62119.873398809985</v>
      </c>
      <c r="AM29" s="1414"/>
      <c r="AN29" s="1414"/>
      <c r="AO29" s="1310"/>
      <c r="AP29" s="1310"/>
      <c r="AQ29" s="1934">
        <f t="shared" si="7"/>
        <v>0</v>
      </c>
      <c r="AR29" s="1729">
        <f t="shared" si="12"/>
        <v>0</v>
      </c>
      <c r="AS29" s="1729">
        <f t="shared" si="12"/>
        <v>-196.6821263265121</v>
      </c>
      <c r="AT29" s="1007"/>
      <c r="AU29" s="1476">
        <v>0</v>
      </c>
      <c r="AV29" s="1414"/>
      <c r="AW29" s="987"/>
      <c r="AX29" s="310">
        <v>0</v>
      </c>
      <c r="AY29" s="868"/>
      <c r="AZ29" s="2" cm="1">
        <f t="array" ref="AZ29">IFERROR(SUMPRODUCT((TIS.HCV.MS!$A$3:$A$92=DATE(2026,6,$B29))*(TIS.HCV.MS!$O$3:$O$92&gt;0)*TIS.HCV.MS!$C$3:$C$92*TIS.HCV.MS!$O$3:$O$92)/SUMPRODUCT((TIS.HCV.MS!$A$3:$A$92=DATE(2026,6,$B29))*(TIS.HCV.MS!$O$3:$O$92&gt;0)*TIS.HCV.MS!$C$3:$C$92),0)</f>
        <v>0</v>
      </c>
      <c r="BA29" s="2110" cm="1">
        <f t="array" ref="BA29">IFERROR(SUMPRODUCT((TIS.HCV.MS!$A$3:$A$92=DATE(2026,6,$B29))*(TIS.HCV.MS!$M$3:$M$92&gt;0)*TIS.HCV.MS!$C$3:$C$92*TIS.HCV.MS!$M$3:$M$92)/SUMPRODUCT((TIS.HCV.MS!$A$3:$A$92=DATE(2026,6,$B29))*(TIS.HCV.MS!$M$3:$M$92&gt;0)*TIS.HCV.MS!$C$3:$C$92),0)</f>
        <v>0</v>
      </c>
      <c r="BB29" s="2110" cm="1">
        <f t="array" ref="BB29">IFERROR(SUMPRODUCT((TIS.HCV.MS!$A$3:$A$92=DATE(2026,6,$B29))*(TIS.HCV.MS!$G$3:$G$92&gt;0)*TIS.HCV.MS!$C$3:$C$92*TIS.HCV.MS!$G$3:$G$92)/SUMPRODUCT((TIS.HCV.MS!$A$3:$A$92=DATE(2026,6,$B29))*(TIS.HCV.MS!$G$3:$G$92&gt;0)*TIS.HCV.MS!$C$3:$C$92),0)</f>
        <v>0</v>
      </c>
      <c r="BC29" s="2110" cm="1">
        <f t="array" ref="BC29">IFERROR(SUMPRODUCT((TIS.HCV.MS!$A$3:$A$92=DATE(2026,6,$B29))*(TIS.HCV.MS!$F$3:$F$92&gt;0)*TIS.HCV.MS!$C$3:$C$92*TIS.HCV.MS!$F$3:$F$92)/SUMPRODUCT((TIS.HCV.MS!$A$3:$A$92=DATE(2026,6,$B29))*(TIS.HCV.MS!$F$3:$F$92&gt;0)*TIS.HCV.MS!$C$3:$C$92),0)</f>
        <v>0</v>
      </c>
      <c r="BD29" s="2111" cm="1">
        <f t="array" ref="BD29">IFERROR(SUMPRODUCT((TIS.HCV.MS!$A$3:$A$92=DATE(2026,6,$B29))*(TIS.HCV.MS!$E$3:$E$92&gt;0)*TIS.HCV.MS!$C$3:$C$92*TIS.HCV.MS!$E$3:$E$92)/SUMPRODUCT((TIS.HCV.MS!$A$3:$A$92=DATE(2026,6,$B29))*(TIS.HCV.MS!$E$3:$E$92&gt;0)*TIS.HCV.MS!$C$3:$C$92),0)</f>
        <v>0</v>
      </c>
      <c r="BF29" s="987"/>
      <c r="BG29" s="987"/>
      <c r="BH29" s="987"/>
      <c r="BI29" s="987"/>
      <c r="BJ29" s="987"/>
      <c r="BK29" s="847"/>
      <c r="BL29" s="847"/>
      <c r="BM29" s="847"/>
      <c r="BN29" s="847"/>
      <c r="BO29" s="310"/>
      <c r="BP29" s="1041">
        <f>'June TCM'!LO27</f>
        <v>7.43</v>
      </c>
      <c r="BQ29" s="1042"/>
      <c r="BR29" s="1"/>
      <c r="BS29" s="1032">
        <f t="shared" si="9"/>
        <v>88704.883847770005</v>
      </c>
      <c r="BT29" s="1"/>
      <c r="BU29" s="1"/>
      <c r="BV29" s="1"/>
      <c r="BW29" s="1"/>
      <c r="BX29" s="1"/>
      <c r="BY29" s="1"/>
      <c r="BZ29" s="1"/>
      <c r="CA29" s="1"/>
      <c r="CB29" s="1"/>
      <c r="CC29" s="1"/>
      <c r="CD29" s="1"/>
      <c r="CE29" s="1"/>
      <c r="CF29" s="1"/>
      <c r="CG29" s="1"/>
      <c r="CH29" s="1"/>
      <c r="CI29" s="1"/>
      <c r="CJ29" s="1"/>
      <c r="CK29" s="1"/>
      <c r="CM29" s="1033">
        <v>18</v>
      </c>
      <c r="CN29" s="1">
        <f t="shared" si="10"/>
        <v>3918.9</v>
      </c>
      <c r="CO29">
        <v>2606184992</v>
      </c>
      <c r="CQ29" s="412">
        <v>18</v>
      </c>
      <c r="CR29" s="1">
        <f t="shared" si="11"/>
        <v>0</v>
      </c>
    </row>
    <row r="30" spans="2:97" ht="15" thickBot="1">
      <c r="B30" s="989">
        <v>19</v>
      </c>
      <c r="C30" s="5">
        <f t="shared" si="1"/>
        <v>34913</v>
      </c>
      <c r="D30" s="488">
        <f t="shared" si="2"/>
        <v>3839.2400000000002</v>
      </c>
      <c r="E30" s="15">
        <f t="shared" si="3"/>
        <v>9.0937268834456813</v>
      </c>
      <c r="F30" s="363"/>
      <c r="G30" s="64"/>
      <c r="H30" s="1034"/>
      <c r="I30" s="1034"/>
      <c r="N30" s="993"/>
      <c r="O30" s="26">
        <v>34913</v>
      </c>
      <c r="P30" s="36"/>
      <c r="Q30" s="277">
        <f t="shared" si="4"/>
        <v>3839.2400000000002</v>
      </c>
      <c r="R30" s="1227">
        <f t="shared" si="5"/>
        <v>3839.2400000000002</v>
      </c>
      <c r="S30" s="27">
        <f t="shared" si="6"/>
        <v>9.0937268834456813</v>
      </c>
      <c r="T30" s="33"/>
      <c r="U30" s="2226">
        <v>3839.2400000000002</v>
      </c>
      <c r="V30" s="2225">
        <v>0</v>
      </c>
      <c r="W30" s="2225">
        <v>0</v>
      </c>
      <c r="X30" s="1038"/>
      <c r="Y30" s="1"/>
      <c r="Z30" s="847"/>
      <c r="AA30" s="1025">
        <v>0</v>
      </c>
      <c r="AB30" s="1025">
        <v>0</v>
      </c>
      <c r="AC30" s="1025">
        <v>0</v>
      </c>
      <c r="AD30" s="1025">
        <v>0</v>
      </c>
      <c r="AE30" s="1025">
        <v>0</v>
      </c>
      <c r="AF30" s="1025">
        <v>0</v>
      </c>
      <c r="AG30" s="1025">
        <v>0</v>
      </c>
      <c r="AH30" s="1025"/>
      <c r="AI30" s="1039"/>
      <c r="AJ30" s="1026">
        <v>731.69488613999999</v>
      </c>
      <c r="AK30" s="1026">
        <v>65227.418512669981</v>
      </c>
      <c r="AL30" s="1040">
        <f t="shared" si="0"/>
        <v>65959.113398809975</v>
      </c>
      <c r="AM30" s="1414"/>
      <c r="AN30" s="1414"/>
      <c r="AO30" s="1310"/>
      <c r="AP30" s="1310"/>
      <c r="AQ30" s="1934">
        <f t="shared" si="7"/>
        <v>0</v>
      </c>
      <c r="AR30" s="1729">
        <f t="shared" si="12"/>
        <v>0</v>
      </c>
      <c r="AS30" s="1729">
        <f>AS29+AP30-AU30</f>
        <v>-196.6821263265121</v>
      </c>
      <c r="AT30" s="1007"/>
      <c r="AU30" s="1476">
        <v>0</v>
      </c>
      <c r="AV30" s="1414"/>
      <c r="AW30" s="987"/>
      <c r="AX30" s="310">
        <v>0</v>
      </c>
      <c r="AY30" s="998"/>
      <c r="AZ30" s="2" cm="1">
        <f t="array" ref="AZ30">IFERROR(SUMPRODUCT((TIS.HCV.MS!$A$3:$A$92=DATE(2026,6,$B30))*(TIS.HCV.MS!$O$3:$O$92&gt;0)*TIS.HCV.MS!$C$3:$C$92*TIS.HCV.MS!$O$3:$O$92)/SUMPRODUCT((TIS.HCV.MS!$A$3:$A$92=DATE(2026,6,$B30))*(TIS.HCV.MS!$O$3:$O$92&gt;0)*TIS.HCV.MS!$C$3:$C$92),0)</f>
        <v>0</v>
      </c>
      <c r="BA30" s="2110" cm="1">
        <f t="array" ref="BA30">IFERROR(SUMPRODUCT((TIS.HCV.MS!$A$3:$A$92=DATE(2026,6,$B30))*(TIS.HCV.MS!$M$3:$M$92&gt;0)*TIS.HCV.MS!$C$3:$C$92*TIS.HCV.MS!$M$3:$M$92)/SUMPRODUCT((TIS.HCV.MS!$A$3:$A$92=DATE(2026,6,$B30))*(TIS.HCV.MS!$M$3:$M$92&gt;0)*TIS.HCV.MS!$C$3:$C$92),0)</f>
        <v>0</v>
      </c>
      <c r="BB30" s="2110" cm="1">
        <f t="array" ref="BB30">IFERROR(SUMPRODUCT((TIS.HCV.MS!$A$3:$A$92=DATE(2026,6,$B30))*(TIS.HCV.MS!$G$3:$G$92&gt;0)*TIS.HCV.MS!$C$3:$C$92*TIS.HCV.MS!$G$3:$G$92)/SUMPRODUCT((TIS.HCV.MS!$A$3:$A$92=DATE(2026,6,$B30))*(TIS.HCV.MS!$G$3:$G$92&gt;0)*TIS.HCV.MS!$C$3:$C$92),0)</f>
        <v>0</v>
      </c>
      <c r="BC30" s="2110" cm="1">
        <f t="array" ref="BC30">IFERROR(SUMPRODUCT((TIS.HCV.MS!$A$3:$A$92=DATE(2026,6,$B30))*(TIS.HCV.MS!$F$3:$F$92&gt;0)*TIS.HCV.MS!$C$3:$C$92*TIS.HCV.MS!$F$3:$F$92)/SUMPRODUCT((TIS.HCV.MS!$A$3:$A$92=DATE(2026,6,$B30))*(TIS.HCV.MS!$F$3:$F$92&gt;0)*TIS.HCV.MS!$C$3:$C$92),0)</f>
        <v>0</v>
      </c>
      <c r="BD30" s="2111" cm="1">
        <f t="array" ref="BD30">IFERROR(SUMPRODUCT((TIS.HCV.MS!$A$3:$A$92=DATE(2026,6,$B30))*(TIS.HCV.MS!$E$3:$E$92&gt;0)*TIS.HCV.MS!$C$3:$C$92*TIS.HCV.MS!$E$3:$E$92)/SUMPRODUCT((TIS.HCV.MS!$A$3:$A$92=DATE(2026,6,$B30))*(TIS.HCV.MS!$E$3:$E$92&gt;0)*TIS.HCV.MS!$C$3:$C$92),0)</f>
        <v>0</v>
      </c>
      <c r="BF30" s="987"/>
      <c r="BG30" s="987"/>
      <c r="BH30" s="987"/>
      <c r="BI30" s="987"/>
      <c r="BJ30" s="987"/>
      <c r="BK30" s="847"/>
      <c r="BL30" s="310"/>
      <c r="BM30" s="310"/>
      <c r="BN30" s="310"/>
      <c r="BO30" s="310"/>
      <c r="BP30" s="1041">
        <f>'June TCM'!LO28</f>
        <v>7.52</v>
      </c>
      <c r="BQ30" s="1042"/>
      <c r="BR30" s="1"/>
      <c r="BS30" s="1032">
        <f t="shared" si="9"/>
        <v>88704.883847770005</v>
      </c>
      <c r="BT30" s="1"/>
      <c r="BU30" s="1"/>
      <c r="BV30" s="1"/>
      <c r="BW30" s="1"/>
      <c r="BX30" s="1"/>
      <c r="BY30" s="1"/>
      <c r="BZ30" s="1"/>
      <c r="CA30" s="1"/>
      <c r="CB30" s="1"/>
      <c r="CC30" s="1"/>
      <c r="CD30" s="1"/>
      <c r="CE30" s="1"/>
      <c r="CF30" s="1"/>
      <c r="CG30" s="1"/>
      <c r="CH30" s="1"/>
      <c r="CI30" s="1"/>
      <c r="CJ30" s="1"/>
      <c r="CK30" s="1"/>
      <c r="CM30" s="1033">
        <v>19</v>
      </c>
      <c r="CN30" s="1">
        <f t="shared" si="10"/>
        <v>3839.2400000000002</v>
      </c>
      <c r="CO30">
        <v>2606195353</v>
      </c>
      <c r="CQ30" s="412">
        <v>19</v>
      </c>
      <c r="CR30" s="1">
        <f t="shared" si="11"/>
        <v>0</v>
      </c>
    </row>
    <row r="31" spans="2:97" ht="15" thickBot="1">
      <c r="B31" s="989">
        <v>20</v>
      </c>
      <c r="C31" s="5">
        <f t="shared" si="1"/>
        <v>33017</v>
      </c>
      <c r="D31" s="488">
        <f t="shared" si="2"/>
        <v>3977.22</v>
      </c>
      <c r="E31" s="15">
        <f t="shared" si="3"/>
        <v>8.3015271973891309</v>
      </c>
      <c r="F31" s="363"/>
      <c r="G31" s="64"/>
      <c r="H31" s="1034">
        <v>5</v>
      </c>
      <c r="I31" s="1034">
        <v>0.88</v>
      </c>
      <c r="N31" s="993"/>
      <c r="O31" s="26">
        <v>33017</v>
      </c>
      <c r="P31" s="36"/>
      <c r="Q31" s="277">
        <f t="shared" si="4"/>
        <v>3977.22</v>
      </c>
      <c r="R31" s="1227">
        <f t="shared" si="5"/>
        <v>3977.22</v>
      </c>
      <c r="S31" s="5">
        <f t="shared" si="6"/>
        <v>8.3015271973891309</v>
      </c>
      <c r="T31" s="12"/>
      <c r="U31" s="2226">
        <v>3977.22</v>
      </c>
      <c r="V31" s="2225">
        <v>0</v>
      </c>
      <c r="W31" s="2225">
        <v>0</v>
      </c>
      <c r="X31" s="1038"/>
      <c r="Y31" s="1"/>
      <c r="Z31" s="847"/>
      <c r="AA31" s="1025">
        <v>0</v>
      </c>
      <c r="AB31" s="1025">
        <v>0</v>
      </c>
      <c r="AC31" s="1025">
        <v>0</v>
      </c>
      <c r="AD31" s="1025">
        <v>0</v>
      </c>
      <c r="AE31" s="1025">
        <v>0</v>
      </c>
      <c r="AF31" s="1025">
        <v>0</v>
      </c>
      <c r="AG31" s="1025">
        <v>0</v>
      </c>
      <c r="AH31" s="1025"/>
      <c r="AI31" s="1039"/>
      <c r="AJ31" s="1026">
        <v>731.69488613999999</v>
      </c>
      <c r="AK31" s="1026">
        <v>69204.638512669975</v>
      </c>
      <c r="AL31" s="1040">
        <f t="shared" si="0"/>
        <v>69936.333398809977</v>
      </c>
      <c r="AM31" s="1414"/>
      <c r="AN31" s="1414"/>
      <c r="AO31" s="1310"/>
      <c r="AP31" s="1310"/>
      <c r="AQ31" s="1934">
        <f t="shared" si="7"/>
        <v>0</v>
      </c>
      <c r="AR31" s="1729">
        <f t="shared" si="12"/>
        <v>0</v>
      </c>
      <c r="AS31" s="1729">
        <f t="shared" si="12"/>
        <v>-196.6821263265121</v>
      </c>
      <c r="AT31" s="1007"/>
      <c r="AU31" s="1476">
        <v>0</v>
      </c>
      <c r="AV31" s="1414"/>
      <c r="AW31" s="987"/>
      <c r="AX31" s="310">
        <v>0</v>
      </c>
      <c r="AY31" s="868"/>
      <c r="AZ31" s="2" cm="1">
        <f t="array" ref="AZ31">IFERROR(SUMPRODUCT((TIS.HCV.MS!$A$3:$A$92=DATE(2026,6,$B31))*(TIS.HCV.MS!$O$3:$O$92&gt;0)*TIS.HCV.MS!$C$3:$C$92*TIS.HCV.MS!$O$3:$O$92)/SUMPRODUCT((TIS.HCV.MS!$A$3:$A$92=DATE(2026,6,$B31))*(TIS.HCV.MS!$O$3:$O$92&gt;0)*TIS.HCV.MS!$C$3:$C$92),0)</f>
        <v>0</v>
      </c>
      <c r="BA31" s="2110" cm="1">
        <f t="array" ref="BA31">IFERROR(SUMPRODUCT((TIS.HCV.MS!$A$3:$A$92=DATE(2026,6,$B31))*(TIS.HCV.MS!$M$3:$M$92&gt;0)*TIS.HCV.MS!$C$3:$C$92*TIS.HCV.MS!$M$3:$M$92)/SUMPRODUCT((TIS.HCV.MS!$A$3:$A$92=DATE(2026,6,$B31))*(TIS.HCV.MS!$M$3:$M$92&gt;0)*TIS.HCV.MS!$C$3:$C$92),0)</f>
        <v>0</v>
      </c>
      <c r="BB31" s="2110" cm="1">
        <f t="array" ref="BB31">IFERROR(SUMPRODUCT((TIS.HCV.MS!$A$3:$A$92=DATE(2026,6,$B31))*(TIS.HCV.MS!$G$3:$G$92&gt;0)*TIS.HCV.MS!$C$3:$C$92*TIS.HCV.MS!$G$3:$G$92)/SUMPRODUCT((TIS.HCV.MS!$A$3:$A$92=DATE(2026,6,$B31))*(TIS.HCV.MS!$G$3:$G$92&gt;0)*TIS.HCV.MS!$C$3:$C$92),0)</f>
        <v>0</v>
      </c>
      <c r="BC31" s="2110" cm="1">
        <f t="array" ref="BC31">IFERROR(SUMPRODUCT((TIS.HCV.MS!$A$3:$A$92=DATE(2026,6,$B31))*(TIS.HCV.MS!$F$3:$F$92&gt;0)*TIS.HCV.MS!$C$3:$C$92*TIS.HCV.MS!$F$3:$F$92)/SUMPRODUCT((TIS.HCV.MS!$A$3:$A$92=DATE(2026,6,$B31))*(TIS.HCV.MS!$F$3:$F$92&gt;0)*TIS.HCV.MS!$C$3:$C$92),0)</f>
        <v>0</v>
      </c>
      <c r="BD31" s="2111" cm="1">
        <f t="array" ref="BD31">IFERROR(SUMPRODUCT((TIS.HCV.MS!$A$3:$A$92=DATE(2026,6,$B31))*(TIS.HCV.MS!$E$3:$E$92&gt;0)*TIS.HCV.MS!$C$3:$C$92*TIS.HCV.MS!$E$3:$E$92)/SUMPRODUCT((TIS.HCV.MS!$A$3:$A$92=DATE(2026,6,$B31))*(TIS.HCV.MS!$E$3:$E$92&gt;0)*TIS.HCV.MS!$C$3:$C$92),0)</f>
        <v>0</v>
      </c>
      <c r="BF31" s="987"/>
      <c r="BG31" s="987"/>
      <c r="BH31" s="987"/>
      <c r="BI31" s="987"/>
      <c r="BJ31" s="987"/>
      <c r="BK31" s="847"/>
      <c r="BL31" s="847"/>
      <c r="BM31" s="847"/>
      <c r="BN31" s="847"/>
      <c r="BO31" s="310"/>
      <c r="BP31" s="1041">
        <f>'June TCM'!LO29</f>
        <v>7.65</v>
      </c>
      <c r="BQ31" s="1042"/>
      <c r="BR31" s="1"/>
      <c r="BS31" s="1032">
        <f t="shared" si="9"/>
        <v>88704.883847770005</v>
      </c>
      <c r="BT31" s="1"/>
      <c r="BU31" s="1"/>
      <c r="BV31" s="1"/>
      <c r="BW31" s="1"/>
      <c r="BX31" s="1"/>
      <c r="BY31" s="1"/>
      <c r="BZ31" s="1"/>
      <c r="CA31" s="1"/>
      <c r="CB31" s="1"/>
      <c r="CC31" s="1"/>
      <c r="CD31" s="1"/>
      <c r="CE31" s="1"/>
      <c r="CF31" s="1"/>
      <c r="CG31" s="1"/>
      <c r="CH31" s="1"/>
      <c r="CI31" s="1"/>
      <c r="CJ31" s="1"/>
      <c r="CK31" s="1"/>
      <c r="CM31" s="1033">
        <v>20</v>
      </c>
      <c r="CN31" s="1">
        <f t="shared" si="10"/>
        <v>3977.22</v>
      </c>
      <c r="CO31">
        <v>2606205729</v>
      </c>
      <c r="CQ31" s="412">
        <v>20</v>
      </c>
      <c r="CR31" s="1">
        <f t="shared" si="11"/>
        <v>0</v>
      </c>
    </row>
    <row r="32" spans="2:97" ht="15" thickBot="1">
      <c r="B32" s="989">
        <v>21</v>
      </c>
      <c r="C32" s="5">
        <f t="shared" si="1"/>
        <v>29666</v>
      </c>
      <c r="D32" s="488">
        <f t="shared" si="2"/>
        <v>4086.66</v>
      </c>
      <c r="E32" s="15">
        <f t="shared" si="3"/>
        <v>7.2592288078773377</v>
      </c>
      <c r="F32" s="363"/>
      <c r="G32" s="64"/>
      <c r="H32" s="1034"/>
      <c r="I32" s="1034"/>
      <c r="N32" s="993"/>
      <c r="O32" s="26">
        <v>29666</v>
      </c>
      <c r="P32" s="36"/>
      <c r="Q32" s="277">
        <f t="shared" si="4"/>
        <v>4086.66</v>
      </c>
      <c r="R32" s="1227">
        <f t="shared" si="5"/>
        <v>4086.66</v>
      </c>
      <c r="S32" s="27">
        <f t="shared" si="6"/>
        <v>7.2592288078773377</v>
      </c>
      <c r="T32" s="33"/>
      <c r="U32" s="2226">
        <v>4086.66</v>
      </c>
      <c r="V32" s="2225">
        <v>0</v>
      </c>
      <c r="W32" s="2225">
        <v>0</v>
      </c>
      <c r="X32" s="1038"/>
      <c r="Y32" s="1"/>
      <c r="Z32" s="847"/>
      <c r="AA32" s="1025">
        <v>0</v>
      </c>
      <c r="AB32" s="1025">
        <v>0</v>
      </c>
      <c r="AC32" s="1025">
        <v>0</v>
      </c>
      <c r="AD32" s="1025">
        <v>0</v>
      </c>
      <c r="AE32" s="1025">
        <v>0</v>
      </c>
      <c r="AF32" s="1025">
        <v>0</v>
      </c>
      <c r="AG32" s="1025">
        <v>0</v>
      </c>
      <c r="AH32" s="1025"/>
      <c r="AI32" s="1039"/>
      <c r="AJ32" s="1026">
        <v>731.69488613999999</v>
      </c>
      <c r="AK32" s="1026">
        <v>73291.298512669979</v>
      </c>
      <c r="AL32" s="1040">
        <f t="shared" si="0"/>
        <v>74022.99339880998</v>
      </c>
      <c r="AM32" s="1414"/>
      <c r="AN32" s="1414"/>
      <c r="AO32" s="1310"/>
      <c r="AP32" s="1310"/>
      <c r="AQ32" s="1934">
        <f t="shared" si="7"/>
        <v>0</v>
      </c>
      <c r="AR32" s="1729">
        <f t="shared" si="12"/>
        <v>0</v>
      </c>
      <c r="AS32" s="1729">
        <f t="shared" si="12"/>
        <v>-196.6821263265121</v>
      </c>
      <c r="AT32" s="1007"/>
      <c r="AU32" s="1476">
        <v>0</v>
      </c>
      <c r="AV32" s="1414"/>
      <c r="AW32" s="987"/>
      <c r="AX32" s="310">
        <v>0</v>
      </c>
      <c r="AY32" s="998"/>
      <c r="AZ32" s="2" cm="1">
        <f t="array" ref="AZ32">IFERROR(SUMPRODUCT((TIS.HCV.MS!$A$3:$A$92=DATE(2026,6,$B32))*(TIS.HCV.MS!$O$3:$O$92&gt;0)*TIS.HCV.MS!$C$3:$C$92*TIS.HCV.MS!$O$3:$O$92)/SUMPRODUCT((TIS.HCV.MS!$A$3:$A$92=DATE(2026,6,$B32))*(TIS.HCV.MS!$O$3:$O$92&gt;0)*TIS.HCV.MS!$C$3:$C$92),0)</f>
        <v>0</v>
      </c>
      <c r="BA32" s="2110" cm="1">
        <f t="array" ref="BA32">IFERROR(SUMPRODUCT((TIS.HCV.MS!$A$3:$A$92=DATE(2026,6,$B32))*(TIS.HCV.MS!$M$3:$M$92&gt;0)*TIS.HCV.MS!$C$3:$C$92*TIS.HCV.MS!$M$3:$M$92)/SUMPRODUCT((TIS.HCV.MS!$A$3:$A$92=DATE(2026,6,$B32))*(TIS.HCV.MS!$M$3:$M$92&gt;0)*TIS.HCV.MS!$C$3:$C$92),0)</f>
        <v>0</v>
      </c>
      <c r="BB32" s="2110" cm="1">
        <f t="array" ref="BB32">IFERROR(SUMPRODUCT((TIS.HCV.MS!$A$3:$A$92=DATE(2026,6,$B32))*(TIS.HCV.MS!$G$3:$G$92&gt;0)*TIS.HCV.MS!$C$3:$C$92*TIS.HCV.MS!$G$3:$G$92)/SUMPRODUCT((TIS.HCV.MS!$A$3:$A$92=DATE(2026,6,$B32))*(TIS.HCV.MS!$G$3:$G$92&gt;0)*TIS.HCV.MS!$C$3:$C$92),0)</f>
        <v>0</v>
      </c>
      <c r="BC32" s="2110" cm="1">
        <f t="array" ref="BC32">IFERROR(SUMPRODUCT((TIS.HCV.MS!$A$3:$A$92=DATE(2026,6,$B32))*(TIS.HCV.MS!$F$3:$F$92&gt;0)*TIS.HCV.MS!$C$3:$C$92*TIS.HCV.MS!$F$3:$F$92)/SUMPRODUCT((TIS.HCV.MS!$A$3:$A$92=DATE(2026,6,$B32))*(TIS.HCV.MS!$F$3:$F$92&gt;0)*TIS.HCV.MS!$C$3:$C$92),0)</f>
        <v>0</v>
      </c>
      <c r="BD32" s="2111" cm="1">
        <f t="array" ref="BD32">IFERROR(SUMPRODUCT((TIS.HCV.MS!$A$3:$A$92=DATE(2026,6,$B32))*(TIS.HCV.MS!$E$3:$E$92&gt;0)*TIS.HCV.MS!$C$3:$C$92*TIS.HCV.MS!$E$3:$E$92)/SUMPRODUCT((TIS.HCV.MS!$A$3:$A$92=DATE(2026,6,$B32))*(TIS.HCV.MS!$E$3:$E$92&gt;0)*TIS.HCV.MS!$C$3:$C$92),0)</f>
        <v>0</v>
      </c>
      <c r="BF32" s="987"/>
      <c r="BG32" s="987"/>
      <c r="BH32" s="987"/>
      <c r="BI32" s="987"/>
      <c r="BJ32" s="987"/>
      <c r="BK32" s="847"/>
      <c r="BL32" s="310"/>
      <c r="BM32" s="310"/>
      <c r="BN32" s="310"/>
      <c r="BO32" s="310"/>
      <c r="BP32" s="1041">
        <f>'June TCM'!LO30</f>
        <v>7.42</v>
      </c>
      <c r="BQ32" s="1042"/>
      <c r="BR32" s="1"/>
      <c r="BS32" s="1032">
        <f t="shared" si="9"/>
        <v>88704.883847770005</v>
      </c>
      <c r="BT32" s="1"/>
      <c r="BU32" s="1"/>
      <c r="BV32" s="1"/>
      <c r="BW32" s="1"/>
      <c r="BX32" s="1"/>
      <c r="BY32" s="1"/>
      <c r="BZ32" s="1"/>
      <c r="CA32" s="1"/>
      <c r="CB32" s="1"/>
      <c r="CC32" s="1"/>
      <c r="CD32" s="1"/>
      <c r="CE32" s="1"/>
      <c r="CF32" s="1"/>
      <c r="CG32" s="1"/>
      <c r="CH32" s="1"/>
      <c r="CI32" s="1"/>
      <c r="CJ32" s="1"/>
      <c r="CK32" s="1"/>
      <c r="CM32" s="1033">
        <v>21</v>
      </c>
      <c r="CN32" s="1">
        <f t="shared" si="10"/>
        <v>4086.66</v>
      </c>
      <c r="CO32">
        <v>2606216094</v>
      </c>
      <c r="CQ32" s="412">
        <v>21</v>
      </c>
      <c r="CR32" s="1">
        <f t="shared" si="11"/>
        <v>0</v>
      </c>
    </row>
    <row r="33" spans="2:96" ht="15" thickBot="1">
      <c r="B33" s="989">
        <v>22</v>
      </c>
      <c r="C33" s="5">
        <f t="shared" si="1"/>
        <v>14386</v>
      </c>
      <c r="D33" s="488">
        <f t="shared" si="2"/>
        <v>2308.91</v>
      </c>
      <c r="E33" s="15">
        <f t="shared" si="3"/>
        <v>6.230645629322928</v>
      </c>
      <c r="F33" s="363"/>
      <c r="G33" s="64"/>
      <c r="H33" s="1034">
        <v>52.5</v>
      </c>
      <c r="I33" s="1034">
        <v>13.67</v>
      </c>
      <c r="N33" s="993"/>
      <c r="O33" s="26">
        <v>14386</v>
      </c>
      <c r="P33" s="36"/>
      <c r="Q33" s="277">
        <f t="shared" si="4"/>
        <v>2308.91</v>
      </c>
      <c r="R33" s="1227">
        <f t="shared" si="5"/>
        <v>2308.91</v>
      </c>
      <c r="S33" s="27">
        <f t="shared" si="6"/>
        <v>6.230645629322928</v>
      </c>
      <c r="T33" s="33"/>
      <c r="U33" s="2226">
        <v>2308.91</v>
      </c>
      <c r="V33" s="2225">
        <v>0</v>
      </c>
      <c r="W33" s="2225">
        <v>0</v>
      </c>
      <c r="X33" s="1038"/>
      <c r="Y33" s="1"/>
      <c r="Z33" s="847"/>
      <c r="AA33" s="1025">
        <v>0</v>
      </c>
      <c r="AB33" s="1025">
        <v>0</v>
      </c>
      <c r="AC33" s="1025">
        <v>0</v>
      </c>
      <c r="AD33" s="1025">
        <v>0</v>
      </c>
      <c r="AE33" s="1025">
        <v>0</v>
      </c>
      <c r="AF33" s="1025">
        <v>0</v>
      </c>
      <c r="AG33" s="1025">
        <v>0</v>
      </c>
      <c r="AH33" s="1025"/>
      <c r="AI33" s="1039"/>
      <c r="AJ33" s="1026">
        <v>731.69488613999999</v>
      </c>
      <c r="AK33" s="1026">
        <v>75600.208512669982</v>
      </c>
      <c r="AL33" s="1040">
        <f t="shared" si="0"/>
        <v>76331.903398809984</v>
      </c>
      <c r="AM33" s="1414"/>
      <c r="AN33" s="1414"/>
      <c r="AO33" s="1310"/>
      <c r="AP33" s="1310"/>
      <c r="AQ33" s="1934">
        <f t="shared" si="7"/>
        <v>0</v>
      </c>
      <c r="AR33" s="1729">
        <f t="shared" si="12"/>
        <v>0</v>
      </c>
      <c r="AS33" s="1729">
        <f t="shared" si="12"/>
        <v>-196.6821263265121</v>
      </c>
      <c r="AT33" s="1007"/>
      <c r="AU33" s="1476">
        <v>0</v>
      </c>
      <c r="AV33" s="1414"/>
      <c r="AW33" s="987"/>
      <c r="AX33" s="310">
        <v>0</v>
      </c>
      <c r="AY33" s="998"/>
      <c r="AZ33" s="2" cm="1">
        <f t="array" ref="AZ33">IFERROR(SUMPRODUCT((TIS.HCV.MS!$A$3:$A$92=DATE(2026,6,$B33))*(TIS.HCV.MS!$O$3:$O$92&gt;0)*TIS.HCV.MS!$C$3:$C$92*TIS.HCV.MS!$O$3:$O$92)/SUMPRODUCT((TIS.HCV.MS!$A$3:$A$92=DATE(2026,6,$B33))*(TIS.HCV.MS!$O$3:$O$92&gt;0)*TIS.HCV.MS!$C$3:$C$92),0)</f>
        <v>0</v>
      </c>
      <c r="BA33" s="2110" cm="1">
        <f t="array" ref="BA33">IFERROR(SUMPRODUCT((TIS.HCV.MS!$A$3:$A$92=DATE(2026,6,$B33))*(TIS.HCV.MS!$M$3:$M$92&gt;0)*TIS.HCV.MS!$C$3:$C$92*TIS.HCV.MS!$M$3:$M$92)/SUMPRODUCT((TIS.HCV.MS!$A$3:$A$92=DATE(2026,6,$B33))*(TIS.HCV.MS!$M$3:$M$92&gt;0)*TIS.HCV.MS!$C$3:$C$92),0)</f>
        <v>0</v>
      </c>
      <c r="BB33" s="2110" cm="1">
        <f t="array" ref="BB33">IFERROR(SUMPRODUCT((TIS.HCV.MS!$A$3:$A$92=DATE(2026,6,$B33))*(TIS.HCV.MS!$G$3:$G$92&gt;0)*TIS.HCV.MS!$C$3:$C$92*TIS.HCV.MS!$G$3:$G$92)/SUMPRODUCT((TIS.HCV.MS!$A$3:$A$92=DATE(2026,6,$B33))*(TIS.HCV.MS!$G$3:$G$92&gt;0)*TIS.HCV.MS!$C$3:$C$92),0)</f>
        <v>0</v>
      </c>
      <c r="BC33" s="2110" cm="1">
        <f t="array" ref="BC33">IFERROR(SUMPRODUCT((TIS.HCV.MS!$A$3:$A$92=DATE(2026,6,$B33))*(TIS.HCV.MS!$F$3:$F$92&gt;0)*TIS.HCV.MS!$C$3:$C$92*TIS.HCV.MS!$F$3:$F$92)/SUMPRODUCT((TIS.HCV.MS!$A$3:$A$92=DATE(2026,6,$B33))*(TIS.HCV.MS!$F$3:$F$92&gt;0)*TIS.HCV.MS!$C$3:$C$92),0)</f>
        <v>0</v>
      </c>
      <c r="BD33" s="2111" cm="1">
        <f t="array" ref="BD33">IFERROR(SUMPRODUCT((TIS.HCV.MS!$A$3:$A$92=DATE(2026,6,$B33))*(TIS.HCV.MS!$E$3:$E$92&gt;0)*TIS.HCV.MS!$C$3:$C$92*TIS.HCV.MS!$E$3:$E$92)/SUMPRODUCT((TIS.HCV.MS!$A$3:$A$92=DATE(2026,6,$B33))*(TIS.HCV.MS!$E$3:$E$92&gt;0)*TIS.HCV.MS!$C$3:$C$92),0)</f>
        <v>0</v>
      </c>
      <c r="BF33" s="987"/>
      <c r="BG33" s="987"/>
      <c r="BH33" s="987"/>
      <c r="BI33" s="987"/>
      <c r="BJ33" s="987"/>
      <c r="BK33" s="847"/>
      <c r="BL33" s="310"/>
      <c r="BM33" s="310"/>
      <c r="BN33" s="310">
        <v>1</v>
      </c>
      <c r="BO33" s="310"/>
      <c r="BP33" s="1041">
        <f>'June TCM'!LO31</f>
        <v>7.47</v>
      </c>
      <c r="BQ33" s="1042"/>
      <c r="BR33" s="1"/>
      <c r="BS33" s="1032">
        <f t="shared" si="9"/>
        <v>88704.883847770005</v>
      </c>
      <c r="BT33" s="1"/>
      <c r="BU33" s="1"/>
      <c r="BV33" s="1"/>
      <c r="BW33" s="1"/>
      <c r="BX33" s="1"/>
      <c r="BY33" s="1"/>
      <c r="BZ33" s="1"/>
      <c r="CA33" s="1"/>
      <c r="CB33" s="1"/>
      <c r="CC33" s="1"/>
      <c r="CD33" s="1"/>
      <c r="CE33" s="1"/>
      <c r="CF33" s="1"/>
      <c r="CG33" s="1"/>
      <c r="CH33" s="1"/>
      <c r="CI33" s="1"/>
      <c r="CJ33" s="1"/>
      <c r="CK33" s="1"/>
      <c r="CM33" s="1033">
        <v>22</v>
      </c>
      <c r="CN33" s="1">
        <f t="shared" si="10"/>
        <v>2308.91</v>
      </c>
      <c r="CO33" s="1048">
        <v>2606226499</v>
      </c>
      <c r="CP33" s="1048"/>
      <c r="CQ33" s="412">
        <v>22</v>
      </c>
      <c r="CR33" s="1">
        <f t="shared" si="11"/>
        <v>0</v>
      </c>
    </row>
    <row r="34" spans="2:96" ht="15" thickBot="1">
      <c r="B34" s="989">
        <v>23</v>
      </c>
      <c r="C34" s="5">
        <f t="shared" si="1"/>
        <v>26568</v>
      </c>
      <c r="D34" s="488">
        <f t="shared" si="2"/>
        <v>3168.1200000000003</v>
      </c>
      <c r="E34" s="15">
        <f t="shared" si="3"/>
        <v>8.3860459831066994</v>
      </c>
      <c r="F34" s="363"/>
      <c r="G34" s="64"/>
      <c r="H34" s="1034">
        <v>5</v>
      </c>
      <c r="I34" s="1034">
        <v>3.53</v>
      </c>
      <c r="N34" s="993"/>
      <c r="O34" s="26">
        <v>26568</v>
      </c>
      <c r="P34" s="36"/>
      <c r="Q34" s="277">
        <f t="shared" si="4"/>
        <v>3168.1200000000003</v>
      </c>
      <c r="R34" s="1227">
        <f t="shared" si="5"/>
        <v>3168.1200000000003</v>
      </c>
      <c r="S34" s="27">
        <f t="shared" si="6"/>
        <v>8.3860459831066994</v>
      </c>
      <c r="T34" s="33"/>
      <c r="U34" s="2226">
        <v>3168.1200000000003</v>
      </c>
      <c r="V34" s="2225">
        <v>0</v>
      </c>
      <c r="W34" s="2225">
        <v>0</v>
      </c>
      <c r="X34" s="1038"/>
      <c r="Y34" s="1"/>
      <c r="Z34" s="847"/>
      <c r="AA34" s="1025">
        <v>0</v>
      </c>
      <c r="AB34" s="1025">
        <v>0</v>
      </c>
      <c r="AC34" s="1025">
        <v>0</v>
      </c>
      <c r="AD34" s="1025">
        <v>0</v>
      </c>
      <c r="AE34" s="1025">
        <v>0</v>
      </c>
      <c r="AF34" s="1025">
        <v>0</v>
      </c>
      <c r="AG34" s="1025">
        <v>0</v>
      </c>
      <c r="AH34" s="1025"/>
      <c r="AI34" s="1039"/>
      <c r="AJ34" s="1026">
        <v>731.69488613999999</v>
      </c>
      <c r="AK34" s="1026">
        <v>78768.328512669977</v>
      </c>
      <c r="AL34" s="1040">
        <f t="shared" si="0"/>
        <v>79500.023398809979</v>
      </c>
      <c r="AM34" s="1414"/>
      <c r="AN34" s="1414"/>
      <c r="AO34" s="1310"/>
      <c r="AP34" s="1310"/>
      <c r="AQ34" s="1934">
        <f t="shared" si="7"/>
        <v>0</v>
      </c>
      <c r="AR34" s="1729">
        <f t="shared" si="12"/>
        <v>0</v>
      </c>
      <c r="AS34" s="1729">
        <f t="shared" si="12"/>
        <v>-196.6821263265121</v>
      </c>
      <c r="AT34" s="1007"/>
      <c r="AU34" s="1476">
        <v>0</v>
      </c>
      <c r="AV34" s="1414"/>
      <c r="AW34" s="987"/>
      <c r="AX34" s="310">
        <v>0</v>
      </c>
      <c r="AY34" s="998"/>
      <c r="AZ34" s="2" cm="1">
        <f t="array" ref="AZ34">IFERROR(SUMPRODUCT((TIS.HCV.MS!$A$3:$A$92=DATE(2026,6,$B34))*(TIS.HCV.MS!$O$3:$O$92&gt;0)*TIS.HCV.MS!$C$3:$C$92*TIS.HCV.MS!$O$3:$O$92)/SUMPRODUCT((TIS.HCV.MS!$A$3:$A$92=DATE(2026,6,$B34))*(TIS.HCV.MS!$O$3:$O$92&gt;0)*TIS.HCV.MS!$C$3:$C$92),0)</f>
        <v>0</v>
      </c>
      <c r="BA34" s="2110" cm="1">
        <f t="array" ref="BA34">IFERROR(SUMPRODUCT((TIS.HCV.MS!$A$3:$A$92=DATE(2026,6,$B34))*(TIS.HCV.MS!$M$3:$M$92&gt;0)*TIS.HCV.MS!$C$3:$C$92*TIS.HCV.MS!$M$3:$M$92)/SUMPRODUCT((TIS.HCV.MS!$A$3:$A$92=DATE(2026,6,$B34))*(TIS.HCV.MS!$M$3:$M$92&gt;0)*TIS.HCV.MS!$C$3:$C$92),0)</f>
        <v>0</v>
      </c>
      <c r="BB34" s="2110" cm="1">
        <f t="array" ref="BB34">IFERROR(SUMPRODUCT((TIS.HCV.MS!$A$3:$A$92=DATE(2026,6,$B34))*(TIS.HCV.MS!$G$3:$G$92&gt;0)*TIS.HCV.MS!$C$3:$C$92*TIS.HCV.MS!$G$3:$G$92)/SUMPRODUCT((TIS.HCV.MS!$A$3:$A$92=DATE(2026,6,$B34))*(TIS.HCV.MS!$G$3:$G$92&gt;0)*TIS.HCV.MS!$C$3:$C$92),0)</f>
        <v>0</v>
      </c>
      <c r="BC34" s="2110" cm="1">
        <f t="array" ref="BC34">IFERROR(SUMPRODUCT((TIS.HCV.MS!$A$3:$A$92=DATE(2026,6,$B34))*(TIS.HCV.MS!$F$3:$F$92&gt;0)*TIS.HCV.MS!$C$3:$C$92*TIS.HCV.MS!$F$3:$F$92)/SUMPRODUCT((TIS.HCV.MS!$A$3:$A$92=DATE(2026,6,$B34))*(TIS.HCV.MS!$F$3:$F$92&gt;0)*TIS.HCV.MS!$C$3:$C$92),0)</f>
        <v>0</v>
      </c>
      <c r="BD34" s="2111" cm="1">
        <f t="array" ref="BD34">IFERROR(SUMPRODUCT((TIS.HCV.MS!$A$3:$A$92=DATE(2026,6,$B34))*(TIS.HCV.MS!$E$3:$E$92&gt;0)*TIS.HCV.MS!$C$3:$C$92*TIS.HCV.MS!$E$3:$E$92)/SUMPRODUCT((TIS.HCV.MS!$A$3:$A$92=DATE(2026,6,$B34))*(TIS.HCV.MS!$E$3:$E$92&gt;0)*TIS.HCV.MS!$C$3:$C$92),0)</f>
        <v>0</v>
      </c>
      <c r="BF34" s="987"/>
      <c r="BG34" s="987"/>
      <c r="BH34" s="987"/>
      <c r="BI34" s="987"/>
      <c r="BJ34" s="987"/>
      <c r="BK34" s="847">
        <v>7466.14</v>
      </c>
      <c r="BL34" s="310">
        <v>1</v>
      </c>
      <c r="BM34" s="310"/>
      <c r="BN34" s="310">
        <v>2</v>
      </c>
      <c r="BO34" s="310"/>
      <c r="BP34" s="1041">
        <f>'June TCM'!LO32</f>
        <v>7.29</v>
      </c>
      <c r="BQ34" s="1042"/>
      <c r="BR34" s="1"/>
      <c r="BS34" s="1032">
        <f t="shared" si="9"/>
        <v>81238.743847770005</v>
      </c>
      <c r="BT34" s="1"/>
      <c r="BU34" s="1"/>
      <c r="BV34" s="1"/>
      <c r="BW34" s="1"/>
      <c r="BX34" s="1"/>
      <c r="BY34" s="1"/>
      <c r="BZ34" s="1"/>
      <c r="CA34" s="1"/>
      <c r="CB34" s="1"/>
      <c r="CC34" s="1"/>
      <c r="CD34" s="1"/>
      <c r="CE34" s="1"/>
      <c r="CF34" s="1"/>
      <c r="CG34" s="1"/>
      <c r="CH34" s="1"/>
      <c r="CI34" s="1"/>
      <c r="CJ34" s="1"/>
      <c r="CK34" s="1"/>
      <c r="CM34" s="1033">
        <v>23</v>
      </c>
      <c r="CN34" s="1">
        <f t="shared" si="10"/>
        <v>3168.1200000000003</v>
      </c>
      <c r="CO34">
        <v>2606236742</v>
      </c>
      <c r="CQ34" s="412">
        <v>23</v>
      </c>
      <c r="CR34" s="1">
        <f t="shared" si="11"/>
        <v>0</v>
      </c>
    </row>
    <row r="35" spans="2:96" ht="15" thickBot="1">
      <c r="B35" s="989">
        <v>24</v>
      </c>
      <c r="C35" s="5">
        <f t="shared" si="1"/>
        <v>29489</v>
      </c>
      <c r="D35" s="488">
        <f t="shared" si="2"/>
        <v>3660.9400000000005</v>
      </c>
      <c r="E35" s="15">
        <f t="shared" si="3"/>
        <v>8.0550350456440132</v>
      </c>
      <c r="F35" s="363"/>
      <c r="G35" s="64"/>
      <c r="H35" s="1034"/>
      <c r="I35" s="1034"/>
      <c r="N35" s="993"/>
      <c r="O35" s="26">
        <v>29489</v>
      </c>
      <c r="P35" s="36"/>
      <c r="Q35" s="277">
        <f t="shared" si="4"/>
        <v>3660.9400000000005</v>
      </c>
      <c r="R35" s="1227">
        <f t="shared" si="5"/>
        <v>3660.9400000000005</v>
      </c>
      <c r="S35" s="27">
        <f t="shared" si="6"/>
        <v>8.0550350456440132</v>
      </c>
      <c r="T35" s="33"/>
      <c r="U35" s="2226">
        <v>3660.9400000000005</v>
      </c>
      <c r="V35" s="2225">
        <v>0</v>
      </c>
      <c r="W35" s="2225">
        <v>0</v>
      </c>
      <c r="X35" s="1038"/>
      <c r="Y35" s="1"/>
      <c r="Z35" s="847"/>
      <c r="AA35" s="1025">
        <v>0</v>
      </c>
      <c r="AB35" s="1025">
        <v>0</v>
      </c>
      <c r="AC35" s="1025">
        <v>0</v>
      </c>
      <c r="AD35" s="1025">
        <v>0</v>
      </c>
      <c r="AE35" s="1025">
        <v>0</v>
      </c>
      <c r="AF35" s="1025">
        <v>0</v>
      </c>
      <c r="AG35" s="1025">
        <v>0</v>
      </c>
      <c r="AH35" s="1025"/>
      <c r="AI35" s="1039"/>
      <c r="AJ35" s="1026">
        <v>731.69488613999999</v>
      </c>
      <c r="AK35" s="1026">
        <v>82429.26851266998</v>
      </c>
      <c r="AL35" s="1040">
        <f t="shared" si="0"/>
        <v>83160.963398809981</v>
      </c>
      <c r="AM35" s="1414"/>
      <c r="AN35" s="1414"/>
      <c r="AO35" s="1310"/>
      <c r="AP35" s="1310"/>
      <c r="AQ35" s="1934">
        <f t="shared" si="7"/>
        <v>0</v>
      </c>
      <c r="AR35" s="1729">
        <f t="shared" si="12"/>
        <v>0</v>
      </c>
      <c r="AS35" s="1729">
        <f t="shared" si="12"/>
        <v>-196.6821263265121</v>
      </c>
      <c r="AT35" s="1007"/>
      <c r="AU35" s="1476">
        <v>0</v>
      </c>
      <c r="AV35" s="1414"/>
      <c r="AW35" s="987"/>
      <c r="AX35" s="310">
        <v>0</v>
      </c>
      <c r="AY35" s="998"/>
      <c r="AZ35" s="2" cm="1">
        <f t="array" ref="AZ35">IFERROR(SUMPRODUCT((TIS.HCV.MS!$A$3:$A$92=DATE(2026,6,$B36))*(TIS.HCV.MS!$O$3:$O$92&gt;0)*TIS.HCV.MS!$C$3:$C$92*TIS.HCV.MS!$O$3:$O$92)/SUMPRODUCT((TIS.HCV.MS!$A$3:$A$92=DATE(2026,6,$B36))*(TIS.HCV.MS!$O$3:$O$92&gt;0)*TIS.HCV.MS!$C$3:$C$92),0)</f>
        <v>0</v>
      </c>
      <c r="BA35" s="2110" cm="1">
        <f t="array" ref="BA35">IFERROR(SUMPRODUCT((TIS.HCV.MS!$A$3:$A$92=DATE(2026,6,$B36))*(TIS.HCV.MS!$M$3:$M$92&gt;0)*TIS.HCV.MS!$C$3:$C$92*TIS.HCV.MS!$M$3:$M$92)/SUMPRODUCT((TIS.HCV.MS!$A$3:$A$92=DATE(2026,6,$B36))*(TIS.HCV.MS!$M$3:$M$92&gt;0)*TIS.HCV.MS!$C$3:$C$92),0)</f>
        <v>0</v>
      </c>
      <c r="BB35" s="2110" cm="1">
        <f t="array" ref="BB35">IFERROR(SUMPRODUCT((TIS.HCV.MS!$A$3:$A$92=DATE(2026,6,$B36))*(TIS.HCV.MS!$G$3:$G$92&gt;0)*TIS.HCV.MS!$C$3:$C$92*TIS.HCV.MS!$G$3:$G$92)/SUMPRODUCT((TIS.HCV.MS!$A$3:$A$92=DATE(2026,6,$B36))*(TIS.HCV.MS!$G$3:$G$92&gt;0)*TIS.HCV.MS!$C$3:$C$92),0)</f>
        <v>0</v>
      </c>
      <c r="BC35" s="2110" cm="1">
        <f t="array" ref="BC35">IFERROR(SUMPRODUCT((TIS.HCV.MS!$A$3:$A$92=DATE(2026,6,$B36))*(TIS.HCV.MS!$F$3:$F$92&gt;0)*TIS.HCV.MS!$C$3:$C$92*TIS.HCV.MS!$F$3:$F$92)/SUMPRODUCT((TIS.HCV.MS!$A$3:$A$92=DATE(2026,6,$B36))*(TIS.HCV.MS!$F$3:$F$92&gt;0)*TIS.HCV.MS!$C$3:$C$92),0)</f>
        <v>0</v>
      </c>
      <c r="BD35" s="2111" cm="1">
        <f t="array" ref="BD35">IFERROR(SUMPRODUCT((TIS.HCV.MS!$A$3:$A$92=DATE(2026,6,$B36))*(TIS.HCV.MS!$E$3:$E$92&gt;0)*TIS.HCV.MS!$C$3:$C$92*TIS.HCV.MS!$E$3:$E$92)/SUMPRODUCT((TIS.HCV.MS!$A$3:$A$92=DATE(2026,6,$B36))*(TIS.HCV.MS!$E$3:$E$92&gt;0)*TIS.HCV.MS!$C$3:$C$92),0)</f>
        <v>0</v>
      </c>
      <c r="BF35" s="987"/>
      <c r="BG35" s="987"/>
      <c r="BH35" s="987"/>
      <c r="BI35" s="987"/>
      <c r="BJ35" s="987"/>
      <c r="BK35" s="310"/>
      <c r="BL35" s="310"/>
      <c r="BM35" s="310"/>
      <c r="BN35" s="310">
        <v>2</v>
      </c>
      <c r="BO35" s="310"/>
      <c r="BP35" s="1041">
        <f>'June TCM'!LO33</f>
        <v>7.2</v>
      </c>
      <c r="BQ35" s="1042"/>
      <c r="BR35" s="1"/>
      <c r="BS35" s="1032">
        <f t="shared" si="9"/>
        <v>81238.743847770005</v>
      </c>
      <c r="BT35" s="1"/>
      <c r="BU35" s="1"/>
      <c r="BV35" s="1"/>
      <c r="BW35" s="1"/>
      <c r="BX35" s="1"/>
      <c r="BY35" s="1"/>
      <c r="BZ35" s="1"/>
      <c r="CA35" s="1"/>
      <c r="CB35" s="1"/>
      <c r="CC35" s="1"/>
      <c r="CD35" s="1"/>
      <c r="CE35" s="1"/>
      <c r="CF35" s="1"/>
      <c r="CG35" s="1"/>
      <c r="CH35" s="1"/>
      <c r="CI35" s="1"/>
      <c r="CJ35" s="1"/>
      <c r="CK35" s="1"/>
      <c r="CM35" s="1033">
        <v>24</v>
      </c>
      <c r="CN35" s="1">
        <f t="shared" si="10"/>
        <v>3660.9400000000005</v>
      </c>
      <c r="CO35" s="1050">
        <v>2606247027</v>
      </c>
      <c r="CP35" s="1048"/>
      <c r="CQ35" s="412">
        <v>24</v>
      </c>
      <c r="CR35" s="1">
        <f t="shared" si="11"/>
        <v>0</v>
      </c>
    </row>
    <row r="36" spans="2:96" ht="15" thickBot="1">
      <c r="B36" s="989">
        <v>25</v>
      </c>
      <c r="C36" s="5">
        <f t="shared" si="1"/>
        <v>32323</v>
      </c>
      <c r="D36" s="488">
        <f t="shared" si="2"/>
        <v>3310</v>
      </c>
      <c r="E36" s="1051">
        <f t="shared" si="3"/>
        <v>9.7652567975830813</v>
      </c>
      <c r="F36" s="363"/>
      <c r="G36" s="64"/>
      <c r="H36" s="1034"/>
      <c r="I36" s="1034"/>
      <c r="N36" s="993"/>
      <c r="O36" s="26">
        <v>32323</v>
      </c>
      <c r="P36" s="36"/>
      <c r="Q36" s="277">
        <f t="shared" si="4"/>
        <v>3310</v>
      </c>
      <c r="R36" s="1227">
        <f t="shared" si="5"/>
        <v>3310</v>
      </c>
      <c r="S36" s="53">
        <f t="shared" si="6"/>
        <v>9.7652567975830813</v>
      </c>
      <c r="T36" s="33"/>
      <c r="U36" s="2226">
        <v>2484.98</v>
      </c>
      <c r="V36" s="2225">
        <v>825.0200000000001</v>
      </c>
      <c r="W36" s="2225">
        <v>0</v>
      </c>
      <c r="X36" s="1038"/>
      <c r="Y36" s="1"/>
      <c r="Z36" s="847"/>
      <c r="AA36" s="1025">
        <v>0</v>
      </c>
      <c r="AB36" s="1025">
        <v>0</v>
      </c>
      <c r="AC36" s="1025">
        <v>0</v>
      </c>
      <c r="AD36" s="1025">
        <v>0</v>
      </c>
      <c r="AE36" s="1025">
        <v>0</v>
      </c>
      <c r="AF36" s="1025">
        <v>0</v>
      </c>
      <c r="AG36" s="1025">
        <v>0</v>
      </c>
      <c r="AH36" s="1025"/>
      <c r="AI36" s="1039"/>
      <c r="AJ36" s="1026">
        <v>731.69488613999999</v>
      </c>
      <c r="AK36" s="1026">
        <v>85739.26851266998</v>
      </c>
      <c r="AL36" s="1040">
        <f t="shared" si="0"/>
        <v>86470.963398809981</v>
      </c>
      <c r="AM36" s="1414"/>
      <c r="AN36" s="1414"/>
      <c r="AO36" s="1310"/>
      <c r="AP36" s="1310"/>
      <c r="AQ36" s="1934">
        <f t="shared" si="7"/>
        <v>0</v>
      </c>
      <c r="AR36" s="1729">
        <f t="shared" si="12"/>
        <v>0</v>
      </c>
      <c r="AS36" s="1729">
        <f t="shared" si="12"/>
        <v>-196.6821263265121</v>
      </c>
      <c r="AT36" s="1007"/>
      <c r="AU36" s="1476">
        <v>0</v>
      </c>
      <c r="AV36" s="1414"/>
      <c r="AW36" s="987"/>
      <c r="AX36" s="310">
        <v>0</v>
      </c>
      <c r="AY36" s="998"/>
      <c r="AZ36" s="2" cm="1">
        <f t="array" ref="AZ36">IFERROR(SUMPRODUCT((TIS.HCV.MS!$A$3:$A$92=DATE(2026,6,$B36))*(TIS.HCV.MS!$O$3:$O$92&gt;0)*TIS.HCV.MS!$C$3:$C$92*TIS.HCV.MS!$O$3:$O$92)/SUMPRODUCT((TIS.HCV.MS!$A$3:$A$92=DATE(2026,6,$B36))*(TIS.HCV.MS!$O$3:$O$92&gt;0)*TIS.HCV.MS!$C$3:$C$92),0)</f>
        <v>0</v>
      </c>
      <c r="BA36" s="2110" cm="1">
        <f t="array" ref="BA36">IFERROR(SUMPRODUCT((TIS.HCV.MS!$A$3:$A$92=DATE(2026,6,$B36))*(TIS.HCV.MS!$M$3:$M$92&gt;0)*TIS.HCV.MS!$C$3:$C$92*TIS.HCV.MS!$M$3:$M$92)/SUMPRODUCT((TIS.HCV.MS!$A$3:$A$92=DATE(2026,6,$B36))*(TIS.HCV.MS!$M$3:$M$92&gt;0)*TIS.HCV.MS!$C$3:$C$92),0)</f>
        <v>0</v>
      </c>
      <c r="BB36" s="2110" cm="1">
        <f t="array" ref="BB36">IFERROR(SUMPRODUCT((TIS.HCV.MS!$A$3:$A$92=DATE(2026,6,$B36))*(TIS.HCV.MS!$G$3:$G$92&gt;0)*TIS.HCV.MS!$C$3:$C$92*TIS.HCV.MS!$G$3:$G$92)/SUMPRODUCT((TIS.HCV.MS!$A$3:$A$92=DATE(2026,6,$B36))*(TIS.HCV.MS!$G$3:$G$92&gt;0)*TIS.HCV.MS!$C$3:$C$92),0)</f>
        <v>0</v>
      </c>
      <c r="BC36" s="2110" cm="1">
        <f t="array" ref="BC36">IFERROR(SUMPRODUCT((TIS.HCV.MS!$A$3:$A$92=DATE(2026,6,$B36))*(TIS.HCV.MS!$F$3:$F$92&gt;0)*TIS.HCV.MS!$C$3:$C$92*TIS.HCV.MS!$F$3:$F$92)/SUMPRODUCT((TIS.HCV.MS!$A$3:$A$92=DATE(2026,6,$B36))*(TIS.HCV.MS!$F$3:$F$92&gt;0)*TIS.HCV.MS!$C$3:$C$92),0)</f>
        <v>0</v>
      </c>
      <c r="BD36" s="2111" cm="1">
        <f t="array" ref="BD36">IFERROR(SUMPRODUCT((TIS.HCV.MS!$A$3:$A$92=DATE(2026,6,$B36))*(TIS.HCV.MS!$E$3:$E$92&gt;0)*TIS.HCV.MS!$C$3:$C$92*TIS.HCV.MS!$E$3:$E$92)/SUMPRODUCT((TIS.HCV.MS!$A$3:$A$92=DATE(2026,6,$B36))*(TIS.HCV.MS!$E$3:$E$92&gt;0)*TIS.HCV.MS!$C$3:$C$92),0)</f>
        <v>0</v>
      </c>
      <c r="BF36" s="987"/>
      <c r="BG36" s="987"/>
      <c r="BH36" s="987"/>
      <c r="BI36" s="987"/>
      <c r="BJ36" s="987"/>
      <c r="BK36" s="310"/>
      <c r="BL36" s="310"/>
      <c r="BM36" s="310"/>
      <c r="BN36" s="310"/>
      <c r="BO36" s="310"/>
      <c r="BP36" s="1041">
        <f>'June TCM'!LO34</f>
        <v>7.05</v>
      </c>
      <c r="BQ36" s="1042"/>
      <c r="BR36" s="1"/>
      <c r="BS36" s="1032">
        <f t="shared" si="9"/>
        <v>81238.743847770005</v>
      </c>
      <c r="BT36" s="1"/>
      <c r="BU36" s="1"/>
      <c r="BV36" s="1"/>
      <c r="BW36" s="1"/>
      <c r="BX36" s="1"/>
      <c r="BY36" s="1"/>
      <c r="BZ36" s="1"/>
      <c r="CA36" s="1"/>
      <c r="CB36" s="1"/>
      <c r="CC36" s="1"/>
      <c r="CD36" s="1"/>
      <c r="CE36" s="1"/>
      <c r="CF36" s="1"/>
      <c r="CG36" s="1"/>
      <c r="CH36" s="1"/>
      <c r="CI36" s="1"/>
      <c r="CJ36" s="1"/>
      <c r="CK36" s="1"/>
      <c r="CM36" s="1033">
        <v>25</v>
      </c>
      <c r="CN36" s="1">
        <f t="shared" si="10"/>
        <v>3310</v>
      </c>
      <c r="CO36">
        <v>2606257368</v>
      </c>
      <c r="CQ36" s="412">
        <v>25</v>
      </c>
      <c r="CR36" s="1">
        <f t="shared" si="11"/>
        <v>0</v>
      </c>
    </row>
    <row r="37" spans="2:96" ht="15" thickBot="1">
      <c r="B37" s="989">
        <v>26</v>
      </c>
      <c r="C37" s="5">
        <f t="shared" si="1"/>
        <v>32113</v>
      </c>
      <c r="D37" s="488">
        <f t="shared" si="2"/>
        <v>2738.04</v>
      </c>
      <c r="E37" s="1051">
        <f t="shared" si="3"/>
        <v>11.728462695943083</v>
      </c>
      <c r="F37" s="363"/>
      <c r="G37" s="64"/>
      <c r="H37" s="1034"/>
      <c r="I37" s="1034"/>
      <c r="N37" s="993"/>
      <c r="O37" s="26">
        <v>32113</v>
      </c>
      <c r="P37" s="36"/>
      <c r="Q37" s="277">
        <f t="shared" si="4"/>
        <v>2738.04</v>
      </c>
      <c r="R37" s="1227">
        <f t="shared" si="5"/>
        <v>2738.04</v>
      </c>
      <c r="S37" s="53">
        <f t="shared" si="6"/>
        <v>11.728462695943083</v>
      </c>
      <c r="T37" s="33"/>
      <c r="U37" s="2226">
        <v>2468.7599999999998</v>
      </c>
      <c r="V37" s="2225">
        <v>269.28000000000003</v>
      </c>
      <c r="W37" s="2225">
        <v>0</v>
      </c>
      <c r="X37" s="1038"/>
      <c r="Y37" s="1"/>
      <c r="Z37" s="847"/>
      <c r="AA37" s="1025">
        <v>0</v>
      </c>
      <c r="AB37" s="1025">
        <v>0</v>
      </c>
      <c r="AC37" s="1025">
        <v>0</v>
      </c>
      <c r="AD37" s="1025">
        <v>0</v>
      </c>
      <c r="AE37" s="1025">
        <v>0</v>
      </c>
      <c r="AF37" s="1025">
        <v>0</v>
      </c>
      <c r="AG37" s="1025">
        <v>0</v>
      </c>
      <c r="AH37" s="1025"/>
      <c r="AI37" s="1039"/>
      <c r="AJ37" s="1026">
        <v>731.69488613999999</v>
      </c>
      <c r="AK37" s="1026">
        <v>89181.588512669972</v>
      </c>
      <c r="AL37" s="1040">
        <f t="shared" si="0"/>
        <v>89913.283398809974</v>
      </c>
      <c r="AM37" s="1414"/>
      <c r="AN37" s="1414"/>
      <c r="AO37" s="1310"/>
      <c r="AP37" s="1310"/>
      <c r="AQ37" s="1934">
        <f t="shared" si="7"/>
        <v>0</v>
      </c>
      <c r="AR37" s="1729">
        <f t="shared" si="12"/>
        <v>0</v>
      </c>
      <c r="AS37" s="1729">
        <f t="shared" si="12"/>
        <v>-900.96212632651213</v>
      </c>
      <c r="AT37" s="1007"/>
      <c r="AU37" s="1476">
        <v>704.28</v>
      </c>
      <c r="AV37" s="1414"/>
      <c r="AW37" s="987"/>
      <c r="AX37" s="310">
        <v>0</v>
      </c>
      <c r="AY37" s="998"/>
      <c r="AZ37" s="2" cm="1">
        <f t="array" ref="AZ37">IFERROR(SUMPRODUCT((TIS.HCV.MS!$A$3:$A$92=DATE(2026,6,$B37))*(TIS.HCV.MS!$O$3:$O$92&gt;0)*TIS.HCV.MS!$C$3:$C$92*TIS.HCV.MS!$O$3:$O$92)/SUMPRODUCT((TIS.HCV.MS!$A$3:$A$92=DATE(2026,6,$B37))*(TIS.HCV.MS!$O$3:$O$92&gt;0)*TIS.HCV.MS!$C$3:$C$92),0)</f>
        <v>0</v>
      </c>
      <c r="BA37" s="2110" cm="1">
        <f t="array" ref="BA37">IFERROR(SUMPRODUCT((TIS.HCV.MS!$A$3:$A$92=DATE(2026,6,$B37))*(TIS.HCV.MS!$M$3:$M$92&gt;0)*TIS.HCV.MS!$C$3:$C$92*TIS.HCV.MS!$M$3:$M$92)/SUMPRODUCT((TIS.HCV.MS!$A$3:$A$92=DATE(2026,6,$B37))*(TIS.HCV.MS!$M$3:$M$92&gt;0)*TIS.HCV.MS!$C$3:$C$92),0)</f>
        <v>0</v>
      </c>
      <c r="BB37" s="2110" cm="1">
        <f t="array" ref="BB37">IFERROR(SUMPRODUCT((TIS.HCV.MS!$A$3:$A$92=DATE(2026,6,$B37))*(TIS.HCV.MS!$G$3:$G$92&gt;0)*TIS.HCV.MS!$C$3:$C$92*TIS.HCV.MS!$G$3:$G$92)/SUMPRODUCT((TIS.HCV.MS!$A$3:$A$92=DATE(2026,6,$B37))*(TIS.HCV.MS!$G$3:$G$92&gt;0)*TIS.HCV.MS!$C$3:$C$92),0)</f>
        <v>0</v>
      </c>
      <c r="BC37" s="2110" cm="1">
        <f t="array" ref="BC37">IFERROR(SUMPRODUCT((TIS.HCV.MS!$A$3:$A$92=DATE(2026,6,$B37))*(TIS.HCV.MS!$F$3:$F$92&gt;0)*TIS.HCV.MS!$C$3:$C$92*TIS.HCV.MS!$F$3:$F$92)/SUMPRODUCT((TIS.HCV.MS!$A$3:$A$92=DATE(2026,6,$B37))*(TIS.HCV.MS!$F$3:$F$92&gt;0)*TIS.HCV.MS!$C$3:$C$92),0)</f>
        <v>0</v>
      </c>
      <c r="BD37" s="2111" cm="1">
        <f t="array" ref="BD37">IFERROR(SUMPRODUCT((TIS.HCV.MS!$A$3:$A$92=DATE(2026,6,$B37))*(TIS.HCV.MS!$E$3:$E$92&gt;0)*TIS.HCV.MS!$C$3:$C$92*TIS.HCV.MS!$E$3:$E$92)/SUMPRODUCT((TIS.HCV.MS!$A$3:$A$92=DATE(2026,6,$B37))*(TIS.HCV.MS!$E$3:$E$92&gt;0)*TIS.HCV.MS!$C$3:$C$92),0)</f>
        <v>0</v>
      </c>
      <c r="BF37" s="987"/>
      <c r="BG37" s="987"/>
      <c r="BH37" s="987"/>
      <c r="BI37" s="987"/>
      <c r="BJ37" s="987"/>
      <c r="BK37" s="310">
        <v>14946.619999999999</v>
      </c>
      <c r="BL37" s="310">
        <v>2</v>
      </c>
      <c r="BM37" s="310"/>
      <c r="BN37" s="310"/>
      <c r="BO37" s="310"/>
      <c r="BP37" s="1041">
        <f>'June TCM'!LO35</f>
        <v>6.5</v>
      </c>
      <c r="BQ37" s="1052"/>
      <c r="BR37" s="857"/>
      <c r="BS37" s="1032">
        <f t="shared" si="9"/>
        <v>66292.12384777001</v>
      </c>
      <c r="BT37" s="857"/>
      <c r="BU37" s="857"/>
      <c r="BV37" s="857"/>
      <c r="BW37" s="857"/>
      <c r="BX37" s="857"/>
      <c r="BY37" s="857"/>
      <c r="BZ37" s="857"/>
      <c r="CA37" s="857"/>
      <c r="CB37" s="857"/>
      <c r="CC37" s="857"/>
      <c r="CD37" s="857"/>
      <c r="CE37" s="857"/>
      <c r="CF37" s="857"/>
      <c r="CG37" s="857"/>
      <c r="CH37" s="857"/>
      <c r="CI37" s="857"/>
      <c r="CJ37" s="857"/>
      <c r="CK37" s="857"/>
      <c r="CM37" s="1033">
        <v>26</v>
      </c>
      <c r="CN37" s="1">
        <f t="shared" si="10"/>
        <v>2738.04</v>
      </c>
      <c r="CO37" s="1048">
        <v>2606267719</v>
      </c>
      <c r="CP37" s="1048"/>
      <c r="CQ37" s="412">
        <v>26</v>
      </c>
      <c r="CR37" s="1">
        <f t="shared" si="11"/>
        <v>0</v>
      </c>
    </row>
    <row r="38" spans="2:96" ht="15" thickBot="1">
      <c r="B38" s="989">
        <v>27</v>
      </c>
      <c r="C38" s="5">
        <f t="shared" si="1"/>
        <v>30822</v>
      </c>
      <c r="D38" s="488">
        <f t="shared" si="2"/>
        <v>2710.59</v>
      </c>
      <c r="E38" s="1051">
        <f t="shared" si="3"/>
        <v>11.37095613870043</v>
      </c>
      <c r="F38" s="363"/>
      <c r="G38" s="64"/>
      <c r="H38" s="1034"/>
      <c r="I38" s="1034"/>
      <c r="N38" s="993"/>
      <c r="O38" s="26">
        <v>30822</v>
      </c>
      <c r="P38" s="36"/>
      <c r="Q38" s="277">
        <f t="shared" si="4"/>
        <v>2710.59</v>
      </c>
      <c r="R38" s="1227">
        <f t="shared" si="5"/>
        <v>2710.59</v>
      </c>
      <c r="S38" s="53">
        <f t="shared" si="6"/>
        <v>11.37095613870043</v>
      </c>
      <c r="T38" s="33"/>
      <c r="U38" s="2226">
        <v>1822.83</v>
      </c>
      <c r="V38" s="2225">
        <v>0</v>
      </c>
      <c r="W38" s="2225">
        <v>887.76</v>
      </c>
      <c r="X38" s="1038"/>
      <c r="Y38" s="1"/>
      <c r="Z38" s="847"/>
      <c r="AA38" s="1025">
        <v>0</v>
      </c>
      <c r="AB38" s="1025">
        <v>0</v>
      </c>
      <c r="AC38" s="1025">
        <v>0</v>
      </c>
      <c r="AD38" s="1025">
        <v>0</v>
      </c>
      <c r="AE38" s="1025">
        <v>0</v>
      </c>
      <c r="AF38" s="1025">
        <v>0</v>
      </c>
      <c r="AG38" s="1025">
        <v>0</v>
      </c>
      <c r="AH38" s="1025"/>
      <c r="AI38" s="1039"/>
      <c r="AJ38" s="1026">
        <v>731.69488613999999</v>
      </c>
      <c r="AK38" s="1026">
        <v>91892.178512669969</v>
      </c>
      <c r="AL38" s="1040">
        <f t="shared" si="0"/>
        <v>92623.87339880997</v>
      </c>
      <c r="AM38" s="1414"/>
      <c r="AN38" s="1414"/>
      <c r="AO38" s="1310"/>
      <c r="AP38" s="1310"/>
      <c r="AQ38" s="1934">
        <f t="shared" si="7"/>
        <v>0</v>
      </c>
      <c r="AR38" s="1729">
        <f t="shared" si="12"/>
        <v>0</v>
      </c>
      <c r="AS38" s="1729">
        <f t="shared" si="12"/>
        <v>-900.96212632651213</v>
      </c>
      <c r="AT38" s="1007"/>
      <c r="AU38" s="1476">
        <v>0</v>
      </c>
      <c r="AV38" s="1414"/>
      <c r="AW38" s="987"/>
      <c r="AX38" s="310">
        <v>0</v>
      </c>
      <c r="AY38" s="998"/>
      <c r="AZ38" s="2" cm="1">
        <f t="array" ref="AZ38">IFERROR(SUMPRODUCT((TIS.HCV.MS!$A$3:$A$92=DATE(2026,6,$B38))*(TIS.HCV.MS!$O$3:$O$92&gt;0)*TIS.HCV.MS!$C$3:$C$92*TIS.HCV.MS!$O$3:$O$92)/SUMPRODUCT((TIS.HCV.MS!$A$3:$A$92=DATE(2026,6,$B38))*(TIS.HCV.MS!$O$3:$O$92&gt;0)*TIS.HCV.MS!$C$3:$C$92),0)</f>
        <v>0</v>
      </c>
      <c r="BA38" s="2110" cm="1">
        <f t="array" ref="BA38">IFERROR(SUMPRODUCT((TIS.HCV.MS!$A$3:$A$92=DATE(2026,6,$B38))*(TIS.HCV.MS!$M$3:$M$92&gt;0)*TIS.HCV.MS!$C$3:$C$92*TIS.HCV.MS!$M$3:$M$92)/SUMPRODUCT((TIS.HCV.MS!$A$3:$A$92=DATE(2026,6,$B38))*(TIS.HCV.MS!$M$3:$M$92&gt;0)*TIS.HCV.MS!$C$3:$C$92),0)</f>
        <v>0</v>
      </c>
      <c r="BB38" s="2110" cm="1">
        <f t="array" ref="BB38">IFERROR(SUMPRODUCT((TIS.HCV.MS!$A$3:$A$92=DATE(2026,6,$B38))*(TIS.HCV.MS!$G$3:$G$92&gt;0)*TIS.HCV.MS!$C$3:$C$92*TIS.HCV.MS!$G$3:$G$92)/SUMPRODUCT((TIS.HCV.MS!$A$3:$A$92=DATE(2026,6,$B38))*(TIS.HCV.MS!$G$3:$G$92&gt;0)*TIS.HCV.MS!$C$3:$C$92),0)</f>
        <v>0</v>
      </c>
      <c r="BC38" s="2110" cm="1">
        <f t="array" ref="BC38">IFERROR(SUMPRODUCT((TIS.HCV.MS!$A$3:$A$92=DATE(2026,6,$B38))*(TIS.HCV.MS!$F$3:$F$92&gt;0)*TIS.HCV.MS!$C$3:$C$92*TIS.HCV.MS!$F$3:$F$92)/SUMPRODUCT((TIS.HCV.MS!$A$3:$A$92=DATE(2026,6,$B38))*(TIS.HCV.MS!$F$3:$F$92&gt;0)*TIS.HCV.MS!$C$3:$C$92),0)</f>
        <v>0</v>
      </c>
      <c r="BD38" s="2111" cm="1">
        <f t="array" ref="BD38">IFERROR(SUMPRODUCT((TIS.HCV.MS!$A$3:$A$92=DATE(2026,6,$B38))*(TIS.HCV.MS!$E$3:$E$92&gt;0)*TIS.HCV.MS!$C$3:$C$92*TIS.HCV.MS!$E$3:$E$92)/SUMPRODUCT((TIS.HCV.MS!$A$3:$A$92=DATE(2026,6,$B38))*(TIS.HCV.MS!$E$3:$E$92&gt;0)*TIS.HCV.MS!$C$3:$C$92),0)</f>
        <v>0</v>
      </c>
      <c r="BF38" s="987"/>
      <c r="BG38" s="987"/>
      <c r="BH38" s="987"/>
      <c r="BI38" s="987"/>
      <c r="BJ38" s="987"/>
      <c r="BK38" s="310"/>
      <c r="BL38" s="310"/>
      <c r="BM38" s="310"/>
      <c r="BN38" s="310"/>
      <c r="BO38" s="310"/>
      <c r="BP38" s="1041">
        <f>'June TCM'!LO36</f>
        <v>5.7</v>
      </c>
      <c r="BQ38" s="1053"/>
      <c r="BR38" s="857"/>
      <c r="BS38" s="1032">
        <f t="shared" si="9"/>
        <v>66292.12384777001</v>
      </c>
      <c r="BT38" s="857"/>
      <c r="BU38" s="857"/>
      <c r="BV38" s="857"/>
      <c r="BW38" s="857"/>
      <c r="BX38" s="857"/>
      <c r="BY38" s="857"/>
      <c r="BZ38" s="857"/>
      <c r="CA38" s="857"/>
      <c r="CB38" s="857"/>
      <c r="CC38" s="857"/>
      <c r="CD38" s="857"/>
      <c r="CE38" s="857"/>
      <c r="CF38" s="857"/>
      <c r="CG38" s="857"/>
      <c r="CH38" s="857"/>
      <c r="CI38" s="857"/>
      <c r="CJ38" s="857"/>
      <c r="CK38" s="857"/>
      <c r="CM38" s="1033">
        <v>27</v>
      </c>
      <c r="CN38" s="1">
        <f t="shared" si="10"/>
        <v>2710.59</v>
      </c>
      <c r="CO38" s="1048">
        <v>2606278057</v>
      </c>
      <c r="CP38" s="1048"/>
      <c r="CQ38" s="412">
        <v>27</v>
      </c>
      <c r="CR38" s="1">
        <f t="shared" si="11"/>
        <v>0</v>
      </c>
    </row>
    <row r="39" spans="2:96" ht="15" thickBot="1">
      <c r="B39" s="989">
        <v>28</v>
      </c>
      <c r="C39" s="5">
        <f t="shared" si="1"/>
        <v>33575</v>
      </c>
      <c r="D39" s="488">
        <f t="shared" si="2"/>
        <v>2466.6800000000003</v>
      </c>
      <c r="E39" s="1051">
        <f t="shared" si="3"/>
        <v>13.611412911281558</v>
      </c>
      <c r="F39" s="363"/>
      <c r="G39" s="64"/>
      <c r="H39" s="1034"/>
      <c r="I39" s="1034"/>
      <c r="N39" s="993"/>
      <c r="O39" s="26">
        <v>33575</v>
      </c>
      <c r="P39" s="36"/>
      <c r="Q39" s="277">
        <f t="shared" si="4"/>
        <v>2466.6800000000003</v>
      </c>
      <c r="R39" s="1227">
        <f t="shared" si="5"/>
        <v>2466.6800000000003</v>
      </c>
      <c r="S39" s="53">
        <f t="shared" si="6"/>
        <v>13.611412911281558</v>
      </c>
      <c r="T39" s="33"/>
      <c r="U39" s="2226">
        <v>979.81999999999994</v>
      </c>
      <c r="V39" s="2225">
        <v>0</v>
      </c>
      <c r="W39" s="2225">
        <v>1486.8600000000001</v>
      </c>
      <c r="X39" s="1038"/>
      <c r="Y39" s="1"/>
      <c r="Z39" s="847"/>
      <c r="AA39" s="1025">
        <v>0</v>
      </c>
      <c r="AB39" s="1025">
        <v>0</v>
      </c>
      <c r="AC39" s="1025">
        <v>0</v>
      </c>
      <c r="AD39" s="1025">
        <v>0</v>
      </c>
      <c r="AE39" s="1025">
        <v>0</v>
      </c>
      <c r="AF39" s="1025">
        <v>0</v>
      </c>
      <c r="AG39" s="1025">
        <v>0</v>
      </c>
      <c r="AH39" s="1025"/>
      <c r="AI39" s="1039"/>
      <c r="AJ39" s="1026">
        <v>731.69488613999999</v>
      </c>
      <c r="AK39" s="1026">
        <v>94358.858512669976</v>
      </c>
      <c r="AL39" s="1040">
        <f t="shared" si="0"/>
        <v>95090.553398809978</v>
      </c>
      <c r="AM39" s="1414"/>
      <c r="AN39" s="1414"/>
      <c r="AO39" s="1310"/>
      <c r="AP39" s="1310"/>
      <c r="AQ39" s="1934">
        <f t="shared" si="7"/>
        <v>0</v>
      </c>
      <c r="AR39" s="1729">
        <f t="shared" si="12"/>
        <v>0</v>
      </c>
      <c r="AS39" s="1729">
        <f t="shared" si="12"/>
        <v>-900.96212632651213</v>
      </c>
      <c r="AT39" s="1007"/>
      <c r="AU39" s="1476">
        <v>0</v>
      </c>
      <c r="AV39" s="1414"/>
      <c r="AW39" s="987"/>
      <c r="AX39" s="310">
        <v>0</v>
      </c>
      <c r="AY39" s="998"/>
      <c r="AZ39" s="2" cm="1">
        <f t="array" ref="AZ39">IFERROR(SUMPRODUCT((TIS.HCV.MS!$A$3:$A$92=DATE(2026,6,$B39))*(TIS.HCV.MS!$O$3:$O$92&gt;0)*TIS.HCV.MS!$C$3:$C$92*TIS.HCV.MS!$O$3:$O$92)/SUMPRODUCT((TIS.HCV.MS!$A$3:$A$92=DATE(2026,6,$B39))*(TIS.HCV.MS!$O$3:$O$92&gt;0)*TIS.HCV.MS!$C$3:$C$92),0)</f>
        <v>0</v>
      </c>
      <c r="BA39" s="2110" cm="1">
        <f t="array" ref="BA39">IFERROR(SUMPRODUCT((TIS.HCV.MS!$A$3:$A$92=DATE(2026,6,$B39))*(TIS.HCV.MS!$M$3:$M$92&gt;0)*TIS.HCV.MS!$C$3:$C$92*TIS.HCV.MS!$M$3:$M$92)/SUMPRODUCT((TIS.HCV.MS!$A$3:$A$92=DATE(2026,6,$B39))*(TIS.HCV.MS!$M$3:$M$92&gt;0)*TIS.HCV.MS!$C$3:$C$92),0)</f>
        <v>0</v>
      </c>
      <c r="BB39" s="2110" cm="1">
        <f t="array" ref="BB39">IFERROR(SUMPRODUCT((TIS.HCV.MS!$A$3:$A$92=DATE(2026,6,$B39))*(TIS.HCV.MS!$G$3:$G$92&gt;0)*TIS.HCV.MS!$C$3:$C$92*TIS.HCV.MS!$G$3:$G$92)/SUMPRODUCT((TIS.HCV.MS!$A$3:$A$92=DATE(2026,6,$B39))*(TIS.HCV.MS!$G$3:$G$92&gt;0)*TIS.HCV.MS!$C$3:$C$92),0)</f>
        <v>0</v>
      </c>
      <c r="BC39" s="2110" cm="1">
        <f t="array" ref="BC39">IFERROR(SUMPRODUCT((TIS.HCV.MS!$A$3:$A$92=DATE(2026,6,$B39))*(TIS.HCV.MS!$F$3:$F$92&gt;0)*TIS.HCV.MS!$C$3:$C$92*TIS.HCV.MS!$F$3:$F$92)/SUMPRODUCT((TIS.HCV.MS!$A$3:$A$92=DATE(2026,6,$B39))*(TIS.HCV.MS!$F$3:$F$92&gt;0)*TIS.HCV.MS!$C$3:$C$92),0)</f>
        <v>0</v>
      </c>
      <c r="BD39" s="2111" cm="1">
        <f t="array" ref="BD39">IFERROR(SUMPRODUCT((TIS.HCV.MS!$A$3:$A$92=DATE(2026,6,$B39))*(TIS.HCV.MS!$E$3:$E$92&gt;0)*TIS.HCV.MS!$C$3:$C$92*TIS.HCV.MS!$E$3:$E$92)/SUMPRODUCT((TIS.HCV.MS!$A$3:$A$92=DATE(2026,6,$B39))*(TIS.HCV.MS!$E$3:$E$92&gt;0)*TIS.HCV.MS!$C$3:$C$92),0)</f>
        <v>0</v>
      </c>
      <c r="BF39" s="987"/>
      <c r="BG39" s="987"/>
      <c r="BH39" s="987"/>
      <c r="BI39" s="987"/>
      <c r="BJ39" s="987"/>
      <c r="BK39" s="310">
        <v>15289.99</v>
      </c>
      <c r="BL39" s="310">
        <v>3</v>
      </c>
      <c r="BM39" s="310"/>
      <c r="BN39" s="310"/>
      <c r="BO39" s="310"/>
      <c r="BP39" s="1041">
        <f>'June TCM'!LO37</f>
        <v>5.04</v>
      </c>
      <c r="BQ39" s="1042"/>
      <c r="BR39" s="1"/>
      <c r="BS39" s="1032">
        <f t="shared" si="9"/>
        <v>51002.133847770012</v>
      </c>
      <c r="BT39" s="1"/>
      <c r="BU39" s="1"/>
      <c r="BV39" s="1"/>
      <c r="BW39" s="1"/>
      <c r="BX39" s="1"/>
      <c r="BY39" s="1"/>
      <c r="BZ39" s="1"/>
      <c r="CA39" s="1"/>
      <c r="CB39" s="1"/>
      <c r="CC39" s="1"/>
      <c r="CD39" s="1"/>
      <c r="CE39" s="1"/>
      <c r="CF39" s="1"/>
      <c r="CG39" s="1"/>
      <c r="CH39" s="1"/>
      <c r="CI39" s="1"/>
      <c r="CJ39" s="1"/>
      <c r="CK39" s="1"/>
      <c r="CM39" s="1033">
        <v>28</v>
      </c>
      <c r="CN39" s="1">
        <f t="shared" si="10"/>
        <v>2466.6800000000003</v>
      </c>
      <c r="CO39" s="1045">
        <v>2606288333</v>
      </c>
      <c r="CQ39" s="412">
        <v>28</v>
      </c>
      <c r="CR39" s="1">
        <f t="shared" si="11"/>
        <v>0</v>
      </c>
    </row>
    <row r="40" spans="2:96" ht="15" thickBot="1">
      <c r="B40" s="989">
        <v>29</v>
      </c>
      <c r="C40" s="5">
        <f t="shared" si="1"/>
        <v>21431</v>
      </c>
      <c r="D40" s="488">
        <f t="shared" si="2"/>
        <v>1859.7599999999998</v>
      </c>
      <c r="E40" s="1051">
        <f t="shared" si="3"/>
        <v>11.523529917838863</v>
      </c>
      <c r="F40" s="363"/>
      <c r="G40" s="64"/>
      <c r="H40" s="1034"/>
      <c r="I40" s="1034"/>
      <c r="N40" s="993"/>
      <c r="O40" s="26">
        <v>21431</v>
      </c>
      <c r="P40" s="36"/>
      <c r="Q40" s="277">
        <f t="shared" si="4"/>
        <v>1859.7599999999998</v>
      </c>
      <c r="R40" s="1227">
        <f t="shared" si="5"/>
        <v>1859.7599999999998</v>
      </c>
      <c r="S40" s="53">
        <f t="shared" si="6"/>
        <v>11.523529917838863</v>
      </c>
      <c r="T40" s="33"/>
      <c r="U40" s="2226">
        <v>1170.32</v>
      </c>
      <c r="V40" s="2227">
        <v>535.66</v>
      </c>
      <c r="W40" s="2225">
        <v>153.78</v>
      </c>
      <c r="X40" s="1038"/>
      <c r="Y40" s="1"/>
      <c r="Z40" s="847"/>
      <c r="AA40" s="1025">
        <v>0</v>
      </c>
      <c r="AB40" s="1025">
        <v>0</v>
      </c>
      <c r="AC40" s="1025">
        <v>0</v>
      </c>
      <c r="AD40" s="1025">
        <v>0</v>
      </c>
      <c r="AE40" s="1025">
        <v>0</v>
      </c>
      <c r="AF40" s="1025">
        <v>0</v>
      </c>
      <c r="AG40" s="1025">
        <v>0</v>
      </c>
      <c r="AH40" s="1025"/>
      <c r="AI40" s="1039"/>
      <c r="AJ40" s="1026">
        <v>731.69488613999999</v>
      </c>
      <c r="AK40" s="1026">
        <v>96218.618512669971</v>
      </c>
      <c r="AL40" s="1040">
        <f t="shared" si="0"/>
        <v>96950.313398809973</v>
      </c>
      <c r="AM40" s="1414"/>
      <c r="AN40" s="1414"/>
      <c r="AO40" s="1310"/>
      <c r="AP40" s="1310"/>
      <c r="AQ40" s="1934">
        <f t="shared" si="7"/>
        <v>0</v>
      </c>
      <c r="AR40" s="1729">
        <f t="shared" si="12"/>
        <v>0</v>
      </c>
      <c r="AS40" s="1729">
        <f t="shared" si="12"/>
        <v>-900.96212632651213</v>
      </c>
      <c r="AT40" s="1007"/>
      <c r="AU40" s="1476">
        <v>0</v>
      </c>
      <c r="AV40" s="1414"/>
      <c r="AW40" s="987"/>
      <c r="AX40" s="310">
        <v>0</v>
      </c>
      <c r="AY40" s="998"/>
      <c r="AZ40" s="2" cm="1">
        <f t="array" ref="AZ40">IFERROR(SUMPRODUCT((TIS.HCV.MS!$A$3:$A$92=DATE(2026,6,$B40))*(TIS.HCV.MS!$O$3:$O$92&gt;0)*TIS.HCV.MS!$C$3:$C$92*TIS.HCV.MS!$O$3:$O$92)/SUMPRODUCT((TIS.HCV.MS!$A$3:$A$92=DATE(2026,6,$B40))*(TIS.HCV.MS!$O$3:$O$92&gt;0)*TIS.HCV.MS!$C$3:$C$92),0)</f>
        <v>0</v>
      </c>
      <c r="BA40" s="2110" cm="1">
        <f t="array" ref="BA40">IFERROR(SUMPRODUCT((TIS.HCV.MS!$A$3:$A$92=DATE(2026,6,$B40))*(TIS.HCV.MS!$M$3:$M$92&gt;0)*TIS.HCV.MS!$C$3:$C$92*TIS.HCV.MS!$M$3:$M$92)/SUMPRODUCT((TIS.HCV.MS!$A$3:$A$92=DATE(2026,6,$B40))*(TIS.HCV.MS!$M$3:$M$92&gt;0)*TIS.HCV.MS!$C$3:$C$92),0)</f>
        <v>0</v>
      </c>
      <c r="BB40" s="2110" cm="1">
        <f t="array" ref="BB40">IFERROR(SUMPRODUCT((TIS.HCV.MS!$A$3:$A$92=DATE(2026,6,$B40))*(TIS.HCV.MS!$G$3:$G$92&gt;0)*TIS.HCV.MS!$C$3:$C$92*TIS.HCV.MS!$G$3:$G$92)/SUMPRODUCT((TIS.HCV.MS!$A$3:$A$92=DATE(2026,6,$B40))*(TIS.HCV.MS!$G$3:$G$92&gt;0)*TIS.HCV.MS!$C$3:$C$92),0)</f>
        <v>0</v>
      </c>
      <c r="BC40" s="2110" cm="1">
        <f t="array" ref="BC40">IFERROR(SUMPRODUCT((TIS.HCV.MS!$A$3:$A$92=DATE(2026,6,$B40))*(TIS.HCV.MS!$F$3:$F$92&gt;0)*TIS.HCV.MS!$C$3:$C$92*TIS.HCV.MS!$F$3:$F$92)/SUMPRODUCT((TIS.HCV.MS!$A$3:$A$92=DATE(2026,6,$B40))*(TIS.HCV.MS!$F$3:$F$92&gt;0)*TIS.HCV.MS!$C$3:$C$92),0)</f>
        <v>0</v>
      </c>
      <c r="BD40" s="2111" cm="1">
        <f t="array" ref="BD40">IFERROR(SUMPRODUCT((TIS.HCV.MS!$A$3:$A$92=DATE(2026,6,$B40))*(TIS.HCV.MS!$E$3:$E$92&gt;0)*TIS.HCV.MS!$C$3:$C$92*TIS.HCV.MS!$E$3:$E$92)/SUMPRODUCT((TIS.HCV.MS!$A$3:$A$92=DATE(2026,6,$B40))*(TIS.HCV.MS!$E$3:$E$92&gt;0)*TIS.HCV.MS!$C$3:$C$92),0)</f>
        <v>0</v>
      </c>
      <c r="BF40" s="987"/>
      <c r="BG40" s="987"/>
      <c r="BH40" s="987"/>
      <c r="BI40" s="987"/>
      <c r="BJ40" s="987"/>
      <c r="BK40" s="310"/>
      <c r="BL40" s="310"/>
      <c r="BM40" s="310"/>
      <c r="BN40" s="310"/>
      <c r="BO40" s="310">
        <v>3</v>
      </c>
      <c r="BP40" s="1041">
        <f>'June TCM'!LO38</f>
        <v>5.0199999999999996</v>
      </c>
      <c r="BQ40" s="1042"/>
      <c r="BR40" s="1"/>
      <c r="BS40" s="1032">
        <f t="shared" si="9"/>
        <v>51002.133847770012</v>
      </c>
      <c r="BT40" s="1"/>
      <c r="BU40" s="1"/>
      <c r="BV40" s="1"/>
      <c r="BW40" s="1"/>
      <c r="BX40" s="1"/>
      <c r="BY40" s="1"/>
      <c r="BZ40" s="1"/>
      <c r="CA40" s="1"/>
      <c r="CB40" s="1"/>
      <c r="CC40" s="1"/>
      <c r="CD40" s="1"/>
      <c r="CE40" s="1"/>
      <c r="CF40" s="1"/>
      <c r="CG40" s="1"/>
      <c r="CH40" s="1"/>
      <c r="CI40" s="1"/>
      <c r="CJ40" s="1"/>
      <c r="CK40" s="1"/>
      <c r="CM40" s="1033">
        <v>29</v>
      </c>
      <c r="CN40" s="1">
        <f t="shared" si="10"/>
        <v>1859.7599999999998</v>
      </c>
      <c r="CO40">
        <v>2606298633</v>
      </c>
      <c r="CQ40" s="412">
        <v>29</v>
      </c>
      <c r="CR40" s="1">
        <f t="shared" si="11"/>
        <v>0</v>
      </c>
    </row>
    <row r="41" spans="2:96" ht="15" thickBot="1">
      <c r="B41" s="990">
        <v>30</v>
      </c>
      <c r="C41" s="5">
        <f t="shared" si="1"/>
        <v>27611</v>
      </c>
      <c r="D41" s="488">
        <f t="shared" si="2"/>
        <v>901.78000000000009</v>
      </c>
      <c r="E41" s="1051">
        <f t="shared" si="3"/>
        <v>30.618332631018649</v>
      </c>
      <c r="F41" s="845"/>
      <c r="G41" s="64"/>
      <c r="H41" s="1034">
        <v>13</v>
      </c>
      <c r="I41" s="1034">
        <v>5</v>
      </c>
      <c r="N41" s="1054"/>
      <c r="O41" s="26">
        <v>27611</v>
      </c>
      <c r="P41" s="36"/>
      <c r="Q41" s="277">
        <f t="shared" si="4"/>
        <v>901.78000000000009</v>
      </c>
      <c r="R41" s="1227">
        <f t="shared" si="5"/>
        <v>901.78000000000009</v>
      </c>
      <c r="S41" s="53">
        <f t="shared" si="6"/>
        <v>30.618332631018649</v>
      </c>
      <c r="T41" s="33"/>
      <c r="U41" s="2226">
        <v>901.78000000000009</v>
      </c>
      <c r="V41" s="2227">
        <v>0</v>
      </c>
      <c r="W41" s="2225">
        <v>0</v>
      </c>
      <c r="X41" s="1038"/>
      <c r="Y41" s="1"/>
      <c r="Z41" s="847"/>
      <c r="AA41" s="1025">
        <v>0</v>
      </c>
      <c r="AB41" s="1025">
        <v>0</v>
      </c>
      <c r="AC41" s="1025">
        <v>0</v>
      </c>
      <c r="AD41" s="1025">
        <v>0</v>
      </c>
      <c r="AE41" s="1025">
        <v>0</v>
      </c>
      <c r="AF41" s="1025">
        <v>0</v>
      </c>
      <c r="AG41" s="1025">
        <v>0</v>
      </c>
      <c r="AH41" s="1025"/>
      <c r="AI41" s="1039"/>
      <c r="AJ41" s="1026">
        <v>731.69488613999999</v>
      </c>
      <c r="AK41" s="1026">
        <v>97120.39851266997</v>
      </c>
      <c r="AL41" s="1040">
        <f t="shared" si="0"/>
        <v>97852.093398809971</v>
      </c>
      <c r="AM41" s="1414"/>
      <c r="AN41" s="1414"/>
      <c r="AO41" s="1310"/>
      <c r="AP41" s="1310"/>
      <c r="AQ41" s="1934">
        <f t="shared" si="7"/>
        <v>0</v>
      </c>
      <c r="AR41" s="1729">
        <f t="shared" si="12"/>
        <v>0</v>
      </c>
      <c r="AS41" s="1729">
        <f t="shared" si="12"/>
        <v>-900.96212632651213</v>
      </c>
      <c r="AT41" s="1007"/>
      <c r="AU41" s="1476">
        <v>0</v>
      </c>
      <c r="AV41" s="1414"/>
      <c r="AW41" s="987"/>
      <c r="AX41" s="310">
        <v>0</v>
      </c>
      <c r="AY41" s="998"/>
      <c r="AZ41" s="2" cm="1">
        <f t="array" ref="AZ41">IFERROR(SUMPRODUCT((TIS.HCV.MS!$A$3:$A$92=DATE(2026,6,$B41))*(TIS.HCV.MS!$O$3:$O$92&gt;0)*TIS.HCV.MS!$C$3:$C$92*TIS.HCV.MS!$O$3:$O$92)/SUMPRODUCT((TIS.HCV.MS!$A$3:$A$92=DATE(2026,6,$B41))*(TIS.HCV.MS!$O$3:$O$92&gt;0)*TIS.HCV.MS!$C$3:$C$92),0)</f>
        <v>0</v>
      </c>
      <c r="BA41" s="2110" cm="1">
        <f t="array" ref="BA41">IFERROR(SUMPRODUCT((TIS.HCV.MS!$A$3:$A$92=DATE(2026,6,$B41))*(TIS.HCV.MS!$M$3:$M$92&gt;0)*TIS.HCV.MS!$C$3:$C$92*TIS.HCV.MS!$M$3:$M$92)/SUMPRODUCT((TIS.HCV.MS!$A$3:$A$92=DATE(2026,6,$B41))*(TIS.HCV.MS!$M$3:$M$92&gt;0)*TIS.HCV.MS!$C$3:$C$92),0)</f>
        <v>0</v>
      </c>
      <c r="BB41" s="2110" cm="1">
        <f t="array" ref="BB41">IFERROR(SUMPRODUCT((TIS.HCV.MS!$A$3:$A$92=DATE(2026,6,$B41))*(TIS.HCV.MS!$G$3:$G$92&gt;0)*TIS.HCV.MS!$C$3:$C$92*TIS.HCV.MS!$G$3:$G$92)/SUMPRODUCT((TIS.HCV.MS!$A$3:$A$92=DATE(2026,6,$B41))*(TIS.HCV.MS!$G$3:$G$92&gt;0)*TIS.HCV.MS!$C$3:$C$92),0)</f>
        <v>0</v>
      </c>
      <c r="BC41" s="2110" cm="1">
        <f t="array" ref="BC41">IFERROR(SUMPRODUCT((TIS.HCV.MS!$A$3:$A$92=DATE(2026,6,$B41))*(TIS.HCV.MS!$F$3:$F$92&gt;0)*TIS.HCV.MS!$C$3:$C$92*TIS.HCV.MS!$F$3:$F$92)/SUMPRODUCT((TIS.HCV.MS!$A$3:$A$92=DATE(2026,6,$B41))*(TIS.HCV.MS!$F$3:$F$92&gt;0)*TIS.HCV.MS!$C$3:$C$92),0)</f>
        <v>0</v>
      </c>
      <c r="BD41" s="2111" cm="1">
        <f t="array" ref="BD41">IFERROR(SUMPRODUCT((TIS.HCV.MS!$A$3:$A$92=DATE(2026,6,$B41))*(TIS.HCV.MS!$E$3:$E$92&gt;0)*TIS.HCV.MS!$C$3:$C$92*TIS.HCV.MS!$E$3:$E$92)/SUMPRODUCT((TIS.HCV.MS!$A$3:$A$92=DATE(2026,6,$B41))*(TIS.HCV.MS!$E$3:$E$92&gt;0)*TIS.HCV.MS!$C$3:$C$92),0)</f>
        <v>0</v>
      </c>
      <c r="BF41" s="987"/>
      <c r="BG41" s="987"/>
      <c r="BH41" s="987"/>
      <c r="BI41" s="987"/>
      <c r="BJ41" s="987"/>
      <c r="BK41" s="310"/>
      <c r="BL41" s="310"/>
      <c r="BM41" s="310"/>
      <c r="BN41" s="310"/>
      <c r="BO41" s="310">
        <v>3</v>
      </c>
      <c r="BP41" s="1041">
        <f>'June TCM'!LO39</f>
        <v>4.4000000000000004</v>
      </c>
      <c r="BQ41" s="275"/>
      <c r="BR41" s="1"/>
      <c r="BS41" s="1032">
        <f t="shared" si="9"/>
        <v>51002.133847770012</v>
      </c>
      <c r="BT41" s="1"/>
      <c r="BU41" s="1"/>
      <c r="BV41" s="1"/>
      <c r="BW41" s="1"/>
      <c r="BX41" s="1"/>
      <c r="BY41" s="1"/>
      <c r="BZ41" s="1"/>
      <c r="CA41" s="1"/>
      <c r="CB41" s="1"/>
      <c r="CC41" s="1"/>
      <c r="CD41" s="1"/>
      <c r="CE41" s="1"/>
      <c r="CF41" s="72"/>
      <c r="CG41" s="72"/>
      <c r="CH41" s="72"/>
      <c r="CI41" s="72"/>
      <c r="CJ41" s="72"/>
      <c r="CK41" s="72"/>
      <c r="CM41" s="1033">
        <v>30</v>
      </c>
      <c r="CN41" s="1">
        <f t="shared" si="10"/>
        <v>901.78000000000009</v>
      </c>
      <c r="CO41" s="1096">
        <v>2606308824</v>
      </c>
      <c r="CQ41" s="412">
        <v>30</v>
      </c>
      <c r="CR41" s="1">
        <f t="shared" si="11"/>
        <v>0</v>
      </c>
    </row>
    <row r="42" spans="2:96" ht="15" thickBot="1">
      <c r="B42" s="990">
        <v>31</v>
      </c>
      <c r="C42" s="1450">
        <f t="shared" si="1"/>
        <v>0</v>
      </c>
      <c r="D42" s="7">
        <f t="shared" si="2"/>
        <v>0</v>
      </c>
      <c r="E42" s="1452">
        <f t="shared" si="3"/>
        <v>0</v>
      </c>
      <c r="F42" s="1453"/>
      <c r="G42" s="1454"/>
      <c r="H42" s="1455"/>
      <c r="I42" s="1455"/>
      <c r="J42" s="1456"/>
      <c r="K42" s="1457"/>
      <c r="L42" s="1457"/>
      <c r="M42" s="1457"/>
      <c r="N42" s="1458"/>
      <c r="O42" s="1459"/>
      <c r="P42" s="1460"/>
      <c r="Q42" s="1935">
        <f t="shared" si="4"/>
        <v>0</v>
      </c>
      <c r="R42" s="1936">
        <f t="shared" si="5"/>
        <v>0</v>
      </c>
      <c r="S42" s="1056">
        <f t="shared" si="6"/>
        <v>0</v>
      </c>
      <c r="T42" s="1057"/>
      <c r="U42" s="2228">
        <v>0</v>
      </c>
      <c r="V42" s="2229">
        <v>0</v>
      </c>
      <c r="W42" s="2225">
        <v>0</v>
      </c>
      <c r="X42" s="2230"/>
      <c r="Y42" s="1"/>
      <c r="Z42" s="1059"/>
      <c r="AA42" s="2175">
        <v>0</v>
      </c>
      <c r="AB42" s="1059">
        <v>0</v>
      </c>
      <c r="AC42" s="1059">
        <v>0</v>
      </c>
      <c r="AD42" s="1059">
        <v>0</v>
      </c>
      <c r="AE42" s="1059">
        <v>0</v>
      </c>
      <c r="AF42" s="1059">
        <v>0</v>
      </c>
      <c r="AG42" s="1059">
        <v>0</v>
      </c>
      <c r="AH42" s="1059"/>
      <c r="AI42" s="1060"/>
      <c r="AJ42" s="1026">
        <v>731.69488613999999</v>
      </c>
      <c r="AK42" s="1026">
        <v>97120.39851266997</v>
      </c>
      <c r="AL42" s="1061">
        <f t="shared" si="0"/>
        <v>97852.093398809971</v>
      </c>
      <c r="AM42" s="1414"/>
      <c r="AN42" s="1414"/>
      <c r="AO42" s="1311"/>
      <c r="AP42" s="1311"/>
      <c r="AQ42" s="1937">
        <f t="shared" si="7"/>
        <v>0</v>
      </c>
      <c r="AR42" s="1730">
        <f t="shared" si="12"/>
        <v>0</v>
      </c>
      <c r="AS42" s="1730">
        <f t="shared" si="12"/>
        <v>-900.96212632651213</v>
      </c>
      <c r="AT42" s="1377"/>
      <c r="AU42" s="1476" cm="1">
        <f t="array" ref="AU42">SUMPRODUCT((IFERROR(VALUE(LEFT('Data Base CW TIS'!$E$2:$E$1000,2)),0)=B42)*('Data Base CW TIS'!$B$2:$B$1000="ROM TEMPORARY-ROM SB1 BK05")*('Data Base CW TIS'!$C$2:$C$1000="TIS-ROM TEMPORARY-ROM 6 (TIS)")*'Data Base CW TIS'!$N$2:$N$1000)</f>
        <v>0</v>
      </c>
      <c r="AV42" s="1414"/>
      <c r="AW42" s="987"/>
      <c r="AX42" s="332">
        <f t="shared" ref="AX42" si="13">AB42</f>
        <v>0</v>
      </c>
      <c r="AY42" s="1062"/>
      <c r="AZ42" s="2192" cm="1">
        <f t="array" ref="AZ42">IFERROR(SUMPRODUCT((TIS.HCV.MS!$A$3:$A$92=DATE(2026,6,$B42))*(TIS.HCV.MS!$O$3:$O$92&gt;0)*TIS.HCV.MS!$C$3:$C$92*TIS.HCV.MS!$O$3:$O$92)/SUMPRODUCT((TIS.HCV.MS!$A$3:$A$92=DATE(2026,6,$B42))*(TIS.HCV.MS!$O$3:$O$92&gt;0)*TIS.HCV.MS!$C$3:$C$92),0)</f>
        <v>0</v>
      </c>
      <c r="BA42" s="2193" cm="1">
        <f t="array" ref="BA42">IFERROR(SUMPRODUCT((TIS.HCV.MS!$A$3:$A$92=DATE(2026,6,$B42))*(TIS.HCV.MS!$M$3:$M$92&gt;0)*TIS.HCV.MS!$C$3:$C$92*TIS.HCV.MS!$M$3:$M$92)/SUMPRODUCT((TIS.HCV.MS!$A$3:$A$92=DATE(2026,6,$B42))*(TIS.HCV.MS!$M$3:$M$92&gt;0)*TIS.HCV.MS!$C$3:$C$92),0)</f>
        <v>0</v>
      </c>
      <c r="BB42" s="2193" cm="1">
        <f t="array" ref="BB42">IFERROR(SUMPRODUCT((TIS.HCV.MS!$A$3:$A$92=DATE(2026,6,$B42))*(TIS.HCV.MS!$G$3:$G$92&gt;0)*TIS.HCV.MS!$C$3:$C$92*TIS.HCV.MS!$G$3:$G$92)/SUMPRODUCT((TIS.HCV.MS!$A$3:$A$92=DATE(2026,6,$B42))*(TIS.HCV.MS!$G$3:$G$92&gt;0)*TIS.HCV.MS!$C$3:$C$92),0)</f>
        <v>0</v>
      </c>
      <c r="BC42" s="2193" cm="1">
        <f t="array" ref="BC42">IFERROR(SUMPRODUCT((TIS.HCV.MS!$A$3:$A$92=DATE(2026,6,$B42))*(TIS.HCV.MS!$F$3:$F$92&gt;0)*TIS.HCV.MS!$C$3:$C$92*TIS.HCV.MS!$F$3:$F$92)/SUMPRODUCT((TIS.HCV.MS!$A$3:$A$92=DATE(2026,6,$B42))*(TIS.HCV.MS!$F$3:$F$92&gt;0)*TIS.HCV.MS!$C$3:$C$92),0)</f>
        <v>0</v>
      </c>
      <c r="BD42" s="2194" cm="1">
        <f t="array" ref="BD42">IFERROR(SUMPRODUCT((TIS.HCV.MS!$A$3:$A$92=DATE(2026,6,$B42))*(TIS.HCV.MS!$E$3:$E$92&gt;0)*TIS.HCV.MS!$C$3:$C$92*TIS.HCV.MS!$E$3:$E$92)/SUMPRODUCT((TIS.HCV.MS!$A$3:$A$92=DATE(2026,6,$B42))*(TIS.HCV.MS!$E$3:$E$92&gt;0)*TIS.HCV.MS!$C$3:$C$92),0)</f>
        <v>0</v>
      </c>
      <c r="BF42" s="987"/>
      <c r="BG42" s="987"/>
      <c r="BH42" s="987"/>
      <c r="BI42" s="987"/>
      <c r="BJ42" s="987"/>
      <c r="BK42" s="332"/>
      <c r="BL42" s="332"/>
      <c r="BM42" s="332"/>
      <c r="BN42" s="332"/>
      <c r="BO42" s="332"/>
      <c r="BP42" s="2210">
        <f>'June TCM'!LO40</f>
        <v>0</v>
      </c>
      <c r="BQ42" s="332"/>
      <c r="BR42" s="1"/>
      <c r="BS42" s="1032">
        <f t="shared" si="9"/>
        <v>51002.133847770012</v>
      </c>
      <c r="BT42" s="1"/>
      <c r="BU42" s="1"/>
      <c r="BV42" s="1"/>
      <c r="BW42" s="1"/>
      <c r="BX42" s="1"/>
      <c r="BY42" s="1"/>
      <c r="BZ42" s="1"/>
      <c r="CA42" s="1"/>
      <c r="CB42" s="1"/>
      <c r="CC42" s="1"/>
      <c r="CD42" s="1"/>
      <c r="CE42" s="1"/>
      <c r="CF42" s="72"/>
      <c r="CG42" s="72"/>
      <c r="CH42" s="72"/>
      <c r="CI42" s="72"/>
      <c r="CJ42" s="72"/>
      <c r="CK42" s="72"/>
      <c r="CM42" s="1033">
        <v>31</v>
      </c>
      <c r="CN42" s="1">
        <f t="shared" si="10"/>
        <v>0</v>
      </c>
      <c r="CQ42" s="412">
        <v>31</v>
      </c>
      <c r="CR42" s="1">
        <f t="shared" si="11"/>
        <v>0</v>
      </c>
    </row>
    <row r="43" spans="2:96">
      <c r="B43" s="307" t="s">
        <v>206</v>
      </c>
      <c r="C43" s="72">
        <f t="shared" si="1"/>
        <v>805047</v>
      </c>
      <c r="D43" s="95">
        <f>SUM(D12:D42)</f>
        <v>57836.770000000004</v>
      </c>
      <c r="E43" s="1065">
        <f>IFERROR(C43/D43,0)</f>
        <v>13.919293902477611</v>
      </c>
      <c r="H43" s="38">
        <f>SUM(H12:H42)</f>
        <v>337.5</v>
      </c>
      <c r="I43" s="1904">
        <f>SUM(I12:I42)</f>
        <v>86.33</v>
      </c>
      <c r="O43" s="72">
        <f>SUM(O12:O42)</f>
        <v>805047</v>
      </c>
      <c r="P43" s="72">
        <f>SUM(P12:P42)</f>
        <v>0</v>
      </c>
      <c r="Q43" s="72">
        <f>SUM(Q12:Q42)</f>
        <v>57836.770000000004</v>
      </c>
      <c r="R43" s="72">
        <f>SUM(R12:R42)</f>
        <v>57836.770000000004</v>
      </c>
      <c r="S43" s="72">
        <f>IFERROR(O43/Q43,0)</f>
        <v>13.919293902477611</v>
      </c>
      <c r="T43" s="72"/>
      <c r="U43" s="364">
        <f>SUM(U12:U42)</f>
        <v>53269.490000000013</v>
      </c>
      <c r="V43" s="307">
        <f>SUM(V12:V42)</f>
        <v>1629.96</v>
      </c>
      <c r="W43" s="364">
        <f>SUM(W12:W42)</f>
        <v>2937.32</v>
      </c>
      <c r="X43" s="72">
        <f>SUM(X12:X42)</f>
        <v>0</v>
      </c>
      <c r="Y43" s="1"/>
      <c r="Z43" s="1068">
        <f t="shared" ref="Z43:AF43" si="14">SUM(Z12:Z42)</f>
        <v>0</v>
      </c>
      <c r="AA43" s="2152">
        <f t="shared" si="14"/>
        <v>35240.79</v>
      </c>
      <c r="AB43" s="1068">
        <f t="shared" si="14"/>
        <v>35240.79</v>
      </c>
      <c r="AC43" s="1068">
        <f t="shared" si="14"/>
        <v>0</v>
      </c>
      <c r="AD43" s="1068">
        <f t="shared" si="14"/>
        <v>0</v>
      </c>
      <c r="AE43" s="1068">
        <f t="shared" si="14"/>
        <v>18960.419999999998</v>
      </c>
      <c r="AF43" s="1068">
        <f t="shared" si="14"/>
        <v>16280.369999999999</v>
      </c>
      <c r="AG43" s="1068">
        <f t="shared" ref="AG43" si="15">SUM(AC43:AF43)</f>
        <v>35240.789999999994</v>
      </c>
      <c r="AH43" s="39"/>
      <c r="AI43" s="1068">
        <f>+AI42</f>
        <v>0</v>
      </c>
      <c r="AJ43" s="1068">
        <f>+AJ42</f>
        <v>731.69488613999999</v>
      </c>
      <c r="AK43" s="1068">
        <f>+AK42</f>
        <v>97120.39851266997</v>
      </c>
      <c r="AL43" s="1066">
        <f>AL42</f>
        <v>97852.093398809971</v>
      </c>
      <c r="AM43" s="1066"/>
      <c r="AN43" s="1066"/>
      <c r="AO43" s="1066">
        <f>SUM(AO12:AO42)</f>
        <v>0</v>
      </c>
      <c r="AP43" s="1362">
        <f>SUM(AP12:AP42)</f>
        <v>0</v>
      </c>
      <c r="AQ43" s="1066">
        <f>SUM(AQ12:AQ42)</f>
        <v>0</v>
      </c>
      <c r="AR43" s="1066">
        <f>+AR42</f>
        <v>0</v>
      </c>
      <c r="AS43" s="1066"/>
      <c r="AT43" s="1066"/>
      <c r="AU43" s="1376">
        <f>SUM(AU11:AU42)</f>
        <v>32122.58</v>
      </c>
      <c r="AV43" s="1066"/>
      <c r="AX43" s="72">
        <f>SUM(AX12:AX42)</f>
        <v>35240.79</v>
      </c>
      <c r="AY43" s="72"/>
      <c r="AZ43" s="72" cm="1">
        <f t="array" ref="AZ43">IFERROR(SUMPRODUCT((AZ12:AZ42&lt;&gt;"")*AZ12:AZ42,$AX$12:$AX$42)/SUMIFS($AX$12:$AX$42,AZ12:AZ42,"&gt;"&amp;0),0)</f>
        <v>0</v>
      </c>
      <c r="BA43" s="38" cm="1">
        <f t="array" ref="BA43">IFERROR(SUMPRODUCT((BA12:BA42&lt;&gt;"")*BA12:BA42,$AX$12:$AX$42)/SUMIFS($AX$12:$AX$42,BA12:BA42,"&gt;"&amp;0),0)</f>
        <v>0</v>
      </c>
      <c r="BB43" s="38" cm="1">
        <f t="array" ref="BB43">IFERROR(SUMPRODUCT((BB12:BB42&lt;&gt;"")*BB12:BB42,$AX$12:$AX$42)/SUMIFS($AX$12:$AX$42,BB12:BB42,"&gt;"&amp;0),0)</f>
        <v>0</v>
      </c>
      <c r="BC43" s="38" cm="1">
        <f t="array" ref="BC43">IFERROR(SUMPRODUCT((BC12:BC42&lt;&gt;"")*BC12:BC42,$AX$12:$AX$42)/SUMIFS($AX$12:$AX$42,BC12:BC42,"&gt;"&amp;0),0)</f>
        <v>0</v>
      </c>
      <c r="BD43" s="38" cm="1">
        <f t="array" ref="BD43">IFERROR(SUMPRODUCT((BD12:BD42&lt;&gt;"")*BD12:BD42,$AX$12:$AX$42)/SUMIFS($AX$12:$AX$42,BD12:BD42,"&gt;"&amp;0),0)</f>
        <v>0</v>
      </c>
      <c r="BE43" s="38"/>
      <c r="BK43" s="72">
        <f>SUM(BK12:BK42)</f>
        <v>82828.570000000007</v>
      </c>
      <c r="BL43" s="72">
        <f>SUM(BL12:BL42)</f>
        <v>11</v>
      </c>
      <c r="BM43" s="72">
        <f>SUM(BM12:BM42)</f>
        <v>0</v>
      </c>
      <c r="BN43" s="72">
        <f>SUM(BN12:BN42)</f>
        <v>10</v>
      </c>
      <c r="BO43" s="72">
        <f>SUM(BO12:BO42)</f>
        <v>24</v>
      </c>
      <c r="BP43" s="38">
        <f>AVERAGE(BP12:BP42)</f>
        <v>6.1451612903225801</v>
      </c>
      <c r="BQ43" s="72">
        <f>SUM(BQ12:BQ42)</f>
        <v>0</v>
      </c>
      <c r="BR43" s="1"/>
      <c r="BS43" s="72">
        <f>+BS42</f>
        <v>51002.133847770012</v>
      </c>
      <c r="BT43" s="1"/>
      <c r="BU43" s="1"/>
      <c r="BV43" s="1"/>
      <c r="BW43" s="1"/>
      <c r="BX43" s="1"/>
      <c r="BY43" s="1"/>
      <c r="BZ43" s="1"/>
      <c r="CA43" s="1"/>
      <c r="CB43" s="1"/>
      <c r="CC43" s="1"/>
      <c r="CD43" s="1"/>
      <c r="CE43" s="1"/>
      <c r="CF43" s="72"/>
      <c r="CG43" s="72"/>
      <c r="CH43" s="72"/>
      <c r="CI43" s="72"/>
      <c r="CJ43" s="72"/>
      <c r="CK43" s="72"/>
      <c r="CO43" s="281"/>
    </row>
    <row r="44" spans="2:96">
      <c r="B44" s="307" t="s">
        <v>207</v>
      </c>
      <c r="C44" s="364">
        <v>762469.495</v>
      </c>
      <c r="D44" s="412">
        <v>57836.77</v>
      </c>
      <c r="E44" s="347">
        <f>IFERROR(C44/D44,0)</f>
        <v>13.183127187081851</v>
      </c>
      <c r="H44" s="307">
        <f>H43</f>
        <v>337.5</v>
      </c>
      <c r="I44" s="364">
        <f>I43</f>
        <v>86.33</v>
      </c>
      <c r="O44" s="1">
        <f>O43</f>
        <v>805047</v>
      </c>
      <c r="P44" s="95">
        <f>P43</f>
        <v>0</v>
      </c>
      <c r="Q44" s="95">
        <f>Q43</f>
        <v>57836.770000000004</v>
      </c>
      <c r="R44" s="95">
        <f>R43</f>
        <v>57836.770000000004</v>
      </c>
      <c r="S44" s="1067">
        <f>IFERROR(O44/Q44,0)</f>
        <v>13.919293902477611</v>
      </c>
      <c r="U44" s="1068">
        <f>U43</f>
        <v>53269.490000000013</v>
      </c>
      <c r="V44" s="1068">
        <f>V43</f>
        <v>1629.96</v>
      </c>
      <c r="W44" s="1068">
        <f>W43</f>
        <v>2937.32</v>
      </c>
      <c r="X44" s="1">
        <f>X43</f>
        <v>0</v>
      </c>
      <c r="Y44" s="1"/>
      <c r="Z44" s="1068">
        <f t="shared" ref="Z44:AG44" si="16">Z43</f>
        <v>0</v>
      </c>
      <c r="AA44" s="1068">
        <f t="shared" si="16"/>
        <v>35240.79</v>
      </c>
      <c r="AB44" s="1068">
        <f t="shared" si="16"/>
        <v>35240.79</v>
      </c>
      <c r="AC44" s="1068">
        <f t="shared" si="16"/>
        <v>0</v>
      </c>
      <c r="AD44" s="1068">
        <f t="shared" si="16"/>
        <v>0</v>
      </c>
      <c r="AE44" s="1068">
        <f t="shared" si="16"/>
        <v>18960.419999999998</v>
      </c>
      <c r="AF44" s="1068">
        <f t="shared" si="16"/>
        <v>16280.369999999999</v>
      </c>
      <c r="AG44" s="1068">
        <f t="shared" si="16"/>
        <v>35240.789999999994</v>
      </c>
      <c r="AH44" s="1068"/>
      <c r="AI44" s="1068">
        <f>AI43</f>
        <v>0</v>
      </c>
      <c r="AJ44" s="1370">
        <v>731.69488613999999</v>
      </c>
      <c r="AK44" s="1068">
        <v>93877.611735719998</v>
      </c>
      <c r="AL44" s="1066">
        <f>SUM(AJ44:AK44)</f>
        <v>94609.30662186</v>
      </c>
      <c r="AM44" s="1066"/>
      <c r="AN44" s="1066"/>
      <c r="AO44" s="1066">
        <f>AO43</f>
        <v>0</v>
      </c>
      <c r="AP44" s="1066">
        <f>AP43</f>
        <v>0</v>
      </c>
      <c r="AQ44" s="1066">
        <f>AQ43</f>
        <v>0</v>
      </c>
      <c r="AR44" s="1066">
        <f>AR43</f>
        <v>0</v>
      </c>
      <c r="AS44" s="1066"/>
      <c r="AT44" s="1066"/>
      <c r="AU44" s="1362">
        <f>AU43</f>
        <v>32122.58</v>
      </c>
      <c r="AV44" s="1066"/>
      <c r="AX44" s="72">
        <f>+AX43</f>
        <v>35240.79</v>
      </c>
      <c r="AY44" s="72"/>
      <c r="AZ44" s="72">
        <f>AZ43</f>
        <v>0</v>
      </c>
      <c r="BA44" s="38">
        <f>BA43</f>
        <v>0</v>
      </c>
      <c r="BB44" s="38">
        <f>BB43</f>
        <v>0</v>
      </c>
      <c r="BC44" s="38">
        <f>BC43</f>
        <v>0</v>
      </c>
      <c r="BD44" s="38">
        <f>BD43</f>
        <v>0</v>
      </c>
      <c r="BE44" s="38"/>
      <c r="BK44" s="72">
        <f t="shared" ref="BK44:BQ44" si="17">+BK43</f>
        <v>82828.570000000007</v>
      </c>
      <c r="BL44" s="72">
        <f t="shared" si="17"/>
        <v>11</v>
      </c>
      <c r="BM44" s="72">
        <f t="shared" si="17"/>
        <v>0</v>
      </c>
      <c r="BN44" s="72">
        <f t="shared" si="17"/>
        <v>10</v>
      </c>
      <c r="BO44" s="72"/>
      <c r="BP44" s="38">
        <f t="shared" si="17"/>
        <v>6.1451612903225801</v>
      </c>
      <c r="BQ44" s="72">
        <f t="shared" si="17"/>
        <v>0</v>
      </c>
      <c r="BR44" s="1"/>
      <c r="BS44" s="364">
        <v>47045.816223959991</v>
      </c>
      <c r="BT44" s="1"/>
      <c r="BU44" s="1"/>
      <c r="BV44" s="1"/>
      <c r="BW44" s="1"/>
      <c r="BX44" s="1"/>
      <c r="BY44" s="1"/>
      <c r="BZ44" s="1"/>
      <c r="CA44" s="1"/>
      <c r="CB44" s="1"/>
      <c r="CC44" s="1"/>
      <c r="CD44" s="1"/>
      <c r="CE44" s="1"/>
      <c r="CF44" s="72"/>
      <c r="CG44" s="72"/>
      <c r="CH44" s="72"/>
      <c r="CI44" s="72"/>
      <c r="CJ44" s="72"/>
      <c r="CK44" s="72"/>
      <c r="CO44" s="281"/>
    </row>
    <row r="45" spans="2:96">
      <c r="B45" s="312" t="s">
        <v>12</v>
      </c>
      <c r="C45" s="991">
        <f>O45</f>
        <v>970000</v>
      </c>
      <c r="D45" s="1069">
        <f>R45</f>
        <v>60000</v>
      </c>
      <c r="E45" s="1231"/>
      <c r="F45" s="1069"/>
      <c r="G45" s="1069"/>
      <c r="H45" s="1069"/>
      <c r="I45" s="1069"/>
      <c r="J45" s="1069"/>
      <c r="K45" s="1069"/>
      <c r="L45" s="1069"/>
      <c r="M45" s="1069"/>
      <c r="N45" s="1069"/>
      <c r="O45" s="2166">
        <v>970000</v>
      </c>
      <c r="P45" s="2166"/>
      <c r="Q45" s="2166"/>
      <c r="R45" s="2166">
        <v>60000</v>
      </c>
      <c r="S45" s="1070">
        <f>IFERROR(O45/Q45,0)</f>
        <v>0</v>
      </c>
      <c r="T45" s="1069"/>
      <c r="U45" s="1069"/>
      <c r="V45" s="1069"/>
      <c r="W45" s="1069"/>
      <c r="X45" s="1069"/>
      <c r="Y45" s="39"/>
      <c r="Z45" s="1071"/>
      <c r="AA45" s="1071"/>
      <c r="AB45" s="1071">
        <v>75000</v>
      </c>
      <c r="AC45" s="1071"/>
      <c r="AD45" s="1071"/>
      <c r="AE45" s="1071"/>
      <c r="AF45" s="1071"/>
      <c r="AG45" s="1071"/>
      <c r="AH45" s="1071"/>
      <c r="AI45" s="1071"/>
      <c r="AJ45" s="1071"/>
      <c r="AK45" s="1071"/>
      <c r="AL45" s="1072"/>
      <c r="AM45" s="1072"/>
      <c r="AN45" s="1072"/>
      <c r="AO45" s="1072"/>
      <c r="AP45" s="1072"/>
      <c r="AQ45" s="1072"/>
      <c r="AR45" s="1072"/>
      <c r="AS45" s="1072"/>
      <c r="AT45" s="1072"/>
      <c r="AU45" s="1072"/>
      <c r="AV45" s="1072"/>
      <c r="AW45" s="887"/>
      <c r="AX45" s="337">
        <v>75000</v>
      </c>
      <c r="AY45" s="337"/>
      <c r="AZ45" s="72">
        <v>6824.4902225997603</v>
      </c>
      <c r="BA45" s="38">
        <v>1.6046894421393501</v>
      </c>
      <c r="BB45" s="38">
        <v>2.9538162037923099</v>
      </c>
      <c r="BC45" s="38">
        <v>4.4327769749624304</v>
      </c>
      <c r="BD45" s="38">
        <v>9.2954142043572094</v>
      </c>
      <c r="BE45" s="38"/>
      <c r="BF45" s="887"/>
      <c r="BG45" s="887"/>
      <c r="BH45" s="887"/>
      <c r="BI45" s="887"/>
      <c r="BJ45" s="887"/>
      <c r="BK45" s="337">
        <v>68589.913847769989</v>
      </c>
      <c r="BL45" s="308"/>
      <c r="BM45" s="308"/>
      <c r="BN45" s="308"/>
      <c r="BO45" s="308"/>
      <c r="BP45" s="308"/>
      <c r="BQ45" s="308"/>
      <c r="BR45" s="1073"/>
      <c r="BS45" s="308"/>
      <c r="BT45" s="1073"/>
      <c r="BU45" s="1073"/>
      <c r="BV45" s="1073"/>
      <c r="BW45" s="1073"/>
      <c r="BX45" s="1073"/>
      <c r="BY45" s="1073"/>
      <c r="BZ45" s="1073"/>
      <c r="CA45" s="1073"/>
      <c r="CB45" s="1073"/>
      <c r="CC45" s="1073"/>
      <c r="CD45" s="1073"/>
      <c r="CE45" s="1073"/>
      <c r="CF45" s="308"/>
      <c r="CG45" s="308"/>
      <c r="CH45" s="308"/>
      <c r="CI45" s="308"/>
      <c r="CJ45" s="308"/>
      <c r="CK45" s="308"/>
      <c r="CO45" s="1"/>
    </row>
    <row r="46" spans="2:96">
      <c r="B46" t="s">
        <v>208</v>
      </c>
      <c r="U46" s="39"/>
      <c r="V46" s="39"/>
      <c r="W46" s="39"/>
      <c r="AB46" s="1"/>
      <c r="AX46" s="110">
        <f>IFERROR(AX44/AX45,"")</f>
        <v>0.46987719999999999</v>
      </c>
      <c r="AY46" s="110"/>
      <c r="BK46" s="38">
        <f>IFERROR(BK44/BK45,"")</f>
        <v>1.2075911071098824</v>
      </c>
      <c r="BL46" s="38"/>
      <c r="BM46" s="38"/>
      <c r="BN46" s="38" t="str">
        <f t="shared" ref="BN46:BQ47" si="18">IFERROR(BN44/BN45,"")</f>
        <v/>
      </c>
      <c r="BO46" s="2151"/>
      <c r="BP46" s="38" t="str">
        <f t="shared" si="18"/>
        <v/>
      </c>
      <c r="BQ46" s="38" t="str">
        <f t="shared" si="18"/>
        <v/>
      </c>
      <c r="CF46" s="38"/>
      <c r="CG46" s="38"/>
      <c r="CH46" s="38"/>
      <c r="CI46" s="38"/>
      <c r="CJ46" s="38"/>
      <c r="CK46" s="38"/>
      <c r="CO46" s="887"/>
    </row>
    <row r="47" spans="2:96">
      <c r="R47" s="95">
        <f>R43+AU43</f>
        <v>89959.35</v>
      </c>
      <c r="AX47" s="110">
        <f>IFERROR(AX45/AX46,"")</f>
        <v>159616.17205516677</v>
      </c>
      <c r="AY47" s="110"/>
      <c r="BK47" s="38">
        <f>IFERROR(BK45/BK46,"")</f>
        <v>56798.95574249934</v>
      </c>
      <c r="BL47" s="38"/>
      <c r="BM47" s="38"/>
      <c r="BN47" s="38" t="str">
        <f t="shared" si="18"/>
        <v/>
      </c>
      <c r="BO47" s="2151"/>
      <c r="BP47" s="38" t="str">
        <f t="shared" si="18"/>
        <v/>
      </c>
      <c r="BQ47" s="38" t="str">
        <f t="shared" si="18"/>
        <v/>
      </c>
      <c r="CF47" s="38"/>
      <c r="CG47" s="38"/>
      <c r="CH47" s="38"/>
      <c r="CI47" s="38"/>
      <c r="CJ47" s="38"/>
      <c r="CK47" s="38"/>
      <c r="CO47" s="281"/>
    </row>
    <row r="48" spans="2:96">
      <c r="O48" s="987"/>
      <c r="P48" s="1"/>
      <c r="BO48" s="281"/>
      <c r="CO48" s="281"/>
    </row>
    <row r="49" spans="4:93">
      <c r="D49" s="1"/>
      <c r="BO49" s="281"/>
      <c r="CO49" s="1"/>
    </row>
    <row r="50" spans="4:93">
      <c r="D50" s="1">
        <f>C45/31</f>
        <v>31290.322580645163</v>
      </c>
      <c r="S50" s="1"/>
      <c r="BO50" s="281"/>
      <c r="CO50" s="887"/>
    </row>
    <row r="51" spans="4:93">
      <c r="S51" s="1"/>
      <c r="BO51" s="281"/>
    </row>
    <row r="52" spans="4:93">
      <c r="S52" s="887"/>
      <c r="BO52" s="281"/>
    </row>
    <row r="53" spans="4:93">
      <c r="G53" s="887"/>
      <c r="H53" s="887"/>
      <c r="BO53" s="281"/>
    </row>
    <row r="54" spans="4:93">
      <c r="O54" s="887"/>
      <c r="P54" s="887"/>
      <c r="BO54" s="281"/>
    </row>
    <row r="55" spans="4:93">
      <c r="BO55" s="281"/>
    </row>
    <row r="56" spans="4:93">
      <c r="O56" s="887"/>
      <c r="P56" s="887"/>
      <c r="R56" s="887"/>
      <c r="BO56" s="281"/>
    </row>
    <row r="57" spans="4:93">
      <c r="G57" s="887"/>
      <c r="H57" s="987"/>
      <c r="O57" s="39"/>
      <c r="P57" s="39"/>
      <c r="Q57" s="39"/>
      <c r="R57" s="39"/>
      <c r="X57" s="39"/>
      <c r="Y57" s="39"/>
      <c r="Z57" s="39"/>
      <c r="AA57" s="39"/>
      <c r="AB57" s="39"/>
      <c r="AC57" s="39"/>
      <c r="AD57" s="39"/>
      <c r="AE57" s="39"/>
      <c r="AF57" s="39"/>
      <c r="AG57" s="39"/>
      <c r="AH57" s="39"/>
      <c r="AI57" s="39"/>
      <c r="AJ57" s="39"/>
      <c r="AK57" s="39"/>
      <c r="BO57" s="281"/>
    </row>
    <row r="58" spans="4:93">
      <c r="BN58" s="1"/>
      <c r="BO58" s="281"/>
    </row>
    <row r="59" spans="4:93">
      <c r="O59" s="987"/>
      <c r="P59" s="987"/>
      <c r="X59" s="987"/>
      <c r="Y59" s="987"/>
      <c r="Z59" s="987"/>
      <c r="AA59" s="987"/>
      <c r="AB59" s="987"/>
      <c r="AC59" s="987"/>
      <c r="AD59" s="987"/>
      <c r="AE59" s="987"/>
      <c r="AF59" s="987"/>
      <c r="AG59" s="987"/>
      <c r="AH59" s="987"/>
      <c r="AI59" s="987"/>
      <c r="AJ59" s="987"/>
      <c r="AK59" s="987"/>
      <c r="BO59" s="281"/>
    </row>
    <row r="60" spans="4:93">
      <c r="O60" s="987"/>
      <c r="P60" s="987"/>
      <c r="X60" s="987"/>
      <c r="Y60" s="987"/>
      <c r="Z60" s="987"/>
      <c r="AA60" s="987"/>
      <c r="AB60" s="987"/>
      <c r="AC60" s="987"/>
      <c r="AD60" s="987"/>
      <c r="AE60" s="987"/>
      <c r="AF60" s="987"/>
      <c r="AG60" s="987"/>
      <c r="AH60" s="987"/>
      <c r="AI60" s="987"/>
      <c r="AJ60" s="987"/>
      <c r="AK60" s="987"/>
      <c r="BO60" s="281"/>
    </row>
    <row r="61" spans="4:93">
      <c r="O61" s="987"/>
      <c r="P61" s="987"/>
      <c r="X61" s="987"/>
      <c r="Y61" s="987"/>
      <c r="Z61" s="987"/>
      <c r="AA61" s="987"/>
      <c r="AB61" s="987"/>
      <c r="AC61" s="987"/>
      <c r="AD61" s="987"/>
      <c r="AE61" s="987"/>
      <c r="AF61" s="987"/>
      <c r="AG61" s="987"/>
      <c r="AH61" s="987"/>
      <c r="AI61" s="987"/>
      <c r="AJ61" s="987"/>
      <c r="AK61" s="987"/>
      <c r="BO61" s="281"/>
    </row>
    <row r="62" spans="4:93">
      <c r="O62" s="987"/>
      <c r="P62" s="987"/>
      <c r="X62" s="987"/>
      <c r="Y62" s="987"/>
      <c r="Z62" s="987"/>
      <c r="AA62" s="987"/>
      <c r="AB62" s="987"/>
      <c r="AC62" s="987"/>
      <c r="AD62" s="987"/>
      <c r="AE62" s="987"/>
      <c r="AF62" s="987"/>
      <c r="AG62" s="987"/>
      <c r="AH62" s="987"/>
      <c r="AI62" s="987"/>
      <c r="AJ62" s="987"/>
      <c r="AK62" s="987"/>
      <c r="BO62" s="281"/>
    </row>
    <row r="63" spans="4:93">
      <c r="O63" s="987"/>
      <c r="P63" s="987"/>
      <c r="X63" s="987"/>
      <c r="Y63" s="987"/>
      <c r="Z63" s="987"/>
      <c r="AA63" s="987"/>
      <c r="AB63" s="987"/>
      <c r="AC63" s="987"/>
      <c r="AD63" s="987"/>
      <c r="AE63" s="987"/>
      <c r="AF63" s="987"/>
      <c r="AG63" s="987"/>
      <c r="AH63" s="987"/>
      <c r="AI63" s="987"/>
      <c r="AJ63" s="987"/>
      <c r="AK63" s="987"/>
      <c r="BO63" s="281"/>
    </row>
    <row r="64" spans="4:93">
      <c r="O64" s="987"/>
      <c r="P64" s="987"/>
      <c r="X64" s="987"/>
      <c r="Y64" s="987"/>
      <c r="Z64" s="987"/>
      <c r="AA64" s="987"/>
      <c r="AB64" s="987"/>
      <c r="AC64" s="987"/>
      <c r="AD64" s="987"/>
      <c r="AE64" s="987"/>
      <c r="AF64" s="987"/>
      <c r="AG64" s="987"/>
      <c r="AH64" s="987"/>
      <c r="AI64" s="987"/>
      <c r="AJ64" s="987"/>
      <c r="AK64" s="987"/>
      <c r="BO64" s="281"/>
    </row>
    <row r="65" spans="15:67">
      <c r="O65" s="987"/>
      <c r="P65" s="987"/>
      <c r="X65" s="987"/>
      <c r="Y65" s="987"/>
      <c r="Z65" s="987"/>
      <c r="AA65" s="987"/>
      <c r="AB65" s="987"/>
      <c r="AC65" s="987"/>
      <c r="AD65" s="987"/>
      <c r="AE65" s="987"/>
      <c r="AF65" s="987"/>
      <c r="AG65" s="987"/>
      <c r="AH65" s="987"/>
      <c r="AI65" s="987"/>
      <c r="AJ65" s="987"/>
      <c r="AK65" s="987"/>
      <c r="BO65" s="281"/>
    </row>
    <row r="66" spans="15:67">
      <c r="O66" s="987"/>
      <c r="P66" s="987"/>
      <c r="X66" s="987"/>
      <c r="Y66" s="987"/>
      <c r="Z66" s="987"/>
      <c r="AA66" s="987"/>
      <c r="AB66" s="987"/>
      <c r="AC66" s="987"/>
      <c r="AD66" s="987"/>
      <c r="AE66" s="987"/>
      <c r="AF66" s="987"/>
      <c r="AG66" s="987"/>
      <c r="AH66" s="987"/>
      <c r="AI66" s="987"/>
      <c r="AJ66" s="987"/>
      <c r="AK66" s="987"/>
      <c r="BO66" s="281"/>
    </row>
    <row r="67" spans="15:67">
      <c r="O67" s="987"/>
      <c r="P67" s="987"/>
      <c r="X67" s="987"/>
      <c r="Y67" s="987"/>
      <c r="Z67" s="987"/>
      <c r="AA67" s="987"/>
      <c r="AB67" s="987"/>
      <c r="AC67" s="987"/>
      <c r="AD67" s="987"/>
      <c r="AE67" s="987"/>
      <c r="AF67" s="987"/>
      <c r="AG67" s="987"/>
      <c r="AH67" s="987"/>
      <c r="AI67" s="987"/>
      <c r="AJ67" s="987"/>
      <c r="AK67" s="987"/>
      <c r="BO67" s="281"/>
    </row>
    <row r="68" spans="15:67" ht="14.4" hidden="1" customHeight="1">
      <c r="O68" s="987"/>
      <c r="P68" s="987"/>
      <c r="X68" s="987"/>
      <c r="Y68" s="987"/>
      <c r="Z68" s="987"/>
      <c r="AA68" s="987"/>
      <c r="AB68" s="987"/>
      <c r="AC68" s="987"/>
      <c r="AD68" s="987"/>
      <c r="AE68" s="987"/>
      <c r="AF68" s="987"/>
      <c r="AG68" s="987"/>
      <c r="AH68" s="987"/>
      <c r="AI68" s="987"/>
      <c r="AJ68" s="987"/>
      <c r="AK68" s="987"/>
      <c r="BO68" s="281">
        <v>64344</v>
      </c>
    </row>
    <row r="69" spans="15:67" hidden="1">
      <c r="O69" s="987"/>
      <c r="P69" s="987"/>
      <c r="X69" s="987"/>
      <c r="Y69" s="987"/>
      <c r="Z69" s="987"/>
      <c r="AA69" s="987"/>
      <c r="AB69" s="987"/>
      <c r="AC69" s="987"/>
      <c r="AD69" s="987"/>
      <c r="AE69" s="987"/>
      <c r="AF69" s="987"/>
      <c r="AG69" s="987"/>
      <c r="AH69" s="987"/>
      <c r="AI69" s="987"/>
      <c r="AJ69" s="987"/>
      <c r="AK69" s="987"/>
    </row>
    <row r="70" spans="15:67" hidden="1">
      <c r="O70" s="987"/>
      <c r="P70" s="987"/>
      <c r="X70" s="987"/>
      <c r="Y70" s="987"/>
      <c r="Z70" s="987"/>
      <c r="AA70" s="987"/>
      <c r="AB70" s="987"/>
      <c r="AC70" s="987"/>
      <c r="AD70" s="987"/>
      <c r="AE70" s="987"/>
      <c r="AF70" s="987"/>
      <c r="AG70" s="987"/>
      <c r="AH70" s="987"/>
      <c r="AI70" s="987"/>
      <c r="AJ70" s="987"/>
      <c r="AK70" s="987"/>
    </row>
    <row r="71" spans="15:67" hidden="1">
      <c r="O71" s="987"/>
      <c r="P71" s="987"/>
      <c r="X71" s="987"/>
      <c r="Y71" s="987"/>
      <c r="Z71" s="987"/>
      <c r="AA71" s="987"/>
      <c r="AB71" s="987"/>
      <c r="AC71" s="987"/>
      <c r="AD71" s="987"/>
      <c r="AE71" s="987"/>
      <c r="AF71" s="987"/>
      <c r="AG71" s="987"/>
      <c r="AH71" s="987"/>
      <c r="AI71" s="987"/>
      <c r="AJ71" s="987"/>
      <c r="AK71" s="987"/>
    </row>
    <row r="72" spans="15:67" hidden="1">
      <c r="O72" s="987"/>
      <c r="P72" s="987"/>
      <c r="X72" s="987"/>
      <c r="Y72" s="987"/>
      <c r="Z72" s="987"/>
      <c r="AA72" s="987"/>
      <c r="AB72" s="987"/>
      <c r="AC72" s="987"/>
      <c r="AD72" s="987"/>
      <c r="AE72" s="987"/>
      <c r="AF72" s="987"/>
      <c r="AG72" s="987"/>
      <c r="AH72" s="987"/>
      <c r="AI72" s="987"/>
      <c r="AJ72" s="987"/>
      <c r="AK72" s="987"/>
    </row>
    <row r="73" spans="15:67" hidden="1">
      <c r="O73" s="987"/>
      <c r="P73" s="987"/>
      <c r="X73" s="987"/>
      <c r="Y73" s="987"/>
      <c r="Z73" s="987"/>
      <c r="AA73" s="987"/>
      <c r="AB73" s="987"/>
      <c r="AC73" s="987"/>
      <c r="AD73" s="987"/>
      <c r="AE73" s="987"/>
      <c r="AF73" s="987"/>
      <c r="AG73" s="987"/>
      <c r="AH73" s="987"/>
      <c r="AI73" s="987"/>
      <c r="AJ73" s="987"/>
      <c r="AK73" s="987"/>
    </row>
    <row r="74" spans="15:67" hidden="1">
      <c r="O74" s="987"/>
      <c r="P74" s="987"/>
      <c r="X74" s="987"/>
      <c r="Y74" s="987"/>
      <c r="Z74" s="987"/>
      <c r="AA74" s="987"/>
      <c r="AB74" s="987"/>
      <c r="AC74" s="987"/>
      <c r="AD74" s="987"/>
      <c r="AE74" s="987"/>
      <c r="AF74" s="987"/>
      <c r="AG74" s="987"/>
      <c r="AH74" s="987"/>
      <c r="AI74" s="987"/>
      <c r="AJ74" s="987"/>
      <c r="AK74" s="987"/>
    </row>
    <row r="75" spans="15:67" hidden="1">
      <c r="O75" s="987"/>
      <c r="P75" s="987"/>
      <c r="X75" s="987"/>
      <c r="Y75" s="987"/>
      <c r="Z75" s="987"/>
      <c r="AA75" s="987"/>
      <c r="AB75" s="987"/>
      <c r="AC75" s="987"/>
      <c r="AD75" s="987"/>
      <c r="AE75" s="987"/>
      <c r="AF75" s="987"/>
      <c r="AG75" s="987"/>
      <c r="AH75" s="987"/>
      <c r="AI75" s="987"/>
      <c r="AJ75" s="987"/>
      <c r="AK75" s="987"/>
    </row>
    <row r="76" spans="15:67" hidden="1">
      <c r="O76" s="987"/>
      <c r="P76" s="987"/>
      <c r="X76" s="987"/>
      <c r="Y76" s="987"/>
      <c r="Z76" s="987"/>
      <c r="AA76" s="987"/>
      <c r="AB76" s="987"/>
      <c r="AC76" s="987"/>
      <c r="AD76" s="987"/>
      <c r="AE76" s="987"/>
      <c r="AF76" s="987"/>
      <c r="AG76" s="987"/>
      <c r="AH76" s="987"/>
      <c r="AI76" s="987"/>
      <c r="AJ76" s="987"/>
      <c r="AK76" s="987"/>
    </row>
    <row r="77" spans="15:67" hidden="1">
      <c r="O77" s="987"/>
      <c r="P77" s="987"/>
      <c r="X77" s="987"/>
      <c r="Y77" s="987"/>
      <c r="Z77" s="987"/>
      <c r="AA77" s="987"/>
      <c r="AB77" s="987"/>
      <c r="AC77" s="987"/>
      <c r="AD77" s="987"/>
      <c r="AE77" s="987"/>
      <c r="AF77" s="987"/>
      <c r="AG77" s="987"/>
      <c r="AH77" s="987"/>
      <c r="AI77" s="987"/>
      <c r="AJ77" s="987"/>
      <c r="AK77" s="987"/>
    </row>
    <row r="78" spans="15:67" hidden="1">
      <c r="O78" s="987"/>
      <c r="P78" s="987"/>
      <c r="X78" s="987"/>
      <c r="Y78" s="987"/>
      <c r="Z78" s="987"/>
      <c r="AA78" s="987"/>
      <c r="AB78" s="987"/>
      <c r="AC78" s="987"/>
      <c r="AD78" s="987"/>
      <c r="AE78" s="987"/>
      <c r="AF78" s="987"/>
      <c r="AG78" s="987"/>
      <c r="AH78" s="987"/>
      <c r="AI78" s="987"/>
      <c r="AJ78" s="987"/>
      <c r="AK78" s="987"/>
    </row>
    <row r="79" spans="15:67" hidden="1">
      <c r="O79" s="987"/>
      <c r="P79" s="987"/>
      <c r="X79" s="987"/>
      <c r="Y79" s="987"/>
      <c r="Z79" s="987"/>
      <c r="AA79" s="987"/>
      <c r="AB79" s="987"/>
      <c r="AC79" s="987"/>
      <c r="AD79" s="987"/>
      <c r="AE79" s="987"/>
      <c r="AF79" s="987"/>
      <c r="AG79" s="987"/>
      <c r="AH79" s="987"/>
      <c r="AI79" s="987"/>
      <c r="AJ79" s="987"/>
      <c r="AK79" s="987"/>
    </row>
    <row r="80" spans="15:67" hidden="1">
      <c r="O80" s="987"/>
      <c r="P80" s="987"/>
      <c r="X80" s="987"/>
      <c r="Y80" s="987"/>
      <c r="Z80" s="987"/>
      <c r="AA80" s="987"/>
      <c r="AB80" s="987"/>
      <c r="AC80" s="987"/>
      <c r="AD80" s="987"/>
      <c r="AE80" s="987"/>
      <c r="AF80" s="987"/>
      <c r="AG80" s="987"/>
      <c r="AH80" s="987"/>
      <c r="AI80" s="987"/>
      <c r="AJ80" s="987"/>
      <c r="AK80" s="987"/>
    </row>
    <row r="81" spans="15:37" hidden="1">
      <c r="O81" s="987"/>
      <c r="P81" s="987"/>
      <c r="X81" s="987"/>
      <c r="Y81" s="987"/>
      <c r="Z81" s="987"/>
      <c r="AA81" s="987"/>
      <c r="AB81" s="987"/>
      <c r="AC81" s="987"/>
      <c r="AD81" s="987"/>
      <c r="AE81" s="987"/>
      <c r="AF81" s="987"/>
      <c r="AG81" s="987"/>
      <c r="AH81" s="987"/>
      <c r="AI81" s="987"/>
      <c r="AJ81" s="987"/>
      <c r="AK81" s="987"/>
    </row>
    <row r="82" spans="15:37" hidden="1">
      <c r="O82" s="987"/>
      <c r="P82" s="987"/>
      <c r="X82" s="987"/>
      <c r="Y82" s="987"/>
      <c r="Z82" s="987"/>
      <c r="AA82" s="987"/>
      <c r="AB82" s="987"/>
      <c r="AC82" s="987"/>
      <c r="AD82" s="987"/>
      <c r="AE82" s="987"/>
      <c r="AF82" s="987"/>
      <c r="AG82" s="987"/>
      <c r="AH82" s="987"/>
      <c r="AI82" s="987"/>
      <c r="AJ82" s="987"/>
      <c r="AK82" s="987"/>
    </row>
    <row r="83" spans="15:37" hidden="1">
      <c r="O83" s="987"/>
      <c r="P83" s="987"/>
      <c r="X83" s="987"/>
      <c r="Y83" s="987"/>
      <c r="Z83" s="987"/>
      <c r="AA83" s="987"/>
      <c r="AB83" s="987"/>
      <c r="AC83" s="987"/>
      <c r="AD83" s="987"/>
      <c r="AE83" s="987"/>
      <c r="AF83" s="987"/>
      <c r="AG83" s="987"/>
      <c r="AH83" s="987"/>
      <c r="AI83" s="987"/>
      <c r="AJ83" s="987"/>
      <c r="AK83" s="987"/>
    </row>
    <row r="84" spans="15:37" hidden="1">
      <c r="O84" s="987"/>
      <c r="P84" s="987"/>
      <c r="X84" s="987"/>
      <c r="Y84" s="987"/>
      <c r="Z84" s="987"/>
      <c r="AA84" s="987"/>
      <c r="AB84" s="987"/>
      <c r="AC84" s="987"/>
      <c r="AD84" s="987"/>
      <c r="AE84" s="987"/>
      <c r="AF84" s="987"/>
      <c r="AG84" s="987"/>
      <c r="AH84" s="987"/>
      <c r="AI84" s="987"/>
      <c r="AJ84" s="987"/>
      <c r="AK84" s="987"/>
    </row>
    <row r="85" spans="15:37" hidden="1">
      <c r="O85" s="987"/>
      <c r="P85" s="987"/>
      <c r="X85" s="987"/>
      <c r="Y85" s="987"/>
      <c r="Z85" s="987"/>
      <c r="AA85" s="987"/>
      <c r="AB85" s="987"/>
      <c r="AC85" s="987"/>
      <c r="AD85" s="987"/>
      <c r="AE85" s="987"/>
      <c r="AF85" s="987"/>
      <c r="AG85" s="987"/>
      <c r="AH85" s="987"/>
      <c r="AI85" s="987"/>
      <c r="AJ85" s="987"/>
      <c r="AK85" s="987"/>
    </row>
    <row r="86" spans="15:37" hidden="1">
      <c r="O86" s="987"/>
      <c r="P86" s="987"/>
      <c r="X86" s="987"/>
      <c r="Y86" s="987"/>
      <c r="Z86" s="987"/>
      <c r="AA86" s="987"/>
      <c r="AB86" s="987"/>
      <c r="AC86" s="987"/>
      <c r="AD86" s="987"/>
      <c r="AE86" s="987"/>
      <c r="AF86" s="987"/>
      <c r="AG86" s="987"/>
      <c r="AH86" s="987"/>
      <c r="AI86" s="987"/>
      <c r="AJ86" s="987"/>
      <c r="AK86" s="987"/>
    </row>
    <row r="87" spans="15:37" hidden="1">
      <c r="O87" s="987"/>
      <c r="P87" s="987"/>
      <c r="X87" s="987"/>
      <c r="Y87" s="987"/>
      <c r="Z87" s="987"/>
      <c r="AA87" s="987"/>
      <c r="AB87" s="987"/>
      <c r="AC87" s="987"/>
      <c r="AD87" s="987"/>
      <c r="AE87" s="987"/>
      <c r="AF87" s="987"/>
      <c r="AG87" s="987"/>
      <c r="AH87" s="987"/>
      <c r="AI87" s="987"/>
      <c r="AJ87" s="987"/>
      <c r="AK87" s="987"/>
    </row>
    <row r="88" spans="15:37" hidden="1">
      <c r="O88" s="987"/>
      <c r="P88" s="987"/>
      <c r="X88" s="987"/>
      <c r="Y88" s="987"/>
      <c r="Z88" s="987"/>
      <c r="AA88" s="987"/>
      <c r="AB88" s="987"/>
      <c r="AC88" s="987"/>
      <c r="AD88" s="987"/>
      <c r="AE88" s="987"/>
      <c r="AF88" s="987"/>
      <c r="AG88" s="987"/>
      <c r="AH88" s="987"/>
      <c r="AI88" s="987"/>
      <c r="AJ88" s="987"/>
      <c r="AK88" s="987"/>
    </row>
    <row r="89" spans="15:37" hidden="1"/>
    <row r="90" spans="15:37" hidden="1"/>
    <row r="91" spans="15:37" hidden="1"/>
    <row r="92" spans="15:37" hidden="1"/>
    <row r="93" spans="15:37" hidden="1"/>
    <row r="94" spans="15:37" hidden="1"/>
    <row r="95" spans="15:37" hidden="1"/>
    <row r="96" spans="15:37" hidden="1"/>
    <row r="97" spans="2:37" hidden="1"/>
    <row r="98" spans="2:37" hidden="1"/>
    <row r="99" spans="2:37" hidden="1">
      <c r="O99" s="39">
        <v>9677.4193548387102</v>
      </c>
      <c r="P99" s="39"/>
      <c r="Q99" s="39">
        <v>347.15938203065798</v>
      </c>
      <c r="R99" s="39"/>
      <c r="X99" s="39"/>
      <c r="Y99" s="39"/>
      <c r="Z99" s="39"/>
      <c r="AA99" s="39"/>
      <c r="AB99" s="39"/>
      <c r="AC99" s="39"/>
      <c r="AD99" s="39"/>
      <c r="AE99" s="39"/>
      <c r="AF99" s="39"/>
      <c r="AG99" s="39"/>
      <c r="AH99" s="39"/>
      <c r="AI99" s="39"/>
      <c r="AJ99" s="39"/>
      <c r="AK99" s="39"/>
    </row>
    <row r="100" spans="2:37" hidden="1">
      <c r="B100">
        <v>1</v>
      </c>
      <c r="C100" t="e">
        <f>SUM(O100,#REF!,#REF!)</f>
        <v>#REF!</v>
      </c>
      <c r="D100" t="e">
        <f>SUM(Q100,#REF!,X100)</f>
        <v>#REF!</v>
      </c>
      <c r="N100">
        <v>1</v>
      </c>
      <c r="O100">
        <f>O99</f>
        <v>9677.4193548387102</v>
      </c>
    </row>
    <row r="101" spans="2:37" hidden="1">
      <c r="B101">
        <v>2</v>
      </c>
      <c r="C101" t="e">
        <f>SUM(O101,#REF!,#REF!)</f>
        <v>#REF!</v>
      </c>
      <c r="D101" t="e">
        <f>SUM(Q101,#REF!,X101)</f>
        <v>#REF!</v>
      </c>
      <c r="N101">
        <v>2</v>
      </c>
      <c r="O101">
        <f t="shared" ref="O101:O130" si="19">O100+($O$99)</f>
        <v>19354.83870967742</v>
      </c>
    </row>
    <row r="102" spans="2:37" hidden="1">
      <c r="B102">
        <v>3</v>
      </c>
      <c r="C102" t="e">
        <f>SUM(O102,#REF!,#REF!)</f>
        <v>#REF!</v>
      </c>
      <c r="D102" t="e">
        <f>SUM(Q102,#REF!,X102)</f>
        <v>#REF!</v>
      </c>
      <c r="N102">
        <v>3</v>
      </c>
      <c r="O102">
        <f t="shared" si="19"/>
        <v>29032.258064516129</v>
      </c>
    </row>
    <row r="103" spans="2:37" hidden="1">
      <c r="B103">
        <v>4</v>
      </c>
      <c r="C103" t="e">
        <f>SUM(O103,#REF!,#REF!)</f>
        <v>#REF!</v>
      </c>
      <c r="D103" t="e">
        <f>SUM(Q103,#REF!,X103)</f>
        <v>#REF!</v>
      </c>
      <c r="N103">
        <v>4</v>
      </c>
      <c r="O103">
        <f t="shared" si="19"/>
        <v>38709.677419354841</v>
      </c>
    </row>
    <row r="104" spans="2:37" hidden="1">
      <c r="B104">
        <v>5</v>
      </c>
      <c r="C104" t="e">
        <f>SUM(O104,#REF!,#REF!)</f>
        <v>#REF!</v>
      </c>
      <c r="D104" t="e">
        <f>SUM(Q104,#REF!,X104)</f>
        <v>#REF!</v>
      </c>
      <c r="N104">
        <v>5</v>
      </c>
      <c r="O104">
        <f t="shared" si="19"/>
        <v>48387.096774193553</v>
      </c>
    </row>
    <row r="105" spans="2:37" hidden="1">
      <c r="B105">
        <v>6</v>
      </c>
      <c r="C105" t="e">
        <f>SUM(O105,#REF!,#REF!)</f>
        <v>#REF!</v>
      </c>
      <c r="D105" t="e">
        <f>SUM(Q105,#REF!,X105)</f>
        <v>#REF!</v>
      </c>
      <c r="N105">
        <v>6</v>
      </c>
      <c r="O105">
        <f t="shared" si="19"/>
        <v>58064.516129032265</v>
      </c>
    </row>
    <row r="106" spans="2:37" hidden="1">
      <c r="B106">
        <v>7</v>
      </c>
      <c r="C106" t="e">
        <f>SUM(O106,#REF!,#REF!)</f>
        <v>#REF!</v>
      </c>
      <c r="D106" t="e">
        <f>SUM(Q106,#REF!,X106)</f>
        <v>#REF!</v>
      </c>
      <c r="N106">
        <v>7</v>
      </c>
      <c r="O106">
        <f t="shared" si="19"/>
        <v>67741.93548387097</v>
      </c>
    </row>
    <row r="107" spans="2:37" hidden="1">
      <c r="B107">
        <v>8</v>
      </c>
      <c r="C107" t="e">
        <f>SUM(O107,#REF!,#REF!)</f>
        <v>#REF!</v>
      </c>
      <c r="D107" t="e">
        <f>SUM(Q107,#REF!,X107)</f>
        <v>#REF!</v>
      </c>
      <c r="N107">
        <v>8</v>
      </c>
      <c r="O107">
        <f t="shared" si="19"/>
        <v>77419.354838709682</v>
      </c>
    </row>
    <row r="108" spans="2:37" hidden="1">
      <c r="B108">
        <v>9</v>
      </c>
      <c r="C108" t="e">
        <f>SUM(O108,#REF!,#REF!)</f>
        <v>#REF!</v>
      </c>
      <c r="D108" t="e">
        <f>SUM(Q108,#REF!,X108)</f>
        <v>#REF!</v>
      </c>
      <c r="N108">
        <v>9</v>
      </c>
      <c r="O108">
        <f t="shared" si="19"/>
        <v>87096.774193548394</v>
      </c>
    </row>
    <row r="109" spans="2:37" hidden="1">
      <c r="B109">
        <v>10</v>
      </c>
      <c r="C109" t="e">
        <f>SUM(O109,#REF!,#REF!)</f>
        <v>#REF!</v>
      </c>
      <c r="D109" t="e">
        <f>SUM(Q109,#REF!,X109)</f>
        <v>#REF!</v>
      </c>
      <c r="N109">
        <v>10</v>
      </c>
      <c r="O109">
        <f t="shared" si="19"/>
        <v>96774.193548387106</v>
      </c>
    </row>
    <row r="110" spans="2:37" hidden="1">
      <c r="B110">
        <v>11</v>
      </c>
      <c r="C110" t="e">
        <f>SUM(O110,#REF!,#REF!)</f>
        <v>#REF!</v>
      </c>
      <c r="D110" t="e">
        <f>SUM(Q110,#REF!,X110)</f>
        <v>#REF!</v>
      </c>
      <c r="N110">
        <v>11</v>
      </c>
      <c r="O110">
        <f t="shared" si="19"/>
        <v>106451.61290322582</v>
      </c>
    </row>
    <row r="111" spans="2:37" hidden="1">
      <c r="B111">
        <v>12</v>
      </c>
      <c r="C111" t="e">
        <f>SUM(O111,#REF!,#REF!)</f>
        <v>#REF!</v>
      </c>
      <c r="D111" t="e">
        <f>SUM(Q111,#REF!,X111)</f>
        <v>#REF!</v>
      </c>
      <c r="N111">
        <v>12</v>
      </c>
      <c r="O111">
        <f t="shared" si="19"/>
        <v>116129.03225806453</v>
      </c>
    </row>
    <row r="112" spans="2:37" hidden="1">
      <c r="B112">
        <v>13</v>
      </c>
      <c r="C112" t="e">
        <f>SUM(O112,#REF!,#REF!)</f>
        <v>#REF!</v>
      </c>
      <c r="D112" t="e">
        <f>SUM(Q112,#REF!,X112)</f>
        <v>#REF!</v>
      </c>
      <c r="N112">
        <v>13</v>
      </c>
      <c r="O112">
        <f t="shared" si="19"/>
        <v>125806.45161290324</v>
      </c>
    </row>
    <row r="113" spans="2:15" hidden="1">
      <c r="B113">
        <v>14</v>
      </c>
      <c r="C113" t="e">
        <f>SUM(O113,#REF!,#REF!)</f>
        <v>#REF!</v>
      </c>
      <c r="D113" t="e">
        <f>SUM(Q113,#REF!,X113)</f>
        <v>#REF!</v>
      </c>
      <c r="N113">
        <v>14</v>
      </c>
      <c r="O113">
        <f t="shared" si="19"/>
        <v>135483.87096774194</v>
      </c>
    </row>
    <row r="114" spans="2:15" hidden="1">
      <c r="B114">
        <v>15</v>
      </c>
      <c r="C114" t="e">
        <f>SUM(O114,#REF!,#REF!)</f>
        <v>#REF!</v>
      </c>
      <c r="D114" t="e">
        <f>SUM(Q114,#REF!,X114)</f>
        <v>#REF!</v>
      </c>
      <c r="N114">
        <v>15</v>
      </c>
      <c r="O114">
        <f t="shared" si="19"/>
        <v>145161.29032258064</v>
      </c>
    </row>
    <row r="115" spans="2:15" hidden="1">
      <c r="B115">
        <v>16</v>
      </c>
      <c r="C115" t="e">
        <f>SUM(O115,#REF!,#REF!)</f>
        <v>#REF!</v>
      </c>
      <c r="D115" t="e">
        <f>SUM(Q115,#REF!,X115)</f>
        <v>#REF!</v>
      </c>
      <c r="N115">
        <v>16</v>
      </c>
      <c r="O115">
        <f t="shared" si="19"/>
        <v>154838.70967741933</v>
      </c>
    </row>
    <row r="116" spans="2:15" hidden="1">
      <c r="B116">
        <v>17</v>
      </c>
      <c r="C116" t="e">
        <f>SUM(O116,#REF!,#REF!)</f>
        <v>#REF!</v>
      </c>
      <c r="D116" t="e">
        <f>SUM(Q116,#REF!,X116)</f>
        <v>#REF!</v>
      </c>
      <c r="N116">
        <v>17</v>
      </c>
      <c r="O116">
        <f t="shared" si="19"/>
        <v>164516.12903225803</v>
      </c>
    </row>
    <row r="117" spans="2:15" hidden="1">
      <c r="B117">
        <v>18</v>
      </c>
      <c r="C117" t="e">
        <f>SUM(O117,#REF!,#REF!)</f>
        <v>#REF!</v>
      </c>
      <c r="D117" t="e">
        <f>SUM(Q117,#REF!,X117)</f>
        <v>#REF!</v>
      </c>
      <c r="N117">
        <v>18</v>
      </c>
      <c r="O117">
        <f t="shared" si="19"/>
        <v>174193.54838709673</v>
      </c>
    </row>
    <row r="118" spans="2:15" hidden="1">
      <c r="B118">
        <v>19</v>
      </c>
      <c r="C118" t="e">
        <f>SUM(O118,#REF!,#REF!)</f>
        <v>#REF!</v>
      </c>
      <c r="D118" t="e">
        <f>SUM(Q118,#REF!,X118)</f>
        <v>#REF!</v>
      </c>
      <c r="N118">
        <v>19</v>
      </c>
      <c r="O118">
        <f t="shared" si="19"/>
        <v>183870.96774193543</v>
      </c>
    </row>
    <row r="119" spans="2:15" hidden="1">
      <c r="B119">
        <v>20</v>
      </c>
      <c r="C119" t="e">
        <f>SUM(O119,#REF!,#REF!)</f>
        <v>#REF!</v>
      </c>
      <c r="D119" t="e">
        <f>SUM(Q119,#REF!,X119)</f>
        <v>#REF!</v>
      </c>
      <c r="N119">
        <v>20</v>
      </c>
      <c r="O119">
        <f t="shared" si="19"/>
        <v>193548.38709677412</v>
      </c>
    </row>
    <row r="120" spans="2:15" hidden="1">
      <c r="B120">
        <v>21</v>
      </c>
      <c r="C120" t="e">
        <f>SUM(O120,#REF!,#REF!)</f>
        <v>#REF!</v>
      </c>
      <c r="D120" t="e">
        <f>SUM(Q120,#REF!,X120)</f>
        <v>#REF!</v>
      </c>
      <c r="N120">
        <v>21</v>
      </c>
      <c r="O120">
        <f t="shared" si="19"/>
        <v>203225.80645161282</v>
      </c>
    </row>
    <row r="121" spans="2:15" hidden="1">
      <c r="B121">
        <v>22</v>
      </c>
      <c r="C121" t="e">
        <f>SUM(O121,#REF!,#REF!)</f>
        <v>#REF!</v>
      </c>
      <c r="D121" t="e">
        <f>SUM(Q121,#REF!,X121)</f>
        <v>#REF!</v>
      </c>
      <c r="N121">
        <v>22</v>
      </c>
      <c r="O121">
        <f t="shared" si="19"/>
        <v>212903.22580645152</v>
      </c>
    </row>
    <row r="122" spans="2:15" hidden="1">
      <c r="B122">
        <v>23</v>
      </c>
      <c r="C122" t="e">
        <f>SUM(O122,#REF!,#REF!)</f>
        <v>#REF!</v>
      </c>
      <c r="D122" t="e">
        <f>SUM(Q122,#REF!,X122)</f>
        <v>#REF!</v>
      </c>
      <c r="N122">
        <v>23</v>
      </c>
      <c r="O122">
        <f t="shared" si="19"/>
        <v>222580.64516129022</v>
      </c>
    </row>
    <row r="123" spans="2:15" hidden="1">
      <c r="B123">
        <v>24</v>
      </c>
      <c r="C123" t="e">
        <f>SUM(O123,#REF!,#REF!)</f>
        <v>#REF!</v>
      </c>
      <c r="D123" t="e">
        <f>SUM(Q123,#REF!,X123)</f>
        <v>#REF!</v>
      </c>
      <c r="N123">
        <v>24</v>
      </c>
      <c r="O123">
        <f t="shared" si="19"/>
        <v>232258.06451612891</v>
      </c>
    </row>
    <row r="124" spans="2:15" hidden="1">
      <c r="B124">
        <v>25</v>
      </c>
      <c r="C124" t="e">
        <f>SUM(O124,#REF!,#REF!)</f>
        <v>#REF!</v>
      </c>
      <c r="D124" t="e">
        <f>SUM(Q124,#REF!,X124)</f>
        <v>#REF!</v>
      </c>
      <c r="N124">
        <v>25</v>
      </c>
      <c r="O124">
        <f t="shared" si="19"/>
        <v>241935.48387096761</v>
      </c>
    </row>
    <row r="125" spans="2:15" hidden="1">
      <c r="B125">
        <v>26</v>
      </c>
      <c r="C125" t="e">
        <f>SUM(O125,#REF!,#REF!)</f>
        <v>#REF!</v>
      </c>
      <c r="D125" t="e">
        <f>SUM(Q125,#REF!,X125)</f>
        <v>#REF!</v>
      </c>
      <c r="N125">
        <v>26</v>
      </c>
      <c r="O125">
        <f t="shared" si="19"/>
        <v>251612.90322580631</v>
      </c>
    </row>
    <row r="126" spans="2:15" hidden="1">
      <c r="B126">
        <v>27</v>
      </c>
      <c r="C126" t="e">
        <f>SUM(O126,#REF!,#REF!)</f>
        <v>#REF!</v>
      </c>
      <c r="D126" t="e">
        <f>SUM(Q126,#REF!,X126)</f>
        <v>#REF!</v>
      </c>
      <c r="N126">
        <v>27</v>
      </c>
      <c r="O126">
        <f t="shared" si="19"/>
        <v>261290.32258064501</v>
      </c>
    </row>
    <row r="127" spans="2:15" hidden="1">
      <c r="B127">
        <v>28</v>
      </c>
      <c r="C127" t="e">
        <f>SUM(O127,#REF!,#REF!)</f>
        <v>#REF!</v>
      </c>
      <c r="D127" t="e">
        <f>SUM(Q127,#REF!,X127)</f>
        <v>#REF!</v>
      </c>
      <c r="N127">
        <v>28</v>
      </c>
      <c r="O127">
        <f t="shared" si="19"/>
        <v>270967.7419354837</v>
      </c>
    </row>
    <row r="128" spans="2:15" hidden="1">
      <c r="B128">
        <v>29</v>
      </c>
      <c r="C128" t="e">
        <f>SUM(O128,#REF!,#REF!)</f>
        <v>#REF!</v>
      </c>
      <c r="D128" t="e">
        <f>SUM(Q128,#REF!,X128)</f>
        <v>#REF!</v>
      </c>
      <c r="N128">
        <v>29</v>
      </c>
      <c r="O128">
        <f t="shared" si="19"/>
        <v>280645.16129032243</v>
      </c>
    </row>
    <row r="129" spans="2:15" hidden="1">
      <c r="B129">
        <v>30</v>
      </c>
      <c r="C129" t="e">
        <f>SUM(O129,#REF!,#REF!)</f>
        <v>#REF!</v>
      </c>
      <c r="D129" t="e">
        <f>SUM(Q129,#REF!,X129)</f>
        <v>#REF!</v>
      </c>
      <c r="N129">
        <v>30</v>
      </c>
      <c r="O129">
        <f t="shared" si="19"/>
        <v>290322.58064516116</v>
      </c>
    </row>
    <row r="130" spans="2:15" hidden="1">
      <c r="B130">
        <v>31</v>
      </c>
      <c r="C130" t="e">
        <f>SUM(O130,#REF!,#REF!)</f>
        <v>#REF!</v>
      </c>
      <c r="D130" t="e">
        <f>SUM(Q130,#REF!,X130)</f>
        <v>#REF!</v>
      </c>
      <c r="N130">
        <v>31</v>
      </c>
      <c r="O130">
        <f t="shared" si="19"/>
        <v>299999.99999999988</v>
      </c>
    </row>
    <row r="131" spans="2:15" hidden="1"/>
    <row r="132" spans="2:15" hidden="1"/>
    <row r="133" spans="2:15" hidden="1"/>
    <row r="134" spans="2:15" hidden="1"/>
    <row r="135" spans="2:15" hidden="1"/>
    <row r="136" spans="2:15" hidden="1"/>
    <row r="137" spans="2:15" hidden="1"/>
    <row r="138" spans="2:15" hidden="1"/>
    <row r="139" spans="2:15" hidden="1"/>
    <row r="140" spans="2:15" hidden="1"/>
    <row r="141" spans="2:15" hidden="1"/>
  </sheetData>
  <mergeCells count="31">
    <mergeCell ref="BS8:BS9"/>
    <mergeCell ref="C9:M9"/>
    <mergeCell ref="O9:O11"/>
    <mergeCell ref="P9:R10"/>
    <mergeCell ref="S9:S11"/>
    <mergeCell ref="T9:T11"/>
    <mergeCell ref="X9:X11"/>
    <mergeCell ref="Z9:AB10"/>
    <mergeCell ref="AI9:AL9"/>
    <mergeCell ref="AO9:AR9"/>
    <mergeCell ref="BK8:BQ8"/>
    <mergeCell ref="BL9:BO9"/>
    <mergeCell ref="AZ10:BD10"/>
    <mergeCell ref="BP9:BP10"/>
    <mergeCell ref="BQ9:BQ10"/>
    <mergeCell ref="C10:C11"/>
    <mergeCell ref="B8:B11"/>
    <mergeCell ref="O8:T8"/>
    <mergeCell ref="Z8:AB8"/>
    <mergeCell ref="AI8:AL8"/>
    <mergeCell ref="AX8:BD8"/>
    <mergeCell ref="AX9:AX11"/>
    <mergeCell ref="AY9:AY11"/>
    <mergeCell ref="AZ9:BD9"/>
    <mergeCell ref="D10:D11"/>
    <mergeCell ref="E10:E11"/>
    <mergeCell ref="F10:G10"/>
    <mergeCell ref="H10:I10"/>
    <mergeCell ref="J10:K10"/>
    <mergeCell ref="L10:M10"/>
    <mergeCell ref="U10:W10"/>
  </mergeCells>
  <conditionalFormatting sqref="C43">
    <cfRule type="expression" dxfId="389" priority="12">
      <formula>OR(AND(C43&lt;(#REF!-(10%*#REF!)),#REF!="OB"),AND(C43&lt;(#REF!-(10%*#REF!)),#REF!="ROM"))</formula>
    </cfRule>
    <cfRule type="expression" dxfId="388" priority="13">
      <formula>$B43=DAY(TODAY()-1)</formula>
    </cfRule>
  </conditionalFormatting>
  <conditionalFormatting sqref="O12:U12 S13:T22 O13:R42 U13:U42 S23 O43:W43">
    <cfRule type="expression" dxfId="387" priority="14">
      <formula>OR(AND(O12&lt;(#REF!-(10%*#REF!)),#REF!="OB"),AND(O12&lt;(#REF!-(10%*#REF!)),#REF!="ROM"))</formula>
    </cfRule>
  </conditionalFormatting>
  <conditionalFormatting sqref="O12:U12 AX12:AY12 BQ12:BR37 BT12:CK37 AY13 S13:T22 O13:R42 U13:U42 AX13:AX42 AY15:AY18 S23 BQ39:BR42 BT39:CK43 O43:W43 BK43:BR43">
    <cfRule type="expression" dxfId="386" priority="15">
      <formula>$B12=DAY(TODAY()-1)</formula>
    </cfRule>
  </conditionalFormatting>
  <conditionalFormatting sqref="V12:W42 S24:T42">
    <cfRule type="expression" dxfId="385" priority="4">
      <formula>OR(AND(S12&lt;(#REF!-(10%*#REF!)),#REF!="OB"),AND(S12&lt;(#REF!-(10%*#REF!)),#REF!="ROM"))</formula>
    </cfRule>
    <cfRule type="expression" dxfId="384" priority="5">
      <formula>$B12=DAY(TODAY()-1)</formula>
    </cfRule>
  </conditionalFormatting>
  <conditionalFormatting sqref="X12:AK43">
    <cfRule type="expression" dxfId="383" priority="10">
      <formula>OR(AND(X12&lt;(#REF!-(10%*#REF!)),#REF!="OB"),AND(X12&lt;(#REF!-(10%*#REF!)),#REF!="ROM"))</formula>
    </cfRule>
    <cfRule type="expression" dxfId="382" priority="11">
      <formula>$B12=DAY(TODAY()-1)</formula>
    </cfRule>
  </conditionalFormatting>
  <conditionalFormatting sqref="AO1:AU100">
    <cfRule type="expression" dxfId="381" priority="2">
      <formula>OR(TEXT($A2,"dd/mm/yyyy")=TEXT(DATE(2025,4,18),"dd/mm/yyyy"), TEXT($A2,"dd/mm/yyyy")=TEXT(TODAY()-1,"dd/mm/yyyy"))</formula>
    </cfRule>
  </conditionalFormatting>
  <conditionalFormatting sqref="AO2:AU100">
    <cfRule type="expression" dxfId="380" priority="1">
      <formula>OR($B2=DAY(TODAY()-1))</formula>
    </cfRule>
  </conditionalFormatting>
  <conditionalFormatting sqref="AX43:AY43">
    <cfRule type="expression" dxfId="379" priority="8">
      <formula>$B43=DAY(TODAY()-1)</formula>
    </cfRule>
  </conditionalFormatting>
  <conditionalFormatting sqref="AY19">
    <cfRule type="expression" dxfId="378" priority="16">
      <formula>$B14=DAY(TODAY()-1)</formula>
    </cfRule>
  </conditionalFormatting>
  <conditionalFormatting sqref="AY20:AY42">
    <cfRule type="expression" dxfId="377" priority="7">
      <formula>$B20=DAY(TODAY()-1)</formula>
    </cfRule>
  </conditionalFormatting>
  <conditionalFormatting sqref="AZ12:BE43">
    <cfRule type="expression" dxfId="376" priority="6">
      <formula>$B12=DAY(TODAY()-1)</formula>
    </cfRule>
  </conditionalFormatting>
  <conditionalFormatting sqref="BK12:BP42">
    <cfRule type="expression" dxfId="375" priority="3">
      <formula>$B12=DAY(TODAY()-1)</formula>
    </cfRule>
  </conditionalFormatting>
  <conditionalFormatting sqref="BS12:BS42">
    <cfRule type="expression" dxfId="374" priority="9">
      <formula>$B12=DAY(TODAY()-1)</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B0F0"/>
  </sheetPr>
  <dimension ref="A1:BM65"/>
  <sheetViews>
    <sheetView showGridLines="0" tabSelected="1" zoomScale="55" zoomScaleNormal="55" workbookViewId="0">
      <selection activeCell="A4" sqref="A4:S43"/>
    </sheetView>
  </sheetViews>
  <sheetFormatPr defaultRowHeight="14.4"/>
  <cols>
    <col min="1" max="1" width="2.88671875" customWidth="1"/>
    <col min="4" max="4" width="8.88671875" customWidth="1"/>
    <col min="5" max="5" width="31.6640625" customWidth="1"/>
    <col min="6" max="6" width="21" customWidth="1"/>
    <col min="7" max="7" width="19.88671875" customWidth="1"/>
    <col min="8" max="8" width="14.88671875" customWidth="1"/>
    <col min="9" max="9" width="0.5546875" customWidth="1"/>
    <col min="10" max="10" width="14.5546875" customWidth="1"/>
    <col min="11" max="11" width="22" customWidth="1"/>
    <col min="12" max="12" width="14.33203125" hidden="1" customWidth="1"/>
    <col min="13" max="13" width="20" customWidth="1"/>
    <col min="14" max="14" width="20.6640625" customWidth="1"/>
    <col min="15" max="15" width="18.109375" customWidth="1"/>
    <col min="16" max="16" width="15.88671875" customWidth="1"/>
    <col min="17" max="17" width="13.6640625" customWidth="1"/>
    <col min="18" max="18" width="14.109375" customWidth="1"/>
    <col min="19" max="19" width="98.88671875" customWidth="1"/>
    <col min="20" max="20" width="2.44140625" customWidth="1"/>
  </cols>
  <sheetData>
    <row r="1" spans="1:65" s="98" customFormat="1">
      <c r="E1" s="434" t="s">
        <v>390</v>
      </c>
      <c r="G1" s="1380" t="s">
        <v>391</v>
      </c>
      <c r="K1" s="434" t="s">
        <v>392</v>
      </c>
      <c r="M1" s="434" t="s">
        <v>393</v>
      </c>
    </row>
    <row r="2" spans="1:65" s="98" customFormat="1">
      <c r="A2" s="98">
        <f ca="1">'Summary TCM'!B4</f>
        <v>7</v>
      </c>
      <c r="E2" s="2223">
        <v>23025227.39000003</v>
      </c>
      <c r="F2" s="1696"/>
      <c r="G2" s="1696">
        <v>20804911.753399998</v>
      </c>
      <c r="H2" s="1697"/>
      <c r="I2" s="1697"/>
      <c r="J2" s="1697"/>
      <c r="K2" s="1696">
        <v>1530000</v>
      </c>
      <c r="L2" s="1696"/>
      <c r="M2" s="2160">
        <v>1316506.9099999999</v>
      </c>
    </row>
    <row r="3" spans="1:65" s="98" customFormat="1">
      <c r="E3" s="2223">
        <v>7640000</v>
      </c>
      <c r="F3" s="1696"/>
      <c r="G3" s="1696">
        <v>7261343.7598400004</v>
      </c>
      <c r="H3" s="1697"/>
      <c r="I3" s="1697"/>
      <c r="J3" s="1697"/>
      <c r="K3" s="1696">
        <v>395000</v>
      </c>
      <c r="L3" s="1696"/>
      <c r="M3" s="2160">
        <v>344529.83672148408</v>
      </c>
    </row>
    <row r="4" spans="1:65" s="98" customFormat="1">
      <c r="E4" s="2223">
        <v>6700000</v>
      </c>
      <c r="F4" s="1696"/>
      <c r="G4" s="1696">
        <v>5691034.785099999</v>
      </c>
      <c r="H4" s="1697"/>
      <c r="I4" s="1697"/>
      <c r="J4" s="1697"/>
      <c r="K4" s="1696">
        <v>700000</v>
      </c>
      <c r="L4" s="1696"/>
      <c r="M4" s="2160">
        <v>431429.06024180283</v>
      </c>
    </row>
    <row r="5" spans="1:65" s="145" customFormat="1" ht="21">
      <c r="G5" s="2760" t="s">
        <v>394</v>
      </c>
      <c r="H5" s="2760"/>
      <c r="I5" s="2760"/>
      <c r="J5" s="2760"/>
      <c r="K5" s="2760"/>
      <c r="L5" s="2760"/>
      <c r="M5" s="2760"/>
      <c r="N5" s="2760"/>
      <c r="O5" s="2760"/>
      <c r="P5" s="2760"/>
    </row>
    <row r="6" spans="1:65" s="145" customFormat="1"/>
    <row r="7" spans="1:65" ht="21" customHeight="1">
      <c r="E7" s="2758" t="str">
        <f ca="1">TEXT(TODAY()-1,"dd-mm-yyyy")</f>
        <v>07-09-2026</v>
      </c>
      <c r="F7" s="2762" t="s">
        <v>2</v>
      </c>
      <c r="G7" s="2761" t="s">
        <v>8</v>
      </c>
      <c r="H7" s="2761"/>
      <c r="I7" s="2761"/>
      <c r="J7" s="2761"/>
      <c r="K7" s="2761" t="s">
        <v>9</v>
      </c>
      <c r="L7" s="2761"/>
      <c r="M7" s="2761"/>
      <c r="N7" s="2757" t="s">
        <v>10</v>
      </c>
      <c r="O7" s="2757"/>
      <c r="P7" s="2757"/>
      <c r="Q7" s="2757" t="s">
        <v>9</v>
      </c>
      <c r="R7" s="2757"/>
      <c r="S7" s="940" t="s">
        <v>395</v>
      </c>
    </row>
    <row r="8" spans="1:65">
      <c r="B8" s="962">
        <v>1</v>
      </c>
      <c r="E8" s="2759"/>
      <c r="F8" s="2763"/>
      <c r="G8" s="937" t="s">
        <v>11</v>
      </c>
      <c r="H8" s="937" t="s">
        <v>12</v>
      </c>
      <c r="I8" s="937" t="s">
        <v>396</v>
      </c>
      <c r="J8" s="937" t="s">
        <v>13</v>
      </c>
      <c r="K8" s="937" t="s">
        <v>14</v>
      </c>
      <c r="L8" s="937" t="s">
        <v>396</v>
      </c>
      <c r="M8" s="937" t="s">
        <v>15</v>
      </c>
      <c r="N8" s="963" t="s">
        <v>11</v>
      </c>
      <c r="O8" s="963" t="s">
        <v>12</v>
      </c>
      <c r="P8" s="963" t="s">
        <v>13</v>
      </c>
      <c r="Q8" s="963" t="s">
        <v>14</v>
      </c>
      <c r="R8" s="963" t="s">
        <v>15</v>
      </c>
      <c r="S8" s="941"/>
    </row>
    <row r="9" spans="1:65" ht="18">
      <c r="B9" s="962">
        <v>0.9</v>
      </c>
      <c r="E9" s="946" t="s">
        <v>3</v>
      </c>
      <c r="F9" s="947">
        <f ca="1">SUM(F10:F12)</f>
        <v>153766</v>
      </c>
      <c r="G9" s="947">
        <f ca="1">SUM(G10:G12)</f>
        <v>1212580.6451612904</v>
      </c>
      <c r="H9" s="948">
        <f ca="1">SUM(H10:H12)</f>
        <v>994677.41935483867</v>
      </c>
      <c r="I9" s="948">
        <f ca="1">SUM(I10:I12)</f>
        <v>1007148.1203225876</v>
      </c>
      <c r="J9" s="948">
        <f>SUM(J10:J12)</f>
        <v>1092502</v>
      </c>
      <c r="K9" s="1675">
        <f ca="1">IFERROR(J9/G9,"")</f>
        <v>0.90097265230114387</v>
      </c>
      <c r="L9" s="949">
        <f ca="1">IFERROR(J9/H9,"")</f>
        <v>1.0983480460515649</v>
      </c>
      <c r="M9" s="1675">
        <f ca="1">IFERROR(J9/H9,"")</f>
        <v>1.0983480460515649</v>
      </c>
      <c r="N9" s="947">
        <f ca="1">SUM(N10:N12)</f>
        <v>38577808.035161324</v>
      </c>
      <c r="O9" s="947">
        <f ca="1">SUM(O10:O12)</f>
        <v>34751967.717694834</v>
      </c>
      <c r="P9" s="948">
        <f ca="1">SUM(P10:P12)</f>
        <v>34815717.587540001</v>
      </c>
      <c r="Q9" s="1687">
        <f ca="1">IFERROR(P9/N9,"")</f>
        <v>0.90248045082829986</v>
      </c>
      <c r="R9" s="1687">
        <f ca="1">IFERROR(P9/O9,"")</f>
        <v>1.0018344247543918</v>
      </c>
      <c r="S9" s="950"/>
    </row>
    <row r="10" spans="1:65" ht="18">
      <c r="E10" s="944" t="s">
        <v>16</v>
      </c>
      <c r="F10" s="2446">
        <f ca="1">'Summary TCM'!E11</f>
        <v>88536</v>
      </c>
      <c r="G10" s="956">
        <f ca="1">LOOKUP(A2, 'September TCM'!$N$53:$N$83, 'September TCM'!$O$53:$O$83)</f>
        <v>812903.22580645152</v>
      </c>
      <c r="H10" s="938">
        <f ca="1">LOOKUP(A2, 'September TCM'!$N$95:$N$125, 'September TCM'!$O$95:$O$125)</f>
        <v>597258.06451612897</v>
      </c>
      <c r="I10" s="938">
        <f ca="1">LOOKUP(A2, 'January TCM'!$N$95:$N$125, 'January TCM'!$O$95:$O$125)</f>
        <v>605212.63645161991</v>
      </c>
      <c r="J10" s="938">
        <f>'Summary TCM'!H11</f>
        <v>648396</v>
      </c>
      <c r="K10" s="1676">
        <f ca="1">IFERROR(J10/G10,"")</f>
        <v>0.79763000000000006</v>
      </c>
      <c r="L10" s="949">
        <f ca="1">IFERROR(J10/H10,"")</f>
        <v>1.0856211720226845</v>
      </c>
      <c r="M10" s="1676">
        <f ca="1">IFERROR(J10/H10,"")</f>
        <v>1.0856211720226845</v>
      </c>
      <c r="N10" s="938">
        <f ca="1">E2+G10</f>
        <v>23838130.615806483</v>
      </c>
      <c r="O10" s="938">
        <f ca="1">G2+H10</f>
        <v>21402169.817916125</v>
      </c>
      <c r="P10" s="938">
        <f ca="1">'Summary TCM'!M11</f>
        <v>21420430.6426</v>
      </c>
      <c r="Q10" s="1676">
        <f ca="1">IFERROR(P10/N10,"")</f>
        <v>0.89857845767472366</v>
      </c>
      <c r="R10" s="1676">
        <f ca="1">IFERROR(P10/O10,"")</f>
        <v>1.0008532230535143</v>
      </c>
      <c r="S10" s="942"/>
    </row>
    <row r="11" spans="1:65" ht="18">
      <c r="E11" s="944" t="s">
        <v>17</v>
      </c>
      <c r="F11" s="2446">
        <f ca="1">'Summary TCM'!E12</f>
        <v>35470</v>
      </c>
      <c r="G11" s="956">
        <f ca="1">LOOKUP(A2, 'September TCM'!$R$53:$R$83, 'September TCM'!$S$53:$S$83)</f>
        <v>237096.77419354839</v>
      </c>
      <c r="H11" s="938">
        <f ca="1">LOOKUP(A2, 'September TCM'!$R$95:$R$125, 'September TCM'!$S$95:$S$125)</f>
        <v>191935.48387096773</v>
      </c>
      <c r="I11" s="938">
        <f ca="1">LOOKUP(A2, 'January TCM'!$R$95:$R$125, 'January TCM'!$S$95:$S$125)</f>
        <v>196451.61290322576</v>
      </c>
      <c r="J11" s="938">
        <f>'Summary TCM'!H12</f>
        <v>239715</v>
      </c>
      <c r="K11" s="1676">
        <f ca="1">IFERROR(J11/G11,"")</f>
        <v>1.0110428571428571</v>
      </c>
      <c r="L11" s="949">
        <f ca="1">IFERROR(J11/H11,"")</f>
        <v>1.2489352941176473</v>
      </c>
      <c r="M11" s="1676">
        <f ca="1">IFERROR(J11/H11,"")</f>
        <v>1.2489352941176473</v>
      </c>
      <c r="N11" s="938">
        <f ca="1">E3+G11</f>
        <v>7877096.7741935486</v>
      </c>
      <c r="O11" s="938">
        <f ca="1">G3+H11</f>
        <v>7453279.2437109677</v>
      </c>
      <c r="P11" s="938">
        <f ca="1">'Summary TCM'!M12</f>
        <v>7499861.1598400008</v>
      </c>
      <c r="Q11" s="1676">
        <f ca="1">IFERROR(P11/N11,"")</f>
        <v>0.95210981594266764</v>
      </c>
      <c r="R11" s="1676">
        <f ca="1">IFERROR(P11/O11,"")</f>
        <v>1.0062498552121657</v>
      </c>
      <c r="S11" s="942"/>
      <c r="BM11">
        <v>20041.644545422801</v>
      </c>
    </row>
    <row r="12" spans="1:65" ht="18">
      <c r="E12" s="945" t="s">
        <v>18</v>
      </c>
      <c r="F12" s="2447">
        <f ca="1">'Summary TCM'!E13+'Summary TCM'!E14</f>
        <v>29760</v>
      </c>
      <c r="G12" s="957">
        <f ca="1">LOOKUP(A2, 'September TCM'!$V$53:$V$83, 'September TCM'!$W$53:$W$83)</f>
        <v>162580.64516129033</v>
      </c>
      <c r="H12" s="939">
        <f ca="1">LOOKUP(A2, 'September TCM'!$V$95:$V$125, 'September TCM'!$W$95:$W$125)</f>
        <v>205483.87096774194</v>
      </c>
      <c r="I12" s="939">
        <f ca="1">LOOKUP(A2, 'January TCM'!$V$95:$V$125, 'January TCM'!$W$95:$W$125)</f>
        <v>205483.87096774194</v>
      </c>
      <c r="J12" s="939">
        <f>'Summary TCM'!H13+'Summary TCM'!H14</f>
        <v>204391</v>
      </c>
      <c r="K12" s="1677">
        <f ca="1">IFERROR(J12/G12,"")</f>
        <v>1.257166865079365</v>
      </c>
      <c r="L12" s="949">
        <f ca="1">IFERROR(J12/H12,"")</f>
        <v>0.9946814756671899</v>
      </c>
      <c r="M12" s="1677">
        <f ca="1">IFERROR(J12/H12,"")</f>
        <v>0.9946814756671899</v>
      </c>
      <c r="N12" s="939">
        <f ca="1">E4+G12</f>
        <v>6862580.6451612907</v>
      </c>
      <c r="O12" s="939">
        <f ca="1">G4+H12</f>
        <v>5896518.6560677411</v>
      </c>
      <c r="P12" s="939">
        <f ca="1">'Summary TCM'!M13+'Summary TCM'!M14</f>
        <v>5895425.785099999</v>
      </c>
      <c r="Q12" s="1676">
        <f ca="1">IFERROR(P12/N12,"")</f>
        <v>0.85906834322694348</v>
      </c>
      <c r="R12" s="1676">
        <f ca="1">IFERROR(P12/O12,"")</f>
        <v>0.99981465827016125</v>
      </c>
      <c r="S12" s="943"/>
    </row>
    <row r="13" spans="1:65" ht="18" customHeight="1">
      <c r="E13" s="506"/>
      <c r="F13" s="506"/>
      <c r="G13" s="935"/>
      <c r="H13" s="935"/>
      <c r="I13" s="935"/>
      <c r="J13" s="936"/>
      <c r="K13" s="936"/>
      <c r="L13" s="936"/>
      <c r="M13" s="936"/>
      <c r="N13" s="917"/>
      <c r="O13" s="916"/>
      <c r="P13" s="459"/>
      <c r="Q13" s="1688"/>
      <c r="R13" s="463"/>
      <c r="S13" s="92"/>
    </row>
    <row r="14" spans="1:65" ht="18">
      <c r="E14" s="951" t="s">
        <v>20</v>
      </c>
      <c r="F14" s="952">
        <f ca="1">SUM(F15:F18)</f>
        <v>7646.78</v>
      </c>
      <c r="G14" s="952">
        <f ca="1">SUM(G15:G18)</f>
        <v>81290.322580645166</v>
      </c>
      <c r="H14" s="952">
        <f ca="1">SUM(H15:H18)</f>
        <v>62096.774193548379</v>
      </c>
      <c r="I14" s="952">
        <f ca="1">SUM(I15:I18)</f>
        <v>54193.54838709678</v>
      </c>
      <c r="J14" s="952">
        <f>SUM(J15:J18)</f>
        <v>58487.26</v>
      </c>
      <c r="K14" s="1678">
        <f ca="1">IFERROR(J14/G14,"")</f>
        <v>0.71948613492063485</v>
      </c>
      <c r="L14" s="949">
        <f ca="1">IFERROR(J14/H14,"")</f>
        <v>0.9418727584415586</v>
      </c>
      <c r="M14" s="1678">
        <f ca="1">IFERROR(J14/H14,"")</f>
        <v>0.9418727584415586</v>
      </c>
      <c r="N14" s="952">
        <f ca="1">SUM(N15:N18)</f>
        <v>2706290.3225806453</v>
      </c>
      <c r="O14" s="952">
        <f ca="1">SUM(O15:O18)</f>
        <v>2154562.5811568354</v>
      </c>
      <c r="P14" s="2267">
        <f ca="1">SUM(P15:P18)</f>
        <v>2151889.0669632871</v>
      </c>
      <c r="Q14" s="1689">
        <f ca="1">IFERROR(P14/N14,"")</f>
        <v>0.79514346594984087</v>
      </c>
      <c r="R14" s="1689">
        <f ca="1">IFERROR(P14/O14,"")</f>
        <v>0.99875913829705842</v>
      </c>
      <c r="S14" s="1373"/>
    </row>
    <row r="15" spans="1:65" ht="27.6" customHeight="1">
      <c r="E15" s="1991" t="s">
        <v>16</v>
      </c>
      <c r="F15" s="2448">
        <f ca="1">'Summary TCM'!E17</f>
        <v>3374.08</v>
      </c>
      <c r="G15" s="953">
        <f ca="1">LOOKUP(A2, 'September TCM'!$N$53:$N$83, 'September TCM'!$P$53:$P$83)</f>
        <v>53064.516129032265</v>
      </c>
      <c r="H15" s="953">
        <f ca="1">LOOKUP(A2, 'September TCM'!$N$95:$N$125, 'September TCM'!$P$95:$P$125)</f>
        <v>38387.096774193546</v>
      </c>
      <c r="I15" s="902">
        <f ca="1">LOOKUP(A2, 'January TCM'!$N$95:$N$125, 'January TCM'!$P$95:$P$125)</f>
        <v>30483.870967741939</v>
      </c>
      <c r="J15" s="902">
        <f>'Summary TCM'!H17</f>
        <v>28083.880000000005</v>
      </c>
      <c r="K15" s="1679">
        <f ca="1">IFERROR(J15/G15,"")</f>
        <v>0.52924029179331311</v>
      </c>
      <c r="L15" s="949">
        <f ca="1">IFERROR(J15/H15,"")</f>
        <v>0.73159687394958006</v>
      </c>
      <c r="M15" s="1679">
        <f ca="1">IFERROR(J15/H15,"")</f>
        <v>0.73159687394958006</v>
      </c>
      <c r="N15" s="958">
        <f ca="1">K2+G15</f>
        <v>1583064.5161290322</v>
      </c>
      <c r="O15" s="953">
        <f ca="1">M2+H15</f>
        <v>1354894.0067741934</v>
      </c>
      <c r="P15" s="902">
        <f ca="1">'Summary TCM'!M17</f>
        <v>1344590.79</v>
      </c>
      <c r="Q15" s="1676">
        <f ca="1">IFERROR(P15/N15,"")</f>
        <v>0.84935943942944481</v>
      </c>
      <c r="R15" s="2133">
        <f ca="1">IFERROR(P15/O15,"")</f>
        <v>0.99239555513370092</v>
      </c>
      <c r="S15" s="2235" t="s">
        <v>397</v>
      </c>
    </row>
    <row r="16" spans="1:65" ht="28.2" customHeight="1">
      <c r="E16" s="961" t="s">
        <v>17</v>
      </c>
      <c r="F16" s="2448">
        <f ca="1">'Summary TCM'!E18</f>
        <v>1472.7</v>
      </c>
      <c r="G16" s="954">
        <f ca="1">LOOKUP(A2, 'September TCM'!$R$53:$R$83, 'September TCM'!$T$53:$T$83)</f>
        <v>12419.354838709678</v>
      </c>
      <c r="H16" s="954">
        <f ca="1">LOOKUP(A2, 'September TCM'!$R$95:$R$125, 'September TCM'!$T$95:$T$125)</f>
        <v>8580.645161290322</v>
      </c>
      <c r="I16" s="921">
        <f ca="1">LOOKUP(A2, 'January TCM'!$R$95:$R$125, 'January TCM'!$T$95:$T$125)</f>
        <v>10161.290322580646</v>
      </c>
      <c r="J16" s="921">
        <f>'Summary TCM'!H18</f>
        <v>15151.42</v>
      </c>
      <c r="K16" s="1679">
        <f ca="1">IFERROR(J16/G16,"")</f>
        <v>1.2199844675324676</v>
      </c>
      <c r="L16" s="949">
        <f ca="1">IFERROR(J16/H16,"")</f>
        <v>1.7657669924812032</v>
      </c>
      <c r="M16" s="1679">
        <f ca="1">IFERROR(J16/H16,"")</f>
        <v>1.7657669924812032</v>
      </c>
      <c r="N16" s="959">
        <f ca="1">K3+G16</f>
        <v>407419.3548387097</v>
      </c>
      <c r="O16" s="954">
        <f ca="1">M3+H16</f>
        <v>353110.48188277439</v>
      </c>
      <c r="P16" s="921">
        <f ca="1">'Summary TCM'!M18</f>
        <v>359681.25672148407</v>
      </c>
      <c r="Q16" s="1676">
        <f ca="1">IFERROR(P16/N16,"")</f>
        <v>0.88282810438369008</v>
      </c>
      <c r="R16" s="2133">
        <f ca="1">IFERROR(P16/O16,"")</f>
        <v>1.0186082690144866</v>
      </c>
      <c r="S16" s="2235"/>
    </row>
    <row r="17" spans="1:19" ht="21.6" hidden="1" customHeight="1">
      <c r="E17" s="961" t="s">
        <v>83</v>
      </c>
      <c r="F17" s="2448">
        <f>'Summary TCM'!E20</f>
        <v>0</v>
      </c>
      <c r="G17" s="1264">
        <v>0</v>
      </c>
      <c r="H17" s="1264">
        <v>0</v>
      </c>
      <c r="I17" s="1265"/>
      <c r="J17" s="1265">
        <f>'Summary TCM'!H20</f>
        <v>0</v>
      </c>
      <c r="K17" s="1680"/>
      <c r="L17" s="949" t="str">
        <f>IFERROR(J17/H17,"")</f>
        <v/>
      </c>
      <c r="M17" s="1680"/>
      <c r="N17" s="1266"/>
      <c r="O17" s="1264"/>
      <c r="P17" s="1265">
        <f ca="1">'Summary TCM'!M20</f>
        <v>0</v>
      </c>
      <c r="Q17" s="1690"/>
      <c r="R17" s="1690"/>
      <c r="S17" s="2235"/>
    </row>
    <row r="18" spans="1:19" ht="21.6" customHeight="1">
      <c r="E18" s="1368" t="s">
        <v>18</v>
      </c>
      <c r="F18" s="2449">
        <f ca="1">'Summary TCM'!E19+'Summary TCM'!E21</f>
        <v>2800</v>
      </c>
      <c r="G18" s="955">
        <f ca="1">LOOKUP(A2, 'September TCM'!$V$53:$V$83, 'September TCM'!$X$53:$X$83)</f>
        <v>15806.451612903225</v>
      </c>
      <c r="H18" s="955">
        <f ca="1">LOOKUP(A2, 'September TCM'!$V$95:$V$125, 'September TCM'!$X$95:$X$125)</f>
        <v>15129.032258064519</v>
      </c>
      <c r="I18" s="926">
        <f ca="1">LOOKUP(A2, 'January TCM'!$V$95:$V$125, 'January TCM'!$X$95:$X$125)</f>
        <v>13548.387096774195</v>
      </c>
      <c r="J18" s="926">
        <f>'Summary TCM'!H19+'Summary TCM'!H21</f>
        <v>15251.96</v>
      </c>
      <c r="K18" s="1681">
        <f ca="1">IFERROR(J18/G18,"")</f>
        <v>0.96491991836734692</v>
      </c>
      <c r="L18" s="1367">
        <f ca="1">IFERROR(J18/H18,"")</f>
        <v>1.0081252878464817</v>
      </c>
      <c r="M18" s="1681">
        <f ca="1">IFERROR(J18/H18,"")</f>
        <v>1.0081252878464817</v>
      </c>
      <c r="N18" s="960">
        <f ca="1">K4+G18</f>
        <v>715806.45161290327</v>
      </c>
      <c r="O18" s="955">
        <f ca="1">M4+H18</f>
        <v>446558.09249986737</v>
      </c>
      <c r="P18" s="926">
        <f ca="1">'Summary TCM'!M19+'Summary TCM'!M21</f>
        <v>447617.02024180279</v>
      </c>
      <c r="Q18" s="1691">
        <f ca="1">IFERROR(P18/N18,"")</f>
        <v>0.62533247532653835</v>
      </c>
      <c r="R18" s="1691">
        <f ca="1">IFERROR(P18/O18,"")</f>
        <v>1.0023713101603589</v>
      </c>
      <c r="S18" s="2235" t="s">
        <v>398</v>
      </c>
    </row>
    <row r="19" spans="1:19" s="145" customFormat="1">
      <c r="S19" s="2002"/>
    </row>
    <row r="20" spans="1:19" s="145" customFormat="1">
      <c r="E20" s="2264" t="s">
        <v>399</v>
      </c>
      <c r="F20" s="145" t="s">
        <v>79</v>
      </c>
      <c r="P20" s="459"/>
      <c r="S20" s="2003"/>
    </row>
    <row r="21" spans="1:19" s="145" customFormat="1">
      <c r="P21" s="459"/>
      <c r="S21" s="2003"/>
    </row>
    <row r="22" spans="1:19" s="145" customFormat="1">
      <c r="P22" s="459"/>
      <c r="S22" s="2003"/>
    </row>
    <row r="23" spans="1:19">
      <c r="E23" s="145"/>
      <c r="F23" s="145"/>
      <c r="G23" s="145"/>
      <c r="H23" s="145"/>
      <c r="I23" s="145"/>
      <c r="J23" s="145"/>
      <c r="K23" s="145"/>
      <c r="L23" s="145"/>
      <c r="M23" s="145"/>
      <c r="N23" s="145"/>
      <c r="O23" s="145"/>
      <c r="P23" s="459"/>
      <c r="Q23" s="145"/>
      <c r="R23" s="145"/>
      <c r="S23" s="281"/>
    </row>
    <row r="24" spans="1:19" s="145" customFormat="1">
      <c r="P24" s="489"/>
      <c r="Q24" s="489"/>
      <c r="S24" s="2003"/>
    </row>
    <row r="25" spans="1:19" s="145" customFormat="1">
      <c r="S25" s="2003"/>
    </row>
    <row r="26" spans="1:19" s="145" customFormat="1">
      <c r="S26" s="2528"/>
    </row>
    <row r="27" spans="1:19" s="98" customFormat="1">
      <c r="G27" s="2113"/>
      <c r="S27" s="2162"/>
    </row>
    <row r="28" spans="1:19" s="98" customFormat="1">
      <c r="E28" s="434" t="s">
        <v>390</v>
      </c>
      <c r="F28" s="434"/>
      <c r="G28" s="1380" t="s">
        <v>391</v>
      </c>
      <c r="K28" s="434" t="s">
        <v>392</v>
      </c>
      <c r="L28" s="434"/>
      <c r="M28" s="434" t="s">
        <v>393</v>
      </c>
      <c r="S28" s="2162"/>
    </row>
    <row r="29" spans="1:19" s="98" customFormat="1">
      <c r="E29" s="1698">
        <v>7219847.4815731756</v>
      </c>
      <c r="F29" s="1698"/>
      <c r="G29" s="1699">
        <v>6441006.5841999995</v>
      </c>
      <c r="H29" s="1697"/>
      <c r="I29" s="1697"/>
      <c r="J29" s="1697"/>
      <c r="K29" s="2114">
        <v>353000</v>
      </c>
      <c r="L29" s="1696"/>
      <c r="M29" s="1696">
        <v>344573.51</v>
      </c>
      <c r="S29" s="2162"/>
    </row>
    <row r="30" spans="1:19" ht="21">
      <c r="A30" s="145"/>
      <c r="B30" s="145"/>
      <c r="C30" s="145"/>
      <c r="D30" s="145"/>
      <c r="E30" s="145"/>
      <c r="F30" s="145"/>
      <c r="G30" s="2764" t="s">
        <v>394</v>
      </c>
      <c r="H30" s="2764"/>
      <c r="I30" s="2764"/>
      <c r="J30" s="2764"/>
      <c r="K30" s="2764"/>
      <c r="L30" s="2764"/>
      <c r="M30" s="2764"/>
      <c r="N30" s="2764"/>
      <c r="O30" s="2764"/>
      <c r="P30" s="2764"/>
      <c r="Q30" s="145"/>
      <c r="R30" s="145"/>
      <c r="S30" s="2003"/>
    </row>
    <row r="31" spans="1:19">
      <c r="B31" s="145"/>
      <c r="C31" s="145"/>
      <c r="D31" s="145"/>
      <c r="E31" s="145"/>
      <c r="F31" s="145"/>
      <c r="G31" s="145"/>
      <c r="H31" s="145"/>
      <c r="I31" s="145"/>
      <c r="J31" s="145"/>
      <c r="K31" s="145"/>
      <c r="L31" s="145"/>
      <c r="M31" s="145"/>
      <c r="N31" s="145"/>
      <c r="O31" s="145"/>
      <c r="P31" s="145"/>
      <c r="Q31" s="145"/>
      <c r="R31" s="145"/>
      <c r="S31" s="281"/>
    </row>
    <row r="32" spans="1:19">
      <c r="E32" s="2765" t="str">
        <f ca="1">E7</f>
        <v>07-09-2026</v>
      </c>
      <c r="F32" s="2767" t="s">
        <v>2</v>
      </c>
      <c r="G32" s="2756" t="s">
        <v>8</v>
      </c>
      <c r="H32" s="2756"/>
      <c r="I32" s="2756"/>
      <c r="J32" s="2756"/>
      <c r="K32" s="2756" t="s">
        <v>9</v>
      </c>
      <c r="L32" s="2756"/>
      <c r="M32" s="2756"/>
      <c r="N32" s="2756" t="s">
        <v>10</v>
      </c>
      <c r="O32" s="2756"/>
      <c r="P32" s="2756"/>
      <c r="Q32" s="2756" t="s">
        <v>9</v>
      </c>
      <c r="R32" s="2756"/>
      <c r="S32" s="2004"/>
    </row>
    <row r="33" spans="2:19">
      <c r="B33" s="962">
        <v>1</v>
      </c>
      <c r="E33" s="2766"/>
      <c r="F33" s="2768"/>
      <c r="G33" s="1424" t="s">
        <v>11</v>
      </c>
      <c r="H33" s="1424" t="s">
        <v>12</v>
      </c>
      <c r="I33" s="1424" t="s">
        <v>396</v>
      </c>
      <c r="J33" s="1424" t="s">
        <v>13</v>
      </c>
      <c r="K33" s="1424" t="s">
        <v>14</v>
      </c>
      <c r="L33" s="1424" t="s">
        <v>396</v>
      </c>
      <c r="M33" s="1424" t="s">
        <v>15</v>
      </c>
      <c r="N33" s="1424" t="s">
        <v>11</v>
      </c>
      <c r="O33" s="1424" t="s">
        <v>12</v>
      </c>
      <c r="P33" s="1424" t="s">
        <v>13</v>
      </c>
      <c r="Q33" s="1424" t="s">
        <v>14</v>
      </c>
      <c r="R33" s="1424" t="s">
        <v>15</v>
      </c>
      <c r="S33" s="2005"/>
    </row>
    <row r="34" spans="2:19" ht="18">
      <c r="B34" s="962">
        <v>0.9</v>
      </c>
      <c r="E34" s="946" t="s">
        <v>3</v>
      </c>
      <c r="F34" s="947">
        <f ca="1">SUM(F35:F35)</f>
        <v>43157</v>
      </c>
      <c r="G34" s="947">
        <f ca="1">SUM(G35:G35)</f>
        <v>226700.52019792885</v>
      </c>
      <c r="H34" s="948">
        <f ca="1">SUM(H35:H35)</f>
        <v>267580.645161291</v>
      </c>
      <c r="I34" s="948">
        <f ca="1">SUM(I35:I35)</f>
        <v>186709.03322580463</v>
      </c>
      <c r="J34" s="948">
        <f>SUM(J35:J35)</f>
        <v>260301</v>
      </c>
      <c r="K34" s="1675">
        <f ca="1">IFERROR(J34/G34,"")</f>
        <v>1.1482152743749112</v>
      </c>
      <c r="L34" s="949">
        <f ca="1">IFERROR(J34/I34,"")</f>
        <v>1.3941532206703344</v>
      </c>
      <c r="M34" s="1675">
        <f ca="1">IFERROR(J34/H34,"")</f>
        <v>0.9727945750452055</v>
      </c>
      <c r="N34" s="947">
        <f ca="1">SUM(N35:N35)</f>
        <v>7446548.0017711045</v>
      </c>
      <c r="O34" s="947">
        <f ca="1">SUM(O35:O35)</f>
        <v>6708587.2293612901</v>
      </c>
      <c r="P34" s="948">
        <f>SUM(P35:P35)</f>
        <v>6963310.5842000004</v>
      </c>
      <c r="Q34" s="1687">
        <f ca="1">IFERROR(P34/N34,"")</f>
        <v>0.93510584804446706</v>
      </c>
      <c r="R34" s="1687">
        <f ca="1">IFERROR(P34/O34,"")</f>
        <v>1.0379697462565396</v>
      </c>
      <c r="S34" s="2006"/>
    </row>
    <row r="35" spans="2:19" ht="18">
      <c r="E35" s="992" t="s">
        <v>18</v>
      </c>
      <c r="F35" s="2447">
        <f ca="1">'Summary TIS'!D10</f>
        <v>43157</v>
      </c>
      <c r="G35" s="957">
        <f ca="1">LOOKUP(A2, 'September TCM'!$N$53:$N$83, 'September TCM'!$O$136:$O$166)</f>
        <v>226700.52019792885</v>
      </c>
      <c r="H35" s="939">
        <f ca="1">LOOKUP(A2, 'September TCM'!$N$53:$N$83, 'September TCM'!$O$178:$O$208)</f>
        <v>267580.645161291</v>
      </c>
      <c r="I35" s="939">
        <f ca="1">LOOKUP(A2, 'January TCM'!$N$136:$N$166, 'January TCM'!$O$178:$O$208)</f>
        <v>186709.03322580463</v>
      </c>
      <c r="J35" s="939">
        <f>'Summary TIS'!G10</f>
        <v>260301</v>
      </c>
      <c r="K35" s="1677">
        <f ca="1">IFERROR(J35/G35,"")</f>
        <v>1.1482152743749112</v>
      </c>
      <c r="L35" s="1440">
        <f ca="1">IFERROR(J35/I35,"")</f>
        <v>1.3941532206703344</v>
      </c>
      <c r="M35" s="1677">
        <f ca="1">IFERROR(J35/H35,"")</f>
        <v>0.9727945750452055</v>
      </c>
      <c r="N35" s="939">
        <f ca="1">E29+G35</f>
        <v>7446548.0017711045</v>
      </c>
      <c r="O35" s="939">
        <f ca="1">G29+H35</f>
        <v>6708587.2293612901</v>
      </c>
      <c r="P35" s="939">
        <f>'Summary TIS'!L10</f>
        <v>6963310.5842000004</v>
      </c>
      <c r="Q35" s="1677">
        <f ca="1">IFERROR(P35/N35,"")</f>
        <v>0.93510584804446706</v>
      </c>
      <c r="R35" s="1677">
        <f ca="1">IFERROR(P35/O35,"")</f>
        <v>1.0379697462565396</v>
      </c>
      <c r="S35" s="943"/>
    </row>
    <row r="36" spans="2:19" ht="18">
      <c r="E36" s="506"/>
      <c r="F36" s="506"/>
      <c r="G36" s="935"/>
      <c r="H36" s="935"/>
      <c r="I36" s="935"/>
      <c r="J36" s="936"/>
      <c r="K36" s="1682"/>
      <c r="L36" s="936"/>
      <c r="M36" s="1682"/>
      <c r="N36" s="917"/>
      <c r="O36" s="916"/>
      <c r="P36" s="459"/>
      <c r="Q36" s="1688"/>
      <c r="R36" s="463"/>
      <c r="S36" s="2007"/>
    </row>
    <row r="37" spans="2:19" ht="16.95" customHeight="1">
      <c r="E37" s="951" t="s">
        <v>20</v>
      </c>
      <c r="F37" s="1363">
        <f ca="1">SUM(F38+F39)</f>
        <v>3414.7</v>
      </c>
      <c r="G37" s="952">
        <f ca="1">SUM(G38:G38)</f>
        <v>14903.22580645161</v>
      </c>
      <c r="H37" s="952">
        <f ca="1">SUM(H38:H38)</f>
        <v>14677.419354838708</v>
      </c>
      <c r="I37" s="952">
        <f ca="1">SUM(I38:I38)</f>
        <v>5645.1612903225814</v>
      </c>
      <c r="J37" s="952">
        <f>SUM(J38,J39)</f>
        <v>10343.490000000002</v>
      </c>
      <c r="K37" s="1683">
        <f ca="1">IFERROR(J37/G37,"")</f>
        <v>0.69404370129870152</v>
      </c>
      <c r="L37" s="1440">
        <f ca="1">IFERROR(J37/I37,"")</f>
        <v>1.8322753714285716</v>
      </c>
      <c r="M37" s="1683">
        <f ca="1">IFERROR(J37/H37,"")</f>
        <v>0.70472129670329686</v>
      </c>
      <c r="N37" s="952">
        <f ca="1">SUM(N38:N38)</f>
        <v>367903.22580645164</v>
      </c>
      <c r="O37" s="952">
        <f ca="1">SUM(O38:O38)</f>
        <v>359250.92935483874</v>
      </c>
      <c r="P37" s="952">
        <f>SUM(P38:P39)</f>
        <v>430663.64</v>
      </c>
      <c r="Q37" s="1695">
        <f ca="1">IFERROR(P37/N37,"")</f>
        <v>1.1705894642700569</v>
      </c>
      <c r="R37" s="1693">
        <f ca="1">IFERROR(P37/O37,"")</f>
        <v>1.1987822572189524</v>
      </c>
      <c r="S37" s="2008"/>
    </row>
    <row r="38" spans="2:19" s="94" customFormat="1" ht="31.2" customHeight="1">
      <c r="E38" s="1369" t="s">
        <v>400</v>
      </c>
      <c r="F38" s="1264">
        <f ca="1">'Summary TIS'!D13</f>
        <v>854.69999999999993</v>
      </c>
      <c r="G38" s="1264">
        <f ca="1">LOOKUP(A2, 'September TCM'!$N$53:$N$83, 'September TCM'!$P$136:$P$166)</f>
        <v>14903.22580645161</v>
      </c>
      <c r="H38" s="1264">
        <f ca="1">LOOKUP(A2, 'September TCM'!$N$53:$N$83, 'September TCM'!$P$178:$P$208)</f>
        <v>14677.419354838708</v>
      </c>
      <c r="I38" s="1265">
        <f ca="1">LOOKUP(A2, 'January TCM'!$N$136:$N$166, 'January TCM'!$P$178:$P$208)</f>
        <v>5645.1612903225814</v>
      </c>
      <c r="J38" s="1265">
        <f>'September TIS'!D44</f>
        <v>10343.490000000002</v>
      </c>
      <c r="K38" s="1684">
        <f ca="1">IFERROR(J38/G38,"")</f>
        <v>0.69404370129870152</v>
      </c>
      <c r="L38" s="1441">
        <f ca="1">IFERROR(J38/I38,"")</f>
        <v>1.8322753714285716</v>
      </c>
      <c r="M38" s="1684">
        <f ca="1">IFERROR(J38/H38,"")</f>
        <v>0.70472129670329686</v>
      </c>
      <c r="N38" s="1266">
        <f ca="1">K29+G38</f>
        <v>367903.22580645164</v>
      </c>
      <c r="O38" s="1264">
        <f ca="1">M29+H38</f>
        <v>359250.92935483874</v>
      </c>
      <c r="P38" s="1265">
        <f>'Summary TIS'!L13</f>
        <v>430663.64</v>
      </c>
      <c r="Q38" s="1694">
        <f ca="1">IFERROR(P38/N38,"")</f>
        <v>1.1705894642700569</v>
      </c>
      <c r="R38" s="2134">
        <f ca="1">IFERROR(P38/O38,"")</f>
        <v>1.1987822572189524</v>
      </c>
      <c r="S38" s="2235"/>
    </row>
    <row r="39" spans="2:19" ht="21" customHeight="1">
      <c r="E39" s="1439" t="s">
        <v>262</v>
      </c>
      <c r="F39" s="1354">
        <f ca="1">LOOKUP(A2, 'August TIS'!$B$12:$B$42, 'August TIS'!$AQ$12:$AQ$42)</f>
        <v>2560</v>
      </c>
      <c r="G39" s="1354"/>
      <c r="H39" s="1354"/>
      <c r="I39" s="1354"/>
      <c r="J39" s="1355" t="str">
        <f>'January TCM'!AK44</f>
        <v/>
      </c>
      <c r="K39" s="1354"/>
      <c r="L39" s="1354"/>
      <c r="M39" s="359"/>
      <c r="N39" s="359"/>
      <c r="O39" s="359"/>
      <c r="P39" s="359">
        <f>'Summary TIS'!L14</f>
        <v>0</v>
      </c>
      <c r="Q39" s="359"/>
      <c r="R39" s="359"/>
      <c r="S39" s="2009"/>
    </row>
    <row r="40" spans="2:19">
      <c r="S40" s="281"/>
    </row>
    <row r="41" spans="2:19">
      <c r="S41" s="281"/>
    </row>
    <row r="42" spans="2:19">
      <c r="E42" s="2264" t="s">
        <v>399</v>
      </c>
      <c r="S42" s="281"/>
    </row>
    <row r="43" spans="2:19">
      <c r="S43" s="281"/>
    </row>
    <row r="44" spans="2:19">
      <c r="S44" s="281"/>
    </row>
    <row r="47" spans="2:19">
      <c r="R47" s="94"/>
    </row>
    <row r="65" spans="2:2">
      <c r="B65" t="e">
        <f>IF('To Date Sumary TCM &amp; TIS'!S15,"")</f>
        <v>#VALUE!</v>
      </c>
    </row>
  </sheetData>
  <mergeCells count="14">
    <mergeCell ref="Q32:R32"/>
    <mergeCell ref="Q7:R7"/>
    <mergeCell ref="E7:E8"/>
    <mergeCell ref="G5:P5"/>
    <mergeCell ref="G7:J7"/>
    <mergeCell ref="K7:M7"/>
    <mergeCell ref="N7:P7"/>
    <mergeCell ref="F7:F8"/>
    <mergeCell ref="G30:P30"/>
    <mergeCell ref="E32:E33"/>
    <mergeCell ref="F32:F33"/>
    <mergeCell ref="G32:J32"/>
    <mergeCell ref="K32:M32"/>
    <mergeCell ref="N32:P32"/>
  </mergeCells>
  <conditionalFormatting sqref="K14">
    <cfRule type="iconSet" priority="69">
      <iconSet>
        <cfvo type="percent" val="0"/>
        <cfvo type="formula" val="$B$9"/>
        <cfvo type="formula" val="$B$8"/>
      </iconSet>
    </cfRule>
  </conditionalFormatting>
  <conditionalFormatting sqref="K15">
    <cfRule type="iconSet" priority="68">
      <iconSet>
        <cfvo type="percent" val="0"/>
        <cfvo type="formula" val="$B$9"/>
        <cfvo type="formula" val="$B$8"/>
      </iconSet>
    </cfRule>
  </conditionalFormatting>
  <conditionalFormatting sqref="K16:K17">
    <cfRule type="iconSet" priority="67">
      <iconSet>
        <cfvo type="percent" val="0"/>
        <cfvo type="formula" val="$B$9"/>
        <cfvo type="formula" val="$B$8"/>
      </iconSet>
    </cfRule>
  </conditionalFormatting>
  <conditionalFormatting sqref="K18">
    <cfRule type="iconSet" priority="66">
      <iconSet>
        <cfvo type="percent" val="0"/>
        <cfvo type="formula" val="$B$9"/>
        <cfvo type="formula" val="$B$8"/>
      </iconSet>
    </cfRule>
  </conditionalFormatting>
  <conditionalFormatting sqref="K34:K35">
    <cfRule type="iconSet" priority="2129">
      <iconSet>
        <cfvo type="percent" val="0"/>
        <cfvo type="formula" val="$B$9"/>
        <cfvo type="formula" val="$B$8"/>
      </iconSet>
    </cfRule>
  </conditionalFormatting>
  <conditionalFormatting sqref="K37">
    <cfRule type="iconSet" priority="39">
      <iconSet>
        <cfvo type="percent" val="0"/>
        <cfvo type="formula" val="$B$9"/>
        <cfvo type="formula" val="$B$8"/>
      </iconSet>
    </cfRule>
  </conditionalFormatting>
  <conditionalFormatting sqref="K38">
    <cfRule type="iconSet" priority="36">
      <iconSet>
        <cfvo type="percent" val="0"/>
        <cfvo type="formula" val="$B$9"/>
        <cfvo type="formula" val="$B$8"/>
      </iconSet>
    </cfRule>
  </conditionalFormatting>
  <conditionalFormatting sqref="K9:L12">
    <cfRule type="iconSet" priority="70">
      <iconSet>
        <cfvo type="percent" val="0"/>
        <cfvo type="formula" val="$B$9"/>
        <cfvo type="formula" val="$B$8"/>
      </iconSet>
    </cfRule>
  </conditionalFormatting>
  <conditionalFormatting sqref="K13:M13 Q13:R13">
    <cfRule type="iconSet" priority="71">
      <iconSet iconSet="3Symbols">
        <cfvo type="percent" val="0"/>
        <cfvo type="num" val="0.75"/>
        <cfvo type="num" val="0.95"/>
      </iconSet>
    </cfRule>
  </conditionalFormatting>
  <conditionalFormatting sqref="K36:M36 Q36:R36">
    <cfRule type="iconSet" priority="41">
      <iconSet iconSet="3Symbols">
        <cfvo type="percent" val="0"/>
        <cfvo type="num" val="0.75"/>
        <cfvo type="num" val="0.95"/>
      </iconSet>
    </cfRule>
  </conditionalFormatting>
  <conditionalFormatting sqref="L14:L17">
    <cfRule type="iconSet" priority="6">
      <iconSet>
        <cfvo type="percent" val="0"/>
        <cfvo type="formula" val="$B$9"/>
        <cfvo type="formula" val="$B$8"/>
      </iconSet>
    </cfRule>
  </conditionalFormatting>
  <conditionalFormatting sqref="L18">
    <cfRule type="iconSet" priority="5">
      <iconSet>
        <cfvo type="percent" val="0"/>
        <cfvo type="formula" val="$B$9"/>
        <cfvo type="formula" val="$B$8"/>
      </iconSet>
    </cfRule>
  </conditionalFormatting>
  <conditionalFormatting sqref="L34">
    <cfRule type="iconSet" priority="4">
      <iconSet>
        <cfvo type="percent" val="0"/>
        <cfvo type="formula" val="$B$9"/>
        <cfvo type="formula" val="$B$8"/>
      </iconSet>
    </cfRule>
  </conditionalFormatting>
  <conditionalFormatting sqref="L35">
    <cfRule type="iconSet" priority="3">
      <iconSet>
        <cfvo type="percent" val="0"/>
        <cfvo type="formula" val="$B$9"/>
        <cfvo type="formula" val="$B$8"/>
      </iconSet>
    </cfRule>
  </conditionalFormatting>
  <conditionalFormatting sqref="L37">
    <cfRule type="iconSet" priority="2">
      <iconSet>
        <cfvo type="percent" val="0"/>
        <cfvo type="formula" val="$B$9"/>
        <cfvo type="formula" val="$B$8"/>
      </iconSet>
    </cfRule>
  </conditionalFormatting>
  <conditionalFormatting sqref="L38">
    <cfRule type="iconSet" priority="1">
      <iconSet>
        <cfvo type="percent" val="0"/>
        <cfvo type="formula" val="$B$9"/>
        <cfvo type="formula" val="$B$8"/>
      </iconSet>
    </cfRule>
  </conditionalFormatting>
  <conditionalFormatting sqref="M9">
    <cfRule type="iconSet" priority="65">
      <iconSet>
        <cfvo type="percent" val="0"/>
        <cfvo type="formula" val="$B$9"/>
        <cfvo type="formula" val="$B$8"/>
      </iconSet>
    </cfRule>
  </conditionalFormatting>
  <conditionalFormatting sqref="M10">
    <cfRule type="iconSet" priority="64">
      <iconSet>
        <cfvo type="percent" val="0"/>
        <cfvo type="formula" val="$B$9"/>
        <cfvo type="formula" val="$B$8"/>
      </iconSet>
    </cfRule>
  </conditionalFormatting>
  <conditionalFormatting sqref="M11">
    <cfRule type="iconSet" priority="63">
      <iconSet>
        <cfvo type="percent" val="0"/>
        <cfvo type="formula" val="$B$9"/>
        <cfvo type="formula" val="$B$8"/>
      </iconSet>
    </cfRule>
  </conditionalFormatting>
  <conditionalFormatting sqref="M12">
    <cfRule type="iconSet" priority="62">
      <iconSet>
        <cfvo type="percent" val="0"/>
        <cfvo type="formula" val="$B$9"/>
        <cfvo type="formula" val="$B$8"/>
      </iconSet>
    </cfRule>
  </conditionalFormatting>
  <conditionalFormatting sqref="M14">
    <cfRule type="iconSet" priority="61">
      <iconSet>
        <cfvo type="percent" val="0"/>
        <cfvo type="formula" val="$B$9"/>
        <cfvo type="formula" val="$B$8"/>
      </iconSet>
    </cfRule>
  </conditionalFormatting>
  <conditionalFormatting sqref="M15">
    <cfRule type="iconSet" priority="60">
      <iconSet>
        <cfvo type="percent" val="0"/>
        <cfvo type="formula" val="$B$9"/>
        <cfvo type="formula" val="$B$8"/>
      </iconSet>
    </cfRule>
  </conditionalFormatting>
  <conditionalFormatting sqref="M16:M17">
    <cfRule type="iconSet" priority="59">
      <iconSet>
        <cfvo type="percent" val="0"/>
        <cfvo type="formula" val="$B$9"/>
        <cfvo type="formula" val="$B$8"/>
      </iconSet>
    </cfRule>
  </conditionalFormatting>
  <conditionalFormatting sqref="M18">
    <cfRule type="iconSet" priority="58">
      <iconSet>
        <cfvo type="percent" val="0"/>
        <cfvo type="formula" val="$B$9"/>
        <cfvo type="formula" val="$B$8"/>
      </iconSet>
    </cfRule>
  </conditionalFormatting>
  <conditionalFormatting sqref="M34">
    <cfRule type="iconSet" priority="35">
      <iconSet>
        <cfvo type="percent" val="0"/>
        <cfvo type="formula" val="$B$9"/>
        <cfvo type="formula" val="$B$8"/>
      </iconSet>
    </cfRule>
  </conditionalFormatting>
  <conditionalFormatting sqref="M35">
    <cfRule type="iconSet" priority="32">
      <iconSet>
        <cfvo type="percent" val="0"/>
        <cfvo type="formula" val="$B$9"/>
        <cfvo type="formula" val="$B$8"/>
      </iconSet>
    </cfRule>
  </conditionalFormatting>
  <conditionalFormatting sqref="M37">
    <cfRule type="iconSet" priority="31">
      <iconSet>
        <cfvo type="percent" val="0"/>
        <cfvo type="formula" val="$B$9"/>
        <cfvo type="formula" val="$B$8"/>
      </iconSet>
    </cfRule>
  </conditionalFormatting>
  <conditionalFormatting sqref="M38">
    <cfRule type="iconSet" priority="28">
      <iconSet>
        <cfvo type="percent" val="0"/>
        <cfvo type="formula" val="$B$9"/>
        <cfvo type="formula" val="$B$8"/>
      </iconSet>
    </cfRule>
  </conditionalFormatting>
  <conditionalFormatting sqref="Q9">
    <cfRule type="iconSet" priority="51">
      <iconSet>
        <cfvo type="percent" val="0"/>
        <cfvo type="formula" val="$B$9"/>
        <cfvo type="formula" val="$B$8"/>
      </iconSet>
    </cfRule>
  </conditionalFormatting>
  <conditionalFormatting sqref="Q10">
    <cfRule type="iconSet" priority="57">
      <iconSet>
        <cfvo type="percent" val="0"/>
        <cfvo type="formula" val="$B$9"/>
        <cfvo type="formula" val="$B$8"/>
      </iconSet>
    </cfRule>
  </conditionalFormatting>
  <conditionalFormatting sqref="Q11">
    <cfRule type="iconSet" priority="55">
      <iconSet>
        <cfvo type="percent" val="0"/>
        <cfvo type="formula" val="$B$9"/>
        <cfvo type="formula" val="$B$8"/>
      </iconSet>
    </cfRule>
  </conditionalFormatting>
  <conditionalFormatting sqref="Q12">
    <cfRule type="iconSet" priority="53">
      <iconSet>
        <cfvo type="percent" val="0"/>
        <cfvo type="formula" val="$B$9"/>
        <cfvo type="formula" val="$B$8"/>
      </iconSet>
    </cfRule>
  </conditionalFormatting>
  <conditionalFormatting sqref="Q14">
    <cfRule type="iconSet" priority="43">
      <iconSet>
        <cfvo type="percent" val="0"/>
        <cfvo type="formula" val="$B$9"/>
        <cfvo type="formula" val="$B$8"/>
      </iconSet>
    </cfRule>
  </conditionalFormatting>
  <conditionalFormatting sqref="Q15">
    <cfRule type="iconSet" priority="49">
      <iconSet>
        <cfvo type="percent" val="0"/>
        <cfvo type="formula" val="$B$9"/>
        <cfvo type="formula" val="$B$8"/>
      </iconSet>
    </cfRule>
  </conditionalFormatting>
  <conditionalFormatting sqref="Q16:Q17">
    <cfRule type="iconSet" priority="47">
      <iconSet>
        <cfvo type="percent" val="0"/>
        <cfvo type="formula" val="$B$9"/>
        <cfvo type="formula" val="$B$8"/>
      </iconSet>
    </cfRule>
  </conditionalFormatting>
  <conditionalFormatting sqref="Q18">
    <cfRule type="iconSet" priority="45">
      <iconSet>
        <cfvo type="percent" val="0"/>
        <cfvo type="formula" val="$B$9"/>
        <cfvo type="formula" val="$B$8"/>
      </iconSet>
    </cfRule>
  </conditionalFormatting>
  <conditionalFormatting sqref="Q34">
    <cfRule type="iconSet" priority="21">
      <iconSet>
        <cfvo type="percent" val="0"/>
        <cfvo type="formula" val="$B$9"/>
        <cfvo type="formula" val="$B$8"/>
      </iconSet>
    </cfRule>
  </conditionalFormatting>
  <conditionalFormatting sqref="Q35">
    <cfRule type="iconSet" priority="23">
      <iconSet>
        <cfvo type="percent" val="0"/>
        <cfvo type="formula" val="$B$9"/>
        <cfvo type="formula" val="$B$8"/>
      </iconSet>
    </cfRule>
  </conditionalFormatting>
  <conditionalFormatting sqref="Q37">
    <cfRule type="iconSet" priority="13">
      <iconSet>
        <cfvo type="percent" val="0"/>
        <cfvo type="formula" val="$B$9"/>
        <cfvo type="formula" val="$B$8"/>
      </iconSet>
    </cfRule>
  </conditionalFormatting>
  <conditionalFormatting sqref="Q38">
    <cfRule type="iconSet" priority="15">
      <iconSet>
        <cfvo type="percent" val="0"/>
        <cfvo type="formula" val="$B$9"/>
        <cfvo type="formula" val="$B$8"/>
      </iconSet>
    </cfRule>
  </conditionalFormatting>
  <conditionalFormatting sqref="R9">
    <cfRule type="iconSet" priority="50">
      <iconSet>
        <cfvo type="percent" val="0"/>
        <cfvo type="formula" val="$B$9"/>
        <cfvo type="formula" val="$B$8"/>
      </iconSet>
    </cfRule>
  </conditionalFormatting>
  <conditionalFormatting sqref="R10">
    <cfRule type="iconSet" priority="56">
      <iconSet>
        <cfvo type="percent" val="0"/>
        <cfvo type="formula" val="$B$9"/>
        <cfvo type="formula" val="$B$8"/>
      </iconSet>
    </cfRule>
  </conditionalFormatting>
  <conditionalFormatting sqref="R11">
    <cfRule type="iconSet" priority="54">
      <iconSet>
        <cfvo type="percent" val="0"/>
        <cfvo type="formula" val="$B$9"/>
        <cfvo type="formula" val="$B$8"/>
      </iconSet>
    </cfRule>
  </conditionalFormatting>
  <conditionalFormatting sqref="R12">
    <cfRule type="iconSet" priority="52">
      <iconSet>
        <cfvo type="percent" val="0"/>
        <cfvo type="formula" val="$B$9"/>
        <cfvo type="formula" val="$B$8"/>
      </iconSet>
    </cfRule>
  </conditionalFormatting>
  <conditionalFormatting sqref="R14">
    <cfRule type="iconSet" priority="42">
      <iconSet>
        <cfvo type="percent" val="0"/>
        <cfvo type="formula" val="$B$9"/>
        <cfvo type="formula" val="$B$8"/>
      </iconSet>
    </cfRule>
  </conditionalFormatting>
  <conditionalFormatting sqref="R15">
    <cfRule type="iconSet" priority="48">
      <iconSet>
        <cfvo type="percent" val="0"/>
        <cfvo type="formula" val="$B$9"/>
        <cfvo type="formula" val="$B$8"/>
      </iconSet>
    </cfRule>
  </conditionalFormatting>
  <conditionalFormatting sqref="R16:R17">
    <cfRule type="iconSet" priority="46">
      <iconSet>
        <cfvo type="percent" val="0"/>
        <cfvo type="formula" val="$B$9"/>
        <cfvo type="formula" val="$B$8"/>
      </iconSet>
    </cfRule>
  </conditionalFormatting>
  <conditionalFormatting sqref="R18">
    <cfRule type="iconSet" priority="44">
      <iconSet>
        <cfvo type="percent" val="0"/>
        <cfvo type="formula" val="$B$9"/>
        <cfvo type="formula" val="$B$8"/>
      </iconSet>
    </cfRule>
  </conditionalFormatting>
  <conditionalFormatting sqref="R34">
    <cfRule type="iconSet" priority="20">
      <iconSet>
        <cfvo type="percent" val="0"/>
        <cfvo type="formula" val="$B$9"/>
        <cfvo type="formula" val="$B$8"/>
      </iconSet>
    </cfRule>
  </conditionalFormatting>
  <conditionalFormatting sqref="R35">
    <cfRule type="iconSet" priority="22">
      <iconSet>
        <cfvo type="percent" val="0"/>
        <cfvo type="formula" val="$B$9"/>
        <cfvo type="formula" val="$B$8"/>
      </iconSet>
    </cfRule>
  </conditionalFormatting>
  <conditionalFormatting sqref="R37">
    <cfRule type="iconSet" priority="12">
      <iconSet>
        <cfvo type="percent" val="0"/>
        <cfvo type="formula" val="$B$9"/>
        <cfvo type="formula" val="$B$8"/>
      </iconSet>
    </cfRule>
  </conditionalFormatting>
  <conditionalFormatting sqref="R38">
    <cfRule type="iconSet" priority="14">
      <iconSet>
        <cfvo type="percent" val="0"/>
        <cfvo type="formula" val="$B$9"/>
        <cfvo type="formula" val="$B$8"/>
      </iconSet>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2544"/>
  </sheetPr>
  <dimension ref="A1:AG130"/>
  <sheetViews>
    <sheetView showGridLines="0" zoomScale="70" zoomScaleNormal="70" workbookViewId="0">
      <pane ySplit="2" topLeftCell="A3" activePane="bottomLeft" state="frozen"/>
      <selection pane="bottomLeft" sqref="A1:AG111"/>
    </sheetView>
  </sheetViews>
  <sheetFormatPr defaultRowHeight="14.4"/>
  <cols>
    <col min="1" max="1" width="1.109375" customWidth="1"/>
    <col min="2" max="2" width="19.6640625" customWidth="1"/>
    <col min="3" max="3" width="10" customWidth="1"/>
    <col min="4" max="4" width="10.6640625" customWidth="1"/>
    <col min="5" max="6" width="8.5546875" customWidth="1"/>
    <col min="7" max="7" width="5.33203125" customWidth="1"/>
    <col min="8" max="8" width="0.6640625" style="1486" customWidth="1"/>
    <col min="9" max="9" width="1.109375" customWidth="1"/>
    <col min="10" max="10" width="17.44140625" customWidth="1"/>
    <col min="11" max="11" width="8.5546875" customWidth="1"/>
    <col min="12" max="12" width="9.33203125" customWidth="1"/>
    <col min="13" max="13" width="8.5546875" customWidth="1"/>
    <col min="14" max="14" width="1.109375" customWidth="1"/>
    <col min="15" max="15" width="9" customWidth="1"/>
    <col min="16" max="16" width="8.6640625" customWidth="1"/>
    <col min="17" max="18" width="1.109375" customWidth="1"/>
    <col min="19" max="19" width="0.6640625" style="1486" customWidth="1"/>
    <col min="20" max="20" width="1.109375" customWidth="1"/>
    <col min="21" max="21" width="19.6640625" customWidth="1"/>
    <col min="22" max="22" width="10" customWidth="1"/>
    <col min="23" max="23" width="10.6640625" customWidth="1"/>
    <col min="24" max="25" width="8.5546875" customWidth="1"/>
    <col min="26" max="26" width="1.109375" customWidth="1"/>
    <col min="27" max="27" width="4.109375" customWidth="1"/>
    <col min="28" max="28" width="0.6640625" customWidth="1"/>
    <col min="29" max="32" width="0.6640625" hidden="1" customWidth="1"/>
    <col min="33" max="33" width="1" customWidth="1"/>
  </cols>
  <sheetData>
    <row r="1" spans="1:33" ht="36" customHeight="1">
      <c r="A1" s="2856" t="s">
        <v>401</v>
      </c>
      <c r="B1" s="2857"/>
      <c r="C1" s="2857"/>
      <c r="D1" s="2857"/>
      <c r="E1" s="2857"/>
      <c r="F1" s="2857"/>
      <c r="G1" s="2857"/>
      <c r="H1" s="2857"/>
      <c r="I1" s="2857"/>
      <c r="J1" s="2857"/>
      <c r="K1" s="2857"/>
      <c r="L1" s="2857"/>
      <c r="M1" s="2857"/>
      <c r="N1" s="2857"/>
      <c r="O1" s="2857"/>
      <c r="P1" s="2857"/>
      <c r="Q1" s="2857"/>
      <c r="R1" s="2857"/>
      <c r="S1" s="2857"/>
      <c r="T1" s="2857"/>
      <c r="U1" s="2857"/>
      <c r="V1" s="2857"/>
      <c r="W1" s="2857"/>
      <c r="X1" s="2857"/>
      <c r="Y1" s="2857"/>
      <c r="Z1" s="2857"/>
      <c r="AA1" s="2857"/>
      <c r="AB1" s="2857"/>
      <c r="AC1" s="2857"/>
      <c r="AD1" s="2857"/>
      <c r="AE1" s="2857"/>
      <c r="AF1" s="2857"/>
      <c r="AG1" s="2857"/>
    </row>
    <row r="2" spans="1:33" ht="18" customHeight="1">
      <c r="A2" s="1764"/>
      <c r="B2" s="2818" t="str">
        <f ca="1">"As of:  "&amp;TEXT(TODAY()-1,"DD MMMM YYYY")</f>
        <v>As of:  07 September 2026</v>
      </c>
      <c r="C2" s="2819"/>
      <c r="D2" s="2819"/>
      <c r="E2" s="1758"/>
      <c r="F2" s="1758"/>
      <c r="G2" s="1758"/>
      <c r="H2" s="1758"/>
      <c r="I2" s="1758"/>
      <c r="J2" s="1758"/>
      <c r="K2" s="1758"/>
      <c r="L2" s="1758"/>
      <c r="M2" s="1758"/>
      <c r="N2" s="1758"/>
      <c r="O2" s="1758"/>
      <c r="P2" s="1758"/>
      <c r="Q2" s="1758"/>
      <c r="R2" s="1758"/>
      <c r="S2" s="1758"/>
      <c r="T2" s="1758"/>
      <c r="U2" s="1758"/>
      <c r="V2" s="1758"/>
      <c r="W2" s="1758"/>
      <c r="X2" s="1758"/>
      <c r="Y2" s="1758"/>
      <c r="Z2" s="1758"/>
      <c r="AA2" s="1758"/>
      <c r="AB2" s="1758"/>
      <c r="AC2" s="1758"/>
      <c r="AD2" s="1758"/>
      <c r="AE2" s="1758"/>
      <c r="AF2" s="1758"/>
      <c r="AG2" s="1758"/>
    </row>
    <row r="3" spans="1:33" ht="18" customHeight="1">
      <c r="A3" s="2869" t="s">
        <v>402</v>
      </c>
      <c r="B3" s="2870"/>
      <c r="C3" s="2871"/>
      <c r="D3" s="2871"/>
      <c r="E3" s="2871"/>
      <c r="F3" s="2871"/>
      <c r="G3" s="2871"/>
      <c r="H3" s="2871"/>
      <c r="I3" s="2871"/>
      <c r="J3" s="2871"/>
      <c r="K3" s="2871"/>
      <c r="L3" s="2871"/>
      <c r="M3" s="2871"/>
      <c r="N3" s="2871"/>
      <c r="O3" s="2871"/>
      <c r="P3" s="2871"/>
      <c r="Q3" s="2871"/>
      <c r="R3" s="2871"/>
      <c r="S3" s="2871"/>
      <c r="T3" s="2871"/>
      <c r="U3" s="2871"/>
      <c r="V3" s="2871"/>
      <c r="W3" s="2871"/>
      <c r="X3" s="2871"/>
      <c r="Y3" s="2871"/>
      <c r="Z3" s="2871"/>
      <c r="AA3" s="1987"/>
      <c r="AB3" s="1871"/>
      <c r="AC3" s="1759"/>
      <c r="AD3" s="1759"/>
      <c r="AE3" s="1759"/>
      <c r="AF3" s="1759"/>
      <c r="AG3" s="1759"/>
    </row>
    <row r="4" spans="1:33" ht="4.95" customHeight="1">
      <c r="A4" s="1755"/>
      <c r="B4" s="1816"/>
      <c r="C4" s="1817"/>
      <c r="D4" s="1817"/>
      <c r="E4" s="1817"/>
      <c r="F4" s="1817"/>
      <c r="G4" s="1754"/>
      <c r="H4" s="1771"/>
      <c r="I4" s="1847"/>
      <c r="J4" s="1818"/>
      <c r="K4" s="1819"/>
      <c r="L4" s="1819"/>
      <c r="M4" s="1819"/>
      <c r="N4" s="1819"/>
      <c r="O4" s="1819"/>
      <c r="P4" s="1819"/>
      <c r="Q4" s="1754"/>
      <c r="R4" s="1752"/>
      <c r="S4" s="1771"/>
      <c r="T4" s="1860"/>
      <c r="U4" s="1829"/>
      <c r="V4" s="1830"/>
      <c r="W4" s="1830"/>
      <c r="X4" s="1830"/>
      <c r="Y4" s="1830"/>
      <c r="Z4" s="1891"/>
      <c r="AA4" s="1830"/>
      <c r="AB4" s="1832"/>
      <c r="AC4" s="1752"/>
      <c r="AD4" s="1752"/>
      <c r="AE4" s="1752"/>
      <c r="AF4" s="1752"/>
      <c r="AG4" s="1752"/>
    </row>
    <row r="5" spans="1:33" ht="18" customHeight="1">
      <c r="A5" s="1823" t="s">
        <v>403</v>
      </c>
      <c r="B5" s="2821" t="s">
        <v>404</v>
      </c>
      <c r="C5" s="2822"/>
      <c r="D5" s="2822"/>
      <c r="E5" s="2822"/>
      <c r="F5" s="1990"/>
      <c r="G5" s="1753"/>
      <c r="H5" s="1820"/>
      <c r="I5" s="1881" t="s">
        <v>405</v>
      </c>
      <c r="J5" s="2782" t="s">
        <v>406</v>
      </c>
      <c r="K5" s="2783"/>
      <c r="L5" s="2783"/>
      <c r="M5" s="2783"/>
      <c r="N5" s="1752"/>
      <c r="O5" s="1752"/>
      <c r="P5" s="1752"/>
      <c r="Q5" s="1754"/>
      <c r="R5" s="1752"/>
      <c r="S5" s="1827"/>
      <c r="T5" s="1881" t="s">
        <v>407</v>
      </c>
      <c r="U5" s="2782" t="s">
        <v>408</v>
      </c>
      <c r="V5" s="2783"/>
      <c r="W5" s="2783"/>
      <c r="X5" s="2783"/>
      <c r="Y5" s="1752"/>
      <c r="Z5" s="1754"/>
      <c r="AA5" s="1752"/>
      <c r="AB5" s="1832"/>
      <c r="AC5" s="1752"/>
      <c r="AD5" s="1752"/>
      <c r="AE5" s="1752"/>
      <c r="AF5" s="1752"/>
      <c r="AG5" s="1830"/>
    </row>
    <row r="6" spans="1:33" ht="13.2" customHeight="1">
      <c r="A6" s="1824"/>
      <c r="B6" s="2784" t="s">
        <v>409</v>
      </c>
      <c r="C6" s="2783"/>
      <c r="D6" s="2783"/>
      <c r="E6" s="2783"/>
      <c r="F6" s="1752"/>
      <c r="G6" s="1754"/>
      <c r="H6" s="1821"/>
      <c r="I6" s="1860"/>
      <c r="J6" s="2784" t="s">
        <v>410</v>
      </c>
      <c r="K6" s="2783"/>
      <c r="L6" s="2783"/>
      <c r="M6" s="2783"/>
      <c r="N6" s="1752"/>
      <c r="O6" s="1752"/>
      <c r="P6" s="1752"/>
      <c r="Q6" s="1754"/>
      <c r="R6" s="1752"/>
      <c r="S6" s="1827"/>
      <c r="T6" s="1860"/>
      <c r="U6" s="2784" t="s">
        <v>411</v>
      </c>
      <c r="V6" s="2783"/>
      <c r="W6" s="2783"/>
      <c r="X6" s="2783"/>
      <c r="Y6" s="1752"/>
      <c r="Z6" s="1754"/>
      <c r="AA6" s="1752"/>
      <c r="AB6" s="1832"/>
      <c r="AC6" s="1752"/>
      <c r="AD6" s="1752"/>
      <c r="AE6" s="1752"/>
      <c r="AF6" s="1752"/>
      <c r="AG6" s="1830"/>
    </row>
    <row r="7" spans="1:33" ht="4.95" customHeight="1">
      <c r="A7" s="1824"/>
      <c r="B7" s="1858"/>
      <c r="C7" s="1859"/>
      <c r="D7" s="1859"/>
      <c r="E7" s="1859"/>
      <c r="F7" s="1859"/>
      <c r="G7" s="1754"/>
      <c r="H7" s="1821"/>
      <c r="I7" s="1860"/>
      <c r="J7" s="1769"/>
      <c r="K7" s="1752"/>
      <c r="L7" s="1752"/>
      <c r="M7" s="1752"/>
      <c r="N7" s="1752"/>
      <c r="O7" s="1752"/>
      <c r="P7" s="1752"/>
      <c r="Q7" s="1754"/>
      <c r="R7" s="1752"/>
      <c r="S7" s="1827"/>
      <c r="T7" s="1860"/>
      <c r="U7" s="1769"/>
      <c r="V7" s="1752"/>
      <c r="W7" s="1752"/>
      <c r="X7" s="1752"/>
      <c r="Y7" s="1752"/>
      <c r="Z7" s="1754"/>
      <c r="AA7" s="1752"/>
      <c r="AB7" s="1832"/>
      <c r="AC7" s="1752"/>
      <c r="AD7" s="1752"/>
      <c r="AE7" s="1752"/>
      <c r="AF7" s="1752"/>
      <c r="AG7" s="1830"/>
    </row>
    <row r="8" spans="1:33" ht="31.95" customHeight="1">
      <c r="A8" s="1824"/>
      <c r="B8" s="2786">
        <f ca="1">IFERROR(TCM.!B10,"–")</f>
        <v>7646.78</v>
      </c>
      <c r="C8" s="2787"/>
      <c r="D8" s="2787"/>
      <c r="E8" s="2787"/>
      <c r="F8" s="2787"/>
      <c r="G8" s="2787"/>
      <c r="H8" s="2808"/>
      <c r="I8" s="1860"/>
      <c r="J8" s="2786">
        <f ca="1">IFERROR(TCM.!B16,"–")</f>
        <v>153766</v>
      </c>
      <c r="K8" s="2787"/>
      <c r="L8" s="2787"/>
      <c r="M8" s="2787"/>
      <c r="N8" s="2787"/>
      <c r="O8" s="2787"/>
      <c r="P8" s="2787"/>
      <c r="Q8" s="1754"/>
      <c r="R8" s="1752"/>
      <c r="S8" s="1827"/>
      <c r="T8" s="1860"/>
      <c r="U8" s="2800">
        <f ca="1">IFERROR(IF(TCM.!B25=0,"–",TCM.!B25),"–")</f>
        <v>3657</v>
      </c>
      <c r="V8" s="2801"/>
      <c r="W8" s="2801"/>
      <c r="X8" s="2801"/>
      <c r="Y8" s="2801"/>
      <c r="Z8" s="1754"/>
      <c r="AA8" s="1752"/>
      <c r="AB8" s="1832"/>
      <c r="AC8" s="1752"/>
      <c r="AD8" s="1752"/>
      <c r="AE8" s="1752"/>
      <c r="AF8" s="1752"/>
      <c r="AG8" s="1830"/>
    </row>
    <row r="9" spans="1:33" ht="13.95" customHeight="1">
      <c r="A9" s="1824"/>
      <c r="B9" s="2791" t="s">
        <v>412</v>
      </c>
      <c r="C9" s="2792"/>
      <c r="D9" s="2792"/>
      <c r="E9" s="2792"/>
      <c r="F9" s="2792"/>
      <c r="G9" s="2809"/>
      <c r="H9" s="1821"/>
      <c r="I9" s="1860"/>
      <c r="J9" s="2789" t="s">
        <v>51</v>
      </c>
      <c r="K9" s="2790"/>
      <c r="L9" s="2790"/>
      <c r="M9" s="2790"/>
      <c r="N9" s="2790"/>
      <c r="O9" s="2790"/>
      <c r="P9" s="2790"/>
      <c r="Q9" s="1754"/>
      <c r="R9" s="1752"/>
      <c r="S9" s="1827"/>
      <c r="T9" s="1860"/>
      <c r="U9" s="2776" t="s">
        <v>51</v>
      </c>
      <c r="V9" s="2777"/>
      <c r="W9" s="2777"/>
      <c r="X9" s="2777"/>
      <c r="Y9" s="2777"/>
      <c r="Z9" s="1754"/>
      <c r="AA9" s="1752"/>
      <c r="AB9" s="1832"/>
      <c r="AC9" s="1752"/>
      <c r="AD9" s="1752"/>
      <c r="AE9" s="1752"/>
      <c r="AF9" s="1752"/>
      <c r="AG9" s="1830"/>
    </row>
    <row r="10" spans="1:33" ht="12" customHeight="1">
      <c r="A10" s="1824"/>
      <c r="B10" s="2778" t="s">
        <v>413</v>
      </c>
      <c r="C10" s="2779"/>
      <c r="D10" s="2779"/>
      <c r="E10" s="2779"/>
      <c r="F10" s="2779"/>
      <c r="G10" s="1754"/>
      <c r="H10" s="1821"/>
      <c r="I10" s="1860"/>
      <c r="J10" s="2778" t="s">
        <v>413</v>
      </c>
      <c r="K10" s="2779"/>
      <c r="L10" s="2779"/>
      <c r="M10" s="2779"/>
      <c r="N10" s="2779"/>
      <c r="O10" s="2779"/>
      <c r="P10" s="2779"/>
      <c r="Q10" s="1754"/>
      <c r="R10" s="1752"/>
      <c r="S10" s="1827"/>
      <c r="T10" s="1860"/>
      <c r="U10" s="2778" t="s">
        <v>413</v>
      </c>
      <c r="V10" s="2779"/>
      <c r="W10" s="2779"/>
      <c r="X10" s="2779"/>
      <c r="Y10" s="2779"/>
      <c r="Z10" s="1754"/>
      <c r="AA10" s="1752"/>
      <c r="AB10" s="1832"/>
      <c r="AC10" s="1752"/>
      <c r="AD10" s="1752"/>
      <c r="AE10" s="1752"/>
      <c r="AF10" s="1752"/>
      <c r="AG10" s="1830"/>
    </row>
    <row r="11" spans="1:33" ht="13.95" customHeight="1">
      <c r="A11" s="1824"/>
      <c r="B11" s="1798" t="str">
        <f ca="1">IF(TCM.!B10=0,"⚫  NO DATA",IF(TCM.!B10/(TCM.!D10/31)&gt;=0.9,"🟢  ON TRACK  —  "&amp;TEXT(TCM.!B10/(TCM.!D10/31),"0%")&amp;" of daily plan",IF(TCM.!B10/(TCM.!D10/31)&gt;=0.75,"🟡  CAUTION  —  "&amp;TEXT(TCM.!B10/(TCM.!D10/31),"0%")&amp;" of daily plan","🔴  BEHIND  —  "&amp;TEXT(TCM.!B10/(TCM.!D10/31),"0%")&amp;" of daily plan")))</f>
        <v>🔴  BEHIND  —  73% of daily plan</v>
      </c>
      <c r="C11" s="1752"/>
      <c r="D11" s="1752"/>
      <c r="E11" s="1765"/>
      <c r="F11" s="1765"/>
      <c r="G11" s="1752"/>
      <c r="H11" s="1821"/>
      <c r="I11" s="1860"/>
      <c r="J11" s="1798" t="str">
        <f ca="1">IF(TCM.!B16=0,"⚫  NO DATA",IF(TCM.!B16/(TCM.!D16/31)&gt;=0.9,"🟢  ON TRACK  —  "&amp;TEXT(TCM.!B16/(TCM.!D16/31),"0%")&amp;" of daily plan",IF(TCM.!B16/(TCM.!D16/31)&gt;=0.75,"🟡  CAUTION  —  "&amp;TEXT(TCM.!B16/(TCM.!D16/31),"0%")&amp;" of daily plan","🔴  BEHIND  —  "&amp;TEXT(TCM.!B16/(TCM.!D16/31),"0%")&amp;" of daily plan")))</f>
        <v>🟢  ON TRACK  —  118% of daily plan</v>
      </c>
      <c r="K11" s="1752"/>
      <c r="L11" s="1752"/>
      <c r="M11" s="1765"/>
      <c r="N11" s="1765"/>
      <c r="O11" s="1765"/>
      <c r="P11" s="1765"/>
      <c r="Q11" s="1754"/>
      <c r="R11" s="1752"/>
      <c r="S11" s="1827"/>
      <c r="T11" s="1860"/>
      <c r="U11" s="1798" t="str">
        <f ca="1">IF(TCM.!B25=0,"⚫  NO DATA",IF(TCM.!B25/(TCM.!D25/31)&gt;=0.9,"🟢  ON TRACK  —  "&amp;TEXT(TCM.!B25/(TCM.!D25/31),"0%")&amp;" of daily plan",IF(TCM.!B25/(TCM.!D25/31)&gt;=0.75,"🟡  CAUTION  —  "&amp;TEXT(TCM.!B25/(TCM.!D25/31),"0%")&amp;" of daily plan","🔴  BEHIND  —  "&amp;TEXT(TCM.!B25/(TCM.!D25/31),"0%")&amp;" of daily plan")))</f>
        <v>🔴  BEHIND  —  17% of daily plan</v>
      </c>
      <c r="V11" s="1752"/>
      <c r="W11" s="1752"/>
      <c r="X11" s="1765"/>
      <c r="Y11" s="1765"/>
      <c r="Z11" s="1754"/>
      <c r="AA11" s="1752"/>
      <c r="AB11" s="1832"/>
      <c r="AC11" s="1752"/>
      <c r="AD11" s="1752"/>
      <c r="AE11" s="1752"/>
      <c r="AF11" s="1752"/>
      <c r="AG11" s="1830"/>
    </row>
    <row r="12" spans="1:33" ht="12" customHeight="1">
      <c r="A12" s="1824"/>
      <c r="B12" s="1799" t="e" cm="1">
        <f t="array" aca="1" ref="B12" ca="1">_xlfn.LET(_xlpm.N,DAY(TODAY()-1),_xlpm.W,MIN(_xlpm.N,7),_xlpm.startOff,_xlpm.N-_xlpm.W,_xlpm.allData,OFFSET('April TCM'!D10,_xlpm.startOff,0,_xlpm.W,1),_xlpm.maxVal,MAX(_xlpm.allData),_xlpm.startDay,_xlpm.N-_xlpm.W+1,_xlpm.label,"Trend (D"&amp;_xlpm.startDay&amp;"→D"&amp;_xlpm.N&amp;"):  ",_xlpm.bars,_xlfn.MAKEARRAY(1,_xlpm.W,_xlfn.LAMBDA(_xlpm.r,_xlpm.c,_xlfn.LET(_xlpm.val,INDEX(_xlpm.allData,_xlpm.c),_xlpm.ratio,IF(_xlpm.maxVal=0,0,_xlpm.val/_xlpm.maxVal),IF(_xlpm.ratio&lt;=0.125,"▁",IF(_xlpm.ratio&lt;=0.25,"▂",IF(_xlpm.ratio&lt;=0.375,"▃",IF(_xlpm.ratio&lt;=0.5,"▄",IF(_xlpm.ratio&lt;=0.625,"▅",IF(_xlpm.ratio&lt;=0.75,"▆",IF(_xlpm.ratio&lt;=0.875,"▇","█")))))))))),_xlpm.label&amp;_xlfn.TEXTJOIN(" ",FALSE,_xlpm.bars))</f>
        <v>#NAME?</v>
      </c>
      <c r="C12" s="1752"/>
      <c r="D12" s="1752"/>
      <c r="E12" s="1752"/>
      <c r="F12" s="1752"/>
      <c r="G12" s="1754"/>
      <c r="H12" s="1821"/>
      <c r="I12" s="1860"/>
      <c r="J12" s="1896" t="e" cm="1">
        <f t="array" aca="1" ref="J12" ca="1">_xlfn.LET(_xlpm.N,DAY(TODAY()-1),_xlpm.W,MIN(_xlpm.N,7),_xlpm.startOff,_xlpm.N-_xlpm.W,_xlpm.allData,OFFSET('April TCM'!C10,_xlpm.startOff,0,_xlpm.W,1),_xlpm.maxVal,MAX(_xlpm.allData),_xlpm.startDay,_xlpm.N-_xlpm.W+1,_xlpm.label,"Trend (D"&amp;_xlpm.startDay&amp;"→D"&amp;_xlpm.N&amp;"):  ",_xlpm.bars,_xlfn.MAKEARRAY(1,_xlpm.W,_xlfn.LAMBDA(_xlpm.r,_xlpm.c,_xlfn.LET(_xlpm.val,INDEX(_xlpm.allData,_xlpm.c),_xlpm.ratio,IF(_xlpm.maxVal=0,0,_xlpm.val/_xlpm.maxVal),IF(_xlpm.ratio&lt;=0.125,"▁",IF(_xlpm.ratio&lt;=0.25,"▂",IF(_xlpm.ratio&lt;=0.375,"▃",IF(_xlpm.ratio&lt;=0.5,"▄",IF(_xlpm.ratio&lt;=0.625,"▅",IF(_xlpm.ratio&lt;=0.75,"▆",IF(_xlpm.ratio&lt;=0.875,"▇","█")))))))))),_xlpm.label&amp;_xlfn.TEXTJOIN(" ",FALSE,_xlpm.bars))</f>
        <v>#NAME?</v>
      </c>
      <c r="K12" s="1752"/>
      <c r="L12" s="1752"/>
      <c r="M12" s="1752"/>
      <c r="N12" s="1752"/>
      <c r="O12" s="1752"/>
      <c r="P12" s="1752"/>
      <c r="Q12" s="1754"/>
      <c r="R12" s="1752"/>
      <c r="S12" s="1827"/>
      <c r="T12" s="1897"/>
      <c r="U12" s="1896" t="e" cm="1">
        <f t="array" aca="1" ref="U12" ca="1">_xlfn.LET(_xlpm.N,DAY(TODAY()-1),_xlpm.W,MIN(_xlpm.N,7),_xlpm.startOff,_xlpm.N-_xlpm.W,_xlpm.allData,OFFSET('April TCM'!CM10,_xlpm.startOff,0,_xlpm.W,1),_xlpm.maxVal,MAX(_xlpm.allData),_xlpm.startDay,_xlpm.N-_xlpm.W+1,_xlpm.label,"Trend (D"&amp;_xlpm.startDay&amp;"→D"&amp;_xlpm.N&amp;"):  ",_xlpm.bars,_xlfn.MAKEARRAY(1,_xlpm.W,_xlfn.LAMBDA(_xlpm.r,_xlpm.c,_xlfn.LET(_xlpm.val,INDEX(_xlpm.allData,_xlpm.c),_xlpm.ratio,IF(_xlpm.maxVal=0,0,_xlpm.val/_xlpm.maxVal),IF(_xlpm.ratio&lt;=0.125,"▁",IF(_xlpm.ratio&lt;=0.25,"▂",IF(_xlpm.ratio&lt;=0.375,"▃",IF(_xlpm.ratio&lt;=0.5,"▄",IF(_xlpm.ratio&lt;=0.625,"▅",IF(_xlpm.ratio&lt;=0.75,"▆",IF(_xlpm.ratio&lt;=0.875,"▇","█")))))))))),_xlpm.label&amp;_xlfn.TEXTJOIN(" ",FALSE,_xlpm.bars))</f>
        <v>#NAME?</v>
      </c>
      <c r="V12" s="1752"/>
      <c r="W12" s="1752"/>
      <c r="X12" s="1752"/>
      <c r="Y12" s="1752"/>
      <c r="Z12" s="1754"/>
      <c r="AA12" s="1752"/>
      <c r="AB12" s="1832"/>
      <c r="AC12" s="1752"/>
      <c r="AD12" s="1752"/>
      <c r="AE12" s="1752"/>
      <c r="AF12" s="1752"/>
      <c r="AG12" s="1830"/>
    </row>
    <row r="13" spans="1:33" ht="12" customHeight="1">
      <c r="A13" s="1824"/>
      <c r="B13" s="2820" t="s">
        <v>414</v>
      </c>
      <c r="C13" s="2795"/>
      <c r="D13" s="2795"/>
      <c r="E13" s="2785">
        <f ca="1">IFERROR(TCM.!E10,0)</f>
        <v>0.1799608</v>
      </c>
      <c r="F13" s="2785"/>
      <c r="G13" s="1754"/>
      <c r="H13" s="1821"/>
      <c r="I13" s="1860"/>
      <c r="J13" s="2820" t="s">
        <v>414</v>
      </c>
      <c r="K13" s="2795"/>
      <c r="L13" s="2795"/>
      <c r="M13" s="2785">
        <f ca="1">IFERROR(TCM.!E16,0)</f>
        <v>0.27109230769230769</v>
      </c>
      <c r="N13" s="2785"/>
      <c r="O13" s="2785"/>
      <c r="P13" s="2785"/>
      <c r="Q13" s="1754"/>
      <c r="R13" s="1752"/>
      <c r="S13" s="1827"/>
      <c r="T13" s="1860"/>
      <c r="U13" s="2814" t="s">
        <v>414</v>
      </c>
      <c r="V13" s="2783"/>
      <c r="W13" s="2783"/>
      <c r="X13" s="2817">
        <f>IFERROR(TCM.!E25,0)</f>
        <v>8.7243119266055047E-2</v>
      </c>
      <c r="Y13" s="2817"/>
      <c r="Z13" s="1754"/>
      <c r="AA13" s="1752"/>
      <c r="AB13" s="1832"/>
      <c r="AC13" s="1752"/>
      <c r="AD13" s="1752"/>
      <c r="AE13" s="1752"/>
      <c r="AF13" s="1752"/>
      <c r="AG13" s="1830"/>
    </row>
    <row r="14" spans="1:33" ht="15" customHeight="1">
      <c r="A14" s="1824"/>
      <c r="B14" s="2794" t="str">
        <f ca="1">TEXT(TCM.!C10,"#,##0")&amp;" / "&amp;TEXT(TCM.!D10,"#,##0")</f>
        <v>58,487 / 325,000</v>
      </c>
      <c r="C14" s="2795"/>
      <c r="D14" s="2795"/>
      <c r="E14" s="2795"/>
      <c r="F14" s="1975"/>
      <c r="G14" s="1754"/>
      <c r="H14" s="1821"/>
      <c r="I14" s="1860"/>
      <c r="J14" s="2794" t="str">
        <f ca="1">TEXT(TCM.!C16,"#,##0")&amp;" / "&amp;TEXT(TCM.!D16,"#,##0")</f>
        <v>1,092,502 / 4,030,000</v>
      </c>
      <c r="K14" s="2795"/>
      <c r="L14" s="2795"/>
      <c r="M14" s="2795"/>
      <c r="N14" s="1975"/>
      <c r="O14" s="1975"/>
      <c r="P14" s="1975"/>
      <c r="Q14" s="1754"/>
      <c r="R14" s="1752"/>
      <c r="S14" s="1827"/>
      <c r="T14" s="1860"/>
      <c r="U14" s="2794" t="str">
        <f>TEXT(TCM.!C25,"#,##0")&amp;" / "&amp;TEXT(TCM.!D25,"#,##0")</f>
        <v>57,057 / 654,000</v>
      </c>
      <c r="V14" s="2795"/>
      <c r="W14" s="2795"/>
      <c r="X14" s="2795"/>
      <c r="Y14" s="1975"/>
      <c r="Z14" s="1754"/>
      <c r="AA14" s="1752"/>
      <c r="AB14" s="1832"/>
      <c r="AC14" s="1752"/>
      <c r="AD14" s="1752"/>
      <c r="AE14" s="1752"/>
      <c r="AF14" s="1752"/>
      <c r="AG14" s="1830"/>
    </row>
    <row r="15" spans="1:33" ht="15" customHeight="1">
      <c r="A15" s="1824"/>
      <c r="B15" s="2811" t="s">
        <v>415</v>
      </c>
      <c r="C15" s="2795"/>
      <c r="D15" s="1752"/>
      <c r="E15" s="2810" t="str">
        <f ca="1">IFERROR(TEXT(TCM.!E10,"0%"),"–")</f>
        <v>18%</v>
      </c>
      <c r="F15" s="2810"/>
      <c r="G15" s="1754"/>
      <c r="H15" s="1821"/>
      <c r="I15" s="1860"/>
      <c r="J15" s="2811" t="s">
        <v>415</v>
      </c>
      <c r="K15" s="2795"/>
      <c r="L15" s="1752"/>
      <c r="M15" s="2812" t="str">
        <f ca="1">IFERROR(TEXT(TCM.!E16,"0%"),"–")</f>
        <v>27%</v>
      </c>
      <c r="N15" s="2812"/>
      <c r="O15" s="2812"/>
      <c r="P15" s="2812"/>
      <c r="Q15" s="2813"/>
      <c r="R15" s="1876"/>
      <c r="S15" s="1827"/>
      <c r="T15" s="1860"/>
      <c r="U15" s="2811" t="s">
        <v>415</v>
      </c>
      <c r="V15" s="2795"/>
      <c r="W15" s="1752"/>
      <c r="X15" s="1877" t="str">
        <f>IFERROR(TEXT(TCM.!E25,"0%"),"–")</f>
        <v>9%</v>
      </c>
      <c r="Y15" s="1877"/>
      <c r="Z15" s="1754"/>
      <c r="AA15" s="1752"/>
      <c r="AB15" s="1832"/>
      <c r="AC15" s="1752"/>
      <c r="AD15" s="1752"/>
      <c r="AE15" s="1752"/>
      <c r="AF15" s="1752"/>
      <c r="AG15" s="1830"/>
    </row>
    <row r="16" spans="1:33" ht="9" customHeight="1">
      <c r="A16" s="1824"/>
      <c r="B16" s="2769">
        <f ca="1">IFERROR(MAX(0,MIN(E13,1)),0)</f>
        <v>0.1799608</v>
      </c>
      <c r="C16" s="2770"/>
      <c r="D16" s="2770"/>
      <c r="E16" s="2770"/>
      <c r="F16" s="2770"/>
      <c r="G16" s="2771"/>
      <c r="H16" s="1821"/>
      <c r="I16" s="1860"/>
      <c r="J16" s="2769">
        <f ca="1">IFERROR(MAX(0,MIN(M13,1)),0)</f>
        <v>0.27109230769230769</v>
      </c>
      <c r="K16" s="2770"/>
      <c r="L16" s="2770"/>
      <c r="M16" s="2770"/>
      <c r="N16" s="2770"/>
      <c r="O16" s="2770"/>
      <c r="P16" s="2770"/>
      <c r="Q16" s="2770"/>
      <c r="R16" s="2771"/>
      <c r="S16" s="1827"/>
      <c r="T16" s="1860"/>
      <c r="U16" s="2769">
        <f>IFERROR(MAX(0,MIN(X13,1)),0)</f>
        <v>8.7243119266055047E-2</v>
      </c>
      <c r="V16" s="2770"/>
      <c r="W16" s="2770"/>
      <c r="X16" s="2770"/>
      <c r="Y16" s="2770"/>
      <c r="Z16" s="2770"/>
      <c r="AA16" s="2771"/>
      <c r="AB16" s="1832"/>
      <c r="AC16" s="1752"/>
      <c r="AD16" s="1752"/>
      <c r="AE16" s="1752"/>
      <c r="AF16" s="1752"/>
      <c r="AG16" s="1830"/>
    </row>
    <row r="17" spans="1:33" ht="9" customHeight="1">
      <c r="A17" s="1824"/>
      <c r="B17" s="2772"/>
      <c r="C17" s="2773"/>
      <c r="D17" s="2773"/>
      <c r="E17" s="2773"/>
      <c r="F17" s="2773"/>
      <c r="G17" s="2774"/>
      <c r="H17" s="1821"/>
      <c r="I17" s="1860"/>
      <c r="J17" s="2772"/>
      <c r="K17" s="2773"/>
      <c r="L17" s="2773"/>
      <c r="M17" s="2773"/>
      <c r="N17" s="2773"/>
      <c r="O17" s="2773"/>
      <c r="P17" s="2773"/>
      <c r="Q17" s="2773"/>
      <c r="R17" s="2774"/>
      <c r="S17" s="1827"/>
      <c r="T17" s="1860"/>
      <c r="U17" s="2772"/>
      <c r="V17" s="2773"/>
      <c r="W17" s="2773"/>
      <c r="X17" s="2773"/>
      <c r="Y17" s="2773"/>
      <c r="Z17" s="2773"/>
      <c r="AA17" s="2774"/>
      <c r="AB17" s="1832"/>
      <c r="AC17" s="1752"/>
      <c r="AD17" s="1752"/>
      <c r="AE17" s="1752"/>
      <c r="AF17" s="1752"/>
      <c r="AG17" s="1830"/>
    </row>
    <row r="18" spans="1:33" ht="4.95" customHeight="1">
      <c r="A18" s="1824"/>
      <c r="B18" s="1769"/>
      <c r="C18" s="1752"/>
      <c r="D18" s="1752"/>
      <c r="E18" s="1752"/>
      <c r="F18" s="1752"/>
      <c r="G18" s="1754"/>
      <c r="H18" s="1821"/>
      <c r="I18" s="1860"/>
      <c r="J18" s="1769"/>
      <c r="K18" s="1752"/>
      <c r="L18" s="1752"/>
      <c r="M18" s="1752"/>
      <c r="N18" s="1752"/>
      <c r="O18" s="1752"/>
      <c r="P18" s="1752"/>
      <c r="Q18" s="1754"/>
      <c r="R18" s="1752"/>
      <c r="S18" s="1827"/>
      <c r="T18" s="1860"/>
      <c r="U18" s="1769"/>
      <c r="V18" s="1752"/>
      <c r="W18" s="1752"/>
      <c r="X18" s="1752"/>
      <c r="Y18" s="1752"/>
      <c r="Z18" s="1754"/>
      <c r="AA18" s="1752"/>
      <c r="AB18" s="1832"/>
      <c r="AC18" s="1752"/>
      <c r="AD18" s="1752"/>
      <c r="AE18" s="1752"/>
      <c r="AF18" s="1752"/>
      <c r="AG18" s="1830"/>
    </row>
    <row r="19" spans="1:33" ht="1.95" customHeight="1">
      <c r="A19" s="1824"/>
      <c r="B19" s="1769"/>
      <c r="C19" s="1752"/>
      <c r="D19" s="1752"/>
      <c r="E19" s="1752"/>
      <c r="F19" s="1752"/>
      <c r="G19" s="1754"/>
      <c r="H19" s="1821"/>
      <c r="I19" s="1860"/>
      <c r="J19" s="1769"/>
      <c r="K19" s="1752"/>
      <c r="L19" s="1752"/>
      <c r="M19" s="1752"/>
      <c r="N19" s="1752"/>
      <c r="O19" s="1752"/>
      <c r="P19" s="1752"/>
      <c r="Q19" s="1754"/>
      <c r="R19" s="1752"/>
      <c r="S19" s="1827"/>
      <c r="T19" s="1860"/>
      <c r="U19" s="1769"/>
      <c r="V19" s="1752"/>
      <c r="W19" s="1752"/>
      <c r="X19" s="1752"/>
      <c r="Y19" s="1752"/>
      <c r="Z19" s="1754"/>
      <c r="AA19" s="1752"/>
      <c r="AB19" s="1832"/>
      <c r="AC19" s="1752"/>
      <c r="AD19" s="1752"/>
      <c r="AE19" s="1752"/>
      <c r="AF19" s="1752"/>
      <c r="AG19" s="1830"/>
    </row>
    <row r="20" spans="1:33" ht="16.2" customHeight="1">
      <c r="A20" s="1824"/>
      <c r="B20" s="2793" t="s">
        <v>416</v>
      </c>
      <c r="C20" s="2783"/>
      <c r="D20" s="2783"/>
      <c r="E20" s="2783"/>
      <c r="F20" s="1752"/>
      <c r="G20" s="1754"/>
      <c r="H20" s="1821"/>
      <c r="I20" s="1860"/>
      <c r="J20" s="2823" t="s">
        <v>416</v>
      </c>
      <c r="K20" s="2783"/>
      <c r="L20" s="2783"/>
      <c r="M20" s="2783"/>
      <c r="N20" s="1752"/>
      <c r="O20" s="1752"/>
      <c r="P20" s="1752"/>
      <c r="Q20" s="1754"/>
      <c r="R20" s="1752"/>
      <c r="S20" s="1827"/>
      <c r="T20" s="1860"/>
      <c r="U20" s="2815" t="s">
        <v>416</v>
      </c>
      <c r="V20" s="2783"/>
      <c r="W20" s="2783"/>
      <c r="X20" s="2783"/>
      <c r="Y20" s="1752"/>
      <c r="Z20" s="1754"/>
      <c r="AA20" s="1752"/>
      <c r="AB20" s="1832"/>
      <c r="AC20" s="1752"/>
      <c r="AD20" s="1752"/>
      <c r="AE20" s="1752"/>
      <c r="AF20" s="1752"/>
      <c r="AG20" s="1830"/>
    </row>
    <row r="21" spans="1:33" ht="6" customHeight="1">
      <c r="A21" s="1824"/>
      <c r="B21" s="1769"/>
      <c r="C21" s="1752"/>
      <c r="D21" s="1752"/>
      <c r="E21" s="1752"/>
      <c r="F21" s="1752"/>
      <c r="G21" s="1754"/>
      <c r="H21" s="1821"/>
      <c r="I21" s="1860"/>
      <c r="J21" s="1769"/>
      <c r="K21" s="1752"/>
      <c r="L21" s="1752"/>
      <c r="M21" s="1752"/>
      <c r="N21" s="1752"/>
      <c r="O21" s="1752"/>
      <c r="P21" s="1752"/>
      <c r="Q21" s="1754"/>
      <c r="R21" s="1752"/>
      <c r="S21" s="1827"/>
      <c r="T21" s="1860"/>
      <c r="U21" s="1769"/>
      <c r="V21" s="1752"/>
      <c r="W21" s="1752"/>
      <c r="X21" s="1752"/>
      <c r="Y21" s="1752"/>
      <c r="Z21" s="1754"/>
      <c r="AA21" s="1752"/>
      <c r="AB21" s="1832"/>
      <c r="AC21" s="1752"/>
      <c r="AD21" s="1752"/>
      <c r="AE21" s="1752"/>
      <c r="AF21" s="1752"/>
      <c r="AG21" s="1830"/>
    </row>
    <row r="22" spans="1:33" ht="22.2" customHeight="1">
      <c r="A22" s="1824"/>
      <c r="B22" s="1775" t="s">
        <v>417</v>
      </c>
      <c r="C22" s="1776" t="s">
        <v>418</v>
      </c>
      <c r="D22" s="1776" t="s">
        <v>419</v>
      </c>
      <c r="E22" s="1776" t="s">
        <v>420</v>
      </c>
      <c r="F22" s="1978"/>
      <c r="G22" s="1754"/>
      <c r="H22" s="1821"/>
      <c r="I22" s="1860"/>
      <c r="J22" s="1777" t="s">
        <v>417</v>
      </c>
      <c r="K22" s="1778" t="s">
        <v>421</v>
      </c>
      <c r="L22" s="2816" t="s">
        <v>422</v>
      </c>
      <c r="M22" s="2816"/>
      <c r="N22" s="2816"/>
      <c r="O22" s="1778" t="s">
        <v>420</v>
      </c>
      <c r="P22" s="1978"/>
      <c r="Q22" s="1754"/>
      <c r="R22" s="1752"/>
      <c r="S22" s="1827"/>
      <c r="T22" s="1860"/>
      <c r="U22" s="1779" t="s">
        <v>417</v>
      </c>
      <c r="V22" s="1780" t="s">
        <v>421</v>
      </c>
      <c r="W22" s="1780" t="s">
        <v>422</v>
      </c>
      <c r="X22" s="1780" t="s">
        <v>420</v>
      </c>
      <c r="Y22" s="1978"/>
      <c r="Z22" s="1754"/>
      <c r="AA22" s="1752"/>
      <c r="AB22" s="1832"/>
      <c r="AC22" s="1752"/>
      <c r="AD22" s="1752"/>
      <c r="AE22" s="1752"/>
      <c r="AF22" s="1752"/>
      <c r="AG22" s="1830"/>
    </row>
    <row r="23" spans="1:33" ht="15" customHeight="1">
      <c r="A23" s="1824"/>
      <c r="B23" s="2061" t="s">
        <v>16</v>
      </c>
      <c r="C23" s="2063">
        <f ca="1">TCM.!B11</f>
        <v>3374.08</v>
      </c>
      <c r="D23" s="2063">
        <f>TCM.!C11</f>
        <v>28083.880000000005</v>
      </c>
      <c r="E23" s="2077" t="str">
        <f ca="1">IFERROR(TEXT(TCM.!E11,"0%"),"–")</f>
        <v>14%</v>
      </c>
      <c r="F23" s="1801"/>
      <c r="G23" s="1754"/>
      <c r="H23" s="1821"/>
      <c r="I23" s="1860"/>
      <c r="J23" s="2061" t="s">
        <v>16</v>
      </c>
      <c r="K23" s="2063">
        <f ca="1">TCM.!B17</f>
        <v>88536</v>
      </c>
      <c r="L23" s="2802">
        <f>TCM.!C17</f>
        <v>648396</v>
      </c>
      <c r="M23" s="2802"/>
      <c r="N23" s="2802"/>
      <c r="O23" s="2081" t="str">
        <f ca="1">IFERROR(TEXT(TCM.!E17,"0%"),"–")</f>
        <v>26%</v>
      </c>
      <c r="P23" s="1802"/>
      <c r="Q23" s="1754"/>
      <c r="R23" s="1752"/>
      <c r="S23" s="1827"/>
      <c r="T23" s="2082"/>
      <c r="U23" s="2083" t="s">
        <v>16</v>
      </c>
      <c r="V23" s="2063">
        <f ca="1">TCM.!B26</f>
        <v>0</v>
      </c>
      <c r="W23" s="2087">
        <f>TCM.!C26</f>
        <v>0</v>
      </c>
      <c r="X23" s="1803" t="str">
        <f>IFERROR(TEXT(TCM.!E26,"0%"),"–")</f>
        <v>0%</v>
      </c>
      <c r="Y23" s="1803"/>
      <c r="Z23" s="1754"/>
      <c r="AA23" s="1752"/>
      <c r="AB23" s="1832"/>
      <c r="AC23" s="1752"/>
      <c r="AD23" s="1752"/>
      <c r="AE23" s="1752"/>
      <c r="AF23" s="1752"/>
      <c r="AG23" s="1830"/>
    </row>
    <row r="24" spans="1:33" ht="15" customHeight="1">
      <c r="A24" s="1824"/>
      <c r="B24" s="2062" t="s">
        <v>17</v>
      </c>
      <c r="C24" s="2064">
        <f ca="1">TCM.!B12</f>
        <v>1472.7</v>
      </c>
      <c r="D24" s="2064">
        <f>TCM.!C12</f>
        <v>15151.42</v>
      </c>
      <c r="E24" s="2078" t="str">
        <f ca="1">IFERROR(TEXT(TCM.!E12,"0%"),"–")</f>
        <v>28%</v>
      </c>
      <c r="F24" s="1981"/>
      <c r="G24" s="1754"/>
      <c r="H24" s="1821"/>
      <c r="I24" s="1860"/>
      <c r="J24" s="2062" t="s">
        <v>17</v>
      </c>
      <c r="K24" s="2064">
        <f ca="1">TCM.!B18</f>
        <v>35470</v>
      </c>
      <c r="L24" s="2803">
        <f>TCM.!C18</f>
        <v>239715</v>
      </c>
      <c r="M24" s="2803"/>
      <c r="N24" s="2803"/>
      <c r="O24" s="1979" t="str">
        <f ca="1">IFERROR(TEXT(TCM.!E18,"0%"),"–")</f>
        <v>27%</v>
      </c>
      <c r="P24" s="1979"/>
      <c r="Q24" s="1754"/>
      <c r="R24" s="1752"/>
      <c r="S24" s="1827"/>
      <c r="T24" s="2082"/>
      <c r="U24" s="2084" t="s">
        <v>17</v>
      </c>
      <c r="V24" s="2064">
        <f ca="1">TCM.!B27</f>
        <v>3657</v>
      </c>
      <c r="W24" s="2088">
        <f>TCM.!C27</f>
        <v>0</v>
      </c>
      <c r="X24" s="1792" t="str">
        <f>IFERROR(TEXT(TCM.!E27,"0%"),"–")</f>
        <v>0%</v>
      </c>
      <c r="Y24" s="1982"/>
      <c r="Z24" s="1754"/>
      <c r="AA24" s="1752"/>
      <c r="AB24" s="1832"/>
      <c r="AC24" s="1752"/>
      <c r="AD24" s="1752"/>
      <c r="AE24" s="1752"/>
      <c r="AF24" s="1752"/>
      <c r="AG24" s="1830"/>
    </row>
    <row r="25" spans="1:33" ht="15" customHeight="1">
      <c r="A25" s="1824"/>
      <c r="B25" s="2053" t="s">
        <v>18</v>
      </c>
      <c r="C25" s="2065">
        <f ca="1">TCM.!B13</f>
        <v>2800</v>
      </c>
      <c r="D25" s="2065">
        <f>TCM.!C13</f>
        <v>15251.96</v>
      </c>
      <c r="E25" s="2079" t="str">
        <f ca="1">IFERROR(TEXT(TCM.!E13,"0%"),"–")</f>
        <v>23%</v>
      </c>
      <c r="F25" s="1801"/>
      <c r="G25" s="1754"/>
      <c r="H25" s="1821"/>
      <c r="I25" s="1860"/>
      <c r="J25" s="2053" t="s">
        <v>18</v>
      </c>
      <c r="K25" s="2065">
        <f ca="1">TCM.!B19</f>
        <v>29760</v>
      </c>
      <c r="L25" s="2804">
        <f>TCM.!C19</f>
        <v>204391</v>
      </c>
      <c r="M25" s="2804"/>
      <c r="N25" s="2804"/>
      <c r="O25" s="1802" t="str">
        <f ca="1">IFERROR(TEXT(TCM.!E19,"0%"),"–")</f>
        <v>30%</v>
      </c>
      <c r="P25" s="1802"/>
      <c r="Q25" s="1754"/>
      <c r="R25" s="1752"/>
      <c r="S25" s="1827"/>
      <c r="T25" s="2082"/>
      <c r="U25" s="2085" t="s">
        <v>18</v>
      </c>
      <c r="V25" s="2065">
        <f ca="1">TCM.!B28</f>
        <v>0</v>
      </c>
      <c r="W25" s="2089">
        <f>TCM.!C28</f>
        <v>57057</v>
      </c>
      <c r="X25" s="1805" t="str">
        <f>IF(TCM.!D28=0,"N/A",IFERROR(TEXT(TCM.!E28,"0%"),"–"))</f>
        <v>13%</v>
      </c>
      <c r="Y25" s="1803"/>
      <c r="Z25" s="1754"/>
      <c r="AA25" s="1752"/>
      <c r="AB25" s="1832"/>
      <c r="AC25" s="1752"/>
      <c r="AD25" s="1752"/>
      <c r="AE25" s="1752"/>
      <c r="AF25" s="1752"/>
      <c r="AG25" s="1830"/>
    </row>
    <row r="26" spans="1:33" ht="15" customHeight="1">
      <c r="A26" s="1824"/>
      <c r="B26" s="2068" t="s">
        <v>83</v>
      </c>
      <c r="C26" s="2069">
        <f>TCM.!B14</f>
        <v>0</v>
      </c>
      <c r="D26" s="2076">
        <f>TCM.!C14</f>
        <v>0</v>
      </c>
      <c r="E26" s="2080" t="str">
        <f>IF(TCM.!D14=0,"N/A",IFERROR(TEXT(TCM.!E14,"0%"),"–"))</f>
        <v>N/A</v>
      </c>
      <c r="F26" s="1981"/>
      <c r="G26" s="1754"/>
      <c r="H26" s="1821"/>
      <c r="I26" s="1860"/>
      <c r="J26" s="1772"/>
      <c r="K26" s="1750"/>
      <c r="L26" s="1750"/>
      <c r="M26" s="1750"/>
      <c r="N26" s="1980"/>
      <c r="O26" s="1980"/>
      <c r="P26" s="1980"/>
      <c r="Q26" s="1754"/>
      <c r="R26" s="1752"/>
      <c r="S26" s="1827"/>
      <c r="T26" s="2082"/>
      <c r="U26" s="2086" t="s">
        <v>83</v>
      </c>
      <c r="V26" s="2069">
        <f ca="1">TCM.!B29</f>
        <v>0</v>
      </c>
      <c r="W26" s="2090">
        <f>TCM.!C29</f>
        <v>0</v>
      </c>
      <c r="X26" s="1793" t="str">
        <f>IFERROR(TEXT(TCM.!E29,"0%"),"–")</f>
        <v>–</v>
      </c>
      <c r="Y26" s="1982"/>
      <c r="Z26" s="1754"/>
      <c r="AA26" s="1752"/>
      <c r="AB26" s="1832"/>
      <c r="AC26" s="1752"/>
      <c r="AD26" s="1752"/>
      <c r="AE26" s="1752"/>
      <c r="AF26" s="1752"/>
      <c r="AG26" s="1830"/>
    </row>
    <row r="27" spans="1:33" ht="4.95" hidden="1" customHeight="1">
      <c r="A27" s="1824"/>
      <c r="B27" s="1770"/>
      <c r="C27" s="1766"/>
      <c r="D27" s="1767"/>
      <c r="E27" s="1767"/>
      <c r="F27" s="1767"/>
      <c r="G27" s="1768"/>
      <c r="H27" s="1822"/>
      <c r="I27" s="1860"/>
      <c r="J27" s="1770"/>
      <c r="K27" s="1767"/>
      <c r="L27" s="1767"/>
      <c r="M27" s="1767"/>
      <c r="N27" s="1767"/>
      <c r="O27" s="1767"/>
      <c r="P27" s="1767"/>
      <c r="Q27" s="1768"/>
      <c r="R27" s="1767"/>
      <c r="S27" s="1828"/>
      <c r="T27" s="1860"/>
      <c r="U27" s="1770"/>
      <c r="V27" s="1767"/>
      <c r="W27" s="1767"/>
      <c r="X27" s="1767"/>
      <c r="Y27" s="1767"/>
      <c r="Z27" s="1768"/>
      <c r="AA27" s="1767"/>
      <c r="AB27" s="1833"/>
      <c r="AC27" s="1752"/>
      <c r="AD27" s="1752"/>
      <c r="AE27" s="1752"/>
      <c r="AF27" s="1752"/>
      <c r="AG27" s="1830"/>
    </row>
    <row r="28" spans="1:33" ht="4.2" customHeight="1">
      <c r="A28" s="1825"/>
      <c r="B28" s="1893"/>
      <c r="C28" s="1893"/>
      <c r="D28" s="1893"/>
      <c r="E28" s="1893"/>
      <c r="F28" s="1893"/>
      <c r="G28" s="1894"/>
      <c r="H28" s="1817"/>
      <c r="I28" s="1848"/>
      <c r="J28" s="1826"/>
      <c r="K28" s="1826"/>
      <c r="L28" s="1826"/>
      <c r="M28" s="1826"/>
      <c r="N28" s="1826"/>
      <c r="O28" s="1826"/>
      <c r="P28" s="1826"/>
      <c r="Q28" s="1757"/>
      <c r="R28" s="1752"/>
      <c r="S28" s="1819"/>
      <c r="T28" s="1882"/>
      <c r="U28" s="1831"/>
      <c r="V28" s="1831"/>
      <c r="W28" s="1831"/>
      <c r="X28" s="1831"/>
      <c r="Y28" s="1831"/>
      <c r="Z28" s="1757"/>
      <c r="AA28" s="1752"/>
      <c r="AB28" s="1830"/>
      <c r="AC28" s="1752"/>
      <c r="AD28" s="1752"/>
      <c r="AE28" s="1752"/>
      <c r="AF28" s="1752"/>
      <c r="AG28" s="1830"/>
    </row>
    <row r="29" spans="1:33" ht="4.2" customHeight="1">
      <c r="A29" s="1847"/>
      <c r="B29" s="1860"/>
      <c r="C29" s="1860"/>
      <c r="D29" s="1860"/>
      <c r="E29" s="1860"/>
      <c r="F29" s="1860"/>
      <c r="G29" s="1860"/>
      <c r="H29" s="1860"/>
      <c r="I29" s="1860"/>
      <c r="J29" s="1860"/>
      <c r="K29" s="1860"/>
      <c r="L29" s="1860"/>
      <c r="M29" s="1860"/>
      <c r="N29" s="1860"/>
      <c r="O29" s="1860"/>
      <c r="P29" s="1860"/>
      <c r="Q29" s="1860"/>
      <c r="R29" s="1860"/>
      <c r="S29" s="1860"/>
      <c r="T29" s="1860"/>
      <c r="U29" s="1860"/>
      <c r="V29" s="1860"/>
      <c r="W29" s="1860"/>
      <c r="X29" s="1860"/>
      <c r="Y29" s="1860"/>
      <c r="Z29" s="1847"/>
      <c r="AA29" s="1847"/>
      <c r="AB29" s="1761"/>
      <c r="AC29" s="1752"/>
      <c r="AD29" s="1752"/>
      <c r="AE29" s="1752"/>
      <c r="AF29" s="1752"/>
      <c r="AG29" s="1752"/>
    </row>
    <row r="30" spans="1:33" ht="4.2" customHeight="1">
      <c r="A30" s="1860"/>
      <c r="B30" s="1860"/>
      <c r="C30" s="1860"/>
      <c r="D30" s="1860"/>
      <c r="E30" s="1860"/>
      <c r="F30" s="1860"/>
      <c r="G30" s="1860"/>
      <c r="H30" s="1860"/>
      <c r="I30" s="1860"/>
      <c r="J30" s="1860"/>
      <c r="K30" s="1860"/>
      <c r="L30" s="1860"/>
      <c r="M30" s="1860"/>
      <c r="N30" s="1860"/>
      <c r="O30" s="1860"/>
      <c r="P30" s="1860"/>
      <c r="Q30" s="1860"/>
      <c r="R30" s="1860"/>
      <c r="S30" s="1860"/>
      <c r="T30" s="1860"/>
      <c r="U30" s="1860"/>
      <c r="V30" s="1860"/>
      <c r="W30" s="1860"/>
      <c r="X30" s="1860"/>
      <c r="Y30" s="1860"/>
      <c r="Z30" s="1860"/>
      <c r="AA30" s="1860"/>
      <c r="AB30" s="1847"/>
      <c r="AC30" s="1752"/>
      <c r="AD30" s="1752"/>
      <c r="AE30" s="1752"/>
      <c r="AF30" s="1752"/>
      <c r="AG30" s="1752"/>
    </row>
    <row r="31" spans="1:33" ht="18" customHeight="1">
      <c r="A31" s="2805" t="s">
        <v>423</v>
      </c>
      <c r="B31" s="2806"/>
      <c r="C31" s="2807"/>
      <c r="D31" s="2807"/>
      <c r="E31" s="2807"/>
      <c r="F31" s="2807"/>
      <c r="G31" s="2807"/>
      <c r="H31" s="2807"/>
      <c r="I31" s="2807"/>
      <c r="J31" s="2807"/>
      <c r="K31" s="2807"/>
      <c r="L31" s="2807"/>
      <c r="M31" s="2807"/>
      <c r="N31" s="2807"/>
      <c r="O31" s="2807"/>
      <c r="P31" s="2807"/>
      <c r="Q31" s="2807"/>
      <c r="R31" s="2807"/>
      <c r="S31" s="2807"/>
      <c r="T31" s="2807"/>
      <c r="U31" s="2807"/>
      <c r="V31" s="2807"/>
      <c r="W31" s="2807"/>
      <c r="X31" s="2807"/>
      <c r="Y31" s="2807"/>
      <c r="Z31" s="2807"/>
      <c r="AA31" s="1989"/>
      <c r="AB31" s="1872"/>
      <c r="AD31" s="1761"/>
      <c r="AE31" s="1761"/>
      <c r="AF31" s="1761"/>
      <c r="AG31" s="1761"/>
    </row>
    <row r="32" spans="1:33" ht="4.95" customHeight="1">
      <c r="A32" s="1755"/>
      <c r="B32" s="2048"/>
      <c r="C32" s="2039"/>
      <c r="D32" s="2039"/>
      <c r="E32" s="2039"/>
      <c r="F32" s="2039"/>
      <c r="G32" s="1754"/>
      <c r="H32" s="1771"/>
      <c r="I32" s="2046"/>
      <c r="J32" s="1863"/>
      <c r="K32" s="1864"/>
      <c r="L32" s="1864"/>
      <c r="M32" s="1864"/>
      <c r="N32" s="1864"/>
      <c r="O32" s="1864"/>
      <c r="P32" s="1864"/>
      <c r="Q32" s="1892"/>
      <c r="R32" s="1864"/>
      <c r="S32" s="1771"/>
      <c r="T32" s="2047"/>
      <c r="U32" s="1834"/>
      <c r="V32" s="1760"/>
      <c r="W32" s="1760"/>
      <c r="X32" s="1760"/>
      <c r="Y32" s="1760"/>
      <c r="Z32" s="1898"/>
      <c r="AA32" s="1760"/>
      <c r="AB32" s="1835"/>
      <c r="AC32" s="1752"/>
      <c r="AD32" s="1752"/>
      <c r="AE32" s="1752"/>
      <c r="AF32" s="1752"/>
      <c r="AG32" s="2100"/>
    </row>
    <row r="33" spans="1:33" ht="18" customHeight="1">
      <c r="A33" s="1749" t="s">
        <v>424</v>
      </c>
      <c r="B33" s="2782" t="s">
        <v>107</v>
      </c>
      <c r="C33" s="2783"/>
      <c r="D33" s="2783"/>
      <c r="E33" s="2783"/>
      <c r="F33" s="1752"/>
      <c r="G33" s="1754"/>
      <c r="H33" s="1844"/>
      <c r="I33" s="1881" t="s">
        <v>425</v>
      </c>
      <c r="J33" s="2782" t="s">
        <v>426</v>
      </c>
      <c r="K33" s="2783"/>
      <c r="L33" s="2783"/>
      <c r="M33" s="2783"/>
      <c r="N33" s="1752"/>
      <c r="O33" s="1752"/>
      <c r="P33" s="1752"/>
      <c r="Q33" s="1754"/>
      <c r="R33" s="1752"/>
      <c r="S33" s="1865"/>
      <c r="T33" s="1881" t="s">
        <v>427</v>
      </c>
      <c r="U33" s="2782" t="s">
        <v>428</v>
      </c>
      <c r="V33" s="2783"/>
      <c r="W33" s="2783"/>
      <c r="X33" s="2783"/>
      <c r="Y33" s="1752"/>
      <c r="Z33" s="1754"/>
      <c r="AA33" s="1752"/>
      <c r="AB33" s="1835"/>
      <c r="AC33" s="1752"/>
      <c r="AD33" s="1752"/>
      <c r="AE33" s="1752"/>
      <c r="AF33" s="1752"/>
      <c r="AG33" s="2100"/>
    </row>
    <row r="34" spans="1:33" ht="13.2" customHeight="1">
      <c r="A34" s="1755"/>
      <c r="B34" s="2784" t="s">
        <v>429</v>
      </c>
      <c r="C34" s="2783"/>
      <c r="D34" s="2783"/>
      <c r="E34" s="2783"/>
      <c r="F34" s="1752"/>
      <c r="G34" s="1754"/>
      <c r="H34" s="1844"/>
      <c r="I34" s="1860"/>
      <c r="J34" s="2784" t="s">
        <v>430</v>
      </c>
      <c r="K34" s="2783"/>
      <c r="L34" s="2783"/>
      <c r="M34" s="2783"/>
      <c r="N34" s="1752"/>
      <c r="O34" s="1752"/>
      <c r="P34" s="1752"/>
      <c r="Q34" s="1754"/>
      <c r="R34" s="1752"/>
      <c r="S34" s="1865"/>
      <c r="T34" s="1860"/>
      <c r="U34" s="2784" t="s">
        <v>431</v>
      </c>
      <c r="V34" s="2783"/>
      <c r="W34" s="2783"/>
      <c r="X34" s="2783"/>
      <c r="Y34" s="1752"/>
      <c r="Z34" s="1754"/>
      <c r="AA34" s="1752"/>
      <c r="AB34" s="1835"/>
      <c r="AC34" s="1752"/>
      <c r="AD34" s="1752"/>
      <c r="AE34" s="1752"/>
      <c r="AF34" s="1752"/>
      <c r="AG34" s="2100"/>
    </row>
    <row r="35" spans="1:33" ht="4.95" customHeight="1">
      <c r="A35" s="1755"/>
      <c r="B35" s="1769"/>
      <c r="C35" s="1752"/>
      <c r="D35" s="1752"/>
      <c r="E35" s="1752"/>
      <c r="F35" s="1752"/>
      <c r="G35" s="1754"/>
      <c r="H35" s="1844"/>
      <c r="I35" s="1860"/>
      <c r="J35" s="1861"/>
      <c r="K35" s="1862"/>
      <c r="L35" s="1862"/>
      <c r="M35" s="1862"/>
      <c r="N35" s="1862"/>
      <c r="O35" s="1862"/>
      <c r="P35" s="1862"/>
      <c r="Q35" s="1754"/>
      <c r="R35" s="1752"/>
      <c r="S35" s="1865"/>
      <c r="T35" s="1860"/>
      <c r="U35" s="1858"/>
      <c r="V35" s="1859"/>
      <c r="W35" s="1859"/>
      <c r="X35" s="1859"/>
      <c r="Y35" s="1859"/>
      <c r="Z35" s="1754"/>
      <c r="AA35" s="1752"/>
      <c r="AB35" s="1835"/>
      <c r="AC35" s="1752"/>
      <c r="AD35" s="1752"/>
      <c r="AE35" s="1752"/>
      <c r="AF35" s="1752"/>
      <c r="AG35" s="2100"/>
    </row>
    <row r="36" spans="1:33" ht="31.95" customHeight="1">
      <c r="A36" s="1755"/>
      <c r="B36" s="2786">
        <f ca="1">IFERROR(TCM.!B51,"–")</f>
        <v>16810.91</v>
      </c>
      <c r="C36" s="2787"/>
      <c r="D36" s="2787"/>
      <c r="E36" s="2787"/>
      <c r="F36" s="2787"/>
      <c r="G36" s="1754"/>
      <c r="H36" s="1844"/>
      <c r="I36" s="1860"/>
      <c r="J36" s="2786">
        <f ca="1">IFERROR(TCM.!B55,"–")</f>
        <v>16810.91</v>
      </c>
      <c r="K36" s="2787"/>
      <c r="L36" s="2787"/>
      <c r="M36" s="2787"/>
      <c r="N36" s="2787"/>
      <c r="O36" s="2787"/>
      <c r="P36" s="2787"/>
      <c r="Q36" s="1754"/>
      <c r="R36" s="1752"/>
      <c r="S36" s="1865"/>
      <c r="T36" s="1860"/>
      <c r="U36" s="2786">
        <f ca="1">IFERROR(TCM.!B61,"–")</f>
        <v>18242.48</v>
      </c>
      <c r="V36" s="2787"/>
      <c r="W36" s="2787"/>
      <c r="X36" s="2787"/>
      <c r="Y36" s="2787"/>
      <c r="Z36" s="1754"/>
      <c r="AA36" s="1752"/>
      <c r="AB36" s="1835"/>
      <c r="AC36" s="1752"/>
      <c r="AD36" s="1752"/>
      <c r="AE36" s="1752"/>
      <c r="AF36" s="1752"/>
      <c r="AG36" s="2100"/>
    </row>
    <row r="37" spans="1:33" ht="13.95" customHeight="1">
      <c r="A37" s="1755"/>
      <c r="B37" s="2789" t="s">
        <v>412</v>
      </c>
      <c r="C37" s="2790"/>
      <c r="D37" s="2790"/>
      <c r="E37" s="2790"/>
      <c r="F37" s="2790"/>
      <c r="G37" s="1754"/>
      <c r="H37" s="1844"/>
      <c r="I37" s="1860"/>
      <c r="J37" s="2791" t="s">
        <v>412</v>
      </c>
      <c r="K37" s="2792"/>
      <c r="L37" s="2792"/>
      <c r="M37" s="2792"/>
      <c r="N37" s="2792"/>
      <c r="O37" s="2792"/>
      <c r="P37" s="2792"/>
      <c r="Q37" s="1754"/>
      <c r="R37" s="1752"/>
      <c r="S37" s="1865"/>
      <c r="T37" s="1860"/>
      <c r="U37" s="2780" t="s">
        <v>412</v>
      </c>
      <c r="V37" s="2781"/>
      <c r="W37" s="2781"/>
      <c r="X37" s="2781"/>
      <c r="Y37" s="2781"/>
      <c r="Z37" s="1754"/>
      <c r="AA37" s="1752"/>
      <c r="AB37" s="1835"/>
      <c r="AC37" s="1752"/>
      <c r="AD37" s="1752"/>
      <c r="AE37" s="1752"/>
      <c r="AF37" s="1752"/>
      <c r="AG37" s="2100"/>
    </row>
    <row r="38" spans="1:33" ht="12" customHeight="1">
      <c r="A38" s="1755"/>
      <c r="B38" s="2778" t="s">
        <v>413</v>
      </c>
      <c r="C38" s="2779"/>
      <c r="D38" s="2779"/>
      <c r="E38" s="2779"/>
      <c r="F38" s="2779"/>
      <c r="G38" s="1754"/>
      <c r="H38" s="1844"/>
      <c r="I38" s="1860"/>
      <c r="J38" s="2778" t="s">
        <v>413</v>
      </c>
      <c r="K38" s="2779"/>
      <c r="L38" s="2779"/>
      <c r="M38" s="2779"/>
      <c r="N38" s="2779"/>
      <c r="O38" s="2779"/>
      <c r="P38" s="2779"/>
      <c r="Q38" s="1754"/>
      <c r="R38" s="1752"/>
      <c r="S38" s="1865"/>
      <c r="T38" s="1860"/>
      <c r="U38" s="2778" t="s">
        <v>413</v>
      </c>
      <c r="V38" s="2783"/>
      <c r="W38" s="2783"/>
      <c r="X38" s="1752"/>
      <c r="Y38" s="1752"/>
      <c r="Z38" s="1754"/>
      <c r="AA38" s="1752"/>
      <c r="AB38" s="1835"/>
      <c r="AC38" s="1752"/>
      <c r="AD38" s="1752"/>
      <c r="AE38" s="1752"/>
      <c r="AF38" s="1752"/>
      <c r="AG38" s="2100"/>
    </row>
    <row r="39" spans="1:33" ht="13.95" customHeight="1">
      <c r="A39" s="1755"/>
      <c r="B39" s="1798" t="str">
        <f ca="1">IF(TCM.!B51=0,"⚫  NO DATA",IF(TCM.!B51/(TCM.!D51/31)&gt;=0.9,"🟢  ON TRACK  —  "&amp;TEXT(TCM.!B51/(TCM.!D51/31),"0%")&amp;" of daily plan",IF(TCM.!B51/(TCM.!D51/31)&gt;=0.75,"🟡  CAUTION  —  "&amp;TEXT(TCM.!B51/(TCM.!D51/31),"0%")&amp;" of daily plan","🔴  BEHIND  —  "&amp;TEXT(TCM.!B51/(TCM.!D51/31),"0%")&amp;" of daily plan")))</f>
        <v>🟢  ON TRACK  —  193% of daily plan</v>
      </c>
      <c r="C39" s="1752"/>
      <c r="D39" s="1752"/>
      <c r="E39" s="1765"/>
      <c r="F39" s="1765"/>
      <c r="G39" s="1754"/>
      <c r="H39" s="1844"/>
      <c r="I39" s="1860"/>
      <c r="J39" s="1798" t="str">
        <f ca="1">IF(TCM.!B55=0,"⚫  NO DATA",IF(TCM.!B55/(TCM.!D51/31)&gt;=0.9,"🟢  ON TRACK  —  "&amp;TEXT(TCM.!B55/(TCM.!D51/31),"0%")&amp;" of daily plan",IF(TCM.!B55/(TCM.!D51/31)&gt;=0.75,"🟡  CAUTION  —  "&amp;TEXT(TCM.!B55/(TCM.!D51/31),"0%")&amp;" of daily plan","🔴  BEHIND  —  "&amp;TEXT(TCM.!B55/(TCM.!D51/31),"0%")&amp;" of daily plan")))</f>
        <v>🟢  ON TRACK  —  193% of daily plan</v>
      </c>
      <c r="K39" s="1752"/>
      <c r="L39" s="1752"/>
      <c r="M39" s="1765"/>
      <c r="N39" s="1765"/>
      <c r="O39" s="1765"/>
      <c r="P39" s="1765"/>
      <c r="Q39" s="1754"/>
      <c r="R39" s="1752"/>
      <c r="S39" s="1865"/>
      <c r="T39" s="1901" t="str">
        <f ca="1">IF(TCM.!B61=0,"⚫  NO DATA",IF(TCM.!B61/(TCM.!D61/31)&gt;=0.9,"🟢  ON TRACK  —  "&amp;TEXT(TCM.!B61/(TCM.!D61/31),"0%")&amp;" of daily plan",IF(TCM.!B61/(TCM.!D61/31)&gt;=0.75,"🟡  CAUTION  —  "&amp;TEXT(TCM.!B61/(TCM.!D61/31),"0%")&amp;" of daily plan","🔴  BEHIND  —  "&amp;TEXT(TCM.!B61/(TCM.!D61/31),"0%")&amp;" of daily plan")))</f>
        <v>🟢  ON TRACK  —  153% of daily plan</v>
      </c>
      <c r="U39" s="1798" t="str">
        <f ca="1">IF(TCM.!B61=0,"⚫  NO DATA",IF(TCM.!B61/(TCM.!D61/31)&gt;=0.9,"🟢  ON TRACK  —  "&amp;TEXT(TCM.!B61/(TCM.!D61/31),"0%")&amp;" of daily plan",IF(TCM.!B61/(TCM.!D61/31)&gt;=0.75,"🟡  CAUTION  —  "&amp;TEXT(TCM.!B61/(TCM.!D61/31),"0%")&amp;" of daily plan","🔴  BEHIND  —  "&amp;TEXT(TCM.!B61/(TCM.!D61/31),"0%")&amp;" of daily plan")))</f>
        <v>🟢  ON TRACK  —  153% of daily plan</v>
      </c>
      <c r="V39" s="1752"/>
      <c r="W39" s="1752"/>
      <c r="X39" s="1765"/>
      <c r="Y39" s="1765"/>
      <c r="Z39" s="1754"/>
      <c r="AA39" s="1752"/>
      <c r="AB39" s="1835"/>
      <c r="AC39" s="1752"/>
      <c r="AD39" s="1752"/>
      <c r="AE39" s="1752"/>
      <c r="AF39" s="1752"/>
      <c r="AG39" s="2100"/>
    </row>
    <row r="40" spans="1:33" ht="12" customHeight="1">
      <c r="A40" s="1755"/>
      <c r="B40" s="1896" t="e" cm="1">
        <f t="array" aca="1" ref="B40" ca="1">_xlfn.LET(_xlpm.N,DAY(TODAY()-1),_xlpm.W,MIN(_xlpm.N,7),_xlpm.startOff,_xlpm.N-_xlpm.W,_xlpm.allData,OFFSET('April TCM'!GM10,_xlpm.startOff,0,_xlpm.W,1),_xlpm.maxVal,MAX(_xlpm.allData),_xlpm.startDay,_xlpm.N-_xlpm.W+1,_xlpm.label,"Trend (D"&amp;_xlpm.startDay&amp;"→D"&amp;_xlpm.N&amp;"):  ",_xlpm.bars,_xlfn.MAKEARRAY(1,_xlpm.W,_xlfn.LAMBDA(_xlpm.r,_xlpm.c,_xlfn.LET(_xlpm.val,INDEX(_xlpm.allData,_xlpm.c),_xlpm.ratio,IF(_xlpm.maxVal=0,0,_xlpm.val/_xlpm.maxVal),IF(_xlpm.ratio&lt;=0.125,"▁",IF(_xlpm.ratio&lt;=0.25,"▂",IF(_xlpm.ratio&lt;=0.375,"▃",IF(_xlpm.ratio&lt;=0.5,"▄",IF(_xlpm.ratio&lt;=0.625,"▅",IF(_xlpm.ratio&lt;=0.75,"▆",IF(_xlpm.ratio&lt;=0.875,"▇","█")))))))))),_xlpm.label&amp;_xlfn.TEXTJOIN(" ",FALSE,_xlpm.bars))</f>
        <v>#NAME?</v>
      </c>
      <c r="C40" s="1752"/>
      <c r="D40" s="1752"/>
      <c r="E40" s="1752"/>
      <c r="F40" s="1752"/>
      <c r="G40" s="1754"/>
      <c r="H40" s="1844"/>
      <c r="I40" s="1860"/>
      <c r="J40" s="1896" t="e" cm="1">
        <f t="array" aca="1" ref="J40" ca="1">_xlfn.LET(_xlpm.N,DAY(TODAY()-1),_xlpm.W,MIN(_xlpm.N,7),_xlpm.startOff,_xlpm.N-_xlpm.W,_xlpm.allData,OFFSET('April TCM'!GV10,_xlpm.startOff,0,_xlpm.W,1),_xlpm.maxVal,MAX(_xlpm.allData),_xlpm.startDay,_xlpm.N-_xlpm.W+1,_xlpm.label,"Trend (D"&amp;_xlpm.startDay&amp;"→D"&amp;_xlpm.N&amp;"):  ",_xlpm.bars,_xlfn.MAKEARRAY(1,_xlpm.W,_xlfn.LAMBDA(_xlpm.r,_xlpm.c,_xlfn.LET(_xlpm.val,INDEX(_xlpm.allData,_xlpm.c),_xlpm.ratio,IF(_xlpm.maxVal=0,0,_xlpm.val/_xlpm.maxVal),IF(_xlpm.ratio&lt;=0.125,"▁",IF(_xlpm.ratio&lt;=0.25,"▂",IF(_xlpm.ratio&lt;=0.375,"▃",IF(_xlpm.ratio&lt;=0.5,"▄",IF(_xlpm.ratio&lt;=0.625,"▅",IF(_xlpm.ratio&lt;=0.75,"▆",IF(_xlpm.ratio&lt;=0.875,"▇","█")))))))))),_xlpm.label&amp;_xlfn.TEXTJOIN(" ",FALSE,_xlpm.bars))</f>
        <v>#NAME?</v>
      </c>
      <c r="K40" s="1752"/>
      <c r="L40" s="1752"/>
      <c r="M40" s="1752"/>
      <c r="N40" s="1752"/>
      <c r="O40" s="1752"/>
      <c r="P40" s="1752"/>
      <c r="Q40" s="1754"/>
      <c r="R40" s="1752"/>
      <c r="S40" s="1865"/>
      <c r="T40" s="1902" t="e" cm="1">
        <f t="array" aca="1" ref="T40" ca="1">_xlfn.LET(_xlpm.N,DAY(TODAY()-1),_xlpm.W,MIN(_xlpm.N,7),_xlpm.startOff,_xlpm.N-_xlpm.W,_xlpm.allData,OFFSET('April TCM'!LI10,_xlpm.startOff,0,_xlpm.W,1),_xlpm.maxVal,MAX(_xlpm.allData),_xlpm.startDay,_xlpm.N-_xlpm.W+1,_xlpm.label,"Trend (D"&amp;_xlpm.startDay&amp;"→D"&amp;_xlpm.N&amp;"):  ",_xlpm.bars,_xlfn.MAKEARRAY(1,_xlpm.W,_xlfn.LAMBDA(_xlpm.r,_xlpm.c,_xlfn.LET(_xlpm.val,INDEX(_xlpm.allData,_xlpm.c),_xlpm.ratio,IF(_xlpm.maxVal=0,0,_xlpm.val/_xlpm.maxVal),IF(_xlpm.ratio&lt;=0.125,"▁",IF(_xlpm.ratio&lt;=0.25,"▂",IF(_xlpm.ratio&lt;=0.375,"▃",IF(_xlpm.ratio&lt;=0.5,"▄",IF(_xlpm.ratio&lt;=0.625,"▅",IF(_xlpm.ratio&lt;=0.75,"▆",IF(_xlpm.ratio&lt;=0.875,"▇","█")))))))))),_xlpm.label&amp;_xlfn.TEXTJOIN(" ",FALSE,_xlpm.bars))</f>
        <v>#NAME?</v>
      </c>
      <c r="U40" s="1896" t="e" cm="1">
        <f t="array" aca="1" ref="U40" ca="1">_xlfn.LET(_xlpm.N,DAY(TODAY()-1),_xlpm.W,MIN(_xlpm.N,7),_xlpm.startOff,_xlpm.N-_xlpm.W,_xlpm.allData,OFFSET('April TCM'!LI10,_xlpm.startOff,0,_xlpm.W,1),_xlpm.maxVal,MAX(_xlpm.allData),_xlpm.startDay,_xlpm.N-_xlpm.W+1,_xlpm.label,"Trend (D"&amp;_xlpm.startDay&amp;"→D"&amp;_xlpm.N&amp;"):  ",_xlpm.bars,_xlfn.MAKEARRAY(1,_xlpm.W,_xlfn.LAMBDA(_xlpm.r,_xlpm.c,_xlfn.LET(_xlpm.val,INDEX(_xlpm.allData,_xlpm.c),_xlpm.ratio,IF(_xlpm.maxVal=0,0,_xlpm.val/_xlpm.maxVal),IF(_xlpm.ratio&lt;=0.125,"▁",IF(_xlpm.ratio&lt;=0.25,"▂",IF(_xlpm.ratio&lt;=0.375,"▃",IF(_xlpm.ratio&lt;=0.5,"▄",IF(_xlpm.ratio&lt;=0.625,"▅",IF(_xlpm.ratio&lt;=0.75,"▆",IF(_xlpm.ratio&lt;=0.875,"▇","█")))))))))),_xlpm.label&amp;_xlfn.TEXTJOIN(" ",FALSE,_xlpm.bars))</f>
        <v>#NAME?</v>
      </c>
      <c r="V40" s="1752"/>
      <c r="W40" s="1752"/>
      <c r="X40" s="1752"/>
      <c r="Y40" s="1752"/>
      <c r="Z40" s="1754"/>
      <c r="AA40" s="1752"/>
      <c r="AB40" s="1835"/>
      <c r="AC40" s="1752"/>
      <c r="AD40" s="1752"/>
      <c r="AE40" s="1752"/>
      <c r="AF40" s="1752"/>
      <c r="AG40" s="2100"/>
    </row>
    <row r="41" spans="1:33" ht="12" customHeight="1">
      <c r="A41" s="1755"/>
      <c r="B41" s="2846" t="s">
        <v>414</v>
      </c>
      <c r="C41" s="2795"/>
      <c r="D41" s="2795"/>
      <c r="E41" s="2785">
        <f ca="1">IFERROR(TCM.!E51,0)</f>
        <v>0.18357688888888887</v>
      </c>
      <c r="F41" s="2785"/>
      <c r="G41" s="1754"/>
      <c r="H41" s="1844"/>
      <c r="I41" s="1860"/>
      <c r="J41" s="2846" t="s">
        <v>414</v>
      </c>
      <c r="K41" s="2795"/>
      <c r="L41" s="2795"/>
      <c r="M41" s="2785">
        <f ca="1">IFERROR(TCM.!C55/TCM.!D51,0)</f>
        <v>0.18357688888888887</v>
      </c>
      <c r="N41" s="2785"/>
      <c r="O41" s="2785"/>
      <c r="P41" s="2785"/>
      <c r="Q41" s="1754"/>
      <c r="R41" s="1752"/>
      <c r="S41" s="1865"/>
      <c r="T41" s="1860"/>
      <c r="U41" s="2846" t="s">
        <v>414</v>
      </c>
      <c r="V41" s="2795"/>
      <c r="W41" s="2795"/>
      <c r="X41" s="2785">
        <f ca="1">IFERROR(TCM.!E61,0)</f>
        <v>7.5625486486486482E-2</v>
      </c>
      <c r="Y41" s="2785"/>
      <c r="Z41" s="1754"/>
      <c r="AA41" s="1752"/>
      <c r="AB41" s="1835"/>
      <c r="AC41" s="1752"/>
      <c r="AD41" s="1752"/>
      <c r="AE41" s="1752"/>
      <c r="AF41" s="1752"/>
      <c r="AG41" s="2100"/>
    </row>
    <row r="42" spans="1:33" ht="15" customHeight="1">
      <c r="A42" s="1755"/>
      <c r="B42" s="2794" t="str">
        <f ca="1">TEXT(TCM.!C51,"#,##0")&amp;" / "&amp;TEXT(TCM.!D51,"#,##0")</f>
        <v>49,566 / 270,000</v>
      </c>
      <c r="C42" s="2795"/>
      <c r="D42" s="2795"/>
      <c r="E42" s="2795"/>
      <c r="F42" s="1975"/>
      <c r="G42" s="1754"/>
      <c r="H42" s="1844"/>
      <c r="I42" s="1860"/>
      <c r="J42" s="2794" t="str">
        <f ca="1">TEXT(TCM.!C55,"#,##0")&amp;" / "&amp;TEXT(TCM.!D51,"#,##0")</f>
        <v>49,566 / 270,000</v>
      </c>
      <c r="K42" s="2795"/>
      <c r="L42" s="2795"/>
      <c r="M42" s="2795"/>
      <c r="N42" s="1975"/>
      <c r="O42" s="1975"/>
      <c r="P42" s="1975"/>
      <c r="Q42" s="1754"/>
      <c r="R42" s="1752"/>
      <c r="S42" s="1865"/>
      <c r="T42" s="1860"/>
      <c r="U42" s="2794" t="str">
        <f ca="1">TEXT(TCM.!C61,"#,##0")&amp;" / "&amp;TEXT(TCM.!D61,"#,##0")</f>
        <v>27,981 / 370,000</v>
      </c>
      <c r="V42" s="2795"/>
      <c r="W42" s="2795"/>
      <c r="X42" s="2795"/>
      <c r="Y42" s="1975"/>
      <c r="Z42" s="1754"/>
      <c r="AA42" s="1752"/>
      <c r="AB42" s="1835"/>
      <c r="AC42" s="1752"/>
      <c r="AD42" s="1752"/>
      <c r="AE42" s="1752"/>
      <c r="AF42" s="1752"/>
      <c r="AG42" s="2100"/>
    </row>
    <row r="43" spans="1:33" ht="15" customHeight="1">
      <c r="A43" s="1755"/>
      <c r="B43" s="2811" t="s">
        <v>415</v>
      </c>
      <c r="C43" s="2783"/>
      <c r="D43" s="1752"/>
      <c r="E43" s="2812" t="str">
        <f ca="1">IFERROR(TEXT(TCM.!E51,"0%"),"–")</f>
        <v>18%</v>
      </c>
      <c r="F43" s="2812"/>
      <c r="G43" s="1754"/>
      <c r="H43" s="1844"/>
      <c r="I43" s="1860"/>
      <c r="J43" s="2811" t="s">
        <v>415</v>
      </c>
      <c r="K43" s="2783"/>
      <c r="L43" s="1752"/>
      <c r="M43" s="2851" t="str">
        <f ca="1">IFERROR(TEXT(TCM.!C55/TCM.!D51,"0%"),"–")</f>
        <v>18%</v>
      </c>
      <c r="N43" s="2851"/>
      <c r="O43" s="2851"/>
      <c r="P43" s="2851"/>
      <c r="Q43" s="2852"/>
      <c r="R43" s="1875"/>
      <c r="S43" s="1865"/>
      <c r="T43" s="1860"/>
      <c r="U43" s="2811" t="s">
        <v>415</v>
      </c>
      <c r="V43" s="2783"/>
      <c r="W43" s="1752"/>
      <c r="X43" s="1878" t="str">
        <f ca="1">IFERROR(TEXT(TCM.!E61,"0%"),"–")</f>
        <v>8%</v>
      </c>
      <c r="Y43" s="1878"/>
      <c r="Z43" s="1754"/>
      <c r="AA43" s="1752"/>
      <c r="AB43" s="1835"/>
      <c r="AC43" s="1752"/>
      <c r="AD43" s="1752"/>
      <c r="AE43" s="1752"/>
      <c r="AF43" s="1752"/>
      <c r="AG43" s="2100"/>
    </row>
    <row r="44" spans="1:33" ht="9" customHeight="1">
      <c r="A44" s="1755"/>
      <c r="B44" s="2769">
        <f ca="1">IFERROR(MAX(0,MIN(E41,1)),0)</f>
        <v>0.18357688888888887</v>
      </c>
      <c r="C44" s="2770"/>
      <c r="D44" s="2770"/>
      <c r="E44" s="2770"/>
      <c r="F44" s="2770"/>
      <c r="G44" s="2771"/>
      <c r="H44" s="2450"/>
      <c r="I44" s="1860"/>
      <c r="J44" s="2769">
        <f ca="1">IFERROR(MAX(0,MIN(M41,1)),0)</f>
        <v>0.18357688888888887</v>
      </c>
      <c r="K44" s="2770"/>
      <c r="L44" s="2770"/>
      <c r="M44" s="2770"/>
      <c r="N44" s="2770"/>
      <c r="O44" s="2770"/>
      <c r="P44" s="2770"/>
      <c r="Q44" s="2770"/>
      <c r="R44" s="2771"/>
      <c r="S44" s="1865"/>
      <c r="T44" s="1860"/>
      <c r="U44" s="2769">
        <f ca="1">IFERROR(MAX(0,MIN(X41,1)),0)</f>
        <v>7.5625486486486482E-2</v>
      </c>
      <c r="V44" s="2770"/>
      <c r="W44" s="2770"/>
      <c r="X44" s="2770"/>
      <c r="Y44" s="2770"/>
      <c r="Z44" s="2770"/>
      <c r="AA44" s="2771"/>
      <c r="AB44" s="1835"/>
      <c r="AC44" s="1752"/>
      <c r="AD44" s="1752"/>
      <c r="AE44" s="1752"/>
      <c r="AF44" s="1752"/>
      <c r="AG44" s="2100"/>
    </row>
    <row r="45" spans="1:33" ht="9" customHeight="1">
      <c r="A45" s="1755"/>
      <c r="B45" s="2772"/>
      <c r="C45" s="2773"/>
      <c r="D45" s="2773"/>
      <c r="E45" s="2773"/>
      <c r="F45" s="2773"/>
      <c r="G45" s="2774"/>
      <c r="H45" s="2450"/>
      <c r="I45" s="1860"/>
      <c r="J45" s="2772"/>
      <c r="K45" s="2773"/>
      <c r="L45" s="2773"/>
      <c r="M45" s="2773"/>
      <c r="N45" s="2773"/>
      <c r="O45" s="2773"/>
      <c r="P45" s="2773"/>
      <c r="Q45" s="2773"/>
      <c r="R45" s="2774"/>
      <c r="S45" s="1865"/>
      <c r="T45" s="1860"/>
      <c r="U45" s="2772"/>
      <c r="V45" s="2773"/>
      <c r="W45" s="2773"/>
      <c r="X45" s="2773"/>
      <c r="Y45" s="2773"/>
      <c r="Z45" s="2773"/>
      <c r="AA45" s="2774"/>
      <c r="AB45" s="1835"/>
      <c r="AC45" s="1752"/>
      <c r="AD45" s="1752"/>
      <c r="AE45" s="1752"/>
      <c r="AF45" s="1752"/>
      <c r="AG45" s="2100"/>
    </row>
    <row r="46" spans="1:33" ht="4.95" customHeight="1">
      <c r="A46" s="1755"/>
      <c r="B46" s="1769"/>
      <c r="C46" s="1752"/>
      <c r="D46" s="1752"/>
      <c r="E46" s="1752"/>
      <c r="F46" s="1752"/>
      <c r="G46" s="1754"/>
      <c r="H46" s="1844"/>
      <c r="I46" s="1860"/>
      <c r="J46" s="1769"/>
      <c r="K46" s="1752"/>
      <c r="L46" s="1752"/>
      <c r="M46" s="1752"/>
      <c r="N46" s="1752"/>
      <c r="O46" s="1752"/>
      <c r="P46" s="1752"/>
      <c r="Q46" s="1754"/>
      <c r="R46" s="1752"/>
      <c r="S46" s="1865"/>
      <c r="T46" s="1860"/>
      <c r="U46" s="1769"/>
      <c r="V46" s="1752"/>
      <c r="W46" s="1752"/>
      <c r="X46" s="1752"/>
      <c r="Y46" s="1752"/>
      <c r="Z46" s="1754"/>
      <c r="AA46" s="1752"/>
      <c r="AB46" s="1835"/>
      <c r="AC46" s="1752"/>
      <c r="AD46" s="1752"/>
      <c r="AE46" s="1752"/>
      <c r="AF46" s="1752"/>
      <c r="AG46" s="2100"/>
    </row>
    <row r="47" spans="1:33" ht="1.95" customHeight="1">
      <c r="A47" s="1755"/>
      <c r="B47" s="1769"/>
      <c r="C47" s="1752"/>
      <c r="D47" s="1752"/>
      <c r="E47" s="1752"/>
      <c r="F47" s="1752"/>
      <c r="G47" s="1754"/>
      <c r="H47" s="1844"/>
      <c r="I47" s="1860"/>
      <c r="J47" s="1769"/>
      <c r="K47" s="1752"/>
      <c r="L47" s="1752"/>
      <c r="M47" s="1752"/>
      <c r="N47" s="1752"/>
      <c r="O47" s="1752"/>
      <c r="P47" s="1752"/>
      <c r="Q47" s="1754"/>
      <c r="R47" s="1752"/>
      <c r="S47" s="1865"/>
      <c r="T47" s="1860"/>
      <c r="U47" s="1769"/>
      <c r="V47" s="1752"/>
      <c r="W47" s="1752"/>
      <c r="X47" s="1752"/>
      <c r="Y47" s="1752"/>
      <c r="Z47" s="1754"/>
      <c r="AA47" s="1752"/>
      <c r="AB47" s="1835"/>
      <c r="AC47" s="1752"/>
      <c r="AD47" s="1752"/>
      <c r="AE47" s="1752"/>
      <c r="AF47" s="1752"/>
      <c r="AG47" s="2100"/>
    </row>
    <row r="48" spans="1:33" ht="16.2" customHeight="1">
      <c r="A48" s="1755"/>
      <c r="B48" s="2823" t="s">
        <v>416</v>
      </c>
      <c r="C48" s="2783"/>
      <c r="D48" s="2783"/>
      <c r="E48" s="2783"/>
      <c r="F48" s="1752"/>
      <c r="G48" s="1754"/>
      <c r="H48" s="1844"/>
      <c r="I48" s="1860"/>
      <c r="J48" s="2793" t="s">
        <v>416</v>
      </c>
      <c r="K48" s="2783"/>
      <c r="L48" s="2783"/>
      <c r="M48" s="2783"/>
      <c r="N48" s="1752"/>
      <c r="O48" s="1752"/>
      <c r="P48" s="1752"/>
      <c r="Q48" s="1754"/>
      <c r="R48" s="1752"/>
      <c r="S48" s="1865"/>
      <c r="T48" s="1860"/>
      <c r="U48" s="2847" t="s">
        <v>416</v>
      </c>
      <c r="V48" s="2783"/>
      <c r="W48" s="2783"/>
      <c r="X48" s="2783"/>
      <c r="Y48" s="1752"/>
      <c r="Z48" s="1754"/>
      <c r="AA48" s="1752"/>
      <c r="AB48" s="1835"/>
      <c r="AC48" s="1752"/>
      <c r="AD48" s="1752"/>
      <c r="AE48" s="1752"/>
      <c r="AF48" s="1752"/>
      <c r="AG48" s="2100"/>
    </row>
    <row r="49" spans="1:33" ht="6" customHeight="1">
      <c r="A49" s="1755"/>
      <c r="B49" s="1769"/>
      <c r="C49" s="1752"/>
      <c r="D49" s="1752"/>
      <c r="E49" s="1752"/>
      <c r="F49" s="1752"/>
      <c r="G49" s="1754"/>
      <c r="H49" s="1844"/>
      <c r="I49" s="1860"/>
      <c r="J49" s="1769"/>
      <c r="K49" s="1752"/>
      <c r="L49" s="1752"/>
      <c r="M49" s="1752"/>
      <c r="N49" s="1752"/>
      <c r="O49" s="1752"/>
      <c r="P49" s="1752"/>
      <c r="Q49" s="1754"/>
      <c r="R49" s="1752"/>
      <c r="S49" s="1865"/>
      <c r="T49" s="1860"/>
      <c r="U49" s="1769"/>
      <c r="V49" s="1752"/>
      <c r="W49" s="1752"/>
      <c r="X49" s="1752"/>
      <c r="Y49" s="1752"/>
      <c r="Z49" s="1754"/>
      <c r="AA49" s="1752"/>
      <c r="AB49" s="1835"/>
      <c r="AC49" s="1752"/>
      <c r="AD49" s="1752"/>
      <c r="AE49" s="1752"/>
      <c r="AF49" s="1752"/>
      <c r="AG49" s="2100"/>
    </row>
    <row r="50" spans="1:33" ht="22.2" customHeight="1">
      <c r="A50" s="1755"/>
      <c r="B50" s="1777" t="s">
        <v>417</v>
      </c>
      <c r="C50" s="1778" t="s">
        <v>418</v>
      </c>
      <c r="D50" s="1778" t="s">
        <v>419</v>
      </c>
      <c r="E50" s="1778" t="s">
        <v>420</v>
      </c>
      <c r="F50" s="1978"/>
      <c r="G50" s="1754"/>
      <c r="H50" s="1844"/>
      <c r="I50" s="1860"/>
      <c r="J50" s="1773" t="s">
        <v>417</v>
      </c>
      <c r="K50" s="1774" t="s">
        <v>418</v>
      </c>
      <c r="L50" s="2816" t="s">
        <v>419</v>
      </c>
      <c r="M50" s="2816"/>
      <c r="N50" s="2816"/>
      <c r="O50" s="1978" t="s">
        <v>420</v>
      </c>
      <c r="P50" s="1978"/>
      <c r="Q50" s="1754"/>
      <c r="R50" s="1752"/>
      <c r="S50" s="1865"/>
      <c r="T50" s="1860"/>
      <c r="U50" s="1781" t="s">
        <v>417</v>
      </c>
      <c r="V50" s="1782" t="s">
        <v>418</v>
      </c>
      <c r="W50" s="1782" t="s">
        <v>419</v>
      </c>
      <c r="X50" s="1782" t="s">
        <v>420</v>
      </c>
      <c r="Y50" s="1978"/>
      <c r="Z50" s="1754"/>
      <c r="AA50" s="1752"/>
      <c r="AB50" s="1835"/>
      <c r="AC50" s="1752"/>
      <c r="AD50" s="1752"/>
      <c r="AE50" s="1752"/>
      <c r="AF50" s="1752"/>
      <c r="AG50" s="2100"/>
    </row>
    <row r="51" spans="1:33" ht="15" customHeight="1">
      <c r="A51" s="1755"/>
      <c r="B51" s="2061" t="s">
        <v>432</v>
      </c>
      <c r="C51" s="2063">
        <f ca="1">TCM.!B52</f>
        <v>8295.73</v>
      </c>
      <c r="D51" s="2063">
        <f>TCM.!C52</f>
        <v>24471.679999999997</v>
      </c>
      <c r="E51" s="2066" t="str">
        <f ca="1">IFERROR(TEXT(TCM.!E52,"0%"),"–")</f>
        <v>16%</v>
      </c>
      <c r="F51" s="1802"/>
      <c r="G51" s="1754"/>
      <c r="H51" s="1844"/>
      <c r="I51" s="1860"/>
      <c r="J51" s="2061" t="s">
        <v>130</v>
      </c>
      <c r="K51" s="2063">
        <f ca="1">TCM.!B56</f>
        <v>0</v>
      </c>
      <c r="L51" s="2853">
        <f>TCM.!C56</f>
        <v>0</v>
      </c>
      <c r="M51" s="2854"/>
      <c r="N51" s="2855"/>
      <c r="O51" s="2102" t="str">
        <f>IF(SUM(TCM.!C56:C59)=0,"–",TEXT(TCM.!C56/SUM(TCM.!C56:C59),"0%"))</f>
        <v>0%</v>
      </c>
      <c r="P51" s="1801"/>
      <c r="Q51" s="1754"/>
      <c r="R51" s="1752"/>
      <c r="S51" s="1865"/>
      <c r="T51" s="2082"/>
      <c r="U51" s="2083" t="s">
        <v>432</v>
      </c>
      <c r="V51" s="2063">
        <f ca="1">TCM.!B62</f>
        <v>11864.444</v>
      </c>
      <c r="W51" s="2093">
        <f>TCM.!C62</f>
        <v>11864.444</v>
      </c>
      <c r="X51" s="1806" t="str">
        <f ca="1">IFERROR(TEXT(TCM.!E62,"0%"),"–")</f>
        <v>5%</v>
      </c>
      <c r="Y51" s="1806"/>
      <c r="Z51" s="1754"/>
      <c r="AA51" s="1752"/>
      <c r="AB51" s="1835"/>
      <c r="AC51" s="1752"/>
      <c r="AD51" s="1752"/>
      <c r="AE51" s="1752"/>
      <c r="AF51" s="1752"/>
      <c r="AG51" s="2100"/>
    </row>
    <row r="52" spans="1:33" ht="15" customHeight="1">
      <c r="A52" s="1755"/>
      <c r="B52" s="2062" t="s">
        <v>433</v>
      </c>
      <c r="C52" s="2064">
        <f ca="1">TCM.!B53</f>
        <v>8515.18</v>
      </c>
      <c r="D52" s="2064">
        <f>TCM.!C53</f>
        <v>25094.080000000002</v>
      </c>
      <c r="E52" s="2067" t="str">
        <f ca="1">IFERROR(TEXT(TCM.!E53,"0%"),"–")</f>
        <v>21%</v>
      </c>
      <c r="F52" s="1979"/>
      <c r="G52" s="1754"/>
      <c r="H52" s="1844"/>
      <c r="I52" s="1860"/>
      <c r="J52" s="2062" t="s">
        <v>164</v>
      </c>
      <c r="K52" s="2064">
        <f ca="1">TCM.!B57</f>
        <v>610.70000000000005</v>
      </c>
      <c r="L52" s="2844">
        <f>TCM.!C57</f>
        <v>2262.5</v>
      </c>
      <c r="M52" s="2844"/>
      <c r="N52" s="2844"/>
      <c r="O52" s="2091" t="str">
        <f>IF(SUM(TCM.!C56:C59)=0,"–",TEXT(TCM.!C57/SUM(TCM.!C56:C59),"0%"))</f>
        <v>5%</v>
      </c>
      <c r="P52" s="1981"/>
      <c r="Q52" s="1754"/>
      <c r="R52" s="1752"/>
      <c r="S52" s="1865"/>
      <c r="T52" s="2082"/>
      <c r="U52" s="2084" t="s">
        <v>433</v>
      </c>
      <c r="V52" s="2064">
        <f ca="1">TCM.!B63</f>
        <v>6378.0360000000001</v>
      </c>
      <c r="W52" s="2094">
        <f>TCM.!C63</f>
        <v>16116.986000000001</v>
      </c>
      <c r="X52" s="1794" t="str">
        <f ca="1">IFERROR(TEXT(TCM.!E63,"0%"),"–")</f>
        <v>12%</v>
      </c>
      <c r="Y52" s="1993"/>
      <c r="Z52" s="1754"/>
      <c r="AA52" s="1752"/>
      <c r="AB52" s="1835"/>
      <c r="AC52" s="1752"/>
      <c r="AD52" s="1752"/>
      <c r="AE52" s="1752"/>
      <c r="AF52" s="1752"/>
      <c r="AG52" s="2100"/>
    </row>
    <row r="53" spans="1:33" ht="15" customHeight="1">
      <c r="A53" s="1755"/>
      <c r="B53" s="1807"/>
      <c r="C53" s="1808"/>
      <c r="D53" s="1808"/>
      <c r="E53" s="1808"/>
      <c r="F53" s="1994"/>
      <c r="G53" s="1754"/>
      <c r="H53" s="1844"/>
      <c r="I53" s="1860"/>
      <c r="J53" s="2053" t="s">
        <v>244</v>
      </c>
      <c r="K53" s="2065">
        <f ca="1">TCM.!B58</f>
        <v>6176.09</v>
      </c>
      <c r="L53" s="2788">
        <f>TCM.!C58</f>
        <v>18036.129999999997</v>
      </c>
      <c r="M53" s="2788"/>
      <c r="N53" s="2788"/>
      <c r="O53" s="2092" t="str">
        <f>IF(SUM(TCM.!C56:C59)=0,"–",TEXT(TCM.!C58/SUM(TCM.!C56:C59),"0%"))</f>
        <v>36%</v>
      </c>
      <c r="P53" s="1801"/>
      <c r="Q53" s="1754"/>
      <c r="R53" s="1752"/>
      <c r="S53" s="1865"/>
      <c r="T53" s="1860"/>
      <c r="U53" s="1807"/>
      <c r="V53" s="1808"/>
      <c r="W53" s="1808"/>
      <c r="X53" s="1808"/>
      <c r="Y53" s="1994"/>
      <c r="Z53" s="1754"/>
      <c r="AA53" s="1752"/>
      <c r="AB53" s="1835"/>
      <c r="AC53" s="1752"/>
      <c r="AD53" s="1752"/>
      <c r="AE53" s="1752"/>
      <c r="AF53" s="1752"/>
      <c r="AG53" s="2100"/>
    </row>
    <row r="54" spans="1:33" ht="15" customHeight="1">
      <c r="A54" s="1755"/>
      <c r="B54" s="1772"/>
      <c r="C54" s="1751"/>
      <c r="D54" s="1751"/>
      <c r="E54" s="1751"/>
      <c r="F54" s="1995"/>
      <c r="G54" s="1754"/>
      <c r="H54" s="1844"/>
      <c r="I54" s="1860"/>
      <c r="J54" s="2068" t="s">
        <v>434</v>
      </c>
      <c r="K54" s="2069">
        <f ca="1">TCM.!B59</f>
        <v>10024.119999999999</v>
      </c>
      <c r="L54" s="2803">
        <f>TCM.!C59</f>
        <v>29267.129999999997</v>
      </c>
      <c r="M54" s="2803"/>
      <c r="N54" s="2803"/>
      <c r="O54" s="1981" t="str">
        <f>IF(SUM(TCM.!C56:C59)=0,"–",TEXT(TCM.!C59/SUM(TCM.!C56:C59),"0%"))</f>
        <v>59%</v>
      </c>
      <c r="P54" s="1981"/>
      <c r="Q54" s="1754"/>
      <c r="R54" s="1752"/>
      <c r="S54" s="1865"/>
      <c r="T54" s="1860"/>
      <c r="U54" s="1772"/>
      <c r="V54" s="1751"/>
      <c r="W54" s="1751"/>
      <c r="X54" s="1751"/>
      <c r="Y54" s="1995"/>
      <c r="Z54" s="1754"/>
      <c r="AA54" s="1752"/>
      <c r="AB54" s="1835"/>
      <c r="AC54" s="1752"/>
      <c r="AD54" s="1752"/>
      <c r="AE54" s="1752"/>
      <c r="AF54" s="1752"/>
      <c r="AG54" s="2100"/>
    </row>
    <row r="55" spans="1:33" ht="4.95" customHeight="1">
      <c r="A55" s="1755"/>
      <c r="B55" s="2141"/>
      <c r="C55" s="2142"/>
      <c r="D55" s="2142"/>
      <c r="E55" s="2142"/>
      <c r="F55" s="2142"/>
      <c r="G55" s="2147"/>
      <c r="H55" s="2148"/>
      <c r="I55" s="1860"/>
      <c r="J55" s="2141"/>
      <c r="K55" s="2142"/>
      <c r="L55" s="2142"/>
      <c r="M55" s="2142"/>
      <c r="N55" s="2142"/>
      <c r="O55" s="2142"/>
      <c r="P55" s="2142"/>
      <c r="Q55" s="2147"/>
      <c r="R55" s="2142"/>
      <c r="S55" s="1866"/>
      <c r="T55" s="1860"/>
      <c r="U55" s="2141"/>
      <c r="V55" s="2142"/>
      <c r="W55" s="2142"/>
      <c r="X55" s="2142"/>
      <c r="Y55" s="2142"/>
      <c r="Z55" s="1900"/>
      <c r="AA55" s="1899"/>
      <c r="AB55" s="1836"/>
      <c r="AC55" s="1752"/>
      <c r="AD55" s="1752"/>
      <c r="AE55" s="1752"/>
      <c r="AF55" s="1752"/>
      <c r="AG55" s="2100"/>
    </row>
    <row r="56" spans="1:33" ht="4.2" customHeight="1">
      <c r="A56" s="2029"/>
      <c r="B56" s="2030"/>
      <c r="C56" s="2030"/>
      <c r="D56" s="2030"/>
      <c r="E56" s="2030"/>
      <c r="F56" s="2030"/>
      <c r="G56" s="2038"/>
      <c r="H56" s="2039"/>
      <c r="I56" s="2040"/>
      <c r="J56" s="2031"/>
      <c r="K56" s="2031"/>
      <c r="L56" s="2031"/>
      <c r="M56" s="2031"/>
      <c r="N56" s="2031"/>
      <c r="O56" s="2031"/>
      <c r="P56" s="2031"/>
      <c r="Q56" s="2041"/>
      <c r="R56" s="1864"/>
      <c r="S56" s="1864"/>
      <c r="T56" s="2042"/>
      <c r="U56" s="2032"/>
      <c r="V56" s="2032"/>
      <c r="W56" s="2032"/>
      <c r="X56" s="2032"/>
      <c r="Y56" s="2032"/>
      <c r="Z56" s="1884"/>
      <c r="AA56" s="1860"/>
      <c r="AB56" s="1752"/>
      <c r="AC56" s="1752"/>
      <c r="AD56" s="1752"/>
      <c r="AE56" s="1752"/>
      <c r="AF56" s="1752"/>
      <c r="AG56" s="1752"/>
    </row>
    <row r="57" spans="1:33" ht="4.2" customHeight="1">
      <c r="A57" s="1860"/>
      <c r="B57" s="1860"/>
      <c r="C57" s="1860"/>
      <c r="D57" s="1860"/>
      <c r="E57" s="1860"/>
      <c r="F57" s="1860"/>
      <c r="G57" s="1860"/>
      <c r="H57" s="1860"/>
      <c r="I57" s="1860"/>
      <c r="J57" s="1860"/>
      <c r="K57" s="1860"/>
      <c r="L57" s="1860"/>
      <c r="M57" s="1860"/>
      <c r="N57" s="1860"/>
      <c r="O57" s="1860"/>
      <c r="P57" s="1860"/>
      <c r="Q57" s="1860"/>
      <c r="R57" s="1860"/>
      <c r="S57" s="1860"/>
      <c r="T57" s="1860"/>
      <c r="U57" s="1860"/>
      <c r="V57" s="1860"/>
      <c r="W57" s="1860"/>
      <c r="X57" s="1860"/>
      <c r="Y57" s="1860"/>
      <c r="Z57" s="1860"/>
      <c r="AA57" s="1860"/>
      <c r="AB57" s="1847"/>
      <c r="AC57" s="1752"/>
      <c r="AD57" s="1752"/>
      <c r="AE57" s="1752"/>
      <c r="AF57" s="1752"/>
      <c r="AG57" s="1752"/>
    </row>
    <row r="58" spans="1:33" ht="4.2" customHeight="1">
      <c r="A58" s="1860"/>
      <c r="B58" s="1860"/>
      <c r="C58" s="1860"/>
      <c r="D58" s="1860"/>
      <c r="E58" s="1860"/>
      <c r="F58" s="1860"/>
      <c r="G58" s="1860"/>
      <c r="H58" s="1860"/>
      <c r="I58" s="1860"/>
      <c r="J58" s="1860"/>
      <c r="K58" s="1860"/>
      <c r="L58" s="1860"/>
      <c r="M58" s="1860"/>
      <c r="N58" s="1860"/>
      <c r="O58" s="1860"/>
      <c r="P58" s="1860"/>
      <c r="Q58" s="1860"/>
      <c r="R58" s="1860"/>
      <c r="S58" s="1860"/>
      <c r="T58" s="1860"/>
      <c r="U58" s="1860"/>
      <c r="V58" s="1860"/>
      <c r="W58" s="1860"/>
      <c r="X58" s="1860"/>
      <c r="Y58" s="1860"/>
      <c r="Z58" s="1860"/>
      <c r="AA58" s="1860"/>
      <c r="AB58" s="1847"/>
      <c r="AC58" s="1752"/>
      <c r="AD58" s="1752"/>
      <c r="AE58" s="1752"/>
      <c r="AF58" s="1752"/>
      <c r="AG58" s="1752"/>
    </row>
    <row r="59" spans="1:33" ht="18" customHeight="1">
      <c r="A59" s="2848" t="s">
        <v>435</v>
      </c>
      <c r="B59" s="2849"/>
      <c r="C59" s="2850"/>
      <c r="D59" s="2850"/>
      <c r="E59" s="2850"/>
      <c r="F59" s="2850"/>
      <c r="G59" s="2850"/>
      <c r="H59" s="2850"/>
      <c r="I59" s="2850"/>
      <c r="J59" s="2850"/>
      <c r="K59" s="2850"/>
      <c r="L59" s="2850"/>
      <c r="M59" s="2850"/>
      <c r="N59" s="2850"/>
      <c r="O59" s="2850"/>
      <c r="P59" s="2850"/>
      <c r="Q59" s="2850"/>
      <c r="R59" s="2850"/>
      <c r="S59" s="2850"/>
      <c r="T59" s="2850"/>
      <c r="U59" s="2850"/>
      <c r="V59" s="2850"/>
      <c r="W59" s="2850"/>
      <c r="X59" s="2850"/>
      <c r="Y59" s="2850"/>
      <c r="Z59" s="2850"/>
      <c r="AA59" s="1988"/>
      <c r="AB59" s="1873"/>
      <c r="AC59" s="1762"/>
      <c r="AD59" s="1762"/>
      <c r="AE59" s="1762"/>
      <c r="AF59" s="1762"/>
      <c r="AG59" s="1762"/>
    </row>
    <row r="60" spans="1:33" ht="4.95" customHeight="1">
      <c r="A60" s="1755"/>
      <c r="B60" s="2049"/>
      <c r="C60" s="2044"/>
      <c r="D60" s="2044"/>
      <c r="E60" s="2044"/>
      <c r="F60" s="2044"/>
      <c r="G60" s="1754"/>
      <c r="H60" s="1771"/>
      <c r="I60" s="2046"/>
      <c r="J60" s="1837"/>
      <c r="K60" s="1838"/>
      <c r="L60" s="1838"/>
      <c r="M60" s="1838"/>
      <c r="N60" s="1838"/>
      <c r="O60" s="1838"/>
      <c r="P60" s="1838"/>
      <c r="Q60" s="1840"/>
      <c r="R60" s="2150"/>
      <c r="S60" s="1771"/>
      <c r="T60" s="2047"/>
      <c r="U60" s="2050"/>
      <c r="V60" s="2051"/>
      <c r="W60" s="2051"/>
      <c r="X60" s="2051"/>
      <c r="Y60" s="2051"/>
      <c r="Z60" s="1754"/>
      <c r="AA60" s="1752"/>
      <c r="AB60" s="2452"/>
      <c r="AC60" s="1752"/>
      <c r="AD60" s="1752"/>
      <c r="AE60" s="1752"/>
      <c r="AF60" s="1752"/>
      <c r="AG60" s="2101"/>
    </row>
    <row r="61" spans="1:33" ht="18" customHeight="1">
      <c r="A61" s="1749" t="s">
        <v>436</v>
      </c>
      <c r="B61" s="2782" t="s">
        <v>437</v>
      </c>
      <c r="C61" s="2783"/>
      <c r="D61" s="2783"/>
      <c r="E61" s="2783"/>
      <c r="F61" s="1752"/>
      <c r="G61" s="1754"/>
      <c r="H61" s="1849"/>
      <c r="I61" s="1881" t="s">
        <v>438</v>
      </c>
      <c r="J61" s="2782" t="s">
        <v>439</v>
      </c>
      <c r="K61" s="2783"/>
      <c r="L61" s="2783"/>
      <c r="M61" s="2783"/>
      <c r="N61" s="1752"/>
      <c r="O61" s="1752"/>
      <c r="P61" s="1752"/>
      <c r="Q61" s="1840"/>
      <c r="R61" s="2149"/>
      <c r="S61" s="1841"/>
      <c r="T61" s="1881" t="s">
        <v>440</v>
      </c>
      <c r="U61" s="2782" t="s">
        <v>441</v>
      </c>
      <c r="V61" s="2783"/>
      <c r="W61" s="2783"/>
      <c r="X61" s="2783"/>
      <c r="Y61" s="1752"/>
      <c r="Z61" s="1754"/>
      <c r="AA61" s="1752"/>
      <c r="AB61" s="2452"/>
      <c r="AC61" s="1752"/>
      <c r="AD61" s="1752"/>
      <c r="AE61" s="1752"/>
      <c r="AF61" s="1752"/>
      <c r="AG61" s="2101"/>
    </row>
    <row r="62" spans="1:33" ht="13.2" customHeight="1">
      <c r="A62" s="1755"/>
      <c r="B62" s="2784" t="s">
        <v>442</v>
      </c>
      <c r="C62" s="2783"/>
      <c r="D62" s="2783"/>
      <c r="E62" s="2783"/>
      <c r="F62" s="1752"/>
      <c r="G62" s="1754"/>
      <c r="H62" s="1849"/>
      <c r="I62" s="1860"/>
      <c r="J62" s="2784" t="s">
        <v>443</v>
      </c>
      <c r="K62" s="2783"/>
      <c r="L62" s="2783"/>
      <c r="M62" s="2783"/>
      <c r="N62" s="1752"/>
      <c r="O62" s="1752"/>
      <c r="P62" s="1752"/>
      <c r="Q62" s="1840"/>
      <c r="R62" s="2149"/>
      <c r="S62" s="1841"/>
      <c r="T62" s="1860"/>
      <c r="U62" s="2784" t="s">
        <v>444</v>
      </c>
      <c r="V62" s="2783"/>
      <c r="W62" s="2783"/>
      <c r="X62" s="2783"/>
      <c r="Y62" s="1752"/>
      <c r="Z62" s="1754"/>
      <c r="AA62" s="1752"/>
      <c r="AB62" s="2452"/>
      <c r="AC62" s="1752"/>
      <c r="AD62" s="1752"/>
      <c r="AE62" s="1752"/>
      <c r="AF62" s="1752"/>
      <c r="AG62" s="2101"/>
    </row>
    <row r="63" spans="1:33" ht="4.95" customHeight="1">
      <c r="A63" s="1755"/>
      <c r="B63" s="1769"/>
      <c r="C63" s="1752"/>
      <c r="D63" s="1752"/>
      <c r="E63" s="1752"/>
      <c r="F63" s="1752"/>
      <c r="G63" s="1754"/>
      <c r="H63" s="1849"/>
      <c r="I63" s="1860"/>
      <c r="J63" s="1769"/>
      <c r="K63" s="1752"/>
      <c r="L63" s="1752"/>
      <c r="M63" s="1752"/>
      <c r="N63" s="1752"/>
      <c r="O63" s="1752"/>
      <c r="P63" s="1752"/>
      <c r="Q63" s="1840"/>
      <c r="R63" s="2149"/>
      <c r="S63" s="1841"/>
      <c r="T63" s="1860"/>
      <c r="U63" s="1769"/>
      <c r="V63" s="1752"/>
      <c r="W63" s="1752"/>
      <c r="X63" s="1752"/>
      <c r="Y63" s="1752"/>
      <c r="Z63" s="1754"/>
      <c r="AA63" s="1752"/>
      <c r="AB63" s="2452"/>
      <c r="AC63" s="1752"/>
      <c r="AD63" s="1752"/>
      <c r="AE63" s="1752"/>
      <c r="AF63" s="1752"/>
      <c r="AG63" s="2101"/>
    </row>
    <row r="64" spans="1:33" ht="31.95" customHeight="1">
      <c r="A64" s="1755"/>
      <c r="B64" s="2796">
        <f>IFERROR(TCM.!C22,"–")</f>
        <v>18.679315803133878</v>
      </c>
      <c r="C64" s="2797"/>
      <c r="D64" s="2797"/>
      <c r="E64" s="2797"/>
      <c r="F64" s="2797"/>
      <c r="G64" s="1754"/>
      <c r="H64" s="1849"/>
      <c r="I64" s="1860"/>
      <c r="J64" s="2786">
        <f ca="1">IFERROR(TCM.!B34,"–")</f>
        <v>191595.15302645115</v>
      </c>
      <c r="K64" s="2787"/>
      <c r="L64" s="2787"/>
      <c r="M64" s="2787"/>
      <c r="N64" s="2787"/>
      <c r="O64" s="2787"/>
      <c r="P64" s="2787"/>
      <c r="Q64" s="1840"/>
      <c r="R64" s="2149"/>
      <c r="S64" s="1841"/>
      <c r="T64" s="1860"/>
      <c r="U64" s="2786">
        <f ca="1">IFERROR(TCM.!B66,"–")</f>
        <v>377341.84766611259</v>
      </c>
      <c r="V64" s="2787"/>
      <c r="W64" s="2787"/>
      <c r="X64" s="2787"/>
      <c r="Y64" s="2787"/>
      <c r="Z64" s="1754"/>
      <c r="AA64" s="1752"/>
      <c r="AB64" s="2452"/>
      <c r="AC64" s="1752"/>
      <c r="AD64" s="1752"/>
      <c r="AE64" s="1752"/>
      <c r="AF64" s="1752"/>
      <c r="AG64" s="2101"/>
    </row>
    <row r="65" spans="1:33" ht="13.95" customHeight="1">
      <c r="A65" s="1755"/>
      <c r="B65" s="2798" t="s">
        <v>445</v>
      </c>
      <c r="C65" s="2799"/>
      <c r="D65" s="2799"/>
      <c r="E65" s="2799"/>
      <c r="F65" s="2799"/>
      <c r="G65" s="1754"/>
      <c r="H65" s="1849"/>
      <c r="I65" s="1860"/>
      <c r="J65" s="2776" t="s">
        <v>412</v>
      </c>
      <c r="K65" s="2777"/>
      <c r="L65" s="2777"/>
      <c r="M65" s="2777"/>
      <c r="N65" s="2777"/>
      <c r="O65" s="2777"/>
      <c r="P65" s="2777"/>
      <c r="Q65" s="1840"/>
      <c r="R65" s="2149"/>
      <c r="S65" s="1841"/>
      <c r="T65" s="1860"/>
      <c r="U65" s="2842" t="s">
        <v>412</v>
      </c>
      <c r="V65" s="2843"/>
      <c r="W65" s="2843"/>
      <c r="X65" s="2843"/>
      <c r="Y65" s="2843"/>
      <c r="Z65" s="1754"/>
      <c r="AA65" s="1752"/>
      <c r="AB65" s="2452"/>
      <c r="AC65" s="1752"/>
      <c r="AD65" s="1752"/>
      <c r="AE65" s="1752"/>
      <c r="AF65" s="1752"/>
      <c r="AG65" s="2101"/>
    </row>
    <row r="66" spans="1:33" ht="12" customHeight="1">
      <c r="A66" s="1755"/>
      <c r="B66" s="2828" t="s">
        <v>446</v>
      </c>
      <c r="C66" s="2832"/>
      <c r="D66" s="2832"/>
      <c r="E66" s="2832"/>
      <c r="F66" s="2832"/>
      <c r="G66" s="1754"/>
      <c r="H66" s="1849"/>
      <c r="I66" s="1860"/>
      <c r="J66" s="2828" t="s">
        <v>447</v>
      </c>
      <c r="K66" s="2832"/>
      <c r="L66" s="2832"/>
      <c r="M66" s="2832"/>
      <c r="N66" s="2832"/>
      <c r="O66" s="2832"/>
      <c r="P66" s="2832"/>
      <c r="Q66" s="1840"/>
      <c r="R66" s="2149"/>
      <c r="S66" s="1841"/>
      <c r="T66" s="1860"/>
      <c r="U66" s="2828" t="s">
        <v>448</v>
      </c>
      <c r="V66" s="2832"/>
      <c r="W66" s="2832"/>
      <c r="X66" s="2832"/>
      <c r="Y66" s="2832"/>
      <c r="Z66" s="1754"/>
      <c r="AA66" s="1752"/>
      <c r="AB66" s="2452"/>
      <c r="AC66" s="1752"/>
      <c r="AD66" s="1752"/>
      <c r="AE66" s="1752"/>
      <c r="AF66" s="1752"/>
      <c r="AG66" s="2101"/>
    </row>
    <row r="67" spans="1:33" ht="13.95" customHeight="1">
      <c r="A67" s="1755"/>
      <c r="B67" s="2052"/>
      <c r="C67" s="1752"/>
      <c r="D67" s="1752"/>
      <c r="E67" s="1752"/>
      <c r="F67" s="1752"/>
      <c r="G67" s="1754"/>
      <c r="H67" s="1849"/>
      <c r="I67" s="1860"/>
      <c r="J67" s="2052"/>
      <c r="K67" s="1752"/>
      <c r="L67" s="1752"/>
      <c r="M67" s="1752"/>
      <c r="N67" s="1752"/>
      <c r="O67" s="1752"/>
      <c r="P67" s="1752"/>
      <c r="Q67" s="1840"/>
      <c r="R67" s="2149"/>
      <c r="S67" s="1841"/>
      <c r="T67" s="1860"/>
      <c r="U67" s="1858"/>
      <c r="V67" s="1859"/>
      <c r="W67" s="1859"/>
      <c r="X67" s="1859"/>
      <c r="Y67" s="1859"/>
      <c r="Z67" s="1754"/>
      <c r="AA67" s="1752"/>
      <c r="AB67" s="2452"/>
      <c r="AC67" s="1752"/>
      <c r="AD67" s="1752"/>
      <c r="AE67" s="1752"/>
      <c r="AF67" s="1752"/>
      <c r="AG67" s="2101"/>
    </row>
    <row r="68" spans="1:33" ht="12" customHeight="1">
      <c r="A68" s="1755"/>
      <c r="B68" s="1769"/>
      <c r="C68" s="1752"/>
      <c r="D68" s="1752"/>
      <c r="E68" s="1752"/>
      <c r="F68" s="1752"/>
      <c r="G68" s="1754"/>
      <c r="H68" s="1849"/>
      <c r="I68" s="1860"/>
      <c r="J68" s="1769"/>
      <c r="K68" s="1752"/>
      <c r="L68" s="1752"/>
      <c r="M68" s="1752"/>
      <c r="N68" s="1752"/>
      <c r="O68" s="1752"/>
      <c r="P68" s="1752"/>
      <c r="Q68" s="1840"/>
      <c r="R68" s="2149"/>
      <c r="S68" s="1841"/>
      <c r="T68" s="1860"/>
      <c r="U68" s="1858"/>
      <c r="V68" s="1859"/>
      <c r="W68" s="1859"/>
      <c r="X68" s="1859"/>
      <c r="Y68" s="1859"/>
      <c r="Z68" s="1754"/>
      <c r="AA68" s="1752"/>
      <c r="AB68" s="2452"/>
      <c r="AC68" s="1752"/>
      <c r="AD68" s="1752"/>
      <c r="AE68" s="1752"/>
      <c r="AF68" s="1752"/>
      <c r="AG68" s="2101"/>
    </row>
    <row r="69" spans="1:33" ht="12" customHeight="1">
      <c r="A69" s="1755"/>
      <c r="B69" s="2872" t="s">
        <v>449</v>
      </c>
      <c r="C69" s="2783"/>
      <c r="D69" s="2783"/>
      <c r="E69" s="2785">
        <f ca="1">IFERROR(TCM.!E22,0)</f>
        <v>1.5063964357366031</v>
      </c>
      <c r="F69" s="2785"/>
      <c r="G69" s="1754"/>
      <c r="H69" s="1849"/>
      <c r="I69" s="1860"/>
      <c r="J69" s="2872" t="s">
        <v>450</v>
      </c>
      <c r="K69" s="2783"/>
      <c r="L69" s="2783"/>
      <c r="M69" s="2785">
        <f ca="1">IFERROR(TCM.!C34,0)</f>
        <v>0.78037724639885153</v>
      </c>
      <c r="N69" s="2785"/>
      <c r="O69" s="2785"/>
      <c r="P69" s="2785"/>
      <c r="Q69" s="1754"/>
      <c r="R69" s="2149"/>
      <c r="S69" s="1841"/>
      <c r="T69" s="1860"/>
      <c r="U69" s="2872" t="s">
        <v>451</v>
      </c>
      <c r="V69" s="2783"/>
      <c r="W69" s="2783"/>
      <c r="X69" s="1815" t="str">
        <f ca="1">IF(TCM.!B66=0,"–","–")</f>
        <v>–</v>
      </c>
      <c r="Y69" s="1815"/>
      <c r="Z69" s="1754"/>
      <c r="AA69" s="1752"/>
      <c r="AB69" s="2452"/>
      <c r="AC69" s="1752"/>
      <c r="AD69" s="1752"/>
      <c r="AE69" s="1752"/>
      <c r="AF69" s="1752"/>
      <c r="AG69" s="2101"/>
    </row>
    <row r="70" spans="1:33" ht="15" customHeight="1">
      <c r="A70" s="1755"/>
      <c r="B70" s="2794" t="str">
        <f ca="1">IFERROR(TEXT(TCM.!C23,"0.00")&amp;" x (Plan: "&amp;TEXT(TCM.!D23,"0.00")&amp;")","–")</f>
        <v>22.04 x (Plan: 14.93)</v>
      </c>
      <c r="C70" s="2795"/>
      <c r="D70" s="2795"/>
      <c r="E70" s="2795"/>
      <c r="F70" s="1975"/>
      <c r="G70" s="1754"/>
      <c r="H70" s="1849"/>
      <c r="I70" s="1860"/>
      <c r="J70" s="2794" t="str">
        <f ca="1">"LS: "&amp;TEXT(TCM.!B35,"#,##0")&amp;"  |  HS: "&amp;TEXT(TCM.!B36,"#,##0")</f>
        <v>LS: 106,522  |  HS: 85,073</v>
      </c>
      <c r="K70" s="2795"/>
      <c r="L70" s="2795"/>
      <c r="M70" s="2795"/>
      <c r="N70" s="1975"/>
      <c r="O70" s="1975"/>
      <c r="P70" s="1975"/>
      <c r="Q70" s="1754"/>
      <c r="R70" s="2149"/>
      <c r="S70" s="1841"/>
      <c r="T70" s="1860"/>
      <c r="U70" s="2794" t="str">
        <f ca="1">"Washing: "&amp;TEXT(TCM.!B48,"#,##0")&amp;" Ton"</f>
        <v>Washing: 27,295 Ton</v>
      </c>
      <c r="V70" s="2795"/>
      <c r="W70" s="2795"/>
      <c r="X70" s="2795"/>
      <c r="Y70" s="1975"/>
      <c r="Z70" s="1754"/>
      <c r="AA70" s="1752"/>
      <c r="AB70" s="2452"/>
      <c r="AC70" s="1752"/>
      <c r="AD70" s="1752"/>
      <c r="AE70" s="1752"/>
      <c r="AF70" s="1752"/>
      <c r="AG70" s="2101"/>
    </row>
    <row r="71" spans="1:33" ht="15" customHeight="1">
      <c r="A71" s="1755"/>
      <c r="B71" s="2811" t="s">
        <v>452</v>
      </c>
      <c r="C71" s="2783"/>
      <c r="D71" s="1752"/>
      <c r="E71" s="1879" t="str">
        <f ca="1">IFERROR(TEXT(TCM.!E22,"0%"),"–")</f>
        <v>151%</v>
      </c>
      <c r="F71" s="1879"/>
      <c r="G71" s="1754"/>
      <c r="H71" s="1849"/>
      <c r="I71" s="1860"/>
      <c r="J71" s="2811" t="s">
        <v>453</v>
      </c>
      <c r="K71" s="2783"/>
      <c r="L71" s="1752"/>
      <c r="M71" s="2873" t="str">
        <f ca="1">IFERROR(TEXT(TCM.!C34,"0%"),"–")</f>
        <v>78%</v>
      </c>
      <c r="N71" s="2873"/>
      <c r="O71" s="2873"/>
      <c r="P71" s="2873"/>
      <c r="Q71" s="1754"/>
      <c r="R71" s="2149"/>
      <c r="S71" s="1841"/>
      <c r="T71" s="1860"/>
      <c r="U71" s="2811" t="s">
        <v>454</v>
      </c>
      <c r="V71" s="2783"/>
      <c r="W71" s="1752"/>
      <c r="X71" s="1880" t="str">
        <f>"–"</f>
        <v>–</v>
      </c>
      <c r="Y71" s="1880"/>
      <c r="Z71" s="1754"/>
      <c r="AA71" s="1752"/>
      <c r="AB71" s="2452"/>
      <c r="AC71" s="1752"/>
      <c r="AD71" s="1752"/>
      <c r="AE71" s="1752"/>
      <c r="AF71" s="1752"/>
      <c r="AG71" s="2101"/>
    </row>
    <row r="72" spans="1:33" ht="9" customHeight="1">
      <c r="A72" s="1755"/>
      <c r="B72" s="2769">
        <f ca="1">IFERROR(MAX(0,MIN(E69,1)),0)</f>
        <v>1</v>
      </c>
      <c r="C72" s="2770"/>
      <c r="D72" s="2770"/>
      <c r="E72" s="2770"/>
      <c r="F72" s="2770"/>
      <c r="G72" s="2771"/>
      <c r="H72" s="2451"/>
      <c r="I72" s="1860"/>
      <c r="J72" s="2769">
        <f ca="1">IFERROR(MAX(0,MIN(M69,1)),0)</f>
        <v>0.78037724639885153</v>
      </c>
      <c r="K72" s="2770"/>
      <c r="L72" s="2770"/>
      <c r="M72" s="2770"/>
      <c r="N72" s="2770"/>
      <c r="O72" s="2770"/>
      <c r="P72" s="2770"/>
      <c r="Q72" s="2770"/>
      <c r="R72" s="2771"/>
      <c r="S72" s="1841"/>
      <c r="T72" s="1860"/>
      <c r="U72" s="2775" t="s">
        <v>455</v>
      </c>
      <c r="V72" s="2770"/>
      <c r="W72" s="2770"/>
      <c r="X72" s="2770"/>
      <c r="Y72" s="2770"/>
      <c r="Z72" s="2770"/>
      <c r="AA72" s="2771"/>
      <c r="AB72" s="2452"/>
      <c r="AC72" s="1752"/>
      <c r="AD72" s="1752"/>
      <c r="AE72" s="1752"/>
      <c r="AF72" s="1752"/>
      <c r="AG72" s="2101"/>
    </row>
    <row r="73" spans="1:33" ht="9" customHeight="1">
      <c r="A73" s="1755"/>
      <c r="B73" s="2772"/>
      <c r="C73" s="2773"/>
      <c r="D73" s="2773"/>
      <c r="E73" s="2773"/>
      <c r="F73" s="2773"/>
      <c r="G73" s="2774"/>
      <c r="H73" s="2451"/>
      <c r="I73" s="1860"/>
      <c r="J73" s="2772"/>
      <c r="K73" s="2773"/>
      <c r="L73" s="2773"/>
      <c r="M73" s="2773"/>
      <c r="N73" s="2773"/>
      <c r="O73" s="2773"/>
      <c r="P73" s="2773"/>
      <c r="Q73" s="2773"/>
      <c r="R73" s="2774"/>
      <c r="S73" s="1841"/>
      <c r="T73" s="1860"/>
      <c r="U73" s="2772"/>
      <c r="V73" s="2773"/>
      <c r="W73" s="2773"/>
      <c r="X73" s="2773"/>
      <c r="Y73" s="2773"/>
      <c r="Z73" s="2773"/>
      <c r="AA73" s="2774"/>
      <c r="AB73" s="2452"/>
      <c r="AC73" s="1752"/>
      <c r="AD73" s="1752"/>
      <c r="AE73" s="1752"/>
      <c r="AF73" s="1752"/>
      <c r="AG73" s="2101"/>
    </row>
    <row r="74" spans="1:33" ht="4.95" customHeight="1">
      <c r="A74" s="1755"/>
      <c r="B74" s="1769"/>
      <c r="C74" s="1752"/>
      <c r="D74" s="1752"/>
      <c r="E74" s="1752"/>
      <c r="F74" s="1752"/>
      <c r="G74" s="1754"/>
      <c r="H74" s="1849"/>
      <c r="I74" s="1860"/>
      <c r="J74" s="1769"/>
      <c r="K74" s="1752"/>
      <c r="L74" s="1752"/>
      <c r="M74" s="1752"/>
      <c r="N74" s="1752"/>
      <c r="O74" s="1752"/>
      <c r="P74" s="1752"/>
      <c r="Q74" s="1840"/>
      <c r="R74" s="2149"/>
      <c r="S74" s="1841"/>
      <c r="T74" s="1860"/>
      <c r="U74" s="1769"/>
      <c r="V74" s="1752"/>
      <c r="W74" s="1752"/>
      <c r="X74" s="1752"/>
      <c r="Y74" s="1752"/>
      <c r="Z74" s="1754"/>
      <c r="AA74" s="1752"/>
      <c r="AB74" s="2452"/>
      <c r="AC74" s="1752"/>
      <c r="AD74" s="1752"/>
      <c r="AE74" s="1752"/>
      <c r="AF74" s="1752"/>
      <c r="AG74" s="2101"/>
    </row>
    <row r="75" spans="1:33" ht="1.95" customHeight="1">
      <c r="A75" s="1755"/>
      <c r="B75" s="1769"/>
      <c r="C75" s="1752"/>
      <c r="D75" s="1752"/>
      <c r="E75" s="1752"/>
      <c r="F75" s="1752"/>
      <c r="G75" s="1754"/>
      <c r="H75" s="1849"/>
      <c r="I75" s="1860"/>
      <c r="J75" s="1769"/>
      <c r="K75" s="1752"/>
      <c r="L75" s="1752"/>
      <c r="M75" s="1752"/>
      <c r="N75" s="1752"/>
      <c r="O75" s="1752"/>
      <c r="P75" s="1752"/>
      <c r="Q75" s="1840"/>
      <c r="R75" s="2149"/>
      <c r="S75" s="1841"/>
      <c r="T75" s="1860"/>
      <c r="U75" s="1769"/>
      <c r="V75" s="1752"/>
      <c r="W75" s="1752"/>
      <c r="X75" s="1752"/>
      <c r="Y75" s="1752"/>
      <c r="Z75" s="1754"/>
      <c r="AA75" s="1752"/>
      <c r="AB75" s="2452"/>
      <c r="AC75" s="1752"/>
      <c r="AD75" s="1752"/>
      <c r="AE75" s="1752"/>
      <c r="AF75" s="1752"/>
      <c r="AG75" s="2101"/>
    </row>
    <row r="76" spans="1:33" ht="16.2" customHeight="1">
      <c r="A76" s="1755"/>
      <c r="B76" s="2845" t="s">
        <v>456</v>
      </c>
      <c r="C76" s="2783"/>
      <c r="D76" s="2783"/>
      <c r="E76" s="2783"/>
      <c r="F76" s="1752"/>
      <c r="G76" s="1754"/>
      <c r="H76" s="1849"/>
      <c r="I76" s="1860"/>
      <c r="J76" s="2815" t="s">
        <v>457</v>
      </c>
      <c r="K76" s="2783"/>
      <c r="L76" s="2783"/>
      <c r="M76" s="2783"/>
      <c r="N76" s="1752"/>
      <c r="O76" s="1752"/>
      <c r="P76" s="1752"/>
      <c r="Q76" s="1840"/>
      <c r="R76" s="2149"/>
      <c r="S76" s="1841"/>
      <c r="T76" s="1860"/>
      <c r="U76" s="2833" t="s">
        <v>458</v>
      </c>
      <c r="V76" s="2783"/>
      <c r="W76" s="2783"/>
      <c r="X76" s="2783"/>
      <c r="Y76" s="1752"/>
      <c r="Z76" s="1754"/>
      <c r="AA76" s="1752"/>
      <c r="AB76" s="2452"/>
      <c r="AC76" s="1752"/>
      <c r="AD76" s="1752"/>
      <c r="AE76" s="1752"/>
      <c r="AF76" s="1752"/>
      <c r="AG76" s="2101"/>
    </row>
    <row r="77" spans="1:33" ht="6" customHeight="1">
      <c r="A77" s="1755"/>
      <c r="B77" s="1769"/>
      <c r="C77" s="1752"/>
      <c r="D77" s="1752"/>
      <c r="E77" s="1752"/>
      <c r="F77" s="1752"/>
      <c r="G77" s="1754"/>
      <c r="H77" s="1849"/>
      <c r="I77" s="1860"/>
      <c r="J77" s="1769"/>
      <c r="K77" s="1752"/>
      <c r="L77" s="1752"/>
      <c r="M77" s="1752"/>
      <c r="N77" s="1752"/>
      <c r="O77" s="1752"/>
      <c r="P77" s="1752"/>
      <c r="Q77" s="1840"/>
      <c r="R77" s="2149"/>
      <c r="S77" s="1841"/>
      <c r="T77" s="1860"/>
      <c r="U77" s="1769"/>
      <c r="V77" s="1752"/>
      <c r="W77" s="1752"/>
      <c r="X77" s="1752"/>
      <c r="Y77" s="1752"/>
      <c r="Z77" s="1754"/>
      <c r="AA77" s="1752"/>
      <c r="AB77" s="2452"/>
      <c r="AC77" s="1752"/>
      <c r="AD77" s="1752"/>
      <c r="AE77" s="1752"/>
      <c r="AF77" s="1752"/>
      <c r="AG77" s="2101"/>
    </row>
    <row r="78" spans="1:33" ht="22.2" customHeight="1">
      <c r="A78" s="1755"/>
      <c r="B78" s="1783" t="s">
        <v>459</v>
      </c>
      <c r="C78" s="1784" t="s">
        <v>94</v>
      </c>
      <c r="D78" s="1784" t="s">
        <v>8</v>
      </c>
      <c r="E78" s="1784" t="s">
        <v>40</v>
      </c>
      <c r="F78" s="1978"/>
      <c r="G78" s="1754"/>
      <c r="H78" s="1849"/>
      <c r="I78" s="1860"/>
      <c r="J78" s="1779" t="s">
        <v>460</v>
      </c>
      <c r="K78" s="1780" t="s">
        <v>461</v>
      </c>
      <c r="L78" s="1780" t="s">
        <v>462</v>
      </c>
      <c r="M78" s="1780" t="s">
        <v>7</v>
      </c>
      <c r="N78" s="1978"/>
      <c r="O78" s="1978" t="s">
        <v>463</v>
      </c>
      <c r="P78" s="1978" t="s">
        <v>464</v>
      </c>
      <c r="Q78" s="1840"/>
      <c r="R78" s="2149"/>
      <c r="S78" s="1841"/>
      <c r="T78" s="1860"/>
      <c r="U78" s="1785" t="s">
        <v>465</v>
      </c>
      <c r="V78" s="1786"/>
      <c r="W78" s="1786" t="s">
        <v>466</v>
      </c>
      <c r="X78" s="1786"/>
      <c r="Y78" s="1978"/>
      <c r="Z78" s="1754"/>
      <c r="AA78" s="1752"/>
      <c r="AB78" s="2452"/>
      <c r="AC78" s="1752"/>
      <c r="AD78" s="1752"/>
      <c r="AE78" s="1752"/>
      <c r="AF78" s="1752"/>
      <c r="AG78" s="2101"/>
    </row>
    <row r="79" spans="1:33" ht="15" customHeight="1">
      <c r="A79" s="1755"/>
      <c r="B79" s="1800" t="s">
        <v>467</v>
      </c>
      <c r="C79" s="1809" t="str">
        <f ca="1">IFERROR(TEXT(TCM.!B22,"0.00"),"–")</f>
        <v>20.11</v>
      </c>
      <c r="D79" s="1809" t="str">
        <f>IFERROR(TEXT(TCM.!C22,"0.00"),"–")</f>
        <v>18.68</v>
      </c>
      <c r="E79" s="1810" t="str">
        <f ca="1">IFERROR(TEXT(TCM.!D22,"0.00"),"–")</f>
        <v>12.40</v>
      </c>
      <c r="F79" s="1810"/>
      <c r="G79" s="1754"/>
      <c r="H79" s="1849"/>
      <c r="I79" s="1860"/>
      <c r="J79" s="2061" t="s">
        <v>81</v>
      </c>
      <c r="K79" s="2070" t="str">
        <f>TEXT(TCM.!B38,"#,##0")</f>
        <v>0</v>
      </c>
      <c r="L79" s="2070" t="str">
        <f ca="1">TEXT(TCM.!B39,"#,##0")</f>
        <v>61,600</v>
      </c>
      <c r="M79" s="2071" t="str">
        <f ca="1">TEXT(TCM.!B37,"#,##0")</f>
        <v>61,600</v>
      </c>
      <c r="N79" s="1803"/>
      <c r="O79" s="1985">
        <f ca="1">'Summary TCM'!F84</f>
        <v>59053.163019186832</v>
      </c>
      <c r="P79" s="2477">
        <f ca="1">'Summary TCM'!F84</f>
        <v>59053.163019186832</v>
      </c>
      <c r="Q79" s="1840"/>
      <c r="R79" s="2149"/>
      <c r="S79" s="1841"/>
      <c r="T79" s="1860"/>
      <c r="U79" s="1800" t="s">
        <v>432</v>
      </c>
      <c r="V79" s="1809" t="str">
        <f>"–"</f>
        <v>–</v>
      </c>
      <c r="W79" s="1809" t="str">
        <f ca="1">TEXT(TCM.!B67,"#,##0")</f>
        <v>207,724</v>
      </c>
      <c r="X79" s="1811" t="str">
        <f ca="1">TEXT(TCM.!B67/TCM.!B66,"0%")</f>
        <v>55%</v>
      </c>
      <c r="Y79" s="1811"/>
      <c r="Z79" s="1754"/>
      <c r="AA79" s="1752"/>
      <c r="AB79" s="2452"/>
      <c r="AC79" s="1752"/>
      <c r="AD79" s="1752"/>
      <c r="AE79" s="1752"/>
      <c r="AF79" s="1752"/>
      <c r="AG79" s="2101"/>
    </row>
    <row r="80" spans="1:33" ht="15" customHeight="1">
      <c r="A80" s="1755"/>
      <c r="B80" s="1791" t="s">
        <v>468</v>
      </c>
      <c r="C80" s="1795" t="str">
        <f ca="1">IFERROR(TEXT(TCM.!B23,"0.00"),"–")</f>
        <v>9.15</v>
      </c>
      <c r="D80" s="1795" t="str">
        <f>IFERROR(TEXT(TCM.!C23,"0.00"),"–")</f>
        <v>22.04</v>
      </c>
      <c r="E80" s="1796" t="str">
        <f ca="1">IFERROR(TEXT(TCM.!D23,"0.00"),"–")</f>
        <v>14.93</v>
      </c>
      <c r="F80" s="1997"/>
      <c r="G80" s="1754"/>
      <c r="H80" s="1849"/>
      <c r="I80" s="1860"/>
      <c r="J80" s="2062" t="s">
        <v>37</v>
      </c>
      <c r="K80" s="2072" t="str">
        <f ca="1">TEXT(TCM.!B41,"#,##0")</f>
        <v>54,054</v>
      </c>
      <c r="L80" s="2072" t="str">
        <f ca="1">TEXT(TCM.!B42,"#,##0")</f>
        <v>13,578</v>
      </c>
      <c r="M80" s="2073" t="str">
        <f ca="1">TEXT(TCM.!B40,"#,##0")</f>
        <v>67,632</v>
      </c>
      <c r="N80" s="1982"/>
      <c r="O80" s="1983">
        <f ca="1">'Summary TCM'!F88</f>
        <v>61131.083360760182</v>
      </c>
      <c r="P80" s="1983">
        <f ca="1">'Summary TCM'!F90</f>
        <v>12592.079748746883</v>
      </c>
      <c r="Q80" s="1840"/>
      <c r="R80" s="2149"/>
      <c r="S80" s="1841"/>
      <c r="T80" s="1860"/>
      <c r="U80" s="1791" t="s">
        <v>433</v>
      </c>
      <c r="V80" s="1795" t="str">
        <f>"–"</f>
        <v>–</v>
      </c>
      <c r="W80" s="1795" t="str">
        <f ca="1">TEXT(TCM.!B68,"#,##0")</f>
        <v>169,618</v>
      </c>
      <c r="X80" s="1797" t="str">
        <f ca="1">TEXT(TCM.!B68/TCM.!B66,"0%")</f>
        <v>45%</v>
      </c>
      <c r="Y80" s="1996"/>
      <c r="Z80" s="1754"/>
      <c r="AA80" s="1752"/>
      <c r="AB80" s="2452"/>
      <c r="AC80" s="1752"/>
      <c r="AD80" s="1752"/>
      <c r="AE80" s="1752"/>
      <c r="AF80" s="1752"/>
      <c r="AG80" s="2101"/>
    </row>
    <row r="81" spans="1:33" ht="15" customHeight="1">
      <c r="A81" s="1755"/>
      <c r="B81" s="1804" t="s">
        <v>469</v>
      </c>
      <c r="C81" s="1812" t="str">
        <f>"–"</f>
        <v>–</v>
      </c>
      <c r="D81" s="1812" t="str">
        <f>TEXT(TCM.!B31,"#,##0")</f>
        <v>11,592</v>
      </c>
      <c r="E81" s="1813" t="str">
        <f>"–"</f>
        <v>–</v>
      </c>
      <c r="F81" s="1810"/>
      <c r="G81" s="1754"/>
      <c r="H81" s="1849"/>
      <c r="I81" s="1860"/>
      <c r="J81" s="2053" t="s">
        <v>35</v>
      </c>
      <c r="K81" s="2074" t="str">
        <f ca="1">TEXT(TCM.!B44,"#,##0")</f>
        <v>30,109</v>
      </c>
      <c r="L81" s="2074" t="str">
        <f ca="1">TEXT(TCM.!B45,"#,##0")</f>
        <v>9,895</v>
      </c>
      <c r="M81" s="2095" t="str">
        <f ca="1">TEXT(TCM.!B46,"#,##0")</f>
        <v>40,004</v>
      </c>
      <c r="N81" s="1803"/>
      <c r="O81" s="1984">
        <f ca="1">'Summary TCM'!F77</f>
        <v>29332.251562201505</v>
      </c>
      <c r="P81" s="1984">
        <f ca="1">'Summary TCM'!E83</f>
        <v>9895.3380410535083</v>
      </c>
      <c r="Q81" s="1840"/>
      <c r="R81" s="2149"/>
      <c r="S81" s="1841"/>
      <c r="T81" s="1860"/>
      <c r="U81" s="1804" t="s">
        <v>470</v>
      </c>
      <c r="V81" s="1812" t="str">
        <f>"–"</f>
        <v>–</v>
      </c>
      <c r="W81" s="1812" t="str">
        <f>TEXT(TCM.!B69,"#,##0")</f>
        <v>0</v>
      </c>
      <c r="X81" s="1814" t="str">
        <f ca="1">IFERROR(TEXT(TCM.!B69/TCM.!B66,"0%"),"0%")</f>
        <v>0%</v>
      </c>
      <c r="Y81" s="1811"/>
      <c r="Z81" s="1754"/>
      <c r="AA81" s="1752"/>
      <c r="AB81" s="2452"/>
      <c r="AC81" s="1752"/>
      <c r="AD81" s="1752"/>
      <c r="AE81" s="1752"/>
      <c r="AF81" s="1752"/>
      <c r="AG81" s="2101"/>
    </row>
    <row r="82" spans="1:33" ht="15" customHeight="1">
      <c r="A82" s="1755"/>
      <c r="B82" s="1772"/>
      <c r="C82" s="1751"/>
      <c r="D82" s="1751"/>
      <c r="E82" s="1751"/>
      <c r="F82" s="1995"/>
      <c r="G82" s="1754"/>
      <c r="H82" s="1849"/>
      <c r="I82" s="1860"/>
      <c r="J82" s="2096" t="s">
        <v>471</v>
      </c>
      <c r="K82" s="2097">
        <f ca="1">'Summary TCM'!E82</f>
        <v>22358.939343794715</v>
      </c>
      <c r="L82" s="2098"/>
      <c r="M82" s="2099">
        <f ca="1">K82</f>
        <v>22358.939343794715</v>
      </c>
      <c r="N82" s="2001"/>
      <c r="O82" s="2075" t="s">
        <v>472</v>
      </c>
      <c r="P82" s="2478"/>
      <c r="Q82" s="1840"/>
      <c r="R82" s="2149"/>
      <c r="S82" s="1841"/>
      <c r="T82" s="1860"/>
      <c r="U82" s="2143" t="s">
        <v>473</v>
      </c>
      <c r="V82" s="2144" t="str">
        <f>"–"</f>
        <v>–</v>
      </c>
      <c r="W82" s="2144" t="str">
        <f ca="1">TEXT(TCM.!B48,"#,##0")</f>
        <v>27,295</v>
      </c>
      <c r="X82" s="2145" t="str">
        <f>"–"</f>
        <v>–</v>
      </c>
      <c r="Y82" s="2146"/>
      <c r="Z82" s="1754"/>
      <c r="AA82" s="1752"/>
      <c r="AB82" s="2452"/>
      <c r="AC82" s="1752"/>
      <c r="AD82" s="1752"/>
      <c r="AE82" s="1752"/>
      <c r="AF82" s="1752"/>
      <c r="AG82" s="2101"/>
    </row>
    <row r="83" spans="1:33" ht="15" customHeight="1">
      <c r="A83" s="1755"/>
      <c r="B83" s="2141"/>
      <c r="C83" s="2142"/>
      <c r="D83" s="2142"/>
      <c r="E83" s="2142"/>
      <c r="F83" s="2142"/>
      <c r="G83" s="1768"/>
      <c r="H83" s="1850"/>
      <c r="I83" s="1847"/>
      <c r="J83" s="2057" t="s">
        <v>474</v>
      </c>
      <c r="K83" s="2224">
        <f ca="1">SUM('Summary TCM'!F81,'Summary TCM'!F89)</f>
        <v>69419.378853732298</v>
      </c>
      <c r="L83" s="2224">
        <f ca="1">SUM('Summary TCM'!F83,'Summary TCM'!F85,'Summary TCM'!F86,'Summary TCM'!F90)</f>
        <v>66981.15237035256</v>
      </c>
      <c r="M83" s="2058"/>
      <c r="N83" s="2059"/>
      <c r="O83" s="2060"/>
      <c r="P83" s="1839"/>
      <c r="Q83" s="1842"/>
      <c r="R83" s="2142"/>
      <c r="S83" s="1843"/>
      <c r="T83" s="1860"/>
      <c r="U83" s="2141"/>
      <c r="V83" s="2142"/>
      <c r="W83" s="2142"/>
      <c r="X83" s="2142"/>
      <c r="Y83" s="2142"/>
      <c r="Z83" s="1846"/>
      <c r="AA83" s="1845"/>
      <c r="AB83" s="2453"/>
      <c r="AC83" s="1752"/>
      <c r="AD83" s="1752"/>
      <c r="AE83" s="1752"/>
      <c r="AF83" s="1752"/>
      <c r="AG83" s="2101"/>
    </row>
    <row r="84" spans="1:33" ht="4.95" customHeight="1">
      <c r="A84" s="2033"/>
      <c r="B84" s="2034"/>
      <c r="C84" s="2034"/>
      <c r="D84" s="2034"/>
      <c r="E84" s="2034"/>
      <c r="F84" s="2034"/>
      <c r="G84" s="2043"/>
      <c r="H84" s="2044"/>
      <c r="I84" s="2040"/>
      <c r="J84" s="2054"/>
      <c r="K84" s="2035"/>
      <c r="L84" s="2035"/>
      <c r="M84" s="2035"/>
      <c r="N84" s="2035"/>
      <c r="O84" s="2055"/>
      <c r="P84" s="2035"/>
      <c r="Q84" s="2045"/>
      <c r="R84" s="2150"/>
      <c r="S84" s="2047"/>
      <c r="T84" s="2036"/>
      <c r="U84" s="2037"/>
      <c r="V84" s="2037"/>
      <c r="W84" s="2037"/>
      <c r="X84" s="2037"/>
      <c r="Y84" s="2037"/>
      <c r="Z84" s="1884"/>
      <c r="AA84" s="1860"/>
      <c r="AB84" s="1847"/>
      <c r="AC84" s="1752"/>
      <c r="AD84" s="1752"/>
      <c r="AE84" s="1752"/>
      <c r="AF84" s="1752"/>
      <c r="AG84" s="1752"/>
    </row>
    <row r="85" spans="1:33" ht="4.2" customHeight="1">
      <c r="A85" s="1860"/>
      <c r="B85" s="1860"/>
      <c r="C85" s="1860"/>
      <c r="D85" s="1860"/>
      <c r="E85" s="1860"/>
      <c r="F85" s="1860"/>
      <c r="G85" s="1860"/>
      <c r="H85" s="1860"/>
      <c r="I85" s="1860"/>
      <c r="J85" s="1860"/>
      <c r="K85" s="1860"/>
      <c r="L85" s="1860"/>
      <c r="M85" s="1860"/>
      <c r="N85" s="1860"/>
      <c r="O85" s="1860"/>
      <c r="P85" s="1860"/>
      <c r="Q85" s="1860"/>
      <c r="R85" s="1860"/>
      <c r="S85" s="1860"/>
      <c r="T85" s="1860"/>
      <c r="U85" s="1860"/>
      <c r="V85" s="1860"/>
      <c r="W85" s="1860"/>
      <c r="X85" s="1860"/>
      <c r="Y85" s="1860"/>
      <c r="Z85" s="1860"/>
      <c r="AA85" s="1860"/>
      <c r="AB85" s="1847"/>
      <c r="AC85" s="1752"/>
      <c r="AD85" s="1752"/>
      <c r="AE85" s="1752"/>
      <c r="AF85" s="1752"/>
      <c r="AG85" s="1752"/>
    </row>
    <row r="86" spans="1:33" ht="4.2" customHeight="1">
      <c r="A86" s="1860"/>
      <c r="B86" s="1860"/>
      <c r="C86" s="1860"/>
      <c r="D86" s="1860"/>
      <c r="E86" s="1860"/>
      <c r="F86" s="1860"/>
      <c r="G86" s="1860"/>
      <c r="H86" s="1860"/>
      <c r="I86" s="1860"/>
      <c r="J86" s="1860"/>
      <c r="K86" s="1860"/>
      <c r="L86" s="1860"/>
      <c r="M86" s="1860"/>
      <c r="N86" s="1860"/>
      <c r="O86" s="1860"/>
      <c r="P86" s="1860"/>
      <c r="Q86" s="1860"/>
      <c r="R86" s="1860"/>
      <c r="S86" s="1860"/>
      <c r="T86" s="1860"/>
      <c r="U86" s="1860"/>
      <c r="V86" s="1860"/>
      <c r="W86" s="1860"/>
      <c r="X86" s="1860"/>
      <c r="Y86" s="1860"/>
      <c r="Z86" s="1860"/>
      <c r="AA86" s="1860"/>
      <c r="AB86" s="1847"/>
      <c r="AC86" s="1752"/>
      <c r="AD86" s="1752"/>
      <c r="AE86" s="1752"/>
      <c r="AF86" s="1752"/>
      <c r="AG86" s="1752"/>
    </row>
    <row r="87" spans="1:33" ht="18" customHeight="1">
      <c r="A87" s="2866" t="s">
        <v>475</v>
      </c>
      <c r="B87" s="2867"/>
      <c r="C87" s="2868"/>
      <c r="D87" s="2868"/>
      <c r="E87" s="2868"/>
      <c r="F87" s="2868"/>
      <c r="G87" s="2868"/>
      <c r="H87" s="2868"/>
      <c r="I87" s="2868"/>
      <c r="J87" s="2868"/>
      <c r="K87" s="2868"/>
      <c r="L87" s="2868"/>
      <c r="M87" s="2868"/>
      <c r="N87" s="2868"/>
      <c r="O87" s="2868"/>
      <c r="P87" s="2868"/>
      <c r="Q87" s="2868"/>
      <c r="R87" s="2868"/>
      <c r="S87" s="2868"/>
      <c r="T87" s="2868"/>
      <c r="U87" s="2868"/>
      <c r="V87" s="2868"/>
      <c r="W87" s="2868"/>
      <c r="X87" s="2868"/>
      <c r="Y87" s="2868"/>
      <c r="Z87" s="2868"/>
      <c r="AA87" s="1986"/>
      <c r="AB87" s="1874"/>
      <c r="AC87" s="1763"/>
      <c r="AD87" s="1763"/>
      <c r="AE87" s="1763"/>
      <c r="AF87" s="1763"/>
      <c r="AG87" s="1763"/>
    </row>
    <row r="88" spans="1:33" ht="4.95" customHeight="1">
      <c r="A88" s="1755"/>
      <c r="B88" s="1867"/>
      <c r="C88" s="1868"/>
      <c r="D88" s="1868"/>
      <c r="E88" s="1868"/>
      <c r="F88" s="1868"/>
      <c r="G88" s="1754"/>
      <c r="H88" s="1771"/>
      <c r="I88" s="2046"/>
      <c r="J88" s="1851"/>
      <c r="K88" s="1852"/>
      <c r="L88" s="1852"/>
      <c r="M88" s="1852"/>
      <c r="N88" s="1852"/>
      <c r="O88" s="1852"/>
      <c r="P88" s="1852"/>
      <c r="Q88" s="1857"/>
      <c r="R88" s="1852"/>
      <c r="S88" s="1771"/>
      <c r="T88" s="2047"/>
      <c r="U88" s="1851"/>
      <c r="V88" s="1852"/>
      <c r="W88" s="1852"/>
      <c r="X88" s="1852"/>
      <c r="Y88" s="1852"/>
      <c r="Z88" s="1754"/>
      <c r="AA88" s="1752"/>
      <c r="AB88" s="1855"/>
      <c r="AC88" s="1752"/>
      <c r="AD88" s="1752"/>
      <c r="AE88" s="1752"/>
      <c r="AF88" s="1752"/>
      <c r="AG88" s="1752"/>
    </row>
    <row r="89" spans="1:33" ht="18" customHeight="1">
      <c r="A89" s="1749" t="s">
        <v>476</v>
      </c>
      <c r="B89" s="2782" t="s">
        <v>477</v>
      </c>
      <c r="C89" s="2783"/>
      <c r="D89" s="2783"/>
      <c r="E89" s="2783"/>
      <c r="F89" s="1752"/>
      <c r="G89" s="1754"/>
      <c r="H89" s="1869"/>
      <c r="I89" s="1881" t="s">
        <v>478</v>
      </c>
      <c r="J89" s="2782" t="s">
        <v>479</v>
      </c>
      <c r="K89" s="2783"/>
      <c r="L89" s="2783"/>
      <c r="M89" s="2783"/>
      <c r="N89" s="1752"/>
      <c r="O89" s="1752"/>
      <c r="P89" s="1752"/>
      <c r="Q89" s="1754"/>
      <c r="R89" s="1752"/>
      <c r="S89" s="1855"/>
      <c r="T89" s="1881" t="s">
        <v>480</v>
      </c>
      <c r="U89" s="2782" t="s">
        <v>481</v>
      </c>
      <c r="V89" s="2783"/>
      <c r="W89" s="2783"/>
      <c r="X89" s="2783"/>
      <c r="Y89" s="1752"/>
      <c r="Z89" s="1754"/>
      <c r="AA89" s="1752"/>
      <c r="AB89" s="1855"/>
      <c r="AC89" s="1752"/>
      <c r="AD89" s="1752"/>
      <c r="AE89" s="1752"/>
      <c r="AF89" s="1752"/>
      <c r="AG89" s="1852"/>
    </row>
    <row r="90" spans="1:33" ht="13.2" customHeight="1">
      <c r="A90" s="1755"/>
      <c r="B90" s="2784" t="s">
        <v>482</v>
      </c>
      <c r="C90" s="2783"/>
      <c r="D90" s="2783"/>
      <c r="E90" s="2783"/>
      <c r="F90" s="1752"/>
      <c r="G90" s="1754"/>
      <c r="H90" s="1869"/>
      <c r="I90" s="1860"/>
      <c r="J90" s="2784" t="s">
        <v>483</v>
      </c>
      <c r="K90" s="2783"/>
      <c r="L90" s="2783"/>
      <c r="M90" s="2783"/>
      <c r="N90" s="1752"/>
      <c r="O90" s="1752"/>
      <c r="P90" s="1752"/>
      <c r="Q90" s="1754"/>
      <c r="R90" s="1752"/>
      <c r="S90" s="1855"/>
      <c r="T90" s="1860"/>
      <c r="U90" s="2784" t="s">
        <v>484</v>
      </c>
      <c r="V90" s="2783"/>
      <c r="W90" s="2783"/>
      <c r="X90" s="2783"/>
      <c r="Y90" s="1752"/>
      <c r="Z90" s="1754"/>
      <c r="AA90" s="1752"/>
      <c r="AB90" s="1855"/>
      <c r="AC90" s="1752"/>
      <c r="AD90" s="1752"/>
      <c r="AE90" s="1752"/>
      <c r="AF90" s="1752"/>
      <c r="AG90" s="1852"/>
    </row>
    <row r="91" spans="1:33" ht="4.95" customHeight="1">
      <c r="A91" s="1755"/>
      <c r="B91" s="1769"/>
      <c r="C91" s="1752"/>
      <c r="D91" s="1752"/>
      <c r="E91" s="1752"/>
      <c r="F91" s="1752"/>
      <c r="G91" s="1754"/>
      <c r="H91" s="1869"/>
      <c r="I91" s="1860"/>
      <c r="J91" s="1769"/>
      <c r="K91" s="1752"/>
      <c r="L91" s="1752"/>
      <c r="M91" s="1752"/>
      <c r="N91" s="1752"/>
      <c r="O91" s="1752"/>
      <c r="P91" s="1752"/>
      <c r="Q91" s="1754"/>
      <c r="R91" s="1752"/>
      <c r="S91" s="1855"/>
      <c r="T91" s="1860"/>
      <c r="U91" s="1769"/>
      <c r="V91" s="1752"/>
      <c r="W91" s="1752"/>
      <c r="X91" s="1752"/>
      <c r="Y91" s="1752"/>
      <c r="Z91" s="1754"/>
      <c r="AA91" s="1752"/>
      <c r="AB91" s="1855"/>
      <c r="AC91" s="1752"/>
      <c r="AD91" s="1752"/>
      <c r="AE91" s="1752"/>
      <c r="AF91" s="1752"/>
      <c r="AG91" s="1852"/>
    </row>
    <row r="92" spans="1:33" ht="25.95" customHeight="1">
      <c r="A92" s="1755"/>
      <c r="B92" s="2826" t="str">
        <f ca="1">'Summary TCM'!H9</f>
        <v>42mm/7h/4%</v>
      </c>
      <c r="C92" s="2827"/>
      <c r="D92" s="2827"/>
      <c r="E92" s="1860"/>
      <c r="F92" s="1860"/>
      <c r="G92" s="1754"/>
      <c r="H92" s="1869"/>
      <c r="I92" s="1860"/>
      <c r="J92" s="2838">
        <v>1</v>
      </c>
      <c r="K92" s="2839"/>
      <c r="L92" s="2839"/>
      <c r="M92" s="2839"/>
      <c r="N92" s="2839"/>
      <c r="O92" s="2839"/>
      <c r="P92" s="2839"/>
      <c r="Q92" s="1754"/>
      <c r="R92" s="1752"/>
      <c r="S92" s="1855"/>
      <c r="T92" s="1859"/>
      <c r="U92" s="2840">
        <v>1</v>
      </c>
      <c r="V92" s="2841"/>
      <c r="W92" s="2841"/>
      <c r="X92" s="2841"/>
      <c r="Y92" s="2841"/>
      <c r="Z92" s="1754"/>
      <c r="AA92" s="1752"/>
      <c r="AB92" s="1855"/>
      <c r="AC92" s="1752"/>
      <c r="AD92" s="1752"/>
      <c r="AE92" s="1752"/>
      <c r="AF92" s="1752"/>
      <c r="AG92" s="1852"/>
    </row>
    <row r="93" spans="1:33" ht="12" customHeight="1">
      <c r="A93" s="1755"/>
      <c r="B93" s="2789" t="s">
        <v>485</v>
      </c>
      <c r="C93" s="2827"/>
      <c r="D93" s="2827"/>
      <c r="E93" s="1860"/>
      <c r="F93" s="1860"/>
      <c r="G93" s="1754"/>
      <c r="H93" s="1869"/>
      <c r="I93" s="1860"/>
      <c r="J93" s="2791" t="s">
        <v>486</v>
      </c>
      <c r="K93" s="2792"/>
      <c r="L93" s="2792"/>
      <c r="M93" s="2792"/>
      <c r="N93" s="2792"/>
      <c r="O93" s="2792"/>
      <c r="P93" s="2792"/>
      <c r="Q93" s="1754"/>
      <c r="R93" s="1752"/>
      <c r="S93" s="1855"/>
      <c r="T93" s="1859"/>
      <c r="U93" s="2842" t="s">
        <v>486</v>
      </c>
      <c r="V93" s="2843"/>
      <c r="W93" s="2843"/>
      <c r="X93" s="2843"/>
      <c r="Y93" s="2843"/>
      <c r="Z93" s="1754"/>
      <c r="AA93" s="1752"/>
      <c r="AB93" s="1855"/>
      <c r="AC93" s="1752"/>
      <c r="AD93" s="1752"/>
      <c r="AE93" s="1752"/>
      <c r="AF93" s="1752"/>
      <c r="AG93" s="1852"/>
    </row>
    <row r="94" spans="1:33" ht="12" customHeight="1">
      <c r="A94" s="1755"/>
      <c r="B94" s="2828" t="s">
        <v>487</v>
      </c>
      <c r="C94" s="2827"/>
      <c r="D94" s="2827"/>
      <c r="E94" s="1860"/>
      <c r="F94" s="1860"/>
      <c r="G94" s="1754"/>
      <c r="H94" s="1869"/>
      <c r="I94" s="1860"/>
      <c r="J94" s="2828" t="s">
        <v>488</v>
      </c>
      <c r="K94" s="2832"/>
      <c r="L94" s="2832"/>
      <c r="M94" s="2832"/>
      <c r="N94" s="2832"/>
      <c r="O94" s="2832"/>
      <c r="P94" s="2832"/>
      <c r="Q94" s="1754"/>
      <c r="R94" s="1752"/>
      <c r="S94" s="1855"/>
      <c r="T94" s="1859"/>
      <c r="U94" s="2828" t="s">
        <v>489</v>
      </c>
      <c r="V94" s="2832"/>
      <c r="W94" s="2832"/>
      <c r="X94" s="2832"/>
      <c r="Y94" s="2832"/>
      <c r="Z94" s="1754"/>
      <c r="AA94" s="1752"/>
      <c r="AB94" s="1855"/>
      <c r="AC94" s="1752"/>
      <c r="AD94" s="1752"/>
      <c r="AE94" s="1752"/>
      <c r="AF94" s="1752"/>
      <c r="AG94" s="1852"/>
    </row>
    <row r="95" spans="1:33" ht="13.95" customHeight="1">
      <c r="A95" s="1755"/>
      <c r="B95" s="2052"/>
      <c r="C95" s="1752"/>
      <c r="D95" s="1752"/>
      <c r="E95" s="1752"/>
      <c r="F95" s="1752"/>
      <c r="G95" s="1754"/>
      <c r="H95" s="1869"/>
      <c r="I95" s="1860"/>
      <c r="J95" s="2052"/>
      <c r="K95" s="1752"/>
      <c r="L95" s="1752"/>
      <c r="M95" s="1752"/>
      <c r="N95" s="1752"/>
      <c r="O95" s="1752"/>
      <c r="P95" s="1752"/>
      <c r="Q95" s="1754"/>
      <c r="R95" s="1752"/>
      <c r="S95" s="1855"/>
      <c r="T95" s="1860"/>
      <c r="U95" s="2052"/>
      <c r="V95" s="1752"/>
      <c r="W95" s="1752"/>
      <c r="X95" s="1752"/>
      <c r="Y95" s="1752"/>
      <c r="Z95" s="1754"/>
      <c r="AA95" s="1752"/>
      <c r="AB95" s="1855"/>
      <c r="AC95" s="1752"/>
      <c r="AD95" s="1752"/>
      <c r="AE95" s="1752"/>
      <c r="AF95" s="1752"/>
      <c r="AG95" s="1852"/>
    </row>
    <row r="96" spans="1:33" ht="12" customHeight="1">
      <c r="A96" s="1755"/>
      <c r="B96" s="2794" t="s">
        <v>490</v>
      </c>
      <c r="C96" s="2783"/>
      <c r="D96" s="2783"/>
      <c r="E96" s="2783"/>
      <c r="F96" s="1752"/>
      <c r="G96" s="1754"/>
      <c r="H96" s="1869"/>
      <c r="I96" s="1860"/>
      <c r="J96" s="2794" t="s">
        <v>491</v>
      </c>
      <c r="K96" s="2783"/>
      <c r="L96" s="2783"/>
      <c r="M96" s="2783"/>
      <c r="N96" s="1752"/>
      <c r="O96" s="1752"/>
      <c r="P96" s="1752"/>
      <c r="Q96" s="1754"/>
      <c r="R96" s="1752"/>
      <c r="S96" s="1855"/>
      <c r="T96" s="1860"/>
      <c r="U96" s="2794" t="s">
        <v>492</v>
      </c>
      <c r="V96" s="2783"/>
      <c r="W96" s="2783"/>
      <c r="X96" s="2783"/>
      <c r="Y96" s="1752"/>
      <c r="Z96" s="1754"/>
      <c r="AA96" s="1752"/>
      <c r="AB96" s="1855"/>
      <c r="AC96" s="1752"/>
      <c r="AD96" s="1752"/>
      <c r="AE96" s="1752"/>
      <c r="AF96" s="1752"/>
      <c r="AG96" s="1852"/>
    </row>
    <row r="97" spans="1:33" ht="4.2" customHeight="1">
      <c r="A97" s="1755"/>
      <c r="B97" s="1769"/>
      <c r="C97" s="1752"/>
      <c r="D97" s="1752"/>
      <c r="E97" s="1752"/>
      <c r="F97" s="1752"/>
      <c r="G97" s="1754"/>
      <c r="H97" s="1869"/>
      <c r="I97" s="1860"/>
      <c r="J97" s="1769"/>
      <c r="K97" s="1752"/>
      <c r="L97" s="1752"/>
      <c r="M97" s="1752"/>
      <c r="N97" s="1752"/>
      <c r="O97" s="1752"/>
      <c r="P97" s="1752"/>
      <c r="Q97" s="1754"/>
      <c r="R97" s="1752"/>
      <c r="S97" s="1855"/>
      <c r="T97" s="1860"/>
      <c r="U97" s="1769"/>
      <c r="V97" s="1752"/>
      <c r="W97" s="1752"/>
      <c r="X97" s="1752"/>
      <c r="Y97" s="1752"/>
      <c r="Z97" s="1754"/>
      <c r="AA97" s="1752"/>
      <c r="AB97" s="1855"/>
      <c r="AC97" s="1752"/>
      <c r="AD97" s="1752"/>
      <c r="AE97" s="1752"/>
      <c r="AF97" s="1752"/>
      <c r="AG97" s="1852"/>
    </row>
    <row r="98" spans="1:33" ht="4.2" customHeight="1">
      <c r="A98" s="1755"/>
      <c r="B98" s="1769"/>
      <c r="C98" s="1752"/>
      <c r="D98" s="1752"/>
      <c r="E98" s="1752"/>
      <c r="F98" s="1752"/>
      <c r="G98" s="1754"/>
      <c r="H98" s="1869"/>
      <c r="I98" s="1860"/>
      <c r="J98" s="1769"/>
      <c r="K98" s="1752"/>
      <c r="L98" s="1752"/>
      <c r="M98" s="1752"/>
      <c r="N98" s="1752"/>
      <c r="O98" s="1752"/>
      <c r="P98" s="1752"/>
      <c r="Q98" s="1754"/>
      <c r="R98" s="1752"/>
      <c r="S98" s="1855"/>
      <c r="T98" s="1860"/>
      <c r="U98" s="1769"/>
      <c r="V98" s="1752"/>
      <c r="W98" s="1752"/>
      <c r="X98" s="1752"/>
      <c r="Y98" s="1752"/>
      <c r="Z98" s="1754"/>
      <c r="AA98" s="1752"/>
      <c r="AB98" s="1855"/>
      <c r="AC98" s="1752"/>
      <c r="AD98" s="1752"/>
      <c r="AE98" s="1752"/>
      <c r="AF98" s="1752"/>
      <c r="AG98" s="1852"/>
    </row>
    <row r="99" spans="1:33" ht="15" customHeight="1">
      <c r="A99" s="1755"/>
      <c r="B99" s="2823" t="s">
        <v>493</v>
      </c>
      <c r="C99" s="2783"/>
      <c r="D99" s="2783"/>
      <c r="E99" s="2783"/>
      <c r="F99" s="1752"/>
      <c r="G99" s="1754"/>
      <c r="H99" s="1869"/>
      <c r="I99" s="1860"/>
      <c r="J99" s="2793" t="s">
        <v>494</v>
      </c>
      <c r="K99" s="2783"/>
      <c r="L99" s="2783"/>
      <c r="M99" s="2783"/>
      <c r="N99" s="1752"/>
      <c r="O99" s="1752"/>
      <c r="P99" s="1752"/>
      <c r="Q99" s="1754"/>
      <c r="R99" s="1752"/>
      <c r="S99" s="1855"/>
      <c r="T99" s="1860"/>
      <c r="U99" s="2833" t="s">
        <v>495</v>
      </c>
      <c r="V99" s="2783"/>
      <c r="W99" s="2783"/>
      <c r="X99" s="2783"/>
      <c r="Y99" s="1752"/>
      <c r="Z99" s="1754"/>
      <c r="AA99" s="1752"/>
      <c r="AB99" s="1855"/>
      <c r="AC99" s="1752"/>
      <c r="AD99" s="1752"/>
      <c r="AE99" s="1752"/>
      <c r="AF99" s="1752"/>
      <c r="AG99" s="1852"/>
    </row>
    <row r="100" spans="1:33" ht="4.2" customHeight="1">
      <c r="A100" s="1755"/>
      <c r="B100" s="1769"/>
      <c r="C100" s="1752"/>
      <c r="D100" s="1752"/>
      <c r="E100" s="1752"/>
      <c r="F100" s="1752"/>
      <c r="G100" s="1754"/>
      <c r="H100" s="1869"/>
      <c r="I100" s="1860"/>
      <c r="J100" s="1769"/>
      <c r="K100" s="1752"/>
      <c r="L100" s="1752"/>
      <c r="M100" s="1752"/>
      <c r="N100" s="1752"/>
      <c r="O100" s="1752"/>
      <c r="P100" s="1752"/>
      <c r="Q100" s="1754"/>
      <c r="R100" s="1752"/>
      <c r="S100" s="1855"/>
      <c r="T100" s="1860"/>
      <c r="U100" s="1769"/>
      <c r="V100" s="1752"/>
      <c r="W100" s="1752"/>
      <c r="X100" s="1752"/>
      <c r="Y100" s="1752"/>
      <c r="Z100" s="1754"/>
      <c r="AA100" s="1752"/>
      <c r="AB100" s="1855"/>
      <c r="AC100" s="1752"/>
      <c r="AD100" s="1752"/>
      <c r="AE100" s="1752"/>
      <c r="AF100" s="1752"/>
      <c r="AG100" s="1852"/>
    </row>
    <row r="101" spans="1:33" ht="13.95" customHeight="1">
      <c r="A101" s="1755"/>
      <c r="B101" s="1787" t="s">
        <v>460</v>
      </c>
      <c r="C101" s="1788" t="s">
        <v>94</v>
      </c>
      <c r="D101" s="1788" t="s">
        <v>8</v>
      </c>
      <c r="E101" s="1788" t="s">
        <v>40</v>
      </c>
      <c r="F101" s="1998"/>
      <c r="G101" s="1754"/>
      <c r="H101" s="1869"/>
      <c r="I101" s="1860"/>
      <c r="J101" s="1789" t="s">
        <v>417</v>
      </c>
      <c r="K101" s="2861" t="s">
        <v>496</v>
      </c>
      <c r="L101" s="2862"/>
      <c r="M101" s="2835"/>
      <c r="N101" s="1974"/>
      <c r="O101" s="1974"/>
      <c r="P101" s="1974"/>
      <c r="Q101" s="1754"/>
      <c r="R101" s="1752"/>
      <c r="S101" s="1855"/>
      <c r="T101" s="1860"/>
      <c r="U101" s="1790" t="s">
        <v>497</v>
      </c>
      <c r="V101" s="2834" t="s">
        <v>496</v>
      </c>
      <c r="W101" s="2835"/>
      <c r="X101" s="2835"/>
      <c r="Y101" s="1974"/>
      <c r="Z101" s="1754"/>
      <c r="AA101" s="1752"/>
      <c r="AB101" s="1855"/>
      <c r="AC101" s="1752"/>
      <c r="AD101" s="1752"/>
      <c r="AE101" s="1752"/>
      <c r="AF101" s="1752"/>
      <c r="AG101" s="1852"/>
    </row>
    <row r="102" spans="1:33" ht="25.95" customHeight="1">
      <c r="A102" s="2458"/>
      <c r="B102" s="2459" t="s">
        <v>81</v>
      </c>
      <c r="C102" s="2454" t="str">
        <f ca="1">'Summary TCM'!E6</f>
        <v/>
      </c>
      <c r="D102" s="2454" t="str">
        <f ca="1">'Summary TCM'!H6</f>
        <v>0mm/0h/0%</v>
      </c>
      <c r="E102" s="2454" t="str">
        <f>"–"</f>
        <v>–</v>
      </c>
      <c r="F102" s="2454"/>
      <c r="G102" s="2460"/>
      <c r="H102" s="2461"/>
      <c r="I102" s="2462"/>
      <c r="J102" s="2459" t="s">
        <v>16</v>
      </c>
      <c r="K102" s="2836" t="str">
        <f>IF(TCM.!B72="","–",TCM.!B72)</f>
        <v>Coal winning PAMA stop units Subcont SNUJ problem waiting approval permit IUJP</v>
      </c>
      <c r="L102" s="2863"/>
      <c r="M102" s="2864"/>
      <c r="N102" s="2463"/>
      <c r="O102" s="2463"/>
      <c r="P102" s="2463"/>
      <c r="Q102" s="2460"/>
      <c r="R102" s="2463"/>
      <c r="S102" s="2464"/>
      <c r="T102" s="2462"/>
      <c r="U102" s="2465">
        <v>1</v>
      </c>
      <c r="V102" s="2836">
        <f>TCM.!B77</f>
        <v>0</v>
      </c>
      <c r="W102" s="2837"/>
      <c r="X102" s="2837"/>
      <c r="Y102" s="2466"/>
      <c r="Z102" s="2460"/>
      <c r="AA102" s="2463"/>
      <c r="AB102" s="2464"/>
      <c r="AC102" s="1752"/>
      <c r="AD102" s="1752"/>
      <c r="AE102" s="1752"/>
      <c r="AF102" s="1752"/>
      <c r="AG102" s="1852"/>
    </row>
    <row r="103" spans="1:33" ht="25.95" customHeight="1">
      <c r="A103" s="2458"/>
      <c r="B103" s="2467" t="s">
        <v>37</v>
      </c>
      <c r="C103" s="2455" t="str">
        <f ca="1">'Summary TCM'!E7</f>
        <v>0mm/0h/0%</v>
      </c>
      <c r="D103" s="2455" t="str">
        <f ca="1">'Summary TCM'!H7</f>
        <v>73mm/10h/6%</v>
      </c>
      <c r="E103" s="2455" t="str">
        <f>"–"</f>
        <v>–</v>
      </c>
      <c r="F103" s="1992"/>
      <c r="G103" s="2460"/>
      <c r="H103" s="2461"/>
      <c r="I103" s="2462"/>
      <c r="J103" s="2467" t="s">
        <v>17</v>
      </c>
      <c r="K103" s="2865" t="str">
        <f>IF(TCM.!B73=0,"–",IF(TCM.!B73="","–",TCM.!B73))</f>
        <v>–</v>
      </c>
      <c r="L103" s="2859"/>
      <c r="M103" s="2860"/>
      <c r="N103" s="2463"/>
      <c r="O103" s="2463"/>
      <c r="P103" s="2463"/>
      <c r="Q103" s="2460"/>
      <c r="R103" s="2463"/>
      <c r="S103" s="2464"/>
      <c r="T103" s="2462"/>
      <c r="U103" s="2468">
        <v>2</v>
      </c>
      <c r="V103" s="2865"/>
      <c r="W103" s="2874"/>
      <c r="X103" s="2860"/>
      <c r="Y103" s="2463"/>
      <c r="Z103" s="2460"/>
      <c r="AA103" s="2463"/>
      <c r="AB103" s="2464"/>
      <c r="AC103" s="1752"/>
      <c r="AD103" s="1752"/>
      <c r="AE103" s="1752"/>
      <c r="AF103" s="1752"/>
      <c r="AG103" s="1852"/>
    </row>
    <row r="104" spans="1:33" ht="25.95" customHeight="1">
      <c r="A104" s="2458"/>
      <c r="B104" s="2469" t="s">
        <v>35</v>
      </c>
      <c r="C104" s="2456" t="str">
        <f ca="1">'Summary TCM'!E8</f>
        <v>0mm/0h/0%</v>
      </c>
      <c r="D104" s="2456" t="str">
        <f ca="1">'Summary TCM'!H8</f>
        <v>0mm/0h/0%</v>
      </c>
      <c r="E104" s="2456" t="str">
        <f>"–"</f>
        <v>–</v>
      </c>
      <c r="F104" s="2454"/>
      <c r="G104" s="2460"/>
      <c r="H104" s="2461"/>
      <c r="I104" s="2462"/>
      <c r="J104" s="2469" t="s">
        <v>498</v>
      </c>
      <c r="K104" s="2858" t="str">
        <f>IF(TCM.!B74=0,"–",IF(TCM.!B74="","–",TCM.!B74))</f>
        <v>6 unit Exavator  breakdown</v>
      </c>
      <c r="L104" s="2859"/>
      <c r="M104" s="2860"/>
      <c r="N104" s="2463"/>
      <c r="O104" s="2463"/>
      <c r="P104" s="2463"/>
      <c r="Q104" s="2460"/>
      <c r="R104" s="2463"/>
      <c r="S104" s="2464"/>
      <c r="T104" s="2462"/>
      <c r="U104" s="2470">
        <v>3</v>
      </c>
      <c r="V104" s="2858" t="str">
        <f>IF(OR(TCM.!B78=0,TCM.!B78=""),"(empty – to be filled)",TEXT(TCM.!B78,"@"))</f>
        <v>(empty – to be filled)</v>
      </c>
      <c r="W104" s="2874"/>
      <c r="X104" s="2860"/>
      <c r="Y104" s="2463"/>
      <c r="Z104" s="2460"/>
      <c r="AA104" s="2463"/>
      <c r="AB104" s="2464"/>
      <c r="AC104" s="1752"/>
      <c r="AD104" s="1752"/>
      <c r="AE104" s="1752"/>
      <c r="AF104" s="1752"/>
      <c r="AG104" s="1852"/>
    </row>
    <row r="105" spans="1:33" ht="25.95" customHeight="1">
      <c r="A105" s="2458"/>
      <c r="B105" s="2471" t="s">
        <v>499</v>
      </c>
      <c r="C105" s="2457" t="str">
        <f ca="1">'Summary TCM'!E9</f>
        <v>0mm/0h/0%</v>
      </c>
      <c r="D105" s="2457" t="str">
        <f ca="1">'Summary TCM'!H9</f>
        <v>42mm/7h/4%</v>
      </c>
      <c r="E105" s="2457" t="str">
        <f ca="1">'Summary TCM'!H8</f>
        <v>0mm/0h/0%</v>
      </c>
      <c r="F105" s="1992"/>
      <c r="G105" s="2460"/>
      <c r="H105" s="2461"/>
      <c r="I105" s="2462"/>
      <c r="J105" s="2472"/>
      <c r="K105" s="2473"/>
      <c r="L105" s="2474"/>
      <c r="M105" s="2475"/>
      <c r="N105" s="2463"/>
      <c r="O105" s="2463"/>
      <c r="P105" s="2463"/>
      <c r="Q105" s="2460"/>
      <c r="R105" s="2463"/>
      <c r="S105" s="2464"/>
      <c r="T105" s="2462"/>
      <c r="U105" s="2476">
        <v>4</v>
      </c>
      <c r="V105" s="2829" t="str">
        <f>IF(OR(TCM.!B80=0,TCM.!B80=""),"(empty – to be filled)",TEXT(TCM.!B80,"@"))</f>
        <v>(empty – to be filled)</v>
      </c>
      <c r="W105" s="2830"/>
      <c r="X105" s="2831"/>
      <c r="Y105" s="2463"/>
      <c r="Z105" s="2460"/>
      <c r="AA105" s="2463"/>
      <c r="AB105" s="2464"/>
      <c r="AC105" s="1752"/>
      <c r="AD105" s="1752"/>
      <c r="AE105" s="1752"/>
      <c r="AF105" s="1752"/>
      <c r="AG105" s="1852"/>
    </row>
    <row r="106" spans="1:33" ht="19.95" customHeight="1">
      <c r="A106" s="1755"/>
      <c r="B106" s="2137" t="s">
        <v>500</v>
      </c>
      <c r="C106" s="2138"/>
      <c r="D106" s="1752"/>
      <c r="E106" s="1752"/>
      <c r="F106" s="2140">
        <f ca="1">'Summary TCM'!E72</f>
        <v>0</v>
      </c>
      <c r="G106" s="1754"/>
      <c r="H106" s="1869"/>
      <c r="I106" s="1860"/>
      <c r="J106" s="2052"/>
      <c r="K106" s="1752"/>
      <c r="L106" s="1752"/>
      <c r="M106" s="1752"/>
      <c r="N106" s="1752"/>
      <c r="O106" s="1752"/>
      <c r="P106" s="1752"/>
      <c r="Q106" s="1754"/>
      <c r="R106" s="1752"/>
      <c r="S106" s="1855"/>
      <c r="T106" s="1860"/>
      <c r="U106" s="2052"/>
      <c r="V106" s="1752"/>
      <c r="W106" s="1752"/>
      <c r="X106" s="1752"/>
      <c r="Y106" s="1752"/>
      <c r="Z106" s="1754"/>
      <c r="AA106" s="1752"/>
      <c r="AB106" s="1855"/>
      <c r="AC106" s="1752"/>
      <c r="AD106" s="1752"/>
      <c r="AE106" s="1752"/>
      <c r="AF106" s="1752"/>
      <c r="AG106" s="1852"/>
    </row>
    <row r="107" spans="1:33" ht="4.2" customHeight="1">
      <c r="A107" s="1755"/>
      <c r="B107" s="2139"/>
      <c r="C107" s="2138"/>
      <c r="D107" s="1752"/>
      <c r="E107" s="1752"/>
      <c r="F107" s="1752"/>
      <c r="G107" s="1754"/>
      <c r="H107" s="1869"/>
      <c r="I107" s="1860"/>
      <c r="J107" s="1769"/>
      <c r="K107" s="1752"/>
      <c r="L107" s="1752"/>
      <c r="M107" s="1752"/>
      <c r="N107" s="1752"/>
      <c r="O107" s="1752"/>
      <c r="P107" s="1752"/>
      <c r="Q107" s="1754"/>
      <c r="R107" s="1752"/>
      <c r="S107" s="1855"/>
      <c r="T107" s="1860"/>
      <c r="U107" s="1769"/>
      <c r="V107" s="1752"/>
      <c r="W107" s="1752"/>
      <c r="X107" s="1752"/>
      <c r="Y107" s="1752"/>
      <c r="Z107" s="1754"/>
      <c r="AA107" s="1752"/>
      <c r="AB107" s="1855"/>
      <c r="AC107" s="1752"/>
      <c r="AD107" s="1752"/>
      <c r="AE107" s="1752"/>
      <c r="AF107" s="1752"/>
      <c r="AG107" s="1852"/>
    </row>
    <row r="108" spans="1:33" ht="4.2" customHeight="1">
      <c r="A108" s="1755"/>
      <c r="B108" s="1769"/>
      <c r="C108" s="1752"/>
      <c r="D108" s="1752"/>
      <c r="E108" s="1752"/>
      <c r="F108" s="1752"/>
      <c r="G108" s="1754"/>
      <c r="H108" s="1869"/>
      <c r="I108" s="1860"/>
      <c r="J108" s="1769"/>
      <c r="K108" s="1752"/>
      <c r="L108" s="1752"/>
      <c r="M108" s="1752"/>
      <c r="N108" s="1752"/>
      <c r="O108" s="1752"/>
      <c r="P108" s="1752"/>
      <c r="Q108" s="1754"/>
      <c r="R108" s="1752"/>
      <c r="S108" s="1855"/>
      <c r="T108" s="1860"/>
      <c r="U108" s="1769"/>
      <c r="V108" s="1752"/>
      <c r="W108" s="1752"/>
      <c r="X108" s="1752"/>
      <c r="Y108" s="1752"/>
      <c r="Z108" s="1754"/>
      <c r="AA108" s="1752"/>
      <c r="AB108" s="1855"/>
      <c r="AC108" s="1752"/>
      <c r="AD108" s="1752"/>
      <c r="AE108" s="1752"/>
      <c r="AF108" s="1752"/>
      <c r="AG108" s="1852"/>
    </row>
    <row r="109" spans="1:33" ht="4.2" customHeight="1">
      <c r="A109" s="1755"/>
      <c r="B109" s="1769"/>
      <c r="C109" s="1752"/>
      <c r="D109" s="1752"/>
      <c r="E109" s="1752"/>
      <c r="F109" s="1752"/>
      <c r="G109" s="1754"/>
      <c r="H109" s="1869"/>
      <c r="I109" s="1860"/>
      <c r="J109" s="1769"/>
      <c r="K109" s="1752"/>
      <c r="L109" s="1752"/>
      <c r="M109" s="1752"/>
      <c r="N109" s="1752"/>
      <c r="O109" s="1752"/>
      <c r="P109" s="1752"/>
      <c r="Q109" s="1754"/>
      <c r="R109" s="1752"/>
      <c r="S109" s="1855"/>
      <c r="T109" s="1860"/>
      <c r="U109" s="1769"/>
      <c r="V109" s="1752"/>
      <c r="W109" s="1752"/>
      <c r="X109" s="1752"/>
      <c r="Y109" s="1752"/>
      <c r="Z109" s="1754"/>
      <c r="AA109" s="1752"/>
      <c r="AB109" s="1855"/>
      <c r="AC109" s="1752"/>
      <c r="AD109" s="1752"/>
      <c r="AE109" s="1752"/>
      <c r="AF109" s="1752"/>
      <c r="AG109" s="1852"/>
    </row>
    <row r="110" spans="1:33" ht="4.2" customHeight="1">
      <c r="A110" s="1755"/>
      <c r="B110" s="1769"/>
      <c r="C110" s="1752"/>
      <c r="D110" s="1752"/>
      <c r="E110" s="1752"/>
      <c r="F110" s="1752"/>
      <c r="G110" s="1754"/>
      <c r="H110" s="1869"/>
      <c r="I110" s="1860"/>
      <c r="J110" s="1769"/>
      <c r="K110" s="1752"/>
      <c r="L110" s="1752"/>
      <c r="M110" s="1752"/>
      <c r="N110" s="1752"/>
      <c r="O110" s="1752"/>
      <c r="P110" s="1752"/>
      <c r="Q110" s="1754"/>
      <c r="R110" s="1752"/>
      <c r="S110" s="1855"/>
      <c r="T110" s="1860"/>
      <c r="U110" s="1769"/>
      <c r="V110" s="1752"/>
      <c r="W110" s="1752"/>
      <c r="X110" s="1752"/>
      <c r="Y110" s="1752"/>
      <c r="Z110" s="1754"/>
      <c r="AA110" s="1752"/>
      <c r="AB110" s="1855"/>
      <c r="AC110" s="1752"/>
      <c r="AD110" s="1752"/>
      <c r="AE110" s="1752"/>
      <c r="AF110" s="1752"/>
      <c r="AG110" s="1852"/>
    </row>
    <row r="111" spans="1:33" ht="4.95" customHeight="1">
      <c r="A111" s="1756"/>
      <c r="B111" s="1770"/>
      <c r="C111" s="1767"/>
      <c r="D111" s="1767"/>
      <c r="E111" s="1767"/>
      <c r="F111" s="1767"/>
      <c r="G111" s="1768"/>
      <c r="H111" s="1870"/>
      <c r="I111" s="1883"/>
      <c r="J111" s="1853"/>
      <c r="K111" s="1854"/>
      <c r="L111" s="1854"/>
      <c r="M111" s="1854"/>
      <c r="N111" s="1854"/>
      <c r="O111" s="1854"/>
      <c r="P111" s="1854"/>
      <c r="Q111" s="1768"/>
      <c r="R111" s="1767"/>
      <c r="S111" s="1856"/>
      <c r="T111" s="1883"/>
      <c r="U111" s="1853"/>
      <c r="V111" s="1854"/>
      <c r="W111" s="1854"/>
      <c r="X111" s="1854"/>
      <c r="Y111" s="1854"/>
      <c r="Z111" s="1768"/>
      <c r="AA111" s="1767"/>
      <c r="AB111" s="1856"/>
      <c r="AC111" s="1752"/>
      <c r="AD111" s="1752"/>
      <c r="AE111" s="1752"/>
      <c r="AF111" s="1752"/>
      <c r="AG111" s="1852"/>
    </row>
    <row r="112" spans="1:33" ht="4.2" customHeight="1" thickBot="1">
      <c r="A112" s="1868"/>
      <c r="B112" s="1868"/>
      <c r="C112" s="1868"/>
      <c r="D112" s="1868"/>
      <c r="E112" s="1868"/>
      <c r="F112" s="1868"/>
      <c r="G112" s="1868"/>
      <c r="H112" s="1868"/>
      <c r="I112" s="2046"/>
      <c r="J112" s="1852"/>
      <c r="K112" s="1852"/>
      <c r="L112" s="1852"/>
      <c r="M112" s="1852"/>
      <c r="N112" s="1852"/>
      <c r="O112" s="1852"/>
      <c r="P112" s="1852"/>
      <c r="Q112" s="1852"/>
      <c r="R112" s="1852"/>
      <c r="S112" s="1852"/>
      <c r="T112" s="2047"/>
      <c r="U112" s="1852"/>
      <c r="V112" s="1852"/>
      <c r="W112" s="1852"/>
      <c r="X112" s="1852"/>
      <c r="Y112" s="1852"/>
      <c r="Z112" s="1752"/>
      <c r="AA112" s="1752"/>
      <c r="AB112" s="1852"/>
      <c r="AC112" s="1752"/>
      <c r="AD112" s="1752"/>
      <c r="AE112" s="1752"/>
      <c r="AF112" s="1752"/>
      <c r="AG112" s="1752"/>
    </row>
    <row r="113" spans="1:33" ht="12" customHeight="1">
      <c r="A113" s="2824" t="s">
        <v>501</v>
      </c>
      <c r="B113" s="2825"/>
      <c r="C113" s="2825"/>
      <c r="D113" s="2825"/>
      <c r="E113" s="2825"/>
      <c r="F113" s="2825"/>
      <c r="G113" s="2825"/>
      <c r="H113" s="2825"/>
      <c r="I113" s="2825"/>
      <c r="J113" s="2825"/>
      <c r="K113" s="2825"/>
      <c r="L113" s="2825"/>
      <c r="M113" s="2825"/>
      <c r="N113" s="2825"/>
      <c r="O113" s="2825"/>
      <c r="P113" s="2825"/>
      <c r="Q113" s="2825"/>
      <c r="R113" s="2825"/>
      <c r="S113" s="2825"/>
      <c r="T113" s="2825"/>
      <c r="U113" s="2825"/>
      <c r="V113" s="2825"/>
      <c r="W113" s="2825"/>
      <c r="X113" s="2825"/>
      <c r="Y113" s="2825"/>
      <c r="Z113" s="2825"/>
      <c r="AA113" s="1992"/>
      <c r="AB113" s="1752"/>
      <c r="AC113" s="1752"/>
      <c r="AD113" s="1752"/>
      <c r="AE113" s="1752"/>
      <c r="AF113" s="1752"/>
      <c r="AG113" s="1752"/>
    </row>
    <row r="114" spans="1:33" hidden="1">
      <c r="A114" s="1748" t="s">
        <v>502</v>
      </c>
    </row>
    <row r="115" spans="1:33" ht="15" hidden="1" customHeight="1">
      <c r="A115" s="1745" t="s">
        <v>503</v>
      </c>
      <c r="B115" s="1745" t="s">
        <v>504</v>
      </c>
      <c r="C115" s="1745" t="s">
        <v>505</v>
      </c>
      <c r="D115" s="1745" t="s">
        <v>506</v>
      </c>
      <c r="E115" s="1745" t="s">
        <v>507</v>
      </c>
      <c r="F115" s="1745"/>
      <c r="G115" s="1745" t="s">
        <v>508</v>
      </c>
      <c r="H115" s="1745" t="s">
        <v>509</v>
      </c>
      <c r="I115" s="1745" t="s">
        <v>510</v>
      </c>
      <c r="J115" s="1745" t="s">
        <v>511</v>
      </c>
      <c r="K115" s="1745" t="s">
        <v>512</v>
      </c>
    </row>
    <row r="116" spans="1:33" ht="15" hidden="1" customHeight="1">
      <c r="A116" s="1746" t="s">
        <v>513</v>
      </c>
      <c r="B116" s="1747">
        <v>7993.3</v>
      </c>
      <c r="C116" s="1747">
        <v>12831.84</v>
      </c>
      <c r="D116" s="1747">
        <v>11760.8</v>
      </c>
      <c r="E116" s="1747">
        <v>7487.36</v>
      </c>
      <c r="F116" s="1747"/>
      <c r="G116" s="1747">
        <v>11473.59</v>
      </c>
      <c r="H116" s="1747">
        <v>7385.62</v>
      </c>
      <c r="I116" s="1747">
        <v>8051.68</v>
      </c>
      <c r="J116" s="1747">
        <v>11254.04</v>
      </c>
      <c r="K116" s="1747">
        <v>9203.68</v>
      </c>
    </row>
    <row r="117" spans="1:33" ht="15" hidden="1" customHeight="1">
      <c r="A117" s="1746" t="s">
        <v>514</v>
      </c>
      <c r="B117" s="1747">
        <v>153060</v>
      </c>
      <c r="C117" s="1747">
        <v>170644.6</v>
      </c>
      <c r="D117" s="1747">
        <v>141975</v>
      </c>
      <c r="E117" s="1747">
        <v>123963</v>
      </c>
      <c r="F117" s="1747"/>
      <c r="G117" s="1747">
        <v>177450</v>
      </c>
      <c r="H117" s="1747">
        <v>104490</v>
      </c>
      <c r="I117" s="1747">
        <v>110940.041</v>
      </c>
      <c r="J117" s="1747">
        <v>166206</v>
      </c>
      <c r="K117" s="1747">
        <v>117683</v>
      </c>
    </row>
    <row r="118" spans="1:33" ht="15" hidden="1" customHeight="1">
      <c r="A118" s="1746" t="s">
        <v>515</v>
      </c>
      <c r="B118" s="1747">
        <v>11512.5</v>
      </c>
      <c r="C118" s="1747">
        <v>9575</v>
      </c>
      <c r="D118" s="1747">
        <v>9162.5</v>
      </c>
      <c r="E118" s="1747">
        <v>8137.5</v>
      </c>
      <c r="F118" s="1747"/>
      <c r="G118" s="1747">
        <v>7500</v>
      </c>
      <c r="H118" s="1747">
        <v>3475</v>
      </c>
      <c r="I118" s="1747">
        <v>6014</v>
      </c>
      <c r="J118" s="1747">
        <v>5053</v>
      </c>
      <c r="K118" s="1747">
        <v>0</v>
      </c>
    </row>
    <row r="119" spans="1:33" ht="15" hidden="1" customHeight="1">
      <c r="A119" s="1746" t="s">
        <v>516</v>
      </c>
      <c r="B119" s="1747">
        <v>10764.97</v>
      </c>
      <c r="C119" s="1747">
        <v>9215.36</v>
      </c>
      <c r="D119" s="1747">
        <v>0</v>
      </c>
      <c r="E119" s="1747">
        <v>4163.12</v>
      </c>
      <c r="F119" s="1747"/>
      <c r="G119" s="1747">
        <v>5087.8</v>
      </c>
      <c r="H119" s="1747">
        <v>5959.65</v>
      </c>
      <c r="I119" s="1747">
        <v>7031.45</v>
      </c>
      <c r="J119" s="1747">
        <v>5793.3</v>
      </c>
      <c r="K119" s="1747">
        <v>6157.08</v>
      </c>
    </row>
    <row r="120" spans="1:33" ht="13.95" hidden="1" customHeight="1">
      <c r="A120" s="1885" t="s">
        <v>517</v>
      </c>
      <c r="B120" s="1886">
        <v>4479.7</v>
      </c>
      <c r="C120" s="1886">
        <v>4949.62</v>
      </c>
      <c r="D120" s="1886">
        <v>0</v>
      </c>
      <c r="E120" s="1747">
        <v>4163.12</v>
      </c>
      <c r="F120" s="1747"/>
      <c r="G120" s="1747">
        <v>5087.8</v>
      </c>
      <c r="H120" s="1747">
        <v>5959.65</v>
      </c>
      <c r="I120" s="1747">
        <v>7031.45</v>
      </c>
      <c r="J120" s="1747">
        <v>5793.3</v>
      </c>
      <c r="K120" s="1747">
        <v>6157.08</v>
      </c>
    </row>
    <row r="121" spans="1:33" ht="13.95" hidden="1" customHeight="1">
      <c r="A121" s="1885" t="s">
        <v>518</v>
      </c>
      <c r="B121" s="1887" t="s">
        <v>519</v>
      </c>
      <c r="C121" s="1887" t="s">
        <v>520</v>
      </c>
      <c r="D121" s="1887" t="s">
        <v>521</v>
      </c>
      <c r="E121" s="1747">
        <v>14576.81</v>
      </c>
      <c r="F121" s="1747"/>
      <c r="G121" s="1747">
        <v>30045.05</v>
      </c>
      <c r="H121" s="1747">
        <v>0</v>
      </c>
      <c r="I121" s="1747">
        <v>7518.5240000000003</v>
      </c>
      <c r="J121" s="1747">
        <v>16728.79</v>
      </c>
      <c r="K121" s="1747">
        <v>7453.72</v>
      </c>
    </row>
    <row r="122" spans="1:33" ht="13.95" hidden="1" customHeight="1">
      <c r="A122" s="1885" t="s">
        <v>404</v>
      </c>
      <c r="B122" s="1888">
        <f ca="1">E13</f>
        <v>0.1799608</v>
      </c>
      <c r="C122" s="1889" t="s">
        <v>522</v>
      </c>
      <c r="D122" s="1889">
        <f ca="1">TCM.!E10</f>
        <v>0.1799608</v>
      </c>
    </row>
    <row r="123" spans="1:33" ht="13.95" hidden="1" customHeight="1">
      <c r="A123" s="1885" t="s">
        <v>406</v>
      </c>
      <c r="B123" s="1888">
        <f ca="1">M13</f>
        <v>0.27109230769230769</v>
      </c>
      <c r="C123" s="1889" t="s">
        <v>523</v>
      </c>
      <c r="D123" s="1889">
        <f ca="1">TCM.!E16</f>
        <v>0.27109230769230769</v>
      </c>
    </row>
    <row r="124" spans="1:33" ht="13.95" hidden="1" customHeight="1">
      <c r="A124" s="1885" t="s">
        <v>408</v>
      </c>
      <c r="B124" s="1888">
        <f>X13</f>
        <v>8.7243119266055047E-2</v>
      </c>
      <c r="C124" s="1889" t="s">
        <v>524</v>
      </c>
      <c r="D124" s="1889">
        <f>TCM.!E25</f>
        <v>8.7243119266055047E-2</v>
      </c>
    </row>
    <row r="125" spans="1:33" ht="13.95" hidden="1" customHeight="1">
      <c r="A125" s="1885" t="s">
        <v>107</v>
      </c>
      <c r="B125" s="1888">
        <f ca="1">E41</f>
        <v>0.18357688888888887</v>
      </c>
      <c r="C125" s="1889" t="s">
        <v>525</v>
      </c>
      <c r="D125" s="1889">
        <f ca="1">TCM.!E51</f>
        <v>0.18357688888888887</v>
      </c>
    </row>
    <row r="126" spans="1:33" ht="13.95" hidden="1" customHeight="1">
      <c r="A126" s="1885" t="s">
        <v>426</v>
      </c>
      <c r="B126" s="1888">
        <f ca="1">M41</f>
        <v>0.18357688888888887</v>
      </c>
      <c r="C126" s="1889" t="s">
        <v>526</v>
      </c>
      <c r="D126" s="1889">
        <f ca="1">TCM.!C55/TCM.!D51</f>
        <v>0.18357688888888887</v>
      </c>
    </row>
    <row r="127" spans="1:33" ht="13.95" hidden="1" customHeight="1">
      <c r="A127" s="1885" t="s">
        <v>428</v>
      </c>
      <c r="B127" s="1888">
        <f ca="1">X41</f>
        <v>7.5625486486486482E-2</v>
      </c>
      <c r="C127" s="1889" t="s">
        <v>527</v>
      </c>
      <c r="D127" s="1889">
        <f ca="1">TCM.!E61</f>
        <v>7.5625486486486482E-2</v>
      </c>
    </row>
    <row r="128" spans="1:33" ht="13.95" hidden="1" customHeight="1">
      <c r="A128" s="1885" t="s">
        <v>437</v>
      </c>
      <c r="B128" s="1888">
        <f ca="1">E69</f>
        <v>1.5063964357366031</v>
      </c>
      <c r="C128" s="1889" t="s">
        <v>528</v>
      </c>
      <c r="D128" s="1889">
        <f ca="1">TCM.!E22</f>
        <v>1.5063964357366031</v>
      </c>
    </row>
    <row r="129" spans="1:4" ht="13.95" hidden="1" customHeight="1">
      <c r="A129" s="1885" t="s">
        <v>439</v>
      </c>
      <c r="B129" s="1888">
        <f ca="1">M69</f>
        <v>0.78037724639885153</v>
      </c>
      <c r="C129" s="1889" t="s">
        <v>529</v>
      </c>
      <c r="D129" s="1889">
        <f ca="1">TCM.!C34</f>
        <v>0.78037724639885153</v>
      </c>
    </row>
    <row r="130" spans="1:4" ht="13.95" hidden="1" customHeight="1">
      <c r="A130" s="1890" t="s">
        <v>530</v>
      </c>
      <c r="B130" s="1889"/>
      <c r="C130" s="1889"/>
      <c r="D130" s="1889"/>
    </row>
  </sheetData>
  <mergeCells count="149">
    <mergeCell ref="A1:AG1"/>
    <mergeCell ref="K104:M104"/>
    <mergeCell ref="K101:M101"/>
    <mergeCell ref="K102:M102"/>
    <mergeCell ref="K103:M103"/>
    <mergeCell ref="A87:Z87"/>
    <mergeCell ref="A3:Z3"/>
    <mergeCell ref="U62:X62"/>
    <mergeCell ref="U69:W69"/>
    <mergeCell ref="U70:X70"/>
    <mergeCell ref="J69:L69"/>
    <mergeCell ref="J70:M70"/>
    <mergeCell ref="B69:D69"/>
    <mergeCell ref="B70:E70"/>
    <mergeCell ref="U76:X76"/>
    <mergeCell ref="J71:K71"/>
    <mergeCell ref="M69:P69"/>
    <mergeCell ref="J64:P64"/>
    <mergeCell ref="M71:P71"/>
    <mergeCell ref="J96:M96"/>
    <mergeCell ref="E41:F41"/>
    <mergeCell ref="V103:X103"/>
    <mergeCell ref="V104:X104"/>
    <mergeCell ref="J76:M76"/>
    <mergeCell ref="B66:F66"/>
    <mergeCell ref="B71:C71"/>
    <mergeCell ref="B76:E76"/>
    <mergeCell ref="U38:W38"/>
    <mergeCell ref="U41:W41"/>
    <mergeCell ref="B48:E48"/>
    <mergeCell ref="U48:X48"/>
    <mergeCell ref="A59:Z59"/>
    <mergeCell ref="B41:D41"/>
    <mergeCell ref="B43:C43"/>
    <mergeCell ref="B61:E61"/>
    <mergeCell ref="M43:Q43"/>
    <mergeCell ref="J66:P66"/>
    <mergeCell ref="J38:P38"/>
    <mergeCell ref="U71:V71"/>
    <mergeCell ref="U43:V43"/>
    <mergeCell ref="J41:L41"/>
    <mergeCell ref="J42:M42"/>
    <mergeCell ref="J43:K43"/>
    <mergeCell ref="U66:Y66"/>
    <mergeCell ref="M41:P41"/>
    <mergeCell ref="L54:N54"/>
    <mergeCell ref="U65:Y65"/>
    <mergeCell ref="L51:N51"/>
    <mergeCell ref="B42:E42"/>
    <mergeCell ref="L50:N50"/>
    <mergeCell ref="E43:F43"/>
    <mergeCell ref="J65:P65"/>
    <mergeCell ref="X41:Y41"/>
    <mergeCell ref="U36:Y36"/>
    <mergeCell ref="L52:N52"/>
    <mergeCell ref="B44:G45"/>
    <mergeCell ref="J44:R45"/>
    <mergeCell ref="U44:AA45"/>
    <mergeCell ref="A113:Z113"/>
    <mergeCell ref="B89:E89"/>
    <mergeCell ref="B90:E90"/>
    <mergeCell ref="B92:D92"/>
    <mergeCell ref="B93:D93"/>
    <mergeCell ref="B94:D94"/>
    <mergeCell ref="B96:E96"/>
    <mergeCell ref="B99:E99"/>
    <mergeCell ref="J89:M89"/>
    <mergeCell ref="U89:X89"/>
    <mergeCell ref="U90:X90"/>
    <mergeCell ref="U96:X96"/>
    <mergeCell ref="J90:M90"/>
    <mergeCell ref="V105:X105"/>
    <mergeCell ref="J93:P93"/>
    <mergeCell ref="J94:P94"/>
    <mergeCell ref="J99:M99"/>
    <mergeCell ref="U99:X99"/>
    <mergeCell ref="V101:X101"/>
    <mergeCell ref="V102:X102"/>
    <mergeCell ref="J92:P92"/>
    <mergeCell ref="U92:Y92"/>
    <mergeCell ref="U93:Y93"/>
    <mergeCell ref="U94:Y94"/>
    <mergeCell ref="U5:X5"/>
    <mergeCell ref="U6:X6"/>
    <mergeCell ref="U13:W13"/>
    <mergeCell ref="U14:X14"/>
    <mergeCell ref="U15:V15"/>
    <mergeCell ref="U20:X20"/>
    <mergeCell ref="L22:N22"/>
    <mergeCell ref="X13:Y13"/>
    <mergeCell ref="B2:D2"/>
    <mergeCell ref="B6:E6"/>
    <mergeCell ref="B13:D13"/>
    <mergeCell ref="B14:E14"/>
    <mergeCell ref="B15:C15"/>
    <mergeCell ref="B20:E20"/>
    <mergeCell ref="J5:M5"/>
    <mergeCell ref="J6:M6"/>
    <mergeCell ref="B5:E5"/>
    <mergeCell ref="J20:M20"/>
    <mergeCell ref="J8:P8"/>
    <mergeCell ref="J9:P9"/>
    <mergeCell ref="J10:P10"/>
    <mergeCell ref="M13:P13"/>
    <mergeCell ref="J13:L13"/>
    <mergeCell ref="J14:M14"/>
    <mergeCell ref="U8:Y8"/>
    <mergeCell ref="J34:M34"/>
    <mergeCell ref="U33:X33"/>
    <mergeCell ref="U34:X34"/>
    <mergeCell ref="L23:N23"/>
    <mergeCell ref="L24:N24"/>
    <mergeCell ref="L25:N25"/>
    <mergeCell ref="A31:Z31"/>
    <mergeCell ref="B8:H8"/>
    <mergeCell ref="B9:G9"/>
    <mergeCell ref="B10:F10"/>
    <mergeCell ref="E15:F15"/>
    <mergeCell ref="E13:F13"/>
    <mergeCell ref="J15:K15"/>
    <mergeCell ref="M15:Q15"/>
    <mergeCell ref="B16:G17"/>
    <mergeCell ref="J16:R17"/>
    <mergeCell ref="U16:AA17"/>
    <mergeCell ref="J33:M33"/>
    <mergeCell ref="B72:G73"/>
    <mergeCell ref="J72:R73"/>
    <mergeCell ref="U72:AA73"/>
    <mergeCell ref="U9:Y9"/>
    <mergeCell ref="U10:Y10"/>
    <mergeCell ref="U37:Y37"/>
    <mergeCell ref="B33:E33"/>
    <mergeCell ref="B34:E34"/>
    <mergeCell ref="E69:F69"/>
    <mergeCell ref="B36:F36"/>
    <mergeCell ref="L53:N53"/>
    <mergeCell ref="B37:F37"/>
    <mergeCell ref="B38:F38"/>
    <mergeCell ref="U64:Y64"/>
    <mergeCell ref="J36:P36"/>
    <mergeCell ref="J37:P37"/>
    <mergeCell ref="B62:E62"/>
    <mergeCell ref="J61:M61"/>
    <mergeCell ref="J62:M62"/>
    <mergeCell ref="U61:X61"/>
    <mergeCell ref="J48:M48"/>
    <mergeCell ref="U42:X42"/>
    <mergeCell ref="B64:F64"/>
    <mergeCell ref="B65:F65"/>
  </mergeCells>
  <conditionalFormatting sqref="B16">
    <cfRule type="dataBar" priority="1">
      <dataBar>
        <cfvo type="num" val="0"/>
        <cfvo type="num" val="1"/>
        <color rgb="FFFF8C00"/>
      </dataBar>
      <extLst>
        <ext xmlns:x14="http://schemas.microsoft.com/office/spreadsheetml/2009/9/main" uri="{B025F937-C7B1-47D3-B67F-A62EFF666E3E}">
          <x14:id>{84F51754-6EA5-4371-972C-7A78D2E4E5BE}</x14:id>
        </ext>
      </extLst>
    </cfRule>
    <cfRule type="cellIs" dxfId="373" priority="9" operator="lessThan">
      <formula>0.13</formula>
    </cfRule>
  </conditionalFormatting>
  <conditionalFormatting sqref="B44">
    <cfRule type="dataBar" priority="4">
      <dataBar>
        <cfvo type="num" val="0"/>
        <cfvo type="num" val="1"/>
        <color rgb="FF0070C0"/>
      </dataBar>
      <extLst>
        <ext xmlns:x14="http://schemas.microsoft.com/office/spreadsheetml/2009/9/main" uri="{B025F937-C7B1-47D3-B67F-A62EFF666E3E}">
          <x14:id>{5D7A1A8B-C716-4FC6-9505-29691B829044}</x14:id>
        </ext>
      </extLst>
    </cfRule>
    <cfRule type="cellIs" dxfId="372" priority="12" operator="lessThan">
      <formula>0.13</formula>
    </cfRule>
  </conditionalFormatting>
  <conditionalFormatting sqref="B72">
    <cfRule type="dataBar" priority="7">
      <dataBar>
        <cfvo type="num" val="0"/>
        <cfvo type="num" val="1"/>
        <color rgb="FF404040"/>
      </dataBar>
      <extLst>
        <ext xmlns:x14="http://schemas.microsoft.com/office/spreadsheetml/2009/9/main" uri="{B025F937-C7B1-47D3-B67F-A62EFF666E3E}">
          <x14:id>{04A48964-F612-41E1-89C9-43E39E46A051}</x14:id>
        </ext>
      </extLst>
    </cfRule>
    <cfRule type="cellIs" dxfId="371" priority="15" operator="lessThan">
      <formula>0.13</formula>
    </cfRule>
  </conditionalFormatting>
  <conditionalFormatting sqref="J16">
    <cfRule type="dataBar" priority="2">
      <dataBar>
        <cfvo type="num" val="0"/>
        <cfvo type="num" val="1"/>
        <color rgb="FF0070C0"/>
      </dataBar>
      <extLst>
        <ext xmlns:x14="http://schemas.microsoft.com/office/spreadsheetml/2009/9/main" uri="{B025F937-C7B1-47D3-B67F-A62EFF666E3E}">
          <x14:id>{55B23D5A-9C95-4F66-9B5A-4927209F9468}</x14:id>
        </ext>
      </extLst>
    </cfRule>
    <cfRule type="cellIs" dxfId="370" priority="10" operator="lessThan">
      <formula>0.13</formula>
    </cfRule>
  </conditionalFormatting>
  <conditionalFormatting sqref="J44">
    <cfRule type="dataBar" priority="5">
      <dataBar>
        <cfvo type="num" val="0"/>
        <cfvo type="num" val="1"/>
        <color rgb="FFFF8C00"/>
      </dataBar>
      <extLst>
        <ext xmlns:x14="http://schemas.microsoft.com/office/spreadsheetml/2009/9/main" uri="{B025F937-C7B1-47D3-B67F-A62EFF666E3E}">
          <x14:id>{6133087A-C11D-4C6A-8D41-9437B4604786}</x14:id>
        </ext>
      </extLst>
    </cfRule>
    <cfRule type="cellIs" dxfId="369" priority="13" operator="lessThan">
      <formula>0.13</formula>
    </cfRule>
  </conditionalFormatting>
  <conditionalFormatting sqref="J72">
    <cfRule type="dataBar" priority="8">
      <dataBar>
        <cfvo type="num" val="0"/>
        <cfvo type="num" val="1"/>
        <color rgb="FF00B050"/>
      </dataBar>
      <extLst>
        <ext xmlns:x14="http://schemas.microsoft.com/office/spreadsheetml/2009/9/main" uri="{B025F937-C7B1-47D3-B67F-A62EFF666E3E}">
          <x14:id>{79F8AE59-E51D-453C-BD8F-B1C2DA8BE047}</x14:id>
        </ext>
      </extLst>
    </cfRule>
    <cfRule type="cellIs" dxfId="368" priority="16" operator="lessThan">
      <formula>0.13</formula>
    </cfRule>
  </conditionalFormatting>
  <conditionalFormatting sqref="U16">
    <cfRule type="dataBar" priority="3">
      <dataBar>
        <cfvo type="num" val="0"/>
        <cfvo type="num" val="1"/>
        <color rgb="FF00B050"/>
      </dataBar>
      <extLst>
        <ext xmlns:x14="http://schemas.microsoft.com/office/spreadsheetml/2009/9/main" uri="{B025F937-C7B1-47D3-B67F-A62EFF666E3E}">
          <x14:id>{B0391F09-B88A-4BB6-8040-4E937AC02114}</x14:id>
        </ext>
      </extLst>
    </cfRule>
    <cfRule type="cellIs" dxfId="367" priority="11" operator="lessThan">
      <formula>0.13</formula>
    </cfRule>
  </conditionalFormatting>
  <conditionalFormatting sqref="U44">
    <cfRule type="dataBar" priority="6">
      <dataBar>
        <cfvo type="num" val="0"/>
        <cfvo type="num" val="1"/>
        <color rgb="FF7030A0"/>
      </dataBar>
      <extLst>
        <ext xmlns:x14="http://schemas.microsoft.com/office/spreadsheetml/2009/9/main" uri="{B025F937-C7B1-47D3-B67F-A62EFF666E3E}">
          <x14:id>{B6A7CF62-6F29-4AB3-BF0D-4DEF88C16F49}</x14:id>
        </ext>
      </extLst>
    </cfRule>
    <cfRule type="cellIs" dxfId="366" priority="14" operator="lessThan">
      <formula>0.13</formula>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84F51754-6EA5-4371-972C-7A78D2E4E5BE}">
            <x14:dataBar minLength="0" maxLength="100" border="1" gradient="0" direction="leftToRight" negativeBarColorSameAsPositive="1" axisPosition="none">
              <x14:cfvo type="num">
                <xm:f>0</xm:f>
              </x14:cfvo>
              <x14:cfvo type="num">
                <xm:f>1</xm:f>
              </x14:cfvo>
              <x14:borderColor rgb="FFFF8C00"/>
            </x14:dataBar>
          </x14:cfRule>
          <xm:sqref>B16</xm:sqref>
        </x14:conditionalFormatting>
        <x14:conditionalFormatting xmlns:xm="http://schemas.microsoft.com/office/excel/2006/main">
          <x14:cfRule type="dataBar" id="{5D7A1A8B-C716-4FC6-9505-29691B829044}">
            <x14:dataBar minLength="0" maxLength="100" border="1" gradient="0" direction="leftToRight" negativeBarColorSameAsPositive="1" axisPosition="none">
              <x14:cfvo type="num">
                <xm:f>0</xm:f>
              </x14:cfvo>
              <x14:cfvo type="num">
                <xm:f>1</xm:f>
              </x14:cfvo>
              <x14:borderColor rgb="FF0070C0"/>
            </x14:dataBar>
          </x14:cfRule>
          <xm:sqref>B44</xm:sqref>
        </x14:conditionalFormatting>
        <x14:conditionalFormatting xmlns:xm="http://schemas.microsoft.com/office/excel/2006/main">
          <x14:cfRule type="dataBar" id="{04A48964-F612-41E1-89C9-43E39E46A051}">
            <x14:dataBar minLength="0" maxLength="100" border="1" gradient="0" direction="leftToRight" negativeBarColorSameAsPositive="1" axisPosition="none">
              <x14:cfvo type="num">
                <xm:f>0</xm:f>
              </x14:cfvo>
              <x14:cfvo type="num">
                <xm:f>1</xm:f>
              </x14:cfvo>
              <x14:borderColor rgb="FF404040"/>
            </x14:dataBar>
          </x14:cfRule>
          <xm:sqref>B72</xm:sqref>
        </x14:conditionalFormatting>
        <x14:conditionalFormatting xmlns:xm="http://schemas.microsoft.com/office/excel/2006/main">
          <x14:cfRule type="dataBar" id="{55B23D5A-9C95-4F66-9B5A-4927209F9468}">
            <x14:dataBar minLength="0" maxLength="100" border="1" gradient="0" direction="leftToRight" negativeBarColorSameAsPositive="1" axisPosition="none">
              <x14:cfvo type="num">
                <xm:f>0</xm:f>
              </x14:cfvo>
              <x14:cfvo type="num">
                <xm:f>1</xm:f>
              </x14:cfvo>
              <x14:borderColor rgb="FF0070C0"/>
            </x14:dataBar>
          </x14:cfRule>
          <xm:sqref>J16</xm:sqref>
        </x14:conditionalFormatting>
        <x14:conditionalFormatting xmlns:xm="http://schemas.microsoft.com/office/excel/2006/main">
          <x14:cfRule type="dataBar" id="{6133087A-C11D-4C6A-8D41-9437B4604786}">
            <x14:dataBar minLength="0" maxLength="100" border="1" gradient="0" direction="leftToRight" negativeBarColorSameAsPositive="1" axisPosition="none">
              <x14:cfvo type="num">
                <xm:f>0</xm:f>
              </x14:cfvo>
              <x14:cfvo type="num">
                <xm:f>1</xm:f>
              </x14:cfvo>
              <x14:borderColor rgb="FFFF8C00"/>
            </x14:dataBar>
          </x14:cfRule>
          <xm:sqref>J44</xm:sqref>
        </x14:conditionalFormatting>
        <x14:conditionalFormatting xmlns:xm="http://schemas.microsoft.com/office/excel/2006/main">
          <x14:cfRule type="dataBar" id="{79F8AE59-E51D-453C-BD8F-B1C2DA8BE047}">
            <x14:dataBar minLength="0" maxLength="100" border="1" gradient="0" direction="leftToRight" negativeBarColorSameAsPositive="1" axisPosition="none">
              <x14:cfvo type="num">
                <xm:f>0</xm:f>
              </x14:cfvo>
              <x14:cfvo type="num">
                <xm:f>1</xm:f>
              </x14:cfvo>
              <x14:borderColor rgb="FF00B050"/>
            </x14:dataBar>
          </x14:cfRule>
          <xm:sqref>J72</xm:sqref>
        </x14:conditionalFormatting>
        <x14:conditionalFormatting xmlns:xm="http://schemas.microsoft.com/office/excel/2006/main">
          <x14:cfRule type="dataBar" id="{B0391F09-B88A-4BB6-8040-4E937AC02114}">
            <x14:dataBar minLength="0" maxLength="100" border="1" gradient="0" direction="leftToRight" negativeBarColorSameAsPositive="1" axisPosition="none">
              <x14:cfvo type="num">
                <xm:f>0</xm:f>
              </x14:cfvo>
              <x14:cfvo type="num">
                <xm:f>1</xm:f>
              </x14:cfvo>
              <x14:borderColor rgb="FF00B050"/>
            </x14:dataBar>
          </x14:cfRule>
          <xm:sqref>U16</xm:sqref>
        </x14:conditionalFormatting>
        <x14:conditionalFormatting xmlns:xm="http://schemas.microsoft.com/office/excel/2006/main">
          <x14:cfRule type="dataBar" id="{B6A7CF62-6F29-4AB3-BF0D-4DEF88C16F49}">
            <x14:dataBar minLength="0" maxLength="100" border="1" gradient="0" direction="leftToRight" negativeBarColorSameAsPositive="1" axisPosition="none">
              <x14:cfvo type="num">
                <xm:f>0</xm:f>
              </x14:cfvo>
              <x14:cfvo type="num">
                <xm:f>1</xm:f>
              </x14:cfvo>
              <x14:borderColor rgb="FF7030A0"/>
            </x14:dataBar>
          </x14:cfRule>
          <xm:sqref>U44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2544"/>
  </sheetPr>
  <dimension ref="A1:T148"/>
  <sheetViews>
    <sheetView zoomScale="70" zoomScaleNormal="70" workbookViewId="0">
      <selection sqref="A1:T114"/>
    </sheetView>
  </sheetViews>
  <sheetFormatPr defaultRowHeight="14.4"/>
  <cols>
    <col min="1" max="1" width="6.6640625" customWidth="1"/>
    <col min="2" max="2" width="19.33203125" customWidth="1"/>
    <col min="3" max="3" width="11.109375" customWidth="1"/>
    <col min="4" max="4" width="10.6640625" customWidth="1"/>
    <col min="5" max="5" width="9.6640625" customWidth="1"/>
    <col min="6" max="6" width="1.44140625" customWidth="1"/>
    <col min="7" max="7" width="0.6640625" customWidth="1"/>
    <col min="8" max="8" width="3.33203125" customWidth="1"/>
    <col min="9" max="9" width="14.6640625" customWidth="1"/>
    <col min="10" max="10" width="9.6640625" customWidth="1"/>
    <col min="11" max="11" width="10.6640625" customWidth="1"/>
    <col min="12" max="12" width="7.6640625" customWidth="1"/>
    <col min="13" max="13" width="1.44140625" customWidth="1"/>
    <col min="14" max="15" width="1.88671875" customWidth="1"/>
    <col min="16" max="16" width="14.6640625" customWidth="1"/>
    <col min="17" max="17" width="9.6640625" customWidth="1"/>
    <col min="18" max="18" width="10.6640625" customWidth="1"/>
    <col min="19" max="19" width="7.6640625" customWidth="1"/>
    <col min="20" max="20" width="1.44140625" customWidth="1"/>
  </cols>
  <sheetData>
    <row r="1" spans="1:20" ht="42" customHeight="1" thickBot="1">
      <c r="A1" s="2879" t="s">
        <v>531</v>
      </c>
      <c r="B1" s="2880"/>
      <c r="C1" s="2880"/>
      <c r="D1" s="2880"/>
      <c r="E1" s="2880"/>
      <c r="F1" s="2880"/>
      <c r="G1" s="2880"/>
      <c r="H1" s="2880"/>
      <c r="I1" s="2880"/>
      <c r="J1" s="2880"/>
      <c r="K1" s="2880"/>
      <c r="L1" s="2880"/>
      <c r="M1" s="2880"/>
      <c r="N1" s="2880"/>
      <c r="O1" s="2880"/>
      <c r="P1" s="2880"/>
      <c r="Q1" s="2880"/>
      <c r="R1" s="2880"/>
      <c r="S1" s="2880"/>
      <c r="T1" s="2880"/>
    </row>
    <row r="2" spans="1:20" ht="24" customHeight="1">
      <c r="A2" s="1492" t="s">
        <v>532</v>
      </c>
      <c r="B2" s="2881" t="str">
        <f ca="1">TEXT(TODAY()-1,"DD MMMM YYYY")</f>
        <v>07 September 2026</v>
      </c>
      <c r="C2" s="2882"/>
      <c r="D2" s="2882"/>
      <c r="E2" s="2301"/>
      <c r="F2" s="2301"/>
      <c r="G2" s="2301"/>
      <c r="H2" s="2301"/>
      <c r="I2" s="2301"/>
      <c r="J2" s="2301"/>
      <c r="K2" s="2301"/>
      <c r="L2" s="2301"/>
      <c r="M2" s="2301"/>
      <c r="N2" s="2301"/>
      <c r="O2" s="2301"/>
      <c r="P2" s="2301"/>
      <c r="Q2" s="2301"/>
      <c r="R2" s="2301"/>
      <c r="S2" s="2301"/>
      <c r="T2" s="2301"/>
    </row>
    <row r="3" spans="1:20" ht="22.2" customHeight="1" thickBot="1">
      <c r="A3" s="2302" t="s">
        <v>533</v>
      </c>
      <c r="B3" s="2883"/>
      <c r="C3" s="2883"/>
      <c r="D3" s="2883"/>
      <c r="E3" s="2883"/>
      <c r="F3" s="2883"/>
      <c r="G3" s="2883"/>
      <c r="H3" s="2883"/>
      <c r="I3" s="2883"/>
      <c r="J3" s="2883"/>
      <c r="K3" s="2883"/>
      <c r="L3" s="2883"/>
      <c r="M3" s="2883"/>
      <c r="N3" s="2883"/>
      <c r="O3" s="2883"/>
      <c r="P3" s="2883"/>
      <c r="Q3" s="2883"/>
      <c r="R3" s="2883"/>
      <c r="S3" s="2883"/>
      <c r="T3" s="2883"/>
    </row>
    <row r="4" spans="1:20" ht="4.95" customHeight="1">
      <c r="A4" s="2303"/>
      <c r="B4" s="2304"/>
      <c r="C4" s="2304"/>
      <c r="D4" s="2304"/>
      <c r="E4" s="2304"/>
      <c r="F4" s="2305"/>
      <c r="G4" s="1493"/>
      <c r="H4" s="2306"/>
      <c r="I4" s="2307"/>
      <c r="J4" s="2307"/>
      <c r="K4" s="2307"/>
      <c r="L4" s="2307"/>
      <c r="M4" s="2308"/>
      <c r="N4" s="1493"/>
      <c r="O4" s="2309"/>
      <c r="P4" s="2310"/>
      <c r="Q4" s="2310"/>
      <c r="R4" s="2310"/>
      <c r="S4" s="2310"/>
      <c r="T4" s="2311"/>
    </row>
    <row r="5" spans="1:20" ht="22.2" customHeight="1">
      <c r="A5" s="1488" t="s">
        <v>403</v>
      </c>
      <c r="B5" s="2877" t="s">
        <v>409</v>
      </c>
      <c r="C5" s="2876"/>
      <c r="D5" s="2876"/>
      <c r="E5" s="2876"/>
      <c r="F5" s="2313"/>
      <c r="G5" s="1493"/>
      <c r="H5" s="1488" t="s">
        <v>405</v>
      </c>
      <c r="I5" s="2877" t="s">
        <v>406</v>
      </c>
      <c r="J5" s="2876"/>
      <c r="K5" s="2876"/>
      <c r="L5" s="2876"/>
      <c r="M5" s="2313"/>
      <c r="N5" s="1493"/>
      <c r="O5" s="1488" t="s">
        <v>424</v>
      </c>
      <c r="P5" s="2877" t="s">
        <v>107</v>
      </c>
      <c r="Q5" s="2876"/>
      <c r="R5" s="2876"/>
      <c r="S5" s="2876"/>
      <c r="T5" s="2313"/>
    </row>
    <row r="6" spans="1:20" ht="16.2" customHeight="1">
      <c r="A6" s="2314"/>
      <c r="B6" s="2878" t="s">
        <v>404</v>
      </c>
      <c r="C6" s="2876"/>
      <c r="D6" s="2876"/>
      <c r="E6" s="2876"/>
      <c r="F6" s="2313"/>
      <c r="G6" s="1493"/>
      <c r="H6" s="2314"/>
      <c r="I6" s="2878" t="s">
        <v>410</v>
      </c>
      <c r="J6" s="2876"/>
      <c r="K6" s="2876"/>
      <c r="L6" s="2876"/>
      <c r="M6" s="2313"/>
      <c r="N6" s="1493"/>
      <c r="O6" s="2314"/>
      <c r="P6" s="2878" t="s">
        <v>429</v>
      </c>
      <c r="Q6" s="2876"/>
      <c r="R6" s="2876"/>
      <c r="S6" s="2876"/>
      <c r="T6" s="2313"/>
    </row>
    <row r="7" spans="1:20" ht="6" customHeight="1">
      <c r="A7" s="2314"/>
      <c r="B7" s="2312"/>
      <c r="C7" s="2312"/>
      <c r="D7" s="2312"/>
      <c r="E7" s="2312"/>
      <c r="F7" s="2313"/>
      <c r="G7" s="1493"/>
      <c r="H7" s="2314"/>
      <c r="I7" s="2312"/>
      <c r="J7" s="2312"/>
      <c r="K7" s="2312"/>
      <c r="L7" s="2312"/>
      <c r="M7" s="2313"/>
      <c r="N7" s="1493"/>
      <c r="O7" s="2314"/>
      <c r="P7" s="2312"/>
      <c r="Q7" s="2312"/>
      <c r="R7" s="2312"/>
      <c r="S7" s="2312"/>
      <c r="T7" s="2313"/>
    </row>
    <row r="8" spans="1:20" ht="30" customHeight="1">
      <c r="A8" s="2314"/>
      <c r="B8" s="2875" t="str">
        <f ca="1">IF(TIS.!B6=0,"–",TEXT(TIS.!B6,"#,##0"))</f>
        <v>3,415</v>
      </c>
      <c r="C8" s="2876"/>
      <c r="D8" s="2876"/>
      <c r="E8" s="2312"/>
      <c r="F8" s="2313"/>
      <c r="G8" s="1493"/>
      <c r="H8" s="2314"/>
      <c r="I8" s="2875" t="str">
        <f ca="1">IF(TIS.!B21=0,"–",TEXT(TIS.!B21,"#,##0"))</f>
        <v>43,157</v>
      </c>
      <c r="J8" s="2876"/>
      <c r="K8" s="2876"/>
      <c r="L8" s="2312"/>
      <c r="M8" s="2313"/>
      <c r="N8" s="1493"/>
      <c r="O8" s="2314"/>
      <c r="P8" s="2875" t="str">
        <f ca="1">IF(TIS.!B8=0,"–",TEXT(TIS.!B8,"#,##0"))</f>
        <v>–</v>
      </c>
      <c r="Q8" s="2876"/>
      <c r="R8" s="2876"/>
      <c r="S8" s="2312"/>
      <c r="T8" s="2313"/>
    </row>
    <row r="9" spans="1:20" ht="16.2" customHeight="1">
      <c r="A9" s="2314"/>
      <c r="B9" s="2884" t="s">
        <v>412</v>
      </c>
      <c r="C9" s="2876"/>
      <c r="D9" s="2876"/>
      <c r="E9" s="2312"/>
      <c r="F9" s="2313"/>
      <c r="G9" s="1493"/>
      <c r="H9" s="2314"/>
      <c r="I9" s="2889" t="s">
        <v>51</v>
      </c>
      <c r="J9" s="2876"/>
      <c r="K9" s="2876"/>
      <c r="L9" s="2312"/>
      <c r="M9" s="2313"/>
      <c r="N9" s="1493"/>
      <c r="O9" s="2314"/>
      <c r="P9" s="2890" t="s">
        <v>412</v>
      </c>
      <c r="Q9" s="2876"/>
      <c r="R9" s="2876"/>
      <c r="S9" s="2312"/>
      <c r="T9" s="2313"/>
    </row>
    <row r="10" spans="1:20" ht="13.95" customHeight="1">
      <c r="A10" s="2314"/>
      <c r="B10" s="2885" t="s">
        <v>413</v>
      </c>
      <c r="C10" s="2876"/>
      <c r="D10" s="2876"/>
      <c r="E10" s="2312"/>
      <c r="F10" s="2313"/>
      <c r="G10" s="1493"/>
      <c r="H10" s="2314"/>
      <c r="I10" s="2885" t="s">
        <v>413</v>
      </c>
      <c r="J10" s="2876"/>
      <c r="K10" s="2876"/>
      <c r="L10" s="2312"/>
      <c r="M10" s="2313"/>
      <c r="N10" s="1493"/>
      <c r="O10" s="2314"/>
      <c r="P10" s="2885" t="s">
        <v>413</v>
      </c>
      <c r="Q10" s="2876"/>
      <c r="R10" s="2876"/>
      <c r="S10" s="2312"/>
      <c r="T10" s="2313"/>
    </row>
    <row r="11" spans="1:20" ht="3" customHeight="1">
      <c r="A11" s="2314"/>
      <c r="B11" s="2312"/>
      <c r="C11" s="2312"/>
      <c r="D11" s="2312"/>
      <c r="E11" s="2312"/>
      <c r="F11" s="2313"/>
      <c r="G11" s="1493"/>
      <c r="H11" s="2314"/>
      <c r="I11" s="2312"/>
      <c r="J11" s="2312"/>
      <c r="K11" s="2312"/>
      <c r="L11" s="2312"/>
      <c r="M11" s="2313"/>
      <c r="N11" s="1493"/>
      <c r="O11" s="2314"/>
      <c r="P11" s="2312"/>
      <c r="Q11" s="2312"/>
      <c r="R11" s="2312"/>
      <c r="S11" s="2312"/>
      <c r="T11" s="2313"/>
    </row>
    <row r="12" spans="1:20" ht="6" customHeight="1">
      <c r="A12" s="2314"/>
      <c r="B12" s="2312"/>
      <c r="C12" s="2312"/>
      <c r="D12" s="2312"/>
      <c r="E12" s="2312"/>
      <c r="F12" s="2313"/>
      <c r="G12" s="1493"/>
      <c r="H12" s="2314"/>
      <c r="I12" s="2312"/>
      <c r="J12" s="2312"/>
      <c r="K12" s="2312"/>
      <c r="L12" s="2312"/>
      <c r="M12" s="2313"/>
      <c r="N12" s="1493"/>
      <c r="O12" s="2314"/>
      <c r="P12" s="2312"/>
      <c r="Q12" s="2312"/>
      <c r="R12" s="2312"/>
      <c r="S12" s="2312"/>
      <c r="T12" s="2313"/>
    </row>
    <row r="13" spans="1:20" ht="16.2" customHeight="1">
      <c r="A13" s="2314"/>
      <c r="B13" s="2886" t="s">
        <v>414</v>
      </c>
      <c r="C13" s="2876"/>
      <c r="D13" s="2876"/>
      <c r="E13" s="2316" t="str">
        <f ca="1">IFERROR(TEXT(TIS.!E6,"0%"),"–")</f>
        <v>16%</v>
      </c>
      <c r="F13" s="2313"/>
      <c r="G13" s="1493"/>
      <c r="H13" s="2314"/>
      <c r="I13" s="2886" t="s">
        <v>414</v>
      </c>
      <c r="J13" s="2876"/>
      <c r="K13" s="2876"/>
      <c r="L13" s="2317" t="str">
        <f ca="1">IFERROR(TEXT(TIS.!E21,"0%"),"–")</f>
        <v>23%</v>
      </c>
      <c r="M13" s="2313"/>
      <c r="N13" s="1493"/>
      <c r="O13" s="2314"/>
      <c r="P13" s="2886" t="s">
        <v>414</v>
      </c>
      <c r="Q13" s="2876"/>
      <c r="R13" s="2876"/>
      <c r="S13" s="2318" t="str">
        <f ca="1">IFERROR(TEXT(TIS.!E8,"0%"),"–")</f>
        <v>81%</v>
      </c>
      <c r="T13" s="2313"/>
    </row>
    <row r="14" spans="1:20" ht="22.2" customHeight="1">
      <c r="A14" s="2314"/>
      <c r="B14" s="2887" t="str">
        <f ca="1">IFERROR(TEXT(TIS.!C6,"#,##0")&amp;" / "&amp;TEXT(TIS.!D6,"#,##0"),"–")</f>
        <v>10,343 / 63,976</v>
      </c>
      <c r="C14" s="2876"/>
      <c r="D14" s="2876"/>
      <c r="E14" s="2876"/>
      <c r="F14" s="2313"/>
      <c r="G14" s="1493"/>
      <c r="H14" s="2314"/>
      <c r="I14" s="2887" t="str">
        <f ca="1">IFERROR(TEXT(TIS.!C21,"#,##0")&amp;" / "&amp;TEXT(TIS.!D21,"#,##0"),"–")</f>
        <v>260,301 / 1,155,000</v>
      </c>
      <c r="J14" s="2876"/>
      <c r="K14" s="2876"/>
      <c r="L14" s="2876"/>
      <c r="M14" s="2313"/>
      <c r="N14" s="1493"/>
      <c r="O14" s="2314"/>
      <c r="P14" s="2887" t="str">
        <f ca="1">IFERROR(TEXT(TIS.!C8,"#,##0")&amp;" / "&amp;TEXT(TIS.!D8,"#,##0"),"–")</f>
        <v>42,978 / 53,385</v>
      </c>
      <c r="Q14" s="2876"/>
      <c r="R14" s="2876"/>
      <c r="S14" s="2876"/>
      <c r="T14" s="2313"/>
    </row>
    <row r="15" spans="1:20" ht="13.95" customHeight="1">
      <c r="A15" s="2314"/>
      <c r="B15" s="2888" t="s">
        <v>415</v>
      </c>
      <c r="C15" s="2876"/>
      <c r="D15" s="2312"/>
      <c r="E15" s="1487" t="str">
        <f ca="1">IFERROR(TEXT(TIS.!E6,"0%"),"–")</f>
        <v>16%</v>
      </c>
      <c r="F15" s="2313"/>
      <c r="G15" s="1493"/>
      <c r="H15" s="2314"/>
      <c r="I15" s="2888" t="s">
        <v>415</v>
      </c>
      <c r="J15" s="2876"/>
      <c r="K15" s="2312"/>
      <c r="L15" s="1487" t="str">
        <f ca="1">IFERROR(TEXT(TIS.!E21,"0%"),"–")</f>
        <v>23%</v>
      </c>
      <c r="M15" s="2313"/>
      <c r="N15" s="1493"/>
      <c r="O15" s="2314"/>
      <c r="P15" s="2888" t="s">
        <v>415</v>
      </c>
      <c r="Q15" s="2876"/>
      <c r="R15" s="2312"/>
      <c r="S15" s="1487" t="str">
        <f ca="1">IFERROR(TEXT(TIS.!E8,"0%"),"–")</f>
        <v>81%</v>
      </c>
      <c r="T15" s="2313"/>
    </row>
    <row r="16" spans="1:20" ht="4.95" customHeight="1">
      <c r="A16" s="2314"/>
      <c r="B16" s="2320"/>
      <c r="C16" s="2321"/>
      <c r="D16" s="2321"/>
      <c r="E16" s="2321"/>
      <c r="F16" s="2313"/>
      <c r="G16" s="1493"/>
      <c r="H16" s="2314"/>
      <c r="I16" s="2322"/>
      <c r="J16" s="2321"/>
      <c r="K16" s="2321"/>
      <c r="L16" s="2321"/>
      <c r="M16" s="2313"/>
      <c r="N16" s="1493"/>
      <c r="O16" s="2314"/>
      <c r="P16" s="2323"/>
      <c r="Q16" s="2321"/>
      <c r="R16" s="2321"/>
      <c r="S16" s="2321"/>
      <c r="T16" s="2313"/>
    </row>
    <row r="17" spans="1:20" ht="6" customHeight="1">
      <c r="A17" s="2314"/>
      <c r="B17" s="2312"/>
      <c r="C17" s="2312"/>
      <c r="D17" s="2312"/>
      <c r="E17" s="2312"/>
      <c r="F17" s="2313"/>
      <c r="G17" s="1493"/>
      <c r="H17" s="2314"/>
      <c r="I17" s="2312"/>
      <c r="J17" s="2312"/>
      <c r="K17" s="2312"/>
      <c r="L17" s="2312"/>
      <c r="M17" s="2313"/>
      <c r="N17" s="1493"/>
      <c r="O17" s="2314"/>
      <c r="P17" s="2312"/>
      <c r="Q17" s="2312"/>
      <c r="R17" s="2312"/>
      <c r="S17" s="2312"/>
      <c r="T17" s="2313"/>
    </row>
    <row r="18" spans="1:20" ht="3" customHeight="1">
      <c r="A18" s="2314"/>
      <c r="B18" s="2312"/>
      <c r="C18" s="2312"/>
      <c r="D18" s="2312"/>
      <c r="E18" s="2312"/>
      <c r="F18" s="2313"/>
      <c r="G18" s="1493"/>
      <c r="H18" s="2314"/>
      <c r="I18" s="2312"/>
      <c r="J18" s="2312"/>
      <c r="K18" s="2312"/>
      <c r="L18" s="2312"/>
      <c r="M18" s="2313"/>
      <c r="N18" s="1493"/>
      <c r="O18" s="2314"/>
      <c r="P18" s="2312"/>
      <c r="Q18" s="2312"/>
      <c r="R18" s="2312"/>
      <c r="S18" s="2312"/>
      <c r="T18" s="2313"/>
    </row>
    <row r="19" spans="1:20" ht="6" customHeight="1">
      <c r="A19" s="2314"/>
      <c r="B19" s="2312"/>
      <c r="C19" s="2312"/>
      <c r="D19" s="2312"/>
      <c r="E19" s="2312"/>
      <c r="F19" s="2313"/>
      <c r="G19" s="1493"/>
      <c r="H19" s="2314"/>
      <c r="I19" s="2312"/>
      <c r="J19" s="2312"/>
      <c r="K19" s="2312"/>
      <c r="L19" s="2312"/>
      <c r="M19" s="2313"/>
      <c r="N19" s="1493"/>
      <c r="O19" s="2314"/>
      <c r="P19" s="2312"/>
      <c r="Q19" s="2312"/>
      <c r="R19" s="2312"/>
      <c r="S19" s="2312"/>
      <c r="T19" s="2313"/>
    </row>
    <row r="20" spans="1:20" ht="18" customHeight="1">
      <c r="A20" s="2314"/>
      <c r="B20" s="2891" t="s">
        <v>416</v>
      </c>
      <c r="C20" s="2876"/>
      <c r="D20" s="2876"/>
      <c r="E20" s="2876"/>
      <c r="F20" s="2313"/>
      <c r="G20" s="1493"/>
      <c r="H20" s="2314"/>
      <c r="I20" s="2891" t="s">
        <v>416</v>
      </c>
      <c r="J20" s="2876"/>
      <c r="K20" s="2876"/>
      <c r="L20" s="2876"/>
      <c r="M20" s="2313"/>
      <c r="N20" s="1493"/>
      <c r="O20" s="2314"/>
      <c r="P20" s="2891" t="s">
        <v>534</v>
      </c>
      <c r="Q20" s="2876"/>
      <c r="R20" s="2876"/>
      <c r="S20" s="2876"/>
      <c r="T20" s="2313"/>
    </row>
    <row r="21" spans="1:20" ht="4.2" customHeight="1">
      <c r="A21" s="2314"/>
      <c r="B21" s="2312"/>
      <c r="C21" s="2312"/>
      <c r="D21" s="2312"/>
      <c r="E21" s="2312"/>
      <c r="F21" s="2313"/>
      <c r="G21" s="1493"/>
      <c r="H21" s="2314"/>
      <c r="I21" s="2312"/>
      <c r="J21" s="2312"/>
      <c r="K21" s="2312"/>
      <c r="L21" s="2312"/>
      <c r="M21" s="2313"/>
      <c r="N21" s="1493"/>
      <c r="O21" s="2314"/>
      <c r="P21" s="2312"/>
      <c r="Q21" s="2312"/>
      <c r="R21" s="2312"/>
      <c r="S21" s="2312"/>
      <c r="T21" s="2313"/>
    </row>
    <row r="22" spans="1:20" ht="22.2" customHeight="1">
      <c r="A22" s="2314"/>
      <c r="B22" s="2325" t="s">
        <v>417</v>
      </c>
      <c r="C22" s="2326" t="s">
        <v>418</v>
      </c>
      <c r="D22" s="2326" t="s">
        <v>419</v>
      </c>
      <c r="E22" s="2326" t="s">
        <v>420</v>
      </c>
      <c r="F22" s="2313"/>
      <c r="G22" s="1493"/>
      <c r="H22" s="2314"/>
      <c r="I22" s="2325" t="s">
        <v>417</v>
      </c>
      <c r="J22" s="2326" t="s">
        <v>421</v>
      </c>
      <c r="K22" s="2326" t="s">
        <v>422</v>
      </c>
      <c r="L22" s="2326" t="s">
        <v>420</v>
      </c>
      <c r="M22" s="2313"/>
      <c r="N22" s="1493"/>
      <c r="O22" s="2314"/>
      <c r="P22" s="2325" t="s">
        <v>535</v>
      </c>
      <c r="Q22" s="2326" t="s">
        <v>418</v>
      </c>
      <c r="R22" s="2326" t="s">
        <v>419</v>
      </c>
      <c r="S22" s="2326" t="s">
        <v>420</v>
      </c>
      <c r="T22" s="2313"/>
    </row>
    <row r="23" spans="1:20" ht="16.2" customHeight="1">
      <c r="A23" s="2314"/>
      <c r="B23" s="1494" t="s">
        <v>18</v>
      </c>
      <c r="C23" s="1731">
        <f ca="1">IF(TIS.!B6=0,"–",TIS.!B6)</f>
        <v>3414.7</v>
      </c>
      <c r="D23" s="2327">
        <f>TIS.!C6</f>
        <v>10343.490000000002</v>
      </c>
      <c r="E23" s="2328" t="str">
        <f ca="1">IFERROR(TEXT(TIS.!E6,"0%"),"–")</f>
        <v>16%</v>
      </c>
      <c r="F23" s="2313"/>
      <c r="G23" s="1493"/>
      <c r="H23" s="2314"/>
      <c r="I23" s="1732" t="s">
        <v>18</v>
      </c>
      <c r="J23" s="1733">
        <f ca="1">IF(TIS.!B21=0,"–",TIS.!B21)</f>
        <v>43157</v>
      </c>
      <c r="K23" s="2329">
        <f>TIS.!C21</f>
        <v>260301</v>
      </c>
      <c r="L23" s="2330" t="str">
        <f ca="1">IFERROR(TEXT(TIS.!E21,"0%"),"–")</f>
        <v>23%</v>
      </c>
      <c r="M23" s="2313"/>
      <c r="N23" s="1493"/>
      <c r="O23" s="2314"/>
      <c r="P23" s="1495" t="s">
        <v>433</v>
      </c>
      <c r="Q23" s="1496" t="str">
        <f ca="1">IF(TIS.!B9=0,"–",TIS.!B9)</f>
        <v>–</v>
      </c>
      <c r="R23" s="2331">
        <f>TIS.!C9</f>
        <v>42978.06</v>
      </c>
      <c r="S23" s="2332" t="str">
        <f ca="1">IFERROR(TEXT(TIS.!E9,"0%"),"–")</f>
        <v>81%</v>
      </c>
      <c r="T23" s="2313"/>
    </row>
    <row r="24" spans="1:20" ht="16.2" customHeight="1">
      <c r="A24" s="2314"/>
      <c r="B24" s="2312"/>
      <c r="C24" s="2312"/>
      <c r="D24" s="2312"/>
      <c r="E24" s="2312"/>
      <c r="F24" s="2313"/>
      <c r="G24" s="1493"/>
      <c r="H24" s="2314"/>
      <c r="I24" s="2312"/>
      <c r="J24" s="2312"/>
      <c r="K24" s="2312"/>
      <c r="L24" s="2312"/>
      <c r="M24" s="2313"/>
      <c r="N24" s="1493"/>
      <c r="O24" s="2314"/>
      <c r="P24" s="2312"/>
      <c r="Q24" s="2312"/>
      <c r="R24" s="2312"/>
      <c r="S24" s="2312"/>
      <c r="T24" s="2313"/>
    </row>
    <row r="25" spans="1:20" ht="16.2" customHeight="1">
      <c r="A25" s="2314"/>
      <c r="B25" s="2312"/>
      <c r="C25" s="2312"/>
      <c r="D25" s="2312"/>
      <c r="E25" s="2312"/>
      <c r="F25" s="2313"/>
      <c r="G25" s="1493"/>
      <c r="H25" s="2314"/>
      <c r="I25" s="2312"/>
      <c r="J25" s="2312"/>
      <c r="K25" s="2312"/>
      <c r="L25" s="2312"/>
      <c r="M25" s="2313"/>
      <c r="N25" s="1493"/>
      <c r="O25" s="2314"/>
      <c r="P25" s="2312"/>
      <c r="Q25" s="2312"/>
      <c r="R25" s="2312"/>
      <c r="S25" s="2312"/>
      <c r="T25" s="2313"/>
    </row>
    <row r="26" spans="1:20" ht="16.2" customHeight="1">
      <c r="A26" s="2314"/>
      <c r="B26" s="2312"/>
      <c r="C26" s="2312"/>
      <c r="D26" s="2312"/>
      <c r="E26" s="2312"/>
      <c r="F26" s="2313"/>
      <c r="G26" s="1493"/>
      <c r="H26" s="2314"/>
      <c r="I26" s="2312"/>
      <c r="J26" s="2312"/>
      <c r="K26" s="2312"/>
      <c r="L26" s="2312"/>
      <c r="M26" s="2313"/>
      <c r="N26" s="1493"/>
      <c r="O26" s="2314"/>
      <c r="P26" s="2312"/>
      <c r="Q26" s="2312"/>
      <c r="R26" s="2312"/>
      <c r="S26" s="2312"/>
      <c r="T26" s="2313"/>
    </row>
    <row r="27" spans="1:20" ht="7.95" customHeight="1">
      <c r="A27" s="2314"/>
      <c r="B27" s="2312"/>
      <c r="C27" s="2312"/>
      <c r="D27" s="2312"/>
      <c r="E27" s="2312"/>
      <c r="F27" s="2313"/>
      <c r="G27" s="1493"/>
      <c r="H27" s="2314"/>
      <c r="I27" s="2312"/>
      <c r="J27" s="2312"/>
      <c r="K27" s="2312"/>
      <c r="L27" s="2312"/>
      <c r="M27" s="2313"/>
      <c r="N27" s="1493"/>
      <c r="O27" s="2314"/>
      <c r="P27" s="2312"/>
      <c r="Q27" s="2312"/>
      <c r="R27" s="2312"/>
      <c r="S27" s="2312"/>
      <c r="T27" s="2313"/>
    </row>
    <row r="28" spans="1:20" ht="10.199999999999999" customHeight="1">
      <c r="A28" s="2333"/>
      <c r="B28" s="2334"/>
      <c r="C28" s="2334"/>
      <c r="D28" s="2334"/>
      <c r="E28" s="2334"/>
      <c r="F28" s="2335"/>
      <c r="G28" s="1493"/>
      <c r="H28" s="2333"/>
      <c r="I28" s="2334"/>
      <c r="J28" s="2334"/>
      <c r="K28" s="2334"/>
      <c r="L28" s="2334"/>
      <c r="M28" s="2335"/>
      <c r="N28" s="1493"/>
      <c r="O28" s="2333"/>
      <c r="P28" s="2334"/>
      <c r="Q28" s="2334"/>
      <c r="R28" s="2334"/>
      <c r="S28" s="2334"/>
      <c r="T28" s="2335"/>
    </row>
    <row r="29" spans="1:20">
      <c r="A29" s="1486"/>
      <c r="B29" s="1486"/>
      <c r="C29" s="1486"/>
      <c r="D29" s="1486"/>
      <c r="E29" s="1486"/>
      <c r="F29" s="1486"/>
      <c r="G29" s="1493"/>
      <c r="H29" s="1486"/>
      <c r="I29" s="1486"/>
      <c r="J29" s="1486"/>
      <c r="K29" s="1486"/>
      <c r="L29" s="1486"/>
      <c r="M29" s="1486"/>
      <c r="N29" s="1493"/>
      <c r="O29" s="1486"/>
      <c r="P29" s="1486"/>
      <c r="Q29" s="1486"/>
      <c r="R29" s="1486"/>
      <c r="S29" s="1486"/>
      <c r="T29" s="1486"/>
    </row>
    <row r="30" spans="1:20" ht="10.199999999999999" customHeight="1">
      <c r="A30" s="2312"/>
      <c r="B30" s="2312"/>
      <c r="C30" s="2312"/>
      <c r="D30" s="2312"/>
      <c r="E30" s="2312"/>
      <c r="F30" s="2312"/>
      <c r="G30" s="2312"/>
      <c r="H30" s="2312"/>
      <c r="I30" s="2312"/>
      <c r="J30" s="2312"/>
      <c r="K30" s="2312"/>
      <c r="L30" s="2312"/>
      <c r="M30" s="2312"/>
      <c r="N30" s="2312"/>
      <c r="O30" s="2312"/>
      <c r="P30" s="2312"/>
      <c r="Q30" s="2312"/>
      <c r="R30" s="2312"/>
      <c r="S30" s="2312"/>
      <c r="T30" s="2312"/>
    </row>
    <row r="31" spans="1:20" ht="22.2" customHeight="1">
      <c r="A31" s="2336" t="s">
        <v>536</v>
      </c>
      <c r="B31" s="2336"/>
      <c r="C31" s="2336"/>
      <c r="D31" s="2336"/>
      <c r="E31" s="2336"/>
      <c r="F31" s="2336"/>
      <c r="G31" s="2336"/>
      <c r="H31" s="2336"/>
      <c r="I31" s="2336"/>
      <c r="J31" s="2336"/>
      <c r="K31" s="2336"/>
      <c r="L31" s="2336"/>
      <c r="M31" s="2336"/>
      <c r="N31" s="2336"/>
      <c r="O31" s="2336"/>
      <c r="P31" s="2336"/>
      <c r="Q31" s="2336"/>
      <c r="R31" s="2336"/>
      <c r="S31" s="2336"/>
      <c r="T31" s="2336"/>
    </row>
    <row r="32" spans="1:20" ht="4.95" customHeight="1" thickBot="1">
      <c r="A32" s="2312"/>
      <c r="B32" s="2312"/>
      <c r="C32" s="2312"/>
      <c r="D32" s="2312"/>
      <c r="E32" s="2312"/>
      <c r="F32" s="2312"/>
      <c r="G32" s="2312"/>
      <c r="H32" s="2312"/>
      <c r="I32" s="2312"/>
      <c r="J32" s="2312"/>
      <c r="K32" s="2312"/>
      <c r="L32" s="2312"/>
      <c r="M32" s="2312"/>
      <c r="N32" s="2312"/>
      <c r="O32" s="2312"/>
      <c r="P32" s="2312"/>
      <c r="Q32" s="2312"/>
      <c r="R32" s="2312"/>
      <c r="S32" s="2312"/>
      <c r="T32" s="2312"/>
    </row>
    <row r="33" spans="1:20" ht="22.2" customHeight="1">
      <c r="A33" s="1709" t="s">
        <v>425</v>
      </c>
      <c r="B33" s="2337" t="s">
        <v>376</v>
      </c>
      <c r="C33" s="2338"/>
      <c r="D33" s="2338"/>
      <c r="E33" s="2338"/>
      <c r="F33" s="2339"/>
      <c r="G33" s="2338"/>
      <c r="H33" s="1710" t="s">
        <v>424</v>
      </c>
      <c r="I33" s="2340" t="s">
        <v>107</v>
      </c>
      <c r="J33" s="2341"/>
      <c r="K33" s="2341"/>
      <c r="L33" s="2341"/>
      <c r="M33" s="2341"/>
      <c r="N33" s="2341"/>
      <c r="O33" s="1486"/>
      <c r="P33" s="1486"/>
      <c r="Q33" s="1486"/>
      <c r="R33" s="1486"/>
      <c r="S33" s="1486"/>
      <c r="T33" s="1486"/>
    </row>
    <row r="34" spans="1:20" ht="16.2" customHeight="1">
      <c r="A34" s="2312"/>
      <c r="B34" s="2300" t="s">
        <v>430</v>
      </c>
      <c r="C34" s="2312"/>
      <c r="D34" s="2312"/>
      <c r="E34" s="2312"/>
      <c r="F34" s="2342"/>
      <c r="G34" s="2312"/>
      <c r="H34" s="2312"/>
      <c r="I34" s="2300" t="s">
        <v>429</v>
      </c>
      <c r="J34" s="2312"/>
      <c r="K34" s="2312"/>
      <c r="L34" s="2312"/>
      <c r="M34" s="2312"/>
      <c r="N34" s="2312"/>
      <c r="O34" s="1486"/>
      <c r="P34" s="1486"/>
      <c r="Q34" s="1486"/>
      <c r="R34" s="1486"/>
      <c r="S34" s="1486"/>
      <c r="T34" s="1486"/>
    </row>
    <row r="35" spans="1:20" ht="6" customHeight="1">
      <c r="A35" s="2343"/>
      <c r="B35" s="2343"/>
      <c r="C35" s="2343"/>
      <c r="D35" s="2343"/>
      <c r="E35" s="2343"/>
      <c r="F35" s="2342"/>
      <c r="G35" s="2343"/>
      <c r="H35" s="2343"/>
      <c r="I35" s="2343"/>
      <c r="J35" s="2343"/>
      <c r="K35" s="2343"/>
      <c r="L35" s="2343"/>
      <c r="M35" s="2343"/>
      <c r="N35" s="2343"/>
      <c r="O35" s="2343"/>
      <c r="P35" s="2343"/>
      <c r="Q35" s="2343"/>
      <c r="R35" s="2343"/>
      <c r="S35" s="2343"/>
      <c r="T35" s="2343"/>
    </row>
    <row r="36" spans="1:20" ht="30" customHeight="1">
      <c r="A36" s="2343"/>
      <c r="B36" s="2344" t="str">
        <f ca="1">IF(TIS.!B11=0,"–",TEXT(TIS.!B11,"#,##0"))</f>
        <v>–</v>
      </c>
      <c r="C36" s="2343"/>
      <c r="D36" s="2343"/>
      <c r="E36" s="2343"/>
      <c r="F36" s="2342"/>
      <c r="G36" s="2343"/>
      <c r="H36" s="2343"/>
      <c r="I36" s="2344" t="str">
        <f ca="1">IF(TIS.!B8=0,"–",TEXT(TIS.!B8,"#,##0"))</f>
        <v>–</v>
      </c>
      <c r="J36" s="2343"/>
      <c r="K36" s="2343"/>
      <c r="L36" s="2343"/>
      <c r="M36" s="2343"/>
      <c r="N36" s="2343"/>
      <c r="O36" s="1486"/>
      <c r="P36" s="1486"/>
      <c r="Q36" s="1486"/>
      <c r="R36" s="1486"/>
      <c r="S36" s="1486"/>
      <c r="T36" s="1486"/>
    </row>
    <row r="37" spans="1:20" ht="16.2" customHeight="1">
      <c r="A37" s="2343"/>
      <c r="B37" s="2345" t="s">
        <v>412</v>
      </c>
      <c r="C37" s="2343"/>
      <c r="D37" s="2343"/>
      <c r="E37" s="2343"/>
      <c r="F37" s="2342"/>
      <c r="G37" s="2343"/>
      <c r="H37" s="2343"/>
      <c r="I37" s="2346" t="s">
        <v>412</v>
      </c>
      <c r="J37" s="2343"/>
      <c r="K37" s="2343"/>
      <c r="L37" s="2343"/>
      <c r="M37" s="2343"/>
      <c r="N37" s="2343"/>
      <c r="O37" s="1486"/>
      <c r="P37" s="1486"/>
      <c r="Q37" s="1486"/>
      <c r="R37" s="1486"/>
      <c r="S37" s="1486"/>
      <c r="T37" s="1486"/>
    </row>
    <row r="38" spans="1:20" ht="13.95" customHeight="1">
      <c r="A38" s="2343"/>
      <c r="B38" s="2347" t="s">
        <v>413</v>
      </c>
      <c r="C38" s="2343"/>
      <c r="D38" s="2343"/>
      <c r="E38" s="2343"/>
      <c r="F38" s="2342"/>
      <c r="G38" s="2343"/>
      <c r="H38" s="2343"/>
      <c r="I38" s="2347" t="s">
        <v>413</v>
      </c>
      <c r="J38" s="2343"/>
      <c r="K38" s="2343"/>
      <c r="L38" s="2343"/>
      <c r="M38" s="2343"/>
      <c r="N38" s="2343"/>
      <c r="O38" s="1486"/>
      <c r="P38" s="1486"/>
      <c r="Q38" s="1486"/>
      <c r="R38" s="1486"/>
      <c r="S38" s="1486"/>
      <c r="T38" s="1486"/>
    </row>
    <row r="39" spans="1:20" ht="3" customHeight="1">
      <c r="A39" s="2312"/>
      <c r="B39" s="2312"/>
      <c r="C39" s="2312"/>
      <c r="D39" s="2312"/>
      <c r="E39" s="2312"/>
      <c r="F39" s="2342"/>
      <c r="G39" s="2312"/>
      <c r="H39" s="2312"/>
      <c r="I39" s="2312"/>
      <c r="J39" s="2312"/>
      <c r="K39" s="2312"/>
      <c r="L39" s="2312"/>
      <c r="M39" s="2312"/>
      <c r="N39" s="2312"/>
      <c r="O39" s="2312"/>
      <c r="P39" s="2312"/>
      <c r="Q39" s="2312"/>
      <c r="R39" s="2312"/>
      <c r="S39" s="2312"/>
      <c r="T39" s="2312"/>
    </row>
    <row r="40" spans="1:20" ht="6" customHeight="1">
      <c r="A40" s="2312"/>
      <c r="B40" s="2312"/>
      <c r="C40" s="2312"/>
      <c r="D40" s="2312"/>
      <c r="E40" s="2312"/>
      <c r="F40" s="2342"/>
      <c r="G40" s="2312"/>
      <c r="H40" s="2312"/>
      <c r="I40" s="2312"/>
      <c r="J40" s="2312"/>
      <c r="K40" s="2312"/>
      <c r="L40" s="2312"/>
      <c r="M40" s="2312"/>
      <c r="N40" s="2312"/>
      <c r="O40" s="2312"/>
      <c r="P40" s="2312"/>
      <c r="Q40" s="2312"/>
      <c r="R40" s="2312"/>
      <c r="S40" s="2312"/>
      <c r="T40" s="2312"/>
    </row>
    <row r="41" spans="1:20" ht="16.2" customHeight="1">
      <c r="A41" s="2312"/>
      <c r="B41" s="2315" t="s">
        <v>414</v>
      </c>
      <c r="C41" s="2312"/>
      <c r="D41" s="2312"/>
      <c r="E41" s="2348" t="str">
        <f ca="1">IFERROR(TEXT(TIS.!E11,"0%"),"–")</f>
        <v>81%</v>
      </c>
      <c r="F41" s="2342"/>
      <c r="G41" s="2312"/>
      <c r="H41" s="2312"/>
      <c r="I41" s="2315" t="s">
        <v>414</v>
      </c>
      <c r="J41" s="2312"/>
      <c r="K41" s="2312"/>
      <c r="L41" s="2318" t="str">
        <f ca="1">IFERROR(TEXT(TIS.!E8,"0%"),"–")</f>
        <v>81%</v>
      </c>
      <c r="M41" s="2312"/>
      <c r="N41" s="2312"/>
      <c r="O41" s="1486"/>
      <c r="P41" s="1486"/>
      <c r="Q41" s="1486"/>
      <c r="R41" s="1486"/>
      <c r="S41" s="1486"/>
      <c r="T41" s="1486"/>
    </row>
    <row r="42" spans="1:20" ht="22.2" customHeight="1">
      <c r="A42" s="2312"/>
      <c r="B42" s="2319" t="str">
        <f ca="1">IFERROR(TEXT(TIS.!C11,"#,##0")&amp;" / "&amp;TEXT(TIS.!D11,"#,##0"),"–")</f>
        <v>42,978 / 53,385</v>
      </c>
      <c r="C42" s="2312"/>
      <c r="D42" s="2312"/>
      <c r="E42" s="2312"/>
      <c r="F42" s="2342"/>
      <c r="G42" s="2312"/>
      <c r="H42" s="2312"/>
      <c r="I42" s="2319" t="str">
        <f ca="1">IFERROR(TEXT(TIS.!C8,"#,##0")&amp;" / "&amp;TEXT(TIS.!D8,"#,##0"),"–")</f>
        <v>42,978 / 53,385</v>
      </c>
      <c r="J42" s="2312"/>
      <c r="K42" s="2312"/>
      <c r="L42" s="2312"/>
      <c r="M42" s="2312"/>
      <c r="N42" s="2312"/>
      <c r="O42" s="1486"/>
      <c r="P42" s="1486"/>
      <c r="Q42" s="1486"/>
      <c r="R42" s="1486"/>
      <c r="S42" s="1486"/>
      <c r="T42" s="1486"/>
    </row>
    <row r="43" spans="1:20" ht="13.95" customHeight="1">
      <c r="A43" s="2312"/>
      <c r="B43" s="2299" t="s">
        <v>415</v>
      </c>
      <c r="C43" s="2312"/>
      <c r="D43" s="2312"/>
      <c r="E43" s="1487" t="str">
        <f ca="1">IFERROR(TEXT(TIS.!E11,"0%"),"–")</f>
        <v>81%</v>
      </c>
      <c r="F43" s="2342"/>
      <c r="G43" s="2312"/>
      <c r="H43" s="2312"/>
      <c r="I43" s="2299" t="s">
        <v>415</v>
      </c>
      <c r="J43" s="2312"/>
      <c r="K43" s="2312"/>
      <c r="L43" s="1487" t="str">
        <f ca="1">IFERROR(TEXT(TIS.!E8,"0%"),"–")</f>
        <v>81%</v>
      </c>
      <c r="M43" s="2312"/>
      <c r="N43" s="2312"/>
      <c r="O43" s="1486"/>
      <c r="P43" s="1486"/>
      <c r="Q43" s="1486"/>
      <c r="R43" s="1486"/>
      <c r="S43" s="1486"/>
      <c r="T43" s="1486"/>
    </row>
    <row r="44" spans="1:20" ht="4.95" customHeight="1">
      <c r="A44" s="2312"/>
      <c r="B44" s="2312"/>
      <c r="C44" s="2312"/>
      <c r="D44" s="2312"/>
      <c r="E44" s="2312"/>
      <c r="F44" s="2342"/>
      <c r="G44" s="2312"/>
      <c r="H44" s="2312"/>
      <c r="I44" s="2312"/>
      <c r="J44" s="2312"/>
      <c r="K44" s="2312"/>
      <c r="L44" s="2312"/>
      <c r="M44" s="2312"/>
      <c r="N44" s="2312"/>
      <c r="O44" s="2312"/>
      <c r="P44" s="2312"/>
      <c r="Q44" s="2312"/>
      <c r="R44" s="2312"/>
      <c r="S44" s="2312"/>
      <c r="T44" s="2312"/>
    </row>
    <row r="45" spans="1:20" ht="6" customHeight="1">
      <c r="A45" s="2312"/>
      <c r="B45" s="2312"/>
      <c r="C45" s="2312"/>
      <c r="D45" s="2312"/>
      <c r="E45" s="2312"/>
      <c r="F45" s="2342"/>
      <c r="G45" s="2312"/>
      <c r="H45" s="2312"/>
      <c r="I45" s="2312"/>
      <c r="J45" s="2312"/>
      <c r="K45" s="2312"/>
      <c r="L45" s="2312"/>
      <c r="M45" s="2312"/>
      <c r="N45" s="2312"/>
      <c r="O45" s="2312"/>
      <c r="P45" s="2312"/>
      <c r="Q45" s="2312"/>
      <c r="R45" s="2312"/>
      <c r="S45" s="2312"/>
      <c r="T45" s="2312"/>
    </row>
    <row r="46" spans="1:20" ht="3" customHeight="1">
      <c r="A46" s="2312"/>
      <c r="B46" s="2312"/>
      <c r="C46" s="2312"/>
      <c r="D46" s="2312"/>
      <c r="E46" s="2312"/>
      <c r="F46" s="2342"/>
      <c r="G46" s="2312"/>
      <c r="H46" s="2312"/>
      <c r="I46" s="2312"/>
      <c r="J46" s="2312"/>
      <c r="K46" s="2312"/>
      <c r="L46" s="2312"/>
      <c r="M46" s="2312"/>
      <c r="N46" s="2312"/>
      <c r="O46" s="2312"/>
      <c r="P46" s="2312"/>
      <c r="Q46" s="2312"/>
      <c r="R46" s="2312"/>
      <c r="S46" s="2312"/>
      <c r="T46" s="2312"/>
    </row>
    <row r="47" spans="1:20" ht="6" customHeight="1">
      <c r="A47" s="2312"/>
      <c r="B47" s="2312"/>
      <c r="C47" s="2312"/>
      <c r="D47" s="2312"/>
      <c r="E47" s="2312"/>
      <c r="F47" s="2342"/>
      <c r="G47" s="2312"/>
      <c r="H47" s="2312"/>
      <c r="I47" s="2312"/>
      <c r="J47" s="2312"/>
      <c r="K47" s="2312"/>
      <c r="L47" s="2312"/>
      <c r="M47" s="2312"/>
      <c r="N47" s="2312"/>
      <c r="O47" s="2312"/>
      <c r="P47" s="2312"/>
      <c r="Q47" s="2312"/>
      <c r="R47" s="2312"/>
      <c r="S47" s="2312"/>
      <c r="T47" s="2312"/>
    </row>
    <row r="48" spans="1:20" ht="18" customHeight="1">
      <c r="A48" s="2349"/>
      <c r="B48" s="2350" t="s">
        <v>416</v>
      </c>
      <c r="C48" s="2349"/>
      <c r="D48" s="2349"/>
      <c r="E48" s="2349"/>
      <c r="F48" s="2342"/>
      <c r="G48" s="2349"/>
      <c r="H48" s="2349"/>
      <c r="I48" s="2350" t="s">
        <v>534</v>
      </c>
      <c r="J48" s="2349"/>
      <c r="K48" s="2349"/>
      <c r="L48" s="2349"/>
      <c r="M48" s="2349"/>
      <c r="N48" s="2349"/>
      <c r="O48" s="1486"/>
      <c r="P48" s="1486"/>
      <c r="Q48" s="1486"/>
      <c r="R48" s="1486"/>
      <c r="S48" s="1486"/>
      <c r="T48" s="1486"/>
    </row>
    <row r="49" spans="1:20" ht="4.2" customHeight="1">
      <c r="A49" s="2312"/>
      <c r="B49" s="2312"/>
      <c r="C49" s="2312"/>
      <c r="D49" s="2312"/>
      <c r="E49" s="2312"/>
      <c r="F49" s="2342"/>
      <c r="G49" s="2312"/>
      <c r="H49" s="2312"/>
      <c r="I49" s="2312"/>
      <c r="J49" s="2312"/>
      <c r="K49" s="2312"/>
      <c r="L49" s="2312"/>
      <c r="M49" s="2312"/>
      <c r="N49" s="2312"/>
      <c r="O49" s="1486"/>
      <c r="P49" s="1486"/>
      <c r="Q49" s="1486"/>
      <c r="R49" s="1486"/>
      <c r="S49" s="1486"/>
      <c r="T49" s="1486"/>
    </row>
    <row r="50" spans="1:20" ht="16.2" customHeight="1">
      <c r="A50" s="2351"/>
      <c r="B50" s="2352" t="s">
        <v>417</v>
      </c>
      <c r="C50" s="2353" t="s">
        <v>418</v>
      </c>
      <c r="D50" s="2353" t="s">
        <v>419</v>
      </c>
      <c r="E50" s="2353" t="s">
        <v>420</v>
      </c>
      <c r="F50" s="2342"/>
      <c r="G50" s="2351"/>
      <c r="H50" s="2351"/>
      <c r="I50" s="2354" t="s">
        <v>535</v>
      </c>
      <c r="J50" s="2355" t="s">
        <v>418</v>
      </c>
      <c r="K50" s="2355" t="s">
        <v>419</v>
      </c>
      <c r="L50" s="2355" t="s">
        <v>420</v>
      </c>
      <c r="M50" s="2351"/>
      <c r="N50" s="2351"/>
      <c r="O50" s="1486"/>
      <c r="P50" s="1486"/>
      <c r="Q50" s="1486"/>
      <c r="R50" s="1486"/>
      <c r="S50" s="1486"/>
      <c r="T50" s="1486"/>
    </row>
    <row r="51" spans="1:20" ht="16.2" customHeight="1">
      <c r="A51" s="2312"/>
      <c r="B51" s="2324" t="s">
        <v>130</v>
      </c>
      <c r="C51" s="1706">
        <f ca="1">TIS.!B12</f>
        <v>0</v>
      </c>
      <c r="D51" s="2356">
        <f>TIS.!C12</f>
        <v>0</v>
      </c>
      <c r="E51" s="2357" t="str">
        <f>IF(SUM(TIS.!C12:C14)=0,"–",TEXT(TIS.!C12/SUM(TIS.!C12:C14),"0%"))</f>
        <v>0%</v>
      </c>
      <c r="F51" s="2342"/>
      <c r="G51" s="2312"/>
      <c r="H51" s="2312"/>
      <c r="I51" s="2358" t="s">
        <v>433</v>
      </c>
      <c r="J51" s="1711" t="str">
        <f ca="1">IF(TIS.!B9=0,"–",TIS.!B9)</f>
        <v>–</v>
      </c>
      <c r="K51" s="2359">
        <f>TIS.!C9</f>
        <v>42978.06</v>
      </c>
      <c r="L51" s="2360" t="str">
        <f>IFERROR(TEXT(TIS.!C9/TIS.!C8,"0%"),"–")</f>
        <v>100%</v>
      </c>
      <c r="M51" s="2312"/>
      <c r="N51" s="2312"/>
      <c r="O51" s="1486"/>
      <c r="P51" s="1486"/>
      <c r="Q51" s="1486"/>
      <c r="R51" s="1486"/>
      <c r="S51" s="1486"/>
      <c r="T51" s="1486"/>
    </row>
    <row r="52" spans="1:20" ht="16.2" customHeight="1">
      <c r="A52" s="2349"/>
      <c r="B52" s="2350" t="s">
        <v>164</v>
      </c>
      <c r="C52" s="1707">
        <v>0</v>
      </c>
      <c r="D52" s="2361">
        <v>0</v>
      </c>
      <c r="E52" s="2362" t="str">
        <f>IF(SUM(TIS.!C12:C14)=0,"–","0%")</f>
        <v>0%</v>
      </c>
      <c r="F52" s="2342"/>
      <c r="G52" s="2349"/>
      <c r="H52" s="2312"/>
      <c r="I52" s="2312"/>
      <c r="J52" s="2312"/>
      <c r="K52" s="2312"/>
      <c r="L52" s="2312"/>
      <c r="M52" s="2312"/>
      <c r="N52" s="2312"/>
      <c r="O52" s="1486"/>
      <c r="P52" s="1486"/>
      <c r="Q52" s="1486"/>
      <c r="R52" s="1486"/>
      <c r="S52" s="1486"/>
      <c r="T52" s="1486"/>
    </row>
    <row r="53" spans="1:20" ht="16.2" customHeight="1">
      <c r="A53" s="2312"/>
      <c r="B53" s="2324" t="s">
        <v>244</v>
      </c>
      <c r="C53" s="1706">
        <f ca="1">TIS.!B13</f>
        <v>0</v>
      </c>
      <c r="D53" s="2356">
        <f>TIS.!C13</f>
        <v>19566.479999999996</v>
      </c>
      <c r="E53" s="2357" t="str">
        <f>IF(SUM(TIS.!C12:C14)=0,"–",TEXT(TIS.!C13/SUM(TIS.!C12:C14),"0%"))</f>
        <v>46%</v>
      </c>
      <c r="F53" s="2342"/>
      <c r="G53" s="2312"/>
      <c r="H53" s="2312"/>
      <c r="I53" s="2312"/>
      <c r="J53" s="2312"/>
      <c r="K53" s="2312"/>
      <c r="L53" s="2312"/>
      <c r="M53" s="2312"/>
      <c r="N53" s="2312"/>
      <c r="O53" s="1486"/>
      <c r="P53" s="1486"/>
      <c r="Q53" s="1486"/>
      <c r="R53" s="1486"/>
      <c r="S53" s="1486"/>
      <c r="T53" s="1486"/>
    </row>
    <row r="54" spans="1:20" ht="16.2" customHeight="1">
      <c r="A54" s="2349"/>
      <c r="B54" s="2363" t="s">
        <v>434</v>
      </c>
      <c r="C54" s="1708">
        <f ca="1">TIS.!B14</f>
        <v>0</v>
      </c>
      <c r="D54" s="2364">
        <f>TIS.!C14</f>
        <v>23411.58</v>
      </c>
      <c r="E54" s="2365" t="str">
        <f>IF(SUM(TIS.!C12:C14)=0,"–",TEXT(TIS.!C14/SUM(TIS.!C12:C14),"0%"))</f>
        <v>54%</v>
      </c>
      <c r="F54" s="2342"/>
      <c r="G54" s="2349"/>
      <c r="H54" s="2312"/>
      <c r="I54" s="2312"/>
      <c r="J54" s="2312"/>
      <c r="K54" s="2312"/>
      <c r="L54" s="2312"/>
      <c r="M54" s="2312"/>
      <c r="N54" s="2312"/>
      <c r="O54" s="1486"/>
      <c r="P54" s="1486"/>
      <c r="Q54" s="1486"/>
      <c r="R54" s="1486"/>
      <c r="S54" s="1486"/>
      <c r="T54" s="1486"/>
    </row>
    <row r="55" spans="1:20" ht="7.95" customHeight="1">
      <c r="A55" s="2312"/>
      <c r="B55" s="2312"/>
      <c r="C55" s="2312"/>
      <c r="D55" s="2312"/>
      <c r="E55" s="2312"/>
      <c r="F55" s="2312"/>
      <c r="G55" s="2312"/>
      <c r="H55" s="2312"/>
      <c r="I55" s="2312"/>
      <c r="J55" s="2312"/>
      <c r="K55" s="2312"/>
      <c r="L55" s="2312"/>
      <c r="M55" s="2312"/>
      <c r="N55" s="2312"/>
      <c r="O55" s="2312"/>
      <c r="P55" s="2312"/>
      <c r="Q55" s="2312"/>
      <c r="R55" s="2312"/>
      <c r="S55" s="2312"/>
      <c r="T55" s="2312"/>
    </row>
    <row r="56" spans="1:20" ht="10.199999999999999" customHeight="1">
      <c r="A56" s="2312"/>
      <c r="B56" s="2312"/>
      <c r="C56" s="2312"/>
      <c r="D56" s="2312"/>
      <c r="E56" s="2312"/>
      <c r="F56" s="2312"/>
      <c r="G56" s="2312"/>
      <c r="H56" s="2312"/>
      <c r="I56" s="2312"/>
      <c r="J56" s="2312"/>
      <c r="K56" s="2312"/>
      <c r="L56" s="2312"/>
      <c r="M56" s="2312"/>
      <c r="N56" s="2312"/>
      <c r="O56" s="2312"/>
      <c r="P56" s="2312"/>
      <c r="Q56" s="2312"/>
      <c r="R56" s="2312"/>
      <c r="S56" s="2312"/>
      <c r="T56" s="2312"/>
    </row>
    <row r="57" spans="1:20" ht="14.7" customHeight="1">
      <c r="A57" s="2312"/>
      <c r="B57" s="2312"/>
      <c r="C57" s="2312"/>
      <c r="D57" s="2312"/>
      <c r="E57" s="2312"/>
      <c r="F57" s="2312"/>
      <c r="G57" s="2312"/>
      <c r="H57" s="2312"/>
      <c r="I57" s="2312"/>
      <c r="J57" s="2312"/>
      <c r="K57" s="2312"/>
      <c r="L57" s="2312"/>
      <c r="M57" s="2312"/>
      <c r="N57" s="2312"/>
      <c r="O57" s="2312"/>
      <c r="P57" s="2312"/>
      <c r="Q57" s="2312"/>
      <c r="R57" s="2312"/>
      <c r="S57" s="2312"/>
      <c r="T57" s="2312"/>
    </row>
    <row r="58" spans="1:20" ht="10.199999999999999" customHeight="1">
      <c r="A58" s="2312"/>
      <c r="B58" s="2312"/>
      <c r="C58" s="2312"/>
      <c r="D58" s="2312"/>
      <c r="E58" s="2312"/>
      <c r="F58" s="2312"/>
      <c r="G58" s="2312"/>
      <c r="H58" s="2312"/>
      <c r="I58" s="2312"/>
      <c r="J58" s="2312"/>
      <c r="K58" s="2312"/>
      <c r="L58" s="2312"/>
      <c r="M58" s="2312"/>
      <c r="N58" s="2312"/>
      <c r="O58" s="2312"/>
      <c r="P58" s="2312"/>
      <c r="Q58" s="2312"/>
      <c r="R58" s="2312"/>
      <c r="S58" s="2312"/>
      <c r="T58" s="2312"/>
    </row>
    <row r="59" spans="1:20" ht="22.2" customHeight="1" thickBot="1">
      <c r="A59" s="2302" t="s">
        <v>537</v>
      </c>
      <c r="B59" s="2883"/>
      <c r="C59" s="2883"/>
      <c r="D59" s="2883"/>
      <c r="E59" s="2883"/>
      <c r="F59" s="2883"/>
      <c r="G59" s="2883"/>
      <c r="H59" s="2883"/>
      <c r="I59" s="2883"/>
      <c r="J59" s="2883"/>
      <c r="K59" s="2883"/>
      <c r="L59" s="2883"/>
      <c r="M59" s="2883"/>
      <c r="N59" s="2883"/>
      <c r="O59" s="2883"/>
      <c r="P59" s="2883"/>
      <c r="Q59" s="2883"/>
      <c r="R59" s="2883"/>
      <c r="S59" s="2883"/>
      <c r="T59" s="2883"/>
    </row>
    <row r="60" spans="1:20" ht="4.95" customHeight="1">
      <c r="A60" s="2366"/>
      <c r="B60" s="2367"/>
      <c r="C60" s="2367"/>
      <c r="D60" s="2367"/>
      <c r="E60" s="2367"/>
      <c r="F60" s="2368"/>
      <c r="G60" s="1493"/>
      <c r="H60" s="2369"/>
      <c r="I60" s="2370"/>
      <c r="J60" s="2370"/>
      <c r="K60" s="2370"/>
      <c r="L60" s="2370"/>
      <c r="M60" s="2371"/>
      <c r="N60" s="1493"/>
      <c r="O60" s="2372"/>
      <c r="P60" s="2373"/>
      <c r="Q60" s="2373"/>
      <c r="R60" s="2373"/>
      <c r="S60" s="2373"/>
      <c r="T60" s="2374"/>
    </row>
    <row r="61" spans="1:20" ht="22.2" customHeight="1">
      <c r="A61" s="1488" t="s">
        <v>427</v>
      </c>
      <c r="B61" s="2877" t="s">
        <v>428</v>
      </c>
      <c r="C61" s="2876"/>
      <c r="D61" s="2876"/>
      <c r="E61" s="2876"/>
      <c r="F61" s="2313"/>
      <c r="G61" s="1493"/>
      <c r="H61" s="1488" t="s">
        <v>436</v>
      </c>
      <c r="I61" s="2877" t="s">
        <v>437</v>
      </c>
      <c r="J61" s="2876"/>
      <c r="K61" s="2876"/>
      <c r="L61" s="2876"/>
      <c r="M61" s="2313"/>
      <c r="N61" s="1493"/>
      <c r="O61" s="1488" t="s">
        <v>438</v>
      </c>
      <c r="P61" s="2877" t="s">
        <v>439</v>
      </c>
      <c r="Q61" s="2876"/>
      <c r="R61" s="2876"/>
      <c r="S61" s="2876"/>
      <c r="T61" s="2313"/>
    </row>
    <row r="62" spans="1:20" ht="16.2" customHeight="1">
      <c r="A62" s="2314"/>
      <c r="B62" s="2878" t="s">
        <v>431</v>
      </c>
      <c r="C62" s="2876"/>
      <c r="D62" s="2876"/>
      <c r="E62" s="2876"/>
      <c r="F62" s="2313"/>
      <c r="G62" s="1493"/>
      <c r="H62" s="2314"/>
      <c r="I62" s="2878" t="s">
        <v>442</v>
      </c>
      <c r="J62" s="2876"/>
      <c r="K62" s="2876"/>
      <c r="L62" s="2876"/>
      <c r="M62" s="2313"/>
      <c r="N62" s="1493"/>
      <c r="O62" s="2314"/>
      <c r="P62" s="2878" t="s">
        <v>538</v>
      </c>
      <c r="Q62" s="2876"/>
      <c r="R62" s="2876"/>
      <c r="S62" s="2876"/>
      <c r="T62" s="2313"/>
    </row>
    <row r="63" spans="1:20" ht="6" customHeight="1">
      <c r="A63" s="2314"/>
      <c r="B63" s="2312"/>
      <c r="C63" s="2312"/>
      <c r="D63" s="2312"/>
      <c r="E63" s="2312"/>
      <c r="F63" s="2313"/>
      <c r="G63" s="1493"/>
      <c r="H63" s="2314"/>
      <c r="I63" s="2312"/>
      <c r="J63" s="2312"/>
      <c r="K63" s="2312"/>
      <c r="L63" s="2312"/>
      <c r="M63" s="2313"/>
      <c r="N63" s="1493"/>
      <c r="O63" s="2314"/>
      <c r="P63" s="2312"/>
      <c r="Q63" s="2312"/>
      <c r="R63" s="2312"/>
      <c r="S63" s="2312"/>
      <c r="T63" s="2313"/>
    </row>
    <row r="64" spans="1:20" ht="30" customHeight="1">
      <c r="A64" s="2314"/>
      <c r="B64" s="2875" t="str">
        <f ca="1">IF(TIS.!B17=0,"–",TEXT(TIS.!B17,"#,##0"))</f>
        <v>–</v>
      </c>
      <c r="C64" s="2876"/>
      <c r="D64" s="2876"/>
      <c r="E64" s="2312"/>
      <c r="F64" s="2313"/>
      <c r="G64" s="1493"/>
      <c r="H64" s="2314"/>
      <c r="I64" s="2875" t="str">
        <f ca="1">IFERROR(TEXT(TIS.!B22,"0.00"),"–")</f>
        <v>12.64</v>
      </c>
      <c r="J64" s="2876"/>
      <c r="K64" s="2876"/>
      <c r="L64" s="2312"/>
      <c r="M64" s="2313"/>
      <c r="N64" s="1493"/>
      <c r="O64" s="2314"/>
      <c r="P64" s="2875" t="str">
        <f ca="1">IFERROR(TEXT(TIS.!B28,"#,##0"),"–")</f>
        <v>41,431</v>
      </c>
      <c r="Q64" s="2876"/>
      <c r="R64" s="2876"/>
      <c r="S64" s="2312"/>
      <c r="T64" s="2313"/>
    </row>
    <row r="65" spans="1:20" ht="16.2" customHeight="1">
      <c r="A65" s="2314"/>
      <c r="B65" s="2892" t="s">
        <v>412</v>
      </c>
      <c r="C65" s="2876"/>
      <c r="D65" s="2876"/>
      <c r="E65" s="2312"/>
      <c r="F65" s="2313"/>
      <c r="G65" s="1493"/>
      <c r="H65" s="2314"/>
      <c r="I65" s="2896" t="s">
        <v>445</v>
      </c>
      <c r="J65" s="2876"/>
      <c r="K65" s="2876"/>
      <c r="L65" s="2312"/>
      <c r="M65" s="2313"/>
      <c r="N65" s="1493"/>
      <c r="O65" s="2314"/>
      <c r="P65" s="2895" t="s">
        <v>412</v>
      </c>
      <c r="Q65" s="2876"/>
      <c r="R65" s="2876"/>
      <c r="S65" s="2312"/>
      <c r="T65" s="2313"/>
    </row>
    <row r="66" spans="1:20" ht="13.95" customHeight="1">
      <c r="A66" s="2314"/>
      <c r="B66" s="2885" t="s">
        <v>413</v>
      </c>
      <c r="C66" s="2876"/>
      <c r="D66" s="2876"/>
      <c r="E66" s="2312"/>
      <c r="F66" s="2313"/>
      <c r="G66" s="1493"/>
      <c r="H66" s="2314"/>
      <c r="I66" s="2885" t="s">
        <v>446</v>
      </c>
      <c r="J66" s="2876"/>
      <c r="K66" s="2876"/>
      <c r="L66" s="2312"/>
      <c r="M66" s="2313"/>
      <c r="N66" s="1493"/>
      <c r="O66" s="2314"/>
      <c r="P66" s="2885" t="s">
        <v>447</v>
      </c>
      <c r="Q66" s="2876"/>
      <c r="R66" s="2876"/>
      <c r="S66" s="2312"/>
      <c r="T66" s="2313"/>
    </row>
    <row r="67" spans="1:20" ht="3" customHeight="1">
      <c r="A67" s="2314"/>
      <c r="B67" s="2312"/>
      <c r="C67" s="2312"/>
      <c r="D67" s="2312"/>
      <c r="E67" s="2312"/>
      <c r="F67" s="2313"/>
      <c r="G67" s="1493"/>
      <c r="H67" s="2314"/>
      <c r="I67" s="2312"/>
      <c r="J67" s="2312"/>
      <c r="K67" s="2312"/>
      <c r="L67" s="2312"/>
      <c r="M67" s="2313"/>
      <c r="N67" s="1493"/>
      <c r="O67" s="2314"/>
      <c r="P67" s="2312"/>
      <c r="Q67" s="2312"/>
      <c r="R67" s="2312"/>
      <c r="S67" s="2312"/>
      <c r="T67" s="2313"/>
    </row>
    <row r="68" spans="1:20" ht="6" customHeight="1">
      <c r="A68" s="2314"/>
      <c r="B68" s="2312"/>
      <c r="C68" s="2312"/>
      <c r="D68" s="2312"/>
      <c r="E68" s="2312"/>
      <c r="F68" s="2313"/>
      <c r="G68" s="1493"/>
      <c r="H68" s="2314"/>
      <c r="I68" s="2312"/>
      <c r="J68" s="2312"/>
      <c r="K68" s="2312"/>
      <c r="L68" s="2312"/>
      <c r="M68" s="2313"/>
      <c r="N68" s="1493"/>
      <c r="O68" s="2314"/>
      <c r="P68" s="2312"/>
      <c r="Q68" s="2312"/>
      <c r="R68" s="2312"/>
      <c r="S68" s="2312"/>
      <c r="T68" s="2313"/>
    </row>
    <row r="69" spans="1:20" ht="16.2" customHeight="1">
      <c r="A69" s="2314"/>
      <c r="B69" s="2886" t="s">
        <v>414</v>
      </c>
      <c r="C69" s="2876"/>
      <c r="D69" s="2876"/>
      <c r="E69" s="2375" t="str">
        <f ca="1">IFERROR(TEXT(TIS.!E17,"0%"),"–")</f>
        <v>0%</v>
      </c>
      <c r="F69" s="2313"/>
      <c r="G69" s="1493"/>
      <c r="H69" s="2314"/>
      <c r="I69" s="2886" t="s">
        <v>539</v>
      </c>
      <c r="J69" s="2876"/>
      <c r="K69" s="2876"/>
      <c r="L69" s="2376" t="str">
        <f ca="1">IFERROR(TEXT(TIS.!C22/TIS.!D22,"0%"),"–")</f>
        <v>139%</v>
      </c>
      <c r="M69" s="2313"/>
      <c r="N69" s="1493"/>
      <c r="O69" s="2314"/>
      <c r="P69" s="2886" t="s">
        <v>540</v>
      </c>
      <c r="Q69" s="2876"/>
      <c r="R69" s="2876"/>
      <c r="S69" s="2377" t="str">
        <f>"–"</f>
        <v>–</v>
      </c>
      <c r="T69" s="2313"/>
    </row>
    <row r="70" spans="1:20" ht="22.2" customHeight="1">
      <c r="A70" s="2314"/>
      <c r="B70" s="2887" t="str">
        <f ca="1">IFERROR(TEXT(TIS.!C17,"#,##0")&amp;" / "&amp;TEXT(TIS.!D17,"#,##0"),"–")</f>
        <v>0 / 40,000</v>
      </c>
      <c r="C70" s="2876"/>
      <c r="D70" s="2876"/>
      <c r="E70" s="2876"/>
      <c r="F70" s="2313"/>
      <c r="G70" s="1493"/>
      <c r="H70" s="2314"/>
      <c r="I70" s="2887" t="str">
        <f ca="1">IFERROR(TEXT(TIS.!C22,"0.00")&amp;" / "&amp;TEXT(TIS.!D22,"0.00"),"–")</f>
        <v>25.17 / 18.05</v>
      </c>
      <c r="J70" s="2876"/>
      <c r="K70" s="2876"/>
      <c r="L70" s="2876"/>
      <c r="M70" s="2313"/>
      <c r="N70" s="1493"/>
      <c r="O70" s="2314"/>
      <c r="P70" s="2887" t="str">
        <f ca="1">"ROM: "&amp;TEXT(TIS.!B28,"#,##0")&amp;"  |  Temp: "&amp;TEXT(TIS.!B38,"#,##0")</f>
        <v>ROM: 41,431  |  Temp: 3,656</v>
      </c>
      <c r="Q70" s="2876"/>
      <c r="R70" s="2876"/>
      <c r="S70" s="2876"/>
      <c r="T70" s="2313"/>
    </row>
    <row r="71" spans="1:20" ht="13.95" customHeight="1">
      <c r="A71" s="2314"/>
      <c r="B71" s="2888" t="s">
        <v>415</v>
      </c>
      <c r="C71" s="2876"/>
      <c r="D71" s="2312"/>
      <c r="E71" s="1487" t="str">
        <f ca="1">IFERROR(TEXT(TIS.!E17,"0%"),"–")</f>
        <v>0%</v>
      </c>
      <c r="F71" s="2313"/>
      <c r="G71" s="1493"/>
      <c r="H71" s="2314"/>
      <c r="I71" s="2888" t="s">
        <v>415</v>
      </c>
      <c r="J71" s="2876"/>
      <c r="K71" s="2312"/>
      <c r="L71" s="1487" t="str">
        <f ca="1">IFERROR(TEXT(TIS.!C22/TIS.!D22,"0%"),"–")</f>
        <v>139%</v>
      </c>
      <c r="M71" s="2313"/>
      <c r="N71" s="1493"/>
      <c r="O71" s="2314"/>
      <c r="P71" s="2888" t="s">
        <v>415</v>
      </c>
      <c r="Q71" s="2876"/>
      <c r="R71" s="2312"/>
      <c r="S71" s="1487" t="str">
        <f>"–"</f>
        <v>–</v>
      </c>
      <c r="T71" s="2313"/>
    </row>
    <row r="72" spans="1:20" ht="4.95" customHeight="1">
      <c r="A72" s="2314"/>
      <c r="B72" s="2378"/>
      <c r="C72" s="2321"/>
      <c r="D72" s="2321"/>
      <c r="E72" s="2321"/>
      <c r="F72" s="2313"/>
      <c r="G72" s="1493"/>
      <c r="H72" s="2314"/>
      <c r="I72" s="2379"/>
      <c r="J72" s="2321"/>
      <c r="K72" s="2321"/>
      <c r="L72" s="2321"/>
      <c r="M72" s="2313"/>
      <c r="N72" s="1493"/>
      <c r="O72" s="2314"/>
      <c r="P72" s="2380"/>
      <c r="Q72" s="2321"/>
      <c r="R72" s="2321"/>
      <c r="S72" s="2321"/>
      <c r="T72" s="2313"/>
    </row>
    <row r="73" spans="1:20" ht="6" customHeight="1">
      <c r="A73" s="2314"/>
      <c r="B73" s="2312"/>
      <c r="C73" s="2312"/>
      <c r="D73" s="2312"/>
      <c r="E73" s="2312"/>
      <c r="F73" s="2313"/>
      <c r="G73" s="1493"/>
      <c r="H73" s="2314"/>
      <c r="I73" s="2312"/>
      <c r="J73" s="2312"/>
      <c r="K73" s="2312"/>
      <c r="L73" s="2312"/>
      <c r="M73" s="2313"/>
      <c r="N73" s="1493"/>
      <c r="O73" s="2314"/>
      <c r="P73" s="2312"/>
      <c r="Q73" s="2312"/>
      <c r="R73" s="2312"/>
      <c r="S73" s="2312"/>
      <c r="T73" s="2313"/>
    </row>
    <row r="74" spans="1:20" ht="3" customHeight="1">
      <c r="A74" s="2314"/>
      <c r="B74" s="2312"/>
      <c r="C74" s="2312"/>
      <c r="D74" s="2312"/>
      <c r="E74" s="2312"/>
      <c r="F74" s="2313"/>
      <c r="G74" s="1493"/>
      <c r="H74" s="2314"/>
      <c r="I74" s="2312"/>
      <c r="J74" s="2312"/>
      <c r="K74" s="2312"/>
      <c r="L74" s="2312"/>
      <c r="M74" s="2313"/>
      <c r="N74" s="1493"/>
      <c r="O74" s="2314"/>
      <c r="P74" s="2312"/>
      <c r="Q74" s="2312"/>
      <c r="R74" s="2312"/>
      <c r="S74" s="2312"/>
      <c r="T74" s="2313"/>
    </row>
    <row r="75" spans="1:20" ht="6" customHeight="1">
      <c r="A75" s="2314"/>
      <c r="B75" s="2312"/>
      <c r="C75" s="2312"/>
      <c r="D75" s="2312"/>
      <c r="E75" s="2312"/>
      <c r="F75" s="2313"/>
      <c r="G75" s="1493"/>
      <c r="H75" s="2314"/>
      <c r="I75" s="2312"/>
      <c r="J75" s="2312"/>
      <c r="K75" s="2312"/>
      <c r="L75" s="2312"/>
      <c r="M75" s="2313"/>
      <c r="N75" s="1493"/>
      <c r="O75" s="2314"/>
      <c r="P75" s="2312"/>
      <c r="Q75" s="2312"/>
      <c r="R75" s="2312"/>
      <c r="S75" s="2312"/>
      <c r="T75" s="2313"/>
    </row>
    <row r="76" spans="1:20" ht="18" customHeight="1">
      <c r="A76" s="2314"/>
      <c r="B76" s="2891" t="s">
        <v>534</v>
      </c>
      <c r="C76" s="2876"/>
      <c r="D76" s="2876"/>
      <c r="E76" s="2876"/>
      <c r="F76" s="2313"/>
      <c r="G76" s="1493"/>
      <c r="H76" s="2314"/>
      <c r="I76" s="2891" t="s">
        <v>456</v>
      </c>
      <c r="J76" s="2876"/>
      <c r="K76" s="2876"/>
      <c r="L76" s="2876"/>
      <c r="M76" s="2313"/>
      <c r="N76" s="1493"/>
      <c r="O76" s="2314"/>
      <c r="P76" s="2891" t="s">
        <v>458</v>
      </c>
      <c r="Q76" s="2876"/>
      <c r="R76" s="2876"/>
      <c r="S76" s="2876"/>
      <c r="T76" s="2313"/>
    </row>
    <row r="77" spans="1:20" ht="4.2" customHeight="1">
      <c r="A77" s="2314"/>
      <c r="B77" s="2312"/>
      <c r="C77" s="2312"/>
      <c r="D77" s="2312"/>
      <c r="E77" s="2312"/>
      <c r="F77" s="2313"/>
      <c r="G77" s="1493"/>
      <c r="H77" s="2314"/>
      <c r="I77" s="2312"/>
      <c r="J77" s="2312"/>
      <c r="K77" s="2312"/>
      <c r="L77" s="2312"/>
      <c r="M77" s="2313"/>
      <c r="N77" s="1493"/>
      <c r="O77" s="2314"/>
      <c r="P77" s="2312"/>
      <c r="Q77" s="2312"/>
      <c r="R77" s="2312"/>
      <c r="S77" s="2312"/>
      <c r="T77" s="2313"/>
    </row>
    <row r="78" spans="1:20" ht="16.2" customHeight="1">
      <c r="A78" s="2314"/>
      <c r="B78" s="2325" t="s">
        <v>535</v>
      </c>
      <c r="C78" s="2326" t="s">
        <v>418</v>
      </c>
      <c r="D78" s="2326" t="s">
        <v>419</v>
      </c>
      <c r="E78" s="2326" t="s">
        <v>420</v>
      </c>
      <c r="F78" s="2313"/>
      <c r="G78" s="1493"/>
      <c r="H78" s="2314"/>
      <c r="I78" s="2325" t="s">
        <v>459</v>
      </c>
      <c r="J78" s="2326" t="s">
        <v>94</v>
      </c>
      <c r="K78" s="2326" t="s">
        <v>8</v>
      </c>
      <c r="L78" s="2326" t="s">
        <v>541</v>
      </c>
      <c r="M78" s="2313"/>
      <c r="N78" s="1493"/>
      <c r="O78" s="2314"/>
      <c r="P78" s="2325" t="s">
        <v>465</v>
      </c>
      <c r="Q78" s="2326"/>
      <c r="R78" s="2326" t="s">
        <v>466</v>
      </c>
      <c r="S78" s="2326"/>
      <c r="T78" s="2313"/>
    </row>
    <row r="79" spans="1:20" ht="16.2" customHeight="1">
      <c r="A79" s="2314"/>
      <c r="B79" s="2381" t="s">
        <v>433</v>
      </c>
      <c r="C79" s="1497" t="str">
        <f ca="1">IF(TIS.!B18=0,"–",TIS.!B18)</f>
        <v>–</v>
      </c>
      <c r="D79" s="2382">
        <f>TIS.!C18</f>
        <v>0</v>
      </c>
      <c r="E79" s="2383" t="str">
        <f>IFERROR(TEXT(TIS.!C18/TIS.!C17,"0%"),"–")</f>
        <v>–</v>
      </c>
      <c r="F79" s="2313"/>
      <c r="G79" s="1493"/>
      <c r="H79" s="2314"/>
      <c r="I79" s="2384" t="s">
        <v>467</v>
      </c>
      <c r="J79" s="1498" t="str">
        <f ca="1">IFERROR(TEXT(TIS.!B22,"0.00"),"–")</f>
        <v>12.64</v>
      </c>
      <c r="K79" s="2385" t="str">
        <f>IFERROR(TEXT(TIS.!C22,"0.00"),"–")</f>
        <v>25.17</v>
      </c>
      <c r="L79" s="2386" t="str">
        <f ca="1">IFERROR(TEXT(TIS.!D22,"0.00"),"–")</f>
        <v>18.05</v>
      </c>
      <c r="M79" s="2313"/>
      <c r="N79" s="1493"/>
      <c r="O79" s="2314"/>
      <c r="P79" s="2387" t="s">
        <v>56</v>
      </c>
      <c r="Q79" s="1491" t="str">
        <f>"–"</f>
        <v>–</v>
      </c>
      <c r="R79" s="2388" t="str">
        <f ca="1">TEXT(TIS.!B28,"#,##0")</f>
        <v>41,431</v>
      </c>
      <c r="S79" s="2389" t="str">
        <f>"–"</f>
        <v>–</v>
      </c>
      <c r="T79" s="2313"/>
    </row>
    <row r="80" spans="1:20" ht="16.2" customHeight="1">
      <c r="A80" s="2314"/>
      <c r="B80" s="2390" t="s">
        <v>432</v>
      </c>
      <c r="C80" s="1489" t="str">
        <f>IF(TIS.!B19=0,"–",TIS.!B19)</f>
        <v>–</v>
      </c>
      <c r="D80" s="2391">
        <f>TIS.!C19</f>
        <v>0</v>
      </c>
      <c r="E80" s="2392" t="str">
        <f>IFERROR(TEXT(TIS.!C19/TIS.!C17,"0%"),"–")</f>
        <v>–</v>
      </c>
      <c r="F80" s="2313"/>
      <c r="G80" s="1493"/>
      <c r="H80" s="2314"/>
      <c r="I80" s="2393" t="s">
        <v>468</v>
      </c>
      <c r="J80" s="1490" t="str">
        <f ca="1">IFERROR(TEXT(TIS.!B23,"0.00"),"–")</f>
        <v>–</v>
      </c>
      <c r="K80" s="2394" t="str">
        <f>IFERROR(TEXT(TIS.!C23,"0.00"),"–")</f>
        <v>6.06</v>
      </c>
      <c r="L80" s="2395" t="str">
        <f ca="1">IFERROR(TEXT(TIS.!D23,"0.00"),"–")</f>
        <v>21.64</v>
      </c>
      <c r="M80" s="2313"/>
      <c r="N80" s="1493"/>
      <c r="O80" s="2314"/>
      <c r="P80" s="2393" t="s">
        <v>542</v>
      </c>
      <c r="Q80" s="1490" t="str">
        <f>"–"</f>
        <v>–</v>
      </c>
      <c r="R80" s="2394" t="str">
        <f>TEXT(TIS.!B38,"#,##0")</f>
        <v>3,656</v>
      </c>
      <c r="S80" s="2396" t="str">
        <f>"–"</f>
        <v>–</v>
      </c>
      <c r="T80" s="2313"/>
    </row>
    <row r="81" spans="1:20" ht="16.2" customHeight="1">
      <c r="A81" s="2314"/>
      <c r="B81" s="2312"/>
      <c r="C81" s="2312"/>
      <c r="D81" s="2312"/>
      <c r="E81" s="2312"/>
      <c r="F81" s="2313"/>
      <c r="G81" s="1493"/>
      <c r="H81" s="2314"/>
      <c r="I81" s="2390" t="s">
        <v>469</v>
      </c>
      <c r="J81" s="1489" t="str">
        <f>"–"</f>
        <v>–</v>
      </c>
      <c r="K81" s="2391" t="str">
        <f>TEXT(TIS.!B25,"#,##0")</f>
        <v>4,681</v>
      </c>
      <c r="L81" s="2397" t="str">
        <f>"–"</f>
        <v>–</v>
      </c>
      <c r="M81" s="2313"/>
      <c r="N81" s="1493"/>
      <c r="O81" s="2314"/>
      <c r="P81" s="2393" t="s">
        <v>543</v>
      </c>
      <c r="Q81" s="1490" t="str">
        <f>"–"</f>
        <v>–</v>
      </c>
      <c r="R81" s="2394" t="str">
        <f>IFERROR(TEXT(TIS.!B31,"#,##0"),"–")</f>
        <v>56,506</v>
      </c>
      <c r="S81" s="2396" t="str">
        <f>"–"</f>
        <v>–</v>
      </c>
      <c r="T81" s="2313"/>
    </row>
    <row r="82" spans="1:20" ht="16.2" customHeight="1">
      <c r="A82" s="2314"/>
      <c r="B82" s="2312"/>
      <c r="C82" s="2312"/>
      <c r="D82" s="2312"/>
      <c r="E82" s="2312"/>
      <c r="F82" s="2313"/>
      <c r="G82" s="1493"/>
      <c r="H82" s="2314"/>
      <c r="I82" s="2312"/>
      <c r="J82" s="2312"/>
      <c r="K82" s="2312"/>
      <c r="L82" s="2312"/>
      <c r="M82" s="2313"/>
      <c r="N82" s="1493"/>
      <c r="O82" s="2314"/>
      <c r="P82" s="2390" t="s">
        <v>469</v>
      </c>
      <c r="Q82" s="1489" t="str">
        <f>"–"</f>
        <v>–</v>
      </c>
      <c r="R82" s="2391" t="str">
        <f>TEXT(TIS.!B25,"#,##0")</f>
        <v>4,681</v>
      </c>
      <c r="S82" s="2398" t="str">
        <f>"–"</f>
        <v>–</v>
      </c>
      <c r="T82" s="2313"/>
    </row>
    <row r="83" spans="1:20" ht="7.95" customHeight="1">
      <c r="A83" s="2314"/>
      <c r="B83" s="2312"/>
      <c r="C83" s="2312"/>
      <c r="D83" s="2312"/>
      <c r="E83" s="2312"/>
      <c r="F83" s="2313"/>
      <c r="G83" s="1493"/>
      <c r="H83" s="2314"/>
      <c r="I83" s="2312"/>
      <c r="J83" s="2312"/>
      <c r="K83" s="2312"/>
      <c r="L83" s="2312"/>
      <c r="M83" s="2313"/>
      <c r="N83" s="1493"/>
      <c r="O83" s="2314"/>
      <c r="P83" s="2312"/>
      <c r="Q83" s="2312"/>
      <c r="R83" s="2312"/>
      <c r="S83" s="2312"/>
      <c r="T83" s="2313"/>
    </row>
    <row r="84" spans="1:20" ht="10.199999999999999" customHeight="1">
      <c r="A84" s="2333"/>
      <c r="B84" s="2334"/>
      <c r="C84" s="2334"/>
      <c r="D84" s="2334"/>
      <c r="E84" s="2334"/>
      <c r="F84" s="2335"/>
      <c r="G84" s="1493"/>
      <c r="H84" s="2333"/>
      <c r="I84" s="2334"/>
      <c r="J84" s="2334"/>
      <c r="K84" s="2334"/>
      <c r="L84" s="2334"/>
      <c r="M84" s="2335"/>
      <c r="N84" s="1493"/>
      <c r="O84" s="2333"/>
      <c r="P84" s="2334"/>
      <c r="Q84" s="2334"/>
      <c r="R84" s="2334"/>
      <c r="S84" s="2334"/>
      <c r="T84" s="2335"/>
    </row>
    <row r="85" spans="1:20">
      <c r="A85" s="1486"/>
      <c r="B85" s="1486"/>
      <c r="C85" s="1486"/>
      <c r="D85" s="1486"/>
      <c r="E85" s="1486"/>
      <c r="F85" s="1486"/>
      <c r="G85" s="1493"/>
      <c r="H85" s="1486"/>
      <c r="I85" s="1486"/>
      <c r="J85" s="1486"/>
      <c r="K85" s="1486"/>
      <c r="L85" s="1486"/>
      <c r="M85" s="1486"/>
      <c r="N85" s="1493"/>
      <c r="O85" s="1486"/>
      <c r="P85" s="1486"/>
      <c r="Q85" s="1486"/>
      <c r="R85" s="1486"/>
      <c r="S85" s="1486"/>
      <c r="T85" s="1486"/>
    </row>
    <row r="86" spans="1:20" ht="10.199999999999999" customHeight="1">
      <c r="A86" s="1486"/>
      <c r="B86" s="1486"/>
      <c r="C86" s="1486"/>
      <c r="D86" s="1486"/>
      <c r="E86" s="1486"/>
      <c r="F86" s="1486"/>
      <c r="G86" s="1486"/>
      <c r="H86" s="1486"/>
      <c r="I86" s="1486"/>
      <c r="J86" s="1486"/>
      <c r="K86" s="1486"/>
      <c r="L86" s="1486"/>
      <c r="M86" s="1486"/>
      <c r="N86" s="1486"/>
      <c r="O86" s="1486"/>
      <c r="P86" s="1486"/>
      <c r="Q86" s="1486"/>
      <c r="R86" s="1486"/>
      <c r="S86" s="1486"/>
      <c r="T86" s="1486"/>
    </row>
    <row r="87" spans="1:20" ht="22.2" customHeight="1" thickBot="1">
      <c r="A87" s="2302" t="s">
        <v>544</v>
      </c>
      <c r="B87" s="2883"/>
      <c r="C87" s="2883"/>
      <c r="D87" s="2883"/>
      <c r="E87" s="2883"/>
      <c r="F87" s="2883"/>
      <c r="G87" s="2883"/>
      <c r="H87" s="2883"/>
      <c r="I87" s="2883"/>
      <c r="J87" s="2883"/>
      <c r="K87" s="2883"/>
      <c r="L87" s="2883"/>
      <c r="M87" s="2883"/>
      <c r="N87" s="2883"/>
      <c r="O87" s="2883"/>
      <c r="P87" s="2883"/>
      <c r="Q87" s="2883"/>
      <c r="R87" s="2883"/>
      <c r="S87" s="2883"/>
      <c r="T87" s="2883"/>
    </row>
    <row r="88" spans="1:20" ht="4.95" customHeight="1">
      <c r="A88" s="2399"/>
      <c r="B88" s="2400"/>
      <c r="C88" s="2400"/>
      <c r="D88" s="2400"/>
      <c r="E88" s="2400"/>
      <c r="F88" s="2401"/>
      <c r="G88" s="1493"/>
      <c r="H88" s="2402"/>
      <c r="I88" s="2403"/>
      <c r="J88" s="2403"/>
      <c r="K88" s="2403"/>
      <c r="L88" s="2403"/>
      <c r="M88" s="2404"/>
      <c r="N88" s="1493"/>
      <c r="O88" s="2405"/>
      <c r="P88" s="2406"/>
      <c r="Q88" s="2406"/>
      <c r="R88" s="2406"/>
      <c r="S88" s="2406"/>
      <c r="T88" s="2407"/>
    </row>
    <row r="89" spans="1:20" ht="22.2" customHeight="1">
      <c r="A89" s="1488" t="s">
        <v>476</v>
      </c>
      <c r="B89" s="2877" t="s">
        <v>477</v>
      </c>
      <c r="C89" s="2876"/>
      <c r="D89" s="2876"/>
      <c r="E89" s="2876"/>
      <c r="F89" s="2313"/>
      <c r="G89" s="1493"/>
      <c r="H89" s="1488" t="s">
        <v>478</v>
      </c>
      <c r="I89" s="2877" t="s">
        <v>479</v>
      </c>
      <c r="J89" s="2876"/>
      <c r="K89" s="2876"/>
      <c r="L89" s="2876"/>
      <c r="M89" s="2313"/>
      <c r="N89" s="1493"/>
      <c r="O89" s="1488" t="s">
        <v>480</v>
      </c>
      <c r="P89" s="2877" t="s">
        <v>481</v>
      </c>
      <c r="Q89" s="2876"/>
      <c r="R89" s="2876"/>
      <c r="S89" s="2876"/>
      <c r="T89" s="2313"/>
    </row>
    <row r="90" spans="1:20" ht="16.2" customHeight="1">
      <c r="A90" s="2314"/>
      <c r="B90" s="2878" t="s">
        <v>482</v>
      </c>
      <c r="C90" s="2876"/>
      <c r="D90" s="2876"/>
      <c r="E90" s="2876"/>
      <c r="F90" s="2313"/>
      <c r="G90" s="1493"/>
      <c r="H90" s="2314"/>
      <c r="I90" s="2878" t="s">
        <v>483</v>
      </c>
      <c r="J90" s="2876"/>
      <c r="K90" s="2876"/>
      <c r="L90" s="2876"/>
      <c r="M90" s="2313"/>
      <c r="N90" s="1493"/>
      <c r="O90" s="2314"/>
      <c r="P90" s="2878" t="s">
        <v>495</v>
      </c>
      <c r="Q90" s="2876"/>
      <c r="R90" s="2876"/>
      <c r="S90" s="2876"/>
      <c r="T90" s="2313"/>
    </row>
    <row r="91" spans="1:20" ht="6" customHeight="1">
      <c r="A91" s="2314"/>
      <c r="B91" s="2312"/>
      <c r="C91" s="2312"/>
      <c r="D91" s="2312"/>
      <c r="E91" s="2312"/>
      <c r="F91" s="2313"/>
      <c r="G91" s="1493"/>
      <c r="H91" s="2314"/>
      <c r="I91" s="2312"/>
      <c r="J91" s="2312"/>
      <c r="K91" s="2312"/>
      <c r="L91" s="2312"/>
      <c r="M91" s="2313"/>
      <c r="N91" s="1493"/>
      <c r="O91" s="2314"/>
      <c r="P91" s="2312"/>
      <c r="Q91" s="2312"/>
      <c r="R91" s="2312"/>
      <c r="S91" s="2312"/>
      <c r="T91" s="2313"/>
    </row>
    <row r="92" spans="1:20" ht="30" customHeight="1">
      <c r="A92" s="2314"/>
      <c r="B92" s="2893" t="str">
        <f ca="1">'Summary TIS'!D9</f>
        <v>0mm/0h/0%</v>
      </c>
      <c r="C92" s="2876"/>
      <c r="D92" s="2876"/>
      <c r="E92" s="2312"/>
      <c r="F92" s="2313"/>
      <c r="G92" s="1493"/>
      <c r="H92" s="2314"/>
      <c r="I92" s="2894">
        <v>1</v>
      </c>
      <c r="J92" s="2876"/>
      <c r="K92" s="2876"/>
      <c r="L92" s="2312"/>
      <c r="M92" s="2313"/>
      <c r="N92" s="1493"/>
      <c r="O92" s="2314"/>
      <c r="P92" s="2900" cm="1">
        <f t="array" ref="P92">SUMPRODUCT((LEN(TRIM(TIS.!B48:B52))&gt;0)*(TIS.!B48:B52&lt;&gt;0)*1)</f>
        <v>1</v>
      </c>
      <c r="Q92" s="2876"/>
      <c r="R92" s="2876"/>
      <c r="S92" s="2312"/>
      <c r="T92" s="2313"/>
    </row>
    <row r="93" spans="1:20" ht="16.2" customHeight="1">
      <c r="A93" s="2314"/>
      <c r="B93" s="2897" t="s">
        <v>545</v>
      </c>
      <c r="C93" s="2876"/>
      <c r="D93" s="2876"/>
      <c r="E93" s="2312"/>
      <c r="F93" s="2313"/>
      <c r="G93" s="1493"/>
      <c r="H93" s="2314"/>
      <c r="I93" s="2898" t="s">
        <v>486</v>
      </c>
      <c r="J93" s="2876"/>
      <c r="K93" s="2876"/>
      <c r="L93" s="2312"/>
      <c r="M93" s="2313"/>
      <c r="N93" s="1493"/>
      <c r="O93" s="2314"/>
      <c r="P93" s="2901" t="s">
        <v>486</v>
      </c>
      <c r="Q93" s="2876"/>
      <c r="R93" s="2876"/>
      <c r="S93" s="2312"/>
      <c r="T93" s="2313"/>
    </row>
    <row r="94" spans="1:20" ht="13.95" customHeight="1">
      <c r="A94" s="2314"/>
      <c r="B94" s="2885" t="s">
        <v>546</v>
      </c>
      <c r="C94" s="2876"/>
      <c r="D94" s="2876"/>
      <c r="E94" s="2312"/>
      <c r="F94" s="2313"/>
      <c r="G94" s="1493"/>
      <c r="H94" s="2314"/>
      <c r="I94" s="2885" t="s">
        <v>488</v>
      </c>
      <c r="J94" s="2876"/>
      <c r="K94" s="2876"/>
      <c r="L94" s="2312"/>
      <c r="M94" s="2313"/>
      <c r="N94" s="1493"/>
      <c r="O94" s="2314"/>
      <c r="P94" s="2885" t="s">
        <v>489</v>
      </c>
      <c r="Q94" s="2876"/>
      <c r="R94" s="2876"/>
      <c r="S94" s="2312"/>
      <c r="T94" s="2313"/>
    </row>
    <row r="95" spans="1:20" ht="3" customHeight="1">
      <c r="A95" s="2314"/>
      <c r="B95" s="2312"/>
      <c r="C95" s="2312"/>
      <c r="D95" s="2312"/>
      <c r="E95" s="2312"/>
      <c r="F95" s="2313"/>
      <c r="G95" s="1493"/>
      <c r="H95" s="2314"/>
      <c r="I95" s="2312"/>
      <c r="J95" s="2312"/>
      <c r="K95" s="2312"/>
      <c r="L95" s="2312"/>
      <c r="M95" s="2313"/>
      <c r="N95" s="1493"/>
      <c r="O95" s="2314"/>
      <c r="P95" s="2312"/>
      <c r="Q95" s="2312"/>
      <c r="R95" s="2312"/>
      <c r="S95" s="2312"/>
      <c r="T95" s="2313"/>
    </row>
    <row r="96" spans="1:20" ht="6" customHeight="1">
      <c r="A96" s="2314"/>
      <c r="B96" s="2312"/>
      <c r="C96" s="2312"/>
      <c r="D96" s="2312"/>
      <c r="E96" s="2312"/>
      <c r="F96" s="2313"/>
      <c r="G96" s="1493"/>
      <c r="H96" s="2314"/>
      <c r="I96" s="2312"/>
      <c r="J96" s="2312"/>
      <c r="K96" s="2312"/>
      <c r="L96" s="2312"/>
      <c r="M96" s="2313"/>
      <c r="N96" s="1493"/>
      <c r="O96" s="2314"/>
      <c r="P96" s="2312"/>
      <c r="Q96" s="2312"/>
      <c r="R96" s="2312"/>
      <c r="S96" s="2312"/>
      <c r="T96" s="2313"/>
    </row>
    <row r="97" spans="1:20" ht="16.2" customHeight="1">
      <c r="A97" s="2314"/>
      <c r="B97" s="2886" t="s">
        <v>547</v>
      </c>
      <c r="C97" s="2876"/>
      <c r="D97" s="2876"/>
      <c r="E97" s="2312"/>
      <c r="F97" s="2313"/>
      <c r="G97" s="1493"/>
      <c r="H97" s="2314"/>
      <c r="I97" s="2886" t="s">
        <v>492</v>
      </c>
      <c r="J97" s="2876"/>
      <c r="K97" s="2876"/>
      <c r="L97" s="2312"/>
      <c r="M97" s="2313"/>
      <c r="N97" s="1493"/>
      <c r="O97" s="2314"/>
      <c r="P97" s="2886" t="s">
        <v>492</v>
      </c>
      <c r="Q97" s="2876"/>
      <c r="R97" s="2876"/>
      <c r="S97" s="2312"/>
      <c r="T97" s="2313"/>
    </row>
    <row r="98" spans="1:20" ht="22.2" customHeight="1">
      <c r="A98" s="2314"/>
      <c r="B98" s="2887" t="str">
        <f ca="1">"SB1 MTD: "&amp;'Summary TIS'!G6</f>
        <v>SB1 MTD: 67mm/10h/6%</v>
      </c>
      <c r="C98" s="2876"/>
      <c r="D98" s="2876"/>
      <c r="E98" s="2876"/>
      <c r="F98" s="2313"/>
      <c r="G98" s="1493"/>
      <c r="H98" s="2314"/>
      <c r="I98" s="2899"/>
      <c r="J98" s="2876"/>
      <c r="K98" s="2876"/>
      <c r="L98" s="2876"/>
      <c r="M98" s="2313"/>
      <c r="N98" s="1493"/>
      <c r="O98" s="2314"/>
      <c r="P98" s="2899"/>
      <c r="Q98" s="2876"/>
      <c r="R98" s="2876"/>
      <c r="S98" s="2876"/>
      <c r="T98" s="2313"/>
    </row>
    <row r="99" spans="1:20" ht="13.95" customHeight="1">
      <c r="A99" s="2314"/>
      <c r="B99" s="2888" t="s">
        <v>415</v>
      </c>
      <c r="C99" s="2876"/>
      <c r="D99" s="2312"/>
      <c r="E99" s="2312"/>
      <c r="F99" s="2313"/>
      <c r="G99" s="1493"/>
      <c r="H99" s="2314"/>
      <c r="I99" s="2888" t="s">
        <v>415</v>
      </c>
      <c r="J99" s="2876"/>
      <c r="K99" s="2312"/>
      <c r="L99" s="2312"/>
      <c r="M99" s="2313"/>
      <c r="N99" s="1493"/>
      <c r="O99" s="2314"/>
      <c r="P99" s="2888" t="s">
        <v>415</v>
      </c>
      <c r="Q99" s="2876"/>
      <c r="R99" s="2312"/>
      <c r="S99" s="2312"/>
      <c r="T99" s="2313"/>
    </row>
    <row r="100" spans="1:20" ht="4.95" customHeight="1">
      <c r="A100" s="2314"/>
      <c r="B100" s="2408"/>
      <c r="C100" s="2321"/>
      <c r="D100" s="2321"/>
      <c r="E100" s="2321"/>
      <c r="F100" s="2313"/>
      <c r="G100" s="1493"/>
      <c r="H100" s="2314"/>
      <c r="I100" s="2409"/>
      <c r="J100" s="2321"/>
      <c r="K100" s="2321"/>
      <c r="L100" s="2321"/>
      <c r="M100" s="2313"/>
      <c r="N100" s="1493"/>
      <c r="O100" s="2314"/>
      <c r="P100" s="2410"/>
      <c r="Q100" s="2321"/>
      <c r="R100" s="2321"/>
      <c r="S100" s="2321"/>
      <c r="T100" s="2313"/>
    </row>
    <row r="101" spans="1:20" ht="6" customHeight="1">
      <c r="A101" s="2314"/>
      <c r="B101" s="2312"/>
      <c r="C101" s="2312"/>
      <c r="D101" s="2312"/>
      <c r="E101" s="2312"/>
      <c r="F101" s="2313"/>
      <c r="G101" s="1493"/>
      <c r="H101" s="2314"/>
      <c r="I101" s="2312"/>
      <c r="J101" s="2312"/>
      <c r="K101" s="2312"/>
      <c r="L101" s="2312"/>
      <c r="M101" s="2313"/>
      <c r="N101" s="1493"/>
      <c r="O101" s="2314"/>
      <c r="P101" s="2312"/>
      <c r="Q101" s="2312"/>
      <c r="R101" s="2312"/>
      <c r="S101" s="2312"/>
      <c r="T101" s="2313"/>
    </row>
    <row r="102" spans="1:20" ht="3" customHeight="1">
      <c r="A102" s="2314"/>
      <c r="B102" s="2312"/>
      <c r="C102" s="2312"/>
      <c r="D102" s="2312"/>
      <c r="E102" s="2312"/>
      <c r="F102" s="2313"/>
      <c r="G102" s="1493"/>
      <c r="H102" s="2314"/>
      <c r="I102" s="2312"/>
      <c r="J102" s="2312"/>
      <c r="K102" s="2312"/>
      <c r="L102" s="2312"/>
      <c r="M102" s="2313"/>
      <c r="N102" s="1493"/>
      <c r="O102" s="2314"/>
      <c r="P102" s="2312"/>
      <c r="Q102" s="2312"/>
      <c r="R102" s="2312"/>
      <c r="S102" s="2312"/>
      <c r="T102" s="2313"/>
    </row>
    <row r="103" spans="1:20" ht="6" customHeight="1">
      <c r="A103" s="2314"/>
      <c r="B103" s="2312"/>
      <c r="C103" s="2312"/>
      <c r="D103" s="2312"/>
      <c r="E103" s="2312"/>
      <c r="F103" s="2313"/>
      <c r="G103" s="1493"/>
      <c r="H103" s="2314"/>
      <c r="I103" s="2312"/>
      <c r="J103" s="2312"/>
      <c r="K103" s="2312"/>
      <c r="L103" s="2312"/>
      <c r="M103" s="2313"/>
      <c r="N103" s="1493"/>
      <c r="O103" s="2314"/>
      <c r="P103" s="2312"/>
      <c r="Q103" s="2312"/>
      <c r="R103" s="2312"/>
      <c r="S103" s="2312"/>
      <c r="T103" s="2313"/>
    </row>
    <row r="104" spans="1:20" ht="18" customHeight="1">
      <c r="A104" s="2314"/>
      <c r="B104" s="2891" t="s">
        <v>548</v>
      </c>
      <c r="C104" s="2876"/>
      <c r="D104" s="2876"/>
      <c r="E104" s="2876"/>
      <c r="F104" s="2313"/>
      <c r="G104" s="1493"/>
      <c r="H104" s="2314"/>
      <c r="I104" s="2891" t="s">
        <v>494</v>
      </c>
      <c r="J104" s="2876"/>
      <c r="K104" s="2876"/>
      <c r="L104" s="2876"/>
      <c r="M104" s="2313"/>
      <c r="N104" s="1493"/>
      <c r="O104" s="2314"/>
      <c r="P104" s="2891" t="s">
        <v>495</v>
      </c>
      <c r="Q104" s="2876"/>
      <c r="R104" s="2876"/>
      <c r="S104" s="2876"/>
      <c r="T104" s="2313"/>
    </row>
    <row r="105" spans="1:20" ht="4.2" customHeight="1">
      <c r="A105" s="2314"/>
      <c r="B105" s="2312"/>
      <c r="C105" s="2312"/>
      <c r="D105" s="2312"/>
      <c r="E105" s="2312"/>
      <c r="F105" s="2313"/>
      <c r="G105" s="1493"/>
      <c r="H105" s="2314"/>
      <c r="I105" s="2312"/>
      <c r="J105" s="2312"/>
      <c r="K105" s="2312"/>
      <c r="L105" s="2312"/>
      <c r="M105" s="2313"/>
      <c r="N105" s="1493"/>
      <c r="O105" s="2314"/>
      <c r="P105" s="2312"/>
      <c r="Q105" s="2312"/>
      <c r="R105" s="2312"/>
      <c r="S105" s="2312"/>
      <c r="T105" s="2313"/>
    </row>
    <row r="106" spans="1:20" ht="16.2" customHeight="1">
      <c r="A106" s="2314"/>
      <c r="B106" s="2325" t="s">
        <v>460</v>
      </c>
      <c r="C106" s="2326" t="s">
        <v>94</v>
      </c>
      <c r="D106" s="2326" t="s">
        <v>8</v>
      </c>
      <c r="E106" s="2326"/>
      <c r="F106" s="2313"/>
      <c r="G106" s="1493"/>
      <c r="H106" s="2314"/>
      <c r="I106" s="2325"/>
      <c r="J106" s="2326" t="s">
        <v>496</v>
      </c>
      <c r="K106" s="2326"/>
      <c r="L106" s="2326"/>
      <c r="M106" s="2313"/>
      <c r="N106" s="1493"/>
      <c r="O106" s="2314"/>
      <c r="P106" s="2325" t="s">
        <v>497</v>
      </c>
      <c r="Q106" s="2326" t="s">
        <v>496</v>
      </c>
      <c r="R106" s="2326"/>
      <c r="S106" s="2326"/>
      <c r="T106" s="2313"/>
    </row>
    <row r="107" spans="1:20" ht="69" customHeight="1">
      <c r="A107" s="2314"/>
      <c r="B107" s="1499" t="s">
        <v>81</v>
      </c>
      <c r="C107" s="1504" t="str">
        <f ca="1">'Summary TIS'!D6</f>
        <v>0mm/0h/0%</v>
      </c>
      <c r="D107" s="2411" t="str">
        <f ca="1">'Summary TIS'!G6</f>
        <v>67mm/10h/6%</v>
      </c>
      <c r="E107" s="2412" t="str">
        <f>""</f>
        <v/>
      </c>
      <c r="F107" s="2313"/>
      <c r="G107" s="1493"/>
      <c r="H107" s="2314"/>
      <c r="I107" s="1501" t="s">
        <v>18</v>
      </c>
      <c r="J107" s="2910">
        <f>TIS.!B43</f>
        <v>0</v>
      </c>
      <c r="K107" s="2911"/>
      <c r="L107" s="2911"/>
      <c r="M107" s="2313"/>
      <c r="N107" s="1493"/>
      <c r="O107" s="2314"/>
      <c r="P107" s="1502">
        <v>1</v>
      </c>
      <c r="Q107" s="2902" t="e">
        <f>IF(OR(TIS.!B48=0,TIS.!B48=""),"(empty)",""+TEXT(TIS.!B48,"@"))</f>
        <v>#VALUE!</v>
      </c>
      <c r="R107" s="2903"/>
      <c r="S107" s="2903"/>
      <c r="T107" s="2313"/>
    </row>
    <row r="108" spans="1:20" ht="36" customHeight="1">
      <c r="A108" s="2314"/>
      <c r="B108" s="1503" t="s">
        <v>37</v>
      </c>
      <c r="C108" s="1490">
        <f>'Summary TIS'!D7</f>
        <v>0</v>
      </c>
      <c r="D108" s="2413">
        <f>'Summary TIS'!G7</f>
        <v>0</v>
      </c>
      <c r="E108" s="2414" t="str">
        <f>""</f>
        <v/>
      </c>
      <c r="F108" s="2313"/>
      <c r="G108" s="1493"/>
      <c r="H108" s="2314"/>
      <c r="I108" s="2312"/>
      <c r="J108" s="2912">
        <f>TIS.!B44</f>
        <v>0</v>
      </c>
      <c r="K108" s="2912"/>
      <c r="L108" s="2912"/>
      <c r="M108" s="2313"/>
      <c r="N108" s="1493"/>
      <c r="O108" s="2314"/>
      <c r="P108" s="1503">
        <v>2</v>
      </c>
      <c r="Q108" s="2904" t="str">
        <f>IF(OR(TIS.!B49=0,TIS.!B49=""),"(empty)",""+TEXT(TIS.!B49,"@"))</f>
        <v>(empty)</v>
      </c>
      <c r="R108" s="2905"/>
      <c r="S108" s="2905"/>
      <c r="T108" s="2313"/>
    </row>
    <row r="109" spans="1:20" ht="36" customHeight="1">
      <c r="A109" s="2314"/>
      <c r="B109" s="1503" t="s">
        <v>35</v>
      </c>
      <c r="C109" s="1490">
        <f>'Summary TIS'!D8</f>
        <v>0</v>
      </c>
      <c r="D109" s="2413">
        <f>'Summary TIS'!G8</f>
        <v>0</v>
      </c>
      <c r="E109" s="2414" t="str">
        <f>""</f>
        <v/>
      </c>
      <c r="F109" s="2313"/>
      <c r="G109" s="1493"/>
      <c r="H109" s="2314"/>
      <c r="I109" s="2312"/>
      <c r="J109" s="2913">
        <f>TIS.!B45</f>
        <v>0</v>
      </c>
      <c r="K109" s="2913"/>
      <c r="L109" s="2913"/>
      <c r="M109" s="2313"/>
      <c r="N109" s="1493"/>
      <c r="O109" s="2314"/>
      <c r="P109" s="1500">
        <v>3</v>
      </c>
      <c r="Q109" s="2906" t="str">
        <f>IF(OR(TIS.!B50=0,TIS.!B50=""),"(empty)",""+TEXT(TIS.!B50,"@"))</f>
        <v>(empty)</v>
      </c>
      <c r="R109" s="2907"/>
      <c r="S109" s="2907"/>
      <c r="T109" s="2313"/>
    </row>
    <row r="110" spans="1:20" ht="16.2" customHeight="1">
      <c r="A110" s="2314"/>
      <c r="B110" s="1500" t="s">
        <v>549</v>
      </c>
      <c r="C110" s="1489" t="str">
        <f ca="1">'Summary TIS'!D9</f>
        <v>0mm/0h/0%</v>
      </c>
      <c r="D110" s="2415" t="str">
        <f>"–"</f>
        <v>–</v>
      </c>
      <c r="E110" s="2416" t="str">
        <f>""</f>
        <v/>
      </c>
      <c r="F110" s="2313"/>
      <c r="G110" s="1493"/>
      <c r="H110" s="2314"/>
      <c r="I110" s="2312"/>
      <c r="J110" s="1948">
        <f>TIS.!B46</f>
        <v>0</v>
      </c>
      <c r="K110" s="1948"/>
      <c r="L110" s="1948"/>
      <c r="M110" s="2313"/>
      <c r="N110" s="1493"/>
      <c r="O110" s="2314"/>
      <c r="P110" s="2312"/>
      <c r="Q110" s="2312"/>
      <c r="R110" s="2312"/>
      <c r="S110" s="2312"/>
      <c r="T110" s="2313"/>
    </row>
    <row r="111" spans="1:20" ht="7.95" customHeight="1">
      <c r="A111" s="2314"/>
      <c r="B111" s="2312"/>
      <c r="C111" s="2312"/>
      <c r="D111" s="2312"/>
      <c r="E111" s="2312"/>
      <c r="F111" s="2313"/>
      <c r="G111" s="1493"/>
      <c r="H111" s="2314"/>
      <c r="I111" s="2312"/>
      <c r="J111" s="2312"/>
      <c r="K111" s="2312"/>
      <c r="L111" s="2312"/>
      <c r="M111" s="2313"/>
      <c r="N111" s="1493"/>
      <c r="O111" s="2314"/>
      <c r="P111" s="2312"/>
      <c r="Q111" s="2312"/>
      <c r="R111" s="2312"/>
      <c r="S111" s="2312"/>
      <c r="T111" s="2313"/>
    </row>
    <row r="112" spans="1:20" ht="10.199999999999999" customHeight="1">
      <c r="A112" s="2333"/>
      <c r="B112" s="2334"/>
      <c r="C112" s="2334"/>
      <c r="D112" s="2334"/>
      <c r="E112" s="2334"/>
      <c r="F112" s="2335"/>
      <c r="G112" s="1493"/>
      <c r="H112" s="2333"/>
      <c r="I112" s="2334"/>
      <c r="J112" s="2334"/>
      <c r="K112" s="2334"/>
      <c r="L112" s="2334"/>
      <c r="M112" s="2335"/>
      <c r="N112" s="1493"/>
      <c r="O112" s="2333"/>
      <c r="P112" s="2334"/>
      <c r="Q112" s="2334"/>
      <c r="R112" s="2334"/>
      <c r="S112" s="2334"/>
      <c r="T112" s="2335"/>
    </row>
    <row r="113" spans="1:20" ht="15" thickBot="1">
      <c r="A113" s="1486"/>
      <c r="B113" s="1486"/>
      <c r="C113" s="1486"/>
      <c r="D113" s="1486"/>
      <c r="E113" s="1486"/>
      <c r="F113" s="1486"/>
      <c r="G113" s="1493"/>
      <c r="H113" s="1486"/>
      <c r="I113" s="1486"/>
      <c r="J113" s="1486"/>
      <c r="K113" s="1486"/>
      <c r="L113" s="1486"/>
      <c r="M113" s="1486"/>
      <c r="N113" s="1493"/>
      <c r="O113" s="1486"/>
      <c r="P113" s="1486"/>
      <c r="Q113" s="1486"/>
      <c r="R113" s="1486"/>
      <c r="S113" s="1486"/>
      <c r="T113" s="1486"/>
    </row>
    <row r="114" spans="1:20" ht="24" customHeight="1">
      <c r="A114" s="2908" t="s">
        <v>550</v>
      </c>
      <c r="B114" s="2909"/>
      <c r="C114" s="2909"/>
      <c r="D114" s="2909"/>
      <c r="E114" s="2909"/>
      <c r="F114" s="2909"/>
      <c r="G114" s="2909"/>
      <c r="H114" s="2909"/>
      <c r="I114" s="2909"/>
      <c r="J114" s="2909"/>
      <c r="K114" s="2909"/>
      <c r="L114" s="2909"/>
      <c r="M114" s="2909"/>
      <c r="N114" s="2909"/>
      <c r="O114" s="2909"/>
      <c r="P114" s="2909"/>
      <c r="Q114" s="2909"/>
      <c r="R114" s="2909"/>
      <c r="S114" s="2909"/>
      <c r="T114" s="2909"/>
    </row>
    <row r="115" spans="1:20">
      <c r="A115" s="1486"/>
      <c r="B115" s="1486"/>
      <c r="C115" s="1486"/>
      <c r="D115" s="1486"/>
      <c r="E115" s="1486"/>
      <c r="F115" s="1486"/>
      <c r="G115" s="1493"/>
      <c r="H115" s="1486"/>
      <c r="I115" s="1486"/>
      <c r="J115" s="1486"/>
      <c r="K115" s="1486"/>
      <c r="L115" s="1486"/>
      <c r="M115" s="1486"/>
      <c r="N115" s="1493"/>
      <c r="O115" s="1486"/>
      <c r="P115" s="1486"/>
      <c r="Q115" s="1486"/>
      <c r="R115" s="1486"/>
      <c r="S115" s="1486"/>
      <c r="T115" s="1486"/>
    </row>
    <row r="116" spans="1:20">
      <c r="A116" s="1486"/>
      <c r="B116" s="1486"/>
      <c r="C116" s="1486"/>
      <c r="D116" s="1486"/>
      <c r="E116" s="1486"/>
      <c r="F116" s="1486"/>
      <c r="G116" s="1493"/>
      <c r="H116" s="1486"/>
      <c r="I116" s="1486"/>
      <c r="J116" s="1486"/>
      <c r="K116" s="1486"/>
      <c r="L116" s="1486"/>
      <c r="M116" s="1486"/>
      <c r="N116" s="1493"/>
      <c r="O116" s="1486"/>
      <c r="P116" s="1486"/>
      <c r="Q116" s="1486"/>
      <c r="R116" s="1486"/>
      <c r="S116" s="1486"/>
      <c r="T116" s="1486"/>
    </row>
    <row r="117" spans="1:20">
      <c r="A117" s="1486"/>
      <c r="B117" s="1486"/>
      <c r="C117" s="1486"/>
      <c r="D117" s="1486"/>
      <c r="E117" s="1486"/>
      <c r="F117" s="1486"/>
      <c r="G117" s="1493"/>
      <c r="H117" s="1486"/>
      <c r="I117" s="1486"/>
      <c r="J117" s="1486"/>
      <c r="K117" s="1486"/>
      <c r="L117" s="1486"/>
      <c r="M117" s="1486"/>
      <c r="N117" s="1493"/>
      <c r="O117" s="1486"/>
      <c r="P117" s="1486"/>
      <c r="Q117" s="1486"/>
      <c r="R117" s="1486"/>
      <c r="S117" s="1486"/>
      <c r="T117" s="1486"/>
    </row>
    <row r="118" spans="1:20">
      <c r="A118" s="1486"/>
      <c r="B118" s="1486"/>
      <c r="C118" s="1486"/>
      <c r="D118" s="1486"/>
      <c r="E118" s="1486"/>
      <c r="F118" s="1486"/>
      <c r="G118" s="1493"/>
      <c r="H118" s="1486"/>
      <c r="I118" s="1486"/>
      <c r="J118" s="1486"/>
      <c r="K118" s="1486"/>
      <c r="L118" s="1486"/>
      <c r="M118" s="1486"/>
      <c r="N118" s="1493"/>
      <c r="O118" s="1486"/>
      <c r="P118" s="1486"/>
      <c r="Q118" s="1486"/>
      <c r="R118" s="1486"/>
      <c r="S118" s="1486"/>
      <c r="T118" s="1486"/>
    </row>
    <row r="119" spans="1:20">
      <c r="A119" s="1486"/>
      <c r="B119" s="1486"/>
      <c r="C119" s="1486"/>
      <c r="D119" s="1486"/>
      <c r="E119" s="1486"/>
      <c r="F119" s="1486"/>
      <c r="G119" s="1493"/>
      <c r="H119" s="1486"/>
      <c r="I119" s="1486"/>
      <c r="J119" s="1486"/>
      <c r="K119" s="1486"/>
      <c r="L119" s="1486"/>
      <c r="M119" s="1486"/>
      <c r="N119" s="1493"/>
      <c r="O119" s="1486"/>
      <c r="P119" s="1486"/>
      <c r="Q119" s="1486"/>
      <c r="R119" s="1486"/>
      <c r="S119" s="1486"/>
      <c r="T119" s="1486"/>
    </row>
    <row r="120" spans="1:20">
      <c r="A120" s="1486"/>
      <c r="B120" s="1486"/>
      <c r="C120" s="1486"/>
      <c r="D120" s="1486"/>
      <c r="E120" s="1486"/>
      <c r="F120" s="1486"/>
      <c r="G120" s="1493"/>
      <c r="H120" s="1486"/>
      <c r="I120" s="1486"/>
      <c r="J120" s="1486"/>
      <c r="K120" s="1486"/>
      <c r="L120" s="1486"/>
      <c r="M120" s="1486"/>
      <c r="N120" s="1493"/>
      <c r="O120" s="1486"/>
      <c r="P120" s="1486"/>
      <c r="Q120" s="1486"/>
      <c r="R120" s="1486"/>
      <c r="S120" s="1486"/>
      <c r="T120" s="1486"/>
    </row>
    <row r="121" spans="1:20">
      <c r="A121" s="1486"/>
      <c r="B121" s="1486"/>
      <c r="C121" s="1486"/>
      <c r="D121" s="1486"/>
      <c r="E121" s="1486"/>
      <c r="F121" s="1486"/>
      <c r="G121" s="1493"/>
      <c r="H121" s="1486"/>
      <c r="I121" s="1486"/>
      <c r="J121" s="1486"/>
      <c r="K121" s="1486"/>
      <c r="L121" s="1486"/>
      <c r="M121" s="1486"/>
      <c r="N121" s="1493"/>
      <c r="O121" s="1486"/>
      <c r="P121" s="1486"/>
      <c r="Q121" s="1486"/>
      <c r="R121" s="1486"/>
      <c r="S121" s="1486"/>
      <c r="T121" s="1486"/>
    </row>
    <row r="122" spans="1:20">
      <c r="A122" s="1486"/>
      <c r="B122" s="1486"/>
      <c r="C122" s="1486"/>
      <c r="D122" s="1486"/>
      <c r="E122" s="1486"/>
      <c r="F122" s="1486"/>
      <c r="G122" s="1493"/>
      <c r="H122" s="1486"/>
      <c r="I122" s="1486"/>
      <c r="J122" s="1486"/>
      <c r="K122" s="1486"/>
      <c r="L122" s="1486"/>
      <c r="M122" s="1486"/>
      <c r="N122" s="1493"/>
      <c r="O122" s="1486"/>
      <c r="P122" s="1486"/>
      <c r="Q122" s="1486"/>
      <c r="R122" s="1486"/>
      <c r="S122" s="1486"/>
      <c r="T122" s="1486"/>
    </row>
    <row r="123" spans="1:20">
      <c r="A123" s="1486"/>
      <c r="B123" s="1486"/>
      <c r="C123" s="1486"/>
      <c r="D123" s="1486"/>
      <c r="E123" s="1486"/>
      <c r="F123" s="1486"/>
      <c r="G123" s="1493"/>
      <c r="H123" s="1486"/>
      <c r="I123" s="1486"/>
      <c r="J123" s="1486"/>
      <c r="K123" s="1486"/>
      <c r="L123" s="1486"/>
      <c r="M123" s="1486"/>
      <c r="N123" s="1493"/>
      <c r="O123" s="1486"/>
      <c r="P123" s="1486"/>
      <c r="Q123" s="1486"/>
      <c r="R123" s="1486"/>
      <c r="S123" s="1486"/>
      <c r="T123" s="1486"/>
    </row>
    <row r="124" spans="1:20">
      <c r="A124" s="1486"/>
      <c r="B124" s="1486"/>
      <c r="C124" s="1486"/>
      <c r="D124" s="1486"/>
      <c r="E124" s="1486"/>
      <c r="F124" s="1486"/>
      <c r="G124" s="1493"/>
      <c r="H124" s="1486"/>
      <c r="I124" s="1486"/>
      <c r="J124" s="1486"/>
      <c r="K124" s="1486"/>
      <c r="L124" s="1486"/>
      <c r="M124" s="1486"/>
      <c r="N124" s="1493"/>
      <c r="O124" s="1486"/>
      <c r="P124" s="1486"/>
      <c r="Q124" s="1486"/>
      <c r="R124" s="1486"/>
      <c r="S124" s="1486"/>
      <c r="T124" s="1486"/>
    </row>
    <row r="125" spans="1:20">
      <c r="A125" s="1486"/>
      <c r="B125" s="1486"/>
      <c r="C125" s="1486"/>
      <c r="D125" s="1486"/>
      <c r="E125" s="1486"/>
      <c r="F125" s="1486"/>
      <c r="G125" s="1493"/>
      <c r="H125" s="1486"/>
      <c r="I125" s="1486"/>
      <c r="J125" s="1486"/>
      <c r="K125" s="1486"/>
      <c r="L125" s="1486"/>
      <c r="M125" s="1486"/>
      <c r="N125" s="1493"/>
      <c r="O125" s="1486"/>
      <c r="P125" s="1486"/>
      <c r="Q125" s="1486"/>
      <c r="R125" s="1486"/>
      <c r="S125" s="1486"/>
      <c r="T125" s="1486"/>
    </row>
    <row r="126" spans="1:20">
      <c r="A126" s="1486"/>
      <c r="B126" s="1486"/>
      <c r="C126" s="1486"/>
      <c r="D126" s="1486"/>
      <c r="E126" s="1486"/>
      <c r="F126" s="1486"/>
      <c r="G126" s="1493"/>
      <c r="H126" s="1486"/>
      <c r="I126" s="1486"/>
      <c r="J126" s="1486"/>
      <c r="K126" s="1486"/>
      <c r="L126" s="1486"/>
      <c r="M126" s="1486"/>
      <c r="N126" s="1493"/>
      <c r="O126" s="1486"/>
      <c r="P126" s="1486"/>
      <c r="Q126" s="1486"/>
      <c r="R126" s="1486"/>
      <c r="S126" s="1486"/>
      <c r="T126" s="1486"/>
    </row>
    <row r="127" spans="1:20">
      <c r="A127" s="1486"/>
      <c r="B127" s="1486"/>
      <c r="C127" s="1486"/>
      <c r="D127" s="1486"/>
      <c r="E127" s="1486"/>
      <c r="F127" s="1486"/>
      <c r="G127" s="1493"/>
      <c r="H127" s="1486"/>
      <c r="I127" s="1486"/>
      <c r="J127" s="1486"/>
      <c r="K127" s="1486"/>
      <c r="L127" s="1486"/>
      <c r="M127" s="1486"/>
      <c r="N127" s="1493"/>
      <c r="O127" s="1486"/>
      <c r="P127" s="1486"/>
      <c r="Q127" s="1486"/>
      <c r="R127" s="1486"/>
      <c r="S127" s="1486"/>
      <c r="T127" s="1486"/>
    </row>
    <row r="128" spans="1:20">
      <c r="A128" s="1486"/>
      <c r="B128" s="1486"/>
      <c r="C128" s="1486"/>
      <c r="D128" s="1486"/>
      <c r="E128" s="1486"/>
      <c r="F128" s="1486"/>
      <c r="G128" s="1493"/>
      <c r="H128" s="1486"/>
      <c r="I128" s="1486"/>
      <c r="J128" s="1486"/>
      <c r="K128" s="1486"/>
      <c r="L128" s="1486"/>
      <c r="M128" s="1486"/>
      <c r="N128" s="1493"/>
      <c r="O128" s="1486"/>
      <c r="P128" s="1486"/>
      <c r="Q128" s="1486"/>
      <c r="R128" s="1486"/>
      <c r="S128" s="1486"/>
      <c r="T128" s="1486"/>
    </row>
    <row r="129" spans="1:20">
      <c r="A129" s="1486"/>
      <c r="B129" s="1486"/>
      <c r="C129" s="1486"/>
      <c r="D129" s="1486"/>
      <c r="E129" s="1486"/>
      <c r="F129" s="1486"/>
      <c r="G129" s="1493"/>
      <c r="H129" s="1486"/>
      <c r="I129" s="1486"/>
      <c r="J129" s="1486"/>
      <c r="K129" s="1486"/>
      <c r="L129" s="1486"/>
      <c r="M129" s="1486"/>
      <c r="N129" s="1493"/>
      <c r="O129" s="1486"/>
      <c r="P129" s="1486"/>
      <c r="Q129" s="1486"/>
      <c r="R129" s="1486"/>
      <c r="S129" s="1486"/>
      <c r="T129" s="1486"/>
    </row>
    <row r="130" spans="1:20">
      <c r="A130" s="1486"/>
      <c r="B130" s="1486"/>
      <c r="C130" s="1486"/>
      <c r="D130" s="1486"/>
      <c r="E130" s="1486"/>
      <c r="F130" s="1486"/>
      <c r="G130" s="1493"/>
      <c r="H130" s="1486"/>
      <c r="I130" s="1486"/>
      <c r="J130" s="1486"/>
      <c r="K130" s="1486"/>
      <c r="L130" s="1486"/>
      <c r="M130" s="1486"/>
      <c r="N130" s="1493"/>
      <c r="O130" s="1486"/>
      <c r="P130" s="1486"/>
      <c r="Q130" s="1486"/>
      <c r="R130" s="1486"/>
      <c r="S130" s="1486"/>
      <c r="T130" s="1486"/>
    </row>
    <row r="131" spans="1:20">
      <c r="A131" s="1486"/>
      <c r="B131" s="1486"/>
      <c r="C131" s="1486"/>
      <c r="D131" s="1486"/>
      <c r="E131" s="1486"/>
      <c r="F131" s="1486"/>
      <c r="G131" s="1493"/>
      <c r="H131" s="1486"/>
      <c r="I131" s="1486"/>
      <c r="J131" s="1486"/>
      <c r="K131" s="1486"/>
      <c r="L131" s="1486"/>
      <c r="M131" s="1486"/>
      <c r="N131" s="1493"/>
      <c r="O131" s="1486"/>
      <c r="P131" s="1486"/>
      <c r="Q131" s="1486"/>
      <c r="R131" s="1486"/>
      <c r="S131" s="1486"/>
      <c r="T131" s="1486"/>
    </row>
    <row r="132" spans="1:20">
      <c r="A132" s="1486"/>
      <c r="B132" s="1486"/>
      <c r="C132" s="1486"/>
      <c r="D132" s="1486"/>
      <c r="E132" s="1486"/>
      <c r="F132" s="1486"/>
      <c r="G132" s="1493"/>
      <c r="H132" s="1486"/>
      <c r="I132" s="1486"/>
      <c r="J132" s="1486"/>
      <c r="K132" s="1486"/>
      <c r="L132" s="1486"/>
      <c r="M132" s="1486"/>
      <c r="N132" s="1493"/>
      <c r="O132" s="1486"/>
      <c r="P132" s="1486"/>
      <c r="Q132" s="1486"/>
      <c r="R132" s="1486"/>
      <c r="S132" s="1486"/>
      <c r="T132" s="1486"/>
    </row>
    <row r="133" spans="1:20">
      <c r="A133" s="1486"/>
      <c r="B133" s="1486"/>
      <c r="C133" s="1486"/>
      <c r="D133" s="1486"/>
      <c r="E133" s="1486"/>
      <c r="F133" s="1486"/>
      <c r="G133" s="1493"/>
      <c r="H133" s="1486"/>
      <c r="I133" s="1486"/>
      <c r="J133" s="1486"/>
      <c r="K133" s="1486"/>
      <c r="L133" s="1486"/>
      <c r="M133" s="1486"/>
      <c r="N133" s="1493"/>
      <c r="O133" s="1486"/>
      <c r="P133" s="1486"/>
      <c r="Q133" s="1486"/>
      <c r="R133" s="1486"/>
      <c r="S133" s="1486"/>
      <c r="T133" s="1486"/>
    </row>
    <row r="134" spans="1:20">
      <c r="A134" s="1486"/>
      <c r="B134" s="1486"/>
      <c r="C134" s="1486"/>
      <c r="D134" s="1486"/>
      <c r="E134" s="1486"/>
      <c r="F134" s="1486"/>
      <c r="G134" s="1493"/>
      <c r="H134" s="1486"/>
      <c r="I134" s="1486"/>
      <c r="J134" s="1486"/>
      <c r="K134" s="1486"/>
      <c r="L134" s="1486"/>
      <c r="M134" s="1486"/>
      <c r="N134" s="1493"/>
      <c r="O134" s="1486"/>
      <c r="P134" s="1486"/>
      <c r="Q134" s="1486"/>
      <c r="R134" s="1486"/>
      <c r="S134" s="1486"/>
      <c r="T134" s="1486"/>
    </row>
    <row r="135" spans="1:20">
      <c r="A135" s="1486"/>
      <c r="B135" s="1486"/>
      <c r="C135" s="1486"/>
      <c r="D135" s="1486"/>
      <c r="E135" s="1486"/>
      <c r="F135" s="1486"/>
      <c r="G135" s="1493"/>
      <c r="H135" s="1486"/>
      <c r="I135" s="1486"/>
      <c r="J135" s="1486"/>
      <c r="K135" s="1486"/>
      <c r="L135" s="1486"/>
      <c r="M135" s="1486"/>
      <c r="N135" s="1493"/>
      <c r="O135" s="1486"/>
      <c r="P135" s="1486"/>
      <c r="Q135" s="1486"/>
      <c r="R135" s="1486"/>
      <c r="S135" s="1486"/>
      <c r="T135" s="1486"/>
    </row>
    <row r="136" spans="1:20">
      <c r="A136" s="1486"/>
      <c r="B136" s="1486"/>
      <c r="C136" s="1486"/>
      <c r="D136" s="1486"/>
      <c r="E136" s="1486"/>
      <c r="F136" s="1486"/>
      <c r="G136" s="1493"/>
      <c r="H136" s="1486"/>
      <c r="I136" s="1486"/>
      <c r="J136" s="1486"/>
      <c r="K136" s="1486"/>
      <c r="L136" s="1486"/>
      <c r="M136" s="1486"/>
      <c r="N136" s="1493"/>
      <c r="O136" s="1486"/>
      <c r="P136" s="1486"/>
      <c r="Q136" s="1486"/>
      <c r="R136" s="1486"/>
      <c r="S136" s="1486"/>
      <c r="T136" s="1486"/>
    </row>
    <row r="137" spans="1:20">
      <c r="A137" s="1486"/>
      <c r="B137" s="1486"/>
      <c r="C137" s="1486"/>
      <c r="D137" s="1486"/>
      <c r="E137" s="1486"/>
      <c r="F137" s="1486"/>
      <c r="G137" s="1493"/>
      <c r="H137" s="1486"/>
      <c r="I137" s="1486"/>
      <c r="J137" s="1486"/>
      <c r="K137" s="1486"/>
      <c r="L137" s="1486"/>
      <c r="M137" s="1486"/>
      <c r="N137" s="1493"/>
      <c r="O137" s="1486"/>
      <c r="P137" s="1486"/>
      <c r="Q137" s="1486"/>
      <c r="R137" s="1486"/>
      <c r="S137" s="1486"/>
      <c r="T137" s="1486"/>
    </row>
    <row r="138" spans="1:20">
      <c r="A138" s="1486"/>
      <c r="B138" s="1486"/>
      <c r="C138" s="1486"/>
      <c r="D138" s="1486"/>
      <c r="E138" s="1486"/>
      <c r="F138" s="1486"/>
      <c r="G138" s="1493"/>
      <c r="H138" s="1486"/>
      <c r="I138" s="1486"/>
      <c r="J138" s="1486"/>
      <c r="K138" s="1486"/>
      <c r="L138" s="1486"/>
      <c r="M138" s="1486"/>
      <c r="N138" s="1493"/>
      <c r="O138" s="1486"/>
      <c r="P138" s="1486"/>
      <c r="Q138" s="1486"/>
      <c r="R138" s="1486"/>
      <c r="S138" s="1486"/>
      <c r="T138" s="1486"/>
    </row>
    <row r="139" spans="1:20">
      <c r="A139" s="1486"/>
      <c r="B139" s="1486"/>
      <c r="C139" s="1486"/>
      <c r="D139" s="1486"/>
      <c r="E139" s="1486"/>
      <c r="F139" s="1486"/>
      <c r="G139" s="1493"/>
      <c r="H139" s="1486"/>
      <c r="I139" s="1486"/>
      <c r="J139" s="1486"/>
      <c r="K139" s="1486"/>
      <c r="L139" s="1486"/>
      <c r="M139" s="1486"/>
      <c r="N139" s="1493"/>
      <c r="O139" s="1486"/>
      <c r="P139" s="1486"/>
      <c r="Q139" s="1486"/>
      <c r="R139" s="1486"/>
      <c r="S139" s="1486"/>
      <c r="T139" s="1486"/>
    </row>
    <row r="140" spans="1:20">
      <c r="A140" s="1486"/>
      <c r="B140" s="1486"/>
      <c r="C140" s="1486"/>
      <c r="D140" s="1486"/>
      <c r="E140" s="1486"/>
      <c r="F140" s="1486"/>
      <c r="G140" s="1493"/>
      <c r="H140" s="1486"/>
      <c r="I140" s="1486"/>
      <c r="J140" s="1486"/>
      <c r="K140" s="1486"/>
      <c r="L140" s="1486"/>
      <c r="M140" s="1486"/>
      <c r="N140" s="1493"/>
      <c r="O140" s="1486"/>
      <c r="P140" s="1486"/>
      <c r="Q140" s="1486"/>
      <c r="R140" s="1486"/>
      <c r="S140" s="1486"/>
      <c r="T140" s="1486"/>
    </row>
    <row r="141" spans="1:20">
      <c r="A141" s="1486"/>
      <c r="B141" s="1486"/>
      <c r="C141" s="1486"/>
      <c r="D141" s="1486"/>
      <c r="E141" s="1486"/>
      <c r="F141" s="1486"/>
      <c r="G141" s="1493"/>
      <c r="H141" s="1486"/>
      <c r="I141" s="1486"/>
      <c r="J141" s="1486"/>
      <c r="K141" s="1486"/>
      <c r="L141" s="1486"/>
      <c r="M141" s="1486"/>
      <c r="N141" s="1493"/>
      <c r="O141" s="1486"/>
      <c r="P141" s="1486"/>
      <c r="Q141" s="1486"/>
      <c r="R141" s="1486"/>
      <c r="S141" s="1486"/>
      <c r="T141" s="1486"/>
    </row>
    <row r="142" spans="1:20">
      <c r="A142" s="1486"/>
      <c r="B142" s="1486"/>
      <c r="C142" s="1486"/>
      <c r="D142" s="1486"/>
      <c r="E142" s="1486"/>
      <c r="F142" s="1486"/>
      <c r="G142" s="1493"/>
      <c r="H142" s="1486"/>
      <c r="I142" s="1486"/>
      <c r="J142" s="1486"/>
      <c r="K142" s="1486"/>
      <c r="L142" s="1486"/>
      <c r="M142" s="1486"/>
      <c r="N142" s="1493"/>
      <c r="O142" s="1486"/>
      <c r="P142" s="1486"/>
      <c r="Q142" s="1486"/>
      <c r="R142" s="1486"/>
      <c r="S142" s="1486"/>
      <c r="T142" s="1486"/>
    </row>
    <row r="143" spans="1:20">
      <c r="A143" s="1486"/>
      <c r="B143" s="1486"/>
      <c r="C143" s="1486"/>
      <c r="D143" s="1486"/>
      <c r="E143" s="1486"/>
      <c r="F143" s="1486"/>
      <c r="G143" s="1493"/>
      <c r="H143" s="1486"/>
      <c r="I143" s="1486"/>
      <c r="J143" s="1486"/>
      <c r="K143" s="1486"/>
      <c r="L143" s="1486"/>
      <c r="M143" s="1486"/>
      <c r="N143" s="1493"/>
      <c r="O143" s="1486"/>
      <c r="P143" s="1486"/>
      <c r="Q143" s="1486"/>
      <c r="R143" s="1486"/>
      <c r="S143" s="1486"/>
      <c r="T143" s="1486"/>
    </row>
    <row r="144" spans="1:20">
      <c r="A144" s="1486"/>
      <c r="B144" s="1486"/>
      <c r="C144" s="1486"/>
      <c r="D144" s="1486"/>
      <c r="E144" s="1486"/>
      <c r="F144" s="1486"/>
      <c r="G144" s="1493"/>
      <c r="H144" s="1486"/>
      <c r="I144" s="1486"/>
      <c r="J144" s="1486"/>
      <c r="K144" s="1486"/>
      <c r="L144" s="1486"/>
      <c r="M144" s="1486"/>
      <c r="N144" s="1493"/>
      <c r="O144" s="1486"/>
      <c r="P144" s="1486"/>
      <c r="Q144" s="1486"/>
      <c r="R144" s="1486"/>
      <c r="S144" s="1486"/>
      <c r="T144" s="1486"/>
    </row>
    <row r="145" spans="1:20">
      <c r="A145" s="1486"/>
      <c r="B145" s="1486"/>
      <c r="C145" s="1486"/>
      <c r="D145" s="1486"/>
      <c r="E145" s="1486"/>
      <c r="F145" s="1486"/>
      <c r="G145" s="1493"/>
      <c r="H145" s="1486"/>
      <c r="I145" s="1486"/>
      <c r="J145" s="1486"/>
      <c r="K145" s="1486"/>
      <c r="L145" s="1486"/>
      <c r="M145" s="1486"/>
      <c r="N145" s="1493"/>
      <c r="O145" s="1486"/>
      <c r="P145" s="1486"/>
      <c r="Q145" s="1486"/>
      <c r="R145" s="1486"/>
      <c r="S145" s="1486"/>
      <c r="T145" s="1486"/>
    </row>
    <row r="146" spans="1:20">
      <c r="A146" s="1486"/>
      <c r="B146" s="1486"/>
      <c r="C146" s="1486"/>
      <c r="D146" s="1486"/>
      <c r="E146" s="1486"/>
      <c r="F146" s="1486"/>
      <c r="G146" s="1493"/>
      <c r="H146" s="1486"/>
      <c r="I146" s="1486"/>
      <c r="J146" s="1486"/>
      <c r="K146" s="1486"/>
      <c r="L146" s="1486"/>
      <c r="M146" s="1486"/>
      <c r="N146" s="1493"/>
      <c r="O146" s="1486"/>
      <c r="P146" s="1486"/>
      <c r="Q146" s="1486"/>
      <c r="R146" s="1486"/>
      <c r="S146" s="1486"/>
      <c r="T146" s="1486"/>
    </row>
    <row r="147" spans="1:20">
      <c r="A147" s="1486"/>
      <c r="B147" s="1486"/>
      <c r="C147" s="1486"/>
      <c r="D147" s="1486"/>
      <c r="E147" s="1486"/>
      <c r="F147" s="1486"/>
      <c r="G147" s="1493"/>
      <c r="H147" s="1486"/>
      <c r="I147" s="1486"/>
      <c r="J147" s="1486"/>
      <c r="K147" s="1486"/>
      <c r="L147" s="1486"/>
      <c r="M147" s="1486"/>
      <c r="N147" s="1493"/>
      <c r="O147" s="1486"/>
      <c r="P147" s="1486"/>
      <c r="Q147" s="1486"/>
      <c r="R147" s="1486"/>
      <c r="S147" s="1486"/>
      <c r="T147" s="1486"/>
    </row>
    <row r="148" spans="1:20">
      <c r="A148" s="1486"/>
      <c r="B148" s="1486"/>
      <c r="C148" s="1486"/>
      <c r="D148" s="1486"/>
      <c r="E148" s="1486"/>
      <c r="F148" s="1486"/>
      <c r="G148" s="1493"/>
      <c r="H148" s="1486"/>
      <c r="I148" s="1486"/>
      <c r="J148" s="1486"/>
      <c r="K148" s="1486"/>
      <c r="L148" s="1486"/>
      <c r="M148" s="1486"/>
      <c r="N148" s="1493"/>
      <c r="O148" s="1486"/>
      <c r="P148" s="1486"/>
      <c r="Q148" s="1486"/>
      <c r="R148" s="1486"/>
      <c r="S148" s="1486"/>
      <c r="T148" s="1486"/>
    </row>
  </sheetData>
  <mergeCells count="93">
    <mergeCell ref="Q109:S109"/>
    <mergeCell ref="A114:T114"/>
    <mergeCell ref="B99:C99"/>
    <mergeCell ref="I99:J99"/>
    <mergeCell ref="P99:Q99"/>
    <mergeCell ref="J107:L107"/>
    <mergeCell ref="J108:L108"/>
    <mergeCell ref="J109:L109"/>
    <mergeCell ref="P92:R92"/>
    <mergeCell ref="P93:R93"/>
    <mergeCell ref="P94:R94"/>
    <mergeCell ref="Q107:S107"/>
    <mergeCell ref="Q108:S108"/>
    <mergeCell ref="P97:R97"/>
    <mergeCell ref="P98:S98"/>
    <mergeCell ref="P104:S104"/>
    <mergeCell ref="I93:K93"/>
    <mergeCell ref="I94:K94"/>
    <mergeCell ref="I97:K97"/>
    <mergeCell ref="I98:L98"/>
    <mergeCell ref="I104:L104"/>
    <mergeCell ref="B93:D93"/>
    <mergeCell ref="B94:D94"/>
    <mergeCell ref="B97:D97"/>
    <mergeCell ref="B98:E98"/>
    <mergeCell ref="B104:E104"/>
    <mergeCell ref="P71:Q71"/>
    <mergeCell ref="P76:S76"/>
    <mergeCell ref="B87:T87"/>
    <mergeCell ref="B89:E89"/>
    <mergeCell ref="B90:E90"/>
    <mergeCell ref="B76:E76"/>
    <mergeCell ref="P89:S89"/>
    <mergeCell ref="P90:S90"/>
    <mergeCell ref="B92:D92"/>
    <mergeCell ref="I89:L89"/>
    <mergeCell ref="I90:L90"/>
    <mergeCell ref="I92:K92"/>
    <mergeCell ref="P62:S62"/>
    <mergeCell ref="P64:R64"/>
    <mergeCell ref="P65:R65"/>
    <mergeCell ref="P66:R66"/>
    <mergeCell ref="P69:R69"/>
    <mergeCell ref="P70:S70"/>
    <mergeCell ref="I65:K65"/>
    <mergeCell ref="I66:K66"/>
    <mergeCell ref="I69:K69"/>
    <mergeCell ref="I70:L70"/>
    <mergeCell ref="I71:J71"/>
    <mergeCell ref="I76:L76"/>
    <mergeCell ref="B65:D65"/>
    <mergeCell ref="B66:D66"/>
    <mergeCell ref="B69:D69"/>
    <mergeCell ref="B70:E70"/>
    <mergeCell ref="B71:C71"/>
    <mergeCell ref="P15:Q15"/>
    <mergeCell ref="P20:S20"/>
    <mergeCell ref="B59:T59"/>
    <mergeCell ref="B61:E61"/>
    <mergeCell ref="B62:E62"/>
    <mergeCell ref="I15:J15"/>
    <mergeCell ref="I20:L20"/>
    <mergeCell ref="B20:E20"/>
    <mergeCell ref="B64:D64"/>
    <mergeCell ref="I61:L61"/>
    <mergeCell ref="I62:L62"/>
    <mergeCell ref="I64:K64"/>
    <mergeCell ref="P61:S61"/>
    <mergeCell ref="P14:S14"/>
    <mergeCell ref="I9:K9"/>
    <mergeCell ref="I10:K10"/>
    <mergeCell ref="I13:K13"/>
    <mergeCell ref="I14:L14"/>
    <mergeCell ref="P9:R9"/>
    <mergeCell ref="P10:R10"/>
    <mergeCell ref="P13:R13"/>
    <mergeCell ref="B9:D9"/>
    <mergeCell ref="B10:D10"/>
    <mergeCell ref="B13:D13"/>
    <mergeCell ref="B14:E14"/>
    <mergeCell ref="B15:C15"/>
    <mergeCell ref="A1:T1"/>
    <mergeCell ref="B2:D2"/>
    <mergeCell ref="B3:T3"/>
    <mergeCell ref="B5:E5"/>
    <mergeCell ref="B6:E6"/>
    <mergeCell ref="P6:S6"/>
    <mergeCell ref="B8:D8"/>
    <mergeCell ref="I5:L5"/>
    <mergeCell ref="I6:L6"/>
    <mergeCell ref="I8:K8"/>
    <mergeCell ref="P5:S5"/>
    <mergeCell ref="P8:R8"/>
  </mergeCells>
  <pageMargins left="0.7" right="0.7" top="0.75" bottom="0.75" header="0.3" footer="0.3"/>
  <pageSetup orientation="portrait" horizontalDpi="4294967295" verticalDpi="4294967295"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66FF66"/>
  </sheetPr>
  <dimension ref="A1:BT245"/>
  <sheetViews>
    <sheetView showGridLines="0" zoomScale="55" zoomScaleNormal="55" workbookViewId="0">
      <pane ySplit="3" topLeftCell="A76" activePane="bottomLeft" state="frozen"/>
      <selection activeCell="BM11" sqref="BM11"/>
      <selection pane="bottomLeft" activeCell="A86" sqref="A86:XFD86"/>
    </sheetView>
  </sheetViews>
  <sheetFormatPr defaultRowHeight="14.4"/>
  <cols>
    <col min="1" max="1" width="3.33203125" style="98" customWidth="1"/>
    <col min="2" max="2" width="28.33203125" customWidth="1"/>
    <col min="3" max="3" width="33.33203125" customWidth="1"/>
    <col min="4" max="4" width="33.33203125" hidden="1" customWidth="1"/>
    <col min="5" max="5" width="23.6640625" customWidth="1"/>
    <col min="6" max="6" width="17.6640625" customWidth="1"/>
    <col min="7" max="7" width="18" customWidth="1"/>
    <col min="8" max="8" width="23.44140625" customWidth="1"/>
    <col min="9" max="9" width="15.109375" customWidth="1"/>
    <col min="10" max="10" width="16.44140625" bestFit="1" customWidth="1"/>
    <col min="11" max="11" width="16" bestFit="1" customWidth="1"/>
    <col min="12" max="12" width="18.33203125" bestFit="1" customWidth="1"/>
    <col min="13" max="13" width="20.6640625" bestFit="1" customWidth="1"/>
    <col min="14" max="14" width="29" customWidth="1"/>
    <col min="15" max="15" width="9.33203125" customWidth="1"/>
    <col min="16" max="16" width="11.6640625" customWidth="1"/>
    <col min="17" max="23" width="11.6640625" style="98" customWidth="1"/>
    <col min="24" max="24" width="6.6640625" style="98" customWidth="1"/>
    <col min="25" max="25" width="17" style="98" bestFit="1" customWidth="1"/>
    <col min="26" max="30" width="10.6640625" style="98" customWidth="1"/>
    <col min="31" max="31" width="6.44140625" style="98" bestFit="1" customWidth="1"/>
    <col min="32" max="32" width="10.6640625" style="98" customWidth="1"/>
    <col min="33" max="37" width="10.6640625" customWidth="1"/>
    <col min="38" max="38" width="3.44140625" customWidth="1"/>
    <col min="39" max="39" width="6.44140625" customWidth="1"/>
    <col min="40" max="40" width="25.33203125" customWidth="1"/>
    <col min="41" max="41" width="14.44140625" customWidth="1"/>
    <col min="42" max="42" width="15.33203125" customWidth="1"/>
    <col min="43" max="43" width="13.44140625" customWidth="1"/>
    <col min="44" max="44" width="14.6640625" customWidth="1"/>
    <col min="45" max="45" width="16.33203125" customWidth="1"/>
    <col min="46" max="46" width="14.6640625" customWidth="1"/>
    <col min="47" max="47" width="15.5546875" customWidth="1"/>
    <col min="48" max="50" width="12.6640625" customWidth="1"/>
    <col min="51" max="51" width="16.109375" customWidth="1"/>
    <col min="52" max="52" width="12.6640625" customWidth="1"/>
    <col min="53" max="53" width="16" customWidth="1"/>
    <col min="54" max="54" width="15.33203125" customWidth="1"/>
    <col min="55" max="55" width="14.44140625" customWidth="1"/>
    <col min="56" max="56" width="13.88671875" customWidth="1"/>
    <col min="57" max="57" width="13.33203125" customWidth="1"/>
    <col min="58" max="58" width="13" customWidth="1"/>
    <col min="59" max="62" width="18.109375" customWidth="1"/>
    <col min="63" max="63" width="18.109375" style="94" customWidth="1"/>
    <col min="64" max="64" width="18.109375" customWidth="1"/>
    <col min="65" max="72" width="13.33203125" customWidth="1"/>
  </cols>
  <sheetData>
    <row r="1" spans="1:67">
      <c r="A1" s="98">
        <v>13</v>
      </c>
      <c r="F1" s="1"/>
      <c r="G1" s="95"/>
      <c r="H1" s="1"/>
      <c r="L1" s="142"/>
      <c r="M1" s="142"/>
      <c r="AU1" s="1"/>
      <c r="AV1" s="95"/>
      <c r="AW1" s="95"/>
      <c r="AZ1" s="95"/>
      <c r="BA1" s="1"/>
    </row>
    <row r="2" spans="1:67" s="89" customFormat="1" ht="18.75" customHeight="1">
      <c r="A2" s="107"/>
      <c r="B2" s="495"/>
      <c r="C2" s="496"/>
      <c r="D2" s="1245"/>
      <c r="E2" s="497" t="s">
        <v>551</v>
      </c>
      <c r="F2" s="2914" t="str">
        <f ca="1">TEXT(TODAY()-1,"mmmm")</f>
        <v>September</v>
      </c>
      <c r="G2" s="2915"/>
      <c r="H2" s="2915"/>
      <c r="I2" s="2915"/>
      <c r="J2" s="2916"/>
      <c r="K2" s="2914">
        <f ca="1">YEAR(NOW()-1)</f>
        <v>2026</v>
      </c>
      <c r="L2" s="2915"/>
      <c r="M2" s="2915"/>
      <c r="N2" s="2915"/>
      <c r="P2" s="2917" t="s">
        <v>552</v>
      </c>
      <c r="Q2" s="2917"/>
      <c r="R2" s="2917"/>
      <c r="S2" s="2917"/>
      <c r="T2" s="2917"/>
      <c r="U2" s="2917"/>
      <c r="V2" s="2917"/>
      <c r="W2" s="2917"/>
      <c r="X2" s="107"/>
      <c r="Y2" s="2917" t="s">
        <v>553</v>
      </c>
      <c r="Z2" s="2917"/>
      <c r="AA2" s="2917"/>
      <c r="AB2" s="2917"/>
      <c r="AC2" s="2917"/>
      <c r="AD2" s="2917"/>
      <c r="AE2" s="107"/>
      <c r="AF2" s="2917" t="s">
        <v>554</v>
      </c>
      <c r="AG2" s="2917"/>
      <c r="AH2" s="2917"/>
      <c r="AI2" s="2917"/>
      <c r="AJ2" s="2917"/>
      <c r="AK2" s="2917"/>
      <c r="AP2" s="105"/>
      <c r="AQ2" s="326"/>
      <c r="AR2"/>
      <c r="AT2" s="105"/>
      <c r="AU2" s="105">
        <f>SUM(AU48:BA48)+SUM(AU111:AZ111)</f>
        <v>293017.20204180281</v>
      </c>
      <c r="AV2" s="105"/>
      <c r="AW2" s="105"/>
    </row>
    <row r="3" spans="1:67" s="89" customFormat="1" ht="18">
      <c r="A3" s="107"/>
      <c r="B3" s="498"/>
      <c r="C3" s="499"/>
      <c r="D3" s="1246"/>
      <c r="E3" s="500" t="s">
        <v>13</v>
      </c>
      <c r="F3" s="501" t="s">
        <v>11</v>
      </c>
      <c r="G3" s="501" t="s">
        <v>12</v>
      </c>
      <c r="H3" s="502" t="s">
        <v>8</v>
      </c>
      <c r="I3" s="503" t="s">
        <v>555</v>
      </c>
      <c r="J3" s="504" t="s">
        <v>25</v>
      </c>
      <c r="K3" s="501" t="s">
        <v>556</v>
      </c>
      <c r="L3" s="501" t="s">
        <v>557</v>
      </c>
      <c r="M3" s="502" t="s">
        <v>10</v>
      </c>
      <c r="N3" s="503" t="s">
        <v>558</v>
      </c>
      <c r="P3" s="115"/>
      <c r="Q3" s="115"/>
      <c r="R3" s="115"/>
      <c r="S3" s="115"/>
      <c r="T3" s="115"/>
      <c r="U3" s="115"/>
      <c r="V3" s="115"/>
      <c r="W3" s="115"/>
      <c r="X3" s="107"/>
      <c r="Y3" s="115"/>
      <c r="Z3" s="115"/>
      <c r="AA3" s="115"/>
      <c r="AB3" s="115"/>
      <c r="AC3" s="115"/>
      <c r="AD3" s="115"/>
      <c r="AE3" s="107"/>
      <c r="AF3" s="137"/>
      <c r="AG3" s="137"/>
      <c r="AH3" s="137"/>
      <c r="AI3" s="137"/>
      <c r="AJ3" s="137"/>
      <c r="AK3" s="137"/>
      <c r="AN3" s="105"/>
      <c r="AP3" s="79" t="str">
        <f ca="1">"Y"&amp;K2</f>
        <v>Y2026</v>
      </c>
      <c r="AQ3" s="80" t="s">
        <v>559</v>
      </c>
      <c r="AR3" s="80" t="s">
        <v>560</v>
      </c>
      <c r="AS3" s="80" t="s">
        <v>34</v>
      </c>
      <c r="AT3" s="80" t="s">
        <v>561</v>
      </c>
      <c r="AU3" s="80" t="s">
        <v>562</v>
      </c>
      <c r="AV3" s="80" t="s">
        <v>563</v>
      </c>
      <c r="AW3" s="80" t="s">
        <v>564</v>
      </c>
      <c r="AX3" s="80" t="s">
        <v>565</v>
      </c>
      <c r="AY3" s="80" t="s">
        <v>566</v>
      </c>
      <c r="AZ3" s="80" t="s">
        <v>567</v>
      </c>
      <c r="BA3" s="80" t="s">
        <v>568</v>
      </c>
      <c r="BB3" s="80" t="s">
        <v>569</v>
      </c>
      <c r="BC3" s="80" t="s">
        <v>570</v>
      </c>
      <c r="BD3" s="80" t="s">
        <v>571</v>
      </c>
      <c r="BE3" s="80" t="s">
        <v>572</v>
      </c>
      <c r="BF3" s="81" t="s">
        <v>573</v>
      </c>
    </row>
    <row r="4" spans="1:67" ht="18">
      <c r="B4" s="2439">
        <f ca="1">DAY(TODAY()-1)</f>
        <v>7</v>
      </c>
      <c r="C4" s="506"/>
      <c r="D4" s="506"/>
      <c r="E4" s="506"/>
      <c r="F4" s="506"/>
      <c r="G4" s="506"/>
      <c r="H4" s="506"/>
      <c r="I4" s="506"/>
      <c r="J4" s="506"/>
      <c r="K4" s="506"/>
      <c r="L4" s="506"/>
      <c r="M4" s="506"/>
      <c r="N4" s="506"/>
      <c r="AN4" s="1"/>
      <c r="AU4" s="98">
        <v>1</v>
      </c>
      <c r="AV4" s="98">
        <v>2</v>
      </c>
      <c r="AW4" s="98">
        <v>3</v>
      </c>
      <c r="AX4" s="98">
        <v>4</v>
      </c>
      <c r="AY4" s="98">
        <v>5</v>
      </c>
      <c r="AZ4" s="98">
        <v>6</v>
      </c>
      <c r="BA4" s="98">
        <v>7</v>
      </c>
      <c r="BB4" s="98">
        <v>8</v>
      </c>
      <c r="BC4" s="98">
        <v>9</v>
      </c>
      <c r="BD4" s="98">
        <v>10</v>
      </c>
      <c r="BE4" s="98">
        <v>11</v>
      </c>
      <c r="BF4" s="98">
        <v>12</v>
      </c>
      <c r="BM4" s="38"/>
      <c r="BN4" s="38"/>
      <c r="BO4" s="38"/>
    </row>
    <row r="5" spans="1:67" ht="18">
      <c r="B5" s="507" t="s">
        <v>482</v>
      </c>
      <c r="C5" s="508"/>
      <c r="D5" s="1247"/>
      <c r="E5" s="509"/>
      <c r="F5" s="510"/>
      <c r="G5" s="510"/>
      <c r="H5" s="510"/>
      <c r="I5" s="510"/>
      <c r="J5" s="510"/>
      <c r="K5" s="510"/>
      <c r="L5" s="510"/>
      <c r="M5" s="510"/>
      <c r="N5" s="510"/>
      <c r="P5" s="93"/>
      <c r="AM5" s="395" t="s">
        <v>574</v>
      </c>
      <c r="AN5" s="396"/>
      <c r="AO5" s="371" t="s">
        <v>11</v>
      </c>
      <c r="AP5" s="406">
        <f t="shared" ref="AP5:BF5" si="0">AP15+AP99</f>
        <v>56230227.39000003</v>
      </c>
      <c r="AQ5" s="390">
        <f t="shared" si="0"/>
        <v>13220227.39000003</v>
      </c>
      <c r="AR5" s="390">
        <f t="shared" si="0"/>
        <v>13505000</v>
      </c>
      <c r="AS5" s="391">
        <f t="shared" si="0"/>
        <v>15665000</v>
      </c>
      <c r="AT5" s="391">
        <f t="shared" si="0"/>
        <v>13840000</v>
      </c>
      <c r="AU5" s="382">
        <f t="shared" si="0"/>
        <v>4460227.3900000304</v>
      </c>
      <c r="AV5" s="379">
        <f t="shared" si="0"/>
        <v>4205000</v>
      </c>
      <c r="AW5" s="379">
        <f t="shared" si="0"/>
        <v>4555000</v>
      </c>
      <c r="AX5" s="379">
        <f t="shared" si="0"/>
        <v>4385000</v>
      </c>
      <c r="AY5" s="379">
        <f t="shared" si="0"/>
        <v>4650000</v>
      </c>
      <c r="AZ5" s="379">
        <f t="shared" si="0"/>
        <v>4470000</v>
      </c>
      <c r="BA5" s="379">
        <f t="shared" si="0"/>
        <v>5270000</v>
      </c>
      <c r="BB5" s="379">
        <f t="shared" si="0"/>
        <v>5370000</v>
      </c>
      <c r="BC5" s="379">
        <f t="shared" si="0"/>
        <v>5025000</v>
      </c>
      <c r="BD5" s="379">
        <f t="shared" si="0"/>
        <v>4770000</v>
      </c>
      <c r="BE5" s="379">
        <f t="shared" si="0"/>
        <v>4520000</v>
      </c>
      <c r="BF5" s="388">
        <f t="shared" si="0"/>
        <v>4550000</v>
      </c>
      <c r="BG5" s="72"/>
      <c r="BH5" s="72"/>
      <c r="BI5" s="72"/>
      <c r="BJ5" s="72"/>
      <c r="BK5" s="38"/>
      <c r="BL5" s="38"/>
      <c r="BM5" s="94"/>
    </row>
    <row r="6" spans="1:67" ht="19.95" customHeight="1">
      <c r="A6" s="145"/>
      <c r="B6" s="511"/>
      <c r="C6" s="512" t="s">
        <v>81</v>
      </c>
      <c r="D6" s="565"/>
      <c r="E6" s="513" t="str">
        <f ca="1">IFERROR(ROUND(LOOKUP(B4,'[2]August TCM'!B10:B40,'[2]August TCM'!J10:J40),0)&amp;"mm/"&amp;ROUND(LOOKUP(B4,'[2]August TCM'!B10:B40,'[2]August TCM'!K10:K40),0)&amp;"h/"&amp;ROUND(LOOKUP(B4,'[2]August TCM'!B10:B40,'[2]August TCM'!K10:K40)*100/24,0)&amp;"%","")</f>
        <v/>
      </c>
      <c r="F6" s="2924" t="str">
        <f ca="1">ROUND(LOOKUP(MATCH(F2,$AU$3:$BF$3,0),$AU$4:$BF$4,AU124:BF124),0)&amp;"mm/"&amp;ROUND(LOOKUP(MATCH(F2,$AU$3:$BF$3,0),$AU$4:$BF$4,AU125:BF125),0)&amp;"h/"&amp;ROUND(LOOKUP(MATCH(F2,$AU$3:$BF$3,0),$AU$4:$BF$4,AU126:BF126)*100,0)&amp;"%"</f>
        <v>205mm/71h/10%</v>
      </c>
      <c r="G6" s="514"/>
      <c r="H6" s="515" t="str">
        <f ca="1">+ROUND('September TCM'!J42,0)&amp;"mm/"&amp;ROUND('September TCM'!K42,0)&amp;"h/"&amp;ROUND('September TCM'!K42*100/(B4*24),0)&amp;"%"</f>
        <v>0mm/0h/0%</v>
      </c>
      <c r="I6" s="515"/>
      <c r="J6" s="515"/>
      <c r="K6" s="514"/>
      <c r="L6" s="514"/>
      <c r="M6" s="514"/>
      <c r="N6" s="515"/>
      <c r="P6" s="93"/>
      <c r="AM6" s="372"/>
      <c r="AN6" s="373"/>
      <c r="AO6" s="373" t="s">
        <v>12</v>
      </c>
      <c r="AP6" s="374">
        <f t="shared" ref="AP6:BF6" ca="1" si="1">AP16+AP100</f>
        <v>50215103.448454998</v>
      </c>
      <c r="AQ6" s="385">
        <f t="shared" ca="1" si="1"/>
        <v>11523740.765500002</v>
      </c>
      <c r="AR6" s="385">
        <f t="shared" ca="1" si="1"/>
        <v>12902155.53984</v>
      </c>
      <c r="AS6" s="392">
        <f t="shared" ca="1" si="1"/>
        <v>13327319.282200001</v>
      </c>
      <c r="AT6" s="392">
        <f t="shared" ca="1" si="1"/>
        <v>12461887.860915001</v>
      </c>
      <c r="AU6" s="383">
        <f t="shared" si="1"/>
        <v>4425000</v>
      </c>
      <c r="AV6" s="380">
        <f t="shared" si="1"/>
        <v>4335000</v>
      </c>
      <c r="AW6" s="380">
        <f t="shared" si="1"/>
        <v>4205000</v>
      </c>
      <c r="AX6" s="380">
        <f t="shared" si="1"/>
        <v>4305000</v>
      </c>
      <c r="AY6" s="380">
        <f t="shared" si="1"/>
        <v>4230000</v>
      </c>
      <c r="AZ6" s="380">
        <f t="shared" si="1"/>
        <v>4310000</v>
      </c>
      <c r="BA6" s="380">
        <f t="shared" si="1"/>
        <v>4350000</v>
      </c>
      <c r="BB6" s="380">
        <f t="shared" si="1"/>
        <v>4405000</v>
      </c>
      <c r="BC6" s="380">
        <f t="shared" si="1"/>
        <v>4030000</v>
      </c>
      <c r="BD6" s="380">
        <f t="shared" si="1"/>
        <v>4248408.8031000001</v>
      </c>
      <c r="BE6" s="380">
        <f t="shared" si="1"/>
        <v>4100000</v>
      </c>
      <c r="BF6" s="380">
        <f t="shared" si="1"/>
        <v>4113479.0578150004</v>
      </c>
      <c r="BG6" s="72"/>
      <c r="BH6" s="72"/>
      <c r="BI6" s="72"/>
      <c r="BJ6" s="72"/>
    </row>
    <row r="7" spans="1:67" ht="18">
      <c r="A7" s="145"/>
      <c r="B7" s="511"/>
      <c r="C7" s="512" t="s">
        <v>37</v>
      </c>
      <c r="D7" s="565"/>
      <c r="E7" s="516" t="str">
        <f ca="1">IFERROR(ROUND(LOOKUP(B4,'September TCM'!B10:B40,'September TCM'!L10:L40),0)&amp;"mm/"&amp;ROUND(LOOKUP(B4,'September TCM'!B10:B40,'September TCM'!M10:M40),0)&amp;"h/"&amp;ROUND(LOOKUP(B4,'September TCM'!B10:B40,'September TCM'!M10:M40)*100/24,0)&amp;"%","")</f>
        <v>0mm/0h/0%</v>
      </c>
      <c r="F7" s="2925"/>
      <c r="G7" s="514"/>
      <c r="H7" s="515" t="str">
        <f ca="1">+ROUND('September TCM'!L42,0)&amp;"mm/"&amp;ROUND('September TCM'!M42,0)&amp;"h/"&amp;ROUND('September TCM'!M42*100/(B4*24),0)&amp;"%"</f>
        <v>73mm/10h/6%</v>
      </c>
      <c r="I7" s="515"/>
      <c r="J7" s="515"/>
      <c r="K7" s="514"/>
      <c r="L7" s="514"/>
      <c r="M7" s="514"/>
      <c r="N7" s="515"/>
      <c r="P7" s="93"/>
      <c r="AM7" s="372"/>
      <c r="AN7" s="373"/>
      <c r="AO7" s="373" t="s">
        <v>13</v>
      </c>
      <c r="AP7" s="376">
        <f t="shared" ref="AP7:BF7" si="2">AP17+AP101</f>
        <v>34815717.587540001</v>
      </c>
      <c r="AQ7" s="386">
        <f t="shared" si="2"/>
        <v>11523740.765500002</v>
      </c>
      <c r="AR7" s="386">
        <f t="shared" si="2"/>
        <v>12902155.53984</v>
      </c>
      <c r="AS7" s="393">
        <f t="shared" si="2"/>
        <v>10389821.282200001</v>
      </c>
      <c r="AT7" s="393">
        <f t="shared" si="2"/>
        <v>0</v>
      </c>
      <c r="AU7" s="384">
        <f>AU17+AU101</f>
        <v>3763115.6491000005</v>
      </c>
      <c r="AV7" s="381">
        <f t="shared" si="2"/>
        <v>3631277.0373</v>
      </c>
      <c r="AW7" s="381">
        <f t="shared" si="2"/>
        <v>4129348.0790999997</v>
      </c>
      <c r="AX7" s="381">
        <f t="shared" si="2"/>
        <v>4273947.8919000002</v>
      </c>
      <c r="AY7" s="381">
        <f t="shared" si="2"/>
        <v>4248074.3830000004</v>
      </c>
      <c r="AZ7" s="381">
        <f t="shared" si="2"/>
        <v>4380133.2649400001</v>
      </c>
      <c r="BA7" s="381">
        <f t="shared" si="2"/>
        <v>4534677.9929999998</v>
      </c>
      <c r="BB7" s="381">
        <f t="shared" si="2"/>
        <v>4762641.2892000005</v>
      </c>
      <c r="BC7" s="381">
        <f t="shared" si="2"/>
        <v>1092502</v>
      </c>
      <c r="BD7" s="381">
        <f t="shared" si="2"/>
        <v>0</v>
      </c>
      <c r="BE7" s="381">
        <f t="shared" si="2"/>
        <v>0</v>
      </c>
      <c r="BF7" s="389">
        <f t="shared" si="2"/>
        <v>0</v>
      </c>
      <c r="BG7" s="2104"/>
      <c r="BH7" s="2104"/>
      <c r="BI7" s="2104"/>
      <c r="BJ7" s="2104"/>
      <c r="BK7" s="2104"/>
      <c r="BL7" s="2104"/>
      <c r="BM7" s="94"/>
    </row>
    <row r="8" spans="1:67" ht="18">
      <c r="A8" s="339">
        <f ca="1">DAY(TODAY()-1)/AC141</f>
        <v>0.23333333333333334</v>
      </c>
      <c r="B8" s="511"/>
      <c r="C8" s="512" t="s">
        <v>35</v>
      </c>
      <c r="D8" s="565"/>
      <c r="E8" s="516" t="str">
        <f ca="1">E119</f>
        <v>0mm/0h/0%</v>
      </c>
      <c r="F8" s="2926"/>
      <c r="G8" s="514"/>
      <c r="H8" s="515" t="str">
        <f ca="1">H119</f>
        <v>0mm/0h/0%</v>
      </c>
      <c r="I8" s="515"/>
      <c r="J8" s="515"/>
      <c r="K8" s="514"/>
      <c r="L8" s="514"/>
      <c r="M8" s="514"/>
      <c r="N8" s="515"/>
      <c r="P8" s="93"/>
      <c r="AM8" s="372"/>
      <c r="AN8" s="373"/>
      <c r="AO8" s="373" t="s">
        <v>555</v>
      </c>
      <c r="AP8" s="378">
        <f>IFERROR(AP7/AP5,"")</f>
        <v>0.61916373458826912</v>
      </c>
      <c r="AQ8" s="1657">
        <f>IFERROR(AQ7/AQ5,"")</f>
        <v>0.87167492854296325</v>
      </c>
      <c r="AR8" s="387">
        <f>IFERROR(AR7/AR5,"")</f>
        <v>0.95536138762236211</v>
      </c>
      <c r="AS8" s="394">
        <f>IFERROR(AS7/AS5,"")</f>
        <v>0.66325064042132154</v>
      </c>
      <c r="AT8" s="409">
        <f>IFERROR(AT7/AT5,"")</f>
        <v>0</v>
      </c>
      <c r="AU8" s="413">
        <f t="shared" ref="AU8:BF8" si="3">IFERROR(AU7/AU5,"")</f>
        <v>0.84370488767837792</v>
      </c>
      <c r="AV8" s="413">
        <f t="shared" si="3"/>
        <v>0.86356172111771701</v>
      </c>
      <c r="AW8" s="413">
        <f t="shared" si="3"/>
        <v>0.9065528164873764</v>
      </c>
      <c r="AX8" s="413">
        <f t="shared" si="3"/>
        <v>0.97467454775370588</v>
      </c>
      <c r="AY8" s="413">
        <f t="shared" si="3"/>
        <v>0.91356438344086033</v>
      </c>
      <c r="AZ8" s="413">
        <f t="shared" si="3"/>
        <v>0.97989558499776286</v>
      </c>
      <c r="BA8" s="2481">
        <f t="shared" si="3"/>
        <v>0.86047020740037949</v>
      </c>
      <c r="BB8" s="2481">
        <f t="shared" si="3"/>
        <v>0.88689781921787714</v>
      </c>
      <c r="BC8" s="2481">
        <f t="shared" si="3"/>
        <v>0.21741333333333332</v>
      </c>
      <c r="BD8" s="102">
        <f t="shared" si="3"/>
        <v>0</v>
      </c>
      <c r="BE8" s="102">
        <f t="shared" si="3"/>
        <v>0</v>
      </c>
      <c r="BF8" s="102">
        <f t="shared" si="3"/>
        <v>0</v>
      </c>
      <c r="BG8" s="2289"/>
      <c r="BH8" s="2289"/>
      <c r="BI8" s="2289"/>
      <c r="BJ8" s="2289"/>
      <c r="BK8" s="2290"/>
      <c r="BL8" s="2291"/>
    </row>
    <row r="9" spans="1:67" ht="18.600000000000001" thickBot="1">
      <c r="A9" s="1173">
        <f ca="1">+A8-0.1</f>
        <v>0.13333333333333333</v>
      </c>
      <c r="B9" s="871"/>
      <c r="C9" s="872" t="s">
        <v>499</v>
      </c>
      <c r="D9" s="1248"/>
      <c r="E9" s="967" t="str">
        <f ca="1">IFERROR(ROUND(AVERAGE(LOOKUP($B$4,'September TCM'!$B$10:$B$40,'September TCM'!$H$10:$H$40),LOOKUP($B$4,'September TCM'!$B$10:$B$40,'September TCM'!$L$10:$L$40)),0)&amp;"mm/"&amp;ROUND(AVERAGE(LOOKUP($B$4,'September TCM'!$B$10:$B$40,'September TCM'!$I$10:$I$40),LOOKUP($B$4,'September TCM'!$B$10:$B$40,'September TCM'!$N$10:$N$40)),0)&amp;"h/"&amp;ROUND(AVERAGE(LOOKUP($B$4,'September TCM'!$B$10:$B$40,'September TCM'!$I$10:$I$40),LOOKUP($B$4,'September TCM'!$B$10:$B$40,'September TCM'!$M$10:$M$40))*100/24,0)&amp;"%","0mm/0h/0%")</f>
        <v>0mm/0h/0%</v>
      </c>
      <c r="F9" s="873"/>
      <c r="G9" s="526"/>
      <c r="H9" s="1443" t="str">
        <f ca="1">ROUND(AVERAGE('September TCM'!H42,'September TCM'!L42),0)&amp;"mm/"&amp;ROUND(AVERAGE('September TCM'!I42,'September TCM'!M42),0)&amp;"h/"&amp;IFERROR(ROUND(AVERAGE('September TCM'!I42,'September TCM'!M42)*100/($B$4*24),0),0)&amp;"%"</f>
        <v>42mm/7h/4%</v>
      </c>
      <c r="I9" s="874"/>
      <c r="J9" s="874"/>
      <c r="K9" s="875"/>
      <c r="L9" s="875"/>
      <c r="M9" s="875"/>
      <c r="N9" s="874"/>
      <c r="P9" s="93"/>
      <c r="AM9" s="372"/>
      <c r="AN9" s="373"/>
      <c r="AO9" s="373" t="s">
        <v>575</v>
      </c>
      <c r="AP9" s="1659">
        <f t="shared" ref="AP9:BF9" ca="1" si="4">IFERROR(AP7/AP6,"")</f>
        <v>0.6933315914260294</v>
      </c>
      <c r="AQ9" s="1658">
        <f t="shared" ca="1" si="4"/>
        <v>1</v>
      </c>
      <c r="AR9" s="411">
        <f t="shared" ca="1" si="4"/>
        <v>1</v>
      </c>
      <c r="AS9" s="411">
        <f t="shared" ca="1" si="4"/>
        <v>0.77958823242695707</v>
      </c>
      <c r="AT9" s="408">
        <f t="shared" ca="1" si="4"/>
        <v>0</v>
      </c>
      <c r="AU9" s="1615">
        <f t="shared" si="4"/>
        <v>0.8504216156158193</v>
      </c>
      <c r="AV9" s="1615">
        <f t="shared" si="4"/>
        <v>0.83766482982698964</v>
      </c>
      <c r="AW9" s="1615">
        <f t="shared" si="4"/>
        <v>0.98200905567181918</v>
      </c>
      <c r="AX9" s="1616">
        <f t="shared" si="4"/>
        <v>0.99278696675958189</v>
      </c>
      <c r="AY9" s="1617">
        <f t="shared" si="4"/>
        <v>1.004272903782506</v>
      </c>
      <c r="AZ9" s="1617">
        <f t="shared" si="4"/>
        <v>1.0162722192436195</v>
      </c>
      <c r="BA9" s="2480">
        <f t="shared" si="4"/>
        <v>1.0424547110344826</v>
      </c>
      <c r="BB9" s="2480">
        <f t="shared" si="4"/>
        <v>1.0811898499886494</v>
      </c>
      <c r="BC9" s="2480">
        <f t="shared" si="4"/>
        <v>0.27109230769230769</v>
      </c>
      <c r="BD9" s="195">
        <f t="shared" si="4"/>
        <v>0</v>
      </c>
      <c r="BE9" s="195">
        <f t="shared" si="4"/>
        <v>0</v>
      </c>
      <c r="BF9" s="410">
        <f t="shared" si="4"/>
        <v>0</v>
      </c>
      <c r="BG9" s="1425"/>
      <c r="BH9" s="1425"/>
      <c r="BI9" s="1425"/>
      <c r="BJ9" s="1425"/>
      <c r="BK9" s="1425"/>
      <c r="BL9" s="1425"/>
    </row>
    <row r="10" spans="1:67" ht="15.6" customHeight="1">
      <c r="A10" s="145"/>
      <c r="B10" s="511" t="s">
        <v>576</v>
      </c>
      <c r="C10" s="512"/>
      <c r="D10" s="565"/>
      <c r="E10" s="518">
        <f ca="1">SUM(E11:E13)</f>
        <v>133670</v>
      </c>
      <c r="F10" s="518">
        <f ca="1">SUM(F11:F13)</f>
        <v>4305000</v>
      </c>
      <c r="G10" s="518">
        <f ca="1">SUM(G11:G13)</f>
        <v>3530000</v>
      </c>
      <c r="H10" s="518">
        <f>SUM(H11:H13)</f>
        <v>934811</v>
      </c>
      <c r="I10" s="628">
        <f t="shared" ref="I10:I17" ca="1" si="5">IFERROR(H10/F10,"")</f>
        <v>0.21714541231126597</v>
      </c>
      <c r="J10" s="628">
        <f t="shared" ref="J10:J18" ca="1" si="6">IFERROR(H10/G10,"")</f>
        <v>0.26481898016997168</v>
      </c>
      <c r="K10" s="518">
        <f ca="1">SUM(K11:K13)</f>
        <v>35970227.39000003</v>
      </c>
      <c r="L10" s="518">
        <f ca="1">SUM(L11:L13)</f>
        <v>31821732.375840001</v>
      </c>
      <c r="M10" s="518">
        <f ca="1">SUM(M11:M13)</f>
        <v>29226543.375840001</v>
      </c>
      <c r="N10" s="519">
        <f ca="1">IFERROR(M10/K10,"")</f>
        <v>0.8125203952412372</v>
      </c>
      <c r="P10" s="93"/>
      <c r="AM10" s="397" t="s">
        <v>577</v>
      </c>
      <c r="AN10" s="398"/>
      <c r="AO10" s="399" t="s">
        <v>11</v>
      </c>
      <c r="AP10" s="404">
        <f t="shared" ref="AP10:BF10" si="7">AP33+AP109</f>
        <v>4000000</v>
      </c>
      <c r="AQ10" s="405">
        <f t="shared" si="7"/>
        <v>915000</v>
      </c>
      <c r="AR10" s="405">
        <f t="shared" si="7"/>
        <v>1015000</v>
      </c>
      <c r="AS10" s="405">
        <f t="shared" si="7"/>
        <v>1055000</v>
      </c>
      <c r="AT10" s="405">
        <f t="shared" si="7"/>
        <v>1015000</v>
      </c>
      <c r="AU10" s="405">
        <f t="shared" si="7"/>
        <v>295000</v>
      </c>
      <c r="AV10" s="405">
        <f t="shared" si="7"/>
        <v>310000</v>
      </c>
      <c r="AW10" s="405">
        <f t="shared" si="7"/>
        <v>310000</v>
      </c>
      <c r="AX10" s="405">
        <f t="shared" si="7"/>
        <v>345000</v>
      </c>
      <c r="AY10" s="405">
        <f t="shared" si="7"/>
        <v>345000</v>
      </c>
      <c r="AZ10" s="405">
        <f t="shared" si="7"/>
        <v>325000</v>
      </c>
      <c r="BA10" s="405">
        <f t="shared" si="7"/>
        <v>335000</v>
      </c>
      <c r="BB10" s="405">
        <f t="shared" si="7"/>
        <v>360000</v>
      </c>
      <c r="BC10" s="405">
        <f t="shared" si="7"/>
        <v>360000</v>
      </c>
      <c r="BD10" s="405">
        <f t="shared" si="7"/>
        <v>335000</v>
      </c>
      <c r="BE10" s="405">
        <f t="shared" si="7"/>
        <v>335000</v>
      </c>
      <c r="BF10" s="405">
        <f t="shared" si="7"/>
        <v>345000</v>
      </c>
      <c r="BG10" s="72"/>
      <c r="BH10" s="72"/>
      <c r="BI10" s="38"/>
      <c r="BJ10" s="38"/>
      <c r="BK10" s="38"/>
      <c r="BL10" s="38"/>
    </row>
    <row r="11" spans="1:67" ht="18">
      <c r="B11" s="511"/>
      <c r="C11" s="512" t="s">
        <v>16</v>
      </c>
      <c r="D11" s="565"/>
      <c r="E11" s="520">
        <f ca="1">IFERROR(LOOKUP(B4,'September TCM'!B10:B40,'September TCM'!O10:O40),0)</f>
        <v>88536</v>
      </c>
      <c r="F11" s="514">
        <f ca="1">LOOKUP(MATCH(F2,$AU$3:$BF$3,0),$AU$4:$BF$4,AU21:BF21)</f>
        <v>3295000</v>
      </c>
      <c r="G11" s="514">
        <f ca="1">LOOKUP(MATCH(F2,$AU$3:$BF$3,0),$AU$4:$BF$4,AU22:BF22)</f>
        <v>2450000</v>
      </c>
      <c r="H11" s="514">
        <f>'September TCM'!$O$42</f>
        <v>648396</v>
      </c>
      <c r="I11" s="1514">
        <f t="shared" ca="1" si="5"/>
        <v>0.19678179059180576</v>
      </c>
      <c r="J11" s="1514">
        <f t="shared" ca="1" si="6"/>
        <v>0.26465142857142859</v>
      </c>
      <c r="K11" s="514">
        <f ca="1">SUMIFS(AU21:BF21,AU4:BF4,"&lt;="&amp;MONTH(TODAY()-1))</f>
        <v>26320227.39000003</v>
      </c>
      <c r="L11" s="514">
        <f ca="1">+SUMIFS(AU23:BF23,AU4:BF4,"&lt;"&amp;MONTH(TODAY()-1))+SUMIFS(AU22:BF22,AU4:BF4,"="&amp;MONTH(TODAY()-1))</f>
        <v>23222034.6426</v>
      </c>
      <c r="M11" s="514">
        <f ca="1">SUMIFS(AU23:BF23,AU4:BF4,"&lt;="&amp;MONTH(TODAY()-1))</f>
        <v>21420430.6426</v>
      </c>
      <c r="N11" s="521">
        <f ca="1">IFERROR(M11/K11,"")</f>
        <v>0.81383911792260455</v>
      </c>
      <c r="P11" s="93"/>
      <c r="AM11" s="400"/>
      <c r="AN11" s="401"/>
      <c r="AO11" s="401" t="s">
        <v>12</v>
      </c>
      <c r="AP11" s="375">
        <f ca="1">AP34+AP110</f>
        <v>3499793.4679214493</v>
      </c>
      <c r="AQ11" s="392">
        <f t="shared" ref="AQ11:BF11" ca="1" si="8">AQ34+AQ110</f>
        <v>656920.03152444819</v>
      </c>
      <c r="AR11" s="392">
        <f t="shared" ca="1" si="8"/>
        <v>811000.47723883879</v>
      </c>
      <c r="AS11" s="392">
        <f t="shared" ca="1" si="8"/>
        <v>950481.29820000008</v>
      </c>
      <c r="AT11" s="392">
        <f t="shared" ca="1" si="8"/>
        <v>1081391.6609581625</v>
      </c>
      <c r="AU11" s="392">
        <f t="shared" si="8"/>
        <v>240000</v>
      </c>
      <c r="AV11" s="392">
        <f t="shared" si="8"/>
        <v>235000</v>
      </c>
      <c r="AW11" s="392">
        <f t="shared" si="8"/>
        <v>265000</v>
      </c>
      <c r="AX11" s="392">
        <f t="shared" si="8"/>
        <v>290000</v>
      </c>
      <c r="AY11" s="392">
        <f t="shared" si="8"/>
        <v>285000</v>
      </c>
      <c r="AZ11" s="392">
        <f t="shared" si="8"/>
        <v>295000</v>
      </c>
      <c r="BA11" s="392">
        <f t="shared" si="8"/>
        <v>285000</v>
      </c>
      <c r="BB11" s="392">
        <f t="shared" si="8"/>
        <v>275000</v>
      </c>
      <c r="BC11" s="392">
        <f t="shared" si="8"/>
        <v>325000</v>
      </c>
      <c r="BD11" s="392">
        <f t="shared" si="8"/>
        <v>375308.84</v>
      </c>
      <c r="BE11" s="392">
        <f t="shared" si="8"/>
        <v>365000</v>
      </c>
      <c r="BF11" s="392">
        <f t="shared" si="8"/>
        <v>341082.82095816248</v>
      </c>
      <c r="BG11" s="72"/>
      <c r="BH11" s="72"/>
      <c r="BI11" s="38"/>
      <c r="BJ11" s="38"/>
    </row>
    <row r="12" spans="1:67" ht="18">
      <c r="B12" s="511"/>
      <c r="C12" s="512" t="s">
        <v>17</v>
      </c>
      <c r="D12" s="565"/>
      <c r="E12" s="520">
        <f ca="1">LOOKUP(B4,'September TCM'!B10:B40,'September TCM'!S10:S40)</f>
        <v>35470</v>
      </c>
      <c r="F12" s="514">
        <f ca="1">LOOKUP(MATCH(F2,$AU$3:$BF$3,0),$AU$4:$BF$4,AU25:BF25)</f>
        <v>1010000</v>
      </c>
      <c r="G12" s="514">
        <f ca="1">LOOKUP(MATCH(F2,$AU$3:$BF$3,0),$AU$4:$BF$4,AU26:BF26)</f>
        <v>900000</v>
      </c>
      <c r="H12" s="514">
        <f>'September TCM'!$S42</f>
        <v>239715</v>
      </c>
      <c r="I12" s="1514">
        <f t="shared" ca="1" si="5"/>
        <v>0.23734158415841583</v>
      </c>
      <c r="J12" s="1514">
        <f t="shared" ca="1" si="6"/>
        <v>0.26634999999999998</v>
      </c>
      <c r="K12" s="514">
        <f ca="1">SUMIFS(AU25:BF25,AU4:BF4,"&lt;="&amp;MONTH(TODAY()-1))</f>
        <v>8650000</v>
      </c>
      <c r="L12" s="514">
        <f ca="1">SUMIFS(AU27:BF27,AU4:BF4,"&lt;"&amp;MONTH(TODAY()-1))+SUMIFS(AU26:BF26,AU4:BF4,"="&amp;MONTH(TODAY()-1))</f>
        <v>8160146.1598400008</v>
      </c>
      <c r="M12" s="514">
        <f ca="1">SUMIFS(AU27:BF27,AU4:BF4,"&lt;="&amp;MONTH(TODAY()-1))</f>
        <v>7499861.1598400008</v>
      </c>
      <c r="N12" s="521">
        <f ca="1">IFERROR(M12/K12,"")</f>
        <v>0.86703597223583828</v>
      </c>
      <c r="P12" s="93"/>
      <c r="AE12" s="422"/>
      <c r="AM12" s="400"/>
      <c r="AN12" s="401"/>
      <c r="AO12" s="401" t="s">
        <v>13</v>
      </c>
      <c r="AP12" s="377">
        <f>AP35+AP111</f>
        <v>2151889.0669632871</v>
      </c>
      <c r="AQ12" s="393">
        <f t="shared" ref="AQ12:BF12" si="9">AQ35+AQ111</f>
        <v>656920.03152444819</v>
      </c>
      <c r="AR12" s="393">
        <f t="shared" si="9"/>
        <v>811000.47723883879</v>
      </c>
      <c r="AS12" s="393">
        <f t="shared" si="9"/>
        <v>683968.55820000009</v>
      </c>
      <c r="AT12" s="393">
        <f t="shared" si="9"/>
        <v>0</v>
      </c>
      <c r="AU12" s="393">
        <f t="shared" si="9"/>
        <v>216674.1226203744</v>
      </c>
      <c r="AV12" s="393">
        <f t="shared" si="9"/>
        <v>178201.88132144915</v>
      </c>
      <c r="AW12" s="393">
        <f t="shared" si="9"/>
        <v>262044.02758262464</v>
      </c>
      <c r="AX12" s="393">
        <f t="shared" si="9"/>
        <v>246956.51</v>
      </c>
      <c r="AY12" s="393">
        <f t="shared" si="9"/>
        <v>255434.89913119579</v>
      </c>
      <c r="AZ12" s="393">
        <f t="shared" si="9"/>
        <v>308609.06810764299</v>
      </c>
      <c r="BA12" s="393">
        <f t="shared" si="9"/>
        <v>357371.81819999998</v>
      </c>
      <c r="BB12" s="393">
        <f t="shared" si="9"/>
        <v>268109.48000000004</v>
      </c>
      <c r="BC12" s="1365">
        <f t="shared" si="9"/>
        <v>58487.26</v>
      </c>
      <c r="BD12" s="393">
        <f t="shared" si="9"/>
        <v>0</v>
      </c>
      <c r="BE12" s="393">
        <f t="shared" si="9"/>
        <v>0</v>
      </c>
      <c r="BF12" s="393">
        <f t="shared" si="9"/>
        <v>0</v>
      </c>
      <c r="BG12" s="72"/>
      <c r="BH12" s="2294"/>
      <c r="BI12" s="72"/>
      <c r="BJ12" s="72"/>
      <c r="BK12" s="72"/>
      <c r="BL12" s="72"/>
    </row>
    <row r="13" spans="1:67" ht="18">
      <c r="B13" s="511"/>
      <c r="C13" s="512" t="s">
        <v>18</v>
      </c>
      <c r="D13" s="565"/>
      <c r="E13" s="520">
        <f ca="1">LOOKUP(B4,'September TCM'!B10:B40,'September TCM'!AA10:AA40)</f>
        <v>9664</v>
      </c>
      <c r="F13" s="522">
        <f ca="1">LOOKUP(MATCH(F2,$AU$3:$BF$3,0),$AU$4:$BF$4,AU29:BF29)</f>
        <v>0</v>
      </c>
      <c r="G13" s="514">
        <f ca="1">LOOKUP(MATCH(F2,$AU$3:$BF$3,0),$AU$4:$BF$4,AU30:BF30)</f>
        <v>180000</v>
      </c>
      <c r="H13" s="514">
        <f>'September TCM'!$AA42</f>
        <v>46700</v>
      </c>
      <c r="I13" s="1514" t="str">
        <f ca="1">IFERROR(H13/F13,"")</f>
        <v/>
      </c>
      <c r="J13" s="1514">
        <f ca="1">IFERROR(H13/G13,"")</f>
        <v>0.25944444444444442</v>
      </c>
      <c r="K13" s="514">
        <f ca="1">SUMIFS(AU29:BF29,AU4:BF4,"&lt;="&amp;MONTH(TODAY()-1))</f>
        <v>1000000</v>
      </c>
      <c r="L13" s="514">
        <f ca="1">SUMIFS(AU31:BF31,AU4:BF4,"&lt;"&amp;MONTH(TODAY()-1))+SUMIFS(AU30:BF30,AU4:BF4,"="&amp;MONTH(TODAY()-1))</f>
        <v>439551.57339999999</v>
      </c>
      <c r="M13" s="514">
        <f ca="1">SUMIFS(AU31:BF31,AU4:BF4,"&lt;="&amp;MONTH(TODAY()-1))</f>
        <v>306251.57339999999</v>
      </c>
      <c r="N13" s="521">
        <f ca="1">IFERROR(M13/K13,"")</f>
        <v>0.30625157339999998</v>
      </c>
      <c r="P13" s="93"/>
      <c r="AM13" s="400"/>
      <c r="AN13" s="401"/>
      <c r="AO13" s="401" t="s">
        <v>555</v>
      </c>
      <c r="AP13" s="165">
        <f>IFERROR(AP12/AP10,"")</f>
        <v>0.53797226674082177</v>
      </c>
      <c r="AQ13" s="394">
        <f>IFERROR(AQ12/AQ10,"")</f>
        <v>0.71794538964420562</v>
      </c>
      <c r="AR13" s="842">
        <f>IFERROR(AR12/AR10,"")</f>
        <v>0.79901524851117123</v>
      </c>
      <c r="AS13" s="843">
        <f>IFERROR(AS12/AS10,"")</f>
        <v>0.64831142957345977</v>
      </c>
      <c r="AT13" s="402">
        <f>IFERROR(AT12/AT10,"")</f>
        <v>0</v>
      </c>
      <c r="AU13" s="394">
        <f t="shared" ref="AU13:BE13" si="10">IFERROR(AU12/AU10,"")</f>
        <v>0.73448855125550649</v>
      </c>
      <c r="AV13" s="394">
        <f t="shared" si="10"/>
        <v>0.57484477845628756</v>
      </c>
      <c r="AW13" s="394">
        <f t="shared" si="10"/>
        <v>0.84530331478266008</v>
      </c>
      <c r="AX13" s="394">
        <f t="shared" si="10"/>
        <v>0.71581597101449279</v>
      </c>
      <c r="AY13" s="394">
        <f t="shared" si="10"/>
        <v>0.74039101197448054</v>
      </c>
      <c r="AZ13" s="394">
        <f t="shared" si="10"/>
        <v>0.94956636340813227</v>
      </c>
      <c r="BA13" s="843">
        <f t="shared" si="10"/>
        <v>1.0667815468656716</v>
      </c>
      <c r="BB13" s="843">
        <f t="shared" si="10"/>
        <v>0.74474855555555564</v>
      </c>
      <c r="BC13" s="843">
        <f t="shared" si="10"/>
        <v>0.16246461111111113</v>
      </c>
      <c r="BD13" s="403">
        <f t="shared" si="10"/>
        <v>0</v>
      </c>
      <c r="BE13" s="403">
        <f t="shared" si="10"/>
        <v>0</v>
      </c>
      <c r="BF13" s="403">
        <f>IFERROR(BF12/BF10,"")</f>
        <v>0</v>
      </c>
      <c r="BG13" s="2293"/>
      <c r="BH13" s="339"/>
      <c r="BI13" s="339"/>
      <c r="BJ13" s="339"/>
      <c r="BK13" s="2288"/>
      <c r="BL13" s="145"/>
    </row>
    <row r="14" spans="1:67" ht="16.95" customHeight="1" thickBot="1">
      <c r="B14" s="511"/>
      <c r="C14" s="512" t="s">
        <v>19</v>
      </c>
      <c r="D14" s="565"/>
      <c r="E14" s="520">
        <f ca="1">LOOKUP(B4,'September TCM'!B10:B40,'September TCM'!W10:W40)</f>
        <v>20096</v>
      </c>
      <c r="F14" s="514">
        <f ca="1">LOOKUP(MATCH(F2,$AU$3:$BF$3,0),$AU$4:$BF$4,AU103:BF103)</f>
        <v>720000</v>
      </c>
      <c r="G14" s="514">
        <f ca="1">+LOOKUP(MATCH(F2,$AU$3:$BF$3,0),$AU$4:$BF$4,AU104:BF104)</f>
        <v>500000</v>
      </c>
      <c r="H14" s="514">
        <f>'September TCM'!$W42</f>
        <v>157691</v>
      </c>
      <c r="I14" s="1514">
        <f ca="1">IFERROR(H14/F14,"")</f>
        <v>0.21901527777777777</v>
      </c>
      <c r="J14" s="1514">
        <f ca="1">IFERROR(H14/G14,"")</f>
        <v>0.315382</v>
      </c>
      <c r="K14" s="514">
        <f ca="1">SUMIFS(AU103:BF103,AU4:BF4,"&lt;="&amp;MONTH(TODAY()-1))</f>
        <v>6420000</v>
      </c>
      <c r="L14" s="546">
        <f ca="1">+SUMIFS(AU105:BF105,AU4:BF4,"&lt;"&amp;MONTH(TODAY()-1))+SUMIFS(AU104:BF104,AU4:BF4,"="&amp;MONTH(TODAY()-1))</f>
        <v>5931483.2116999989</v>
      </c>
      <c r="M14" s="514">
        <f ca="1">SUMIFS(AU105:BF105,AU4:BF4,"&lt;="&amp;MONTH(TODAY()-1))</f>
        <v>5589174.2116999989</v>
      </c>
      <c r="N14" s="521"/>
      <c r="AM14" s="400"/>
      <c r="AN14" s="401"/>
      <c r="AO14" s="401" t="s">
        <v>575</v>
      </c>
      <c r="AP14" s="1617">
        <f t="shared" ref="AP14:BF14" ca="1" si="11">IFERROR(AP12/AP11,"")</f>
        <v>0.61486173018126933</v>
      </c>
      <c r="AQ14" s="1660">
        <f t="shared" ca="1" si="11"/>
        <v>1</v>
      </c>
      <c r="AR14" s="407">
        <f t="shared" ca="1" si="11"/>
        <v>1</v>
      </c>
      <c r="AS14" s="195">
        <f t="shared" ca="1" si="11"/>
        <v>0.71960233146647312</v>
      </c>
      <c r="AT14" s="195">
        <f t="shared" ca="1" si="11"/>
        <v>0</v>
      </c>
      <c r="AU14" s="1617">
        <f t="shared" si="11"/>
        <v>0.90280884425156005</v>
      </c>
      <c r="AV14" s="1617">
        <f t="shared" si="11"/>
        <v>0.75830587796361337</v>
      </c>
      <c r="AW14" s="1617">
        <f t="shared" si="11"/>
        <v>0.98884538710424386</v>
      </c>
      <c r="AX14" s="1617">
        <f t="shared" si="11"/>
        <v>0.85157417241379318</v>
      </c>
      <c r="AY14" s="1617">
        <f t="shared" si="11"/>
        <v>0.89626280396910807</v>
      </c>
      <c r="AZ14" s="1617">
        <f t="shared" si="11"/>
        <v>1.0461324342631966</v>
      </c>
      <c r="BA14" s="2480">
        <f t="shared" si="11"/>
        <v>1.2539362042105262</v>
      </c>
      <c r="BB14" s="2480">
        <f t="shared" si="11"/>
        <v>0.97494356363636381</v>
      </c>
      <c r="BC14" s="2480">
        <f t="shared" si="11"/>
        <v>0.1799608</v>
      </c>
      <c r="BD14" s="195">
        <f t="shared" si="11"/>
        <v>0</v>
      </c>
      <c r="BE14" s="195">
        <f t="shared" si="11"/>
        <v>0</v>
      </c>
      <c r="BF14" s="195">
        <f t="shared" si="11"/>
        <v>0</v>
      </c>
      <c r="BG14" s="72"/>
      <c r="BH14" s="341"/>
      <c r="BI14" s="341"/>
      <c r="BJ14" s="341"/>
      <c r="BK14" s="341"/>
      <c r="BL14" s="72"/>
    </row>
    <row r="15" spans="1:67" ht="18">
      <c r="B15" s="523" t="s">
        <v>578</v>
      </c>
      <c r="C15" s="524"/>
      <c r="D15" s="1249"/>
      <c r="E15" s="525">
        <f ca="1">+E10+E120</f>
        <v>153766</v>
      </c>
      <c r="F15" s="525">
        <f ca="1">+F10+F120</f>
        <v>5025000</v>
      </c>
      <c r="G15" s="526">
        <f ca="1">+G10+G120</f>
        <v>4030000</v>
      </c>
      <c r="H15" s="526">
        <f>+H10+H120</f>
        <v>1092502</v>
      </c>
      <c r="I15" s="1515">
        <f t="shared" ca="1" si="5"/>
        <v>0.21741333333333332</v>
      </c>
      <c r="J15" s="1515">
        <f t="shared" ca="1" si="6"/>
        <v>0.27109230769230769</v>
      </c>
      <c r="K15" s="526">
        <f ca="1">+K120+K10</f>
        <v>42390227.39000003</v>
      </c>
      <c r="L15" s="526">
        <f ca="1">+L120+L10</f>
        <v>37753215.587540001</v>
      </c>
      <c r="M15" s="526">
        <f ca="1">+M10+M120</f>
        <v>34815717.587540001</v>
      </c>
      <c r="N15" s="527">
        <f t="shared" ref="N15:N22" ca="1" si="12">IFERROR(M15/K15,"")</f>
        <v>0.82131471641393272</v>
      </c>
      <c r="AM15" s="82" t="s">
        <v>579</v>
      </c>
      <c r="AN15" s="83"/>
      <c r="AO15" s="83" t="s">
        <v>11</v>
      </c>
      <c r="AP15" s="187">
        <f>SUM(AQ15:AT15)</f>
        <v>47730227.39000003</v>
      </c>
      <c r="AQ15" s="99">
        <f>SUM(AU15:AW15)</f>
        <v>11100227.39000003</v>
      </c>
      <c r="AR15" s="90">
        <f>SUM(AX15:AZ15)</f>
        <v>11365000</v>
      </c>
      <c r="AS15" s="90">
        <f>SUM(BA15:BC15)</f>
        <v>13505000</v>
      </c>
      <c r="AT15" s="103">
        <f>SUM(BD15:BF15)</f>
        <v>11760000</v>
      </c>
      <c r="AU15" s="101">
        <f t="shared" ref="AU15:BF15" si="13">SUM(AU21,AU25,AU29)</f>
        <v>3760227.3900000309</v>
      </c>
      <c r="AV15" s="101">
        <f t="shared" si="13"/>
        <v>3485000</v>
      </c>
      <c r="AW15" s="101">
        <f t="shared" si="13"/>
        <v>3855000</v>
      </c>
      <c r="AX15" s="101">
        <f t="shared" si="13"/>
        <v>3685000</v>
      </c>
      <c r="AY15" s="101">
        <f t="shared" si="13"/>
        <v>3930000</v>
      </c>
      <c r="AZ15" s="101">
        <f t="shared" si="13"/>
        <v>3750000</v>
      </c>
      <c r="BA15" s="101">
        <f t="shared" si="13"/>
        <v>4550000</v>
      </c>
      <c r="BB15" s="101">
        <f t="shared" si="13"/>
        <v>4650000</v>
      </c>
      <c r="BC15" s="101">
        <f t="shared" si="13"/>
        <v>4305000</v>
      </c>
      <c r="BD15" s="101">
        <f t="shared" si="13"/>
        <v>4050000</v>
      </c>
      <c r="BE15" s="101">
        <f t="shared" si="13"/>
        <v>3840000</v>
      </c>
      <c r="BF15" s="101">
        <f t="shared" si="13"/>
        <v>3870000</v>
      </c>
      <c r="BG15" s="865"/>
      <c r="BH15" s="38"/>
      <c r="BI15" s="38"/>
      <c r="BJ15" s="38"/>
    </row>
    <row r="16" spans="1:67" ht="18">
      <c r="B16" s="511" t="s">
        <v>580</v>
      </c>
      <c r="C16" s="512"/>
      <c r="D16" s="565"/>
      <c r="E16" s="965">
        <f ca="1">SUM(E17:E20)</f>
        <v>4846.78</v>
      </c>
      <c r="F16" s="528">
        <f ca="1">SUM(F17:F19)</f>
        <v>290000</v>
      </c>
      <c r="G16" s="528">
        <f ca="1">SUM(G17:G19)</f>
        <v>290000</v>
      </c>
      <c r="H16" s="1375">
        <f>SUM(H17:H20)</f>
        <v>44193.26</v>
      </c>
      <c r="I16" s="1516">
        <f ca="1">IFERROR(H16/F16,"")</f>
        <v>0.15239055172413793</v>
      </c>
      <c r="J16" s="1516">
        <f t="shared" ca="1" si="6"/>
        <v>0.15239055172413793</v>
      </c>
      <c r="K16" s="528">
        <f ca="1">SUM(K17:K19)</f>
        <v>2365000</v>
      </c>
      <c r="L16" s="528">
        <f ca="1">SUM(L17:L19)</f>
        <v>1980727.9067214839</v>
      </c>
      <c r="M16" s="965">
        <f ca="1">SUM(M17:M20)</f>
        <v>1734921.1667214842</v>
      </c>
      <c r="N16" s="529">
        <f t="shared" ca="1" si="12"/>
        <v>0.73358188867716034</v>
      </c>
      <c r="AM16" s="84"/>
      <c r="AN16" s="85"/>
      <c r="AO16" s="85" t="s">
        <v>12</v>
      </c>
      <c r="AP16" s="193">
        <f ca="1">(SUMIFS(AU16:BF16,$AU$4:$BF$4,"&gt;="&amp;MONTH(TODAY()-1)))+(SUMIFS(AU17:BF17,$AU$4:$BF$4,"&lt;"&amp;MONTH(TODAY()-1)))</f>
        <v>40894844.403954998</v>
      </c>
      <c r="AQ16" s="99">
        <f ca="1">(SUMIFS(AU16:AW16,$AU$4:$AW$4,"&gt;="&amp;MONTH(TODAY()-1)))+(SUMIFS(AU17:AW17,$AU$4:$AW$4,"&lt;"&amp;MONTH(TODAY()-1)))</f>
        <v>9426431.885400001</v>
      </c>
      <c r="AR16" s="90">
        <f ca="1">(SUMIFS(AX16:AZ16,$AX$4:$AZ$4,"&gt;="&amp;MONTH(TODAY()-1)))+(SUMIFS(AX17:AZ17,$AX$4:$AZ$4,"&lt;"&amp;MONTH(TODAY()-1)))</f>
        <v>10954531.344939999</v>
      </c>
      <c r="AS16" s="90">
        <f ca="1">(SUMIFS(BA16:BC16,$BA$4:$BC$4,"&gt;="&amp;MONTH(TODAY()-1)))+(SUMIFS(BA17:BC17,$BA$4:$BC$4,"&lt;"&amp;MONTH(TODAY()-1)))</f>
        <v>11440769.145500001</v>
      </c>
      <c r="AT16" s="103">
        <f ca="1">(SUMIFS(BD16:BF16,$BD$4:$BF$4,"&gt;="&amp;MONTH(TODAY()-1)))+(SUMIFS(BD17:BF17,$BD$4:$BF$4,"&lt;"&amp;MONTH(TODAY()-1)))</f>
        <v>9073112.0281150006</v>
      </c>
      <c r="AU16" s="101">
        <f t="shared" ref="AU16:BF16" si="14">SUM(AU22,AU26,AU30)</f>
        <v>3575000</v>
      </c>
      <c r="AV16" s="101">
        <f t="shared" si="14"/>
        <v>3635000</v>
      </c>
      <c r="AW16" s="101">
        <f t="shared" si="14"/>
        <v>3355000</v>
      </c>
      <c r="AX16" s="101">
        <f t="shared" si="14"/>
        <v>3405000</v>
      </c>
      <c r="AY16" s="101">
        <f t="shared" si="14"/>
        <v>3380000</v>
      </c>
      <c r="AZ16" s="101">
        <f t="shared" si="14"/>
        <v>3470000</v>
      </c>
      <c r="BA16" s="101">
        <f t="shared" si="14"/>
        <v>3550000</v>
      </c>
      <c r="BB16" s="101">
        <f t="shared" si="14"/>
        <v>3625000</v>
      </c>
      <c r="BC16" s="101">
        <f t="shared" si="14"/>
        <v>3530000</v>
      </c>
      <c r="BD16" s="101">
        <f t="shared" si="14"/>
        <v>3128408.8031000001</v>
      </c>
      <c r="BE16" s="101">
        <f t="shared" si="14"/>
        <v>2970000</v>
      </c>
      <c r="BF16" s="101">
        <f t="shared" si="14"/>
        <v>2974703.2250150004</v>
      </c>
      <c r="BG16" s="38"/>
      <c r="BH16" s="38"/>
      <c r="BI16" s="38"/>
      <c r="BJ16" s="38"/>
    </row>
    <row r="17" spans="1:68" ht="18">
      <c r="B17" s="511"/>
      <c r="C17" s="512" t="s">
        <v>16</v>
      </c>
      <c r="D17" s="565"/>
      <c r="E17" s="520">
        <f ca="1">IFERROR(LOOKUP(B4,'September TCM'!B10:B40,'September TCM'!P10:P40),0)</f>
        <v>3374.08</v>
      </c>
      <c r="F17" s="514">
        <f ca="1">LOOKUP(MATCH(F2,$AU$3:$BF$3,0),$AU$4:$BF$4,AU38:BF38)</f>
        <v>235000</v>
      </c>
      <c r="G17" s="514">
        <f ca="1">LOOKUP(MATCH(F2,$AU$3:$BF$3,0),$AU$4:$BF$4,AU39:BF39)</f>
        <v>205000</v>
      </c>
      <c r="H17" s="521">
        <f>'September TCM'!P42</f>
        <v>28083.880000000005</v>
      </c>
      <c r="I17" s="1514">
        <f t="shared" ca="1" si="5"/>
        <v>0.11950587234042555</v>
      </c>
      <c r="J17" s="1514">
        <f t="shared" ca="1" si="6"/>
        <v>0.13699453658536587</v>
      </c>
      <c r="K17" s="514">
        <f ca="1">SUMIFS(AU38:BF38,AU4:BF4,"&lt;="&amp;MONTH(TODAY()-1))</f>
        <v>1765000</v>
      </c>
      <c r="L17" s="514">
        <f ca="1">SUMIFS(AU40:BF40,AU4:BF4,"&lt;"&amp;MONTH(TODAY()-1))+SUMIFS(AU39:BF39,AU4:BF4,"="&amp;MONTH(TODAY()-1))</f>
        <v>1521506.91</v>
      </c>
      <c r="M17" s="514">
        <f ca="1">SUMIFS(AU40:BF40,AU4:BF4,"&lt;="&amp;MONTH(TODAY()-1))</f>
        <v>1344590.79</v>
      </c>
      <c r="N17" s="521">
        <f t="shared" ca="1" si="12"/>
        <v>0.76180781303116152</v>
      </c>
      <c r="AE17" s="422"/>
      <c r="AM17" s="84"/>
      <c r="AN17" s="85"/>
      <c r="AO17" s="85" t="s">
        <v>13</v>
      </c>
      <c r="AP17" s="193">
        <f>SUM(AQ17:AT17)</f>
        <v>29226543.375840001</v>
      </c>
      <c r="AQ17" s="99">
        <f>SUM(AU17:AW17)</f>
        <v>9426431.885400001</v>
      </c>
      <c r="AR17" s="90">
        <f>SUM(AX17:AZ17)</f>
        <v>10954531.344939999</v>
      </c>
      <c r="AS17" s="202">
        <f>SUM(BA17:BC17)</f>
        <v>8845580.1455000006</v>
      </c>
      <c r="AT17" s="103">
        <f>SUM(BD17:BF17)</f>
        <v>0</v>
      </c>
      <c r="AU17" s="101">
        <f t="shared" ref="AU17:BF17" si="15">SUM(AU23,AU27,AU31)</f>
        <v>3016270.3482000004</v>
      </c>
      <c r="AV17" s="101">
        <f t="shared" si="15"/>
        <v>3033830.2711999998</v>
      </c>
      <c r="AW17" s="101">
        <f t="shared" si="15"/>
        <v>3376331.2659999998</v>
      </c>
      <c r="AX17" s="101">
        <f t="shared" si="15"/>
        <v>3473157.4757999997</v>
      </c>
      <c r="AY17" s="101">
        <f t="shared" si="15"/>
        <v>3673575.9903000002</v>
      </c>
      <c r="AZ17" s="101">
        <f t="shared" si="15"/>
        <v>3807797.8788399999</v>
      </c>
      <c r="BA17" s="101">
        <f t="shared" si="15"/>
        <v>3957224.8562999996</v>
      </c>
      <c r="BB17" s="101">
        <f t="shared" si="15"/>
        <v>3953544.2892</v>
      </c>
      <c r="BC17" s="101">
        <f t="shared" si="15"/>
        <v>934811</v>
      </c>
      <c r="BD17" s="101">
        <f t="shared" si="15"/>
        <v>0</v>
      </c>
      <c r="BE17" s="101">
        <f t="shared" si="15"/>
        <v>0</v>
      </c>
      <c r="BF17" s="101">
        <f t="shared" si="15"/>
        <v>0</v>
      </c>
      <c r="BG17" s="865"/>
      <c r="BH17" s="338"/>
      <c r="BI17" s="340"/>
      <c r="BJ17" s="38"/>
    </row>
    <row r="18" spans="1:68" ht="18">
      <c r="A18" s="98">
        <v>1.05</v>
      </c>
      <c r="B18" s="511"/>
      <c r="C18" s="512" t="s">
        <v>17</v>
      </c>
      <c r="D18" s="565"/>
      <c r="E18" s="520">
        <f ca="1">LOOKUP(B4,'September TCM'!B10:B40,'September TCM'!T10:T40)</f>
        <v>1472.7</v>
      </c>
      <c r="F18" s="514">
        <f ca="1">LOOKUP(MATCH(F2,$AU$3:$BF$3,0),$AU$4:$BF$4,AU42:BF42)</f>
        <v>55000</v>
      </c>
      <c r="G18" s="514">
        <f ca="1">LOOKUP(MATCH(F2,$AU$3:$BF$3,0),$AU$4:$BF$4,AU43:BF43)</f>
        <v>55000</v>
      </c>
      <c r="H18" s="521">
        <f>'September TCM'!T42</f>
        <v>15151.42</v>
      </c>
      <c r="I18" s="1514">
        <f t="shared" ref="I18:I28" ca="1" si="16">IFERROR(H18/F18,"")</f>
        <v>0.27548036363636363</v>
      </c>
      <c r="J18" s="1514">
        <f t="shared" ca="1" si="6"/>
        <v>0.27548036363636363</v>
      </c>
      <c r="K18" s="514">
        <f ca="1">SUMIFS(AU42:BF42,AU4:BF4,"&lt;="&amp;MONTH(TODAY()-1))</f>
        <v>450000</v>
      </c>
      <c r="L18" s="514">
        <f ca="1">SUMIFS(AU44:BF44,AU4:BF4,"&lt;"&amp;MONTH(TODAY()-1))+SUMIFS(AU43:BF43,AU4:BF4,"="&amp;MONTH(TODAY()-1))</f>
        <v>399529.83672148408</v>
      </c>
      <c r="M18" s="514">
        <f ca="1">SUMIFS(AU44:BF44,AU4:BF4,"&lt;="&amp;MONTH(TODAY()-1))</f>
        <v>359681.25672148407</v>
      </c>
      <c r="N18" s="521">
        <f t="shared" ca="1" si="12"/>
        <v>0.79929168160329789</v>
      </c>
      <c r="AM18" s="84"/>
      <c r="AN18" s="85"/>
      <c r="AO18" s="85" t="s">
        <v>555</v>
      </c>
      <c r="AP18" s="469">
        <f>IFERROR(AP17/AP15,"")</f>
        <v>0.6123277632229186</v>
      </c>
      <c r="AQ18" s="418">
        <f t="shared" ref="AQ18:BF18" si="17">IFERROR(AQ17/AQ15,"")</f>
        <v>0.84921070120528186</v>
      </c>
      <c r="AR18" s="414">
        <f t="shared" si="17"/>
        <v>0.9638830923836339</v>
      </c>
      <c r="AS18" s="414">
        <f t="shared" si="17"/>
        <v>0.65498557167715665</v>
      </c>
      <c r="AT18" s="470">
        <f t="shared" si="17"/>
        <v>0</v>
      </c>
      <c r="AU18" s="413">
        <f t="shared" si="17"/>
        <v>0.80215104975339691</v>
      </c>
      <c r="AV18" s="414">
        <f t="shared" si="17"/>
        <v>0.87053953262553796</v>
      </c>
      <c r="AW18" s="414">
        <f t="shared" si="17"/>
        <v>0.87583171621271072</v>
      </c>
      <c r="AX18" s="414">
        <f t="shared" si="17"/>
        <v>0.94251220510176381</v>
      </c>
      <c r="AY18" s="2238">
        <f t="shared" si="17"/>
        <v>0.93475216038167941</v>
      </c>
      <c r="AZ18" s="2238">
        <f t="shared" si="17"/>
        <v>1.0154127676906666</v>
      </c>
      <c r="BA18" s="2238">
        <f t="shared" si="17"/>
        <v>0.86971974863736257</v>
      </c>
      <c r="BB18" s="2238">
        <f t="shared" si="17"/>
        <v>0.85022457832258069</v>
      </c>
      <c r="BC18" s="2238">
        <f t="shared" si="17"/>
        <v>0.21714541231126597</v>
      </c>
      <c r="BD18" s="91">
        <f t="shared" si="17"/>
        <v>0</v>
      </c>
      <c r="BE18" s="91">
        <f t="shared" si="17"/>
        <v>0</v>
      </c>
      <c r="BF18" s="200">
        <f t="shared" si="17"/>
        <v>0</v>
      </c>
      <c r="BG18" s="970"/>
      <c r="BH18" s="970"/>
      <c r="BI18" s="38"/>
      <c r="BJ18" s="38"/>
      <c r="BK18" s="38"/>
      <c r="BL18" s="38"/>
    </row>
    <row r="19" spans="1:68" ht="18.600000000000001" thickBot="1">
      <c r="A19" s="98">
        <v>1</v>
      </c>
      <c r="B19" s="511"/>
      <c r="C19" s="512" t="s">
        <v>18</v>
      </c>
      <c r="D19" s="565"/>
      <c r="E19" s="522">
        <f ca="1">LOOKUP(B4,'September TCM'!B10:B40,'September TCM'!AB10:AB40)</f>
        <v>0</v>
      </c>
      <c r="F19" s="514">
        <f ca="1">LOOKUP(MATCH(F2,$AU$3:$BF$3,0),$AU$4:$BF$4,AU46:BF46)</f>
        <v>0</v>
      </c>
      <c r="G19" s="514">
        <f ca="1">LOOKUP(MATCH(F2,$AU$3:$BF$3,0),$AU$4:$BF$4,AU47:BF47)</f>
        <v>30000</v>
      </c>
      <c r="H19" s="521">
        <f>'September TCM'!AB42</f>
        <v>957.96</v>
      </c>
      <c r="I19" s="1514" t="str">
        <f ca="1">IFERROR(H19/F19,"")</f>
        <v/>
      </c>
      <c r="J19" s="1514">
        <f ca="1">IFERROR(H19/G19,"")</f>
        <v>3.1932000000000002E-2</v>
      </c>
      <c r="K19" s="514">
        <f ca="1">SUMIFS(AU46:BF46,AU4:BF4,"&lt;="&amp;MONTH(TODAY()-1))</f>
        <v>150000</v>
      </c>
      <c r="L19" s="514">
        <f ca="1">SUMIFS(AU48:BF48,AU4:BF4,"&lt;"&amp;MONTH(TODAY()-1))+SUMIFS(AU47:BF47,AU4:BF4,"="&amp;MONTH(TODAY()-1))</f>
        <v>59691.16</v>
      </c>
      <c r="M19" s="514">
        <f ca="1">SUMIFS(AU48:BF48,AU4:BF4,"&lt;="&amp;MONTH(TODAY()-1))</f>
        <v>30649.120000000003</v>
      </c>
      <c r="N19" s="521">
        <f ca="1">IFERROR(M19/K19,"")</f>
        <v>0.20432746666666668</v>
      </c>
      <c r="R19" s="423"/>
      <c r="S19" s="423"/>
      <c r="T19" s="423"/>
      <c r="U19" s="423"/>
      <c r="V19" s="423"/>
      <c r="AM19" s="84"/>
      <c r="AN19" s="85"/>
      <c r="AO19" s="85" t="s">
        <v>575</v>
      </c>
      <c r="AP19" s="1617">
        <f t="shared" ref="AP19:BF19" ca="1" si="18">IFERROR(AP17/AP16,"")</f>
        <v>0.7146755000983317</v>
      </c>
      <c r="AQ19" s="1661">
        <f t="shared" ca="1" si="18"/>
        <v>1</v>
      </c>
      <c r="AR19" s="196">
        <f t="shared" ca="1" si="18"/>
        <v>1</v>
      </c>
      <c r="AS19" s="196">
        <f t="shared" ca="1" si="18"/>
        <v>0.77316306561252779</v>
      </c>
      <c r="AT19" s="197">
        <f t="shared" ca="1" si="18"/>
        <v>0</v>
      </c>
      <c r="AU19" s="1618">
        <f t="shared" si="18"/>
        <v>0.84371198551048965</v>
      </c>
      <c r="AV19" s="1619">
        <f t="shared" si="18"/>
        <v>0.83461630569463541</v>
      </c>
      <c r="AW19" s="1619">
        <f t="shared" si="18"/>
        <v>1.0063580524590163</v>
      </c>
      <c r="AX19" s="1619">
        <f t="shared" si="18"/>
        <v>1.0200168798237885</v>
      </c>
      <c r="AY19" s="2237">
        <f t="shared" si="18"/>
        <v>1.0868568018639053</v>
      </c>
      <c r="AZ19" s="2237">
        <f t="shared" si="18"/>
        <v>1.0973480918847263</v>
      </c>
      <c r="BA19" s="2237">
        <f t="shared" si="18"/>
        <v>1.1147112271267605</v>
      </c>
      <c r="BB19" s="2237">
        <f t="shared" si="18"/>
        <v>1.0906329073655172</v>
      </c>
      <c r="BC19" s="2237">
        <f t="shared" si="18"/>
        <v>0.26481898016997168</v>
      </c>
      <c r="BD19" s="196">
        <f t="shared" si="18"/>
        <v>0</v>
      </c>
      <c r="BE19" s="196">
        <f t="shared" si="18"/>
        <v>0</v>
      </c>
      <c r="BF19" s="198">
        <f t="shared" si="18"/>
        <v>0</v>
      </c>
      <c r="BG19" s="38"/>
      <c r="BH19" s="38"/>
      <c r="BI19" s="970"/>
      <c r="BJ19" s="38"/>
    </row>
    <row r="20" spans="1:68" ht="18.600000000000001" thickBot="1">
      <c r="B20" s="511"/>
      <c r="C20" s="512"/>
      <c r="D20" s="565"/>
      <c r="E20" s="522"/>
      <c r="F20" s="514"/>
      <c r="G20" s="514"/>
      <c r="H20" s="521"/>
      <c r="I20" s="1514" t="str">
        <f>IFERROR(H20/F20,"")</f>
        <v/>
      </c>
      <c r="J20" s="1514" t="str">
        <f>IFERROR(H20/G20,"")</f>
        <v/>
      </c>
      <c r="K20" s="514">
        <f ca="1">SUMIFS(AU47:BF47,AU5:BF5,"&lt;="&amp;MONTH(TODAY()-1))</f>
        <v>0</v>
      </c>
      <c r="L20" s="514">
        <f ca="1">SUMIFS(AU49:BF49,AU5:BF5,"&lt;"&amp;MONTH(TODAY()-1))+SUMIFS(AU48:BF48,AU5:BF5,"="&amp;MONTH(TODAY()-1))</f>
        <v>0</v>
      </c>
      <c r="M20" s="514">
        <f ca="1">SUMIFS(AU52:BF52,AU4:BF4,"&lt;="&amp;MONTH(TODAY()-1))</f>
        <v>0</v>
      </c>
      <c r="N20" s="521" t="str">
        <f ca="1">IFERROR(M20/K20,"")</f>
        <v/>
      </c>
      <c r="R20" s="423"/>
      <c r="S20" s="423"/>
      <c r="T20" s="423"/>
      <c r="U20" s="423"/>
      <c r="V20" s="423"/>
      <c r="AM20" s="84"/>
      <c r="AN20" s="85"/>
      <c r="AO20" s="85"/>
      <c r="AP20" s="199"/>
      <c r="AQ20" s="100"/>
      <c r="AR20" s="91"/>
      <c r="AS20" s="91"/>
      <c r="AT20" s="104"/>
      <c r="AU20" s="102"/>
      <c r="AV20" s="91"/>
      <c r="AW20" s="91"/>
      <c r="AX20" s="91"/>
      <c r="AY20" s="91"/>
      <c r="AZ20" s="91"/>
      <c r="BA20" s="91"/>
      <c r="BB20" s="91"/>
      <c r="BC20" s="91"/>
      <c r="BD20" s="91"/>
      <c r="BE20" s="91"/>
      <c r="BF20" s="200"/>
      <c r="BG20" s="38"/>
      <c r="BH20" s="38"/>
      <c r="BI20" s="38"/>
      <c r="BJ20" s="38"/>
    </row>
    <row r="21" spans="1:68" ht="18">
      <c r="B21" s="511"/>
      <c r="C21" s="512" t="s">
        <v>19</v>
      </c>
      <c r="D21" s="565"/>
      <c r="E21" s="522">
        <f ca="1">++LOOKUP(B4,'September TCM'!B10:B40,'September TCM'!X10:X40)</f>
        <v>2800</v>
      </c>
      <c r="F21" s="514">
        <f ca="1">LOOKUP(MATCH(F2,$AU$3:$BF$3,0),$AU$4:$BF$4,AU114:BF114)</f>
        <v>35000</v>
      </c>
      <c r="G21" s="514">
        <f ca="1">+LOOKUP(MATCH(F2,$AU$3:$BF$3,0),$AU$4:$BF$4,AU114:BF114)</f>
        <v>35000</v>
      </c>
      <c r="H21" s="514">
        <f>'September TCM'!X42</f>
        <v>14294</v>
      </c>
      <c r="I21" s="1514">
        <f ca="1">IFERROR(H125/F125,"")</f>
        <v>0.20419999999999999</v>
      </c>
      <c r="J21" s="1514">
        <f ca="1">IFERROR(H125/G125,"")</f>
        <v>0.40839999999999999</v>
      </c>
      <c r="K21" s="514">
        <f ca="1">SUMIFS(AU113:BF113,AU4:BF4,"&lt;="&amp;MONTH(TODAY()-1))</f>
        <v>620000</v>
      </c>
      <c r="L21" s="631">
        <f ca="1">+SUMIFS(AU115:BF115,AU4:BF4,"&lt;"&amp;MONTH(TODAY()-1))+SUMIFS(AU114:BF114,AU4:BF4,"="&amp;MONTH(TODAY()-1))</f>
        <v>437673.9002418028</v>
      </c>
      <c r="M21" s="514">
        <f ca="1">SUMIFS(AU115:BF115,AU4:BF4,"&lt;="&amp;MONTH(TODAY()-1))</f>
        <v>416967.9002418028</v>
      </c>
      <c r="N21" s="521">
        <f ca="1">IFERROR(M125/K125,"")</f>
        <v>0.67252887135774642</v>
      </c>
      <c r="R21" s="423"/>
      <c r="S21" s="423"/>
      <c r="T21" s="423"/>
      <c r="U21" s="423"/>
      <c r="V21" s="423"/>
      <c r="AM21" s="185"/>
      <c r="AN21" s="186" t="s">
        <v>16</v>
      </c>
      <c r="AO21" s="186" t="s">
        <v>11</v>
      </c>
      <c r="AP21" s="218">
        <f>SUM(AQ21:AT21)</f>
        <v>35500227.39000003</v>
      </c>
      <c r="AQ21" s="219">
        <f>SUM(AU21:AW21)</f>
        <v>7850227.3900000304</v>
      </c>
      <c r="AR21" s="220">
        <f>SUM(AX21:AZ21)</f>
        <v>8075000</v>
      </c>
      <c r="AS21" s="220">
        <f>SUM(BA21:BC21)</f>
        <v>10395000</v>
      </c>
      <c r="AT21" s="221">
        <f>SUM(BD21:BF21)</f>
        <v>9180000</v>
      </c>
      <c r="AU21" s="222">
        <v>2680227.3900000309</v>
      </c>
      <c r="AV21" s="220">
        <v>2425000</v>
      </c>
      <c r="AW21" s="220">
        <v>2745000</v>
      </c>
      <c r="AX21" s="220">
        <v>2535000</v>
      </c>
      <c r="AY21" s="220">
        <v>2800000</v>
      </c>
      <c r="AZ21" s="220">
        <v>2740000</v>
      </c>
      <c r="BA21" s="220">
        <v>3500000</v>
      </c>
      <c r="BB21" s="220">
        <v>3600000</v>
      </c>
      <c r="BC21" s="220">
        <v>3295000</v>
      </c>
      <c r="BD21" s="220">
        <v>3130000</v>
      </c>
      <c r="BE21" s="220">
        <v>3020000</v>
      </c>
      <c r="BF21" s="223">
        <v>3030000</v>
      </c>
      <c r="BG21" s="970">
        <f>SUM(AU21:BB21)</f>
        <v>23025227.39000003</v>
      </c>
      <c r="BH21" s="970"/>
      <c r="BI21" s="970"/>
      <c r="BJ21" s="38"/>
    </row>
    <row r="22" spans="1:68" ht="18">
      <c r="B22" s="523" t="s">
        <v>581</v>
      </c>
      <c r="C22" s="524"/>
      <c r="D22" s="1249"/>
      <c r="E22" s="526">
        <f ca="1">+E16+E123</f>
        <v>7646.78</v>
      </c>
      <c r="F22" s="526">
        <f ca="1">+F16+F123</f>
        <v>360000</v>
      </c>
      <c r="G22" s="526">
        <f ca="1">+G16+G123</f>
        <v>325000</v>
      </c>
      <c r="H22" s="526">
        <f>+H16+H123</f>
        <v>58487.26</v>
      </c>
      <c r="I22" s="1515">
        <f ca="1">IFERROR(H22/F22,"")</f>
        <v>0.16246461111111113</v>
      </c>
      <c r="J22" s="1515">
        <f t="shared" ref="J22:J29" ca="1" si="19">IFERROR(H22/G22,"")</f>
        <v>0.1799608</v>
      </c>
      <c r="K22" s="526">
        <f ca="1">+K16+K123</f>
        <v>2985000</v>
      </c>
      <c r="L22" s="526">
        <f ca="1">+L16+L123</f>
        <v>2418401.8069632868</v>
      </c>
      <c r="M22" s="526">
        <f ca="1">M16+M123</f>
        <v>2151889.0669632871</v>
      </c>
      <c r="N22" s="527">
        <f t="shared" ca="1" si="12"/>
        <v>0.72090085995420006</v>
      </c>
      <c r="R22" s="423"/>
      <c r="S22" s="423"/>
      <c r="T22" s="423"/>
      <c r="U22" s="423"/>
      <c r="V22" s="423"/>
      <c r="AM22" s="185"/>
      <c r="AN22" s="186"/>
      <c r="AO22" s="186" t="s">
        <v>12</v>
      </c>
      <c r="AP22" s="224">
        <f ca="1">(SUMIFS(AU22:BF22,$AU$4:$BF$4,"&gt;="&amp;MONTH(TODAY()-1)))+(SUMIFS(AU23:BF23,$AU$4:$BF$4,"&lt;"&amp;MONTH(TODAY()-1)))</f>
        <v>30000000</v>
      </c>
      <c r="AQ22" s="201">
        <f ca="1">(SUMIFS(AU22:AW22,$AU$4:$AW$4,"&gt;="&amp;MONTH(TODAY()-1)))+(SUMIFS(AU23:AW23,$AU$4:$AW$4,"&lt;"&amp;MONTH(TODAY()-1)))</f>
        <v>6993776.3392000003</v>
      </c>
      <c r="AR22" s="202">
        <f ca="1">(SUMIFS(AX22:AZ22,$AX$4:$AZ$4,"&gt;="&amp;MONTH(TODAY()-1)))+(SUMIFS(AX23:AZ23,$AX$4:$AZ$4,"&lt;"&amp;MONTH(TODAY()-1)))</f>
        <v>8161086.0724999998</v>
      </c>
      <c r="AS22" s="202">
        <f ca="1">(SUMIFS(BA22:BC22,$BA$4:$BC$4,"&gt;="&amp;MONTH(TODAY()-1)))+(SUMIFS(BA23:BC23,$BA$4:$BC$4,"&lt;"&amp;MONTH(TODAY()-1)))</f>
        <v>8067172.2308999998</v>
      </c>
      <c r="AT22" s="203">
        <f ca="1">(SUMIFS(BD22:BF22,$BD$4:$BF$4,"&gt;="&amp;MONTH(TODAY()-1)))+(SUMIFS(BD23:BF23,$BD$4:$BF$4,"&lt;"&amp;MONTH(TODAY()-1)))</f>
        <v>6777965.3574000001</v>
      </c>
      <c r="AU22" s="204">
        <v>2595000</v>
      </c>
      <c r="AV22" s="202">
        <v>2735000</v>
      </c>
      <c r="AW22" s="202">
        <v>2405000</v>
      </c>
      <c r="AX22" s="202">
        <v>2450000</v>
      </c>
      <c r="AY22" s="202">
        <v>2530000</v>
      </c>
      <c r="AZ22" s="202">
        <v>2550000</v>
      </c>
      <c r="BA22" s="202">
        <v>2540000</v>
      </c>
      <c r="BB22" s="202">
        <v>2645000</v>
      </c>
      <c r="BC22" s="202">
        <v>2450000</v>
      </c>
      <c r="BD22" s="202">
        <v>2250000</v>
      </c>
      <c r="BE22" s="202">
        <v>2250000</v>
      </c>
      <c r="BF22" s="225">
        <v>2277965.3573999996</v>
      </c>
      <c r="BG22" s="970"/>
      <c r="BH22" s="970"/>
      <c r="BI22" s="970"/>
      <c r="BJ22" s="38"/>
    </row>
    <row r="23" spans="1:68" ht="18">
      <c r="B23" s="511" t="s">
        <v>127</v>
      </c>
      <c r="C23" s="512"/>
      <c r="D23" s="565"/>
      <c r="E23" s="1505">
        <f t="shared" ref="E23:H25" ca="1" si="20">IFERROR(E10/E16,"")</f>
        <v>27.57913501334907</v>
      </c>
      <c r="F23" s="1506">
        <f t="shared" ca="1" si="20"/>
        <v>14.844827586206897</v>
      </c>
      <c r="G23" s="1506">
        <f t="shared" ca="1" si="20"/>
        <v>12.172413793103448</v>
      </c>
      <c r="H23" s="1506">
        <f t="shared" si="20"/>
        <v>21.152795697805502</v>
      </c>
      <c r="I23" s="1517">
        <f t="shared" ca="1" si="16"/>
        <v>1.4249270040333555</v>
      </c>
      <c r="J23" s="1517">
        <f t="shared" ca="1" si="19"/>
        <v>1.7377650856554094</v>
      </c>
      <c r="K23" s="1506">
        <f t="shared" ref="K23:M26" ca="1" si="21">IFERROR(K10/K16,"")</f>
        <v>15.209398473572952</v>
      </c>
      <c r="L23" s="1506">
        <f t="shared" ca="1" si="21"/>
        <v>16.065675789115112</v>
      </c>
      <c r="M23" s="1506">
        <f t="shared" ca="1" si="21"/>
        <v>16.846035391377463</v>
      </c>
      <c r="N23" s="519"/>
      <c r="R23" s="423"/>
      <c r="S23" s="423"/>
      <c r="T23" s="423"/>
      <c r="U23" s="423"/>
      <c r="V23" s="423"/>
      <c r="AM23" s="185"/>
      <c r="AN23" s="186"/>
      <c r="AO23" s="186" t="s">
        <v>13</v>
      </c>
      <c r="AP23" s="224">
        <f>SUM(AQ23:AT23)</f>
        <v>21420430.6426</v>
      </c>
      <c r="AQ23" s="201">
        <f>SUM(AU23:AW23)</f>
        <v>6993776.3392000003</v>
      </c>
      <c r="AR23" s="202">
        <f>SUM(AX23:AZ23)</f>
        <v>8161086.0724999998</v>
      </c>
      <c r="AS23" s="202">
        <f>SUM(BA23:BC23)</f>
        <v>6265568.2308999998</v>
      </c>
      <c r="AT23" s="203">
        <f>SUM(BD23:BF23)</f>
        <v>0</v>
      </c>
      <c r="AU23" s="202">
        <f>'January TCM'!$O42</f>
        <v>2174914.2228000001</v>
      </c>
      <c r="AV23" s="202">
        <f>'February TCM'!$O42</f>
        <v>2283844.1870999997</v>
      </c>
      <c r="AW23" s="202">
        <f>'March TCM'!$O42</f>
        <v>2535017.9293</v>
      </c>
      <c r="AX23" s="202">
        <f>'April TCM'!$O42</f>
        <v>2678287.9853999997</v>
      </c>
      <c r="AY23" s="202">
        <f>'May TCM'!$O42</f>
        <v>2694457.33</v>
      </c>
      <c r="AZ23" s="202">
        <f>'June TCM'!$O42</f>
        <v>2788340.7571</v>
      </c>
      <c r="BA23" s="202">
        <f>'July TCM'!$O42</f>
        <v>2798513.3416999998</v>
      </c>
      <c r="BB23" s="202">
        <f>'August TCM'!$O42</f>
        <v>2818658.8892000001</v>
      </c>
      <c r="BC23" s="202">
        <f>'September TCM'!$O42</f>
        <v>648396</v>
      </c>
      <c r="BD23" s="202"/>
      <c r="BE23" s="202"/>
      <c r="BF23" s="202"/>
      <c r="BG23" s="970">
        <f>SUM(AU23:BB23)</f>
        <v>20772034.6426</v>
      </c>
      <c r="BH23" s="970"/>
      <c r="BI23" s="38"/>
      <c r="BJ23" s="38"/>
    </row>
    <row r="24" spans="1:68" ht="18.600000000000001" thickBot="1">
      <c r="B24" s="511"/>
      <c r="C24" s="512" t="s">
        <v>16</v>
      </c>
      <c r="D24" s="565"/>
      <c r="E24" s="1507">
        <f t="shared" ca="1" si="20"/>
        <v>26.240041729893779</v>
      </c>
      <c r="F24" s="1508">
        <f t="shared" ca="1" si="20"/>
        <v>14.021276595744681</v>
      </c>
      <c r="G24" s="1508">
        <f t="shared" ca="1" si="20"/>
        <v>11.951219512195122</v>
      </c>
      <c r="H24" s="1508">
        <f t="shared" si="20"/>
        <v>23.08783544154155</v>
      </c>
      <c r="I24" s="1518">
        <f t="shared" ca="1" si="16"/>
        <v>1.6466286278489422</v>
      </c>
      <c r="J24" s="1518">
        <f t="shared" ca="1" si="19"/>
        <v>1.9318392920473542</v>
      </c>
      <c r="K24" s="1508">
        <f t="shared" ca="1" si="21"/>
        <v>14.912310135977354</v>
      </c>
      <c r="L24" s="1508">
        <f t="shared" ca="1" si="21"/>
        <v>15.262523285286953</v>
      </c>
      <c r="M24" s="1508">
        <f t="shared" ca="1" si="21"/>
        <v>15.930817615224033</v>
      </c>
      <c r="N24" s="521"/>
      <c r="R24" s="423"/>
      <c r="S24" s="423"/>
      <c r="T24" s="423"/>
      <c r="U24" s="423"/>
      <c r="V24" s="423"/>
      <c r="AM24" s="185"/>
      <c r="AN24" s="186"/>
      <c r="AO24" s="186" t="s">
        <v>582</v>
      </c>
      <c r="AP24" s="1662">
        <f t="shared" ref="AP24:BF24" si="22">IFERROR(AP23/AP21,"")</f>
        <v>0.60338854755149729</v>
      </c>
      <c r="AQ24" s="1663">
        <f t="shared" si="22"/>
        <v>0.89090111556628082</v>
      </c>
      <c r="AR24" s="226">
        <f t="shared" si="22"/>
        <v>1.0106608139318884</v>
      </c>
      <c r="AS24" s="226">
        <f t="shared" si="22"/>
        <v>0.60274826656084657</v>
      </c>
      <c r="AT24" s="227">
        <f t="shared" si="22"/>
        <v>0</v>
      </c>
      <c r="AU24" s="2242">
        <f t="shared" si="22"/>
        <v>0.81146630726730062</v>
      </c>
      <c r="AV24" s="2241">
        <f t="shared" si="22"/>
        <v>0.94179141736082461</v>
      </c>
      <c r="AW24" s="2241">
        <f t="shared" si="22"/>
        <v>0.92350379938069216</v>
      </c>
      <c r="AX24" s="2241">
        <f t="shared" si="22"/>
        <v>1.0565238601183431</v>
      </c>
      <c r="AY24" s="2241">
        <f t="shared" si="22"/>
        <v>0.96230618928571432</v>
      </c>
      <c r="AZ24" s="2241">
        <f t="shared" si="22"/>
        <v>1.0176426120802919</v>
      </c>
      <c r="BA24" s="2241">
        <f t="shared" si="22"/>
        <v>0.79957524048571427</v>
      </c>
      <c r="BB24" s="2241">
        <f t="shared" si="22"/>
        <v>0.78296080255555556</v>
      </c>
      <c r="BC24" s="2241">
        <f t="shared" si="22"/>
        <v>0.19678179059180576</v>
      </c>
      <c r="BD24" s="226">
        <f t="shared" si="22"/>
        <v>0</v>
      </c>
      <c r="BE24" s="226">
        <f t="shared" si="22"/>
        <v>0</v>
      </c>
      <c r="BF24" s="228">
        <f t="shared" si="22"/>
        <v>0</v>
      </c>
      <c r="BG24" s="38"/>
      <c r="BH24" s="970"/>
      <c r="BI24" s="38"/>
      <c r="BJ24" s="38"/>
    </row>
    <row r="25" spans="1:68" ht="18">
      <c r="B25" s="511"/>
      <c r="C25" s="512" t="s">
        <v>17</v>
      </c>
      <c r="D25" s="565"/>
      <c r="E25" s="1507">
        <f t="shared" ca="1" si="20"/>
        <v>24.085013920010862</v>
      </c>
      <c r="F25" s="1508">
        <f t="shared" ca="1" si="20"/>
        <v>18.363636363636363</v>
      </c>
      <c r="G25" s="1508">
        <f t="shared" ca="1" si="20"/>
        <v>16.363636363636363</v>
      </c>
      <c r="H25" s="1508">
        <f t="shared" si="20"/>
        <v>15.821289357697166</v>
      </c>
      <c r="I25" s="1518">
        <f t="shared" ca="1" si="16"/>
        <v>0.86155536106271702</v>
      </c>
      <c r="J25" s="1518">
        <f t="shared" ca="1" si="19"/>
        <v>0.96685657185927132</v>
      </c>
      <c r="K25" s="1508">
        <f t="shared" ca="1" si="21"/>
        <v>19.222222222222221</v>
      </c>
      <c r="L25" s="1508">
        <f t="shared" ca="1" si="21"/>
        <v>20.424372374292819</v>
      </c>
      <c r="M25" s="1508">
        <f t="shared" ca="1" si="21"/>
        <v>20.851409462371432</v>
      </c>
      <c r="N25" s="521"/>
      <c r="R25" s="423"/>
      <c r="S25" s="423"/>
      <c r="T25" s="423"/>
      <c r="U25" s="423"/>
      <c r="V25" s="423"/>
      <c r="AM25" s="239"/>
      <c r="AN25" s="240" t="s">
        <v>17</v>
      </c>
      <c r="AO25" s="240" t="s">
        <v>11</v>
      </c>
      <c r="AP25" s="241">
        <f>SUM(AQ25:AT25)</f>
        <v>11230000</v>
      </c>
      <c r="AQ25" s="242">
        <f>SUM(AU25:AW25)</f>
        <v>2630000</v>
      </c>
      <c r="AR25" s="243">
        <f>SUM(AX25:AZ25)</f>
        <v>2910000</v>
      </c>
      <c r="AS25" s="243">
        <f>SUM(BA25:BC25)</f>
        <v>3110000</v>
      </c>
      <c r="AT25" s="244">
        <f>SUM(BD25:BF25)</f>
        <v>2580000</v>
      </c>
      <c r="AU25" s="245">
        <v>870000</v>
      </c>
      <c r="AV25" s="243">
        <v>860000</v>
      </c>
      <c r="AW25" s="243">
        <v>900000</v>
      </c>
      <c r="AX25" s="243">
        <v>930000</v>
      </c>
      <c r="AY25" s="243">
        <v>970000</v>
      </c>
      <c r="AZ25" s="243">
        <v>1010000</v>
      </c>
      <c r="BA25" s="243">
        <v>1050000</v>
      </c>
      <c r="BB25" s="243">
        <v>1050000</v>
      </c>
      <c r="BC25" s="243">
        <v>1010000</v>
      </c>
      <c r="BD25" s="243">
        <v>920000</v>
      </c>
      <c r="BE25" s="243">
        <v>820000</v>
      </c>
      <c r="BF25" s="246">
        <v>840000</v>
      </c>
      <c r="BG25" s="970">
        <f>SUM(AU25:BB25)</f>
        <v>7640000</v>
      </c>
      <c r="BH25" s="970"/>
      <c r="BI25" s="970"/>
      <c r="BJ25" s="38"/>
    </row>
    <row r="26" spans="1:68" ht="18">
      <c r="B26" s="511"/>
      <c r="C26" s="512" t="s">
        <v>18</v>
      </c>
      <c r="D26" s="565"/>
      <c r="E26" s="1507" t="str">
        <f ca="1">IFERROR(E13/E19,"")</f>
        <v/>
      </c>
      <c r="F26" s="1508" t="str">
        <f ca="1">IFERROR(F15/F19,"")</f>
        <v/>
      </c>
      <c r="G26" s="1508">
        <f ca="1">IFERROR(G13/G19,"")</f>
        <v>6</v>
      </c>
      <c r="H26" s="1508">
        <f>IFERROR(H13/H19,"")</f>
        <v>48.749425863292828</v>
      </c>
      <c r="I26" s="1518" t="str">
        <f t="shared" ca="1" si="16"/>
        <v/>
      </c>
      <c r="J26" s="1518">
        <f t="shared" ca="1" si="19"/>
        <v>8.1249043105488052</v>
      </c>
      <c r="K26" s="1508">
        <f t="shared" ca="1" si="21"/>
        <v>6.666666666666667</v>
      </c>
      <c r="L26" s="1508">
        <f t="shared" ca="1" si="21"/>
        <v>7.3637633009644974</v>
      </c>
      <c r="M26" s="1508">
        <f t="shared" ca="1" si="21"/>
        <v>9.9921816156548697</v>
      </c>
      <c r="N26" s="521"/>
      <c r="X26" s="424"/>
      <c r="AE26" s="425"/>
      <c r="AM26" s="239"/>
      <c r="AN26" s="240"/>
      <c r="AO26" s="240" t="s">
        <v>12</v>
      </c>
      <c r="AP26" s="247">
        <f ca="1">(SUMIFS(AU26:BF26,$AU$4:$BF$4,"&gt;="&amp;MONTH(TODAY()-1)))+(SUMIFS(AU27:BF27,$AU$4:$BF$4,"&lt;"&amp;MONTH(TODAY()-1)))</f>
        <v>10416884.027455002</v>
      </c>
      <c r="AQ26" s="248">
        <f ca="1">(SUMIFS(AU26:AW26,$AU$4:$AW$4,"&gt;="&amp;MONTH(TODAY()-1)))+(SUMIFS(AU27:AW27,$AU$4:$AW$4,"&lt;"&amp;MONTH(TODAY()-1)))</f>
        <v>2414975.6568</v>
      </c>
      <c r="AR26" s="249">
        <f ca="1">(SUMIFS(AX26:AZ26,$AX$4:$AZ$4,"&gt;="&amp;MONTH(TODAY()-1)))+(SUMIFS(AX27:AZ27,$AX$4:$AZ$4,"&lt;"&amp;MONTH(TODAY()-1)))</f>
        <v>2793445.27244</v>
      </c>
      <c r="AS26" s="249">
        <f ca="1">(SUMIFS(BA26:BC26,$BA$4:$BC$4,"&gt;="&amp;MONTH(TODAY()-1)))+(SUMIFS(BA27:BC27,$BA$4:$BC$4,"&lt;"&amp;MONTH(TODAY()-1)))</f>
        <v>2951725.2306000004</v>
      </c>
      <c r="AT26" s="250">
        <f ca="1">(SUMIFS(BD26:BF26,$BD$4:$BF$4,"&gt;="&amp;MONTH(TODAY()-1)))+(SUMIFS(BD27:BF27,$BD$4:$BF$4,"&lt;"&amp;MONTH(TODAY()-1)))</f>
        <v>2256737.8676150008</v>
      </c>
      <c r="AU26" s="251">
        <v>980000</v>
      </c>
      <c r="AV26" s="249">
        <v>900000</v>
      </c>
      <c r="AW26" s="249">
        <v>950000</v>
      </c>
      <c r="AX26" s="249">
        <v>955000</v>
      </c>
      <c r="AY26" s="249">
        <v>850000</v>
      </c>
      <c r="AZ26" s="249">
        <v>920000</v>
      </c>
      <c r="BA26" s="249">
        <v>900000</v>
      </c>
      <c r="BB26" s="249">
        <v>850000</v>
      </c>
      <c r="BC26" s="249">
        <v>900000</v>
      </c>
      <c r="BD26" s="249">
        <v>840000</v>
      </c>
      <c r="BE26" s="249">
        <v>720000</v>
      </c>
      <c r="BF26" s="252">
        <v>696737.86761500081</v>
      </c>
      <c r="BG26" s="72"/>
      <c r="BH26" s="1262"/>
      <c r="BI26" s="338"/>
      <c r="BJ26" s="38"/>
    </row>
    <row r="27" spans="1:68" ht="18">
      <c r="B27" s="511"/>
      <c r="C27" s="512" t="s">
        <v>19</v>
      </c>
      <c r="D27" s="565"/>
      <c r="E27" s="1507">
        <f ca="1">IFERROR(E122/E125,"")</f>
        <v>7.177142857142857</v>
      </c>
      <c r="F27" s="1508">
        <f ca="1">IFERROR(F16/F21,"")</f>
        <v>8.2857142857142865</v>
      </c>
      <c r="G27" s="1508">
        <f ca="1">IFERROR(G122/G125,"")</f>
        <v>14.285714285714286</v>
      </c>
      <c r="H27" s="1508">
        <f>IFERROR(H122/H125,"")</f>
        <v>11.031971456555198</v>
      </c>
      <c r="I27" s="1518"/>
      <c r="J27" s="1518"/>
      <c r="K27" s="1508">
        <f ca="1">IFERROR(K122/K125,"")</f>
        <v>10.35483870967742</v>
      </c>
      <c r="L27" s="1508">
        <f ca="1">IFERROR(L122/L125,"")</f>
        <v>13.552289063668219</v>
      </c>
      <c r="M27" s="1508">
        <f ca="1">IFERROR(M122/M125,"")</f>
        <v>13.40432730783064</v>
      </c>
      <c r="N27" s="521"/>
      <c r="AM27" s="239"/>
      <c r="AN27" s="240"/>
      <c r="AO27" s="240" t="s">
        <v>13</v>
      </c>
      <c r="AP27" s="247">
        <f>SUM(AQ27:AT27)</f>
        <v>7499861.1598399999</v>
      </c>
      <c r="AQ27" s="248">
        <f>SUM(AU27:AW27)</f>
        <v>2414975.6568</v>
      </c>
      <c r="AR27" s="249">
        <f>SUM(AX27:AZ27)</f>
        <v>2793445.27244</v>
      </c>
      <c r="AS27" s="249">
        <f>SUM(BA27:BC27)</f>
        <v>2291440.2306000004</v>
      </c>
      <c r="AT27" s="250">
        <f>SUM(BD27:BF27)</f>
        <v>0</v>
      </c>
      <c r="AU27" s="249">
        <f>'January TCM'!$S42</f>
        <v>823676.23600000003</v>
      </c>
      <c r="AV27" s="249">
        <f>'February TCM'!$S42</f>
        <v>749986.08409999998</v>
      </c>
      <c r="AW27" s="249">
        <f>'March TCM'!$S42</f>
        <v>841313.33669999987</v>
      </c>
      <c r="AX27" s="249">
        <f>'April TCM'!$S42</f>
        <v>794869.49040000001</v>
      </c>
      <c r="AY27" s="249">
        <f>'May TCM'!$S42</f>
        <v>979118.66029999999</v>
      </c>
      <c r="AZ27" s="249">
        <f>'June TCM'!$S42</f>
        <v>1019457.12174</v>
      </c>
      <c r="BA27" s="249">
        <f>'July TCM'!$S42</f>
        <v>1083716.8306000002</v>
      </c>
      <c r="BB27" s="249">
        <f>'August TCM'!$S42</f>
        <v>968008.4</v>
      </c>
      <c r="BC27" s="249">
        <f>'September TCM'!$S42</f>
        <v>239715</v>
      </c>
      <c r="BD27" s="249"/>
      <c r="BE27" s="249"/>
      <c r="BF27" s="249"/>
      <c r="BG27" s="72">
        <f>SUM(AU27:BB27)</f>
        <v>7260146.1598400008</v>
      </c>
      <c r="BH27" s="72"/>
      <c r="BI27" s="72"/>
      <c r="BJ27" s="72"/>
      <c r="BL27" s="94"/>
      <c r="BM27" s="94"/>
      <c r="BN27" s="94"/>
      <c r="BO27" s="94"/>
      <c r="BP27" s="94"/>
    </row>
    <row r="28" spans="1:68" ht="18.600000000000001" thickBot="1">
      <c r="B28" s="523" t="s">
        <v>583</v>
      </c>
      <c r="C28" s="524"/>
      <c r="D28" s="1249"/>
      <c r="E28" s="1509">
        <f ca="1">IFERROR(E15/E22,"")</f>
        <v>20.108594728761648</v>
      </c>
      <c r="F28" s="1509">
        <f ca="1">IFERROR(F15/F22,"")</f>
        <v>13.958333333333334</v>
      </c>
      <c r="G28" s="1509">
        <f ca="1">IFERROR(G15/G22,"")</f>
        <v>12.4</v>
      </c>
      <c r="H28" s="1509">
        <f>IFERROR(H15/H22,"")</f>
        <v>18.679315803133878</v>
      </c>
      <c r="I28" s="1515">
        <f t="shared" ca="1" si="16"/>
        <v>1.3382196396275017</v>
      </c>
      <c r="J28" s="1515">
        <f t="shared" ca="1" si="19"/>
        <v>1.5063964357366031</v>
      </c>
      <c r="K28" s="1509">
        <f ca="1">IFERROR(K15/K22,"")</f>
        <v>14.201081202680077</v>
      </c>
      <c r="L28" s="1509">
        <f ca="1">IFERROR(L15/L22,"")</f>
        <v>15.610811850552476</v>
      </c>
      <c r="M28" s="1509">
        <f ca="1">IFERROR(M15/M22,"")</f>
        <v>16.17914144462447</v>
      </c>
      <c r="N28" s="527"/>
      <c r="AK28" s="39"/>
      <c r="AM28" s="239"/>
      <c r="AN28" s="240"/>
      <c r="AO28" s="240" t="s">
        <v>582</v>
      </c>
      <c r="AP28" s="1664">
        <f t="shared" ref="AP28:BF28" si="23">IFERROR(AP27/AP25,"")</f>
        <v>0.66784159927337483</v>
      </c>
      <c r="AQ28" s="1665">
        <f t="shared" si="23"/>
        <v>0.91824169460076044</v>
      </c>
      <c r="AR28" s="2240">
        <f t="shared" si="23"/>
        <v>0.95994682901718209</v>
      </c>
      <c r="AS28" s="2240">
        <f t="shared" si="23"/>
        <v>0.73679750180064318</v>
      </c>
      <c r="AT28" s="254">
        <f t="shared" si="23"/>
        <v>0</v>
      </c>
      <c r="AU28" s="1620">
        <f t="shared" si="23"/>
        <v>0.94675429425287361</v>
      </c>
      <c r="AV28" s="1621">
        <f t="shared" si="23"/>
        <v>0.87207684197674418</v>
      </c>
      <c r="AW28" s="1621">
        <f t="shared" si="23"/>
        <v>0.93479259633333323</v>
      </c>
      <c r="AX28" s="2240">
        <f t="shared" si="23"/>
        <v>0.85469837677419358</v>
      </c>
      <c r="AY28" s="2240">
        <f t="shared" si="23"/>
        <v>1.0094006807216496</v>
      </c>
      <c r="AZ28" s="2240">
        <f t="shared" si="23"/>
        <v>1.0093634868712871</v>
      </c>
      <c r="BA28" s="2240">
        <f t="shared" si="23"/>
        <v>1.0321112672380954</v>
      </c>
      <c r="BB28" s="2240">
        <f t="shared" si="23"/>
        <v>0.9219127619047619</v>
      </c>
      <c r="BC28" s="253">
        <f t="shared" si="23"/>
        <v>0.23734158415841583</v>
      </c>
      <c r="BD28" s="253">
        <f t="shared" si="23"/>
        <v>0</v>
      </c>
      <c r="BE28" s="253">
        <f t="shared" si="23"/>
        <v>0</v>
      </c>
      <c r="BF28" s="255">
        <f t="shared" si="23"/>
        <v>0</v>
      </c>
      <c r="BG28" s="72"/>
      <c r="BH28" s="38"/>
      <c r="BI28" s="72"/>
      <c r="BJ28" s="72"/>
      <c r="BK28" s="344"/>
      <c r="BL28" s="94"/>
    </row>
    <row r="29" spans="1:68" ht="18">
      <c r="B29" s="511" t="s">
        <v>22</v>
      </c>
      <c r="C29" s="512"/>
      <c r="D29" s="565"/>
      <c r="E29" s="517">
        <f ca="1">SUM(E30,E36,E43,E35)</f>
        <v>16810.91</v>
      </c>
      <c r="F29" s="518">
        <f ca="1">LOOKUP(MATCH(F2,$AU$3:$BF$3,0),$AU$4:$BF$4,AU55:BF55)</f>
        <v>360000</v>
      </c>
      <c r="G29" s="518">
        <f ca="1">LOOKUP(MATCH(F2,$AU$3:$BF$3,0),$AU$4:$BF$4,AU56:BF56)</f>
        <v>270000</v>
      </c>
      <c r="H29" s="518">
        <f>SUM(H30,H36,H43)</f>
        <v>49565.759999999995</v>
      </c>
      <c r="I29" s="628">
        <f ca="1">+H29/F29</f>
        <v>0.13768266666666665</v>
      </c>
      <c r="J29" s="628">
        <f t="shared" ca="1" si="19"/>
        <v>0.18357688888888887</v>
      </c>
      <c r="K29" s="518">
        <f ca="1">+K50</f>
        <v>3075000</v>
      </c>
      <c r="L29" s="2486">
        <f ca="1">+L50</f>
        <v>2469984.13</v>
      </c>
      <c r="M29" s="2486">
        <f ca="1">+M50</f>
        <v>2249549.8899999997</v>
      </c>
      <c r="N29" s="519">
        <f ca="1">+M29/K29</f>
        <v>0.73156093983739823</v>
      </c>
      <c r="AM29" s="256"/>
      <c r="AN29" s="257" t="s">
        <v>18</v>
      </c>
      <c r="AO29" s="257" t="s">
        <v>11</v>
      </c>
      <c r="AP29" s="258">
        <f>SUM(AQ29:AT29)</f>
        <v>1000000</v>
      </c>
      <c r="AQ29" s="259">
        <f>SUM(AU29:AW29)</f>
        <v>620000</v>
      </c>
      <c r="AR29" s="260">
        <f>SUM(AX29:AZ29)</f>
        <v>380000</v>
      </c>
      <c r="AS29" s="260">
        <f>SUM(BA29:BC29)</f>
        <v>0</v>
      </c>
      <c r="AT29" s="261">
        <f>SUM(BD29:BF29)</f>
        <v>0</v>
      </c>
      <c r="AU29" s="262">
        <v>210000</v>
      </c>
      <c r="AV29" s="260">
        <v>200000</v>
      </c>
      <c r="AW29" s="260">
        <v>210000</v>
      </c>
      <c r="AX29" s="260">
        <v>220000</v>
      </c>
      <c r="AY29" s="260">
        <v>160000</v>
      </c>
      <c r="AZ29" s="260">
        <v>0</v>
      </c>
      <c r="BA29" s="260">
        <v>0</v>
      </c>
      <c r="BB29" s="260">
        <v>0</v>
      </c>
      <c r="BC29" s="260">
        <v>0</v>
      </c>
      <c r="BD29" s="260">
        <v>0</v>
      </c>
      <c r="BE29" s="260">
        <v>0</v>
      </c>
      <c r="BF29" s="263">
        <v>0</v>
      </c>
      <c r="BG29" s="72">
        <f>SUM(AU29:BB29)</f>
        <v>1000000</v>
      </c>
      <c r="BH29" s="72"/>
      <c r="BI29" s="970"/>
      <c r="BJ29" s="72"/>
      <c r="BK29" s="344"/>
      <c r="BL29" s="94"/>
      <c r="BM29" s="94"/>
    </row>
    <row r="30" spans="1:68" ht="18">
      <c r="B30" s="511"/>
      <c r="C30" s="512" t="s">
        <v>35</v>
      </c>
      <c r="D30" s="565"/>
      <c r="E30" s="530">
        <f ca="1">SUM(E31:E34)</f>
        <v>4166.08</v>
      </c>
      <c r="F30" s="531"/>
      <c r="G30" s="532"/>
      <c r="H30" s="532">
        <f>SUM(H31:H35)</f>
        <v>13615.769999999999</v>
      </c>
      <c r="I30" s="532"/>
      <c r="J30" s="532"/>
      <c r="K30" s="532"/>
      <c r="L30" s="532"/>
      <c r="M30" s="532"/>
      <c r="N30" s="532"/>
      <c r="AM30" s="256"/>
      <c r="AN30" s="257"/>
      <c r="AO30" s="257" t="s">
        <v>12</v>
      </c>
      <c r="AP30" s="264">
        <f ca="1">(SUMIFS(AU30:BF30,$AU$4:$BF$4,"&gt;="&amp;MONTH(TODAY()-1)))+(SUMIFS(AU31:BF31,$AU$4:$BF$4,"&lt;"&amp;MONTH(TODAY()-1)))</f>
        <v>477960.37649999995</v>
      </c>
      <c r="AQ30" s="265">
        <f ca="1">(SUMIFS(AU30:AW30,$AU$4:$AW$4,"&gt;="&amp;MONTH(TODAY()-1)))+(SUMIFS(AU31:AW31,$AU$4:$AW$4,"&lt;"&amp;MONTH(TODAY()-1)))</f>
        <v>17679.8894</v>
      </c>
      <c r="AR30" s="266">
        <f ca="1">(SUMIFS(AX30:AZ30,$AX$4:$AZ$4,"&gt;="&amp;MONTH(TODAY()-1)))+(SUMIFS(AX31:AZ31,$AX$4:$AZ$4,"&lt;"&amp;MONTH(TODAY()-1)))</f>
        <v>0</v>
      </c>
      <c r="AS30" s="266">
        <f ca="1">(SUMIFS(BA30:BC30,$BA$4:$BC$4,"&gt;="&amp;MONTH(TODAY()-1)))+(SUMIFS(BA31:BC31,$BA$4:$BC$4,"&lt;"&amp;MONTH(TODAY()-1)))</f>
        <v>421871.68400000001</v>
      </c>
      <c r="AT30" s="267">
        <f ca="1">(SUMIFS(BD30:BF30,$BD$4:$BF$4,"&gt;="&amp;MONTH(TODAY()-1)))+(SUMIFS(BD31:BF31,$BD$4:$BF$4,"&lt;"&amp;MONTH(TODAY()-1)))</f>
        <v>38408.803099999976</v>
      </c>
      <c r="AU30" s="268">
        <v>0</v>
      </c>
      <c r="AV30" s="266">
        <v>0</v>
      </c>
      <c r="AW30" s="266">
        <v>0</v>
      </c>
      <c r="AX30" s="266">
        <v>0</v>
      </c>
      <c r="AY30" s="266">
        <v>0</v>
      </c>
      <c r="AZ30" s="266">
        <v>0</v>
      </c>
      <c r="BA30" s="266">
        <v>110000</v>
      </c>
      <c r="BB30" s="266">
        <v>130000</v>
      </c>
      <c r="BC30" s="266">
        <v>180000</v>
      </c>
      <c r="BD30" s="266">
        <v>38408.803099999976</v>
      </c>
      <c r="BE30" s="266">
        <v>0</v>
      </c>
      <c r="BF30" s="269">
        <v>0</v>
      </c>
      <c r="BG30" s="72"/>
      <c r="BH30" s="38"/>
      <c r="BI30" s="72"/>
      <c r="BJ30" s="72"/>
    </row>
    <row r="31" spans="1:68" ht="18">
      <c r="B31" s="511"/>
      <c r="C31" s="512" t="s">
        <v>38</v>
      </c>
      <c r="D31" s="565"/>
      <c r="E31" s="520">
        <f t="array" aca="1" ref="E31" ca="1">LOOKUP(B4,'September TCM'!B10:B40,'September TCM'!GZ10:GZ40+'September TCM'!HA10:HA40)</f>
        <v>313.35000000000002</v>
      </c>
      <c r="F31" s="514"/>
      <c r="G31" s="514"/>
      <c r="H31" s="514">
        <f>'September TCM'!GZ42</f>
        <v>313.35000000000002</v>
      </c>
      <c r="I31" s="514"/>
      <c r="J31" s="514"/>
      <c r="K31" s="514"/>
      <c r="L31" s="533"/>
      <c r="M31" s="514"/>
      <c r="N31" s="514"/>
      <c r="AM31" s="256"/>
      <c r="AN31" s="257"/>
      <c r="AO31" s="257" t="s">
        <v>13</v>
      </c>
      <c r="AP31" s="264">
        <f>SUM(AQ31:AT31)</f>
        <v>306251.57339999999</v>
      </c>
      <c r="AQ31" s="265">
        <f>SUM(AU31:AW31)</f>
        <v>17679.8894</v>
      </c>
      <c r="AR31" s="266">
        <f>SUM(AX31:AZ31)</f>
        <v>0</v>
      </c>
      <c r="AS31" s="266">
        <f>SUM(BA31:BC31)</f>
        <v>288571.68400000001</v>
      </c>
      <c r="AT31" s="267">
        <f>SUM(BD31:BF31)</f>
        <v>0</v>
      </c>
      <c r="AU31" s="266">
        <f>'January TCM'!$AA42</f>
        <v>17679.8894</v>
      </c>
      <c r="AV31" s="266">
        <f>'February TCM'!$AA42</f>
        <v>0</v>
      </c>
      <c r="AW31" s="266">
        <f>'March TCM'!$AA42</f>
        <v>0</v>
      </c>
      <c r="AX31" s="266">
        <f>'April TCM'!$AA42</f>
        <v>0</v>
      </c>
      <c r="AY31" s="266">
        <f>'May TCM'!$AA42</f>
        <v>0</v>
      </c>
      <c r="AZ31" s="266">
        <f>'June TCM'!$AA42</f>
        <v>0</v>
      </c>
      <c r="BA31" s="266">
        <f>'July TCM'!$AA42</f>
        <v>74994.684000000008</v>
      </c>
      <c r="BB31" s="266">
        <f>'August TCM'!$AA42</f>
        <v>166877</v>
      </c>
      <c r="BC31" s="266">
        <f>'September TCM'!$AA42</f>
        <v>46700</v>
      </c>
      <c r="BD31" s="266"/>
      <c r="BE31" s="266"/>
      <c r="BF31" s="266"/>
      <c r="BG31" s="72">
        <f>SUM(AU31:BB31)</f>
        <v>259551.57339999999</v>
      </c>
      <c r="BH31" s="72"/>
      <c r="BI31" s="38"/>
      <c r="BJ31" s="38"/>
    </row>
    <row r="32" spans="1:68" ht="18.600000000000001" thickBot="1">
      <c r="B32" s="511"/>
      <c r="C32" s="512" t="s">
        <v>584</v>
      </c>
      <c r="D32" s="565"/>
      <c r="E32" s="520">
        <f t="array" aca="1" ref="E32" ca="1">LOOKUP(B4,'September TCM'!B10:B40,'September TCM'!HB10:HB40+'September TCM'!HC10:HC40)</f>
        <v>0</v>
      </c>
      <c r="F32" s="514"/>
      <c r="G32" s="514"/>
      <c r="H32" s="514">
        <f>HA43+HB43</f>
        <v>0</v>
      </c>
      <c r="I32" s="514"/>
      <c r="J32" s="514"/>
      <c r="K32" s="514"/>
      <c r="L32" s="533"/>
      <c r="M32" s="514"/>
      <c r="N32" s="514"/>
      <c r="AM32" s="256"/>
      <c r="AN32" s="257"/>
      <c r="AO32" s="257" t="s">
        <v>582</v>
      </c>
      <c r="AP32" s="1666">
        <f t="shared" ref="AP32:BF32" si="24">IFERROR(AP31/AP29,"")</f>
        <v>0.30625157339999998</v>
      </c>
      <c r="AQ32" s="1667">
        <f t="shared" si="24"/>
        <v>2.8515950645161291E-2</v>
      </c>
      <c r="AR32" s="270">
        <f t="shared" si="24"/>
        <v>0</v>
      </c>
      <c r="AS32" s="270" t="str">
        <f t="shared" si="24"/>
        <v/>
      </c>
      <c r="AT32" s="271" t="str">
        <f t="shared" si="24"/>
        <v/>
      </c>
      <c r="AU32" s="272">
        <f t="shared" si="24"/>
        <v>8.4189949523809524E-2</v>
      </c>
      <c r="AV32" s="270">
        <f t="shared" si="24"/>
        <v>0</v>
      </c>
      <c r="AW32" s="270">
        <f t="shared" si="24"/>
        <v>0</v>
      </c>
      <c r="AX32" s="270">
        <f t="shared" si="24"/>
        <v>0</v>
      </c>
      <c r="AY32" s="270">
        <f t="shared" si="24"/>
        <v>0</v>
      </c>
      <c r="AZ32" s="270" t="str">
        <f t="shared" si="24"/>
        <v/>
      </c>
      <c r="BA32" s="270" t="str">
        <f t="shared" si="24"/>
        <v/>
      </c>
      <c r="BB32" s="270" t="str">
        <f t="shared" si="24"/>
        <v/>
      </c>
      <c r="BC32" s="270" t="str">
        <f t="shared" si="24"/>
        <v/>
      </c>
      <c r="BD32" s="270" t="str">
        <f t="shared" si="24"/>
        <v/>
      </c>
      <c r="BE32" s="270" t="str">
        <f t="shared" si="24"/>
        <v/>
      </c>
      <c r="BF32" s="273" t="str">
        <f t="shared" si="24"/>
        <v/>
      </c>
      <c r="BG32" s="72"/>
      <c r="BH32" s="38"/>
      <c r="BI32" s="38"/>
      <c r="BJ32" s="38"/>
    </row>
    <row r="33" spans="1:64" ht="18.600000000000001" thickBot="1">
      <c r="B33" s="511"/>
      <c r="C33" s="512" t="s">
        <v>50</v>
      </c>
      <c r="D33" s="565"/>
      <c r="E33" s="520">
        <f ca="1">LOOKUP(B4,'September TCM'!B10:B40,'September TCM'!HH10:HH40)</f>
        <v>2323.6600000000003</v>
      </c>
      <c r="F33" s="514"/>
      <c r="G33" s="514"/>
      <c r="H33" s="514">
        <f>'September TCM'!HH41</f>
        <v>6854.6399999999994</v>
      </c>
      <c r="I33" s="514"/>
      <c r="J33" s="514"/>
      <c r="K33" s="514"/>
      <c r="L33" s="514"/>
      <c r="M33" s="631"/>
      <c r="N33" s="514"/>
      <c r="AM33" s="84" t="s">
        <v>585</v>
      </c>
      <c r="AN33" s="85"/>
      <c r="AO33" s="85" t="s">
        <v>11</v>
      </c>
      <c r="AP33" s="187">
        <f>SUM(AQ33:AT33)</f>
        <v>3200000</v>
      </c>
      <c r="AQ33" s="188">
        <f>SUM(AU33:AW33)</f>
        <v>715000</v>
      </c>
      <c r="AR33" s="189">
        <f>SUM(AX33:AZ33)</f>
        <v>805000</v>
      </c>
      <c r="AS33" s="189">
        <f>SUM(BA33:BC33)</f>
        <v>845000</v>
      </c>
      <c r="AT33" s="190">
        <f>SUM(BD33:BF33)</f>
        <v>835000</v>
      </c>
      <c r="AU33" s="191">
        <f>SUM(AU38,AU42,AU46)</f>
        <v>225000</v>
      </c>
      <c r="AV33" s="191">
        <f t="shared" ref="AV33:BF33" si="25">SUM(AV38,AV42,AV46)</f>
        <v>245000</v>
      </c>
      <c r="AW33" s="191">
        <f t="shared" si="25"/>
        <v>245000</v>
      </c>
      <c r="AX33" s="191">
        <f t="shared" si="25"/>
        <v>275000</v>
      </c>
      <c r="AY33" s="191">
        <f t="shared" si="25"/>
        <v>275000</v>
      </c>
      <c r="AZ33" s="191">
        <f t="shared" si="25"/>
        <v>255000</v>
      </c>
      <c r="BA33" s="191">
        <f t="shared" si="25"/>
        <v>265000</v>
      </c>
      <c r="BB33" s="191">
        <f t="shared" si="25"/>
        <v>290000</v>
      </c>
      <c r="BC33" s="191">
        <f t="shared" si="25"/>
        <v>290000</v>
      </c>
      <c r="BD33" s="191">
        <f t="shared" si="25"/>
        <v>275000</v>
      </c>
      <c r="BE33" s="191">
        <f t="shared" si="25"/>
        <v>275000</v>
      </c>
      <c r="BF33" s="191">
        <f t="shared" si="25"/>
        <v>285000</v>
      </c>
      <c r="BG33" s="72"/>
      <c r="BH33" s="38"/>
      <c r="BI33" s="38"/>
      <c r="BJ33" s="38"/>
    </row>
    <row r="34" spans="1:64" ht="18.600000000000001" thickBot="1">
      <c r="B34" s="511"/>
      <c r="C34" s="512" t="s">
        <v>53</v>
      </c>
      <c r="D34" s="565"/>
      <c r="E34" s="520">
        <f t="array" aca="1" ref="E34" ca="1">LOOKUP(B4,'September TCM'!B10:B40,'September TCM'!HJ10:HJ40+'September TCM'!HK10:HK40)</f>
        <v>1529.0700000000002</v>
      </c>
      <c r="F34" s="514"/>
      <c r="G34" s="514"/>
      <c r="H34" s="514">
        <f>'September TCM'!HJ42</f>
        <v>4498.63</v>
      </c>
      <c r="I34" s="514"/>
      <c r="J34" s="514"/>
      <c r="K34" s="514"/>
      <c r="L34" s="514"/>
      <c r="M34" s="514"/>
      <c r="N34" s="514"/>
      <c r="AM34" s="84"/>
      <c r="AN34" s="85"/>
      <c r="AO34" s="85" t="s">
        <v>12</v>
      </c>
      <c r="AP34" s="193">
        <f ca="1">(SUMIFS(AU34:BF34,$AU$4:$BF$4,"&gt;="&amp;MONTH(TODAY()-1)))+(SUMIFS(AU35:BF35,$AU$4:$BF$4,"&lt;"&amp;MONTH(TODAY()-1)))</f>
        <v>2785000</v>
      </c>
      <c r="AQ34" s="99">
        <f ca="1">(SUMIFS(AU34:AW34,$AU$4:$AW$4,"&gt;="&amp;MONTH(TODAY()-1)))+(SUMIFS(AU35:AW35,$AU$4:$AW$4,"&lt;"&amp;MONTH(TODAY()-1)))</f>
        <v>494844.0922260001</v>
      </c>
      <c r="AR34" s="90">
        <f ca="1">(SUMIFS(AX34:AZ34,$AX$4:$AZ$4,"&gt;="&amp;MONTH(TODAY()-1)))+(SUMIFS(AX35:AZ35,$AX$4:$AZ$4,"&lt;"&amp;MONTH(TODAY()-1)))</f>
        <v>687450.17449548421</v>
      </c>
      <c r="AS34" s="90">
        <f ca="1">(SUMIFS(BA34:BC34,$BA$4:$BC$4,"&gt;="&amp;MONTH(TODAY()-1)))+(SUMIFS(BA35:BC35,$BA$4:$BC$4,"&lt;"&amp;MONTH(TODAY()-1)))</f>
        <v>798433.64</v>
      </c>
      <c r="AT34" s="103">
        <f ca="1">(SUMIFS(BD34:BF34,$BD$4:$BF$4,"&gt;="&amp;MONTH(TODAY()-1)))+(SUMIFS(BD35:BF35,$BD$4:$BF$4,"&lt;"&amp;MONTH(TODAY()-1)))</f>
        <v>804272.09327851608</v>
      </c>
      <c r="AU34" s="191">
        <f>SUM(AU39,AU43,AU47)</f>
        <v>180000</v>
      </c>
      <c r="AV34" s="191">
        <f t="shared" ref="AV34:BF34" si="26">SUM(AV39,AV43,AV47)</f>
        <v>175000</v>
      </c>
      <c r="AW34" s="191">
        <f t="shared" si="26"/>
        <v>195000</v>
      </c>
      <c r="AX34" s="191">
        <f t="shared" si="26"/>
        <v>225000</v>
      </c>
      <c r="AY34" s="191">
        <f t="shared" si="26"/>
        <v>220000</v>
      </c>
      <c r="AZ34" s="191">
        <f t="shared" si="26"/>
        <v>240000</v>
      </c>
      <c r="BA34" s="191">
        <f t="shared" si="26"/>
        <v>245000</v>
      </c>
      <c r="BB34" s="191">
        <f t="shared" si="26"/>
        <v>235000</v>
      </c>
      <c r="BC34" s="191">
        <f t="shared" si="26"/>
        <v>290000</v>
      </c>
      <c r="BD34" s="191">
        <f t="shared" si="26"/>
        <v>280308.84000000003</v>
      </c>
      <c r="BE34" s="191">
        <f t="shared" si="26"/>
        <v>270000</v>
      </c>
      <c r="BF34" s="191">
        <f t="shared" si="26"/>
        <v>253963.25327851606</v>
      </c>
      <c r="BG34" s="72"/>
      <c r="BH34" s="38"/>
      <c r="BI34" s="38"/>
      <c r="BJ34" s="38"/>
    </row>
    <row r="35" spans="1:64" ht="18">
      <c r="B35" s="511"/>
      <c r="C35" s="2438" t="s">
        <v>288</v>
      </c>
      <c r="D35" s="573"/>
      <c r="E35" s="534">
        <f ca="1">LOOKUP(B4,'September TCM'!B10:B40,'September TCM'!HL10:HL40)</f>
        <v>297.35000000000002</v>
      </c>
      <c r="F35" s="533"/>
      <c r="G35" s="533"/>
      <c r="H35" s="533">
        <f>'September TCM'!HL41</f>
        <v>1949.15</v>
      </c>
      <c r="I35" s="514"/>
      <c r="J35" s="514"/>
      <c r="K35" s="514"/>
      <c r="L35" s="514"/>
      <c r="M35" s="514"/>
      <c r="N35" s="514"/>
      <c r="AM35" s="84"/>
      <c r="AN35" s="85"/>
      <c r="AO35" s="85" t="s">
        <v>13</v>
      </c>
      <c r="AP35" s="193">
        <f>SUM(AQ35:AT35)</f>
        <v>1734921.1667214842</v>
      </c>
      <c r="AQ35" s="99">
        <f>SUM(AU35:AW35)</f>
        <v>494844.0922260001</v>
      </c>
      <c r="AR35" s="90">
        <f>SUM(AX35:AZ35)</f>
        <v>687450.17449548421</v>
      </c>
      <c r="AS35" s="90">
        <f>SUM(BA35:BC35)</f>
        <v>552626.9</v>
      </c>
      <c r="AT35" s="103">
        <f>SUM(BD35:BF35)</f>
        <v>0</v>
      </c>
      <c r="AU35" s="880">
        <f>SUM(AU40,AU44,AU48)</f>
        <v>160241.98000000004</v>
      </c>
      <c r="AV35" s="1949">
        <f>SUM(AV40,AV44,AV48)</f>
        <v>137722.84</v>
      </c>
      <c r="AW35" s="880">
        <f>SUM(AW40,AW44,AW48,AW52)</f>
        <v>196879.27222600003</v>
      </c>
      <c r="AX35" s="880">
        <f>SUM(AX40,AX44,AX48,AX52)</f>
        <v>181551.7928</v>
      </c>
      <c r="AY35" s="1949">
        <f t="shared" ref="AY35:BF35" si="27">SUM(AY40,AY44,AY48,AY52)</f>
        <v>237820.71888784115</v>
      </c>
      <c r="AZ35" s="880">
        <f t="shared" si="27"/>
        <v>268077.66280764301</v>
      </c>
      <c r="BA35" s="880">
        <f t="shared" si="27"/>
        <v>285964.15999999997</v>
      </c>
      <c r="BB35" s="880">
        <f t="shared" si="27"/>
        <v>222469.48000000004</v>
      </c>
      <c r="BC35" s="880">
        <f t="shared" si="27"/>
        <v>44193.26</v>
      </c>
      <c r="BD35" s="880">
        <f t="shared" si="27"/>
        <v>0</v>
      </c>
      <c r="BE35" s="880">
        <f t="shared" si="27"/>
        <v>0</v>
      </c>
      <c r="BF35" s="880">
        <f t="shared" si="27"/>
        <v>0</v>
      </c>
      <c r="BG35" s="72"/>
      <c r="BH35" s="970"/>
      <c r="BI35" s="970"/>
      <c r="BJ35" s="38"/>
    </row>
    <row r="36" spans="1:64" ht="24" customHeight="1">
      <c r="B36" s="511"/>
      <c r="C36" s="512" t="s">
        <v>245</v>
      </c>
      <c r="D36" s="565"/>
      <c r="E36" s="530">
        <f ca="1">SUM(E37:E42)</f>
        <v>7369.26</v>
      </c>
      <c r="F36" s="532"/>
      <c r="G36" s="532"/>
      <c r="H36" s="532">
        <f>SUM(H37:H42)</f>
        <v>21774.67</v>
      </c>
      <c r="I36" s="532"/>
      <c r="J36" s="532"/>
      <c r="K36" s="532"/>
      <c r="L36" s="532"/>
      <c r="M36" s="532"/>
      <c r="N36" s="532"/>
      <c r="AM36" s="84"/>
      <c r="AN36" s="85"/>
      <c r="AO36" s="85" t="s">
        <v>555</v>
      </c>
      <c r="AP36" s="469">
        <f t="shared" ref="AP36:BF36" si="28">IFERROR(AP35/AP33,"")</f>
        <v>0.54216286460046381</v>
      </c>
      <c r="AQ36" s="418">
        <f t="shared" si="28"/>
        <v>0.69208963947692326</v>
      </c>
      <c r="AR36" s="91">
        <f t="shared" si="28"/>
        <v>0.85397537204407981</v>
      </c>
      <c r="AS36" s="91">
        <f t="shared" si="28"/>
        <v>0.65399633136094681</v>
      </c>
      <c r="AT36" s="104">
        <f t="shared" si="28"/>
        <v>0</v>
      </c>
      <c r="AU36" s="413">
        <f t="shared" si="28"/>
        <v>0.71218657777777794</v>
      </c>
      <c r="AV36" s="414">
        <f t="shared" si="28"/>
        <v>0.56213404081632656</v>
      </c>
      <c r="AW36" s="414">
        <f t="shared" si="28"/>
        <v>0.80358886622857151</v>
      </c>
      <c r="AX36" s="414">
        <f t="shared" si="28"/>
        <v>0.66018833745454542</v>
      </c>
      <c r="AY36" s="414">
        <f t="shared" si="28"/>
        <v>0.86480261413760418</v>
      </c>
      <c r="AZ36" s="414">
        <f t="shared" si="28"/>
        <v>1.0512849521868353</v>
      </c>
      <c r="BA36" s="2238">
        <f t="shared" si="28"/>
        <v>1.0791100377358489</v>
      </c>
      <c r="BB36" s="2238">
        <f t="shared" si="28"/>
        <v>0.76713613793103463</v>
      </c>
      <c r="BC36" s="2238">
        <f t="shared" si="28"/>
        <v>0.15239055172413793</v>
      </c>
      <c r="BD36" s="91">
        <f t="shared" si="28"/>
        <v>0</v>
      </c>
      <c r="BE36" s="91">
        <f t="shared" si="28"/>
        <v>0</v>
      </c>
      <c r="BF36" s="200">
        <f t="shared" si="28"/>
        <v>0</v>
      </c>
      <c r="BG36" s="2292"/>
      <c r="BH36" s="2292"/>
      <c r="BI36" s="2292"/>
      <c r="BJ36" s="2292"/>
      <c r="BK36" s="2292"/>
      <c r="BL36" s="2292"/>
    </row>
    <row r="37" spans="1:64" ht="18.600000000000001" thickBot="1">
      <c r="B37" s="511"/>
      <c r="C37" s="512" t="s">
        <v>38</v>
      </c>
      <c r="D37" s="565"/>
      <c r="E37" s="520">
        <f ca="1">LOOKUP(B4,'September TCM'!B10:B40,'September TCM'!ID10:ID40)</f>
        <v>0</v>
      </c>
      <c r="F37" s="514"/>
      <c r="G37" s="514"/>
      <c r="H37" s="514">
        <f>'September TCM'!ID42</f>
        <v>0</v>
      </c>
      <c r="I37" s="514"/>
      <c r="J37" s="514"/>
      <c r="K37" s="514"/>
      <c r="L37" s="514"/>
      <c r="M37" s="514"/>
      <c r="N37" s="514"/>
      <c r="AM37" s="84"/>
      <c r="AN37" s="85"/>
      <c r="AO37" s="85" t="s">
        <v>575</v>
      </c>
      <c r="AP37" s="1617">
        <f ca="1">IFERROR(AP35/AP34,"")</f>
        <v>0.62295194496283091</v>
      </c>
      <c r="AQ37" s="1661">
        <f t="shared" ref="AQ37:BF37" ca="1" si="29">IFERROR(AQ35/AQ34,"")</f>
        <v>1</v>
      </c>
      <c r="AR37" s="196">
        <f t="shared" ca="1" si="29"/>
        <v>1</v>
      </c>
      <c r="AS37" s="196">
        <f t="shared" ca="1" si="29"/>
        <v>0.69213879815985713</v>
      </c>
      <c r="AT37" s="197">
        <f t="shared" ca="1" si="29"/>
        <v>0</v>
      </c>
      <c r="AU37" s="1618">
        <f t="shared" si="29"/>
        <v>0.89023322222222245</v>
      </c>
      <c r="AV37" s="1619">
        <f t="shared" si="29"/>
        <v>0.78698765714285712</v>
      </c>
      <c r="AW37" s="1619">
        <f t="shared" si="29"/>
        <v>1.0096372934666669</v>
      </c>
      <c r="AX37" s="2237">
        <f t="shared" si="29"/>
        <v>0.8068968568888889</v>
      </c>
      <c r="AY37" s="2237">
        <f t="shared" si="29"/>
        <v>1.0810032676720052</v>
      </c>
      <c r="AZ37" s="2237">
        <f t="shared" si="29"/>
        <v>1.1169902616985126</v>
      </c>
      <c r="BA37" s="2237">
        <f t="shared" si="29"/>
        <v>1.1672006530612244</v>
      </c>
      <c r="BB37" s="2237">
        <f t="shared" si="29"/>
        <v>0.94667863829787247</v>
      </c>
      <c r="BC37" s="2237">
        <f t="shared" si="29"/>
        <v>0.15239055172413793</v>
      </c>
      <c r="BD37" s="196">
        <f t="shared" si="29"/>
        <v>0</v>
      </c>
      <c r="BE37" s="196">
        <f t="shared" si="29"/>
        <v>0</v>
      </c>
      <c r="BF37" s="198">
        <f t="shared" si="29"/>
        <v>0</v>
      </c>
      <c r="BG37" s="38"/>
      <c r="BH37" s="38"/>
      <c r="BI37" s="72"/>
      <c r="BJ37" s="38"/>
    </row>
    <row r="38" spans="1:64" ht="18">
      <c r="B38" s="511"/>
      <c r="C38" s="512" t="s">
        <v>586</v>
      </c>
      <c r="D38" s="565"/>
      <c r="E38" s="520">
        <f ca="1">LOOKUP(B4,'September TCM'!B10:B40,'September TCM'!IQ10:IQ40)</f>
        <v>0</v>
      </c>
      <c r="F38" s="514"/>
      <c r="G38" s="514"/>
      <c r="H38" s="514">
        <f>'September TCM'!IQ41</f>
        <v>0</v>
      </c>
      <c r="I38" s="514"/>
      <c r="J38" s="514"/>
      <c r="K38" s="514"/>
      <c r="L38" s="514"/>
      <c r="M38" s="514"/>
      <c r="N38" s="514"/>
      <c r="AM38" s="185"/>
      <c r="AN38" s="186" t="s">
        <v>16</v>
      </c>
      <c r="AO38" s="186" t="s">
        <v>11</v>
      </c>
      <c r="AP38" s="218">
        <f>SUM(AQ38:AT38)</f>
        <v>2430000</v>
      </c>
      <c r="AQ38" s="219">
        <f>SUM(AU38:AW38)</f>
        <v>500000</v>
      </c>
      <c r="AR38" s="220">
        <f>SUM(AX38:AZ38)</f>
        <v>580000</v>
      </c>
      <c r="AS38" s="220">
        <f>SUM(BA38:BC38)</f>
        <v>685000</v>
      </c>
      <c r="AT38" s="221">
        <f>SUM(BD38:BF38)</f>
        <v>665000</v>
      </c>
      <c r="AU38" s="222">
        <v>155000</v>
      </c>
      <c r="AV38" s="220">
        <v>175000</v>
      </c>
      <c r="AW38" s="220">
        <v>170000</v>
      </c>
      <c r="AX38" s="220">
        <v>190000</v>
      </c>
      <c r="AY38" s="220">
        <v>185000</v>
      </c>
      <c r="AZ38" s="220">
        <v>205000</v>
      </c>
      <c r="BA38" s="220">
        <v>215000</v>
      </c>
      <c r="BB38" s="220">
        <v>235000</v>
      </c>
      <c r="BC38" s="220">
        <v>235000</v>
      </c>
      <c r="BD38" s="220">
        <v>215000</v>
      </c>
      <c r="BE38" s="220">
        <v>220000</v>
      </c>
      <c r="BF38" s="223">
        <v>230000</v>
      </c>
      <c r="BG38" s="970">
        <f>SUM(AU38:BB38)</f>
        <v>1530000</v>
      </c>
      <c r="BH38" s="970"/>
      <c r="BI38" s="970"/>
      <c r="BJ38" s="38"/>
    </row>
    <row r="39" spans="1:64" ht="18">
      <c r="B39" s="511"/>
      <c r="C39" s="512" t="s">
        <v>43</v>
      </c>
      <c r="D39" s="565"/>
      <c r="E39" s="520">
        <f ca="1">LOOKUP(B4,'September TCM'!B10:B40,'September TCM'!IH10:IH40)</f>
        <v>0</v>
      </c>
      <c r="F39" s="514"/>
      <c r="G39" s="514"/>
      <c r="H39" s="514">
        <f>'September TCM'!IH42</f>
        <v>0</v>
      </c>
      <c r="I39" s="514"/>
      <c r="J39" s="514"/>
      <c r="K39" s="514"/>
      <c r="L39" s="514"/>
      <c r="M39" s="514"/>
      <c r="N39" s="514"/>
      <c r="AM39" s="185"/>
      <c r="AN39" s="186"/>
      <c r="AO39" s="186" t="s">
        <v>12</v>
      </c>
      <c r="AP39" s="224">
        <f ca="1">(SUMIFS(AU39:BF39,$AU$4:$BF$4,"&gt;="&amp;MONTH(TODAY()-1)))+(SUMIFS(AU40:BF40,$AU$4:$BF$4,"&lt;"&amp;MONTH(TODAY()-1)))</f>
        <v>2130000</v>
      </c>
      <c r="AQ39" s="201">
        <f ca="1">(SUMIFS(AU39:AW39,$AU$4:$AW$4,"&gt;="&amp;MONTH(TODAY()-1)))+(SUMIFS(AU40:AW40,$AU$4:$AW$4,"&lt;"&amp;MONTH(TODAY()-1)))</f>
        <v>388314.37</v>
      </c>
      <c r="AR39" s="202">
        <f ca="1">(SUMIFS(AX39:AZ39,$AX$4:$AZ$4,"&gt;="&amp;MONTH(TODAY()-1)))+(SUMIFS(AX40:AZ40,$AX$4:$AZ$4,"&lt;"&amp;MONTH(TODAY()-1)))</f>
        <v>555265.37000000011</v>
      </c>
      <c r="AS39" s="202">
        <f ca="1">(SUMIFS(BA39:BC39,$BA$4:$BC$4,"&gt;="&amp;MONTH(TODAY()-1)))+(SUMIFS(BA40:BC40,$BA$4:$BC$4,"&lt;"&amp;MONTH(TODAY()-1)))</f>
        <v>577927.17000000004</v>
      </c>
      <c r="AT39" s="203">
        <f ca="1">(SUMIFS(BD39:BF39,$BD$4:$BF$4,"&gt;="&amp;MONTH(TODAY()-1)))+(SUMIFS(BD40:BF40,$BD$4:$BF$4,"&lt;"&amp;MONTH(TODAY()-1)))</f>
        <v>608493.09000000008</v>
      </c>
      <c r="AU39" s="204">
        <v>135000</v>
      </c>
      <c r="AV39" s="202">
        <v>135000</v>
      </c>
      <c r="AW39" s="202">
        <v>150000</v>
      </c>
      <c r="AX39" s="202">
        <v>175000</v>
      </c>
      <c r="AY39" s="202">
        <v>170000</v>
      </c>
      <c r="AZ39" s="202">
        <v>190000</v>
      </c>
      <c r="BA39" s="202">
        <v>185000</v>
      </c>
      <c r="BB39" s="202">
        <v>170000</v>
      </c>
      <c r="BC39" s="202">
        <v>205000</v>
      </c>
      <c r="BD39" s="202">
        <v>210000</v>
      </c>
      <c r="BE39" s="202">
        <v>205000</v>
      </c>
      <c r="BF39" s="225">
        <v>193493.09000000011</v>
      </c>
      <c r="BG39" s="970"/>
      <c r="BH39" s="970"/>
      <c r="BI39" s="970"/>
      <c r="BJ39" s="38"/>
    </row>
    <row r="40" spans="1:64" ht="18">
      <c r="B40" s="511"/>
      <c r="C40" s="512" t="s">
        <v>46</v>
      </c>
      <c r="D40" s="565"/>
      <c r="E40" s="520">
        <f ca="1">LOOKUP(B4,'September TCM'!B10:B40,'September TCM'!IJ10:IJ40)</f>
        <v>2180.4699999999998</v>
      </c>
      <c r="F40" s="514"/>
      <c r="G40" s="514"/>
      <c r="H40" s="514">
        <f>'September TCM'!IJ42</f>
        <v>5669.49</v>
      </c>
      <c r="I40" s="514"/>
      <c r="J40" s="514"/>
      <c r="K40" s="514"/>
      <c r="L40" s="514"/>
      <c r="M40" s="514"/>
      <c r="N40" s="514"/>
      <c r="AM40" s="185"/>
      <c r="AN40" s="186"/>
      <c r="AO40" s="186" t="s">
        <v>13</v>
      </c>
      <c r="AP40" s="224">
        <f>SUM(AQ40:AT40)</f>
        <v>1344590.79</v>
      </c>
      <c r="AQ40" s="201">
        <f>SUM(AU40:AW40)</f>
        <v>388314.37</v>
      </c>
      <c r="AR40" s="202">
        <f>SUM(AX40:AZ40)</f>
        <v>555265.37000000011</v>
      </c>
      <c r="AS40" s="202">
        <f>SUM(BA40:BC40)</f>
        <v>401011.05000000005</v>
      </c>
      <c r="AT40" s="203">
        <f>SUM(BD40:BF40)</f>
        <v>0</v>
      </c>
      <c r="AU40" s="202">
        <f>'January TCM'!$P42</f>
        <v>123930.96000000002</v>
      </c>
      <c r="AV40" s="202">
        <f>'February TCM'!$P42</f>
        <v>106110.26999999999</v>
      </c>
      <c r="AW40" s="202">
        <f>'March TCM'!$P42</f>
        <v>158273.14000000001</v>
      </c>
      <c r="AX40" s="202">
        <f>'April TCM'!$P42</f>
        <v>153787.83000000002</v>
      </c>
      <c r="AY40" s="202">
        <f>'May TCM'!$P42</f>
        <v>185956.53000000003</v>
      </c>
      <c r="AZ40" s="202">
        <f>'June TCM'!$P42</f>
        <v>215521.01</v>
      </c>
      <c r="BA40" s="202">
        <f>'July TCM'!$P42</f>
        <v>223144.86999999997</v>
      </c>
      <c r="BB40" s="202">
        <f>'August TCM'!$P42</f>
        <v>149782.30000000005</v>
      </c>
      <c r="BC40" s="202">
        <f>'September TCM'!$P42</f>
        <v>28083.880000000005</v>
      </c>
      <c r="BD40" s="202"/>
      <c r="BE40" s="202"/>
      <c r="BF40" s="202"/>
      <c r="BG40" s="970">
        <f>SUM(AU40:BB40)</f>
        <v>1316506.9099999999</v>
      </c>
      <c r="BH40" s="38"/>
      <c r="BI40" s="38"/>
      <c r="BJ40" s="38"/>
    </row>
    <row r="41" spans="1:64" ht="18.600000000000001" thickBot="1">
      <c r="A41" s="108">
        <v>200</v>
      </c>
      <c r="B41" s="511"/>
      <c r="C41" s="512" t="s">
        <v>50</v>
      </c>
      <c r="D41" s="565"/>
      <c r="E41" s="520">
        <f ca="1">LOOKUP(B4,'September TCM'!B10:B40,'September TCM'!IL10:IL40)</f>
        <v>0</v>
      </c>
      <c r="F41" s="514"/>
      <c r="G41" s="514" t="s">
        <v>79</v>
      </c>
      <c r="H41" s="514">
        <f>'September TCM'!IL42</f>
        <v>0</v>
      </c>
      <c r="I41" s="514"/>
      <c r="J41" s="514"/>
      <c r="K41" s="514"/>
      <c r="L41" s="514"/>
      <c r="M41" s="514"/>
      <c r="N41" s="514"/>
      <c r="AM41" s="185"/>
      <c r="AN41" s="186"/>
      <c r="AO41" s="186" t="s">
        <v>582</v>
      </c>
      <c r="AP41" s="1662">
        <f t="shared" ref="AP41:BF41" si="30">IFERROR(AP40/AP38,"")</f>
        <v>0.5533295432098766</v>
      </c>
      <c r="AQ41" s="1663">
        <f t="shared" si="30"/>
        <v>0.77662874000000004</v>
      </c>
      <c r="AR41" s="226">
        <f t="shared" si="30"/>
        <v>0.95735408620689677</v>
      </c>
      <c r="AS41" s="226">
        <f t="shared" si="30"/>
        <v>0.585417591240876</v>
      </c>
      <c r="AT41" s="227">
        <f t="shared" si="30"/>
        <v>0</v>
      </c>
      <c r="AU41" s="1622">
        <f t="shared" si="30"/>
        <v>0.79955458064516138</v>
      </c>
      <c r="AV41" s="1623">
        <f t="shared" si="30"/>
        <v>0.60634439999999989</v>
      </c>
      <c r="AW41" s="1623">
        <f t="shared" si="30"/>
        <v>0.93101847058823539</v>
      </c>
      <c r="AX41" s="2241">
        <f t="shared" si="30"/>
        <v>0.80940963157894741</v>
      </c>
      <c r="AY41" s="2241">
        <f t="shared" si="30"/>
        <v>1.0051704324324326</v>
      </c>
      <c r="AZ41" s="2241">
        <f t="shared" si="30"/>
        <v>1.0513220000000001</v>
      </c>
      <c r="BA41" s="2241">
        <f t="shared" si="30"/>
        <v>1.0378831162790696</v>
      </c>
      <c r="BB41" s="2241">
        <f t="shared" si="30"/>
        <v>0.63737148936170229</v>
      </c>
      <c r="BC41" s="226">
        <f t="shared" si="30"/>
        <v>0.11950587234042555</v>
      </c>
      <c r="BD41" s="226">
        <f t="shared" si="30"/>
        <v>0</v>
      </c>
      <c r="BE41" s="226">
        <f t="shared" si="30"/>
        <v>0</v>
      </c>
      <c r="BF41" s="228">
        <f t="shared" si="30"/>
        <v>0</v>
      </c>
      <c r="BG41" s="38"/>
      <c r="BH41" s="38"/>
      <c r="BI41" s="38"/>
      <c r="BJ41" s="38"/>
    </row>
    <row r="42" spans="1:64" ht="18">
      <c r="A42" s="108">
        <v>50</v>
      </c>
      <c r="B42" s="511"/>
      <c r="C42" s="512" t="s">
        <v>53</v>
      </c>
      <c r="D42" s="565"/>
      <c r="E42" s="520">
        <f ca="1">LOOKUP(B4,'September TCM'!B10:B40,'September TCM'!IN10:IN40)</f>
        <v>5188.7900000000009</v>
      </c>
      <c r="F42" s="514"/>
      <c r="G42" s="514"/>
      <c r="H42" s="514">
        <f>'September TCM'!IN42</f>
        <v>16105.18</v>
      </c>
      <c r="I42" s="514"/>
      <c r="J42" s="514"/>
      <c r="K42" s="514"/>
      <c r="L42" s="514"/>
      <c r="M42" s="514"/>
      <c r="N42" s="514"/>
      <c r="AM42" s="239"/>
      <c r="AN42" s="240" t="s">
        <v>17</v>
      </c>
      <c r="AO42" s="240" t="s">
        <v>11</v>
      </c>
      <c r="AP42" s="241">
        <f>SUM(AQ42:AT42)</f>
        <v>620000</v>
      </c>
      <c r="AQ42" s="242">
        <f>SUM(AU42:AW42)</f>
        <v>145000</v>
      </c>
      <c r="AR42" s="243">
        <f>SUM(AX42:AZ42)</f>
        <v>145000</v>
      </c>
      <c r="AS42" s="243">
        <f>SUM(BA42:BC42)</f>
        <v>160000</v>
      </c>
      <c r="AT42" s="244">
        <f>SUM(BD42:BF42)</f>
        <v>170000</v>
      </c>
      <c r="AU42" s="245">
        <v>50000</v>
      </c>
      <c r="AV42" s="243">
        <v>45000</v>
      </c>
      <c r="AW42" s="243">
        <v>50000</v>
      </c>
      <c r="AX42" s="243">
        <v>45000</v>
      </c>
      <c r="AY42" s="243">
        <v>50000</v>
      </c>
      <c r="AZ42" s="243">
        <v>50000</v>
      </c>
      <c r="BA42" s="243">
        <v>50000</v>
      </c>
      <c r="BB42" s="243">
        <v>55000</v>
      </c>
      <c r="BC42" s="243">
        <v>55000</v>
      </c>
      <c r="BD42" s="243">
        <v>60000</v>
      </c>
      <c r="BE42" s="243">
        <v>55000</v>
      </c>
      <c r="BF42" s="246">
        <v>55000</v>
      </c>
      <c r="BG42" s="970">
        <f>SUM(AU42:BB42)</f>
        <v>395000</v>
      </c>
      <c r="BH42" s="970"/>
      <c r="BI42" s="38"/>
      <c r="BJ42" s="38"/>
    </row>
    <row r="43" spans="1:64" ht="18">
      <c r="A43" s="109">
        <v>0.2</v>
      </c>
      <c r="B43" s="511"/>
      <c r="C43" s="512" t="s">
        <v>246</v>
      </c>
      <c r="D43" s="565"/>
      <c r="E43" s="530">
        <f ca="1">+SUM(E44:E49)</f>
        <v>4978.22</v>
      </c>
      <c r="F43" s="532"/>
      <c r="G43" s="532"/>
      <c r="H43" s="532">
        <f>+SUM(H44:H49)</f>
        <v>14175.32</v>
      </c>
      <c r="I43" s="532"/>
      <c r="J43" s="532"/>
      <c r="K43" s="532"/>
      <c r="L43" s="532"/>
      <c r="M43" s="532"/>
      <c r="N43" s="532"/>
      <c r="AM43" s="239"/>
      <c r="AN43" s="240"/>
      <c r="AO43" s="240" t="s">
        <v>12</v>
      </c>
      <c r="AP43" s="247">
        <f ca="1">(SUMIFS(AU43:BF43,$AU$4:$BF$4,"&gt;="&amp;MONTH(TODAY()-1)))+(SUMIFS(AU44:BF44,$AU$4:$BF$4,"&lt;"&amp;MONTH(TODAY()-1)))</f>
        <v>585000</v>
      </c>
      <c r="AQ43" s="248">
        <f ca="1">(SUMIFS(AU43:AW43,$AU$4:$AW$4,"&gt;="&amp;MONTH(TODAY()-1)))+(SUMIFS(AU44:AW44,$AU$4:$AW$4,"&lt;"&amp;MONTH(TODAY()-1)))</f>
        <v>101544.302226</v>
      </c>
      <c r="AR43" s="249">
        <f ca="1">(SUMIFS(AX43:AZ43,$AX$4:$AZ$4,"&gt;="&amp;MONTH(TODAY()-1)))+(SUMIFS(AX44:AZ44,$AX$4:$AZ$4,"&lt;"&amp;MONTH(TODAY()-1)))</f>
        <v>132184.80449548407</v>
      </c>
      <c r="AS43" s="249">
        <f ca="1">(SUMIFS(BA43:BC43,$BA$4:$BC$4,"&gt;="&amp;MONTH(TODAY()-1)))+(SUMIFS(BA44:BC44,$BA$4:$BC$4,"&lt;"&amp;MONTH(TODAY()-1)))</f>
        <v>165800.72999999998</v>
      </c>
      <c r="AT43" s="250">
        <f ca="1">(SUMIFS(BD43:BF43,$BD$4:$BF$4,"&gt;="&amp;MONTH(TODAY()-1)))+(SUMIFS(BD44:BF44,$BD$4:$BF$4,"&lt;"&amp;MONTH(TODAY()-1)))</f>
        <v>185470.16327851595</v>
      </c>
      <c r="AU43" s="251">
        <v>45000</v>
      </c>
      <c r="AV43" s="249">
        <v>40000</v>
      </c>
      <c r="AW43" s="249">
        <v>45000</v>
      </c>
      <c r="AX43" s="249">
        <v>50000</v>
      </c>
      <c r="AY43" s="249">
        <v>50000</v>
      </c>
      <c r="AZ43" s="249">
        <v>50000</v>
      </c>
      <c r="BA43" s="249">
        <v>50000</v>
      </c>
      <c r="BB43" s="249">
        <v>38000</v>
      </c>
      <c r="BC43" s="249">
        <v>55000</v>
      </c>
      <c r="BD43" s="249">
        <v>60000</v>
      </c>
      <c r="BE43" s="249">
        <v>65000</v>
      </c>
      <c r="BF43" s="252">
        <v>60470.163278515938</v>
      </c>
      <c r="BG43" s="970"/>
      <c r="BH43" s="865"/>
      <c r="BI43" s="38"/>
      <c r="BJ43" s="38"/>
    </row>
    <row r="44" spans="1:64" ht="18">
      <c r="A44" s="98">
        <v>0.1</v>
      </c>
      <c r="B44" s="511"/>
      <c r="C44" s="512" t="s">
        <v>38</v>
      </c>
      <c r="D44" s="565"/>
      <c r="E44" s="520">
        <f ca="1">LOOKUP(B4,'September TCM'!B10:B40,'September TCM'!IS10:IS40)</f>
        <v>0</v>
      </c>
      <c r="F44" s="514"/>
      <c r="G44" s="514"/>
      <c r="H44" s="514">
        <f>'September TCM'!IS42</f>
        <v>0</v>
      </c>
      <c r="I44" s="514"/>
      <c r="J44" s="514"/>
      <c r="K44" s="514"/>
      <c r="L44" s="514"/>
      <c r="M44" s="514"/>
      <c r="N44" s="514"/>
      <c r="AM44" s="239"/>
      <c r="AN44" s="240"/>
      <c r="AO44" s="240" t="s">
        <v>13</v>
      </c>
      <c r="AP44" s="247">
        <f>SUM(AQ44:AT44)</f>
        <v>359681.25672148407</v>
      </c>
      <c r="AQ44" s="248">
        <f>SUM(AU44:AW44)</f>
        <v>101544.302226</v>
      </c>
      <c r="AR44" s="249">
        <f>SUM(AX44:AZ44)</f>
        <v>132184.80449548407</v>
      </c>
      <c r="AS44" s="249">
        <f>SUM(BA44:BC44)</f>
        <v>125952.15</v>
      </c>
      <c r="AT44" s="250">
        <f>SUM(BD44:BF44)</f>
        <v>0</v>
      </c>
      <c r="AU44" s="249">
        <f>'January TCM'!$T42</f>
        <v>31325.600000000006</v>
      </c>
      <c r="AV44" s="249">
        <f>'February TCM'!$T42</f>
        <v>31612.569999999996</v>
      </c>
      <c r="AW44" s="249">
        <f>'March TCM'!$T42</f>
        <v>38606.132226000002</v>
      </c>
      <c r="AX44" s="2164">
        <f>'April TCM'!$T42</f>
        <v>27763.962799999994</v>
      </c>
      <c r="AY44" s="282">
        <f>'May TCM'!$T42</f>
        <v>51864.188887841112</v>
      </c>
      <c r="AZ44" s="249">
        <f>'June TCM'!$T42</f>
        <v>52556.652807642975</v>
      </c>
      <c r="BA44" s="249">
        <f>'July TCM'!$T42</f>
        <v>60413.75</v>
      </c>
      <c r="BB44" s="249">
        <f>'August TCM'!$T42</f>
        <v>50386.979999999996</v>
      </c>
      <c r="BC44" s="249">
        <f>'September TCM'!$T42</f>
        <v>15151.42</v>
      </c>
      <c r="BD44" s="249"/>
      <c r="BE44" s="249"/>
      <c r="BF44" s="249"/>
      <c r="BG44" s="72">
        <f>SUM(AU44:BB44)</f>
        <v>344529.83672148408</v>
      </c>
      <c r="BH44" s="38"/>
      <c r="BI44" s="38"/>
      <c r="BJ44" s="38"/>
    </row>
    <row r="45" spans="1:64" ht="18.600000000000001" thickBot="1">
      <c r="A45" s="108">
        <v>2</v>
      </c>
      <c r="B45" s="511"/>
      <c r="C45" s="512" t="s">
        <v>41</v>
      </c>
      <c r="D45" s="565"/>
      <c r="E45" s="520">
        <f ca="1">LOOKUP(B4,'September TCM'!B10:B40,'September TCM'!IU10:IU40)</f>
        <v>0</v>
      </c>
      <c r="F45" s="514"/>
      <c r="G45" s="514"/>
      <c r="H45" s="514">
        <f>'September TCM'!IU42</f>
        <v>0</v>
      </c>
      <c r="I45" s="514"/>
      <c r="J45" s="514"/>
      <c r="K45" s="514"/>
      <c r="L45" s="514"/>
      <c r="M45" s="514"/>
      <c r="N45" s="514"/>
      <c r="AM45" s="239"/>
      <c r="AN45" s="240"/>
      <c r="AO45" s="240" t="s">
        <v>582</v>
      </c>
      <c r="AP45" s="1664">
        <f t="shared" ref="AP45:BF45" si="31">IFERROR(AP44/AP42,"")</f>
        <v>0.58013105922820007</v>
      </c>
      <c r="AQ45" s="1665">
        <f t="shared" si="31"/>
        <v>0.70030553259310346</v>
      </c>
      <c r="AR45" s="253">
        <f t="shared" si="31"/>
        <v>0.91161934134816602</v>
      </c>
      <c r="AS45" s="253">
        <f t="shared" si="31"/>
        <v>0.78720093749999998</v>
      </c>
      <c r="AT45" s="254">
        <f t="shared" si="31"/>
        <v>0</v>
      </c>
      <c r="AU45" s="2239">
        <f t="shared" si="31"/>
        <v>0.62651200000000007</v>
      </c>
      <c r="AV45" s="2240">
        <f t="shared" si="31"/>
        <v>0.70250155555555549</v>
      </c>
      <c r="AW45" s="2240">
        <f t="shared" si="31"/>
        <v>0.77212264452000001</v>
      </c>
      <c r="AX45" s="2240">
        <f t="shared" si="31"/>
        <v>0.61697695111111095</v>
      </c>
      <c r="AY45" s="2240">
        <f t="shared" si="31"/>
        <v>1.0372837777568222</v>
      </c>
      <c r="AZ45" s="2240">
        <f t="shared" si="31"/>
        <v>1.0511330561528596</v>
      </c>
      <c r="BA45" s="2240">
        <f t="shared" si="31"/>
        <v>1.208275</v>
      </c>
      <c r="BB45" s="253">
        <f t="shared" si="31"/>
        <v>0.91612690909090899</v>
      </c>
      <c r="BC45" s="253">
        <f t="shared" si="31"/>
        <v>0.27548036363636363</v>
      </c>
      <c r="BD45" s="253">
        <f t="shared" si="31"/>
        <v>0</v>
      </c>
      <c r="BE45" s="253">
        <f t="shared" si="31"/>
        <v>0</v>
      </c>
      <c r="BF45" s="255">
        <f t="shared" si="31"/>
        <v>0</v>
      </c>
      <c r="BG45" s="38"/>
      <c r="BH45" s="72"/>
      <c r="BI45" s="38"/>
      <c r="BJ45" s="38"/>
    </row>
    <row r="46" spans="1:64" ht="18">
      <c r="A46" s="108">
        <v>1</v>
      </c>
      <c r="B46" s="511"/>
      <c r="C46" s="512" t="s">
        <v>43</v>
      </c>
      <c r="D46" s="565"/>
      <c r="E46" s="520">
        <f ca="1">LOOKUP(B4,'September TCM'!B10:B40,'September TCM'!IW10:IW40)</f>
        <v>0</v>
      </c>
      <c r="F46" s="514"/>
      <c r="G46" s="514"/>
      <c r="H46" s="514">
        <f>'September TCM'!IW42</f>
        <v>0</v>
      </c>
      <c r="I46" s="514"/>
      <c r="J46" s="514"/>
      <c r="K46" s="514"/>
      <c r="L46" s="514"/>
      <c r="M46" s="514"/>
      <c r="N46" s="514"/>
      <c r="AM46" s="472"/>
      <c r="AN46" s="473" t="s">
        <v>18</v>
      </c>
      <c r="AO46" s="473" t="s">
        <v>11</v>
      </c>
      <c r="AP46" s="229">
        <f>SUM(AQ46:AT46)</f>
        <v>150000</v>
      </c>
      <c r="AQ46" s="230">
        <f>SUM(AU46:AW46)</f>
        <v>70000</v>
      </c>
      <c r="AR46" s="231">
        <f>SUM(AX46:AZ46)</f>
        <v>80000</v>
      </c>
      <c r="AS46" s="231">
        <f>SUM(BA46:BC46)</f>
        <v>0</v>
      </c>
      <c r="AT46" s="232">
        <f>SUM(BD46:BF46)</f>
        <v>0</v>
      </c>
      <c r="AU46" s="237">
        <v>20000</v>
      </c>
      <c r="AV46" s="235">
        <v>25000</v>
      </c>
      <c r="AW46" s="235">
        <v>25000</v>
      </c>
      <c r="AX46" s="235">
        <v>40000</v>
      </c>
      <c r="AY46" s="235">
        <v>40000</v>
      </c>
      <c r="AZ46" s="235">
        <v>0</v>
      </c>
      <c r="BA46" s="235">
        <v>0</v>
      </c>
      <c r="BB46" s="235">
        <v>0</v>
      </c>
      <c r="BC46" s="235">
        <v>0</v>
      </c>
      <c r="BD46" s="235">
        <v>0</v>
      </c>
      <c r="BE46" s="235">
        <v>0</v>
      </c>
      <c r="BF46" s="238">
        <v>0</v>
      </c>
      <c r="BG46" s="72">
        <f>SUM(AU46:BB46)</f>
        <v>150000</v>
      </c>
      <c r="BH46" s="38"/>
      <c r="BI46" s="38"/>
      <c r="BJ46" s="38"/>
    </row>
    <row r="47" spans="1:64" ht="18">
      <c r="A47" s="108"/>
      <c r="B47" s="511"/>
      <c r="C47" s="512" t="s">
        <v>46</v>
      </c>
      <c r="D47" s="565"/>
      <c r="E47" s="520">
        <f ca="1">LOOKUP(B4,'September TCM'!B10:B40,'September TCM'!IY10:IY40)</f>
        <v>0</v>
      </c>
      <c r="F47" s="514"/>
      <c r="G47" s="514"/>
      <c r="H47" s="514">
        <f>'September TCM'!IX42</f>
        <v>0</v>
      </c>
      <c r="I47" s="514"/>
      <c r="J47" s="514"/>
      <c r="K47" s="514"/>
      <c r="L47" s="514"/>
      <c r="M47" s="514"/>
      <c r="N47" s="514"/>
      <c r="AM47" s="472"/>
      <c r="AN47" s="473"/>
      <c r="AO47" s="473" t="s">
        <v>12</v>
      </c>
      <c r="AP47" s="233">
        <f ca="1">(SUMIFS(AU47:BF47,$AU$4:$BF$4,"&gt;="&amp;MONTH(TODAY()-1)))+(SUMIFS(AU48:BF48,$AU$4:$BF$4,"&lt;"&amp;MONTH(TODAY()-1)))</f>
        <v>70000.000000000044</v>
      </c>
      <c r="AQ47" s="234">
        <f ca="1">(SUMIFS(AU47:AW47,$AU$4:$AW$4,"&gt;="&amp;MONTH(TODAY()-1)))+(SUMIFS(AU48:AW48,$AU$4:$AW$4,"&lt;"&amp;MONTH(TODAY()-1)))</f>
        <v>4985.42</v>
      </c>
      <c r="AR47" s="235">
        <f ca="1">(SUMIFS(AX47:AZ47,$AX$4:$AZ$4,"&gt;="&amp;MONTH(TODAY()-1)))+(SUMIFS(AX48:AZ48,$AX$4:$AZ$4,"&lt;"&amp;MONTH(TODAY()-1)))</f>
        <v>0</v>
      </c>
      <c r="AS47" s="235">
        <f ca="1">(SUMIFS(BA47:BC47,$BA$4:$BC$4,"&gt;="&amp;MONTH(TODAY()-1)))+(SUMIFS(BA48:BC48,$BA$4:$BC$4,"&lt;"&amp;MONTH(TODAY()-1)))</f>
        <v>54705.740000000005</v>
      </c>
      <c r="AT47" s="236">
        <f ca="1">(SUMIFS(BD47:BF47,$BD$4:$BF$4,"&gt;="&amp;MONTH(TODAY()-1)))+(SUMIFS(BD48:BF48,$BD$4:$BF$4,"&lt;"&amp;MONTH(TODAY()-1)))</f>
        <v>10308.840000000042</v>
      </c>
      <c r="AU47" s="237">
        <v>0</v>
      </c>
      <c r="AV47" s="235">
        <v>0</v>
      </c>
      <c r="AW47" s="235">
        <v>0</v>
      </c>
      <c r="AX47" s="235">
        <v>0</v>
      </c>
      <c r="AY47" s="235">
        <v>0</v>
      </c>
      <c r="AZ47" s="235">
        <v>0</v>
      </c>
      <c r="BA47" s="235">
        <v>10000</v>
      </c>
      <c r="BB47" s="235">
        <v>27000</v>
      </c>
      <c r="BC47" s="235">
        <v>30000</v>
      </c>
      <c r="BD47" s="235">
        <v>10308.840000000042</v>
      </c>
      <c r="BE47" s="235">
        <v>0</v>
      </c>
      <c r="BF47" s="238">
        <v>0</v>
      </c>
      <c r="BG47" s="72"/>
      <c r="BH47" s="72"/>
      <c r="BI47" s="38"/>
      <c r="BJ47" s="38"/>
    </row>
    <row r="48" spans="1:64" ht="18">
      <c r="B48" s="511"/>
      <c r="C48" s="512" t="s">
        <v>50</v>
      </c>
      <c r="D48" s="565"/>
      <c r="E48" s="520">
        <f ca="1">LOOKUP(B4,'September TCM'!B10:B40,'September TCM'!JA10:JA40)</f>
        <v>3539.67</v>
      </c>
      <c r="F48" s="514"/>
      <c r="G48" s="514"/>
      <c r="H48" s="514">
        <f>'September TCM'!JA42</f>
        <v>9736.619999999999</v>
      </c>
      <c r="I48" s="514"/>
      <c r="J48" s="514"/>
      <c r="K48" s="514"/>
      <c r="L48" s="514"/>
      <c r="M48" s="514"/>
      <c r="N48" s="514"/>
      <c r="AM48" s="472"/>
      <c r="AN48" s="473"/>
      <c r="AO48" s="473" t="s">
        <v>13</v>
      </c>
      <c r="AP48" s="233">
        <f>SUM(AQ48:AT48)</f>
        <v>30649.120000000003</v>
      </c>
      <c r="AQ48" s="234">
        <f>SUM(AU48:AW48)</f>
        <v>4985.42</v>
      </c>
      <c r="AR48" s="235">
        <f>SUM(AX48:AZ48)</f>
        <v>0</v>
      </c>
      <c r="AS48" s="235">
        <f>SUM(BA48:BC48)</f>
        <v>25663.700000000004</v>
      </c>
      <c r="AT48" s="236">
        <f>SUM(BD48:BF48)</f>
        <v>0</v>
      </c>
      <c r="AU48" s="1364">
        <f>'January TCM'!$AB42</f>
        <v>4985.42</v>
      </c>
      <c r="AV48" s="1364">
        <f>'February TCM'!$AB42</f>
        <v>0</v>
      </c>
      <c r="AW48" s="1364">
        <f>'March TCM'!$AB42</f>
        <v>0</v>
      </c>
      <c r="AX48" s="964">
        <f>'April TCM'!$AB42</f>
        <v>0</v>
      </c>
      <c r="AY48" s="964">
        <f>'May TCM'!$AB42</f>
        <v>0</v>
      </c>
      <c r="AZ48" s="964">
        <f>'June TCM'!$AB42</f>
        <v>0</v>
      </c>
      <c r="BA48" s="964">
        <f>'July TCM'!$AB42</f>
        <v>2405.54</v>
      </c>
      <c r="BB48" s="964">
        <f>'August TCM'!$AB42</f>
        <v>22300.200000000004</v>
      </c>
      <c r="BC48" s="964">
        <f>'September TCM'!$AB42</f>
        <v>957.96</v>
      </c>
      <c r="BD48" s="964"/>
      <c r="BE48" s="964"/>
      <c r="BF48" s="964"/>
      <c r="BG48" s="72">
        <f>SUM(AU48:BA48)</f>
        <v>7390.96</v>
      </c>
      <c r="BH48" s="343"/>
      <c r="BI48" s="72"/>
      <c r="BJ48" s="38"/>
    </row>
    <row r="49" spans="2:64" ht="18.600000000000001" thickBot="1">
      <c r="B49" s="511"/>
      <c r="C49" s="512" t="s">
        <v>53</v>
      </c>
      <c r="D49" s="565"/>
      <c r="E49" s="520">
        <f ca="1">LOOKUP(B4,'September TCM'!B10:B40,'September TCM'!JC10:JC40)</f>
        <v>1438.5500000000002</v>
      </c>
      <c r="F49" s="522"/>
      <c r="G49" s="522"/>
      <c r="H49" s="522">
        <f>'September TCM'!JC42</f>
        <v>4438.7</v>
      </c>
      <c r="I49" s="514"/>
      <c r="J49" s="514"/>
      <c r="K49" s="514"/>
      <c r="L49" s="514"/>
      <c r="M49" s="514"/>
      <c r="N49" s="514"/>
      <c r="AM49" s="472"/>
      <c r="AN49" s="473"/>
      <c r="AO49" s="473" t="s">
        <v>582</v>
      </c>
      <c r="AP49" s="1668">
        <f>IFERROR(AP48/AP46,"")</f>
        <v>0.20432746666666668</v>
      </c>
      <c r="AQ49" s="1669">
        <f t="shared" ref="AQ49:BF49" si="32">IFERROR(AQ48/AQ46,"")</f>
        <v>7.1220285714285722E-2</v>
      </c>
      <c r="AR49" s="474">
        <f t="shared" si="32"/>
        <v>0</v>
      </c>
      <c r="AS49" s="474" t="str">
        <f t="shared" si="32"/>
        <v/>
      </c>
      <c r="AT49" s="475" t="str">
        <f t="shared" si="32"/>
        <v/>
      </c>
      <c r="AU49" s="476">
        <f t="shared" si="32"/>
        <v>0.24927099999999999</v>
      </c>
      <c r="AV49" s="474">
        <f t="shared" si="32"/>
        <v>0</v>
      </c>
      <c r="AW49" s="474">
        <f t="shared" si="32"/>
        <v>0</v>
      </c>
      <c r="AX49" s="474">
        <f t="shared" si="32"/>
        <v>0</v>
      </c>
      <c r="AY49" s="474">
        <f t="shared" si="32"/>
        <v>0</v>
      </c>
      <c r="AZ49" s="474" t="str">
        <f t="shared" si="32"/>
        <v/>
      </c>
      <c r="BA49" s="474" t="str">
        <f t="shared" si="32"/>
        <v/>
      </c>
      <c r="BB49" s="474" t="str">
        <f t="shared" si="32"/>
        <v/>
      </c>
      <c r="BC49" s="474" t="str">
        <f t="shared" si="32"/>
        <v/>
      </c>
      <c r="BD49" s="474" t="str">
        <f t="shared" si="32"/>
        <v/>
      </c>
      <c r="BE49" s="474" t="str">
        <f t="shared" si="32"/>
        <v/>
      </c>
      <c r="BF49" s="477" t="str">
        <f t="shared" si="32"/>
        <v/>
      </c>
      <c r="BG49" s="38"/>
      <c r="BH49" s="343"/>
      <c r="BI49" s="72"/>
      <c r="BJ49" s="38"/>
    </row>
    <row r="50" spans="2:64" ht="18">
      <c r="B50" s="511" t="s">
        <v>107</v>
      </c>
      <c r="C50" s="512"/>
      <c r="D50" s="565"/>
      <c r="E50" s="517">
        <f ca="1">SUM(E51,E59,E55)</f>
        <v>16810.91</v>
      </c>
      <c r="F50" s="517">
        <f ca="1">SUM(F51,F59,F55)</f>
        <v>360000</v>
      </c>
      <c r="G50" s="517">
        <f ca="1">SUM(G51,G59,G55)</f>
        <v>270000</v>
      </c>
      <c r="H50" s="517">
        <f>SUM(H51,H59,H55)</f>
        <v>49565.759999999995</v>
      </c>
      <c r="I50" s="1511">
        <f ca="1">IFERROR(H50/F50,"")</f>
        <v>0.13768266666666665</v>
      </c>
      <c r="J50" s="1511">
        <f t="shared" ref="J50:J66" ca="1" si="33">IFERROR(H50/G50,"")</f>
        <v>0.18357688888888887</v>
      </c>
      <c r="K50" s="518">
        <f ca="1">SUM(K51,K59,K55)</f>
        <v>3075000</v>
      </c>
      <c r="L50" s="518">
        <f ca="1">SUM(L51,L59,L55)</f>
        <v>2469984.13</v>
      </c>
      <c r="M50" s="518">
        <f ca="1">SUM(M51,M59,M55)</f>
        <v>2249549.8899999997</v>
      </c>
      <c r="N50" s="519">
        <f ca="1">+IFERROR(M50/K50,"")</f>
        <v>0.73156093983739823</v>
      </c>
      <c r="AM50" s="1325"/>
      <c r="AN50" s="1326" t="s">
        <v>83</v>
      </c>
      <c r="AO50" s="1326" t="s">
        <v>11</v>
      </c>
      <c r="AP50" s="1327"/>
      <c r="AQ50" s="1328"/>
      <c r="AR50" s="1329"/>
      <c r="AS50" s="1329"/>
      <c r="AT50" s="1330"/>
      <c r="AU50" s="1331"/>
      <c r="AV50" s="1331"/>
      <c r="AW50" s="1331"/>
      <c r="AX50" s="1331"/>
      <c r="AY50" s="1331"/>
      <c r="AZ50" s="1331"/>
      <c r="BA50" s="1331"/>
      <c r="BB50" s="1331"/>
      <c r="BC50" s="1331"/>
      <c r="BD50" s="1331"/>
      <c r="BE50" s="1331"/>
      <c r="BF50" s="1332"/>
      <c r="BG50" s="72"/>
      <c r="BH50" s="343"/>
      <c r="BI50" s="72"/>
      <c r="BJ50" s="38"/>
    </row>
    <row r="51" spans="2:64" ht="18">
      <c r="B51" s="511"/>
      <c r="C51" s="512" t="s">
        <v>76</v>
      </c>
      <c r="D51" s="565"/>
      <c r="E51" s="539">
        <f ca="1">LOOKUP(B4,'September TCM'!B10:B41,'September TCM'!JJ10:JJ41)</f>
        <v>8295.73</v>
      </c>
      <c r="F51" s="540">
        <f ca="1">LOOKUP(MATCH(F2,$AU$3:$BF$3,0),$AU$4:$BF$4,AU60:BF60)</f>
        <v>165000</v>
      </c>
      <c r="G51" s="540">
        <f ca="1">LOOKUP(MATCH(F2,$AU$3:$BF$3,0),$AU$4:$BF$4,AU61:BF61)</f>
        <v>150000</v>
      </c>
      <c r="H51" s="540">
        <f>'September TCM'!JJ42</f>
        <v>24471.679999999997</v>
      </c>
      <c r="I51" s="1512">
        <f t="shared" ref="I51:I62" ca="1" si="34">+IFERROR(H51/F51,"")</f>
        <v>0.1483132121212121</v>
      </c>
      <c r="J51" s="1512">
        <f t="shared" ca="1" si="33"/>
        <v>0.16314453333333331</v>
      </c>
      <c r="K51" s="540">
        <f ca="1">SUMIFS(AU60:BF60,AU4:BF4,"&lt;="&amp;MONTH(TODAY()-1))</f>
        <v>1410000</v>
      </c>
      <c r="L51" s="540">
        <f ca="1">SUMIFS(AU62:BF62,AU4:BF4,"&lt;"&amp;MONTH(TODAY()-1))+SUMIFS(AU61:BF61,AU4:BF4,"="&amp;MONTH(TODAY()-1))</f>
        <v>1632384.17</v>
      </c>
      <c r="M51" s="540">
        <f ca="1">SUMIFS(AU62:BF62,AU4:BF4,"&lt;="&amp;MONTH(TODAY()-1))</f>
        <v>1506855.8499999999</v>
      </c>
      <c r="N51" s="521">
        <f ca="1">+IFERROR(M51/K51,"")</f>
        <v>1.0686920921985814</v>
      </c>
      <c r="AF51" s="110"/>
      <c r="AG51" s="110"/>
      <c r="AH51" s="110"/>
      <c r="AI51" s="110"/>
      <c r="AJ51" s="110"/>
      <c r="AK51" s="110"/>
      <c r="AM51" s="1325"/>
      <c r="AN51" s="1326"/>
      <c r="AO51" s="1326" t="s">
        <v>12</v>
      </c>
      <c r="AP51" s="1327"/>
      <c r="AQ51" s="1328"/>
      <c r="AR51" s="1329"/>
      <c r="AS51" s="1329"/>
      <c r="AT51" s="1330"/>
      <c r="AU51" s="1331"/>
      <c r="AV51" s="1331"/>
      <c r="AW51" s="1331"/>
      <c r="AX51" s="1331"/>
      <c r="AY51" s="1331"/>
      <c r="AZ51" s="1331"/>
      <c r="BA51" s="1331"/>
      <c r="BB51" s="1331"/>
      <c r="BC51" s="1331"/>
      <c r="BD51" s="1331"/>
      <c r="BE51" s="1331"/>
      <c r="BF51" s="1332"/>
      <c r="BG51" s="72"/>
      <c r="BH51" s="38"/>
      <c r="BI51" s="38"/>
      <c r="BJ51" s="38"/>
    </row>
    <row r="52" spans="2:64" ht="18">
      <c r="B52" s="511"/>
      <c r="C52" s="512" t="s">
        <v>587</v>
      </c>
      <c r="D52" s="565"/>
      <c r="E52" s="535">
        <f ca="1">LOOKUP(B4,'September TCM'!B10:B40,'September TCM'!KP10:KP40)</f>
        <v>0</v>
      </c>
      <c r="F52" s="536">
        <f ca="1">LOOKUP(MATCH(F2,$AU$3:$BF$3,0),$AU$4:$BF$4,AU137:BF137)</f>
        <v>7007.1105163263201</v>
      </c>
      <c r="G52" s="536">
        <f ca="1">LOOKUP(MATCH(F2,$AU$3:$BF$3,0),$AU$4:$BF$4,AU141:BF141)</f>
        <v>7007.1105163263201</v>
      </c>
      <c r="H52" s="536">
        <f>'September TCM'!KP42</f>
        <v>7087.9052106067675</v>
      </c>
      <c r="I52" s="1513">
        <f t="shared" ca="1" si="34"/>
        <v>1.0115303867538836</v>
      </c>
      <c r="J52" s="1513">
        <f t="shared" ca="1" si="33"/>
        <v>1.0115303867538836</v>
      </c>
      <c r="K52" s="536"/>
      <c r="L52" s="536"/>
      <c r="M52" s="536"/>
      <c r="N52" s="536"/>
      <c r="AF52" s="426"/>
      <c r="AG52" s="111"/>
      <c r="AH52" s="112"/>
      <c r="AI52" s="38"/>
      <c r="AJ52" s="38"/>
      <c r="AK52" s="38"/>
      <c r="AM52" s="1325"/>
      <c r="AN52" s="1326"/>
      <c r="AO52" s="1326" t="s">
        <v>13</v>
      </c>
      <c r="AP52" s="1336">
        <f>SUM(AQ52:AT52)</f>
        <v>0</v>
      </c>
      <c r="AQ52" s="1333">
        <f>SUM(AU52:AW52)</f>
        <v>0</v>
      </c>
      <c r="AR52" s="1334">
        <f>SUM(AX52:AZ52)</f>
        <v>0</v>
      </c>
      <c r="AS52" s="1334">
        <f>SUM(BA52:BC52)</f>
        <v>0</v>
      </c>
      <c r="AT52" s="1335">
        <f>SUM(BD52:BF52)</f>
        <v>0</v>
      </c>
      <c r="AU52" s="1331"/>
      <c r="AV52" s="1331"/>
      <c r="AW52" s="1331"/>
      <c r="AX52" s="1331"/>
      <c r="AY52" s="1331"/>
      <c r="AZ52" s="1356"/>
      <c r="BA52" s="1356"/>
      <c r="BB52" s="1331"/>
      <c r="BC52" s="1331"/>
      <c r="BD52" s="1331"/>
      <c r="BE52" s="1331"/>
      <c r="BF52" s="1331"/>
      <c r="BG52" s="970"/>
      <c r="BH52" s="38"/>
      <c r="BI52" s="38"/>
      <c r="BJ52" s="38"/>
    </row>
    <row r="53" spans="2:64" ht="18">
      <c r="B53" s="511"/>
      <c r="C53" s="512" t="s">
        <v>588</v>
      </c>
      <c r="D53" s="565"/>
      <c r="E53" s="538">
        <f ca="1">LOOKUP(B4,'September TCM'!B10:B40,'September TCM'!KQ10:KQ40)</f>
        <v>0</v>
      </c>
      <c r="F53" s="545">
        <f ca="1">LOOKUP(MATCH(F2,$AU$3:$BF$3,0),$AU$4:$BF$4,AU138:BF138)</f>
        <v>0.71329019231723201</v>
      </c>
      <c r="G53" s="545">
        <f ca="1">LOOKUP(MATCH(F2,$AU$3:$BF$3,0),$AU$4:$BF$4,AU142:BF142)</f>
        <v>0.71329019231723201</v>
      </c>
      <c r="H53" s="545">
        <f>'September TCM'!KQ42</f>
        <v>0.75617110183147862</v>
      </c>
      <c r="I53" s="1513">
        <f t="shared" ca="1" si="34"/>
        <v>1.0601170603158603</v>
      </c>
      <c r="J53" s="1513">
        <f t="shared" ca="1" si="33"/>
        <v>1.0601170603158603</v>
      </c>
      <c r="K53" s="537"/>
      <c r="L53" s="537"/>
      <c r="M53" s="537"/>
      <c r="N53" s="537"/>
      <c r="AF53" s="427"/>
      <c r="AG53" s="113"/>
      <c r="AH53" s="38"/>
      <c r="AI53" s="38"/>
      <c r="AJ53" s="38"/>
      <c r="AK53" s="38"/>
      <c r="AM53" s="1325"/>
      <c r="AN53" s="1326"/>
      <c r="AO53" s="1326" t="s">
        <v>582</v>
      </c>
      <c r="AP53" s="1327"/>
      <c r="AQ53" s="1328"/>
      <c r="AR53" s="1329"/>
      <c r="AS53" s="1329"/>
      <c r="AT53" s="1330"/>
      <c r="AU53" s="1331"/>
      <c r="AV53" s="1331"/>
      <c r="AW53" s="1331"/>
      <c r="AX53" s="1331"/>
      <c r="AY53" s="1331"/>
      <c r="AZ53" s="1331"/>
      <c r="BA53" s="1331"/>
      <c r="BB53" s="1331"/>
      <c r="BC53" s="1331"/>
      <c r="BD53" s="1331"/>
      <c r="BE53" s="1331"/>
      <c r="BF53" s="1332"/>
      <c r="BG53" s="38"/>
      <c r="BH53" s="38"/>
      <c r="BI53" s="38"/>
      <c r="BJ53" s="38"/>
    </row>
    <row r="54" spans="2:64" ht="18.600000000000001" thickBot="1">
      <c r="B54" s="511"/>
      <c r="C54" s="512" t="s">
        <v>589</v>
      </c>
      <c r="D54" s="565"/>
      <c r="E54" s="538">
        <f ca="1">LOOKUP(B4,'September TCM'!B10:B40,'September TCM'!KR10:KR40)</f>
        <v>0</v>
      </c>
      <c r="F54" s="545">
        <f ca="1">LOOKUP(MATCH(F2,$AU$3:$BF$3,0),$AU$4:$BF$4,AU139:BF139)</f>
        <v>3.9734258047995201</v>
      </c>
      <c r="G54" s="545">
        <f ca="1">LOOKUP(MATCH(F2,$AU$3:$BF$3,0),$AU$4:$BF$4,AU143:BF143)</f>
        <v>3.9734258047995201</v>
      </c>
      <c r="H54" s="545">
        <f>'September TCM'!KR42</f>
        <v>3.0149167165196133</v>
      </c>
      <c r="I54" s="1513">
        <f t="shared" ca="1" si="34"/>
        <v>0.75877010535288747</v>
      </c>
      <c r="J54" s="1513">
        <f t="shared" ca="1" si="33"/>
        <v>0.75877010535288747</v>
      </c>
      <c r="K54" s="537"/>
      <c r="L54" s="537"/>
      <c r="M54" s="537"/>
      <c r="N54" s="537"/>
      <c r="AF54" s="427"/>
      <c r="AG54" s="113"/>
      <c r="AH54" s="38"/>
      <c r="AI54" s="38"/>
      <c r="AJ54" s="38"/>
      <c r="AK54" s="38"/>
      <c r="AM54" s="1325"/>
      <c r="AN54" s="1326"/>
      <c r="AO54" s="1326"/>
      <c r="AP54" s="1327"/>
      <c r="AQ54" s="1328"/>
      <c r="AR54" s="1329"/>
      <c r="AS54" s="1329"/>
      <c r="AT54" s="1330"/>
      <c r="AU54" s="1331"/>
      <c r="AV54" s="1331"/>
      <c r="AW54" s="1331"/>
      <c r="AX54" s="1331"/>
      <c r="AY54" s="1331"/>
      <c r="AZ54" s="1331"/>
      <c r="BA54" s="1331"/>
      <c r="BB54" s="1331"/>
      <c r="BC54" s="1331"/>
      <c r="BD54" s="1331"/>
      <c r="BE54" s="1331"/>
      <c r="BF54" s="1332"/>
      <c r="BG54" s="72"/>
      <c r="BH54" s="38"/>
      <c r="BI54" s="38"/>
      <c r="BJ54" s="38"/>
    </row>
    <row r="55" spans="2:64" ht="18">
      <c r="B55" s="511"/>
      <c r="C55" s="512" t="s">
        <v>77</v>
      </c>
      <c r="D55" s="565"/>
      <c r="E55" s="539">
        <f ca="1">LOOKUP(B4,'September TCM'!B10:B41,'September TCM'!JK10:JK41)</f>
        <v>8515.18</v>
      </c>
      <c r="F55" s="540">
        <f ca="1">LOOKUP(MATCH(F2,$AU$3:$BF$3,0),$AU$4:$BF$4,AU64:BF64)</f>
        <v>195000</v>
      </c>
      <c r="G55" s="540">
        <f ca="1">LOOKUP(MATCH(F2,$AU$3:$BF$3,0),$AU$4:$BF$4,AU65:BF65)</f>
        <v>120000</v>
      </c>
      <c r="H55" s="540">
        <f>'September TCM'!JK42</f>
        <v>25094.080000000002</v>
      </c>
      <c r="I55" s="1512">
        <f t="shared" ca="1" si="34"/>
        <v>0.12868758974358976</v>
      </c>
      <c r="J55" s="1512">
        <f t="shared" ca="1" si="33"/>
        <v>0.20911733333333335</v>
      </c>
      <c r="K55" s="540">
        <f ca="1">SUMIFS(AU64:BF64,AU4:BF4,"&lt;="&amp;MONTH(TODAY()-1))</f>
        <v>1665000</v>
      </c>
      <c r="L55" s="542">
        <f ca="1">SUMIFS(AU66:BF66,AU4:BF4,"&lt;"&amp;MONTH(TODAY()-1))+SUMIFS(AU65:BF65,AU4:BF4,"="&amp;MONTH(TODAY()-1))</f>
        <v>837599.96</v>
      </c>
      <c r="M55" s="540">
        <f ca="1">SUMIFS(AU66:BF66,AU4:BF4,"&lt;="&amp;MONTH(TODAY()-1))</f>
        <v>742694.03999999992</v>
      </c>
      <c r="N55" s="541">
        <f ca="1">+IFERROR(M55/K55,"")</f>
        <v>0.44606248648648644</v>
      </c>
      <c r="AF55" s="427"/>
      <c r="AG55" s="113"/>
      <c r="AH55" s="38"/>
      <c r="AI55" s="38"/>
      <c r="AJ55" s="38"/>
      <c r="AK55" s="38"/>
      <c r="AM55" s="84" t="s">
        <v>107</v>
      </c>
      <c r="AN55" s="85"/>
      <c r="AO55" s="85" t="s">
        <v>11</v>
      </c>
      <c r="AP55" s="187">
        <f>SUM(AQ55:AT55)</f>
        <v>4150000</v>
      </c>
      <c r="AQ55" s="188">
        <f>SUM(AU55:AW55)</f>
        <v>950000</v>
      </c>
      <c r="AR55" s="189">
        <f>SUM(AX55:AZ55)</f>
        <v>1035000</v>
      </c>
      <c r="AS55" s="189">
        <f>SUM(BA55:BC55)</f>
        <v>1090000</v>
      </c>
      <c r="AT55" s="190">
        <f>SUM(BD55:BF55)</f>
        <v>1075000</v>
      </c>
      <c r="AU55" s="191">
        <f>SUM(AU60,AU64,AU68,AU72)</f>
        <v>315000</v>
      </c>
      <c r="AV55" s="191">
        <f t="shared" ref="AV55:BF55" si="35">SUM(AV60,AV64,AV68)</f>
        <v>315000</v>
      </c>
      <c r="AW55" s="191">
        <f t="shared" si="35"/>
        <v>320000</v>
      </c>
      <c r="AX55" s="191">
        <f t="shared" si="35"/>
        <v>340000</v>
      </c>
      <c r="AY55" s="191">
        <f t="shared" si="35"/>
        <v>340000</v>
      </c>
      <c r="AZ55" s="191">
        <f t="shared" si="35"/>
        <v>355000</v>
      </c>
      <c r="BA55" s="191">
        <f t="shared" si="35"/>
        <v>370000</v>
      </c>
      <c r="BB55" s="191">
        <f t="shared" si="35"/>
        <v>360000</v>
      </c>
      <c r="BC55" s="191">
        <f t="shared" si="35"/>
        <v>360000</v>
      </c>
      <c r="BD55" s="191">
        <f t="shared" si="35"/>
        <v>360000</v>
      </c>
      <c r="BE55" s="191">
        <f t="shared" si="35"/>
        <v>360000</v>
      </c>
      <c r="BF55" s="205">
        <f t="shared" si="35"/>
        <v>355000</v>
      </c>
      <c r="BG55" s="970"/>
      <c r="BH55" s="72"/>
      <c r="BI55" s="38"/>
      <c r="BJ55" s="72"/>
    </row>
    <row r="56" spans="2:64" ht="18">
      <c r="B56" s="511"/>
      <c r="C56" s="512" t="s">
        <v>587</v>
      </c>
      <c r="D56" s="565"/>
      <c r="E56" s="535">
        <f ca="1">LOOKUP(B4,'September TCM'!B10:B40,'September TCM'!KU10:KU40)</f>
        <v>6947.8270469181234</v>
      </c>
      <c r="F56" s="536">
        <f ca="1">LOOKUP(MATCH(F2,$AU$3:$BF$3,0),$AU$4:$BF$4,AU150:BF150)</f>
        <v>6906.7638655273404</v>
      </c>
      <c r="G56" s="536">
        <f ca="1">LOOKUP(MATCH(F2,$AU$3:$BF$3,0),$AU$4:$BF$4,AU154:BF154)</f>
        <v>6906.7638655273404</v>
      </c>
      <c r="H56" s="536">
        <f>'September TCM'!KU43</f>
        <v>6915</v>
      </c>
      <c r="I56" s="1513">
        <f t="shared" ca="1" si="34"/>
        <v>1.0011924737305364</v>
      </c>
      <c r="J56" s="1513">
        <f t="shared" ca="1" si="33"/>
        <v>1.0011924737305364</v>
      </c>
      <c r="K56" s="536"/>
      <c r="L56" s="536"/>
      <c r="M56" s="536"/>
      <c r="N56" s="536"/>
      <c r="AF56" s="427"/>
      <c r="AG56" s="113"/>
      <c r="AH56" s="38"/>
      <c r="AI56" s="38"/>
      <c r="AJ56" s="38"/>
      <c r="AK56" s="38"/>
      <c r="AM56" s="84"/>
      <c r="AN56" s="85"/>
      <c r="AO56" s="85" t="s">
        <v>12</v>
      </c>
      <c r="AP56" s="193">
        <f ca="1">(SUMIFS(AU56:BF56,$AU$4:$BF$4,"&gt;="&amp;MONTH(TODAY()-1)))+(SUMIFS(AU57:BF57,$AU$4:$BF$4,"&lt;"&amp;MONTH(TODAY()-1)))</f>
        <v>3500000.0000000009</v>
      </c>
      <c r="AQ56" s="99">
        <f ca="1">(SUMIFS(AU56:AW56,$AU$4:$AW$4,"&gt;="&amp;MONTH(TODAY()-1)))+(SUMIFS(AU57:AW57,$AU$4:$AW$4,"&lt;"&amp;MONTH(TODAY()-1)))</f>
        <v>835710.61</v>
      </c>
      <c r="AR56" s="90">
        <f ca="1">(SUMIFS(AX56:AZ56,$AX$4:$AZ$4,"&gt;="&amp;MONTH(TODAY()-1)))+(SUMIFS(AX57:AZ57,$AX$4:$AZ$4,"&lt;"&amp;MONTH(TODAY()-1)))</f>
        <v>728275.82000000007</v>
      </c>
      <c r="AS56" s="90">
        <f ca="1">(SUMIFS(BA56:BC56,$BA$4:$BC$4,"&gt;="&amp;MONTH(TODAY()-1)))+(SUMIFS(BA57:BC57,$BA$4:$BC$4,"&lt;"&amp;MONTH(TODAY()-1)))</f>
        <v>905997.70000000007</v>
      </c>
      <c r="AT56" s="103">
        <f ca="1">(SUMIFS(BD56:BF56,$BD$4:$BF$4,"&gt;="&amp;MONTH(TODAY()-1)))+(SUMIFS(BD57:BF57,$BD$4:$BF$4,"&lt;"&amp;MONTH(TODAY()-1)))</f>
        <v>1030015.8700000005</v>
      </c>
      <c r="AU56" s="101">
        <f>SUM(AU61,AU65,AU69,AU73)</f>
        <v>315000</v>
      </c>
      <c r="AV56" s="101">
        <f t="shared" ref="AV56:BF56" si="36">SUM(AV61,AV65,AV69,AV73)</f>
        <v>300000</v>
      </c>
      <c r="AW56" s="101">
        <f t="shared" si="36"/>
        <v>220000</v>
      </c>
      <c r="AX56" s="101">
        <f t="shared" si="36"/>
        <v>250000</v>
      </c>
      <c r="AY56" s="101">
        <f t="shared" si="36"/>
        <v>240000</v>
      </c>
      <c r="AZ56" s="101">
        <f t="shared" si="36"/>
        <v>230000</v>
      </c>
      <c r="BA56" s="101">
        <f t="shared" si="36"/>
        <v>230000</v>
      </c>
      <c r="BB56" s="101">
        <f t="shared" si="36"/>
        <v>230000</v>
      </c>
      <c r="BC56" s="101">
        <f t="shared" si="36"/>
        <v>270000</v>
      </c>
      <c r="BD56" s="101">
        <f t="shared" si="36"/>
        <v>335000</v>
      </c>
      <c r="BE56" s="101">
        <f t="shared" si="36"/>
        <v>350000</v>
      </c>
      <c r="BF56" s="101">
        <f t="shared" si="36"/>
        <v>345015.87000000046</v>
      </c>
      <c r="BG56" s="72"/>
      <c r="BH56" s="38"/>
      <c r="BI56" s="38"/>
      <c r="BJ56" s="72"/>
    </row>
    <row r="57" spans="2:64" ht="18">
      <c r="B57" s="511"/>
      <c r="C57" s="512" t="s">
        <v>588</v>
      </c>
      <c r="D57" s="565"/>
      <c r="E57" s="543">
        <f ca="1">LOOKUP(B4,'September TCM'!B10:B40,'September TCM'!KV10:KV40)</f>
        <v>1.6989972401103954</v>
      </c>
      <c r="F57" s="1510">
        <f ca="1">LOOKUP(MATCH(F2,$AU$3:$BF$3,0),$AU$4:$BF$4,AU151:BF151)</f>
        <v>1.7047544202051399</v>
      </c>
      <c r="G57" s="1510">
        <f ca="1">LOOKUP(MATCH(F2,$AU$3:$BF$3,0),$AU$4:$BF$4,AU155:BF155)</f>
        <v>1.7047544202051399</v>
      </c>
      <c r="H57" s="545">
        <f>'September TCM'!KV43</f>
        <v>1.75</v>
      </c>
      <c r="I57" s="1513">
        <f t="shared" ca="1" si="34"/>
        <v>1.0265408197559713</v>
      </c>
      <c r="J57" s="1513">
        <f t="shared" ca="1" si="33"/>
        <v>1.0265408197559713</v>
      </c>
      <c r="K57" s="537"/>
      <c r="L57" s="537"/>
      <c r="M57" s="537"/>
      <c r="N57" s="537"/>
      <c r="AF57" s="427"/>
      <c r="AG57" s="113"/>
      <c r="AH57" s="38"/>
      <c r="AI57" s="38"/>
      <c r="AJ57" s="38"/>
      <c r="AK57" s="38"/>
      <c r="AM57" s="84"/>
      <c r="AN57" s="85"/>
      <c r="AO57" s="85" t="s">
        <v>13</v>
      </c>
      <c r="AP57" s="193">
        <f>SUM(AQ57:AT57)</f>
        <v>2249549.89</v>
      </c>
      <c r="AQ57" s="99">
        <f>SUM(AU57:AW57)</f>
        <v>835710.61</v>
      </c>
      <c r="AR57" s="90">
        <f>SUM(AX57:AZ57)</f>
        <v>728275.82000000007</v>
      </c>
      <c r="AS57" s="90">
        <f>SUM(BA57:BC57)</f>
        <v>685563.46000000008</v>
      </c>
      <c r="AT57" s="103">
        <f>SUM(BD57:BF57)</f>
        <v>0</v>
      </c>
      <c r="AU57" s="101">
        <f>SUM(AU62,AU66,AU70,AU74)</f>
        <v>349232.9</v>
      </c>
      <c r="AV57" s="101">
        <f t="shared" ref="AV57:BF57" si="37">SUM(AV62,AV66,AV70,AV74)</f>
        <v>262318.73</v>
      </c>
      <c r="AW57" s="101">
        <f t="shared" si="37"/>
        <v>224158.97999999995</v>
      </c>
      <c r="AX57" s="101">
        <f t="shared" si="37"/>
        <v>260372.18000000005</v>
      </c>
      <c r="AY57" s="101">
        <f t="shared" si="37"/>
        <v>237211.53999999998</v>
      </c>
      <c r="AZ57" s="101">
        <f t="shared" si="37"/>
        <v>230692.1</v>
      </c>
      <c r="BA57" s="101">
        <f t="shared" si="37"/>
        <v>305706.34000000003</v>
      </c>
      <c r="BB57" s="101">
        <f t="shared" si="37"/>
        <v>330291.36000000004</v>
      </c>
      <c r="BC57" s="101">
        <f t="shared" si="37"/>
        <v>49565.759999999995</v>
      </c>
      <c r="BD57" s="101">
        <f t="shared" si="37"/>
        <v>0</v>
      </c>
      <c r="BE57" s="101">
        <f t="shared" si="37"/>
        <v>0</v>
      </c>
      <c r="BF57" s="102">
        <f t="shared" si="37"/>
        <v>0</v>
      </c>
      <c r="BG57" s="72"/>
      <c r="BH57" s="38"/>
      <c r="BI57" s="38"/>
      <c r="BJ57" s="72"/>
    </row>
    <row r="58" spans="2:64" ht="18">
      <c r="B58" s="511"/>
      <c r="C58" s="512" t="s">
        <v>589</v>
      </c>
      <c r="D58" s="565"/>
      <c r="E58" s="543">
        <f ca="1">LOOKUP(B4,'September TCM'!B10:B40,'September TCM'!KW10:KW40)</f>
        <v>6.3016835326586937</v>
      </c>
      <c r="F58" s="1510">
        <f ca="1">LOOKUP(MATCH(F2,$AU$3:$BF$3,0),$AU$4:$BF$4,AU152:BF152)</f>
        <v>4.67126956174023</v>
      </c>
      <c r="G58" s="1510">
        <f ca="1">LOOKUP(MATCH(F2,$AU$3:$BF$3,0),$AU$4:$BF$4,AU156:BF156)</f>
        <v>4.67126956174023</v>
      </c>
      <c r="H58" s="545">
        <f>'September TCM'!KW43</f>
        <v>4.5599999999999996</v>
      </c>
      <c r="I58" s="1513">
        <f t="shared" ca="1" si="34"/>
        <v>0.97618001695907741</v>
      </c>
      <c r="J58" s="1513">
        <f t="shared" ca="1" si="33"/>
        <v>0.97618001695907741</v>
      </c>
      <c r="K58" s="537"/>
      <c r="L58" s="537"/>
      <c r="M58" s="537"/>
      <c r="N58" s="537"/>
      <c r="AF58" s="427"/>
      <c r="AG58" s="113"/>
      <c r="AH58" s="38"/>
      <c r="AI58" s="38"/>
      <c r="AJ58" s="38"/>
      <c r="AK58" s="38"/>
      <c r="AM58" s="84"/>
      <c r="AN58" s="85"/>
      <c r="AO58" s="85" t="s">
        <v>555</v>
      </c>
      <c r="AP58" s="469">
        <f t="shared" ref="AP58:BF58" si="38">IFERROR(AP57/AP55,"")</f>
        <v>0.54206021445783137</v>
      </c>
      <c r="AQ58" s="418">
        <f t="shared" si="38"/>
        <v>0.87969537894736838</v>
      </c>
      <c r="AR58" s="91">
        <f t="shared" si="38"/>
        <v>0.70364813526570058</v>
      </c>
      <c r="AS58" s="91">
        <f>IFERROR(AS57/AS55,"")</f>
        <v>0.62895730275229367</v>
      </c>
      <c r="AT58" s="104">
        <f t="shared" si="38"/>
        <v>0</v>
      </c>
      <c r="AU58" s="413">
        <f t="shared" si="38"/>
        <v>1.108675873015873</v>
      </c>
      <c r="AV58" s="414">
        <f t="shared" si="38"/>
        <v>0.83275787301587301</v>
      </c>
      <c r="AW58" s="414">
        <f t="shared" si="38"/>
        <v>0.70049681249999984</v>
      </c>
      <c r="AX58" s="2238">
        <f t="shared" si="38"/>
        <v>0.76580052941176491</v>
      </c>
      <c r="AY58" s="2238">
        <f t="shared" si="38"/>
        <v>0.69768099999999988</v>
      </c>
      <c r="AZ58" s="2238">
        <f t="shared" si="38"/>
        <v>0.64983690140845074</v>
      </c>
      <c r="BA58" s="2238">
        <f t="shared" si="38"/>
        <v>0.82623335135135145</v>
      </c>
      <c r="BB58" s="2238">
        <f t="shared" si="38"/>
        <v>0.91747600000000007</v>
      </c>
      <c r="BC58" s="2238">
        <f t="shared" si="38"/>
        <v>0.13768266666666665</v>
      </c>
      <c r="BD58" s="91">
        <f t="shared" si="38"/>
        <v>0</v>
      </c>
      <c r="BE58" s="91">
        <f t="shared" si="38"/>
        <v>0</v>
      </c>
      <c r="BF58" s="200">
        <f t="shared" si="38"/>
        <v>0</v>
      </c>
      <c r="BG58" s="38"/>
      <c r="BH58" s="305"/>
      <c r="BI58" s="38"/>
      <c r="BJ58" s="72"/>
    </row>
    <row r="59" spans="2:64" ht="18.600000000000001" thickBot="1">
      <c r="B59" s="511"/>
      <c r="C59" s="512" t="s">
        <v>590</v>
      </c>
      <c r="D59" s="565"/>
      <c r="E59" s="539">
        <v>0</v>
      </c>
      <c r="F59" s="540">
        <f ca="1">LOOKUP(MATCH(F2,$AU$3:$BF$3,0),$AU$4:$BF$4,AU68:BF68)</f>
        <v>0</v>
      </c>
      <c r="G59" s="540">
        <v>0</v>
      </c>
      <c r="H59" s="540"/>
      <c r="I59" s="541" t="str">
        <f t="shared" ca="1" si="34"/>
        <v/>
      </c>
      <c r="J59" s="541" t="str">
        <f t="shared" si="33"/>
        <v/>
      </c>
      <c r="K59" s="540">
        <f ca="1">SUMIFS(AU68:BF68,AU4:BF4,"&lt;="&amp;MONTH(TODAY()-1))</f>
        <v>0</v>
      </c>
      <c r="L59" s="540">
        <f ca="1">SUMIFS(AU70:BF70,AU4:BF4,"&lt;"&amp;MONTH(TODAY()-1))+SUMIFS(AU69:BF69,AU4:BF4,"="&amp;MONTH(TODAY()-1))</f>
        <v>0</v>
      </c>
      <c r="M59" s="540">
        <f ca="1">SUMIFS(AU70:BF70,AU4:BF4,"&lt;="&amp;MONTH(TODAY()-1))</f>
        <v>0</v>
      </c>
      <c r="N59" s="541" t="str">
        <f ca="1">+IFERROR(M59/K59,"")</f>
        <v/>
      </c>
      <c r="AF59" s="427"/>
      <c r="AG59" s="113"/>
      <c r="AH59" s="38"/>
      <c r="AI59" s="38"/>
      <c r="AJ59" s="38"/>
      <c r="AK59" s="38"/>
      <c r="AM59" s="84"/>
      <c r="AN59" s="85"/>
      <c r="AO59" s="85" t="s">
        <v>575</v>
      </c>
      <c r="AP59" s="1617">
        <f ca="1">IFERROR(AP57/AP56,"")</f>
        <v>0.6427285399999999</v>
      </c>
      <c r="AQ59" s="1661">
        <f t="shared" ref="AQ59:BF59" ca="1" si="39">IFERROR(AQ57/AQ56,"")</f>
        <v>1</v>
      </c>
      <c r="AR59" s="196">
        <f t="shared" ca="1" si="39"/>
        <v>1</v>
      </c>
      <c r="AS59" s="196">
        <f t="shared" ca="1" si="39"/>
        <v>0.75669448167473274</v>
      </c>
      <c r="AT59" s="197">
        <f t="shared" ca="1" si="39"/>
        <v>0</v>
      </c>
      <c r="AU59" s="1618">
        <f t="shared" si="39"/>
        <v>1.108675873015873</v>
      </c>
      <c r="AV59" s="1619">
        <f t="shared" si="39"/>
        <v>0.87439576666666663</v>
      </c>
      <c r="AW59" s="1619">
        <f t="shared" si="39"/>
        <v>1.0189044545454544</v>
      </c>
      <c r="AX59" s="2237">
        <f t="shared" si="39"/>
        <v>1.0414887200000003</v>
      </c>
      <c r="AY59" s="2237">
        <f t="shared" si="39"/>
        <v>0.98838141666666657</v>
      </c>
      <c r="AZ59" s="2237">
        <f t="shared" si="39"/>
        <v>1.0030091304347826</v>
      </c>
      <c r="BA59" s="2237">
        <f t="shared" si="39"/>
        <v>1.3291580000000001</v>
      </c>
      <c r="BB59" s="2237">
        <f t="shared" si="39"/>
        <v>1.4360493913043479</v>
      </c>
      <c r="BC59" s="2237">
        <f t="shared" si="39"/>
        <v>0.18357688888888887</v>
      </c>
      <c r="BD59" s="196">
        <f t="shared" si="39"/>
        <v>0</v>
      </c>
      <c r="BE59" s="196">
        <f t="shared" si="39"/>
        <v>0</v>
      </c>
      <c r="BF59" s="198">
        <f t="shared" si="39"/>
        <v>0</v>
      </c>
      <c r="BG59" s="72"/>
      <c r="BH59" s="72"/>
      <c r="BI59" s="72"/>
      <c r="BJ59" s="72"/>
      <c r="BK59" s="72"/>
      <c r="BL59" s="72"/>
    </row>
    <row r="60" spans="2:64" ht="18">
      <c r="B60" s="511"/>
      <c r="C60" s="512" t="s">
        <v>587</v>
      </c>
      <c r="D60" s="565"/>
      <c r="E60" s="535">
        <f ca="1">LOOKUP(B4,'September TCM'!B10:B40,'September TCM'!KZ10:KZ40)</f>
        <v>0</v>
      </c>
      <c r="F60" s="536">
        <f ca="1">LOOKUP(MATCH(F2,$AU$3:$BF$3,0),$AU$4:$BF$4,AU162:BF162)</f>
        <v>0</v>
      </c>
      <c r="G60" s="536">
        <f ca="1">LOOKUP(MATCH(F2,$AU$3:$BF$3,0),$AU$4:$BF$4,AU166:BF166)</f>
        <v>0</v>
      </c>
      <c r="H60" s="536">
        <f>KJ42</f>
        <v>0</v>
      </c>
      <c r="I60" s="544" t="str">
        <f t="shared" ca="1" si="34"/>
        <v/>
      </c>
      <c r="J60" s="544" t="str">
        <f t="shared" ca="1" si="33"/>
        <v/>
      </c>
      <c r="K60" s="536"/>
      <c r="L60" s="536"/>
      <c r="M60" s="536"/>
      <c r="N60" s="536"/>
      <c r="AF60" s="428"/>
      <c r="AG60" s="114"/>
      <c r="AH60" s="38"/>
      <c r="AI60" s="38"/>
      <c r="AJ60" s="38"/>
      <c r="AK60" s="38"/>
      <c r="AM60" s="84"/>
      <c r="AN60" s="85" t="str">
        <f>C64</f>
        <v>TCM.HCV.LS</v>
      </c>
      <c r="AO60" s="85" t="s">
        <v>11</v>
      </c>
      <c r="AP60" s="187">
        <f>SUM(AQ60:AT60)</f>
        <v>1860000</v>
      </c>
      <c r="AQ60" s="188">
        <f>SUM(AU60:AW60)</f>
        <v>425000</v>
      </c>
      <c r="AR60" s="189">
        <f>SUM(AX60:AZ60)</f>
        <v>460000</v>
      </c>
      <c r="AS60" s="189">
        <f>SUM(BA60:BC60)</f>
        <v>525000</v>
      </c>
      <c r="AT60" s="190">
        <f>SUM(BD60:BF60)</f>
        <v>450000</v>
      </c>
      <c r="AU60" s="191">
        <v>135000</v>
      </c>
      <c r="AV60" s="189">
        <v>135000</v>
      </c>
      <c r="AW60" s="189">
        <v>155000</v>
      </c>
      <c r="AX60" s="189">
        <v>155000</v>
      </c>
      <c r="AY60" s="189">
        <v>150000</v>
      </c>
      <c r="AZ60" s="189">
        <v>155000</v>
      </c>
      <c r="BA60" s="189">
        <v>180000</v>
      </c>
      <c r="BB60" s="189">
        <v>180000</v>
      </c>
      <c r="BC60" s="189">
        <v>165000</v>
      </c>
      <c r="BD60" s="189">
        <v>160000</v>
      </c>
      <c r="BE60" s="189">
        <v>150000</v>
      </c>
      <c r="BF60" s="192">
        <v>140000</v>
      </c>
      <c r="BG60" s="72"/>
      <c r="BH60" s="38"/>
      <c r="BI60" s="38"/>
      <c r="BJ60" s="72"/>
    </row>
    <row r="61" spans="2:64" ht="18">
      <c r="B61" s="511"/>
      <c r="C61" s="512" t="s">
        <v>588</v>
      </c>
      <c r="D61" s="565"/>
      <c r="E61" s="543">
        <f ca="1">LOOKUP(B4,'September TCM'!B10:B40,'September TCM'!LA10:LA40)</f>
        <v>0</v>
      </c>
      <c r="F61" s="537">
        <f ca="1">LOOKUP(MATCH(F2,$AU$3:$BF$3,0),$AU$4:$BF$4,AU163:BF163)</f>
        <v>0</v>
      </c>
      <c r="G61" s="537">
        <f ca="1">LOOKUP(MATCH(F2,$AU$3:$BF$3,0),$AU$4:$BF$4,AU167:BF167)</f>
        <v>0</v>
      </c>
      <c r="H61" s="545">
        <f>KK42</f>
        <v>0</v>
      </c>
      <c r="I61" s="544" t="str">
        <f t="shared" ca="1" si="34"/>
        <v/>
      </c>
      <c r="J61" s="544" t="str">
        <f t="shared" ca="1" si="33"/>
        <v/>
      </c>
      <c r="K61" s="537"/>
      <c r="L61" s="537"/>
      <c r="M61" s="537"/>
      <c r="N61" s="537"/>
      <c r="Z61" s="422"/>
      <c r="AF61" s="110"/>
      <c r="AG61" s="110"/>
      <c r="AH61" s="110"/>
      <c r="AI61" s="110"/>
      <c r="AJ61" s="110"/>
      <c r="AK61" s="110"/>
      <c r="AM61" s="84"/>
      <c r="AN61" s="85"/>
      <c r="AO61" s="85" t="s">
        <v>12</v>
      </c>
      <c r="AP61" s="193">
        <f ca="1">(SUMIFS(AU61:BF61,$AU$4:$BF$4,"&gt;="&amp;MONTH(TODAY()-1)))+(SUMIFS(AU62:BF62,$AU$4:$BF$4,"&lt;"&amp;MONTH(TODAY()-1)))</f>
        <v>2215000</v>
      </c>
      <c r="AQ61" s="99">
        <f ca="1">(SUMIFS(AU61:AW61,$AU$4:$AW$4,"&gt;="&amp;MONTH(TODAY()-1)))+(SUMIFS(AU62:AW62,$AU$4:$AW$4,"&lt;"&amp;MONTH(TODAY()-1)))</f>
        <v>627445.92999999993</v>
      </c>
      <c r="AR61" s="90">
        <f ca="1">(SUMIFS(AX61:AZ61,$AX$4:$AZ$4,"&gt;="&amp;MONTH(TODAY()-1)))+(SUMIFS(AX62:AZ62,$AX$4:$AZ$4,"&lt;"&amp;MONTH(TODAY()-1)))</f>
        <v>455099.5</v>
      </c>
      <c r="AS61" s="90">
        <f ca="1">(SUMIFS(BA61:BC61,$BA$4:$BC$4,"&gt;="&amp;MONTH(TODAY()-1)))+(SUMIFS(BA62:BC62,$BA$4:$BC$4,"&lt;"&amp;MONTH(TODAY()-1)))</f>
        <v>549838.74</v>
      </c>
      <c r="AT61" s="103">
        <f ca="1">(SUMIFS(BD61:BF61,$BD$4:$BF$4,"&gt;="&amp;MONTH(TODAY()-1)))+(SUMIFS(BD62:BF62,$BD$4:$BF$4,"&lt;"&amp;MONTH(TODAY()-1)))</f>
        <v>582615.83000000031</v>
      </c>
      <c r="AU61" s="101">
        <v>265000</v>
      </c>
      <c r="AV61" s="90">
        <v>220000</v>
      </c>
      <c r="AW61" s="90">
        <v>155000</v>
      </c>
      <c r="AX61" s="90">
        <v>170000</v>
      </c>
      <c r="AY61" s="90">
        <v>140000</v>
      </c>
      <c r="AZ61" s="90">
        <v>150000</v>
      </c>
      <c r="BA61" s="90">
        <v>140000</v>
      </c>
      <c r="BB61" s="90">
        <v>130000</v>
      </c>
      <c r="BC61" s="90">
        <v>150000</v>
      </c>
      <c r="BD61" s="90">
        <v>185000</v>
      </c>
      <c r="BE61" s="90">
        <v>200000</v>
      </c>
      <c r="BF61" s="194">
        <v>197615.83000000028</v>
      </c>
      <c r="BG61" s="72"/>
      <c r="BH61" s="38"/>
      <c r="BI61" s="38"/>
      <c r="BJ61" s="72"/>
    </row>
    <row r="62" spans="2:64" ht="18">
      <c r="B62" s="511"/>
      <c r="C62" s="512" t="s">
        <v>589</v>
      </c>
      <c r="D62" s="565"/>
      <c r="E62" s="543">
        <f ca="1">LOOKUP(B4,'September TCM'!B10:B40,'September TCM'!LA10:LA40)</f>
        <v>0</v>
      </c>
      <c r="F62" s="537">
        <f ca="1">LOOKUP(MATCH(F2,$AU$3:$BF$3,0),$AU$4:$BF$4,AU164:BF164)</f>
        <v>0</v>
      </c>
      <c r="G62" s="537">
        <f ca="1">LOOKUP(MATCH(F2,$AU$3:$BF$3,0),$AU$4:$BF$4,AU168:BF168)</f>
        <v>0</v>
      </c>
      <c r="H62" s="545">
        <f>KL43</f>
        <v>0</v>
      </c>
      <c r="I62" s="544" t="str">
        <f t="shared" ca="1" si="34"/>
        <v/>
      </c>
      <c r="J62" s="544" t="str">
        <f t="shared" ca="1" si="33"/>
        <v/>
      </c>
      <c r="K62" s="537"/>
      <c r="L62" s="537"/>
      <c r="M62" s="537"/>
      <c r="N62" s="537"/>
      <c r="AM62" s="84"/>
      <c r="AN62" s="85"/>
      <c r="AO62" s="85" t="s">
        <v>13</v>
      </c>
      <c r="AP62" s="193">
        <f>SUM(AQ62:AT62)</f>
        <v>1506855.85</v>
      </c>
      <c r="AQ62" s="99">
        <f>SUM(AU62:AW62)</f>
        <v>627445.92999999993</v>
      </c>
      <c r="AR62" s="90">
        <f>SUM(AX62:AZ62)</f>
        <v>455099.5</v>
      </c>
      <c r="AS62" s="90">
        <f>SUM(BA62:BC62)</f>
        <v>424310.42000000004</v>
      </c>
      <c r="AT62" s="103">
        <f>SUM(BD62:BF62)</f>
        <v>0</v>
      </c>
      <c r="AU62" s="90">
        <f>'January TCM'!$JH$42</f>
        <v>284028.82</v>
      </c>
      <c r="AV62" s="90">
        <f>'February TCM'!$JH$42</f>
        <v>182546.33000000002</v>
      </c>
      <c r="AW62" s="90">
        <f>'March TCM'!$JH$42</f>
        <v>160870.77999999997</v>
      </c>
      <c r="AX62" s="90">
        <f>'April TCM'!$JH$42</f>
        <v>148046.16000000003</v>
      </c>
      <c r="AY62" s="90">
        <f>'May TCM'!$JI$42</f>
        <v>140766.35999999996</v>
      </c>
      <c r="AZ62" s="90">
        <f>'June TCM'!$JI$42</f>
        <v>166286.98000000001</v>
      </c>
      <c r="BA62" s="90">
        <f>'July TCM'!$JI$42</f>
        <v>205687.78000000003</v>
      </c>
      <c r="BB62" s="90">
        <f>'August TCM'!$JJ$42</f>
        <v>194150.96000000002</v>
      </c>
      <c r="BC62" s="90">
        <f>'September TCM'!$JJ$42</f>
        <v>24471.679999999997</v>
      </c>
      <c r="BD62" s="91"/>
      <c r="BE62" s="90"/>
      <c r="BF62" s="90"/>
      <c r="BG62" s="38"/>
      <c r="BH62" s="38"/>
      <c r="BI62" s="38"/>
      <c r="BJ62" s="72"/>
    </row>
    <row r="63" spans="2:64" ht="18.600000000000001" thickBot="1">
      <c r="B63" s="511" t="s">
        <v>428</v>
      </c>
      <c r="C63" s="512"/>
      <c r="D63" s="565"/>
      <c r="E63" s="517">
        <f ca="1">SUM(E64:E66)</f>
        <v>18242.48</v>
      </c>
      <c r="F63" s="518">
        <f ca="1">SUM(F64:F66)</f>
        <v>380000</v>
      </c>
      <c r="G63" s="518">
        <f ca="1">SUM(G64:G66)</f>
        <v>370000</v>
      </c>
      <c r="H63" s="518">
        <f>'September TCM'!LK42</f>
        <v>27981.43</v>
      </c>
      <c r="I63" s="628">
        <f ca="1">+H63/F63</f>
        <v>7.3635342105263152E-2</v>
      </c>
      <c r="J63" s="628">
        <f t="shared" ca="1" si="33"/>
        <v>7.5625486486486482E-2</v>
      </c>
      <c r="K63" s="518">
        <f ca="1">SUM(K64:K66)</f>
        <v>3010000</v>
      </c>
      <c r="L63" s="518">
        <f ca="1">SUM(L64:L66)</f>
        <v>2496103.2064999999</v>
      </c>
      <c r="M63" s="518">
        <f ca="1">SUM(M64:M66)</f>
        <v>2154084.6365</v>
      </c>
      <c r="N63" s="519">
        <f ca="1">+IFERROR(M63/K63,"")</f>
        <v>0.71564273637873754</v>
      </c>
      <c r="AM63" s="84"/>
      <c r="AN63" s="85"/>
      <c r="AO63" s="85" t="s">
        <v>582</v>
      </c>
      <c r="AP63" s="1617">
        <f t="shared" ref="AP63:BF63" si="40">IFERROR(AP62/AP60,"")</f>
        <v>0.81013755376344088</v>
      </c>
      <c r="AQ63" s="1661">
        <f t="shared" si="40"/>
        <v>1.4763433647058821</v>
      </c>
      <c r="AR63" s="196">
        <f t="shared" si="40"/>
        <v>0.9893467391304348</v>
      </c>
      <c r="AS63" s="196">
        <f t="shared" si="40"/>
        <v>0.80821032380952385</v>
      </c>
      <c r="AT63" s="197">
        <f t="shared" si="40"/>
        <v>0</v>
      </c>
      <c r="AU63" s="1618">
        <f t="shared" si="40"/>
        <v>2.1039171851851854</v>
      </c>
      <c r="AV63" s="1619">
        <f t="shared" si="40"/>
        <v>1.3521950370370373</v>
      </c>
      <c r="AW63" s="1619">
        <f t="shared" si="40"/>
        <v>1.0378759999999998</v>
      </c>
      <c r="AX63" s="2237">
        <f t="shared" si="40"/>
        <v>0.9551365161290325</v>
      </c>
      <c r="AY63" s="2237">
        <f t="shared" si="40"/>
        <v>0.93844239999999968</v>
      </c>
      <c r="AZ63" s="2237">
        <f t="shared" si="40"/>
        <v>1.0728192258064517</v>
      </c>
      <c r="BA63" s="2237">
        <f t="shared" si="40"/>
        <v>1.1427098888888891</v>
      </c>
      <c r="BB63" s="2237">
        <f t="shared" si="40"/>
        <v>1.0786164444444446</v>
      </c>
      <c r="BC63" s="2237">
        <f t="shared" si="40"/>
        <v>0.1483132121212121</v>
      </c>
      <c r="BD63" s="196">
        <f t="shared" si="40"/>
        <v>0</v>
      </c>
      <c r="BE63" s="196">
        <f t="shared" si="40"/>
        <v>0</v>
      </c>
      <c r="BF63" s="198">
        <f t="shared" si="40"/>
        <v>0</v>
      </c>
      <c r="BG63" s="38"/>
      <c r="BH63" s="38"/>
      <c r="BI63" s="38"/>
      <c r="BJ63" s="72"/>
    </row>
    <row r="64" spans="2:64" ht="18">
      <c r="B64" s="511"/>
      <c r="C64" s="512" t="s">
        <v>76</v>
      </c>
      <c r="D64" s="565"/>
      <c r="E64" s="520">
        <f ca="1">LOOKUP(B4,'September TCM'!B10:B40,'September TCM'!LH10:LH40)</f>
        <v>11864.444</v>
      </c>
      <c r="F64" s="514">
        <f ca="1">LOOKUP(MATCH(F2,$AU$3:$BF$3,0),$AU$4:$BF$4,AU81:BF81)</f>
        <v>180000</v>
      </c>
      <c r="G64" s="514">
        <f ca="1">LOOKUP(MATCH(F2,$AU$3:$BF$3,0),$AU$4:$BF$4,AU83:BF83)</f>
        <v>230000</v>
      </c>
      <c r="H64" s="514">
        <f>'September TCM'!LH42</f>
        <v>11864.444</v>
      </c>
      <c r="I64" s="1514">
        <f ca="1">+H64/F64</f>
        <v>6.5913577777777774E-2</v>
      </c>
      <c r="J64" s="1514">
        <f ca="1">IFERROR(H64/G64,"")</f>
        <v>5.158453913043478E-2</v>
      </c>
      <c r="K64" s="514">
        <f ca="1">SUMIFS(AU81:BF81,AU4:BF4,"&lt;="&amp;MONTH(TODAY()-1))</f>
        <v>1385000</v>
      </c>
      <c r="L64" s="514">
        <f ca="1">SUMIFS(AU84:BF84,AU4:BF4,"&lt;"&amp;MONTH(TODAY()-1))+SUMIFS(AU83:BF83,AU4:BF4,"="&amp;MONTH(TODAY()-1))</f>
        <v>1780271.6187</v>
      </c>
      <c r="M64" s="514">
        <f ca="1">SUMIFS(AU84:BF84,AU4:BF4,"&lt;="&amp;MONTH(TODAY()-1))</f>
        <v>1562136.0626999999</v>
      </c>
      <c r="N64" s="521">
        <f ca="1">+IFERROR(M64/K64,"")</f>
        <v>1.1278960741516244</v>
      </c>
      <c r="AM64" s="84"/>
      <c r="AN64" s="85" t="str">
        <f>C65</f>
        <v>TCM.HCV.HS</v>
      </c>
      <c r="AO64" s="85" t="s">
        <v>11</v>
      </c>
      <c r="AP64" s="187">
        <f>SUM(AQ64:AT64)</f>
        <v>2290000</v>
      </c>
      <c r="AQ64" s="188">
        <f>SUM(AU64:AW64)</f>
        <v>525000</v>
      </c>
      <c r="AR64" s="189">
        <f>SUM(AX64:AZ64)</f>
        <v>575000</v>
      </c>
      <c r="AS64" s="189">
        <f>SUM(BA64:BC64)</f>
        <v>565000</v>
      </c>
      <c r="AT64" s="190">
        <f>SUM(BD64:BF64)</f>
        <v>625000</v>
      </c>
      <c r="AU64" s="191">
        <v>180000</v>
      </c>
      <c r="AV64" s="189">
        <v>180000</v>
      </c>
      <c r="AW64" s="189">
        <v>165000</v>
      </c>
      <c r="AX64" s="189">
        <v>185000</v>
      </c>
      <c r="AY64" s="189">
        <v>190000</v>
      </c>
      <c r="AZ64" s="189">
        <v>200000</v>
      </c>
      <c r="BA64" s="189">
        <v>190000</v>
      </c>
      <c r="BB64" s="189">
        <v>180000</v>
      </c>
      <c r="BC64" s="189">
        <v>195000</v>
      </c>
      <c r="BD64" s="189">
        <v>200000</v>
      </c>
      <c r="BE64" s="189">
        <v>210000</v>
      </c>
      <c r="BF64" s="192">
        <v>215000</v>
      </c>
      <c r="BG64" s="38"/>
      <c r="BH64" s="38"/>
      <c r="BI64" s="38"/>
      <c r="BJ64" s="38"/>
    </row>
    <row r="65" spans="1:64" ht="18">
      <c r="B65" s="511"/>
      <c r="C65" s="512" t="s">
        <v>77</v>
      </c>
      <c r="D65" s="565"/>
      <c r="E65" s="520">
        <f ca="1">LOOKUP(B4,'September TCM'!B10:B40,'September TCM'!LI10:LI40)</f>
        <v>6378.0360000000001</v>
      </c>
      <c r="F65" s="514">
        <f ca="1">LOOKUP(MATCH(F2,$AU$3:$BF$3,0),$AU$4:$BF$4,AU86:BF86)</f>
        <v>200000</v>
      </c>
      <c r="G65" s="514">
        <f ca="1">LOOKUP(MATCH(F2,$AU$3:$BF$3,0),$AU$4:$BF$4,AU87:BF87)</f>
        <v>140000</v>
      </c>
      <c r="H65" s="514">
        <f>'September TCM'!LI42</f>
        <v>16116.986000000001</v>
      </c>
      <c r="I65" s="1514">
        <f ca="1">+H65/F65</f>
        <v>8.0584929999999999E-2</v>
      </c>
      <c r="J65" s="1514">
        <f t="shared" ca="1" si="33"/>
        <v>0.11512132857142858</v>
      </c>
      <c r="K65" s="514">
        <f ca="1">SUMIFS(AU86:BF86,AU4:BF4,"&lt;="&amp;MONTH(TODAY()-1))</f>
        <v>1625000</v>
      </c>
      <c r="L65" s="546">
        <f ca="1">SUMIFS(AU88:BF88,AU4:BF4,"&lt;"&amp;MONTH(TODAY()-1))+SUMIFS(AU87:BF87,AU4:BF4,"="&amp;MONTH(TODAY()-1))</f>
        <v>715831.58779999998</v>
      </c>
      <c r="M65" s="514">
        <f ca="1">SUMIFS(AU88:BF88,AU4:BF4,"&lt;="&amp;MONTH(TODAY()-1))</f>
        <v>591948.57380000001</v>
      </c>
      <c r="N65" s="521">
        <f ca="1">+IFERROR(M65/K65,"")</f>
        <v>0.36427604541538461</v>
      </c>
      <c r="AM65" s="84"/>
      <c r="AN65" s="85"/>
      <c r="AO65" s="85" t="s">
        <v>12</v>
      </c>
      <c r="AP65" s="193">
        <f ca="1">(SUMIFS(AU65:BF65,$AU$4:$BF$4,"&gt;="&amp;MONTH(TODAY()-1)))+(SUMIFS(AU66:BF66,$AU$4:$BF$4,"&lt;"&amp;MONTH(TODAY()-1)))</f>
        <v>1285000.0000000002</v>
      </c>
      <c r="AQ65" s="99">
        <f ca="1">(SUMIFS(AU65:AW65,$AU$4:$AW$4,"&gt;="&amp;MONTH(TODAY()-1)))+(SUMIFS(AU66:AW66,$AU$4:$AW$4,"&lt;"&amp;MONTH(TODAY()-1)))</f>
        <v>208264.67999999996</v>
      </c>
      <c r="AR65" s="90">
        <f ca="1">(SUMIFS(AX65:AZ65,$AX$4:$AZ$4,"&gt;="&amp;MONTH(TODAY()-1)))+(SUMIFS(AX66:AZ66,$AX$4:$AZ$4,"&lt;"&amp;MONTH(TODAY()-1)))</f>
        <v>273176.32000000001</v>
      </c>
      <c r="AS65" s="90">
        <f ca="1">(SUMIFS(BA65:BC65,$BA$4:$BC$4,"&gt;="&amp;MONTH(TODAY()-1)))+(SUMIFS(BA66:BC66,$BA$4:$BC$4,"&lt;"&amp;MONTH(TODAY()-1)))</f>
        <v>356158.96</v>
      </c>
      <c r="AT65" s="103">
        <f ca="1">(SUMIFS(BD65:BF65,$BD$4:$BF$4,"&gt;="&amp;MONTH(TODAY()-1)))+(SUMIFS(BD66:BF66,$BD$4:$BF$4,"&lt;"&amp;MONTH(TODAY()-1)))</f>
        <v>447400.04000000021</v>
      </c>
      <c r="AU65" s="101">
        <v>50000</v>
      </c>
      <c r="AV65" s="90">
        <v>80000</v>
      </c>
      <c r="AW65" s="90">
        <v>65000</v>
      </c>
      <c r="AX65" s="90">
        <v>80000</v>
      </c>
      <c r="AY65" s="90">
        <v>100000</v>
      </c>
      <c r="AZ65" s="90">
        <v>80000</v>
      </c>
      <c r="BA65" s="90">
        <v>90000</v>
      </c>
      <c r="BB65" s="90">
        <v>100000</v>
      </c>
      <c r="BC65" s="90">
        <v>120000</v>
      </c>
      <c r="BD65" s="90">
        <v>150000</v>
      </c>
      <c r="BE65" s="90">
        <v>150000</v>
      </c>
      <c r="BF65" s="194">
        <v>147400.04000000021</v>
      </c>
      <c r="BG65" s="72"/>
      <c r="BH65" s="38"/>
      <c r="BI65" s="72"/>
      <c r="BJ65" s="38"/>
    </row>
    <row r="66" spans="1:64" ht="18">
      <c r="B66" s="511"/>
      <c r="C66" s="512" t="s">
        <v>590</v>
      </c>
      <c r="D66" s="565"/>
      <c r="E66" s="520">
        <f ca="1">LOOKUP(B4,'September TCM'!B10:B40,'September TCM'!LJ10:LJ40)</f>
        <v>0</v>
      </c>
      <c r="F66" s="514">
        <f ca="1">LOOKUP(MATCH(F2,$AU$3:$BF$3,0),$AU$4:$BF$4,AU90:BF90)</f>
        <v>0</v>
      </c>
      <c r="G66" s="514">
        <f ca="1">LOOKUP(MATCH(F2,$AU$3:$BF$3,0),$AU$4:$BF$4,AU91:BF91)</f>
        <v>0</v>
      </c>
      <c r="H66" s="514">
        <f>+KT43</f>
        <v>0</v>
      </c>
      <c r="I66" s="1514" t="str">
        <f ca="1">+IFERROR(H66/F66,"")</f>
        <v/>
      </c>
      <c r="J66" s="1514" t="str">
        <f t="shared" ca="1" si="33"/>
        <v/>
      </c>
      <c r="K66" s="514">
        <f ca="1">SUMIFS(AU90:BF90,AU4:BF4,"&lt;="&amp;MONTH(TODAY()-1))</f>
        <v>0</v>
      </c>
      <c r="L66" s="514">
        <f ca="1">SUMIFS(AU92:BF92,AU4:BF4,"&lt;"&amp;MONTH(TODAY()-1))+SUMIFS(AU91:BF91,AU4:BF4,"="&amp;MONTH(TODAY()-1))</f>
        <v>0</v>
      </c>
      <c r="M66" s="514">
        <f ca="1">SUMIFS(AU92:BF92,AU4:BF4,"&lt;="&amp;MONTH(TODAY()-1))</f>
        <v>0</v>
      </c>
      <c r="N66" s="521" t="str">
        <f ca="1">+IFERROR(M66/K66,"")</f>
        <v/>
      </c>
      <c r="AM66" s="84"/>
      <c r="AN66" s="85"/>
      <c r="AO66" s="85" t="s">
        <v>13</v>
      </c>
      <c r="AP66" s="193">
        <f>SUM(AQ66:AT66)</f>
        <v>742694.04</v>
      </c>
      <c r="AQ66" s="99">
        <f>SUM(AU66:AW66)</f>
        <v>208264.67999999996</v>
      </c>
      <c r="AR66" s="90">
        <f>SUM(AX66:AZ66)</f>
        <v>273176.32000000001</v>
      </c>
      <c r="AS66" s="90">
        <f>SUM(BA66:BC66)</f>
        <v>261253.04000000004</v>
      </c>
      <c r="AT66" s="103">
        <f>SUM(BD66:BF66)</f>
        <v>0</v>
      </c>
      <c r="AU66" s="90">
        <f>'January TCM'!$JI$42</f>
        <v>65204.08</v>
      </c>
      <c r="AV66" s="90">
        <f>'February TCM'!$JI$42</f>
        <v>79772.399999999994</v>
      </c>
      <c r="AW66" s="90">
        <f>'March TCM'!$JI$42</f>
        <v>63288.19999999999</v>
      </c>
      <c r="AX66" s="90">
        <f>'April TCM'!$JI$42</f>
        <v>112326.02</v>
      </c>
      <c r="AY66" s="90">
        <f>'May TCM'!$JJ$42</f>
        <v>96445.180000000008</v>
      </c>
      <c r="AZ66" s="90">
        <f>'June TCM'!$JJ$42</f>
        <v>64405.119999999995</v>
      </c>
      <c r="BA66" s="90">
        <f>'July TCM'!$JJ$42</f>
        <v>100018.56</v>
      </c>
      <c r="BB66" s="90">
        <f>'August TCM'!$JK$42</f>
        <v>136140.40000000002</v>
      </c>
      <c r="BC66" s="90">
        <f>'September TCM'!$JK$42</f>
        <v>25094.080000000002</v>
      </c>
      <c r="BD66" s="91"/>
      <c r="BE66" s="90"/>
      <c r="BF66" s="90"/>
      <c r="BG66" s="38"/>
      <c r="BH66" s="38"/>
      <c r="BI66" s="72"/>
      <c r="BJ66" s="72"/>
    </row>
    <row r="67" spans="1:64" ht="18.600000000000001" thickBot="1">
      <c r="B67" s="511" t="s">
        <v>591</v>
      </c>
      <c r="C67" s="512"/>
      <c r="D67" s="565"/>
      <c r="E67" s="520"/>
      <c r="F67" s="514"/>
      <c r="G67" s="514"/>
      <c r="H67" s="514"/>
      <c r="I67" s="514"/>
      <c r="J67" s="514"/>
      <c r="K67" s="514"/>
      <c r="L67" s="514"/>
      <c r="M67" s="514"/>
      <c r="N67" s="514"/>
      <c r="AM67" s="84"/>
      <c r="AN67" s="85"/>
      <c r="AO67" s="85" t="s">
        <v>582</v>
      </c>
      <c r="AP67" s="1617">
        <f t="shared" ref="AP67:BF67" si="41">IFERROR(AP66/AP64,"")</f>
        <v>0.32432054148471617</v>
      </c>
      <c r="AQ67" s="1661">
        <f t="shared" si="41"/>
        <v>0.39669462857142851</v>
      </c>
      <c r="AR67" s="196">
        <f t="shared" si="41"/>
        <v>0.47508925217391307</v>
      </c>
      <c r="AS67" s="196">
        <f t="shared" si="41"/>
        <v>0.46239476106194699</v>
      </c>
      <c r="AT67" s="197">
        <f t="shared" si="41"/>
        <v>0</v>
      </c>
      <c r="AU67" s="1618">
        <f t="shared" si="41"/>
        <v>0.36224488888888889</v>
      </c>
      <c r="AV67" s="1619">
        <f t="shared" si="41"/>
        <v>0.44317999999999996</v>
      </c>
      <c r="AW67" s="1619">
        <f t="shared" si="41"/>
        <v>0.3835648484848484</v>
      </c>
      <c r="AX67" s="2237">
        <f t="shared" si="41"/>
        <v>0.60716767567567564</v>
      </c>
      <c r="AY67" s="2237">
        <f t="shared" si="41"/>
        <v>0.50760621052631583</v>
      </c>
      <c r="AZ67" s="2237">
        <f t="shared" si="41"/>
        <v>0.32202559999999997</v>
      </c>
      <c r="BA67" s="2237">
        <f t="shared" si="41"/>
        <v>0.52641347368421054</v>
      </c>
      <c r="BB67" s="2237">
        <f t="shared" si="41"/>
        <v>0.75633555555555565</v>
      </c>
      <c r="BC67" s="2237">
        <f t="shared" si="41"/>
        <v>0.12868758974358976</v>
      </c>
      <c r="BD67" s="196">
        <f t="shared" si="41"/>
        <v>0</v>
      </c>
      <c r="BE67" s="196">
        <f t="shared" si="41"/>
        <v>0</v>
      </c>
      <c r="BF67" s="198">
        <f t="shared" si="41"/>
        <v>0</v>
      </c>
      <c r="BG67" s="38"/>
      <c r="BH67" s="342"/>
      <c r="BI67" s="72"/>
      <c r="BJ67" s="72"/>
    </row>
    <row r="68" spans="1:64" ht="18">
      <c r="B68" s="511"/>
      <c r="C68" s="512" t="s">
        <v>198</v>
      </c>
      <c r="D68" s="565"/>
      <c r="E68" s="547">
        <f ca="1">LOOKUP(B4,'September TCM'!B10:B40,'September TCM'!LL10:LL40)</f>
        <v>4</v>
      </c>
      <c r="F68" s="514"/>
      <c r="G68" s="514"/>
      <c r="H68" s="514">
        <f>+KV43</f>
        <v>0</v>
      </c>
      <c r="I68" s="514"/>
      <c r="J68" s="514"/>
      <c r="K68" s="514"/>
      <c r="L68" s="514"/>
      <c r="M68" s="514"/>
      <c r="N68" s="514"/>
      <c r="AM68" s="84"/>
      <c r="AN68" s="85" t="str">
        <f>C66</f>
        <v>TCM.LCV.MS.HA</v>
      </c>
      <c r="AO68" s="85" t="s">
        <v>11</v>
      </c>
      <c r="AP68" s="440">
        <f>SUM(AQ68:AT68)</f>
        <v>0</v>
      </c>
      <c r="AQ68" s="441">
        <f>SUM(AU68:AW68)</f>
        <v>0</v>
      </c>
      <c r="AR68" s="442">
        <f>SUM(AX68:AZ68)</f>
        <v>0</v>
      </c>
      <c r="AS68" s="442">
        <f>SUM(BA68:BC68)</f>
        <v>0</v>
      </c>
      <c r="AT68" s="443">
        <f>SUM(BD68:BF68)</f>
        <v>0</v>
      </c>
      <c r="AU68" s="444"/>
      <c r="AV68" s="442"/>
      <c r="AW68" s="442"/>
      <c r="AX68" s="442"/>
      <c r="AY68" s="442"/>
      <c r="AZ68" s="442"/>
      <c r="BA68" s="442"/>
      <c r="BB68" s="442"/>
      <c r="BC68" s="442"/>
      <c r="BD68" s="442"/>
      <c r="BE68" s="442"/>
      <c r="BF68" s="445"/>
      <c r="BG68" s="38"/>
      <c r="BH68" s="38"/>
      <c r="BI68" s="38"/>
      <c r="BJ68" s="341"/>
    </row>
    <row r="69" spans="1:64" ht="18">
      <c r="B69" s="511"/>
      <c r="C69" s="512" t="s">
        <v>592</v>
      </c>
      <c r="D69" s="565"/>
      <c r="E69" s="547">
        <f ca="1">LOOKUP(B4,'September TCM'!B10:B40,'September TCM'!LM10:LM40)</f>
        <v>1</v>
      </c>
      <c r="F69" s="514"/>
      <c r="G69" s="514"/>
      <c r="H69" s="514"/>
      <c r="I69" s="514"/>
      <c r="J69" s="514"/>
      <c r="K69" s="514"/>
      <c r="L69" s="514"/>
      <c r="M69" s="514"/>
      <c r="N69" s="514"/>
      <c r="AM69" s="84"/>
      <c r="AN69" s="85"/>
      <c r="AO69" s="85" t="s">
        <v>12</v>
      </c>
      <c r="AP69" s="446">
        <f ca="1">(SUMIFS(AU69:BF69,$AU$4:$BF$4,"&gt;="&amp;MONTH(TODAY()-1)))+(SUMIFS(AU70:BF70,$AU$4:$BF$4,"&lt;"&amp;MONTH(TODAY()-1)))</f>
        <v>0</v>
      </c>
      <c r="AQ69" s="447">
        <f ca="1">(SUMIFS(AU69:AW69,$AU$4:$AW$4,"&gt;="&amp;MONTH(TODAY()-1)))+(SUMIFS(AU70:AW70,$AU$4:$AW$4,"&lt;"&amp;MONTH(TODAY()-1)))</f>
        <v>0</v>
      </c>
      <c r="AR69" s="448">
        <f ca="1">(SUMIFS(AX69:AZ69,$AX$4:$AZ$4,"&gt;="&amp;MONTH(TODAY()-1)))+(SUMIFS(AX70:AZ70,$AX$4:$AZ$4,"&lt;"&amp;MONTH(TODAY()-1)))</f>
        <v>0</v>
      </c>
      <c r="AS69" s="448">
        <f ca="1">(SUMIFS(BA69:BC69,$BA$4:$BC$4,"&gt;="&amp;MONTH(TODAY()-1)))+(SUMIFS(BA70:BC70,$BA$4:$BC$4,"&lt;"&amp;MONTH(TODAY()-1)))</f>
        <v>0</v>
      </c>
      <c r="AT69" s="449">
        <f ca="1">(SUMIFS(BD69:BF69,$BD$4:$BF$4,"&gt;="&amp;MONTH(TODAY()-1)))+(SUMIFS(BD70:BF70,$BD$4:$BF$4,"&lt;"&amp;MONTH(TODAY()-1)))</f>
        <v>0</v>
      </c>
      <c r="AU69" s="450"/>
      <c r="AV69" s="448"/>
      <c r="AW69" s="448"/>
      <c r="AX69" s="448"/>
      <c r="AY69" s="448"/>
      <c r="AZ69" s="448"/>
      <c r="BA69" s="448"/>
      <c r="BB69" s="448"/>
      <c r="BC69" s="448"/>
      <c r="BD69" s="448"/>
      <c r="BE69" s="448"/>
      <c r="BF69" s="451"/>
      <c r="BG69" s="38"/>
    </row>
    <row r="70" spans="1:64" ht="18">
      <c r="B70" s="511"/>
      <c r="C70" s="512" t="s">
        <v>200</v>
      </c>
      <c r="D70" s="565"/>
      <c r="E70" s="547">
        <f ca="1">LOOKUP(B4,'September TCM'!B10:B40,'September TCM'!LN10:LN40)</f>
        <v>9</v>
      </c>
      <c r="F70" s="514"/>
      <c r="G70" s="514"/>
      <c r="H70" s="514"/>
      <c r="I70" s="514"/>
      <c r="J70" s="514"/>
      <c r="K70" s="514"/>
      <c r="L70" s="514"/>
      <c r="M70" s="514"/>
      <c r="N70" s="514"/>
      <c r="AM70" s="84"/>
      <c r="AN70" s="85"/>
      <c r="AO70" s="85" t="s">
        <v>13</v>
      </c>
      <c r="AP70" s="456">
        <f>SUM(AQ70:AT70)</f>
        <v>0</v>
      </c>
      <c r="AQ70" s="457">
        <f>SUM(AU70:AW70)</f>
        <v>0</v>
      </c>
      <c r="AR70" s="439">
        <f>SUM(AX70:AZ70)</f>
        <v>0</v>
      </c>
      <c r="AS70" s="439">
        <f>SUM(BA70:BC70)</f>
        <v>0</v>
      </c>
      <c r="AT70" s="458">
        <f>SUM(BD70:BF70)</f>
        <v>0</v>
      </c>
      <c r="AU70" s="439">
        <f>'January TCM'!$JJ$42</f>
        <v>0</v>
      </c>
      <c r="AV70" s="439">
        <v>0</v>
      </c>
      <c r="AW70" s="439">
        <v>0</v>
      </c>
      <c r="AX70" s="439">
        <v>0</v>
      </c>
      <c r="AY70" s="439">
        <v>0</v>
      </c>
      <c r="AZ70" s="439">
        <v>0</v>
      </c>
      <c r="BA70" s="439">
        <v>0</v>
      </c>
      <c r="BB70" s="439">
        <v>0</v>
      </c>
      <c r="BC70" s="439">
        <v>0</v>
      </c>
      <c r="BD70" s="439">
        <v>0</v>
      </c>
      <c r="BE70" s="439">
        <v>0</v>
      </c>
      <c r="BF70" s="439">
        <v>0</v>
      </c>
    </row>
    <row r="71" spans="1:64" ht="18.600000000000001" thickBot="1">
      <c r="B71" s="511"/>
      <c r="C71" s="512" t="s">
        <v>201</v>
      </c>
      <c r="D71" s="565"/>
      <c r="E71" s="547">
        <f ca="1">LOOKUP(B4,'September TCM'!B10:B40,'September TCM'!LO10:LO40)</f>
        <v>0</v>
      </c>
      <c r="F71" s="514"/>
      <c r="G71" s="514"/>
      <c r="H71" s="514"/>
      <c r="I71" s="514"/>
      <c r="J71" s="514"/>
      <c r="K71" s="514"/>
      <c r="L71" s="514"/>
      <c r="M71" s="514"/>
      <c r="N71" s="514"/>
      <c r="AM71" s="84"/>
      <c r="AN71" s="85"/>
      <c r="AO71" s="85" t="s">
        <v>582</v>
      </c>
      <c r="AP71" s="206" t="str">
        <f>IFERROR(AP70/AP68,"")</f>
        <v/>
      </c>
      <c r="AQ71" s="207" t="str">
        <f t="shared" ref="AQ71:BF71" si="42">IFERROR(AQ70/AQ68,"")</f>
        <v/>
      </c>
      <c r="AR71" s="208" t="str">
        <f t="shared" si="42"/>
        <v/>
      </c>
      <c r="AS71" s="208" t="str">
        <f t="shared" si="42"/>
        <v/>
      </c>
      <c r="AT71" s="209" t="str">
        <f t="shared" si="42"/>
        <v/>
      </c>
      <c r="AU71" s="210" t="str">
        <f t="shared" si="42"/>
        <v/>
      </c>
      <c r="AV71" s="208" t="str">
        <f t="shared" si="42"/>
        <v/>
      </c>
      <c r="AW71" s="208" t="str">
        <f t="shared" si="42"/>
        <v/>
      </c>
      <c r="AX71" s="208" t="str">
        <f t="shared" si="42"/>
        <v/>
      </c>
      <c r="AY71" s="208" t="str">
        <f t="shared" si="42"/>
        <v/>
      </c>
      <c r="AZ71" s="208" t="str">
        <f t="shared" si="42"/>
        <v/>
      </c>
      <c r="BA71" s="208" t="str">
        <f t="shared" si="42"/>
        <v/>
      </c>
      <c r="BB71" s="208" t="str">
        <f t="shared" si="42"/>
        <v/>
      </c>
      <c r="BC71" s="208" t="str">
        <f t="shared" si="42"/>
        <v/>
      </c>
      <c r="BD71" s="208" t="str">
        <f t="shared" si="42"/>
        <v/>
      </c>
      <c r="BE71" s="208" t="str">
        <f t="shared" si="42"/>
        <v/>
      </c>
      <c r="BF71" s="211" t="str">
        <f t="shared" si="42"/>
        <v/>
      </c>
      <c r="BG71" s="72"/>
    </row>
    <row r="72" spans="1:64" ht="18">
      <c r="B72" s="548"/>
      <c r="C72" s="549" t="s">
        <v>172</v>
      </c>
      <c r="D72" s="1250"/>
      <c r="E72" s="550">
        <f ca="1">LOOKUP(B4,'September TCM'!B10:B40,'September TCM'!LP10:LP40)</f>
        <v>0</v>
      </c>
      <c r="F72" s="521"/>
      <c r="G72" s="521"/>
      <c r="H72" s="521"/>
      <c r="I72" s="521"/>
      <c r="J72" s="521"/>
      <c r="K72" s="521"/>
      <c r="L72" s="541"/>
      <c r="M72" s="521"/>
      <c r="N72" s="521"/>
      <c r="AM72" s="84"/>
      <c r="AN72" s="85" t="s">
        <v>593</v>
      </c>
      <c r="AO72" s="85" t="s">
        <v>11</v>
      </c>
      <c r="AP72" s="440">
        <f>SUM(AQ72:AT72)</f>
        <v>0</v>
      </c>
      <c r="AQ72" s="441">
        <f>SUM(AU72:AW72)</f>
        <v>0</v>
      </c>
      <c r="AR72" s="442">
        <f>SUM(AX72:AZ72)</f>
        <v>0</v>
      </c>
      <c r="AS72" s="442">
        <f>SUM(BA72:BC72)</f>
        <v>0</v>
      </c>
      <c r="AT72" s="443">
        <f>SUM(BD72:BF72)</f>
        <v>0</v>
      </c>
      <c r="AU72" s="444"/>
      <c r="AV72" s="442"/>
      <c r="AW72" s="442"/>
      <c r="AX72" s="442"/>
      <c r="AY72" s="442"/>
      <c r="AZ72" s="442"/>
      <c r="BA72" s="442"/>
      <c r="BB72" s="442"/>
      <c r="BC72" s="442"/>
      <c r="BD72" s="442"/>
      <c r="BE72" s="442"/>
      <c r="BF72" s="445"/>
      <c r="BG72" s="72"/>
      <c r="BJ72" s="1"/>
    </row>
    <row r="73" spans="1:64" ht="18">
      <c r="B73" s="506"/>
      <c r="C73" s="506"/>
      <c r="D73" s="506"/>
      <c r="E73" s="506"/>
      <c r="F73" s="506"/>
      <c r="G73" s="506"/>
      <c r="H73" s="506"/>
      <c r="I73" s="2927" t="s">
        <v>594</v>
      </c>
      <c r="J73" s="2927"/>
      <c r="K73" s="2927"/>
      <c r="L73" s="2927"/>
      <c r="M73" s="2927"/>
      <c r="N73" s="2927"/>
      <c r="AM73" s="84"/>
      <c r="AN73" s="85"/>
      <c r="AO73" s="85" t="s">
        <v>12</v>
      </c>
      <c r="AP73" s="446">
        <f ca="1">(SUMIFS(AU73:BF73,$AU$4:$BF$4,"&gt;="&amp;MONTH(TODAY()-1)))+(SUMIFS(AU74:BF74,$AU$4:$BF$4,"&lt;"&amp;MONTH(TODAY()-1)))</f>
        <v>0</v>
      </c>
      <c r="AQ73" s="447">
        <f ca="1">(SUMIFS(AU73:AW73,$AU$4:$AW$4,"&gt;="&amp;MONTH(TODAY()-1)))+(SUMIFS(AU74:AW74,$AU$4:$AW$4,"&lt;"&amp;MONTH(TODAY()-1)))</f>
        <v>0</v>
      </c>
      <c r="AR73" s="448">
        <f ca="1">(SUMIFS(AX73:AZ73,$AX$4:$AZ$4,"&gt;="&amp;MONTH(TODAY()-1)))+(SUMIFS(AX74:AZ74,$AX$4:$AZ$4,"&lt;"&amp;MONTH(TODAY()-1)))</f>
        <v>0</v>
      </c>
      <c r="AS73" s="448">
        <f ca="1">(SUMIFS(BA73:BC73,$BA$4:$BC$4,"&gt;="&amp;MONTH(TODAY()-1)))+(SUMIFS(BA74:BC74,$BA$4:$BC$4,"&lt;"&amp;MONTH(TODAY()-1)))</f>
        <v>0</v>
      </c>
      <c r="AT73" s="449">
        <f ca="1">(SUMIFS(BD73:BF73,$BD$4:$BF$4,"&gt;="&amp;MONTH(TODAY()-1)))+(SUMIFS(BD74:BF74,$BD$4:$BF$4,"&lt;"&amp;MONTH(TODAY()-1)))</f>
        <v>0</v>
      </c>
      <c r="AU73" s="450"/>
      <c r="AV73" s="448"/>
      <c r="AW73" s="448"/>
      <c r="AX73" s="448"/>
      <c r="AY73" s="448"/>
      <c r="AZ73" s="448"/>
      <c r="BA73" s="448">
        <v>0</v>
      </c>
      <c r="BB73" s="448">
        <v>0</v>
      </c>
      <c r="BC73" s="448">
        <v>0</v>
      </c>
      <c r="BD73" s="448">
        <v>0</v>
      </c>
      <c r="BE73" s="448">
        <v>0</v>
      </c>
      <c r="BF73" s="451">
        <v>0</v>
      </c>
      <c r="BG73" s="72"/>
    </row>
    <row r="74" spans="1:64" ht="18">
      <c r="B74" s="551" t="s">
        <v>109</v>
      </c>
      <c r="C74" s="552"/>
      <c r="D74" s="552"/>
      <c r="E74" s="553" t="s">
        <v>57</v>
      </c>
      <c r="F74" s="554" t="s">
        <v>58</v>
      </c>
      <c r="G74" s="554" t="s">
        <v>595</v>
      </c>
      <c r="H74" s="554" t="s">
        <v>60</v>
      </c>
      <c r="I74" s="554" t="s">
        <v>596</v>
      </c>
      <c r="J74" s="554" t="s">
        <v>597</v>
      </c>
      <c r="K74" s="554" t="s">
        <v>598</v>
      </c>
      <c r="L74" s="554" t="s">
        <v>599</v>
      </c>
      <c r="M74" s="554" t="s">
        <v>600</v>
      </c>
      <c r="N74" s="554" t="s">
        <v>601</v>
      </c>
      <c r="AM74" s="84"/>
      <c r="AN74" s="85"/>
      <c r="AO74" s="85" t="s">
        <v>13</v>
      </c>
      <c r="AP74" s="456">
        <f>SUM(AQ74:AT74)</f>
        <v>0</v>
      </c>
      <c r="AQ74" s="457">
        <f>SUM(AU74:AW74)</f>
        <v>0</v>
      </c>
      <c r="AR74" s="439">
        <f>SUM(AX74:AZ74)</f>
        <v>0</v>
      </c>
      <c r="AS74" s="439">
        <f>SUM(BA74:BC74)</f>
        <v>0</v>
      </c>
      <c r="AT74" s="458">
        <f>SUM(BD74:BF74)</f>
        <v>0</v>
      </c>
      <c r="AU74" s="439"/>
      <c r="AV74" s="439"/>
      <c r="AW74" s="439"/>
      <c r="AX74" s="439"/>
      <c r="AY74" s="439"/>
      <c r="AZ74" s="439"/>
      <c r="BA74" s="439"/>
      <c r="BB74" s="439"/>
      <c r="BC74" s="439"/>
      <c r="BD74" s="439"/>
      <c r="BE74" s="439"/>
      <c r="BF74" s="439"/>
      <c r="BG74" s="38"/>
      <c r="BK74"/>
      <c r="BL74" s="94"/>
    </row>
    <row r="75" spans="1:64" ht="18.600000000000001" thickBot="1">
      <c r="B75" s="555" t="s">
        <v>602</v>
      </c>
      <c r="C75" s="556"/>
      <c r="D75" s="565"/>
      <c r="E75" s="858"/>
      <c r="F75" s="968"/>
      <c r="G75" s="557"/>
      <c r="H75" s="558"/>
      <c r="I75" s="557"/>
      <c r="J75" s="557"/>
      <c r="K75" s="558"/>
      <c r="L75" s="558"/>
      <c r="M75" s="558"/>
      <c r="N75" s="559"/>
      <c r="O75" s="145"/>
      <c r="P75" s="145"/>
      <c r="AG75" s="145"/>
      <c r="AM75" s="84"/>
      <c r="AN75" s="85"/>
      <c r="AO75" s="85" t="s">
        <v>582</v>
      </c>
      <c r="AP75" s="206" t="str">
        <f>IFERROR(AP74/AP72,"")</f>
        <v/>
      </c>
      <c r="AQ75" s="207" t="str">
        <f t="shared" ref="AQ75:BF75" si="43">IFERROR(AQ74/AQ72,"")</f>
        <v/>
      </c>
      <c r="AR75" s="208" t="str">
        <f t="shared" si="43"/>
        <v/>
      </c>
      <c r="AS75" s="208" t="str">
        <f t="shared" si="43"/>
        <v/>
      </c>
      <c r="AT75" s="209" t="str">
        <f t="shared" si="43"/>
        <v/>
      </c>
      <c r="AU75" s="210" t="str">
        <f t="shared" si="43"/>
        <v/>
      </c>
      <c r="AV75" s="208" t="str">
        <f t="shared" si="43"/>
        <v/>
      </c>
      <c r="AW75" s="208" t="str">
        <f t="shared" si="43"/>
        <v/>
      </c>
      <c r="AX75" s="208" t="str">
        <f t="shared" si="43"/>
        <v/>
      </c>
      <c r="AY75" s="208" t="str">
        <f t="shared" si="43"/>
        <v/>
      </c>
      <c r="AZ75" s="208" t="str">
        <f t="shared" si="43"/>
        <v/>
      </c>
      <c r="BA75" s="208" t="str">
        <f t="shared" si="43"/>
        <v/>
      </c>
      <c r="BB75" s="208" t="str">
        <f t="shared" si="43"/>
        <v/>
      </c>
      <c r="BC75" s="208" t="str">
        <f t="shared" si="43"/>
        <v/>
      </c>
      <c r="BD75" s="208" t="str">
        <f t="shared" si="43"/>
        <v/>
      </c>
      <c r="BE75" s="208" t="str">
        <f t="shared" si="43"/>
        <v/>
      </c>
      <c r="BF75" s="211" t="str">
        <f t="shared" si="43"/>
        <v/>
      </c>
      <c r="BK75"/>
      <c r="BL75" s="94"/>
    </row>
    <row r="76" spans="1:64" ht="18">
      <c r="B76" s="555" t="s">
        <v>126</v>
      </c>
      <c r="C76" s="556"/>
      <c r="D76" s="565"/>
      <c r="E76" s="859">
        <f ca="1">SUM(E77,E88,E92,E84)</f>
        <v>191595.15302645115</v>
      </c>
      <c r="F76" s="560">
        <f ca="1">SUM(F77,F88,F92+F84)</f>
        <v>149516.49794214853</v>
      </c>
      <c r="G76" s="560">
        <f>SUM(G77,G88,G92+G84)</f>
        <v>600000</v>
      </c>
      <c r="H76" s="561">
        <f ca="1">SUM(H77,H88,H92,H84)</f>
        <v>637988.36201856809</v>
      </c>
      <c r="I76" s="562"/>
      <c r="J76" s="562"/>
      <c r="K76" s="563"/>
      <c r="L76" s="563"/>
      <c r="M76" s="563"/>
      <c r="N76" s="564"/>
      <c r="O76" s="145"/>
      <c r="P76" s="145"/>
      <c r="AG76" s="145"/>
      <c r="AM76" s="84" t="s">
        <v>428</v>
      </c>
      <c r="AN76" s="85"/>
      <c r="AO76" s="85" t="s">
        <v>11</v>
      </c>
      <c r="AP76" s="187">
        <f>SUM(AQ76:AT76)</f>
        <v>4090000</v>
      </c>
      <c r="AQ76" s="188">
        <f>SUM(AU76:AW76)</f>
        <v>925000</v>
      </c>
      <c r="AR76" s="189">
        <f>SUM(AX76:AZ76)</f>
        <v>1000000</v>
      </c>
      <c r="AS76" s="189">
        <f>SUM(BA76:BC76)</f>
        <v>1085000</v>
      </c>
      <c r="AT76" s="190">
        <f>SUM(BD76:BF76)</f>
        <v>1080000</v>
      </c>
      <c r="AU76" s="191">
        <f>SUM(AU81,AU86,AU90,AU94)</f>
        <v>310000</v>
      </c>
      <c r="AV76" s="191">
        <f t="shared" ref="AV76:BF76" si="44">SUM(AV81,AV86,AV90,AV94)</f>
        <v>300000</v>
      </c>
      <c r="AW76" s="191">
        <f t="shared" si="44"/>
        <v>315000</v>
      </c>
      <c r="AX76" s="191">
        <f t="shared" si="44"/>
        <v>320000</v>
      </c>
      <c r="AY76" s="191">
        <f t="shared" si="44"/>
        <v>340000</v>
      </c>
      <c r="AZ76" s="191">
        <f t="shared" si="44"/>
        <v>340000</v>
      </c>
      <c r="BA76" s="191">
        <f t="shared" si="44"/>
        <v>355000</v>
      </c>
      <c r="BB76" s="191">
        <f t="shared" si="44"/>
        <v>350000</v>
      </c>
      <c r="BC76" s="191">
        <f t="shared" si="44"/>
        <v>380000</v>
      </c>
      <c r="BD76" s="191">
        <f t="shared" si="44"/>
        <v>340000</v>
      </c>
      <c r="BE76" s="191">
        <f t="shared" si="44"/>
        <v>370000</v>
      </c>
      <c r="BF76" s="191">
        <f t="shared" si="44"/>
        <v>370000</v>
      </c>
      <c r="BG76" s="72"/>
      <c r="BJ76" s="1"/>
      <c r="BK76"/>
      <c r="BL76" s="94"/>
    </row>
    <row r="77" spans="1:64" ht="18">
      <c r="B77" s="555" t="s">
        <v>603</v>
      </c>
      <c r="C77" s="565"/>
      <c r="D77" s="565"/>
      <c r="E77" s="860">
        <f ca="1">SUM(E78:E83)</f>
        <v>62363.345753346628</v>
      </c>
      <c r="F77" s="566">
        <f ca="1">SUM(F78:F83)</f>
        <v>29332.251562201505</v>
      </c>
      <c r="G77" s="566">
        <v>130000</v>
      </c>
      <c r="H77" s="566">
        <f ca="1">SUM(H78:H83)</f>
        <v>261661.46372667534</v>
      </c>
      <c r="I77" s="567"/>
      <c r="J77" s="567"/>
      <c r="K77" s="568"/>
      <c r="L77" s="568"/>
      <c r="M77" s="568"/>
      <c r="N77" s="569"/>
      <c r="O77" s="145"/>
      <c r="P77" s="145"/>
      <c r="AG77" s="145"/>
      <c r="AM77" s="84"/>
      <c r="AN77" s="85"/>
      <c r="AO77" s="85" t="s">
        <v>12</v>
      </c>
      <c r="AP77" s="193">
        <f ca="1">(SUMIFS(AU77:BF77,$AU$4:$BF$4,"&gt;="&amp;MONTH(TODAY()-1)))+(SUMIFS(AU78:BF78,$AU$4:$BF$4,"&lt;"&amp;MONTH(TODAY()-1)))</f>
        <v>3500000.0000000009</v>
      </c>
      <c r="AQ77" s="99">
        <f ca="1">(SUMIFS(AU77:AW77,$AU$4:$AW$4,"&gt;="&amp;MONTH(TODAY()-1)))+(SUMIFS(AU78:AW78,$AU$4:$AW$4,"&lt;"&amp;MONTH(TODAY()-1)))</f>
        <v>1014300.5195000001</v>
      </c>
      <c r="AR77" s="90">
        <f ca="1">(SUMIFS(AX77:AZ77,$AX$4:$AZ$4,"&gt;="&amp;MONTH(TODAY()-1)))+(SUMIFS(AX78:AZ78,$AX$4:$AZ$4,"&lt;"&amp;MONTH(TODAY()-1)))</f>
        <v>610254.277</v>
      </c>
      <c r="AS77" s="90">
        <f ca="1">(SUMIFS(BA77:BC77,$BA$4:$BC$4,"&gt;="&amp;MONTH(TODAY()-1)))+(SUMIFS(BA78:BC78,$BA$4:$BC$4,"&lt;"&amp;MONTH(TODAY()-1)))</f>
        <v>871548.40999999992</v>
      </c>
      <c r="AT77" s="103">
        <f ca="1">(SUMIFS(BD77:BF77,$BD$4:$BF$4,"&gt;="&amp;MONTH(TODAY()-1)))+(SUMIFS(BD78:BF78,$BD$4:$BF$4,"&lt;"&amp;MONTH(TODAY()-1)))</f>
        <v>1003896.7935000004</v>
      </c>
      <c r="AU77" s="101">
        <f>SUM(AU83,AU95,AU87,AU91)</f>
        <v>310000</v>
      </c>
      <c r="AV77" s="101">
        <f t="shared" ref="AV77:BF77" si="45">SUM(AV83,AV95,AV87,AV91)</f>
        <v>310000</v>
      </c>
      <c r="AW77" s="101">
        <f t="shared" si="45"/>
        <v>220000</v>
      </c>
      <c r="AX77" s="101">
        <f t="shared" si="45"/>
        <v>220000</v>
      </c>
      <c r="AY77" s="101">
        <f t="shared" si="45"/>
        <v>220000</v>
      </c>
      <c r="AZ77" s="101">
        <f t="shared" si="45"/>
        <v>245000</v>
      </c>
      <c r="BA77" s="101">
        <f t="shared" si="45"/>
        <v>240000</v>
      </c>
      <c r="BB77" s="101">
        <f t="shared" si="45"/>
        <v>294000</v>
      </c>
      <c r="BC77" s="101">
        <f t="shared" si="45"/>
        <v>370000</v>
      </c>
      <c r="BD77" s="101">
        <f t="shared" si="45"/>
        <v>345000</v>
      </c>
      <c r="BE77" s="101">
        <f t="shared" si="45"/>
        <v>345000</v>
      </c>
      <c r="BF77" s="101">
        <f t="shared" si="45"/>
        <v>313896.79350000032</v>
      </c>
      <c r="BG77" s="72"/>
      <c r="BK77"/>
      <c r="BL77" s="94"/>
    </row>
    <row r="78" spans="1:64" ht="18">
      <c r="B78" s="555"/>
      <c r="C78" s="565" t="s">
        <v>38</v>
      </c>
      <c r="D78" s="565"/>
      <c r="E78" s="1223"/>
      <c r="F78" s="570">
        <f>IF(E78-A86&lt;0,0,E78-A86)</f>
        <v>0</v>
      </c>
      <c r="G78" s="570">
        <v>50000</v>
      </c>
      <c r="H78" s="570">
        <f>+(G78-E78)</f>
        <v>50000</v>
      </c>
      <c r="I78" s="570"/>
      <c r="J78" s="571"/>
      <c r="K78" s="571"/>
      <c r="L78" s="571"/>
      <c r="M78" s="571"/>
      <c r="N78" s="572"/>
      <c r="O78" s="145"/>
      <c r="P78" s="145"/>
      <c r="AG78" s="145"/>
      <c r="AM78" s="84"/>
      <c r="AN78" s="85"/>
      <c r="AO78" s="85" t="s">
        <v>13</v>
      </c>
      <c r="AP78" s="193">
        <f>SUM(AQ78:AT78)</f>
        <v>2154084.6365</v>
      </c>
      <c r="AQ78" s="99">
        <f>SUM(AU78:AW78)</f>
        <v>1014300.5195000001</v>
      </c>
      <c r="AR78" s="90">
        <f>SUM(AX78:AZ78)</f>
        <v>610254.277</v>
      </c>
      <c r="AS78" s="90">
        <f>SUM(BA78:BC78)</f>
        <v>529529.84</v>
      </c>
      <c r="AT78" s="103">
        <f>SUM(BD78:BF78)</f>
        <v>0</v>
      </c>
      <c r="AU78" s="101">
        <f t="shared" ref="AU78:BF78" si="46">SUM(AU84,AU92,AU88,AU97)</f>
        <v>493467.81000000006</v>
      </c>
      <c r="AV78" s="101">
        <f t="shared" si="46"/>
        <v>277881.55550000002</v>
      </c>
      <c r="AW78" s="101">
        <f t="shared" si="46"/>
        <v>242951.15400000001</v>
      </c>
      <c r="AX78" s="101">
        <f t="shared" si="46"/>
        <v>162414.07699999999</v>
      </c>
      <c r="AY78" s="101">
        <f t="shared" si="46"/>
        <v>268805.68000000005</v>
      </c>
      <c r="AZ78" s="101">
        <f t="shared" si="46"/>
        <v>179034.52</v>
      </c>
      <c r="BA78" s="101">
        <f t="shared" si="46"/>
        <v>320646.01999999996</v>
      </c>
      <c r="BB78" s="101">
        <f t="shared" si="46"/>
        <v>180902.39</v>
      </c>
      <c r="BC78" s="101">
        <f t="shared" si="46"/>
        <v>27981.43</v>
      </c>
      <c r="BD78" s="101">
        <f t="shared" si="46"/>
        <v>0</v>
      </c>
      <c r="BE78" s="101">
        <f t="shared" si="46"/>
        <v>0</v>
      </c>
      <c r="BF78" s="101">
        <f t="shared" si="46"/>
        <v>0</v>
      </c>
      <c r="BG78" s="72"/>
      <c r="BK78"/>
      <c r="BL78" s="94"/>
    </row>
    <row r="79" spans="1:64" ht="18">
      <c r="A79" s="98">
        <v>8756.5482322711578</v>
      </c>
      <c r="B79" s="555"/>
      <c r="C79" s="1243" t="s">
        <v>38</v>
      </c>
      <c r="D79" s="565"/>
      <c r="E79" s="574">
        <f ca="1">INDEX('September TCM'!NR10:NR40, MATCH(B4, 'September TCM'!B10:B40, 0))</f>
        <v>8443.1982322711574</v>
      </c>
      <c r="F79" s="570">
        <f ca="1">E79-A79</f>
        <v>-313.35000000000036</v>
      </c>
      <c r="G79" s="570">
        <v>70000</v>
      </c>
      <c r="H79" s="570">
        <f ca="1">+G79-E79</f>
        <v>61556.801767728844</v>
      </c>
      <c r="I79" s="600">
        <v>5073</v>
      </c>
      <c r="J79" s="1260">
        <v>0.27</v>
      </c>
      <c r="K79" s="1260">
        <v>10.19</v>
      </c>
      <c r="L79" s="1260">
        <v>14.84</v>
      </c>
      <c r="M79" s="1260">
        <v>24.03</v>
      </c>
      <c r="N79" s="969">
        <v>46099</v>
      </c>
      <c r="O79" s="145"/>
      <c r="P79" s="145"/>
      <c r="AG79" s="145"/>
      <c r="AM79" s="84"/>
      <c r="AN79" s="85"/>
      <c r="AO79" s="85" t="s">
        <v>555</v>
      </c>
      <c r="AP79" s="469">
        <f t="shared" ref="AP79:BF79" si="47">IFERROR(AP78/AP76,"")</f>
        <v>0.52667106026894861</v>
      </c>
      <c r="AQ79" s="418">
        <f t="shared" si="47"/>
        <v>1.0965411021621623</v>
      </c>
      <c r="AR79" s="91">
        <f t="shared" si="47"/>
        <v>0.61025427700000001</v>
      </c>
      <c r="AS79" s="91">
        <f t="shared" si="47"/>
        <v>0.48804593548387093</v>
      </c>
      <c r="AT79" s="104">
        <f t="shared" si="47"/>
        <v>0</v>
      </c>
      <c r="AU79" s="413">
        <f t="shared" si="47"/>
        <v>1.5918316451612906</v>
      </c>
      <c r="AV79" s="413">
        <f t="shared" si="47"/>
        <v>0.9262718516666667</v>
      </c>
      <c r="AW79" s="2238">
        <f t="shared" si="47"/>
        <v>0.77127350476190482</v>
      </c>
      <c r="AX79" s="2238">
        <f t="shared" si="47"/>
        <v>0.507543990625</v>
      </c>
      <c r="AY79" s="2238">
        <f t="shared" si="47"/>
        <v>0.79060494117647073</v>
      </c>
      <c r="AZ79" s="2238">
        <f t="shared" si="47"/>
        <v>0.5265721176470588</v>
      </c>
      <c r="BA79" s="2238">
        <f t="shared" si="47"/>
        <v>0.90322822535211256</v>
      </c>
      <c r="BB79" s="2238">
        <f t="shared" si="47"/>
        <v>0.51686397142857143</v>
      </c>
      <c r="BC79" s="2238">
        <f t="shared" si="47"/>
        <v>7.3635342105263152E-2</v>
      </c>
      <c r="BD79" s="91">
        <f t="shared" si="47"/>
        <v>0</v>
      </c>
      <c r="BE79" s="91">
        <f t="shared" si="47"/>
        <v>0</v>
      </c>
      <c r="BF79" s="200">
        <f t="shared" si="47"/>
        <v>0</v>
      </c>
      <c r="BK79"/>
      <c r="BL79" s="94"/>
    </row>
    <row r="80" spans="1:64" ht="18.600000000000001" thickBot="1">
      <c r="B80" s="555"/>
      <c r="C80" s="565" t="s">
        <v>43</v>
      </c>
      <c r="D80" s="565"/>
      <c r="E80" s="574"/>
      <c r="F80" s="570">
        <f t="shared" ref="F80:F83" si="48">E80-A80</f>
        <v>0</v>
      </c>
      <c r="G80" s="570">
        <v>50000</v>
      </c>
      <c r="H80" s="570">
        <v>50000</v>
      </c>
      <c r="I80" s="570"/>
      <c r="J80" s="571"/>
      <c r="K80" s="571"/>
      <c r="L80" s="571"/>
      <c r="M80" s="571"/>
      <c r="N80" s="572"/>
      <c r="O80" s="145"/>
      <c r="P80" s="145"/>
      <c r="AG80" s="145"/>
      <c r="AM80" s="84"/>
      <c r="AN80" s="85"/>
      <c r="AO80" s="85" t="s">
        <v>575</v>
      </c>
      <c r="AP80" s="1617">
        <f ca="1">IFERROR(AP78/AP77,"")</f>
        <v>0.61545275328571414</v>
      </c>
      <c r="AQ80" s="1661">
        <f t="shared" ref="AQ80:BF80" ca="1" si="49">IFERROR(AQ78/AQ77,"")</f>
        <v>1</v>
      </c>
      <c r="AR80" s="196">
        <f t="shared" ca="1" si="49"/>
        <v>1</v>
      </c>
      <c r="AS80" s="196">
        <f t="shared" ca="1" si="49"/>
        <v>0.60757364011483883</v>
      </c>
      <c r="AT80" s="197">
        <f t="shared" ca="1" si="49"/>
        <v>0</v>
      </c>
      <c r="AU80" s="1618">
        <f t="shared" si="49"/>
        <v>1.5918316451612906</v>
      </c>
      <c r="AV80" s="1619">
        <f t="shared" si="49"/>
        <v>0.8963921145161291</v>
      </c>
      <c r="AW80" s="2237">
        <f t="shared" si="49"/>
        <v>1.1043234272727274</v>
      </c>
      <c r="AX80" s="2237">
        <f t="shared" si="49"/>
        <v>0.73824580454545452</v>
      </c>
      <c r="AY80" s="2237">
        <f t="shared" si="49"/>
        <v>1.2218440000000002</v>
      </c>
      <c r="AZ80" s="2237">
        <f t="shared" si="49"/>
        <v>0.73075314285714277</v>
      </c>
      <c r="BA80" s="2237">
        <f t="shared" si="49"/>
        <v>1.3360250833333331</v>
      </c>
      <c r="BB80" s="2237">
        <f t="shared" si="49"/>
        <v>0.61531425170068033</v>
      </c>
      <c r="BC80" s="2237">
        <f t="shared" si="49"/>
        <v>7.5625486486486482E-2</v>
      </c>
      <c r="BD80" s="196">
        <f t="shared" si="49"/>
        <v>0</v>
      </c>
      <c r="BE80" s="196">
        <f t="shared" si="49"/>
        <v>0</v>
      </c>
      <c r="BF80" s="198">
        <f t="shared" si="49"/>
        <v>0</v>
      </c>
      <c r="BG80" s="72"/>
      <c r="BH80" s="72"/>
      <c r="BI80" s="72"/>
      <c r="BJ80" s="72"/>
      <c r="BK80" s="72"/>
      <c r="BL80" s="278"/>
    </row>
    <row r="81" spans="1:64" s="168" customFormat="1" ht="18">
      <c r="A81" s="173">
        <v>785.4948945082507</v>
      </c>
      <c r="B81" s="555"/>
      <c r="C81" s="573" t="s">
        <v>50</v>
      </c>
      <c r="D81" s="573"/>
      <c r="E81" s="574">
        <f ca="1">INDEX('September TCM'!NP10:NP40, MATCH(B4, 'September TCM'!B10:B40, 0))</f>
        <v>21665.870136227244</v>
      </c>
      <c r="F81" s="570">
        <f t="shared" ca="1" si="48"/>
        <v>20880.375241718993</v>
      </c>
      <c r="G81" s="575"/>
      <c r="H81" s="575"/>
      <c r="I81" s="1371">
        <v>7138</v>
      </c>
      <c r="J81" s="2135">
        <v>0.85</v>
      </c>
      <c r="K81" s="2135">
        <v>3.69</v>
      </c>
      <c r="L81" s="2135">
        <v>5.15</v>
      </c>
      <c r="M81" s="2136">
        <v>7.1323650000000001</v>
      </c>
      <c r="N81" s="969">
        <v>46230</v>
      </c>
      <c r="O81" s="173"/>
      <c r="P81" s="173"/>
      <c r="Q81" s="166"/>
      <c r="R81" s="166"/>
      <c r="S81" s="166"/>
      <c r="T81" s="166"/>
      <c r="U81" s="166"/>
      <c r="V81" s="166"/>
      <c r="W81" s="166"/>
      <c r="X81" s="166"/>
      <c r="Y81" s="166"/>
      <c r="Z81" s="166"/>
      <c r="AA81" s="166"/>
      <c r="AB81" s="166"/>
      <c r="AC81" s="166"/>
      <c r="AD81" s="166"/>
      <c r="AE81" s="166"/>
      <c r="AF81" s="166"/>
      <c r="AG81" s="173"/>
      <c r="AM81" s="84"/>
      <c r="AN81" s="85" t="str">
        <f>C64</f>
        <v>TCM.HCV.LS</v>
      </c>
      <c r="AO81" s="85" t="s">
        <v>11</v>
      </c>
      <c r="AP81" s="187">
        <f>SUM(AQ81:AT81)</f>
        <v>1875000</v>
      </c>
      <c r="AQ81" s="188">
        <f>SUM(AU81:AW81)</f>
        <v>430000</v>
      </c>
      <c r="AR81" s="189">
        <f>SUM(AX81:AZ81)</f>
        <v>460000</v>
      </c>
      <c r="AS81" s="189">
        <f>SUM(BA81:BC81)</f>
        <v>495000</v>
      </c>
      <c r="AT81" s="190">
        <f>SUM(BD81:BF81)</f>
        <v>490000</v>
      </c>
      <c r="AU81" s="191">
        <v>150000</v>
      </c>
      <c r="AV81" s="189">
        <v>130000</v>
      </c>
      <c r="AW81" s="189">
        <v>150000</v>
      </c>
      <c r="AX81" s="189">
        <v>150000</v>
      </c>
      <c r="AY81" s="189">
        <v>160000</v>
      </c>
      <c r="AZ81" s="189">
        <v>150000</v>
      </c>
      <c r="BA81" s="189">
        <v>165000</v>
      </c>
      <c r="BB81" s="189">
        <v>150000</v>
      </c>
      <c r="BC81" s="189">
        <v>180000</v>
      </c>
      <c r="BD81" s="189">
        <v>150000</v>
      </c>
      <c r="BE81" s="189">
        <v>170000</v>
      </c>
      <c r="BF81" s="192">
        <v>170000</v>
      </c>
      <c r="BG81" s="72"/>
    </row>
    <row r="82" spans="1:64" s="168" customFormat="1" ht="18">
      <c r="A82" s="166"/>
      <c r="B82" s="555"/>
      <c r="C82" s="1244" t="s">
        <v>281</v>
      </c>
      <c r="D82" s="573"/>
      <c r="E82" s="1700">
        <f ca="1">INDEX('September TCM'!NQ10:NQ40,MATCH(B4,'September TCM'!B10:B40,0))</f>
        <v>22358.939343794715</v>
      </c>
      <c r="F82" s="570"/>
      <c r="G82" s="575"/>
      <c r="H82" s="575"/>
      <c r="I82" s="1371">
        <v>5667</v>
      </c>
      <c r="J82" s="1372">
        <v>0.87</v>
      </c>
      <c r="K82" s="1372">
        <v>18.75</v>
      </c>
      <c r="L82" s="1372">
        <v>8.39</v>
      </c>
      <c r="M82" s="1372">
        <v>15.83</v>
      </c>
      <c r="N82" s="969">
        <v>46225</v>
      </c>
      <c r="O82" s="173"/>
      <c r="P82" s="173"/>
      <c r="Q82" s="166"/>
      <c r="R82" s="166"/>
      <c r="S82" s="166"/>
      <c r="T82" s="166"/>
      <c r="U82" s="166"/>
      <c r="V82" s="166"/>
      <c r="W82" s="166"/>
      <c r="X82" s="166"/>
      <c r="Y82" s="166"/>
      <c r="Z82" s="166"/>
      <c r="AA82" s="166"/>
      <c r="AB82" s="166"/>
      <c r="AC82" s="166"/>
      <c r="AD82" s="166"/>
      <c r="AE82" s="166"/>
      <c r="AF82" s="166"/>
      <c r="AG82" s="173"/>
      <c r="AM82" s="84"/>
      <c r="AN82" s="85"/>
      <c r="AO82" s="85"/>
      <c r="AP82" s="193"/>
      <c r="AQ82" s="99"/>
      <c r="AR82" s="90"/>
      <c r="AS82" s="90"/>
      <c r="AT82" s="103"/>
      <c r="AU82" s="101"/>
      <c r="AV82" s="90"/>
      <c r="AW82" s="90"/>
      <c r="AX82" s="90"/>
      <c r="AY82" s="90"/>
      <c r="AZ82" s="90"/>
      <c r="BA82" s="90"/>
      <c r="BB82" s="90"/>
      <c r="BC82" s="90"/>
      <c r="BD82" s="90"/>
      <c r="BE82" s="90"/>
      <c r="BF82" s="194"/>
      <c r="BG82" s="72"/>
    </row>
    <row r="83" spans="1:64" s="168" customFormat="1" ht="18">
      <c r="A83" s="173">
        <v>1130.1117205709934</v>
      </c>
      <c r="B83" s="555"/>
      <c r="C83" s="1244" t="s">
        <v>53</v>
      </c>
      <c r="D83" s="565"/>
      <c r="E83" s="861">
        <f ca="1">INDEX('September TCM'!NS10:NS40, MATCH(B4, 'September TCM'!B10:B40, 0))</f>
        <v>9895.3380410535083</v>
      </c>
      <c r="F83" s="570">
        <f t="shared" ca="1" si="48"/>
        <v>8765.226320482514</v>
      </c>
      <c r="G83" s="576">
        <v>110000</v>
      </c>
      <c r="H83" s="576">
        <f ca="1">+G83-E83</f>
        <v>100104.6619589465</v>
      </c>
      <c r="I83" s="602">
        <v>6896</v>
      </c>
      <c r="J83" s="1259">
        <v>2.4300000000000002</v>
      </c>
      <c r="K83" s="1259">
        <v>6.45</v>
      </c>
      <c r="L83" s="1259">
        <v>5.31</v>
      </c>
      <c r="M83" s="2118">
        <v>6.995482</v>
      </c>
      <c r="N83" s="969">
        <v>46230</v>
      </c>
      <c r="O83" s="173"/>
      <c r="P83" s="173"/>
      <c r="Q83" s="166"/>
      <c r="R83" s="166"/>
      <c r="S83" s="166"/>
      <c r="T83" s="166"/>
      <c r="U83" s="166"/>
      <c r="V83" s="166"/>
      <c r="W83" s="166"/>
      <c r="X83" s="166"/>
      <c r="Y83" s="166"/>
      <c r="Z83" s="166"/>
      <c r="AA83" s="166"/>
      <c r="AB83" s="166"/>
      <c r="AC83" s="166"/>
      <c r="AD83" s="166"/>
      <c r="AE83" s="166"/>
      <c r="AF83" s="166"/>
      <c r="AG83" s="173"/>
      <c r="AM83" s="84"/>
      <c r="AN83" s="85"/>
      <c r="AO83" s="85" t="s">
        <v>12</v>
      </c>
      <c r="AP83" s="193">
        <f ca="1">(SUMIFS(AU83:BF83,$AU$4:$BF$4,"&gt;="&amp;MONTH(TODAY()-1)))+(SUMIFS(AU84:BF84,$AU$4:$BF$4,"&lt;"&amp;MONTH(TODAY()-1)))</f>
        <v>2300000.0000000005</v>
      </c>
      <c r="AQ83" s="99">
        <f ca="1">(SUMIFS(AU83:AW83,$AU$4:$AW$4,"&gt;="&amp;MONTH(TODAY()-1)))+(SUMIFS(AU84:AW84,$AU$4:$AW$4,"&lt;"&amp;MONTH(TODAY()-1)))</f>
        <v>849941.84870000009</v>
      </c>
      <c r="AR83" s="90">
        <f ca="1">(SUMIFS(AX83:AZ83,$AX$4:$AZ$4,"&gt;="&amp;MONTH(TODAY()-1)))+(SUMIFS(AX84:AZ84,$AX$4:$AZ$4,"&lt;"&amp;MONTH(TODAY()-1)))</f>
        <v>377950.37400000001</v>
      </c>
      <c r="AS83" s="90">
        <f ca="1">(SUMIFS(BA83:BC83,$BA$4:$BC$4,"&gt;="&amp;MONTH(TODAY()-1)))+(SUMIFS(BA84:BC84,$BA$4:$BC$4,"&lt;"&amp;MONTH(TODAY()-1)))</f>
        <v>552379.39599999995</v>
      </c>
      <c r="AT83" s="103">
        <f ca="1">(SUMIFS(BD83:BF83,$BD$4:$BF$4,"&gt;="&amp;MONTH(TODAY()-1)))+(SUMIFS(BD84:BF84,$BD$4:$BF$4,"&lt;"&amp;MONTH(TODAY()-1)))</f>
        <v>519728.38130000036</v>
      </c>
      <c r="AU83" s="101">
        <v>280000</v>
      </c>
      <c r="AV83" s="90">
        <v>220000</v>
      </c>
      <c r="AW83" s="90">
        <v>155000</v>
      </c>
      <c r="AX83" s="90">
        <v>150000</v>
      </c>
      <c r="AY83" s="90">
        <v>150000</v>
      </c>
      <c r="AZ83" s="90">
        <v>160000</v>
      </c>
      <c r="BA83" s="90">
        <v>155000</v>
      </c>
      <c r="BB83" s="90">
        <v>166000</v>
      </c>
      <c r="BC83" s="90">
        <v>230000</v>
      </c>
      <c r="BD83" s="90">
        <v>180000</v>
      </c>
      <c r="BE83" s="90">
        <v>175000</v>
      </c>
      <c r="BF83" s="194">
        <v>164728.38130000039</v>
      </c>
      <c r="BG83" s="72"/>
    </row>
    <row r="84" spans="1:64" s="168" customFormat="1" ht="20.399999999999999" customHeight="1">
      <c r="A84" s="350"/>
      <c r="B84" s="555" t="s">
        <v>604</v>
      </c>
      <c r="C84" s="565"/>
      <c r="D84" s="565"/>
      <c r="E84" s="862">
        <f ca="1">SUM(E85:E87)</f>
        <v>61599.908758681253</v>
      </c>
      <c r="F84" s="566">
        <f ca="1">SUM(F85:F87)</f>
        <v>59053.163019186832</v>
      </c>
      <c r="G84" s="566">
        <f>SUM(G85:G87)</f>
        <v>130000</v>
      </c>
      <c r="H84" s="566">
        <f ca="1">SUM(H85:H87)</f>
        <v>103958.79680631596</v>
      </c>
      <c r="I84" s="562"/>
      <c r="J84" s="568"/>
      <c r="K84" s="568"/>
      <c r="L84" s="568"/>
      <c r="M84" s="568"/>
      <c r="N84" s="564"/>
      <c r="O84" s="173"/>
      <c r="P84" s="173"/>
      <c r="Q84" s="166"/>
      <c r="R84" s="166"/>
      <c r="S84" s="166"/>
      <c r="T84" s="166"/>
      <c r="U84" s="166"/>
      <c r="V84" s="166"/>
      <c r="W84" s="166"/>
      <c r="X84" s="166"/>
      <c r="Y84" s="166"/>
      <c r="Z84" s="166"/>
      <c r="AA84" s="166"/>
      <c r="AB84" s="166"/>
      <c r="AC84" s="166"/>
      <c r="AD84" s="166"/>
      <c r="AE84" s="166"/>
      <c r="AF84" s="166"/>
      <c r="AG84" s="173"/>
      <c r="AM84" s="84"/>
      <c r="AN84" s="85"/>
      <c r="AO84" s="85" t="s">
        <v>13</v>
      </c>
      <c r="AP84" s="193">
        <f>SUM(AQ84:AT84)</f>
        <v>1562136.0627000001</v>
      </c>
      <c r="AQ84" s="99">
        <f>SUM(AU84:AW84)</f>
        <v>849941.84870000009</v>
      </c>
      <c r="AR84" s="90">
        <f>SUM(AX84:AZ84)</f>
        <v>377950.37400000001</v>
      </c>
      <c r="AS84" s="90">
        <f>SUM(BA84:BC84)</f>
        <v>334243.83999999997</v>
      </c>
      <c r="AT84" s="103">
        <f>SUM(BD84:BF84)</f>
        <v>0</v>
      </c>
      <c r="AU84" s="90">
        <f>'January TCM'!$LF$42</f>
        <v>448688.14300000004</v>
      </c>
      <c r="AV84" s="90">
        <f>'February TCM'!$LF$42</f>
        <v>188447.35950000002</v>
      </c>
      <c r="AW84" s="90">
        <f>'March TCM'!$LF$42</f>
        <v>212806.3462</v>
      </c>
      <c r="AX84" s="90">
        <f>'April TCM'!$LF$42</f>
        <v>107224.10699999999</v>
      </c>
      <c r="AY84" s="464">
        <f>'May TCM'!$LG$42</f>
        <v>140174.81350000002</v>
      </c>
      <c r="AZ84" s="90">
        <f>'June TCM'!$LG$42</f>
        <v>130551.45349999999</v>
      </c>
      <c r="BA84" s="90">
        <f>'July TCM'!$LG$42</f>
        <v>219274.91499999998</v>
      </c>
      <c r="BB84" s="90">
        <f>'August TCM'!$LH$42</f>
        <v>103104.481</v>
      </c>
      <c r="BC84" s="90">
        <f>'September TCM'!$LH$42</f>
        <v>11864.444</v>
      </c>
      <c r="BD84" s="90"/>
      <c r="BE84" s="90"/>
      <c r="BF84" s="90"/>
      <c r="BG84"/>
      <c r="BH84" s="72"/>
    </row>
    <row r="85" spans="1:64" s="168" customFormat="1" ht="18.600000000000001" thickBot="1">
      <c r="A85" s="350">
        <v>1417.9263787900434</v>
      </c>
      <c r="B85" s="555"/>
      <c r="C85" s="565" t="s">
        <v>53</v>
      </c>
      <c r="D85" s="565"/>
      <c r="E85" s="574">
        <f ca="1">LOOKUP(B4,'September TCM'!B10:B40,'September TCM'!NU10:NU40) + LOOKUP(B4,'September TCM'!B10:B40,'September TCM'!NY10:NY40) + LOOKUP(B4,'September TCM'!B10:B40,'September TCM'!OC10:OC40)</f>
        <v>12611.886475620366</v>
      </c>
      <c r="F85" s="570">
        <f ca="1">E85-A85</f>
        <v>11193.960096830322</v>
      </c>
      <c r="G85" s="577">
        <v>65000</v>
      </c>
      <c r="H85" s="2201">
        <f ca="1">+(G85-E85)</f>
        <v>52388.113524379631</v>
      </c>
      <c r="I85" s="2202">
        <v>7106</v>
      </c>
      <c r="J85" s="2199">
        <v>1.26</v>
      </c>
      <c r="K85" s="1242">
        <v>2.36</v>
      </c>
      <c r="L85" s="1242">
        <v>5.38</v>
      </c>
      <c r="M85" s="1242">
        <v>8.52</v>
      </c>
      <c r="N85" s="969">
        <v>46254</v>
      </c>
      <c r="O85" s="173"/>
      <c r="P85" s="173"/>
      <c r="Q85" s="166"/>
      <c r="R85" s="166"/>
      <c r="S85" s="166"/>
      <c r="T85" s="166"/>
      <c r="U85" s="166"/>
      <c r="V85" s="166"/>
      <c r="W85" s="166"/>
      <c r="X85" s="166"/>
      <c r="Y85" s="166"/>
      <c r="Z85" s="166"/>
      <c r="AA85" s="166"/>
      <c r="AB85" s="166"/>
      <c r="AC85" s="166"/>
      <c r="AD85" s="166"/>
      <c r="AE85" s="166"/>
      <c r="AF85" s="166"/>
      <c r="AG85" s="173"/>
      <c r="AM85" s="84"/>
      <c r="AN85" s="85"/>
      <c r="AO85" s="85" t="s">
        <v>582</v>
      </c>
      <c r="AP85" s="1617">
        <f t="shared" ref="AP85:BF85" si="50">IFERROR(AP84/AP81,"")</f>
        <v>0.83313923344000007</v>
      </c>
      <c r="AQ85" s="1661">
        <f t="shared" si="50"/>
        <v>1.9766089504651165</v>
      </c>
      <c r="AR85" s="196">
        <f t="shared" si="50"/>
        <v>0.82163124782608699</v>
      </c>
      <c r="AS85" s="196">
        <f t="shared" si="50"/>
        <v>0.67524008080808073</v>
      </c>
      <c r="AT85" s="197">
        <f t="shared" si="50"/>
        <v>0</v>
      </c>
      <c r="AU85" s="1618">
        <f t="shared" si="50"/>
        <v>2.9912542866666669</v>
      </c>
      <c r="AV85" s="1619">
        <f t="shared" si="50"/>
        <v>1.4495950730769231</v>
      </c>
      <c r="AW85" s="2237">
        <f t="shared" si="50"/>
        <v>1.4187089746666666</v>
      </c>
      <c r="AX85" s="2237">
        <f t="shared" si="50"/>
        <v>0.7148273799999999</v>
      </c>
      <c r="AY85" s="2237">
        <f t="shared" si="50"/>
        <v>0.87609258437500015</v>
      </c>
      <c r="AZ85" s="2237">
        <f t="shared" si="50"/>
        <v>0.87034302333333324</v>
      </c>
      <c r="BA85" s="2237">
        <f t="shared" si="50"/>
        <v>1.3289388787878786</v>
      </c>
      <c r="BB85" s="2237">
        <f t="shared" si="50"/>
        <v>0.68736320666666662</v>
      </c>
      <c r="BC85" s="196">
        <f t="shared" si="50"/>
        <v>6.5913577777777774E-2</v>
      </c>
      <c r="BD85" s="196">
        <f t="shared" si="50"/>
        <v>0</v>
      </c>
      <c r="BE85" s="196">
        <f t="shared" si="50"/>
        <v>0</v>
      </c>
      <c r="BF85" s="198">
        <f t="shared" si="50"/>
        <v>0</v>
      </c>
      <c r="BG85" s="72"/>
      <c r="BH85" s="72"/>
    </row>
    <row r="86" spans="1:64" s="168" customFormat="1" ht="19.95" customHeight="1">
      <c r="A86" s="173">
        <v>1128.8193607043715</v>
      </c>
      <c r="B86" s="555"/>
      <c r="C86" s="565" t="s">
        <v>605</v>
      </c>
      <c r="D86" s="565"/>
      <c r="E86" s="574">
        <f ca="1">LOOKUP(B4,'September TCM'!B10:B40,'September TCM'!OA10:OA40)</f>
        <v>35558.705564997217</v>
      </c>
      <c r="F86" s="570">
        <f t="shared" ref="F86" ca="1" si="51">E86-A86</f>
        <v>34429.886204292845</v>
      </c>
      <c r="G86" s="577"/>
      <c r="H86" s="578"/>
      <c r="I86" s="2200">
        <v>6958</v>
      </c>
      <c r="J86" s="1241">
        <v>1.54</v>
      </c>
      <c r="K86" s="1242">
        <v>2.5499999999999998</v>
      </c>
      <c r="L86" s="1242">
        <v>7</v>
      </c>
      <c r="M86" s="1242">
        <v>9.85</v>
      </c>
      <c r="N86" s="969">
        <v>46272</v>
      </c>
      <c r="O86" s="173"/>
      <c r="P86" s="173"/>
      <c r="Q86" s="166"/>
      <c r="R86" s="166"/>
      <c r="S86" s="166"/>
      <c r="T86" s="166"/>
      <c r="U86" s="166"/>
      <c r="V86" s="166"/>
      <c r="W86" s="166"/>
      <c r="X86" s="166"/>
      <c r="Y86" s="166"/>
      <c r="Z86" s="166"/>
      <c r="AA86" s="166"/>
      <c r="AB86" s="166"/>
      <c r="AC86" s="166"/>
      <c r="AD86" s="166"/>
      <c r="AE86" s="166"/>
      <c r="AF86" s="166"/>
      <c r="AG86" s="173"/>
      <c r="AM86" s="84"/>
      <c r="AN86" s="85" t="str">
        <f>C65</f>
        <v>TCM.HCV.HS</v>
      </c>
      <c r="AO86" s="85" t="s">
        <v>11</v>
      </c>
      <c r="AP86" s="440">
        <f>SUM(AQ86:AT86)</f>
        <v>2215000</v>
      </c>
      <c r="AQ86" s="441">
        <f>SUM(AU86:AW86)</f>
        <v>495000</v>
      </c>
      <c r="AR86" s="442">
        <f>SUM(AX86:AZ86)</f>
        <v>540000</v>
      </c>
      <c r="AS86" s="442">
        <f>SUM(BA86:BC86)</f>
        <v>590000</v>
      </c>
      <c r="AT86" s="443">
        <f>SUM(BD86:BF86)</f>
        <v>590000</v>
      </c>
      <c r="AU86" s="444">
        <v>160000</v>
      </c>
      <c r="AV86" s="442">
        <v>170000</v>
      </c>
      <c r="AW86" s="442">
        <v>165000</v>
      </c>
      <c r="AX86" s="442">
        <v>170000</v>
      </c>
      <c r="AY86" s="442">
        <v>180000</v>
      </c>
      <c r="AZ86" s="442">
        <v>190000</v>
      </c>
      <c r="BA86" s="442">
        <v>190000</v>
      </c>
      <c r="BB86" s="442">
        <v>200000</v>
      </c>
      <c r="BC86" s="442">
        <v>200000</v>
      </c>
      <c r="BD86" s="442">
        <v>190000</v>
      </c>
      <c r="BE86" s="442">
        <v>200000</v>
      </c>
      <c r="BF86" s="445">
        <v>200000</v>
      </c>
      <c r="BG86" s="72"/>
      <c r="BH86" s="72"/>
    </row>
    <row r="87" spans="1:64" s="168" customFormat="1" ht="19.95" customHeight="1">
      <c r="A87" s="173">
        <v>2631.9183781110264</v>
      </c>
      <c r="B87" s="555"/>
      <c r="C87" s="565" t="s">
        <v>606</v>
      </c>
      <c r="D87" s="565"/>
      <c r="E87" s="574">
        <f ca="1">LOOKUP(B4,'September TCM'!B10:B40,'September TCM'!OE10:OE40)</f>
        <v>13429.316718063665</v>
      </c>
      <c r="F87" s="570">
        <f ca="1">E87-B87</f>
        <v>13429.316718063665</v>
      </c>
      <c r="G87" s="577">
        <v>65000</v>
      </c>
      <c r="H87" s="578">
        <f ca="1">+(G87-E87)</f>
        <v>51570.683281936334</v>
      </c>
      <c r="I87" s="1209">
        <v>7198</v>
      </c>
      <c r="J87" s="1241">
        <v>1</v>
      </c>
      <c r="K87" s="1242">
        <v>1.91</v>
      </c>
      <c r="L87" s="1242">
        <v>6.56</v>
      </c>
      <c r="M87" s="1242">
        <v>8.52</v>
      </c>
      <c r="N87" s="2503">
        <v>46247</v>
      </c>
      <c r="O87" s="173"/>
      <c r="P87" s="173"/>
      <c r="Q87" s="166"/>
      <c r="R87" s="166"/>
      <c r="S87" s="166"/>
      <c r="T87" s="166"/>
      <c r="U87" s="166"/>
      <c r="V87" s="166"/>
      <c r="W87" s="166"/>
      <c r="X87" s="166"/>
      <c r="Y87" s="166"/>
      <c r="Z87" s="166"/>
      <c r="AA87" s="166"/>
      <c r="AB87" s="166"/>
      <c r="AC87" s="166"/>
      <c r="AD87" s="166"/>
      <c r="AE87" s="166"/>
      <c r="AF87" s="166"/>
      <c r="AG87" s="173"/>
      <c r="AM87" s="84"/>
      <c r="AN87" s="85"/>
      <c r="AO87" s="85" t="s">
        <v>12</v>
      </c>
      <c r="AP87" s="446">
        <f ca="1">(SUMIFS(AU87:BF87,$AU$4:$BF$4,"&gt;="&amp;MONTH(TODAY()-1)))+(SUMIFS(AU88:BF88,$AU$4:$BF$4,"&lt;"&amp;MONTH(TODAY()-1)))</f>
        <v>1200000</v>
      </c>
      <c r="AQ87" s="447">
        <f ca="1">(SUMIFS(AU87:AW87,$AU$4:$AW$4,"&gt;="&amp;MONTH(TODAY()-1)))+(SUMIFS(AU88:AW88,$AU$4:$AW$4,"&lt;"&amp;MONTH(TODAY()-1)))</f>
        <v>164358.67079999999</v>
      </c>
      <c r="AR87" s="448">
        <f ca="1">(SUMIFS(AX87:AZ87,$AX$4:$AZ$4,"&gt;="&amp;MONTH(TODAY()-1)))+(SUMIFS(AX88:AZ88,$AX$4:$AZ$4,"&lt;"&amp;MONTH(TODAY()-1)))</f>
        <v>232303.90299999999</v>
      </c>
      <c r="AS87" s="448">
        <f ca="1">(SUMIFS(BA87:BC87,$BA$4:$BC$4,"&gt;="&amp;MONTH(TODAY()-1)))+(SUMIFS(BA88:BC88,$BA$4:$BC$4,"&lt;"&amp;MONTH(TODAY()-1)))</f>
        <v>319169.01399999997</v>
      </c>
      <c r="AT87" s="449">
        <f ca="1">(SUMIFS(BD87:BF87,$BD$4:$BF$4,"&gt;="&amp;MONTH(TODAY()-1)))+(SUMIFS(BD88:BF88,$BD$4:$BF$4,"&lt;"&amp;MONTH(TODAY()-1)))</f>
        <v>484168.4121999999</v>
      </c>
      <c r="AU87" s="450">
        <v>30000</v>
      </c>
      <c r="AV87" s="448">
        <v>90000</v>
      </c>
      <c r="AW87" s="448">
        <v>65000</v>
      </c>
      <c r="AX87" s="448">
        <v>70000</v>
      </c>
      <c r="AY87" s="448">
        <v>70000</v>
      </c>
      <c r="AZ87" s="448">
        <v>85000</v>
      </c>
      <c r="BA87" s="448">
        <v>85000</v>
      </c>
      <c r="BB87" s="448">
        <v>128000</v>
      </c>
      <c r="BC87" s="448">
        <v>140000</v>
      </c>
      <c r="BD87" s="448">
        <v>165000</v>
      </c>
      <c r="BE87" s="448">
        <v>170000</v>
      </c>
      <c r="BF87" s="451">
        <v>149168.41219999993</v>
      </c>
      <c r="BG87" s="72"/>
      <c r="BH87" s="346"/>
    </row>
    <row r="88" spans="1:64" s="168" customFormat="1" ht="19.95" customHeight="1">
      <c r="A88" s="173"/>
      <c r="B88" s="1258" t="s">
        <v>607</v>
      </c>
      <c r="C88" s="565"/>
      <c r="D88" s="565"/>
      <c r="E88" s="862">
        <f ca="1">SUM(E89:E91)</f>
        <v>67631.898514423272</v>
      </c>
      <c r="F88" s="566">
        <f ca="1">SUM(F89:F91)</f>
        <v>61131.083360760182</v>
      </c>
      <c r="G88" s="582">
        <f>SUM(G89:G91)</f>
        <v>240000</v>
      </c>
      <c r="H88" s="566">
        <f ca="1">SUM(H89:H91)</f>
        <v>172368.10148557671</v>
      </c>
      <c r="I88" s="567"/>
      <c r="J88" s="568"/>
      <c r="K88" s="568"/>
      <c r="L88" s="568"/>
      <c r="M88" s="568"/>
      <c r="N88" s="2504"/>
      <c r="O88" s="173"/>
      <c r="P88" s="173"/>
      <c r="Q88" s="166"/>
      <c r="R88" s="166"/>
      <c r="S88" s="166"/>
      <c r="T88" s="166"/>
      <c r="U88" s="166"/>
      <c r="V88" s="166"/>
      <c r="W88" s="166"/>
      <c r="X88" s="166"/>
      <c r="Y88" s="166"/>
      <c r="Z88" s="166"/>
      <c r="AA88" s="166"/>
      <c r="AB88" s="166"/>
      <c r="AC88" s="166"/>
      <c r="AD88" s="166"/>
      <c r="AE88" s="166"/>
      <c r="AF88" s="166"/>
      <c r="AG88" s="173"/>
      <c r="AM88" s="84"/>
      <c r="AN88" s="85"/>
      <c r="AO88" s="85" t="s">
        <v>13</v>
      </c>
      <c r="AP88" s="435">
        <f>SUM(AQ88:AT88)</f>
        <v>591948.57380000001</v>
      </c>
      <c r="AQ88" s="436">
        <f>SUM(AU88:AW88)</f>
        <v>164358.67079999999</v>
      </c>
      <c r="AR88" s="437">
        <f>SUM(AX88:AZ88)</f>
        <v>232303.90299999999</v>
      </c>
      <c r="AS88" s="437">
        <f>SUM(BA88:BC88)</f>
        <v>195286</v>
      </c>
      <c r="AT88" s="438">
        <f>SUM(BD88:BF88)</f>
        <v>0</v>
      </c>
      <c r="AU88" s="439">
        <f>'January TCM'!$LG$42</f>
        <v>44779.666999999994</v>
      </c>
      <c r="AV88" s="439">
        <f>'February TCM'!$LG$42</f>
        <v>89434.195999999996</v>
      </c>
      <c r="AW88" s="439">
        <f>'March TCM'!$LG$42</f>
        <v>30144.807799999999</v>
      </c>
      <c r="AX88" s="437">
        <f>'April TCM'!$LG$42</f>
        <v>55189.969999999994</v>
      </c>
      <c r="AY88" s="437">
        <f>'May TCM'!$LH$42</f>
        <v>128630.86650000002</v>
      </c>
      <c r="AZ88" s="437">
        <f>'June TCM'!$LH$42</f>
        <v>48483.066500000001</v>
      </c>
      <c r="BA88" s="439">
        <f>'July TCM'!$LH$42</f>
        <v>101371.105</v>
      </c>
      <c r="BB88" s="439">
        <f>'August TCM'!$LI$42</f>
        <v>77797.909</v>
      </c>
      <c r="BC88" s="439">
        <f>'September TCM'!$LI$42</f>
        <v>16116.986000000001</v>
      </c>
      <c r="BD88" s="439"/>
      <c r="BE88" s="439"/>
      <c r="BF88" s="439"/>
    </row>
    <row r="89" spans="1:64" s="168" customFormat="1" ht="18.600000000000001" thickBot="1">
      <c r="A89" s="173">
        <v>5515.2140372365157</v>
      </c>
      <c r="B89" s="583"/>
      <c r="C89" s="1243" t="s">
        <v>50</v>
      </c>
      <c r="D89" s="1243"/>
      <c r="E89" s="966">
        <f ca="1">INDEX('September TCM'!OH10:OH40, MATCH(B4, 'September TCM'!B10:B40, 0)) +
 INDEX('September TCM'!OL10:OL40, MATCH(B4, 'September TCM'!B10:B40, 0)) +
 INDEX('September TCM'!OP10:OP40, MATCH(B4, 'September TCM'!B10:B40, 0))</f>
        <v>54054.217649249818</v>
      </c>
      <c r="F89" s="570">
        <f ca="1">E89-A89</f>
        <v>48539.003612013301</v>
      </c>
      <c r="G89" s="570">
        <v>120000</v>
      </c>
      <c r="H89" s="584">
        <f ca="1">+(G89-E89)</f>
        <v>65945.782350750174</v>
      </c>
      <c r="I89" s="1256">
        <v>6737</v>
      </c>
      <c r="J89" s="1257">
        <v>0.35</v>
      </c>
      <c r="K89" s="1257">
        <v>4.88</v>
      </c>
      <c r="L89" s="1257">
        <v>7.96</v>
      </c>
      <c r="M89" s="2010">
        <v>12.359511999999999</v>
      </c>
      <c r="N89" s="969">
        <v>46270</v>
      </c>
      <c r="O89" s="173"/>
      <c r="P89" s="173"/>
      <c r="Q89" s="166"/>
      <c r="R89" s="166"/>
      <c r="S89" s="166"/>
      <c r="T89" s="166"/>
      <c r="U89" s="166"/>
      <c r="V89" s="166"/>
      <c r="W89" s="166"/>
      <c r="X89" s="166"/>
      <c r="Y89" s="166"/>
      <c r="Z89" s="166"/>
      <c r="AA89" s="166"/>
      <c r="AB89" s="166"/>
      <c r="AC89" s="166"/>
      <c r="AD89" s="166"/>
      <c r="AE89" s="166"/>
      <c r="AF89" s="166"/>
      <c r="AG89" s="173"/>
      <c r="AM89" s="87"/>
      <c r="AN89" s="88"/>
      <c r="AO89" s="88" t="s">
        <v>582</v>
      </c>
      <c r="AP89" s="1617">
        <f t="shared" ref="AP89:BF89" si="52">IFERROR(AP88/AP86,"")</f>
        <v>0.26724540577878103</v>
      </c>
      <c r="AQ89" s="1661">
        <f t="shared" si="52"/>
        <v>0.3320377187878788</v>
      </c>
      <c r="AR89" s="196">
        <f t="shared" si="52"/>
        <v>0.43019241296296296</v>
      </c>
      <c r="AS89" s="196">
        <f t="shared" si="52"/>
        <v>0.33099322033898304</v>
      </c>
      <c r="AT89" s="197">
        <f t="shared" si="52"/>
        <v>0</v>
      </c>
      <c r="AU89" s="1618">
        <f t="shared" si="52"/>
        <v>0.27987291874999998</v>
      </c>
      <c r="AV89" s="1619">
        <f t="shared" si="52"/>
        <v>0.52608350588235286</v>
      </c>
      <c r="AW89" s="2237">
        <f t="shared" si="52"/>
        <v>0.18269580484848483</v>
      </c>
      <c r="AX89" s="2237">
        <f t="shared" si="52"/>
        <v>0.32464688235294115</v>
      </c>
      <c r="AY89" s="2237">
        <f t="shared" si="52"/>
        <v>0.71461592500000015</v>
      </c>
      <c r="AZ89" s="2237">
        <f t="shared" si="52"/>
        <v>0.25517403421052631</v>
      </c>
      <c r="BA89" s="2237">
        <f t="shared" si="52"/>
        <v>0.5335321315789473</v>
      </c>
      <c r="BB89" s="2237">
        <f t="shared" si="52"/>
        <v>0.38898954499999999</v>
      </c>
      <c r="BC89" s="2237">
        <f t="shared" si="52"/>
        <v>8.0584929999999999E-2</v>
      </c>
      <c r="BD89" s="196">
        <f t="shared" si="52"/>
        <v>0</v>
      </c>
      <c r="BE89" s="196">
        <f t="shared" si="52"/>
        <v>0</v>
      </c>
      <c r="BF89" s="198">
        <f t="shared" si="52"/>
        <v>0</v>
      </c>
      <c r="BG89" s="72"/>
    </row>
    <row r="90" spans="1:64" ht="18">
      <c r="A90" s="173">
        <v>985.60111642657421</v>
      </c>
      <c r="B90" s="583"/>
      <c r="C90" s="1244" t="s">
        <v>53</v>
      </c>
      <c r="D90" s="1244"/>
      <c r="E90" s="966">
        <f ca="1">LOOKUP(B4,'September TCM'!B10:B40,'September TCM'!OR10:OR40)</f>
        <v>13577.680865173457</v>
      </c>
      <c r="F90" s="570">
        <f ca="1">E90-A90</f>
        <v>12592.079748746883</v>
      </c>
      <c r="G90" s="570">
        <v>120000</v>
      </c>
      <c r="H90" s="584">
        <f ca="1">+(G90-E90)</f>
        <v>106422.31913482654</v>
      </c>
      <c r="I90" s="1256">
        <v>6876</v>
      </c>
      <c r="J90" s="1257">
        <v>1.35</v>
      </c>
      <c r="K90" s="2010">
        <v>6.45</v>
      </c>
      <c r="L90" s="1257">
        <v>5.29</v>
      </c>
      <c r="M90" s="2010">
        <v>10.24</v>
      </c>
      <c r="N90" s="969">
        <v>46256</v>
      </c>
      <c r="O90" s="145"/>
      <c r="P90" s="145"/>
      <c r="AG90" s="145"/>
      <c r="AM90" s="84"/>
      <c r="AN90" s="85" t="str">
        <f>C66</f>
        <v>TCM.LCV.MS.HA</v>
      </c>
      <c r="AO90" s="85" t="s">
        <v>11</v>
      </c>
      <c r="AP90" s="187">
        <f>SUM(AQ90:AT90)</f>
        <v>0</v>
      </c>
      <c r="AQ90" s="188">
        <f>SUM(AU90:AW90)</f>
        <v>0</v>
      </c>
      <c r="AR90" s="189">
        <f>SUM(AX90:AZ90)</f>
        <v>0</v>
      </c>
      <c r="AS90" s="189">
        <f>SUM(BA90:BC90)</f>
        <v>0</v>
      </c>
      <c r="AT90" s="190">
        <f>SUM(BD90:BF90)</f>
        <v>0</v>
      </c>
      <c r="AU90" s="188"/>
      <c r="AV90" s="189"/>
      <c r="AW90" s="189"/>
      <c r="AX90" s="189"/>
      <c r="AY90" s="189"/>
      <c r="AZ90" s="189"/>
      <c r="BA90" s="189"/>
      <c r="BB90" s="189"/>
      <c r="BC90" s="189"/>
      <c r="BD90" s="189"/>
      <c r="BE90" s="189"/>
      <c r="BF90" s="192"/>
      <c r="BG90" s="72"/>
      <c r="BH90" s="72"/>
      <c r="BK90"/>
      <c r="BL90" s="94"/>
    </row>
    <row r="91" spans="1:64" ht="18.600000000000001" thickBot="1">
      <c r="A91" s="173"/>
      <c r="B91" s="583"/>
      <c r="C91" s="565"/>
      <c r="D91" s="565"/>
      <c r="E91" s="877">
        <f ca="1">LOOKUP(B4,'September TCM'!B10:B40,'September TCM'!OS10:OS40)</f>
        <v>0</v>
      </c>
      <c r="F91" s="570">
        <f ca="1">IF(E91-A119&lt;0,0,E91-A119)</f>
        <v>0</v>
      </c>
      <c r="G91" s="576"/>
      <c r="H91" s="587"/>
      <c r="I91" s="588"/>
      <c r="J91" s="589"/>
      <c r="K91" s="589"/>
      <c r="L91" s="589"/>
      <c r="M91" s="589"/>
      <c r="N91" s="590"/>
      <c r="O91" s="145"/>
      <c r="P91" s="145"/>
      <c r="AG91" s="145"/>
      <c r="AM91" s="84"/>
      <c r="AN91" s="85"/>
      <c r="AO91" s="85" t="s">
        <v>12</v>
      </c>
      <c r="AP91" s="193">
        <f ca="1">(SUMIFS(AU91:BF91,$AU$4:$BF$4,"&gt;="&amp;MONTH(TODAY()-1)))+(SUMIFS(AU92:BF92,$AU$4:$BF$4,"&lt;"&amp;MONTH(TODAY()-1)))</f>
        <v>0</v>
      </c>
      <c r="AQ91" s="99">
        <f ca="1">(SUMIFS(AU91:AW91,$AU$4:$AW$4,"&gt;="&amp;MONTH(TODAY()-1)))+(SUMIFS(AU92:AW92,$AU$4:$AW$4,"&lt;"&amp;MONTH(TODAY()-1)))</f>
        <v>0</v>
      </c>
      <c r="AR91" s="90">
        <f ca="1">(SUMIFS(AX91:AZ91,$AX$4:$AZ$4,"&gt;="&amp;MONTH(TODAY()-1)))+(SUMIFS(AX92:AZ92,$AX$4:$AZ$4,"&lt;"&amp;MONTH(TODAY()-1)))</f>
        <v>0</v>
      </c>
      <c r="AS91" s="90">
        <f ca="1">(SUMIFS(BA91:BC91,$BA$4:$BC$4,"&gt;="&amp;MONTH(TODAY()-1)))+(SUMIFS(BA92:BC92,$BA$4:$BC$4,"&lt;"&amp;MONTH(TODAY()-1)))</f>
        <v>0</v>
      </c>
      <c r="AT91" s="103">
        <f ca="1">(SUMIFS(BD91:BF91,$BD$4:$BF$4,"&gt;="&amp;MONTH(TODAY()-1)))+(SUMIFS(BD92:BF92,$BD$4:$BF$4,"&lt;"&amp;MONTH(TODAY()-1)))</f>
        <v>0</v>
      </c>
      <c r="AU91" s="101"/>
      <c r="AV91" s="90"/>
      <c r="AW91" s="90"/>
      <c r="AX91" s="90"/>
      <c r="AY91" s="90"/>
      <c r="AZ91" s="90"/>
      <c r="BA91" s="90"/>
      <c r="BB91" s="90"/>
      <c r="BC91" s="90"/>
      <c r="BD91" s="90"/>
      <c r="BE91" s="90"/>
      <c r="BF91" s="194"/>
      <c r="BG91" s="72"/>
      <c r="BH91" s="72"/>
    </row>
    <row r="92" spans="1:64" ht="18" hidden="1" customHeight="1">
      <c r="A92" s="145"/>
      <c r="B92" s="1255" t="s">
        <v>608</v>
      </c>
      <c r="C92" s="591"/>
      <c r="D92" s="591"/>
      <c r="E92" s="971">
        <f>SUM(E93:E98)</f>
        <v>0</v>
      </c>
      <c r="F92" s="592">
        <f>E92</f>
        <v>0</v>
      </c>
      <c r="G92" s="593">
        <v>100000</v>
      </c>
      <c r="H92" s="1398">
        <f>+(G92-E92)</f>
        <v>100000</v>
      </c>
      <c r="I92" s="594"/>
      <c r="J92" s="594"/>
      <c r="K92" s="595"/>
      <c r="L92" s="595"/>
      <c r="M92" s="595"/>
      <c r="N92" s="596"/>
      <c r="O92" s="145"/>
      <c r="P92" s="145"/>
      <c r="AG92" s="145"/>
      <c r="AM92" s="84"/>
      <c r="AN92" s="85"/>
      <c r="AO92" s="85" t="s">
        <v>13</v>
      </c>
      <c r="AP92" s="193">
        <f>SUM(AQ92:AT92)</f>
        <v>0</v>
      </c>
      <c r="AQ92" s="99">
        <f>SUM(AU92:AW92)</f>
        <v>0</v>
      </c>
      <c r="AR92" s="90">
        <f>SUM(AX92:AZ92)</f>
        <v>0</v>
      </c>
      <c r="AS92" s="90">
        <f>SUM(BA92:BC92)</f>
        <v>0</v>
      </c>
      <c r="AT92" s="103">
        <f>SUM(BD92:BF92)</f>
        <v>0</v>
      </c>
      <c r="AU92" s="90">
        <f>'January TCM'!$LH$42</f>
        <v>0</v>
      </c>
      <c r="AV92" s="90"/>
      <c r="AW92" s="90"/>
      <c r="AX92" s="90"/>
      <c r="AY92" s="90"/>
      <c r="AZ92" s="90"/>
      <c r="BA92" s="90"/>
      <c r="BB92" s="90"/>
      <c r="BC92" s="90"/>
      <c r="BD92" s="90"/>
      <c r="BE92" s="90"/>
      <c r="BF92" s="90"/>
      <c r="BG92" s="345"/>
      <c r="BH92" s="72"/>
    </row>
    <row r="93" spans="1:64" s="168" customFormat="1" ht="16.95" hidden="1" customHeight="1" thickBot="1">
      <c r="A93" s="173"/>
      <c r="B93" s="597"/>
      <c r="C93" s="591" t="s">
        <v>146</v>
      </c>
      <c r="D93" s="591"/>
      <c r="E93" s="864"/>
      <c r="F93" s="598"/>
      <c r="G93" s="584"/>
      <c r="H93" s="599">
        <f t="shared" ref="H93:H98" si="53">+(G93-E93)</f>
        <v>0</v>
      </c>
      <c r="I93" s="584"/>
      <c r="J93" s="584"/>
      <c r="K93" s="585"/>
      <c r="L93" s="585"/>
      <c r="M93" s="585"/>
      <c r="N93" s="586"/>
      <c r="O93" s="167"/>
      <c r="P93" s="167"/>
      <c r="Q93" s="429"/>
      <c r="R93" s="430"/>
      <c r="S93" s="430"/>
      <c r="T93" s="430"/>
      <c r="U93" s="430"/>
      <c r="V93" s="430"/>
      <c r="W93" s="430"/>
      <c r="X93" s="430"/>
      <c r="Y93" s="430"/>
      <c r="Z93" s="430"/>
      <c r="AA93" s="430"/>
      <c r="AB93" s="430"/>
      <c r="AC93" s="430"/>
      <c r="AD93" s="430"/>
      <c r="AE93" s="430"/>
      <c r="AF93" s="430"/>
      <c r="AG93" s="167"/>
      <c r="AH93" s="167"/>
      <c r="AI93" s="167"/>
      <c r="AJ93" s="167"/>
      <c r="AK93" s="167"/>
      <c r="AL93" s="167"/>
      <c r="AM93" s="169"/>
      <c r="AN93" s="170"/>
      <c r="AO93" s="170" t="s">
        <v>582</v>
      </c>
      <c r="AP93" s="212" t="str">
        <f t="shared" ref="AP93:BF93" si="54">IFERROR(AP92/AP90,"")</f>
        <v/>
      </c>
      <c r="AQ93" s="213" t="str">
        <f t="shared" si="54"/>
        <v/>
      </c>
      <c r="AR93" s="214" t="str">
        <f t="shared" si="54"/>
        <v/>
      </c>
      <c r="AS93" s="214" t="str">
        <f t="shared" si="54"/>
        <v/>
      </c>
      <c r="AT93" s="215" t="str">
        <f t="shared" si="54"/>
        <v/>
      </c>
      <c r="AU93" s="216" t="str">
        <f t="shared" si="54"/>
        <v/>
      </c>
      <c r="AV93" s="214" t="str">
        <f t="shared" si="54"/>
        <v/>
      </c>
      <c r="AW93" s="214" t="str">
        <f t="shared" si="54"/>
        <v/>
      </c>
      <c r="AX93" s="214" t="str">
        <f t="shared" si="54"/>
        <v/>
      </c>
      <c r="AY93" s="214" t="str">
        <f t="shared" si="54"/>
        <v/>
      </c>
      <c r="AZ93" s="214" t="str">
        <f t="shared" si="54"/>
        <v/>
      </c>
      <c r="BA93" s="214" t="str">
        <f t="shared" si="54"/>
        <v/>
      </c>
      <c r="BB93" s="214" t="str">
        <f t="shared" si="54"/>
        <v/>
      </c>
      <c r="BC93" s="214" t="str">
        <f t="shared" si="54"/>
        <v/>
      </c>
      <c r="BD93" s="214" t="str">
        <f t="shared" si="54"/>
        <v/>
      </c>
      <c r="BE93" s="214" t="str">
        <f t="shared" si="54"/>
        <v/>
      </c>
      <c r="BF93" s="217" t="str">
        <f t="shared" si="54"/>
        <v/>
      </c>
      <c r="BG93" s="346"/>
      <c r="BH93" s="346"/>
    </row>
    <row r="94" spans="1:64" s="143" customFormat="1" ht="18" hidden="1" customHeight="1">
      <c r="B94" s="597"/>
      <c r="C94" s="591" t="s">
        <v>147</v>
      </c>
      <c r="D94" s="591"/>
      <c r="E94" s="864"/>
      <c r="F94" s="598"/>
      <c r="G94" s="584"/>
      <c r="H94" s="600">
        <f t="shared" si="53"/>
        <v>0</v>
      </c>
      <c r="I94" s="584"/>
      <c r="J94" s="584"/>
      <c r="K94" s="585"/>
      <c r="L94" s="585"/>
      <c r="M94" s="585"/>
      <c r="N94" s="586"/>
      <c r="O94" s="145"/>
      <c r="P94" s="145"/>
      <c r="Q94" s="98"/>
      <c r="R94" s="98"/>
      <c r="S94" s="98"/>
      <c r="T94" s="98"/>
      <c r="U94" s="98"/>
      <c r="V94" s="98"/>
      <c r="W94" s="98"/>
      <c r="X94" s="98"/>
      <c r="Y94" s="98"/>
      <c r="Z94" s="98"/>
      <c r="AA94" s="98"/>
      <c r="AB94" s="98"/>
      <c r="AC94" s="98"/>
      <c r="AD94" s="98"/>
      <c r="AE94" s="98"/>
      <c r="AF94" s="98"/>
      <c r="AG94" s="145"/>
      <c r="AH94"/>
      <c r="AI94"/>
      <c r="AJ94"/>
      <c r="AK94"/>
      <c r="AL94"/>
      <c r="AM94" s="84"/>
      <c r="AN94" s="85" t="s">
        <v>593</v>
      </c>
      <c r="AO94" s="85" t="s">
        <v>11</v>
      </c>
      <c r="AP94" s="187">
        <f>SUM(AQ94:AT94)</f>
        <v>0</v>
      </c>
      <c r="AQ94" s="188">
        <f>SUM(AU94:AW94)</f>
        <v>0</v>
      </c>
      <c r="AR94" s="189">
        <f>SUM(AX94:AZ94)</f>
        <v>0</v>
      </c>
      <c r="AS94" s="189">
        <f>SUM(BA94:BC94)</f>
        <v>0</v>
      </c>
      <c r="AT94" s="190">
        <f>SUM(BD94:BF94)</f>
        <v>0</v>
      </c>
      <c r="AU94" s="188"/>
      <c r="AV94" s="189"/>
      <c r="AW94" s="189"/>
      <c r="AX94" s="189"/>
      <c r="AY94" s="189"/>
      <c r="AZ94" s="189"/>
      <c r="BA94" s="189"/>
      <c r="BB94" s="189"/>
      <c r="BC94" s="189"/>
      <c r="BD94" s="189"/>
      <c r="BE94" s="189"/>
      <c r="BF94" s="192"/>
      <c r="BH94" s="1263"/>
      <c r="BK94" s="146"/>
    </row>
    <row r="95" spans="1:64" ht="18" hidden="1" customHeight="1">
      <c r="A95" s="145"/>
      <c r="B95" s="597"/>
      <c r="C95" s="591" t="s">
        <v>148</v>
      </c>
      <c r="D95" s="591"/>
      <c r="E95" s="864"/>
      <c r="F95" s="598"/>
      <c r="G95" s="584"/>
      <c r="H95" s="600">
        <f t="shared" si="53"/>
        <v>0</v>
      </c>
      <c r="I95" s="584"/>
      <c r="J95" s="584"/>
      <c r="K95" s="585"/>
      <c r="L95" s="585"/>
      <c r="M95" s="585"/>
      <c r="N95" s="586"/>
      <c r="O95" s="145"/>
      <c r="P95" s="145"/>
      <c r="Q95" s="432"/>
      <c r="R95" s="145"/>
      <c r="S95" s="145"/>
      <c r="T95" s="145"/>
      <c r="U95" s="145"/>
      <c r="V95" s="145"/>
      <c r="W95" s="145"/>
      <c r="X95" s="145"/>
      <c r="Y95" s="145"/>
      <c r="Z95" s="145"/>
      <c r="AA95" s="145"/>
      <c r="AB95" s="145"/>
      <c r="AC95" s="145"/>
      <c r="AD95" s="145"/>
      <c r="AE95" s="145"/>
      <c r="AF95" s="145"/>
      <c r="AG95" s="145"/>
      <c r="AH95" s="145"/>
      <c r="AI95" s="145"/>
      <c r="AJ95" s="145"/>
      <c r="AM95" s="84"/>
      <c r="AN95" s="85"/>
      <c r="AO95" s="85" t="s">
        <v>12</v>
      </c>
      <c r="AP95" s="193">
        <f ca="1">(SUMIFS(AU95:BF95,$AU$4:$BF$4,"&gt;="&amp;MONTH(TODAY()-1)))+(SUMIFS(AU96:BF96,$AU$4:$BF$4,"&lt;"&amp;MONTH(TODAY()-1)))</f>
        <v>0</v>
      </c>
      <c r="AQ95" s="99">
        <f ca="1">(SUMIFS(AU95:AW95,$AU$4:$AW$4,"&gt;="&amp;MONTH(TODAY()-1)))+(SUMIFS(AU96:AW96,$AU$4:$AW$4,"&lt;"&amp;MONTH(TODAY()-1)))</f>
        <v>0</v>
      </c>
      <c r="AR95" s="90">
        <f ca="1">(SUMIFS(AX95:AZ95,$AX$4:$AZ$4,"&gt;="&amp;MONTH(TODAY()-1)))+(SUMIFS(AX96:AZ96,$AX$4:$AZ$4,"&lt;"&amp;MONTH(TODAY()-1)))</f>
        <v>0</v>
      </c>
      <c r="AS95" s="90">
        <f ca="1">(SUMIFS(BA95:BC95,$BA$4:$BC$4,"&gt;="&amp;MONTH(TODAY()-1)))+(SUMIFS(BA96:BC96,$BA$4:$BC$4,"&lt;"&amp;MONTH(TODAY()-1)))</f>
        <v>0</v>
      </c>
      <c r="AT95" s="103">
        <f ca="1">(SUMIFS(BD95:BF95,$BD$4:$BF$4,"&gt;="&amp;MONTH(TODAY()-1)))+(SUMIFS(BD96:BF96,$BD$4:$BF$4,"&lt;"&amp;MONTH(TODAY()-1)))</f>
        <v>0</v>
      </c>
      <c r="AU95" s="101"/>
      <c r="AV95" s="90"/>
      <c r="AW95" s="90"/>
      <c r="AX95" s="90"/>
      <c r="AY95" s="90"/>
      <c r="AZ95" s="90"/>
      <c r="BA95" s="90">
        <v>0</v>
      </c>
      <c r="BB95" s="90">
        <v>0</v>
      </c>
      <c r="BC95" s="90">
        <v>0</v>
      </c>
      <c r="BD95" s="90">
        <v>0</v>
      </c>
      <c r="BE95" s="90"/>
      <c r="BF95" s="194"/>
      <c r="BG95" s="887"/>
      <c r="BH95" s="887"/>
    </row>
    <row r="96" spans="1:64" ht="19.2" hidden="1" customHeight="1">
      <c r="B96" s="597"/>
      <c r="C96" s="591" t="s">
        <v>149</v>
      </c>
      <c r="D96" s="591"/>
      <c r="E96" s="864"/>
      <c r="F96" s="598"/>
      <c r="G96" s="584"/>
      <c r="H96" s="600">
        <f t="shared" si="53"/>
        <v>0</v>
      </c>
      <c r="I96" s="584"/>
      <c r="J96" s="584"/>
      <c r="K96" s="585"/>
      <c r="L96" s="585"/>
      <c r="M96" s="585"/>
      <c r="N96" s="586"/>
      <c r="O96" s="145"/>
      <c r="P96" s="145"/>
      <c r="Q96" s="145"/>
      <c r="R96" s="145"/>
      <c r="S96" s="145"/>
      <c r="T96" s="145"/>
      <c r="U96" s="145"/>
      <c r="V96" s="145"/>
      <c r="W96" s="145"/>
      <c r="X96" s="145"/>
      <c r="Y96" s="145"/>
      <c r="Z96" s="145"/>
      <c r="AA96" s="145"/>
      <c r="AB96" s="145"/>
      <c r="AC96" s="145"/>
      <c r="AD96" s="145"/>
      <c r="AE96" s="145"/>
      <c r="AF96" s="145"/>
      <c r="AG96" s="145"/>
      <c r="AH96" s="145"/>
      <c r="AI96" s="145"/>
      <c r="AJ96" s="145"/>
      <c r="AM96" s="84"/>
      <c r="AN96" s="85"/>
      <c r="AO96" s="85" t="s">
        <v>13</v>
      </c>
      <c r="AP96" s="193">
        <f>SUM(AQ96:AT96)</f>
        <v>0</v>
      </c>
      <c r="AQ96" s="99">
        <f>SUM(AU96:AW96)</f>
        <v>0</v>
      </c>
      <c r="AR96" s="90">
        <f>SUM(AX96:AZ96)</f>
        <v>0</v>
      </c>
      <c r="AS96" s="90">
        <f>SUM(BA96:BC96)</f>
        <v>0</v>
      </c>
      <c r="AT96" s="103">
        <f>SUM(BD96:BF96)</f>
        <v>0</v>
      </c>
      <c r="AU96" s="90"/>
      <c r="AV96" s="90"/>
      <c r="AW96" s="90"/>
      <c r="AX96" s="90"/>
      <c r="AY96" s="90"/>
      <c r="AZ96" s="90"/>
      <c r="BA96" s="90"/>
      <c r="BB96" s="90"/>
      <c r="BC96" s="90"/>
      <c r="BD96" s="90"/>
      <c r="BE96" s="90"/>
      <c r="BF96" s="90"/>
    </row>
    <row r="97" spans="1:62" ht="19.2" hidden="1" customHeight="1" thickBot="1">
      <c r="A97" s="98">
        <v>1266.4118998978445</v>
      </c>
      <c r="B97" s="597"/>
      <c r="C97" s="591" t="s">
        <v>69</v>
      </c>
      <c r="D97" s="591"/>
      <c r="E97" s="864"/>
      <c r="F97" s="598">
        <f>+E97</f>
        <v>0</v>
      </c>
      <c r="G97" s="584"/>
      <c r="H97" s="600">
        <f>+(G97-E97)</f>
        <v>0</v>
      </c>
      <c r="I97" s="584"/>
      <c r="J97" s="584"/>
      <c r="K97" s="585"/>
      <c r="L97" s="585"/>
      <c r="M97" s="585"/>
      <c r="N97" s="586"/>
      <c r="O97" s="145"/>
      <c r="P97" s="145"/>
      <c r="Q97" s="145"/>
      <c r="R97" s="145"/>
      <c r="S97" s="145"/>
      <c r="T97" s="145"/>
      <c r="U97" s="145"/>
      <c r="V97" s="145"/>
      <c r="W97" s="145"/>
      <c r="X97" s="145"/>
      <c r="Y97" s="145"/>
      <c r="Z97" s="145"/>
      <c r="AA97" s="145"/>
      <c r="AB97" s="145"/>
      <c r="AC97" s="145"/>
      <c r="AD97" s="145"/>
      <c r="AE97" s="145"/>
      <c r="AF97" s="145"/>
      <c r="AG97" s="145"/>
      <c r="AH97" s="480"/>
      <c r="AI97" s="145"/>
      <c r="AJ97" s="145"/>
      <c r="AM97" s="169"/>
      <c r="AN97" s="170"/>
      <c r="AO97" s="170" t="s">
        <v>582</v>
      </c>
      <c r="AP97" s="212" t="str">
        <f t="shared" ref="AP97:BF97" si="55">IFERROR(AP96/AP94,"")</f>
        <v/>
      </c>
      <c r="AQ97" s="213" t="str">
        <f t="shared" si="55"/>
        <v/>
      </c>
      <c r="AR97" s="214" t="str">
        <f t="shared" si="55"/>
        <v/>
      </c>
      <c r="AS97" s="214" t="str">
        <f t="shared" si="55"/>
        <v/>
      </c>
      <c r="AT97" s="215" t="str">
        <f t="shared" si="55"/>
        <v/>
      </c>
      <c r="AU97" s="216" t="str">
        <f t="shared" si="55"/>
        <v/>
      </c>
      <c r="AV97" s="214" t="str">
        <f t="shared" si="55"/>
        <v/>
      </c>
      <c r="AW97" s="214" t="str">
        <f t="shared" si="55"/>
        <v/>
      </c>
      <c r="AX97" s="214" t="str">
        <f t="shared" si="55"/>
        <v/>
      </c>
      <c r="AY97" s="214" t="str">
        <f t="shared" si="55"/>
        <v/>
      </c>
      <c r="AZ97" s="214" t="str">
        <f t="shared" si="55"/>
        <v/>
      </c>
      <c r="BA97" s="214" t="str">
        <f t="shared" si="55"/>
        <v/>
      </c>
      <c r="BB97" s="214" t="str">
        <f t="shared" si="55"/>
        <v/>
      </c>
      <c r="BC97" s="214" t="str">
        <f t="shared" si="55"/>
        <v/>
      </c>
      <c r="BD97" s="214" t="str">
        <f t="shared" si="55"/>
        <v/>
      </c>
      <c r="BE97" s="214" t="str">
        <f t="shared" si="55"/>
        <v/>
      </c>
      <c r="BF97" s="217" t="str">
        <f t="shared" si="55"/>
        <v/>
      </c>
    </row>
    <row r="98" spans="1:62" ht="18.600000000000001" hidden="1" customHeight="1" thickBot="1">
      <c r="A98" s="879"/>
      <c r="B98" s="597"/>
      <c r="C98" s="591" t="s">
        <v>71</v>
      </c>
      <c r="D98" s="591"/>
      <c r="E98" s="863"/>
      <c r="F98" s="601"/>
      <c r="G98" s="588"/>
      <c r="H98" s="602">
        <f t="shared" si="53"/>
        <v>0</v>
      </c>
      <c r="I98" s="588"/>
      <c r="J98" s="588"/>
      <c r="K98" s="589"/>
      <c r="L98" s="589"/>
      <c r="M98" s="589"/>
      <c r="N98" s="590"/>
      <c r="O98" s="145"/>
      <c r="P98" s="145"/>
      <c r="Q98" s="145"/>
      <c r="R98" s="432"/>
      <c r="S98" s="145"/>
      <c r="T98" s="145"/>
      <c r="U98" s="145"/>
      <c r="V98" s="145"/>
      <c r="W98" s="145"/>
      <c r="X98" s="145"/>
      <c r="Y98" s="145"/>
      <c r="Z98" s="145"/>
      <c r="AA98" s="145"/>
      <c r="AB98" s="145"/>
      <c r="AC98" s="145"/>
      <c r="AD98" s="145"/>
      <c r="AE98" s="145"/>
      <c r="AF98" s="145"/>
      <c r="AG98" s="145"/>
      <c r="AH98" s="145"/>
      <c r="AI98" s="145"/>
      <c r="AJ98" s="145"/>
      <c r="AM98" s="166"/>
      <c r="AN98" s="166"/>
      <c r="AO98" s="166"/>
      <c r="AP98" s="173"/>
      <c r="AQ98" s="173" t="str">
        <f ca="1">IFERROR(AQ96/AQ95,"")</f>
        <v/>
      </c>
      <c r="AR98" s="173" t="str">
        <f ca="1">IFERROR(AR96/AR95,"")</f>
        <v/>
      </c>
      <c r="AS98" s="173" t="str">
        <f ca="1">IFERROR(AS96/AS95,"")</f>
        <v/>
      </c>
      <c r="AT98" s="173" t="str">
        <f ca="1">IFERROR(AT96/AT95,"")</f>
        <v/>
      </c>
      <c r="AU98" s="173"/>
      <c r="AV98" s="173"/>
      <c r="AW98" s="173"/>
      <c r="AX98" s="173"/>
      <c r="AY98" s="173"/>
      <c r="AZ98" s="173"/>
      <c r="BA98" s="173"/>
      <c r="BB98" s="173"/>
      <c r="BC98" s="173"/>
      <c r="BD98" s="173"/>
      <c r="BE98" s="173"/>
      <c r="BF98" s="173"/>
      <c r="BG98" s="887"/>
    </row>
    <row r="99" spans="1:62" ht="18.600000000000001" thickBot="1">
      <c r="A99" s="98">
        <v>1396.3621538065834</v>
      </c>
      <c r="B99" s="603" t="s">
        <v>181</v>
      </c>
      <c r="C99" s="604"/>
      <c r="D99" s="604"/>
      <c r="E99" s="599">
        <f ca="1">SUM(E100:E102)</f>
        <v>377341.84766611259</v>
      </c>
      <c r="F99" s="605">
        <f ca="1">SUM(F100:F102)</f>
        <v>377341.84766611259</v>
      </c>
      <c r="G99" s="605">
        <f>SUM(G100:G102)</f>
        <v>360000</v>
      </c>
      <c r="H99" s="606">
        <f ca="1">+(G99-E99)</f>
        <v>-17341.84766611259</v>
      </c>
      <c r="I99" s="607"/>
      <c r="J99" s="607"/>
      <c r="K99" s="608"/>
      <c r="L99" s="608"/>
      <c r="M99" s="608"/>
      <c r="N99" s="609"/>
      <c r="O99" s="145"/>
      <c r="P99" s="459"/>
      <c r="Q99" s="145"/>
      <c r="R99"/>
      <c r="S99"/>
      <c r="T99"/>
      <c r="U99"/>
      <c r="V99"/>
      <c r="W99"/>
      <c r="X99"/>
      <c r="Y99"/>
      <c r="Z99"/>
      <c r="AA99"/>
      <c r="AB99"/>
      <c r="AC99"/>
      <c r="AD99"/>
      <c r="AE99"/>
      <c r="AF99"/>
      <c r="AG99" s="145"/>
      <c r="AH99" s="145"/>
      <c r="AI99" s="145"/>
      <c r="AJ99" s="145"/>
      <c r="AM99" s="293" t="s">
        <v>609</v>
      </c>
      <c r="AN99" s="294" t="s">
        <v>3</v>
      </c>
      <c r="AO99" s="283" t="s">
        <v>11</v>
      </c>
      <c r="AP99" s="218">
        <f>SUM(AQ99:AT99)</f>
        <v>8500000</v>
      </c>
      <c r="AQ99" s="219">
        <f>SUM(AU99:AW99)</f>
        <v>2120000</v>
      </c>
      <c r="AR99" s="220">
        <f>SUM(AX99:AZ99)</f>
        <v>2140000</v>
      </c>
      <c r="AS99" s="220">
        <f>SUM(BA99:BC99)</f>
        <v>2160000</v>
      </c>
      <c r="AT99" s="221">
        <f>SUM(BD99:BF99)</f>
        <v>2080000</v>
      </c>
      <c r="AU99" s="222">
        <f t="shared" ref="AU99:BF99" si="56">AU103</f>
        <v>700000</v>
      </c>
      <c r="AV99" s="222">
        <f t="shared" si="56"/>
        <v>720000</v>
      </c>
      <c r="AW99" s="222">
        <f t="shared" si="56"/>
        <v>700000</v>
      </c>
      <c r="AX99" s="222">
        <f t="shared" si="56"/>
        <v>700000</v>
      </c>
      <c r="AY99" s="222">
        <f t="shared" si="56"/>
        <v>720000</v>
      </c>
      <c r="AZ99" s="222">
        <f t="shared" si="56"/>
        <v>720000</v>
      </c>
      <c r="BA99" s="222">
        <f t="shared" si="56"/>
        <v>720000</v>
      </c>
      <c r="BB99" s="222">
        <f t="shared" si="56"/>
        <v>720000</v>
      </c>
      <c r="BC99" s="222">
        <f t="shared" si="56"/>
        <v>720000</v>
      </c>
      <c r="BD99" s="222">
        <f t="shared" si="56"/>
        <v>720000</v>
      </c>
      <c r="BE99" s="222">
        <f t="shared" si="56"/>
        <v>680000</v>
      </c>
      <c r="BF99" s="222">
        <f t="shared" si="56"/>
        <v>680000</v>
      </c>
      <c r="BG99" s="887">
        <f>SUM(AU99:BB99)</f>
        <v>5700000</v>
      </c>
      <c r="BH99" s="887">
        <v>1000000</v>
      </c>
      <c r="BI99" s="887">
        <f>BG99+BH99</f>
        <v>6700000</v>
      </c>
    </row>
    <row r="100" spans="1:62" ht="17.399999999999999" customHeight="1" thickBot="1">
      <c r="B100" s="603"/>
      <c r="C100" s="604" t="str">
        <f>C64</f>
        <v>TCM.HCV.LS</v>
      </c>
      <c r="D100" s="604"/>
      <c r="E100" s="570">
        <f ca="1">LOOKUP(B4,'September TCM'!B10:B40,'September TCM'!ND10:ND40)</f>
        <v>207724.34280113198</v>
      </c>
      <c r="F100" s="570">
        <f ca="1">+E100</f>
        <v>207724.34280113198</v>
      </c>
      <c r="G100" s="570">
        <v>120000</v>
      </c>
      <c r="H100" s="570">
        <f ca="1">+(G100-E100)</f>
        <v>-87724.342801131977</v>
      </c>
      <c r="I100" s="570"/>
      <c r="J100" s="571"/>
      <c r="K100" s="571"/>
      <c r="L100" s="571"/>
      <c r="M100" s="571"/>
      <c r="N100" s="572"/>
      <c r="O100" s="145"/>
      <c r="P100" s="145"/>
      <c r="Q100" s="145"/>
      <c r="R100" s="95"/>
      <c r="S100"/>
      <c r="T100"/>
      <c r="U100"/>
      <c r="V100"/>
      <c r="W100"/>
      <c r="X100"/>
      <c r="Y100"/>
      <c r="Z100"/>
      <c r="AA100"/>
      <c r="AB100"/>
      <c r="AC100"/>
      <c r="AD100"/>
      <c r="AE100"/>
      <c r="AF100"/>
      <c r="AG100" s="145"/>
      <c r="AH100" s="145"/>
      <c r="AI100" s="145"/>
      <c r="AJ100" s="145"/>
      <c r="AM100" s="284"/>
      <c r="AN100" s="285"/>
      <c r="AO100" s="286" t="s">
        <v>12</v>
      </c>
      <c r="AP100" s="224">
        <f ca="1">(SUMIFS(AU100:BF100,$AU$4:$BF$4,"&gt;="&amp;MONTH(TODAY()-1)))+(SUMIFS(AU101:BF101,$AU$4:$BF$4,"&lt;"&amp;MONTH(TODAY()-1)))</f>
        <v>9320259.0444999989</v>
      </c>
      <c r="AQ100" s="201">
        <f ca="1">(SUMIFS(AU100:AW100,$AU$4:$AW$4,"&gt;="&amp;MONTH(TODAY()-1)))+(SUMIFS(AU101:AW101,$AU$4:$AW$4,"&lt;"&amp;MONTH(TODAY()-1)))</f>
        <v>2097308.8800999997</v>
      </c>
      <c r="AR100" s="202">
        <f ca="1">(SUMIFS(AX100:AZ100,$AX$4:$AZ$4,"&gt;="&amp;MONTH(TODAY()-1)))+(SUMIFS(AX101:AZ101,$AX$4:$AZ$4,"&lt;"&amp;MONTH(TODAY()-1)))</f>
        <v>1947624.1949000002</v>
      </c>
      <c r="AS100" s="202">
        <f ca="1">(SUMIFS(BA100:BC100,$BA$4:$BC$4,"&gt;="&amp;MONTH(TODAY()-1)))+(SUMIFS(BA101:BC101,$BA$4:$BC$4,"&lt;"&amp;MONTH(TODAY()-1)))</f>
        <v>1886550.1366999999</v>
      </c>
      <c r="AT100" s="203">
        <f ca="1">(SUMIFS(BD100:BF100,$BD$4:$BF$4,"&gt;="&amp;MONTH(TODAY()-1)))+(SUMIFS(BD101:BF101,$BD$4:$BF$4,"&lt;"&amp;MONTH(TODAY()-1)))</f>
        <v>3388775.8328</v>
      </c>
      <c r="AU100" s="222">
        <f>AU104</f>
        <v>850000</v>
      </c>
      <c r="AV100" s="222">
        <f t="shared" ref="AV100:BF100" si="57">AV104</f>
        <v>700000</v>
      </c>
      <c r="AW100" s="222">
        <f t="shared" si="57"/>
        <v>850000</v>
      </c>
      <c r="AX100" s="222">
        <f t="shared" si="57"/>
        <v>900000</v>
      </c>
      <c r="AY100" s="222">
        <f t="shared" si="57"/>
        <v>850000</v>
      </c>
      <c r="AZ100" s="222">
        <f t="shared" si="57"/>
        <v>840000</v>
      </c>
      <c r="BA100" s="222">
        <f t="shared" si="57"/>
        <v>800000</v>
      </c>
      <c r="BB100" s="222">
        <f t="shared" si="57"/>
        <v>780000</v>
      </c>
      <c r="BC100" s="222">
        <f t="shared" si="57"/>
        <v>500000</v>
      </c>
      <c r="BD100" s="222">
        <f t="shared" si="57"/>
        <v>1120000</v>
      </c>
      <c r="BE100" s="222">
        <f t="shared" si="57"/>
        <v>1130000</v>
      </c>
      <c r="BF100" s="222">
        <f t="shared" si="57"/>
        <v>1138775.8328000002</v>
      </c>
      <c r="BH100" s="887"/>
      <c r="BJ100" s="1"/>
    </row>
    <row r="101" spans="1:62" ht="18">
      <c r="A101" s="98">
        <v>483.49437590392239</v>
      </c>
      <c r="B101" s="603"/>
      <c r="C101" s="610" t="str">
        <f>C65</f>
        <v>TCM.HCV.HS</v>
      </c>
      <c r="D101" s="610"/>
      <c r="E101" s="1261">
        <f ca="1">LOOKUP(B4,'September TCM'!B10:B40,'September TCM'!NE10:NE40)</f>
        <v>169617.50486498058</v>
      </c>
      <c r="F101" s="570">
        <f ca="1">E101</f>
        <v>169617.50486498058</v>
      </c>
      <c r="G101" s="570">
        <v>120000</v>
      </c>
      <c r="H101" s="570">
        <f ca="1">+(G101-E101)</f>
        <v>-49617.504864980583</v>
      </c>
      <c r="I101" s="570"/>
      <c r="J101" s="571"/>
      <c r="K101" s="571"/>
      <c r="L101" s="571"/>
      <c r="M101" s="571"/>
      <c r="N101" s="572"/>
      <c r="O101" s="145"/>
      <c r="P101" s="145"/>
      <c r="Q101" s="145"/>
      <c r="R101" s="145"/>
      <c r="S101" s="145"/>
      <c r="T101" s="145"/>
      <c r="U101" s="145"/>
      <c r="V101" s="145"/>
      <c r="W101" s="145"/>
      <c r="X101" s="145"/>
      <c r="Y101" s="145"/>
      <c r="Z101" s="145"/>
      <c r="AA101" s="145"/>
      <c r="AB101" s="145"/>
      <c r="AC101" s="145"/>
      <c r="AD101" s="145"/>
      <c r="AE101" s="145"/>
      <c r="AF101" s="145"/>
      <c r="AG101" s="145"/>
      <c r="AH101" s="145"/>
      <c r="AI101" s="145"/>
      <c r="AJ101" s="145"/>
      <c r="AM101" s="284"/>
      <c r="AN101" s="285"/>
      <c r="AO101" s="286" t="s">
        <v>13</v>
      </c>
      <c r="AP101" s="224">
        <f>SUM(AQ101:AT101)</f>
        <v>5589174.2116999999</v>
      </c>
      <c r="AQ101" s="201">
        <f>SUM(AU101:AW101)</f>
        <v>2097308.8800999997</v>
      </c>
      <c r="AR101" s="202">
        <f>SUM(AX101:AZ101)</f>
        <v>1947624.1949000002</v>
      </c>
      <c r="AS101" s="202">
        <f>SUM(BA101:BC101)</f>
        <v>1544241.1366999999</v>
      </c>
      <c r="AT101" s="203">
        <f>SUM(BD101:BF101)</f>
        <v>0</v>
      </c>
      <c r="AU101" s="222">
        <f>AU105</f>
        <v>746845.30090000003</v>
      </c>
      <c r="AV101" s="222">
        <f t="shared" ref="AV101:BF101" si="58">AV105</f>
        <v>597446.76609999989</v>
      </c>
      <c r="AW101" s="222">
        <f t="shared" si="58"/>
        <v>753016.81310000003</v>
      </c>
      <c r="AX101" s="222">
        <f t="shared" si="58"/>
        <v>800790.41610000015</v>
      </c>
      <c r="AY101" s="222">
        <f t="shared" si="58"/>
        <v>574498.39269999997</v>
      </c>
      <c r="AZ101" s="222">
        <f t="shared" si="58"/>
        <v>572335.3861</v>
      </c>
      <c r="BA101" s="222">
        <f t="shared" si="58"/>
        <v>577453.13669999992</v>
      </c>
      <c r="BB101" s="222">
        <f t="shared" si="58"/>
        <v>809097</v>
      </c>
      <c r="BC101" s="222">
        <f t="shared" si="58"/>
        <v>157691</v>
      </c>
      <c r="BD101" s="222">
        <f t="shared" si="58"/>
        <v>0</v>
      </c>
      <c r="BE101" s="222">
        <f t="shared" si="58"/>
        <v>0</v>
      </c>
      <c r="BF101" s="222">
        <f t="shared" si="58"/>
        <v>0</v>
      </c>
      <c r="BG101">
        <f>SUM(AU101:BB101)</f>
        <v>5431483.2116999989</v>
      </c>
      <c r="BH101">
        <v>259551.57339999999</v>
      </c>
      <c r="BI101">
        <f>BG101+BH101</f>
        <v>5691034.785099999</v>
      </c>
    </row>
    <row r="102" spans="1:62" ht="18.600000000000001" thickBot="1">
      <c r="B102" s="611"/>
      <c r="C102" s="612" t="str">
        <f>C66</f>
        <v>TCM.LCV.MS.HA</v>
      </c>
      <c r="D102" s="591"/>
      <c r="E102" s="878">
        <f ca="1">LOOKUP(B4,'September TCM'!B10:B40,'September TCM'!NF10:NF40)</f>
        <v>0</v>
      </c>
      <c r="F102" s="587">
        <f ca="1">E102</f>
        <v>0</v>
      </c>
      <c r="G102" s="587">
        <v>120000</v>
      </c>
      <c r="H102" s="587">
        <f ca="1">+(G102-E102)</f>
        <v>120000</v>
      </c>
      <c r="I102" s="613"/>
      <c r="J102" s="613"/>
      <c r="K102" s="613"/>
      <c r="L102" s="613"/>
      <c r="M102" s="613"/>
      <c r="N102" s="614"/>
      <c r="O102" s="145"/>
      <c r="P102" s="459"/>
      <c r="Q102" s="145"/>
      <c r="R102" s="145"/>
      <c r="S102" s="145"/>
      <c r="T102" s="145"/>
      <c r="U102" s="145"/>
      <c r="V102" s="145"/>
      <c r="W102" s="145"/>
      <c r="X102" s="145"/>
      <c r="Y102" s="145"/>
      <c r="Z102" s="145"/>
      <c r="AA102" s="145"/>
      <c r="AB102" s="145"/>
      <c r="AC102" s="145"/>
      <c r="AD102" s="145"/>
      <c r="AE102" s="145"/>
      <c r="AF102" s="145"/>
      <c r="AG102" s="145"/>
      <c r="AH102" s="145"/>
      <c r="AI102" s="145"/>
      <c r="AJ102" s="145"/>
      <c r="AM102" s="287"/>
      <c r="AN102" s="288"/>
      <c r="AO102" s="289" t="s">
        <v>582</v>
      </c>
      <c r="AP102" s="1670">
        <f t="shared" ref="AP102:BF102" si="59">IFERROR(AP101/AP99,"")</f>
        <v>0.65754990725882356</v>
      </c>
      <c r="AQ102" s="1671">
        <f t="shared" si="59"/>
        <v>0.98929664155660368</v>
      </c>
      <c r="AR102" s="290">
        <f t="shared" si="59"/>
        <v>0.91010476397196272</v>
      </c>
      <c r="AS102" s="290">
        <f t="shared" si="59"/>
        <v>0.71492645217592588</v>
      </c>
      <c r="AT102" s="291">
        <f t="shared" si="59"/>
        <v>0</v>
      </c>
      <c r="AU102" s="1624">
        <f t="shared" si="59"/>
        <v>1.0669218584285716</v>
      </c>
      <c r="AV102" s="415">
        <f t="shared" si="59"/>
        <v>0.82978717513888878</v>
      </c>
      <c r="AW102" s="415">
        <f t="shared" si="59"/>
        <v>1.0757383044285715</v>
      </c>
      <c r="AX102" s="2236">
        <f t="shared" si="59"/>
        <v>1.1439863087142859</v>
      </c>
      <c r="AY102" s="2236">
        <f t="shared" si="59"/>
        <v>0.79791443430555553</v>
      </c>
      <c r="AZ102" s="2236">
        <f t="shared" si="59"/>
        <v>0.79491025847222219</v>
      </c>
      <c r="BA102" s="2236">
        <f t="shared" si="59"/>
        <v>0.80201824541666655</v>
      </c>
      <c r="BB102" s="2236">
        <f t="shared" si="59"/>
        <v>1.1237458333333334</v>
      </c>
      <c r="BC102" s="2236">
        <f t="shared" si="59"/>
        <v>0.21901527777777777</v>
      </c>
      <c r="BD102" s="290">
        <f t="shared" si="59"/>
        <v>0</v>
      </c>
      <c r="BE102" s="290">
        <f t="shared" si="59"/>
        <v>0</v>
      </c>
      <c r="BF102" s="292">
        <f t="shared" si="59"/>
        <v>0</v>
      </c>
      <c r="BH102" s="179"/>
    </row>
    <row r="103" spans="1:62" ht="18">
      <c r="A103" s="98">
        <v>763.68447566366967</v>
      </c>
      <c r="B103" s="615"/>
      <c r="C103" s="615"/>
      <c r="D103" s="615"/>
      <c r="E103" s="855"/>
      <c r="F103" s="616"/>
      <c r="G103" s="616"/>
      <c r="H103" s="616"/>
      <c r="I103" s="617"/>
      <c r="J103" s="618"/>
      <c r="K103" s="619"/>
      <c r="L103" s="619"/>
      <c r="M103" s="619"/>
      <c r="N103" s="972"/>
      <c r="O103" s="145"/>
      <c r="P103" s="145"/>
      <c r="Q103" s="145"/>
      <c r="R103" s="145"/>
      <c r="S103" s="145"/>
      <c r="T103" s="145"/>
      <c r="U103" s="145"/>
      <c r="V103" s="145"/>
      <c r="W103" s="145"/>
      <c r="X103" s="145"/>
      <c r="Y103" s="145"/>
      <c r="Z103" s="145"/>
      <c r="AA103" s="145"/>
      <c r="AB103" s="145"/>
      <c r="AC103" s="145"/>
      <c r="AD103" s="145"/>
      <c r="AE103" s="145"/>
      <c r="AF103" s="145"/>
      <c r="AG103" s="145"/>
      <c r="AH103" s="145"/>
      <c r="AI103" s="145"/>
      <c r="AJ103" s="145"/>
      <c r="AM103" s="293" t="s">
        <v>18</v>
      </c>
      <c r="AN103" s="294"/>
      <c r="AO103" s="283" t="s">
        <v>11</v>
      </c>
      <c r="AP103" s="218">
        <f>SUM(AQ103:AT103)</f>
        <v>8500000</v>
      </c>
      <c r="AQ103" s="219">
        <f>SUM(AU103:AW103)</f>
        <v>2120000</v>
      </c>
      <c r="AR103" s="220">
        <f>SUM(AX103:AZ103)</f>
        <v>2140000</v>
      </c>
      <c r="AS103" s="220">
        <f>SUM(BA103:BC103)</f>
        <v>2160000</v>
      </c>
      <c r="AT103" s="221">
        <f>SUM(BD103:BF103)</f>
        <v>2080000</v>
      </c>
      <c r="AU103" s="222">
        <v>700000</v>
      </c>
      <c r="AV103" s="220">
        <v>720000</v>
      </c>
      <c r="AW103" s="220">
        <v>700000</v>
      </c>
      <c r="AX103" s="220">
        <v>700000</v>
      </c>
      <c r="AY103" s="220">
        <v>720000</v>
      </c>
      <c r="AZ103" s="220">
        <v>720000</v>
      </c>
      <c r="BA103" s="220">
        <v>720000</v>
      </c>
      <c r="BB103" s="220">
        <v>720000</v>
      </c>
      <c r="BC103" s="220">
        <v>720000</v>
      </c>
      <c r="BD103" s="220">
        <v>720000</v>
      </c>
      <c r="BE103" s="220">
        <v>680000</v>
      </c>
      <c r="BF103" s="223">
        <v>680000</v>
      </c>
      <c r="BG103" s="38"/>
    </row>
    <row r="104" spans="1:62" ht="18">
      <c r="B104" s="2947" t="s">
        <v>90</v>
      </c>
      <c r="C104" s="1224" t="s">
        <v>610</v>
      </c>
      <c r="D104" s="1224"/>
      <c r="E104" s="2165">
        <f ca="1">LOOKUP(B4,'September TCM'!B10:B40,'September TCM'!PO10:PO40)</f>
        <v>38895.633435124721</v>
      </c>
      <c r="F104" s="616"/>
      <c r="G104" s="616"/>
      <c r="H104" s="616"/>
      <c r="I104" s="617"/>
      <c r="J104" s="618"/>
      <c r="K104" s="619"/>
      <c r="L104" s="619"/>
      <c r="M104" s="619"/>
      <c r="N104" s="972"/>
      <c r="O104" s="145"/>
      <c r="P104" s="459"/>
      <c r="Q104" s="145"/>
      <c r="R104" s="145"/>
      <c r="S104" s="145"/>
      <c r="T104" s="145"/>
      <c r="U104" s="145"/>
      <c r="V104" s="145"/>
      <c r="W104" s="145"/>
      <c r="X104" s="145"/>
      <c r="Y104" s="145"/>
      <c r="Z104" s="145"/>
      <c r="AA104" s="145"/>
      <c r="AB104" s="145"/>
      <c r="AC104" s="145"/>
      <c r="AD104" s="145"/>
      <c r="AE104" s="145"/>
      <c r="AF104" s="145"/>
      <c r="AG104" s="145"/>
      <c r="AH104" s="145"/>
      <c r="AI104" s="145"/>
      <c r="AJ104" s="145"/>
      <c r="AM104" s="284"/>
      <c r="AN104" s="285"/>
      <c r="AO104" s="286" t="s">
        <v>12</v>
      </c>
      <c r="AP104" s="224">
        <f ca="1">(SUMIFS(AU104:BF104,$AU$4:$BF$4,"&gt;="&amp;MONTH(TODAY()-1)))+(SUMIFS(AU105:BF105,$AU$4:$BF$4,"&lt;"&amp;MONTH(TODAY()-1)))</f>
        <v>9320259.0444999989</v>
      </c>
      <c r="AQ104" s="201">
        <f ca="1">(SUMIFS(AU104:AW104,$AU$4:$AW$4,"&gt;="&amp;MONTH(TODAY()-1)))+(SUMIFS(AU105:AW105,$AU$4:$AW$4,"&lt;"&amp;MONTH(TODAY()-1)))</f>
        <v>2097308.8800999997</v>
      </c>
      <c r="AR104" s="202">
        <f ca="1">(SUMIFS(AX104:AZ104,$AX$4:$AZ$4,"&gt;="&amp;MONTH(TODAY()-1)))+(SUMIFS(AX105:AZ105,$AX$4:$AZ$4,"&lt;"&amp;MONTH(TODAY()-1)))</f>
        <v>1947624.1949000002</v>
      </c>
      <c r="AS104" s="202">
        <f ca="1">(SUMIFS(BA104:BC104,$BA$4:$BC$4,"&gt;="&amp;MONTH(TODAY()-1)))+(SUMIFS(BA105:BC105,$BA$4:$BC$4,"&lt;"&amp;MONTH(TODAY()-1)))</f>
        <v>1886550.1366999999</v>
      </c>
      <c r="AT104" s="203">
        <f ca="1">(SUMIFS(BD104:BF104,$BD$4:$BF$4,"&gt;="&amp;MONTH(TODAY()-1)))+(SUMIFS(BD105:BF105,$BD$4:$BF$4,"&lt;"&amp;MONTH(TODAY()-1)))</f>
        <v>3388775.8328</v>
      </c>
      <c r="AU104" s="204">
        <v>850000</v>
      </c>
      <c r="AV104" s="202">
        <v>700000</v>
      </c>
      <c r="AW104" s="202">
        <v>850000</v>
      </c>
      <c r="AX104" s="202">
        <v>900000</v>
      </c>
      <c r="AY104" s="202">
        <v>850000</v>
      </c>
      <c r="AZ104" s="202">
        <v>840000</v>
      </c>
      <c r="BA104" s="202">
        <v>800000</v>
      </c>
      <c r="BB104" s="202">
        <v>780000</v>
      </c>
      <c r="BC104" s="202">
        <v>500000</v>
      </c>
      <c r="BD104" s="202">
        <v>1120000</v>
      </c>
      <c r="BE104" s="202">
        <v>1130000</v>
      </c>
      <c r="BF104" s="225">
        <v>1138775.8328000002</v>
      </c>
      <c r="BG104" s="38"/>
      <c r="BH104" s="887"/>
    </row>
    <row r="105" spans="1:62" ht="18">
      <c r="A105" s="98">
        <v>3737.7344440593015</v>
      </c>
      <c r="B105" s="2948"/>
      <c r="C105" s="1224" t="s">
        <v>254</v>
      </c>
      <c r="D105" s="1224"/>
      <c r="E105" s="2165">
        <f ca="1">LOOKUP(B4,'September TCM'!B10:B40,'September TCM'!PP10:PP40)</f>
        <v>27294.683787707359</v>
      </c>
      <c r="F105" s="616"/>
      <c r="G105" s="616"/>
      <c r="H105" s="616"/>
      <c r="I105" s="617"/>
      <c r="J105" s="618"/>
      <c r="K105" s="619"/>
      <c r="L105" s="619"/>
      <c r="M105" s="619"/>
      <c r="N105" s="972"/>
      <c r="O105" s="145"/>
      <c r="P105" s="489"/>
      <c r="Q105" s="145"/>
      <c r="R105" s="145"/>
      <c r="S105" s="145"/>
      <c r="T105" s="145"/>
      <c r="U105" s="145"/>
      <c r="V105" s="145"/>
      <c r="W105" s="145"/>
      <c r="X105" s="145"/>
      <c r="Y105" s="145"/>
      <c r="Z105" s="145"/>
      <c r="AA105" s="145"/>
      <c r="AB105" s="145"/>
      <c r="AC105" s="145"/>
      <c r="AD105" s="145"/>
      <c r="AE105" s="145"/>
      <c r="AF105" s="145"/>
      <c r="AG105" s="145"/>
      <c r="AH105" s="145"/>
      <c r="AI105" s="145"/>
      <c r="AJ105" s="145"/>
      <c r="AM105" s="284"/>
      <c r="AN105" s="285"/>
      <c r="AO105" s="286" t="s">
        <v>13</v>
      </c>
      <c r="AP105" s="224">
        <f>SUM(AQ105:AT105)</f>
        <v>5589174.2116999999</v>
      </c>
      <c r="AQ105" s="201">
        <f>SUM(AU105:AW105)</f>
        <v>2097308.8800999997</v>
      </c>
      <c r="AR105" s="202">
        <f>SUM(AX105:AZ105)</f>
        <v>1947624.1949000002</v>
      </c>
      <c r="AS105" s="202">
        <f>SUM(BA105:BC105)</f>
        <v>1544241.1366999999</v>
      </c>
      <c r="AT105" s="203">
        <f>SUM(BD105:BF105)</f>
        <v>0</v>
      </c>
      <c r="AU105" s="202">
        <f>'January TCM'!$W$42</f>
        <v>746845.30090000003</v>
      </c>
      <c r="AV105" s="202">
        <f>'February TCM'!$W$42</f>
        <v>597446.76609999989</v>
      </c>
      <c r="AW105" s="202">
        <f>'March TCM'!$W$42</f>
        <v>753016.81310000003</v>
      </c>
      <c r="AX105" s="202">
        <f>'April TCM'!$W$42</f>
        <v>800790.41610000015</v>
      </c>
      <c r="AY105" s="202">
        <f>'May TCM'!$W$42</f>
        <v>574498.39269999997</v>
      </c>
      <c r="AZ105" s="202">
        <f>'June TCM'!$W$42</f>
        <v>572335.3861</v>
      </c>
      <c r="BA105" s="202">
        <f>'July TCM'!$W$42</f>
        <v>577453.13669999992</v>
      </c>
      <c r="BB105" s="202">
        <f>'August TCM'!$W$42</f>
        <v>809097</v>
      </c>
      <c r="BC105" s="202">
        <f>'September TCM'!$W$42</f>
        <v>157691</v>
      </c>
      <c r="BD105" s="202"/>
      <c r="BE105" s="202"/>
      <c r="BF105" s="202"/>
      <c r="BG105" s="1"/>
      <c r="BH105" s="887"/>
    </row>
    <row r="106" spans="1:62" ht="18.600000000000001" thickBot="1">
      <c r="B106" s="620"/>
      <c r="C106" s="620"/>
      <c r="D106" s="620"/>
      <c r="E106" s="506"/>
      <c r="F106" s="506"/>
      <c r="G106" s="506"/>
      <c r="H106" s="506"/>
      <c r="I106" s="506"/>
      <c r="J106" s="506"/>
      <c r="K106" s="506"/>
      <c r="L106" s="506"/>
      <c r="M106" s="506"/>
      <c r="N106" s="506"/>
      <c r="O106" s="145"/>
      <c r="P106" s="145"/>
      <c r="Q106" s="145"/>
      <c r="R106" s="145"/>
      <c r="S106" s="145"/>
      <c r="T106" s="145"/>
      <c r="U106" s="145"/>
      <c r="V106" s="145"/>
      <c r="W106" s="145"/>
      <c r="X106" s="145"/>
      <c r="Y106" s="145"/>
      <c r="Z106" s="145"/>
      <c r="AA106" s="145"/>
      <c r="AB106" s="145"/>
      <c r="AC106" s="145"/>
      <c r="AD106" s="145"/>
      <c r="AE106" s="145"/>
      <c r="AF106" s="145"/>
      <c r="AG106" s="145"/>
      <c r="AH106" s="145"/>
      <c r="AI106" s="145"/>
      <c r="AJ106" s="145"/>
      <c r="AM106" s="287"/>
      <c r="AN106" s="288"/>
      <c r="AO106" s="289" t="s">
        <v>582</v>
      </c>
      <c r="AP106" s="1670">
        <f t="shared" ref="AP106:BF106" si="60">IFERROR(AP105/AP103,"")</f>
        <v>0.65754990725882356</v>
      </c>
      <c r="AQ106" s="1671">
        <f t="shared" si="60"/>
        <v>0.98929664155660368</v>
      </c>
      <c r="AR106" s="290">
        <f t="shared" si="60"/>
        <v>0.91010476397196272</v>
      </c>
      <c r="AS106" s="290">
        <f t="shared" si="60"/>
        <v>0.71492645217592588</v>
      </c>
      <c r="AT106" s="291">
        <f t="shared" si="60"/>
        <v>0</v>
      </c>
      <c r="AU106" s="1624">
        <f t="shared" si="60"/>
        <v>1.0669218584285716</v>
      </c>
      <c r="AV106" s="415">
        <f t="shared" si="60"/>
        <v>0.82978717513888878</v>
      </c>
      <c r="AW106" s="415">
        <f t="shared" si="60"/>
        <v>1.0757383044285715</v>
      </c>
      <c r="AX106" s="2236">
        <f t="shared" si="60"/>
        <v>1.1439863087142859</v>
      </c>
      <c r="AY106" s="2236">
        <f t="shared" si="60"/>
        <v>0.79791443430555553</v>
      </c>
      <c r="AZ106" s="2236">
        <f t="shared" si="60"/>
        <v>0.79491025847222219</v>
      </c>
      <c r="BA106" s="2236">
        <f t="shared" si="60"/>
        <v>0.80201824541666655</v>
      </c>
      <c r="BB106" s="2236">
        <f t="shared" si="60"/>
        <v>1.1237458333333334</v>
      </c>
      <c r="BC106" s="2236">
        <f t="shared" si="60"/>
        <v>0.21901527777777777</v>
      </c>
      <c r="BD106" s="290">
        <f t="shared" si="60"/>
        <v>0</v>
      </c>
      <c r="BE106" s="290">
        <f t="shared" si="60"/>
        <v>0</v>
      </c>
      <c r="BF106" s="292">
        <f t="shared" si="60"/>
        <v>0</v>
      </c>
      <c r="BG106" s="72"/>
    </row>
    <row r="107" spans="1:62" ht="18">
      <c r="A107" s="98">
        <v>1096.2914637581068</v>
      </c>
      <c r="B107" s="555" t="s">
        <v>611</v>
      </c>
      <c r="C107" s="565"/>
      <c r="D107" s="565"/>
      <c r="E107" s="621" t="s">
        <v>146</v>
      </c>
      <c r="F107" s="622" t="s">
        <v>147</v>
      </c>
      <c r="G107" s="622" t="s">
        <v>148</v>
      </c>
      <c r="H107" s="622" t="s">
        <v>149</v>
      </c>
      <c r="I107" s="622" t="s">
        <v>69</v>
      </c>
      <c r="J107" s="622" t="s">
        <v>71</v>
      </c>
      <c r="K107" s="622"/>
      <c r="L107" s="622" t="s">
        <v>30</v>
      </c>
      <c r="M107" s="2928" t="s">
        <v>612</v>
      </c>
      <c r="N107" s="2929"/>
      <c r="O107" s="145"/>
      <c r="P107" s="98"/>
      <c r="AG107" s="98"/>
      <c r="AH107" s="98"/>
      <c r="AI107" s="98"/>
      <c r="AJ107" s="145"/>
      <c r="AM107" s="166"/>
      <c r="AN107" s="166"/>
      <c r="AO107" s="166"/>
      <c r="AP107" s="173"/>
      <c r="AQ107" s="173"/>
      <c r="AR107" s="173"/>
      <c r="AS107" s="173"/>
      <c r="AT107" s="173"/>
      <c r="AU107" s="173"/>
      <c r="AV107" s="173"/>
      <c r="AW107" s="173"/>
      <c r="AX107" s="173"/>
      <c r="AY107" s="173"/>
      <c r="AZ107" s="173"/>
      <c r="BA107" s="173"/>
      <c r="BB107" s="173"/>
      <c r="BC107" s="173"/>
      <c r="BD107" s="173"/>
      <c r="BE107" s="173"/>
      <c r="BF107" s="173"/>
      <c r="BG107" s="1"/>
    </row>
    <row r="108" spans="1:62" ht="16.95" customHeight="1" thickBot="1">
      <c r="B108" s="2930" t="str">
        <f>C100</f>
        <v>TCM.HCV.LS</v>
      </c>
      <c r="C108" s="565" t="s">
        <v>613</v>
      </c>
      <c r="D108" s="565"/>
      <c r="E108" s="623" t="str">
        <f>IF(IZ44&lt;&gt;0,IZ44,"")</f>
        <v/>
      </c>
      <c r="F108" s="624" t="str">
        <f>IF(JA44&lt;&gt;0,JA44,"")</f>
        <v/>
      </c>
      <c r="G108" s="624" t="str">
        <f>IF(JB44&lt;&gt;0,JB44,"")</f>
        <v/>
      </c>
      <c r="H108" s="624" t="str">
        <f>IF(JC44&lt;&gt;0,JC44,"")</f>
        <v/>
      </c>
      <c r="I108" s="624" t="str">
        <f>IF(JD44&lt;&gt;0,JD44,"")</f>
        <v/>
      </c>
      <c r="J108" s="624">
        <f>K108</f>
        <v>0</v>
      </c>
      <c r="K108" s="624"/>
      <c r="L108" s="623">
        <f>JG44</f>
        <v>0</v>
      </c>
      <c r="M108" s="2932">
        <f>+IZ46</f>
        <v>0</v>
      </c>
      <c r="N108" s="2933"/>
      <c r="O108" s="145"/>
      <c r="P108" s="98"/>
      <c r="Q108" s="108"/>
      <c r="AG108" s="98"/>
      <c r="AH108" s="98"/>
      <c r="AI108" s="98"/>
      <c r="AJ108" s="145"/>
      <c r="AM108" s="166"/>
      <c r="AN108" s="166"/>
      <c r="AO108" s="166"/>
      <c r="AP108" s="173"/>
      <c r="AQ108" s="173"/>
      <c r="AR108" s="173"/>
      <c r="AS108" s="173"/>
      <c r="AT108" s="173"/>
      <c r="AU108" s="173"/>
      <c r="AV108" s="173"/>
      <c r="AW108" s="173"/>
      <c r="AX108" s="173"/>
      <c r="AY108" s="173"/>
      <c r="AZ108" s="173"/>
      <c r="BA108" s="173"/>
      <c r="BB108" s="173"/>
      <c r="BC108" s="173"/>
      <c r="BD108" s="173"/>
      <c r="BE108" s="173"/>
      <c r="BF108" s="173"/>
    </row>
    <row r="109" spans="1:62" ht="18.600000000000001" thickBot="1">
      <c r="B109" s="2931"/>
      <c r="C109" s="565" t="s">
        <v>13</v>
      </c>
      <c r="D109" s="565"/>
      <c r="E109" s="625" t="str">
        <f t="shared" ref="E109:J109" si="61">IF(IZ43&lt;&gt;0,IZ43,"")</f>
        <v/>
      </c>
      <c r="F109" s="626" t="str">
        <f t="shared" si="61"/>
        <v/>
      </c>
      <c r="G109" s="626" t="str">
        <f t="shared" si="61"/>
        <v/>
      </c>
      <c r="H109" s="626" t="str">
        <f t="shared" si="61"/>
        <v/>
      </c>
      <c r="I109" s="626" t="str">
        <f t="shared" si="61"/>
        <v/>
      </c>
      <c r="J109" s="624" t="str">
        <f t="shared" si="61"/>
        <v/>
      </c>
      <c r="K109" s="626"/>
      <c r="L109" s="626"/>
      <c r="M109" s="2934"/>
      <c r="N109" s="2935"/>
      <c r="O109" s="145"/>
      <c r="P109" s="98"/>
      <c r="AG109" s="98"/>
      <c r="AH109" s="98"/>
      <c r="AI109" s="98"/>
      <c r="AJ109" s="145"/>
      <c r="AM109" s="293" t="s">
        <v>609</v>
      </c>
      <c r="AN109" s="294" t="s">
        <v>614</v>
      </c>
      <c r="AO109" s="283" t="s">
        <v>11</v>
      </c>
      <c r="AP109" s="218">
        <f>SUM(AQ109:AT109)</f>
        <v>800000</v>
      </c>
      <c r="AQ109" s="219">
        <f>SUM(AU109:AW109)</f>
        <v>200000</v>
      </c>
      <c r="AR109" s="220">
        <f>SUM(AX109:AZ109)</f>
        <v>210000</v>
      </c>
      <c r="AS109" s="220">
        <f>SUM(BA109:BC109)</f>
        <v>210000</v>
      </c>
      <c r="AT109" s="221">
        <f>SUM(BD109:BF109)</f>
        <v>180000</v>
      </c>
      <c r="AU109" s="222">
        <f>AU113</f>
        <v>70000</v>
      </c>
      <c r="AV109" s="222">
        <f t="shared" ref="AV109:BF109" si="62">AV113</f>
        <v>65000</v>
      </c>
      <c r="AW109" s="222">
        <f t="shared" si="62"/>
        <v>65000</v>
      </c>
      <c r="AX109" s="222">
        <f t="shared" si="62"/>
        <v>70000</v>
      </c>
      <c r="AY109" s="222">
        <f t="shared" si="62"/>
        <v>70000</v>
      </c>
      <c r="AZ109" s="222">
        <f t="shared" si="62"/>
        <v>70000</v>
      </c>
      <c r="BA109" s="222">
        <f t="shared" si="62"/>
        <v>70000</v>
      </c>
      <c r="BB109" s="222">
        <f t="shared" si="62"/>
        <v>70000</v>
      </c>
      <c r="BC109" s="222">
        <f t="shared" si="62"/>
        <v>70000</v>
      </c>
      <c r="BD109" s="222">
        <f t="shared" si="62"/>
        <v>60000</v>
      </c>
      <c r="BE109" s="222">
        <f t="shared" si="62"/>
        <v>60000</v>
      </c>
      <c r="BF109" s="222">
        <f t="shared" si="62"/>
        <v>60000</v>
      </c>
      <c r="BG109" s="887">
        <f>SUM(AU109:BB109)</f>
        <v>550000</v>
      </c>
      <c r="BH109" s="887">
        <v>150000</v>
      </c>
      <c r="BI109" s="887">
        <f>BG109+BH109</f>
        <v>700000</v>
      </c>
      <c r="BJ109" s="1"/>
    </row>
    <row r="110" spans="1:62" ht="18" customHeight="1">
      <c r="A110" s="98">
        <v>4822.2438825238678</v>
      </c>
      <c r="B110" s="2930" t="str">
        <f>C101</f>
        <v>TCM.HCV.HS</v>
      </c>
      <c r="C110" s="565" t="s">
        <v>613</v>
      </c>
      <c r="D110" s="565"/>
      <c r="E110" s="623" t="str">
        <f t="shared" ref="E110:J110" si="63">IF(JH44&lt;&gt;0,JH44,"")</f>
        <v/>
      </c>
      <c r="F110" s="623" t="str">
        <f t="shared" si="63"/>
        <v/>
      </c>
      <c r="G110" s="623" t="str">
        <f t="shared" si="63"/>
        <v/>
      </c>
      <c r="H110" s="623" t="str">
        <f t="shared" si="63"/>
        <v/>
      </c>
      <c r="I110" s="623" t="str">
        <f t="shared" si="63"/>
        <v/>
      </c>
      <c r="J110" s="624" t="str">
        <f t="shared" si="63"/>
        <v/>
      </c>
      <c r="K110" s="623"/>
      <c r="L110" s="623" t="str">
        <f>IF(JN44+JO44&lt;&gt;0,JN44+JO44,"")</f>
        <v/>
      </c>
      <c r="M110" s="2936">
        <f>+JH46</f>
        <v>0</v>
      </c>
      <c r="N110" s="2937"/>
      <c r="O110" s="145"/>
      <c r="P110" s="98"/>
      <c r="AG110" s="98"/>
      <c r="AH110" s="98"/>
      <c r="AI110" s="98"/>
      <c r="AJ110" s="145"/>
      <c r="AM110" s="284"/>
      <c r="AN110" s="285"/>
      <c r="AO110" s="286" t="s">
        <v>12</v>
      </c>
      <c r="AP110" s="224">
        <f ca="1">(SUMIFS(AU110:BF110,$AU$4:$BF$4,"&gt;="&amp;MONTH(TODAY()-1)))+(SUMIFS(AU111:BF111,$AU$4:$BF$4,"&lt;"&amp;MONTH(TODAY()-1)))</f>
        <v>714793.46792144922</v>
      </c>
      <c r="AQ110" s="201">
        <f ca="1">(SUMIFS(AU110:AW110,$AU$4:$AW$4,"&gt;="&amp;MONTH(TODAY()-1)))+(SUMIFS(AU111:AW111,$AU$4:$AW$4,"&lt;"&amp;MONTH(TODAY()-1)))</f>
        <v>162075.93929844815</v>
      </c>
      <c r="AR110" s="202">
        <f ca="1">(SUMIFS(AX110:AZ110,$AX$4:$AZ$4,"&gt;="&amp;MONTH(TODAY()-1)))+(SUMIFS(AX111:AZ111,$AX$4:$AZ$4,"&lt;"&amp;MONTH(TODAY()-1)))</f>
        <v>123550.30274335462</v>
      </c>
      <c r="AS110" s="202">
        <f ca="1">(SUMIFS(BA110:BC110,$BA$4:$BC$4,"&gt;="&amp;MONTH(TODAY()-1)))+(SUMIFS(BA111:BC111,$BA$4:$BC$4,"&lt;"&amp;MONTH(TODAY()-1)))</f>
        <v>152047.65820000001</v>
      </c>
      <c r="AT110" s="203">
        <f ca="1">(SUMIFS(BD110:BF110,$BD$4:$BF$4,"&gt;="&amp;MONTH(TODAY()-1)))+(SUMIFS(BD111:BF111,$BD$4:$BF$4,"&lt;"&amp;MONTH(TODAY()-1)))</f>
        <v>277119.56767964642</v>
      </c>
      <c r="AU110" s="222">
        <f>AU114</f>
        <v>60000</v>
      </c>
      <c r="AV110" s="222">
        <f t="shared" ref="AV110:BF110" si="64">AV114</f>
        <v>60000</v>
      </c>
      <c r="AW110" s="222">
        <f t="shared" si="64"/>
        <v>70000</v>
      </c>
      <c r="AX110" s="222">
        <f t="shared" si="64"/>
        <v>65000</v>
      </c>
      <c r="AY110" s="222">
        <f t="shared" si="64"/>
        <v>65000</v>
      </c>
      <c r="AZ110" s="222">
        <f t="shared" si="64"/>
        <v>55000</v>
      </c>
      <c r="BA110" s="222">
        <f t="shared" si="64"/>
        <v>40000</v>
      </c>
      <c r="BB110" s="222">
        <f t="shared" si="64"/>
        <v>40000</v>
      </c>
      <c r="BC110" s="222">
        <f t="shared" si="64"/>
        <v>35000</v>
      </c>
      <c r="BD110" s="222">
        <f t="shared" si="64"/>
        <v>95000</v>
      </c>
      <c r="BE110" s="222">
        <f t="shared" si="64"/>
        <v>95000</v>
      </c>
      <c r="BF110" s="222">
        <f t="shared" si="64"/>
        <v>87119.56767964641</v>
      </c>
      <c r="BH110" s="887"/>
    </row>
    <row r="111" spans="1:62" ht="18" customHeight="1">
      <c r="B111" s="2931"/>
      <c r="C111" s="565" t="s">
        <v>13</v>
      </c>
      <c r="D111" s="565"/>
      <c r="E111" s="625" t="str">
        <f t="shared" ref="E111:J111" si="65">IF(JH43&lt;&gt;0,JH43,"")</f>
        <v/>
      </c>
      <c r="F111" s="625" t="str">
        <f t="shared" si="65"/>
        <v/>
      </c>
      <c r="G111" s="625" t="str">
        <f t="shared" si="65"/>
        <v/>
      </c>
      <c r="H111" s="625" t="str">
        <f t="shared" si="65"/>
        <v/>
      </c>
      <c r="I111" s="625" t="str">
        <f t="shared" si="65"/>
        <v/>
      </c>
      <c r="J111" s="624" t="str">
        <f t="shared" si="65"/>
        <v/>
      </c>
      <c r="K111" s="625"/>
      <c r="L111" s="625" t="str">
        <f>IF(JN43+JO43&lt;&gt;0,JN43+JO43,"")</f>
        <v/>
      </c>
      <c r="M111" s="2938"/>
      <c r="N111" s="2939"/>
      <c r="O111" s="145"/>
      <c r="P111" s="108"/>
      <c r="AG111" s="98"/>
      <c r="AH111" s="98"/>
      <c r="AI111" s="98"/>
      <c r="AJ111" s="145"/>
      <c r="AM111" s="284"/>
      <c r="AN111" s="285"/>
      <c r="AO111" s="286" t="s">
        <v>13</v>
      </c>
      <c r="AP111" s="224">
        <f>SUM(AQ111:AT111)</f>
        <v>416967.9002418028</v>
      </c>
      <c r="AQ111" s="201">
        <f>SUM(AU111:AW111)</f>
        <v>162075.93929844815</v>
      </c>
      <c r="AR111" s="202">
        <f>SUM(AX111:AZ111)</f>
        <v>123550.30274335462</v>
      </c>
      <c r="AS111" s="202">
        <f>SUM(BA111:BC111)</f>
        <v>131341.65820000001</v>
      </c>
      <c r="AT111" s="203">
        <f>SUM(BD111:BF111)</f>
        <v>0</v>
      </c>
      <c r="AU111" s="202">
        <f>AU115</f>
        <v>56432.142620374361</v>
      </c>
      <c r="AV111" s="202">
        <f>AV115</f>
        <v>40479.041321449149</v>
      </c>
      <c r="AW111" s="202">
        <f t="shared" ref="AW111:BF111" si="66">AW115</f>
        <v>65164.755356624621</v>
      </c>
      <c r="AX111" s="202">
        <f t="shared" si="66"/>
        <v>65404.717199999999</v>
      </c>
      <c r="AY111" s="202">
        <f t="shared" si="66"/>
        <v>17614.180243354633</v>
      </c>
      <c r="AZ111" s="202">
        <f t="shared" si="66"/>
        <v>40531.405299999999</v>
      </c>
      <c r="BA111" s="202">
        <f t="shared" si="66"/>
        <v>71407.658199999991</v>
      </c>
      <c r="BB111" s="202">
        <f t="shared" si="66"/>
        <v>45640</v>
      </c>
      <c r="BC111" s="202">
        <f t="shared" si="66"/>
        <v>14294</v>
      </c>
      <c r="BD111" s="202">
        <f t="shared" si="66"/>
        <v>0</v>
      </c>
      <c r="BE111" s="202">
        <f t="shared" si="66"/>
        <v>0</v>
      </c>
      <c r="BF111" s="202">
        <f t="shared" si="66"/>
        <v>0</v>
      </c>
      <c r="BG111" s="887">
        <f>SUM(AU111:BB111)</f>
        <v>402673.9002418028</v>
      </c>
      <c r="BH111" s="1">
        <v>29691.160000000003</v>
      </c>
      <c r="BI111" s="887">
        <f>BG111+BH111</f>
        <v>432365.06024180283</v>
      </c>
    </row>
    <row r="112" spans="1:62" ht="18.600000000000001" customHeight="1" thickBot="1">
      <c r="A112" s="98">
        <v>569.75455177982155</v>
      </c>
      <c r="B112" s="2930" t="str">
        <f>C102</f>
        <v>TCM.LCV.MS.HA</v>
      </c>
      <c r="C112" s="565" t="s">
        <v>613</v>
      </c>
      <c r="D112" s="565"/>
      <c r="E112" s="623" t="str">
        <f t="shared" ref="E112:J112" si="67">IF(JP44&lt;&gt;0,JP44,"")</f>
        <v/>
      </c>
      <c r="F112" s="624" t="str">
        <f t="shared" si="67"/>
        <v/>
      </c>
      <c r="G112" s="624" t="str">
        <f t="shared" si="67"/>
        <v/>
      </c>
      <c r="H112" s="624" t="str">
        <f t="shared" si="67"/>
        <v/>
      </c>
      <c r="I112" s="624" t="str">
        <f t="shared" si="67"/>
        <v/>
      </c>
      <c r="J112" s="624" t="str">
        <f t="shared" si="67"/>
        <v/>
      </c>
      <c r="K112" s="624"/>
      <c r="L112" s="624" t="str">
        <f>IF(JV44+JW44&lt;&gt;0,JV44+JW44,"")</f>
        <v/>
      </c>
      <c r="M112" s="2936" t="s">
        <v>615</v>
      </c>
      <c r="N112" s="2937"/>
      <c r="O112" s="145"/>
      <c r="P112" s="98"/>
      <c r="AG112" s="98"/>
      <c r="AH112" s="98"/>
      <c r="AI112" s="98"/>
      <c r="AJ112" s="145"/>
      <c r="AM112" s="287"/>
      <c r="AN112" s="288"/>
      <c r="AO112" s="289" t="s">
        <v>582</v>
      </c>
      <c r="AP112" s="1670">
        <f t="shared" ref="AP112:BF112" si="68">IFERROR(AP111/AP109,"")</f>
        <v>0.52120987530225349</v>
      </c>
      <c r="AQ112" s="1671">
        <f t="shared" si="68"/>
        <v>0.81037969649224073</v>
      </c>
      <c r="AR112" s="290">
        <f t="shared" si="68"/>
        <v>0.5883347749683554</v>
      </c>
      <c r="AS112" s="290">
        <f t="shared" si="68"/>
        <v>0.6254364676190477</v>
      </c>
      <c r="AT112" s="291">
        <f t="shared" si="68"/>
        <v>0</v>
      </c>
      <c r="AU112" s="1624">
        <f t="shared" si="68"/>
        <v>0.80617346600534801</v>
      </c>
      <c r="AV112" s="415">
        <f t="shared" si="68"/>
        <v>0.6227544818684484</v>
      </c>
      <c r="AW112" s="415">
        <f t="shared" si="68"/>
        <v>1.0025346977942249</v>
      </c>
      <c r="AX112" s="2236">
        <f t="shared" si="68"/>
        <v>0.93435310285714279</v>
      </c>
      <c r="AY112" s="2236">
        <f t="shared" si="68"/>
        <v>0.25163114633363759</v>
      </c>
      <c r="AZ112" s="2236">
        <f t="shared" si="68"/>
        <v>0.57902007571428571</v>
      </c>
      <c r="BA112" s="2236">
        <f t="shared" si="68"/>
        <v>1.0201094028571427</v>
      </c>
      <c r="BB112" s="290">
        <f t="shared" si="68"/>
        <v>0.65200000000000002</v>
      </c>
      <c r="BC112" s="2236">
        <f t="shared" si="68"/>
        <v>0.20419999999999999</v>
      </c>
      <c r="BD112" s="290">
        <f t="shared" si="68"/>
        <v>0</v>
      </c>
      <c r="BE112" s="290">
        <f t="shared" si="68"/>
        <v>0</v>
      </c>
      <c r="BF112" s="292">
        <f t="shared" si="68"/>
        <v>0</v>
      </c>
    </row>
    <row r="113" spans="1:72" ht="18" customHeight="1">
      <c r="B113" s="2931"/>
      <c r="C113" s="565" t="s">
        <v>13</v>
      </c>
      <c r="D113" s="565"/>
      <c r="E113" s="626" t="str">
        <f>IF(JP43&lt;&gt;0,JP43,"")</f>
        <v/>
      </c>
      <c r="F113" s="626" t="str">
        <f>IF(JQ43&lt;&gt;0,JQ43,"")</f>
        <v/>
      </c>
      <c r="G113" s="626" t="str">
        <f>IF(JR43&lt;&gt;0,JR43,"")</f>
        <v/>
      </c>
      <c r="H113" s="626" t="str">
        <f>IF(JS43&lt;&gt;0,JS43,"")</f>
        <v/>
      </c>
      <c r="I113" s="626" t="str">
        <f>IF(JT43&lt;&gt;0,JT43,"")</f>
        <v/>
      </c>
      <c r="J113" s="624"/>
      <c r="K113" s="626"/>
      <c r="L113" s="626"/>
      <c r="M113" s="2938"/>
      <c r="N113" s="2939"/>
      <c r="O113" s="145"/>
      <c r="P113" s="98"/>
      <c r="AG113" s="98"/>
      <c r="AH113" s="98"/>
      <c r="AI113" s="98"/>
      <c r="AJ113" s="145"/>
      <c r="AM113" s="293" t="s">
        <v>18</v>
      </c>
      <c r="AN113" s="294"/>
      <c r="AO113" s="283" t="s">
        <v>11</v>
      </c>
      <c r="AP113" s="218">
        <f>SUM(AQ113:AT113)</f>
        <v>800000</v>
      </c>
      <c r="AQ113" s="219">
        <f>SUM(AU113:AW113)</f>
        <v>200000</v>
      </c>
      <c r="AR113" s="220">
        <f>SUM(AX113:AZ113)</f>
        <v>210000</v>
      </c>
      <c r="AS113" s="220">
        <f>SUM(BA113:BC113)</f>
        <v>210000</v>
      </c>
      <c r="AT113" s="221">
        <f>SUM(BD113:BF113)</f>
        <v>180000</v>
      </c>
      <c r="AU113" s="222">
        <v>70000</v>
      </c>
      <c r="AV113" s="220">
        <v>65000</v>
      </c>
      <c r="AW113" s="220">
        <v>65000</v>
      </c>
      <c r="AX113" s="220">
        <v>70000</v>
      </c>
      <c r="AY113" s="220">
        <v>70000</v>
      </c>
      <c r="AZ113" s="220">
        <v>70000</v>
      </c>
      <c r="BA113" s="220">
        <v>70000</v>
      </c>
      <c r="BB113" s="220">
        <v>70000</v>
      </c>
      <c r="BC113" s="220">
        <v>70000</v>
      </c>
      <c r="BD113" s="220">
        <v>60000</v>
      </c>
      <c r="BE113" s="220">
        <v>60000</v>
      </c>
      <c r="BF113" s="223">
        <v>60000</v>
      </c>
      <c r="BG113" s="1"/>
      <c r="BH113" s="1"/>
    </row>
    <row r="114" spans="1:72" ht="18" customHeight="1">
      <c r="A114" s="98">
        <v>1257.2998823158191</v>
      </c>
      <c r="B114" s="506"/>
      <c r="C114" s="506"/>
      <c r="D114" s="506"/>
      <c r="E114" s="506"/>
      <c r="F114" s="506"/>
      <c r="G114" s="506"/>
      <c r="H114" s="506"/>
      <c r="I114" s="506"/>
      <c r="J114" s="506"/>
      <c r="K114" s="506"/>
      <c r="L114" s="506"/>
      <c r="M114" s="506"/>
      <c r="N114" s="506"/>
      <c r="O114" s="145"/>
      <c r="P114" s="98"/>
      <c r="AG114" s="98"/>
      <c r="AH114" s="98"/>
      <c r="AI114" s="98"/>
      <c r="AJ114" s="145"/>
      <c r="AK114" s="145"/>
      <c r="AM114" s="284"/>
      <c r="AN114" s="285"/>
      <c r="AO114" s="286" t="s">
        <v>12</v>
      </c>
      <c r="AP114" s="224">
        <f ca="1">(SUMIFS(AU114:BF114,$AU$4:$BF$4,"&gt;="&amp;MONTH(TODAY()-1)))+(SUMIFS(AU115:BF115,$AU$4:$BF$4,"&lt;"&amp;MONTH(TODAY()-1)))</f>
        <v>714793.46792144922</v>
      </c>
      <c r="AQ114" s="201">
        <f ca="1">(SUMIFS(AU114:AW114,$AU$4:$AW$4,"&gt;="&amp;MONTH(TODAY()-1)))+(SUMIFS(AU115:AW115,$AU$4:$AW$4,"&lt;"&amp;MONTH(TODAY()-1)))</f>
        <v>162075.93929844815</v>
      </c>
      <c r="AR114" s="202">
        <f ca="1">(SUMIFS(AX114:AZ114,$AX$4:$AZ$4,"&gt;="&amp;MONTH(TODAY()-1)))+(SUMIFS(AX115:AZ115,$AX$4:$AZ$4,"&lt;"&amp;MONTH(TODAY()-1)))</f>
        <v>123550.30274335462</v>
      </c>
      <c r="AS114" s="202">
        <f ca="1">(SUMIFS(BA114:BC114,$BA$4:$BC$4,"&gt;="&amp;MONTH(TODAY()-1)))+(SUMIFS(BA115:BC115,$BA$4:$BC$4,"&lt;"&amp;MONTH(TODAY()-1)))</f>
        <v>152047.65820000001</v>
      </c>
      <c r="AT114" s="203">
        <f ca="1">(SUMIFS(BD114:BF114,$BD$4:$BF$4,"&gt;="&amp;MONTH(TODAY()-1)))+(SUMIFS(BD115:BF115,$BD$4:$BF$4,"&lt;"&amp;MONTH(TODAY()-1)))</f>
        <v>277119.56767964642</v>
      </c>
      <c r="AU114" s="204">
        <v>60000</v>
      </c>
      <c r="AV114" s="202">
        <v>60000</v>
      </c>
      <c r="AW114" s="202">
        <v>70000</v>
      </c>
      <c r="AX114" s="202">
        <v>65000</v>
      </c>
      <c r="AY114" s="202">
        <v>65000</v>
      </c>
      <c r="AZ114" s="202">
        <v>55000</v>
      </c>
      <c r="BA114" s="202">
        <v>40000</v>
      </c>
      <c r="BB114" s="202">
        <v>40000</v>
      </c>
      <c r="BC114" s="202">
        <v>35000</v>
      </c>
      <c r="BD114" s="202">
        <v>95000</v>
      </c>
      <c r="BE114" s="202">
        <v>95000</v>
      </c>
      <c r="BF114" s="225">
        <v>87119.56767964641</v>
      </c>
      <c r="BG114" s="1"/>
      <c r="BH114" s="887"/>
    </row>
    <row r="115" spans="1:72" ht="18" customHeight="1">
      <c r="B115" s="2940" t="s">
        <v>616</v>
      </c>
      <c r="C115" s="2941"/>
      <c r="D115" s="1251"/>
      <c r="E115" s="497" t="s">
        <v>551</v>
      </c>
      <c r="F115" s="2944" t="str">
        <f ca="1">TEXT(TODAY()-1,"mmmm")</f>
        <v>September</v>
      </c>
      <c r="G115" s="2945"/>
      <c r="H115" s="2945"/>
      <c r="I115" s="2946"/>
      <c r="J115" s="1314"/>
      <c r="K115" s="2914">
        <f ca="1">YEAR(NOW()-1)</f>
        <v>2026</v>
      </c>
      <c r="L115" s="2915"/>
      <c r="M115" s="2915"/>
      <c r="N115" s="2915"/>
      <c r="O115" s="145"/>
      <c r="P115" s="98"/>
      <c r="AG115" s="98"/>
      <c r="AH115" s="98"/>
      <c r="AI115" s="98"/>
      <c r="AJ115" s="145"/>
      <c r="AK115" s="145"/>
      <c r="AM115" s="284"/>
      <c r="AN115" s="285"/>
      <c r="AO115" s="286" t="s">
        <v>13</v>
      </c>
      <c r="AP115" s="224">
        <f>SUM(AQ115:AT115)</f>
        <v>416967.9002418028</v>
      </c>
      <c r="AQ115" s="201">
        <f>SUM(AU115:AW115)</f>
        <v>162075.93929844815</v>
      </c>
      <c r="AR115" s="202">
        <f>SUM(AX115:AZ115)</f>
        <v>123550.30274335462</v>
      </c>
      <c r="AS115" s="202">
        <f>SUM(BA115:BC115)</f>
        <v>131341.65820000001</v>
      </c>
      <c r="AT115" s="203">
        <f>SUM(BD115:BF115)</f>
        <v>0</v>
      </c>
      <c r="AU115" s="202">
        <f>'January TCM'!$X$42</f>
        <v>56432.142620374361</v>
      </c>
      <c r="AV115" s="202">
        <f>'February TCM'!$X$42</f>
        <v>40479.041321449149</v>
      </c>
      <c r="AW115" s="202">
        <f>'March TCM'!$X$42</f>
        <v>65164.755356624621</v>
      </c>
      <c r="AX115" s="202">
        <f>'April TCM'!$X$42</f>
        <v>65404.717199999999</v>
      </c>
      <c r="AY115" s="202">
        <f>'May TCM'!$X$42</f>
        <v>17614.180243354633</v>
      </c>
      <c r="AZ115" s="202">
        <f>'June TCM'!$X$42</f>
        <v>40531.405299999999</v>
      </c>
      <c r="BA115" s="202">
        <f>'July TCM'!$X$42</f>
        <v>71407.658199999991</v>
      </c>
      <c r="BB115" s="202">
        <f>'August TCM'!$X$42</f>
        <v>45640</v>
      </c>
      <c r="BC115" s="202">
        <f>'September TCM'!$X$42</f>
        <v>14294</v>
      </c>
      <c r="BD115" s="202"/>
      <c r="BE115" s="202"/>
      <c r="BF115" s="202"/>
      <c r="BH115" s="1"/>
    </row>
    <row r="116" spans="1:72" ht="17.399999999999999" customHeight="1" thickBot="1">
      <c r="B116" s="2942"/>
      <c r="C116" s="2943"/>
      <c r="D116" s="1252"/>
      <c r="E116" s="500" t="s">
        <v>13</v>
      </c>
      <c r="F116" s="501" t="s">
        <v>11</v>
      </c>
      <c r="G116" s="501" t="s">
        <v>12</v>
      </c>
      <c r="H116" s="502" t="s">
        <v>8</v>
      </c>
      <c r="I116" s="503" t="s">
        <v>555</v>
      </c>
      <c r="J116" s="504" t="s">
        <v>575</v>
      </c>
      <c r="K116" s="501" t="s">
        <v>617</v>
      </c>
      <c r="L116" s="501" t="s">
        <v>27</v>
      </c>
      <c r="M116" s="502" t="s">
        <v>10</v>
      </c>
      <c r="N116" s="503" t="s">
        <v>555</v>
      </c>
      <c r="O116" s="145"/>
      <c r="P116" s="98"/>
      <c r="Q116" s="108"/>
      <c r="AG116" s="98"/>
      <c r="AH116" s="98"/>
      <c r="AI116" s="98"/>
      <c r="AJ116" s="145"/>
      <c r="AK116" s="145"/>
      <c r="AM116" s="287"/>
      <c r="AN116" s="288"/>
      <c r="AO116" s="289" t="s">
        <v>582</v>
      </c>
      <c r="AP116" s="1670">
        <f t="shared" ref="AP116:BF116" si="69">IFERROR(AP115/AP113,"")</f>
        <v>0.52120987530225349</v>
      </c>
      <c r="AQ116" s="1671">
        <f t="shared" si="69"/>
        <v>0.81037969649224073</v>
      </c>
      <c r="AR116" s="290">
        <f t="shared" si="69"/>
        <v>0.5883347749683554</v>
      </c>
      <c r="AS116" s="290">
        <f t="shared" si="69"/>
        <v>0.6254364676190477</v>
      </c>
      <c r="AT116" s="291">
        <f t="shared" si="69"/>
        <v>0</v>
      </c>
      <c r="AU116" s="1624">
        <f t="shared" si="69"/>
        <v>0.80617346600534801</v>
      </c>
      <c r="AV116" s="415">
        <f t="shared" si="69"/>
        <v>0.6227544818684484</v>
      </c>
      <c r="AW116" s="415">
        <f t="shared" si="69"/>
        <v>1.0025346977942249</v>
      </c>
      <c r="AX116" s="2236">
        <f t="shared" si="69"/>
        <v>0.93435310285714279</v>
      </c>
      <c r="AY116" s="2236">
        <f t="shared" si="69"/>
        <v>0.25163114633363759</v>
      </c>
      <c r="AZ116" s="2236">
        <f t="shared" si="69"/>
        <v>0.57902007571428571</v>
      </c>
      <c r="BA116" s="2236">
        <f t="shared" si="69"/>
        <v>1.0201094028571427</v>
      </c>
      <c r="BB116" s="2236">
        <f t="shared" si="69"/>
        <v>0.65200000000000002</v>
      </c>
      <c r="BC116" s="2236">
        <f t="shared" si="69"/>
        <v>0.20419999999999999</v>
      </c>
      <c r="BD116" s="290">
        <f t="shared" si="69"/>
        <v>0</v>
      </c>
      <c r="BE116" s="290">
        <f t="shared" si="69"/>
        <v>0</v>
      </c>
      <c r="BF116" s="292">
        <f t="shared" si="69"/>
        <v>0</v>
      </c>
      <c r="BG116" s="1"/>
      <c r="BH116" s="1"/>
    </row>
    <row r="117" spans="1:72" ht="18">
      <c r="B117" s="505">
        <v>26</v>
      </c>
      <c r="C117" s="506"/>
      <c r="D117" s="506"/>
      <c r="E117" s="506"/>
      <c r="F117" s="506"/>
      <c r="G117" s="506"/>
      <c r="H117" s="506"/>
      <c r="I117" s="506"/>
      <c r="J117" s="506"/>
      <c r="K117" s="506"/>
      <c r="L117" s="506"/>
      <c r="M117" s="506"/>
      <c r="N117" s="506"/>
      <c r="O117" s="145"/>
      <c r="P117" s="98"/>
      <c r="AG117" s="98"/>
      <c r="AH117" s="98"/>
      <c r="AI117" s="98"/>
      <c r="AJ117" s="145"/>
      <c r="AK117" s="145"/>
      <c r="BH117" s="1"/>
      <c r="BI117" s="95"/>
      <c r="BJ117" s="347"/>
      <c r="BK117" s="347"/>
      <c r="BL117" s="347"/>
      <c r="BM117" s="347"/>
      <c r="BN117" s="347"/>
      <c r="BO117" s="347"/>
      <c r="BP117" s="347"/>
      <c r="BQ117" s="347"/>
      <c r="BR117" s="347"/>
      <c r="BS117" s="347"/>
      <c r="BT117" s="347"/>
    </row>
    <row r="118" spans="1:72" ht="18">
      <c r="B118" s="507" t="s">
        <v>482</v>
      </c>
      <c r="C118" s="508"/>
      <c r="D118" s="1247"/>
      <c r="E118" s="509"/>
      <c r="F118" s="510"/>
      <c r="G118" s="510"/>
      <c r="H118" s="510"/>
      <c r="I118" s="1519"/>
      <c r="J118" s="1519"/>
      <c r="K118" s="510"/>
      <c r="L118" s="510"/>
      <c r="M118" s="510"/>
      <c r="N118" s="510"/>
      <c r="O118" s="145"/>
      <c r="P118" s="98"/>
      <c r="AG118" s="98"/>
      <c r="AH118" s="98"/>
      <c r="AI118" s="98"/>
      <c r="AJ118" s="145"/>
      <c r="AK118" s="145"/>
      <c r="AM118" s="116" t="s">
        <v>30</v>
      </c>
      <c r="AN118" s="85"/>
      <c r="AO118" s="85" t="s">
        <v>613</v>
      </c>
      <c r="AP118" s="154">
        <f>SUM(AQ118:AT118)</f>
        <v>0</v>
      </c>
      <c r="AQ118" s="1399">
        <f>SUM(AU118:AW118)</f>
        <v>0</v>
      </c>
      <c r="AR118" s="155">
        <f>SUM(AX118:AZ118)</f>
        <v>0</v>
      </c>
      <c r="AS118" s="155">
        <f>SUM(BA118:BC118)</f>
        <v>0</v>
      </c>
      <c r="AT118" s="1400">
        <f>SUM(BD118:BF118)</f>
        <v>0</v>
      </c>
      <c r="AU118" s="1399"/>
      <c r="AV118" s="155"/>
      <c r="AW118" s="155"/>
      <c r="AX118" s="155"/>
      <c r="AY118" s="155"/>
      <c r="AZ118" s="155"/>
      <c r="BA118" s="155"/>
      <c r="BB118" s="155"/>
      <c r="BC118" s="155"/>
      <c r="BD118" s="155"/>
      <c r="BE118" s="155"/>
      <c r="BF118" s="155"/>
      <c r="BG118" s="865"/>
      <c r="BH118" s="1"/>
      <c r="BI118" s="95"/>
    </row>
    <row r="119" spans="1:72" ht="18">
      <c r="B119" s="511"/>
      <c r="C119" s="512" t="s">
        <v>35</v>
      </c>
      <c r="D119" s="565"/>
      <c r="E119" s="516" t="str">
        <f ca="1">ROUND(LOOKUP(B4,'September TCM'!B10:B40,'September TCM'!H10:H40),0)&amp;"mm/"&amp;ROUND(LOOKUP(B4,'September TCM'!B10:B40,'September TCM'!I10:I40),0)&amp;"h/"&amp;ROUND(LOOKUP(B4,'September TCM'!B10:B40,'September TCM'!I10:I40)*100/24,0)&amp;"%"</f>
        <v>0mm/0h/0%</v>
      </c>
      <c r="F119" s="627"/>
      <c r="G119" s="514"/>
      <c r="H119" s="515" t="str">
        <f ca="1">+ROUND('August TCM'!H42,0)&amp;"mm/"&amp;ROUND('August TCM'!I42,0)&amp;"h/"&amp;ROUND('August TCM'!I42*100/(B4*24),0)&amp;"%"</f>
        <v>0mm/0h/0%</v>
      </c>
      <c r="I119" s="1520"/>
      <c r="J119" s="1520"/>
      <c r="K119" s="514"/>
      <c r="L119" s="514"/>
      <c r="M119" s="514"/>
      <c r="N119" s="515"/>
      <c r="O119" s="145"/>
      <c r="P119" s="98"/>
      <c r="AG119" s="98"/>
      <c r="AH119" s="98"/>
      <c r="AI119" s="98"/>
      <c r="AJ119" s="145"/>
      <c r="AK119" s="145"/>
      <c r="AM119" s="84"/>
      <c r="AN119" s="85"/>
      <c r="AO119" s="85" t="s">
        <v>13</v>
      </c>
      <c r="AP119" s="156">
        <f>SUM(AQ119:AT119)</f>
        <v>0</v>
      </c>
      <c r="AQ119" s="157">
        <f>SUM(AU119:AW119)</f>
        <v>0</v>
      </c>
      <c r="AR119" s="158">
        <f>SUM(AX119:AZ119)</f>
        <v>0</v>
      </c>
      <c r="AS119" s="158">
        <f>SUM(BA119:BC119)</f>
        <v>0</v>
      </c>
      <c r="AT119" s="159">
        <f>SUM(BD119:BF119)</f>
        <v>0</v>
      </c>
      <c r="AU119" s="160"/>
      <c r="AV119" s="172"/>
      <c r="AW119" s="172"/>
      <c r="AX119" s="172"/>
      <c r="AY119" s="172"/>
      <c r="AZ119" s="172"/>
      <c r="BA119" s="172"/>
      <c r="BB119" s="172"/>
      <c r="BC119" s="172"/>
      <c r="BD119" s="160"/>
      <c r="BE119" s="160"/>
      <c r="BF119" s="160"/>
      <c r="BI119" s="165"/>
    </row>
    <row r="120" spans="1:72" ht="18">
      <c r="A120" s="98">
        <v>129.83353043999998</v>
      </c>
      <c r="B120" s="511" t="s">
        <v>618</v>
      </c>
      <c r="C120" s="512"/>
      <c r="D120" s="565"/>
      <c r="E120" s="518">
        <f ca="1">E121+E122</f>
        <v>20096</v>
      </c>
      <c r="F120" s="518">
        <f ca="1">F121+F122</f>
        <v>720000</v>
      </c>
      <c r="G120" s="518">
        <f ca="1">G121+G122</f>
        <v>500000</v>
      </c>
      <c r="H120" s="518">
        <f>H121+H122</f>
        <v>157691</v>
      </c>
      <c r="I120" s="628">
        <f ca="1">IFERROR(H120/F120,"")</f>
        <v>0.21901527777777777</v>
      </c>
      <c r="J120" s="628">
        <f t="shared" ref="J120:J126" ca="1" si="70">IFERROR(H120/G120,"")</f>
        <v>0.315382</v>
      </c>
      <c r="K120" s="518">
        <f ca="1">K121+K122</f>
        <v>6420000</v>
      </c>
      <c r="L120" s="518">
        <f ca="1">L121+L122</f>
        <v>5931483.2116999989</v>
      </c>
      <c r="M120" s="518">
        <f ca="1">+M121+M122</f>
        <v>5589174.2116999989</v>
      </c>
      <c r="N120" s="519">
        <f ca="1">IFERROR(M120/K120,"")</f>
        <v>0.87058788344236748</v>
      </c>
      <c r="O120" s="145"/>
      <c r="P120" s="98"/>
      <c r="AG120" s="98"/>
      <c r="AH120" s="98"/>
      <c r="AI120" s="98"/>
      <c r="AJ120" s="145"/>
      <c r="AK120" s="145"/>
      <c r="AM120" s="84"/>
      <c r="AN120" s="85"/>
      <c r="AO120" s="85" t="s">
        <v>208</v>
      </c>
      <c r="AP120" s="161" t="e">
        <f t="shared" ref="AP120:BF120" si="71">+AP119/AP118</f>
        <v>#DIV/0!</v>
      </c>
      <c r="AQ120" s="162" t="e">
        <f t="shared" si="71"/>
        <v>#DIV/0!</v>
      </c>
      <c r="AR120" s="163" t="e">
        <f t="shared" si="71"/>
        <v>#DIV/0!</v>
      </c>
      <c r="AS120" s="163" t="e">
        <f t="shared" si="71"/>
        <v>#DIV/0!</v>
      </c>
      <c r="AT120" s="164" t="e">
        <f t="shared" si="71"/>
        <v>#DIV/0!</v>
      </c>
      <c r="AU120" s="162" t="e">
        <f t="shared" si="71"/>
        <v>#DIV/0!</v>
      </c>
      <c r="AV120" s="163" t="e">
        <f t="shared" si="71"/>
        <v>#DIV/0!</v>
      </c>
      <c r="AW120" s="163" t="e">
        <f t="shared" si="71"/>
        <v>#DIV/0!</v>
      </c>
      <c r="AX120" s="163" t="e">
        <f t="shared" si="71"/>
        <v>#DIV/0!</v>
      </c>
      <c r="AY120" s="163" t="e">
        <f t="shared" si="71"/>
        <v>#DIV/0!</v>
      </c>
      <c r="AZ120" s="163" t="e">
        <f t="shared" si="71"/>
        <v>#DIV/0!</v>
      </c>
      <c r="BA120" s="163" t="e">
        <f t="shared" si="71"/>
        <v>#DIV/0!</v>
      </c>
      <c r="BB120" s="163" t="e">
        <f t="shared" si="71"/>
        <v>#DIV/0!</v>
      </c>
      <c r="BC120" s="163" t="e">
        <f t="shared" si="71"/>
        <v>#DIV/0!</v>
      </c>
      <c r="BD120" s="163" t="e">
        <f t="shared" si="71"/>
        <v>#DIV/0!</v>
      </c>
      <c r="BE120" s="163" t="e">
        <f t="shared" si="71"/>
        <v>#DIV/0!</v>
      </c>
      <c r="BF120" s="164" t="e">
        <f t="shared" si="71"/>
        <v>#DIV/0!</v>
      </c>
      <c r="BH120" s="1"/>
    </row>
    <row r="121" spans="1:72" ht="18">
      <c r="B121" s="511"/>
      <c r="C121" s="512" t="s">
        <v>66</v>
      </c>
      <c r="D121" s="565"/>
      <c r="E121" s="520"/>
      <c r="F121" s="514"/>
      <c r="G121" s="514"/>
      <c r="H121" s="514"/>
      <c r="I121" s="1514" t="str">
        <f>IFERROR(H121/F121,"")</f>
        <v/>
      </c>
      <c r="J121" s="1514" t="str">
        <f t="shared" si="70"/>
        <v/>
      </c>
      <c r="K121" s="514"/>
      <c r="L121" s="514"/>
      <c r="M121" s="514"/>
      <c r="N121" s="521" t="str">
        <f>IFERROR(M121/K121,"")</f>
        <v/>
      </c>
      <c r="O121" s="145"/>
      <c r="P121" s="98"/>
      <c r="AG121" s="98"/>
      <c r="AH121" s="98"/>
      <c r="AI121" s="98"/>
      <c r="AJ121" s="145"/>
      <c r="AK121" s="145"/>
      <c r="BH121" s="95"/>
    </row>
    <row r="122" spans="1:72" ht="15" customHeight="1">
      <c r="B122" s="511"/>
      <c r="C122" s="512" t="s">
        <v>18</v>
      </c>
      <c r="D122" s="565"/>
      <c r="E122" s="520">
        <f ca="1">+LOOKUP(B4,'September TCM'!B10:B40,'September TCM'!W10:W40)</f>
        <v>20096</v>
      </c>
      <c r="F122" s="514">
        <f ca="1">LOOKUP(MATCH(F2,$AU$3:$BF$3,0),$AU$4:$BF$4,AU103:BF103)</f>
        <v>720000</v>
      </c>
      <c r="G122" s="514">
        <f ca="1">+LOOKUP(MATCH(F2,$AU$3:$BF$3,0),$AU$4:$BF$4,AU104:BF104)</f>
        <v>500000</v>
      </c>
      <c r="H122" s="514">
        <f>'September TCM'!W42</f>
        <v>157691</v>
      </c>
      <c r="I122" s="1514">
        <f ca="1">IFERROR(H122/F122,"")</f>
        <v>0.21901527777777777</v>
      </c>
      <c r="J122" s="1514">
        <f t="shared" ca="1" si="70"/>
        <v>0.315382</v>
      </c>
      <c r="K122" s="514">
        <f ca="1">SUMIFS(AU103:BF103,AU4:BF4,"&lt;="&amp;MONTH(TODAY()-1))</f>
        <v>6420000</v>
      </c>
      <c r="L122" s="514">
        <f ca="1">+SUMIFS(AU105:BF105,AU4:BF4,"&lt;"&amp;MONTH(TODAY()-1))+SUMIFS(AU104:BF104,AU4:BF4,"="&amp;MONTH(TODAY()-1))</f>
        <v>5931483.2116999989</v>
      </c>
      <c r="M122" s="514">
        <f ca="1">SUMIFS(AU105:BF105,AU4:BF4,"&lt;="&amp;MONTH(TODAY()-1))</f>
        <v>5589174.2116999989</v>
      </c>
      <c r="N122" s="521"/>
      <c r="O122" s="145"/>
      <c r="P122" s="1412"/>
      <c r="AG122" s="98"/>
      <c r="AH122" s="98"/>
      <c r="AI122" s="98"/>
      <c r="AJ122" s="145"/>
      <c r="AK122" s="145"/>
      <c r="AM122" s="138"/>
      <c r="AN122" s="138"/>
      <c r="AO122" s="138"/>
      <c r="AP122" s="138"/>
      <c r="AQ122" s="138"/>
      <c r="AR122" s="138"/>
      <c r="AS122" s="138"/>
      <c r="AT122" s="138"/>
      <c r="AU122" s="138">
        <f t="shared" ref="AU122:BF122" ca="1" si="72">+IF(MONTH(TODAY()-1)=AU4,DAY(TODAY()-1),IF(MONTH(TODAY()-1)&gt;AU4,AU136,0))</f>
        <v>31</v>
      </c>
      <c r="AV122" s="138">
        <f t="shared" ca="1" si="72"/>
        <v>28</v>
      </c>
      <c r="AW122" s="138">
        <f t="shared" ca="1" si="72"/>
        <v>31</v>
      </c>
      <c r="AX122" s="138">
        <f t="shared" ca="1" si="72"/>
        <v>30</v>
      </c>
      <c r="AY122" s="138">
        <f t="shared" ca="1" si="72"/>
        <v>31</v>
      </c>
      <c r="AZ122" s="138">
        <f t="shared" ca="1" si="72"/>
        <v>30</v>
      </c>
      <c r="BA122" s="138">
        <f t="shared" ca="1" si="72"/>
        <v>31</v>
      </c>
      <c r="BB122" s="138">
        <f t="shared" ca="1" si="72"/>
        <v>31</v>
      </c>
      <c r="BC122" s="138">
        <f t="shared" ca="1" si="72"/>
        <v>7</v>
      </c>
      <c r="BD122" s="138">
        <f t="shared" ca="1" si="72"/>
        <v>0</v>
      </c>
      <c r="BE122" s="138">
        <f t="shared" ca="1" si="72"/>
        <v>0</v>
      </c>
      <c r="BF122" s="138">
        <f t="shared" ca="1" si="72"/>
        <v>0</v>
      </c>
      <c r="BH122" s="1"/>
    </row>
    <row r="123" spans="1:72" ht="18">
      <c r="B123" s="511" t="s">
        <v>619</v>
      </c>
      <c r="C123" s="512"/>
      <c r="D123" s="565"/>
      <c r="E123" s="544">
        <f ca="1">E124+E125</f>
        <v>2800</v>
      </c>
      <c r="F123" s="629">
        <f ca="1">F124+F125</f>
        <v>70000</v>
      </c>
      <c r="G123" s="629">
        <f ca="1">G124+G125</f>
        <v>35000</v>
      </c>
      <c r="H123" s="518">
        <f>H124+H125</f>
        <v>14294</v>
      </c>
      <c r="I123" s="1521">
        <f ca="1">IFERROR(H123/F123,"")</f>
        <v>0.20419999999999999</v>
      </c>
      <c r="J123" s="1521">
        <f t="shared" ca="1" si="70"/>
        <v>0.40839999999999999</v>
      </c>
      <c r="K123" s="518">
        <f ca="1">K124+K125</f>
        <v>620000</v>
      </c>
      <c r="L123" s="518">
        <f ca="1">L124+L125</f>
        <v>437673.9002418028</v>
      </c>
      <c r="M123" s="629">
        <f ca="1">+M124+M125</f>
        <v>416967.9002418028</v>
      </c>
      <c r="N123" s="544">
        <f ca="1">IFERROR(M123/K123,"")</f>
        <v>0.67252887135774642</v>
      </c>
      <c r="O123" s="145"/>
      <c r="P123" s="98"/>
      <c r="AG123" s="98"/>
      <c r="AH123" s="98"/>
      <c r="AI123" s="98"/>
      <c r="AJ123" s="145"/>
      <c r="AK123" s="145"/>
      <c r="AM123" s="138"/>
      <c r="AN123" s="138"/>
      <c r="AO123" s="138"/>
      <c r="AP123" s="138"/>
      <c r="AQ123" s="138"/>
      <c r="AR123" s="138"/>
      <c r="AS123" s="138"/>
      <c r="AT123" s="138"/>
      <c r="AU123" s="138"/>
      <c r="AV123" s="138"/>
      <c r="AW123" s="138"/>
      <c r="AX123" s="138"/>
      <c r="AY123" s="138"/>
      <c r="AZ123" s="138"/>
      <c r="BA123" s="138"/>
      <c r="BB123" s="138"/>
      <c r="BC123" s="138"/>
      <c r="BD123" s="138"/>
      <c r="BE123" s="138"/>
      <c r="BF123" s="138"/>
    </row>
    <row r="124" spans="1:72" ht="18">
      <c r="B124" s="511"/>
      <c r="C124" s="512" t="s">
        <v>66</v>
      </c>
      <c r="D124" s="565"/>
      <c r="E124" s="520"/>
      <c r="F124" s="514"/>
      <c r="G124" s="514"/>
      <c r="H124" s="514"/>
      <c r="I124" s="1514"/>
      <c r="J124" s="1521"/>
      <c r="K124" s="514"/>
      <c r="L124" s="514"/>
      <c r="M124" s="514"/>
      <c r="N124" s="521"/>
      <c r="O124" s="145"/>
      <c r="P124" s="98"/>
      <c r="AG124" s="98"/>
      <c r="AH124" s="98"/>
      <c r="AI124" s="98"/>
      <c r="AJ124" s="145"/>
      <c r="AK124" s="145"/>
      <c r="AM124" s="116" t="s">
        <v>620</v>
      </c>
      <c r="AN124" s="85"/>
      <c r="AO124" s="86" t="s">
        <v>621</v>
      </c>
      <c r="AU124" s="117">
        <v>341.56908830383202</v>
      </c>
      <c r="AV124" s="118">
        <v>300.3986068371247</v>
      </c>
      <c r="AW124" s="118">
        <v>345.12230519081004</v>
      </c>
      <c r="AX124" s="118">
        <v>331.43123616754906</v>
      </c>
      <c r="AY124" s="118">
        <v>310.74657462944458</v>
      </c>
      <c r="AZ124" s="118">
        <v>283.73620365897932</v>
      </c>
      <c r="BA124" s="118">
        <v>215.66548398192188</v>
      </c>
      <c r="BB124" s="118">
        <v>183.05040773428169</v>
      </c>
      <c r="BC124" s="118">
        <v>204.94035494073665</v>
      </c>
      <c r="BD124" s="118">
        <v>294.35406323242017</v>
      </c>
      <c r="BE124" s="118">
        <v>316.36720220863754</v>
      </c>
      <c r="BF124" s="119">
        <v>299.52234773641294</v>
      </c>
    </row>
    <row r="125" spans="1:72" ht="18">
      <c r="A125" s="145"/>
      <c r="B125" s="511"/>
      <c r="C125" s="512" t="s">
        <v>18</v>
      </c>
      <c r="D125" s="565"/>
      <c r="E125" s="520">
        <f ca="1">++LOOKUP(B4,'September TCM'!B10:B40,'September TCM'!X10:X40)</f>
        <v>2800</v>
      </c>
      <c r="F125" s="514">
        <f ca="1">LOOKUP(MATCH(F2,$AU$3:$BF$3,0),$AU$4:$BF$4,AU113:BF113)</f>
        <v>70000</v>
      </c>
      <c r="G125" s="514">
        <f ca="1">+LOOKUP(MATCH(F2,$AU$3:$BF$3,0),$AU$4:$BF$4,AU114:BF114)</f>
        <v>35000</v>
      </c>
      <c r="H125" s="514">
        <f>'September TCM'!X42</f>
        <v>14294</v>
      </c>
      <c r="I125" s="1514">
        <f ca="1">IFERROR(H125/F125,"")</f>
        <v>0.20419999999999999</v>
      </c>
      <c r="J125" s="1514">
        <f ca="1">IFERROR(H125/G125,"")</f>
        <v>0.40839999999999999</v>
      </c>
      <c r="K125" s="514">
        <f ca="1">SUMIFS(AU113:BF113,AU4:BF4,"&lt;="&amp;MONTH(TODAY()-1))</f>
        <v>620000</v>
      </c>
      <c r="L125" s="631">
        <f ca="1">+SUMIFS(AU115:BF115,AU4:BF4,"&lt;"&amp;MONTH(TODAY()-1))+SUMIFS(AU114:BF114,AU4:BF4,"="&amp;MONTH(TODAY()-1))</f>
        <v>437673.9002418028</v>
      </c>
      <c r="M125" s="514">
        <f ca="1">SUMIFS(AU115:BF115,AU4:BF4,"&lt;="&amp;MONTH(TODAY()-1))</f>
        <v>416967.9002418028</v>
      </c>
      <c r="N125" s="521">
        <f ca="1">IFERROR(M125/K125,"")</f>
        <v>0.67252887135774642</v>
      </c>
      <c r="O125" s="145"/>
      <c r="P125" s="1378"/>
      <c r="Q125" s="1378"/>
      <c r="R125" s="1378"/>
      <c r="S125" s="1378"/>
      <c r="T125" s="1378"/>
      <c r="U125" s="1378"/>
      <c r="V125" s="1378"/>
      <c r="W125" s="1378"/>
      <c r="X125" s="1378"/>
      <c r="Y125" s="1378"/>
      <c r="Z125" s="1378"/>
      <c r="AA125" s="1378"/>
      <c r="AB125" s="1378"/>
      <c r="AC125" s="1378"/>
      <c r="AD125" s="1378"/>
      <c r="AE125" s="1378"/>
      <c r="AF125" s="1378"/>
      <c r="AG125" s="1378"/>
      <c r="AH125" s="1378"/>
      <c r="AI125" s="1378"/>
      <c r="AJ125" s="145"/>
      <c r="AK125" s="145"/>
      <c r="AM125" s="84"/>
      <c r="AN125" s="85"/>
      <c r="AO125" s="86" t="s">
        <v>622</v>
      </c>
      <c r="AP125" s="1">
        <f>+SUM(AU125:BF125)</f>
        <v>1086.9180279707512</v>
      </c>
      <c r="AQ125" s="1">
        <f>SUM(AU125:AW125)</f>
        <v>306.87321898676663</v>
      </c>
      <c r="AR125" s="1">
        <f>SUM(AX125:AZ125)</f>
        <v>289.12154100656892</v>
      </c>
      <c r="AS125" s="1">
        <f>SUM(BA125:BC125)</f>
        <v>207.45239757106211</v>
      </c>
      <c r="AT125" s="1">
        <f>SUM(BD125:BF125)</f>
        <v>283.47087040635341</v>
      </c>
      <c r="AU125" s="99">
        <v>105.39597155708621</v>
      </c>
      <c r="AV125" s="90">
        <v>94.475503207593277</v>
      </c>
      <c r="AW125" s="90">
        <v>107.00174422208715</v>
      </c>
      <c r="AX125" s="90">
        <v>101.83431605111603</v>
      </c>
      <c r="AY125" s="90">
        <v>97.099973465288855</v>
      </c>
      <c r="AZ125" s="90">
        <v>90.187251490164016</v>
      </c>
      <c r="BA125" s="90">
        <v>72.955329580824241</v>
      </c>
      <c r="BB125" s="90">
        <v>63.991441823378139</v>
      </c>
      <c r="BC125" s="90">
        <v>70.505626166859741</v>
      </c>
      <c r="BD125" s="90">
        <v>92.656585663497623</v>
      </c>
      <c r="BE125" s="90">
        <v>98.438918540063511</v>
      </c>
      <c r="BF125" s="103">
        <v>92.375366202792279</v>
      </c>
      <c r="BG125" s="98"/>
      <c r="BH125" s="431"/>
      <c r="BI125" s="98"/>
      <c r="BJ125" s="98"/>
      <c r="BK125" s="454"/>
      <c r="BL125" s="98"/>
      <c r="BM125" s="98"/>
      <c r="BN125" s="98"/>
      <c r="BO125" s="98"/>
      <c r="BP125" s="98"/>
      <c r="BQ125" s="98"/>
    </row>
    <row r="126" spans="1:72" ht="18">
      <c r="A126" s="145"/>
      <c r="B126" s="632" t="s">
        <v>127</v>
      </c>
      <c r="C126" s="565"/>
      <c r="D126" s="565"/>
      <c r="E126" s="1523">
        <f t="shared" ref="E126:H128" ca="1" si="73">IFERROR(E120/E123,"")</f>
        <v>7.177142857142857</v>
      </c>
      <c r="F126" s="1526">
        <f t="shared" ca="1" si="73"/>
        <v>10.285714285714286</v>
      </c>
      <c r="G126" s="1526">
        <f t="shared" ca="1" si="73"/>
        <v>14.285714285714286</v>
      </c>
      <c r="H126" s="1685">
        <f t="shared" si="73"/>
        <v>11.031971456555198</v>
      </c>
      <c r="I126" s="2190">
        <f ca="1">IFERROR(H126/F126,"")</f>
        <v>1.0725527804984218</v>
      </c>
      <c r="J126" s="2191">
        <f t="shared" ca="1" si="70"/>
        <v>0.77223800195886383</v>
      </c>
      <c r="K126" s="633">
        <f t="shared" ref="K126:M127" ca="1" si="74">IFERROR(K120/K123,"")</f>
        <v>10.35483870967742</v>
      </c>
      <c r="L126" s="633">
        <f t="shared" ca="1" si="74"/>
        <v>13.552289063668219</v>
      </c>
      <c r="M126" s="633">
        <f t="shared" ca="1" si="74"/>
        <v>13.40432730783064</v>
      </c>
      <c r="N126" s="634"/>
      <c r="O126" s="145"/>
      <c r="P126" s="1378"/>
      <c r="Q126" s="1378"/>
      <c r="R126" s="1378"/>
      <c r="S126" s="1378"/>
      <c r="T126" s="1378"/>
      <c r="U126" s="1378"/>
      <c r="V126" s="1378"/>
      <c r="W126" s="1378"/>
      <c r="X126" s="1378"/>
      <c r="Y126" s="1378"/>
      <c r="Z126" s="1378"/>
      <c r="AA126" s="1378"/>
      <c r="AB126" s="1378"/>
      <c r="AC126" s="1378"/>
      <c r="AD126" s="1378"/>
      <c r="AE126" s="1378"/>
      <c r="AF126" s="1378"/>
      <c r="AG126" s="1378"/>
      <c r="AH126" s="1378"/>
      <c r="AI126" s="1378"/>
      <c r="AJ126" s="145"/>
      <c r="AK126" s="145"/>
      <c r="AM126" s="84"/>
      <c r="AN126" s="85"/>
      <c r="AO126" s="86" t="s">
        <v>623</v>
      </c>
      <c r="AP126" s="165">
        <f>AP125/(SUM(AU136:BF136)*24)</f>
        <v>0.12373839116242613</v>
      </c>
      <c r="AQ126" s="165">
        <f>AQ125/(SUM(AU136:AW136)*24)</f>
        <v>0.14207093471609566</v>
      </c>
      <c r="AR126" s="165">
        <f>AR125/((SUM(AX136:AZ136)*24))</f>
        <v>0.1323816579700407</v>
      </c>
      <c r="AS126" s="165">
        <f>AS125/(SUM(BA136:BC136)*24)</f>
        <v>9.2944622567680157E-2</v>
      </c>
      <c r="AT126" s="165">
        <f>AT125/(SUM(BD136:BF136)*24)</f>
        <v>0.12838354637968905</v>
      </c>
      <c r="AU126" s="2157">
        <v>0.14166125209285799</v>
      </c>
      <c r="AV126" s="2158">
        <v>0.14058854643987095</v>
      </c>
      <c r="AW126" s="2158">
        <v>0.14381954868560101</v>
      </c>
      <c r="AX126" s="2158">
        <v>0.14143655007099448</v>
      </c>
      <c r="AY126" s="2158">
        <v>0.13051071702323772</v>
      </c>
      <c r="AZ126" s="2158">
        <v>0.12526007151411669</v>
      </c>
      <c r="BA126" s="2158">
        <v>9.8058238683903551E-2</v>
      </c>
      <c r="BB126" s="2158">
        <v>8.6010002450777071E-2</v>
      </c>
      <c r="BC126" s="2158">
        <v>9.7924480787305201E-2</v>
      </c>
      <c r="BD126" s="2158">
        <v>0.12453842159072261</v>
      </c>
      <c r="BE126" s="2158">
        <v>0.13672072019453266</v>
      </c>
      <c r="BF126" s="2159">
        <v>0.12416043844461327</v>
      </c>
      <c r="BG126" s="98"/>
      <c r="BH126" s="98"/>
      <c r="BI126" s="98"/>
      <c r="BJ126" s="98"/>
      <c r="BK126" s="454"/>
      <c r="BL126" s="98"/>
      <c r="BM126" s="98"/>
      <c r="BN126" s="98"/>
      <c r="BO126" s="98"/>
      <c r="BP126" s="98"/>
      <c r="BQ126" s="98"/>
    </row>
    <row r="127" spans="1:72" ht="18">
      <c r="A127" s="145"/>
      <c r="B127" s="632"/>
      <c r="C127" s="512" t="s">
        <v>66</v>
      </c>
      <c r="D127" s="565"/>
      <c r="E127" s="635" t="str">
        <f t="shared" si="73"/>
        <v/>
      </c>
      <c r="F127" s="635" t="str">
        <f t="shared" si="73"/>
        <v/>
      </c>
      <c r="G127" s="635" t="str">
        <f t="shared" si="73"/>
        <v/>
      </c>
      <c r="H127" s="635" t="str">
        <f t="shared" si="73"/>
        <v/>
      </c>
      <c r="I127" s="1522"/>
      <c r="J127" s="2189" t="str">
        <f ca="1">IFERROR(J125/J124,"")</f>
        <v/>
      </c>
      <c r="K127" s="635" t="str">
        <f t="shared" si="74"/>
        <v/>
      </c>
      <c r="L127" s="635" t="str">
        <f t="shared" si="74"/>
        <v/>
      </c>
      <c r="M127" s="635" t="str">
        <f t="shared" si="74"/>
        <v/>
      </c>
      <c r="N127" s="636"/>
      <c r="O127" s="145"/>
      <c r="P127" s="1378"/>
      <c r="Q127" s="1378"/>
      <c r="R127" s="1378"/>
      <c r="S127" s="1378"/>
      <c r="T127" s="1378"/>
      <c r="U127" s="1378"/>
      <c r="V127" s="1378"/>
      <c r="W127" s="1378"/>
      <c r="X127" s="1378"/>
      <c r="Y127" s="1378"/>
      <c r="Z127" s="1378"/>
      <c r="AA127" s="1378"/>
      <c r="AB127" s="1378"/>
      <c r="AC127" s="1378"/>
      <c r="AD127" s="1378"/>
      <c r="AE127" s="1378"/>
      <c r="AF127" s="1378"/>
      <c r="AG127" s="1378"/>
      <c r="AH127" s="1378"/>
      <c r="AI127" s="1378"/>
      <c r="AJ127" s="145"/>
      <c r="AK127" s="145"/>
      <c r="AM127" s="144"/>
      <c r="AN127" s="85" t="s">
        <v>624</v>
      </c>
      <c r="AO127" s="85" t="s">
        <v>625</v>
      </c>
      <c r="AP127" s="463">
        <f ca="1">AP130/(SUM(AU122:BF122)*24)</f>
        <v>0</v>
      </c>
      <c r="AQ127" s="145">
        <f ca="1">AQ130/(SUM(AU122:AW122)*24)</f>
        <v>0</v>
      </c>
      <c r="AR127" s="145">
        <f ca="1">AR130/(SUM(AX122:AZ122)*24)</f>
        <v>0</v>
      </c>
      <c r="AS127" s="145">
        <f ca="1">AS130/(SUM(BA122:BC122)*24)</f>
        <v>0</v>
      </c>
      <c r="AT127" s="145" t="e">
        <f ca="1">AT130/(SUM(BD122:BF122)*24)</f>
        <v>#DIV/0!</v>
      </c>
      <c r="AU127" s="358">
        <f ca="1">IF(MONTH(TODAY()-1)=AU4,'January TCM'!$K$42/(DAY(TODAY()-1)*24),'January TCM'!$K$42/(AU136*24))</f>
        <v>0</v>
      </c>
      <c r="AV127" s="358">
        <f ca="1">IF(MONTH(TODAY()-1)=AV4,'February TCM'!$K$42/(DAY(TODAY()-1)*24),'February TCM'!$K$42/(AV136*24))</f>
        <v>0</v>
      </c>
      <c r="AW127" s="358">
        <f ca="1">IF(MONTH(TODAY()-1)=AW4,'March TCM'!$K$42/(DAY(TODAY()-1)*24),'March TCM'!$K$42/(AW136*24))</f>
        <v>0</v>
      </c>
      <c r="AX127" s="358">
        <f ca="1">IF(MONTH(TODAY()-1)=AX4,'April TCM'!$K$42/(DAY(TODAY()-1)*24),'April TCM'!$K$42/(AX136*24))</f>
        <v>0</v>
      </c>
      <c r="AY127" s="358">
        <f ca="1">IF(MONTH(TODAY()-1)=AY4,'May TCM'!$K$42/(DAY(TODAY()-1)*24),'May TCM'!$K$42/(AY136*24))</f>
        <v>0</v>
      </c>
      <c r="AZ127" s="358">
        <f ca="1">IF(MONTH(TODAY()-1)=AZ4,'June TCM'!$K$42/(DAY(TODAY()-1)*24),'June TCM'!$K$42/(AZ136*24))</f>
        <v>0</v>
      </c>
      <c r="BA127" s="358">
        <f ca="1">IF(MONTH(TODAY()-1)=BA4,'July TCM'!$K$42/(DAY(TODAY()-1)*24),'July TCM'!$K$42/(BA136*24))</f>
        <v>0</v>
      </c>
      <c r="BB127" s="358">
        <f ca="1">IF(MONTH(TODAY()-1)=BB4,'August TCM'!$K$42/(DAY(TODAY()-1)*24),'August TCM'!$K$42/(BB136*24))</f>
        <v>0</v>
      </c>
      <c r="BC127" s="358">
        <f ca="1">IF(MONTH(TODAY()-1)=BC4,'September TCM'!$K$42/(DAY(TODAY()-1)*24),'September TCM'!$K$42/(BC136*24))</f>
        <v>0</v>
      </c>
      <c r="BD127" s="358"/>
      <c r="BE127" s="358"/>
      <c r="BF127" s="358"/>
      <c r="BG127" s="98"/>
      <c r="BH127" s="98"/>
      <c r="BI127" s="98"/>
      <c r="BJ127" s="98"/>
      <c r="BK127" s="454"/>
      <c r="BL127" s="98"/>
      <c r="BM127" s="98"/>
      <c r="BN127" s="98"/>
      <c r="BO127" s="98"/>
      <c r="BP127" s="98"/>
      <c r="BQ127" s="98"/>
    </row>
    <row r="128" spans="1:72" ht="18">
      <c r="A128" s="145"/>
      <c r="B128" s="632"/>
      <c r="C128" s="512" t="s">
        <v>18</v>
      </c>
      <c r="D128" s="565"/>
      <c r="E128" s="1524">
        <f ca="1">IFERROR(E122/E125,"")</f>
        <v>7.177142857142857</v>
      </c>
      <c r="F128" s="1525">
        <f t="shared" ca="1" si="73"/>
        <v>10.285714285714286</v>
      </c>
      <c r="G128" s="1525">
        <f ca="1">IFERROR(G122/G125,"")</f>
        <v>14.285714285714286</v>
      </c>
      <c r="H128" s="1525">
        <f>IFERROR(H122/H125,"")</f>
        <v>11.031971456555198</v>
      </c>
      <c r="I128" s="1527"/>
      <c r="J128" s="1528">
        <f ca="1">IFERROR(J126/J125,"")</f>
        <v>1.8908863906926148</v>
      </c>
      <c r="K128" s="1525">
        <f ca="1">IFERROR(K122/K125,"")</f>
        <v>10.35483870967742</v>
      </c>
      <c r="L128" s="1525">
        <f ca="1">IFERROR(L122/L125,"")</f>
        <v>13.552289063668219</v>
      </c>
      <c r="M128" s="1525">
        <f ca="1">IFERROR(M122/M125,"")</f>
        <v>13.40432730783064</v>
      </c>
      <c r="N128" s="637"/>
      <c r="O128" s="145"/>
      <c r="P128" s="1378"/>
      <c r="Q128" s="1378"/>
      <c r="R128" s="1378"/>
      <c r="S128" s="1378"/>
      <c r="T128" s="1378"/>
      <c r="U128" s="1378"/>
      <c r="V128" s="1378"/>
      <c r="W128" s="1378"/>
      <c r="X128" s="1378"/>
      <c r="Y128" s="1378"/>
      <c r="Z128" s="1378"/>
      <c r="AA128" s="1378"/>
      <c r="AB128" s="1378"/>
      <c r="AC128" s="1378"/>
      <c r="AD128" s="1378"/>
      <c r="AE128" s="1378"/>
      <c r="AF128" s="1378"/>
      <c r="AG128" s="1378"/>
      <c r="AH128" s="1378"/>
      <c r="AI128" s="1378"/>
      <c r="AJ128" s="145"/>
      <c r="AK128" s="145"/>
      <c r="AM128" s="85"/>
      <c r="AN128" s="85"/>
      <c r="AO128" s="85" t="s">
        <v>626</v>
      </c>
      <c r="AP128">
        <f ca="1">AP131/(SUM(AU122:BF122)*24)</f>
        <v>0.11345333333333334</v>
      </c>
      <c r="AQ128">
        <f ca="1">AQ131/(SUM(AU122:AW122)*24)</f>
        <v>0.1441435185185185</v>
      </c>
      <c r="AR128">
        <f ca="1">AR131/(SUM(AX122:AZ122)*24)</f>
        <v>0.14178113553113553</v>
      </c>
      <c r="AS128">
        <f ca="1">AS131/(SUM(BA122:BC122)*24)</f>
        <v>3.6062801932367147E-2</v>
      </c>
      <c r="AT128" t="e">
        <f ca="1">AT131/(SUM(BD122:BF122)*24)</f>
        <v>#DIV/0!</v>
      </c>
      <c r="AU128" s="360">
        <f ca="1">IF(MONTH(TODAY()-1)=AU4,'January TCM'!$M$42/(DAY(TODAY()-1)*24),'January TCM'!$M$42/(AU136*24))</f>
        <v>0.15474462365591396</v>
      </c>
      <c r="AV128" s="360">
        <f ca="1">IF(MONTH(TODAY()-1)=AV4,'February TCM'!$M$42/(DAY(TODAY()-1)*24),'February TCM'!$M$42/(AV136*24))</f>
        <v>0.18031249999999999</v>
      </c>
      <c r="AW128" s="360">
        <f ca="1">IF(MONTH(TODAY()-1)=AW4,'March TCM'!$M$42/(DAY(TODAY()-1)*24),'March TCM'!$M$42/(AW136*24))</f>
        <v>0.1008736559139785</v>
      </c>
      <c r="AX128" s="360">
        <f ca="1">IF(MONTH(TODAY()-1)=AX4,'April TCM'!$M$42/(DAY(TODAY()-1)*24),'April TCM'!$M$42/(AX136*24))</f>
        <v>0.14526388888888891</v>
      </c>
      <c r="AY128" s="360">
        <f ca="1">IF(MONTH(TODAY()-1)=AY4,'May TCM'!$M$42/(DAY(TODAY()-1)*24),'May TCM'!$M$42/(AY136*24))</f>
        <v>0.16006720430107527</v>
      </c>
      <c r="AZ128" s="360">
        <f ca="1">IF(MONTH(TODAY()-1)=AZ4,'June TCM'!$M$42/(DAY(TODAY()-1)*24),'June TCM'!$M$42/(AZ136*24))</f>
        <v>0.11940277777777776</v>
      </c>
      <c r="BA128" s="360">
        <f ca="1">IF(MONTH(TODAY()-1)=BA4,'July TCM'!$M$42/(DAY(TODAY()-1)*24),'July TCM'!$M$42/(BA136*24))</f>
        <v>6.7163978494623661E-2</v>
      </c>
      <c r="BB128" s="360">
        <f ca="1">IF(MONTH(TODAY()-1)=BB4,'August TCM'!$M$42/(DAY(TODAY()-1)*24),'August TCM'!$M$42/(BB136*24))</f>
        <v>0</v>
      </c>
      <c r="BC128" s="360">
        <f ca="1">IF(MONTH(TODAY()-1)=BC4,'September TCM'!$M$42/(DAY(TODAY()-1)*24),'September TCM'!$M$42/(BC136*24))</f>
        <v>5.8035714285714288E-2</v>
      </c>
      <c r="BD128" s="360"/>
      <c r="BE128" s="360"/>
      <c r="BF128" s="360"/>
      <c r="BG128" s="98"/>
      <c r="BH128" s="98"/>
      <c r="BI128" s="98"/>
      <c r="BJ128" s="98"/>
      <c r="BK128" s="454"/>
      <c r="BL128" s="98"/>
      <c r="BM128" s="98"/>
      <c r="BN128" s="98"/>
      <c r="BO128" s="98"/>
      <c r="BP128" s="98"/>
      <c r="BQ128" s="98"/>
    </row>
    <row r="129" spans="1:69" ht="18">
      <c r="A129" s="145"/>
      <c r="B129" s="638"/>
      <c r="C129" s="638"/>
      <c r="D129" s="638"/>
      <c r="E129" s="639"/>
      <c r="F129" s="640"/>
      <c r="G129" s="640"/>
      <c r="H129" s="640"/>
      <c r="I129" s="641"/>
      <c r="J129" s="641"/>
      <c r="K129" s="640"/>
      <c r="L129" s="640"/>
      <c r="M129" s="640"/>
      <c r="N129" s="641"/>
      <c r="O129" s="145"/>
      <c r="P129" s="1378"/>
      <c r="Q129" s="1378"/>
      <c r="R129" s="1378"/>
      <c r="S129" s="1378"/>
      <c r="T129" s="1378"/>
      <c r="U129" s="1378"/>
      <c r="V129" s="1378"/>
      <c r="W129" s="1378"/>
      <c r="X129" s="1378"/>
      <c r="Y129" s="1378"/>
      <c r="Z129" s="1378"/>
      <c r="AA129" s="1378"/>
      <c r="AB129" s="1378"/>
      <c r="AC129" s="1378"/>
      <c r="AD129" s="1378"/>
      <c r="AE129" s="1378"/>
      <c r="AF129" s="1378"/>
      <c r="AG129" s="1378"/>
      <c r="AH129" s="1378"/>
      <c r="AI129" s="1378"/>
      <c r="AJ129" s="145"/>
      <c r="AK129" s="145"/>
      <c r="AM129" s="85"/>
      <c r="AN129" s="85"/>
      <c r="AO129" s="85" t="s">
        <v>627</v>
      </c>
      <c r="AP129">
        <f ca="1">AP132/(SUM(AU122:BF122)*24)</f>
        <v>0.11743333333333333</v>
      </c>
      <c r="AQ129">
        <f ca="1">AQ132/(SUM(AU122:AW122)*24)</f>
        <v>0.19196296296296297</v>
      </c>
      <c r="AR129">
        <f ca="1">AR132/(SUM(AX122:AZ122)*24)</f>
        <v>0.12376373626373624</v>
      </c>
      <c r="AS129">
        <f ca="1">AS132/(SUM(BA122:BC122)*24)</f>
        <v>1.1871980676328503E-2</v>
      </c>
      <c r="AT129" t="e">
        <f ca="1">AT132/(SUM(BD122:BF122)*24)</f>
        <v>#DIV/0!</v>
      </c>
      <c r="AU129" s="360">
        <f ca="1">IF(MONTH(TODAY()-1)=AU4,'January TCM'!$I$42/(DAY(TODAY()-1)*24),'January TCM'!$I$42/(AU136*24))</f>
        <v>0.1896370967741936</v>
      </c>
      <c r="AV129" s="360">
        <f ca="1">IF(MONTH(TODAY()-1)=AV4,'February TCM'!$I$42/(DAY(TODAY()-1)*24),'February TCM'!$I$42/(AV136*24))</f>
        <v>0.25556547619047626</v>
      </c>
      <c r="AW129" s="360">
        <f ca="1">IF(MONTH(TODAY()-1)=AW4,'March TCM'!$I$42/(DAY(TODAY()-1)*24),'March TCM'!$I$42/(AW136*24))</f>
        <v>0.13684139784946237</v>
      </c>
      <c r="AX129" s="360">
        <f ca="1">IF(MONTH(TODAY()-1)=AX4,'April TCM'!$I$42/(DAY(TODAY()-1)*24),'April TCM'!$I$42/(AX136*24))</f>
        <v>9.0999999999999998E-2</v>
      </c>
      <c r="AY129" s="360">
        <f ca="1">IF(MONTH(TODAY()-1)=AY4,'May TCM'!$I$42/(DAY(TODAY()-1)*24),'May TCM'!$I$42/(AY136*24))</f>
        <v>0.14779569892473118</v>
      </c>
      <c r="AZ129" s="360">
        <f ca="1">IF(MONTH(TODAY()-1)=AZ4,'June TCM'!$I$42/(DAY(TODAY()-1)*24),'June TCM'!$I$42/(AZ136*24))</f>
        <v>0.13169444444444445</v>
      </c>
      <c r="BA129" s="360">
        <f ca="1">IF(MONTH(TODAY()-1)=BA4,'July TCM'!$I$42/(DAY(TODAY()-1)*24),'July TCM'!$I$42/(BA136*24))</f>
        <v>2.0147849462365593E-2</v>
      </c>
      <c r="BB129" s="360">
        <f ca="1">IF(MONTH(TODAY()-1)=BB4,'August TCM'!$I$42/(DAY(TODAY()-1)*24),'August TCM'!$I$42/(BB136*24))</f>
        <v>0</v>
      </c>
      <c r="BC129" s="360">
        <f ca="1">IF(MONTH(TODAY()-1)=BC4,'September TCM'!$I$42/(DAY(TODAY()-1)*24),'September TCM'!$I$42/(BC136*24))</f>
        <v>2.7797619047619047E-2</v>
      </c>
      <c r="BD129" s="360"/>
      <c r="BE129" s="360"/>
      <c r="BF129" s="360"/>
      <c r="BG129" s="98"/>
      <c r="BH129" s="98"/>
      <c r="BI129" s="98"/>
      <c r="BJ129" s="98"/>
      <c r="BK129" s="454"/>
      <c r="BL129" s="434"/>
      <c r="BM129" s="434" t="s">
        <v>10</v>
      </c>
      <c r="BN129" s="98"/>
      <c r="BO129" s="98"/>
      <c r="BP129" s="98"/>
      <c r="BQ129" s="98"/>
    </row>
    <row r="130" spans="1:69" ht="18">
      <c r="A130" s="145"/>
      <c r="B130" s="555" t="s">
        <v>628</v>
      </c>
      <c r="C130" s="565"/>
      <c r="D130" s="565"/>
      <c r="E130" s="1401"/>
      <c r="F130" s="642"/>
      <c r="G130" s="642"/>
      <c r="H130" s="642"/>
      <c r="I130" s="642"/>
      <c r="J130" s="642"/>
      <c r="K130" s="642"/>
      <c r="L130" s="642"/>
      <c r="M130" s="642"/>
      <c r="N130" s="643"/>
      <c r="O130" s="145"/>
      <c r="P130" s="1378"/>
      <c r="Q130" s="1378"/>
      <c r="R130" s="1378"/>
      <c r="S130" s="1378"/>
      <c r="T130" s="1378"/>
      <c r="U130" s="1378"/>
      <c r="V130" s="1378"/>
      <c r="W130" s="1378"/>
      <c r="X130" s="1378"/>
      <c r="Y130" s="1378"/>
      <c r="Z130" s="1378"/>
      <c r="AA130" s="1378"/>
      <c r="AB130" s="1378"/>
      <c r="AC130" s="1378"/>
      <c r="AD130" s="1378"/>
      <c r="AE130" s="1378"/>
      <c r="AF130" s="1378"/>
      <c r="AG130" s="1378"/>
      <c r="AH130" s="1378"/>
      <c r="AI130" s="1378"/>
      <c r="AJ130" s="145"/>
      <c r="AK130" s="145"/>
      <c r="AM130" s="85"/>
      <c r="AN130" s="85"/>
      <c r="AO130" s="85" t="s">
        <v>629</v>
      </c>
      <c r="AP130" s="356">
        <f>+SUM(AU130:BF130)</f>
        <v>0</v>
      </c>
      <c r="AQ130" s="356">
        <f>SUM(AU130:AW130)</f>
        <v>0</v>
      </c>
      <c r="AR130" s="356">
        <f>SUM(AX130:AZ130)</f>
        <v>0</v>
      </c>
      <c r="AS130" s="356">
        <f>SUM(BA130:BC130)</f>
        <v>0</v>
      </c>
      <c r="AT130" s="356">
        <f>SUM(BD130:BF130)</f>
        <v>0</v>
      </c>
      <c r="AU130" s="357">
        <f>'January TCM'!$N$42</f>
        <v>0</v>
      </c>
      <c r="AV130" s="357">
        <f>'February TCM'!$N$42</f>
        <v>0</v>
      </c>
      <c r="AW130" s="357">
        <f>'March TCM'!$N$42</f>
        <v>0</v>
      </c>
      <c r="AX130" s="357">
        <f>'April TCM'!$N$42</f>
        <v>0</v>
      </c>
      <c r="AY130" s="357">
        <f>'May TCM'!$N$42</f>
        <v>0</v>
      </c>
      <c r="AZ130" s="357">
        <f>'June TCM'!$N$42</f>
        <v>0</v>
      </c>
      <c r="BA130" s="357">
        <f>'July TCM'!$N$42</f>
        <v>0</v>
      </c>
      <c r="BB130" s="357">
        <f>'August TCM'!$N$42</f>
        <v>0</v>
      </c>
      <c r="BC130" s="357">
        <f>'September TCM'!$N$42</f>
        <v>0</v>
      </c>
      <c r="BD130" s="357"/>
      <c r="BE130" s="357"/>
      <c r="BF130" s="357"/>
      <c r="BG130" s="459"/>
      <c r="BH130" s="145"/>
      <c r="BI130" s="459"/>
      <c r="BJ130" s="459"/>
      <c r="BK130" s="460"/>
      <c r="BL130" s="459"/>
      <c r="BM130" s="459" t="e">
        <f>AVERAGE(BG130,BI130,BJ130)</f>
        <v>#DIV/0!</v>
      </c>
      <c r="BN130" s="145"/>
      <c r="BO130" s="145"/>
      <c r="BP130" s="145"/>
      <c r="BQ130" s="98"/>
    </row>
    <row r="131" spans="1:69" ht="18">
      <c r="A131" s="145"/>
      <c r="B131" s="2922" t="s">
        <v>630</v>
      </c>
      <c r="C131" s="2923"/>
      <c r="D131" s="2923"/>
      <c r="E131" s="2923"/>
      <c r="F131" s="882"/>
      <c r="G131" s="882"/>
      <c r="H131" s="882"/>
      <c r="I131" s="882"/>
      <c r="J131" s="882"/>
      <c r="K131" s="882"/>
      <c r="L131" s="882"/>
      <c r="M131" s="882"/>
      <c r="N131" s="883"/>
      <c r="O131" s="145"/>
      <c r="P131" s="1379"/>
      <c r="Q131" s="1379"/>
      <c r="R131" s="1379"/>
      <c r="S131" s="1379"/>
      <c r="T131" s="1379"/>
      <c r="U131" s="1379"/>
      <c r="V131" s="1379"/>
      <c r="W131" s="1379"/>
      <c r="X131" s="1379"/>
      <c r="Y131" s="1379"/>
      <c r="Z131" s="1379"/>
      <c r="AA131" s="1379"/>
      <c r="AB131" s="1379"/>
      <c r="AC131" s="1379"/>
      <c r="AD131" s="1379"/>
      <c r="AE131" s="1379"/>
      <c r="AF131" s="1379"/>
      <c r="AG131" s="1378"/>
      <c r="AH131" s="1378"/>
      <c r="AI131" s="1378"/>
      <c r="AJ131" s="145"/>
      <c r="AK131" s="145"/>
      <c r="AM131" s="85"/>
      <c r="AN131" s="85"/>
      <c r="AO131" s="85" t="s">
        <v>631</v>
      </c>
      <c r="AP131" s="356">
        <f>+SUM(AU131:BF131)</f>
        <v>680.72</v>
      </c>
      <c r="AQ131" s="356">
        <f>SUM(AU131:AW131)</f>
        <v>311.34999999999997</v>
      </c>
      <c r="AR131" s="356">
        <f>SUM(AX131:AZ131)</f>
        <v>309.64999999999998</v>
      </c>
      <c r="AS131" s="356">
        <f>SUM(BA131:BC131)</f>
        <v>59.72</v>
      </c>
      <c r="AT131" s="356">
        <f>SUM(BD131:BF131)</f>
        <v>0</v>
      </c>
      <c r="AU131" s="357">
        <f>'January TCM'!$M$42</f>
        <v>115.13</v>
      </c>
      <c r="AV131" s="357">
        <f>'February TCM'!$M$42</f>
        <v>121.16999999999999</v>
      </c>
      <c r="AW131" s="357">
        <f>'March TCM'!$M$42</f>
        <v>75.05</v>
      </c>
      <c r="AX131" s="357">
        <f>'April TCM'!$M$42</f>
        <v>104.59000000000002</v>
      </c>
      <c r="AY131" s="453">
        <f>'May TCM'!$M$42</f>
        <v>119.09</v>
      </c>
      <c r="AZ131" s="357">
        <f>'June TCM'!$M$42</f>
        <v>85.969999999999985</v>
      </c>
      <c r="BA131" s="357">
        <f>'July TCM'!$M$42</f>
        <v>49.97</v>
      </c>
      <c r="BB131" s="357">
        <f>'August TCM'!$M$42</f>
        <v>0</v>
      </c>
      <c r="BC131" s="357">
        <f>'September TCM'!$M$42</f>
        <v>9.75</v>
      </c>
      <c r="BD131" s="357"/>
      <c r="BE131" s="357"/>
      <c r="BF131" s="357"/>
      <c r="BG131" s="459"/>
      <c r="BH131" s="145"/>
      <c r="BI131" s="459"/>
      <c r="BJ131" s="459"/>
      <c r="BK131" s="460"/>
      <c r="BL131" s="459"/>
      <c r="BM131" s="459" t="e">
        <f>AVERAGE(BG131,BI131,BJ131)</f>
        <v>#DIV/0!</v>
      </c>
      <c r="BN131" s="145"/>
      <c r="BO131" s="145"/>
      <c r="BP131" s="145"/>
      <c r="BQ131" s="98"/>
    </row>
    <row r="132" spans="1:69" ht="18">
      <c r="A132" s="145"/>
      <c r="B132" s="2922" t="s">
        <v>632</v>
      </c>
      <c r="C132" s="2923"/>
      <c r="D132" s="1240"/>
      <c r="E132" s="882"/>
      <c r="F132" s="882"/>
      <c r="G132" s="882"/>
      <c r="H132" s="882"/>
      <c r="I132" s="882"/>
      <c r="J132" s="882"/>
      <c r="K132" s="882"/>
      <c r="L132" s="882"/>
      <c r="M132" s="882"/>
      <c r="N132" s="883"/>
      <c r="O132" s="145"/>
      <c r="P132" s="1379"/>
      <c r="Q132" s="1379"/>
      <c r="R132" s="1379"/>
      <c r="S132" s="1379"/>
      <c r="T132" s="1379"/>
      <c r="U132" s="1379"/>
      <c r="V132" s="1379"/>
      <c r="W132" s="1379"/>
      <c r="X132" s="1379"/>
      <c r="Y132" s="1379"/>
      <c r="Z132" s="1379"/>
      <c r="AA132" s="1379"/>
      <c r="AB132" s="1379"/>
      <c r="AC132" s="1379"/>
      <c r="AD132" s="1379"/>
      <c r="AE132" s="1379"/>
      <c r="AF132" s="1379"/>
      <c r="AG132" s="1378"/>
      <c r="AH132" s="1378"/>
      <c r="AI132" s="1378"/>
      <c r="AJ132" s="145"/>
      <c r="AK132" s="145"/>
      <c r="AM132" s="85"/>
      <c r="AN132" s="85"/>
      <c r="AO132" s="85" t="s">
        <v>633</v>
      </c>
      <c r="AP132" s="356">
        <f>+SUM(AU132:BF132)</f>
        <v>704.6</v>
      </c>
      <c r="AQ132" s="356">
        <f>SUM(AU132:AW132)</f>
        <v>414.64000000000004</v>
      </c>
      <c r="AR132" s="356">
        <f>SUM(AX132:AZ132)</f>
        <v>270.29999999999995</v>
      </c>
      <c r="AS132" s="356">
        <f>SUM(BA132:BC132)</f>
        <v>19.66</v>
      </c>
      <c r="AT132" s="356">
        <f>SUM(BD132:BF132)</f>
        <v>0</v>
      </c>
      <c r="AU132" s="357">
        <f>'January TCM'!$I$42</f>
        <v>141.09000000000003</v>
      </c>
      <c r="AV132" s="357">
        <f>'February TCM'!$I$42</f>
        <v>171.74000000000004</v>
      </c>
      <c r="AW132" s="357">
        <f>'March TCM'!$I$42</f>
        <v>101.81</v>
      </c>
      <c r="AX132" s="357">
        <f>'April TCM'!$I$42</f>
        <v>65.52</v>
      </c>
      <c r="AY132" s="453">
        <f>'May TCM'!$I$42</f>
        <v>109.96</v>
      </c>
      <c r="AZ132" s="357">
        <f>'June TCM'!$I$42</f>
        <v>94.82</v>
      </c>
      <c r="BA132" s="357">
        <f>'July TCM'!$I$42</f>
        <v>14.99</v>
      </c>
      <c r="BB132" s="357">
        <f>'August TCM'!$I$42</f>
        <v>0</v>
      </c>
      <c r="BC132" s="357">
        <f>'September TCM'!$I$42</f>
        <v>4.67</v>
      </c>
      <c r="BD132" s="357"/>
      <c r="BE132" s="357"/>
      <c r="BF132" s="357"/>
      <c r="BG132" s="461"/>
      <c r="BH132" s="145"/>
      <c r="BI132" s="461"/>
      <c r="BJ132" s="461"/>
      <c r="BK132" s="462"/>
      <c r="BL132" s="463"/>
      <c r="BM132" s="463" t="e">
        <f>AVERAGE(BG132,BI132,BJ132)</f>
        <v>#DIV/0!</v>
      </c>
      <c r="BN132" s="145"/>
      <c r="BO132" s="145"/>
      <c r="BP132" s="145"/>
      <c r="BQ132" s="98"/>
    </row>
    <row r="133" spans="1:69" ht="18.600000000000001" customHeight="1">
      <c r="A133" s="145"/>
      <c r="B133" s="881" t="s">
        <v>634</v>
      </c>
      <c r="C133" s="882"/>
      <c r="D133" s="882"/>
      <c r="E133" s="882"/>
      <c r="F133" s="882"/>
      <c r="G133" s="882"/>
      <c r="H133" s="882"/>
      <c r="I133" s="882"/>
      <c r="J133" s="882"/>
      <c r="K133" s="882"/>
      <c r="L133" s="882"/>
      <c r="M133" s="882"/>
      <c r="N133" s="883"/>
      <c r="O133" s="98"/>
      <c r="P133" s="1425"/>
      <c r="Q133" s="1425"/>
      <c r="R133" s="1425"/>
      <c r="S133" s="1425"/>
      <c r="T133" s="1425"/>
      <c r="U133" s="1425"/>
      <c r="V133" s="1425"/>
      <c r="W133" s="1425"/>
      <c r="X133" s="1425"/>
      <c r="Y133" s="1425"/>
      <c r="Z133" s="1425"/>
      <c r="AA133" s="1425"/>
      <c r="AB133" s="1425"/>
      <c r="AC133" s="1425"/>
      <c r="AD133" s="1425"/>
      <c r="AE133" s="1425"/>
      <c r="AF133" s="1425"/>
      <c r="AG133" s="459"/>
      <c r="AH133" s="459"/>
      <c r="AI133" s="108"/>
      <c r="AJ133" s="145"/>
      <c r="AK133" s="145"/>
      <c r="AM133" s="85"/>
      <c r="AN133" s="85"/>
      <c r="AO133" s="85" t="s">
        <v>635</v>
      </c>
      <c r="AP133" s="1"/>
      <c r="AQ133" s="1"/>
      <c r="AR133" s="1"/>
      <c r="AS133" s="1"/>
      <c r="AT133" s="1"/>
      <c r="AU133" s="361">
        <f>'January TCM'!$H$42</f>
        <v>525</v>
      </c>
      <c r="AV133" s="361">
        <f>'February TCM'!$H$42</f>
        <v>738</v>
      </c>
      <c r="AW133" s="361">
        <f>'March TCM'!$H$42</f>
        <v>465.5</v>
      </c>
      <c r="AX133" s="361">
        <f>'April TCM'!$H$42</f>
        <v>269</v>
      </c>
      <c r="AY133" s="361">
        <f>'May TCM'!$H$42</f>
        <v>559.5</v>
      </c>
      <c r="AZ133" s="361">
        <f>'June TCM'!$H$42</f>
        <v>375</v>
      </c>
      <c r="BA133" s="361">
        <f>'July TCM'!$H$42</f>
        <v>31</v>
      </c>
      <c r="BB133" s="361">
        <f>'August TCM'!$H$42</f>
        <v>0</v>
      </c>
      <c r="BC133" s="361">
        <f>'September TCM'!$H$42</f>
        <v>10</v>
      </c>
      <c r="BD133" s="361"/>
      <c r="BE133" s="361"/>
      <c r="BF133" s="361"/>
      <c r="BG133" s="455"/>
      <c r="BH133" s="455"/>
      <c r="BI133" s="455"/>
      <c r="BJ133" s="455"/>
      <c r="BK133" s="455"/>
      <c r="BL133" s="455"/>
      <c r="BM133" s="455">
        <f>AVERAGE(BA130:BA132)</f>
        <v>21.653333333333332</v>
      </c>
      <c r="BN133" s="455">
        <f>AVERAGE(BB130:BB132)</f>
        <v>0</v>
      </c>
      <c r="BO133" s="455">
        <f>AVERAGE(BC130:BC132)</f>
        <v>4.8066666666666666</v>
      </c>
      <c r="BP133" s="455" t="e">
        <f>AVERAGE(BD130:BD132)</f>
        <v>#DIV/0!</v>
      </c>
      <c r="BQ133" s="98"/>
    </row>
    <row r="134" spans="1:69" ht="18">
      <c r="A134" s="145"/>
      <c r="B134" s="884"/>
      <c r="C134" s="885"/>
      <c r="D134" s="885"/>
      <c r="E134" s="885"/>
      <c r="F134" s="885"/>
      <c r="G134" s="885"/>
      <c r="H134" s="885"/>
      <c r="I134" s="885"/>
      <c r="J134" s="885"/>
      <c r="K134" s="885"/>
      <c r="L134" s="885"/>
      <c r="M134" s="885"/>
      <c r="N134" s="886"/>
      <c r="O134" s="98"/>
      <c r="P134" s="1425"/>
      <c r="Q134" s="1425"/>
      <c r="R134" s="1425"/>
      <c r="S134" s="1425"/>
      <c r="T134" s="1425"/>
      <c r="U134" s="1425"/>
      <c r="V134" s="1425"/>
      <c r="W134" s="1425"/>
      <c r="X134" s="1425"/>
      <c r="Y134" s="1425"/>
      <c r="Z134" s="1425"/>
      <c r="AA134" s="1425"/>
      <c r="AB134" s="1425"/>
      <c r="AC134" s="1425"/>
      <c r="AD134" s="1425"/>
      <c r="AE134" s="1425"/>
      <c r="AF134" s="1425"/>
      <c r="AG134" s="459"/>
      <c r="AH134" s="459"/>
      <c r="AI134" s="108"/>
      <c r="AJ134" s="145"/>
      <c r="AK134" s="145"/>
      <c r="AM134" s="85"/>
      <c r="AN134" s="85"/>
      <c r="AO134" s="85" t="s">
        <v>636</v>
      </c>
      <c r="AP134" s="1"/>
      <c r="AQ134" s="1"/>
      <c r="AR134" s="1"/>
      <c r="AS134" s="1"/>
      <c r="AT134" s="1"/>
      <c r="AU134" s="361">
        <f>'January TCM'!$L$42</f>
        <v>235.10999999999999</v>
      </c>
      <c r="AV134" s="361">
        <f>'February TCM'!$L$42</f>
        <v>279.51000000000005</v>
      </c>
      <c r="AW134" s="361">
        <f>'March TCM'!$L$42</f>
        <v>119</v>
      </c>
      <c r="AX134" s="361">
        <f>'April TCM'!$L$42</f>
        <v>296.83000000000004</v>
      </c>
      <c r="AY134" s="361">
        <f>'May TCM'!$L$42</f>
        <v>306</v>
      </c>
      <c r="AZ134" s="361">
        <f>'June TCM'!$L$42</f>
        <v>336.41999999999996</v>
      </c>
      <c r="BA134" s="361">
        <f>'July TCM'!$L$42</f>
        <v>134.5</v>
      </c>
      <c r="BB134" s="361">
        <f>'August TCM'!$L$42</f>
        <v>0</v>
      </c>
      <c r="BC134" s="361">
        <f>'September TCM'!$L$42</f>
        <v>73</v>
      </c>
      <c r="BD134" s="361"/>
      <c r="BE134" s="361"/>
      <c r="BF134" s="361"/>
      <c r="BG134" s="98"/>
      <c r="BH134" s="98"/>
      <c r="BI134" s="98"/>
      <c r="BJ134" s="98"/>
      <c r="BK134" s="454"/>
      <c r="BL134" s="98"/>
      <c r="BM134" s="98"/>
      <c r="BN134" s="98"/>
      <c r="BO134" s="98"/>
      <c r="BP134" s="98"/>
      <c r="BQ134" s="98"/>
    </row>
    <row r="135" spans="1:69" ht="18">
      <c r="A135" s="145"/>
      <c r="B135" s="882"/>
      <c r="C135" s="882"/>
      <c r="D135" s="882"/>
      <c r="E135" s="882"/>
      <c r="F135" s="882"/>
      <c r="G135" s="882"/>
      <c r="H135" s="882"/>
      <c r="I135" s="882"/>
      <c r="J135" s="882"/>
      <c r="K135" s="882"/>
      <c r="L135" s="882"/>
      <c r="M135" s="882"/>
      <c r="N135" s="882"/>
      <c r="O135" s="98"/>
      <c r="P135" s="1425"/>
      <c r="Q135" s="1425"/>
      <c r="R135" s="1425"/>
      <c r="S135" s="1425"/>
      <c r="T135" s="1425"/>
      <c r="U135" s="1425"/>
      <c r="V135" s="1425"/>
      <c r="W135" s="1425"/>
      <c r="X135" s="1425" t="str">
        <f>Y141</f>
        <v>September</v>
      </c>
      <c r="Y135" s="1425" t="str">
        <f>Y141</f>
        <v>September</v>
      </c>
      <c r="Z135" s="1425"/>
      <c r="AA135" s="1425"/>
      <c r="AB135" s="1425"/>
      <c r="AC135" s="1425"/>
      <c r="AD135" s="1425"/>
      <c r="AE135" s="1425"/>
      <c r="AF135" s="1425"/>
      <c r="AG135" s="459"/>
      <c r="AH135" s="459"/>
      <c r="AI135" s="108"/>
      <c r="AJ135" s="145"/>
      <c r="AK135" s="145"/>
      <c r="AM135" s="85"/>
      <c r="AN135" s="85"/>
      <c r="AO135" s="85" t="s">
        <v>637</v>
      </c>
      <c r="AP135" s="1"/>
      <c r="AQ135" s="1"/>
      <c r="AR135" s="1"/>
      <c r="AS135" s="1"/>
      <c r="AT135" s="1"/>
      <c r="AU135" s="361">
        <f>'January TCM'!$H$42</f>
        <v>525</v>
      </c>
      <c r="AV135" s="361">
        <f>'February TCM'!$H$42</f>
        <v>738</v>
      </c>
      <c r="AW135" s="361">
        <f>'March TCM'!$H$42</f>
        <v>465.5</v>
      </c>
      <c r="AX135" s="361">
        <f>'April TCM'!$H$42</f>
        <v>269</v>
      </c>
      <c r="AY135" s="361">
        <f>'May TCM'!$H$42</f>
        <v>559.5</v>
      </c>
      <c r="AZ135" s="361">
        <f>'June TCM'!$H$42</f>
        <v>375</v>
      </c>
      <c r="BA135" s="361">
        <f>'July TCM'!$H$42</f>
        <v>31</v>
      </c>
      <c r="BB135" s="361">
        <f>'August TCM'!$H$42</f>
        <v>0</v>
      </c>
      <c r="BC135" s="361">
        <f>'September TCM'!$H$42</f>
        <v>10</v>
      </c>
      <c r="BD135" s="361"/>
      <c r="BE135" s="361"/>
      <c r="BF135" s="361"/>
      <c r="BG135" s="108"/>
      <c r="BH135" s="108"/>
      <c r="BI135" s="108"/>
      <c r="BJ135" s="108"/>
      <c r="BK135" s="108"/>
      <c r="BL135" s="108"/>
      <c r="BM135" s="108">
        <f>BM133-BM134</f>
        <v>21.653333333333332</v>
      </c>
      <c r="BN135" s="108">
        <f>BN133-BN134</f>
        <v>0</v>
      </c>
      <c r="BO135" s="108">
        <f>BO133-BO134</f>
        <v>4.8066666666666666</v>
      </c>
      <c r="BP135" s="98"/>
      <c r="BQ135" s="98"/>
    </row>
    <row r="136" spans="1:69" ht="18">
      <c r="A136" s="145"/>
      <c r="B136" s="975" t="s">
        <v>638</v>
      </c>
      <c r="C136" s="977"/>
      <c r="D136" s="1253"/>
      <c r="E136" s="979">
        <f ca="1">SUM(E137:E140)</f>
        <v>3657</v>
      </c>
      <c r="F136" s="980">
        <f>SUM(F137:F139)</f>
        <v>0</v>
      </c>
      <c r="G136" s="980">
        <f>SUM(G137:G139)</f>
        <v>654000</v>
      </c>
      <c r="H136" s="979">
        <f>SUM(H137:H140)</f>
        <v>57057</v>
      </c>
      <c r="I136" s="981" t="str">
        <f>IFERROR(H136/F136,"")</f>
        <v/>
      </c>
      <c r="J136" s="1529">
        <f>IFERROR(H136/G136,"")</f>
        <v>8.7243119266055047E-2</v>
      </c>
      <c r="K136" s="980">
        <f ca="1">SUM(K137:K139)</f>
        <v>0</v>
      </c>
      <c r="L136" s="980">
        <f ca="1">SUM(L137:L139)</f>
        <v>0</v>
      </c>
      <c r="M136" s="979">
        <f ca="1">SUM(M137:M139)</f>
        <v>0</v>
      </c>
      <c r="N136" s="981" t="str">
        <f ca="1">IFERROR(M136/K136,"")</f>
        <v/>
      </c>
      <c r="O136" s="98"/>
      <c r="P136" s="1425"/>
      <c r="Q136" s="1425"/>
      <c r="R136" s="1425"/>
      <c r="S136" s="1425"/>
      <c r="T136" s="1425"/>
      <c r="U136" s="1425"/>
      <c r="V136" s="1425"/>
      <c r="W136" s="1425"/>
      <c r="X136" s="1425"/>
      <c r="Y136" s="1425"/>
      <c r="Z136" s="1425"/>
      <c r="AA136" s="1425"/>
      <c r="AB136" s="1425"/>
      <c r="AC136" s="1425"/>
      <c r="AD136" s="1425"/>
      <c r="AE136" s="1425"/>
      <c r="AF136" s="1425"/>
      <c r="AG136" s="459"/>
      <c r="AH136" s="459"/>
      <c r="AI136" s="108"/>
      <c r="AJ136" s="145"/>
      <c r="AK136" s="145"/>
      <c r="AU136">
        <v>31</v>
      </c>
      <c r="AV136">
        <v>28</v>
      </c>
      <c r="AW136">
        <v>31</v>
      </c>
      <c r="AX136">
        <v>30</v>
      </c>
      <c r="AY136">
        <v>31</v>
      </c>
      <c r="AZ136">
        <v>30</v>
      </c>
      <c r="BA136">
        <v>31</v>
      </c>
      <c r="BB136">
        <v>31</v>
      </c>
      <c r="BC136">
        <v>31</v>
      </c>
      <c r="BD136">
        <v>31</v>
      </c>
      <c r="BE136">
        <v>30</v>
      </c>
      <c r="BF136">
        <v>31</v>
      </c>
      <c r="BG136" s="455"/>
      <c r="BH136" s="455"/>
      <c r="BI136" s="455"/>
      <c r="BJ136" s="455"/>
      <c r="BK136" s="455"/>
      <c r="BL136" s="455"/>
      <c r="BM136" s="455">
        <f>AVERAGE(BA133:BA135)</f>
        <v>65.5</v>
      </c>
      <c r="BN136" s="455">
        <f>AVERAGE(BB133:BB135)</f>
        <v>0</v>
      </c>
      <c r="BO136" s="455">
        <f>AVERAGE(BC133:BC135)</f>
        <v>31</v>
      </c>
      <c r="BP136" s="455" t="e">
        <f>AVERAGE(BD133:BD135)</f>
        <v>#DIV/0!</v>
      </c>
      <c r="BQ136" s="98"/>
    </row>
    <row r="137" spans="1:69" ht="18" customHeight="1">
      <c r="A137" s="145"/>
      <c r="B137" s="978"/>
      <c r="C137" s="976" t="s">
        <v>16</v>
      </c>
      <c r="D137" s="1254"/>
      <c r="E137" s="520">
        <f ca="1">LOOKUP(B4,'September TCM'!B10:B40,'September TCM'!CI10:CI40)</f>
        <v>0</v>
      </c>
      <c r="F137" s="514"/>
      <c r="G137" s="514">
        <f>'September TCM'!CI43</f>
        <v>172000</v>
      </c>
      <c r="H137" s="521">
        <f>'September TCM'!CI41</f>
        <v>0</v>
      </c>
      <c r="I137" s="521" t="str">
        <f>IFERROR(H137/F137,"")</f>
        <v/>
      </c>
      <c r="J137" s="1514">
        <f>IFERROR(H137/G137,"")</f>
        <v>0</v>
      </c>
      <c r="K137" s="514">
        <f ca="1">SUMIFS(AU184:BF184,AU158:BF158,"&lt;="&amp;MONTH(TODAY()-1))</f>
        <v>0</v>
      </c>
      <c r="L137" s="514">
        <f ca="1">SUMIFS(AU186:BF186,AU158:BF158,"&lt;"&amp;MONTH(TODAY()-1))+SUMIFS(AU185:BF185,AU158:BF158,"="&amp;MONTH(TODAY()-1))</f>
        <v>0</v>
      </c>
      <c r="M137" s="514">
        <f ca="1">SUMIFS(AU186:BF186,AU158:BF158,"&lt;="&amp;MONTH(TODAY()-1))</f>
        <v>0</v>
      </c>
      <c r="N137" s="521" t="str">
        <f ca="1">IFERROR(M137/K137,"")</f>
        <v/>
      </c>
      <c r="O137" s="98"/>
      <c r="P137" s="1425"/>
      <c r="Q137" s="1425">
        <v>15</v>
      </c>
      <c r="R137" s="1425"/>
      <c r="S137" s="1425"/>
      <c r="T137" s="1425"/>
      <c r="U137" s="1425"/>
      <c r="V137" s="1425"/>
      <c r="W137" s="1425"/>
      <c r="X137" s="1425"/>
      <c r="Y137" s="1425"/>
      <c r="Z137" s="1425"/>
      <c r="AA137" s="1425"/>
      <c r="AB137" s="1425"/>
      <c r="AC137" s="1425"/>
      <c r="AD137" s="1425"/>
      <c r="AE137" s="1425"/>
      <c r="AF137" s="1425"/>
      <c r="AG137" s="459"/>
      <c r="AH137" s="459"/>
      <c r="AI137" s="108"/>
      <c r="AJ137" s="145"/>
      <c r="AK137" s="145"/>
      <c r="AL137" s="145"/>
      <c r="AM137" s="116" t="s">
        <v>76</v>
      </c>
      <c r="AN137" s="85"/>
      <c r="AO137" s="85" t="s">
        <v>61</v>
      </c>
      <c r="AP137" s="1402">
        <f>SUMPRODUCT(AU137:BF137,AU60:BF60)/SUM(AU60:BF60)</f>
        <v>6951.5104127692339</v>
      </c>
      <c r="AQ137" s="123">
        <f>SUMPRODUCT(AU137:AW137,AU60:AW60)/SUM(AU60:AW60)</f>
        <v>6883.7633107330557</v>
      </c>
      <c r="AR137" s="124">
        <f>SUMPRODUCT(AX137:AZ137,AX60:AZ60)/SUM(AX60:AZ60)</f>
        <v>6927.5263297954416</v>
      </c>
      <c r="AS137" s="124">
        <f>SUMPRODUCT(BA137:BC137,BA60:BC60)/SUM(BA60:BC60)</f>
        <v>7005.0811692496536</v>
      </c>
      <c r="AT137" s="125">
        <f>SUMPRODUCT(BD137:BF137,BD60:BF60)/SUM(BD60:BF60)</f>
        <v>6977.51163361612</v>
      </c>
      <c r="AU137" s="126">
        <v>6899.68932262014</v>
      </c>
      <c r="AV137" s="124">
        <v>6920.7046925759196</v>
      </c>
      <c r="AW137" s="124">
        <v>6837.7175161940704</v>
      </c>
      <c r="AX137" s="124">
        <v>6917.4437054816199</v>
      </c>
      <c r="AY137" s="124">
        <v>6892.5354336364398</v>
      </c>
      <c r="AZ137" s="124">
        <v>6971.4711116824901</v>
      </c>
      <c r="BA137" s="124">
        <v>7003.1728214274699</v>
      </c>
      <c r="BB137" s="124">
        <v>7005.1292822515597</v>
      </c>
      <c r="BC137" s="124">
        <v>7007.1105163263201</v>
      </c>
      <c r="BD137" s="124">
        <v>6998.8988166613199</v>
      </c>
      <c r="BE137" s="124">
        <v>7011.1861318302499</v>
      </c>
      <c r="BF137" s="125">
        <v>6916.9893191921801</v>
      </c>
      <c r="BG137" s="98"/>
      <c r="BH137" s="98"/>
      <c r="BI137" s="98"/>
      <c r="BJ137" s="98"/>
      <c r="BK137" s="454"/>
      <c r="BL137" s="98"/>
      <c r="BM137" s="98"/>
      <c r="BN137" s="98"/>
      <c r="BO137" s="98"/>
      <c r="BP137" s="98"/>
      <c r="BQ137" s="98"/>
    </row>
    <row r="138" spans="1:69" ht="18" customHeight="1">
      <c r="A138" s="145"/>
      <c r="B138" s="978"/>
      <c r="C138" s="976" t="s">
        <v>17</v>
      </c>
      <c r="D138" s="1254"/>
      <c r="E138" s="520">
        <f ca="1">LOOKUP(B4,'September TCM'!B10:B40,'September TCM'!CJ10:CJ40)</f>
        <v>3657</v>
      </c>
      <c r="F138" s="514"/>
      <c r="G138" s="514">
        <f>'September TCM'!CJ43</f>
        <v>50000</v>
      </c>
      <c r="H138" s="521">
        <f>'September TCM'!CI41</f>
        <v>0</v>
      </c>
      <c r="I138" s="521" t="str">
        <f>IFERROR(H138/F138,"")</f>
        <v/>
      </c>
      <c r="J138" s="1514">
        <f>IFERROR(H138/G138,"")</f>
        <v>0</v>
      </c>
      <c r="K138" s="514">
        <f ca="1">SUMIFS(AU188:BF188,AU158:BF158,"&lt;="&amp;MONTH(TODAY()-1))</f>
        <v>0</v>
      </c>
      <c r="L138" s="514">
        <f ca="1">SUMIFS(AU190:BF190,AU158:BF158,"&lt;"&amp;MONTH(TODAY()-1))+SUMIFS(AU189:BF189,AU158:BF158,"="&amp;MONTH(TODAY()-1))</f>
        <v>0</v>
      </c>
      <c r="M138" s="514">
        <f ca="1">SUMIFS(AU190:BF190,AU158:BF158,"&lt;="&amp;MONTH(TODAY()-1))</f>
        <v>0</v>
      </c>
      <c r="N138" s="521" t="str">
        <f ca="1">IFERROR(M138/K138,"")</f>
        <v/>
      </c>
      <c r="O138" s="98"/>
      <c r="P138" s="1425"/>
      <c r="Q138" s="1425"/>
      <c r="R138" s="1425"/>
      <c r="S138" s="1425"/>
      <c r="T138" s="1425"/>
      <c r="U138" s="1425"/>
      <c r="V138" s="1425"/>
      <c r="W138" s="1425"/>
      <c r="X138" s="1425"/>
      <c r="Y138" s="1425"/>
      <c r="Z138" s="1425"/>
      <c r="AA138" s="1425"/>
      <c r="AB138" s="1425"/>
      <c r="AC138" s="1425"/>
      <c r="AD138" s="1425"/>
      <c r="AE138" s="1425"/>
      <c r="AF138" s="1425"/>
      <c r="AG138" s="459"/>
      <c r="AH138" s="459"/>
      <c r="AI138" s="108"/>
      <c r="AJ138" s="145"/>
      <c r="AK138" s="145"/>
      <c r="AL138" s="98"/>
      <c r="AM138" s="84" t="s">
        <v>11</v>
      </c>
      <c r="AN138" s="85"/>
      <c r="AO138" s="85" t="s">
        <v>62</v>
      </c>
      <c r="AP138" s="1625">
        <f>SUMPRODUCT(AU138:BF138,AU60:BF60)/SUM(AU60:BF60)</f>
        <v>0.69984711029759583</v>
      </c>
      <c r="AQ138" s="1626">
        <f>SUMPRODUCT(AU138:AW138,AU60:AW60)/SUM(AU60:AW60)</f>
        <v>0.69762729927446654</v>
      </c>
      <c r="AR138" s="1627">
        <f>SUMPRODUCT(AX138:AZ138,AX60:AZ60)/SUM(AX60:AZ60)</f>
        <v>0.69570214553510568</v>
      </c>
      <c r="AS138" s="1627">
        <f>SUMPRODUCT(BA138:BC138,BA60:BC60)/SUM(BA60:BC60)</f>
        <v>0.69906882925606717</v>
      </c>
      <c r="AT138" s="1628">
        <f>SUMPRODUCT(BD138:BF138,BD60:BF60)/SUM(BD60:BF60)</f>
        <v>0.70708866812510285</v>
      </c>
      <c r="AU138" s="1635">
        <v>0.68755284295042296</v>
      </c>
      <c r="AV138" s="1636">
        <v>0.71</v>
      </c>
      <c r="AW138" s="1636">
        <v>0.69562560253768502</v>
      </c>
      <c r="AX138" s="1636">
        <v>0.70242536947585099</v>
      </c>
      <c r="AY138" s="1636">
        <v>0.70004919234505303</v>
      </c>
      <c r="AZ138" s="1636">
        <v>0.68477210210086303</v>
      </c>
      <c r="BA138" s="1636">
        <v>0.69274794972370901</v>
      </c>
      <c r="BB138" s="1636">
        <v>0.69235345931569103</v>
      </c>
      <c r="BC138" s="1636">
        <v>0.71329019231723201</v>
      </c>
      <c r="BD138" s="1636">
        <v>0.70971925336255703</v>
      </c>
      <c r="BE138" s="1636">
        <v>0.70871991847577098</v>
      </c>
      <c r="BF138" s="1637">
        <v>0.70233451676372505</v>
      </c>
      <c r="BG138" s="108"/>
      <c r="BH138" s="108"/>
      <c r="BI138" s="108"/>
      <c r="BJ138" s="108"/>
      <c r="BK138" s="108"/>
      <c r="BL138" s="108"/>
      <c r="BM138" s="108"/>
      <c r="BN138" s="108"/>
      <c r="BO138" s="108"/>
      <c r="BP138" s="98"/>
      <c r="BQ138" s="98"/>
    </row>
    <row r="139" spans="1:69" ht="18" customHeight="1">
      <c r="A139" s="145"/>
      <c r="B139" s="978"/>
      <c r="C139" s="976" t="s">
        <v>18</v>
      </c>
      <c r="D139" s="1254"/>
      <c r="E139" s="1230">
        <f ca="1">LOOKUP(B4,'September TCM'!B10:B40,'September TCM'!CK10:CK40)</f>
        <v>0</v>
      </c>
      <c r="F139" s="514"/>
      <c r="G139" s="514">
        <f>'September TCM'!CK43</f>
        <v>432000</v>
      </c>
      <c r="H139" s="521">
        <f>'September TCM'!CK42</f>
        <v>57057</v>
      </c>
      <c r="I139" s="521" t="str">
        <f>IFERROR(H139/F139,"")</f>
        <v/>
      </c>
      <c r="J139" s="1514">
        <f>IFERROR(H139/G139,"")</f>
        <v>0.1320763888888889</v>
      </c>
      <c r="K139" s="514">
        <f ca="1">SUMIFS(AU192:BF192,AU158:BF158,"&lt;="&amp;MONTH(TODAY()-1))</f>
        <v>0</v>
      </c>
      <c r="L139" s="514">
        <f ca="1">SUMIFS(AU194:BF194,AU158:BF158,"&lt;"&amp;MONTH(TODAY()-1))+SUMIFS(AU193:BF193,AU158:BF158,"="&amp;MONTH(TODAY()-1))</f>
        <v>0</v>
      </c>
      <c r="M139" s="514">
        <f ca="1">SUMIFS(AU194:BF194,AU158:BF158,"&lt;="&amp;MONTH(TODAY()-1))</f>
        <v>0</v>
      </c>
      <c r="N139" s="521" t="str">
        <f ca="1">IFERROR(M139/K139,"")</f>
        <v/>
      </c>
      <c r="O139" s="98"/>
      <c r="P139" s="1425"/>
      <c r="Q139" s="1425"/>
      <c r="R139" s="1425"/>
      <c r="S139" s="1425"/>
      <c r="T139" s="1425"/>
      <c r="U139" s="1425"/>
      <c r="V139" s="1425"/>
      <c r="W139" s="1425"/>
      <c r="X139" s="1425"/>
      <c r="Y139" s="1425"/>
      <c r="Z139" s="1425"/>
      <c r="AA139" s="1425"/>
      <c r="AB139" s="1425"/>
      <c r="AC139" s="1425"/>
      <c r="AD139" s="1425"/>
      <c r="AE139" s="1425"/>
      <c r="AF139" s="1425"/>
      <c r="AG139" s="459"/>
      <c r="AH139" s="459"/>
      <c r="AI139" s="108"/>
      <c r="AJ139" s="145"/>
      <c r="AK139" s="145"/>
      <c r="AL139" s="98"/>
      <c r="AM139" s="84"/>
      <c r="AN139" s="85"/>
      <c r="AO139" s="85" t="s">
        <v>639</v>
      </c>
      <c r="AP139" s="1629">
        <f>SUMPRODUCT(AU139:BF139,AU60:BF60)/SUM(AU60:BF60)</f>
        <v>4.0613211710870054</v>
      </c>
      <c r="AQ139" s="1630">
        <f>SUMPRODUCT(AU139:AW139,AU60:AW60)/SUM(AU60:AW60)</f>
        <v>4.4219010700694064</v>
      </c>
      <c r="AR139" s="1631">
        <f>SUMPRODUCT(AX139:AZ139,AX60:AZ60)/SUM(AX60:AZ60)</f>
        <v>3.814696387473306</v>
      </c>
      <c r="AS139" s="1631">
        <f>SUMPRODUCT(BA139:BC139,BA60:BC60)/SUM(BA60:BC60)</f>
        <v>3.7799503699835735</v>
      </c>
      <c r="AT139" s="1632">
        <f>SUMPRODUCT(BD139:BF139,BD60:BF60)/SUM(BD60:BF60)</f>
        <v>4.30114475769608</v>
      </c>
      <c r="AU139" s="1638">
        <v>5.0644126699463703</v>
      </c>
      <c r="AV139" s="1639">
        <v>4.1284811270984196</v>
      </c>
      <c r="AW139" s="1639">
        <v>4.1178534979254904</v>
      </c>
      <c r="AX139" s="1639">
        <v>4.0782326864717504</v>
      </c>
      <c r="AY139" s="1639">
        <v>3.77604012023808</v>
      </c>
      <c r="AZ139" s="1639">
        <v>3.5885693793476601</v>
      </c>
      <c r="BA139" s="1639">
        <v>3.66740830228746</v>
      </c>
      <c r="BB139" s="1639">
        <v>3.7151399557650699</v>
      </c>
      <c r="BC139" s="1639">
        <v>3.9734258047995201</v>
      </c>
      <c r="BD139" s="1639">
        <v>4.0788439540768202</v>
      </c>
      <c r="BE139" s="1639">
        <v>4.4404218416831398</v>
      </c>
      <c r="BF139" s="1640">
        <v>4.4059773718462401</v>
      </c>
      <c r="BG139" s="98"/>
      <c r="BH139" s="98"/>
      <c r="BI139" s="98"/>
      <c r="BJ139" s="98"/>
      <c r="BK139" s="454"/>
      <c r="BL139" s="98"/>
      <c r="BM139" s="98"/>
      <c r="BN139" s="98"/>
      <c r="BO139" s="98"/>
      <c r="BP139" s="98"/>
      <c r="BQ139" s="98"/>
    </row>
    <row r="140" spans="1:69" ht="18" customHeight="1">
      <c r="A140" s="145"/>
      <c r="B140" s="978"/>
      <c r="C140" s="976" t="s">
        <v>83</v>
      </c>
      <c r="D140" s="1254"/>
      <c r="E140" s="1230">
        <f ca="1">LOOKUP(B4,'September TCM'!B10:B40,'September TCM'!CL10:CL40)</f>
        <v>0</v>
      </c>
      <c r="F140" s="514"/>
      <c r="G140" s="514">
        <f>'September TCM'!CL43</f>
        <v>0</v>
      </c>
      <c r="H140" s="521">
        <f>'September TCM'!CL42</f>
        <v>0</v>
      </c>
      <c r="I140" s="521" t="str">
        <f>IFERROR(H140/F140,"")</f>
        <v/>
      </c>
      <c r="J140" s="1514" t="str">
        <f>IFERROR(H140/G140,"")</f>
        <v/>
      </c>
      <c r="K140" s="514">
        <f ca="1">SUMIFS(AU193:BF193,AU159:BF159,"&lt;="&amp;MONTH(TODAY()-1))</f>
        <v>0</v>
      </c>
      <c r="L140" s="514">
        <f ca="1">SUMIFS(AU195:BF195,AU159:BF159,"&lt;"&amp;MONTH(TODAY()-1))+SUMIFS(AU194:BF194,AU159:BF159,"="&amp;MONTH(TODAY()-1))</f>
        <v>0</v>
      </c>
      <c r="M140" s="514">
        <f ca="1">SUMIFS(AU195:BF195,AU159:BF159,"&lt;="&amp;MONTH(TODAY()-1))</f>
        <v>0</v>
      </c>
      <c r="N140" s="521" t="str">
        <f ca="1">IFERROR(M140/K140,"")</f>
        <v/>
      </c>
      <c r="O140" s="98"/>
      <c r="P140" s="1425"/>
      <c r="Q140" s="1425"/>
      <c r="R140" s="1425"/>
      <c r="S140" s="1425"/>
      <c r="T140" s="1425"/>
      <c r="U140" s="1425"/>
      <c r="V140" s="1425"/>
      <c r="W140" s="1425"/>
      <c r="X140" s="1425"/>
      <c r="Y140" s="1425"/>
      <c r="Z140" s="1425"/>
      <c r="AA140" s="1425"/>
      <c r="AB140" s="1425"/>
      <c r="AC140" s="1425">
        <f ca="1">IF((MONTH(TODAY()-1)+1)&gt;12,1,MONTH(TODAY()-1)+1)</f>
        <v>10</v>
      </c>
      <c r="AD140" s="1425"/>
      <c r="AE140" s="1425"/>
      <c r="AF140" s="1425"/>
      <c r="AG140" s="459"/>
      <c r="AH140" s="459"/>
      <c r="AI140" s="108"/>
      <c r="AJ140" s="145"/>
      <c r="AK140" s="145"/>
      <c r="AL140" s="98"/>
    </row>
    <row r="141" spans="1:69" ht="18" customHeight="1">
      <c r="A141" s="145"/>
      <c r="B141" s="369"/>
      <c r="C141" s="369"/>
      <c r="D141" s="369"/>
      <c r="E141" s="369"/>
      <c r="F141" s="369"/>
      <c r="G141" s="369"/>
      <c r="H141" s="369"/>
      <c r="I141" s="369"/>
      <c r="J141" s="369"/>
      <c r="K141" s="369"/>
      <c r="L141" s="1232"/>
      <c r="M141" s="1232">
        <f>M145</f>
        <v>1</v>
      </c>
      <c r="N141" s="1232"/>
      <c r="O141" s="98"/>
      <c r="P141" s="1425" t="str">
        <f>N145&amp;" budget"</f>
        <v>CV budget</v>
      </c>
      <c r="Q141" s="1425" t="str">
        <f ca="1">F2</f>
        <v>September</v>
      </c>
      <c r="R141" s="1425"/>
      <c r="S141" s="1425"/>
      <c r="T141" s="1425"/>
      <c r="U141" s="1425"/>
      <c r="V141" s="1425"/>
      <c r="W141" s="1425"/>
      <c r="X141" s="1425"/>
      <c r="Y141" s="1425" t="s">
        <v>570</v>
      </c>
      <c r="Z141" s="1425" t="str">
        <f>Y141</f>
        <v>September</v>
      </c>
      <c r="AA141" s="1425">
        <f ca="1">DAY(TODAY()-1)</f>
        <v>7</v>
      </c>
      <c r="AB141" s="1425">
        <f ca="1">IF(AC140=1,YEAR(NOW()-1)+1,YEAR(NOW()-1))</f>
        <v>2026</v>
      </c>
      <c r="AC141" s="1425">
        <f ca="1">IF(Z141=F2,DAY((DATE(AB141,AC140,1)-1)),0)</f>
        <v>30</v>
      </c>
      <c r="AD141" s="1425"/>
      <c r="AE141" s="1425"/>
      <c r="AF141" s="1425"/>
      <c r="AG141" s="459"/>
      <c r="AH141" s="459"/>
      <c r="AI141" s="108"/>
      <c r="AJ141" s="145"/>
      <c r="AK141" s="145"/>
      <c r="AL141" s="98"/>
      <c r="AM141" s="116" t="s">
        <v>76</v>
      </c>
      <c r="AN141" s="85"/>
      <c r="AO141" s="86" t="s">
        <v>61</v>
      </c>
      <c r="AP141" s="1402">
        <f>SUMPRODUCT(AU141:BF141,AU61:BF61)/SUM(AU61:BF61)</f>
        <v>6945.4331309146764</v>
      </c>
      <c r="AQ141" s="123">
        <f>SUMPRODUCT(AU141:AW141,AU61:AW61)/SUM(AU61:AW61)</f>
        <v>6891.9045591736258</v>
      </c>
      <c r="AR141" s="124">
        <f>SUMPRODUCT(AX141:AZ141,AX61:AZ61)/SUM(AX61:AZ61)</f>
        <v>6927.4805595507623</v>
      </c>
      <c r="AS141" s="124">
        <f>SUMPRODUCT(BA141:BC141,BA61:BC61)/SUM(BA61:BC61)</f>
        <v>7005.1847122416584</v>
      </c>
      <c r="AT141" s="125">
        <f>SUMPRODUCT(BD141:BF141,BD61:BF61)/SUM(BD61:BF61)</f>
        <v>6975.334145764099</v>
      </c>
      <c r="AU141" s="126">
        <v>6899.68932262014</v>
      </c>
      <c r="AV141" s="124">
        <v>6920.7046925759196</v>
      </c>
      <c r="AW141" s="124">
        <v>6837.7175161940704</v>
      </c>
      <c r="AX141" s="124">
        <v>6917.4437054816199</v>
      </c>
      <c r="AY141" s="124">
        <v>6892.5354336364398</v>
      </c>
      <c r="AZ141" s="124">
        <v>6971.4711116824901</v>
      </c>
      <c r="BA141" s="124">
        <v>7003.1728214274699</v>
      </c>
      <c r="BB141" s="124">
        <v>7005.1292822515597</v>
      </c>
      <c r="BC141" s="124">
        <v>7007.1105163263201</v>
      </c>
      <c r="BD141" s="124">
        <v>6998.8988166613199</v>
      </c>
      <c r="BE141" s="124">
        <v>7011.1861318302499</v>
      </c>
      <c r="BF141" s="125">
        <v>6916.9893191921801</v>
      </c>
      <c r="BG141" s="887"/>
    </row>
    <row r="142" spans="1:69" ht="18" customHeight="1">
      <c r="A142" s="145"/>
      <c r="B142" s="369"/>
      <c r="C142" s="369"/>
      <c r="D142" s="369"/>
      <c r="E142" s="369"/>
      <c r="F142" s="369"/>
      <c r="G142" s="369"/>
      <c r="H142" s="369"/>
      <c r="I142" s="369"/>
      <c r="J142" s="369"/>
      <c r="K142" s="369"/>
      <c r="L142" s="369"/>
      <c r="M142" s="369"/>
      <c r="N142" s="369"/>
      <c r="O142" s="145"/>
      <c r="P142" s="1425" t="str">
        <f>N145&amp;" actual"</f>
        <v>CV actual</v>
      </c>
      <c r="Q142" s="1426" t="s">
        <v>3</v>
      </c>
      <c r="R142" s="1426" t="s">
        <v>126</v>
      </c>
      <c r="S142" s="1426" t="s">
        <v>127</v>
      </c>
      <c r="T142" s="1426" t="s">
        <v>178</v>
      </c>
      <c r="U142" s="1426" t="s">
        <v>88</v>
      </c>
      <c r="V142" s="1426" t="s">
        <v>81</v>
      </c>
      <c r="W142" s="1426" t="s">
        <v>37</v>
      </c>
      <c r="X142" s="1425"/>
      <c r="Y142" s="1425"/>
      <c r="Z142" s="1425" t="s">
        <v>11</v>
      </c>
      <c r="AA142" s="1425" t="s">
        <v>13</v>
      </c>
      <c r="AB142" s="1425" t="s">
        <v>12</v>
      </c>
      <c r="AC142" s="1427" t="s">
        <v>640</v>
      </c>
      <c r="AD142" s="1427" t="s">
        <v>641</v>
      </c>
      <c r="AE142" s="1427" t="s">
        <v>642</v>
      </c>
      <c r="AF142" s="1427" t="s">
        <v>643</v>
      </c>
      <c r="AG142" s="459"/>
      <c r="AH142" s="459"/>
      <c r="AI142" s="108"/>
      <c r="AJ142" s="145"/>
      <c r="AK142" s="145"/>
      <c r="AL142" s="98"/>
      <c r="AM142" s="84" t="s">
        <v>12</v>
      </c>
      <c r="AN142" s="85"/>
      <c r="AO142" s="86" t="s">
        <v>62</v>
      </c>
      <c r="AP142" s="1625">
        <f>SUMPRODUCT(AU142:BF142,AU61:BF61)/SUM(AU61:BF61)</f>
        <v>0.70016458612157328</v>
      </c>
      <c r="AQ142" s="1626">
        <f>SUMPRODUCT(AU142:AW142,AU61:AW61)/SUM(AU61:AW61)</f>
        <v>0.69722417464875508</v>
      </c>
      <c r="AR142" s="1627">
        <f>SUMPRODUCT(AX142:AZ142,AX61:AZ61)/SUM(AX61:AZ61)</f>
        <v>0.69594568490072084</v>
      </c>
      <c r="AS142" s="1627">
        <f>SUMPRODUCT(BA142:BC142,BA61:BC61)/SUM(BA61:BC61)</f>
        <v>0.6999623607617711</v>
      </c>
      <c r="AT142" s="1628">
        <f>SUMPRODUCT(BD142:BF142,BD61:BF61)/SUM(BD61:BF61)</f>
        <v>0.70687139420008493</v>
      </c>
      <c r="AU142" s="1633">
        <v>0.68755284295042296</v>
      </c>
      <c r="AV142" s="1627">
        <v>0.71</v>
      </c>
      <c r="AW142" s="1627">
        <v>0.69562560253768502</v>
      </c>
      <c r="AX142" s="1627">
        <v>0.70242536947585099</v>
      </c>
      <c r="AY142" s="1627">
        <v>0.70004919234505303</v>
      </c>
      <c r="AZ142" s="1627">
        <v>0.68477210210086303</v>
      </c>
      <c r="BA142" s="1627">
        <v>0.69274794972370901</v>
      </c>
      <c r="BB142" s="1627">
        <v>0.69235345931569103</v>
      </c>
      <c r="BC142" s="1627">
        <v>0.71329019231723201</v>
      </c>
      <c r="BD142" s="1627">
        <v>0.70971925336255703</v>
      </c>
      <c r="BE142" s="1627">
        <v>0.70871991847577098</v>
      </c>
      <c r="BF142" s="1628">
        <v>0.70233451676372505</v>
      </c>
    </row>
    <row r="143" spans="1:69" ht="18" customHeight="1">
      <c r="A143" s="145"/>
      <c r="B143" s="369"/>
      <c r="C143" s="369"/>
      <c r="D143" s="369"/>
      <c r="E143" s="369"/>
      <c r="F143" s="369"/>
      <c r="G143" s="369"/>
      <c r="H143" s="369"/>
      <c r="I143" s="369"/>
      <c r="J143" s="369"/>
      <c r="K143" s="369"/>
      <c r="L143" s="369"/>
      <c r="M143" s="1366">
        <f ca="1">IF(AND(N144="HCV-LS",N145="CV"),F52,IF(AND(N144="HCV-LS",N145="TS"),F53,IF(AND(N144="HCV-LS",N145="ASH"),F54,IF(AND(N144="HCV-HS (SMI)",N145="CV"),F60,IF(AND(N144="HCV-HS (SMI)",N145="TS"),F61,IF(AND(N144="HCV-HS (SMI)",N145="ASH"),F62,IF(AND(N144="HCV-HS",N145="CV"),F56,IF(AND(N144="HCV-HS",N145="TS"),F57,F58))))))))</f>
        <v>7007.1105163263201</v>
      </c>
      <c r="N143" s="369"/>
      <c r="O143" s="145">
        <v>1</v>
      </c>
      <c r="P143" s="1425">
        <f>O143</f>
        <v>1</v>
      </c>
      <c r="Q143" s="1425">
        <f>LOOKUP(P143,'September TCM'!$B$10:$B$40,'September TCM'!$C$10:$C$40)</f>
        <v>167482</v>
      </c>
      <c r="R143" s="1425">
        <f>LOOKUP(P143,'September TCM'!$B$10:$B$40,'September TCM'!$D$10:$D$40)</f>
        <v>7153.6</v>
      </c>
      <c r="S143" s="1425">
        <f>IFERROR(Q143/R143,"")</f>
        <v>23.412267949004697</v>
      </c>
      <c r="T143" s="1425">
        <f>LOOKUP(P143,'September TCM'!$B$10:$B$40,'September TCM'!$GO$10:$GO$40)</f>
        <v>0</v>
      </c>
      <c r="U143" s="1425">
        <f>LOOKUP(P143,'September TCM'!$B$10:$B$40,'September TCM'!$LK$10:$LK$40)</f>
        <v>0</v>
      </c>
      <c r="V143" s="1426">
        <f>LOOKUP(P143,'September TCM'!$B$10:$B$40,'September TCM'!$K$10:$K$40)/24</f>
        <v>0</v>
      </c>
      <c r="W143" s="1426">
        <f>LOOKUP(P143,'September TCM'!$B$10:$B$40,'September TCM'!$M$10:$M$40)/24</f>
        <v>0</v>
      </c>
      <c r="X143" s="1425"/>
      <c r="Y143" s="1425" t="s">
        <v>3</v>
      </c>
      <c r="Z143" s="1425">
        <f>LOOKUP(MATCH($Z$141,AU3:BF3,0),AU4:BF4,AU5:BF5)/1000</f>
        <v>5025</v>
      </c>
      <c r="AA143" s="1425">
        <f>LOOKUP(MATCH($Z$141,AU3:BF3,0),AU4:BF4,AU7:BF7)/1000</f>
        <v>1092.502</v>
      </c>
      <c r="AB143" s="1425">
        <f>LOOKUP(MATCH($Z$141,AU3:BF3,0),AU4:BF4,AU6:BF6)/1000</f>
        <v>4030</v>
      </c>
      <c r="AC143" s="1428">
        <f>+IFERROR(AA143/Z143,"")</f>
        <v>0.21741333333333332</v>
      </c>
      <c r="AD143" s="1428">
        <f>IFERROR(AA143/AB143,"")</f>
        <v>0.27109230769230769</v>
      </c>
      <c r="AE143" s="1425">
        <f ca="1">IFERROR((AA143/(Z143*$AA$141/$AC$141))-0.05,"")</f>
        <v>0.88177142857142854</v>
      </c>
      <c r="AF143" s="1425">
        <f ca="1">IFERROR((AA143/(AB143*$AA$141/$AC$141))-0.05,"")</f>
        <v>1.1118241758241756</v>
      </c>
      <c r="AG143" s="459"/>
      <c r="AH143" s="459"/>
      <c r="AI143" s="108"/>
      <c r="AJ143" s="145"/>
      <c r="AK143" s="145"/>
      <c r="AL143" s="98"/>
      <c r="AM143" s="84"/>
      <c r="AN143" s="85"/>
      <c r="AO143" s="86" t="s">
        <v>639</v>
      </c>
      <c r="AP143" s="1629">
        <f>SUMPRODUCT(AU143:BF143,AU61:BF61)/SUM(AU61:BF61)</f>
        <v>4.1636772422381387</v>
      </c>
      <c r="AQ143" s="1630">
        <f>SUMPRODUCT(AU143:AW143,AU61:AW61)/SUM(AU61:AW61)</f>
        <v>4.5134414026185805</v>
      </c>
      <c r="AR143" s="1631">
        <f>SUMPRODUCT(AX143:AZ143,AX61:AZ61)/SUM(AX61:AZ61)</f>
        <v>3.8265882183384292</v>
      </c>
      <c r="AS143" s="1631">
        <f>SUMPRODUCT(BA143:BC143,BA61:BC61)/SUM(BA61:BC61)</f>
        <v>3.7914743506895987</v>
      </c>
      <c r="AT143" s="1632">
        <f>SUMPRODUCT(BD143:BF143,BD61:BF61)/SUM(BD61:BF61)</f>
        <v>4.3139256534438024</v>
      </c>
      <c r="AU143" s="1634">
        <v>5.0644126699463703</v>
      </c>
      <c r="AV143" s="1631">
        <v>4.1284811270984196</v>
      </c>
      <c r="AW143" s="1631">
        <v>4.1178534979254904</v>
      </c>
      <c r="AX143" s="1631">
        <v>4.0782326864717504</v>
      </c>
      <c r="AY143" s="1631">
        <v>3.77604012023808</v>
      </c>
      <c r="AZ143" s="1631">
        <v>3.5885693793476601</v>
      </c>
      <c r="BA143" s="1631">
        <v>3.66740830228746</v>
      </c>
      <c r="BB143" s="1631">
        <v>3.7151399557650699</v>
      </c>
      <c r="BC143" s="1631">
        <v>3.9734258047995201</v>
      </c>
      <c r="BD143" s="1631">
        <v>4.0788439540768202</v>
      </c>
      <c r="BE143" s="1631">
        <v>4.4404218416831398</v>
      </c>
      <c r="BF143" s="1632">
        <v>4.4059773718462401</v>
      </c>
    </row>
    <row r="144" spans="1:69" ht="24.6" customHeight="1">
      <c r="A144" s="145"/>
      <c r="B144" s="369"/>
      <c r="C144" s="369"/>
      <c r="D144" s="369"/>
      <c r="E144" s="369"/>
      <c r="F144" s="369"/>
      <c r="G144" s="369"/>
      <c r="H144" s="369"/>
      <c r="I144" s="369"/>
      <c r="J144" s="369"/>
      <c r="K144" s="369"/>
      <c r="L144" s="369"/>
      <c r="M144" s="369">
        <f>M145</f>
        <v>1</v>
      </c>
      <c r="N144" s="369" t="str">
        <f>IF(M141=1,"HCV-LS",IF(M141=2,"HCV-HS","HCV-HS (SMI)"))</f>
        <v>HCV-LS</v>
      </c>
      <c r="O144" s="145"/>
      <c r="P144" s="1425">
        <f t="shared" ref="P144:P149" si="75">P143+1</f>
        <v>2</v>
      </c>
      <c r="Q144" s="1425">
        <f>LOOKUP(P144,'September TCM'!$B$10:$B$40,'September TCM'!$C$10:$C$40)</f>
        <v>162553</v>
      </c>
      <c r="R144" s="1425">
        <f>LOOKUP(P144,'September TCM'!$B$10:$B$40,'September TCM'!$D$10:$D$40)</f>
        <v>10467.84</v>
      </c>
      <c r="S144" s="1425">
        <f t="shared" ref="S144:S149" si="76">IFERROR(Q144/R144,"")</f>
        <v>15.528800593054536</v>
      </c>
      <c r="T144" s="1425">
        <f>LOOKUP(P144,'September TCM'!$B$10:$B$40,'September TCM'!$GO$10:$GO$40)</f>
        <v>0</v>
      </c>
      <c r="U144" s="1425">
        <f>LOOKUP(P144,'September TCM'!$B$10:$B$40,'September TCM'!$LK$10:$LK$40)</f>
        <v>0</v>
      </c>
      <c r="V144" s="1426">
        <f>LOOKUP(P144,'September TCM'!$B$10:$B$40,'September TCM'!$K$10:$K$40)/24</f>
        <v>0</v>
      </c>
      <c r="W144" s="1426">
        <f>LOOKUP(P144,'September TCM'!$B$10:$B$40,'September TCM'!$M$10:$M$40)/24</f>
        <v>0</v>
      </c>
      <c r="X144" s="1425" t="s">
        <v>559</v>
      </c>
      <c r="Y144" s="1425" t="s">
        <v>614</v>
      </c>
      <c r="Z144" s="1425">
        <f>LOOKUP(MATCH($Z$141,AU3:BF3,0),AU4:BF4,AU10:BF10)/1000</f>
        <v>360</v>
      </c>
      <c r="AA144" s="1425">
        <f>LOOKUP(MATCH($Z$141,AU3:BF3,0),AU4:BF4,AU12:BF12)/1000</f>
        <v>58.487259999999999</v>
      </c>
      <c r="AB144" s="1425">
        <f>LOOKUP(MATCH($Z$141,AU3:BF3,0),AU4:BF4,AU11:BF11)/1000</f>
        <v>325</v>
      </c>
      <c r="AC144" s="1428">
        <f>+IFERROR(AA144/Z144,"")</f>
        <v>0.1624646111111111</v>
      </c>
      <c r="AD144" s="1428">
        <f>IFERROR(AA144/AB144,"")</f>
        <v>0.1799608</v>
      </c>
      <c r="AE144" s="1425">
        <f ca="1">IFERROR((AA144/(Z144*$AA$141/$AC$141))-0.05,"")</f>
        <v>0.64627690476190469</v>
      </c>
      <c r="AF144" s="1425">
        <f ca="1">IFERROR((AA144/(AB144*$AA$141/$AC$141))-0.05,"")</f>
        <v>0.72126057142857147</v>
      </c>
      <c r="AG144" s="459"/>
      <c r="AH144" s="459"/>
      <c r="AI144" s="108"/>
      <c r="AJ144" s="145"/>
      <c r="AK144" s="145"/>
      <c r="AL144" s="98"/>
    </row>
    <row r="145" spans="1:58" ht="15.6">
      <c r="A145" s="145"/>
      <c r="B145" s="369"/>
      <c r="C145" s="369"/>
      <c r="D145" s="369"/>
      <c r="E145" s="369"/>
      <c r="F145" s="369"/>
      <c r="G145" s="369"/>
      <c r="H145" s="369"/>
      <c r="I145" s="369"/>
      <c r="J145" s="369"/>
      <c r="K145" s="369"/>
      <c r="L145" s="369"/>
      <c r="M145" s="369">
        <v>1</v>
      </c>
      <c r="N145" s="369" t="str">
        <f>IF(M145=1,"CV",IF(M145=2,"CV","CV"))</f>
        <v>CV</v>
      </c>
      <c r="O145" s="145"/>
      <c r="P145" s="1425">
        <f t="shared" si="75"/>
        <v>3</v>
      </c>
      <c r="Q145" s="1425">
        <f>LOOKUP(P145,'September TCM'!$B$10:$B$40,'September TCM'!$C$10:$C$40)</f>
        <v>168294</v>
      </c>
      <c r="R145" s="1425">
        <f>LOOKUP(P145,'September TCM'!$B$10:$B$40,'September TCM'!$D$10:$D$40)</f>
        <v>12107.04</v>
      </c>
      <c r="S145" s="1425">
        <f t="shared" si="76"/>
        <v>13.900507473337825</v>
      </c>
      <c r="T145" s="1425">
        <f>LOOKUP(P145,'September TCM'!$B$10:$B$40,'September TCM'!$GO$10:$GO$40)</f>
        <v>0</v>
      </c>
      <c r="U145" s="1425">
        <f>LOOKUP(P145,'September TCM'!$B$10:$B$40,'September TCM'!$LK$10:$LK$40)</f>
        <v>0</v>
      </c>
      <c r="V145" s="1426">
        <f>LOOKUP(P145,'September TCM'!$B$10:$B$40,'September TCM'!$K$10:$K$40)/24</f>
        <v>0</v>
      </c>
      <c r="W145" s="1426">
        <f>LOOKUP(P145,'September TCM'!$B$10:$B$40,'September TCM'!$M$10:$M$40)/24</f>
        <v>0</v>
      </c>
      <c r="X145" s="1425"/>
      <c r="Y145" s="1425" t="s">
        <v>644</v>
      </c>
      <c r="Z145" s="1425">
        <f>LOOKUP(MATCH($Z$141,AU3:BF3,0),AU4:BF4,AU55:BF55)/1000</f>
        <v>360</v>
      </c>
      <c r="AA145" s="1425">
        <f>LOOKUP(MATCH($Z$141,AU3:BF3,0),AU4:BF4,AU57:BF57)/1000</f>
        <v>49.565759999999997</v>
      </c>
      <c r="AB145" s="1425">
        <f>LOOKUP(MATCH($Z$141,AU3:BF3,0),AU4:BF4,AU56:BF56)/1000</f>
        <v>270</v>
      </c>
      <c r="AC145" s="1428">
        <f>+IFERROR(AA145/Z145,"")</f>
        <v>0.13768266666666665</v>
      </c>
      <c r="AD145" s="1428">
        <f>IFERROR(AA145/AB145,"")</f>
        <v>0.18357688888888887</v>
      </c>
      <c r="AE145" s="1425">
        <f ca="1">IFERROR((AA145/(Z145*$AA$141/$AC$141))-0.05,"")</f>
        <v>0.54006857142857134</v>
      </c>
      <c r="AF145" s="1425">
        <f ca="1">IFERROR((AA145/(AB145*$AA$141/$AC$141))-0.05,"")</f>
        <v>0.7367580952380951</v>
      </c>
      <c r="AG145" s="459"/>
      <c r="AH145" s="459"/>
      <c r="AI145" s="108"/>
      <c r="AJ145" s="145"/>
      <c r="AK145" s="145"/>
      <c r="AL145" s="98"/>
      <c r="AM145" s="116" t="s">
        <v>76</v>
      </c>
      <c r="AN145" s="85"/>
      <c r="AO145" s="86" t="s">
        <v>61</v>
      </c>
      <c r="AP145" s="1402">
        <f>SUMPRODUCT(AU145:BF145,AU62:BF62)/SUM(AU62:BF62)</f>
        <v>7019.7599984287826</v>
      </c>
      <c r="AQ145" s="123">
        <f>SUMPRODUCT(AU145:AW145,AU62:AW62)/SUM(AU62:AW62)</f>
        <v>7019.9640865046558</v>
      </c>
      <c r="AR145" s="124">
        <f>SUMPRODUCT(AX145:AZ145,AX62:AZ62)/SUM(AX62:AZ62)</f>
        <v>6989.3662689569001</v>
      </c>
      <c r="AS145" s="124">
        <f>SUMPRODUCT(BA145:BC145,BA62:BC62)/SUM(BA62:BC62)</f>
        <v>7052.057383096404</v>
      </c>
      <c r="AT145" s="125" t="e">
        <f>SUMPRODUCT(BD145:BF145,BD62:BF62)/SUM(BD62:BF62)</f>
        <v>#DIV/0!</v>
      </c>
      <c r="AU145" s="134">
        <f>'January TCM'!$KN$42</f>
        <v>7030.677559276005</v>
      </c>
      <c r="AV145" s="134">
        <f>'February TCM'!$KN$42</f>
        <v>6977.6796518456449</v>
      </c>
      <c r="AW145" s="134">
        <f>'March TCM'!$KN$42</f>
        <v>7049.0304796294886</v>
      </c>
      <c r="AX145" s="134">
        <f>'April TCM'!$KN$42</f>
        <v>7023.7351826874046</v>
      </c>
      <c r="AY145" s="134">
        <f>'May TCM'!$KO$42</f>
        <v>6961.0995691513381</v>
      </c>
      <c r="AZ145" s="134">
        <f>'June TCM'!$KO$42</f>
        <v>6982.6959616343966</v>
      </c>
      <c r="BA145" s="134">
        <f>'July TCM'!$KO$42</f>
        <v>7108.9606814956769</v>
      </c>
      <c r="BB145" s="134">
        <f>'August TCM'!$KP$42</f>
        <v>6987.2543572141067</v>
      </c>
      <c r="BC145" s="134">
        <f>'September TCM'!$KP$42</f>
        <v>7087.9052106067675</v>
      </c>
      <c r="BD145" s="134"/>
      <c r="BE145" s="134"/>
      <c r="BF145" s="134"/>
    </row>
    <row r="146" spans="1:58" ht="15.6">
      <c r="A146" s="145"/>
      <c r="B146" s="369"/>
      <c r="C146" s="369"/>
      <c r="D146" s="369"/>
      <c r="E146" s="369"/>
      <c r="F146" s="369"/>
      <c r="G146" s="369"/>
      <c r="H146" s="369"/>
      <c r="I146" s="369"/>
      <c r="J146" s="369"/>
      <c r="K146" s="369"/>
      <c r="L146" s="369"/>
      <c r="M146" s="1366">
        <f>IF(N146=0,0,$M$143)</f>
        <v>0</v>
      </c>
      <c r="N146" s="1366" cm="1">
        <f t="array" ref="N146">IFERROR(INDEX('January TCM'!$A$1:$Z$500, 'Summary TCM'!$P$143, IF(ISNUMBER(SEARCH("HCV-LS", $N$145)), MATCH($N$144, 'January TCM'!$A$1:$A$500, 0), IF(ISNUMBER(SEARCH("HCV-HS", $N$145)), 5+MATCH($N$144, 'January TCM'!$A$1:$A$500, 0), IF(ISNUMBER(SEARCH("HCV-HS (SMI)", $N$145)), 5+MATCH($N$144, 'January TCM'!$A$1:$A$500, 0), IF(ISNUMBER(SEARCH("HCV-LS (SMI)", $N$145)), 10+MATCH($N$144, 'January TCM'!$A$1:$A$500, 0), 1))))), "Tidak Ditemukan")</f>
        <v>0</v>
      </c>
      <c r="O146" s="145"/>
      <c r="P146" s="1425">
        <f t="shared" si="75"/>
        <v>4</v>
      </c>
      <c r="Q146" s="1425">
        <f>LOOKUP(P146,'September TCM'!$B$10:$B$40,'September TCM'!$C$10:$C$40)</f>
        <v>117831</v>
      </c>
      <c r="R146" s="1425">
        <f>LOOKUP(P146,'September TCM'!$B$10:$B$40,'September TCM'!$D$10:$D$40)</f>
        <v>6924.8399999999992</v>
      </c>
      <c r="S146" s="1425">
        <f t="shared" si="76"/>
        <v>17.015700001732895</v>
      </c>
      <c r="T146" s="1425">
        <f>LOOKUP(P146,'September TCM'!$B$10:$B$40,'September TCM'!$GO$10:$GO$40)</f>
        <v>0</v>
      </c>
      <c r="U146" s="1425">
        <f>LOOKUP(P146,'September TCM'!$B$10:$B$40,'September TCM'!$LK$10:$LK$40)</f>
        <v>0</v>
      </c>
      <c r="V146" s="1426">
        <f>LOOKUP(P146,'September TCM'!$B$10:$B$40,'September TCM'!$K$10:$K$40)/24</f>
        <v>0</v>
      </c>
      <c r="W146" s="1426">
        <f>LOOKUP(P146,'September TCM'!$B$10:$B$40,'September TCM'!$M$10:$M$40)/24</f>
        <v>0.40625</v>
      </c>
      <c r="X146" s="1425"/>
      <c r="Y146" s="1425" t="s">
        <v>645</v>
      </c>
      <c r="Z146" s="1425">
        <f>LOOKUP(MATCH($Z$141,AU3:BF3,0),AU4:BF4,AU76:BF76)/1000</f>
        <v>380</v>
      </c>
      <c r="AA146" s="1425">
        <f>LOOKUP(MATCH($Z$141,AU3:BF3,0),AU4:BF4,AU78:BF78)/1000</f>
        <v>27.98143</v>
      </c>
      <c r="AB146" s="1425">
        <f>LOOKUP(MATCH($Z$141,AU3:BF3,0),AU4:BF4,AU77:BF77)/1000</f>
        <v>370</v>
      </c>
      <c r="AC146" s="1428">
        <f>+IFERROR(AA146/Z146,"")</f>
        <v>7.3635342105263152E-2</v>
      </c>
      <c r="AD146" s="1428">
        <f>IFERROR(AA146/AB146,"")</f>
        <v>7.5625486486486482E-2</v>
      </c>
      <c r="AE146" s="1425">
        <f ca="1">IFERROR((AA146/(Z146*$AA$141/$AC$141))-0.05,"")</f>
        <v>0.26558003759398496</v>
      </c>
      <c r="AF146" s="1425">
        <f ca="1">IFERROR((AA146/(AB146*$AA$141/$AC$141))-0.05,"")</f>
        <v>0.27410922779922781</v>
      </c>
      <c r="AG146" s="459"/>
      <c r="AH146" s="459"/>
      <c r="AI146" s="108"/>
      <c r="AJ146" s="145"/>
      <c r="AK146" s="145"/>
      <c r="AL146" s="98"/>
      <c r="AM146" s="84" t="s">
        <v>13</v>
      </c>
      <c r="AN146" s="85"/>
      <c r="AO146" s="86" t="s">
        <v>62</v>
      </c>
      <c r="AP146" s="1625">
        <f>SUMPRODUCT(AU146:BF146,AU62:BF62)/SUM(AU62:BF62)</f>
        <v>0.74593822845771585</v>
      </c>
      <c r="AQ146" s="1626">
        <f>SUMPRODUCT(AU146:AW146,AU62:AW62)/SUM(AU62:AW62)</f>
        <v>0.69874663020041416</v>
      </c>
      <c r="AR146" s="1627">
        <f>SUMPRODUCT(AX146:AZ146,AX62:AZ62)/SUM(AX62:AZ62)</f>
        <v>0.85233549540015863</v>
      </c>
      <c r="AS146" s="1627">
        <f>SUMPRODUCT(BA146:BC146,BA62:BC62)/SUM(BA62:BC62)</f>
        <v>0.70160472674891183</v>
      </c>
      <c r="AT146" s="1628" t="e">
        <f>SUMPRODUCT(BD146:BF146,BD62:BF62)/SUM(BD62:BF62)</f>
        <v>#DIV/0!</v>
      </c>
      <c r="AU146" s="1672">
        <f>'January TCM'!$KO$42</f>
        <v>0.73202129390277981</v>
      </c>
      <c r="AV146" s="1672">
        <f>'February TCM'!$KO$42</f>
        <v>0.57034838226776974</v>
      </c>
      <c r="AW146" s="1672">
        <f>'March TCM'!$KO$42</f>
        <v>0.78569632654212718</v>
      </c>
      <c r="AX146" s="1672">
        <f>'April TCM'!$KO$42</f>
        <v>0.85187070618512017</v>
      </c>
      <c r="AY146" s="1672">
        <f>'May TCM'!$KP$42</f>
        <v>0.81102707256540829</v>
      </c>
      <c r="AZ146" s="1672">
        <f>'June TCM'!$KP$42</f>
        <v>0.88771798041663175</v>
      </c>
      <c r="BA146" s="1672">
        <f>'July TCM'!$KP$42</f>
        <v>0.73857517393195216</v>
      </c>
      <c r="BB146" s="1672">
        <f>'August TCM'!$KQ$42</f>
        <v>0.65555962825201353</v>
      </c>
      <c r="BC146" s="1653">
        <f>'September TCM'!$KQ$42</f>
        <v>0.75617110183147862</v>
      </c>
      <c r="BD146" s="135"/>
      <c r="BE146" s="135"/>
      <c r="BF146" s="135"/>
    </row>
    <row r="147" spans="1:58" ht="15.6">
      <c r="A147" s="145"/>
      <c r="B147" s="369"/>
      <c r="C147" s="369"/>
      <c r="D147" s="369"/>
      <c r="E147" s="369"/>
      <c r="F147" s="369"/>
      <c r="G147" s="369"/>
      <c r="H147" s="369"/>
      <c r="I147" s="369"/>
      <c r="J147" s="369"/>
      <c r="K147" s="369"/>
      <c r="L147" s="369"/>
      <c r="M147" s="1366">
        <f t="shared" ref="M147:M152" ca="1" si="77">IF(N147=0,0,$M$143)</f>
        <v>7007.1105163263201</v>
      </c>
      <c r="N147" s="1366" t="str" cm="1">
        <f t="array" ref="N147">IFERROR(INDEX('March TCM'!$A$1:$Z$500,P144,IF(ISNUMBER(SEARCH("HCV-LS",$N$144)),MATCH($N$145&amp;"",'March TCM'!$A$1:$A$500,0),IF(ISNUMBER(SEARCH("HCV-HS",$N$144)),5+MATCH($N$145&amp;"",'March TCM'!$A$1:$A$500,0),IF(ISNUMBER(SEARCH("HCV-HS (SMI)",$N$144)),5+MATCH($N$145&amp;"",'March TCM'!$A$1:$A$500,0),IF(ISNUMBER(SEARCH("HCV-LS (SMI)",$N$144)),10+MATCH($N$145&amp;"",'March TCM'!$A$1:$A$500,0),1))))),"Tidak Ditemukan")</f>
        <v>Tidak Ditemukan</v>
      </c>
      <c r="O147" s="145"/>
      <c r="P147" s="1425">
        <f t="shared" si="75"/>
        <v>5</v>
      </c>
      <c r="Q147" s="1425">
        <f>LOOKUP(P147,'September TCM'!$B$10:$B$40,'September TCM'!$C$10:$C$40)</f>
        <v>166998</v>
      </c>
      <c r="R147" s="1425">
        <f>LOOKUP(P147,'September TCM'!$B$10:$B$40,'September TCM'!$D$10:$D$40)</f>
        <v>6494.8</v>
      </c>
      <c r="S147" s="1425">
        <f t="shared" si="76"/>
        <v>25.712570056044836</v>
      </c>
      <c r="T147" s="1425">
        <f>LOOKUP(P147,'September TCM'!$B$10:$B$40,'September TCM'!$GO$10:$GO$40)</f>
        <v>16783.850000000002</v>
      </c>
      <c r="U147" s="1425">
        <f>LOOKUP(P147,'September TCM'!$B$10:$B$40,'September TCM'!$LK$10:$LK$40)</f>
        <v>5287.23</v>
      </c>
      <c r="V147" s="1426">
        <f>LOOKUP(P147,'September TCM'!$B$10:$B$40,'September TCM'!$K$10:$K$40)/24</f>
        <v>0</v>
      </c>
      <c r="W147" s="1426">
        <f>LOOKUP(P147,'September TCM'!$B$10:$B$40,'September TCM'!$M$10:$M$40)/24</f>
        <v>0</v>
      </c>
      <c r="X147" s="1425"/>
      <c r="Y147" s="1425" t="s">
        <v>646</v>
      </c>
      <c r="Z147" s="1425">
        <f>LOOKUP(MATCH($Z$141,AU3:BF3,0),AU4:BF4,AU126:BF126)</f>
        <v>9.7924480787305201E-2</v>
      </c>
      <c r="AA147" s="1425">
        <f ca="1">LOOKUP(MATCH($Z$141,AU3:BF3,0),AU4:BF4,AU127:BF127)</f>
        <v>0</v>
      </c>
      <c r="AB147" s="1425"/>
      <c r="AC147" s="1425"/>
      <c r="AD147" s="1425"/>
      <c r="AE147" s="1425"/>
      <c r="AF147" s="1425"/>
      <c r="AG147" s="459"/>
      <c r="AH147" s="459"/>
      <c r="AI147" s="108"/>
      <c r="AJ147" s="145"/>
      <c r="AK147" s="145"/>
      <c r="AL147" s="98"/>
      <c r="AM147" s="84"/>
      <c r="AN147" s="85"/>
      <c r="AO147" s="86" t="s">
        <v>639</v>
      </c>
      <c r="AP147" s="1629">
        <f>SUMPRODUCT(AU147:BF147,AU62:BF62)/SUM(AU62:BF62)</f>
        <v>3.7559256352511738</v>
      </c>
      <c r="AQ147" s="1630">
        <f>SUMPRODUCT(AU147:AW147,AU62:AW62)/SUM(AU62:AW62)</f>
        <v>3.6623318756619154</v>
      </c>
      <c r="AR147" s="1631">
        <f>SUMPRODUCT(AX147:AZ147,AX62:AZ62)/SUM(AX62:AZ62)</f>
        <v>3.4724369099455257</v>
      </c>
      <c r="AS147" s="1631">
        <f>SUMPRODUCT(BA147:BC147,BA62:BC62)/SUM(BA62:BC62)</f>
        <v>4.1983861354432674</v>
      </c>
      <c r="AT147" s="1632" t="e">
        <f>SUMPRODUCT(BD147:BF147,BD62:BF62)/SUM(BD62:BF62)</f>
        <v>#DIV/0!</v>
      </c>
      <c r="AU147" s="1673">
        <f>'January TCM'!$KP$42</f>
        <v>3.6102920139093682</v>
      </c>
      <c r="AV147" s="1673">
        <f>'February TCM'!$KP$42</f>
        <v>4.0446061678960357</v>
      </c>
      <c r="AW147" s="1673">
        <f>'March TCM'!$KP$42</f>
        <v>3.3204304528295814</v>
      </c>
      <c r="AX147" s="1673">
        <f>'April TCM'!$KP$42</f>
        <v>2.9716360165927003</v>
      </c>
      <c r="AY147" s="1673">
        <f>'May TCM'!$KQ$42</f>
        <v>3.7939835366089727</v>
      </c>
      <c r="AZ147" s="1673">
        <f>'June TCM'!$KQ$42</f>
        <v>3.6461047520084633</v>
      </c>
      <c r="BA147" s="1673">
        <f>'July TCM'!$KQ$42</f>
        <v>3.8440977912637857</v>
      </c>
      <c r="BB147" s="1673">
        <f>'August TCM'!$KR$42</f>
        <v>4.7228968970889422</v>
      </c>
      <c r="BC147" s="1654">
        <f>'September TCM'!$KR$42</f>
        <v>3.0149167165196133</v>
      </c>
      <c r="BD147" s="136"/>
      <c r="BE147" s="136"/>
      <c r="BF147" s="136"/>
    </row>
    <row r="148" spans="1:58" ht="15.6">
      <c r="A148" s="145"/>
      <c r="B148" s="369"/>
      <c r="C148" s="369"/>
      <c r="D148" s="369"/>
      <c r="E148" s="369"/>
      <c r="F148" s="369"/>
      <c r="G148" s="369"/>
      <c r="H148" s="369"/>
      <c r="I148" s="369"/>
      <c r="J148" s="369"/>
      <c r="K148" s="369"/>
      <c r="L148" s="369"/>
      <c r="M148" s="1366">
        <f t="shared" ca="1" si="77"/>
        <v>7007.1105163263201</v>
      </c>
      <c r="N148" s="1366" t="str" cm="1">
        <f t="array" ref="N148">IFERROR(INDEX('February TCM'!$A$1:$Z$500,P145,IF(ISNUMBER(SEARCH("HCV-LS",$N$144)),MATCH($N$145&amp;"",'February TCM'!$A$1:$A$500,0),IF(ISNUMBER(SEARCH("HCV-HS",$N$144)),5+MATCH($N$145&amp;"",'February TCM'!$A$1:$A$500,0),IF(ISNUMBER(SEARCH("HCV-HS (SMI)",$N$144)),5+MATCH($N$145&amp;"",'February TCM'!$A$1:$A$500,0),IF(ISNUMBER(SEARCH("HCV-LS (SMI)",$N$144)),10+MATCH($N$145&amp;"",'February TCM'!$A$1:$A$500,0),1))))),"Tidak Ditemukan")</f>
        <v>Tidak Ditemukan</v>
      </c>
      <c r="O148" s="145"/>
      <c r="P148" s="1425">
        <f t="shared" si="75"/>
        <v>6</v>
      </c>
      <c r="Q148" s="1425">
        <f>LOOKUP(P148,'September TCM'!$B$10:$B$40,'September TCM'!$C$10:$C$40)</f>
        <v>155578</v>
      </c>
      <c r="R148" s="1425">
        <f>LOOKUP(P148,'September TCM'!$B$10:$B$40,'September TCM'!$D$10:$D$40)</f>
        <v>7692.3600000000006</v>
      </c>
      <c r="S148" s="1425">
        <f t="shared" si="76"/>
        <v>20.225002469983203</v>
      </c>
      <c r="T148" s="1425">
        <f>LOOKUP(P148,'September TCM'!$B$10:$B$40,'September TCM'!$GO$10:$GO$40)</f>
        <v>15970.999999999998</v>
      </c>
      <c r="U148" s="1425">
        <f>LOOKUP(P148,'September TCM'!$B$10:$B$40,'September TCM'!$LK$10:$LK$40)</f>
        <v>4451.72</v>
      </c>
      <c r="V148" s="1426">
        <f>LOOKUP(P148,'September TCM'!$B$10:$B$40,'September TCM'!$K$10:$K$40)/24</f>
        <v>0</v>
      </c>
      <c r="W148" s="1426">
        <f>LOOKUP(P148,'September TCM'!$B$10:$B$40,'September TCM'!$M$10:$M$40)/24</f>
        <v>0</v>
      </c>
      <c r="X148" s="1425"/>
      <c r="Y148" s="1425" t="s">
        <v>647</v>
      </c>
      <c r="Z148" s="1425">
        <f>+Z147</f>
        <v>9.7924480787305201E-2</v>
      </c>
      <c r="AA148" s="1425">
        <f ca="1">LOOKUP(MATCH($Z$141,AU3:BF3,0),AU4:BF4,AU128:BF128)</f>
        <v>5.8035714285714288E-2</v>
      </c>
      <c r="AB148" s="1425"/>
      <c r="AC148" s="1428"/>
      <c r="AD148" s="1425"/>
      <c r="AE148" s="1425"/>
      <c r="AF148" s="1425"/>
      <c r="AG148" s="459"/>
      <c r="AH148" s="459"/>
      <c r="AI148" s="108"/>
      <c r="AJ148" s="145"/>
      <c r="AK148" s="145"/>
      <c r="AL148" s="98"/>
    </row>
    <row r="149" spans="1:58" ht="15.6">
      <c r="A149" s="145"/>
      <c r="B149" s="369"/>
      <c r="C149" s="369"/>
      <c r="D149" s="369"/>
      <c r="E149" s="369"/>
      <c r="F149" s="369"/>
      <c r="G149" s="369"/>
      <c r="H149" s="369"/>
      <c r="I149" s="369"/>
      <c r="J149" s="369"/>
      <c r="K149" s="369"/>
      <c r="L149" s="369"/>
      <c r="M149" s="1366">
        <f t="shared" ca="1" si="77"/>
        <v>7007.1105163263201</v>
      </c>
      <c r="N149" s="1366" t="str" cm="1">
        <f t="array" ref="N149">IFERROR(INDEX('February TCM'!$A$1:$Z$500,P146,IF(ISNUMBER(SEARCH("HCV-LS",$N$144)),MATCH($N$145&amp;"",'February TCM'!$A$1:$A$500,0),IF(ISNUMBER(SEARCH("HCV-HS",$N$144)),5+MATCH($N$145&amp;"",'February TCM'!$A$1:$A$500,0),IF(ISNUMBER(SEARCH("HCV-HS (SMI)",$N$144)),5+MATCH($N$145&amp;"",'February TCM'!$A$1:$A$500,0),IF(ISNUMBER(SEARCH("HCV-LS (SMI)",$N$144)),10+MATCH($N$145&amp;"",'February TCM'!$A$1:$A$500,0),1))))),"Tidak Ditemukan")</f>
        <v>Tidak Ditemukan</v>
      </c>
      <c r="O149" s="145"/>
      <c r="P149" s="1425">
        <f t="shared" si="75"/>
        <v>7</v>
      </c>
      <c r="Q149" s="1425">
        <f>LOOKUP(P149,'September TCM'!$B$10:$B$40,'September TCM'!$C$10:$C$40)</f>
        <v>153766</v>
      </c>
      <c r="R149" s="1425">
        <f>LOOKUP(P149,'September TCM'!$B$10:$B$40,'September TCM'!$D$10:$D$40)</f>
        <v>7646.78</v>
      </c>
      <c r="S149" s="1425">
        <f t="shared" si="76"/>
        <v>20.108594728761648</v>
      </c>
      <c r="T149" s="1425">
        <f>LOOKUP(P149,'September TCM'!$B$10:$B$40,'September TCM'!$GO$10:$GO$40)</f>
        <v>16810.91</v>
      </c>
      <c r="U149" s="1425">
        <f>LOOKUP(P149,'September TCM'!$B$10:$B$40,'September TCM'!$LK$10:$LK$40)</f>
        <v>18242.48</v>
      </c>
      <c r="V149" s="1426">
        <f>LOOKUP(P149,'September TCM'!$B$10:$B$40,'September TCM'!$K$10:$K$40)/24</f>
        <v>0</v>
      </c>
      <c r="W149" s="1426">
        <f>LOOKUP(P149,'September TCM'!$B$10:$B$40,'September TCM'!$M$10:$M$40)/24</f>
        <v>0</v>
      </c>
      <c r="X149" s="1425"/>
      <c r="Y149" s="1425" t="s">
        <v>127</v>
      </c>
      <c r="Z149" s="1425">
        <f>+Z143/Z144</f>
        <v>13.958333333333334</v>
      </c>
      <c r="AA149" s="1428" t="str">
        <f>IFERROR(IF((Z143/Z144)&lt;(AA143/AA144),"▲"&amp;ROUND(AA143/AA144,2),"▼"&amp;ROUND(AA143/AA144,2)),"")</f>
        <v>▲18.68</v>
      </c>
      <c r="AB149" s="1425">
        <f>+AB143/AB144</f>
        <v>12.4</v>
      </c>
      <c r="AC149" s="1425"/>
      <c r="AD149" s="1425"/>
      <c r="AE149" s="1425"/>
      <c r="AF149" s="1425"/>
      <c r="AG149" s="459"/>
      <c r="AH149" s="459"/>
      <c r="AI149" s="108"/>
      <c r="AJ149" s="145"/>
      <c r="AK149" s="145"/>
      <c r="AL149" s="98"/>
    </row>
    <row r="150" spans="1:58" ht="15.6">
      <c r="A150" s="145"/>
      <c r="B150" s="369"/>
      <c r="C150" s="369"/>
      <c r="D150" s="369"/>
      <c r="E150" s="369"/>
      <c r="F150" s="369"/>
      <c r="G150" s="369"/>
      <c r="H150" s="369"/>
      <c r="I150" s="369"/>
      <c r="J150" s="369"/>
      <c r="K150" s="369"/>
      <c r="L150" s="369"/>
      <c r="M150" s="1366">
        <f t="shared" ca="1" si="77"/>
        <v>7007.1105163263201</v>
      </c>
      <c r="N150" s="1366" t="str" cm="1">
        <f t="array" ref="N150">IFERROR(INDEX('February TCM'!$A$1:$Z$500,P147,IF(ISNUMBER(SEARCH("HCV-LS",$N$144)),MATCH($N$145&amp;"",'February TCM'!$A$1:$A$500,0),IF(ISNUMBER(SEARCH("HCV-HS",$N$144)),5+MATCH($N$145&amp;"",'February TCM'!$A$1:$A$500,0),IF(ISNUMBER(SEARCH("HCV-HS (SMI)",$N$144)),5+MATCH($N$145&amp;"",'February TCM'!$A$1:$A$500,0),IF(ISNUMBER(SEARCH("HCV-LS (SMI)",$N$144)),10+MATCH($N$145&amp;"",'February TCM'!$A$1:$A$500,0),1))))),"Tidak Ditemukan")</f>
        <v>Tidak Ditemukan</v>
      </c>
      <c r="O150" s="145"/>
      <c r="P150" s="1425">
        <v>1</v>
      </c>
      <c r="Q150" s="1425">
        <f>SUM(Q143:Q149)</f>
        <v>1092502</v>
      </c>
      <c r="R150" s="1425">
        <f t="shared" ref="R150:W150" si="78">SUM(R143:R149)</f>
        <v>58487.26</v>
      </c>
      <c r="S150" s="1425">
        <f t="shared" si="78"/>
        <v>135.90344327191966</v>
      </c>
      <c r="T150" s="1425">
        <f t="shared" si="78"/>
        <v>49565.759999999995</v>
      </c>
      <c r="U150" s="1425">
        <f t="shared" si="78"/>
        <v>27981.43</v>
      </c>
      <c r="V150" s="1429">
        <f t="shared" si="78"/>
        <v>0</v>
      </c>
      <c r="W150" s="1429">
        <f t="shared" si="78"/>
        <v>0.40625</v>
      </c>
      <c r="X150" s="1425"/>
      <c r="Y150" s="1425"/>
      <c r="Z150" s="1425"/>
      <c r="AA150" s="1425"/>
      <c r="AB150" s="1425"/>
      <c r="AC150" s="1425"/>
      <c r="AD150" s="1425"/>
      <c r="AE150" s="1425"/>
      <c r="AF150" s="1425"/>
      <c r="AG150" s="459"/>
      <c r="AH150" s="459"/>
      <c r="AI150" s="108"/>
      <c r="AJ150" s="145"/>
      <c r="AK150" s="145"/>
      <c r="AL150" s="98"/>
      <c r="AM150" s="116" t="s">
        <v>77</v>
      </c>
      <c r="AN150" s="85"/>
      <c r="AO150" s="86" t="s">
        <v>61</v>
      </c>
      <c r="AP150" s="1402">
        <f>SUMPRODUCT(AU150:BF150,AU64:BF64)/SUM(AU64:BF64)</f>
        <v>6813.9315288071148</v>
      </c>
      <c r="AQ150" s="123">
        <f>SUMPRODUCT(AU150:AW150,AU64:AW64)/SUM(AU64:AW64)</f>
        <v>6745.873370483182</v>
      </c>
      <c r="AR150" s="124">
        <f>SUMPRODUCT(AX150:AZ150,AX64:AZ64)/SUM(AX64:AZ64)</f>
        <v>6738.6086702588127</v>
      </c>
      <c r="AS150" s="124">
        <f>SUMPRODUCT(BA150:BC150,BA64:BC64)/SUM(BA64:BC64)</f>
        <v>6827.2489869091796</v>
      </c>
      <c r="AT150" s="125">
        <f>SUMPRODUCT(BD150:BF150,BD64:BF64)/SUM(BD64:BF64)</f>
        <v>6928.3584295393857</v>
      </c>
      <c r="AU150" s="126">
        <v>6831.0593853262399</v>
      </c>
      <c r="AV150" s="124">
        <v>6787.6404341237303</v>
      </c>
      <c r="AW150" s="124">
        <v>6607.37910304652</v>
      </c>
      <c r="AX150" s="124">
        <v>6808.4607182447298</v>
      </c>
      <c r="AY150" s="124">
        <v>6651.0594803694403</v>
      </c>
      <c r="AZ150" s="124">
        <v>6757.16725626674</v>
      </c>
      <c r="BA150" s="124">
        <v>6719.9650382967802</v>
      </c>
      <c r="BB150" s="124">
        <v>6854.3520363859298</v>
      </c>
      <c r="BC150" s="124">
        <v>6906.7638655273404</v>
      </c>
      <c r="BD150" s="124">
        <v>6974.3516506762298</v>
      </c>
      <c r="BE150" s="124">
        <v>6887.8564358540198</v>
      </c>
      <c r="BF150" s="125">
        <v>6925.1341246396596</v>
      </c>
    </row>
    <row r="151" spans="1:58" ht="18" customHeight="1">
      <c r="A151" s="145"/>
      <c r="B151" s="369"/>
      <c r="C151" s="369"/>
      <c r="D151" s="369"/>
      <c r="E151" s="369"/>
      <c r="F151" s="369"/>
      <c r="G151" s="369"/>
      <c r="H151" s="369"/>
      <c r="I151" s="369"/>
      <c r="J151" s="369"/>
      <c r="K151" s="369"/>
      <c r="L151" s="369"/>
      <c r="M151" s="1366">
        <f t="shared" ca="1" si="77"/>
        <v>7007.1105163263201</v>
      </c>
      <c r="N151" s="1366" t="str" cm="1">
        <f t="array" ref="N151">IFERROR(INDEX('February TCM'!$A$1:$Z$500,P148,IF(ISNUMBER(SEARCH("HCV-LS",$N$144)),MATCH($N$145&amp;"",'February TCM'!$A$1:$A$500,0),IF(ISNUMBER(SEARCH("HCV-HS",$N$144)),5+MATCH($N$145&amp;"",'February TCM'!$A$1:$A$500,0),IF(ISNUMBER(SEARCH("HCV-HS (SMI)",$N$144)),5+MATCH($N$145&amp;"",'February TCM'!$A$1:$A$500,0),IF(ISNUMBER(SEARCH("HCV-LS (SMI)",$N$144)),10+MATCH($N$145&amp;"",'February TCM'!$A$1:$A$500,0),1))))),"Tidak Ditemukan")</f>
        <v>Tidak Ditemukan</v>
      </c>
      <c r="O151" s="145"/>
      <c r="P151" s="1425"/>
      <c r="Q151" s="1425"/>
      <c r="R151" s="1425"/>
      <c r="S151" s="1425"/>
      <c r="T151" s="1425"/>
      <c r="U151" s="1425"/>
      <c r="V151" s="1429"/>
      <c r="W151" s="1429"/>
      <c r="X151" s="1425"/>
      <c r="Y151" s="1425" t="str">
        <f>X144</f>
        <v>Q1</v>
      </c>
      <c r="Z151" s="1425" t="s">
        <v>11</v>
      </c>
      <c r="AA151" s="1425" t="s">
        <v>13</v>
      </c>
      <c r="AB151" s="1425"/>
      <c r="AC151" s="1425"/>
      <c r="AD151" s="1425"/>
      <c r="AE151" s="1425"/>
      <c r="AF151" s="1425"/>
      <c r="AG151" s="459"/>
      <c r="AH151" s="459"/>
      <c r="AI151" s="108"/>
      <c r="AJ151" s="145"/>
      <c r="AK151" s="145"/>
      <c r="AL151" s="98"/>
      <c r="AM151" s="84" t="s">
        <v>11</v>
      </c>
      <c r="AN151" s="85"/>
      <c r="AO151" s="86" t="s">
        <v>62</v>
      </c>
      <c r="AP151" s="1645">
        <f>SUMPRODUCT(AU151:BF151,AU64:BF64)/SUM(AU64:BF64)</f>
        <v>1.7095146850370331</v>
      </c>
      <c r="AQ151" s="1646">
        <f>SUMPRODUCT(AU151:AW151,AU64:AW64)/SUM(AU64:AW64)</f>
        <v>1.7189415615136825</v>
      </c>
      <c r="AR151" s="1636">
        <f>SUMPRODUCT(AX151:AZ151,AX64:AZ64)/SUM(AX64:AZ64)</f>
        <v>1.7174920877127289</v>
      </c>
      <c r="AS151" s="1636">
        <f>SUMPRODUCT(BA151:BC151,BA64:BC64)/SUM(BA64:BC64)</f>
        <v>1.7130064863467211</v>
      </c>
      <c r="AT151" s="1637">
        <f>SUMPRODUCT(BD151:BF151,BD64:BF64)/SUM(BD64:BF64)</f>
        <v>1.6911003099510487</v>
      </c>
      <c r="AU151" s="1635">
        <v>1.7105039524830601</v>
      </c>
      <c r="AV151" s="1636">
        <v>1.7265012768227299</v>
      </c>
      <c r="AW151" s="1636">
        <v>1.7198992637554</v>
      </c>
      <c r="AX151" s="1636">
        <v>1.7165414415190501</v>
      </c>
      <c r="AY151" s="1636">
        <v>1.7057512482203101</v>
      </c>
      <c r="AZ151" s="1636">
        <v>1.72952523295968</v>
      </c>
      <c r="BA151" s="1636">
        <v>1.73256661443674</v>
      </c>
      <c r="BB151" s="1636">
        <v>1.70129942279397</v>
      </c>
      <c r="BC151" s="1636">
        <v>1.7047544202051399</v>
      </c>
      <c r="BD151" s="1636">
        <v>1.6902290006713701</v>
      </c>
      <c r="BE151" s="1636">
        <v>1.6910675815229901</v>
      </c>
      <c r="BF151" s="1637">
        <v>1.6919427975130401</v>
      </c>
    </row>
    <row r="152" spans="1:58" ht="15.6">
      <c r="A152" s="145"/>
      <c r="B152" s="369"/>
      <c r="C152" s="369"/>
      <c r="D152" s="369"/>
      <c r="E152" s="369"/>
      <c r="F152" s="369"/>
      <c r="G152" s="369"/>
      <c r="H152" s="369"/>
      <c r="I152" s="369"/>
      <c r="J152" s="369"/>
      <c r="K152" s="369"/>
      <c r="L152" s="369"/>
      <c r="M152" s="1366">
        <f t="shared" ca="1" si="77"/>
        <v>7007.1105163263201</v>
      </c>
      <c r="N152" s="1366" t="str" cm="1">
        <f t="array" ref="N152">IFERROR(INDEX('February TCM'!$A$1:$Z$500,P149,IF(ISNUMBER(SEARCH("HCV-LS",$N$144)),MATCH($N$145&amp;"",'February TCM'!$A$1:$A$500,0),IF(ISNUMBER(SEARCH("HCV-HS",$N$144)),5+MATCH($N$145&amp;"",'February TCM'!$A$1:$A$500,0),IF(ISNUMBER(SEARCH("HCV-HS (SMI)",$N$144)),5+MATCH($N$145&amp;"",'February TCM'!$A$1:$A$500,0),IF(ISNUMBER(SEARCH("HCV-LS (SMI)",$N$144)),10+MATCH($N$145&amp;"",'February TCM'!$A$1:$A$500,0),1))))),"Tidak Ditemukan")</f>
        <v>Tidak Ditemukan</v>
      </c>
      <c r="O152" s="145"/>
      <c r="P152" s="1425"/>
      <c r="Q152" s="1428" t="str">
        <f ca="1">IFERROR(IF(S143&gt;F23,"▲"&amp;ROUND(S143,2),"▼"&amp;ROUND(S143,2)),"")</f>
        <v>▲23.41</v>
      </c>
      <c r="R152" s="1428" t="str">
        <f ca="1">IFERROR(IF(S144&gt;F23,"▲"&amp;ROUND(S144,2),"▼"&amp;ROUND(S144,2)),"")</f>
        <v>▲15.53</v>
      </c>
      <c r="S152" s="1428" t="str">
        <f ca="1">IFERROR(IF(S145&gt;F23,"▲"&amp;ROUND(S145,2),"▼"&amp;ROUND(S145,2)),"")</f>
        <v>▼13.9</v>
      </c>
      <c r="T152" s="1428" t="str">
        <f ca="1">IFERROR(IF(S146&gt;F23,"▲"&amp;ROUND(S146,2),"▼"&amp;ROUND(S146,2)),0)</f>
        <v>▲17.02</v>
      </c>
      <c r="U152" s="1428" t="str">
        <f ca="1">IFERROR(IF(S147&gt;F23,"▲"&amp;ROUND(S147,2),"▼"&amp;ROUND(S147,2)),"")</f>
        <v>▲25.71</v>
      </c>
      <c r="V152" s="1428" t="str">
        <f ca="1">IFERROR(IF(S148&gt;F23,"▲"&amp;ROUND(S148,2),"▼"&amp;ROUND(S148,2)),"")</f>
        <v>▲20.23</v>
      </c>
      <c r="W152" s="1428" t="str">
        <f ca="1">IFERROR(IF(S149&gt;F23,"▲"&amp;ROUND(S149,2),"▼"&amp;ROUND(S149,2)),"")</f>
        <v>▲20.11</v>
      </c>
      <c r="X152" s="1425"/>
      <c r="Y152" s="1425" t="s">
        <v>3</v>
      </c>
      <c r="Z152" s="1425">
        <f ca="1">SUMIFS(AP5:AT5,AP3:AT3,Y151)/1000</f>
        <v>13220.227390000031</v>
      </c>
      <c r="AA152" s="1425">
        <f ca="1">SUMIFS(AP7:AT7,AP3:AT3,Y151)/1000</f>
        <v>11523.740765500002</v>
      </c>
      <c r="AB152" s="1428">
        <f ca="1">+IFERROR(AA152/Z152,"")</f>
        <v>0.87167492854296325</v>
      </c>
      <c r="AC152" s="1425"/>
      <c r="AD152" s="1425"/>
      <c r="AE152" s="1425"/>
      <c r="AF152" s="1425"/>
      <c r="AG152" s="459"/>
      <c r="AH152" s="459"/>
      <c r="AI152" s="108"/>
      <c r="AJ152" s="145"/>
      <c r="AK152" s="145"/>
      <c r="AL152" s="98"/>
      <c r="AM152" s="84"/>
      <c r="AN152" s="85"/>
      <c r="AO152" s="86" t="s">
        <v>639</v>
      </c>
      <c r="AP152" s="1647">
        <f>SUMPRODUCT(AU152:BF152,AU64:BF64)/SUM(AU64:BF64)</f>
        <v>5.2447827195145367</v>
      </c>
      <c r="AQ152" s="1648">
        <f>SUMPRODUCT(AU152:AW152,AU64:AW64)/SUM(AU64:AW64)</f>
        <v>5.8459359163216824</v>
      </c>
      <c r="AR152" s="1639">
        <f>SUMPRODUCT(AX152:AZ152,AX64:AZ64)/SUM(AX64:AZ64)</f>
        <v>5.7475048818379459</v>
      </c>
      <c r="AS152" s="1639">
        <f>SUMPRODUCT(BA152:BC152,BA64:BC64)/SUM(BA64:BC64)</f>
        <v>4.9697491674096144</v>
      </c>
      <c r="AT152" s="1640">
        <f>SUMPRODUCT(BD152:BF152,BD64:BF64)/SUM(BD64:BF64)</f>
        <v>4.5259399759618475</v>
      </c>
      <c r="AU152" s="1638">
        <v>6.2952791036552398</v>
      </c>
      <c r="AV152" s="1639">
        <v>5.3063651163546801</v>
      </c>
      <c r="AW152" s="1639">
        <v>5.9443660391945299</v>
      </c>
      <c r="AX152" s="1639">
        <v>5.9167035802674102</v>
      </c>
      <c r="AY152" s="1639">
        <v>5.8241123490319904</v>
      </c>
      <c r="AZ152" s="1639">
        <v>5.51821899195635</v>
      </c>
      <c r="BA152" s="1639">
        <v>5.1805334372596299</v>
      </c>
      <c r="BB152" s="1639">
        <v>5.0706075664875403</v>
      </c>
      <c r="BC152" s="1639">
        <v>4.67126956174023</v>
      </c>
      <c r="BD152" s="1639">
        <v>4.37644337720418</v>
      </c>
      <c r="BE152" s="1639">
        <v>4.7373138213000496</v>
      </c>
      <c r="BF152" s="1640">
        <v>4.45854840494097</v>
      </c>
    </row>
    <row r="153" spans="1:58" ht="15.6">
      <c r="A153" s="145"/>
      <c r="B153" s="369"/>
      <c r="C153" s="369"/>
      <c r="D153" s="369"/>
      <c r="E153" s="369"/>
      <c r="F153" s="369"/>
      <c r="G153" s="369"/>
      <c r="H153" s="369"/>
      <c r="I153" s="369"/>
      <c r="J153" s="369"/>
      <c r="K153" s="369"/>
      <c r="L153" s="369"/>
      <c r="M153" s="369"/>
      <c r="N153" s="369"/>
      <c r="O153" s="369"/>
      <c r="P153" s="1430"/>
      <c r="Q153" s="1430"/>
      <c r="R153" s="1430"/>
      <c r="S153" s="1430"/>
      <c r="T153" s="1430"/>
      <c r="U153" s="1430"/>
      <c r="V153" s="1430"/>
      <c r="W153" s="1430"/>
      <c r="X153" s="1430"/>
      <c r="Y153" s="1430" t="s">
        <v>126</v>
      </c>
      <c r="Z153" s="1430">
        <f ca="1">SUMIFS(AP10:AT10,AP3:AT3,Y151)/1000</f>
        <v>915</v>
      </c>
      <c r="AA153" s="1430">
        <f ca="1">SUMIFS(AP12:AT12,AP3:AT3,Y151)/1000</f>
        <v>656.92003152444818</v>
      </c>
      <c r="AB153" s="1431">
        <f ca="1">+IFERROR(AA153/Z153,"")</f>
        <v>0.71794538964420562</v>
      </c>
      <c r="AC153" s="1430"/>
      <c r="AD153" s="1425"/>
      <c r="AE153" s="1425"/>
      <c r="AF153" s="1425"/>
      <c r="AG153" s="459"/>
      <c r="AH153" s="459"/>
      <c r="AI153" s="108"/>
      <c r="AJ153" s="145"/>
      <c r="AK153" s="145"/>
      <c r="AL153" s="145"/>
      <c r="AP153" s="1641"/>
      <c r="AQ153" s="1641"/>
      <c r="AR153" s="1641"/>
      <c r="AS153" s="1641"/>
      <c r="AT153" s="1641"/>
      <c r="AU153" s="1641"/>
      <c r="AV153" s="1641"/>
      <c r="AW153" s="1641"/>
      <c r="AX153" s="1641"/>
      <c r="AY153" s="1641"/>
      <c r="AZ153" s="1641"/>
      <c r="BA153" s="1641"/>
      <c r="BB153" s="1641"/>
      <c r="BC153" s="1641"/>
      <c r="BD153" s="1641"/>
      <c r="BE153" s="1641"/>
      <c r="BF153" s="1641"/>
    </row>
    <row r="154" spans="1:58" ht="15.6">
      <c r="A154" s="145"/>
      <c r="B154" s="369"/>
      <c r="C154" s="369"/>
      <c r="D154" s="369"/>
      <c r="E154" s="369"/>
      <c r="F154" s="369"/>
      <c r="G154" s="369"/>
      <c r="H154" s="369"/>
      <c r="I154" s="369"/>
      <c r="J154" s="369"/>
      <c r="K154" s="369"/>
      <c r="L154" s="369"/>
      <c r="M154" s="369"/>
      <c r="N154" s="369"/>
      <c r="O154" s="369"/>
      <c r="P154" s="1430"/>
      <c r="Q154" s="1430"/>
      <c r="R154" s="1430"/>
      <c r="S154" s="1430"/>
      <c r="T154" s="1430"/>
      <c r="U154" s="1430"/>
      <c r="V154" s="1430"/>
      <c r="W154" s="1430"/>
      <c r="X154" s="1430"/>
      <c r="Y154" s="1430" t="s">
        <v>644</v>
      </c>
      <c r="Z154" s="1430">
        <f ca="1">SUMIFS(AP55:AT55,AP3:AT3,Y151)/1000</f>
        <v>950</v>
      </c>
      <c r="AA154" s="1430">
        <f ca="1">SUMIFS(AP57:AT57,AP3:AT3,Y151)/1000</f>
        <v>835.71060999999997</v>
      </c>
      <c r="AB154" s="1431">
        <f ca="1">+IFERROR(AA154/Z154,"")</f>
        <v>0.87969537894736838</v>
      </c>
      <c r="AC154" s="1430"/>
      <c r="AD154" s="1425"/>
      <c r="AE154" s="1425"/>
      <c r="AF154" s="1425"/>
      <c r="AG154" s="459"/>
      <c r="AH154" s="459"/>
      <c r="AI154" s="108"/>
      <c r="AJ154" s="145"/>
      <c r="AK154" s="145"/>
      <c r="AL154" s="145"/>
      <c r="AM154" s="116" t="s">
        <v>77</v>
      </c>
      <c r="AN154" s="85"/>
      <c r="AO154" s="86" t="s">
        <v>61</v>
      </c>
      <c r="AP154" s="1649">
        <f>SUMPRODUCT(AU154:BF154,AU65:BF65)/SUM(AU65:BF65)</f>
        <v>6832.3488446911206</v>
      </c>
      <c r="AQ154" s="1650">
        <f>SUMPRODUCT(AU154:AW154,AU65:AW65)/SUM(AU65:AW65)</f>
        <v>6738.6863881755608</v>
      </c>
      <c r="AR154" s="1651">
        <f>SUMPRODUCT(AX154:AZ154,AX65:AZ65)/SUM(AX65:AZ65)</f>
        <v>6732.1391769148522</v>
      </c>
      <c r="AS154" s="1651">
        <f>SUMPRODUCT(BA154:BC154,BA65:BC65)/SUM(BA65:BC65)</f>
        <v>6835.6249062857551</v>
      </c>
      <c r="AT154" s="1652">
        <f>SUMPRODUCT(BD154:BF154,BD65:BF65)/SUM(BD65:BF65)</f>
        <v>6929.1371989076897</v>
      </c>
      <c r="AU154" s="1642">
        <v>6831.0593853262399</v>
      </c>
      <c r="AV154" s="1643">
        <v>6787.6404341237303</v>
      </c>
      <c r="AW154" s="1643">
        <v>6607.37910304652</v>
      </c>
      <c r="AX154" s="1643">
        <v>6808.4607182447298</v>
      </c>
      <c r="AY154" s="1643">
        <v>6651.0594803694403</v>
      </c>
      <c r="AZ154" s="1643">
        <v>6757.16725626674</v>
      </c>
      <c r="BA154" s="1643">
        <v>6719.9650382967802</v>
      </c>
      <c r="BB154" s="1643">
        <v>6854.3520363859298</v>
      </c>
      <c r="BC154" s="1643">
        <v>6906.7638655273404</v>
      </c>
      <c r="BD154" s="1643">
        <v>6974.3516506762298</v>
      </c>
      <c r="BE154" s="1643">
        <v>6887.8564358540198</v>
      </c>
      <c r="BF154" s="1644">
        <v>6925.1341246396596</v>
      </c>
    </row>
    <row r="155" spans="1:58" ht="15.6">
      <c r="A155" s="145"/>
      <c r="B155" s="369"/>
      <c r="C155" s="369"/>
      <c r="D155" s="369"/>
      <c r="E155" s="369"/>
      <c r="F155" s="369"/>
      <c r="G155" s="369"/>
      <c r="H155" s="369"/>
      <c r="I155" s="369"/>
      <c r="J155" s="369"/>
      <c r="K155" s="369"/>
      <c r="L155" s="369"/>
      <c r="M155" s="369"/>
      <c r="N155" s="369"/>
      <c r="O155" s="369"/>
      <c r="P155" s="1430"/>
      <c r="Q155" s="1430"/>
      <c r="R155" s="1430"/>
      <c r="S155" s="1430"/>
      <c r="T155" s="1430"/>
      <c r="U155" s="1430"/>
      <c r="V155" s="1430"/>
      <c r="W155" s="1430"/>
      <c r="X155" s="1430"/>
      <c r="Y155" s="1430" t="s">
        <v>645</v>
      </c>
      <c r="Z155" s="1430">
        <f ca="1">SUMIFS(AP76:AT76,AP3:AT3,Y151)/1000</f>
        <v>925</v>
      </c>
      <c r="AA155" s="1430">
        <f ca="1">SUMIFS(AP78:AT78,AP3:AT3,Y151)/1000</f>
        <v>1014.3005195000001</v>
      </c>
      <c r="AB155" s="1431">
        <f ca="1">+IFERROR(AA155/Z155,"")</f>
        <v>1.0965411021621623</v>
      </c>
      <c r="AC155" s="1430"/>
      <c r="AD155" s="1425"/>
      <c r="AE155" s="1425"/>
      <c r="AF155" s="1425"/>
      <c r="AG155" s="459"/>
      <c r="AH155" s="459"/>
      <c r="AI155" s="108"/>
      <c r="AJ155" s="145"/>
      <c r="AK155" s="145"/>
      <c r="AL155" s="145"/>
      <c r="AM155" s="84" t="s">
        <v>12</v>
      </c>
      <c r="AN155" s="85"/>
      <c r="AO155" s="86" t="s">
        <v>62</v>
      </c>
      <c r="AP155" s="1645">
        <f>SUMPRODUCT(AU155:BF155,AU65:BF65)/SUM(AU65:BF65)</f>
        <v>1.7064644785544631</v>
      </c>
      <c r="AQ155" s="1646">
        <f>SUMPRODUCT(AU155:AW155,AU65:AW65)/SUM(AU65:AW65)</f>
        <v>1.7201987277644739</v>
      </c>
      <c r="AR155" s="1636">
        <f>SUMPRODUCT(AX155:AZ155,AX65:AZ65)/SUM(AX65:AZ65)</f>
        <v>1.716386379924344</v>
      </c>
      <c r="AS155" s="1636">
        <f>SUMPRODUCT(BA155:BC155,BA65:BC65)/SUM(BA65:BC65)</f>
        <v>1.7117144129139368</v>
      </c>
      <c r="AT155" s="1637">
        <f>SUMPRODUCT(BD155:BF155,BD65:BF65)/SUM(BD65:BF65)</f>
        <v>1.691074778089622</v>
      </c>
      <c r="AU155" s="1635">
        <v>1.7105039524830601</v>
      </c>
      <c r="AV155" s="1636">
        <v>1.7265012768227299</v>
      </c>
      <c r="AW155" s="1636">
        <v>1.7198992637554</v>
      </c>
      <c r="AX155" s="1636">
        <v>1.7165414415190501</v>
      </c>
      <c r="AY155" s="1636">
        <v>1.7057512482203101</v>
      </c>
      <c r="AZ155" s="1636">
        <v>1.72952523295968</v>
      </c>
      <c r="BA155" s="1636">
        <v>1.73256661443674</v>
      </c>
      <c r="BB155" s="1636">
        <v>1.70129942279397</v>
      </c>
      <c r="BC155" s="1636">
        <v>1.7047544202051399</v>
      </c>
      <c r="BD155" s="1636">
        <v>1.6902290006713701</v>
      </c>
      <c r="BE155" s="1636">
        <v>1.6910675815229901</v>
      </c>
      <c r="BF155" s="1637">
        <v>1.6919427975130401</v>
      </c>
    </row>
    <row r="156" spans="1:58" ht="15.6">
      <c r="A156" s="145"/>
      <c r="B156" s="369"/>
      <c r="C156" s="369"/>
      <c r="D156" s="369"/>
      <c r="E156" s="369"/>
      <c r="F156" s="369"/>
      <c r="G156" s="369"/>
      <c r="H156" s="369"/>
      <c r="I156" s="369"/>
      <c r="J156" s="369"/>
      <c r="K156" s="369"/>
      <c r="L156" s="369"/>
      <c r="M156" s="369"/>
      <c r="N156" s="369"/>
      <c r="O156" s="369"/>
      <c r="P156" s="1430"/>
      <c r="Q156" s="1430"/>
      <c r="R156" s="1430"/>
      <c r="S156" s="1430"/>
      <c r="T156" s="1430"/>
      <c r="U156" s="1430"/>
      <c r="V156" s="1430"/>
      <c r="W156" s="1430"/>
      <c r="X156" s="1430"/>
      <c r="Y156" s="1430">
        <v>1</v>
      </c>
      <c r="Z156" s="1430" t="str">
        <f>IF(Y156=1,"CV",IF(Y156=2,"TS","ASH"))</f>
        <v>CV</v>
      </c>
      <c r="AA156" s="1430"/>
      <c r="AB156" s="1430"/>
      <c r="AC156" s="1430"/>
      <c r="AD156" s="1425"/>
      <c r="AE156" s="1425"/>
      <c r="AF156" s="1425"/>
      <c r="AG156" s="459"/>
      <c r="AH156" s="459"/>
      <c r="AI156" s="108"/>
      <c r="AJ156" s="145"/>
      <c r="AK156" s="145"/>
      <c r="AL156" s="145"/>
      <c r="AM156" s="84"/>
      <c r="AN156" s="85"/>
      <c r="AO156" s="86" t="s">
        <v>639</v>
      </c>
      <c r="AP156" s="1647">
        <f>SUMPRODUCT(AU156:BF156,AU65:BF65)/SUM(AU65:BF65)</f>
        <v>5.0981332070367609</v>
      </c>
      <c r="AQ156" s="1648">
        <f>SUMPRODUCT(AU156:AW156,AU65:AW65)/SUM(AU65:AW65)</f>
        <v>5.7725997796860549</v>
      </c>
      <c r="AR156" s="1639">
        <f>SUMPRODUCT(AX156:AZ156,AX65:AZ65)/SUM(AX65:AZ65)</f>
        <v>5.7584809256965377</v>
      </c>
      <c r="AS156" s="1639">
        <f>SUMPRODUCT(BA156:BC156,BA65:BC65)/SUM(BA65:BC65)</f>
        <v>4.9479390755191881</v>
      </c>
      <c r="AT156" s="1640">
        <f>SUMPRODUCT(BD156:BF156,BD65:BF65)/SUM(BD65:BF65)</f>
        <v>4.5244828163311501</v>
      </c>
      <c r="AU156" s="1638">
        <v>6.2952791036552398</v>
      </c>
      <c r="AV156" s="1639">
        <v>5.3063651163546801</v>
      </c>
      <c r="AW156" s="1639">
        <v>5.9443660391945299</v>
      </c>
      <c r="AX156" s="1639">
        <v>5.9167035802674102</v>
      </c>
      <c r="AY156" s="1639">
        <v>5.8241123490319904</v>
      </c>
      <c r="AZ156" s="1639">
        <v>5.51821899195635</v>
      </c>
      <c r="BA156" s="1639">
        <v>5.1805334372596299</v>
      </c>
      <c r="BB156" s="1639">
        <v>5.0706075664875403</v>
      </c>
      <c r="BC156" s="1639">
        <v>4.67126956174023</v>
      </c>
      <c r="BD156" s="1639">
        <v>4.37644337720418</v>
      </c>
      <c r="BE156" s="1639">
        <v>4.7373138213000496</v>
      </c>
      <c r="BF156" s="1640">
        <v>4.45854840494097</v>
      </c>
    </row>
    <row r="157" spans="1:58" ht="15.6">
      <c r="A157" s="145"/>
      <c r="B157" s="369"/>
      <c r="C157" s="369"/>
      <c r="D157" s="369"/>
      <c r="E157" s="369"/>
      <c r="F157" s="369"/>
      <c r="G157" s="369"/>
      <c r="H157" s="369"/>
      <c r="I157" s="369"/>
      <c r="J157" s="369"/>
      <c r="K157" s="369"/>
      <c r="L157" s="369"/>
      <c r="M157" s="369"/>
      <c r="N157" s="369"/>
      <c r="O157" s="369"/>
      <c r="P157" s="1430"/>
      <c r="Q157" s="1430"/>
      <c r="R157" s="1430"/>
      <c r="S157" s="1430"/>
      <c r="T157" s="1430"/>
      <c r="U157" s="1430"/>
      <c r="V157" s="1430"/>
      <c r="W157" s="1430"/>
      <c r="X157" s="1430"/>
      <c r="Y157" s="1430" t="s">
        <v>76</v>
      </c>
      <c r="Z157" s="1430">
        <f>IF(Z156="CV",LOOKUP(MATCH($Z$141,AU3:BF3,0),AU4:BF4,AU137:BF137),IF(Z156="TS",LOOKUP(MATCH($Z$141,AU3:BF3,0),AU4:BF4,AU138:BF138),LOOKUP(MATCH($Z$141,AU3:BF3,0),AU4:BF4,AU139:BF139)))</f>
        <v>7007.1105163263201</v>
      </c>
      <c r="AA157" s="1430">
        <f>IF(Z156="CV",LOOKUP(MATCH($Z$141,AU3:BF3,0),AU4:BF4,AU141:BF141),IF(Z156="TS",LOOKUP(MATCH($Z$141,AU3:BF3,0),AU4:BF4,AU142:BF142),LOOKUP(MATCH($Z$141,AU3:BF3,0),AU4:BF4,AU143:BF143)))</f>
        <v>7007.1105163263201</v>
      </c>
      <c r="AB157" s="1430">
        <f>IF(Z156="CV",LOOKUP(MATCH($Z$141,AU3:BF3,0),AU4:BF4,AU145:BF145),IF(Z156="TS",LOOKUP(MATCH($Z$141,AU3:BF3,0),AU4:BF4,AU146:BF146),LOOKUP(MATCH($Z$141,AU3:BF3,0),AU4:BF4,AU147:BF147)))</f>
        <v>7087.9052106067675</v>
      </c>
      <c r="AC157" s="1430"/>
      <c r="AD157" s="1425"/>
      <c r="AE157" s="1425"/>
      <c r="AF157" s="1425"/>
      <c r="AG157" s="459"/>
      <c r="AH157" s="459"/>
      <c r="AI157" s="108"/>
      <c r="AJ157" s="145"/>
      <c r="AK157" s="145"/>
      <c r="AL157" s="145"/>
      <c r="AP157" s="1641"/>
      <c r="AQ157" s="1641"/>
      <c r="AR157" s="1641"/>
      <c r="AS157" s="1641"/>
      <c r="AT157" s="1641"/>
    </row>
    <row r="158" spans="1:58" ht="15.6">
      <c r="A158" s="145"/>
      <c r="B158" s="369"/>
      <c r="C158" s="369"/>
      <c r="D158" s="369"/>
      <c r="E158" s="369"/>
      <c r="F158" s="369"/>
      <c r="G158" s="369"/>
      <c r="H158" s="369"/>
      <c r="I158" s="369"/>
      <c r="J158" s="369"/>
      <c r="K158" s="369"/>
      <c r="L158" s="369"/>
      <c r="M158" s="369"/>
      <c r="N158" s="369"/>
      <c r="O158" s="369"/>
      <c r="P158" s="1430"/>
      <c r="Q158" s="1430"/>
      <c r="R158" s="1430"/>
      <c r="S158" s="1430"/>
      <c r="T158" s="1430"/>
      <c r="U158" s="1430"/>
      <c r="V158" s="1430"/>
      <c r="W158" s="1430"/>
      <c r="X158" s="1430"/>
      <c r="Y158" s="1430" t="s">
        <v>77</v>
      </c>
      <c r="Z158" s="1430">
        <f>IF(Z156="CV",LOOKUP(MATCH($Z$141,AU3:BF3,0),AU4:BF4,AU150:BF150),IF(Z156="TS",LOOKUP(MATCH($Z$141,AU3:BF3,0),AU4:BF4,AU151:BF151),LOOKUP(MATCH($Z$141,AU3:BF3,0),AU4:BF4,AU152:BF152)))</f>
        <v>6906.7638655273404</v>
      </c>
      <c r="AA158" s="1430">
        <f>IF(Z156="CV",LOOKUP(MATCH($Z$141,AU3:BF3,0),AU4:BF4,AU154:BF154),IF(Z156="TS",LOOKUP(MATCH($Z$141,AU3:BF3,0),AU4:BF4,AU155:BF155),LOOKUP(MATCH($Z$141,AU3:BF3,0),AU4:BF4,AU156:BF156)))</f>
        <v>6906.7638655273404</v>
      </c>
      <c r="AB158" s="1430">
        <f>IF(Z156="CV",LOOKUP(MATCH($Z$141,AU3:BF3,0),AU4:BF4,AU158:BF158),IF(Z156="TS",LOOKUP(MATCH($Z$141,AU3:BF3,0),AU4:BF4,AU159:BF159),LOOKUP(MATCH($Z$141,AU3:BF3,0),AU4:BF4,AU160:BF160)))</f>
        <v>6894.0083787306812</v>
      </c>
      <c r="AC158" s="1430"/>
      <c r="AD158" s="1425"/>
      <c r="AE158" s="1425"/>
      <c r="AF158" s="1425"/>
      <c r="AG158" s="459"/>
      <c r="AH158" s="459"/>
      <c r="AI158" s="108"/>
      <c r="AJ158" s="145"/>
      <c r="AK158" s="145"/>
      <c r="AL158" s="145"/>
      <c r="AM158" s="116" t="s">
        <v>77</v>
      </c>
      <c r="AN158" s="85"/>
      <c r="AO158" s="86" t="s">
        <v>61</v>
      </c>
      <c r="AP158" s="1402">
        <f>SUMPRODUCT(AU158:BF158,AU66:BF66)/SUM(AU66:BF66)</f>
        <v>6863.5078179589282</v>
      </c>
      <c r="AQ158" s="123">
        <f>SUMPRODUCT(AU158:AW158,AU66:AW66)/SUM(AU66:AW66)</f>
        <v>6841.6440477751567</v>
      </c>
      <c r="AR158" s="124">
        <f>SUMPRODUCT(AX158:AZ158,AX66:AZ66)/SUM(AX66:AZ66)</f>
        <v>6823.2905371103161</v>
      </c>
      <c r="AS158" s="124">
        <f>SUMPRODUCT(BA158:BC158,BA66:BC66)/SUM(BA66:BC66)</f>
        <v>6922.9898430620506</v>
      </c>
      <c r="AT158" s="125" t="e">
        <f>SUMPRODUCT(BD158:BF158,BD66:BF66)/SUM(BD66:BF66)</f>
        <v>#DIV/0!</v>
      </c>
      <c r="AU158" s="134">
        <f>'January TCM'!$KS$42</f>
        <v>6875.2904448711161</v>
      </c>
      <c r="AV158" s="134">
        <f>'February TCM'!$KS$42</f>
        <v>6796.5652877473058</v>
      </c>
      <c r="AW158" s="134">
        <f>'March TCM'!$KS$42</f>
        <v>6863.7991810936719</v>
      </c>
      <c r="AX158" s="134">
        <f>'April TCM'!$KS$42</f>
        <v>6797.6766400516881</v>
      </c>
      <c r="AY158" s="2487">
        <f>'May TCM'!$KT$42</f>
        <v>6767.7888071134857</v>
      </c>
      <c r="AZ158" s="134">
        <f>'June TCM'!$KT$42</f>
        <v>6951.0751209002538</v>
      </c>
      <c r="BA158" s="134">
        <f>'July TCM'!$KT$42</f>
        <v>6895.2437243285895</v>
      </c>
      <c r="BB158" s="134">
        <f>'August TCM'!KU42</f>
        <v>6948.716152267536</v>
      </c>
      <c r="BC158" s="134">
        <f>'September TCM'!$KU$42</f>
        <v>6894.0083787306812</v>
      </c>
      <c r="BD158" s="134"/>
      <c r="BE158" s="134"/>
      <c r="BF158" s="134"/>
    </row>
    <row r="159" spans="1:58" ht="23.4" customHeight="1">
      <c r="A159" s="145"/>
      <c r="B159" s="369"/>
      <c r="C159" s="369"/>
      <c r="D159" s="369"/>
      <c r="E159" s="369"/>
      <c r="F159" s="369"/>
      <c r="G159" s="369"/>
      <c r="H159" s="369"/>
      <c r="I159" s="369"/>
      <c r="J159" s="369"/>
      <c r="K159" s="369"/>
      <c r="L159" s="369"/>
      <c r="M159" s="369"/>
      <c r="N159" s="369"/>
      <c r="O159" s="369"/>
      <c r="P159" s="1430"/>
      <c r="Q159" s="1430"/>
      <c r="R159" s="1430"/>
      <c r="S159" s="1430"/>
      <c r="T159" s="1430"/>
      <c r="U159" s="1430"/>
      <c r="V159" s="1430"/>
      <c r="W159" s="1430"/>
      <c r="X159" s="1430"/>
      <c r="Y159" s="1430" t="s">
        <v>78</v>
      </c>
      <c r="Z159" s="1430">
        <f>IF(Z156="CV",LOOKUP(MATCH($Z$141,AU3:BF3,0),AU4:BF4,AU162:BF162),IF(Z156="TS",LOOKUP(MATCH($Z$141,AU3:BF3,0),AU4:BF4,AU163:BF163),LOOKUP(MATCH($Z$141,AU3:BF3,0),AU4:BF4,AU164:BF164)))</f>
        <v>0</v>
      </c>
      <c r="AA159" s="1430">
        <f>IF(Z156="CV",LOOKUP(MATCH($Z$141,AU3:BF3,0),AU4:BF4,AU166:BF166),IF(Z156="TS",LOOKUP(MATCH($Z$141,AU3:BF3,0),AU4:BF4,AU167:BF167),LOOKUP(MATCH($Z$141,AU3:BF3,0),AU4:BF4,AU168:BF168)))</f>
        <v>0</v>
      </c>
      <c r="AB159" s="1430">
        <f>IF(Z156="CV",LOOKUP(MATCH($Z$141,AU3:BF3,0),AU4:BF4,AU170:BF170),IF(Z156="TS",LOOKUP(MATCH($Z$141,AU3:BF3,0),AU4:BF4,AU171:BF171),LOOKUP(MATCH($Z$141,AU3:BF3,0),AU4:BF4,AU171:BF171)))</f>
        <v>0</v>
      </c>
      <c r="AC159" s="1430"/>
      <c r="AD159" s="1425"/>
      <c r="AE159" s="1425"/>
      <c r="AF159" s="1425"/>
      <c r="AG159" s="459"/>
      <c r="AH159" s="459"/>
      <c r="AI159" s="108"/>
      <c r="AJ159" s="145"/>
      <c r="AK159" s="145"/>
      <c r="AL159" s="145"/>
      <c r="AM159" s="84" t="s">
        <v>13</v>
      </c>
      <c r="AN159" s="85"/>
      <c r="AO159" s="86" t="s">
        <v>62</v>
      </c>
      <c r="AP159" s="1625">
        <f>SUMPRODUCT(AU159:BF159,AU66:BF66)/SUM(AU66:BF66)</f>
        <v>1.8510387442104372</v>
      </c>
      <c r="AQ159" s="1626">
        <f>SUMPRODUCT(AU159:AW159,AU66:AW66)/SUM(AU66:AW66)</f>
        <v>1.7983363028613666</v>
      </c>
      <c r="AR159" s="1627">
        <f>SUMPRODUCT(AX159:AZ159,AX66:AZ66)/SUM(AX66:AZ66)</f>
        <v>2.0242048331867335</v>
      </c>
      <c r="AS159" s="1627">
        <f>SUMPRODUCT(BA159:BC159,BA66:BC66)/SUM(BA66:BC66)</f>
        <v>1.7119826863266536</v>
      </c>
      <c r="AT159" s="1628" t="e">
        <f>SUMPRODUCT(BD159:BF159,BD66:BF66)/SUM(BD66:BF66)</f>
        <v>#DIV/0!</v>
      </c>
      <c r="AU159" s="1653">
        <f>'January TCM'!$KT$42</f>
        <v>1.7367863237751235</v>
      </c>
      <c r="AV159" s="1653">
        <f>'February TCM'!$KT$42</f>
        <v>1.6132726527252643</v>
      </c>
      <c r="AW159" s="1672">
        <f>'March TCM'!$KT$42</f>
        <v>2.0950153249295389</v>
      </c>
      <c r="AX159" s="1672">
        <f>'April TCM'!$KT$42</f>
        <v>1.9773716490598925</v>
      </c>
      <c r="AY159" s="1672">
        <f>'May TCM'!$KU$42</f>
        <v>1.9949399061037867</v>
      </c>
      <c r="AZ159" s="1672">
        <f>'June TCM'!$KU$42</f>
        <v>2.1497079971758217</v>
      </c>
      <c r="BA159" s="1672">
        <f>'July TCM'!$KU$42</f>
        <v>1.7758232285069711</v>
      </c>
      <c r="BB159" s="1672">
        <f>'August TCM'!KV42</f>
        <v>1.6724927771820928</v>
      </c>
      <c r="BC159" s="1653">
        <f>'September TCM'!KV42</f>
        <v>1.6717713268510157</v>
      </c>
      <c r="BD159" s="135"/>
      <c r="BE159" s="135"/>
      <c r="BF159" s="135"/>
    </row>
    <row r="160" spans="1:58" ht="21" customHeight="1">
      <c r="A160" s="145"/>
      <c r="B160" s="369"/>
      <c r="C160" s="369"/>
      <c r="D160" s="369"/>
      <c r="E160" s="369"/>
      <c r="F160" s="369"/>
      <c r="G160" s="369"/>
      <c r="H160" s="369"/>
      <c r="I160" s="369"/>
      <c r="J160" s="369"/>
      <c r="K160" s="369"/>
      <c r="L160" s="369"/>
      <c r="M160" s="369"/>
      <c r="N160" s="369"/>
      <c r="O160" s="369"/>
      <c r="P160" s="1430"/>
      <c r="Q160" s="1430"/>
      <c r="R160" s="1430"/>
      <c r="S160" s="1430"/>
      <c r="T160" s="1430"/>
      <c r="U160" s="1430"/>
      <c r="V160" s="1430"/>
      <c r="W160" s="1430"/>
      <c r="X160" s="1430"/>
      <c r="Y160" s="1430"/>
      <c r="Z160" s="1430"/>
      <c r="AA160" s="1432" t="str">
        <f>IFERROR(IF(AB157&gt;Z157,"▲","▼"),"")</f>
        <v>▲</v>
      </c>
      <c r="AB160" s="1433" t="str">
        <f>IFERROR(IF(AB157&gt;AA157,"▲","▼"),"")</f>
        <v>▲</v>
      </c>
      <c r="AC160" s="1432" t="str">
        <f>IFERROR(IF(AB159&gt;Z159,"▲","▼"),"")</f>
        <v>▼</v>
      </c>
      <c r="AD160" s="1434" t="str">
        <f>IFERROR(IF(AB159&gt;AA159,"▲","▼"),"")</f>
        <v>▼</v>
      </c>
      <c r="AE160" s="1425"/>
      <c r="AF160" s="1425"/>
      <c r="AG160" s="459"/>
      <c r="AH160" s="459"/>
      <c r="AI160" s="108"/>
      <c r="AJ160" s="145"/>
      <c r="AK160" s="145"/>
      <c r="AL160" s="145"/>
      <c r="AM160" s="84"/>
      <c r="AN160" s="85"/>
      <c r="AO160" s="86" t="s">
        <v>639</v>
      </c>
      <c r="AP160" s="1629">
        <f>SUMPRODUCT(AU160:BF160,AU66:BF66)/SUM(AU66:BF66)</f>
        <v>5.8972489038783733</v>
      </c>
      <c r="AQ160" s="1630">
        <f>SUMPRODUCT(AU160:AW160,AU66:AW66)/SUM(AU66:AW66)</f>
        <v>5.9244146950075525</v>
      </c>
      <c r="AR160" s="1631">
        <f>SUMPRODUCT(AX160:AZ160,AX66:AZ66)/SUM(AX66:AZ66)</f>
        <v>7.0122978540961434</v>
      </c>
      <c r="AS160" s="1631">
        <f>SUMPRODUCT(BA160:BC160,BA66:BC66)/SUM(BA66:BC66)</f>
        <v>4.7096545178501037</v>
      </c>
      <c r="AT160" s="1632" t="e">
        <f>SUMPRODUCT(BD160:BF160,BD66:BF66)/SUM(BD66:BF66)</f>
        <v>#DIV/0!</v>
      </c>
      <c r="AU160" s="1654">
        <f>'January TCM'!$KU$42</f>
        <v>6.0201854322010817</v>
      </c>
      <c r="AV160" s="1654">
        <f>'February TCM'!$KU$42</f>
        <v>6.0342105622171403</v>
      </c>
      <c r="AW160" s="1673">
        <f>'March TCM'!$KU$42</f>
        <v>5.6873511879554313</v>
      </c>
      <c r="AX160" s="1673">
        <f>'April TCM'!$KU$42</f>
        <v>7.8264352944478377</v>
      </c>
      <c r="AY160" s="1673">
        <f>'May TCM'!$KV$42</f>
        <v>7.7363073084819032</v>
      </c>
      <c r="AZ160" s="1673">
        <f>'June TCM'!$KV$42</f>
        <v>4.508210592747516</v>
      </c>
      <c r="BA160" s="1673">
        <f>'July TCM'!$KV$42</f>
        <v>4.7562453770576578</v>
      </c>
      <c r="BB160" s="1673">
        <f>'August TCM'!KW42</f>
        <v>4.4200892910508998</v>
      </c>
      <c r="BC160" s="1654">
        <f>'September TCM'!KW42</f>
        <v>6.0949045511420978</v>
      </c>
      <c r="BD160" s="136"/>
      <c r="BE160" s="136"/>
      <c r="BF160" s="136"/>
    </row>
    <row r="161" spans="1:67" ht="18.75" customHeight="1">
      <c r="A161" s="145"/>
      <c r="B161" s="369"/>
      <c r="C161" s="369"/>
      <c r="D161" s="369"/>
      <c r="E161" s="369"/>
      <c r="F161" s="369"/>
      <c r="G161" s="369"/>
      <c r="H161" s="369"/>
      <c r="I161" s="369"/>
      <c r="J161" s="369"/>
      <c r="K161" s="369"/>
      <c r="L161" s="369"/>
      <c r="M161" s="369"/>
      <c r="N161" s="369"/>
      <c r="O161" s="369"/>
      <c r="P161" s="1430"/>
      <c r="Q161" s="1430"/>
      <c r="R161" s="1430"/>
      <c r="S161" s="1430"/>
      <c r="T161" s="1430"/>
      <c r="U161" s="1430"/>
      <c r="V161" s="1430"/>
      <c r="W161" s="1430"/>
      <c r="X161" s="1430"/>
      <c r="Y161" s="1430">
        <v>2</v>
      </c>
      <c r="Z161" s="1430" t="str">
        <f>IF(Y161=1,"CV",IF(Y161=2,"TS","ASH"))</f>
        <v>TS</v>
      </c>
      <c r="AA161" s="1432" t="str">
        <f>IFERROR(IF(AB158&gt;Z158,"▲","▼"),"")</f>
        <v>▼</v>
      </c>
      <c r="AB161" s="1433" t="str">
        <f>IFERROR(IF(AB158&gt;AA158,"▲","▼"),"")</f>
        <v>▼</v>
      </c>
      <c r="AC161" s="1430"/>
      <c r="AD161" s="1425"/>
      <c r="AE161" s="1425"/>
      <c r="AF161" s="1425"/>
      <c r="AG161" s="459"/>
      <c r="AH161" s="459"/>
      <c r="AI161" s="108"/>
      <c r="AJ161" s="145"/>
      <c r="AK161" s="145"/>
      <c r="AL161" s="145"/>
      <c r="BK161" s="2920"/>
      <c r="BM161" s="2921"/>
      <c r="BN161" s="2921"/>
      <c r="BO161" s="2918"/>
    </row>
    <row r="162" spans="1:67" ht="18.75" customHeight="1">
      <c r="A162" s="145"/>
      <c r="B162" s="369"/>
      <c r="C162" s="369"/>
      <c r="D162" s="369"/>
      <c r="E162" s="369"/>
      <c r="F162" s="369"/>
      <c r="G162" s="369"/>
      <c r="H162" s="369"/>
      <c r="I162" s="369"/>
      <c r="J162" s="369"/>
      <c r="K162" s="369"/>
      <c r="L162" s="369"/>
      <c r="M162" s="369"/>
      <c r="N162" s="369"/>
      <c r="O162" s="369"/>
      <c r="P162" s="1430"/>
      <c r="Q162" s="1430"/>
      <c r="R162" s="1430"/>
      <c r="S162" s="1430"/>
      <c r="T162" s="1430"/>
      <c r="U162" s="1430"/>
      <c r="V162" s="1430"/>
      <c r="W162" s="1430"/>
      <c r="X162" s="1430"/>
      <c r="Y162" s="1430" t="s">
        <v>76</v>
      </c>
      <c r="Z162" s="1430">
        <f ca="1">IF(Z161="CV",SUMIFS(AP137:AT137,AP3:AT3,Y151),IF(Z161="TS",SUMIFS(AP138:AT138,AP3:AT3,Y151),SUMIFS(AP139:AT139,AP3:AT3,Y151)))</f>
        <v>0.69762729927446654</v>
      </c>
      <c r="AA162" s="1430">
        <f ca="1">IF(Z161="CV",SUMIFS(AP145:AT145,AP3:AT3,Y151),IF(Z161="TS",SUMIFS(AP146:AT146,AP3:AT3,Y151),SUMIFS(AP147:AT147,AP3:AT3,Y151)))</f>
        <v>0.69874663020041416</v>
      </c>
      <c r="AB162" s="1430"/>
      <c r="AC162" s="1430"/>
      <c r="AD162" s="1425"/>
      <c r="AE162" s="1425"/>
      <c r="AF162" s="1425"/>
      <c r="AG162" s="459"/>
      <c r="AH162" s="459"/>
      <c r="AI162" s="108"/>
      <c r="AJ162" s="145"/>
      <c r="AK162" s="145"/>
      <c r="AL162" s="145"/>
      <c r="AM162" s="116" t="s">
        <v>590</v>
      </c>
      <c r="AN162" s="85"/>
      <c r="AO162" s="86" t="s">
        <v>61</v>
      </c>
      <c r="AP162" s="1402" t="e">
        <f>SUMPRODUCT(AU162:BF162,AU68:BF68)/SUM(AU68:BF68)</f>
        <v>#DIV/0!</v>
      </c>
      <c r="AQ162" s="123" t="e">
        <f>SUMPRODUCT(AU162:AW162,AU68:AW68)/SUM(AU68:AW68)</f>
        <v>#DIV/0!</v>
      </c>
      <c r="AR162" s="124" t="e">
        <f>SUMPRODUCT(AX162:AZ162,AX68:AZ68)/SUM(AX68:AZ68)</f>
        <v>#DIV/0!</v>
      </c>
      <c r="AS162" s="124" t="e">
        <f>SUMPRODUCT(BA162:BC162,BA68:BC68)/SUM(BA68:BC68)</f>
        <v>#DIV/0!</v>
      </c>
      <c r="AT162" s="125" t="e">
        <f>SUMPRODUCT(BD162:BF162,BD68:BF68)/SUM(BD68:BF68)</f>
        <v>#DIV/0!</v>
      </c>
      <c r="AU162" s="126"/>
      <c r="AV162" s="124"/>
      <c r="AW162" s="124"/>
      <c r="AX162" s="124"/>
      <c r="AY162" s="124"/>
      <c r="AZ162" s="124"/>
      <c r="BA162" s="124"/>
      <c r="BB162" s="124"/>
      <c r="BC162" s="124"/>
      <c r="BD162" s="124"/>
      <c r="BE162" s="124"/>
      <c r="BF162" s="125"/>
      <c r="BK162" s="2920"/>
      <c r="BM162" s="2921"/>
      <c r="BN162" s="2921"/>
      <c r="BO162" s="2919"/>
    </row>
    <row r="163" spans="1:67" ht="18.75" customHeight="1">
      <c r="A163" s="145"/>
      <c r="B163" s="369"/>
      <c r="C163" s="369"/>
      <c r="D163" s="369"/>
      <c r="E163" s="369"/>
      <c r="F163" s="369"/>
      <c r="G163" s="369"/>
      <c r="H163" s="369"/>
      <c r="I163" s="369"/>
      <c r="J163" s="369"/>
      <c r="K163" s="369"/>
      <c r="L163" s="369"/>
      <c r="M163" s="369"/>
      <c r="N163" s="369"/>
      <c r="O163" s="369"/>
      <c r="P163" s="1430"/>
      <c r="Q163" s="1430"/>
      <c r="R163" s="1430"/>
      <c r="S163" s="1430"/>
      <c r="T163" s="1430"/>
      <c r="U163" s="1430"/>
      <c r="V163" s="1430"/>
      <c r="W163" s="1430"/>
      <c r="X163" s="1430"/>
      <c r="Y163" s="1430"/>
      <c r="Z163" s="1430"/>
      <c r="AA163" s="1430"/>
      <c r="AB163" s="1430"/>
      <c r="AC163" s="1430"/>
      <c r="AD163" s="1425"/>
      <c r="AE163" s="1425"/>
      <c r="AF163" s="1425"/>
      <c r="AG163" s="459"/>
      <c r="AH163" s="459"/>
      <c r="AI163" s="108"/>
      <c r="AJ163" s="145"/>
      <c r="AK163" s="145"/>
      <c r="AL163" s="145"/>
      <c r="AM163" s="84" t="s">
        <v>11</v>
      </c>
      <c r="AN163" s="85"/>
      <c r="AO163" s="86" t="s">
        <v>62</v>
      </c>
      <c r="AP163" s="127" t="e">
        <f>SUMPRODUCT(AU163:BF163,AU68:BF68)/SUM(AU68:BF68)</f>
        <v>#DIV/0!</v>
      </c>
      <c r="AQ163" s="128" t="e">
        <f>SUMPRODUCT(AU163:AW163,AU68:AW68)/SUM(AU68:AW68)</f>
        <v>#DIV/0!</v>
      </c>
      <c r="AR163" s="129" t="e">
        <f>SUMPRODUCT(AX163:AZ163,AX68:AZ68)/SUM(AX68:AZ68)</f>
        <v>#DIV/0!</v>
      </c>
      <c r="AS163" s="129" t="e">
        <f>SUMPRODUCT(BA163:BC163,BA68:BC68)/SUM(BA68:BC68)</f>
        <v>#DIV/0!</v>
      </c>
      <c r="AT163" s="130" t="e">
        <f>SUMPRODUCT(BD163:BF163,BD68:BF68)/SUM(BD68:BF68)</f>
        <v>#DIV/0!</v>
      </c>
      <c r="AU163" s="131"/>
      <c r="AV163" s="129"/>
      <c r="AW163" s="129"/>
      <c r="AX163" s="129"/>
      <c r="AY163" s="129"/>
      <c r="AZ163" s="129"/>
      <c r="BA163" s="129"/>
      <c r="BB163" s="129"/>
      <c r="BC163" s="129"/>
      <c r="BD163" s="129"/>
      <c r="BE163" s="129"/>
      <c r="BF163" s="130"/>
      <c r="BK163" s="973"/>
      <c r="BM163" s="974"/>
      <c r="BN163" s="974"/>
      <c r="BO163" s="180"/>
    </row>
    <row r="164" spans="1:67" ht="18.75" customHeight="1">
      <c r="A164" s="145"/>
      <c r="B164" s="369"/>
      <c r="C164" s="369"/>
      <c r="D164" s="369"/>
      <c r="E164" s="369"/>
      <c r="F164" s="369"/>
      <c r="G164" s="369"/>
      <c r="H164" s="369"/>
      <c r="I164" s="369"/>
      <c r="J164" s="369"/>
      <c r="K164" s="369"/>
      <c r="L164" s="369"/>
      <c r="M164" s="369"/>
      <c r="N164" s="369"/>
      <c r="O164" s="369"/>
      <c r="P164" s="1430"/>
      <c r="Q164" s="1430"/>
      <c r="R164" s="1430"/>
      <c r="S164" s="1430"/>
      <c r="T164" s="1430"/>
      <c r="U164" s="1430"/>
      <c r="V164" s="1430"/>
      <c r="W164" s="1430"/>
      <c r="X164" s="1430"/>
      <c r="Y164" s="1430"/>
      <c r="Z164" s="1430"/>
      <c r="AA164" s="1430"/>
      <c r="AB164" s="1430"/>
      <c r="AC164" s="1430"/>
      <c r="AD164" s="1425"/>
      <c r="AE164" s="1425"/>
      <c r="AF164" s="1425"/>
      <c r="AG164" s="459"/>
      <c r="AH164" s="459"/>
      <c r="AI164" s="108"/>
      <c r="AJ164" s="145"/>
      <c r="AK164" s="145"/>
      <c r="AL164" s="145"/>
      <c r="AM164" s="84"/>
      <c r="AN164" s="85"/>
      <c r="AO164" s="86" t="s">
        <v>639</v>
      </c>
      <c r="AP164" s="132" t="e">
        <f>SUMPRODUCT(AU164:BF164,AU68:BF68)/SUM(AU68:BF68)</f>
        <v>#DIV/0!</v>
      </c>
      <c r="AQ164" s="120" t="e">
        <f>SUMPRODUCT(AU164:AW164,AU68:AW68)/SUM(AU68:AW68)</f>
        <v>#DIV/0!</v>
      </c>
      <c r="AR164" s="121" t="e">
        <f>SUMPRODUCT(AX164:AZ164,AX68:AZ68)/SUM(AX68:AZ68)</f>
        <v>#DIV/0!</v>
      </c>
      <c r="AS164" s="121" t="e">
        <f>SUMPRODUCT(BA164:BC164,BA68:BC68)/SUM(BA68:BC68)</f>
        <v>#DIV/0!</v>
      </c>
      <c r="AT164" s="122" t="e">
        <f>SUMPRODUCT(BD164:BF164,BD69:BF69)/SUM(BD68:BF68)</f>
        <v>#DIV/0!</v>
      </c>
      <c r="AU164" s="133"/>
      <c r="AV164" s="121"/>
      <c r="AW164" s="121"/>
      <c r="AX164" s="121"/>
      <c r="AY164" s="121"/>
      <c r="AZ164" s="121"/>
      <c r="BA164" s="121"/>
      <c r="BB164" s="121"/>
      <c r="BC164" s="121"/>
      <c r="BD164" s="121"/>
      <c r="BE164" s="121"/>
      <c r="BF164" s="122"/>
      <c r="BK164" s="973"/>
      <c r="BM164" s="974"/>
      <c r="BN164" s="974"/>
      <c r="BO164" s="180"/>
    </row>
    <row r="165" spans="1:67" ht="18.75" customHeight="1">
      <c r="A165" s="145"/>
      <c r="B165" s="369"/>
      <c r="C165" s="369"/>
      <c r="D165" s="369"/>
      <c r="E165" s="369"/>
      <c r="F165" s="369"/>
      <c r="G165" s="369"/>
      <c r="H165" s="369"/>
      <c r="I165" s="369"/>
      <c r="J165" s="369"/>
      <c r="K165" s="369"/>
      <c r="L165" s="369"/>
      <c r="M165" s="369"/>
      <c r="N165" s="369"/>
      <c r="O165" s="369"/>
      <c r="P165" s="1430"/>
      <c r="Q165" s="1430"/>
      <c r="R165" s="1430"/>
      <c r="S165" s="1430"/>
      <c r="T165" s="1430"/>
      <c r="U165" s="1430"/>
      <c r="V165" s="1430"/>
      <c r="W165" s="1430"/>
      <c r="X165" s="1430"/>
      <c r="Y165" s="1430"/>
      <c r="Z165" s="1430"/>
      <c r="AA165" s="1430"/>
      <c r="AB165" s="1430"/>
      <c r="AC165" s="1430"/>
      <c r="AD165" s="1425"/>
      <c r="AE165" s="1425"/>
      <c r="AF165" s="1425"/>
      <c r="AG165" s="459"/>
      <c r="AH165" s="459"/>
      <c r="AI165" s="108"/>
      <c r="AJ165" s="145"/>
      <c r="AK165" s="145"/>
      <c r="AL165" s="145"/>
      <c r="AM165" s="145"/>
      <c r="AN165" s="145"/>
      <c r="AO165" s="145"/>
      <c r="AP165" s="145"/>
      <c r="AQ165" s="145"/>
      <c r="AR165" s="145"/>
      <c r="AS165" s="145"/>
      <c r="BK165" s="973"/>
      <c r="BM165" s="974"/>
      <c r="BN165" s="974"/>
      <c r="BO165" s="180"/>
    </row>
    <row r="166" spans="1:67" ht="18.75" customHeight="1">
      <c r="A166" s="145"/>
      <c r="B166" s="369"/>
      <c r="C166" s="369"/>
      <c r="D166" s="369"/>
      <c r="E166" s="369"/>
      <c r="F166" s="369"/>
      <c r="G166" s="369"/>
      <c r="H166" s="369"/>
      <c r="I166" s="369"/>
      <c r="J166" s="369"/>
      <c r="K166" s="369"/>
      <c r="L166" s="369"/>
      <c r="M166" s="369"/>
      <c r="N166" s="369"/>
      <c r="O166" s="369"/>
      <c r="P166" s="1430"/>
      <c r="Q166" s="1430"/>
      <c r="R166" s="1430"/>
      <c r="S166" s="1430"/>
      <c r="T166" s="1430"/>
      <c r="U166" s="1430"/>
      <c r="V166" s="1430"/>
      <c r="W166" s="1430"/>
      <c r="X166" s="1430"/>
      <c r="Y166" s="1430"/>
      <c r="Z166" s="1430"/>
      <c r="AA166" s="1430"/>
      <c r="AB166" s="1430"/>
      <c r="AC166" s="1430"/>
      <c r="AD166" s="1425"/>
      <c r="AE166" s="1425"/>
      <c r="AF166" s="1425"/>
      <c r="AG166" s="459"/>
      <c r="AH166" s="459"/>
      <c r="AI166" s="108"/>
      <c r="AJ166" s="145"/>
      <c r="AK166" s="145"/>
      <c r="AL166" s="145"/>
      <c r="AM166" s="116" t="s">
        <v>590</v>
      </c>
      <c r="AN166" s="85"/>
      <c r="AO166" s="86" t="s">
        <v>61</v>
      </c>
      <c r="AP166" s="1403" t="e">
        <f>SUMPRODUCT(AU166:BF166,AU69:BF69)/SUM(AU69:BF69)</f>
        <v>#DIV/0!</v>
      </c>
      <c r="AQ166" s="315">
        <f>SUMPRODUCT(AU166:AW166,AU81:AW81)/SUM(AU81:AW81)</f>
        <v>0</v>
      </c>
      <c r="AR166" s="316" t="e">
        <f>SUMPRODUCT(AX166:AZ166,AX69:AZ69)/SUM(AX69:AZ69)</f>
        <v>#DIV/0!</v>
      </c>
      <c r="AS166" s="316" t="e">
        <f>SUMPRODUCT(BA166:BC166,BA69:BC69)/SUM(BA69:BC69)</f>
        <v>#DIV/0!</v>
      </c>
      <c r="AT166" s="125" t="e">
        <f>SUMPRODUCT(BD166:BF166,BD69:BF69)/SUM(BD69:BF69)</f>
        <v>#DIV/0!</v>
      </c>
      <c r="AU166" s="126"/>
      <c r="AV166" s="124"/>
      <c r="AW166" s="124"/>
      <c r="AX166" s="124"/>
      <c r="AY166" s="124"/>
      <c r="AZ166" s="124"/>
      <c r="BA166" s="124"/>
      <c r="BB166" s="124"/>
      <c r="BC166" s="124"/>
      <c r="BD166" s="124"/>
      <c r="BE166" s="124"/>
      <c r="BF166" s="125"/>
      <c r="BK166" s="973"/>
      <c r="BM166" s="974"/>
      <c r="BN166" s="974"/>
      <c r="BO166" s="180"/>
    </row>
    <row r="167" spans="1:67" ht="18.75" customHeight="1">
      <c r="A167" s="145"/>
      <c r="B167" s="369"/>
      <c r="C167" s="369"/>
      <c r="D167" s="369"/>
      <c r="E167" s="369"/>
      <c r="F167" s="369"/>
      <c r="G167" s="369"/>
      <c r="H167" s="369"/>
      <c r="I167" s="369"/>
      <c r="J167" s="369"/>
      <c r="K167" s="369"/>
      <c r="L167" s="369"/>
      <c r="M167" s="369"/>
      <c r="N167" s="369"/>
      <c r="O167" s="369"/>
      <c r="P167" s="1430"/>
      <c r="Q167" s="1430"/>
      <c r="R167" s="1430"/>
      <c r="S167" s="1430"/>
      <c r="T167" s="1430"/>
      <c r="U167" s="1430"/>
      <c r="V167" s="1430"/>
      <c r="W167" s="1430"/>
      <c r="X167" s="1430"/>
      <c r="Y167" s="1430"/>
      <c r="Z167" s="1430"/>
      <c r="AA167" s="1430"/>
      <c r="AB167" s="1430"/>
      <c r="AC167" s="1430"/>
      <c r="AD167" s="1425"/>
      <c r="AE167" s="1425"/>
      <c r="AF167" s="1425"/>
      <c r="AG167" s="459"/>
      <c r="AH167" s="459"/>
      <c r="AI167" s="108"/>
      <c r="AJ167" s="145"/>
      <c r="AK167" s="145"/>
      <c r="AL167" s="145"/>
      <c r="AM167" s="84" t="s">
        <v>12</v>
      </c>
      <c r="AN167" s="85"/>
      <c r="AO167" s="86" t="s">
        <v>62</v>
      </c>
      <c r="AP167" s="317" t="e">
        <f>SUMPRODUCT(AU167:BF167,AU69:BF69)/SUM(AU69:BF69)</f>
        <v>#DIV/0!</v>
      </c>
      <c r="AQ167" s="318">
        <f>SUMPRODUCT(AU167:AW167,AU81:AW81)/SUM(AU81:AW81)</f>
        <v>0</v>
      </c>
      <c r="AR167" s="319" t="e">
        <f>SUMPRODUCT(AX167:AZ167,AX69:AZ69)/SUM(AX69:AZ69)</f>
        <v>#DIV/0!</v>
      </c>
      <c r="AS167" s="319" t="e">
        <f>SUMPRODUCT(BA167:BC167,BA69:BC69)/SUM(BA69:BC69)</f>
        <v>#DIV/0!</v>
      </c>
      <c r="AT167" s="130" t="e">
        <f>SUMPRODUCT(BD167:BF167,BD69:BF69)/SUM(BD69:BF69)</f>
        <v>#DIV/0!</v>
      </c>
      <c r="AU167" s="131"/>
      <c r="AV167" s="129"/>
      <c r="AW167" s="129"/>
      <c r="AX167" s="129"/>
      <c r="AY167" s="129"/>
      <c r="AZ167" s="129"/>
      <c r="BA167" s="129"/>
      <c r="BB167" s="129"/>
      <c r="BC167" s="129"/>
      <c r="BD167" s="129"/>
      <c r="BE167" s="129"/>
      <c r="BF167" s="130"/>
      <c r="BK167" s="973"/>
      <c r="BM167" s="974"/>
      <c r="BN167" s="974"/>
      <c r="BO167" s="180"/>
    </row>
    <row r="168" spans="1:67" ht="22.5" customHeight="1">
      <c r="A168" s="145"/>
      <c r="B168" s="369"/>
      <c r="C168" s="369"/>
      <c r="D168" s="369"/>
      <c r="E168" s="369"/>
      <c r="F168" s="369"/>
      <c r="G168" s="369"/>
      <c r="H168" s="369"/>
      <c r="I168" s="369"/>
      <c r="J168" s="369"/>
      <c r="K168" s="369"/>
      <c r="L168" s="369"/>
      <c r="M168" s="369"/>
      <c r="N168" s="369"/>
      <c r="O168" s="369"/>
      <c r="P168" s="1430"/>
      <c r="Q168" s="1430"/>
      <c r="R168" s="1430"/>
      <c r="S168" s="1430"/>
      <c r="T168" s="1430"/>
      <c r="U168" s="1430"/>
      <c r="V168" s="1430"/>
      <c r="W168" s="1430"/>
      <c r="X168" s="1430"/>
      <c r="Y168" s="1430" t="s">
        <v>77</v>
      </c>
      <c r="Z168" s="1430">
        <f ca="1">IF(Z161="CV",SUMIFS(AP150:AT150,AP3:AT3,Y151),IF(Z161="TS",SUMIFS(AP151:AT151,AP3:AT3,Y151),SUMIFS(AP152:AT152,AP3:AT3,Y151)))</f>
        <v>1.7189415615136825</v>
      </c>
      <c r="AA168" s="1430">
        <f ca="1">IF(Z161="CV",SUMIFS(AP158:AT158,AP3:AT3,Y151),IF(Z161="TS",SUMIFS(AP159:AT159,AP3:AT3,Y151),SUMIFS(AP160:AT160,AP3:AT3,Y151)))</f>
        <v>1.7983363028613666</v>
      </c>
      <c r="AB168" s="1430"/>
      <c r="AC168" s="1430"/>
      <c r="AD168" s="1425"/>
      <c r="AE168" s="1425"/>
      <c r="AF168" s="1425"/>
      <c r="AG168" s="459"/>
      <c r="AH168" s="459"/>
      <c r="AI168" s="108"/>
      <c r="AJ168" s="145"/>
      <c r="AK168" s="145"/>
      <c r="AL168" s="145"/>
      <c r="AM168" s="84"/>
      <c r="AN168" s="85"/>
      <c r="AO168" s="86" t="s">
        <v>639</v>
      </c>
      <c r="AP168" s="320" t="e">
        <f>SUMPRODUCT(AU168:BF168,AU69:BF69)/SUM(AU69:BF69)</f>
        <v>#DIV/0!</v>
      </c>
      <c r="AQ168" s="321">
        <f>SUMPRODUCT(AU168:AW168,AU81:AW81)/SUM(AU81:AW81)</f>
        <v>0</v>
      </c>
      <c r="AR168" s="322" t="e">
        <f>SUMPRODUCT(AX168:AZ168,AX69:AZ69)/SUM(AX69:AZ69)</f>
        <v>#DIV/0!</v>
      </c>
      <c r="AS168" s="322" t="e">
        <f>SUMPRODUCT(BA168:BC168,BA69:BC69)/SUM(BA69:BC69)</f>
        <v>#DIV/0!</v>
      </c>
      <c r="AT168" s="122" t="e">
        <f>SUMPRODUCT(BD168:BF168,BD69:BF69)/SUM(BD69:BF69)</f>
        <v>#DIV/0!</v>
      </c>
      <c r="AU168" s="133"/>
      <c r="AV168" s="121"/>
      <c r="AW168" s="121"/>
      <c r="AX168" s="121"/>
      <c r="AY168" s="121"/>
      <c r="AZ168" s="121"/>
      <c r="BA168" s="121"/>
      <c r="BB168" s="121"/>
      <c r="BC168" s="121"/>
      <c r="BD168" s="121"/>
      <c r="BE168" s="121"/>
      <c r="BF168" s="122"/>
      <c r="BK168" s="2920"/>
      <c r="BM168" s="2921"/>
      <c r="BN168" s="2921"/>
      <c r="BO168" s="2918"/>
    </row>
    <row r="169" spans="1:67" ht="18.75" customHeight="1">
      <c r="A169" s="145"/>
      <c r="B169" s="369"/>
      <c r="C169" s="369"/>
      <c r="D169" s="369"/>
      <c r="E169" s="369"/>
      <c r="F169" s="369"/>
      <c r="G169" s="369"/>
      <c r="H169" s="369"/>
      <c r="I169" s="369"/>
      <c r="J169" s="369"/>
      <c r="K169" s="369"/>
      <c r="L169" s="369"/>
      <c r="M169" s="369"/>
      <c r="N169" s="369"/>
      <c r="O169" s="369"/>
      <c r="P169" s="1430"/>
      <c r="Q169" s="1430"/>
      <c r="R169" s="1430"/>
      <c r="S169" s="1430"/>
      <c r="T169" s="1430"/>
      <c r="U169" s="1430"/>
      <c r="V169" s="1430"/>
      <c r="W169" s="1430"/>
      <c r="X169" s="1430"/>
      <c r="Y169" s="1430" t="s">
        <v>78</v>
      </c>
      <c r="Z169" s="1430" t="e">
        <f ca="1">IF(Z161="CV",SUMIFS(AP162:AT162,AP3:AT3,Y151),IF(Z161="TS",SUMIFS(AP163:AT163,AP3:AT3,Y151),SUMIFS(AP164:AT164,AP3:AT3,Y151)))</f>
        <v>#DIV/0!</v>
      </c>
      <c r="AA169" s="1430">
        <f ca="1">IF(Z161="CV",SUMIFS(AP170:AT170,AP3:AT3,Y151),IF(Z161="TS",SUMIFS(AP171:AT171,AP3:AT3,Y151),SUMIFS(AP172:AT172,AP3:AT3,Y151)))</f>
        <v>0</v>
      </c>
      <c r="AB169" s="1432"/>
      <c r="AC169" s="1430"/>
      <c r="AD169" s="1425"/>
      <c r="AE169" s="1425"/>
      <c r="AF169" s="1425"/>
      <c r="AG169" s="459"/>
      <c r="AH169" s="459"/>
      <c r="AI169" s="108"/>
      <c r="AJ169" s="145"/>
      <c r="AK169" s="145"/>
      <c r="AL169" s="145"/>
      <c r="AM169" s="145"/>
      <c r="AN169" s="145"/>
      <c r="AO169" s="145"/>
      <c r="AP169" s="145"/>
      <c r="AQ169" s="145"/>
      <c r="AR169" s="145"/>
      <c r="AS169" s="145"/>
      <c r="BK169" s="2920"/>
      <c r="BM169" s="2921"/>
      <c r="BN169" s="2921"/>
      <c r="BO169" s="2919"/>
    </row>
    <row r="170" spans="1:67" ht="18.75" customHeight="1">
      <c r="A170" s="145"/>
      <c r="B170" s="369"/>
      <c r="C170" s="369"/>
      <c r="D170" s="369"/>
      <c r="E170" s="369"/>
      <c r="F170" s="369"/>
      <c r="G170" s="369"/>
      <c r="H170" s="369"/>
      <c r="I170" s="369"/>
      <c r="J170" s="369"/>
      <c r="K170" s="369"/>
      <c r="L170" s="369"/>
      <c r="M170" s="369"/>
      <c r="N170" s="369"/>
      <c r="O170" s="369"/>
      <c r="P170" s="1430"/>
      <c r="Q170" s="1430"/>
      <c r="R170" s="1430"/>
      <c r="S170" s="1430"/>
      <c r="T170" s="1430"/>
      <c r="U170" s="1430"/>
      <c r="V170" s="1430"/>
      <c r="W170" s="1430"/>
      <c r="X170" s="1430"/>
      <c r="Y170" s="1430" t="s">
        <v>78</v>
      </c>
      <c r="Z170" s="1430">
        <f ca="1">IF(Z162="CV",SUMIFS(AP163:AT163,AP4:AT4,Y152),IF(Z162="TS",SUMIFS(AP164:AT164,AP4:AT4,Y152),SUMIFS(AP165:AT165,AP4:AT4,Y152)))</f>
        <v>0</v>
      </c>
      <c r="AA170" s="1430">
        <f ca="1">IF(Z162="CV",SUMIFS(AP171:AT171,AP4:AT4,Y152),IF(Z162="TS",SUMIFS(AP172:AT172,AP4:AT4,Y152),SUMIFS(AP173:AT173,AP4:AT4,Y152)))</f>
        <v>0</v>
      </c>
      <c r="AB170" s="1432"/>
      <c r="AC170" s="1430"/>
      <c r="AD170" s="1425"/>
      <c r="AE170" s="1425"/>
      <c r="AF170" s="1425"/>
      <c r="AG170" s="459"/>
      <c r="AH170" s="459"/>
      <c r="AI170" s="108"/>
      <c r="AJ170" s="145"/>
      <c r="AK170" s="145"/>
      <c r="AL170" s="145"/>
      <c r="AM170" s="116" t="s">
        <v>590</v>
      </c>
      <c r="AN170" s="85"/>
      <c r="AO170" s="86" t="s">
        <v>61</v>
      </c>
      <c r="AP170" s="1403" t="e">
        <f>SUMPRODUCT(AU170:BF170,AU70:BF70)/SUM(AU70:BF70)</f>
        <v>#DIV/0!</v>
      </c>
      <c r="AQ170" s="365">
        <f>SUMPRODUCT(AU170:AW170,AU84:AW84)/SUM(AU84:AW84)</f>
        <v>0</v>
      </c>
      <c r="AR170" s="316" t="e">
        <f>SUMPRODUCT(AX170:AZ170,AX70:AZ70)/SUM(AX70:AZ70)</f>
        <v>#DIV/0!</v>
      </c>
      <c r="AS170" s="316" t="e">
        <f>SUMPRODUCT(BA170:BC170,BA70:BC70)/SUM(BA70:BC70)</f>
        <v>#DIV/0!</v>
      </c>
      <c r="AT170" s="125" t="e">
        <f>SUMPRODUCT(BD170:BF170,BD70:BF70)/SUM(BD70:BF70)</f>
        <v>#DIV/0!</v>
      </c>
      <c r="AU170" s="134">
        <f>'January TCM'!$KX$42</f>
        <v>0</v>
      </c>
      <c r="AV170" s="134"/>
      <c r="AW170" s="134"/>
      <c r="AX170" s="493"/>
      <c r="AY170" s="134"/>
      <c r="AZ170" s="134"/>
      <c r="BA170" s="134"/>
      <c r="BB170" s="134"/>
      <c r="BC170" s="134"/>
      <c r="BD170" s="134"/>
      <c r="BE170" s="134"/>
      <c r="BF170" s="134"/>
      <c r="BK170" s="2920"/>
      <c r="BM170" s="2921"/>
      <c r="BN170" s="2921"/>
      <c r="BO170" s="2918"/>
    </row>
    <row r="171" spans="1:67" ht="21.75" customHeight="1">
      <c r="A171" s="145"/>
      <c r="B171" s="369"/>
      <c r="C171" s="369"/>
      <c r="D171" s="369"/>
      <c r="E171" s="369"/>
      <c r="F171" s="369"/>
      <c r="G171" s="369"/>
      <c r="H171" s="369"/>
      <c r="I171" s="369"/>
      <c r="J171" s="369"/>
      <c r="K171" s="369"/>
      <c r="L171" s="369"/>
      <c r="M171" s="369"/>
      <c r="N171" s="369"/>
      <c r="O171" s="369"/>
      <c r="P171" s="1430"/>
      <c r="Q171" s="1430"/>
      <c r="R171" s="1430"/>
      <c r="S171" s="1430"/>
      <c r="T171" s="1430"/>
      <c r="U171" s="1430"/>
      <c r="V171" s="1430"/>
      <c r="W171" s="1430"/>
      <c r="X171" s="1430"/>
      <c r="Y171" s="1430"/>
      <c r="Z171" s="1430"/>
      <c r="AA171" s="1432" t="str">
        <f ca="1">IFERROR(IF(AA168&gt;Z168,"▲","▼"),"")</f>
        <v>▲</v>
      </c>
      <c r="AB171" s="1432" t="str">
        <f ca="1">IFERROR(IF(AA169&gt;Z169,"▲","▼"),"")</f>
        <v/>
      </c>
      <c r="AC171" s="1430"/>
      <c r="AD171" s="1425"/>
      <c r="AE171" s="1425"/>
      <c r="AF171" s="1425"/>
      <c r="AG171" s="459"/>
      <c r="AH171" s="459"/>
      <c r="AI171" s="108"/>
      <c r="AJ171" s="145"/>
      <c r="AK171" s="145"/>
      <c r="AL171" s="145"/>
      <c r="AM171" s="84" t="s">
        <v>13</v>
      </c>
      <c r="AN171" s="85"/>
      <c r="AO171" s="86" t="s">
        <v>62</v>
      </c>
      <c r="AP171" s="317" t="e">
        <f>SUMPRODUCT(AU171:BF171,AU70:BF70)/SUM(AU70:BF70)</f>
        <v>#DIV/0!</v>
      </c>
      <c r="AQ171" s="318">
        <f>SUMPRODUCT(AU171:AW171,AU84:AW84)/SUM(AU84:AW84)</f>
        <v>0</v>
      </c>
      <c r="AR171" s="319" t="e">
        <f>SUMPRODUCT(AX171:AZ171,AX70:AZ70)/SUM(AX70:AZ70)</f>
        <v>#DIV/0!</v>
      </c>
      <c r="AS171" s="319" t="e">
        <f>SUMPRODUCT(BA171:BC171,BA70:BC70)/SUM(BA70:BC70)</f>
        <v>#DIV/0!</v>
      </c>
      <c r="AT171" s="130" t="e">
        <f>SUMPRODUCT(BD171:BF171,BD70:BF70)/SUM(BD70:BF70)</f>
        <v>#DIV/0!</v>
      </c>
      <c r="AU171" s="135">
        <f>'January TCM'!$KY$42</f>
        <v>0</v>
      </c>
      <c r="AV171" s="135"/>
      <c r="AW171" s="135"/>
      <c r="AX171" s="135"/>
      <c r="AY171" s="135"/>
      <c r="AZ171" s="135"/>
      <c r="BA171" s="135"/>
      <c r="BB171" s="135"/>
      <c r="BC171" s="135"/>
      <c r="BD171" s="135"/>
      <c r="BE171" s="135"/>
      <c r="BF171" s="135"/>
      <c r="BK171" s="2920"/>
      <c r="BM171" s="2921"/>
      <c r="BN171" s="2921"/>
      <c r="BO171" s="2919"/>
    </row>
    <row r="172" spans="1:67" ht="14.25" customHeight="1">
      <c r="A172" s="145"/>
      <c r="B172" s="369"/>
      <c r="C172" s="369"/>
      <c r="D172" s="369"/>
      <c r="E172" s="369"/>
      <c r="F172" s="369"/>
      <c r="G172" s="369"/>
      <c r="H172" s="369"/>
      <c r="I172" s="369"/>
      <c r="J172" s="369"/>
      <c r="K172" s="369"/>
      <c r="L172" s="369"/>
      <c r="M172" s="369"/>
      <c r="N172" s="369"/>
      <c r="O172" s="369"/>
      <c r="P172" s="1430"/>
      <c r="Q172" s="1430"/>
      <c r="R172" s="1430"/>
      <c r="S172" s="1430"/>
      <c r="T172" s="1430"/>
      <c r="U172" s="1430"/>
      <c r="V172" s="1430"/>
      <c r="W172" s="1430"/>
      <c r="X172" s="1430"/>
      <c r="Y172" s="1430" t="s">
        <v>646</v>
      </c>
      <c r="Z172" s="1430">
        <f ca="1">SUMIFS(AP126:AT126,AP3:AT3,Y151)</f>
        <v>0.14207093471609566</v>
      </c>
      <c r="AA172" s="1430">
        <f ca="1">SUMIFS(AP127:AT127,AP3:AT3,Y151)</f>
        <v>0</v>
      </c>
      <c r="AB172" s="1430"/>
      <c r="AC172" s="1430"/>
      <c r="AD172" s="1425"/>
      <c r="AE172" s="1425"/>
      <c r="AF172" s="1425"/>
      <c r="AG172" s="459"/>
      <c r="AH172" s="459"/>
      <c r="AI172" s="108"/>
      <c r="AJ172" s="145"/>
      <c r="AK172" s="145"/>
      <c r="AL172" s="145"/>
      <c r="AM172" s="84"/>
      <c r="AN172" s="85"/>
      <c r="AO172" s="86" t="s">
        <v>639</v>
      </c>
      <c r="AP172" s="320" t="e">
        <f>SUMPRODUCT(AU172:BF172,AU70:BF70)/SUM(AU70:BF70)</f>
        <v>#DIV/0!</v>
      </c>
      <c r="AQ172" s="321">
        <f>SUMPRODUCT(AU172:AW172,AU84:AW84)/SUM(AU84:AW84)</f>
        <v>0</v>
      </c>
      <c r="AR172" s="322" t="e">
        <f>SUMPRODUCT(AX172:AZ172,AX70:AZ70)/SUM(AX70:AZ70)</f>
        <v>#DIV/0!</v>
      </c>
      <c r="AS172" s="322">
        <f>SUMPRODUCT(BA172:BC172,BA78:BC78)/SUM(BA78:BC78)</f>
        <v>0</v>
      </c>
      <c r="AT172" s="122" t="e">
        <f>SUMPRODUCT(BD172:BF172,BD70:BF70)/SUM(BD70:BF70)</f>
        <v>#DIV/0!</v>
      </c>
      <c r="AU172" s="136">
        <f>'January TCM'!$KZ$42</f>
        <v>0</v>
      </c>
      <c r="AV172" s="136"/>
      <c r="AW172" s="136"/>
      <c r="AX172" s="136"/>
      <c r="AY172" s="136"/>
      <c r="AZ172" s="136"/>
      <c r="BA172" s="136"/>
      <c r="BB172" s="136"/>
      <c r="BC172" s="136"/>
      <c r="BD172" s="136"/>
      <c r="BE172" s="136"/>
      <c r="BF172" s="136"/>
      <c r="BK172" s="2920"/>
      <c r="BM172" s="2921"/>
      <c r="BN172" s="2921"/>
      <c r="BO172" s="2918"/>
    </row>
    <row r="173" spans="1:67" ht="14.25" customHeight="1">
      <c r="A173" s="145"/>
      <c r="B173" s="370"/>
      <c r="C173" s="370"/>
      <c r="D173" s="370"/>
      <c r="E173" s="370"/>
      <c r="F173" s="370"/>
      <c r="G173" s="369"/>
      <c r="H173" s="369"/>
      <c r="I173" s="369"/>
      <c r="J173" s="369"/>
      <c r="K173" s="369"/>
      <c r="L173" s="369"/>
      <c r="M173" s="369"/>
      <c r="N173" s="369"/>
      <c r="O173" s="369"/>
      <c r="P173" s="1430"/>
      <c r="Q173" s="1430"/>
      <c r="R173" s="1430"/>
      <c r="S173" s="1430"/>
      <c r="T173" s="1430"/>
      <c r="U173" s="1430"/>
      <c r="V173" s="1430"/>
      <c r="W173" s="1430"/>
      <c r="X173" s="1430"/>
      <c r="Y173" s="1430" t="s">
        <v>647</v>
      </c>
      <c r="Z173" s="1430">
        <f ca="1">+Z172</f>
        <v>0.14207093471609566</v>
      </c>
      <c r="AA173" s="1430">
        <f ca="1">SUMIFS(AP128:AT128,AP3:AT3,Y151)</f>
        <v>0.1441435185185185</v>
      </c>
      <c r="AB173" s="1430"/>
      <c r="AC173" s="1430"/>
      <c r="AD173" s="1425"/>
      <c r="AE173" s="1425"/>
      <c r="AF173" s="1425"/>
      <c r="AG173" s="459"/>
      <c r="AH173" s="459"/>
      <c r="AI173" s="108"/>
      <c r="AJ173" s="145"/>
      <c r="AK173" s="145"/>
      <c r="AL173" s="145"/>
      <c r="AM173" s="145"/>
      <c r="AN173" s="145"/>
      <c r="AO173" s="145"/>
      <c r="AP173" s="145"/>
      <c r="AQ173" s="145"/>
      <c r="AR173" s="145"/>
      <c r="AS173" s="145"/>
      <c r="BK173" s="2920"/>
      <c r="BM173" s="2921"/>
      <c r="BN173" s="2921"/>
      <c r="BO173" s="2919"/>
    </row>
    <row r="174" spans="1:67" ht="14.25" customHeight="1">
      <c r="A174" s="145"/>
      <c r="B174" s="370"/>
      <c r="C174" s="370"/>
      <c r="D174" s="370"/>
      <c r="E174" s="370"/>
      <c r="F174" s="370"/>
      <c r="G174" s="369"/>
      <c r="H174" s="369"/>
      <c r="I174" s="369"/>
      <c r="J174" s="369"/>
      <c r="K174" s="369"/>
      <c r="L174" s="369"/>
      <c r="M174" s="369"/>
      <c r="N174" s="369"/>
      <c r="O174" s="369"/>
      <c r="P174" s="1430"/>
      <c r="Q174" s="1430"/>
      <c r="R174" s="1430"/>
      <c r="S174" s="1430"/>
      <c r="T174" s="1430"/>
      <c r="U174" s="1430"/>
      <c r="V174" s="1430"/>
      <c r="W174" s="1430"/>
      <c r="X174" s="1430"/>
      <c r="Y174" s="1430"/>
      <c r="Z174" s="1430"/>
      <c r="AA174" s="1430"/>
      <c r="AB174" s="1430"/>
      <c r="AC174" s="1430"/>
      <c r="AD174" s="1425"/>
      <c r="AE174" s="1425"/>
      <c r="AF174" s="1425"/>
      <c r="AG174" s="459"/>
      <c r="AH174" s="459"/>
      <c r="AI174" s="108"/>
      <c r="AJ174" s="145"/>
      <c r="AK174" s="145"/>
      <c r="AL174" s="145"/>
      <c r="AM174" s="145"/>
      <c r="AN174" s="145"/>
      <c r="AO174" s="145"/>
      <c r="AP174" s="145"/>
      <c r="AQ174" s="145"/>
      <c r="AR174" s="145"/>
      <c r="AS174" s="145"/>
      <c r="BK174" s="2920"/>
      <c r="BM174" s="2921"/>
      <c r="BN174" s="2921"/>
      <c r="BO174" s="2918"/>
    </row>
    <row r="175" spans="1:67" ht="14.25" customHeight="1">
      <c r="A175" s="145"/>
      <c r="B175" s="370"/>
      <c r="C175" s="370"/>
      <c r="D175" s="370"/>
      <c r="E175" s="370"/>
      <c r="F175" s="370"/>
      <c r="G175" s="369"/>
      <c r="H175" s="369"/>
      <c r="I175" s="369"/>
      <c r="J175" s="369"/>
      <c r="K175" s="369"/>
      <c r="L175" s="369"/>
      <c r="M175" s="369"/>
      <c r="N175" s="369"/>
      <c r="O175" s="369"/>
      <c r="P175" s="1430"/>
      <c r="Q175" s="1430"/>
      <c r="R175" s="1430"/>
      <c r="S175" s="1430"/>
      <c r="T175" s="1430"/>
      <c r="U175" s="1430"/>
      <c r="V175" s="1430"/>
      <c r="W175" s="1430"/>
      <c r="X175" s="1430"/>
      <c r="Y175" s="1430" t="s">
        <v>127</v>
      </c>
      <c r="Z175" s="1430">
        <f ca="1">+Z152/Z153</f>
        <v>14.448335945355225</v>
      </c>
      <c r="AA175" s="1435" t="str">
        <f ca="1">IFERROR(IF((Z152/Z153)&lt;(AA152/AA153),"▲"&amp;ROUND(AA152/AA153,2),"▼"&amp;ROUND(AA152/AA153,2)),"")</f>
        <v>▲17.54</v>
      </c>
      <c r="AB175" s="1430"/>
      <c r="AC175" s="1430"/>
      <c r="AD175" s="1425"/>
      <c r="AE175" s="1425"/>
      <c r="AF175" s="1425"/>
      <c r="AG175" s="459"/>
      <c r="AH175" s="459"/>
      <c r="AI175" s="108"/>
      <c r="AJ175" s="145"/>
      <c r="AK175" s="145"/>
      <c r="AL175" s="145"/>
      <c r="AM175" s="145"/>
      <c r="AN175" s="145"/>
      <c r="AO175" s="145"/>
      <c r="AP175" s="145"/>
      <c r="AQ175" s="145"/>
      <c r="AR175" s="145"/>
      <c r="AS175" s="145"/>
      <c r="BK175" s="2920"/>
      <c r="BM175" s="2921"/>
      <c r="BN175" s="2921"/>
      <c r="BO175" s="2919"/>
    </row>
    <row r="176" spans="1:67" ht="14.25" customHeight="1">
      <c r="A176" s="145"/>
      <c r="B176" s="370"/>
      <c r="C176" s="370"/>
      <c r="D176" s="370"/>
      <c r="E176" s="370"/>
      <c r="F176" s="370"/>
      <c r="G176" s="369"/>
      <c r="H176" s="369"/>
      <c r="I176" s="369"/>
      <c r="J176" s="369"/>
      <c r="K176" s="369"/>
      <c r="L176" s="369"/>
      <c r="M176" s="369"/>
      <c r="N176" s="369"/>
      <c r="O176" s="369"/>
      <c r="P176" s="1430"/>
      <c r="Q176" s="1430"/>
      <c r="R176" s="1430"/>
      <c r="S176" s="1430"/>
      <c r="T176" s="1430"/>
      <c r="U176" s="1430"/>
      <c r="V176" s="1430"/>
      <c r="W176" s="1430"/>
      <c r="X176" s="1430"/>
      <c r="Y176" s="1430"/>
      <c r="Z176" s="1430"/>
      <c r="AA176" s="1430"/>
      <c r="AB176" s="1430"/>
      <c r="AC176" s="1430"/>
      <c r="AD176" s="1425"/>
      <c r="AE176" s="1425"/>
      <c r="AF176" s="1425"/>
      <c r="AG176" s="459"/>
      <c r="AH176" s="459"/>
      <c r="AI176" s="108"/>
      <c r="AJ176" s="145"/>
      <c r="AK176" s="145"/>
      <c r="AL176" s="145"/>
      <c r="AM176" s="145"/>
      <c r="AN176" s="145"/>
      <c r="AO176" s="145"/>
      <c r="AP176" s="145"/>
      <c r="AQ176" s="145"/>
      <c r="AR176" s="145"/>
      <c r="AS176" s="145"/>
      <c r="BK176" s="2920"/>
      <c r="BM176" s="2921"/>
      <c r="BN176" s="2921"/>
      <c r="BO176" s="2918"/>
    </row>
    <row r="177" spans="1:67" ht="14.25" customHeight="1">
      <c r="A177" s="145"/>
      <c r="B177" s="370"/>
      <c r="C177" s="370"/>
      <c r="D177" s="370"/>
      <c r="E177" s="370"/>
      <c r="F177" s="370"/>
      <c r="G177" s="369"/>
      <c r="H177" s="369"/>
      <c r="I177" s="369"/>
      <c r="J177" s="369"/>
      <c r="K177" s="369"/>
      <c r="L177" s="369"/>
      <c r="M177" s="369"/>
      <c r="N177" s="369"/>
      <c r="O177" s="369"/>
      <c r="P177" s="1430"/>
      <c r="Q177" s="1430"/>
      <c r="R177" s="1430"/>
      <c r="S177" s="1430"/>
      <c r="T177" s="1430"/>
      <c r="U177" s="1430"/>
      <c r="V177" s="1430"/>
      <c r="W177" s="1430"/>
      <c r="X177" s="1430"/>
      <c r="Y177" s="1430"/>
      <c r="Z177" s="1430"/>
      <c r="AA177" s="1430"/>
      <c r="AB177" s="1430"/>
      <c r="AC177" s="1430"/>
      <c r="AD177" s="1425"/>
      <c r="AE177" s="1425"/>
      <c r="AF177" s="1425"/>
      <c r="AG177" s="459"/>
      <c r="AH177" s="459"/>
      <c r="AI177" s="108"/>
      <c r="AJ177" s="145"/>
      <c r="AK177" s="145"/>
      <c r="AL177" s="145"/>
      <c r="AM177" s="145"/>
      <c r="AN177" s="145"/>
      <c r="AO177" s="145"/>
      <c r="AP177" s="145"/>
      <c r="AQ177" s="145"/>
      <c r="AR177" s="145"/>
      <c r="AS177" s="145"/>
      <c r="BK177" s="2920"/>
      <c r="BM177" s="2921"/>
      <c r="BN177" s="2921"/>
      <c r="BO177" s="2919"/>
    </row>
    <row r="178" spans="1:67" ht="17.399999999999999" customHeight="1">
      <c r="A178" s="145"/>
      <c r="B178" s="370"/>
      <c r="C178" s="370"/>
      <c r="D178" s="370"/>
      <c r="E178" s="370"/>
      <c r="F178" s="370"/>
      <c r="G178" s="369"/>
      <c r="H178" s="369"/>
      <c r="I178" s="369"/>
      <c r="J178" s="369"/>
      <c r="K178" s="369"/>
      <c r="L178" s="369"/>
      <c r="M178" s="369"/>
      <c r="N178" s="369"/>
      <c r="O178" s="369"/>
      <c r="P178" s="1430"/>
      <c r="Q178" s="1430"/>
      <c r="R178" s="1430"/>
      <c r="S178" s="1430"/>
      <c r="T178" s="1430"/>
      <c r="U178" s="1430"/>
      <c r="V178" s="1430"/>
      <c r="W178" s="1430"/>
      <c r="X178" s="1430"/>
      <c r="Y178" s="1430"/>
      <c r="Z178" s="1430"/>
      <c r="AA178" s="1430"/>
      <c r="AB178" s="1430"/>
      <c r="AC178" s="1430"/>
      <c r="AD178" s="1425"/>
      <c r="AE178" s="1425"/>
      <c r="AF178" s="1425"/>
      <c r="AG178" s="459"/>
      <c r="AH178" s="459"/>
      <c r="AI178" s="108"/>
      <c r="AJ178" s="145"/>
      <c r="AK178" s="145"/>
      <c r="AL178" s="145"/>
      <c r="AM178" s="145"/>
      <c r="AN178" s="145"/>
      <c r="AO178" s="145"/>
      <c r="AP178" s="145"/>
      <c r="AQ178" s="145"/>
      <c r="AR178" s="145"/>
      <c r="AS178" s="145"/>
      <c r="BK178" s="2920"/>
      <c r="BM178" s="2921"/>
      <c r="BN178" s="2921"/>
      <c r="BO178" s="2918"/>
    </row>
    <row r="179" spans="1:67" ht="17.399999999999999" customHeight="1">
      <c r="A179" s="145"/>
      <c r="B179" s="370"/>
      <c r="C179" s="370"/>
      <c r="D179" s="370"/>
      <c r="E179" s="370"/>
      <c r="F179" s="370"/>
      <c r="G179" s="369"/>
      <c r="H179" s="369"/>
      <c r="I179" s="369"/>
      <c r="J179" s="369"/>
      <c r="K179" s="369"/>
      <c r="L179" s="369"/>
      <c r="M179" s="369"/>
      <c r="N179" s="369"/>
      <c r="O179" s="369"/>
      <c r="P179" s="1430"/>
      <c r="Q179" s="1430"/>
      <c r="R179" s="1430"/>
      <c r="S179" s="1430"/>
      <c r="T179" s="1430"/>
      <c r="U179" s="1430"/>
      <c r="V179" s="1430"/>
      <c r="W179" s="1430"/>
      <c r="X179" s="1430"/>
      <c r="Y179" s="1430"/>
      <c r="Z179" s="1430"/>
      <c r="AA179" s="1430"/>
      <c r="AB179" s="1430"/>
      <c r="AC179" s="1430"/>
      <c r="AD179" s="1425"/>
      <c r="AE179" s="1425"/>
      <c r="AF179" s="1425"/>
      <c r="AG179" s="459"/>
      <c r="AH179" s="459"/>
      <c r="AI179" s="108"/>
      <c r="AJ179" s="145"/>
      <c r="AK179" s="145"/>
      <c r="AL179" s="145"/>
      <c r="AM179" s="145"/>
      <c r="AN179" s="145"/>
      <c r="AO179" s="145"/>
      <c r="AP179" s="145"/>
      <c r="AQ179" s="145"/>
      <c r="AR179" s="145"/>
      <c r="AS179" s="145"/>
      <c r="BK179" s="2920"/>
      <c r="BM179" s="2921"/>
      <c r="BN179" s="2921"/>
      <c r="BO179" s="2919"/>
    </row>
    <row r="180" spans="1:67" ht="17.399999999999999" customHeight="1">
      <c r="A180" s="145"/>
      <c r="B180" s="370"/>
      <c r="C180" s="370"/>
      <c r="D180" s="370"/>
      <c r="E180" s="370"/>
      <c r="F180" s="370"/>
      <c r="G180" s="369"/>
      <c r="H180" s="369"/>
      <c r="I180" s="369"/>
      <c r="J180" s="369"/>
      <c r="K180" s="369"/>
      <c r="L180" s="369"/>
      <c r="M180" s="369"/>
      <c r="N180" s="369"/>
      <c r="O180" s="369"/>
      <c r="P180" s="1430"/>
      <c r="Q180" s="1430"/>
      <c r="R180" s="1430"/>
      <c r="S180" s="1430"/>
      <c r="T180" s="1430"/>
      <c r="U180" s="1430"/>
      <c r="V180" s="1430"/>
      <c r="W180" s="1430"/>
      <c r="X180" s="1430"/>
      <c r="Y180" s="1430"/>
      <c r="Z180" s="1430"/>
      <c r="AA180" s="1430"/>
      <c r="AB180" s="1430"/>
      <c r="AC180" s="1430"/>
      <c r="AD180" s="1425"/>
      <c r="AE180" s="1425"/>
      <c r="AF180" s="1425"/>
      <c r="AG180" s="459"/>
      <c r="AH180" s="459"/>
      <c r="AI180" s="108"/>
      <c r="AJ180" s="145"/>
      <c r="AK180" s="145"/>
      <c r="AL180" s="145"/>
      <c r="AM180" s="145"/>
      <c r="AN180" s="145"/>
      <c r="AO180" s="145"/>
      <c r="AP180" s="145"/>
      <c r="AQ180" s="145"/>
      <c r="AR180" s="145"/>
      <c r="AS180" s="145"/>
      <c r="BK180" s="2920"/>
      <c r="BM180" s="2921"/>
      <c r="BN180" s="2921"/>
      <c r="BO180" s="2918"/>
    </row>
    <row r="181" spans="1:67" ht="17.399999999999999" customHeight="1">
      <c r="A181" s="145"/>
      <c r="B181" s="370"/>
      <c r="C181" s="370"/>
      <c r="D181" s="370"/>
      <c r="E181" s="370"/>
      <c r="F181" s="370"/>
      <c r="G181" s="369"/>
      <c r="H181" s="369"/>
      <c r="I181" s="369"/>
      <c r="J181" s="369"/>
      <c r="K181" s="369"/>
      <c r="L181" s="369"/>
      <c r="M181" s="369"/>
      <c r="N181" s="369"/>
      <c r="O181" s="369"/>
      <c r="P181" s="1430"/>
      <c r="Q181" s="1430"/>
      <c r="R181" s="1430"/>
      <c r="S181" s="1430"/>
      <c r="T181" s="1430"/>
      <c r="U181" s="1430"/>
      <c r="V181" s="1430"/>
      <c r="W181" s="1430"/>
      <c r="X181" s="1430"/>
      <c r="Y181" s="1430"/>
      <c r="Z181" s="1430"/>
      <c r="AA181" s="1430"/>
      <c r="AB181" s="1430"/>
      <c r="AC181" s="1430"/>
      <c r="AD181" s="1425"/>
      <c r="AE181" s="1425"/>
      <c r="AF181" s="1425"/>
      <c r="AG181" s="459"/>
      <c r="AH181" s="459"/>
      <c r="AI181" s="108"/>
      <c r="AJ181" s="145"/>
      <c r="AK181" s="145"/>
      <c r="AL181" s="145"/>
      <c r="AM181" s="145"/>
      <c r="AN181" s="145"/>
      <c r="AO181" s="145"/>
      <c r="AP181" s="145"/>
      <c r="AQ181" s="145"/>
      <c r="AR181" s="145"/>
      <c r="AS181" s="145"/>
      <c r="BK181" s="2920"/>
      <c r="BM181" s="2921"/>
      <c r="BN181" s="2921"/>
      <c r="BO181" s="2919"/>
    </row>
    <row r="182" spans="1:67" ht="17.399999999999999" customHeight="1">
      <c r="B182" s="370"/>
      <c r="C182" s="370"/>
      <c r="D182" s="370"/>
      <c r="E182" s="370"/>
      <c r="F182" s="370"/>
      <c r="G182" s="369"/>
      <c r="H182" s="369"/>
      <c r="I182" s="369"/>
      <c r="J182" s="369"/>
      <c r="K182" s="369"/>
      <c r="L182" s="369"/>
      <c r="M182" s="369"/>
      <c r="N182" s="369"/>
      <c r="O182" s="369"/>
      <c r="P182" s="1436"/>
      <c r="Q182" s="1436"/>
      <c r="R182" s="1436"/>
      <c r="S182" s="1436"/>
      <c r="T182" s="1436"/>
      <c r="U182" s="1436"/>
      <c r="V182" s="1436"/>
      <c r="W182" s="1436"/>
      <c r="X182" s="1436"/>
      <c r="Y182" s="1436"/>
      <c r="Z182" s="1436"/>
      <c r="AA182" s="1436"/>
      <c r="AB182" s="1436"/>
      <c r="AC182" s="1436"/>
      <c r="AD182" s="459"/>
      <c r="AE182" s="459"/>
      <c r="AF182" s="459"/>
      <c r="AG182" s="459"/>
      <c r="AH182" s="459"/>
      <c r="AI182" s="108"/>
      <c r="AJ182" s="145"/>
      <c r="AK182" s="145"/>
      <c r="AL182" s="145"/>
      <c r="AM182" s="145"/>
      <c r="AN182" s="145"/>
      <c r="AO182" s="145"/>
      <c r="AP182" s="145"/>
      <c r="AQ182" s="145"/>
      <c r="AR182" s="145"/>
      <c r="AS182" s="145"/>
      <c r="BK182" s="2920"/>
      <c r="BM182" s="2921"/>
      <c r="BN182" s="2921"/>
      <c r="BO182" s="2918"/>
    </row>
    <row r="183" spans="1:67" ht="17.399999999999999" customHeight="1">
      <c r="B183" s="370"/>
      <c r="C183" s="370"/>
      <c r="D183" s="370"/>
      <c r="E183" s="370"/>
      <c r="F183" s="370"/>
      <c r="G183" s="369"/>
      <c r="H183" s="369"/>
      <c r="I183" s="369"/>
      <c r="J183" s="369"/>
      <c r="K183" s="369"/>
      <c r="L183" s="369"/>
      <c r="M183" s="369"/>
      <c r="N183" s="369"/>
      <c r="O183" s="369"/>
      <c r="P183" s="1436"/>
      <c r="Q183" s="1436"/>
      <c r="R183" s="1436"/>
      <c r="S183" s="1436"/>
      <c r="T183" s="1436"/>
      <c r="U183" s="1436"/>
      <c r="V183" s="1436"/>
      <c r="W183" s="1436"/>
      <c r="X183" s="1436"/>
      <c r="Y183" s="1436"/>
      <c r="Z183" s="1436"/>
      <c r="AA183" s="1436"/>
      <c r="AB183" s="1436"/>
      <c r="AC183" s="1436"/>
      <c r="AD183" s="459"/>
      <c r="AE183" s="459"/>
      <c r="AF183" s="459"/>
      <c r="AG183" s="459"/>
      <c r="AH183" s="459"/>
      <c r="AI183" s="108"/>
      <c r="AJ183" s="145"/>
      <c r="AK183" s="145"/>
      <c r="AL183" s="145"/>
      <c r="AM183" s="145"/>
      <c r="AN183" s="145"/>
      <c r="AO183" s="145"/>
      <c r="AP183" s="145"/>
      <c r="AQ183" s="145"/>
      <c r="AR183" s="145"/>
      <c r="AS183" s="145"/>
      <c r="BK183" s="2920"/>
      <c r="BM183" s="2921"/>
      <c r="BN183" s="2921"/>
      <c r="BO183" s="2919"/>
    </row>
    <row r="184" spans="1:67" ht="17.399999999999999" customHeight="1">
      <c r="B184" s="370"/>
      <c r="C184" s="370"/>
      <c r="D184" s="370"/>
      <c r="E184" s="370"/>
      <c r="F184" s="370"/>
      <c r="G184" s="369"/>
      <c r="H184" s="369"/>
      <c r="I184" s="369"/>
      <c r="J184" s="369"/>
      <c r="K184" s="369"/>
      <c r="L184" s="369"/>
      <c r="M184" s="369"/>
      <c r="N184" s="369"/>
      <c r="O184" s="369"/>
      <c r="P184" s="1437"/>
      <c r="Q184" s="1437"/>
      <c r="R184" s="1437"/>
      <c r="S184" s="1437"/>
      <c r="T184" s="1437"/>
      <c r="U184" s="1437"/>
      <c r="V184" s="1437"/>
      <c r="W184" s="1437"/>
      <c r="X184" s="1437"/>
      <c r="Y184" s="1437"/>
      <c r="Z184" s="1437"/>
      <c r="AA184" s="1437"/>
      <c r="AB184" s="1437"/>
      <c r="AC184" s="1437"/>
      <c r="AD184" s="1438"/>
      <c r="AE184" s="1438"/>
      <c r="AF184" s="1438"/>
      <c r="AG184" s="1438"/>
      <c r="AH184" s="1438"/>
      <c r="AI184" s="1378"/>
      <c r="AJ184" s="145"/>
      <c r="AK184" s="145"/>
      <c r="AL184" s="145"/>
      <c r="AM184" s="145"/>
      <c r="AN184" s="145"/>
      <c r="AO184" s="145"/>
      <c r="AP184" s="145"/>
      <c r="AQ184" s="145"/>
      <c r="AR184" s="145"/>
      <c r="AS184" s="145"/>
      <c r="BK184" s="2920"/>
      <c r="BM184" s="2921"/>
      <c r="BN184" s="2921"/>
      <c r="BO184" s="2918"/>
    </row>
    <row r="185" spans="1:67" ht="17.399999999999999" customHeight="1">
      <c r="B185" s="370"/>
      <c r="C185" s="370"/>
      <c r="D185" s="370"/>
      <c r="E185" s="370"/>
      <c r="F185" s="370"/>
      <c r="G185" s="369"/>
      <c r="H185" s="369"/>
      <c r="I185" s="369"/>
      <c r="J185" s="369"/>
      <c r="K185" s="369"/>
      <c r="L185" s="369"/>
      <c r="M185" s="369"/>
      <c r="N185" s="369"/>
      <c r="O185" s="369"/>
      <c r="P185" s="1437"/>
      <c r="Q185" s="1437"/>
      <c r="R185" s="1437"/>
      <c r="S185" s="1437"/>
      <c r="T185" s="1437"/>
      <c r="U185" s="1437"/>
      <c r="V185" s="1437"/>
      <c r="W185" s="1437"/>
      <c r="X185" s="1437"/>
      <c r="Y185" s="1437"/>
      <c r="Z185" s="1437"/>
      <c r="AA185" s="1437"/>
      <c r="AB185" s="1437"/>
      <c r="AC185" s="1437"/>
      <c r="AD185" s="1438"/>
      <c r="AE185" s="1438"/>
      <c r="AF185" s="1438"/>
      <c r="AG185" s="1438"/>
      <c r="AH185" s="1438"/>
      <c r="AI185" s="1378"/>
      <c r="AJ185" s="145"/>
      <c r="AK185" s="145"/>
      <c r="AL185" s="145"/>
      <c r="AM185" s="145"/>
      <c r="AN185" s="145"/>
      <c r="AO185" s="145"/>
      <c r="AP185" s="145"/>
      <c r="AQ185" s="145"/>
      <c r="AR185" s="145"/>
      <c r="AS185" s="145"/>
      <c r="BK185" s="2920"/>
      <c r="BM185" s="2921"/>
      <c r="BN185" s="2921"/>
      <c r="BO185" s="2919"/>
    </row>
    <row r="186" spans="1:67" ht="17.399999999999999" customHeight="1">
      <c r="G186" s="145"/>
      <c r="H186" s="145"/>
      <c r="I186" s="145"/>
      <c r="J186" s="145"/>
      <c r="K186" s="145"/>
      <c r="L186" s="145"/>
      <c r="M186" s="145"/>
      <c r="N186" s="145"/>
      <c r="O186" s="369"/>
      <c r="P186" s="1437"/>
      <c r="Q186" s="1437"/>
      <c r="R186" s="1437"/>
      <c r="S186" s="1437"/>
      <c r="T186" s="1437"/>
      <c r="U186" s="1437"/>
      <c r="V186" s="1437"/>
      <c r="W186" s="1437"/>
      <c r="X186" s="1437"/>
      <c r="Y186" s="1437"/>
      <c r="Z186" s="1437"/>
      <c r="AA186" s="1437"/>
      <c r="AB186" s="1437"/>
      <c r="AC186" s="1437"/>
      <c r="AD186" s="1438"/>
      <c r="AE186" s="1438"/>
      <c r="AF186" s="1438"/>
      <c r="AG186" s="1438"/>
      <c r="AH186" s="1438"/>
      <c r="AI186" s="1378"/>
      <c r="AJ186" s="145"/>
      <c r="AK186" s="145"/>
      <c r="AL186" s="145"/>
      <c r="AM186" s="145"/>
      <c r="AN186" s="145"/>
      <c r="AO186" s="145"/>
      <c r="AP186" s="145"/>
      <c r="AQ186" s="145"/>
      <c r="AR186" s="145"/>
      <c r="AS186" s="145"/>
      <c r="BK186" s="2920"/>
      <c r="BM186" s="2921"/>
      <c r="BN186" s="2921"/>
      <c r="BO186" s="2918"/>
    </row>
    <row r="187" spans="1:67" ht="17.399999999999999" customHeight="1">
      <c r="G187" s="145"/>
      <c r="H187" s="145"/>
      <c r="I187" s="145"/>
      <c r="J187" s="145"/>
      <c r="K187" s="145"/>
      <c r="L187" s="145"/>
      <c r="M187" s="145"/>
      <c r="N187" s="145"/>
      <c r="O187" s="369"/>
      <c r="P187" s="1437"/>
      <c r="Q187" s="1437"/>
      <c r="R187" s="1437"/>
      <c r="S187" s="1437"/>
      <c r="T187" s="1437"/>
      <c r="U187" s="1437"/>
      <c r="V187" s="1437"/>
      <c r="W187" s="1437"/>
      <c r="X187" s="1437"/>
      <c r="Y187" s="1437"/>
      <c r="Z187" s="1437"/>
      <c r="AA187" s="1437"/>
      <c r="AB187" s="1437"/>
      <c r="AC187" s="1437"/>
      <c r="AD187" s="1438"/>
      <c r="AE187" s="1438"/>
      <c r="AF187" s="1438"/>
      <c r="AG187" s="1438"/>
      <c r="AH187" s="1438"/>
      <c r="AI187" s="1378"/>
      <c r="AJ187" s="145"/>
      <c r="AK187" s="145"/>
      <c r="AL187" s="145"/>
      <c r="AM187" s="145"/>
      <c r="AN187" s="145"/>
      <c r="AO187" s="145"/>
      <c r="AP187" s="145"/>
      <c r="AQ187" s="145"/>
      <c r="AR187" s="145"/>
      <c r="AS187" s="145"/>
      <c r="BK187" s="2920"/>
      <c r="BM187" s="2921"/>
      <c r="BN187" s="2921"/>
      <c r="BO187" s="2919"/>
    </row>
    <row r="188" spans="1:67" ht="17.399999999999999" customHeight="1">
      <c r="G188" s="145"/>
      <c r="H188" s="145"/>
      <c r="I188" s="145"/>
      <c r="J188" s="145"/>
      <c r="K188" s="145"/>
      <c r="L188" s="145"/>
      <c r="M188" s="145"/>
      <c r="N188" s="145"/>
      <c r="O188" s="369"/>
      <c r="P188" s="1437"/>
      <c r="Q188" s="1437"/>
      <c r="R188" s="1437"/>
      <c r="S188" s="1437"/>
      <c r="T188" s="1437"/>
      <c r="U188" s="1437"/>
      <c r="V188" s="1437"/>
      <c r="W188" s="1437"/>
      <c r="X188" s="1437"/>
      <c r="Y188" s="1437"/>
      <c r="Z188" s="1437"/>
      <c r="AA188" s="1437"/>
      <c r="AB188" s="1437"/>
      <c r="AC188" s="1437"/>
      <c r="AD188" s="1438"/>
      <c r="AE188" s="1438"/>
      <c r="AF188" s="1438"/>
      <c r="AG188" s="1438"/>
      <c r="AH188" s="1438"/>
      <c r="AI188" s="1378"/>
      <c r="AJ188" s="145"/>
      <c r="AK188" s="145"/>
      <c r="AL188" s="145"/>
      <c r="AM188" s="145"/>
      <c r="AN188" s="145"/>
      <c r="AO188" s="145"/>
      <c r="AP188" s="145"/>
      <c r="AQ188" s="145"/>
      <c r="AR188" s="145"/>
      <c r="AS188" s="145"/>
      <c r="BK188" s="2920"/>
      <c r="BM188" s="2921"/>
      <c r="BN188" s="2921"/>
      <c r="BO188" s="2918"/>
    </row>
    <row r="189" spans="1:67" ht="7.5" customHeight="1">
      <c r="G189" s="145"/>
      <c r="H189" s="145"/>
      <c r="I189" s="145"/>
      <c r="J189" s="145"/>
      <c r="K189" s="145"/>
      <c r="L189" s="145"/>
      <c r="M189" s="145"/>
      <c r="N189" s="145"/>
      <c r="O189" s="369"/>
      <c r="P189" s="1437"/>
      <c r="Q189" s="1437"/>
      <c r="R189" s="1437"/>
      <c r="S189" s="1437"/>
      <c r="T189" s="1437"/>
      <c r="U189" s="1437"/>
      <c r="V189" s="1437"/>
      <c r="W189" s="1437"/>
      <c r="X189" s="1437"/>
      <c r="Y189" s="1437"/>
      <c r="Z189" s="1437"/>
      <c r="AA189" s="1437"/>
      <c r="AB189" s="1437"/>
      <c r="AC189" s="1437"/>
      <c r="AD189" s="1438"/>
      <c r="AE189" s="1438"/>
      <c r="AF189" s="1438"/>
      <c r="AG189" s="1438"/>
      <c r="AH189" s="1438"/>
      <c r="AI189" s="1378"/>
      <c r="AJ189" s="145"/>
      <c r="AK189" s="145"/>
      <c r="AL189" s="145"/>
      <c r="AM189" s="145"/>
      <c r="AN189" s="145"/>
      <c r="AO189" s="145"/>
      <c r="AP189" s="145"/>
      <c r="AQ189" s="145"/>
      <c r="AR189" s="145"/>
      <c r="AS189" s="145"/>
      <c r="BK189" s="2920"/>
      <c r="BM189" s="2921"/>
      <c r="BN189" s="2921"/>
      <c r="BO189" s="2919"/>
    </row>
    <row r="190" spans="1:67" ht="7.5" customHeight="1">
      <c r="G190" s="145"/>
      <c r="H190" s="145"/>
      <c r="I190" s="145"/>
      <c r="J190" s="145"/>
      <c r="K190" s="145"/>
      <c r="L190" s="145"/>
      <c r="M190" s="145"/>
      <c r="N190" s="145"/>
      <c r="O190" s="369"/>
      <c r="P190" s="1437"/>
      <c r="Q190" s="1437"/>
      <c r="R190" s="1437"/>
      <c r="S190" s="1437"/>
      <c r="T190" s="1437"/>
      <c r="U190" s="1437"/>
      <c r="V190" s="1437"/>
      <c r="W190" s="1437"/>
      <c r="X190" s="1437"/>
      <c r="Y190" s="1437"/>
      <c r="Z190" s="1437"/>
      <c r="AA190" s="1437"/>
      <c r="AB190" s="1437"/>
      <c r="AC190" s="1437"/>
      <c r="AD190" s="1438"/>
      <c r="AE190" s="1438"/>
      <c r="AF190" s="1438"/>
      <c r="AG190" s="1438"/>
      <c r="AH190" s="1438"/>
      <c r="AI190" s="1378"/>
      <c r="AJ190" s="145"/>
      <c r="AK190" s="145"/>
      <c r="AM190" s="145"/>
      <c r="AN190" s="145"/>
      <c r="AO190" s="145"/>
      <c r="AP190" s="145"/>
      <c r="AQ190" s="145"/>
      <c r="AR190" s="145"/>
      <c r="AS190" s="145"/>
      <c r="BK190" s="2920"/>
      <c r="BM190" s="2921"/>
      <c r="BN190" s="2921"/>
      <c r="BO190" s="2918"/>
    </row>
    <row r="191" spans="1:67" ht="7.5" customHeight="1">
      <c r="G191" s="145"/>
      <c r="H191" s="145"/>
      <c r="I191" s="145"/>
      <c r="J191" s="145"/>
      <c r="K191" s="145"/>
      <c r="L191" s="145"/>
      <c r="M191" s="145"/>
      <c r="N191" s="145"/>
      <c r="O191" s="369"/>
      <c r="P191" s="1437"/>
      <c r="Q191" s="1437"/>
      <c r="R191" s="1437"/>
      <c r="S191" s="1437"/>
      <c r="T191" s="1437"/>
      <c r="U191" s="1437"/>
      <c r="V191" s="1437"/>
      <c r="W191" s="1437"/>
      <c r="X191" s="1437"/>
      <c r="Y191" s="1437"/>
      <c r="Z191" s="1437"/>
      <c r="AA191" s="1437"/>
      <c r="AB191" s="1437"/>
      <c r="AC191" s="1437"/>
      <c r="AD191" s="1438"/>
      <c r="AE191" s="1438"/>
      <c r="AF191" s="1438"/>
      <c r="AG191" s="1438"/>
      <c r="AH191" s="1438"/>
      <c r="AI191" s="1378"/>
      <c r="AJ191" s="145"/>
      <c r="AK191" s="145"/>
      <c r="AM191" s="145"/>
      <c r="AN191" s="145"/>
      <c r="AO191" s="145"/>
      <c r="AP191" s="145"/>
      <c r="AQ191" s="145"/>
      <c r="AR191" s="145"/>
      <c r="AS191" s="145"/>
      <c r="BK191" s="2920"/>
      <c r="BM191" s="2921"/>
      <c r="BN191" s="2921"/>
      <c r="BO191" s="2919"/>
    </row>
    <row r="192" spans="1:67" ht="7.5" customHeight="1">
      <c r="G192" s="145"/>
      <c r="H192" s="145"/>
      <c r="I192" s="145"/>
      <c r="J192" s="145"/>
      <c r="K192" s="145"/>
      <c r="L192" s="145"/>
      <c r="M192" s="145"/>
      <c r="N192" s="145"/>
      <c r="O192" s="369"/>
      <c r="P192" s="1437"/>
      <c r="Q192" s="1437"/>
      <c r="R192" s="1437"/>
      <c r="S192" s="1437"/>
      <c r="T192" s="1437"/>
      <c r="U192" s="1437"/>
      <c r="V192" s="1437"/>
      <c r="W192" s="1437"/>
      <c r="X192" s="1437"/>
      <c r="Y192" s="1437"/>
      <c r="Z192" s="1437"/>
      <c r="AA192" s="1437"/>
      <c r="AB192" s="1437"/>
      <c r="AC192" s="1437"/>
      <c r="AD192" s="1438"/>
      <c r="AE192" s="1438"/>
      <c r="AF192" s="1438"/>
      <c r="AG192" s="1438"/>
      <c r="AH192" s="1438"/>
      <c r="AI192" s="1378"/>
      <c r="AJ192" s="145"/>
      <c r="AK192" s="145"/>
      <c r="AM192" s="145"/>
      <c r="AN192" s="145"/>
      <c r="AO192" s="145"/>
      <c r="AP192" s="145"/>
      <c r="AQ192" s="145"/>
      <c r="AR192" s="145"/>
      <c r="AS192" s="145"/>
      <c r="BK192" s="2920"/>
      <c r="BM192" s="2921"/>
      <c r="BN192" s="2921"/>
      <c r="BO192" s="2918"/>
    </row>
    <row r="193" spans="7:67" ht="7.5" customHeight="1">
      <c r="G193" s="145"/>
      <c r="H193" s="145"/>
      <c r="I193" s="145"/>
      <c r="J193" s="145"/>
      <c r="K193" s="145"/>
      <c r="L193" s="145"/>
      <c r="M193" s="145"/>
      <c r="N193" s="145"/>
      <c r="O193" s="369"/>
      <c r="P193" s="1437"/>
      <c r="Q193" s="1437"/>
      <c r="R193" s="1437"/>
      <c r="S193" s="1437"/>
      <c r="T193" s="1437"/>
      <c r="U193" s="1437"/>
      <c r="V193" s="1437"/>
      <c r="W193" s="1437"/>
      <c r="X193" s="1437"/>
      <c r="Y193" s="1437"/>
      <c r="Z193" s="1437"/>
      <c r="AA193" s="1437"/>
      <c r="AB193" s="1437"/>
      <c r="AC193" s="1437"/>
      <c r="AD193" s="1438"/>
      <c r="AE193" s="1438"/>
      <c r="AF193" s="1438"/>
      <c r="AG193" s="1438"/>
      <c r="AH193" s="1438"/>
      <c r="AI193" s="1378"/>
      <c r="AJ193" s="145"/>
      <c r="AK193" s="145"/>
      <c r="AM193" s="145"/>
      <c r="AN193" s="145"/>
      <c r="AO193" s="145"/>
      <c r="AP193" s="145"/>
      <c r="AQ193" s="145"/>
      <c r="AR193" s="145"/>
      <c r="AS193" s="145"/>
      <c r="BK193" s="2920"/>
      <c r="BM193" s="2921"/>
      <c r="BN193" s="2921"/>
      <c r="BO193" s="2919"/>
    </row>
    <row r="194" spans="7:67" ht="7.5" customHeight="1">
      <c r="G194" s="145"/>
      <c r="H194" s="145"/>
      <c r="I194" s="145"/>
      <c r="J194" s="145"/>
      <c r="K194" s="145"/>
      <c r="L194" s="145"/>
      <c r="M194" s="145"/>
      <c r="N194" s="145"/>
      <c r="O194" s="369"/>
      <c r="P194" s="1437"/>
      <c r="Q194" s="1437"/>
      <c r="R194" s="1437"/>
      <c r="S194" s="1437"/>
      <c r="T194" s="1437"/>
      <c r="U194" s="1437"/>
      <c r="V194" s="1437"/>
      <c r="W194" s="1437"/>
      <c r="X194" s="1437"/>
      <c r="Y194" s="1437"/>
      <c r="Z194" s="1437"/>
      <c r="AA194" s="1437"/>
      <c r="AB194" s="1437"/>
      <c r="AC194" s="1437"/>
      <c r="AD194" s="1438"/>
      <c r="AE194" s="1438"/>
      <c r="AF194" s="1438"/>
      <c r="AG194" s="1438"/>
      <c r="AH194" s="1438"/>
      <c r="AI194" s="1378"/>
      <c r="AJ194" s="145"/>
      <c r="AK194" s="145"/>
      <c r="AM194" s="145"/>
      <c r="AN194" s="145"/>
      <c r="AO194" s="145"/>
      <c r="AP194" s="145"/>
      <c r="AQ194" s="145"/>
      <c r="AR194" s="145"/>
      <c r="AS194" s="145"/>
      <c r="BK194" s="2920"/>
      <c r="BM194" s="2921"/>
      <c r="BN194" s="2921"/>
      <c r="BO194" s="2918"/>
    </row>
    <row r="195" spans="7:67" ht="7.5" customHeight="1">
      <c r="G195" s="145"/>
      <c r="H195" s="145"/>
      <c r="I195" s="145"/>
      <c r="J195" s="145"/>
      <c r="K195" s="145"/>
      <c r="L195" s="145"/>
      <c r="M195" s="145"/>
      <c r="N195" s="145"/>
      <c r="O195" s="369"/>
      <c r="P195" s="1437"/>
      <c r="Q195" s="1437"/>
      <c r="R195" s="1437"/>
      <c r="S195" s="1437"/>
      <c r="T195" s="1437"/>
      <c r="U195" s="1437"/>
      <c r="V195" s="1437"/>
      <c r="W195" s="1437"/>
      <c r="X195" s="1437"/>
      <c r="Y195" s="1437"/>
      <c r="Z195" s="1437"/>
      <c r="AA195" s="1437"/>
      <c r="AB195" s="1437"/>
      <c r="AC195" s="1437"/>
      <c r="AD195" s="1438"/>
      <c r="AE195" s="1438"/>
      <c r="AF195" s="1438"/>
      <c r="AG195" s="1438"/>
      <c r="AH195" s="1438"/>
      <c r="AI195" s="1378"/>
      <c r="AJ195" s="145"/>
      <c r="AK195" s="145"/>
      <c r="AM195" s="145"/>
      <c r="AN195" s="145"/>
      <c r="AO195" s="145"/>
      <c r="AP195" s="145"/>
      <c r="AQ195" s="145"/>
      <c r="AR195" s="145"/>
      <c r="AS195" s="145"/>
      <c r="BK195" s="2920"/>
      <c r="BM195" s="2921"/>
      <c r="BN195" s="2921"/>
      <c r="BO195" s="2919"/>
    </row>
    <row r="196" spans="7:67" ht="7.5" customHeight="1">
      <c r="G196" s="145"/>
      <c r="H196" s="145"/>
      <c r="I196" s="145"/>
      <c r="J196" s="145"/>
      <c r="K196" s="145"/>
      <c r="L196" s="145"/>
      <c r="M196" s="145"/>
      <c r="N196" s="145"/>
      <c r="O196" s="369"/>
      <c r="P196" s="1437"/>
      <c r="Q196" s="1437"/>
      <c r="R196" s="1437"/>
      <c r="S196" s="1437"/>
      <c r="T196" s="1437"/>
      <c r="U196" s="1437"/>
      <c r="V196" s="1437"/>
      <c r="W196" s="1437"/>
      <c r="X196" s="1437"/>
      <c r="Y196" s="1437"/>
      <c r="Z196" s="1437"/>
      <c r="AA196" s="1437"/>
      <c r="AB196" s="1437"/>
      <c r="AC196" s="1437"/>
      <c r="AD196" s="1438"/>
      <c r="AE196" s="1438"/>
      <c r="AF196" s="1438"/>
      <c r="AG196" s="1438"/>
      <c r="AH196" s="1438"/>
      <c r="AI196" s="1378"/>
      <c r="AJ196" s="145"/>
      <c r="AK196" s="145"/>
      <c r="AM196" s="145"/>
      <c r="AN196" s="145"/>
      <c r="AO196" s="145"/>
      <c r="AP196" s="145"/>
      <c r="AQ196" s="145"/>
      <c r="AR196" s="145"/>
      <c r="AS196" s="145"/>
      <c r="BK196" s="2920"/>
      <c r="BM196" s="2921"/>
      <c r="BN196" s="2921"/>
      <c r="BO196" s="2918"/>
    </row>
    <row r="197" spans="7:67" ht="7.5" customHeight="1">
      <c r="G197" s="145"/>
      <c r="H197" s="145"/>
      <c r="I197" s="145"/>
      <c r="J197" s="145"/>
      <c r="K197" s="145"/>
      <c r="L197" s="145"/>
      <c r="M197" s="145"/>
      <c r="N197" s="145"/>
      <c r="O197" s="369"/>
      <c r="P197" s="1437"/>
      <c r="Q197" s="1437"/>
      <c r="R197" s="1437"/>
      <c r="S197" s="1437"/>
      <c r="T197" s="1437"/>
      <c r="U197" s="1437"/>
      <c r="V197" s="1437"/>
      <c r="W197" s="1437"/>
      <c r="X197" s="1437"/>
      <c r="Y197" s="1437"/>
      <c r="Z197" s="1437"/>
      <c r="AA197" s="1437"/>
      <c r="AB197" s="1437"/>
      <c r="AC197" s="1437"/>
      <c r="AD197" s="1438"/>
      <c r="AE197" s="1438"/>
      <c r="AF197" s="1438"/>
      <c r="AG197" s="1438"/>
      <c r="AH197" s="1438"/>
      <c r="AI197" s="1378"/>
      <c r="AJ197" s="145"/>
      <c r="AK197" s="145"/>
      <c r="AM197" s="145"/>
      <c r="AN197" s="145"/>
      <c r="AO197" s="145"/>
      <c r="AP197" s="145"/>
      <c r="AQ197" s="145"/>
      <c r="AR197" s="145"/>
      <c r="AS197" s="145"/>
      <c r="BK197" s="2920"/>
      <c r="BM197" s="2921"/>
      <c r="BN197" s="2921"/>
      <c r="BO197" s="2919"/>
    </row>
    <row r="198" spans="7:67" ht="7.5" customHeight="1">
      <c r="G198" s="145"/>
      <c r="H198" s="145"/>
      <c r="I198" s="145"/>
      <c r="J198" s="145"/>
      <c r="K198" s="145"/>
      <c r="L198" s="145"/>
      <c r="M198" s="145"/>
      <c r="N198" s="145"/>
      <c r="O198" s="369"/>
      <c r="P198" s="1437"/>
      <c r="Q198" s="1437"/>
      <c r="R198" s="1437"/>
      <c r="S198" s="1437"/>
      <c r="T198" s="1437"/>
      <c r="U198" s="1437"/>
      <c r="V198" s="1437"/>
      <c r="W198" s="1437"/>
      <c r="X198" s="1437"/>
      <c r="Y198" s="1437"/>
      <c r="Z198" s="1437"/>
      <c r="AA198" s="1437"/>
      <c r="AB198" s="1437"/>
      <c r="AC198" s="1437"/>
      <c r="AD198" s="1438"/>
      <c r="AE198" s="1438"/>
      <c r="AF198" s="1438"/>
      <c r="AG198" s="1438"/>
      <c r="AH198" s="1438"/>
      <c r="AI198" s="1378"/>
      <c r="AJ198" s="145"/>
      <c r="AK198" s="145"/>
      <c r="AM198" s="145"/>
      <c r="AN198" s="145"/>
      <c r="AO198" s="145"/>
      <c r="AP198" s="145"/>
      <c r="AQ198" s="145"/>
      <c r="AR198" s="145"/>
      <c r="AS198" s="145"/>
      <c r="BK198" s="2920"/>
      <c r="BM198" s="2921"/>
      <c r="BN198" s="2921"/>
      <c r="BO198" s="2918"/>
    </row>
    <row r="199" spans="7:67" ht="7.5" customHeight="1">
      <c r="G199" s="145"/>
      <c r="H199" s="145"/>
      <c r="I199" s="145"/>
      <c r="J199" s="145"/>
      <c r="K199" s="145"/>
      <c r="L199" s="145"/>
      <c r="M199" s="145"/>
      <c r="N199" s="145"/>
      <c r="O199" s="369"/>
      <c r="P199" s="1437"/>
      <c r="Q199" s="1437"/>
      <c r="R199" s="1437"/>
      <c r="S199" s="1437"/>
      <c r="T199" s="1437"/>
      <c r="U199" s="1437"/>
      <c r="V199" s="1437"/>
      <c r="W199" s="1437"/>
      <c r="X199" s="1437"/>
      <c r="Y199" s="1437"/>
      <c r="Z199" s="1437"/>
      <c r="AA199" s="1437"/>
      <c r="AB199" s="1437"/>
      <c r="AC199" s="1437"/>
      <c r="AD199" s="1438"/>
      <c r="AE199" s="1438"/>
      <c r="AF199" s="1438"/>
      <c r="AG199" s="1438"/>
      <c r="AH199" s="1438"/>
      <c r="AI199" s="1378"/>
      <c r="AJ199" s="145"/>
      <c r="AK199" s="145"/>
      <c r="AM199" s="145"/>
      <c r="AN199" s="145"/>
      <c r="AO199" s="145"/>
      <c r="AP199" s="145"/>
      <c r="AQ199" s="145"/>
      <c r="AR199" s="145"/>
      <c r="AS199" s="145"/>
      <c r="BK199" s="2920"/>
      <c r="BM199" s="2921"/>
      <c r="BN199" s="2921"/>
      <c r="BO199" s="2919"/>
    </row>
    <row r="200" spans="7:67" ht="7.5" customHeight="1">
      <c r="G200" s="145"/>
      <c r="H200" s="145"/>
      <c r="I200" s="145"/>
      <c r="J200" s="145"/>
      <c r="K200" s="145"/>
      <c r="L200" s="145"/>
      <c r="M200" s="145"/>
      <c r="N200" s="145"/>
      <c r="O200" s="369"/>
      <c r="P200" s="1437"/>
      <c r="Q200" s="1437"/>
      <c r="R200" s="1437"/>
      <c r="S200" s="1437"/>
      <c r="T200" s="1437"/>
      <c r="U200" s="1437"/>
      <c r="V200" s="1437"/>
      <c r="W200" s="1437"/>
      <c r="X200" s="1437"/>
      <c r="Y200" s="1437"/>
      <c r="Z200" s="1437"/>
      <c r="AA200" s="1437"/>
      <c r="AB200" s="1437"/>
      <c r="AC200" s="1437"/>
      <c r="AD200" s="1438"/>
      <c r="AE200" s="1438"/>
      <c r="AF200" s="1438"/>
      <c r="AG200" s="1438"/>
      <c r="AH200" s="1438"/>
      <c r="AI200" s="1378"/>
      <c r="AJ200" s="145"/>
      <c r="AK200" s="145"/>
      <c r="AM200" s="145"/>
      <c r="AN200" s="145"/>
      <c r="AO200" s="145"/>
      <c r="AP200" s="145"/>
      <c r="AQ200" s="145"/>
      <c r="AR200" s="145"/>
      <c r="AS200" s="145"/>
      <c r="BK200" s="2920"/>
      <c r="BM200" s="2921"/>
      <c r="BN200" s="2921"/>
      <c r="BO200" s="2918"/>
    </row>
    <row r="201" spans="7:67" ht="7.5" customHeight="1">
      <c r="G201" s="145"/>
      <c r="H201" s="145"/>
      <c r="I201" s="145"/>
      <c r="J201" s="145"/>
      <c r="K201" s="145"/>
      <c r="L201" s="145"/>
      <c r="M201" s="145"/>
      <c r="N201" s="145"/>
      <c r="O201" s="369"/>
      <c r="P201" s="1437"/>
      <c r="Q201" s="1437"/>
      <c r="R201" s="1437"/>
      <c r="S201" s="1437"/>
      <c r="T201" s="1437"/>
      <c r="U201" s="1437"/>
      <c r="V201" s="1437"/>
      <c r="W201" s="1437"/>
      <c r="X201" s="1437"/>
      <c r="Y201" s="1437"/>
      <c r="Z201" s="1437"/>
      <c r="AA201" s="1437"/>
      <c r="AB201" s="1437"/>
      <c r="AC201" s="1437"/>
      <c r="AD201" s="1438"/>
      <c r="AE201" s="1438"/>
      <c r="AF201" s="1438"/>
      <c r="AG201" s="1438"/>
      <c r="AH201" s="1438"/>
      <c r="AI201" s="1378"/>
      <c r="AJ201" s="145"/>
      <c r="AK201" s="145"/>
      <c r="AM201" s="145"/>
      <c r="AN201" s="145"/>
      <c r="AO201" s="145"/>
      <c r="AP201" s="145"/>
      <c r="AQ201" s="145"/>
      <c r="AR201" s="145"/>
      <c r="AS201" s="145"/>
      <c r="BK201" s="2920"/>
      <c r="BM201" s="2921"/>
      <c r="BN201" s="2921"/>
      <c r="BO201" s="2919"/>
    </row>
    <row r="202" spans="7:67" ht="7.5" customHeight="1">
      <c r="G202" s="145"/>
      <c r="H202" s="145"/>
      <c r="I202" s="145"/>
      <c r="J202" s="145"/>
      <c r="K202" s="145"/>
      <c r="L202" s="145"/>
      <c r="M202" s="145"/>
      <c r="N202" s="145"/>
      <c r="O202" s="369"/>
      <c r="P202" s="1437"/>
      <c r="Q202" s="1437"/>
      <c r="R202" s="1437"/>
      <c r="S202" s="1437"/>
      <c r="T202" s="1437"/>
      <c r="U202" s="1437"/>
      <c r="V202" s="1437"/>
      <c r="W202" s="1437"/>
      <c r="X202" s="1437"/>
      <c r="Y202" s="1437"/>
      <c r="Z202" s="1437"/>
      <c r="AA202" s="1437"/>
      <c r="AB202" s="1437"/>
      <c r="AC202" s="1437"/>
      <c r="AD202" s="1438"/>
      <c r="AE202" s="1438"/>
      <c r="AF202" s="1438"/>
      <c r="AG202" s="1438"/>
      <c r="AH202" s="1438"/>
      <c r="AI202" s="1378"/>
      <c r="AJ202" s="145"/>
      <c r="AM202" s="145"/>
      <c r="AN202" s="145"/>
      <c r="AO202" s="145"/>
      <c r="AP202" s="145"/>
      <c r="AQ202" s="145"/>
      <c r="AR202" s="145"/>
      <c r="AS202" s="145"/>
      <c r="BK202" s="2920"/>
      <c r="BM202" s="2921"/>
      <c r="BN202" s="2921"/>
      <c r="BO202" s="2918"/>
    </row>
    <row r="203" spans="7:67" ht="7.5" customHeight="1">
      <c r="G203" s="145"/>
      <c r="H203" s="145"/>
      <c r="I203" s="145"/>
      <c r="J203" s="145"/>
      <c r="K203" s="145"/>
      <c r="L203" s="145"/>
      <c r="M203" s="145"/>
      <c r="N203" s="145"/>
      <c r="O203" s="369"/>
      <c r="P203" s="1437"/>
      <c r="Q203" s="1437"/>
      <c r="R203" s="1437"/>
      <c r="S203" s="1437"/>
      <c r="T203" s="1437"/>
      <c r="U203" s="1437"/>
      <c r="V203" s="1437"/>
      <c r="W203" s="1437"/>
      <c r="X203" s="1437"/>
      <c r="Y203" s="1437"/>
      <c r="Z203" s="1437"/>
      <c r="AA203" s="1437"/>
      <c r="AB203" s="1437"/>
      <c r="AC203" s="1437"/>
      <c r="AD203" s="1438"/>
      <c r="AE203" s="1438"/>
      <c r="AF203" s="1438"/>
      <c r="AG203" s="1438"/>
      <c r="AH203" s="1438"/>
      <c r="AI203" s="1378"/>
      <c r="AJ203" s="145"/>
      <c r="AM203" s="145"/>
      <c r="AN203" s="145"/>
      <c r="AO203" s="145"/>
      <c r="AP203" s="145"/>
      <c r="AQ203" s="145"/>
      <c r="AR203" s="145"/>
      <c r="AS203" s="145"/>
      <c r="BK203" s="2920"/>
      <c r="BM203" s="2921"/>
      <c r="BN203" s="2921"/>
      <c r="BO203" s="2919"/>
    </row>
    <row r="204" spans="7:67" ht="7.5" customHeight="1">
      <c r="G204" s="145"/>
      <c r="H204" s="145"/>
      <c r="I204" s="145"/>
      <c r="J204" s="145"/>
      <c r="K204" s="145"/>
      <c r="L204" s="145"/>
      <c r="M204" s="145"/>
      <c r="N204" s="145"/>
      <c r="O204" s="369"/>
      <c r="P204" s="1437"/>
      <c r="Q204" s="1437"/>
      <c r="R204" s="1437"/>
      <c r="S204" s="1437"/>
      <c r="T204" s="1437"/>
      <c r="U204" s="1437"/>
      <c r="V204" s="1437"/>
      <c r="W204" s="1437"/>
      <c r="X204" s="1437"/>
      <c r="Y204" s="1437"/>
      <c r="Z204" s="1437"/>
      <c r="AA204" s="1437"/>
      <c r="AB204" s="1437"/>
      <c r="AC204" s="1437"/>
      <c r="AD204" s="1438"/>
      <c r="AE204" s="1438"/>
      <c r="AF204" s="1438"/>
      <c r="AG204" s="1438"/>
      <c r="AH204" s="1438"/>
      <c r="AI204" s="1378"/>
      <c r="AJ204" s="145"/>
      <c r="AM204" s="145"/>
      <c r="AN204" s="145"/>
      <c r="AO204" s="145"/>
      <c r="AP204" s="145"/>
      <c r="AQ204" s="145"/>
      <c r="AR204" s="145"/>
      <c r="AS204" s="145"/>
      <c r="BK204" s="2920"/>
      <c r="BM204" s="2921"/>
      <c r="BN204" s="2921"/>
      <c r="BO204" s="2918"/>
    </row>
    <row r="205" spans="7:67" ht="7.5" customHeight="1">
      <c r="L205" s="145"/>
      <c r="M205" s="145"/>
      <c r="N205" s="145"/>
      <c r="O205" s="369"/>
      <c r="P205" s="1437"/>
      <c r="Q205" s="1437"/>
      <c r="R205" s="1437"/>
      <c r="S205" s="1437"/>
      <c r="T205" s="1437"/>
      <c r="U205" s="1437"/>
      <c r="V205" s="1437"/>
      <c r="W205" s="1437"/>
      <c r="X205" s="1437"/>
      <c r="Y205" s="1437"/>
      <c r="Z205" s="1437"/>
      <c r="AA205" s="1437"/>
      <c r="AB205" s="1437"/>
      <c r="AC205" s="1437"/>
      <c r="AD205" s="1438"/>
      <c r="AE205" s="1438"/>
      <c r="AF205" s="1438"/>
      <c r="AG205" s="1438"/>
      <c r="AH205" s="1438"/>
      <c r="AI205" s="1378"/>
      <c r="AJ205" s="145"/>
      <c r="AM205" s="145"/>
      <c r="AN205" s="145"/>
      <c r="AO205" s="145"/>
      <c r="AP205" s="145"/>
      <c r="AQ205" s="145"/>
      <c r="AR205" s="145"/>
      <c r="AS205" s="145"/>
      <c r="BK205" s="2920"/>
      <c r="BM205" s="2921"/>
      <c r="BN205" s="2921"/>
      <c r="BO205" s="2919"/>
    </row>
    <row r="206" spans="7:67" ht="7.5" customHeight="1">
      <c r="M206" s="145"/>
      <c r="N206" s="145"/>
      <c r="O206" s="369"/>
      <c r="P206" s="1437"/>
      <c r="Q206" s="1437"/>
      <c r="R206" s="1437"/>
      <c r="S206" s="1437"/>
      <c r="T206" s="1437"/>
      <c r="U206" s="1437"/>
      <c r="V206" s="1437"/>
      <c r="W206" s="1437"/>
      <c r="X206" s="1437"/>
      <c r="Y206" s="1437"/>
      <c r="Z206" s="1437"/>
      <c r="AA206" s="1437"/>
      <c r="AB206" s="1437"/>
      <c r="AC206" s="1437"/>
      <c r="AD206" s="1438"/>
      <c r="AE206" s="1438"/>
      <c r="AF206" s="1438"/>
      <c r="AG206" s="1438"/>
      <c r="AH206" s="1438"/>
      <c r="AI206" s="1378"/>
      <c r="AJ206" s="145"/>
      <c r="AM206" s="145"/>
      <c r="AN206" s="145"/>
      <c r="AO206" s="145"/>
      <c r="AP206" s="145"/>
      <c r="AQ206" s="145"/>
      <c r="AR206" s="145"/>
      <c r="AS206" s="145"/>
      <c r="BK206" s="2920"/>
      <c r="BM206" s="2921"/>
      <c r="BN206" s="2921"/>
      <c r="BO206" s="2918"/>
    </row>
    <row r="207" spans="7:67" ht="7.5" customHeight="1">
      <c r="M207" s="145"/>
      <c r="N207" s="145"/>
      <c r="O207" s="369"/>
      <c r="P207" s="1437"/>
      <c r="Q207" s="1437"/>
      <c r="R207" s="1437"/>
      <c r="S207" s="1437"/>
      <c r="T207" s="1437"/>
      <c r="U207" s="1437"/>
      <c r="V207" s="1437"/>
      <c r="W207" s="1437"/>
      <c r="X207" s="1437"/>
      <c r="Y207" s="1437"/>
      <c r="Z207" s="1437"/>
      <c r="AA207" s="1437"/>
      <c r="AB207" s="1437"/>
      <c r="AC207" s="1437"/>
      <c r="AD207" s="1438"/>
      <c r="AE207" s="1438"/>
      <c r="AF207" s="1438"/>
      <c r="AG207" s="1438"/>
      <c r="AH207" s="1438"/>
      <c r="AI207" s="1378"/>
      <c r="AJ207" s="145"/>
      <c r="AM207" s="145"/>
      <c r="AN207" s="145"/>
      <c r="AO207" s="145"/>
      <c r="AP207" s="145"/>
      <c r="AQ207" s="145"/>
      <c r="AR207" s="145"/>
      <c r="AS207" s="145"/>
      <c r="BK207" s="2920"/>
      <c r="BM207" s="2921"/>
      <c r="BN207" s="2921"/>
      <c r="BO207" s="2919"/>
    </row>
    <row r="208" spans="7:67" ht="7.5" customHeight="1">
      <c r="M208" s="145"/>
      <c r="N208" s="145"/>
      <c r="O208" s="145"/>
      <c r="P208" s="1438"/>
      <c r="Q208" s="1438"/>
      <c r="R208" s="1438"/>
      <c r="S208" s="1438"/>
      <c r="T208" s="1438"/>
      <c r="U208" s="1438"/>
      <c r="V208" s="1438"/>
      <c r="W208" s="1438"/>
      <c r="X208" s="1438"/>
      <c r="Y208" s="1438"/>
      <c r="Z208" s="1438"/>
      <c r="AA208" s="1438"/>
      <c r="AB208" s="1438"/>
      <c r="AC208" s="1438"/>
      <c r="AD208" s="1438"/>
      <c r="AE208" s="1438"/>
      <c r="AF208" s="1438"/>
      <c r="AG208" s="1438"/>
      <c r="AH208" s="1438"/>
      <c r="AI208" s="1378"/>
      <c r="AJ208" s="145"/>
      <c r="AM208" s="145"/>
      <c r="AN208" s="145"/>
      <c r="AO208" s="145"/>
      <c r="AP208" s="145"/>
      <c r="AQ208" s="145"/>
      <c r="AR208" s="145"/>
      <c r="AS208" s="145"/>
      <c r="BK208" s="2920"/>
      <c r="BM208" s="2921"/>
      <c r="BN208" s="2921"/>
      <c r="BO208" s="2918"/>
    </row>
    <row r="209" spans="13:67" ht="7.5" customHeight="1">
      <c r="M209" s="145"/>
      <c r="N209" s="145"/>
      <c r="O209" s="145"/>
      <c r="P209" s="1438"/>
      <c r="Q209" s="1438"/>
      <c r="R209" s="1438"/>
      <c r="S209" s="1438"/>
      <c r="T209" s="1438"/>
      <c r="U209" s="1438"/>
      <c r="V209" s="1438"/>
      <c r="W209" s="1438"/>
      <c r="X209" s="1438"/>
      <c r="Y209" s="1438"/>
      <c r="Z209" s="1438"/>
      <c r="AA209" s="1438"/>
      <c r="AB209" s="1438"/>
      <c r="AC209" s="1438"/>
      <c r="AD209" s="1438"/>
      <c r="AE209" s="1438"/>
      <c r="AF209" s="1438"/>
      <c r="AG209" s="1438"/>
      <c r="AH209" s="1438"/>
      <c r="AI209" s="1378"/>
      <c r="AJ209" s="145"/>
      <c r="AM209" s="145"/>
      <c r="AN209" s="145"/>
      <c r="AO209" s="145"/>
      <c r="AP209" s="145"/>
      <c r="AQ209" s="145"/>
      <c r="AR209" s="145"/>
      <c r="AS209" s="145"/>
      <c r="BK209" s="2920"/>
      <c r="BM209" s="2921"/>
      <c r="BN209" s="2921"/>
      <c r="BO209" s="2919"/>
    </row>
    <row r="210" spans="13:67" ht="7.5" customHeight="1">
      <c r="M210" s="145"/>
      <c r="N210" s="145"/>
      <c r="O210" s="145"/>
      <c r="P210" s="1438"/>
      <c r="Q210" s="1438"/>
      <c r="R210" s="1438"/>
      <c r="S210" s="1438"/>
      <c r="T210" s="1438"/>
      <c r="U210" s="1438"/>
      <c r="V210" s="1438"/>
      <c r="W210" s="1438"/>
      <c r="X210" s="1438"/>
      <c r="Y210" s="1438"/>
      <c r="Z210" s="1438"/>
      <c r="AA210" s="1438"/>
      <c r="AB210" s="1438"/>
      <c r="AC210" s="1438"/>
      <c r="AD210" s="1438"/>
      <c r="AE210" s="1438"/>
      <c r="AF210" s="1438"/>
      <c r="AG210" s="1438"/>
      <c r="AH210" s="1438"/>
      <c r="AI210" s="1378"/>
      <c r="AJ210" s="145"/>
      <c r="AM210" s="145"/>
      <c r="AN210" s="145"/>
      <c r="AO210" s="145"/>
      <c r="AP210" s="145"/>
      <c r="AQ210" s="145"/>
      <c r="AR210" s="145"/>
      <c r="AS210" s="145"/>
      <c r="BK210" s="2920"/>
      <c r="BM210" s="2921"/>
      <c r="BN210" s="2921"/>
      <c r="BO210" s="2918"/>
    </row>
    <row r="211" spans="13:67" ht="7.5" customHeight="1">
      <c r="O211" s="145"/>
      <c r="P211" s="1438"/>
      <c r="Q211" s="1438"/>
      <c r="R211" s="1438"/>
      <c r="S211" s="1438"/>
      <c r="T211" s="1438"/>
      <c r="U211" s="1438"/>
      <c r="V211" s="1438"/>
      <c r="W211" s="1438"/>
      <c r="X211" s="1438"/>
      <c r="Y211" s="1438"/>
      <c r="Z211" s="1438"/>
      <c r="AA211" s="1438"/>
      <c r="AB211" s="1438"/>
      <c r="AC211" s="1438"/>
      <c r="AD211" s="1438"/>
      <c r="AE211" s="1438"/>
      <c r="AF211" s="1438"/>
      <c r="AG211" s="1438"/>
      <c r="AH211" s="1438"/>
      <c r="AI211" s="1378"/>
      <c r="AJ211" s="145"/>
      <c r="AM211" s="145"/>
      <c r="AN211" s="145"/>
      <c r="AO211" s="145"/>
      <c r="AP211" s="145"/>
      <c r="AQ211" s="145"/>
      <c r="AR211" s="145"/>
      <c r="AS211" s="145"/>
      <c r="BK211" s="2920"/>
      <c r="BM211" s="2921"/>
      <c r="BN211" s="2921"/>
      <c r="BO211" s="2919"/>
    </row>
    <row r="212" spans="13:67" ht="7.5" customHeight="1">
      <c r="O212" s="145"/>
      <c r="P212" s="1438"/>
      <c r="Q212" s="1438"/>
      <c r="R212" s="1438"/>
      <c r="S212" s="1438"/>
      <c r="T212" s="1438"/>
      <c r="U212" s="1438"/>
      <c r="V212" s="1438"/>
      <c r="W212" s="1438"/>
      <c r="X212" s="1438"/>
      <c r="Y212" s="1438"/>
      <c r="Z212" s="1438"/>
      <c r="AA212" s="1438"/>
      <c r="AB212" s="1438"/>
      <c r="AC212" s="1438"/>
      <c r="AD212" s="1438"/>
      <c r="AE212" s="1438"/>
      <c r="AF212" s="1438"/>
      <c r="AG212" s="1438"/>
      <c r="AH212" s="1438"/>
      <c r="AI212" s="1378"/>
      <c r="AJ212" s="145"/>
      <c r="AM212" s="145"/>
      <c r="AN212" s="145"/>
      <c r="AO212" s="145"/>
      <c r="AP212" s="145"/>
      <c r="AQ212" s="145"/>
      <c r="AR212" s="145"/>
      <c r="AS212" s="145"/>
      <c r="BE212" s="92"/>
      <c r="BF212" s="92"/>
      <c r="BK212" s="2920"/>
      <c r="BM212" s="2921"/>
      <c r="BN212" s="2921"/>
      <c r="BO212" s="2918"/>
    </row>
    <row r="213" spans="13:67" ht="7.5" customHeight="1">
      <c r="O213" s="145"/>
      <c r="P213" s="1438"/>
      <c r="Q213" s="1438"/>
      <c r="R213" s="1438"/>
      <c r="S213" s="1438"/>
      <c r="T213" s="1438"/>
      <c r="U213" s="1438"/>
      <c r="V213" s="1438"/>
      <c r="W213" s="1438"/>
      <c r="X213" s="1438"/>
      <c r="Y213" s="1438"/>
      <c r="Z213" s="1438"/>
      <c r="AA213" s="1438"/>
      <c r="AB213" s="1438"/>
      <c r="AC213" s="1438"/>
      <c r="AD213" s="1438"/>
      <c r="AE213" s="1438"/>
      <c r="AF213" s="1438"/>
      <c r="AG213" s="1438"/>
      <c r="AH213" s="1438"/>
      <c r="AI213" s="1378"/>
      <c r="AJ213" s="145"/>
      <c r="BD213" s="89"/>
      <c r="BE213" s="89"/>
      <c r="BF213" s="89"/>
      <c r="BK213" s="2920"/>
      <c r="BM213" s="2921"/>
      <c r="BN213" s="2921"/>
      <c r="BO213" s="2919"/>
    </row>
    <row r="214" spans="13:67" ht="7.5" customHeight="1">
      <c r="M214" s="314"/>
      <c r="O214" s="145"/>
      <c r="P214" s="1438"/>
      <c r="Q214" s="1438"/>
      <c r="R214" s="1438"/>
      <c r="S214" s="1438"/>
      <c r="T214" s="1438"/>
      <c r="U214" s="1438"/>
      <c r="V214" s="1438"/>
      <c r="W214" s="1438"/>
      <c r="X214" s="1438"/>
      <c r="Y214" s="1438"/>
      <c r="Z214" s="1438"/>
      <c r="AA214" s="1438"/>
      <c r="AB214" s="1438"/>
      <c r="AC214" s="1438"/>
      <c r="AD214" s="1438"/>
      <c r="AE214" s="1438"/>
      <c r="AF214" s="1438"/>
      <c r="AG214" s="1438"/>
      <c r="AH214" s="1438"/>
      <c r="AI214" s="1378"/>
      <c r="AJ214" s="145"/>
      <c r="BD214" s="89"/>
      <c r="BE214" s="89"/>
      <c r="BF214" s="89"/>
      <c r="BK214" s="2920"/>
      <c r="BM214" s="2921"/>
      <c r="BN214" s="2921"/>
      <c r="BO214" s="2918"/>
    </row>
    <row r="215" spans="13:67" ht="7.5" customHeight="1">
      <c r="M215" s="314"/>
      <c r="O215" s="145"/>
      <c r="P215" s="1438"/>
      <c r="Q215" s="1438"/>
      <c r="R215" s="1438"/>
      <c r="S215" s="1438"/>
      <c r="T215" s="1438"/>
      <c r="U215" s="1438"/>
      <c r="V215" s="1438"/>
      <c r="W215" s="1438"/>
      <c r="X215" s="1438"/>
      <c r="Y215" s="1438"/>
      <c r="Z215" s="1438"/>
      <c r="AA215" s="1438"/>
      <c r="AB215" s="1438"/>
      <c r="AC215" s="1438"/>
      <c r="AD215" s="1438"/>
      <c r="AE215" s="1438"/>
      <c r="AF215" s="1438"/>
      <c r="AG215" s="1438"/>
      <c r="AH215" s="1438"/>
      <c r="AI215" s="1378"/>
      <c r="AJ215" s="145"/>
      <c r="BD215" s="89"/>
      <c r="BE215" s="89"/>
      <c r="BF215" s="89"/>
      <c r="BK215" s="2920"/>
      <c r="BM215" s="2921"/>
      <c r="BN215" s="2921"/>
      <c r="BO215" s="2919"/>
    </row>
    <row r="216" spans="13:67" ht="7.5" customHeight="1">
      <c r="O216" s="145"/>
      <c r="P216" s="1438"/>
      <c r="Q216" s="1438"/>
      <c r="R216" s="1438"/>
      <c r="S216" s="1438"/>
      <c r="T216" s="1438"/>
      <c r="U216" s="1438"/>
      <c r="V216" s="1438"/>
      <c r="W216" s="1438"/>
      <c r="X216" s="1438"/>
      <c r="Y216" s="1438"/>
      <c r="Z216" s="1438"/>
      <c r="AA216" s="1438"/>
      <c r="AB216" s="1438"/>
      <c r="AC216" s="1438"/>
      <c r="AD216" s="1438"/>
      <c r="AE216" s="1438"/>
      <c r="AF216" s="1438"/>
      <c r="AG216" s="1438"/>
      <c r="AH216" s="1438"/>
      <c r="AI216" s="1378"/>
      <c r="AJ216" s="145"/>
      <c r="BD216" s="89"/>
      <c r="BE216" s="89"/>
      <c r="BF216" s="89"/>
      <c r="BK216" s="2920"/>
      <c r="BM216" s="2921"/>
      <c r="BN216" s="2921"/>
      <c r="BO216" s="2918"/>
    </row>
    <row r="217" spans="13:67" ht="7.5" customHeight="1">
      <c r="O217" s="145"/>
      <c r="P217" s="1438"/>
      <c r="Q217" s="1438"/>
      <c r="R217" s="1438"/>
      <c r="S217" s="1438"/>
      <c r="T217" s="1438"/>
      <c r="U217" s="1438"/>
      <c r="V217" s="1438"/>
      <c r="W217" s="1438"/>
      <c r="X217" s="1438"/>
      <c r="Y217" s="1438"/>
      <c r="Z217" s="1438"/>
      <c r="AA217" s="1438"/>
      <c r="AB217" s="1438"/>
      <c r="AC217" s="1438"/>
      <c r="AD217" s="1438"/>
      <c r="AE217" s="1438"/>
      <c r="AF217" s="1438"/>
      <c r="AG217" s="1438"/>
      <c r="AH217" s="1438"/>
      <c r="AI217" s="1378"/>
      <c r="AJ217" s="145"/>
      <c r="BD217" s="89"/>
      <c r="BE217" s="89"/>
      <c r="BF217" s="89"/>
      <c r="BK217" s="2920"/>
      <c r="BM217" s="2921"/>
      <c r="BN217" s="2921"/>
      <c r="BO217" s="2919"/>
    </row>
    <row r="218" spans="13:67" ht="7.5" customHeight="1">
      <c r="O218" s="145"/>
      <c r="P218" s="1438"/>
      <c r="Q218" s="1438"/>
      <c r="R218" s="1438"/>
      <c r="S218" s="1438"/>
      <c r="T218" s="1438"/>
      <c r="U218" s="1438"/>
      <c r="V218" s="1438"/>
      <c r="W218" s="1438"/>
      <c r="X218" s="1438"/>
      <c r="Y218" s="1438"/>
      <c r="Z218" s="1438"/>
      <c r="AA218" s="1438"/>
      <c r="AB218" s="1438"/>
      <c r="AC218" s="1438"/>
      <c r="AD218" s="1438"/>
      <c r="AE218" s="1438"/>
      <c r="AF218" s="1438"/>
      <c r="AG218" s="1438"/>
      <c r="AH218" s="1438"/>
      <c r="AI218" s="1378"/>
      <c r="AJ218" s="145"/>
      <c r="BD218" s="89"/>
      <c r="BE218" s="89"/>
      <c r="BF218" s="89"/>
      <c r="BK218" s="2920"/>
      <c r="BM218" s="2921"/>
      <c r="BN218" s="2921"/>
      <c r="BO218" s="2918"/>
    </row>
    <row r="219" spans="13:67" ht="7.5" customHeight="1">
      <c r="O219" s="145"/>
      <c r="P219" s="1438"/>
      <c r="Q219" s="1438"/>
      <c r="R219" s="1438"/>
      <c r="S219" s="1438"/>
      <c r="T219" s="1438"/>
      <c r="U219" s="1438"/>
      <c r="V219" s="1438"/>
      <c r="W219" s="1438"/>
      <c r="X219" s="1438"/>
      <c r="Y219" s="1438"/>
      <c r="Z219" s="1438"/>
      <c r="AA219" s="1438"/>
      <c r="AB219" s="1438"/>
      <c r="AC219" s="1438"/>
      <c r="AD219" s="1438"/>
      <c r="AE219" s="1438"/>
      <c r="AF219" s="1438"/>
      <c r="AG219" s="1438"/>
      <c r="AH219" s="1438"/>
      <c r="AI219" s="1378"/>
      <c r="AJ219" s="145"/>
      <c r="BD219" s="89"/>
      <c r="BE219" s="89"/>
      <c r="BF219" s="89"/>
      <c r="BK219" s="2920"/>
      <c r="BM219" s="2921"/>
      <c r="BN219" s="2921"/>
      <c r="BO219" s="2919"/>
    </row>
    <row r="220" spans="13:67" ht="7.5" customHeight="1">
      <c r="O220" s="145"/>
      <c r="P220" s="145"/>
      <c r="Q220" s="145"/>
      <c r="R220" s="145"/>
      <c r="S220" s="145"/>
      <c r="T220" s="145"/>
      <c r="U220" s="145"/>
      <c r="V220" s="145"/>
      <c r="W220" s="145"/>
      <c r="X220" s="145"/>
      <c r="Y220" s="145"/>
      <c r="Z220" s="145"/>
      <c r="AA220" s="145"/>
      <c r="AB220" s="145"/>
      <c r="AC220" s="145"/>
      <c r="AD220" s="145"/>
      <c r="AE220" s="145"/>
      <c r="AF220" s="145"/>
      <c r="AG220" s="145"/>
      <c r="AH220" s="145"/>
      <c r="AI220" s="98"/>
      <c r="AJ220" s="145"/>
      <c r="BD220" s="89"/>
      <c r="BE220" s="89"/>
      <c r="BF220" s="89"/>
      <c r="BK220" s="2920"/>
      <c r="BM220" s="2921"/>
      <c r="BN220" s="2921"/>
      <c r="BO220" s="2918"/>
    </row>
    <row r="221" spans="13:67" ht="7.5" customHeight="1">
      <c r="O221" s="145"/>
      <c r="P221" s="145"/>
      <c r="Q221" s="145"/>
      <c r="R221" s="145"/>
      <c r="S221" s="145"/>
      <c r="T221" s="145"/>
      <c r="U221" s="145"/>
      <c r="V221" s="145"/>
      <c r="W221" s="145"/>
      <c r="X221" s="145"/>
      <c r="Y221" s="145"/>
      <c r="Z221" s="145"/>
      <c r="AA221" s="145"/>
      <c r="AB221" s="145"/>
      <c r="AC221" s="145"/>
      <c r="AD221" s="145"/>
      <c r="AE221" s="145"/>
      <c r="AF221" s="145"/>
      <c r="AG221" s="145"/>
      <c r="AH221" s="145"/>
      <c r="AI221" s="98"/>
      <c r="AJ221" s="145"/>
      <c r="BD221" s="89"/>
      <c r="BE221" s="89"/>
      <c r="BF221" s="89"/>
      <c r="BK221" s="2920"/>
      <c r="BM221" s="2921"/>
      <c r="BN221" s="2921"/>
      <c r="BO221" s="2919"/>
    </row>
    <row r="222" spans="13:67" ht="7.5" customHeight="1">
      <c r="O222" s="145"/>
      <c r="P222" s="145"/>
      <c r="Q222" s="145"/>
      <c r="R222" s="145"/>
      <c r="S222" s="145"/>
      <c r="T222" s="145"/>
      <c r="U222" s="145"/>
      <c r="V222" s="145"/>
      <c r="W222" s="145"/>
      <c r="X222" s="145"/>
      <c r="Y222" s="145"/>
      <c r="Z222" s="145"/>
      <c r="AA222" s="145"/>
      <c r="AB222" s="145"/>
      <c r="AC222" s="145"/>
      <c r="AD222" s="145"/>
      <c r="AE222" s="145"/>
      <c r="AF222" s="145"/>
      <c r="AG222" s="145"/>
      <c r="AH222" s="145"/>
      <c r="AI222" s="98"/>
      <c r="AJ222" s="145"/>
      <c r="BD222" s="89"/>
      <c r="BE222" s="89"/>
      <c r="BF222" s="89"/>
      <c r="BK222" s="2920"/>
      <c r="BM222" s="2921"/>
      <c r="BN222" s="2921"/>
      <c r="BO222" s="2918"/>
    </row>
    <row r="223" spans="13:67" ht="7.5" customHeight="1">
      <c r="O223" s="145"/>
      <c r="P223" s="145"/>
      <c r="Q223" s="145"/>
      <c r="R223" s="145"/>
      <c r="S223" s="145"/>
      <c r="T223" s="145"/>
      <c r="U223" s="145"/>
      <c r="V223" s="145"/>
      <c r="W223" s="145"/>
      <c r="X223" s="145"/>
      <c r="Y223" s="145"/>
      <c r="Z223" s="145"/>
      <c r="AA223" s="145"/>
      <c r="AB223" s="145"/>
      <c r="AC223" s="145"/>
      <c r="AD223" s="145"/>
      <c r="AE223" s="145"/>
      <c r="AF223" s="145"/>
      <c r="AG223" s="145"/>
      <c r="AH223" s="145"/>
      <c r="AI223" s="98"/>
      <c r="AJ223" s="145"/>
      <c r="BD223" s="89"/>
      <c r="BE223" s="89"/>
      <c r="BF223" s="89"/>
      <c r="BK223" s="2920"/>
      <c r="BM223" s="2921"/>
      <c r="BN223" s="2921"/>
      <c r="BO223" s="2919"/>
    </row>
    <row r="224" spans="13:67" ht="7.5" customHeight="1">
      <c r="O224" s="145"/>
      <c r="P224" s="145"/>
      <c r="Q224" s="145"/>
      <c r="R224" s="145"/>
      <c r="S224" s="145"/>
      <c r="T224" s="145"/>
      <c r="U224" s="145"/>
      <c r="V224" s="145"/>
      <c r="W224" s="145"/>
      <c r="X224" s="145"/>
      <c r="Y224" s="145"/>
      <c r="Z224" s="145"/>
      <c r="AA224" s="145"/>
      <c r="AB224" s="145"/>
      <c r="AC224" s="145"/>
      <c r="AD224" s="145"/>
      <c r="AE224" s="145"/>
      <c r="AF224" s="145"/>
      <c r="AG224" s="145"/>
      <c r="AH224" s="145"/>
      <c r="AI224" s="98"/>
      <c r="AJ224" s="145"/>
      <c r="BD224" s="89"/>
      <c r="BE224" s="89"/>
      <c r="BF224" s="89"/>
      <c r="BK224" s="2920"/>
      <c r="BM224" s="2921"/>
      <c r="BN224" s="2921"/>
      <c r="BO224" s="2918"/>
    </row>
    <row r="225" spans="15:67" ht="7.5" customHeight="1">
      <c r="O225" s="145"/>
      <c r="P225" s="145"/>
      <c r="Q225" s="145"/>
      <c r="R225" s="145"/>
      <c r="S225" s="145"/>
      <c r="T225" s="145"/>
      <c r="U225" s="145"/>
      <c r="V225" s="145"/>
      <c r="W225" s="145"/>
      <c r="X225" s="145"/>
      <c r="Y225" s="145"/>
      <c r="Z225" s="145"/>
      <c r="AA225" s="145"/>
      <c r="AB225" s="145"/>
      <c r="AC225" s="145"/>
      <c r="AD225" s="145"/>
      <c r="AE225" s="145"/>
      <c r="AF225" s="145"/>
      <c r="AG225" s="145"/>
      <c r="AH225" s="145"/>
      <c r="AI225" s="98"/>
      <c r="AJ225" s="145"/>
      <c r="BD225" s="89"/>
      <c r="BE225" s="89"/>
      <c r="BF225" s="89"/>
      <c r="BK225" s="2920"/>
      <c r="BM225" s="2921"/>
      <c r="BN225" s="2921"/>
      <c r="BO225" s="2919"/>
    </row>
    <row r="226" spans="15:67" ht="7.5" customHeight="1">
      <c r="O226" s="145"/>
      <c r="P226" s="145"/>
      <c r="Q226" s="145"/>
      <c r="R226" s="145"/>
      <c r="S226" s="145"/>
      <c r="T226" s="145"/>
      <c r="U226" s="145"/>
      <c r="V226" s="145"/>
      <c r="W226" s="145"/>
      <c r="X226" s="145"/>
      <c r="Y226" s="145"/>
      <c r="Z226" s="145"/>
      <c r="AA226" s="145"/>
      <c r="AB226" s="145"/>
      <c r="AC226" s="145"/>
      <c r="AD226" s="145"/>
      <c r="AE226" s="145"/>
      <c r="AF226" s="145"/>
      <c r="AG226" s="145"/>
      <c r="AH226" s="145"/>
      <c r="AI226" s="98"/>
      <c r="AJ226" s="145"/>
      <c r="BD226" s="89"/>
      <c r="BE226" s="89"/>
      <c r="BF226" s="89"/>
      <c r="BK226" s="2920"/>
      <c r="BM226" s="2921"/>
      <c r="BN226" s="2921"/>
      <c r="BO226" s="2918"/>
    </row>
    <row r="227" spans="15:67" ht="7.5" customHeight="1">
      <c r="O227" s="145"/>
      <c r="P227" s="145"/>
      <c r="Q227" s="145"/>
      <c r="R227" s="145"/>
      <c r="S227" s="145"/>
      <c r="T227" s="145"/>
      <c r="U227" s="145"/>
      <c r="V227" s="145"/>
      <c r="W227" s="145"/>
      <c r="X227" s="145"/>
      <c r="Y227" s="145"/>
      <c r="Z227" s="145"/>
      <c r="AA227" s="145"/>
      <c r="AB227" s="145"/>
      <c r="AC227" s="145"/>
      <c r="AD227" s="145"/>
      <c r="AE227" s="145"/>
      <c r="AF227" s="145"/>
      <c r="AG227" s="145"/>
      <c r="AH227" s="145"/>
      <c r="AI227" s="98"/>
      <c r="AJ227" s="145"/>
      <c r="BD227" s="89"/>
      <c r="BE227" s="89"/>
      <c r="BF227" s="89"/>
      <c r="BK227" s="2920"/>
      <c r="BM227" s="2921"/>
      <c r="BN227" s="2921"/>
      <c r="BO227" s="2919"/>
    </row>
    <row r="228" spans="15:67" ht="7.5" customHeight="1">
      <c r="O228" s="145"/>
      <c r="P228" s="145"/>
      <c r="Q228" s="145"/>
      <c r="R228" s="145"/>
      <c r="S228" s="145"/>
      <c r="T228" s="145"/>
      <c r="U228" s="145"/>
      <c r="V228" s="145"/>
      <c r="W228" s="145"/>
      <c r="X228" s="145"/>
      <c r="Y228" s="145"/>
      <c r="Z228" s="145"/>
      <c r="AA228" s="145"/>
      <c r="AB228" s="145"/>
      <c r="AC228" s="145"/>
      <c r="AD228" s="145"/>
      <c r="AE228" s="145"/>
      <c r="AF228" s="145"/>
      <c r="AG228" s="145"/>
      <c r="AH228" s="145"/>
      <c r="AI228" s="98"/>
      <c r="AJ228" s="145"/>
      <c r="BD228" s="89"/>
      <c r="BE228" s="89"/>
      <c r="BF228" s="89"/>
      <c r="BM228" s="96"/>
      <c r="BN228" s="97"/>
    </row>
    <row r="229" spans="15:67" ht="7.5" customHeight="1">
      <c r="O229" s="145"/>
      <c r="P229" s="145"/>
      <c r="Q229" s="145"/>
      <c r="R229" s="145"/>
      <c r="S229" s="145"/>
      <c r="T229" s="145"/>
      <c r="U229" s="145"/>
      <c r="V229" s="145"/>
      <c r="W229" s="145"/>
      <c r="X229" s="145"/>
      <c r="Y229" s="145"/>
      <c r="Z229" s="145"/>
      <c r="AA229" s="145"/>
      <c r="AB229" s="145"/>
      <c r="AC229" s="145"/>
      <c r="AD229" s="145"/>
      <c r="AE229" s="145"/>
      <c r="AF229" s="145"/>
      <c r="AG229" s="145"/>
      <c r="AH229" s="145"/>
      <c r="AI229" s="98"/>
      <c r="AJ229" s="145"/>
      <c r="BD229" s="89"/>
      <c r="BE229" s="89"/>
      <c r="BF229" s="89"/>
      <c r="BM229" s="96"/>
      <c r="BN229" s="97"/>
    </row>
    <row r="230" spans="15:67">
      <c r="O230" s="145"/>
      <c r="P230" s="145"/>
      <c r="Q230" s="145"/>
      <c r="R230" s="145"/>
      <c r="S230" s="145"/>
      <c r="T230" s="145"/>
      <c r="U230" s="145"/>
      <c r="V230" s="145"/>
      <c r="W230" s="145"/>
      <c r="X230" s="145"/>
      <c r="Y230" s="145"/>
      <c r="Z230" s="145"/>
      <c r="AA230" s="145"/>
      <c r="AB230" s="145"/>
      <c r="AC230" s="145"/>
      <c r="AD230" s="145"/>
      <c r="AE230" s="145"/>
      <c r="AF230" s="145"/>
      <c r="AG230" s="145"/>
      <c r="AH230" s="145"/>
      <c r="AI230" s="98"/>
      <c r="AJ230" s="145"/>
      <c r="BD230" s="89"/>
      <c r="BE230" s="89"/>
      <c r="BF230" s="89"/>
    </row>
    <row r="231" spans="15:67">
      <c r="O231" s="452"/>
      <c r="P231" s="145"/>
      <c r="Q231" s="452"/>
      <c r="R231" s="145"/>
      <c r="S231" s="145"/>
      <c r="T231" s="145"/>
      <c r="U231" s="145"/>
      <c r="V231" s="145"/>
      <c r="W231" s="145"/>
      <c r="X231" s="145"/>
      <c r="Y231" s="145"/>
      <c r="Z231" s="145"/>
      <c r="AA231" s="145"/>
      <c r="AB231" s="145"/>
      <c r="AC231" s="145"/>
      <c r="AD231" s="145"/>
      <c r="AE231" s="145"/>
      <c r="AF231" s="145"/>
      <c r="AG231" s="145"/>
      <c r="AH231" s="145"/>
      <c r="AI231" s="98"/>
      <c r="AJ231" s="145"/>
      <c r="BD231" s="89"/>
      <c r="BE231" s="89"/>
      <c r="BF231" s="89"/>
    </row>
    <row r="232" spans="15:67">
      <c r="O232" s="452"/>
      <c r="P232" s="145"/>
      <c r="Q232" s="452"/>
      <c r="R232" s="145"/>
      <c r="S232" s="145"/>
      <c r="T232" s="145"/>
      <c r="U232" s="145"/>
      <c r="V232" s="145"/>
      <c r="W232" s="145"/>
      <c r="X232" s="145"/>
      <c r="Y232" s="145"/>
      <c r="Z232" s="145"/>
      <c r="AA232" s="145"/>
      <c r="AB232" s="145"/>
      <c r="AC232" s="145"/>
      <c r="AD232" s="145"/>
      <c r="AE232" s="145"/>
      <c r="AF232" s="145"/>
      <c r="AG232" s="145"/>
      <c r="AH232" s="145"/>
      <c r="AI232" s="98"/>
      <c r="AJ232" s="145"/>
      <c r="BD232" s="89"/>
      <c r="BE232" s="89"/>
      <c r="BF232" s="89"/>
    </row>
    <row r="233" spans="15:67">
      <c r="O233" s="145"/>
      <c r="P233" s="145"/>
      <c r="Q233" s="145"/>
      <c r="R233" s="145"/>
      <c r="S233" s="145"/>
      <c r="T233" s="145"/>
      <c r="U233" s="145"/>
      <c r="V233" s="145"/>
      <c r="W233" s="145"/>
      <c r="X233" s="145"/>
      <c r="Y233" s="145"/>
      <c r="Z233" s="145"/>
      <c r="AA233" s="145"/>
      <c r="AB233" s="145"/>
      <c r="AC233" s="145"/>
      <c r="AD233" s="145"/>
      <c r="AE233" s="145"/>
      <c r="AF233" s="145"/>
      <c r="AG233" s="145"/>
      <c r="AH233" s="145"/>
      <c r="AI233" s="98"/>
      <c r="AJ233" s="145"/>
      <c r="BD233" s="89"/>
      <c r="BE233" s="89"/>
      <c r="BF233" s="89"/>
    </row>
    <row r="234" spans="15:67">
      <c r="O234" s="145"/>
      <c r="P234" s="145"/>
      <c r="Q234" s="145"/>
      <c r="R234" s="145"/>
      <c r="S234" s="145"/>
      <c r="T234" s="145"/>
      <c r="U234" s="145"/>
      <c r="V234" s="145"/>
      <c r="W234" s="145"/>
      <c r="X234" s="145"/>
      <c r="Y234" s="145"/>
      <c r="Z234" s="145"/>
      <c r="AA234" s="145"/>
      <c r="AB234" s="145"/>
      <c r="AC234" s="145"/>
      <c r="AD234" s="145"/>
      <c r="AE234" s="145"/>
      <c r="AF234" s="145"/>
      <c r="AG234" s="145"/>
      <c r="AH234" s="145"/>
      <c r="AI234" s="98"/>
      <c r="AJ234" s="145"/>
      <c r="BD234" s="89"/>
      <c r="BE234" s="89"/>
      <c r="BF234" s="89"/>
    </row>
    <row r="235" spans="15:67">
      <c r="O235" s="145"/>
      <c r="P235" s="145"/>
      <c r="Q235" s="145"/>
      <c r="R235" s="145"/>
      <c r="S235" s="145"/>
      <c r="T235" s="145"/>
      <c r="U235" s="145"/>
      <c r="V235" s="145"/>
      <c r="W235" s="145"/>
      <c r="X235" s="145"/>
      <c r="Y235" s="145"/>
      <c r="Z235" s="145"/>
      <c r="AA235" s="145"/>
      <c r="AB235" s="145"/>
      <c r="AC235" s="145"/>
      <c r="AD235" s="145"/>
      <c r="AE235" s="145"/>
      <c r="AF235" s="145"/>
      <c r="AG235" s="145"/>
      <c r="AH235" s="145"/>
      <c r="AI235" s="98"/>
      <c r="AJ235" s="145"/>
      <c r="BD235" s="89"/>
      <c r="BE235" s="89"/>
      <c r="BF235" s="89"/>
    </row>
    <row r="236" spans="15:67">
      <c r="O236" s="145"/>
      <c r="P236" s="145"/>
      <c r="Q236" s="145"/>
      <c r="R236" s="145"/>
      <c r="S236" s="145"/>
      <c r="T236" s="145"/>
      <c r="U236" s="145"/>
      <c r="V236" s="145"/>
      <c r="W236" s="145"/>
      <c r="X236" s="145"/>
      <c r="Y236" s="145"/>
      <c r="Z236" s="145"/>
      <c r="AA236" s="145"/>
      <c r="AB236" s="145"/>
      <c r="AC236" s="145"/>
      <c r="AD236" s="145"/>
      <c r="AE236" s="145"/>
      <c r="AF236" s="145"/>
      <c r="AG236" s="145"/>
      <c r="AH236" s="145"/>
      <c r="AI236" s="145"/>
      <c r="AJ236" s="145"/>
      <c r="BD236" s="89"/>
      <c r="BE236" s="89"/>
      <c r="BF236" s="89"/>
    </row>
    <row r="237" spans="15:67">
      <c r="O237" s="145"/>
      <c r="P237" s="145"/>
      <c r="Q237" s="145"/>
      <c r="R237" s="145"/>
      <c r="S237" s="145"/>
      <c r="T237" s="145"/>
      <c r="U237" s="145"/>
      <c r="V237" s="145"/>
      <c r="W237" s="145"/>
      <c r="X237" s="145"/>
      <c r="Y237" s="145"/>
      <c r="Z237" s="145"/>
      <c r="AA237" s="145"/>
      <c r="AB237" s="145"/>
      <c r="AC237" s="145"/>
      <c r="AD237" s="145"/>
      <c r="AE237" s="145"/>
      <c r="AF237" s="145"/>
      <c r="AG237" s="145"/>
      <c r="AH237" s="145"/>
      <c r="AI237" s="145"/>
      <c r="AJ237" s="145"/>
      <c r="BD237" s="89"/>
      <c r="BE237" s="89"/>
      <c r="BF237" s="89"/>
    </row>
    <row r="238" spans="15:67">
      <c r="O238" s="145"/>
      <c r="P238" s="145"/>
      <c r="Q238" s="145"/>
      <c r="R238" s="145"/>
      <c r="S238" s="145"/>
      <c r="T238" s="145"/>
      <c r="U238" s="145"/>
      <c r="V238" s="145"/>
      <c r="W238" s="145"/>
      <c r="X238" s="145"/>
      <c r="Y238" s="145"/>
      <c r="Z238" s="145"/>
      <c r="AA238" s="145"/>
      <c r="AB238" s="145"/>
      <c r="AC238" s="145"/>
      <c r="AD238" s="145"/>
      <c r="AE238" s="145"/>
      <c r="AF238" s="145"/>
      <c r="AG238" s="145"/>
      <c r="AH238" s="145"/>
      <c r="AI238" s="145"/>
      <c r="AJ238" s="145"/>
      <c r="BD238" s="89"/>
      <c r="BE238" s="89"/>
      <c r="BF238" s="89"/>
    </row>
    <row r="239" spans="15:67">
      <c r="O239" s="145"/>
      <c r="P239" s="145"/>
      <c r="Q239" s="145"/>
      <c r="R239" s="145"/>
      <c r="S239" s="145"/>
      <c r="T239" s="145"/>
      <c r="U239" s="145"/>
      <c r="V239" s="145"/>
      <c r="W239" s="145"/>
      <c r="X239" s="145"/>
      <c r="Y239" s="145"/>
      <c r="Z239" s="145"/>
      <c r="AA239" s="145"/>
      <c r="AB239" s="145"/>
      <c r="AC239" s="145"/>
      <c r="AD239" s="145"/>
      <c r="AE239" s="145"/>
      <c r="AF239" s="145"/>
      <c r="AG239" s="145"/>
      <c r="AH239" s="145"/>
      <c r="AI239" s="145"/>
      <c r="AJ239" s="145"/>
      <c r="BD239" s="89"/>
      <c r="BE239" s="89"/>
      <c r="BF239" s="89"/>
    </row>
    <row r="240" spans="15:67">
      <c r="O240" s="145"/>
      <c r="P240" s="145"/>
      <c r="Q240" s="145"/>
      <c r="R240" s="145"/>
      <c r="S240" s="145"/>
      <c r="T240" s="145"/>
      <c r="U240" s="145"/>
      <c r="V240" s="145"/>
      <c r="W240" s="145"/>
      <c r="X240" s="145"/>
      <c r="Y240" s="145"/>
      <c r="Z240" s="145"/>
      <c r="AA240" s="145"/>
      <c r="AB240" s="145"/>
      <c r="AC240" s="145"/>
      <c r="AD240" s="145"/>
      <c r="AE240" s="145"/>
      <c r="AF240" s="145"/>
      <c r="AG240" s="145"/>
      <c r="AH240" s="145"/>
      <c r="AI240" s="145"/>
      <c r="AJ240" s="145"/>
      <c r="BD240" s="89"/>
      <c r="BE240" s="89"/>
      <c r="BF240" s="89"/>
    </row>
    <row r="241" spans="15:58">
      <c r="O241" s="145"/>
      <c r="P241" s="145"/>
      <c r="Q241" s="145"/>
      <c r="R241" s="145"/>
      <c r="S241" s="145"/>
      <c r="T241" s="145"/>
      <c r="U241" s="145"/>
      <c r="V241" s="145"/>
      <c r="W241" s="145"/>
      <c r="X241" s="145"/>
      <c r="Y241" s="145"/>
      <c r="Z241" s="145"/>
      <c r="AA241" s="145"/>
      <c r="AB241" s="145"/>
      <c r="AC241" s="145"/>
      <c r="AD241" s="145"/>
      <c r="AE241" s="145"/>
      <c r="AF241" s="145"/>
      <c r="AG241" s="145"/>
      <c r="AH241" s="145"/>
      <c r="AI241" s="145"/>
      <c r="AJ241" s="145"/>
      <c r="BD241" s="89"/>
      <c r="BE241" s="89"/>
      <c r="BF241" s="89"/>
    </row>
    <row r="242" spans="15:58">
      <c r="O242" s="145"/>
      <c r="P242" s="145"/>
      <c r="Q242" s="145"/>
      <c r="R242" s="145"/>
      <c r="S242" s="145"/>
      <c r="T242" s="145"/>
      <c r="U242" s="145"/>
      <c r="V242" s="145"/>
      <c r="W242" s="145"/>
      <c r="X242" s="145"/>
      <c r="Y242" s="145"/>
      <c r="Z242" s="145"/>
      <c r="AA242" s="145"/>
      <c r="AB242" s="145"/>
      <c r="AC242" s="145"/>
      <c r="AD242" s="145"/>
      <c r="AE242" s="145"/>
      <c r="AF242" s="145"/>
      <c r="AG242" s="145"/>
      <c r="AH242" s="145"/>
      <c r="AI242" s="145"/>
      <c r="AJ242" s="145"/>
      <c r="BD242" s="89"/>
      <c r="BE242" s="89"/>
      <c r="BF242" s="89"/>
    </row>
    <row r="243" spans="15:58">
      <c r="BD243" s="89"/>
      <c r="BE243" s="89"/>
      <c r="BF243" s="89"/>
    </row>
    <row r="245" spans="15:58">
      <c r="BE245" s="95"/>
    </row>
  </sheetData>
  <protectedRanges>
    <protectedRange sqref="AP93:BF93 AP107:BF108 AP97:BF98" name="Range1"/>
  </protectedRanges>
  <mergeCells count="113">
    <mergeCell ref="B131:E131"/>
    <mergeCell ref="B132:C132"/>
    <mergeCell ref="F6:F8"/>
    <mergeCell ref="I73:N73"/>
    <mergeCell ref="M107:N107"/>
    <mergeCell ref="B108:B109"/>
    <mergeCell ref="M108:N109"/>
    <mergeCell ref="B110:B111"/>
    <mergeCell ref="M110:N111"/>
    <mergeCell ref="B112:B113"/>
    <mergeCell ref="M112:N113"/>
    <mergeCell ref="B115:C116"/>
    <mergeCell ref="F115:I115"/>
    <mergeCell ref="K115:N115"/>
    <mergeCell ref="B104:B105"/>
    <mergeCell ref="BK218:BK219"/>
    <mergeCell ref="BM196:BN197"/>
    <mergeCell ref="BM198:BN199"/>
    <mergeCell ref="BM200:BN201"/>
    <mergeCell ref="BM202:BN203"/>
    <mergeCell ref="BM204:BN205"/>
    <mergeCell ref="BM206:BN207"/>
    <mergeCell ref="BK188:BK189"/>
    <mergeCell ref="BK170:BK171"/>
    <mergeCell ref="BK172:BK173"/>
    <mergeCell ref="BK174:BK175"/>
    <mergeCell ref="BK176:BK177"/>
    <mergeCell ref="BK178:BK179"/>
    <mergeCell ref="BK180:BK181"/>
    <mergeCell ref="BK182:BK183"/>
    <mergeCell ref="BK184:BK185"/>
    <mergeCell ref="BK186:BK187"/>
    <mergeCell ref="BK202:BK203"/>
    <mergeCell ref="BK204:BK205"/>
    <mergeCell ref="BK206:BK207"/>
    <mergeCell ref="BK214:BK215"/>
    <mergeCell ref="BK216:BK217"/>
    <mergeCell ref="BM186:BN187"/>
    <mergeCell ref="BM188:BN189"/>
    <mergeCell ref="BK198:BK199"/>
    <mergeCell ref="BK200:BK201"/>
    <mergeCell ref="BM184:BN185"/>
    <mergeCell ref="BM161:BN162"/>
    <mergeCell ref="BM168:BN169"/>
    <mergeCell ref="BM170:BN171"/>
    <mergeCell ref="BM172:BN173"/>
    <mergeCell ref="BM174:BN175"/>
    <mergeCell ref="BM194:BN195"/>
    <mergeCell ref="BK161:BK162"/>
    <mergeCell ref="BK168:BK169"/>
    <mergeCell ref="BM176:BN177"/>
    <mergeCell ref="BM178:BN179"/>
    <mergeCell ref="BM180:BN181"/>
    <mergeCell ref="BM182:BN183"/>
    <mergeCell ref="BO161:BO162"/>
    <mergeCell ref="BO168:BO169"/>
    <mergeCell ref="BM224:BN225"/>
    <mergeCell ref="BM226:BN227"/>
    <mergeCell ref="BK220:BK221"/>
    <mergeCell ref="BK222:BK223"/>
    <mergeCell ref="BK224:BK225"/>
    <mergeCell ref="BK226:BK227"/>
    <mergeCell ref="BM220:BN221"/>
    <mergeCell ref="BM222:BN223"/>
    <mergeCell ref="BM208:BN209"/>
    <mergeCell ref="BM210:BN211"/>
    <mergeCell ref="BM212:BN213"/>
    <mergeCell ref="BM214:BN215"/>
    <mergeCell ref="BM216:BN217"/>
    <mergeCell ref="BM218:BN219"/>
    <mergeCell ref="BK208:BK209"/>
    <mergeCell ref="BK210:BK211"/>
    <mergeCell ref="BK212:BK213"/>
    <mergeCell ref="BM190:BN191"/>
    <mergeCell ref="BM192:BN193"/>
    <mergeCell ref="BK190:BK191"/>
    <mergeCell ref="BK192:BK193"/>
    <mergeCell ref="BK194:BK195"/>
    <mergeCell ref="BO198:BO199"/>
    <mergeCell ref="BO200:BO201"/>
    <mergeCell ref="BO202:BO203"/>
    <mergeCell ref="BO204:BO205"/>
    <mergeCell ref="BO170:BO171"/>
    <mergeCell ref="BO172:BO173"/>
    <mergeCell ref="BO174:BO175"/>
    <mergeCell ref="BO176:BO177"/>
    <mergeCell ref="BO178:BO179"/>
    <mergeCell ref="BO180:BO181"/>
    <mergeCell ref="BO182:BO183"/>
    <mergeCell ref="F2:J2"/>
    <mergeCell ref="P2:W2"/>
    <mergeCell ref="Y2:AD2"/>
    <mergeCell ref="K2:N2"/>
    <mergeCell ref="BO184:BO185"/>
    <mergeCell ref="BK196:BK197"/>
    <mergeCell ref="AF2:AK2"/>
    <mergeCell ref="BO226:BO227"/>
    <mergeCell ref="BO216:BO217"/>
    <mergeCell ref="BO218:BO219"/>
    <mergeCell ref="BO220:BO221"/>
    <mergeCell ref="BO222:BO223"/>
    <mergeCell ref="BO224:BO225"/>
    <mergeCell ref="BO206:BO207"/>
    <mergeCell ref="BO208:BO209"/>
    <mergeCell ref="BO210:BO211"/>
    <mergeCell ref="BO186:BO187"/>
    <mergeCell ref="BO188:BO189"/>
    <mergeCell ref="BO190:BO191"/>
    <mergeCell ref="BO192:BO193"/>
    <mergeCell ref="BO194:BO195"/>
    <mergeCell ref="BO212:BO213"/>
    <mergeCell ref="BO214:BO215"/>
    <mergeCell ref="BO196:BO197"/>
  </mergeCells>
  <conditionalFormatting sqref="I14:J14">
    <cfRule type="iconSet" priority="34">
      <iconSet>
        <cfvo type="percent" val="0"/>
        <cfvo type="formula" val="$A$9"/>
        <cfvo type="formula" val="$A$8"/>
      </iconSet>
    </cfRule>
  </conditionalFormatting>
  <conditionalFormatting sqref="I15:J15 I10:J13">
    <cfRule type="iconSet" priority="1393">
      <iconSet>
        <cfvo type="percent" val="0"/>
        <cfvo type="formula" val="$A$9"/>
        <cfvo type="formula" val="$A$8"/>
      </iconSet>
    </cfRule>
  </conditionalFormatting>
  <conditionalFormatting sqref="I21:J21">
    <cfRule type="iconSet" priority="35">
      <iconSet>
        <cfvo type="percent" val="0"/>
        <cfvo type="formula" val="$A$9"/>
        <cfvo type="formula" val="$A$8"/>
      </iconSet>
    </cfRule>
  </conditionalFormatting>
  <conditionalFormatting sqref="I22:J22 I16:J20">
    <cfRule type="iconSet" priority="1454">
      <iconSet>
        <cfvo type="percent" val="0"/>
        <cfvo type="formula" val="$A$9"/>
        <cfvo type="formula" val="$A$8"/>
      </iconSet>
    </cfRule>
  </conditionalFormatting>
  <conditionalFormatting sqref="I23:J23">
    <cfRule type="iconSet" priority="335">
      <iconSet showValue="0" reverse="1">
        <cfvo type="percent" val="0"/>
        <cfvo type="formula" val="$A$19" gte="0"/>
        <cfvo type="formula" val="$A$18" gte="0"/>
      </iconSet>
    </cfRule>
    <cfRule type="iconSet" priority="336">
      <iconSet>
        <cfvo type="percent" val="0"/>
        <cfvo type="percent" val="33"/>
        <cfvo type="percent" val="67"/>
      </iconSet>
    </cfRule>
  </conditionalFormatting>
  <conditionalFormatting sqref="I27:J27">
    <cfRule type="iconSet" priority="32">
      <iconSet showValue="0" reverse="1">
        <cfvo type="percent" val="0"/>
        <cfvo type="formula" val="$A$19" gte="0"/>
        <cfvo type="formula" val="$A$18" gte="0"/>
      </iconSet>
    </cfRule>
    <cfRule type="iconSet" priority="33">
      <iconSet>
        <cfvo type="percent" val="0"/>
        <cfvo type="percent" val="33"/>
        <cfvo type="percent" val="67"/>
      </iconSet>
    </cfRule>
  </conditionalFormatting>
  <conditionalFormatting sqref="I28:J28 I24:J26">
    <cfRule type="iconSet" priority="1508">
      <iconSet showValue="0" reverse="1">
        <cfvo type="percent" val="0"/>
        <cfvo type="formula" val="$A$19" gte="0"/>
        <cfvo type="formula" val="$A$18" gte="0"/>
      </iconSet>
    </cfRule>
    <cfRule type="iconSet" priority="1509">
      <iconSet>
        <cfvo type="percent" val="0"/>
        <cfvo type="percent" val="33"/>
        <cfvo type="percent" val="67"/>
      </iconSet>
    </cfRule>
  </conditionalFormatting>
  <conditionalFormatting sqref="I29:J29">
    <cfRule type="iconSet" priority="394">
      <iconSet>
        <cfvo type="percent" val="0"/>
        <cfvo type="formula" val="$A$9"/>
        <cfvo type="formula" val="$A$8"/>
      </iconSet>
    </cfRule>
  </conditionalFormatting>
  <conditionalFormatting sqref="I50:J50">
    <cfRule type="iconSet" priority="393">
      <iconSet>
        <cfvo type="percent" val="0"/>
        <cfvo type="formula" val="$A$9"/>
        <cfvo type="formula" val="$A$8"/>
      </iconSet>
    </cfRule>
  </conditionalFormatting>
  <conditionalFormatting sqref="I51:J54 I59:J62">
    <cfRule type="iconSet" priority="1576">
      <iconSet>
        <cfvo type="percent" val="0"/>
        <cfvo type="formula" val="$A$9"/>
        <cfvo type="formula" val="$A$8"/>
      </iconSet>
    </cfRule>
  </conditionalFormatting>
  <conditionalFormatting sqref="I55:J58">
    <cfRule type="iconSet" priority="381">
      <iconSet>
        <cfvo type="percent" val="0"/>
        <cfvo type="formula" val="$A$9"/>
        <cfvo type="formula" val="$A$8"/>
      </iconSet>
    </cfRule>
  </conditionalFormatting>
  <conditionalFormatting sqref="I63:J63">
    <cfRule type="iconSet" priority="391">
      <iconSet>
        <cfvo type="percent" val="0"/>
        <cfvo type="formula" val="$A$9"/>
        <cfvo type="formula" val="$A$8"/>
      </iconSet>
    </cfRule>
  </conditionalFormatting>
  <conditionalFormatting sqref="I64:J64 I66:J66">
    <cfRule type="iconSet" priority="400">
      <iconSet>
        <cfvo type="percent" val="0"/>
        <cfvo type="formula" val="$A$9"/>
        <cfvo type="formula" val="$A$8"/>
      </iconSet>
    </cfRule>
  </conditionalFormatting>
  <conditionalFormatting sqref="I65:J65">
    <cfRule type="iconSet" priority="382">
      <iconSet>
        <cfvo type="percent" val="0"/>
        <cfvo type="formula" val="$A$9"/>
        <cfvo type="formula" val="$A$8"/>
      </iconSet>
    </cfRule>
  </conditionalFormatting>
  <conditionalFormatting sqref="I120:J121 I123:J129">
    <cfRule type="iconSet" priority="1024">
      <iconSet>
        <cfvo type="percent" val="0"/>
        <cfvo type="formula" val="$A$9"/>
        <cfvo type="formula" val="$A$8"/>
      </iconSet>
    </cfRule>
  </conditionalFormatting>
  <conditionalFormatting sqref="I122:J122">
    <cfRule type="iconSet" priority="244">
      <iconSet>
        <cfvo type="percent" val="0"/>
        <cfvo type="formula" val="$A$9"/>
        <cfvo type="formula" val="$A$8"/>
      </iconSet>
    </cfRule>
  </conditionalFormatting>
  <conditionalFormatting sqref="I136:J139">
    <cfRule type="iconSet" priority="25">
      <iconSet>
        <cfvo type="percent" val="0"/>
        <cfvo type="formula" val="$A$9"/>
        <cfvo type="formula" val="$A$8"/>
      </iconSet>
    </cfRule>
  </conditionalFormatting>
  <conditionalFormatting sqref="I140:J140">
    <cfRule type="iconSet" priority="16">
      <iconSet>
        <cfvo type="percent" val="0"/>
        <cfvo type="formula" val="$A$9"/>
        <cfvo type="formula" val="$A$8"/>
      </iconSet>
    </cfRule>
  </conditionalFormatting>
  <conditionalFormatting sqref="N153">
    <cfRule type="expression" dxfId="365" priority="547">
      <formula>$N$146="CV"</formula>
    </cfRule>
  </conditionalFormatting>
  <conditionalFormatting sqref="Q152">
    <cfRule type="expression" dxfId="364" priority="1776">
      <formula>S143&lt;=F23</formula>
    </cfRule>
    <cfRule type="expression" dxfId="363" priority="1777">
      <formula>S143&gt;=(F23+(F23*10%))</formula>
    </cfRule>
    <cfRule type="expression" dxfId="362" priority="1778">
      <formula>AND(S143&gt;F23,S143&lt;(F23+(F23*10%)))</formula>
    </cfRule>
  </conditionalFormatting>
  <conditionalFormatting sqref="R152">
    <cfRule type="expression" dxfId="361" priority="1779">
      <formula>S144&lt;=F23</formula>
    </cfRule>
    <cfRule type="expression" dxfId="360" priority="1780">
      <formula>S144&gt;=(F23+(F23*10%))</formula>
    </cfRule>
    <cfRule type="expression" dxfId="359" priority="1781">
      <formula>AND(S144&gt;F23,S144&lt;(F23+(F23*10%)))</formula>
    </cfRule>
  </conditionalFormatting>
  <conditionalFormatting sqref="S152">
    <cfRule type="expression" dxfId="358" priority="1782">
      <formula>S145&lt;=F23</formula>
    </cfRule>
    <cfRule type="expression" dxfId="357" priority="1783">
      <formula>S145&gt;=(F23+(F23*10%))</formula>
    </cfRule>
    <cfRule type="expression" dxfId="356" priority="1784">
      <formula>AND(S145&gt;F23,S145&lt;(F23+(F23*10%)))</formula>
    </cfRule>
  </conditionalFormatting>
  <conditionalFormatting sqref="T152">
    <cfRule type="expression" dxfId="355" priority="1794">
      <formula>S146&lt;=F23</formula>
    </cfRule>
    <cfRule type="expression" dxfId="354" priority="1795">
      <formula>S146&gt;=(F23+(F23*10%))</formula>
    </cfRule>
    <cfRule type="expression" dxfId="353" priority="1796">
      <formula>AND(S146&gt;F23,S146&lt;(F23+(F23*10%)))</formula>
    </cfRule>
  </conditionalFormatting>
  <conditionalFormatting sqref="U152">
    <cfRule type="expression" dxfId="352" priority="1785">
      <formula>S147&lt;=F23</formula>
    </cfRule>
    <cfRule type="expression" dxfId="351" priority="1786">
      <formula>S147&gt;=(F23+(F23*10%))</formula>
    </cfRule>
    <cfRule type="expression" dxfId="350" priority="1787">
      <formula>AND(S147&gt;F23,S147&lt;(F23+(F23*10%)))</formula>
    </cfRule>
  </conditionalFormatting>
  <conditionalFormatting sqref="V152">
    <cfRule type="expression" dxfId="349" priority="1788">
      <formula>S148&lt;=F23</formula>
    </cfRule>
    <cfRule type="expression" dxfId="348" priority="1789">
      <formula>S148&gt;=(F23+(F23*10%))</formula>
    </cfRule>
    <cfRule type="expression" dxfId="347" priority="1790">
      <formula>AND(S148&gt;F23,S148&lt;(F23+(F23*10%)))</formula>
    </cfRule>
  </conditionalFormatting>
  <conditionalFormatting sqref="W152">
    <cfRule type="expression" dxfId="346" priority="1791">
      <formula>S149&lt;=F23</formula>
    </cfRule>
    <cfRule type="expression" dxfId="345" priority="1792">
      <formula>S149&gt;=(F23+(F23*10%))</formula>
    </cfRule>
    <cfRule type="expression" dxfId="344" priority="1793">
      <formula>AND(S149&gt;F23,S149&lt;(F23+(F23*10%)))</formula>
    </cfRule>
  </conditionalFormatting>
  <conditionalFormatting sqref="X26">
    <cfRule type="expression" dxfId="343" priority="1825">
      <formula>AA16&lt;=O1048491</formula>
    </cfRule>
    <cfRule type="expression" dxfId="342" priority="1826">
      <formula>AA16&gt;=(O1048491+(O1048491*10%))</formula>
    </cfRule>
    <cfRule type="expression" dxfId="341" priority="1827">
      <formula>AND(AA16&gt;O1048491,AA16&lt;(O1048491+(O1048491*10%)))</formula>
    </cfRule>
  </conditionalFormatting>
  <conditionalFormatting sqref="AA149">
    <cfRule type="expression" dxfId="340" priority="1773">
      <formula>Z143&lt;=N18</formula>
    </cfRule>
    <cfRule type="expression" dxfId="339" priority="1774">
      <formula>Z143&gt;=(N18+(N18*10%))</formula>
    </cfRule>
    <cfRule type="expression" dxfId="338" priority="1775">
      <formula>AND(Z143&gt;N18,Z143&lt;(N18+(N18*10%)))</formula>
    </cfRule>
  </conditionalFormatting>
  <conditionalFormatting sqref="AA175">
    <cfRule type="expression" dxfId="337" priority="985">
      <formula>AD159&lt;=R35</formula>
    </cfRule>
    <cfRule type="expression" dxfId="336" priority="986">
      <formula>AD159&gt;=(R35+(R35*10%))</formula>
    </cfRule>
    <cfRule type="expression" dxfId="335" priority="987">
      <formula>AND(AD159&gt;R35,AD159&lt;(R35+(R35*10%)))</formula>
    </cfRule>
  </conditionalFormatting>
  <conditionalFormatting sqref="AA160:AB161">
    <cfRule type="expression" dxfId="334" priority="538">
      <formula>OR(AND($Z$156="CV",ABS($AB157-Z157)&lt;=50),AND($Z$156="TS",ABS($AB157-Z157)&lt;0.1),AND($Z$156="ASH",ABS($AB157-Z157)&lt;1))</formula>
    </cfRule>
    <cfRule type="expression" dxfId="333" priority="539">
      <formula>OR(AND($Z$156="CV",ABS($AB157-Z157)&gt;=200),AND($Z$156="TS",ABS($AB157-Z157)&gt;=0.2),AND($Z$156="ASH",ABS($AB157-Z157)&gt;=2))</formula>
    </cfRule>
    <cfRule type="expression" dxfId="332" priority="540">
      <formula>OR(AND($Z$156="CV",ABS($AB157-Z157)&gt;50,ABS($AB157-Z157)&lt;200),AND($Z$156="TS",ABS($AB157-Z157)&gt;=0.1,ABS($AB157-Z157)&lt;0.2),AND($Z$156="ASH",ABS($AB157-Z157)&gt;=1,ABS($AB157-Z157)&lt;2))</formula>
    </cfRule>
  </conditionalFormatting>
  <conditionalFormatting sqref="AA171:AB171">
    <cfRule type="expression" dxfId="331" priority="496">
      <formula>OR(AND($Z$161="CV",ABS($AA168-Z168)&lt;=50),AND($Z$161="TS",ABS($AA168-Z168)&lt;0.1),AND($Z$161="ASH",ABS($AA168-Z168)&lt;1))</formula>
    </cfRule>
    <cfRule type="expression" dxfId="330" priority="497">
      <formula>OR(AND($Z$161="CV",ABS($AA168-Z168)&gt;=200),AND($Z$161="TS",ABS($AA168-Z168)&gt;=0.2),AND($Z$161="ASH",ABS($AA168-Z168)&gt;=2))</formula>
    </cfRule>
    <cfRule type="expression" dxfId="329" priority="498">
      <formula>OR(AND($Z$161="CV",ABS($AA168-Z168)&gt;50,ABS($AA168-Z168)&lt;200),AND($Z$161="TS",ABS($AA168-Z168)&gt;=0.1,ABS($AA168-Z168)&lt;0.2),AND($Z$161="ASH",ABS($AA168-Z168)&gt;=1,ABS($AA168-Z168)&lt;2))</formula>
    </cfRule>
  </conditionalFormatting>
  <conditionalFormatting sqref="AB160:AB161 AA161">
    <cfRule type="expression" dxfId="328" priority="526">
      <formula>OR(AND($Z$156="CV",ABS($AB157-Z157)&lt;100),AND($Z$156="TS",ABS($AB157-Z157)&lt;0.1),AND($Z$156="ASH",ABS($AB157-Z157)&lt;1))</formula>
    </cfRule>
    <cfRule type="expression" dxfId="327" priority="527">
      <formula>OR(AND($Z$156="CV",ABS($AB157-Z157)&gt;=200),AND($Z$156="TS",ABS($AB157-Z157)&gt;=0.2),AND($Z$156="ASH",ABS($AB157-Z157)&gt;=2))</formula>
    </cfRule>
    <cfRule type="expression" dxfId="326" priority="528">
      <formula>OR(AND($Z$156="CV",ABS($AB157-Z157)&gt;=100,ABS($AB157-Z157)&lt;200),AND($Z$156="TS",ABS($AB157-Z157)&gt;=0.1,ABS($AB157-Z157)&lt;0.2),AND($Z$156="ASH",ABS($AB157-Z157)&gt;=1,ABS($AB157-Z157)&lt;2))</formula>
    </cfRule>
  </conditionalFormatting>
  <conditionalFormatting sqref="AB169:AB170">
    <cfRule type="expression" dxfId="325" priority="17">
      <formula>OR(AND($Z$156="CV",ABS($AB162-AA162)&lt;100),AND($Z$156="TS",ABS($AB162-AA162)&lt;0.1),AND($Z$156="ASH",ABS($AB162-AA162)&lt;1))</formula>
    </cfRule>
    <cfRule type="expression" dxfId="324" priority="18">
      <formula>OR(AND($Z$156="CV",ABS($AB162-AA162)&gt;=200),AND($Z$156="TS",ABS($AB162-AA162)&gt;=0.2),AND($Z$156="ASH",ABS($AB162-AA162)&gt;=2))</formula>
    </cfRule>
    <cfRule type="expression" dxfId="323" priority="19">
      <formula>OR(AND($Z$156="CV",ABS($AB162-AA162)&gt;=100,ABS($AB162-AA162)&lt;200),AND($Z$156="TS",ABS($AB162-AA162)&gt;=0.1,ABS($AB162-AA162)&lt;0.2),AND($Z$156="ASH",ABS($AB162-AA162)&gt;=1,ABS($AB162-AA162)&lt;2))</formula>
    </cfRule>
    <cfRule type="expression" dxfId="322" priority="20">
      <formula>OR(AND($Z$161="CV",ABS($AA162-AA162)&lt;=50),AND($Z$161="TS",ABS($AA162-AA162)&lt;0.1),AND($Z$161="ASH",ABS($AA162-AA162)&lt;1))</formula>
    </cfRule>
    <cfRule type="expression" dxfId="321" priority="21">
      <formula>OR(AND($Z$161="CV",ABS($AA162-AA162)&gt;=200),AND($Z$161="TS",ABS($AA162-AA162)&gt;=0.2),AND($Z$161="ASH",ABS($AA162-AA162)&gt;=2))</formula>
    </cfRule>
    <cfRule type="expression" dxfId="320" priority="22">
      <formula>OR(AND($Z$161="CV",ABS($AA162-AA162)&gt;50,ABS($AA162-AA162)&lt;200),AND($Z$161="TS",ABS($AA162-AA162)&gt;=0.1,ABS($AA162-AA162)&lt;0.2),AND($Z$161="ASH",ABS($AA162-AA162)&gt;=1,ABS($AA162-AA162)&lt;2))</formula>
    </cfRule>
  </conditionalFormatting>
  <conditionalFormatting sqref="AC143:AD146 AC148">
    <cfRule type="expression" dxfId="319" priority="1085">
      <formula>OR(AND($Z$141&lt;&gt;$F$2,AC143&gt;=95%),AND($Z$141=$F$2,AE143&gt;=95%))</formula>
    </cfRule>
    <cfRule type="expression" dxfId="318" priority="1086">
      <formula>OR(AND($Z$141&lt;&gt;$F$2,AC143&gt;=80%,AC143&lt;95%),AND($Z$141=$F$2,AE143&gt;=80%,AE143&lt;95%))</formula>
    </cfRule>
    <cfRule type="expression" dxfId="317" priority="1087">
      <formula>OR(AND($Z$141&lt;&gt;$F$2,AC143&lt;80%),AND($Z$141=$F$2,AE143&lt;80%))</formula>
    </cfRule>
  </conditionalFormatting>
  <conditionalFormatting sqref="AC160:AD160">
    <cfRule type="expression" dxfId="316" priority="411">
      <formula>OR(AND($Z$156="CV",ABS($AB157-AB157)&lt;=50),AND($Z$156="TS",ABS($AB157-AB157)&lt;0.1),AND($Z$156="ASH",ABS($AB157-AB157)&lt;1))</formula>
    </cfRule>
    <cfRule type="expression" dxfId="315" priority="412">
      <formula>OR(AND($Z$156="CV",ABS($AB157-AB157)&gt;=200),AND($Z$156="TS",ABS($AB157-AB157)&gt;=0.2),AND($Z$156="ASH",ABS($AB157-AB157)&gt;=2))</formula>
    </cfRule>
    <cfRule type="expression" dxfId="314" priority="413">
      <formula>OR(AND($Z$156="CV",ABS($AB157-AB157)&gt;50,ABS($AB157-AB157)&lt;200),AND($Z$156="TS",ABS($AB157-AB157)&gt;=0.1,ABS($AB157-AB157)&lt;0.2),AND($Z$156="ASH",ABS($AB157-AB157)&gt;=1,ABS($AB157-AB157)&lt;2))</formula>
    </cfRule>
  </conditionalFormatting>
  <conditionalFormatting sqref="AD160">
    <cfRule type="expression" dxfId="313" priority="408">
      <formula>OR(AND($Z$156="CV",ABS($AB157-AC157)&lt;100),AND($Z$156="TS",ABS($AB157-AC157)&lt;0.1),AND($Z$156="ASH",ABS($AB157-AC157)&lt;1))</formula>
    </cfRule>
    <cfRule type="expression" dxfId="312" priority="409">
      <formula>OR(AND($Z$156="CV",ABS($AB157-AC157)&gt;=200),AND($Z$156="TS",ABS($AB157-AC157)&gt;=0.2),AND($Z$156="ASH",ABS($AB157-AC157)&gt;=2))</formula>
    </cfRule>
    <cfRule type="expression" dxfId="311" priority="410">
      <formula>OR(AND($Z$156="CV",ABS($AB157-AC157)&gt;=100,ABS($AB157-AC157)&lt;200),AND($Z$156="TS",ABS($AB157-AC157)&gt;=0.1,ABS($AB157-AC157)&lt;0.2),AND($Z$156="ASH",ABS($AB157-AC157)&gt;=1,ABS($AB157-AC157)&lt;2))</formula>
    </cfRule>
  </conditionalFormatting>
  <conditionalFormatting sqref="AE26">
    <cfRule type="expression" dxfId="310" priority="1834">
      <formula>AH16&lt;=V1048490</formula>
    </cfRule>
    <cfRule type="expression" dxfId="309" priority="1835">
      <formula>AH16&gt;=(V1048490+(V1048490*10%))</formula>
    </cfRule>
    <cfRule type="expression" dxfId="308" priority="1836">
      <formula>AND(AH16&gt;V1048490,AH16&lt;(V1048490+(V1048490*10%)))</formula>
    </cfRule>
  </conditionalFormatting>
  <conditionalFormatting sqref="AH97">
    <cfRule type="expression" dxfId="307" priority="949">
      <formula>OR(AND($Z$156="CV",ABS($AB95-AG95)&lt;=50),AND($Z$156="TS",ABS($AB95-AG95)&lt;0.1),AND($Z$156="ASH",ABS($AB95-AG95)&lt;1))</formula>
    </cfRule>
    <cfRule type="expression" dxfId="306" priority="950">
      <formula>OR(AND($Z$156="CV",ABS($AB95-AG95)&gt;=200),AND($Z$156="TS",ABS($AB95-AG95)&gt;=0.2),AND($Z$156="ASH",ABS($AB95-AG95)&gt;=2))</formula>
    </cfRule>
    <cfRule type="expression" dxfId="305" priority="951">
      <formula>OR(AND($Z$156="CV",ABS($AB95-AG95)&gt;50,ABS($AB95-AG95)&lt;200),AND($Z$156="TS",ABS($AB95-AG95)&gt;=0.1,ABS($AB95-AG95)&lt;0.2),AND($Z$156="ASH",ABS($AB95-AG95)&gt;=1,ABS($AB95-AG95)&lt;2))</formula>
    </cfRule>
  </conditionalFormatting>
  <conditionalFormatting sqref="AP15:BF67 AP88:AT88 AX88:AZ88 AP107:BF108 BA127:BB129 AU129:AV129 AW129:AW135 BB130:BB135 AU132:AV135 AU141:BF143 AP145:BF147 AU150:BF152 AU158:BF160 AU162:BF164 AU170:BF172 AP76:BF85">
    <cfRule type="expression" dxfId="304" priority="674">
      <formula>$AO15="Actual"</formula>
    </cfRule>
    <cfRule type="expression" dxfId="303" priority="675">
      <formula>$AO15="Outlook"</formula>
    </cfRule>
    <cfRule type="expression" dxfId="302" priority="676">
      <formula>$AO15="Budget"</formula>
    </cfRule>
  </conditionalFormatting>
  <conditionalFormatting sqref="AP89:BF98">
    <cfRule type="expression" dxfId="301" priority="29">
      <formula>$AO89="Actual"</formula>
    </cfRule>
    <cfRule type="expression" dxfId="300" priority="30">
      <formula>$AO89="Outlook"</formula>
    </cfRule>
    <cfRule type="expression" dxfId="299" priority="31">
      <formula>$AO89="Budget"</formula>
    </cfRule>
  </conditionalFormatting>
  <conditionalFormatting sqref="AU124:BF126">
    <cfRule type="expression" dxfId="298" priority="544">
      <formula>$AO124="Actual"</formula>
    </cfRule>
    <cfRule type="expression" dxfId="297" priority="545">
      <formula>$AO124="Outlook"</formula>
    </cfRule>
    <cfRule type="expression" dxfId="296" priority="546">
      <formula>$AO124="Budget"</formula>
    </cfRule>
  </conditionalFormatting>
  <conditionalFormatting sqref="BC127:BD135">
    <cfRule type="expression" dxfId="295" priority="4">
      <formula>$AO127="Actual"</formula>
    </cfRule>
    <cfRule type="expression" dxfId="294" priority="5">
      <formula>$AO127="Outlook"</formula>
    </cfRule>
    <cfRule type="expression" dxfId="293" priority="6">
      <formula>$AO127="Budget"</formula>
    </cfRule>
  </conditionalFormatting>
  <conditionalFormatting sqref="BE127:BF129 BE132:BF135">
    <cfRule type="expression" dxfId="292" priority="1">
      <formula>$AO127="Actual"</formula>
    </cfRule>
    <cfRule type="expression" dxfId="291" priority="2">
      <formula>$AO127="Outlook"</formula>
    </cfRule>
    <cfRule type="expression" dxfId="290" priority="3">
      <formula>$AO127="Budget"</formula>
    </cfRule>
  </conditionalFormatting>
  <pageMargins left="0.7" right="0.7" top="0.75" bottom="0.75" header="0.3" footer="0.3"/>
  <pageSetup orientation="portrait" r:id="rId1"/>
  <ignoredErrors>
    <ignoredError sqref="I10 AP56:AT56" formula="1"/>
  </ignoredErrors>
  <drawing r:id="rId2"/>
  <legacyDrawing r:id="rId3"/>
  <controls>
    <mc:AlternateContent xmlns:mc="http://schemas.openxmlformats.org/markup-compatibility/2006">
      <mc:Choice Requires="x14">
        <control shapeId="2066" r:id="rId4" name="ScrollBar1">
          <controlPr defaultSize="0" autoLine="0" autoPict="0" r:id="rId5">
            <anchor moveWithCells="1">
              <from>
                <xdr:col>15</xdr:col>
                <xdr:colOff>45720</xdr:colOff>
                <xdr:row>2</xdr:row>
                <xdr:rowOff>76200</xdr:rowOff>
              </from>
              <to>
                <xdr:col>23</xdr:col>
                <xdr:colOff>365760</xdr:colOff>
                <xdr:row>3</xdr:row>
                <xdr:rowOff>182880</xdr:rowOff>
              </to>
            </anchor>
          </controlPr>
        </control>
      </mc:Choice>
      <mc:Fallback>
        <control shapeId="2066" r:id="rId4" name="ScrollBar1"/>
      </mc:Fallback>
    </mc:AlternateContent>
    <mc:AlternateContent xmlns:mc="http://schemas.openxmlformats.org/markup-compatibility/2006">
      <mc:Choice Requires="x14">
        <control shapeId="30238" r:id="rId6" name="OptionButton1">
          <controlPr autoFill="0" autoLine="0" r:id="rId7">
            <anchor moveWithCells="1">
              <from>
                <xdr:col>31</xdr:col>
                <xdr:colOff>342900</xdr:colOff>
                <xdr:row>2</xdr:row>
                <xdr:rowOff>99060</xdr:rowOff>
              </from>
              <to>
                <xdr:col>32</xdr:col>
                <xdr:colOff>175260</xdr:colOff>
                <xdr:row>3</xdr:row>
                <xdr:rowOff>144780</xdr:rowOff>
              </to>
            </anchor>
          </controlPr>
        </control>
      </mc:Choice>
      <mc:Fallback>
        <control shapeId="30238" r:id="rId6" name="OptionButton1"/>
      </mc:Fallback>
    </mc:AlternateContent>
    <mc:AlternateContent xmlns:mc="http://schemas.openxmlformats.org/markup-compatibility/2006">
      <mc:Choice Requires="x14">
        <control shapeId="30239" r:id="rId8" name="OptionButton2">
          <controlPr autoLine="0" r:id="rId9">
            <anchor moveWithCells="1">
              <from>
                <xdr:col>32</xdr:col>
                <xdr:colOff>312420</xdr:colOff>
                <xdr:row>2</xdr:row>
                <xdr:rowOff>106680</xdr:rowOff>
              </from>
              <to>
                <xdr:col>33</xdr:col>
                <xdr:colOff>152400</xdr:colOff>
                <xdr:row>3</xdr:row>
                <xdr:rowOff>152400</xdr:rowOff>
              </to>
            </anchor>
          </controlPr>
        </control>
      </mc:Choice>
      <mc:Fallback>
        <control shapeId="30239" r:id="rId8" name="OptionButton2"/>
      </mc:Fallback>
    </mc:AlternateContent>
    <mc:AlternateContent xmlns:mc="http://schemas.openxmlformats.org/markup-compatibility/2006">
      <mc:Choice Requires="x14">
        <control shapeId="30240" r:id="rId10" name="OptionButton3">
          <controlPr autoLine="0" r:id="rId11">
            <anchor moveWithCells="1">
              <from>
                <xdr:col>33</xdr:col>
                <xdr:colOff>487680</xdr:colOff>
                <xdr:row>2</xdr:row>
                <xdr:rowOff>114300</xdr:rowOff>
              </from>
              <to>
                <xdr:col>34</xdr:col>
                <xdr:colOff>320040</xdr:colOff>
                <xdr:row>3</xdr:row>
                <xdr:rowOff>175260</xdr:rowOff>
              </to>
            </anchor>
          </controlPr>
        </control>
      </mc:Choice>
      <mc:Fallback>
        <control shapeId="30240" r:id="rId10" name="OptionButton3"/>
      </mc:Fallback>
    </mc:AlternateContent>
    <mc:AlternateContent xmlns:mc="http://schemas.openxmlformats.org/markup-compatibility/2006">
      <mc:Choice Requires="x14">
        <control shapeId="30241" r:id="rId12" name="OptionButton4">
          <controlPr autoLine="0" r:id="rId13">
            <anchor moveWithCells="1">
              <from>
                <xdr:col>34</xdr:col>
                <xdr:colOff>160020</xdr:colOff>
                <xdr:row>2</xdr:row>
                <xdr:rowOff>83820</xdr:rowOff>
              </from>
              <to>
                <xdr:col>34</xdr:col>
                <xdr:colOff>708660</xdr:colOff>
                <xdr:row>3</xdr:row>
                <xdr:rowOff>129540</xdr:rowOff>
              </to>
            </anchor>
          </controlPr>
        </control>
      </mc:Choice>
      <mc:Fallback>
        <control shapeId="30241" r:id="rId12" name="OptionButton4"/>
      </mc:Fallback>
    </mc:AlternateContent>
    <mc:AlternateContent xmlns:mc="http://schemas.openxmlformats.org/markup-compatibility/2006">
      <mc:Choice Requires="x14">
        <control shapeId="30242" r:id="rId14" name="OptionButton5">
          <controlPr autoLine="0" r:id="rId15">
            <anchor moveWithCells="1">
              <from>
                <xdr:col>35</xdr:col>
                <xdr:colOff>121920</xdr:colOff>
                <xdr:row>2</xdr:row>
                <xdr:rowOff>106680</xdr:rowOff>
              </from>
              <to>
                <xdr:col>36</xdr:col>
                <xdr:colOff>15240</xdr:colOff>
                <xdr:row>3</xdr:row>
                <xdr:rowOff>167640</xdr:rowOff>
              </to>
            </anchor>
          </controlPr>
        </control>
      </mc:Choice>
      <mc:Fallback>
        <control shapeId="30242" r:id="rId14" name="OptionButton5"/>
      </mc:Fallback>
    </mc:AlternateContent>
    <mc:AlternateContent xmlns:mc="http://schemas.openxmlformats.org/markup-compatibility/2006">
      <mc:Choice Requires="x14">
        <control shapeId="2897" r:id="rId16" name="CommandButton1">
          <controlPr defaultSize="0" autoLine="0" r:id="rId17">
            <anchor moveWithCells="1">
              <from>
                <xdr:col>15</xdr:col>
                <xdr:colOff>68580</xdr:colOff>
                <xdr:row>3</xdr:row>
                <xdr:rowOff>45720</xdr:rowOff>
              </from>
              <to>
                <xdr:col>15</xdr:col>
                <xdr:colOff>320040</xdr:colOff>
                <xdr:row>3</xdr:row>
                <xdr:rowOff>190500</xdr:rowOff>
              </to>
            </anchor>
          </controlPr>
        </control>
      </mc:Choice>
      <mc:Fallback>
        <control shapeId="2897" r:id="rId16" name="CommandButton1"/>
      </mc:Fallback>
    </mc:AlternateContent>
    <mc:AlternateContent xmlns:mc="http://schemas.openxmlformats.org/markup-compatibility/2006">
      <mc:Choice Requires="x14">
        <control shapeId="2128" r:id="rId18" name="ComboBox1">
          <controlPr defaultSize="0" autoLine="0" r:id="rId19">
            <anchor moveWithCells="1">
              <from>
                <xdr:col>24</xdr:col>
                <xdr:colOff>518160</xdr:colOff>
                <xdr:row>3</xdr:row>
                <xdr:rowOff>0</xdr:rowOff>
              </from>
              <to>
                <xdr:col>29</xdr:col>
                <xdr:colOff>693420</xdr:colOff>
                <xdr:row>4</xdr:row>
                <xdr:rowOff>68580</xdr:rowOff>
              </to>
            </anchor>
          </controlPr>
        </control>
      </mc:Choice>
      <mc:Fallback>
        <control shapeId="2128" r:id="rId18" name="ComboBox1"/>
      </mc:Fallback>
    </mc:AlternateContent>
    <mc:AlternateContent xmlns:mc="http://schemas.openxmlformats.org/markup-compatibility/2006">
      <mc:Choice Requires="x14">
        <control shapeId="29903" r:id="rId20" name="CommandButton2">
          <controlPr defaultSize="0" autoLine="0" r:id="rId21">
            <anchor moveWithCells="1">
              <from>
                <xdr:col>1</xdr:col>
                <xdr:colOff>0</xdr:colOff>
                <xdr:row>3</xdr:row>
                <xdr:rowOff>45720</xdr:rowOff>
              </from>
              <to>
                <xdr:col>1</xdr:col>
                <xdr:colOff>220980</xdr:colOff>
                <xdr:row>3</xdr:row>
                <xdr:rowOff>190500</xdr:rowOff>
              </to>
            </anchor>
          </controlPr>
        </control>
      </mc:Choice>
      <mc:Fallback>
        <control shapeId="29903" r:id="rId20" name="CommandButton2"/>
      </mc:Fallback>
    </mc:AlternateContent>
    <mc:AlternateContent xmlns:mc="http://schemas.openxmlformats.org/markup-compatibility/2006">
      <mc:Choice Requires="x14">
        <control shapeId="43581" r:id="rId22" name="Group Box 3645">
          <controlPr defaultSize="0" autoFill="0" autoPict="0">
            <anchor moveWithCells="1">
              <from>
                <xdr:col>26</xdr:col>
                <xdr:colOff>632460</xdr:colOff>
                <xdr:row>66</xdr:row>
                <xdr:rowOff>190500</xdr:rowOff>
              </from>
              <to>
                <xdr:col>28</xdr:col>
                <xdr:colOff>289560</xdr:colOff>
                <xdr:row>67</xdr:row>
                <xdr:rowOff>213360</xdr:rowOff>
              </to>
            </anchor>
          </controlPr>
        </control>
      </mc:Choice>
    </mc:AlternateContent>
    <mc:AlternateContent xmlns:mc="http://schemas.openxmlformats.org/markup-compatibility/2006">
      <mc:Choice Requires="x14">
        <control shapeId="43582" r:id="rId23" name="Option Button 3646">
          <controlPr defaultSize="0" autoFill="0" autoLine="0" autoPict="0">
            <anchor moveWithCells="1">
              <from>
                <xdr:col>26</xdr:col>
                <xdr:colOff>731520</xdr:colOff>
                <xdr:row>67</xdr:row>
                <xdr:rowOff>0</xdr:rowOff>
              </from>
              <to>
                <xdr:col>27</xdr:col>
                <xdr:colOff>213360</xdr:colOff>
                <xdr:row>68</xdr:row>
                <xdr:rowOff>0</xdr:rowOff>
              </to>
            </anchor>
          </controlPr>
        </control>
      </mc:Choice>
    </mc:AlternateContent>
    <mc:AlternateContent xmlns:mc="http://schemas.openxmlformats.org/markup-compatibility/2006">
      <mc:Choice Requires="x14">
        <control shapeId="43583" r:id="rId24" name="Option Button 3647">
          <controlPr defaultSize="0" autoFill="0" autoLine="0" autoPict="0">
            <anchor moveWithCells="1">
              <from>
                <xdr:col>27</xdr:col>
                <xdr:colOff>38100</xdr:colOff>
                <xdr:row>67</xdr:row>
                <xdr:rowOff>0</xdr:rowOff>
              </from>
              <to>
                <xdr:col>28</xdr:col>
                <xdr:colOff>0</xdr:colOff>
                <xdr:row>68</xdr:row>
                <xdr:rowOff>0</xdr:rowOff>
              </to>
            </anchor>
          </controlPr>
        </control>
      </mc:Choice>
    </mc:AlternateContent>
    <mc:AlternateContent xmlns:mc="http://schemas.openxmlformats.org/markup-compatibility/2006">
      <mc:Choice Requires="x14">
        <control shapeId="43584" r:id="rId25" name="Option Button 3648">
          <controlPr defaultSize="0" autoFill="0" autoLine="0" autoPict="0">
            <anchor moveWithCells="1">
              <from>
                <xdr:col>27</xdr:col>
                <xdr:colOff>731520</xdr:colOff>
                <xdr:row>67</xdr:row>
                <xdr:rowOff>0</xdr:rowOff>
              </from>
              <to>
                <xdr:col>28</xdr:col>
                <xdr:colOff>213360</xdr:colOff>
                <xdr:row>68</xdr:row>
                <xdr:rowOff>0</xdr:rowOff>
              </to>
            </anchor>
          </controlPr>
        </control>
      </mc:Choice>
    </mc:AlternateContent>
    <mc:AlternateContent xmlns:mc="http://schemas.openxmlformats.org/markup-compatibility/2006">
      <mc:Choice Requires="x14">
        <control shapeId="69749" r:id="rId26" name="Group Box 5237">
          <controlPr defaultSize="0" autoFill="0" autoPict="0">
            <anchor moveWithCells="1">
              <from>
                <xdr:col>33</xdr:col>
                <xdr:colOff>609600</xdr:colOff>
                <xdr:row>66</xdr:row>
                <xdr:rowOff>182880</xdr:rowOff>
              </from>
              <to>
                <xdr:col>35</xdr:col>
                <xdr:colOff>289560</xdr:colOff>
                <xdr:row>67</xdr:row>
                <xdr:rowOff>213360</xdr:rowOff>
              </to>
            </anchor>
          </controlPr>
        </control>
      </mc:Choice>
    </mc:AlternateContent>
    <mc:AlternateContent xmlns:mc="http://schemas.openxmlformats.org/markup-compatibility/2006">
      <mc:Choice Requires="x14">
        <control shapeId="69750" r:id="rId27" name="Option Button 5238">
          <controlPr defaultSize="0" autoFill="0" autoLine="0" autoPict="0">
            <anchor moveWithCells="1">
              <from>
                <xdr:col>33</xdr:col>
                <xdr:colOff>670560</xdr:colOff>
                <xdr:row>67</xdr:row>
                <xdr:rowOff>0</xdr:rowOff>
              </from>
              <to>
                <xdr:col>34</xdr:col>
                <xdr:colOff>106680</xdr:colOff>
                <xdr:row>68</xdr:row>
                <xdr:rowOff>0</xdr:rowOff>
              </to>
            </anchor>
          </controlPr>
        </control>
      </mc:Choice>
    </mc:AlternateContent>
    <mc:AlternateContent xmlns:mc="http://schemas.openxmlformats.org/markup-compatibility/2006">
      <mc:Choice Requires="x14">
        <control shapeId="69751" r:id="rId28" name="Option Button 5239">
          <controlPr defaultSize="0" autoFill="0" autoLine="0" autoPict="0">
            <anchor moveWithCells="1">
              <from>
                <xdr:col>34</xdr:col>
                <xdr:colOff>0</xdr:colOff>
                <xdr:row>67</xdr:row>
                <xdr:rowOff>0</xdr:rowOff>
              </from>
              <to>
                <xdr:col>35</xdr:col>
                <xdr:colOff>30480</xdr:colOff>
                <xdr:row>68</xdr:row>
                <xdr:rowOff>0</xdr:rowOff>
              </to>
            </anchor>
          </controlPr>
        </control>
      </mc:Choice>
    </mc:AlternateContent>
    <mc:AlternateContent xmlns:mc="http://schemas.openxmlformats.org/markup-compatibility/2006">
      <mc:Choice Requires="x14">
        <control shapeId="69753" r:id="rId29" name="Option Button 5241">
          <controlPr defaultSize="0" autoFill="0" autoLine="0" autoPict="0">
            <anchor moveWithCells="1">
              <from>
                <xdr:col>34</xdr:col>
                <xdr:colOff>632460</xdr:colOff>
                <xdr:row>67</xdr:row>
                <xdr:rowOff>0</xdr:rowOff>
              </from>
              <to>
                <xdr:col>35</xdr:col>
                <xdr:colOff>106680</xdr:colOff>
                <xdr:row>68</xdr:row>
                <xdr:rowOff>0</xdr:rowOff>
              </to>
            </anchor>
          </controlPr>
        </control>
      </mc:Choice>
    </mc:AlternateContent>
    <mc:AlternateContent xmlns:mc="http://schemas.openxmlformats.org/markup-compatibility/2006">
      <mc:Choice Requires="x14">
        <control shapeId="43529" r:id="rId30" name="Group Box 3593">
          <controlPr defaultSize="0" autoFill="0" autoPict="0">
            <anchor moveWithCells="1">
              <from>
                <xdr:col>17</xdr:col>
                <xdr:colOff>518160</xdr:colOff>
                <xdr:row>66</xdr:row>
                <xdr:rowOff>152400</xdr:rowOff>
              </from>
              <to>
                <xdr:col>21</xdr:col>
                <xdr:colOff>594360</xdr:colOff>
                <xdr:row>68</xdr:row>
                <xdr:rowOff>106680</xdr:rowOff>
              </to>
            </anchor>
          </controlPr>
        </control>
      </mc:Choice>
    </mc:AlternateContent>
    <mc:AlternateContent xmlns:mc="http://schemas.openxmlformats.org/markup-compatibility/2006">
      <mc:Choice Requires="x14">
        <control shapeId="43530" r:id="rId31" name="Option Button 3594">
          <controlPr defaultSize="0" autoFill="0" autoLine="0" autoPict="0">
            <anchor moveWithCells="1">
              <from>
                <xdr:col>17</xdr:col>
                <xdr:colOff>647700</xdr:colOff>
                <xdr:row>66</xdr:row>
                <xdr:rowOff>228600</xdr:rowOff>
              </from>
              <to>
                <xdr:col>18</xdr:col>
                <xdr:colOff>259080</xdr:colOff>
                <xdr:row>67</xdr:row>
                <xdr:rowOff>182880</xdr:rowOff>
              </to>
            </anchor>
          </controlPr>
        </control>
      </mc:Choice>
    </mc:AlternateContent>
    <mc:AlternateContent xmlns:mc="http://schemas.openxmlformats.org/markup-compatibility/2006">
      <mc:Choice Requires="x14">
        <control shapeId="43531" r:id="rId32" name="Option Button 3595">
          <controlPr defaultSize="0" autoFill="0" autoLine="0" autoPict="0">
            <anchor moveWithCells="1">
              <from>
                <xdr:col>18</xdr:col>
                <xdr:colOff>342900</xdr:colOff>
                <xdr:row>67</xdr:row>
                <xdr:rowOff>0</xdr:rowOff>
              </from>
              <to>
                <xdr:col>19</xdr:col>
                <xdr:colOff>213360</xdr:colOff>
                <xdr:row>67</xdr:row>
                <xdr:rowOff>213360</xdr:rowOff>
              </to>
            </anchor>
          </controlPr>
        </control>
      </mc:Choice>
    </mc:AlternateContent>
    <mc:AlternateContent xmlns:mc="http://schemas.openxmlformats.org/markup-compatibility/2006">
      <mc:Choice Requires="x14">
        <control shapeId="2342420" r:id="rId33" name="Option Button 157204">
          <controlPr defaultSize="0" autoFill="0" autoLine="0" autoPict="0">
            <anchor moveWithCells="1">
              <from>
                <xdr:col>19</xdr:col>
                <xdr:colOff>0</xdr:colOff>
                <xdr:row>67</xdr:row>
                <xdr:rowOff>0</xdr:rowOff>
              </from>
              <to>
                <xdr:col>20</xdr:col>
                <xdr:colOff>487680</xdr:colOff>
                <xdr:row>68</xdr:row>
                <xdr:rowOff>0</xdr:rowOff>
              </to>
            </anchor>
          </controlPr>
        </control>
      </mc:Choice>
    </mc:AlternateContent>
  </control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99D8FF"/>
  </sheetPr>
  <dimension ref="A1:AW60"/>
  <sheetViews>
    <sheetView showGridLines="0" topLeftCell="D13" zoomScale="55" zoomScaleNormal="55" workbookViewId="0">
      <selection activeCell="D46" sqref="A46:XFD46"/>
    </sheetView>
  </sheetViews>
  <sheetFormatPr defaultColWidth="8.88671875" defaultRowHeight="14.4"/>
  <cols>
    <col min="2" max="2" width="12.6640625" customWidth="1"/>
    <col min="3" max="3" width="24.5546875" customWidth="1"/>
    <col min="4" max="4" width="20.33203125" customWidth="1"/>
    <col min="5" max="5" width="18.6640625" customWidth="1"/>
    <col min="6" max="6" width="16.88671875" customWidth="1"/>
    <col min="7" max="7" width="20.33203125" customWidth="1"/>
    <col min="8" max="9" width="13" customWidth="1"/>
    <col min="10" max="11" width="20.6640625" customWidth="1"/>
    <col min="12" max="12" width="15.6640625" customWidth="1"/>
    <col min="13" max="13" width="20.44140625" customWidth="1"/>
    <col min="17" max="17" width="37.5546875" customWidth="1"/>
    <col min="18" max="18" width="26.88671875" customWidth="1"/>
    <col min="19" max="19" width="18.6640625" customWidth="1"/>
    <col min="20" max="20" width="17.6640625" customWidth="1"/>
    <col min="21" max="21" width="14.6640625" customWidth="1"/>
    <col min="22" max="22" width="14.33203125" customWidth="1"/>
    <col min="23" max="23" width="12.88671875" customWidth="1"/>
    <col min="24" max="35" width="14.33203125" customWidth="1"/>
    <col min="36" max="36" width="21.109375" customWidth="1"/>
    <col min="37" max="37" width="27.33203125" customWidth="1"/>
    <col min="38" max="38" width="12.5546875" bestFit="1" customWidth="1"/>
  </cols>
  <sheetData>
    <row r="1" spans="1:38" ht="43.2" customHeight="1">
      <c r="A1" s="107">
        <v>7304</v>
      </c>
      <c r="B1" s="1149">
        <v>7390</v>
      </c>
      <c r="C1" s="496"/>
      <c r="D1" s="1150" t="s">
        <v>551</v>
      </c>
      <c r="E1" s="2949" t="str">
        <f ca="1">TEXT(TODAY()-1,"mmmm")</f>
        <v>September</v>
      </c>
      <c r="F1" s="2950"/>
      <c r="G1" s="2950"/>
      <c r="H1" s="2950"/>
      <c r="I1" s="2951"/>
      <c r="J1" s="2949">
        <f ca="1">YEAR(NOW()-1)</f>
        <v>2026</v>
      </c>
      <c r="K1" s="2950"/>
      <c r="L1" s="2950"/>
      <c r="M1" s="2950"/>
      <c r="S1" s="1151" t="str">
        <f ca="1">"Y"&amp;J1</f>
        <v>Y2026</v>
      </c>
      <c r="T1" s="1152" t="s">
        <v>559</v>
      </c>
      <c r="U1" s="1152" t="s">
        <v>560</v>
      </c>
      <c r="V1" s="1152" t="s">
        <v>34</v>
      </c>
      <c r="W1" s="1152" t="s">
        <v>561</v>
      </c>
      <c r="X1" s="1152" t="s">
        <v>562</v>
      </c>
      <c r="Y1" s="1152" t="s">
        <v>563</v>
      </c>
      <c r="Z1" s="1152" t="s">
        <v>564</v>
      </c>
      <c r="AA1" s="1152" t="s">
        <v>565</v>
      </c>
      <c r="AB1" s="1152" t="s">
        <v>566</v>
      </c>
      <c r="AC1" s="1152" t="s">
        <v>567</v>
      </c>
      <c r="AD1" s="1152" t="s">
        <v>568</v>
      </c>
      <c r="AE1" s="1152" t="s">
        <v>569</v>
      </c>
      <c r="AF1" s="1152" t="s">
        <v>570</v>
      </c>
      <c r="AG1" s="1152" t="s">
        <v>571</v>
      </c>
      <c r="AH1" s="1152" t="s">
        <v>572</v>
      </c>
      <c r="AI1" s="1272" t="s">
        <v>573</v>
      </c>
    </row>
    <row r="2" spans="1:38" ht="21" customHeight="1">
      <c r="A2" s="107"/>
      <c r="B2" s="1153"/>
      <c r="C2" s="1154"/>
      <c r="D2" s="1155"/>
      <c r="E2" s="1156"/>
      <c r="F2" s="1157"/>
      <c r="G2" s="1157"/>
      <c r="H2" s="1157"/>
      <c r="I2" s="1158"/>
      <c r="J2" s="1156"/>
      <c r="K2" s="1157"/>
      <c r="L2" s="1157"/>
      <c r="M2" s="1157"/>
      <c r="S2" s="1159"/>
      <c r="T2" s="1159"/>
      <c r="U2" s="1159"/>
      <c r="V2" s="1159"/>
      <c r="W2" s="1159"/>
      <c r="X2" s="1160">
        <v>1</v>
      </c>
      <c r="Y2" s="1160">
        <v>2</v>
      </c>
      <c r="Z2" s="1160">
        <v>3</v>
      </c>
      <c r="AA2" s="1160">
        <v>4</v>
      </c>
      <c r="AB2" s="1160">
        <v>5</v>
      </c>
      <c r="AC2" s="1160">
        <v>6</v>
      </c>
      <c r="AD2" s="1160">
        <v>7</v>
      </c>
      <c r="AE2" s="1160">
        <v>8</v>
      </c>
      <c r="AF2" s="1160">
        <v>9</v>
      </c>
      <c r="AG2" s="1160">
        <v>10</v>
      </c>
      <c r="AH2" s="1160">
        <v>11</v>
      </c>
      <c r="AI2" s="1160">
        <v>12</v>
      </c>
    </row>
    <row r="3" spans="1:38" ht="33.6" customHeight="1">
      <c r="A3" s="107"/>
      <c r="B3" s="498"/>
      <c r="C3" s="499"/>
      <c r="D3" s="1161" t="s">
        <v>13</v>
      </c>
      <c r="E3" s="1162" t="s">
        <v>11</v>
      </c>
      <c r="F3" s="1162" t="s">
        <v>12</v>
      </c>
      <c r="G3" s="1163" t="s">
        <v>8</v>
      </c>
      <c r="H3" s="1164" t="s">
        <v>555</v>
      </c>
      <c r="I3" s="1165" t="s">
        <v>25</v>
      </c>
      <c r="J3" s="1162" t="s">
        <v>556</v>
      </c>
      <c r="K3" s="1162" t="s">
        <v>557</v>
      </c>
      <c r="L3" s="1163" t="s">
        <v>10</v>
      </c>
      <c r="M3" s="1164" t="s">
        <v>558</v>
      </c>
      <c r="P3" s="395" t="s">
        <v>648</v>
      </c>
      <c r="Q3" s="396"/>
      <c r="R3" s="1166" t="s">
        <v>11</v>
      </c>
      <c r="S3" s="1167">
        <f>SUM(T3:W3)</f>
        <v>8229859.6336798705</v>
      </c>
      <c r="T3" s="1273">
        <f>SUM(X3:Z3)</f>
        <v>2545409.8121067486</v>
      </c>
      <c r="U3" s="1277">
        <f>SUM(AA3:AC3)</f>
        <v>2748143.1607688698</v>
      </c>
      <c r="V3" s="1291">
        <f>SUM(AD3:AF3)</f>
        <v>2923371.6608042517</v>
      </c>
      <c r="W3" s="1277">
        <v>12935</v>
      </c>
      <c r="X3" s="1544">
        <v>826854.289999992</v>
      </c>
      <c r="Y3" s="1562">
        <v>802121.75999999209</v>
      </c>
      <c r="Z3" s="1580">
        <v>916433.7621067646</v>
      </c>
      <c r="AA3" s="1580">
        <v>915951.86210674362</v>
      </c>
      <c r="AB3" s="1580">
        <v>899741.07655542367</v>
      </c>
      <c r="AC3" s="1580">
        <v>932450.22210670251</v>
      </c>
      <c r="AD3" s="1580">
        <v>922335.06210672949</v>
      </c>
      <c r="AE3" s="1580">
        <v>1003959.4465908277</v>
      </c>
      <c r="AF3" s="1580">
        <v>997077.15210669453</v>
      </c>
      <c r="AG3" s="1580">
        <v>948777.15210670431</v>
      </c>
      <c r="AH3" s="1580">
        <v>922511.23210672021</v>
      </c>
      <c r="AI3" s="1601">
        <v>911786.98210670333</v>
      </c>
      <c r="AJ3" s="887">
        <f>SUM(X3:AE3)</f>
        <v>7219847.4815731756</v>
      </c>
      <c r="AK3" s="887"/>
      <c r="AL3" s="887"/>
    </row>
    <row r="4" spans="1:38" ht="18">
      <c r="A4" s="98"/>
      <c r="B4" s="505">
        <f ca="1">'Summary TCM'!B4</f>
        <v>7</v>
      </c>
      <c r="C4" s="506"/>
      <c r="D4" s="506"/>
      <c r="E4" s="506"/>
      <c r="F4" s="506"/>
      <c r="G4" s="506"/>
      <c r="H4" s="506"/>
      <c r="I4" s="506"/>
      <c r="J4" s="506"/>
      <c r="K4" s="506"/>
      <c r="L4" s="506"/>
      <c r="M4" s="506"/>
      <c r="P4" s="372"/>
      <c r="Q4" s="373"/>
      <c r="R4" s="373" t="s">
        <v>12</v>
      </c>
      <c r="S4" s="1536">
        <f ca="1">SUMIF(X2:AI2,"&lt;"&amp;MONTH(TODAY()),X5:AI5) + SUMIF(X2:AI2,"&gt;="&amp;MONTH(TODAY()),X4:AI4)</f>
        <v>11103977.377700001</v>
      </c>
      <c r="T4" s="1274">
        <f>SUM(X4:Z4)</f>
        <v>2533976.0499999844</v>
      </c>
      <c r="U4" s="1278">
        <f>SUM(AA4:AC4)</f>
        <v>2897999.9999999935</v>
      </c>
      <c r="V4" s="1283">
        <f>SUM(AD4:AF4)</f>
        <v>3414209.7743334379</v>
      </c>
      <c r="W4" s="2243">
        <v>14077</v>
      </c>
      <c r="X4" s="1545">
        <v>826854.289999992</v>
      </c>
      <c r="Y4" s="1563">
        <v>802121.75999999209</v>
      </c>
      <c r="Z4" s="1581">
        <v>905000.00000000047</v>
      </c>
      <c r="AA4" s="1581">
        <v>927999.99999999336</v>
      </c>
      <c r="AB4" s="1581">
        <v>1000000</v>
      </c>
      <c r="AC4" s="1581">
        <v>970000</v>
      </c>
      <c r="AD4" s="1581">
        <v>1100000</v>
      </c>
      <c r="AE4" s="1581">
        <v>1159209.7743334279</v>
      </c>
      <c r="AF4" s="1581">
        <v>1155000.00000001</v>
      </c>
      <c r="AG4" s="1581">
        <v>1208749.3539999858</v>
      </c>
      <c r="AH4" s="1581">
        <v>1150000.0000000054</v>
      </c>
      <c r="AI4" s="1602">
        <v>1147519.4394999999</v>
      </c>
      <c r="AJ4" s="887"/>
      <c r="AK4" s="987"/>
      <c r="AL4" s="887"/>
    </row>
    <row r="5" spans="1:38" ht="18">
      <c r="A5" s="98"/>
      <c r="B5" s="507" t="s">
        <v>482</v>
      </c>
      <c r="C5" s="508"/>
      <c r="D5" s="509"/>
      <c r="E5" s="510"/>
      <c r="F5" s="510"/>
      <c r="G5" s="510"/>
      <c r="H5" s="510"/>
      <c r="I5" s="510"/>
      <c r="J5" s="510"/>
      <c r="K5" s="510"/>
      <c r="L5" s="510"/>
      <c r="M5" s="510"/>
      <c r="P5" s="372"/>
      <c r="Q5" s="373"/>
      <c r="R5" s="373" t="s">
        <v>13</v>
      </c>
      <c r="S5" s="1537">
        <f>SUM(T5:W5)</f>
        <v>6963310.5842000004</v>
      </c>
      <c r="T5" s="1275">
        <f>SUM(X5:Z5)</f>
        <v>1821757.8928999999</v>
      </c>
      <c r="U5" s="1279">
        <f>SUM(AA5:AC5)</f>
        <v>2428000.4950000001</v>
      </c>
      <c r="V5" s="1284">
        <f>SUM(AD5:AF5)</f>
        <v>2453251.1963</v>
      </c>
      <c r="W5" s="2244">
        <f>SUM(AF5:AI5)</f>
        <v>260301</v>
      </c>
      <c r="X5" s="1546">
        <f>'January TIS'!C44</f>
        <v>661635.02769999998</v>
      </c>
      <c r="Y5" s="1564">
        <f>'February TIS'!C44</f>
        <v>473133.8652</v>
      </c>
      <c r="Z5" s="1582">
        <f>'March TIS'!$C$44</f>
        <v>686989</v>
      </c>
      <c r="AA5" s="1599">
        <f>'April TIS'!$C$44</f>
        <v>823867</v>
      </c>
      <c r="AB5" s="1599">
        <f>'May TIS'!$C$44</f>
        <v>841664</v>
      </c>
      <c r="AC5" s="1599">
        <f>'June TIS'!$C$44</f>
        <v>762469.495</v>
      </c>
      <c r="AD5" s="1599">
        <f>'July TIS'!$C$44</f>
        <v>1044532.1963</v>
      </c>
      <c r="AE5" s="1599">
        <f>'August TIS'!$C$44</f>
        <v>1148418</v>
      </c>
      <c r="AF5" s="1599">
        <f>'September TIS'!$C$44</f>
        <v>260301</v>
      </c>
      <c r="AG5" s="1599"/>
      <c r="AH5" s="1599"/>
      <c r="AI5" s="1599"/>
      <c r="AJ5" s="887">
        <f>SUM(X5:AE5)</f>
        <v>6442708.5841999995</v>
      </c>
      <c r="AK5" s="887"/>
    </row>
    <row r="6" spans="1:38" ht="18">
      <c r="A6" s="145"/>
      <c r="B6" s="511"/>
      <c r="C6" s="512" t="s">
        <v>81</v>
      </c>
      <c r="D6" s="513" t="str">
        <f ca="1">ROUND(LOOKUP(B4,'September TIS'!B12:B42,'September TIS'!H12:H42),0)&amp;"mm/"&amp;ROUND(LOOKUP(B4,'September TIS'!B12:B42,'September TIS'!I12:I42),0)&amp;"h/"&amp;ROUND(LOOKUP(B4,'September TIS'!B12:B42,'September TIS'!I12:I42)*100/24,0)&amp;"%"</f>
        <v>0mm/0h/0%</v>
      </c>
      <c r="E6" s="2924"/>
      <c r="F6" s="514"/>
      <c r="G6" s="515" t="str">
        <f ca="1">+ROUND('September TIS'!$H$43,0)&amp;"mm/"&amp;ROUND('September TIS'!$I$43,0)&amp;"h/"&amp;ROUND('September TIS'!$I$43*100/(B4*24),0)&amp;"%"</f>
        <v>67mm/10h/6%</v>
      </c>
      <c r="H6" s="515"/>
      <c r="I6" s="515"/>
      <c r="J6" s="514"/>
      <c r="K6" s="514"/>
      <c r="L6" s="514"/>
      <c r="M6" s="515"/>
      <c r="P6" s="372"/>
      <c r="Q6" s="373"/>
      <c r="R6" s="373" t="s">
        <v>555</v>
      </c>
      <c r="S6" s="1169">
        <f>S5/S3</f>
        <v>0.84610320153011531</v>
      </c>
      <c r="T6" s="1169">
        <f>T5/T3</f>
        <v>0.71570317841754261</v>
      </c>
      <c r="U6" s="1280"/>
      <c r="V6" s="1285"/>
      <c r="W6" s="2245">
        <v>32806</v>
      </c>
      <c r="X6" s="2025">
        <f t="shared" ref="X6:AI6" si="0">IFERROR(X5/X3,"")</f>
        <v>0.80018334028357807</v>
      </c>
      <c r="Y6" s="2219">
        <f t="shared" si="0"/>
        <v>0.58985292357609731</v>
      </c>
      <c r="Z6" s="2220">
        <f t="shared" si="0"/>
        <v>0.74963301048697695</v>
      </c>
      <c r="AA6" s="2220">
        <f t="shared" si="0"/>
        <v>0.89946539123252289</v>
      </c>
      <c r="AB6" s="2220">
        <f t="shared" si="0"/>
        <v>0.93545134476046554</v>
      </c>
      <c r="AC6" s="2220">
        <f t="shared" si="0"/>
        <v>0.8177053068606045</v>
      </c>
      <c r="AD6" s="2220">
        <f t="shared" si="0"/>
        <v>1.132486705985303</v>
      </c>
      <c r="AE6" s="2220">
        <f t="shared" si="0"/>
        <v>1.1438888332588673</v>
      </c>
      <c r="AF6" s="2220">
        <f t="shared" si="0"/>
        <v>0.2610640505100511</v>
      </c>
      <c r="AG6" s="2220">
        <f t="shared" si="0"/>
        <v>0</v>
      </c>
      <c r="AH6" s="2220">
        <f t="shared" si="0"/>
        <v>0</v>
      </c>
      <c r="AI6" s="2221">
        <f t="shared" si="0"/>
        <v>0</v>
      </c>
    </row>
    <row r="7" spans="1:38" ht="18">
      <c r="A7" s="145"/>
      <c r="B7" s="511"/>
      <c r="C7" s="512" t="s">
        <v>37</v>
      </c>
      <c r="D7" s="513"/>
      <c r="E7" s="2925"/>
      <c r="F7" s="514"/>
      <c r="G7" s="515"/>
      <c r="H7" s="515"/>
      <c r="I7" s="515"/>
      <c r="J7" s="514"/>
      <c r="K7" s="514"/>
      <c r="L7" s="514"/>
      <c r="M7" s="515"/>
      <c r="P7" s="372"/>
      <c r="Q7" s="373"/>
      <c r="R7" s="373" t="s">
        <v>575</v>
      </c>
      <c r="S7" s="1169">
        <f ca="1">S4/S3</f>
        <v>1.3492304695280699</v>
      </c>
      <c r="T7" s="1169">
        <f>T4/T3</f>
        <v>0.99550808594656093</v>
      </c>
      <c r="U7" s="1280"/>
      <c r="V7" s="1292"/>
      <c r="W7" s="2246">
        <v>32643</v>
      </c>
      <c r="X7" s="1547"/>
      <c r="Y7" s="1565"/>
      <c r="Z7" s="1583"/>
      <c r="AA7" s="1583"/>
      <c r="AB7" s="1583"/>
      <c r="AC7" s="1583"/>
      <c r="AD7" s="1583"/>
      <c r="AE7" s="1583"/>
      <c r="AF7" s="1583"/>
      <c r="AG7" s="1583"/>
      <c r="AH7" s="1583"/>
      <c r="AI7" s="1603"/>
      <c r="AK7" s="887"/>
    </row>
    <row r="8" spans="1:38" ht="18">
      <c r="A8" s="339"/>
      <c r="B8" s="511"/>
      <c r="C8" s="512" t="s">
        <v>35</v>
      </c>
      <c r="D8" s="516">
        <f>D132</f>
        <v>0</v>
      </c>
      <c r="E8" s="2926"/>
      <c r="F8" s="514"/>
      <c r="G8" s="515">
        <f>G132</f>
        <v>0</v>
      </c>
      <c r="H8" s="515"/>
      <c r="I8" s="515"/>
      <c r="J8" s="514"/>
      <c r="K8" s="514"/>
      <c r="L8" s="514"/>
      <c r="M8" s="515"/>
      <c r="P8" s="1170" t="s">
        <v>649</v>
      </c>
      <c r="Q8" s="1171"/>
      <c r="R8" s="1172" t="s">
        <v>11</v>
      </c>
      <c r="S8" s="1538">
        <f>SUM(T8:W8)</f>
        <v>450891</v>
      </c>
      <c r="T8" s="1273">
        <f>SUM(X8:Z8)</f>
        <v>90000</v>
      </c>
      <c r="U8" s="1281">
        <f>SUM(AA8:AC8)</f>
        <v>142000</v>
      </c>
      <c r="V8" s="1291">
        <f>SUM(AD8:AF8)</f>
        <v>187000</v>
      </c>
      <c r="W8" s="1277">
        <v>31891</v>
      </c>
      <c r="X8" s="1548">
        <v>21000</v>
      </c>
      <c r="Y8" s="1566">
        <v>29000</v>
      </c>
      <c r="Z8" s="1584">
        <v>40000</v>
      </c>
      <c r="AA8" s="1584">
        <v>42000</v>
      </c>
      <c r="AB8" s="1584">
        <v>45000</v>
      </c>
      <c r="AC8" s="1584">
        <v>55000</v>
      </c>
      <c r="AD8" s="1584">
        <v>55000</v>
      </c>
      <c r="AE8" s="1584">
        <v>66000</v>
      </c>
      <c r="AF8" s="1584">
        <v>66000</v>
      </c>
      <c r="AG8" s="1584">
        <v>66000</v>
      </c>
      <c r="AH8" s="1584">
        <v>61000</v>
      </c>
      <c r="AI8" s="1604">
        <v>60000</v>
      </c>
      <c r="AJ8" s="887">
        <f>SUM(X8:AE8)</f>
        <v>353000</v>
      </c>
      <c r="AK8" s="887"/>
    </row>
    <row r="9" spans="1:38" ht="18">
      <c r="A9" s="1173"/>
      <c r="B9" s="1174"/>
      <c r="C9" s="1175" t="s">
        <v>499</v>
      </c>
      <c r="D9" s="1176" t="str">
        <f ca="1">D6</f>
        <v>0mm/0h/0%</v>
      </c>
      <c r="E9" s="1177"/>
      <c r="F9" s="1178"/>
      <c r="G9" s="1179"/>
      <c r="H9" s="1180"/>
      <c r="I9" s="1180"/>
      <c r="J9" s="1181"/>
      <c r="K9" s="1181"/>
      <c r="L9" s="1181"/>
      <c r="M9" s="1180"/>
      <c r="P9" s="239"/>
      <c r="Q9" s="240"/>
      <c r="R9" s="240" t="s">
        <v>12</v>
      </c>
      <c r="S9" s="1536">
        <f>SUM(X10:AC10)+SUM(AD9:AI9)</f>
        <v>606884.74999999977</v>
      </c>
      <c r="T9" s="1274">
        <f>SUM(X9:Z9)</f>
        <v>90000</v>
      </c>
      <c r="U9" s="1278">
        <f>SUM(AA9:AC9)</f>
        <v>178000</v>
      </c>
      <c r="V9" s="1283">
        <f>SUM(AD9:AF9)</f>
        <v>188451.5</v>
      </c>
      <c r="W9" s="2243">
        <v>30852</v>
      </c>
      <c r="X9" s="1549">
        <v>25000</v>
      </c>
      <c r="Y9" s="1567">
        <v>29000</v>
      </c>
      <c r="Z9" s="1585">
        <v>36000</v>
      </c>
      <c r="AA9" s="1585">
        <v>55000</v>
      </c>
      <c r="AB9" s="1585">
        <v>63000</v>
      </c>
      <c r="AC9" s="1585">
        <v>60000</v>
      </c>
      <c r="AD9" s="1585">
        <v>60000</v>
      </c>
      <c r="AE9" s="1585">
        <v>64475.750000000007</v>
      </c>
      <c r="AF9" s="1585">
        <v>63975.750000000007</v>
      </c>
      <c r="AG9" s="1585">
        <v>63975.750000000007</v>
      </c>
      <c r="AH9" s="1585">
        <v>63305.599999999831</v>
      </c>
      <c r="AI9" s="1605">
        <v>61000</v>
      </c>
      <c r="AJ9" s="887"/>
      <c r="AK9" s="987"/>
    </row>
    <row r="10" spans="1:38" ht="18">
      <c r="A10" s="145"/>
      <c r="B10" s="1182" t="s">
        <v>576</v>
      </c>
      <c r="C10" s="1175"/>
      <c r="D10" s="1178">
        <f ca="1">SUM(D11:D11)</f>
        <v>43157</v>
      </c>
      <c r="E10" s="1178">
        <f ca="1">SUM(E11:E11)</f>
        <v>997077.15210669453</v>
      </c>
      <c r="F10" s="1178">
        <f ca="1">SUM(F11:F11)</f>
        <v>1155000.00000001</v>
      </c>
      <c r="G10" s="1178">
        <f>SUM(G11:G11)</f>
        <v>260301</v>
      </c>
      <c r="H10" s="1530">
        <f t="shared" ref="H10:H16" ca="1" si="1">IFERROR(G10/E10,"")</f>
        <v>0.2610640505100511</v>
      </c>
      <c r="I10" s="1530">
        <f t="shared" ref="I10:I17" ca="1" si="2">IFERROR(G10/F10,"")</f>
        <v>0.22536883116882922</v>
      </c>
      <c r="J10" s="1178">
        <f ca="1">SUM(J11:J11)</f>
        <v>8216924.6336798705</v>
      </c>
      <c r="K10" s="1178">
        <f ca="1">SUM(K11:K11)</f>
        <v>7597708.5842000097</v>
      </c>
      <c r="L10" s="1178">
        <f>SUM(L11:L11)</f>
        <v>6963310.5842000004</v>
      </c>
      <c r="M10" s="1183">
        <f ca="1">IFERROR(L10/J10,"")</f>
        <v>0.84743512866827264</v>
      </c>
      <c r="P10" s="239"/>
      <c r="Q10" s="240"/>
      <c r="R10" s="240" t="s">
        <v>13</v>
      </c>
      <c r="S10" s="1537">
        <f>SUM(T10:W10)</f>
        <v>430663.64</v>
      </c>
      <c r="T10" s="1275">
        <f>SUM(X10:Z10)</f>
        <v>69978.639999999985</v>
      </c>
      <c r="U10" s="1279">
        <f>SUM(AA10:AC10)</f>
        <v>160173.26</v>
      </c>
      <c r="V10" s="1284">
        <f>SUM(AD10:AF10)</f>
        <v>124765.09999999999</v>
      </c>
      <c r="W10" s="1284">
        <f>SUM(AE10:AG10)</f>
        <v>75746.64</v>
      </c>
      <c r="X10" s="1546">
        <f>'January TIS'!R44</f>
        <v>23567.25</v>
      </c>
      <c r="Y10" s="1541">
        <f>'February TIS'!R44</f>
        <v>17463.059999999998</v>
      </c>
      <c r="Z10" s="1586">
        <f>'March TIS'!$R$44</f>
        <v>28948.329999999994</v>
      </c>
      <c r="AA10" s="1586">
        <f>'April TIS'!$R$44</f>
        <v>50627.189999999995</v>
      </c>
      <c r="AB10" s="1586">
        <f>'May TIS'!$R$44</f>
        <v>51709.299999999996</v>
      </c>
      <c r="AC10" s="1586">
        <f>'June TIS'!$R$44</f>
        <v>57836.770000000004</v>
      </c>
      <c r="AD10" s="1599">
        <f>'July TIS'!$R$44</f>
        <v>49018.46</v>
      </c>
      <c r="AE10" s="1599">
        <f>'August TIS'!$R$44</f>
        <v>65403.149999999994</v>
      </c>
      <c r="AF10" s="1599">
        <f>'September TIS'!$R$44</f>
        <v>10343.490000000002</v>
      </c>
      <c r="AG10" s="1599"/>
      <c r="AH10" s="1599"/>
      <c r="AI10" s="1599"/>
      <c r="AJ10" s="1718">
        <f>SUM(X10:AE10)</f>
        <v>344573.51</v>
      </c>
    </row>
    <row r="11" spans="1:38" ht="18">
      <c r="A11" s="98"/>
      <c r="B11" s="511"/>
      <c r="C11" s="512" t="s">
        <v>18</v>
      </c>
      <c r="D11" s="539">
        <f ca="1">LOOKUP(B4,'September TIS'!B12:B42,'September TIS'!C12:C42)</f>
        <v>43157</v>
      </c>
      <c r="E11" s="1184">
        <f ca="1">LOOKUP(MATCH(E1,$X$1:$AI$1,0),$X$2:$AI$2,X3:AI3)</f>
        <v>997077.15210669453</v>
      </c>
      <c r="F11" s="1184">
        <f ca="1">LOOKUP(MATCH(E1,$X$1:$AI$1,0),$X$2:$AI$2,X4:AJ4)</f>
        <v>1155000.00000001</v>
      </c>
      <c r="G11" s="540">
        <f>'September TIS'!C44</f>
        <v>260301</v>
      </c>
      <c r="H11" s="1512">
        <f ca="1">IFERROR(G11/E11,"")</f>
        <v>0.2610640505100511</v>
      </c>
      <c r="I11" s="1512">
        <f ca="1">IFERROR(G11/F11,"")</f>
        <v>0.22536883116882922</v>
      </c>
      <c r="J11" s="1184">
        <f ca="1">SUMIFS(X3:AI3,X2:AI2,"&lt;="&amp;MONTH(TODAY()-1))</f>
        <v>8216924.6336798705</v>
      </c>
      <c r="K11" s="1184">
        <f ca="1">+SUMIFS(X5:AI5,X2:AI2,"&lt;"&amp;MONTH(TODAY()-1))+SUMIFS(X4:AI4,X2:AI2,"="&amp;MONTH(TODAY()-1))</f>
        <v>7597708.5842000097</v>
      </c>
      <c r="L11" s="540">
        <f>SUM(S5)</f>
        <v>6963310.5842000004</v>
      </c>
      <c r="M11" s="541">
        <f ca="1">IFERROR(L11/J11,"")</f>
        <v>0.84743512866827264</v>
      </c>
      <c r="P11" s="239"/>
      <c r="Q11" s="240"/>
      <c r="R11" s="240" t="s">
        <v>555</v>
      </c>
      <c r="S11" s="1169">
        <f>S10/S8</f>
        <v>0.95513913562257846</v>
      </c>
      <c r="T11" s="1169">
        <f>T10/T8</f>
        <v>0.77754044444444426</v>
      </c>
      <c r="U11" s="1280"/>
      <c r="V11" s="1285"/>
      <c r="W11" s="2245">
        <v>30361</v>
      </c>
      <c r="X11" s="2025">
        <f t="shared" ref="X11:AI11" si="3">IFERROR(X10/X8,"")</f>
        <v>1.12225</v>
      </c>
      <c r="Y11" s="2219">
        <f t="shared" si="3"/>
        <v>0.60217448275862062</v>
      </c>
      <c r="Z11" s="2220">
        <f t="shared" si="3"/>
        <v>0.72370824999999983</v>
      </c>
      <c r="AA11" s="2220">
        <f t="shared" si="3"/>
        <v>1.2054092857142855</v>
      </c>
      <c r="AB11" s="2220">
        <f t="shared" si="3"/>
        <v>1.1490955555555555</v>
      </c>
      <c r="AC11" s="2220">
        <f t="shared" si="3"/>
        <v>1.0515776363636364</v>
      </c>
      <c r="AD11" s="2220">
        <f t="shared" si="3"/>
        <v>0.8912447272727273</v>
      </c>
      <c r="AE11" s="2220">
        <f t="shared" si="3"/>
        <v>0.99095681818181813</v>
      </c>
      <c r="AF11" s="2220">
        <f t="shared" si="3"/>
        <v>0.15671954545454547</v>
      </c>
      <c r="AG11" s="2220">
        <f t="shared" si="3"/>
        <v>0</v>
      </c>
      <c r="AH11" s="2220">
        <f t="shared" si="3"/>
        <v>0</v>
      </c>
      <c r="AI11" s="2220">
        <f t="shared" si="3"/>
        <v>0</v>
      </c>
      <c r="AK11" s="887"/>
    </row>
    <row r="12" spans="1:38" ht="18">
      <c r="A12" s="98"/>
      <c r="B12" s="1182" t="s">
        <v>580</v>
      </c>
      <c r="C12" s="1175"/>
      <c r="D12" s="1185">
        <f ca="1">SUM(D13,D14)</f>
        <v>3414.7</v>
      </c>
      <c r="E12" s="1178">
        <f ca="1">SUM(E13:E13)</f>
        <v>66000</v>
      </c>
      <c r="F12" s="1178">
        <f ca="1">SUM(F13:F13)</f>
        <v>63975.750000000007</v>
      </c>
      <c r="G12" s="1185">
        <f>SUM(G13:G14)</f>
        <v>10343.490000000002</v>
      </c>
      <c r="H12" s="1530">
        <f ca="1">IFERROR(G12/E12,"")</f>
        <v>0.15671954545454547</v>
      </c>
      <c r="I12" s="1530">
        <f ca="1">IFERROR(G12/F12,"")</f>
        <v>0.16167829216539079</v>
      </c>
      <c r="J12" s="1178">
        <f ca="1">SUM(J13:J13)</f>
        <v>419000</v>
      </c>
      <c r="K12" s="1178">
        <f ca="1">SUM(K13:K13)</f>
        <v>408549.26</v>
      </c>
      <c r="L12" s="1185">
        <f>SUM(L13:L14)</f>
        <v>430663.64</v>
      </c>
      <c r="M12" s="1183">
        <f ca="1">IFERROR(L12/J12,"")</f>
        <v>1.0278368496420047</v>
      </c>
      <c r="P12" s="239"/>
      <c r="Q12" s="240"/>
      <c r="R12" s="240" t="s">
        <v>575</v>
      </c>
      <c r="S12" s="1186">
        <f>S9/S8</f>
        <v>1.3459677616097898</v>
      </c>
      <c r="T12" s="1186">
        <f>T9/T8</f>
        <v>1</v>
      </c>
      <c r="U12" s="1282"/>
      <c r="V12" s="1292"/>
      <c r="W12" s="2247">
        <v>28728</v>
      </c>
      <c r="X12" s="1550"/>
      <c r="Y12" s="1568"/>
      <c r="Z12" s="1587"/>
      <c r="AA12" s="1587"/>
      <c r="AB12" s="1587"/>
      <c r="AC12" s="1587"/>
      <c r="AD12" s="1587"/>
      <c r="AE12" s="1587"/>
      <c r="AF12" s="1587"/>
      <c r="AG12" s="1587"/>
      <c r="AH12" s="1587"/>
      <c r="AI12" s="1606"/>
    </row>
    <row r="13" spans="1:38" ht="18">
      <c r="A13" s="98"/>
      <c r="B13" s="511"/>
      <c r="C13" s="512" t="s">
        <v>650</v>
      </c>
      <c r="D13" s="1184">
        <f ca="1">LOOKUP(B4, 'September TIS'!B12:B42, 'September TIS'!R12:R42)</f>
        <v>854.69999999999993</v>
      </c>
      <c r="E13" s="540">
        <f ca="1">LOOKUP(MATCH(E1,$X$1:$AI$1,0),$X$2:$AI$2,X8:AI8)</f>
        <v>66000</v>
      </c>
      <c r="F13" s="540">
        <f ca="1">LOOKUP(MATCH(E1,$X$1:$AI$1,0),$X$2:$AI$2,X9:AI9)</f>
        <v>63975.750000000007</v>
      </c>
      <c r="G13" s="540">
        <f>'September TIS'!$R$44</f>
        <v>10343.490000000002</v>
      </c>
      <c r="H13" s="1512">
        <f ca="1">IFERROR(G13/E13,"")</f>
        <v>0.15671954545454547</v>
      </c>
      <c r="I13" s="1512">
        <f t="shared" ca="1" si="2"/>
        <v>0.16167829216539079</v>
      </c>
      <c r="J13" s="540">
        <f ca="1">SUMIFS(X8:AI8,X2:AI2,"&lt;="&amp;MONTH(TODAY()-1))</f>
        <v>419000</v>
      </c>
      <c r="K13" s="540">
        <f ca="1">+SUMIFS(X10:AI10,X2:AI2,"&lt;"&amp;MONTH(TODAY()-1))+SUMIFS(X9:AI9,X2:AI2,"="&amp;MONTH(TODAY()-1))</f>
        <v>408549.26</v>
      </c>
      <c r="L13" s="540">
        <f>S10</f>
        <v>430663.64</v>
      </c>
      <c r="M13" s="541">
        <f ca="1">IFERROR(L13/J13,"")</f>
        <v>1.0278368496420047</v>
      </c>
      <c r="P13" s="84" t="s">
        <v>107</v>
      </c>
      <c r="Q13" s="85"/>
      <c r="R13" s="85" t="s">
        <v>11</v>
      </c>
      <c r="S13" s="1167">
        <f>SUM(T13:W13)</f>
        <v>582407.00000000012</v>
      </c>
      <c r="T13" s="1273">
        <f>SUM(X13:Z13)</f>
        <v>250000</v>
      </c>
      <c r="U13" s="1291">
        <f>SUM(AA13:AC13)</f>
        <v>150000</v>
      </c>
      <c r="V13" s="1291">
        <f>SUM(AD13:AF13)</f>
        <v>156000.00000000009</v>
      </c>
      <c r="W13" s="1277">
        <v>26407</v>
      </c>
      <c r="X13" s="1551">
        <f>SUM(X19,X23)</f>
        <v>84444.444444444438</v>
      </c>
      <c r="Y13" s="1569">
        <f t="shared" ref="Y13:AI13" si="4">SUM(Y19,Y23)</f>
        <v>81111.111111111109</v>
      </c>
      <c r="Z13" s="1588">
        <f t="shared" si="4"/>
        <v>84444.444444444438</v>
      </c>
      <c r="AA13" s="1588">
        <f t="shared" si="4"/>
        <v>50000</v>
      </c>
      <c r="AB13" s="1588">
        <f t="shared" si="4"/>
        <v>50000</v>
      </c>
      <c r="AC13" s="1588">
        <f t="shared" si="4"/>
        <v>50000</v>
      </c>
      <c r="AD13" s="1588">
        <f t="shared" si="4"/>
        <v>56000.000000000087</v>
      </c>
      <c r="AE13" s="1588">
        <f t="shared" si="4"/>
        <v>50000</v>
      </c>
      <c r="AF13" s="1588">
        <f t="shared" si="4"/>
        <v>50000</v>
      </c>
      <c r="AG13" s="1588">
        <f t="shared" si="4"/>
        <v>50000</v>
      </c>
      <c r="AH13" s="1588">
        <f t="shared" si="4"/>
        <v>50000</v>
      </c>
      <c r="AI13" s="1588">
        <f t="shared" si="4"/>
        <v>50000</v>
      </c>
      <c r="AJ13" s="887"/>
    </row>
    <row r="14" spans="1:38" ht="19.95" customHeight="1">
      <c r="A14" s="98"/>
      <c r="B14" s="511"/>
      <c r="C14" s="512" t="s">
        <v>651</v>
      </c>
      <c r="D14" s="1184">
        <f ca="1">'To Date Sumary TCM &amp; TIS'!F39</f>
        <v>2560</v>
      </c>
      <c r="E14" s="540"/>
      <c r="F14" s="540"/>
      <c r="G14" s="540">
        <f>'September TIS'!$AQ$44</f>
        <v>0</v>
      </c>
      <c r="H14" s="1512"/>
      <c r="I14" s="1512"/>
      <c r="J14" s="540"/>
      <c r="K14" s="540"/>
      <c r="L14" s="540">
        <f>S31</f>
        <v>0</v>
      </c>
      <c r="M14" s="541"/>
      <c r="P14" s="84"/>
      <c r="Q14" s="85"/>
      <c r="R14" s="85"/>
      <c r="S14" s="1341"/>
      <c r="T14" s="1342"/>
      <c r="U14" s="1343"/>
      <c r="V14" s="1343"/>
      <c r="W14" s="1344">
        <v>18127</v>
      </c>
      <c r="X14" s="1552"/>
      <c r="Y14" s="1570"/>
      <c r="Z14" s="1589"/>
      <c r="AA14" s="1589"/>
      <c r="AB14" s="1589"/>
      <c r="AC14" s="1589"/>
      <c r="AD14" s="1589"/>
      <c r="AE14" s="1589"/>
      <c r="AF14" s="1589"/>
      <c r="AG14" s="1589"/>
      <c r="AH14" s="1589"/>
      <c r="AI14" s="1589"/>
      <c r="AJ14" s="887"/>
      <c r="AK14" s="887"/>
    </row>
    <row r="15" spans="1:38" ht="18">
      <c r="A15" s="98"/>
      <c r="B15" s="1182" t="s">
        <v>127</v>
      </c>
      <c r="C15" s="1175"/>
      <c r="D15" s="1534">
        <f t="shared" ref="D15:G16" ca="1" si="5">IFERROR(D10/D12,"")</f>
        <v>12.638591970012008</v>
      </c>
      <c r="E15" s="1535">
        <f t="shared" ca="1" si="5"/>
        <v>15.107229577374159</v>
      </c>
      <c r="F15" s="1535">
        <f t="shared" ca="1" si="5"/>
        <v>18.053715665701613</v>
      </c>
      <c r="G15" s="1535">
        <f t="shared" si="5"/>
        <v>25.16568392293123</v>
      </c>
      <c r="H15" s="1530">
        <f t="shared" ca="1" si="1"/>
        <v>1.665804030715297</v>
      </c>
      <c r="I15" s="1530">
        <f t="shared" ca="1" si="2"/>
        <v>1.3939337690324274</v>
      </c>
      <c r="J15" s="1535">
        <f t="shared" ref="J15:L16" ca="1" si="6">IFERROR(J10/J12,"")</f>
        <v>19.610798648400646</v>
      </c>
      <c r="K15" s="1535">
        <f t="shared" ca="1" si="6"/>
        <v>18.596799279969346</v>
      </c>
      <c r="L15" s="1535">
        <f t="shared" si="6"/>
        <v>16.168791459153599</v>
      </c>
      <c r="M15" s="1183"/>
      <c r="P15" s="84"/>
      <c r="Q15" s="85"/>
      <c r="R15" s="85" t="s">
        <v>12</v>
      </c>
      <c r="S15" s="1536">
        <f>SUM(X15:AF15,AG15:AI15)</f>
        <v>769202.3211111112</v>
      </c>
      <c r="T15" s="1415">
        <f>SUM(X15:Z15)</f>
        <v>181111.11111111112</v>
      </c>
      <c r="U15" s="1416">
        <f>SUM(AA15:AC15)</f>
        <v>255000</v>
      </c>
      <c r="V15" s="1416">
        <f>SUM(AD15:AF15)</f>
        <v>193385.36999999997</v>
      </c>
      <c r="W15" s="1417">
        <v>16911</v>
      </c>
      <c r="X15" s="1553">
        <f>X20+X24</f>
        <v>0</v>
      </c>
      <c r="Y15" s="1553">
        <f t="shared" ref="Y15:AI15" si="7">Y20+Y24</f>
        <v>81111.111111111109</v>
      </c>
      <c r="Z15" s="1553">
        <f t="shared" si="7"/>
        <v>100000</v>
      </c>
      <c r="AA15" s="1553">
        <f t="shared" si="7"/>
        <v>110000</v>
      </c>
      <c r="AB15" s="1553">
        <f t="shared" si="7"/>
        <v>70000</v>
      </c>
      <c r="AC15" s="1553">
        <f t="shared" si="7"/>
        <v>75000</v>
      </c>
      <c r="AD15" s="1553">
        <f t="shared" si="7"/>
        <v>70000</v>
      </c>
      <c r="AE15" s="1553">
        <f t="shared" si="7"/>
        <v>70000</v>
      </c>
      <c r="AF15" s="1553">
        <f t="shared" si="7"/>
        <v>53385.369999999966</v>
      </c>
      <c r="AG15" s="1553">
        <f t="shared" si="7"/>
        <v>60000</v>
      </c>
      <c r="AH15" s="1553">
        <f t="shared" si="7"/>
        <v>40000</v>
      </c>
      <c r="AI15" s="1553">
        <f t="shared" si="7"/>
        <v>39705.840000000055</v>
      </c>
      <c r="AJ15" s="887"/>
      <c r="AL15" s="887"/>
    </row>
    <row r="16" spans="1:38" ht="18">
      <c r="A16" s="98"/>
      <c r="B16" s="511"/>
      <c r="C16" s="512" t="s">
        <v>18</v>
      </c>
      <c r="D16" s="1507">
        <f t="shared" ca="1" si="5"/>
        <v>50.493740493740496</v>
      </c>
      <c r="E16" s="1508">
        <f t="shared" ca="1" si="5"/>
        <v>15.107229577374159</v>
      </c>
      <c r="F16" s="1508">
        <f t="shared" ca="1" si="5"/>
        <v>18.053715665701613</v>
      </c>
      <c r="G16" s="1508">
        <f t="shared" si="5"/>
        <v>25.16568392293123</v>
      </c>
      <c r="H16" s="1531">
        <f t="shared" ca="1" si="1"/>
        <v>1.665804030715297</v>
      </c>
      <c r="I16" s="1532">
        <f t="shared" ca="1" si="2"/>
        <v>1.3939337690324274</v>
      </c>
      <c r="J16" s="1508">
        <f t="shared" ca="1" si="6"/>
        <v>19.610798648400646</v>
      </c>
      <c r="K16" s="1508">
        <f t="shared" ca="1" si="6"/>
        <v>18.596799279969346</v>
      </c>
      <c r="L16" s="1508">
        <f t="shared" si="6"/>
        <v>16.168791459153599</v>
      </c>
      <c r="M16" s="521"/>
      <c r="P16" s="84"/>
      <c r="Q16" s="85"/>
      <c r="R16" s="85" t="s">
        <v>13</v>
      </c>
      <c r="S16" s="1537">
        <f>SUM(T16:W16)</f>
        <v>592864.90999999992</v>
      </c>
      <c r="T16" s="1275">
        <f>SUM(X16:Z16)</f>
        <v>143329.70000000001</v>
      </c>
      <c r="U16" s="1279">
        <f>SUM(AA16:AC16)</f>
        <v>225054.80000000002</v>
      </c>
      <c r="V16" s="1374">
        <f>SUM(AD16:AF16)</f>
        <v>181502.35</v>
      </c>
      <c r="W16" s="1374">
        <f>SUM(AF16:AI16)</f>
        <v>42978.06</v>
      </c>
      <c r="X16" s="1554">
        <f t="shared" ref="X16:AI16" si="8">SUM(X21,X25)</f>
        <v>0</v>
      </c>
      <c r="Y16" s="1542">
        <f t="shared" si="8"/>
        <v>0</v>
      </c>
      <c r="Z16" s="1554">
        <f t="shared" si="8"/>
        <v>143329.70000000001</v>
      </c>
      <c r="AA16" s="1554">
        <f t="shared" si="8"/>
        <v>105836.43000000001</v>
      </c>
      <c r="AB16" s="1554">
        <f t="shared" si="8"/>
        <v>83977.58</v>
      </c>
      <c r="AC16" s="1554">
        <f t="shared" si="8"/>
        <v>35240.79</v>
      </c>
      <c r="AD16" s="1554">
        <f t="shared" si="8"/>
        <v>76909.66</v>
      </c>
      <c r="AE16" s="1554">
        <f t="shared" si="8"/>
        <v>61614.630000000005</v>
      </c>
      <c r="AF16" s="1554">
        <f t="shared" si="8"/>
        <v>42978.06</v>
      </c>
      <c r="AG16" s="1554">
        <f t="shared" si="8"/>
        <v>0</v>
      </c>
      <c r="AH16" s="1554">
        <f t="shared" si="8"/>
        <v>0</v>
      </c>
      <c r="AI16" s="1554">
        <f t="shared" si="8"/>
        <v>0</v>
      </c>
      <c r="AJ16" s="987"/>
    </row>
    <row r="17" spans="1:49" ht="18">
      <c r="A17" s="98"/>
      <c r="B17" s="1182" t="s">
        <v>22</v>
      </c>
      <c r="C17" s="1175"/>
      <c r="D17" s="1185">
        <f ca="1">D18</f>
        <v>0</v>
      </c>
      <c r="E17" s="1178">
        <f ca="1">E21</f>
        <v>50000</v>
      </c>
      <c r="F17" s="1178">
        <f ca="1">F18</f>
        <v>53385.369999999966</v>
      </c>
      <c r="G17" s="1178">
        <f>SUM(G18)</f>
        <v>42978.06</v>
      </c>
      <c r="H17" s="1530">
        <f ca="1">+G17/E17</f>
        <v>0.85956119999999991</v>
      </c>
      <c r="I17" s="1530">
        <f t="shared" ca="1" si="2"/>
        <v>0.80505314470987133</v>
      </c>
      <c r="J17" s="1178">
        <f ca="1">J18</f>
        <v>556000.00000000012</v>
      </c>
      <c r="K17" s="1178">
        <f ca="1">K18</f>
        <v>560294.16</v>
      </c>
      <c r="L17" s="1178">
        <f>SUM(L18:L18)</f>
        <v>592864.90999999992</v>
      </c>
      <c r="M17" s="1183">
        <f ca="1">+L17/J17</f>
        <v>1.0663037949640284</v>
      </c>
      <c r="P17" s="84"/>
      <c r="Q17" s="85"/>
      <c r="R17" s="85" t="s">
        <v>555</v>
      </c>
      <c r="S17" s="2297">
        <f>S16/S13</f>
        <v>1.0179563604146238</v>
      </c>
      <c r="T17" s="1169">
        <f>T16/T13</f>
        <v>0.57331880000000002</v>
      </c>
      <c r="U17" s="1285"/>
      <c r="V17" s="1285"/>
      <c r="W17" s="2248">
        <v>24977</v>
      </c>
      <c r="X17" s="2025">
        <f>IFERROR(X16/X13,"")</f>
        <v>0</v>
      </c>
      <c r="Y17" s="2026">
        <f t="shared" ref="Y17:AI17" si="9">IFERROR(Y16/Y13,"")</f>
        <v>0</v>
      </c>
      <c r="Z17" s="2027">
        <f t="shared" si="9"/>
        <v>1.6973253947368423</v>
      </c>
      <c r="AA17" s="2027">
        <f t="shared" si="9"/>
        <v>2.1167286000000001</v>
      </c>
      <c r="AB17" s="2027">
        <f t="shared" si="9"/>
        <v>1.6795516000000001</v>
      </c>
      <c r="AC17" s="2027">
        <f t="shared" si="9"/>
        <v>0.70481579999999999</v>
      </c>
      <c r="AD17" s="2027">
        <f t="shared" si="9"/>
        <v>1.3733867857142836</v>
      </c>
      <c r="AE17" s="2027">
        <f t="shared" si="9"/>
        <v>1.2322926000000001</v>
      </c>
      <c r="AF17" s="2027">
        <f t="shared" si="9"/>
        <v>0.85956119999999991</v>
      </c>
      <c r="AG17" s="2027">
        <f t="shared" si="9"/>
        <v>0</v>
      </c>
      <c r="AH17" s="2027">
        <f t="shared" si="9"/>
        <v>0</v>
      </c>
      <c r="AI17" s="2215">
        <f t="shared" si="9"/>
        <v>0</v>
      </c>
    </row>
    <row r="18" spans="1:49" ht="18">
      <c r="A18" s="98"/>
      <c r="B18" s="511"/>
      <c r="C18" s="512" t="s">
        <v>245</v>
      </c>
      <c r="D18" s="530">
        <f ca="1">LOOKUP(B4, 'September TIS'!$B$12:$B$42, 'September TIS'!$AA$12:$AA$42)</f>
        <v>0</v>
      </c>
      <c r="E18" s="532">
        <f ca="1">LOOKUP(MATCH(E1,$X$1:$AI$1,0),$X$2:$AI$2,X13:AI13)</f>
        <v>50000</v>
      </c>
      <c r="F18" s="532">
        <f ca="1">LOOKUP(MATCH(E1,$X$1:$AI$1,0),$X$2:$AI$2,X15:AI15)</f>
        <v>53385.369999999966</v>
      </c>
      <c r="G18" s="532">
        <f>'September TIS'!AG44</f>
        <v>42978.06</v>
      </c>
      <c r="H18" s="1533">
        <f ca="1">+IFERROR(G18/E18,"")</f>
        <v>0.85956119999999991</v>
      </c>
      <c r="I18" s="1533">
        <f ca="1">IFERROR(G18/F18,"")</f>
        <v>0.80505314470987133</v>
      </c>
      <c r="J18" s="532">
        <f ca="1">SUMIFS(X13:AI13,X2:AI2,"&lt;="&amp;MONTH(TODAY()-1))</f>
        <v>556000.00000000012</v>
      </c>
      <c r="K18" s="532">
        <f ca="1">+SUMIFS(X16:AI16,X2:AI2,"&lt;"&amp;MONTH(TODAY()-1))+SUMIFS(X15:AI15,X2:AI2,"="&amp;MONTH(TODAY()-1))</f>
        <v>560294.16</v>
      </c>
      <c r="L18" s="1187">
        <f>SUM(S16)</f>
        <v>592864.90999999992</v>
      </c>
      <c r="M18" s="1187">
        <f ca="1">IFERROR(L18/J18,"")</f>
        <v>1.0663037949640284</v>
      </c>
      <c r="P18" s="84"/>
      <c r="Q18" s="85"/>
      <c r="R18" s="85" t="s">
        <v>575</v>
      </c>
      <c r="S18" s="1186">
        <f>S15/S13</f>
        <v>1.3207298695089706</v>
      </c>
      <c r="T18" s="1186">
        <f>T15/T13</f>
        <v>0.72444444444444445</v>
      </c>
      <c r="U18" s="1286"/>
      <c r="V18" s="1286"/>
      <c r="W18" s="2249">
        <v>22677</v>
      </c>
      <c r="X18" s="1555"/>
      <c r="Y18" s="1571"/>
      <c r="Z18" s="1591"/>
      <c r="AA18" s="1591"/>
      <c r="AB18" s="1591"/>
      <c r="AC18" s="1591"/>
      <c r="AD18" s="1591"/>
      <c r="AE18" s="1591"/>
      <c r="AF18" s="1591"/>
      <c r="AG18" s="1591"/>
      <c r="AH18" s="1591"/>
      <c r="AI18" s="1607"/>
    </row>
    <row r="19" spans="1:49" ht="18">
      <c r="A19" s="98"/>
      <c r="B19" s="511"/>
      <c r="C19" s="512" t="s">
        <v>50</v>
      </c>
      <c r="D19" s="530"/>
      <c r="E19" s="532"/>
      <c r="F19" s="532"/>
      <c r="G19" s="532"/>
      <c r="H19" s="1533"/>
      <c r="I19" s="1533"/>
      <c r="J19" s="532"/>
      <c r="K19" s="532"/>
      <c r="L19" s="532"/>
      <c r="M19" s="1187"/>
      <c r="P19" s="84"/>
      <c r="Q19" s="85" t="s">
        <v>652</v>
      </c>
      <c r="R19" s="85" t="s">
        <v>11</v>
      </c>
      <c r="S19" s="1167">
        <f>SUM(T19:W19)</f>
        <v>29657</v>
      </c>
      <c r="T19" s="1273">
        <f>SUM(X19:Z19)</f>
        <v>0</v>
      </c>
      <c r="U19" s="1277">
        <f>SUM(AA19:AC19)</f>
        <v>0</v>
      </c>
      <c r="V19" s="1291">
        <f>SUM(AD19:AF19)</f>
        <v>0</v>
      </c>
      <c r="W19" s="1277">
        <v>29657</v>
      </c>
      <c r="X19" s="1551"/>
      <c r="Y19" s="1569"/>
      <c r="Z19" s="1592"/>
      <c r="AA19" s="1592"/>
      <c r="AB19" s="1592"/>
      <c r="AC19" s="1592"/>
      <c r="AD19" s="1592"/>
      <c r="AE19" s="1592"/>
      <c r="AF19" s="1592"/>
      <c r="AG19" s="1592"/>
      <c r="AH19" s="1592"/>
      <c r="AI19" s="1608"/>
    </row>
    <row r="20" spans="1:49" ht="18">
      <c r="A20" s="98">
        <v>1.05</v>
      </c>
      <c r="B20" s="511"/>
      <c r="C20" s="512" t="s">
        <v>53</v>
      </c>
      <c r="D20" s="520">
        <f ca="1">LOOKUP(B4, 'August TIS'!$B$12:$B$42, 'August TIS'!$AA$12:$AA$42)</f>
        <v>0</v>
      </c>
      <c r="E20" s="514"/>
      <c r="F20" s="514"/>
      <c r="G20" s="514"/>
      <c r="H20" s="630"/>
      <c r="I20" s="630"/>
      <c r="J20" s="514"/>
      <c r="K20" s="514"/>
      <c r="L20" s="514"/>
      <c r="M20" s="514"/>
      <c r="P20" s="84"/>
      <c r="Q20" s="85"/>
      <c r="R20" s="85" t="s">
        <v>12</v>
      </c>
      <c r="S20" s="1294">
        <f>SUM(X21:AF21,AG20:AI20)</f>
        <v>0</v>
      </c>
      <c r="T20" s="1295">
        <f>SUM(X20:Z20)</f>
        <v>0</v>
      </c>
      <c r="U20" s="1296">
        <f>SUM(AA20:AC20)</f>
        <v>0</v>
      </c>
      <c r="V20" s="1297">
        <f>SUM(AD20:AF20)</f>
        <v>0</v>
      </c>
      <c r="W20" s="1298">
        <v>32140</v>
      </c>
      <c r="X20" s="1556"/>
      <c r="Y20" s="1572"/>
      <c r="Z20" s="1593"/>
      <c r="AA20" s="1593">
        <v>0</v>
      </c>
      <c r="AB20" s="1593">
        <v>0</v>
      </c>
      <c r="AC20" s="1593">
        <v>0</v>
      </c>
      <c r="AD20" s="1593">
        <v>0</v>
      </c>
      <c r="AE20" s="1593">
        <v>0</v>
      </c>
      <c r="AF20" s="1593">
        <v>0</v>
      </c>
      <c r="AG20" s="1593">
        <v>0</v>
      </c>
      <c r="AH20" s="1593">
        <v>0</v>
      </c>
      <c r="AI20" s="1609">
        <v>0</v>
      </c>
      <c r="AJ20" s="434"/>
      <c r="AK20" s="434"/>
      <c r="AL20" s="98"/>
      <c r="AM20" s="39"/>
    </row>
    <row r="21" spans="1:49" ht="18">
      <c r="A21" s="98">
        <v>1</v>
      </c>
      <c r="B21" s="1182" t="s">
        <v>107</v>
      </c>
      <c r="C21" s="1175"/>
      <c r="D21" s="1185">
        <f ca="1">D22+D26</f>
        <v>0</v>
      </c>
      <c r="E21" s="1185">
        <f ca="1">E22</f>
        <v>50000</v>
      </c>
      <c r="F21" s="1185">
        <f ca="1">F22+F26</f>
        <v>53385.369999999966</v>
      </c>
      <c r="G21" s="1185">
        <f>G22+G26</f>
        <v>42978.06</v>
      </c>
      <c r="H21" s="1530">
        <f ca="1">IFERROR(G21/E21,"")</f>
        <v>0.85956119999999991</v>
      </c>
      <c r="I21" s="1530">
        <f t="shared" ref="I21:I30" ca="1" si="10">IFERROR(G21/F21,"")</f>
        <v>0.80505314470987133</v>
      </c>
      <c r="J21" s="1178">
        <f ca="1">J22</f>
        <v>556000.00000000012</v>
      </c>
      <c r="K21" s="1178">
        <f ca="1">K22+K26</f>
        <v>560294.16</v>
      </c>
      <c r="L21" s="1178">
        <f>L22+L26</f>
        <v>627777.90999999992</v>
      </c>
      <c r="M21" s="1183">
        <f ca="1">+IFERROR(L21/J21,"")</f>
        <v>1.1290969604316543</v>
      </c>
      <c r="P21" s="84"/>
      <c r="Q21" s="85"/>
      <c r="R21" s="85" t="s">
        <v>13</v>
      </c>
      <c r="S21" s="1168">
        <f>SUM(T21:W21)</f>
        <v>34913</v>
      </c>
      <c r="T21" s="1275">
        <f>SUM(X21:Z21)</f>
        <v>0</v>
      </c>
      <c r="U21" s="1279">
        <f>SUM(AA21:AC21)</f>
        <v>0</v>
      </c>
      <c r="V21" s="1284">
        <f>SUM(AD21:AF21)</f>
        <v>0</v>
      </c>
      <c r="W21" s="2244">
        <v>34913</v>
      </c>
      <c r="X21" s="1554"/>
      <c r="Y21" s="1573"/>
      <c r="Z21" s="1594"/>
      <c r="AA21" s="1594"/>
      <c r="AB21" s="1594"/>
      <c r="AC21" s="1594"/>
      <c r="AD21" s="1594"/>
      <c r="AE21" s="1594"/>
      <c r="AF21" s="1594"/>
      <c r="AG21" s="1594"/>
      <c r="AH21" s="1594"/>
      <c r="AI21" s="1594"/>
      <c r="AJ21" s="98"/>
      <c r="AK21" s="98"/>
      <c r="AL21" s="98"/>
      <c r="AM21" s="39"/>
    </row>
    <row r="22" spans="1:49" ht="20.399999999999999" customHeight="1">
      <c r="A22" s="98"/>
      <c r="B22" s="511"/>
      <c r="C22" s="512" t="s">
        <v>653</v>
      </c>
      <c r="D22" s="539">
        <f ca="1">LOOKUP(B4, 'September TIS'!$B$12:$B$42, 'September TIS'!$AX$12:$AX$42)</f>
        <v>0</v>
      </c>
      <c r="E22" s="540">
        <f ca="1">E18</f>
        <v>50000</v>
      </c>
      <c r="F22" s="629">
        <f ca="1">F18</f>
        <v>53385.369999999966</v>
      </c>
      <c r="G22" s="540">
        <f>'September TIS'!$AX$44</f>
        <v>42978.06</v>
      </c>
      <c r="H22" s="1512">
        <f ca="1">+IFERROR(G22/E22,"")</f>
        <v>0.85956119999999991</v>
      </c>
      <c r="I22" s="1512">
        <f ca="1">IFERROR(G22/F22,"")</f>
        <v>0.80505314470987133</v>
      </c>
      <c r="J22" s="540">
        <f ca="1">SUMIFS(X23:AI23,X2:AI2,"&lt;="&amp;MONTH(TODAY()-1))</f>
        <v>556000.00000000012</v>
      </c>
      <c r="K22" s="542">
        <f ca="1">+SUMIFS(X25:AI25,X2:AI2,"&lt;"&amp;MONTH(TODAY()-1))+SUMIFS(X24:AI24,X2:AI2,"="&amp;MONTH(TODAY()-1))</f>
        <v>560294.16</v>
      </c>
      <c r="L22" s="540">
        <f>SUM(S25)</f>
        <v>592864.90999999992</v>
      </c>
      <c r="M22" s="541">
        <f ca="1">IFERROR(L22/J22,"")</f>
        <v>1.0663037949640284</v>
      </c>
      <c r="P22" s="84"/>
      <c r="Q22" s="85"/>
      <c r="R22" s="85" t="s">
        <v>555</v>
      </c>
      <c r="S22" s="1288"/>
      <c r="T22" s="1299"/>
      <c r="U22" s="1300"/>
      <c r="V22" s="1300"/>
      <c r="W22" s="2250">
        <v>33017</v>
      </c>
      <c r="X22" s="1555"/>
      <c r="Y22" s="1571"/>
      <c r="Z22" s="1591"/>
      <c r="AA22" s="1591"/>
      <c r="AB22" s="1591"/>
      <c r="AC22" s="1591"/>
      <c r="AD22" s="1591"/>
      <c r="AE22" s="1591"/>
      <c r="AF22" s="1591"/>
      <c r="AG22" s="1591"/>
      <c r="AH22" s="1591"/>
      <c r="AI22" s="1610"/>
      <c r="AJ22" s="98"/>
      <c r="AK22" s="98"/>
      <c r="AL22" s="98"/>
      <c r="AT22" s="1"/>
    </row>
    <row r="23" spans="1:49" ht="18">
      <c r="A23" s="98"/>
      <c r="B23" s="511"/>
      <c r="C23" s="512" t="s">
        <v>587</v>
      </c>
      <c r="D23" s="535"/>
      <c r="E23" s="536"/>
      <c r="F23" s="537"/>
      <c r="G23" s="536"/>
      <c r="H23" s="1513" t="str">
        <f>+IFERROR(G23/E23,"")</f>
        <v/>
      </c>
      <c r="I23" s="1513" t="str">
        <f t="shared" si="10"/>
        <v/>
      </c>
      <c r="J23" s="536"/>
      <c r="K23" s="536"/>
      <c r="L23" s="536"/>
      <c r="M23" s="536"/>
      <c r="P23" s="84"/>
      <c r="Q23" s="85" t="s">
        <v>654</v>
      </c>
      <c r="R23" s="85" t="s">
        <v>11</v>
      </c>
      <c r="S23" s="1538">
        <f>SUM(T23:W23)</f>
        <v>583918.00000000012</v>
      </c>
      <c r="T23" s="1293">
        <f t="shared" ref="T23:T28" si="11">SUM(X23:Z23)</f>
        <v>250000</v>
      </c>
      <c r="U23" s="1281">
        <f t="shared" ref="U23:U28" si="12">SUM(AA23:AC23)</f>
        <v>150000</v>
      </c>
      <c r="V23" s="1291">
        <f t="shared" ref="V23:V28" si="13">SUM(AD23:AF23)</f>
        <v>156000.00000000009</v>
      </c>
      <c r="W23" s="1277">
        <v>27918</v>
      </c>
      <c r="X23" s="1557">
        <v>84444.444444444438</v>
      </c>
      <c r="Y23" s="1574">
        <v>81111.111111111109</v>
      </c>
      <c r="Z23" s="1595">
        <v>84444.444444444438</v>
      </c>
      <c r="AA23" s="1595">
        <v>50000</v>
      </c>
      <c r="AB23" s="1595">
        <v>50000</v>
      </c>
      <c r="AC23" s="1595">
        <v>50000</v>
      </c>
      <c r="AD23" s="1595">
        <v>56000.000000000087</v>
      </c>
      <c r="AE23" s="1595">
        <v>50000</v>
      </c>
      <c r="AF23" s="1595">
        <v>50000</v>
      </c>
      <c r="AG23" s="1595">
        <v>50000</v>
      </c>
      <c r="AH23" s="1595">
        <v>50000</v>
      </c>
      <c r="AI23" s="1611">
        <v>50000</v>
      </c>
      <c r="AJ23" s="98"/>
      <c r="AK23" s="98"/>
      <c r="AL23" s="98"/>
      <c r="AM23" s="106"/>
      <c r="AR23" s="106"/>
      <c r="AS23" s="106"/>
      <c r="AT23" s="106"/>
      <c r="AU23" s="106"/>
      <c r="AV23" s="106"/>
      <c r="AW23" s="106"/>
    </row>
    <row r="24" spans="1:49" ht="18">
      <c r="A24" s="98"/>
      <c r="B24" s="511"/>
      <c r="C24" s="512" t="s">
        <v>588</v>
      </c>
      <c r="D24" s="543"/>
      <c r="E24" s="537"/>
      <c r="F24" s="537"/>
      <c r="G24" s="537"/>
      <c r="H24" s="537" t="str">
        <f>+IFERROR(G24/E24,"")</f>
        <v/>
      </c>
      <c r="I24" s="537" t="str">
        <f t="shared" si="10"/>
        <v/>
      </c>
      <c r="J24" s="537"/>
      <c r="K24" s="537"/>
      <c r="L24" s="537"/>
      <c r="M24" s="537"/>
      <c r="P24" s="84"/>
      <c r="Q24" s="85"/>
      <c r="R24" s="85" t="s">
        <v>12</v>
      </c>
      <c r="S24" s="1539">
        <f>SUM(X25:AC25)+SUM(AD24:AI24)</f>
        <v>701475.71000000008</v>
      </c>
      <c r="T24" s="1295">
        <f t="shared" si="11"/>
        <v>181111.11111111112</v>
      </c>
      <c r="U24" s="1296">
        <f t="shared" si="12"/>
        <v>255000</v>
      </c>
      <c r="V24" s="1297">
        <f t="shared" si="13"/>
        <v>193385.36999999997</v>
      </c>
      <c r="W24" s="1298">
        <f t="shared" ref="W24:W28" si="14">SUM(AG24:AI24)</f>
        <v>139705.84000000005</v>
      </c>
      <c r="X24" s="1558">
        <v>0</v>
      </c>
      <c r="Y24" s="1572">
        <v>81111.111111111109</v>
      </c>
      <c r="Z24" s="1593">
        <v>100000</v>
      </c>
      <c r="AA24" s="1593">
        <v>110000</v>
      </c>
      <c r="AB24" s="1593">
        <v>70000</v>
      </c>
      <c r="AC24" s="1593">
        <v>75000</v>
      </c>
      <c r="AD24" s="1593">
        <v>70000</v>
      </c>
      <c r="AE24" s="1593">
        <v>70000</v>
      </c>
      <c r="AF24" s="1593">
        <v>53385.369999999966</v>
      </c>
      <c r="AG24" s="1593">
        <v>60000</v>
      </c>
      <c r="AH24" s="1593">
        <v>40000</v>
      </c>
      <c r="AI24" s="1609">
        <v>39705.840000000055</v>
      </c>
      <c r="AJ24" s="98"/>
      <c r="AK24" s="98"/>
      <c r="AL24" s="98"/>
      <c r="AM24" s="106"/>
    </row>
    <row r="25" spans="1:49" ht="18">
      <c r="A25" s="98"/>
      <c r="B25" s="511"/>
      <c r="C25" s="512" t="s">
        <v>589</v>
      </c>
      <c r="D25" s="543"/>
      <c r="E25" s="537"/>
      <c r="F25" s="537"/>
      <c r="G25" s="537"/>
      <c r="H25" s="537" t="str">
        <f>+IFERROR(G25/E25,"")</f>
        <v/>
      </c>
      <c r="I25" s="537" t="str">
        <f t="shared" si="10"/>
        <v/>
      </c>
      <c r="J25" s="537"/>
      <c r="K25" s="537"/>
      <c r="L25" s="537"/>
      <c r="M25" s="537"/>
      <c r="P25" s="84"/>
      <c r="Q25" s="85"/>
      <c r="R25" s="85" t="s">
        <v>13</v>
      </c>
      <c r="S25" s="1539">
        <f>SUM(T25:W25)</f>
        <v>592864.90999999992</v>
      </c>
      <c r="T25" s="1275">
        <f t="shared" si="11"/>
        <v>143329.70000000001</v>
      </c>
      <c r="U25" s="1279">
        <f t="shared" si="12"/>
        <v>225054.80000000002</v>
      </c>
      <c r="V25" s="1284">
        <f t="shared" si="13"/>
        <v>181502.35</v>
      </c>
      <c r="W25" s="2440">
        <f>SUM(AF25:AI25)</f>
        <v>42978.06</v>
      </c>
      <c r="X25" s="1559">
        <f>'January TIS'!AR44</f>
        <v>0</v>
      </c>
      <c r="Y25" s="1575">
        <f>'February TIS'!AR44</f>
        <v>0</v>
      </c>
      <c r="Z25" s="1596">
        <f>'March TIS'!$AX$44</f>
        <v>143329.70000000001</v>
      </c>
      <c r="AA25" s="1600">
        <f>'April TIS'!$AX$44</f>
        <v>105836.43000000001</v>
      </c>
      <c r="AB25" s="1600">
        <f>'May TIS'!$AX$44</f>
        <v>83977.58</v>
      </c>
      <c r="AC25" s="1600">
        <f>'June TIS'!$AX$44</f>
        <v>35240.79</v>
      </c>
      <c r="AD25" s="1600">
        <f>'July TIS'!$AX$44</f>
        <v>76909.66</v>
      </c>
      <c r="AE25" s="1600">
        <f>'August TIS'!$AX$44</f>
        <v>61614.630000000005</v>
      </c>
      <c r="AF25" s="1600">
        <f>'September TIS'!$AX$44</f>
        <v>42978.06</v>
      </c>
      <c r="AG25" s="1600"/>
      <c r="AH25" s="1600"/>
      <c r="AI25" s="1612"/>
      <c r="AJ25" s="98"/>
      <c r="AK25" s="98"/>
      <c r="AL25" s="98"/>
      <c r="AM25" s="106"/>
    </row>
    <row r="26" spans="1:49" ht="18">
      <c r="A26" s="98"/>
      <c r="B26" s="511"/>
      <c r="C26" s="512" t="s">
        <v>655</v>
      </c>
      <c r="D26" s="1271">
        <f ca="1">LOOKUP(B4, 'September TIS'!$B$12:$B$42, 'September TIS'!$AY$12:$AY$42)</f>
        <v>0</v>
      </c>
      <c r="E26" s="537"/>
      <c r="F26" s="629"/>
      <c r="G26" s="629">
        <f>'September TIS'!$AY$44</f>
        <v>0</v>
      </c>
      <c r="H26" s="537"/>
      <c r="I26" s="537"/>
      <c r="J26" s="537">
        <f ca="1">SUMIFS(X19:AI19,X2:AI2,"&lt;="&amp;MONTH(TODAY()-1))</f>
        <v>0</v>
      </c>
      <c r="K26" s="629">
        <f ca="1">+SUMIFS(X21:AI21,X2:AI2,"&lt;"&amp;MONTH(TODAY()-1))+SUMIFS(X20:AI20,X2:AI2,"="&amp;MONTH(TODAY()-1))</f>
        <v>0</v>
      </c>
      <c r="L26" s="629">
        <f>S21</f>
        <v>34913</v>
      </c>
      <c r="M26" s="537"/>
      <c r="P26" s="1188" t="s">
        <v>428</v>
      </c>
      <c r="Q26" s="1189"/>
      <c r="R26" s="1190" t="s">
        <v>11</v>
      </c>
      <c r="S26" s="1540">
        <f>SUM(X26:AD26,AE26:AI26)</f>
        <v>706000.00000000012</v>
      </c>
      <c r="T26" s="1418">
        <f t="shared" si="11"/>
        <v>250000</v>
      </c>
      <c r="U26" s="1419">
        <f t="shared" si="12"/>
        <v>150000</v>
      </c>
      <c r="V26" s="1420">
        <f t="shared" si="13"/>
        <v>156000.00000000009</v>
      </c>
      <c r="W26" s="1420">
        <f t="shared" si="14"/>
        <v>150000</v>
      </c>
      <c r="X26" s="1548">
        <v>84444.444444444438</v>
      </c>
      <c r="Y26" s="1576">
        <v>81111.111111111109</v>
      </c>
      <c r="Z26" s="1597">
        <v>84444.444444444438</v>
      </c>
      <c r="AA26" s="1597">
        <v>50000</v>
      </c>
      <c r="AB26" s="1597">
        <v>50000</v>
      </c>
      <c r="AC26" s="1597">
        <v>50000</v>
      </c>
      <c r="AD26" s="1597">
        <v>56000.000000000087</v>
      </c>
      <c r="AE26" s="1597">
        <v>50000</v>
      </c>
      <c r="AF26" s="1597">
        <v>50000</v>
      </c>
      <c r="AG26" s="1597">
        <v>50000</v>
      </c>
      <c r="AH26" s="1597">
        <v>50000</v>
      </c>
      <c r="AI26" s="1613">
        <v>50000</v>
      </c>
    </row>
    <row r="27" spans="1:49" ht="18">
      <c r="A27" s="98"/>
      <c r="B27" s="511"/>
      <c r="C27" s="512" t="s">
        <v>587</v>
      </c>
      <c r="D27" s="535"/>
      <c r="E27" s="537"/>
      <c r="F27" s="537"/>
      <c r="G27" s="537"/>
      <c r="H27" s="537"/>
      <c r="I27" s="537"/>
      <c r="J27" s="537"/>
      <c r="K27" s="537"/>
      <c r="L27" s="537"/>
      <c r="M27" s="537"/>
      <c r="P27" s="1191"/>
      <c r="Q27" s="1192"/>
      <c r="R27" s="1192" t="s">
        <v>12</v>
      </c>
      <c r="S27" s="1539">
        <f>SUM(X28:AC28)+SUM(AD27:AI27)</f>
        <v>641094.1100000001</v>
      </c>
      <c r="T27" s="1421">
        <f t="shared" si="11"/>
        <v>72200</v>
      </c>
      <c r="U27" s="1422">
        <f t="shared" si="12"/>
        <v>248589.91384776993</v>
      </c>
      <c r="V27" s="1423">
        <f t="shared" si="13"/>
        <v>190000</v>
      </c>
      <c r="W27" s="1423">
        <f t="shared" si="14"/>
        <v>119720.23000000001</v>
      </c>
      <c r="X27" s="1549">
        <v>15000</v>
      </c>
      <c r="Y27" s="1598">
        <v>27200</v>
      </c>
      <c r="Z27" s="1598">
        <v>30000</v>
      </c>
      <c r="AA27" s="1598">
        <v>74999.999999999956</v>
      </c>
      <c r="AB27" s="1598">
        <v>105000</v>
      </c>
      <c r="AC27" s="1598">
        <v>68589.913847769989</v>
      </c>
      <c r="AD27" s="1598">
        <v>75000</v>
      </c>
      <c r="AE27" s="1598">
        <v>75000</v>
      </c>
      <c r="AF27" s="1598">
        <v>40000</v>
      </c>
      <c r="AG27" s="1598">
        <v>40000</v>
      </c>
      <c r="AH27" s="1598">
        <v>40000</v>
      </c>
      <c r="AI27" s="1614">
        <v>39720.230000000018</v>
      </c>
    </row>
    <row r="28" spans="1:49" ht="18">
      <c r="A28" s="98"/>
      <c r="B28" s="511"/>
      <c r="C28" s="512" t="s">
        <v>588</v>
      </c>
      <c r="D28" s="543"/>
      <c r="E28" s="537"/>
      <c r="F28" s="537"/>
      <c r="G28" s="537"/>
      <c r="H28" s="537"/>
      <c r="I28" s="537"/>
      <c r="J28" s="537"/>
      <c r="K28" s="537"/>
      <c r="L28" s="537"/>
      <c r="M28" s="537"/>
      <c r="P28" s="1191"/>
      <c r="Q28" s="1192"/>
      <c r="R28" s="1192" t="s">
        <v>13</v>
      </c>
      <c r="S28" s="2296">
        <f>SUM(X28:AD28,AE28:AI28)</f>
        <v>505279.75</v>
      </c>
      <c r="T28" s="1276">
        <f t="shared" si="11"/>
        <v>90222.069999999992</v>
      </c>
      <c r="U28" s="1279">
        <f t="shared" si="12"/>
        <v>241151.81</v>
      </c>
      <c r="V28" s="1289">
        <f t="shared" si="13"/>
        <v>173905.87</v>
      </c>
      <c r="W28" s="1289">
        <f t="shared" si="14"/>
        <v>0</v>
      </c>
      <c r="X28" s="1560">
        <f>'January TIS'!$BK$43</f>
        <v>0</v>
      </c>
      <c r="Y28" s="1543">
        <f>'February TIS'!$BK$43</f>
        <v>0</v>
      </c>
      <c r="Z28" s="1560">
        <f>'March TIS'!$BK$43</f>
        <v>90222.069999999992</v>
      </c>
      <c r="AA28" s="1287">
        <f>'April TIS'!$BK$43</f>
        <v>75541.240000000005</v>
      </c>
      <c r="AB28" s="1287">
        <f>'May TIS'!$BK$43</f>
        <v>82782</v>
      </c>
      <c r="AC28" s="1287">
        <f>'June TIS'!$BK$43</f>
        <v>82828.570000000007</v>
      </c>
      <c r="AD28" s="1287">
        <f>'July TIS'!$BK$43</f>
        <v>112920.49</v>
      </c>
      <c r="AE28" s="1287">
        <f>'August TIS'!$BK$43</f>
        <v>60985.37999999999</v>
      </c>
      <c r="AF28" s="1287">
        <f>'September TIS'!$BK$43</f>
        <v>0</v>
      </c>
      <c r="AG28" s="1287"/>
      <c r="AH28" s="1287"/>
      <c r="AI28" s="1287"/>
    </row>
    <row r="29" spans="1:49" ht="18">
      <c r="A29" s="98"/>
      <c r="B29" s="511"/>
      <c r="C29" s="512" t="s">
        <v>589</v>
      </c>
      <c r="D29" s="543"/>
      <c r="E29" s="537"/>
      <c r="F29" s="537"/>
      <c r="G29" s="537"/>
      <c r="H29" s="537"/>
      <c r="I29" s="537"/>
      <c r="J29" s="537"/>
      <c r="K29" s="537"/>
      <c r="L29" s="537"/>
      <c r="M29" s="537"/>
      <c r="P29" s="1191"/>
      <c r="Q29" s="1192"/>
      <c r="R29" s="1192" t="s">
        <v>555</v>
      </c>
      <c r="S29" s="1294">
        <f t="shared" ref="S29:S30" si="15">SUM(X30:AD30,AE29:AI29)</f>
        <v>1.2197075999999998</v>
      </c>
      <c r="T29" s="1357">
        <f>T28/T26</f>
        <v>0.36088827999999995</v>
      </c>
      <c r="U29" s="1280"/>
      <c r="V29" s="1290"/>
      <c r="W29" s="1290"/>
      <c r="X29" s="2025">
        <f t="shared" ref="X29:AI29" si="16">IFERROR(X28/X26,"")</f>
        <v>0</v>
      </c>
      <c r="Y29" s="2216">
        <f t="shared" si="16"/>
        <v>0</v>
      </c>
      <c r="Z29" s="2216">
        <f t="shared" si="16"/>
        <v>1.06841925</v>
      </c>
      <c r="AA29" s="2217">
        <f t="shared" si="16"/>
        <v>1.5108248000000002</v>
      </c>
      <c r="AB29" s="2217">
        <f t="shared" si="16"/>
        <v>1.65564</v>
      </c>
      <c r="AC29" s="2217">
        <f t="shared" si="16"/>
        <v>1.6565714000000002</v>
      </c>
      <c r="AD29" s="2217">
        <f t="shared" si="16"/>
        <v>2.0164373214285685</v>
      </c>
      <c r="AE29" s="2217">
        <f t="shared" si="16"/>
        <v>1.2197075999999998</v>
      </c>
      <c r="AF29" s="2217">
        <f t="shared" si="16"/>
        <v>0</v>
      </c>
      <c r="AG29" s="2217">
        <f t="shared" si="16"/>
        <v>0</v>
      </c>
      <c r="AH29" s="2217">
        <f t="shared" si="16"/>
        <v>0</v>
      </c>
      <c r="AI29" s="2218">
        <f t="shared" si="16"/>
        <v>0</v>
      </c>
    </row>
    <row r="30" spans="1:49" ht="18">
      <c r="A30" s="98"/>
      <c r="B30" s="1193" t="s">
        <v>428</v>
      </c>
      <c r="C30" s="1175"/>
      <c r="D30" s="1185">
        <f ca="1">SUM(D31:D31)</f>
        <v>0</v>
      </c>
      <c r="E30" s="1178">
        <f ca="1">SUM(E31:E31)</f>
        <v>50000</v>
      </c>
      <c r="F30" s="1178">
        <f ca="1">SUM(F31:F31)</f>
        <v>40000</v>
      </c>
      <c r="G30" s="1178">
        <f>SUM(G31:G31)</f>
        <v>0</v>
      </c>
      <c r="H30" s="1183">
        <f ca="1">+G30/E30</f>
        <v>0</v>
      </c>
      <c r="I30" s="1183">
        <f t="shared" ca="1" si="10"/>
        <v>0</v>
      </c>
      <c r="J30" s="1178">
        <f ca="1">J31</f>
        <v>556000.00000000012</v>
      </c>
      <c r="K30" s="1178">
        <f ca="1">K31</f>
        <v>545279.75</v>
      </c>
      <c r="L30" s="1178">
        <f>L31</f>
        <v>505279.75</v>
      </c>
      <c r="M30" s="1183">
        <f ca="1">+IFERROR(L30/J30,"")</f>
        <v>0.90877652877697823</v>
      </c>
      <c r="P30" s="1191"/>
      <c r="Q30" s="1192"/>
      <c r="R30" s="1192" t="s">
        <v>575</v>
      </c>
      <c r="S30" s="1294">
        <f t="shared" si="15"/>
        <v>0</v>
      </c>
      <c r="T30" s="1358">
        <f>T27/T26</f>
        <v>0.2888</v>
      </c>
      <c r="U30" s="1282"/>
      <c r="V30" s="1290"/>
      <c r="W30" s="1290"/>
      <c r="X30" s="1547"/>
      <c r="Y30" s="1577"/>
      <c r="Z30" s="1346"/>
      <c r="AA30" s="1346"/>
      <c r="AB30" s="1346"/>
      <c r="AC30" s="1346"/>
      <c r="AD30" s="1346"/>
      <c r="AE30" s="1346"/>
      <c r="AF30" s="1346"/>
      <c r="AG30" s="1346"/>
      <c r="AH30" s="1346"/>
      <c r="AI30" s="1347"/>
    </row>
    <row r="31" spans="1:49" ht="18">
      <c r="A31" s="98"/>
      <c r="B31" s="511"/>
      <c r="C31" s="512" t="s">
        <v>656</v>
      </c>
      <c r="D31" s="520">
        <f ca="1">LOOKUP(B4, 'September TIS'!$B$12:$B$42, 'September TIS'!$BK$12:$BK$42)</f>
        <v>0</v>
      </c>
      <c r="E31" s="514">
        <f ca="1">LOOKUP(MATCH(E1,$X$1:$AI$1,0),$X$2:$AI$2,X26:AI26)</f>
        <v>50000</v>
      </c>
      <c r="F31" s="514">
        <f ca="1">LOOKUP(MATCH(E1,$X$1:$AI$1,0),$X$2:$AI$2,X27:AI27)</f>
        <v>40000</v>
      </c>
      <c r="G31" s="514">
        <f>'September TIS'!$BK$44</f>
        <v>0</v>
      </c>
      <c r="H31" s="521">
        <f ca="1">+G31/E31</f>
        <v>0</v>
      </c>
      <c r="I31" s="521">
        <f ca="1">IFERROR(G31/F31,"")</f>
        <v>0</v>
      </c>
      <c r="J31" s="514">
        <f ca="1">SUMIFS(X26:AI26,X2:AI2,"&lt;="&amp;MONTH(TODAY()-1))</f>
        <v>556000.00000000012</v>
      </c>
      <c r="K31" s="514">
        <f ca="1">+SUMIFS(X28:AI28,X2:AI2,"&lt;"&amp;MONTH(TODAY()-1))+SUMIFS(X27:AI27,X2:AI2,"="&amp;MONTH(TODAY()-1))</f>
        <v>545279.75</v>
      </c>
      <c r="L31" s="514">
        <f>SUM(S28)</f>
        <v>505279.75</v>
      </c>
      <c r="M31" s="521">
        <f ca="1">+IFERROR(L31/J31,"")</f>
        <v>0.90877652877697823</v>
      </c>
      <c r="P31" s="1170" t="s">
        <v>657</v>
      </c>
      <c r="Q31" s="1171"/>
      <c r="R31" s="240" t="s">
        <v>13</v>
      </c>
      <c r="S31" s="1294">
        <f>SUM(X31:AD31,AE31:AI31)</f>
        <v>0</v>
      </c>
      <c r="T31" s="1348">
        <f>SUM(X31:Z31)</f>
        <v>0</v>
      </c>
      <c r="U31" s="1349">
        <f>SUM(AA31:AC31)</f>
        <v>0</v>
      </c>
      <c r="V31" s="1350">
        <f>SUM(AD31:AF31)</f>
        <v>0</v>
      </c>
      <c r="W31" s="1350">
        <f>SUM(AG31:AI31)</f>
        <v>0</v>
      </c>
      <c r="X31" s="1561"/>
      <c r="Y31" s="1578"/>
      <c r="Z31" s="1352"/>
      <c r="AA31" s="1352"/>
      <c r="AB31" s="1352"/>
      <c r="AC31" s="1351"/>
      <c r="AD31" s="1351"/>
      <c r="AE31" s="1351"/>
      <c r="AF31" s="1351"/>
      <c r="AG31" s="1351"/>
      <c r="AH31" s="1351"/>
      <c r="AI31" s="1351"/>
    </row>
    <row r="32" spans="1:49" ht="18">
      <c r="A32" s="98"/>
      <c r="B32" s="511" t="s">
        <v>591</v>
      </c>
      <c r="C32" s="512"/>
      <c r="D32" s="520"/>
      <c r="E32" s="514"/>
      <c r="F32" s="514"/>
      <c r="G32" s="514"/>
      <c r="H32" s="514"/>
      <c r="I32" s="514"/>
      <c r="J32" s="514"/>
      <c r="K32" s="514"/>
      <c r="L32" s="514"/>
      <c r="M32" s="514"/>
    </row>
    <row r="33" spans="1:32" ht="18">
      <c r="A33" s="98"/>
      <c r="B33" s="511"/>
      <c r="C33" s="512" t="s">
        <v>198</v>
      </c>
      <c r="D33" s="547">
        <f ca="1">LOOKUP(B4, 'September TIS'!$B$12:$B$42, 'September TIS'!$BL$12:$BL$42)</f>
        <v>0</v>
      </c>
      <c r="E33" s="514"/>
      <c r="F33" s="514"/>
      <c r="G33" s="514"/>
      <c r="H33" s="514"/>
      <c r="I33" s="514"/>
      <c r="J33" s="514"/>
      <c r="K33" s="514"/>
      <c r="L33" s="514"/>
      <c r="M33" s="514"/>
      <c r="X33" s="987"/>
      <c r="Y33" s="987"/>
      <c r="Z33" s="987"/>
      <c r="AA33" s="987"/>
      <c r="AB33" s="987"/>
      <c r="AC33" s="987"/>
      <c r="AD33" s="987"/>
      <c r="AE33" s="987"/>
      <c r="AF33" s="987"/>
    </row>
    <row r="34" spans="1:32" ht="18">
      <c r="A34" s="98"/>
      <c r="B34" s="511"/>
      <c r="C34" s="512" t="s">
        <v>592</v>
      </c>
      <c r="D34" s="547">
        <f ca="1">LOOKUP(B4, 'September TIS'!$B$12:$B$42, 'September TIS'!$BM$12:$BM$42)</f>
        <v>0</v>
      </c>
      <c r="E34" s="514"/>
      <c r="F34" s="514"/>
      <c r="G34" s="514"/>
      <c r="H34" s="514"/>
      <c r="I34" s="514"/>
      <c r="J34" s="514"/>
      <c r="K34" s="514"/>
      <c r="L34" s="514"/>
      <c r="M34" s="514"/>
      <c r="X34" s="1692"/>
    </row>
    <row r="35" spans="1:32" ht="18">
      <c r="A35" s="98"/>
      <c r="B35" s="511"/>
      <c r="C35" s="512" t="s">
        <v>200</v>
      </c>
      <c r="D35" s="547">
        <f ca="1">LOOKUP(B4, 'September TIS'!$B$12:$B$42, 'September TIS'!$BN$12:$BN$42)</f>
        <v>0</v>
      </c>
      <c r="E35" s="514"/>
      <c r="F35" s="514"/>
      <c r="G35" s="514"/>
      <c r="H35" s="514"/>
      <c r="I35" s="514"/>
      <c r="J35" s="514"/>
      <c r="K35" s="514"/>
      <c r="L35" s="514"/>
      <c r="M35" s="514"/>
      <c r="X35" s="987">
        <f>SUM(X5:AC5)</f>
        <v>4249758.3878999995</v>
      </c>
      <c r="Y35" s="987"/>
      <c r="Z35" s="987"/>
      <c r="AA35" s="987"/>
      <c r="AB35" s="987"/>
      <c r="AC35" s="987"/>
    </row>
    <row r="36" spans="1:32" ht="18">
      <c r="A36" s="98"/>
      <c r="B36" s="511"/>
      <c r="C36" s="512" t="s">
        <v>201</v>
      </c>
      <c r="D36" s="547">
        <f ca="1">LOOKUP(B4, 'September TIS'!$B$12:$B$42, 'September TIS'!$BO$12:$BO$42)</f>
        <v>0</v>
      </c>
      <c r="E36" s="514"/>
      <c r="F36" s="514"/>
      <c r="G36" s="514"/>
      <c r="H36" s="514"/>
      <c r="I36" s="514"/>
      <c r="J36" s="514"/>
      <c r="K36" s="514"/>
      <c r="L36" s="514"/>
      <c r="M36" s="514"/>
      <c r="AA36" s="887"/>
      <c r="AB36" s="887"/>
    </row>
    <row r="37" spans="1:32" ht="18">
      <c r="A37" s="98"/>
      <c r="B37" s="548"/>
      <c r="C37" s="549" t="s">
        <v>172</v>
      </c>
      <c r="D37" s="550">
        <f ca="1">LOOKUP(B4, 'September TIS'!$B$12:$B$42, 'September TIS'!$BP$12:$BP$42)</f>
        <v>0</v>
      </c>
      <c r="E37" s="521"/>
      <c r="F37" s="521"/>
      <c r="G37" s="521"/>
      <c r="H37" s="521"/>
      <c r="I37" s="521"/>
      <c r="J37" s="521"/>
      <c r="K37" s="541"/>
      <c r="L37" s="521"/>
      <c r="M37" s="521"/>
    </row>
    <row r="38" spans="1:32">
      <c r="A38" s="98"/>
      <c r="D38" s="98"/>
      <c r="E38" s="98"/>
      <c r="F38" s="98"/>
      <c r="G38" s="98"/>
      <c r="H38" s="98"/>
      <c r="I38" s="98"/>
      <c r="J38" s="98"/>
      <c r="K38" s="98"/>
      <c r="L38" s="98"/>
      <c r="M38" s="98"/>
    </row>
    <row r="39" spans="1:32">
      <c r="A39" s="98"/>
      <c r="D39" s="98"/>
      <c r="E39" s="98"/>
      <c r="F39" s="98"/>
      <c r="G39" s="98"/>
      <c r="H39" s="98"/>
      <c r="I39" s="98"/>
      <c r="J39" s="98"/>
      <c r="K39" s="98"/>
      <c r="L39" s="98"/>
      <c r="M39" s="98"/>
    </row>
    <row r="40" spans="1:32">
      <c r="A40" s="98"/>
      <c r="D40" s="98"/>
      <c r="E40" s="98"/>
      <c r="F40" s="98"/>
      <c r="G40" s="98"/>
      <c r="H40" s="98"/>
      <c r="I40" s="98"/>
      <c r="J40" s="98"/>
      <c r="K40" s="98"/>
      <c r="L40" s="98"/>
      <c r="M40" s="98"/>
      <c r="Z40" s="887"/>
    </row>
    <row r="41" spans="1:32" ht="18">
      <c r="A41" s="98"/>
      <c r="B41" s="506"/>
      <c r="C41" s="506"/>
      <c r="D41" s="506"/>
      <c r="E41" s="506"/>
      <c r="F41" s="506"/>
      <c r="G41" s="506"/>
      <c r="H41" s="2952" t="s">
        <v>594</v>
      </c>
      <c r="I41" s="2952"/>
      <c r="J41" s="2952"/>
      <c r="K41" s="2952"/>
      <c r="L41" s="2952"/>
      <c r="M41" s="2952"/>
    </row>
    <row r="42" spans="1:32" ht="18">
      <c r="A42" s="98"/>
      <c r="B42" s="1194" t="s">
        <v>109</v>
      </c>
      <c r="C42" s="1195"/>
      <c r="D42" s="1196" t="s">
        <v>57</v>
      </c>
      <c r="E42" s="1197" t="s">
        <v>58</v>
      </c>
      <c r="F42" s="1197" t="s">
        <v>595</v>
      </c>
      <c r="G42" s="1197" t="s">
        <v>60</v>
      </c>
      <c r="H42" s="1197" t="s">
        <v>596</v>
      </c>
      <c r="I42" s="1197" t="s">
        <v>597</v>
      </c>
      <c r="J42" s="1197" t="s">
        <v>598</v>
      </c>
      <c r="K42" s="1197" t="s">
        <v>599</v>
      </c>
      <c r="L42" s="1197" t="s">
        <v>600</v>
      </c>
      <c r="M42" s="1197" t="s">
        <v>658</v>
      </c>
    </row>
    <row r="43" spans="1:32" ht="18">
      <c r="A43" s="98"/>
      <c r="B43" s="555" t="s">
        <v>604</v>
      </c>
      <c r="C43" s="565"/>
      <c r="D43" s="1198">
        <f ca="1">SUM(D44:D46)</f>
        <v>41431</v>
      </c>
      <c r="E43" s="1199">
        <f>SUM(E44,E45,E46)</f>
        <v>0</v>
      </c>
      <c r="F43" s="1199"/>
      <c r="G43" s="1199">
        <f ca="1">SUM(G44:G46)</f>
        <v>38569</v>
      </c>
      <c r="H43" s="1200"/>
      <c r="I43" s="1201"/>
      <c r="J43" s="1201"/>
      <c r="K43" s="1201"/>
      <c r="L43" s="1201"/>
      <c r="M43" s="1202"/>
      <c r="Y43" s="887"/>
    </row>
    <row r="44" spans="1:32" ht="18" hidden="1">
      <c r="A44" s="98"/>
      <c r="B44" s="555"/>
      <c r="C44" s="565" t="s">
        <v>41</v>
      </c>
      <c r="D44" s="1203"/>
      <c r="E44" s="1204"/>
      <c r="F44" s="1204"/>
      <c r="G44" s="1204">
        <f>+(F44-D44)</f>
        <v>0</v>
      </c>
      <c r="H44" s="607"/>
      <c r="I44" s="608"/>
      <c r="J44" s="608"/>
      <c r="K44" s="608"/>
      <c r="L44" s="608"/>
      <c r="M44" s="1205"/>
      <c r="Y44" s="987"/>
    </row>
    <row r="45" spans="1:32" ht="18">
      <c r="A45" s="98"/>
      <c r="B45" s="555"/>
      <c r="C45" s="565" t="s">
        <v>50</v>
      </c>
      <c r="D45" s="1203">
        <f ca="1">ROUND(LOOKUP(B4, 'August TIS'!$B$12:$B$42, 'August TIS'!$AJ$12:$AJ$42), 0)</f>
        <v>0</v>
      </c>
      <c r="E45" s="1204"/>
      <c r="F45" s="1204"/>
      <c r="G45" s="1204">
        <f ca="1">+(F45-D45)</f>
        <v>0</v>
      </c>
      <c r="H45" s="1267">
        <v>7267</v>
      </c>
      <c r="I45" s="1268">
        <v>1.79</v>
      </c>
      <c r="J45" s="1268">
        <v>1.97</v>
      </c>
      <c r="K45" s="1268">
        <v>5.4</v>
      </c>
      <c r="L45" s="1268">
        <v>7.74</v>
      </c>
      <c r="M45" s="969">
        <v>45832</v>
      </c>
      <c r="Q45" s="1"/>
    </row>
    <row r="46" spans="1:32" ht="18">
      <c r="A46" s="98"/>
      <c r="B46" s="555"/>
      <c r="C46" s="565" t="s">
        <v>53</v>
      </c>
      <c r="D46" s="1203">
        <f ca="1">ROUND(LOOKUP(B4, 'September TIS'!$B$12:$B$42, 'September TIS'!$AK$12:$AK$42), 0)</f>
        <v>41431</v>
      </c>
      <c r="E46" s="1204"/>
      <c r="F46" s="1206">
        <v>80000</v>
      </c>
      <c r="G46" s="1207">
        <f ca="1">+(F46-D46)</f>
        <v>38569</v>
      </c>
      <c r="H46" s="1209">
        <v>7323</v>
      </c>
      <c r="I46" s="1241">
        <v>1.41</v>
      </c>
      <c r="J46" s="1242">
        <v>2.27</v>
      </c>
      <c r="K46" s="1242">
        <v>5.36</v>
      </c>
      <c r="L46" s="1242">
        <v>8.94</v>
      </c>
      <c r="M46" s="969">
        <v>46272</v>
      </c>
    </row>
    <row r="47" spans="1:32" ht="18">
      <c r="A47" s="98"/>
      <c r="B47" s="1301" t="s">
        <v>659</v>
      </c>
      <c r="C47" s="1302"/>
      <c r="D47" s="1303">
        <f>D49+D48</f>
        <v>3655.7888670000002</v>
      </c>
      <c r="E47" s="605"/>
      <c r="F47" s="1304">
        <v>100000</v>
      </c>
      <c r="G47" s="1305">
        <f>F47-D47</f>
        <v>96344.211133000004</v>
      </c>
      <c r="H47" s="1305"/>
      <c r="I47" s="1306"/>
      <c r="J47" s="1307"/>
      <c r="K47" s="1307"/>
      <c r="L47" s="1307"/>
      <c r="M47" s="1315"/>
      <c r="R47">
        <f>950-359.04</f>
        <v>590.96</v>
      </c>
    </row>
    <row r="48" spans="1:32" ht="18">
      <c r="A48" s="98"/>
      <c r="B48" s="1301"/>
      <c r="C48" s="1302" t="s">
        <v>69</v>
      </c>
      <c r="D48" s="1303">
        <f>'August TIS'!AR44</f>
        <v>0</v>
      </c>
      <c r="E48" s="605"/>
      <c r="F48" s="1304"/>
      <c r="G48" s="1305"/>
      <c r="H48" s="1305"/>
      <c r="I48" s="1306"/>
      <c r="J48" s="1307"/>
      <c r="K48" s="1307"/>
      <c r="L48" s="1307"/>
      <c r="M48" s="1317"/>
    </row>
    <row r="49" spans="1:13" ht="18">
      <c r="A49" s="98"/>
      <c r="B49" s="1301"/>
      <c r="C49" s="1302" t="s">
        <v>71</v>
      </c>
      <c r="D49" s="1303">
        <f>'September TIS'!AS44</f>
        <v>3655.7888670000002</v>
      </c>
      <c r="E49" s="605"/>
      <c r="F49" s="1304"/>
      <c r="G49" s="1305"/>
      <c r="H49" s="1305">
        <v>7114</v>
      </c>
      <c r="I49" s="1306">
        <v>1.57</v>
      </c>
      <c r="J49" s="1307">
        <v>4.38</v>
      </c>
      <c r="K49" s="1307">
        <v>7.64</v>
      </c>
      <c r="L49" s="1307">
        <v>11.54</v>
      </c>
      <c r="M49" s="1316">
        <v>46241</v>
      </c>
    </row>
    <row r="50" spans="1:13" ht="18">
      <c r="A50" s="98"/>
      <c r="B50" s="555" t="s">
        <v>181</v>
      </c>
      <c r="C50" s="565"/>
      <c r="D50" s="600"/>
      <c r="E50" s="600"/>
      <c r="F50" s="1208"/>
      <c r="G50" s="1209"/>
      <c r="H50" s="1235">
        <v>6926</v>
      </c>
      <c r="I50" s="1236">
        <v>1.79</v>
      </c>
      <c r="J50" s="1237">
        <v>1.8</v>
      </c>
      <c r="K50" s="1237">
        <v>5.62</v>
      </c>
      <c r="L50" s="1237">
        <v>9.08</v>
      </c>
      <c r="M50" s="1238">
        <v>45664</v>
      </c>
    </row>
    <row r="51" spans="1:13" ht="18">
      <c r="A51" s="98"/>
      <c r="B51" s="555"/>
      <c r="C51" s="565" t="s">
        <v>656</v>
      </c>
      <c r="D51" s="602">
        <f>'August TIS'!BS43</f>
        <v>14648.028234150015</v>
      </c>
      <c r="E51" s="602">
        <v>0</v>
      </c>
      <c r="F51" s="1210">
        <v>30000</v>
      </c>
      <c r="G51" s="1211">
        <f>+(F51-D51)</f>
        <v>15351.971765849985</v>
      </c>
      <c r="H51" s="579"/>
      <c r="I51" s="580"/>
      <c r="J51" s="581"/>
      <c r="K51" s="581"/>
      <c r="L51" s="581"/>
      <c r="M51" s="1212"/>
    </row>
    <row r="52" spans="1:13" ht="18">
      <c r="A52" s="98"/>
      <c r="B52" s="505"/>
      <c r="C52" s="505"/>
      <c r="D52" s="1213"/>
      <c r="E52" s="1213"/>
      <c r="F52" s="1214"/>
      <c r="G52" s="1215"/>
      <c r="H52" s="1216"/>
      <c r="I52" s="1217"/>
      <c r="J52" s="1218"/>
      <c r="K52" s="1218"/>
      <c r="L52" s="1218"/>
      <c r="M52" s="1219"/>
    </row>
    <row r="53" spans="1:13" ht="18" hidden="1">
      <c r="A53" s="98"/>
      <c r="B53" s="505"/>
      <c r="C53" s="505"/>
      <c r="D53" s="1213"/>
      <c r="E53" s="1213"/>
      <c r="F53" s="1214"/>
      <c r="G53" s="1215"/>
      <c r="H53" s="1216"/>
      <c r="I53" s="1217"/>
      <c r="J53" s="1218"/>
      <c r="K53" s="1218"/>
      <c r="L53" s="1218"/>
      <c r="M53" s="1219"/>
    </row>
    <row r="54" spans="1:13" hidden="1">
      <c r="A54" s="98"/>
      <c r="D54" s="98"/>
      <c r="E54" s="98"/>
      <c r="F54" s="98"/>
      <c r="G54" s="98"/>
      <c r="H54" s="98"/>
      <c r="I54" s="98"/>
      <c r="J54" s="98"/>
      <c r="K54" s="98"/>
      <c r="L54" s="98"/>
      <c r="M54" s="98"/>
    </row>
    <row r="55" spans="1:13" hidden="1">
      <c r="A55" s="108">
        <v>200</v>
      </c>
      <c r="D55" s="98"/>
      <c r="E55" s="98"/>
      <c r="F55" s="98"/>
      <c r="G55" s="98"/>
      <c r="H55" s="98"/>
      <c r="I55" s="98"/>
      <c r="J55" s="98"/>
      <c r="K55" s="98"/>
      <c r="L55" s="98"/>
      <c r="M55" s="98"/>
    </row>
    <row r="56" spans="1:13" ht="18">
      <c r="A56" s="108">
        <v>50</v>
      </c>
      <c r="B56" s="994" t="s">
        <v>628</v>
      </c>
      <c r="C56" s="995"/>
      <c r="D56" s="1404"/>
      <c r="E56" s="996"/>
      <c r="F56" s="996"/>
      <c r="G56" s="996"/>
      <c r="H56" s="996"/>
      <c r="I56" s="996"/>
      <c r="J56" s="996"/>
      <c r="K56" s="996"/>
      <c r="L56" s="996"/>
      <c r="M56" s="997"/>
    </row>
    <row r="57" spans="1:13" ht="19.2" customHeight="1">
      <c r="A57" s="109">
        <v>0.2</v>
      </c>
      <c r="B57" s="2922" t="s">
        <v>630</v>
      </c>
      <c r="C57" s="2923"/>
      <c r="D57" s="2923"/>
      <c r="E57" s="2923"/>
      <c r="F57" s="2923"/>
      <c r="G57" s="2923"/>
      <c r="H57" s="882"/>
      <c r="I57" s="882"/>
      <c r="J57" s="882"/>
      <c r="K57" s="882"/>
      <c r="L57" s="882"/>
      <c r="M57" s="883"/>
    </row>
    <row r="58" spans="1:13" ht="18" customHeight="1">
      <c r="A58" s="98">
        <v>0.1</v>
      </c>
      <c r="B58" s="2922" t="s">
        <v>632</v>
      </c>
      <c r="C58" s="2923"/>
      <c r="D58" s="882"/>
      <c r="E58" s="882"/>
      <c r="F58" s="882"/>
      <c r="G58" s="882"/>
      <c r="H58" s="882"/>
      <c r="I58" s="882"/>
      <c r="J58" s="882"/>
      <c r="K58" s="882"/>
      <c r="L58" s="882"/>
      <c r="M58" s="883"/>
    </row>
    <row r="59" spans="1:13" ht="18">
      <c r="A59" s="108">
        <v>2</v>
      </c>
      <c r="B59" s="1220" t="s">
        <v>634</v>
      </c>
      <c r="C59" s="882"/>
      <c r="D59" s="882"/>
      <c r="E59" s="882"/>
      <c r="F59" s="882"/>
      <c r="G59" s="882"/>
      <c r="H59" s="882"/>
      <c r="I59" s="882"/>
      <c r="J59" s="882"/>
      <c r="K59" s="882"/>
      <c r="L59" s="882"/>
      <c r="M59" s="883"/>
    </row>
    <row r="60" spans="1:13" ht="18">
      <c r="A60" s="108">
        <v>1</v>
      </c>
      <c r="B60" s="884"/>
      <c r="C60" s="885"/>
      <c r="D60" s="885"/>
      <c r="E60" s="885"/>
      <c r="F60" s="885"/>
      <c r="G60" s="885"/>
      <c r="H60" s="885"/>
      <c r="I60" s="885"/>
      <c r="J60" s="885"/>
      <c r="K60" s="885"/>
      <c r="L60" s="885"/>
      <c r="M60" s="886" t="s">
        <v>79</v>
      </c>
    </row>
  </sheetData>
  <mergeCells count="6">
    <mergeCell ref="B58:C58"/>
    <mergeCell ref="E1:I1"/>
    <mergeCell ref="J1:M1"/>
    <mergeCell ref="E6:E8"/>
    <mergeCell ref="H41:M41"/>
    <mergeCell ref="B57:G57"/>
  </mergeCells>
  <conditionalFormatting sqref="H10:I11">
    <cfRule type="iconSet" priority="6">
      <iconSet>
        <cfvo type="percent" val="0"/>
        <cfvo type="formula" val="$A$9"/>
        <cfvo type="formula" val="$A$8"/>
      </iconSet>
    </cfRule>
  </conditionalFormatting>
  <conditionalFormatting sqref="H12:I14">
    <cfRule type="iconSet" priority="9">
      <iconSet>
        <cfvo type="percent" val="0"/>
        <cfvo type="formula" val="$A$9"/>
        <cfvo type="formula" val="$A$8"/>
      </iconSet>
    </cfRule>
  </conditionalFormatting>
  <conditionalFormatting sqref="H15:I15">
    <cfRule type="iconSet" priority="3">
      <iconSet showValue="0" reverse="1">
        <cfvo type="percent" val="0"/>
        <cfvo type="formula" val="$A$22" gte="0"/>
        <cfvo type="formula" val="$A$21" gte="0"/>
      </iconSet>
    </cfRule>
    <cfRule type="iconSet" priority="4">
      <iconSet>
        <cfvo type="percent" val="0"/>
        <cfvo type="percent" val="33"/>
        <cfvo type="percent" val="67"/>
      </iconSet>
    </cfRule>
  </conditionalFormatting>
  <conditionalFormatting sqref="H16:I16">
    <cfRule type="iconSet" priority="7">
      <iconSet showValue="0" reverse="1">
        <cfvo type="percent" val="0"/>
        <cfvo type="formula" val="$A$22" gte="0"/>
        <cfvo type="formula" val="$A$21" gte="0"/>
      </iconSet>
    </cfRule>
    <cfRule type="iconSet" priority="8">
      <iconSet>
        <cfvo type="percent" val="0"/>
        <cfvo type="percent" val="33"/>
        <cfvo type="percent" val="67"/>
      </iconSet>
    </cfRule>
  </conditionalFormatting>
  <conditionalFormatting sqref="H17:I17">
    <cfRule type="iconSet" priority="5">
      <iconSet>
        <cfvo type="percent" val="0"/>
        <cfvo type="formula" val="$A$9"/>
        <cfvo type="formula" val="$A$8"/>
      </iconSet>
    </cfRule>
  </conditionalFormatting>
  <conditionalFormatting sqref="H21:I21">
    <cfRule type="iconSet" priority="2">
      <iconSet>
        <cfvo type="percent" val="0"/>
        <cfvo type="formula" val="$A$9"/>
        <cfvo type="formula" val="$A$8"/>
      </iconSet>
    </cfRule>
  </conditionalFormatting>
  <conditionalFormatting sqref="H30:I30">
    <cfRule type="iconSet" priority="1">
      <iconSet>
        <cfvo type="percent" val="0"/>
        <cfvo type="formula" val="$A$9"/>
        <cfvo type="formula" val="$A$8"/>
      </iconSet>
    </cfRule>
  </conditionalFormatting>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theme="9" tint="0.39997558519241921"/>
  </sheetPr>
  <dimension ref="A1:SF301"/>
  <sheetViews>
    <sheetView showGridLines="0" zoomScale="78" zoomScaleNormal="78" workbookViewId="0">
      <pane xSplit="2" ySplit="9" topLeftCell="OE31" activePane="bottomRight" state="frozen"/>
      <selection pane="topRight" activeCell="BM11" sqref="BM11"/>
      <selection pane="bottomLeft" activeCell="BM11" sqref="BM11"/>
      <selection pane="bottomRight" activeCell="PR48" sqref="PR48"/>
    </sheetView>
  </sheetViews>
  <sheetFormatPr defaultColWidth="8.6640625" defaultRowHeight="14.4"/>
  <cols>
    <col min="1" max="1" width="2.33203125" customWidth="1"/>
    <col min="2" max="2" width="7.33203125" customWidth="1"/>
    <col min="3" max="3" width="15.33203125" customWidth="1"/>
    <col min="4" max="4" width="13" customWidth="1"/>
    <col min="5" max="5" width="10.44140625" customWidth="1"/>
    <col min="6" max="7" width="10.44140625" hidden="1" customWidth="1"/>
    <col min="8" max="8" width="13.6640625" customWidth="1"/>
    <col min="9" max="9" width="10.44140625" customWidth="1"/>
    <col min="10" max="10" width="12.33203125" customWidth="1"/>
    <col min="11" max="11" width="8.6640625" customWidth="1"/>
    <col min="12" max="12" width="10" customWidth="1"/>
    <col min="13" max="13" width="8.6640625" customWidth="1"/>
    <col min="14" max="14" width="5" customWidth="1"/>
    <col min="15" max="15" width="14.6640625" customWidth="1"/>
    <col min="16" max="16" width="16.6640625" customWidth="1"/>
    <col min="17" max="17" width="11.6640625" customWidth="1"/>
    <col min="18" max="18" width="8.33203125" customWidth="1"/>
    <col min="19" max="19" width="12.6640625" customWidth="1"/>
    <col min="20" max="20" width="15.33203125" customWidth="1"/>
    <col min="21" max="21" width="10.33203125" customWidth="1"/>
    <col min="22" max="22" width="8.6640625" customWidth="1"/>
    <col min="23" max="23" width="13" customWidth="1"/>
    <col min="24" max="24" width="13.6640625" customWidth="1"/>
    <col min="25" max="26" width="9.33203125" customWidth="1"/>
    <col min="27" max="27" width="15.44140625" customWidth="1"/>
    <col min="28" max="28" width="12.6640625" customWidth="1"/>
    <col min="29" max="30" width="9.33203125" customWidth="1"/>
    <col min="31" max="31" width="14.33203125" hidden="1" customWidth="1"/>
    <col min="32" max="33" width="12.6640625" hidden="1" customWidth="1"/>
    <col min="34" max="34" width="8.6640625" hidden="1" customWidth="1"/>
    <col min="35" max="35" width="10.33203125" hidden="1" customWidth="1"/>
    <col min="36" max="36" width="9.33203125" hidden="1" customWidth="1"/>
    <col min="37" max="38" width="8.6640625" hidden="1" customWidth="1"/>
    <col min="39" max="39" width="1.33203125" customWidth="1"/>
    <col min="40" max="40" width="12" hidden="1" customWidth="1"/>
    <col min="41" max="42" width="8.6640625" hidden="1" customWidth="1"/>
    <col min="43" max="43" width="14.5546875" hidden="1" customWidth="1"/>
    <col min="44" max="45" width="12.33203125" hidden="1" customWidth="1"/>
    <col min="46" max="46" width="14.6640625" hidden="1" customWidth="1"/>
    <col min="47" max="47" width="11.44140625" hidden="1" customWidth="1"/>
    <col min="48" max="48" width="11.6640625" hidden="1" customWidth="1"/>
    <col min="49" max="49" width="14.5546875" customWidth="1"/>
    <col min="50" max="50" width="12.33203125" customWidth="1"/>
    <col min="51" max="51" width="11.33203125" customWidth="1"/>
    <col min="52" max="52" width="8.5546875" hidden="1" customWidth="1"/>
    <col min="53" max="53" width="8.6640625" hidden="1" customWidth="1"/>
    <col min="54" max="54" width="9.33203125" hidden="1" customWidth="1"/>
    <col min="55" max="55" width="11.5546875" customWidth="1"/>
    <col min="56" max="56" width="11.44140625" customWidth="1"/>
    <col min="57" max="57" width="10.44140625" customWidth="1"/>
    <col min="58" max="58" width="13.6640625" hidden="1" customWidth="1"/>
    <col min="59" max="59" width="15.33203125" hidden="1" customWidth="1"/>
    <col min="60" max="60" width="9.33203125" hidden="1" customWidth="1"/>
    <col min="61" max="61" width="11.6640625" hidden="1" customWidth="1"/>
    <col min="62" max="62" width="12.33203125" hidden="1" customWidth="1"/>
    <col min="63" max="63" width="8.6640625" hidden="1" customWidth="1"/>
    <col min="64" max="64" width="13.109375" customWidth="1"/>
    <col min="65" max="65" width="12.33203125" customWidth="1"/>
    <col min="66" max="66" width="8.6640625" customWidth="1"/>
    <col min="67" max="67" width="11.44140625" customWidth="1"/>
    <col min="68" max="68" width="14.6640625" customWidth="1"/>
    <col min="69" max="69" width="10.6640625" customWidth="1"/>
    <col min="70" max="71" width="11.44140625" hidden="1" customWidth="1"/>
    <col min="72" max="72" width="8.6640625" hidden="1" customWidth="1"/>
    <col min="73" max="73" width="13.33203125" customWidth="1"/>
    <col min="74" max="74" width="12.6640625" customWidth="1"/>
    <col min="75" max="75" width="11.88671875" customWidth="1"/>
    <col min="76" max="76" width="13.5546875" hidden="1" customWidth="1"/>
    <col min="77" max="77" width="12.33203125" hidden="1" customWidth="1"/>
    <col min="78" max="78" width="9.33203125" hidden="1" customWidth="1"/>
    <col min="79" max="79" width="12.6640625" hidden="1" customWidth="1"/>
    <col min="80" max="80" width="11.33203125" hidden="1" customWidth="1"/>
    <col min="81" max="81" width="9.33203125" hidden="1" customWidth="1"/>
    <col min="82" max="82" width="13.44140625" hidden="1" customWidth="1"/>
    <col min="83" max="83" width="13" hidden="1" customWidth="1"/>
    <col min="84" max="84" width="9.33203125" hidden="1" customWidth="1"/>
    <col min="85" max="85" width="7.6640625" customWidth="1"/>
    <col min="86" max="87" width="10.6640625" customWidth="1"/>
    <col min="88" max="88" width="12.33203125" customWidth="1"/>
    <col min="89" max="89" width="12.88671875" customWidth="1"/>
    <col min="90" max="90" width="0" hidden="1" customWidth="1"/>
    <col min="91" max="91" width="9.88671875" customWidth="1"/>
    <col min="92" max="92" width="0" hidden="1" customWidth="1"/>
    <col min="93" max="93" width="18.33203125" customWidth="1"/>
    <col min="94" max="94" width="6.6640625" customWidth="1"/>
    <col min="96" max="96" width="11.6640625" bestFit="1" customWidth="1"/>
    <col min="98" max="98" width="11.6640625" bestFit="1" customWidth="1"/>
    <col min="100" max="100" width="11.6640625" bestFit="1" customWidth="1"/>
    <col min="102" max="102" width="11.6640625" bestFit="1" customWidth="1"/>
    <col min="103" max="103" width="11.5546875" customWidth="1"/>
    <col min="104" max="104" width="11.6640625" bestFit="1" customWidth="1"/>
    <col min="105" max="105" width="10.33203125" customWidth="1"/>
    <col min="106" max="106" width="11.6640625" bestFit="1" customWidth="1"/>
    <col min="107" max="107" width="13.33203125" bestFit="1" customWidth="1"/>
    <col min="108" max="108" width="7.6640625" customWidth="1"/>
    <col min="109" max="109" width="12.33203125" customWidth="1"/>
    <col min="110" max="110" width="11.6640625" bestFit="1" customWidth="1"/>
    <col min="111" max="111" width="11.6640625" customWidth="1"/>
    <col min="112" max="112" width="11.6640625" bestFit="1" customWidth="1"/>
    <col min="113" max="113" width="12.5546875" bestFit="1" customWidth="1"/>
    <col min="114" max="114" width="11.6640625" bestFit="1" customWidth="1"/>
    <col min="115" max="115" width="12.5546875" customWidth="1"/>
    <col min="116" max="116" width="11.6640625" bestFit="1" customWidth="1"/>
    <col min="117" max="117" width="12.6640625" bestFit="1" customWidth="1"/>
    <col min="118" max="118" width="11.6640625" bestFit="1" customWidth="1"/>
    <col min="119" max="119" width="12.33203125" customWidth="1"/>
    <col min="120" max="120" width="11.6640625" bestFit="1" customWidth="1"/>
    <col min="121" max="121" width="13.6640625" bestFit="1" customWidth="1"/>
    <col min="122" max="122" width="11.33203125" customWidth="1"/>
    <col min="123" max="123" width="16.6640625" customWidth="1"/>
    <col min="124" max="124" width="9.6640625" customWidth="1"/>
    <col min="125" max="125" width="11.6640625" bestFit="1" customWidth="1"/>
    <col min="126" max="126" width="10.33203125" bestFit="1" customWidth="1"/>
    <col min="127" max="127" width="11.6640625" bestFit="1" customWidth="1"/>
    <col min="128" max="128" width="10.33203125" customWidth="1"/>
    <col min="129" max="129" width="11.6640625" bestFit="1" customWidth="1"/>
    <col min="130" max="130" width="12.33203125" customWidth="1"/>
    <col min="131" max="131" width="10.33203125" customWidth="1"/>
    <col min="132" max="132" width="9.33203125" customWidth="1"/>
    <col min="133" max="133" width="11.6640625" bestFit="1" customWidth="1"/>
    <col min="134" max="134" width="14.6640625" customWidth="1"/>
    <col min="135" max="135" width="12.6640625" bestFit="1" customWidth="1"/>
    <col min="136" max="136" width="12.33203125" customWidth="1"/>
    <col min="137" max="137" width="12.6640625" bestFit="1" customWidth="1"/>
    <col min="138" max="138" width="12.33203125" customWidth="1"/>
    <col min="139" max="139" width="12.6640625" bestFit="1" customWidth="1"/>
    <col min="140" max="140" width="12.33203125" customWidth="1"/>
    <col min="141" max="141" width="12.6640625" bestFit="1" customWidth="1"/>
    <col min="142" max="142" width="12.33203125" customWidth="1"/>
    <col min="143" max="143" width="12.6640625" bestFit="1" customWidth="1"/>
    <col min="144" max="144" width="12.33203125" customWidth="1"/>
    <col min="145" max="145" width="12.6640625" bestFit="1" customWidth="1"/>
    <col min="146" max="146" width="11.6640625" customWidth="1"/>
    <col min="147" max="147" width="12.6640625" customWidth="1"/>
    <col min="148" max="154" width="8.6640625" hidden="1" customWidth="1"/>
    <col min="155" max="155" width="1.33203125" customWidth="1"/>
    <col min="156" max="156" width="6.6640625" customWidth="1"/>
    <col min="159" max="159" width="9.33203125" bestFit="1" customWidth="1"/>
    <col min="162" max="162" width="1.33203125" customWidth="1"/>
    <col min="163" max="176" width="8.6640625" hidden="1" customWidth="1"/>
    <col min="177" max="177" width="7.33203125" bestFit="1" customWidth="1"/>
    <col min="178" max="178" width="11.6640625" bestFit="1" customWidth="1"/>
    <col min="179" max="179" width="6.6640625" bestFit="1" customWidth="1"/>
    <col min="180" max="180" width="11.6640625" bestFit="1" customWidth="1"/>
    <col min="181" max="181" width="6.6640625" bestFit="1" customWidth="1"/>
    <col min="182" max="182" width="11.6640625" bestFit="1" customWidth="1"/>
    <col min="183" max="183" width="6.6640625" bestFit="1" customWidth="1"/>
    <col min="184" max="184" width="11.6640625" bestFit="1" customWidth="1"/>
    <col min="185" max="185" width="10.33203125" bestFit="1" customWidth="1"/>
    <col min="186" max="186" width="11.6640625" bestFit="1" customWidth="1"/>
    <col min="187" max="187" width="6.6640625" bestFit="1" customWidth="1"/>
    <col min="188" max="188" width="11.6640625" bestFit="1" customWidth="1"/>
    <col min="190" max="190" width="1.33203125" customWidth="1"/>
    <col min="191" max="191" width="6.6640625" customWidth="1"/>
    <col min="192" max="192" width="13" customWidth="1"/>
    <col min="193" max="193" width="13.44140625" customWidth="1"/>
    <col min="194" max="194" width="14.33203125" customWidth="1"/>
    <col min="195" max="195" width="17.33203125" customWidth="1"/>
    <col min="196" max="196" width="10.33203125" hidden="1" customWidth="1"/>
    <col min="197" max="197" width="8.6640625" hidden="1" customWidth="1"/>
    <col min="198" max="198" width="45.33203125" customWidth="1"/>
    <col min="199" max="199" width="1.33203125" customWidth="1"/>
    <col min="200" max="200" width="15.44140625" customWidth="1"/>
    <col min="201" max="202" width="13.33203125" customWidth="1"/>
    <col min="203" max="203" width="12.33203125" customWidth="1"/>
    <col min="204" max="204" width="15.33203125" customWidth="1"/>
    <col min="205" max="205" width="1.33203125" customWidth="1"/>
    <col min="206" max="206" width="13.5546875" customWidth="1"/>
    <col min="207" max="207" width="12.33203125" customWidth="1"/>
    <col min="208" max="208" width="13.33203125" customWidth="1"/>
    <col min="209" max="209" width="13" customWidth="1"/>
    <col min="210" max="210" width="12.6640625" customWidth="1"/>
    <col min="211" max="211" width="14.44140625" customWidth="1"/>
    <col min="212" max="212" width="12" customWidth="1"/>
    <col min="213" max="214" width="11.6640625" customWidth="1"/>
    <col min="215" max="215" width="13" customWidth="1"/>
    <col min="216" max="216" width="11.44140625" customWidth="1"/>
    <col min="217" max="217" width="11.6640625" customWidth="1"/>
    <col min="218" max="218" width="10.44140625" customWidth="1"/>
    <col min="219" max="219" width="10.33203125" customWidth="1"/>
    <col min="220" max="220" width="11.44140625" customWidth="1"/>
    <col min="221" max="234" width="10.44140625" hidden="1" customWidth="1"/>
    <col min="235" max="235" width="0.5546875" hidden="1" customWidth="1"/>
    <col min="236" max="236" width="11.33203125" customWidth="1"/>
    <col min="237" max="237" width="11.6640625" customWidth="1"/>
    <col min="238" max="238" width="10.33203125" customWidth="1"/>
    <col min="239" max="239" width="11.6640625" customWidth="1"/>
    <col min="240" max="240" width="12.33203125" bestFit="1" customWidth="1"/>
    <col min="241" max="241" width="11.6640625" bestFit="1" customWidth="1"/>
    <col min="242" max="242" width="12" customWidth="1"/>
    <col min="243" max="243" width="11.6640625" bestFit="1" customWidth="1"/>
    <col min="244" max="244" width="12.33203125" bestFit="1" customWidth="1"/>
    <col min="245" max="245" width="11.6640625" bestFit="1" customWidth="1"/>
    <col min="246" max="246" width="13.33203125" customWidth="1"/>
    <col min="247" max="247" width="12.33203125" customWidth="1"/>
    <col min="248" max="249" width="8.6640625" customWidth="1"/>
    <col min="250" max="250" width="13" customWidth="1"/>
    <col min="251" max="251" width="10.6640625" customWidth="1"/>
    <col min="252" max="252" width="11.6640625" bestFit="1" customWidth="1"/>
    <col min="253" max="253" width="9.44140625" customWidth="1"/>
    <col min="254" max="254" width="11.6640625" bestFit="1" customWidth="1"/>
    <col min="255" max="256" width="12" bestFit="1" customWidth="1"/>
    <col min="257" max="257" width="10.5546875" customWidth="1"/>
    <col min="258" max="258" width="11.6640625" bestFit="1" customWidth="1"/>
    <col min="259" max="259" width="12.5546875" bestFit="1" customWidth="1"/>
    <col min="260" max="260" width="12" bestFit="1" customWidth="1"/>
    <col min="261" max="261" width="11.6640625" customWidth="1"/>
    <col min="262" max="262" width="11.6640625" bestFit="1" customWidth="1"/>
    <col min="265" max="265" width="13" customWidth="1"/>
    <col min="266" max="266" width="1.33203125" customWidth="1"/>
    <col min="267" max="267" width="6.6640625" customWidth="1"/>
    <col min="268" max="268" width="15.33203125" customWidth="1"/>
    <col min="269" max="269" width="16" customWidth="1"/>
    <col min="270" max="270" width="15.5546875" bestFit="1" customWidth="1"/>
    <col min="271" max="271" width="13.6640625" customWidth="1"/>
    <col min="272" max="272" width="13" bestFit="1" customWidth="1"/>
    <col min="273" max="273" width="3.6640625" customWidth="1"/>
    <col min="274" max="274" width="9.6640625" customWidth="1"/>
    <col min="276" max="276" width="12.33203125" bestFit="1" customWidth="1"/>
    <col min="278" max="278" width="11.5546875" customWidth="1"/>
    <col min="282" max="286" width="8.6640625" customWidth="1"/>
    <col min="287" max="287" width="9.33203125" customWidth="1"/>
    <col min="288" max="289" width="8.6640625" customWidth="1"/>
    <col min="296" max="296" width="8.6640625" customWidth="1"/>
    <col min="297" max="297" width="6.33203125" customWidth="1"/>
    <col min="299" max="299" width="1.33203125" customWidth="1"/>
    <col min="305" max="305" width="10.33203125" customWidth="1"/>
    <col min="306" max="306" width="8.33203125" customWidth="1"/>
    <col min="307" max="309" width="8.6640625" customWidth="1"/>
    <col min="315" max="315" width="0" hidden="1" customWidth="1"/>
    <col min="316" max="316" width="1.33203125" customWidth="1"/>
    <col min="317" max="317" width="6.6640625" customWidth="1"/>
    <col min="318" max="318" width="16.33203125" customWidth="1"/>
    <col min="319" max="319" width="15.33203125" customWidth="1"/>
    <col min="320" max="320" width="15.109375" customWidth="1"/>
    <col min="321" max="321" width="14.33203125" bestFit="1" customWidth="1"/>
    <col min="322" max="322" width="15.88671875" customWidth="1"/>
    <col min="323" max="323" width="13.44140625" bestFit="1" customWidth="1"/>
    <col min="325" max="325" width="0" hidden="1" customWidth="1"/>
    <col min="327" max="327" width="49.33203125" customWidth="1"/>
    <col min="328" max="328" width="1.33203125" customWidth="1"/>
    <col min="329" max="329" width="15.33203125" customWidth="1"/>
    <col min="330" max="330" width="10.33203125" bestFit="1" customWidth="1"/>
    <col min="331" max="331" width="13.6640625" bestFit="1" customWidth="1"/>
    <col min="332" max="332" width="9.44140625" customWidth="1"/>
    <col min="333" max="333" width="9.6640625" customWidth="1"/>
    <col min="334" max="334" width="12.33203125" customWidth="1"/>
    <col min="335" max="335" width="10.44140625" bestFit="1" customWidth="1"/>
    <col min="336" max="336" width="11.33203125" customWidth="1"/>
    <col min="337" max="337" width="13.6640625" bestFit="1" customWidth="1"/>
    <col min="338" max="338" width="12" bestFit="1" customWidth="1"/>
    <col min="339" max="339" width="13" bestFit="1" customWidth="1"/>
    <col min="340" max="340" width="9.6640625" bestFit="1" customWidth="1"/>
    <col min="341" max="341" width="9.33203125" bestFit="1" customWidth="1"/>
    <col min="342" max="342" width="12.6640625" customWidth="1"/>
    <col min="343" max="343" width="13.6640625" bestFit="1" customWidth="1"/>
    <col min="344" max="344" width="9.44140625" bestFit="1" customWidth="1"/>
    <col min="345" max="345" width="9.6640625" bestFit="1" customWidth="1"/>
    <col min="346" max="346" width="13.5546875" bestFit="1" customWidth="1"/>
    <col min="347" max="347" width="7.6640625" customWidth="1"/>
    <col min="348" max="348" width="9.33203125" customWidth="1"/>
    <col min="349" max="349" width="15.5546875" customWidth="1"/>
    <col min="350" max="350" width="9.44140625" customWidth="1"/>
    <col min="351" max="351" width="9.6640625" customWidth="1"/>
    <col min="352" max="352" width="13.5546875" customWidth="1"/>
    <col min="353" max="354" width="9.33203125" customWidth="1"/>
    <col min="355" max="355" width="15.5546875" customWidth="1"/>
    <col min="356" max="356" width="9.44140625" customWidth="1"/>
    <col min="357" max="357" width="9.6640625" customWidth="1"/>
    <col min="358" max="358" width="8.6640625" customWidth="1"/>
    <col min="359" max="359" width="1.33203125" customWidth="1"/>
    <col min="360" max="360" width="6.6640625" customWidth="1"/>
    <col min="361" max="361" width="13" customWidth="1"/>
    <col min="362" max="362" width="12.33203125" customWidth="1"/>
    <col min="364" max="364" width="12" customWidth="1"/>
    <col min="365" max="365" width="1.33203125" customWidth="1"/>
    <col min="366" max="366" width="17.33203125" customWidth="1"/>
    <col min="367" max="368" width="17.6640625" customWidth="1"/>
    <col min="369" max="369" width="15.33203125" customWidth="1"/>
    <col min="370" max="370" width="13.6640625" hidden="1" customWidth="1"/>
    <col min="371" max="371" width="14.44140625" hidden="1" customWidth="1"/>
    <col min="372" max="372" width="12.33203125" hidden="1" customWidth="1"/>
    <col min="373" max="373" width="11.6640625" hidden="1" customWidth="1"/>
    <col min="374" max="374" width="12" hidden="1" customWidth="1"/>
    <col min="375" max="375" width="11.6640625" hidden="1" customWidth="1"/>
    <col min="376" max="376" width="13.33203125" hidden="1" customWidth="1"/>
    <col min="377" max="377" width="13.44140625" hidden="1" customWidth="1"/>
    <col min="378" max="378" width="10.33203125" customWidth="1"/>
    <col min="379" max="379" width="11.6640625" hidden="1" customWidth="1"/>
    <col min="380" max="380" width="9.33203125" customWidth="1"/>
    <col min="381" max="381" width="11.6640625" bestFit="1" customWidth="1"/>
    <col min="382" max="382" width="11.5546875" bestFit="1" customWidth="1"/>
    <col min="383" max="383" width="12.33203125" hidden="1" customWidth="1"/>
    <col min="384" max="384" width="11.6640625" hidden="1" customWidth="1"/>
    <col min="385" max="385" width="11.33203125" hidden="1" customWidth="1"/>
    <col min="386" max="386" width="11.6640625" hidden="1" customWidth="1"/>
    <col min="387" max="387" width="10.33203125" hidden="1" customWidth="1"/>
    <col min="388" max="388" width="11.6640625" hidden="1" customWidth="1"/>
    <col min="389" max="389" width="12.33203125" customWidth="1"/>
    <col min="390" max="390" width="11.6640625" hidden="1" customWidth="1"/>
    <col min="391" max="391" width="13.44140625" customWidth="1"/>
    <col min="392" max="392" width="14.6640625" hidden="1" customWidth="1"/>
    <col min="393" max="393" width="11.33203125" bestFit="1" customWidth="1"/>
    <col min="394" max="394" width="12.6640625" hidden="1" customWidth="1"/>
    <col min="395" max="395" width="12.33203125" customWidth="1"/>
    <col min="396" max="396" width="10" hidden="1" customWidth="1"/>
    <col min="397" max="397" width="11.6640625" hidden="1" customWidth="1"/>
    <col min="398" max="398" width="9.6640625" hidden="1" customWidth="1"/>
    <col min="399" max="399" width="11.6640625" hidden="1" customWidth="1"/>
    <col min="400" max="400" width="11" hidden="1" customWidth="1"/>
    <col min="401" max="401" width="11.6640625" hidden="1" customWidth="1"/>
    <col min="402" max="402" width="9.6640625" hidden="1" customWidth="1"/>
    <col min="403" max="403" width="11.6640625" hidden="1" customWidth="1"/>
    <col min="404" max="404" width="10.6640625" customWidth="1"/>
    <col min="405" max="405" width="11.6640625" hidden="1" customWidth="1"/>
    <col min="406" max="406" width="11.109375" customWidth="1"/>
    <col min="407" max="407" width="11.6640625" hidden="1" customWidth="1"/>
    <col min="408" max="408" width="13.6640625" customWidth="1"/>
    <col min="409" max="409" width="9.33203125" hidden="1" customWidth="1"/>
    <col min="410" max="410" width="9.5546875" hidden="1" customWidth="1"/>
    <col min="411" max="414" width="9.33203125" hidden="1" customWidth="1"/>
    <col min="415" max="415" width="9.5546875" hidden="1" customWidth="1"/>
    <col min="416" max="419" width="8.6640625" hidden="1" customWidth="1"/>
    <col min="420" max="420" width="13.44140625" hidden="1" customWidth="1"/>
    <col min="421" max="421" width="8.6640625" hidden="1" customWidth="1"/>
    <col min="422" max="422" width="9.33203125" hidden="1" customWidth="1"/>
    <col min="423" max="423" width="1.33203125" customWidth="1"/>
    <col min="424" max="424" width="6.6640625" customWidth="1"/>
    <col min="425" max="425" width="11.6640625" customWidth="1"/>
    <col min="426" max="428" width="9.5546875" customWidth="1"/>
    <col min="429" max="429" width="11.5546875" customWidth="1"/>
    <col min="430" max="430" width="11.88671875" customWidth="1"/>
    <col min="431" max="431" width="15.6640625" customWidth="1"/>
    <col min="432" max="432" width="1.33203125" customWidth="1"/>
    <col min="433" max="433" width="6.6640625" customWidth="1"/>
    <col min="434" max="435" width="14" customWidth="1"/>
    <col min="437" max="438" width="12.33203125" customWidth="1"/>
    <col min="439" max="440" width="14" customWidth="1"/>
    <col min="441" max="441" width="10.6640625" customWidth="1"/>
    <col min="442" max="442" width="12" bestFit="1" customWidth="1"/>
    <col min="443" max="443" width="11.33203125" customWidth="1"/>
    <col min="444" max="446" width="12" customWidth="1"/>
    <col min="447" max="447" width="12.6640625" customWidth="1"/>
    <col min="448" max="448" width="11.5546875" customWidth="1"/>
    <col min="449" max="449" width="14.33203125" customWidth="1"/>
    <col min="450" max="450" width="14.33203125" hidden="1" customWidth="1"/>
    <col min="460" max="475" width="0" hidden="1" customWidth="1"/>
    <col min="476" max="476" width="12.33203125" hidden="1" customWidth="1"/>
    <col min="477" max="479" width="8.6640625" hidden="1" customWidth="1"/>
    <col min="480" max="480" width="8.6640625" customWidth="1"/>
    <col min="481" max="482" width="11.33203125" customWidth="1"/>
    <col min="483" max="483" width="10" bestFit="1" customWidth="1"/>
    <col min="484" max="484" width="10" customWidth="1"/>
    <col min="485" max="485" width="18.33203125" bestFit="1" customWidth="1"/>
    <col min="486" max="486" width="19.5546875" bestFit="1" customWidth="1"/>
    <col min="491" max="491" width="19.5546875" bestFit="1" customWidth="1"/>
    <col min="500" max="500" width="16.88671875" customWidth="1"/>
  </cols>
  <sheetData>
    <row r="1" spans="1:500">
      <c r="AQ1" s="887"/>
      <c r="AR1" s="887"/>
      <c r="AW1" s="887"/>
      <c r="AX1" s="887"/>
      <c r="BF1" s="887"/>
      <c r="BG1" s="887"/>
      <c r="BI1" s="887"/>
      <c r="BJ1" s="887"/>
      <c r="BO1" s="887"/>
      <c r="BP1" s="887"/>
      <c r="BR1" s="887"/>
      <c r="BS1" s="887"/>
      <c r="CI1" s="1">
        <f>CE28+CB28</f>
        <v>0</v>
      </c>
      <c r="ED1" s="28">
        <v>668.31000000000006</v>
      </c>
      <c r="EJ1" s="281"/>
      <c r="GM1">
        <v>6835.7999999999993</v>
      </c>
      <c r="GO1" s="314"/>
      <c r="JH1" s="106"/>
      <c r="JI1" s="106"/>
      <c r="JJ1" s="106"/>
      <c r="LM1" s="106"/>
      <c r="ND1" s="98"/>
      <c r="NE1" s="98"/>
      <c r="NF1" s="145"/>
      <c r="NK1" s="1"/>
      <c r="OI1" s="72"/>
      <c r="PO1" s="1"/>
      <c r="PR1" s="1"/>
      <c r="RW1" s="1"/>
    </row>
    <row r="2" spans="1:500">
      <c r="BS2" s="1"/>
      <c r="BV2" s="1"/>
      <c r="CE2" s="1"/>
      <c r="DE2">
        <v>214.42</v>
      </c>
      <c r="DM2" s="852"/>
      <c r="DQ2" s="25"/>
      <c r="EG2" s="281"/>
      <c r="EH2" s="281"/>
      <c r="GO2" s="314"/>
      <c r="IY2" s="106"/>
      <c r="LZ2">
        <v>3250.7799999997887</v>
      </c>
      <c r="NC2">
        <v>45772.269007624804</v>
      </c>
      <c r="ND2" s="145"/>
      <c r="NE2" s="98"/>
      <c r="NH2" s="1"/>
      <c r="NL2" s="98"/>
      <c r="NM2" s="98"/>
      <c r="NN2" s="98">
        <f>NL2+NM2</f>
        <v>0</v>
      </c>
      <c r="NU2" s="1"/>
      <c r="OO2" s="1"/>
      <c r="OR2" s="1"/>
      <c r="PJ2">
        <v>1588.98</v>
      </c>
      <c r="PO2">
        <v>-820.9</v>
      </c>
      <c r="QL2" t="s">
        <v>209</v>
      </c>
      <c r="RW2" s="1"/>
    </row>
    <row r="3" spans="1:500">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489"/>
      <c r="AR3" s="489"/>
      <c r="AS3" s="145"/>
      <c r="AT3" s="489"/>
      <c r="AU3" s="489"/>
      <c r="AV3" s="145"/>
      <c r="AW3" s="489"/>
      <c r="AX3" s="489"/>
      <c r="AY3" s="145"/>
      <c r="AZ3" s="145"/>
      <c r="BA3" s="145"/>
      <c r="BB3" s="145"/>
      <c r="BC3" s="145"/>
      <c r="BD3" s="145"/>
      <c r="BE3" s="145"/>
      <c r="BF3" s="489"/>
      <c r="BG3" s="489"/>
      <c r="BH3" s="145"/>
      <c r="BI3" s="489"/>
      <c r="BJ3" s="489"/>
      <c r="BK3" s="145"/>
      <c r="BL3" s="489"/>
      <c r="BM3" s="489"/>
      <c r="BN3" s="145"/>
      <c r="BO3" s="489"/>
      <c r="BP3" s="489"/>
      <c r="BQ3" s="145"/>
      <c r="BR3" s="489"/>
      <c r="BS3" s="489"/>
      <c r="BT3" s="145"/>
      <c r="BU3" s="489"/>
      <c r="BV3" s="489"/>
      <c r="BW3" s="145"/>
      <c r="BX3" s="489"/>
      <c r="BY3" s="489"/>
      <c r="BZ3" s="145"/>
      <c r="CA3" s="489"/>
      <c r="CB3" s="489">
        <f>CB43/31</f>
        <v>0</v>
      </c>
      <c r="CC3" s="145"/>
      <c r="CD3" s="489">
        <f>CD43/31</f>
        <v>0</v>
      </c>
      <c r="CE3" s="489">
        <f>CE43/31</f>
        <v>0</v>
      </c>
      <c r="CF3" s="145"/>
      <c r="CG3" s="145"/>
      <c r="CH3" s="145"/>
      <c r="CI3" s="145"/>
      <c r="CJ3" s="145"/>
      <c r="CK3" s="145"/>
      <c r="CL3" s="145"/>
      <c r="CM3" s="145"/>
      <c r="CN3" s="145"/>
      <c r="CO3" s="145"/>
      <c r="DM3" s="95"/>
      <c r="DO3" s="95"/>
      <c r="EE3" s="1"/>
      <c r="EF3" s="1"/>
      <c r="GO3" s="314"/>
      <c r="ND3" s="145"/>
      <c r="NE3" s="98"/>
      <c r="NH3" s="1"/>
      <c r="RW3" s="1"/>
    </row>
    <row r="4" spans="1:500" s="39" customFormat="1" ht="36" customHeight="1">
      <c r="B4" s="2625" t="s">
        <v>103</v>
      </c>
      <c r="C4" s="2692" t="s">
        <v>104</v>
      </c>
      <c r="D4" s="2693"/>
      <c r="E4" s="2693"/>
      <c r="F4" s="2693"/>
      <c r="G4" s="2693"/>
      <c r="H4" s="2693"/>
      <c r="I4" s="2693"/>
      <c r="J4" s="2693"/>
      <c r="K4" s="2693"/>
      <c r="L4" s="2693"/>
      <c r="M4" s="2693"/>
      <c r="N4" s="2693"/>
      <c r="O4" s="2693"/>
      <c r="P4" s="2693"/>
      <c r="Q4" s="2693"/>
      <c r="R4" s="2693"/>
      <c r="S4" s="2693"/>
      <c r="T4" s="2693"/>
      <c r="U4" s="2693"/>
      <c r="V4" s="2693"/>
      <c r="W4" s="2693"/>
      <c r="X4" s="2693"/>
      <c r="Y4" s="2693"/>
      <c r="Z4" s="2693"/>
      <c r="AA4" s="2693"/>
      <c r="AB4" s="2693"/>
      <c r="AC4" s="2693"/>
      <c r="AD4" s="2693"/>
      <c r="AE4" s="2693"/>
      <c r="AF4" s="2693"/>
      <c r="AG4" s="2693"/>
      <c r="AH4" s="2693"/>
      <c r="AI4" s="2693"/>
      <c r="AJ4" s="2693"/>
      <c r="AK4" s="2693"/>
      <c r="AL4" s="2693"/>
      <c r="AM4" s="2693"/>
      <c r="AN4" s="2693"/>
      <c r="AO4" s="2693"/>
      <c r="AP4" s="2693"/>
      <c r="AQ4" s="2693"/>
      <c r="AR4" s="2693"/>
      <c r="AS4" s="2693"/>
      <c r="AT4" s="2693"/>
      <c r="AU4" s="2693"/>
      <c r="AV4" s="2693"/>
      <c r="AW4" s="2693"/>
      <c r="AX4" s="2693"/>
      <c r="AY4" s="2693"/>
      <c r="AZ4" s="2693"/>
      <c r="BA4" s="2693"/>
      <c r="BB4" s="2693"/>
      <c r="BC4" s="2693"/>
      <c r="BD4" s="2693"/>
      <c r="BE4" s="2693"/>
      <c r="BF4" s="2693"/>
      <c r="BG4" s="2693"/>
      <c r="BH4" s="2693"/>
      <c r="BI4" s="2693"/>
      <c r="BJ4" s="2693"/>
      <c r="BK4" s="2693"/>
      <c r="BL4" s="2693"/>
      <c r="BM4" s="2693"/>
      <c r="BN4" s="2693"/>
      <c r="BO4" s="2693"/>
      <c r="BP4" s="2693"/>
      <c r="BQ4" s="2693"/>
      <c r="BR4" s="2693"/>
      <c r="BS4" s="2693"/>
      <c r="BT4" s="2693"/>
      <c r="BU4" s="2693"/>
      <c r="BV4" s="2693"/>
      <c r="BW4" s="2693"/>
      <c r="BX4" s="2693"/>
      <c r="BY4" s="2693"/>
      <c r="BZ4" s="2693"/>
      <c r="CA4" s="2693"/>
      <c r="CB4" s="2693"/>
      <c r="CC4" s="2693"/>
      <c r="CD4" s="2693"/>
      <c r="CE4" s="2693"/>
      <c r="CF4" s="2693"/>
      <c r="CG4" s="2693"/>
      <c r="CH4" s="2693"/>
      <c r="CI4" s="2693"/>
      <c r="CJ4" s="2693"/>
      <c r="CK4" s="2693"/>
      <c r="CL4" s="2693"/>
      <c r="CM4" s="2693"/>
      <c r="CN4" s="2693"/>
      <c r="CO4" s="2694"/>
      <c r="CQ4" s="2646" t="s">
        <v>105</v>
      </c>
      <c r="CR4" s="2647"/>
      <c r="CS4" s="2647"/>
      <c r="CT4" s="2647"/>
      <c r="CU4" s="2647"/>
      <c r="CV4" s="2647"/>
      <c r="CW4" s="2647"/>
      <c r="CX4" s="2647"/>
      <c r="CY4" s="2647"/>
      <c r="CZ4" s="2647"/>
      <c r="DA4" s="2647"/>
      <c r="DB4" s="2647"/>
      <c r="DC4" s="2647"/>
      <c r="DD4" s="2647"/>
      <c r="DE4" s="2647"/>
      <c r="DF4" s="2647"/>
      <c r="DG4" s="2647"/>
      <c r="DH4" s="2647"/>
      <c r="DI4" s="2647"/>
      <c r="DJ4" s="2647"/>
      <c r="DK4" s="2647"/>
      <c r="DL4" s="2647"/>
      <c r="DM4" s="2647"/>
      <c r="DN4" s="2647"/>
      <c r="DO4" s="2647"/>
      <c r="DP4" s="2647"/>
      <c r="DQ4" s="2647"/>
      <c r="DR4" s="2647"/>
      <c r="DS4" s="2647"/>
      <c r="DT4" s="2647"/>
      <c r="DU4" s="2647"/>
      <c r="DV4" s="2647"/>
      <c r="DW4" s="2647"/>
      <c r="DX4" s="2647"/>
      <c r="DY4" s="2647"/>
      <c r="DZ4" s="2647"/>
      <c r="EA4" s="2647"/>
      <c r="EB4" s="2647"/>
      <c r="EC4" s="2647"/>
      <c r="ED4" s="2647"/>
      <c r="EE4" s="2647"/>
      <c r="EF4" s="2647"/>
      <c r="EG4" s="2647"/>
      <c r="EH4" s="2647"/>
      <c r="EI4" s="2647"/>
      <c r="EJ4" s="2647"/>
      <c r="EK4" s="2647"/>
      <c r="EL4" s="2647"/>
      <c r="EM4" s="2647"/>
      <c r="EN4" s="2647"/>
      <c r="EO4" s="2647"/>
      <c r="EP4" s="2647"/>
      <c r="EQ4" s="2647"/>
      <c r="ER4" s="2647"/>
      <c r="ES4" s="2647"/>
      <c r="ET4" s="2647"/>
      <c r="EU4" s="2647"/>
      <c r="EV4" s="2647"/>
      <c r="EW4" s="2647"/>
      <c r="EX4" s="2647"/>
      <c r="EY4" s="2648"/>
      <c r="FA4" s="2649" t="s">
        <v>106</v>
      </c>
      <c r="FB4" s="2650"/>
      <c r="FC4" s="2650"/>
      <c r="FD4" s="2650"/>
      <c r="FE4" s="2650"/>
      <c r="FF4" s="2650"/>
      <c r="FG4" s="2650"/>
      <c r="FH4" s="2650"/>
      <c r="FI4" s="2650"/>
      <c r="FJ4" s="2650"/>
      <c r="FK4" s="2650"/>
      <c r="FL4" s="2650"/>
      <c r="FM4" s="2650"/>
      <c r="FN4" s="2650"/>
      <c r="FO4" s="2650"/>
      <c r="FP4" s="2650"/>
      <c r="FQ4" s="2650"/>
      <c r="FR4" s="2650"/>
      <c r="FS4" s="2650"/>
      <c r="FT4" s="2650"/>
      <c r="FU4" s="2650"/>
      <c r="FV4" s="2650"/>
      <c r="FW4" s="2650"/>
      <c r="FX4" s="2650"/>
      <c r="FY4" s="2650"/>
      <c r="FZ4" s="2650"/>
      <c r="GA4" s="2650"/>
      <c r="GB4" s="2650"/>
      <c r="GC4" s="2650"/>
      <c r="GD4" s="2650"/>
      <c r="GE4" s="2650"/>
      <c r="GF4" s="2650"/>
      <c r="GG4" s="2650"/>
      <c r="GH4" s="2651"/>
      <c r="GJ4" s="2652" t="s">
        <v>22</v>
      </c>
      <c r="GK4" s="2653"/>
      <c r="GL4" s="2653"/>
      <c r="GM4" s="2653"/>
      <c r="GN4" s="2653"/>
      <c r="GO4" s="2653"/>
      <c r="GP4" s="2653"/>
      <c r="GQ4" s="2653"/>
      <c r="GR4" s="2653"/>
      <c r="GS4" s="2653"/>
      <c r="GT4" s="2653"/>
      <c r="GU4" s="2653"/>
      <c r="GV4" s="2653"/>
      <c r="GW4" s="2653"/>
      <c r="GX4" s="2653"/>
      <c r="GY4" s="2653"/>
      <c r="GZ4" s="2653"/>
      <c r="HA4" s="2653"/>
      <c r="HB4" s="2653"/>
      <c r="HC4" s="2653"/>
      <c r="HD4" s="2653"/>
      <c r="HE4" s="2653"/>
      <c r="HF4" s="2653"/>
      <c r="HG4" s="2653"/>
      <c r="HH4" s="2653"/>
      <c r="HI4" s="2653"/>
      <c r="HJ4" s="2653"/>
      <c r="HK4" s="2653"/>
      <c r="HL4" s="2653"/>
      <c r="HM4" s="2653"/>
      <c r="HN4" s="2653"/>
      <c r="HO4" s="2653"/>
      <c r="HP4" s="2653"/>
      <c r="HQ4" s="2653"/>
      <c r="HR4" s="2653"/>
      <c r="HS4" s="2653"/>
      <c r="HT4" s="2653"/>
      <c r="HU4" s="2653"/>
      <c r="HV4" s="2653"/>
      <c r="HW4" s="2653"/>
      <c r="HX4" s="2653"/>
      <c r="HY4" s="2653"/>
      <c r="HZ4" s="2653"/>
      <c r="IA4" s="2653"/>
      <c r="IB4" s="2653"/>
      <c r="IC4" s="2653"/>
      <c r="ID4" s="2653"/>
      <c r="IE4" s="2653"/>
      <c r="IF4" s="2653"/>
      <c r="IG4" s="2653"/>
      <c r="IH4" s="2653"/>
      <c r="II4" s="2653"/>
      <c r="IJ4" s="2653"/>
      <c r="IK4" s="2653"/>
      <c r="IL4" s="2653"/>
      <c r="IM4" s="2653"/>
      <c r="IN4" s="2653"/>
      <c r="IO4" s="2653"/>
      <c r="IP4" s="2653"/>
      <c r="IQ4" s="2653"/>
      <c r="IR4" s="2653"/>
      <c r="IS4" s="2653"/>
      <c r="IT4" s="2653"/>
      <c r="IU4" s="2653"/>
      <c r="IV4" s="2653"/>
      <c r="IW4" s="2653"/>
      <c r="IX4" s="2653"/>
      <c r="IY4" s="2653"/>
      <c r="IZ4" s="2653"/>
      <c r="JA4" s="2653"/>
      <c r="JB4" s="2653"/>
      <c r="JC4" s="2653"/>
      <c r="JD4" s="2653"/>
      <c r="JE4" s="2653"/>
      <c r="JF4" s="2654"/>
      <c r="JH4" s="2655" t="s">
        <v>107</v>
      </c>
      <c r="JI4" s="2656"/>
      <c r="JJ4" s="2656"/>
      <c r="JK4" s="2656"/>
      <c r="JL4" s="2656"/>
      <c r="JM4" s="2656"/>
      <c r="JN4" s="2656"/>
      <c r="JO4" s="2656"/>
      <c r="JP4" s="2656"/>
      <c r="JQ4" s="2656"/>
      <c r="JR4" s="2656"/>
      <c r="JS4" s="2656"/>
      <c r="JT4" s="2656"/>
      <c r="JU4" s="2656"/>
      <c r="JV4" s="2656"/>
      <c r="JW4" s="2656"/>
      <c r="JX4" s="2656"/>
      <c r="JY4" s="2656"/>
      <c r="JZ4" s="2656"/>
      <c r="KA4" s="2656"/>
      <c r="KB4" s="2656"/>
      <c r="KC4" s="2656"/>
      <c r="KD4" s="2656"/>
      <c r="KE4" s="2656"/>
      <c r="KF4" s="2656"/>
      <c r="KG4" s="2656"/>
      <c r="KH4" s="2656"/>
      <c r="KI4" s="2656"/>
      <c r="KJ4" s="2656"/>
      <c r="KK4" s="2656"/>
      <c r="KL4" s="2656"/>
      <c r="KM4" s="2656"/>
      <c r="KN4" s="2656"/>
      <c r="KO4" s="2656"/>
      <c r="KP4" s="2656"/>
      <c r="KQ4" s="2656"/>
      <c r="KR4" s="2656"/>
      <c r="KS4" s="2656"/>
      <c r="KT4" s="2656"/>
      <c r="KU4" s="2656"/>
      <c r="KV4" s="2656"/>
      <c r="KW4" s="2656"/>
      <c r="KX4" s="2656"/>
      <c r="KY4" s="2656"/>
      <c r="KZ4" s="2656"/>
      <c r="LA4" s="2656"/>
      <c r="LB4" s="2656"/>
      <c r="LC4" s="2656"/>
      <c r="LD4" s="2657"/>
      <c r="LF4" s="2658" t="s">
        <v>108</v>
      </c>
      <c r="LG4" s="2659"/>
      <c r="LH4" s="2659"/>
      <c r="LI4" s="2659"/>
      <c r="LJ4" s="2659"/>
      <c r="LK4" s="2659"/>
      <c r="LL4" s="2659"/>
      <c r="LM4" s="2659"/>
      <c r="LN4" s="2659"/>
      <c r="LO4" s="2659"/>
      <c r="LP4" s="2659"/>
      <c r="LQ4" s="2659"/>
      <c r="LR4" s="2659"/>
      <c r="LS4" s="2659"/>
      <c r="LT4" s="2659"/>
      <c r="LU4" s="2659"/>
      <c r="LV4" s="2659"/>
      <c r="LW4" s="2659"/>
      <c r="LX4" s="2659"/>
      <c r="LY4" s="2659"/>
      <c r="LZ4" s="2659"/>
      <c r="MA4" s="2659"/>
      <c r="MB4" s="2659"/>
      <c r="MC4" s="2659"/>
      <c r="MD4" s="2659"/>
      <c r="ME4" s="2659"/>
      <c r="MF4" s="2659"/>
      <c r="MG4" s="2659"/>
      <c r="MH4" s="2659"/>
      <c r="MI4" s="2659"/>
      <c r="MJ4" s="2659"/>
      <c r="MK4" s="2659"/>
      <c r="ML4" s="2659"/>
      <c r="MM4" s="2659"/>
      <c r="MN4" s="2659"/>
      <c r="MO4" s="2659"/>
      <c r="MP4" s="2659"/>
      <c r="MQ4" s="2659"/>
      <c r="MR4" s="2659"/>
      <c r="MS4" s="2659"/>
      <c r="MT4" s="2659"/>
      <c r="MU4" s="2660"/>
      <c r="MW4" s="2661"/>
      <c r="MX4" s="2662"/>
      <c r="MY4" s="2662"/>
      <c r="MZ4" s="2662"/>
      <c r="NA4" s="2662"/>
      <c r="NB4" s="2662"/>
      <c r="NC4" s="2662"/>
      <c r="ND4" s="2662"/>
      <c r="NE4" s="2662"/>
      <c r="NF4" s="2662"/>
      <c r="NG4" s="2662"/>
      <c r="NH4" s="2662"/>
      <c r="NI4" s="2662"/>
      <c r="NJ4" s="2662"/>
      <c r="NK4" s="2662"/>
      <c r="NL4" s="2662"/>
      <c r="NM4" s="2662"/>
      <c r="NN4" s="2662"/>
      <c r="NO4" s="2662"/>
      <c r="NP4" s="2662"/>
      <c r="NQ4" s="2662"/>
      <c r="NR4" s="2662"/>
      <c r="NS4" s="2662"/>
      <c r="NT4" s="2662"/>
      <c r="NU4" s="2662"/>
      <c r="NV4" s="2662"/>
      <c r="NW4" s="2662"/>
      <c r="NX4" s="2662"/>
      <c r="NY4" s="2662"/>
      <c r="NZ4" s="2662"/>
      <c r="OA4" s="2662"/>
      <c r="OB4" s="2662"/>
      <c r="OC4" s="2662"/>
      <c r="OD4" s="2662"/>
      <c r="OE4" s="2662"/>
      <c r="OF4" s="2662"/>
      <c r="OG4" s="2662"/>
      <c r="OH4" s="2662"/>
      <c r="OI4" s="2662"/>
      <c r="OJ4" s="2662"/>
      <c r="OK4" s="2662"/>
      <c r="OL4" s="2662"/>
      <c r="OM4" s="2662"/>
      <c r="ON4" s="2662"/>
      <c r="OO4" s="2662"/>
      <c r="OP4" s="2662"/>
      <c r="OQ4" s="2662"/>
      <c r="OR4" s="2662"/>
      <c r="OS4" s="2662"/>
      <c r="OT4" s="2662"/>
      <c r="OU4" s="2662"/>
      <c r="OV4" s="2662"/>
      <c r="OW4" s="2662"/>
      <c r="OX4" s="2662"/>
      <c r="OY4" s="2662"/>
      <c r="OZ4" s="2662"/>
      <c r="PA4" s="2662"/>
      <c r="PB4" s="2662"/>
      <c r="PC4" s="2662"/>
      <c r="PD4" s="2662"/>
      <c r="PE4" s="2662"/>
      <c r="PF4" s="2662"/>
      <c r="PG4" s="2663"/>
      <c r="PI4" s="2664" t="s">
        <v>110</v>
      </c>
      <c r="PJ4" s="2665"/>
      <c r="PK4" s="2665"/>
      <c r="PL4" s="2665"/>
      <c r="PM4" s="2665"/>
      <c r="PN4" s="2665"/>
      <c r="PO4" s="2665"/>
      <c r="PP4" s="2666"/>
      <c r="PR4" s="2677" t="s">
        <v>30</v>
      </c>
      <c r="PS4" s="2678"/>
      <c r="PT4" s="2678"/>
      <c r="PU4" s="2678"/>
      <c r="PV4" s="2678"/>
      <c r="PW4" s="2678"/>
      <c r="PX4" s="2678"/>
      <c r="PY4" s="2678"/>
      <c r="PZ4" s="2678"/>
      <c r="QA4" s="2678"/>
      <c r="QB4" s="2678"/>
      <c r="QC4" s="2678"/>
      <c r="QD4" s="2678"/>
      <c r="QE4" s="2678"/>
      <c r="QF4" s="2678"/>
      <c r="QG4" s="2678"/>
      <c r="QH4" s="2678"/>
      <c r="QI4" s="2678"/>
      <c r="QJ4" s="2679"/>
      <c r="RW4" s="1068"/>
    </row>
    <row r="5" spans="1:500" s="40" customFormat="1" ht="12.75" customHeight="1">
      <c r="B5" s="2626"/>
      <c r="C5" s="2624" t="s">
        <v>111</v>
      </c>
      <c r="D5" s="2628"/>
      <c r="E5" s="2628"/>
      <c r="F5" s="2628"/>
      <c r="G5" s="2628"/>
      <c r="H5" s="2628"/>
      <c r="I5" s="2628"/>
      <c r="J5" s="2628"/>
      <c r="K5" s="2628"/>
      <c r="L5" s="2628"/>
      <c r="M5" s="2628"/>
      <c r="N5" s="2629"/>
      <c r="O5" s="2631" t="s">
        <v>112</v>
      </c>
      <c r="P5" s="2623"/>
      <c r="Q5" s="2623"/>
      <c r="R5" s="2623"/>
      <c r="S5" s="2623"/>
      <c r="T5" s="2623"/>
      <c r="U5" s="2623"/>
      <c r="V5" s="2623"/>
      <c r="W5" s="2623"/>
      <c r="X5" s="2623"/>
      <c r="Y5" s="2623"/>
      <c r="Z5" s="2623"/>
      <c r="AA5" s="2623"/>
      <c r="AB5" s="2623"/>
      <c r="AC5" s="2623"/>
      <c r="AD5" s="2623"/>
      <c r="AE5" s="2623"/>
      <c r="AF5" s="2623"/>
      <c r="AG5" s="2623"/>
      <c r="AH5" s="2623"/>
      <c r="AI5" s="2623"/>
      <c r="AJ5" s="2623"/>
      <c r="AK5" s="2623"/>
      <c r="AL5" s="2624"/>
      <c r="AM5" s="2629"/>
      <c r="AN5" s="2680" t="s">
        <v>113</v>
      </c>
      <c r="AO5" s="2681"/>
      <c r="AP5" s="2681"/>
      <c r="AQ5" s="2681"/>
      <c r="AR5" s="2681"/>
      <c r="AS5" s="2681"/>
      <c r="AT5" s="2681"/>
      <c r="AU5" s="2681"/>
      <c r="AV5" s="2681"/>
      <c r="AW5" s="2681"/>
      <c r="AX5" s="2681"/>
      <c r="AY5" s="2681"/>
      <c r="AZ5" s="2681"/>
      <c r="BA5" s="2681"/>
      <c r="BB5" s="2681"/>
      <c r="BC5" s="2681"/>
      <c r="BD5" s="2681"/>
      <c r="BE5" s="2681"/>
      <c r="BF5" s="2681"/>
      <c r="BG5" s="2681"/>
      <c r="BH5" s="2681"/>
      <c r="BI5" s="2681"/>
      <c r="BJ5" s="2681"/>
      <c r="BK5" s="2681"/>
      <c r="BL5" s="2681"/>
      <c r="BM5" s="2681"/>
      <c r="BN5" s="2681"/>
      <c r="BO5" s="2681"/>
      <c r="BP5" s="2681"/>
      <c r="BQ5" s="2681"/>
      <c r="BR5" s="2681"/>
      <c r="BS5" s="2681"/>
      <c r="BT5" s="2681"/>
      <c r="BU5" s="2681"/>
      <c r="BV5" s="2681"/>
      <c r="BW5" s="2681"/>
      <c r="BX5" s="2681"/>
      <c r="BY5" s="2681"/>
      <c r="BZ5" s="2681"/>
      <c r="CA5" s="2681"/>
      <c r="CB5" s="2681"/>
      <c r="CC5" s="2681"/>
      <c r="CD5" s="2681"/>
      <c r="CE5" s="2681"/>
      <c r="CF5" s="2682"/>
      <c r="CG5" s="147"/>
      <c r="CH5" s="2633" t="s">
        <v>114</v>
      </c>
      <c r="CI5" s="2635"/>
      <c r="CJ5" s="2635"/>
      <c r="CK5" s="2635"/>
      <c r="CL5" s="2635"/>
      <c r="CM5" s="2635"/>
      <c r="CN5" s="2634"/>
      <c r="CO5" s="348" t="s">
        <v>210</v>
      </c>
      <c r="CP5" s="41"/>
      <c r="CQ5" s="2623" t="s">
        <v>111</v>
      </c>
      <c r="CR5" s="2623"/>
      <c r="CS5" s="2623"/>
      <c r="CT5" s="2623"/>
      <c r="CU5" s="2623"/>
      <c r="CV5" s="2623"/>
      <c r="CW5" s="2623"/>
      <c r="CX5" s="2623"/>
      <c r="CY5" s="2623"/>
      <c r="CZ5" s="2623"/>
      <c r="DA5" s="2623"/>
      <c r="DB5" s="2624"/>
      <c r="DC5" s="2624"/>
      <c r="DD5" s="2685"/>
      <c r="DE5" s="2631" t="s">
        <v>115</v>
      </c>
      <c r="DF5" s="2631"/>
      <c r="DG5" s="2623"/>
      <c r="DH5" s="2623"/>
      <c r="DI5" s="2623"/>
      <c r="DJ5" s="2623"/>
      <c r="DK5" s="2623"/>
      <c r="DL5" s="2623"/>
      <c r="DM5" s="2623"/>
      <c r="DN5" s="2623"/>
      <c r="DO5" s="2623"/>
      <c r="DP5" s="2623"/>
      <c r="DQ5" s="2623"/>
      <c r="DR5" s="2623"/>
      <c r="DS5" s="2623"/>
      <c r="DT5" s="2623"/>
      <c r="DU5" s="2623"/>
      <c r="DV5" s="2623"/>
      <c r="DW5" s="2623"/>
      <c r="DX5" s="2623"/>
      <c r="DY5" s="2623"/>
      <c r="DZ5" s="2623"/>
      <c r="EA5" s="2623"/>
      <c r="EB5" s="2623"/>
      <c r="EC5" s="2623"/>
      <c r="ED5" s="2623"/>
      <c r="EE5" s="2623"/>
      <c r="EF5" s="2623"/>
      <c r="EG5" s="2623"/>
      <c r="EH5" s="2623"/>
      <c r="EI5" s="2623"/>
      <c r="EJ5" s="2623"/>
      <c r="EK5" s="2623"/>
      <c r="EL5" s="2623"/>
      <c r="EM5" s="2623"/>
      <c r="EN5" s="2623"/>
      <c r="EO5" s="2623"/>
      <c r="EP5" s="2623"/>
      <c r="EQ5" s="2623"/>
      <c r="ER5" s="2623"/>
      <c r="ES5" s="2623"/>
      <c r="ET5" s="2623"/>
      <c r="EU5" s="2623"/>
      <c r="EV5" s="2623"/>
      <c r="EW5" s="2623"/>
      <c r="EX5" s="2624"/>
      <c r="EY5" s="2685"/>
      <c r="FA5" s="2623" t="s">
        <v>111</v>
      </c>
      <c r="FB5" s="2623"/>
      <c r="FC5" s="2623"/>
      <c r="FD5" s="2623"/>
      <c r="FE5" s="2624"/>
      <c r="FF5" s="2674"/>
      <c r="FG5" s="2631" t="s">
        <v>116</v>
      </c>
      <c r="FH5" s="2623"/>
      <c r="FI5" s="2623"/>
      <c r="FJ5" s="2623"/>
      <c r="FK5" s="2623"/>
      <c r="FL5" s="2623"/>
      <c r="FM5" s="2623"/>
      <c r="FN5" s="2623"/>
      <c r="FO5" s="2623"/>
      <c r="FP5" s="2623"/>
      <c r="FQ5" s="2623"/>
      <c r="FR5" s="2623"/>
      <c r="FS5" s="2623"/>
      <c r="FT5" s="2623"/>
      <c r="FU5" s="2623"/>
      <c r="FV5" s="2623"/>
      <c r="FW5" s="2623"/>
      <c r="FX5" s="2623"/>
      <c r="FY5" s="2623"/>
      <c r="FZ5" s="2623"/>
      <c r="GA5" s="2623"/>
      <c r="GB5" s="2623"/>
      <c r="GC5" s="2623"/>
      <c r="GD5" s="2623"/>
      <c r="GE5" s="2623"/>
      <c r="GF5" s="2624"/>
      <c r="GG5" s="2624"/>
      <c r="GH5" s="2674"/>
      <c r="GJ5" s="2623" t="s">
        <v>111</v>
      </c>
      <c r="GK5" s="2623"/>
      <c r="GL5" s="2623"/>
      <c r="GM5" s="2623"/>
      <c r="GN5" s="2623"/>
      <c r="GO5" s="2623"/>
      <c r="GP5" s="2624"/>
      <c r="GQ5" s="2667"/>
      <c r="GR5" s="2631" t="s">
        <v>112</v>
      </c>
      <c r="GS5" s="2623"/>
      <c r="GT5" s="2623"/>
      <c r="GU5" s="2623"/>
      <c r="GV5" s="2624"/>
      <c r="GW5" s="2667"/>
      <c r="GX5" s="2631" t="s">
        <v>117</v>
      </c>
      <c r="GY5" s="2631"/>
      <c r="GZ5" s="2623"/>
      <c r="HA5" s="2623"/>
      <c r="HB5" s="2623"/>
      <c r="HC5" s="2623"/>
      <c r="HD5" s="2623"/>
      <c r="HE5" s="2623"/>
      <c r="HF5" s="2623"/>
      <c r="HG5" s="2623"/>
      <c r="HH5" s="2623"/>
      <c r="HI5" s="2623"/>
      <c r="HJ5" s="2623"/>
      <c r="HK5" s="2623"/>
      <c r="HL5" s="2623"/>
      <c r="HM5" s="2623"/>
      <c r="HN5" s="2623"/>
      <c r="HO5" s="2623"/>
      <c r="HP5" s="2623"/>
      <c r="HQ5" s="2623"/>
      <c r="HR5" s="2623"/>
      <c r="HS5" s="2623"/>
      <c r="HT5" s="2623"/>
      <c r="HU5" s="2623"/>
      <c r="HV5" s="2623"/>
      <c r="HW5" s="2623"/>
      <c r="HX5" s="2623"/>
      <c r="HY5" s="2623"/>
      <c r="HZ5" s="2623"/>
      <c r="IA5" s="2623"/>
      <c r="IB5" s="2623"/>
      <c r="IC5" s="2623"/>
      <c r="ID5" s="2623"/>
      <c r="IE5" s="2623"/>
      <c r="IF5" s="2623"/>
      <c r="IG5" s="2623"/>
      <c r="IH5" s="2623"/>
      <c r="II5" s="2623"/>
      <c r="IJ5" s="2623"/>
      <c r="IK5" s="2623"/>
      <c r="IL5" s="2623"/>
      <c r="IM5" s="2623"/>
      <c r="IN5" s="2623"/>
      <c r="IO5" s="2623"/>
      <c r="IP5" s="2623"/>
      <c r="IQ5" s="2623"/>
      <c r="IR5" s="2623"/>
      <c r="IS5" s="2623"/>
      <c r="IT5" s="2623"/>
      <c r="IU5" s="2623"/>
      <c r="IV5" s="2623"/>
      <c r="IW5" s="2623"/>
      <c r="IX5" s="2623"/>
      <c r="IY5" s="2623"/>
      <c r="IZ5" s="2623"/>
      <c r="JA5" s="2623"/>
      <c r="JB5" s="2623"/>
      <c r="JC5" s="2623"/>
      <c r="JD5" s="2623"/>
      <c r="JE5" s="2624"/>
      <c r="JF5" s="2667"/>
      <c r="JH5" s="2623" t="s">
        <v>111</v>
      </c>
      <c r="JI5" s="2623"/>
      <c r="JJ5" s="2623"/>
      <c r="JK5" s="2623"/>
      <c r="JL5" s="2624"/>
      <c r="JM5" s="2669"/>
      <c r="JN5" s="2631" t="s">
        <v>118</v>
      </c>
      <c r="JO5" s="2623"/>
      <c r="JP5" s="2623"/>
      <c r="JQ5" s="2623"/>
      <c r="JR5" s="2623"/>
      <c r="JS5" s="2623"/>
      <c r="JT5" s="2623"/>
      <c r="JU5" s="2623"/>
      <c r="JV5" s="2623"/>
      <c r="JW5" s="2623"/>
      <c r="JX5" s="2623"/>
      <c r="JY5" s="2623"/>
      <c r="JZ5" s="2623"/>
      <c r="KA5" s="2623"/>
      <c r="KB5" s="2623"/>
      <c r="KC5" s="2623"/>
      <c r="KD5" s="2623"/>
      <c r="KE5" s="2623"/>
      <c r="KF5" s="2623"/>
      <c r="KG5" s="2623"/>
      <c r="KH5" s="2623"/>
      <c r="KI5" s="2623"/>
      <c r="KJ5" s="2623"/>
      <c r="KK5" s="2623"/>
      <c r="KL5" s="2624"/>
      <c r="KM5" s="2669"/>
      <c r="KN5" s="2631" t="s">
        <v>119</v>
      </c>
      <c r="KO5" s="2623"/>
      <c r="KP5" s="2623"/>
      <c r="KQ5" s="2623"/>
      <c r="KR5" s="2623"/>
      <c r="KS5" s="2623"/>
      <c r="KT5" s="2623"/>
      <c r="KU5" s="2623"/>
      <c r="KV5" s="2623"/>
      <c r="KW5" s="2623"/>
      <c r="KX5" s="2623"/>
      <c r="KY5" s="2623"/>
      <c r="KZ5" s="2623"/>
      <c r="LA5" s="2623"/>
      <c r="LB5" s="2623"/>
      <c r="LC5" s="2624"/>
      <c r="LD5" s="2669"/>
      <c r="LF5" s="2623" t="s">
        <v>111</v>
      </c>
      <c r="LG5" s="2623"/>
      <c r="LH5" s="2623"/>
      <c r="LI5" s="2623"/>
      <c r="LJ5" s="2623"/>
      <c r="LK5" s="2623"/>
      <c r="LL5" s="2623"/>
      <c r="LM5" s="2623"/>
      <c r="LN5" s="2623"/>
      <c r="LO5" s="2624"/>
      <c r="LP5" s="2688"/>
      <c r="LQ5" s="2631" t="s">
        <v>120</v>
      </c>
      <c r="LR5" s="2631"/>
      <c r="LS5" s="2623"/>
      <c r="LT5" s="2623"/>
      <c r="LU5" s="2623"/>
      <c r="LV5" s="2623"/>
      <c r="LW5" s="2623"/>
      <c r="LX5" s="2623"/>
      <c r="LY5" s="2623"/>
      <c r="LZ5" s="2623"/>
      <c r="MA5" s="2623"/>
      <c r="MB5" s="2623"/>
      <c r="MC5" s="2623"/>
      <c r="MD5" s="2623"/>
      <c r="ME5" s="2623"/>
      <c r="MF5" s="2623"/>
      <c r="MG5" s="2623"/>
      <c r="MH5" s="2623"/>
      <c r="MI5" s="2623"/>
      <c r="MJ5" s="2623"/>
      <c r="MK5" s="2623"/>
      <c r="ML5" s="2623"/>
      <c r="MM5" s="2623"/>
      <c r="MN5" s="2623"/>
      <c r="MO5" s="2623"/>
      <c r="MP5" s="2623"/>
      <c r="MQ5" s="2623"/>
      <c r="MR5" s="2623"/>
      <c r="MS5" s="2623"/>
      <c r="MT5" s="2624"/>
      <c r="MU5" s="2688"/>
      <c r="MW5" s="2623" t="s">
        <v>111</v>
      </c>
      <c r="MX5" s="2623"/>
      <c r="MY5" s="2623"/>
      <c r="MZ5" s="2624"/>
      <c r="NA5" s="2621"/>
      <c r="NB5" s="2631" t="s">
        <v>121</v>
      </c>
      <c r="NC5" s="2631"/>
      <c r="ND5" s="2623"/>
      <c r="NE5" s="2623"/>
      <c r="NF5" s="2623"/>
      <c r="NG5" s="2623"/>
      <c r="NH5" s="2623"/>
      <c r="NI5" s="2623"/>
      <c r="NJ5" s="2623"/>
      <c r="NK5" s="2623"/>
      <c r="NL5" s="2623"/>
      <c r="NM5" s="2623"/>
      <c r="NN5" s="2623"/>
      <c r="NO5" s="2623"/>
      <c r="NP5" s="2623"/>
      <c r="NQ5" s="2623"/>
      <c r="NR5" s="2623"/>
      <c r="NS5" s="2623"/>
      <c r="NT5" s="2623"/>
      <c r="NU5" s="2623"/>
      <c r="NV5" s="2623"/>
      <c r="NW5" s="2623"/>
      <c r="NX5" s="2623"/>
      <c r="NY5" s="2623"/>
      <c r="NZ5" s="2623"/>
      <c r="OA5" s="2623"/>
      <c r="OB5" s="2623"/>
      <c r="OC5" s="2623"/>
      <c r="OD5" s="2623"/>
      <c r="OE5" s="2623"/>
      <c r="OF5" s="2623"/>
      <c r="OG5" s="2623"/>
      <c r="OH5" s="2623"/>
      <c r="OI5" s="2623"/>
      <c r="OJ5" s="2623"/>
      <c r="OK5" s="2623"/>
      <c r="OL5" s="2623"/>
      <c r="OM5" s="2623"/>
      <c r="ON5" s="2623"/>
      <c r="OO5" s="2623"/>
      <c r="OP5" s="2623"/>
      <c r="OQ5" s="2623"/>
      <c r="OR5" s="2623"/>
      <c r="OS5" s="2623"/>
      <c r="OT5" s="2623"/>
      <c r="OU5" s="2623"/>
      <c r="OV5" s="2623"/>
      <c r="OW5" s="2623"/>
      <c r="OX5" s="2623"/>
      <c r="OY5" s="2623"/>
      <c r="OZ5" s="2623"/>
      <c r="PA5" s="2623"/>
      <c r="PB5" s="2623"/>
      <c r="PC5" s="2623"/>
      <c r="PD5" s="2623"/>
      <c r="PE5" s="2623"/>
      <c r="PF5" s="2624"/>
      <c r="PG5" s="2621"/>
      <c r="PI5" s="2623" t="s">
        <v>111</v>
      </c>
      <c r="PJ5" s="2623"/>
      <c r="PK5" s="2623"/>
      <c r="PL5" s="2623"/>
      <c r="PM5" s="2623"/>
      <c r="PN5" s="2624"/>
      <c r="PO5" s="2624"/>
      <c r="PP5" s="2615"/>
      <c r="PR5" s="2633" t="s">
        <v>211</v>
      </c>
      <c r="PS5" s="2635"/>
      <c r="PT5" s="2635"/>
      <c r="PU5" s="2635"/>
      <c r="PV5" s="2635"/>
      <c r="PW5" s="2635"/>
      <c r="PX5" s="2635"/>
      <c r="PY5" s="2635"/>
      <c r="PZ5" s="2635"/>
      <c r="QA5" s="2635"/>
      <c r="QB5" s="2635"/>
      <c r="QC5" s="2635"/>
      <c r="QD5" s="2635"/>
      <c r="QE5" s="2635"/>
      <c r="QF5" s="2635"/>
      <c r="QG5" s="2635"/>
      <c r="QH5" s="2635"/>
      <c r="QI5" s="2634"/>
      <c r="QJ5" s="2615"/>
      <c r="QL5" s="2617" t="s">
        <v>122</v>
      </c>
      <c r="QM5" s="2617"/>
      <c r="QO5" s="2617" t="s">
        <v>123</v>
      </c>
      <c r="QP5" s="2617"/>
      <c r="QR5" s="2618" t="s">
        <v>124</v>
      </c>
      <c r="QS5" s="2618"/>
      <c r="QT5" s="2618"/>
      <c r="QU5" s="2618"/>
      <c r="QV5" s="2618"/>
      <c r="QW5" s="2618"/>
      <c r="QX5" s="89"/>
      <c r="QY5" s="2618" t="s">
        <v>125</v>
      </c>
      <c r="QZ5" s="2618"/>
      <c r="RA5" s="2618"/>
      <c r="RB5" s="2618"/>
      <c r="RC5" s="2618"/>
      <c r="RD5" s="2618"/>
      <c r="RW5" s="1148"/>
    </row>
    <row r="6" spans="1:500" s="42" customFormat="1" ht="31.2" customHeight="1">
      <c r="B6" s="2626"/>
      <c r="C6" s="2632" t="s">
        <v>3</v>
      </c>
      <c r="D6" s="2632" t="s">
        <v>126</v>
      </c>
      <c r="E6" s="2632" t="s">
        <v>127</v>
      </c>
      <c r="F6" s="2633" t="s">
        <v>212</v>
      </c>
      <c r="G6" s="2634"/>
      <c r="H6" s="2633" t="s">
        <v>212</v>
      </c>
      <c r="I6" s="2634"/>
      <c r="J6" s="2633" t="s">
        <v>128</v>
      </c>
      <c r="K6" s="2634"/>
      <c r="L6" s="2633" t="s">
        <v>129</v>
      </c>
      <c r="M6" s="2635"/>
      <c r="N6" s="2629"/>
      <c r="O6" s="2636" t="s">
        <v>16</v>
      </c>
      <c r="P6" s="2637"/>
      <c r="Q6" s="2637"/>
      <c r="R6" s="2559"/>
      <c r="S6" s="2638" t="s">
        <v>17</v>
      </c>
      <c r="T6" s="2638"/>
      <c r="U6" s="2638"/>
      <c r="V6" s="2638"/>
      <c r="W6" s="2697" t="s">
        <v>213</v>
      </c>
      <c r="X6" s="2698"/>
      <c r="Y6" s="2698"/>
      <c r="Z6" s="2698"/>
      <c r="AA6" s="2699" t="s">
        <v>18</v>
      </c>
      <c r="AB6" s="2700"/>
      <c r="AC6" s="2700"/>
      <c r="AD6" s="2700"/>
      <c r="AE6" s="2701" t="s">
        <v>66</v>
      </c>
      <c r="AF6" s="2701"/>
      <c r="AG6" s="2701"/>
      <c r="AH6" s="2701"/>
      <c r="AI6" s="2640" t="s">
        <v>214</v>
      </c>
      <c r="AJ6" s="2640"/>
      <c r="AK6" s="2640"/>
      <c r="AL6" s="2641"/>
      <c r="AM6" s="2629"/>
      <c r="AN6" s="2636" t="s">
        <v>215</v>
      </c>
      <c r="AO6" s="2637"/>
      <c r="AP6" s="2637"/>
      <c r="AQ6" s="2637" t="s">
        <v>216</v>
      </c>
      <c r="AR6" s="2637"/>
      <c r="AS6" s="2637"/>
      <c r="AT6" s="2637" t="s">
        <v>217</v>
      </c>
      <c r="AU6" s="2637"/>
      <c r="AV6" s="2637"/>
      <c r="AW6" s="2637" t="s">
        <v>218</v>
      </c>
      <c r="AX6" s="2637"/>
      <c r="AY6" s="2637"/>
      <c r="AZ6" s="2637" t="s">
        <v>219</v>
      </c>
      <c r="BA6" s="2637"/>
      <c r="BB6" s="2637"/>
      <c r="BC6" s="2637" t="s">
        <v>220</v>
      </c>
      <c r="BD6" s="2637"/>
      <c r="BE6" s="2637"/>
      <c r="BF6" s="2638" t="s">
        <v>221</v>
      </c>
      <c r="BG6" s="2708"/>
      <c r="BH6" s="2709"/>
      <c r="BI6" s="2638" t="s">
        <v>222</v>
      </c>
      <c r="BJ6" s="2638"/>
      <c r="BK6" s="2638"/>
      <c r="BL6" s="2638" t="s">
        <v>223</v>
      </c>
      <c r="BM6" s="2638"/>
      <c r="BN6" s="2638"/>
      <c r="BO6" s="2706" t="s">
        <v>224</v>
      </c>
      <c r="BP6" s="2706"/>
      <c r="BQ6" s="2706"/>
      <c r="BR6" s="2698" t="s">
        <v>225</v>
      </c>
      <c r="BS6" s="2698"/>
      <c r="BT6" s="2698"/>
      <c r="BU6" s="2698" t="s">
        <v>226</v>
      </c>
      <c r="BV6" s="2707"/>
      <c r="BW6" s="2697"/>
      <c r="BX6" s="2638" t="s">
        <v>227</v>
      </c>
      <c r="BY6" s="2638"/>
      <c r="BZ6" s="2645"/>
      <c r="CA6" s="2698" t="s">
        <v>228</v>
      </c>
      <c r="CB6" s="2698"/>
      <c r="CC6" s="2710"/>
      <c r="CD6" s="2698" t="s">
        <v>229</v>
      </c>
      <c r="CE6" s="2698"/>
      <c r="CF6" s="2710"/>
      <c r="CG6" s="147"/>
      <c r="CH6" s="2634" t="s">
        <v>16</v>
      </c>
      <c r="CI6" s="2632" t="s">
        <v>17</v>
      </c>
      <c r="CJ6" s="2632" t="s">
        <v>18</v>
      </c>
      <c r="CK6" s="2632" t="s">
        <v>83</v>
      </c>
      <c r="CL6" s="2632" t="s">
        <v>130</v>
      </c>
      <c r="CM6" s="2671" t="s">
        <v>7</v>
      </c>
      <c r="CN6" s="2633" t="s">
        <v>145</v>
      </c>
      <c r="CO6" s="2632" t="s">
        <v>18</v>
      </c>
      <c r="CQ6" s="2632" t="s">
        <v>146</v>
      </c>
      <c r="CR6" s="2632" t="s">
        <v>230</v>
      </c>
      <c r="CS6" s="2632" t="s">
        <v>147</v>
      </c>
      <c r="CT6" s="2632" t="s">
        <v>231</v>
      </c>
      <c r="CU6" s="2632" t="s">
        <v>148</v>
      </c>
      <c r="CV6" s="2632" t="s">
        <v>232</v>
      </c>
      <c r="CW6" s="2632" t="s">
        <v>149</v>
      </c>
      <c r="CX6" s="2632" t="s">
        <v>233</v>
      </c>
      <c r="CY6" s="2632" t="s">
        <v>69</v>
      </c>
      <c r="CZ6" s="2632" t="s">
        <v>234</v>
      </c>
      <c r="DA6" s="2632" t="s">
        <v>71</v>
      </c>
      <c r="DB6" s="2632" t="s">
        <v>235</v>
      </c>
      <c r="DC6" s="2633" t="s">
        <v>7</v>
      </c>
      <c r="DD6" s="2685"/>
      <c r="DE6" s="2634" t="s">
        <v>236</v>
      </c>
      <c r="DF6" s="2634"/>
      <c r="DG6" s="2632"/>
      <c r="DH6" s="2632"/>
      <c r="DI6" s="2632"/>
      <c r="DJ6" s="2632"/>
      <c r="DK6" s="2632"/>
      <c r="DL6" s="2632"/>
      <c r="DM6" s="2632"/>
      <c r="DN6" s="2633"/>
      <c r="DO6" s="2633"/>
      <c r="DP6" s="1394"/>
      <c r="DQ6" s="2676" t="s">
        <v>151</v>
      </c>
      <c r="DR6" s="2632" t="s">
        <v>237</v>
      </c>
      <c r="DS6" s="2632"/>
      <c r="DT6" s="2632"/>
      <c r="DU6" s="2632"/>
      <c r="DV6" s="2632"/>
      <c r="DW6" s="2632"/>
      <c r="DX6" s="2632"/>
      <c r="DY6" s="2632"/>
      <c r="DZ6" s="2632"/>
      <c r="EA6" s="2633"/>
      <c r="EB6" s="2633"/>
      <c r="EC6" s="1394"/>
      <c r="ED6" s="2676" t="s">
        <v>151</v>
      </c>
      <c r="EE6" s="2632" t="s">
        <v>238</v>
      </c>
      <c r="EF6" s="2632"/>
      <c r="EG6" s="2632"/>
      <c r="EH6" s="2632"/>
      <c r="EI6" s="2632"/>
      <c r="EJ6" s="2632"/>
      <c r="EK6" s="2632"/>
      <c r="EL6" s="2632"/>
      <c r="EM6" s="2632"/>
      <c r="EN6" s="2633"/>
      <c r="EO6" s="2633"/>
      <c r="EP6" s="1394"/>
      <c r="EQ6" s="2676" t="s">
        <v>151</v>
      </c>
      <c r="ER6" s="2632" t="s">
        <v>154</v>
      </c>
      <c r="ES6" s="2632"/>
      <c r="ET6" s="2632"/>
      <c r="EU6" s="2632"/>
      <c r="EV6" s="2632"/>
      <c r="EW6" s="2633"/>
      <c r="EX6" s="2673" t="s">
        <v>151</v>
      </c>
      <c r="EY6" s="2685"/>
      <c r="FA6" s="2620" t="s">
        <v>239</v>
      </c>
      <c r="FB6" s="2620" t="s">
        <v>240</v>
      </c>
      <c r="FC6" s="2620" t="s">
        <v>241</v>
      </c>
      <c r="FD6" s="2632" t="s">
        <v>7</v>
      </c>
      <c r="FE6" s="2633" t="s">
        <v>145</v>
      </c>
      <c r="FF6" s="2674"/>
      <c r="FG6" s="2634" t="s">
        <v>158</v>
      </c>
      <c r="FH6" s="2632"/>
      <c r="FI6" s="2632"/>
      <c r="FJ6" s="2632"/>
      <c r="FK6" s="2632"/>
      <c r="FL6" s="2633"/>
      <c r="FM6" s="2676" t="s">
        <v>151</v>
      </c>
      <c r="FN6" s="2632" t="s">
        <v>159</v>
      </c>
      <c r="FO6" s="2632"/>
      <c r="FP6" s="2632"/>
      <c r="FQ6" s="2632"/>
      <c r="FR6" s="2632"/>
      <c r="FS6" s="2633"/>
      <c r="FT6" s="2676" t="s">
        <v>151</v>
      </c>
      <c r="FU6" s="2632" t="s">
        <v>660</v>
      </c>
      <c r="FV6" s="2632"/>
      <c r="FW6" s="2632"/>
      <c r="FX6" s="2632"/>
      <c r="FY6" s="2632"/>
      <c r="FZ6" s="2632"/>
      <c r="GA6" s="2632"/>
      <c r="GB6" s="2632"/>
      <c r="GC6" s="2632"/>
      <c r="GD6" s="2633"/>
      <c r="GE6" s="2633"/>
      <c r="GF6" s="1394"/>
      <c r="GG6" s="2673" t="s">
        <v>151</v>
      </c>
      <c r="GH6" s="2674"/>
      <c r="GJ6" s="2632" t="s">
        <v>161</v>
      </c>
      <c r="GK6" s="2632"/>
      <c r="GL6" s="2633"/>
      <c r="GM6" s="2634" t="s">
        <v>7</v>
      </c>
      <c r="GN6" s="181" t="s">
        <v>162</v>
      </c>
      <c r="GO6" s="181" t="s">
        <v>163</v>
      </c>
      <c r="GP6" s="2633" t="s">
        <v>145</v>
      </c>
      <c r="GQ6" s="2667"/>
      <c r="GR6" s="2634" t="s">
        <v>130</v>
      </c>
      <c r="GS6" s="2632" t="s">
        <v>164</v>
      </c>
      <c r="GT6" s="2632" t="s">
        <v>244</v>
      </c>
      <c r="GU6" s="2632" t="s">
        <v>434</v>
      </c>
      <c r="GV6" s="2619" t="s">
        <v>7</v>
      </c>
      <c r="GW6" s="2667"/>
      <c r="GX6" s="2634" t="s">
        <v>35</v>
      </c>
      <c r="GY6" s="2634"/>
      <c r="GZ6" s="2632"/>
      <c r="HA6" s="2632"/>
      <c r="HB6" s="2632"/>
      <c r="HC6" s="2632"/>
      <c r="HD6" s="2632"/>
      <c r="HE6" s="2632"/>
      <c r="HF6" s="2632"/>
      <c r="HG6" s="2632"/>
      <c r="HH6" s="2632"/>
      <c r="HI6" s="2632"/>
      <c r="HJ6" s="2632"/>
      <c r="HK6" s="2633"/>
      <c r="HL6" s="2676" t="s">
        <v>151</v>
      </c>
      <c r="HM6" s="2619" t="s">
        <v>110</v>
      </c>
      <c r="HN6" s="2673"/>
      <c r="HO6" s="2673"/>
      <c r="HP6" s="2673"/>
      <c r="HQ6" s="2673"/>
      <c r="HR6" s="2673"/>
      <c r="HS6" s="2673"/>
      <c r="HT6" s="2673"/>
      <c r="HU6" s="2673"/>
      <c r="HV6" s="2673"/>
      <c r="HW6" s="2673"/>
      <c r="HX6" s="2673"/>
      <c r="HY6" s="2673"/>
      <c r="HZ6" s="2673"/>
      <c r="IA6" s="2711" t="s">
        <v>151</v>
      </c>
      <c r="IB6" s="2632" t="s">
        <v>245</v>
      </c>
      <c r="IC6" s="2632"/>
      <c r="ID6" s="2632"/>
      <c r="IE6" s="2632"/>
      <c r="IF6" s="2632"/>
      <c r="IG6" s="2632"/>
      <c r="IH6" s="2632"/>
      <c r="II6" s="2632"/>
      <c r="IJ6" s="2632"/>
      <c r="IK6" s="2632"/>
      <c r="IL6" s="2632"/>
      <c r="IM6" s="2632"/>
      <c r="IN6" s="2632"/>
      <c r="IO6" s="2633"/>
      <c r="IP6" s="2676" t="s">
        <v>151</v>
      </c>
      <c r="IQ6" s="2632" t="s">
        <v>246</v>
      </c>
      <c r="IR6" s="2632"/>
      <c r="IS6" s="2632"/>
      <c r="IT6" s="2632"/>
      <c r="IU6" s="2632"/>
      <c r="IV6" s="2632"/>
      <c r="IW6" s="2632"/>
      <c r="IX6" s="2632"/>
      <c r="IY6" s="2632"/>
      <c r="IZ6" s="2632"/>
      <c r="JA6" s="2632"/>
      <c r="JB6" s="2632"/>
      <c r="JC6" s="2632"/>
      <c r="JD6" s="2633"/>
      <c r="JE6" s="2673" t="s">
        <v>151</v>
      </c>
      <c r="JF6" s="2667"/>
      <c r="JH6" s="2632" t="s">
        <v>76</v>
      </c>
      <c r="JI6" s="2671" t="s">
        <v>77</v>
      </c>
      <c r="JJ6" s="2632" t="s">
        <v>247</v>
      </c>
      <c r="JK6" s="2632" t="s">
        <v>7</v>
      </c>
      <c r="JL6" s="2633" t="s">
        <v>145</v>
      </c>
      <c r="JM6" s="2669"/>
      <c r="JN6" s="2634" t="str">
        <f>JH6</f>
        <v>TCM.HCV.LS</v>
      </c>
      <c r="JO6" s="2632"/>
      <c r="JP6" s="2632"/>
      <c r="JQ6" s="2632"/>
      <c r="JR6" s="2632"/>
      <c r="JS6" s="2632"/>
      <c r="JT6" s="2632"/>
      <c r="JU6" s="2632"/>
      <c r="JV6" s="2634" t="str">
        <f>JI6</f>
        <v>TCM.HCV.HS</v>
      </c>
      <c r="JW6" s="2632"/>
      <c r="JX6" s="2632"/>
      <c r="JY6" s="2632"/>
      <c r="JZ6" s="2632"/>
      <c r="KA6" s="2632"/>
      <c r="KB6" s="2632"/>
      <c r="KC6" s="2632"/>
      <c r="KD6" s="2632" t="str">
        <f>JJ6</f>
        <v>LCV.MS.HA</v>
      </c>
      <c r="KE6" s="2632"/>
      <c r="KF6" s="2632"/>
      <c r="KG6" s="2632"/>
      <c r="KH6" s="2632"/>
      <c r="KI6" s="2632"/>
      <c r="KJ6" s="2632"/>
      <c r="KK6" s="2632"/>
      <c r="KL6" s="2633" t="s">
        <v>145</v>
      </c>
      <c r="KM6" s="2669"/>
      <c r="KN6" s="2634" t="s">
        <v>167</v>
      </c>
      <c r="KO6" s="2632"/>
      <c r="KP6" s="2632"/>
      <c r="KQ6" s="2632"/>
      <c r="KR6" s="2632"/>
      <c r="KS6" s="2634" t="s">
        <v>168</v>
      </c>
      <c r="KT6" s="2632"/>
      <c r="KU6" s="2632"/>
      <c r="KV6" s="2632"/>
      <c r="KW6" s="2632"/>
      <c r="KX6" s="2632" t="s">
        <v>247</v>
      </c>
      <c r="KY6" s="2632"/>
      <c r="KZ6" s="2632"/>
      <c r="LA6" s="2632"/>
      <c r="LB6" s="2632"/>
      <c r="LC6" s="2633" t="s">
        <v>145</v>
      </c>
      <c r="LD6" s="2669"/>
      <c r="LF6" s="2633" t="s">
        <v>170</v>
      </c>
      <c r="LG6" s="2635"/>
      <c r="LH6" s="2635"/>
      <c r="LI6" s="2634"/>
      <c r="LJ6" s="2619" t="s">
        <v>171</v>
      </c>
      <c r="LK6" s="2673"/>
      <c r="LL6" s="2673"/>
      <c r="LM6" s="2673"/>
      <c r="LN6" s="2690" t="s">
        <v>172</v>
      </c>
      <c r="LO6" s="2633" t="s">
        <v>145</v>
      </c>
      <c r="LP6" s="2688"/>
      <c r="LQ6" s="2634" t="s">
        <v>173</v>
      </c>
      <c r="LR6" s="2634"/>
      <c r="LS6" s="2632"/>
      <c r="LT6" s="2632"/>
      <c r="LU6" s="2632"/>
      <c r="LV6" s="2620" t="s">
        <v>151</v>
      </c>
      <c r="LW6" s="2632" t="s">
        <v>174</v>
      </c>
      <c r="LX6" s="2632"/>
      <c r="LY6" s="2632"/>
      <c r="LZ6" s="2632"/>
      <c r="MA6" s="2632"/>
      <c r="MB6" s="2632"/>
      <c r="MC6" s="2632" t="s">
        <v>175</v>
      </c>
      <c r="MD6" s="2632"/>
      <c r="ME6" s="2632"/>
      <c r="MF6" s="2632"/>
      <c r="MG6" s="2632"/>
      <c r="MH6" s="2620" t="s">
        <v>151</v>
      </c>
      <c r="MI6" s="2632" t="s">
        <v>176</v>
      </c>
      <c r="MJ6" s="2632"/>
      <c r="MK6" s="2632"/>
      <c r="ML6" s="2632"/>
      <c r="MM6" s="2632"/>
      <c r="MN6" s="2620" t="s">
        <v>151</v>
      </c>
      <c r="MO6" s="2632" t="s">
        <v>248</v>
      </c>
      <c r="MP6" s="2632"/>
      <c r="MQ6" s="2632"/>
      <c r="MR6" s="2632"/>
      <c r="MS6" s="2632"/>
      <c r="MT6" s="2619" t="s">
        <v>151</v>
      </c>
      <c r="MU6" s="2688"/>
      <c r="MW6" s="2632" t="s">
        <v>178</v>
      </c>
      <c r="MX6" s="2632" t="s">
        <v>126</v>
      </c>
      <c r="MY6" s="2632" t="s">
        <v>179</v>
      </c>
      <c r="MZ6" s="2633" t="s">
        <v>249</v>
      </c>
      <c r="NA6" s="2621"/>
      <c r="NB6" s="2634" t="s">
        <v>181</v>
      </c>
      <c r="NC6" s="2634"/>
      <c r="ND6" s="2632"/>
      <c r="NE6" s="2632" t="s">
        <v>7</v>
      </c>
      <c r="NF6" s="2632" t="s">
        <v>35</v>
      </c>
      <c r="NG6" s="2632"/>
      <c r="NH6" s="2632"/>
      <c r="NI6" s="2632"/>
      <c r="NJ6" s="2632"/>
      <c r="NK6" s="2632"/>
      <c r="NL6" s="2632"/>
      <c r="NM6" s="2632"/>
      <c r="NN6" s="2632"/>
      <c r="NO6" s="2632"/>
      <c r="NP6" s="2632"/>
      <c r="NQ6" s="181"/>
      <c r="NR6" s="2620" t="s">
        <v>151</v>
      </c>
      <c r="NS6" s="2632" t="s">
        <v>245</v>
      </c>
      <c r="NT6" s="2632"/>
      <c r="NU6" s="2632"/>
      <c r="NV6" s="2632"/>
      <c r="NW6" s="2632"/>
      <c r="NX6" s="2632"/>
      <c r="NY6" s="2632"/>
      <c r="NZ6" s="2632"/>
      <c r="OA6" s="2632"/>
      <c r="OB6" s="2632"/>
      <c r="OC6" s="2632"/>
      <c r="OD6" s="181"/>
      <c r="OE6" s="2620" t="s">
        <v>151</v>
      </c>
      <c r="OF6" s="2632" t="s">
        <v>246</v>
      </c>
      <c r="OG6" s="2632"/>
      <c r="OH6" s="2632"/>
      <c r="OI6" s="2632"/>
      <c r="OJ6" s="2632"/>
      <c r="OK6" s="2632"/>
      <c r="OL6" s="2632"/>
      <c r="OM6" s="2632"/>
      <c r="ON6" s="2632"/>
      <c r="OO6" s="2632"/>
      <c r="OP6" s="2632"/>
      <c r="OQ6" s="181"/>
      <c r="OR6" s="2620" t="s">
        <v>151</v>
      </c>
      <c r="OS6" s="2632" t="s">
        <v>250</v>
      </c>
      <c r="OT6" s="2632"/>
      <c r="OU6" s="2632"/>
      <c r="OV6" s="2632"/>
      <c r="OW6" s="2632"/>
      <c r="OX6" s="2632"/>
      <c r="OY6" s="2620" t="s">
        <v>151</v>
      </c>
      <c r="OZ6" s="2632" t="s">
        <v>251</v>
      </c>
      <c r="PA6" s="2632"/>
      <c r="PB6" s="2632"/>
      <c r="PC6" s="2632"/>
      <c r="PD6" s="2632"/>
      <c r="PE6" s="2632"/>
      <c r="PF6" s="2619" t="s">
        <v>151</v>
      </c>
      <c r="PG6" s="2621"/>
      <c r="PI6" s="2620" t="s">
        <v>184</v>
      </c>
      <c r="PJ6" s="2620" t="s">
        <v>252</v>
      </c>
      <c r="PK6" s="2703" t="s">
        <v>253</v>
      </c>
      <c r="PL6" s="2705" t="s">
        <v>186</v>
      </c>
      <c r="PM6" s="2619" t="s">
        <v>91</v>
      </c>
      <c r="PN6" s="2619" t="s">
        <v>254</v>
      </c>
      <c r="PO6" s="2619" t="s">
        <v>145</v>
      </c>
      <c r="PP6" s="2615"/>
      <c r="PR6" s="2619" t="s">
        <v>255</v>
      </c>
      <c r="PS6" s="2676"/>
      <c r="PT6" s="2619" t="s">
        <v>256</v>
      </c>
      <c r="PU6" s="2673"/>
      <c r="PV6" s="2673"/>
      <c r="PW6" s="2673"/>
      <c r="PX6" s="2676"/>
      <c r="PY6" s="2620" t="s">
        <v>184</v>
      </c>
      <c r="PZ6" s="2620" t="s">
        <v>189</v>
      </c>
      <c r="QA6" s="2620" t="s">
        <v>189</v>
      </c>
      <c r="QB6" s="2690" t="s">
        <v>257</v>
      </c>
      <c r="QC6" s="2690" t="s">
        <v>258</v>
      </c>
      <c r="QD6" s="2620" t="s">
        <v>259</v>
      </c>
      <c r="QE6" s="2716" t="s">
        <v>191</v>
      </c>
      <c r="QF6" s="2717"/>
      <c r="QG6" s="2711"/>
      <c r="QH6" s="1405"/>
      <c r="QI6" s="2619" t="s">
        <v>145</v>
      </c>
      <c r="QJ6" s="2615"/>
      <c r="QO6" s="105" t="s">
        <v>192</v>
      </c>
      <c r="QP6" s="105">
        <v>13000</v>
      </c>
      <c r="RH6" s="2718" t="s">
        <v>261</v>
      </c>
      <c r="RI6" s="2718"/>
      <c r="RJ6" s="2719"/>
      <c r="RK6" s="2719" t="s">
        <v>7</v>
      </c>
      <c r="RW6" s="1134"/>
    </row>
    <row r="7" spans="1:500" s="42" customFormat="1" ht="46.2" customHeight="1">
      <c r="B7" s="2627"/>
      <c r="C7" s="2632"/>
      <c r="D7" s="2632"/>
      <c r="E7" s="2632"/>
      <c r="F7" s="181"/>
      <c r="G7" s="181"/>
      <c r="H7" s="181" t="s">
        <v>193</v>
      </c>
      <c r="I7" s="181" t="s">
        <v>194</v>
      </c>
      <c r="J7" s="181" t="s">
        <v>193</v>
      </c>
      <c r="K7" s="181" t="s">
        <v>194</v>
      </c>
      <c r="L7" s="181" t="s">
        <v>193</v>
      </c>
      <c r="M7" s="182" t="s">
        <v>194</v>
      </c>
      <c r="N7" s="2629"/>
      <c r="O7" s="183" t="s">
        <v>3</v>
      </c>
      <c r="P7" s="181" t="s">
        <v>126</v>
      </c>
      <c r="Q7" s="181" t="s">
        <v>127</v>
      </c>
      <c r="R7" s="182" t="s">
        <v>145</v>
      </c>
      <c r="S7" s="181" t="s">
        <v>3</v>
      </c>
      <c r="T7" s="181" t="s">
        <v>126</v>
      </c>
      <c r="U7" s="181" t="s">
        <v>127</v>
      </c>
      <c r="V7" s="181" t="s">
        <v>145</v>
      </c>
      <c r="W7" s="183" t="s">
        <v>3</v>
      </c>
      <c r="X7" s="181" t="s">
        <v>126</v>
      </c>
      <c r="Y7" s="181" t="s">
        <v>127</v>
      </c>
      <c r="Z7" s="181" t="s">
        <v>145</v>
      </c>
      <c r="AA7" s="183" t="s">
        <v>3</v>
      </c>
      <c r="AB7" s="181" t="s">
        <v>126</v>
      </c>
      <c r="AC7" s="181" t="s">
        <v>127</v>
      </c>
      <c r="AD7" s="181" t="s">
        <v>145</v>
      </c>
      <c r="AE7" s="181" t="s">
        <v>3</v>
      </c>
      <c r="AF7" s="181" t="s">
        <v>126</v>
      </c>
      <c r="AG7" s="181" t="s">
        <v>127</v>
      </c>
      <c r="AH7" s="181" t="s">
        <v>145</v>
      </c>
      <c r="AI7" s="181" t="s">
        <v>3</v>
      </c>
      <c r="AJ7" s="181" t="s">
        <v>126</v>
      </c>
      <c r="AK7" s="181" t="s">
        <v>127</v>
      </c>
      <c r="AL7" s="182" t="s">
        <v>145</v>
      </c>
      <c r="AM7" s="2629"/>
      <c r="AN7" s="183" t="s">
        <v>3</v>
      </c>
      <c r="AO7" s="181" t="s">
        <v>126</v>
      </c>
      <c r="AP7" s="181" t="s">
        <v>127</v>
      </c>
      <c r="AQ7" s="181" t="s">
        <v>3</v>
      </c>
      <c r="AR7" s="181" t="s">
        <v>126</v>
      </c>
      <c r="AS7" s="181" t="s">
        <v>127</v>
      </c>
      <c r="AT7" s="181" t="s">
        <v>3</v>
      </c>
      <c r="AU7" s="181" t="s">
        <v>126</v>
      </c>
      <c r="AV7" s="181" t="s">
        <v>127</v>
      </c>
      <c r="AW7" s="181" t="s">
        <v>3</v>
      </c>
      <c r="AX7" s="181" t="s">
        <v>126</v>
      </c>
      <c r="AY7" s="181" t="s">
        <v>127</v>
      </c>
      <c r="AZ7" s="181" t="s">
        <v>3</v>
      </c>
      <c r="BA7" s="181" t="s">
        <v>126</v>
      </c>
      <c r="BB7" s="181" t="s">
        <v>127</v>
      </c>
      <c r="BC7" s="181" t="s">
        <v>3</v>
      </c>
      <c r="BD7" s="181" t="s">
        <v>126</v>
      </c>
      <c r="BE7" s="181" t="s">
        <v>127</v>
      </c>
      <c r="BF7" s="181" t="s">
        <v>3</v>
      </c>
      <c r="BG7" s="181" t="s">
        <v>126</v>
      </c>
      <c r="BH7" s="181" t="s">
        <v>127</v>
      </c>
      <c r="BI7" s="181" t="s">
        <v>3</v>
      </c>
      <c r="BJ7" s="181" t="s">
        <v>126</v>
      </c>
      <c r="BK7" s="181" t="s">
        <v>127</v>
      </c>
      <c r="BL7" s="181" t="s">
        <v>3</v>
      </c>
      <c r="BM7" s="181" t="s">
        <v>126</v>
      </c>
      <c r="BN7" s="181" t="s">
        <v>127</v>
      </c>
      <c r="BO7" s="181" t="s">
        <v>3</v>
      </c>
      <c r="BP7" s="181" t="s">
        <v>126</v>
      </c>
      <c r="BQ7" s="181" t="s">
        <v>127</v>
      </c>
      <c r="BR7" s="181" t="s">
        <v>3</v>
      </c>
      <c r="BS7" s="181" t="s">
        <v>126</v>
      </c>
      <c r="BT7" s="181" t="s">
        <v>127</v>
      </c>
      <c r="BU7" s="181" t="s">
        <v>3</v>
      </c>
      <c r="BV7" s="181" t="s">
        <v>126</v>
      </c>
      <c r="BW7" s="182" t="s">
        <v>127</v>
      </c>
      <c r="BX7" s="182" t="s">
        <v>3</v>
      </c>
      <c r="BY7" s="182" t="s">
        <v>126</v>
      </c>
      <c r="BZ7" s="182" t="s">
        <v>127</v>
      </c>
      <c r="CA7" s="181" t="s">
        <v>3</v>
      </c>
      <c r="CB7" s="181" t="s">
        <v>126</v>
      </c>
      <c r="CC7" s="182" t="s">
        <v>127</v>
      </c>
      <c r="CD7" s="181" t="s">
        <v>3</v>
      </c>
      <c r="CE7" s="181" t="s">
        <v>126</v>
      </c>
      <c r="CF7" s="182" t="s">
        <v>127</v>
      </c>
      <c r="CG7" s="148"/>
      <c r="CH7" s="2634"/>
      <c r="CI7" s="2632"/>
      <c r="CJ7" s="2632"/>
      <c r="CK7" s="2632"/>
      <c r="CL7" s="2632"/>
      <c r="CM7" s="2672"/>
      <c r="CN7" s="2633"/>
      <c r="CO7" s="2632"/>
      <c r="CQ7" s="2632"/>
      <c r="CR7" s="2632"/>
      <c r="CS7" s="2632"/>
      <c r="CT7" s="2632"/>
      <c r="CU7" s="2632"/>
      <c r="CV7" s="2632"/>
      <c r="CW7" s="2632"/>
      <c r="CX7" s="2632"/>
      <c r="CY7" s="2632"/>
      <c r="CZ7" s="2632"/>
      <c r="DA7" s="2632"/>
      <c r="DB7" s="2632"/>
      <c r="DC7" s="2633"/>
      <c r="DD7" s="2685"/>
      <c r="DE7" s="183" t="s">
        <v>146</v>
      </c>
      <c r="DF7" s="183" t="s">
        <v>230</v>
      </c>
      <c r="DG7" s="181" t="s">
        <v>147</v>
      </c>
      <c r="DH7" s="181" t="s">
        <v>231</v>
      </c>
      <c r="DI7" s="181" t="s">
        <v>148</v>
      </c>
      <c r="DJ7" s="181" t="s">
        <v>232</v>
      </c>
      <c r="DK7" s="181" t="s">
        <v>149</v>
      </c>
      <c r="DL7" s="181" t="s">
        <v>233</v>
      </c>
      <c r="DM7" s="181" t="s">
        <v>69</v>
      </c>
      <c r="DN7" s="181" t="s">
        <v>234</v>
      </c>
      <c r="DO7" s="181" t="s">
        <v>71</v>
      </c>
      <c r="DP7" s="181" t="s">
        <v>235</v>
      </c>
      <c r="DQ7" s="2620"/>
      <c r="DR7" s="183" t="s">
        <v>146</v>
      </c>
      <c r="DS7" s="183" t="s">
        <v>230</v>
      </c>
      <c r="DT7" s="181" t="s">
        <v>147</v>
      </c>
      <c r="DU7" s="181" t="s">
        <v>231</v>
      </c>
      <c r="DV7" s="181" t="s">
        <v>148</v>
      </c>
      <c r="DW7" s="181" t="s">
        <v>232</v>
      </c>
      <c r="DX7" s="181" t="s">
        <v>149</v>
      </c>
      <c r="DY7" s="181" t="s">
        <v>233</v>
      </c>
      <c r="DZ7" s="181" t="s">
        <v>69</v>
      </c>
      <c r="EA7" s="181" t="s">
        <v>234</v>
      </c>
      <c r="EB7" s="181" t="s">
        <v>71</v>
      </c>
      <c r="EC7" s="181" t="s">
        <v>235</v>
      </c>
      <c r="ED7" s="2620"/>
      <c r="EE7" s="183" t="s">
        <v>263</v>
      </c>
      <c r="EF7" s="181" t="s">
        <v>264</v>
      </c>
      <c r="EG7" s="181" t="s">
        <v>265</v>
      </c>
      <c r="EH7" s="181" t="s">
        <v>266</v>
      </c>
      <c r="EI7" s="181" t="s">
        <v>267</v>
      </c>
      <c r="EJ7" s="181" t="s">
        <v>268</v>
      </c>
      <c r="EK7" s="181" t="s">
        <v>269</v>
      </c>
      <c r="EL7" s="181" t="s">
        <v>270</v>
      </c>
      <c r="EM7" s="181" t="s">
        <v>271</v>
      </c>
      <c r="EN7" s="181" t="s">
        <v>272</v>
      </c>
      <c r="EO7" s="181" t="s">
        <v>273</v>
      </c>
      <c r="EP7" s="181" t="s">
        <v>274</v>
      </c>
      <c r="EQ7" s="2620"/>
      <c r="ER7" s="181" t="s">
        <v>146</v>
      </c>
      <c r="ES7" s="181" t="s">
        <v>147</v>
      </c>
      <c r="ET7" s="181" t="s">
        <v>148</v>
      </c>
      <c r="EU7" s="181" t="s">
        <v>149</v>
      </c>
      <c r="EV7" s="181" t="s">
        <v>69</v>
      </c>
      <c r="EW7" s="181" t="s">
        <v>71</v>
      </c>
      <c r="EX7" s="2619"/>
      <c r="EY7" s="2685"/>
      <c r="FA7" s="2620"/>
      <c r="FB7" s="2620"/>
      <c r="FC7" s="2620"/>
      <c r="FD7" s="2632"/>
      <c r="FE7" s="2633"/>
      <c r="FF7" s="2674"/>
      <c r="FG7" s="183" t="s">
        <v>146</v>
      </c>
      <c r="FH7" s="181" t="s">
        <v>147</v>
      </c>
      <c r="FI7" s="181" t="s">
        <v>148</v>
      </c>
      <c r="FJ7" s="181" t="s">
        <v>149</v>
      </c>
      <c r="FK7" s="181" t="s">
        <v>69</v>
      </c>
      <c r="FL7" s="181" t="s">
        <v>71</v>
      </c>
      <c r="FM7" s="2620"/>
      <c r="FN7" s="181" t="s">
        <v>146</v>
      </c>
      <c r="FO7" s="181" t="s">
        <v>147</v>
      </c>
      <c r="FP7" s="181" t="s">
        <v>148</v>
      </c>
      <c r="FQ7" s="181" t="s">
        <v>149</v>
      </c>
      <c r="FR7" s="181" t="s">
        <v>69</v>
      </c>
      <c r="FS7" s="181" t="s">
        <v>71</v>
      </c>
      <c r="FT7" s="2620"/>
      <c r="FU7" s="181" t="s">
        <v>275</v>
      </c>
      <c r="FV7" s="181" t="s">
        <v>230</v>
      </c>
      <c r="FW7" s="181" t="s">
        <v>147</v>
      </c>
      <c r="FX7" s="181" t="s">
        <v>231</v>
      </c>
      <c r="FY7" s="181" t="s">
        <v>148</v>
      </c>
      <c r="FZ7" s="181" t="s">
        <v>232</v>
      </c>
      <c r="GA7" s="181" t="s">
        <v>149</v>
      </c>
      <c r="GB7" s="181" t="s">
        <v>233</v>
      </c>
      <c r="GC7" s="181" t="s">
        <v>69</v>
      </c>
      <c r="GD7" s="181" t="s">
        <v>234</v>
      </c>
      <c r="GE7" s="181" t="s">
        <v>71</v>
      </c>
      <c r="GF7" s="182" t="s">
        <v>235</v>
      </c>
      <c r="GG7" s="2619"/>
      <c r="GH7" s="2674"/>
      <c r="GJ7" s="181" t="s">
        <v>276</v>
      </c>
      <c r="GK7" s="181" t="s">
        <v>81</v>
      </c>
      <c r="GL7" s="181" t="s">
        <v>37</v>
      </c>
      <c r="GM7" s="2632"/>
      <c r="GN7" s="181" t="s">
        <v>277</v>
      </c>
      <c r="GO7" s="181" t="s">
        <v>277</v>
      </c>
      <c r="GP7" s="2633"/>
      <c r="GQ7" s="2667"/>
      <c r="GR7" s="2634"/>
      <c r="GS7" s="2632"/>
      <c r="GT7" s="2632"/>
      <c r="GU7" s="2632"/>
      <c r="GV7" s="2619"/>
      <c r="GW7" s="2667"/>
      <c r="GX7" s="183" t="s">
        <v>263</v>
      </c>
      <c r="GY7" s="181" t="s">
        <v>264</v>
      </c>
      <c r="GZ7" s="181" t="s">
        <v>265</v>
      </c>
      <c r="HA7" s="181" t="s">
        <v>266</v>
      </c>
      <c r="HB7" s="181" t="s">
        <v>267</v>
      </c>
      <c r="HC7" s="181" t="s">
        <v>268</v>
      </c>
      <c r="HD7" s="181" t="s">
        <v>269</v>
      </c>
      <c r="HE7" s="181" t="s">
        <v>270</v>
      </c>
      <c r="HF7" s="181" t="s">
        <v>271</v>
      </c>
      <c r="HG7" s="181" t="s">
        <v>272</v>
      </c>
      <c r="HH7" s="181" t="s">
        <v>273</v>
      </c>
      <c r="HI7" s="181" t="s">
        <v>274</v>
      </c>
      <c r="HJ7" s="181" t="s">
        <v>179</v>
      </c>
      <c r="HK7" s="181" t="s">
        <v>278</v>
      </c>
      <c r="HL7" s="2620"/>
      <c r="HM7" s="1001" t="s">
        <v>275</v>
      </c>
      <c r="HN7" s="1001" t="s">
        <v>230</v>
      </c>
      <c r="HO7" s="1001" t="s">
        <v>147</v>
      </c>
      <c r="HP7" s="1001" t="s">
        <v>231</v>
      </c>
      <c r="HQ7" s="1001" t="s">
        <v>148</v>
      </c>
      <c r="HR7" s="1001" t="s">
        <v>232</v>
      </c>
      <c r="HS7" s="1001" t="s">
        <v>149</v>
      </c>
      <c r="HT7" s="1001" t="s">
        <v>233</v>
      </c>
      <c r="HU7" s="1001" t="s">
        <v>69</v>
      </c>
      <c r="HV7" s="1001" t="s">
        <v>234</v>
      </c>
      <c r="HW7" s="1001" t="s">
        <v>71</v>
      </c>
      <c r="HX7" s="1001" t="s">
        <v>235</v>
      </c>
      <c r="HY7" s="1001" t="s">
        <v>179</v>
      </c>
      <c r="HZ7" s="1001" t="s">
        <v>30</v>
      </c>
      <c r="IA7" s="2712"/>
      <c r="IB7" s="183" t="s">
        <v>275</v>
      </c>
      <c r="IC7" s="181" t="s">
        <v>230</v>
      </c>
      <c r="ID7" s="181" t="s">
        <v>147</v>
      </c>
      <c r="IE7" s="181" t="s">
        <v>231</v>
      </c>
      <c r="IF7" s="181" t="s">
        <v>148</v>
      </c>
      <c r="IG7" s="181" t="s">
        <v>232</v>
      </c>
      <c r="IH7" s="181" t="s">
        <v>149</v>
      </c>
      <c r="II7" s="181" t="s">
        <v>233</v>
      </c>
      <c r="IJ7" s="181" t="s">
        <v>69</v>
      </c>
      <c r="IK7" s="181" t="s">
        <v>234</v>
      </c>
      <c r="IL7" s="181" t="s">
        <v>71</v>
      </c>
      <c r="IM7" s="181" t="s">
        <v>235</v>
      </c>
      <c r="IN7" s="181" t="s">
        <v>179</v>
      </c>
      <c r="IO7" s="181" t="s">
        <v>30</v>
      </c>
      <c r="IP7" s="2620"/>
      <c r="IQ7" s="183" t="s">
        <v>275</v>
      </c>
      <c r="IR7" s="181" t="s">
        <v>230</v>
      </c>
      <c r="IS7" s="181" t="s">
        <v>147</v>
      </c>
      <c r="IT7" s="181" t="s">
        <v>231</v>
      </c>
      <c r="IU7" s="181" t="s">
        <v>148</v>
      </c>
      <c r="IV7" s="181" t="s">
        <v>232</v>
      </c>
      <c r="IW7" s="181" t="s">
        <v>149</v>
      </c>
      <c r="IX7" s="181" t="s">
        <v>233</v>
      </c>
      <c r="IY7" s="181" t="s">
        <v>69</v>
      </c>
      <c r="IZ7" s="181" t="s">
        <v>234</v>
      </c>
      <c r="JA7" s="181" t="s">
        <v>71</v>
      </c>
      <c r="JB7" s="181" t="s">
        <v>235</v>
      </c>
      <c r="JC7" s="181" t="s">
        <v>179</v>
      </c>
      <c r="JD7" s="181" t="s">
        <v>30</v>
      </c>
      <c r="JE7" s="2619"/>
      <c r="JF7" s="2667"/>
      <c r="JH7" s="2632"/>
      <c r="JI7" s="2672"/>
      <c r="JJ7" s="2632"/>
      <c r="JK7" s="2632"/>
      <c r="JL7" s="2633"/>
      <c r="JM7" s="2669"/>
      <c r="JN7" s="183" t="s">
        <v>146</v>
      </c>
      <c r="JO7" s="181" t="s">
        <v>147</v>
      </c>
      <c r="JP7" s="181" t="s">
        <v>148</v>
      </c>
      <c r="JQ7" s="181" t="s">
        <v>149</v>
      </c>
      <c r="JR7" s="181" t="s">
        <v>69</v>
      </c>
      <c r="JS7" s="181" t="s">
        <v>71</v>
      </c>
      <c r="JT7" s="181" t="s">
        <v>179</v>
      </c>
      <c r="JU7" s="181" t="s">
        <v>30</v>
      </c>
      <c r="JV7" s="183" t="s">
        <v>146</v>
      </c>
      <c r="JW7" s="181" t="s">
        <v>147</v>
      </c>
      <c r="JX7" s="181" t="s">
        <v>148</v>
      </c>
      <c r="JY7" s="181" t="s">
        <v>149</v>
      </c>
      <c r="JZ7" s="181" t="s">
        <v>69</v>
      </c>
      <c r="KA7" s="181" t="s">
        <v>71</v>
      </c>
      <c r="KB7" s="181" t="s">
        <v>179</v>
      </c>
      <c r="KC7" s="181" t="s">
        <v>30</v>
      </c>
      <c r="KD7" s="181" t="s">
        <v>146</v>
      </c>
      <c r="KE7" s="181" t="s">
        <v>147</v>
      </c>
      <c r="KF7" s="181" t="s">
        <v>148</v>
      </c>
      <c r="KG7" s="181" t="s">
        <v>149</v>
      </c>
      <c r="KH7" s="181" t="s">
        <v>69</v>
      </c>
      <c r="KI7" s="181" t="s">
        <v>71</v>
      </c>
      <c r="KJ7" s="181" t="s">
        <v>179</v>
      </c>
      <c r="KK7" s="181" t="s">
        <v>30</v>
      </c>
      <c r="KL7" s="2633"/>
      <c r="KM7" s="2669"/>
      <c r="KN7" s="183" t="s">
        <v>61</v>
      </c>
      <c r="KO7" s="181" t="s">
        <v>62</v>
      </c>
      <c r="KP7" s="181" t="s">
        <v>63</v>
      </c>
      <c r="KQ7" s="181" t="s">
        <v>196</v>
      </c>
      <c r="KR7" s="181" t="s">
        <v>197</v>
      </c>
      <c r="KS7" s="183" t="s">
        <v>61</v>
      </c>
      <c r="KT7" s="181" t="s">
        <v>62</v>
      </c>
      <c r="KU7" s="181" t="s">
        <v>63</v>
      </c>
      <c r="KV7" s="181" t="s">
        <v>196</v>
      </c>
      <c r="KW7" s="181" t="s">
        <v>197</v>
      </c>
      <c r="KX7" s="181" t="s">
        <v>61</v>
      </c>
      <c r="KY7" s="181" t="s">
        <v>62</v>
      </c>
      <c r="KZ7" s="181" t="s">
        <v>63</v>
      </c>
      <c r="LA7" s="181" t="s">
        <v>196</v>
      </c>
      <c r="LB7" s="181" t="s">
        <v>197</v>
      </c>
      <c r="LC7" s="2633"/>
      <c r="LD7" s="2669"/>
      <c r="LF7" s="184" t="s">
        <v>167</v>
      </c>
      <c r="LG7" s="184" t="s">
        <v>168</v>
      </c>
      <c r="LH7" s="184" t="s">
        <v>279</v>
      </c>
      <c r="LI7" s="184" t="s">
        <v>7</v>
      </c>
      <c r="LJ7" s="43" t="s">
        <v>198</v>
      </c>
      <c r="LK7" s="43" t="s">
        <v>199</v>
      </c>
      <c r="LL7" s="44" t="s">
        <v>200</v>
      </c>
      <c r="LM7" s="45" t="s">
        <v>201</v>
      </c>
      <c r="LN7" s="2691"/>
      <c r="LO7" s="2633"/>
      <c r="LP7" s="2688"/>
      <c r="LQ7" s="183" t="s">
        <v>167</v>
      </c>
      <c r="LR7" s="184" t="s">
        <v>168</v>
      </c>
      <c r="LS7" s="181" t="s">
        <v>169</v>
      </c>
      <c r="LT7" s="181" t="s">
        <v>202</v>
      </c>
      <c r="LU7" s="181" t="s">
        <v>280</v>
      </c>
      <c r="LV7" s="2620"/>
      <c r="LW7" s="181" t="s">
        <v>167</v>
      </c>
      <c r="LX7" s="184" t="s">
        <v>168</v>
      </c>
      <c r="LY7" s="181" t="s">
        <v>169</v>
      </c>
      <c r="LZ7" s="181" t="s">
        <v>202</v>
      </c>
      <c r="MA7" s="181" t="s">
        <v>280</v>
      </c>
      <c r="MB7" s="181" t="s">
        <v>151</v>
      </c>
      <c r="MC7" s="181" t="s">
        <v>167</v>
      </c>
      <c r="MD7" s="184" t="s">
        <v>168</v>
      </c>
      <c r="ME7" s="181" t="s">
        <v>169</v>
      </c>
      <c r="MF7" s="181" t="s">
        <v>202</v>
      </c>
      <c r="MG7" s="181" t="s">
        <v>203</v>
      </c>
      <c r="MH7" s="2620"/>
      <c r="MI7" s="181" t="s">
        <v>167</v>
      </c>
      <c r="MJ7" s="181" t="s">
        <v>168</v>
      </c>
      <c r="MK7" s="181" t="s">
        <v>169</v>
      </c>
      <c r="ML7" s="181" t="s">
        <v>202</v>
      </c>
      <c r="MM7" s="181" t="s">
        <v>203</v>
      </c>
      <c r="MN7" s="2620"/>
      <c r="MO7" s="181" t="s">
        <v>167</v>
      </c>
      <c r="MP7" s="184" t="s">
        <v>168</v>
      </c>
      <c r="MQ7" s="181" t="s">
        <v>169</v>
      </c>
      <c r="MR7" s="181" t="s">
        <v>202</v>
      </c>
      <c r="MS7" s="181" t="s">
        <v>280</v>
      </c>
      <c r="MT7" s="2619"/>
      <c r="MU7" s="2688"/>
      <c r="MW7" s="2632"/>
      <c r="MX7" s="2632"/>
      <c r="MY7" s="2632"/>
      <c r="MZ7" s="2633"/>
      <c r="NA7" s="2621"/>
      <c r="NB7" s="183" t="s">
        <v>167</v>
      </c>
      <c r="NC7" s="183" t="s">
        <v>168</v>
      </c>
      <c r="ND7" s="181" t="s">
        <v>169</v>
      </c>
      <c r="NE7" s="2632"/>
      <c r="NF7" s="183" t="s">
        <v>263</v>
      </c>
      <c r="NG7" s="181" t="s">
        <v>230</v>
      </c>
      <c r="NH7" s="181" t="s">
        <v>265</v>
      </c>
      <c r="NI7" s="181" t="s">
        <v>231</v>
      </c>
      <c r="NJ7" s="181" t="s">
        <v>267</v>
      </c>
      <c r="NK7" s="181" t="s">
        <v>232</v>
      </c>
      <c r="NL7" s="181" t="s">
        <v>269</v>
      </c>
      <c r="NM7" s="181" t="s">
        <v>233</v>
      </c>
      <c r="NN7" s="181" t="s">
        <v>69</v>
      </c>
      <c r="NO7" s="181" t="s">
        <v>272</v>
      </c>
      <c r="NP7" s="181" t="s">
        <v>146</v>
      </c>
      <c r="NQ7" s="181" t="s">
        <v>71</v>
      </c>
      <c r="NR7" s="2620"/>
      <c r="NS7" s="183" t="s">
        <v>275</v>
      </c>
      <c r="NT7" s="181" t="s">
        <v>230</v>
      </c>
      <c r="NU7" s="181" t="s">
        <v>147</v>
      </c>
      <c r="NV7" s="181" t="s">
        <v>231</v>
      </c>
      <c r="NW7" s="181" t="s">
        <v>148</v>
      </c>
      <c r="NX7" s="181" t="s">
        <v>232</v>
      </c>
      <c r="NY7" s="181" t="s">
        <v>149</v>
      </c>
      <c r="NZ7" s="181" t="s">
        <v>233</v>
      </c>
      <c r="OA7" s="181" t="s">
        <v>69</v>
      </c>
      <c r="OB7" s="181" t="s">
        <v>234</v>
      </c>
      <c r="OC7" s="181" t="s">
        <v>71</v>
      </c>
      <c r="OD7" s="181" t="s">
        <v>235</v>
      </c>
      <c r="OE7" s="2620"/>
      <c r="OF7" s="183" t="s">
        <v>275</v>
      </c>
      <c r="OG7" s="181" t="s">
        <v>230</v>
      </c>
      <c r="OH7" s="181" t="s">
        <v>147</v>
      </c>
      <c r="OI7" s="181" t="s">
        <v>231</v>
      </c>
      <c r="OJ7" s="181" t="s">
        <v>148</v>
      </c>
      <c r="OK7" s="181" t="s">
        <v>232</v>
      </c>
      <c r="OL7" s="181" t="s">
        <v>149</v>
      </c>
      <c r="OM7" s="181" t="s">
        <v>233</v>
      </c>
      <c r="ON7" s="181" t="s">
        <v>69</v>
      </c>
      <c r="OO7" s="181" t="s">
        <v>234</v>
      </c>
      <c r="OP7" s="181" t="s">
        <v>71</v>
      </c>
      <c r="OQ7" s="181" t="s">
        <v>235</v>
      </c>
      <c r="OR7" s="2620"/>
      <c r="OS7" s="181" t="s">
        <v>146</v>
      </c>
      <c r="OT7" s="181" t="s">
        <v>147</v>
      </c>
      <c r="OU7" s="181" t="s">
        <v>148</v>
      </c>
      <c r="OV7" s="181" t="s">
        <v>149</v>
      </c>
      <c r="OW7" s="181" t="s">
        <v>69</v>
      </c>
      <c r="OX7" s="181" t="s">
        <v>71</v>
      </c>
      <c r="OY7" s="2620"/>
      <c r="OZ7" s="181" t="s">
        <v>146</v>
      </c>
      <c r="PA7" s="181" t="s">
        <v>147</v>
      </c>
      <c r="PB7" s="181" t="s">
        <v>148</v>
      </c>
      <c r="PC7" s="181" t="s">
        <v>149</v>
      </c>
      <c r="PD7" s="181" t="s">
        <v>69</v>
      </c>
      <c r="PE7" s="181" t="s">
        <v>71</v>
      </c>
      <c r="PF7" s="2619"/>
      <c r="PG7" s="2621"/>
      <c r="PI7" s="2620"/>
      <c r="PJ7" s="2620"/>
      <c r="PK7" s="2704"/>
      <c r="PL7" s="2705"/>
      <c r="PM7" s="2619"/>
      <c r="PN7" s="2619"/>
      <c r="PO7" s="2619"/>
      <c r="PP7" s="2615"/>
      <c r="PR7" s="999" t="s">
        <v>243</v>
      </c>
      <c r="PS7" s="999" t="s">
        <v>72</v>
      </c>
      <c r="PT7" s="999" t="s">
        <v>35</v>
      </c>
      <c r="PU7" s="999" t="s">
        <v>81</v>
      </c>
      <c r="PV7" s="999" t="s">
        <v>282</v>
      </c>
      <c r="PW7" s="999" t="s">
        <v>283</v>
      </c>
      <c r="PX7" s="999" t="s">
        <v>284</v>
      </c>
      <c r="PY7" s="2620"/>
      <c r="PZ7" s="2620"/>
      <c r="QA7" s="2620"/>
      <c r="QB7" s="2691"/>
      <c r="QC7" s="2691"/>
      <c r="QD7" s="2620"/>
      <c r="QE7" s="999" t="s">
        <v>35</v>
      </c>
      <c r="QF7" s="999" t="s">
        <v>81</v>
      </c>
      <c r="QG7" s="999" t="s">
        <v>37</v>
      </c>
      <c r="QH7" s="1000"/>
      <c r="QI7" s="2619"/>
      <c r="QJ7" s="2615"/>
      <c r="QL7" s="181" t="s">
        <v>204</v>
      </c>
      <c r="QM7" s="181" t="s">
        <v>205</v>
      </c>
      <c r="QO7" s="181" t="s">
        <v>204</v>
      </c>
      <c r="QP7" s="181" t="s">
        <v>205</v>
      </c>
      <c r="QR7" s="89" t="s">
        <v>146</v>
      </c>
      <c r="QS7" s="89" t="s">
        <v>147</v>
      </c>
      <c r="QT7" s="89" t="s">
        <v>148</v>
      </c>
      <c r="QU7" s="89" t="s">
        <v>149</v>
      </c>
      <c r="QV7" s="89" t="s">
        <v>69</v>
      </c>
      <c r="QW7" s="89" t="s">
        <v>71</v>
      </c>
      <c r="QX7" s="89"/>
      <c r="QY7" s="89" t="s">
        <v>146</v>
      </c>
      <c r="QZ7" s="89" t="s">
        <v>147</v>
      </c>
      <c r="RA7" s="89" t="s">
        <v>148</v>
      </c>
      <c r="RB7" s="89" t="s">
        <v>149</v>
      </c>
      <c r="RC7" s="89" t="s">
        <v>69</v>
      </c>
      <c r="RD7" s="89" t="s">
        <v>71</v>
      </c>
      <c r="RH7" s="1004" t="s">
        <v>167</v>
      </c>
      <c r="RI7" s="1004" t="s">
        <v>168</v>
      </c>
      <c r="RJ7" s="1003" t="s">
        <v>169</v>
      </c>
      <c r="RK7" s="2719"/>
      <c r="RW7" s="1134"/>
    </row>
    <row r="8" spans="1:500" s="89" customFormat="1" ht="15" customHeight="1">
      <c r="C8" s="1395"/>
      <c r="D8" s="1395"/>
      <c r="E8" s="1395"/>
      <c r="F8" s="1395"/>
      <c r="G8" s="1395"/>
      <c r="H8" s="1395"/>
      <c r="I8" s="1395"/>
      <c r="J8" s="1395"/>
      <c r="K8" s="1395"/>
      <c r="L8" s="1395"/>
      <c r="M8" s="1395"/>
      <c r="N8" s="2629"/>
      <c r="O8" s="1395"/>
      <c r="P8" s="1395"/>
      <c r="Q8" s="1395"/>
      <c r="R8" s="1395"/>
      <c r="S8" s="1147"/>
      <c r="T8" s="1395"/>
      <c r="U8" s="1406"/>
      <c r="V8" s="1146"/>
      <c r="W8" s="1395"/>
      <c r="X8" s="1395"/>
      <c r="Y8" s="1395"/>
      <c r="Z8" s="1395"/>
      <c r="AA8" s="2720"/>
      <c r="AB8" s="2721"/>
      <c r="AC8" s="2721"/>
      <c r="AD8" s="2722"/>
      <c r="AE8" s="1395"/>
      <c r="AF8" s="1395"/>
      <c r="AG8" s="1395"/>
      <c r="AH8" s="1395"/>
      <c r="AI8" s="1395"/>
      <c r="AJ8" s="1395"/>
      <c r="AK8" s="1395"/>
      <c r="AL8" s="1395"/>
      <c r="AM8" s="2629"/>
      <c r="AN8" s="1395"/>
      <c r="AO8" s="1395"/>
      <c r="AP8" s="1395"/>
      <c r="AQ8" s="1395"/>
      <c r="AR8" s="1395"/>
      <c r="AS8" s="1395"/>
      <c r="AT8" s="1395"/>
      <c r="AU8" s="1395"/>
      <c r="AV8" s="1395"/>
      <c r="AW8" s="1395"/>
      <c r="AX8" s="1395"/>
      <c r="AY8" s="1395"/>
      <c r="AZ8" s="1395"/>
      <c r="BA8" s="1395"/>
      <c r="BB8" s="1395"/>
      <c r="BC8" s="1395"/>
      <c r="BD8" s="1395"/>
      <c r="BE8" s="1395"/>
      <c r="BF8" s="1395"/>
      <c r="BG8" s="1395"/>
      <c r="BH8" s="1395"/>
      <c r="BI8" s="1395"/>
      <c r="BJ8" s="1395"/>
      <c r="BK8" s="1395"/>
      <c r="BL8" s="1395"/>
      <c r="BM8" s="1395"/>
      <c r="BN8" s="1395"/>
      <c r="BO8" s="1395"/>
      <c r="BP8" s="1395"/>
      <c r="BQ8" s="1395"/>
      <c r="BR8" s="1395"/>
      <c r="BS8" s="1395"/>
      <c r="BT8" s="1395"/>
      <c r="BU8" s="1395"/>
      <c r="BV8" s="1395"/>
      <c r="BW8" s="1395"/>
      <c r="CG8" s="147"/>
      <c r="CH8" s="1395"/>
      <c r="CI8" s="1395"/>
      <c r="CJ8" s="1395"/>
      <c r="CK8" s="1395"/>
      <c r="CL8" s="1395"/>
      <c r="CN8" s="1395"/>
      <c r="CO8" s="323"/>
      <c r="CQ8" s="1395"/>
      <c r="CR8" s="1395"/>
      <c r="CS8" s="1395"/>
      <c r="CT8" s="1395"/>
      <c r="CU8" s="1395"/>
      <c r="CV8" s="1395"/>
      <c r="CW8" s="1395"/>
      <c r="CX8" s="1395"/>
      <c r="CY8" s="1395"/>
      <c r="CZ8" s="1395"/>
      <c r="DA8" s="1395"/>
      <c r="DB8" s="1395"/>
      <c r="DC8" s="1395"/>
      <c r="DD8" s="2685"/>
      <c r="DE8" s="1395"/>
      <c r="DF8" s="1395"/>
      <c r="DG8" s="1395"/>
      <c r="DH8" s="1395"/>
      <c r="DI8" s="1395"/>
      <c r="DJ8" s="1395"/>
      <c r="DK8" s="1395"/>
      <c r="DL8" s="1395"/>
      <c r="DM8" s="1395"/>
      <c r="DN8" s="1395"/>
      <c r="DO8" s="1395"/>
      <c r="DP8" s="1395"/>
      <c r="DQ8" s="1396"/>
      <c r="DR8" s="1395"/>
      <c r="DS8" s="1395"/>
      <c r="DT8" s="1395"/>
      <c r="DU8" s="1395"/>
      <c r="DV8" s="1395"/>
      <c r="DW8" s="1395"/>
      <c r="DX8" s="1395"/>
      <c r="DY8" s="1395"/>
      <c r="DZ8" s="1395"/>
      <c r="EA8" s="1395"/>
      <c r="EB8" s="1395"/>
      <c r="EC8" s="1395"/>
      <c r="ED8" s="1396"/>
      <c r="EE8" s="1395"/>
      <c r="EF8" s="1395"/>
      <c r="EG8" s="1395"/>
      <c r="EH8" s="1395"/>
      <c r="EI8" s="1395"/>
      <c r="EJ8" s="1395"/>
      <c r="EK8" s="1395"/>
      <c r="EL8" s="1395"/>
      <c r="EM8" s="1395"/>
      <c r="EN8" s="1395"/>
      <c r="EO8" s="1395"/>
      <c r="EP8" s="1395"/>
      <c r="EQ8" s="1396"/>
      <c r="ER8" s="1395"/>
      <c r="ES8" s="1395"/>
      <c r="ET8" s="1395"/>
      <c r="EU8" s="1395"/>
      <c r="EV8" s="1395"/>
      <c r="EW8" s="1395"/>
      <c r="EX8" s="1396"/>
      <c r="EY8" s="2685"/>
      <c r="FA8" s="1396"/>
      <c r="FB8" s="1396"/>
      <c r="FC8" s="1396"/>
      <c r="FD8" s="1395"/>
      <c r="FE8" s="1395"/>
      <c r="FF8" s="2674"/>
      <c r="FG8" s="1395"/>
      <c r="FH8" s="1395"/>
      <c r="FI8" s="1395"/>
      <c r="FJ8" s="1395"/>
      <c r="FK8" s="1395"/>
      <c r="FL8" s="1395"/>
      <c r="FM8" s="1396"/>
      <c r="FN8" s="1395"/>
      <c r="FO8" s="1395"/>
      <c r="FP8" s="1395"/>
      <c r="FQ8" s="1395"/>
      <c r="FR8" s="1395"/>
      <c r="FS8" s="1395"/>
      <c r="FT8" s="1396"/>
      <c r="FU8" s="1395"/>
      <c r="FV8" s="1395"/>
      <c r="FW8" s="1395"/>
      <c r="FX8" s="1395"/>
      <c r="FY8" s="1395"/>
      <c r="FZ8" s="1395"/>
      <c r="GA8" s="1395"/>
      <c r="GB8" s="1395"/>
      <c r="GC8" s="1395"/>
      <c r="GD8" s="1395"/>
      <c r="GE8" s="1395"/>
      <c r="GF8" s="1395"/>
      <c r="GG8" s="1396"/>
      <c r="GH8" s="2674"/>
      <c r="GJ8" s="1395"/>
      <c r="GK8" s="1395"/>
      <c r="GL8" s="1395"/>
      <c r="GM8" s="1395"/>
      <c r="GN8" s="1395"/>
      <c r="GO8" s="1395"/>
      <c r="GP8" s="1395"/>
      <c r="GQ8" s="2667"/>
      <c r="GR8" s="1395"/>
      <c r="GS8" s="1395"/>
      <c r="GT8" s="1395"/>
      <c r="GU8" s="1395"/>
      <c r="GV8" s="1396"/>
      <c r="GW8" s="2667"/>
      <c r="GX8" s="1395"/>
      <c r="GY8" s="1395"/>
      <c r="GZ8" s="1395"/>
      <c r="HA8" s="1395"/>
      <c r="HB8" s="1395"/>
      <c r="HC8" s="1395"/>
      <c r="HD8" s="1395"/>
      <c r="HE8" s="1395"/>
      <c r="HF8" s="1395"/>
      <c r="HG8" s="1395"/>
      <c r="HH8" s="1395"/>
      <c r="HI8" s="1395"/>
      <c r="HJ8" s="1395"/>
      <c r="HK8" s="1395"/>
      <c r="HL8" s="1396"/>
      <c r="HM8" s="1145"/>
      <c r="HN8" s="1407"/>
      <c r="HO8" s="1407"/>
      <c r="HP8" s="1407"/>
      <c r="HQ8" s="1407"/>
      <c r="HR8" s="1407"/>
      <c r="HS8" s="1407"/>
      <c r="HT8" s="1407"/>
      <c r="HU8" s="1407"/>
      <c r="HV8" s="1407"/>
      <c r="HW8" s="1407"/>
      <c r="HX8" s="1407"/>
      <c r="HY8" s="1407"/>
      <c r="HZ8" s="1407"/>
      <c r="IA8" s="1144"/>
      <c r="IB8" s="1395"/>
      <c r="IC8" s="1395"/>
      <c r="ID8" s="1395"/>
      <c r="IE8" s="1395"/>
      <c r="IF8" s="1395"/>
      <c r="IG8" s="1395"/>
      <c r="IH8" s="1395"/>
      <c r="II8" s="1395"/>
      <c r="IJ8" s="1395"/>
      <c r="IK8" s="1395"/>
      <c r="IL8" s="1395"/>
      <c r="IM8" s="1395"/>
      <c r="IN8" s="1395"/>
      <c r="IO8" s="1395"/>
      <c r="IP8" s="1396"/>
      <c r="IQ8" s="1395"/>
      <c r="IR8" s="1395"/>
      <c r="IS8" s="1395"/>
      <c r="IT8" s="1395"/>
      <c r="IU8" s="1395"/>
      <c r="IV8" s="1395"/>
      <c r="IW8" s="1395"/>
      <c r="IX8" s="1395"/>
      <c r="IY8" s="1395"/>
      <c r="IZ8" s="1395"/>
      <c r="JA8" s="1395"/>
      <c r="JB8" s="1395"/>
      <c r="JC8" s="1395"/>
      <c r="JD8" s="1395"/>
      <c r="JE8" s="1396"/>
      <c r="JF8" s="2667"/>
      <c r="JH8" s="1395"/>
      <c r="JI8" s="1395"/>
      <c r="JJ8" s="1395"/>
      <c r="JK8" s="1395"/>
      <c r="JL8" s="1395"/>
      <c r="JM8" s="2669"/>
      <c r="JN8" s="1395"/>
      <c r="JO8" s="1395"/>
      <c r="JP8" s="1395"/>
      <c r="JQ8" s="1395"/>
      <c r="JR8" s="1395"/>
      <c r="JS8" s="1395"/>
      <c r="JT8" s="1395"/>
      <c r="JU8" s="1395"/>
      <c r="JV8" s="1395"/>
      <c r="JW8" s="1395"/>
      <c r="JX8" s="1395"/>
      <c r="JY8" s="1395"/>
      <c r="JZ8" s="1395"/>
      <c r="KA8" s="1395"/>
      <c r="KB8" s="1395"/>
      <c r="KC8" s="1395"/>
      <c r="KE8" s="1395"/>
      <c r="KF8" s="1395"/>
      <c r="KG8" s="1395"/>
      <c r="KH8" s="1395"/>
      <c r="KI8" s="1395"/>
      <c r="KJ8" s="1395"/>
      <c r="KK8" s="1395"/>
      <c r="KL8" s="1395"/>
      <c r="KM8" s="2669"/>
      <c r="KN8" s="1395"/>
      <c r="KO8" s="1395"/>
      <c r="KP8" s="1395"/>
      <c r="KQ8" s="1395"/>
      <c r="KR8" s="1395"/>
      <c r="KS8" s="1395"/>
      <c r="KT8" s="1395"/>
      <c r="KU8" s="1395"/>
      <c r="KV8" s="1395"/>
      <c r="KW8" s="1395"/>
      <c r="KX8" s="1395"/>
      <c r="KY8" s="1395"/>
      <c r="KZ8" s="1395"/>
      <c r="LA8" s="1395"/>
      <c r="LB8" s="1395"/>
      <c r="LC8" s="1395"/>
      <c r="LD8" s="2669"/>
      <c r="LF8" s="1395"/>
      <c r="LG8" s="1395"/>
      <c r="LH8" s="1395"/>
      <c r="LI8" s="1395"/>
      <c r="LJ8" s="17"/>
      <c r="LK8" s="18"/>
      <c r="LL8" s="1397"/>
      <c r="LM8" s="17"/>
      <c r="LN8" s="17"/>
      <c r="LO8" s="1395"/>
      <c r="LP8" s="2688"/>
      <c r="LQ8" s="1395"/>
      <c r="LR8" s="1395"/>
      <c r="LS8" s="1395"/>
      <c r="LT8" s="1395"/>
      <c r="LU8" s="1395"/>
      <c r="LV8" s="1396"/>
      <c r="LW8" s="1395"/>
      <c r="LX8" s="1395"/>
      <c r="LY8" s="1395"/>
      <c r="LZ8" s="1395"/>
      <c r="MA8" s="1395"/>
      <c r="MB8" s="1395"/>
      <c r="MC8" s="1395"/>
      <c r="MD8" s="1395"/>
      <c r="ME8" s="1395"/>
      <c r="MF8" s="1395"/>
      <c r="MG8" s="1395"/>
      <c r="MH8" s="1396"/>
      <c r="MI8" s="1395"/>
      <c r="MJ8" s="1395"/>
      <c r="MK8" s="1395"/>
      <c r="ML8" s="1395"/>
      <c r="MM8" s="1395"/>
      <c r="MN8" s="1396"/>
      <c r="MO8" s="1395"/>
      <c r="MP8" s="1395"/>
      <c r="MQ8" s="1395"/>
      <c r="MR8" s="1395"/>
      <c r="MS8" s="1395"/>
      <c r="MT8" s="1396"/>
      <c r="MU8" s="2688"/>
      <c r="NA8" s="2621"/>
      <c r="NB8" s="303"/>
      <c r="NC8" s="303"/>
      <c r="ND8" s="303"/>
      <c r="NR8" s="298">
        <f t="shared" ref="NR8:NR40" si="0">SUM(NF8:NQ8)</f>
        <v>0</v>
      </c>
      <c r="NS8" s="105"/>
      <c r="NT8" s="105"/>
      <c r="NU8" s="105"/>
      <c r="NV8" s="105"/>
      <c r="NW8" s="105"/>
      <c r="NX8" s="105"/>
      <c r="NY8" s="105"/>
      <c r="NZ8" s="105"/>
      <c r="OA8" s="105"/>
      <c r="OB8" s="105"/>
      <c r="OC8" s="105"/>
      <c r="OD8" s="105"/>
      <c r="OE8" s="298">
        <f t="shared" ref="OE8:OE40" si="1">SUM(NS8:OD8)</f>
        <v>0</v>
      </c>
      <c r="OJ8" s="304"/>
      <c r="OK8" s="304"/>
      <c r="ON8" s="304"/>
      <c r="OO8" s="304"/>
      <c r="OR8" s="298">
        <f t="shared" ref="OR8:OR40" si="2">SUM(OF8:OQ8)</f>
        <v>0</v>
      </c>
      <c r="OY8" s="19"/>
      <c r="PF8" s="298">
        <f t="shared" ref="PF8:PF40" si="3">SUM(OZ8:PE8)</f>
        <v>0</v>
      </c>
      <c r="PG8" s="2621"/>
      <c r="PP8" s="2615"/>
      <c r="QJ8" s="2615"/>
      <c r="RM8" s="2713" t="s">
        <v>285</v>
      </c>
      <c r="RN8" s="2713"/>
      <c r="RO8" s="2713"/>
      <c r="RP8" s="2713"/>
      <c r="RQ8" s="2713"/>
      <c r="RR8" s="2713"/>
      <c r="RU8" s="2713" t="s">
        <v>286</v>
      </c>
      <c r="RV8" s="2713"/>
      <c r="RW8" s="2713"/>
      <c r="RX8" s="2713"/>
      <c r="RY8" s="2714" t="s">
        <v>287</v>
      </c>
      <c r="RZ8" s="2714"/>
      <c r="SA8" s="2714"/>
      <c r="SB8" s="2714"/>
      <c r="SD8" s="1143" t="s">
        <v>288</v>
      </c>
      <c r="SE8" s="1143"/>
      <c r="SF8" s="1143"/>
    </row>
    <row r="9" spans="1:500" s="89" customFormat="1" ht="15" customHeight="1">
      <c r="B9" s="89">
        <f>COUNTIF(MW10:QD40,"&lt;"&amp;0)</f>
        <v>0</v>
      </c>
      <c r="N9" s="2629"/>
      <c r="S9" s="300"/>
      <c r="U9" s="105"/>
      <c r="V9" s="301"/>
      <c r="AA9" s="2723"/>
      <c r="AB9" s="2724"/>
      <c r="AC9" s="2724"/>
      <c r="AD9" s="2725"/>
      <c r="AM9" s="2629"/>
      <c r="CG9" s="147"/>
      <c r="CO9" s="323"/>
      <c r="DD9" s="2685"/>
      <c r="DE9" s="105"/>
      <c r="DF9" s="105"/>
      <c r="DG9" s="105"/>
      <c r="DH9" s="105"/>
      <c r="DI9" s="105"/>
      <c r="DJ9" s="105"/>
      <c r="DK9" s="105"/>
      <c r="DL9" s="105"/>
      <c r="DM9" s="105"/>
      <c r="DN9" s="105"/>
      <c r="DO9" s="105"/>
      <c r="DP9" s="105"/>
      <c r="DQ9" s="1142"/>
      <c r="ED9" s="19"/>
      <c r="EQ9" s="19"/>
      <c r="EX9" s="19"/>
      <c r="EY9" s="2685"/>
      <c r="FA9" s="19"/>
      <c r="FB9" s="19"/>
      <c r="FC9" s="19"/>
      <c r="FF9" s="2674"/>
      <c r="FM9" s="19"/>
      <c r="FT9" s="19"/>
      <c r="GG9" s="19"/>
      <c r="GH9" s="2674"/>
      <c r="GQ9" s="2667"/>
      <c r="GV9" s="19"/>
      <c r="GW9" s="2667"/>
      <c r="HL9" s="19"/>
      <c r="HM9" s="1141"/>
      <c r="HN9" s="1140"/>
      <c r="HO9" s="1140"/>
      <c r="HP9" s="1140"/>
      <c r="HQ9" s="1140"/>
      <c r="HR9" s="1140"/>
      <c r="HS9" s="1140"/>
      <c r="HT9" s="1140"/>
      <c r="HU9" s="1140"/>
      <c r="HV9" s="1140"/>
      <c r="HW9" s="1140"/>
      <c r="HX9" s="1140"/>
      <c r="HY9" s="1140"/>
      <c r="HZ9" s="1140"/>
      <c r="IA9" s="1139"/>
      <c r="IP9" s="19"/>
      <c r="JE9" s="19"/>
      <c r="JF9" s="2667"/>
      <c r="JM9" s="2669"/>
      <c r="KM9" s="2669"/>
      <c r="LD9" s="2669"/>
      <c r="LJ9" s="17"/>
      <c r="LK9" s="18"/>
      <c r="LL9" s="180"/>
      <c r="LM9" s="17"/>
      <c r="LN9" s="17"/>
      <c r="LP9" s="2688"/>
      <c r="LV9" s="19"/>
      <c r="MH9" s="19"/>
      <c r="MN9" s="19"/>
      <c r="MT9" s="19"/>
      <c r="MU9" s="2688"/>
      <c r="NA9" s="2621"/>
      <c r="NB9" s="1138">
        <v>236904.23650315014</v>
      </c>
      <c r="NC9" s="1138">
        <v>643.16827809568952</v>
      </c>
      <c r="ND9" s="866">
        <v>0</v>
      </c>
      <c r="NE9" s="349">
        <f t="shared" ref="NE9:NE40" si="4">SUM(NB9:ND9)</f>
        <v>237547.40478124583</v>
      </c>
      <c r="NF9" s="349"/>
      <c r="NG9" s="349"/>
      <c r="NH9" s="349"/>
      <c r="NI9" s="349"/>
      <c r="NJ9" s="349">
        <v>0</v>
      </c>
      <c r="NK9" s="349"/>
      <c r="NL9" s="349">
        <v>0</v>
      </c>
      <c r="NM9" s="349"/>
      <c r="NN9" s="349">
        <v>49109.866549275997</v>
      </c>
      <c r="NO9" s="349"/>
      <c r="NP9" s="349">
        <v>8756.5482322711578</v>
      </c>
      <c r="NQ9" s="349">
        <v>12484.2145856876</v>
      </c>
      <c r="NR9" s="362">
        <f t="shared" si="0"/>
        <v>70350.629367234753</v>
      </c>
      <c r="NS9" s="349"/>
      <c r="NT9" s="349"/>
      <c r="NU9" s="349"/>
      <c r="NV9" s="349"/>
      <c r="NW9" s="349"/>
      <c r="NX9" s="349"/>
      <c r="NY9" s="349">
        <v>1984.698151907626</v>
      </c>
      <c r="NZ9" s="349"/>
      <c r="OA9" s="349">
        <v>39302.484759987776</v>
      </c>
      <c r="OB9" s="349"/>
      <c r="OC9" s="349">
        <v>3403.7241844007053</v>
      </c>
      <c r="OD9" s="349"/>
      <c r="OE9" s="349">
        <f t="shared" si="1"/>
        <v>44690.907096296112</v>
      </c>
      <c r="OF9" s="349">
        <v>0</v>
      </c>
      <c r="OG9" s="349"/>
      <c r="OH9" s="349">
        <v>0</v>
      </c>
      <c r="OI9" s="349"/>
      <c r="OJ9" s="349">
        <v>0</v>
      </c>
      <c r="OK9" s="349"/>
      <c r="OL9" s="349">
        <v>0</v>
      </c>
      <c r="OM9" s="349"/>
      <c r="ON9" s="349">
        <v>154112.78851377801</v>
      </c>
      <c r="OO9" s="349"/>
      <c r="OP9" s="349">
        <v>2818.11431840868</v>
      </c>
      <c r="OQ9" s="349"/>
      <c r="OR9" s="349">
        <f t="shared" si="2"/>
        <v>156930.90283218669</v>
      </c>
      <c r="OZ9" s="42"/>
      <c r="PA9" s="42"/>
      <c r="PB9" s="42"/>
      <c r="PC9" s="42"/>
      <c r="PD9" s="42"/>
      <c r="PE9" s="42"/>
      <c r="PF9" s="298">
        <f t="shared" si="3"/>
        <v>0</v>
      </c>
      <c r="PG9" s="2621"/>
      <c r="PM9" s="89">
        <v>55.304277728366742</v>
      </c>
      <c r="PN9" s="89">
        <v>20761.625608283044</v>
      </c>
      <c r="PP9" s="2615"/>
      <c r="QE9" s="1137">
        <v>29749.381073161156</v>
      </c>
      <c r="QF9" s="1137">
        <v>415301.69360492995</v>
      </c>
      <c r="QG9" s="1137">
        <v>0</v>
      </c>
      <c r="QH9" s="1136">
        <v>5505.3678056100007</v>
      </c>
      <c r="QJ9" s="2615"/>
      <c r="QL9" s="105"/>
      <c r="QM9" s="105"/>
      <c r="RH9" s="42">
        <v>45424.161751083164</v>
      </c>
      <c r="RI9" s="42">
        <v>3925.5835498622801</v>
      </c>
      <c r="RJ9" s="42">
        <v>9178.5689913333827</v>
      </c>
      <c r="RK9" s="42">
        <f t="shared" ref="RK9:RK40" si="5">SUM(RH9:RJ9)</f>
        <v>58528.314292278832</v>
      </c>
      <c r="RM9" s="866" t="s">
        <v>81</v>
      </c>
      <c r="RN9" s="866" t="s">
        <v>289</v>
      </c>
      <c r="RO9" s="1135" t="s">
        <v>290</v>
      </c>
      <c r="RP9" s="1135" t="s">
        <v>37</v>
      </c>
      <c r="RQ9" s="42" t="s">
        <v>291</v>
      </c>
      <c r="RR9" s="42" t="s">
        <v>292</v>
      </c>
      <c r="RW9" s="1134" t="s">
        <v>293</v>
      </c>
      <c r="RY9" s="1133"/>
      <c r="RZ9" s="1133" t="s">
        <v>294</v>
      </c>
      <c r="SA9" s="1133"/>
      <c r="SB9" s="1133" t="s">
        <v>178</v>
      </c>
      <c r="SF9" s="89" t="s">
        <v>293</v>
      </c>
    </row>
    <row r="10" spans="1:500" s="1" customFormat="1" ht="15" customHeight="1">
      <c r="B10" s="471">
        <v>1</v>
      </c>
      <c r="C10" s="4">
        <f t="shared" ref="C10:C40" si="6">+O10+S10+W10+AE10+AI10+AA10</f>
        <v>67968</v>
      </c>
      <c r="D10" s="64">
        <f>P10+T10+X10+AB10</f>
        <v>1160.18</v>
      </c>
      <c r="E10" s="61">
        <f t="shared" ref="E10:E41" si="7">IFERROR(C10/D10,0)</f>
        <v>58.584012825596027</v>
      </c>
      <c r="F10" s="870"/>
      <c r="G10" s="870"/>
      <c r="H10" s="295"/>
      <c r="I10" s="299"/>
      <c r="J10" s="48"/>
      <c r="K10" s="50"/>
      <c r="L10" s="48"/>
      <c r="M10" s="60"/>
      <c r="N10" s="2629"/>
      <c r="O10" s="4">
        <f t="shared" ref="O10:O40" si="8">+SUM(AQ10,BC10,AW10)</f>
        <v>59850</v>
      </c>
      <c r="P10" s="1225">
        <f t="shared" ref="P10:P40" si="9">+SUM(AR10,AU10,AX10,BD10)</f>
        <v>901.2</v>
      </c>
      <c r="Q10" s="63">
        <f t="shared" ref="Q10:Q43" si="10">IFERROR(O10/P10,0)</f>
        <v>66.41145139813581</v>
      </c>
      <c r="R10" s="32"/>
      <c r="S10" s="26">
        <f t="shared" ref="S10:S43" si="11">SUM(BF10,BI10,BL10,BX10)</f>
        <v>8118</v>
      </c>
      <c r="T10" s="27">
        <f t="shared" ref="T10:T40" si="12">+SUM(BY10,BJ10,BM10,BG10)</f>
        <v>258.98</v>
      </c>
      <c r="U10" s="49">
        <f t="shared" ref="U10:U44" si="13">IFERROR(S10/T10,0)</f>
        <v>31.34604988802224</v>
      </c>
      <c r="V10" s="25"/>
      <c r="W10" s="26">
        <f t="shared" ref="W10:W40" si="14">BU10+CD10+BR10</f>
        <v>0</v>
      </c>
      <c r="X10" s="5">
        <f t="shared" ref="X10:X40" si="15">BV10+CE10+BS10</f>
        <v>0</v>
      </c>
      <c r="Y10" s="49">
        <f t="shared" ref="Y10:Y43" si="16">IFERROR(W10/X10,0)</f>
        <v>0</v>
      </c>
      <c r="Z10" s="32"/>
      <c r="AA10" s="26">
        <f t="shared" ref="AA10:AA39" si="17">SUM(BO10)</f>
        <v>0</v>
      </c>
      <c r="AB10" s="27">
        <f t="shared" ref="AB10:AB41" si="18">BP10+CB10</f>
        <v>0</v>
      </c>
      <c r="AC10" s="53">
        <f t="shared" ref="AC10:AC41" si="19">IFERROR(AA10/AB10,0)</f>
        <v>0</v>
      </c>
      <c r="AD10" s="28"/>
      <c r="AE10" s="36"/>
      <c r="AF10" s="36"/>
      <c r="AG10" s="49">
        <f t="shared" ref="AG10:AG42" si="20">IFERROR(AE10/AF10,0)</f>
        <v>0</v>
      </c>
      <c r="AH10" s="25"/>
      <c r="AI10" s="23"/>
      <c r="AJ10" s="24"/>
      <c r="AK10" s="49">
        <f t="shared" ref="AK10:AK43" si="21">IFERROR(AI10/AJ10,0)</f>
        <v>0</v>
      </c>
      <c r="AL10" s="25"/>
      <c r="AM10" s="2629"/>
      <c r="AN10" s="8"/>
      <c r="AO10" s="3"/>
      <c r="AP10" s="60">
        <f t="shared" ref="AP10:AP41" si="22">IFERROR(AN10/AO10,0)</f>
        <v>0</v>
      </c>
      <c r="AQ10" s="35"/>
      <c r="AR10" s="49"/>
      <c r="AS10" s="60">
        <f t="shared" ref="AS10:AS42" si="23">IFERROR(AQ10/AR10,0)</f>
        <v>0</v>
      </c>
      <c r="AT10" s="35"/>
      <c r="AU10" s="24"/>
      <c r="AV10" s="60">
        <f t="shared" ref="AV10:AV41" si="24">IFERROR(AT10/AU10,0)</f>
        <v>0</v>
      </c>
      <c r="AW10" s="35">
        <v>36330</v>
      </c>
      <c r="AX10" s="24">
        <v>435.76</v>
      </c>
      <c r="AY10" s="60">
        <f t="shared" ref="AY10:AY43" si="25">IFERROR(AW10/AX10,0)</f>
        <v>83.371580686616483</v>
      </c>
      <c r="AZ10" s="35"/>
      <c r="BA10" s="24"/>
      <c r="BB10" s="60">
        <f t="shared" ref="BB10:BB41" si="26">IFERROR(AZ10/BA10,0)</f>
        <v>0</v>
      </c>
      <c r="BC10" s="35">
        <v>23520</v>
      </c>
      <c r="BD10" s="24">
        <v>465.44</v>
      </c>
      <c r="BE10" s="60">
        <f t="shared" ref="BE10:BE41" si="27">IFERROR(BC10/BD10,0)</f>
        <v>50.532829150910963</v>
      </c>
      <c r="BF10" s="35"/>
      <c r="BG10" s="49"/>
      <c r="BH10" s="60">
        <f t="shared" ref="BH10:BH42" si="28">IFERROR(BF10/BG10,0)</f>
        <v>0</v>
      </c>
      <c r="BI10" s="35">
        <v>0</v>
      </c>
      <c r="BJ10" s="49">
        <v>0</v>
      </c>
      <c r="BK10" s="60">
        <f t="shared" ref="BK10:BK37" si="29">IFERROR(BI10/BJ10,0)</f>
        <v>0</v>
      </c>
      <c r="BL10" s="52">
        <v>8118</v>
      </c>
      <c r="BM10" s="53">
        <v>258.98</v>
      </c>
      <c r="BN10" s="60">
        <f t="shared" ref="BN10:BN41" si="30">IFERROR(BL10/BM10,0)</f>
        <v>31.34604988802224</v>
      </c>
      <c r="BO10" s="1132">
        <v>0</v>
      </c>
      <c r="BP10" s="49">
        <v>0</v>
      </c>
      <c r="BQ10" s="60">
        <f t="shared" ref="BQ10:BQ42" si="31">IFERROR(BO10/BP10,0)</f>
        <v>0</v>
      </c>
      <c r="BR10" s="35"/>
      <c r="BS10" s="49"/>
      <c r="BT10" s="60">
        <f t="shared" ref="BT10:BT41" si="32">IFERROR(BR10/BS10,0)</f>
        <v>0</v>
      </c>
      <c r="BU10" s="35">
        <v>0</v>
      </c>
      <c r="BV10" s="24">
        <v>0</v>
      </c>
      <c r="BW10" s="25">
        <f t="shared" ref="BW10:BW43" si="33">IFERROR(BU10/BV10,0)</f>
        <v>0</v>
      </c>
      <c r="BX10" s="26"/>
      <c r="BY10" s="24"/>
      <c r="BZ10" s="61">
        <f t="shared" ref="BZ10:BZ43" si="34">IFERROR(BX10/BY10,0)</f>
        <v>0</v>
      </c>
      <c r="CA10" s="35"/>
      <c r="CB10" s="24"/>
      <c r="CC10" s="60">
        <f t="shared" ref="CC10:CC43" si="35">IFERROR(CA10/CB10,0)</f>
        <v>0</v>
      </c>
      <c r="CD10" s="23"/>
      <c r="CE10" s="1345"/>
      <c r="CF10" s="25">
        <f t="shared" ref="CF10:CF41" si="36">IFERROR(CD10/CE10,0)</f>
        <v>0</v>
      </c>
      <c r="CG10" s="149"/>
      <c r="CH10" s="1131">
        <v>0</v>
      </c>
      <c r="CI10" s="3">
        <v>0</v>
      </c>
      <c r="CJ10" s="3">
        <v>0</v>
      </c>
      <c r="CK10" s="3">
        <v>3224</v>
      </c>
      <c r="CL10" s="3"/>
      <c r="CM10" s="3">
        <f>SUM(CH10:CL10)</f>
        <v>3224</v>
      </c>
      <c r="CN10" s="32"/>
      <c r="CO10" s="366"/>
      <c r="CQ10" s="2">
        <f t="shared" ref="CQ10:CQ40" si="37">SUM(DE10,DR10,EE10)</f>
        <v>0</v>
      </c>
      <c r="CR10" s="8">
        <f t="shared" ref="CR10:CR40" si="38">SUM(DF10,DS10,EF10)</f>
        <v>0</v>
      </c>
      <c r="CS10" s="3">
        <f t="shared" ref="CS10:CS40" si="39">SUM(DG10,DT10,EG10)</f>
        <v>0</v>
      </c>
      <c r="CT10" s="3">
        <f t="shared" ref="CT10:CT40" si="40">SUM(DH10,DU10,EH10)</f>
        <v>0</v>
      </c>
      <c r="CU10" s="3">
        <f t="shared" ref="CU10:CU40" si="41">SUM(DI10,DV10,EI10)</f>
        <v>0</v>
      </c>
      <c r="CV10" s="3">
        <f t="shared" ref="CV10:CV40" si="42">SUM(DJ10,DW10,EJ10)</f>
        <v>0</v>
      </c>
      <c r="CW10" s="1408">
        <f t="shared" ref="CW10:CW40" si="43">SUM(DK10,DX10,EK10)</f>
        <v>0</v>
      </c>
      <c r="CX10" s="3">
        <f t="shared" ref="CX10:CX40" si="44">SUM(DL10,DY10,EL10)</f>
        <v>0</v>
      </c>
      <c r="CY10" s="3">
        <f t="shared" ref="CY10:CY40" si="45">SUM(DM10,DZ10,EM10)</f>
        <v>694.74</v>
      </c>
      <c r="CZ10" s="3">
        <f t="shared" ref="CZ10:CZ40" si="46">SUM(DN10,EA10,EN10)</f>
        <v>0</v>
      </c>
      <c r="DA10" s="1408">
        <f t="shared" ref="DA10:DA40" si="47">SUM(DO10,EB10,EO10)</f>
        <v>465.44</v>
      </c>
      <c r="DB10" s="11">
        <f t="shared" ref="DB10:DB40" si="48">SUM(DP10,EC10,EP10)</f>
        <v>0</v>
      </c>
      <c r="DC10" s="310">
        <f t="shared" ref="DC10:DC31" si="49">SUM(CQ10:DB10,PV10,PW10)</f>
        <v>1160.18</v>
      </c>
      <c r="DD10" s="2695"/>
      <c r="DE10" s="8"/>
      <c r="DF10" s="8"/>
      <c r="DG10" s="3"/>
      <c r="DH10" s="3"/>
      <c r="DI10" s="3"/>
      <c r="DJ10" s="3"/>
      <c r="DK10" s="3"/>
      <c r="DL10" s="3"/>
      <c r="DM10" s="3">
        <v>435.76</v>
      </c>
      <c r="DN10" s="3"/>
      <c r="DO10" s="3"/>
      <c r="DP10" s="11"/>
      <c r="DQ10" s="25">
        <f t="shared" ref="DQ10:DQ40" si="50">SUM(DE10:DP10)</f>
        <v>435.76</v>
      </c>
      <c r="DR10" s="35"/>
      <c r="DS10" s="35"/>
      <c r="DT10" s="24"/>
      <c r="DU10" s="24"/>
      <c r="DV10" s="3"/>
      <c r="DW10" s="3"/>
      <c r="DX10" s="3"/>
      <c r="DY10" s="3"/>
      <c r="DZ10" s="3">
        <v>258.98</v>
      </c>
      <c r="EA10" s="49"/>
      <c r="EB10" s="24">
        <v>465.44</v>
      </c>
      <c r="EC10" s="32"/>
      <c r="ED10" s="28">
        <f t="shared" ref="ED10:ED40" si="51">SUM(DR10:EC10)</f>
        <v>724.42000000000007</v>
      </c>
      <c r="EE10" s="24"/>
      <c r="EF10" s="35"/>
      <c r="EG10" s="3"/>
      <c r="EH10" s="24"/>
      <c r="EI10" s="24"/>
      <c r="EJ10" s="24"/>
      <c r="EK10" s="24"/>
      <c r="EL10" s="24"/>
      <c r="EM10" s="24"/>
      <c r="EN10" s="24"/>
      <c r="EO10" s="24"/>
      <c r="EP10" s="32"/>
      <c r="EQ10" s="60">
        <f t="shared" ref="EQ10:EQ40" si="52">SUM(EE10:EO10)</f>
        <v>0</v>
      </c>
      <c r="ER10" s="35"/>
      <c r="ES10" s="24"/>
      <c r="ET10" s="24"/>
      <c r="EU10" s="24"/>
      <c r="EV10" s="24"/>
      <c r="EW10" s="24"/>
      <c r="EX10" s="32">
        <f t="shared" ref="EX10:EX40" si="53">SUM(ER10:EW10)</f>
        <v>0</v>
      </c>
      <c r="EY10" s="2685"/>
      <c r="FA10" s="2">
        <f t="shared" ref="FA10:FA40" si="54">+FM10</f>
        <v>0</v>
      </c>
      <c r="FB10" s="3">
        <f t="shared" ref="FB10:FB40" si="55">+FT10</f>
        <v>0</v>
      </c>
      <c r="FC10" s="3">
        <f t="shared" ref="FC10:FC40" si="56">+GG10</f>
        <v>0</v>
      </c>
      <c r="FD10" s="11">
        <f t="shared" ref="FD10:FD40" si="57">SUM(FA10:FC10)</f>
        <v>0</v>
      </c>
      <c r="FE10" s="32"/>
      <c r="FF10" s="2674"/>
      <c r="FG10" s="8"/>
      <c r="FH10" s="3"/>
      <c r="FI10" s="3"/>
      <c r="FJ10" s="3"/>
      <c r="FK10" s="3"/>
      <c r="FL10" s="24"/>
      <c r="FM10" s="25">
        <f t="shared" ref="FM10:FM40" si="58">SUM(FG10:FL10)</f>
        <v>0</v>
      </c>
      <c r="FN10" s="35"/>
      <c r="FO10" s="24"/>
      <c r="FP10" s="24"/>
      <c r="FQ10" s="24"/>
      <c r="FR10" s="24"/>
      <c r="FS10" s="24"/>
      <c r="FT10" s="25">
        <f t="shared" ref="FT10:FT40" si="59">SUM(FN10:FS10)</f>
        <v>0</v>
      </c>
      <c r="FU10" s="35"/>
      <c r="FV10" s="35"/>
      <c r="FW10" s="24"/>
      <c r="FX10" s="24"/>
      <c r="FY10" s="24"/>
      <c r="FZ10" s="24"/>
      <c r="GA10" s="24"/>
      <c r="GB10" s="24"/>
      <c r="GC10" s="24"/>
      <c r="GD10" s="24"/>
      <c r="GE10" s="24"/>
      <c r="GF10" s="32"/>
      <c r="GG10" s="32">
        <f t="shared" ref="GG10:GG40" si="60">SUM(FU10:GE10)</f>
        <v>0</v>
      </c>
      <c r="GH10" s="2674"/>
      <c r="GJ10" s="2">
        <f t="shared" ref="GJ10:GJ40" si="61">HL10</f>
        <v>554.45000000000005</v>
      </c>
      <c r="GK10" s="63">
        <f t="shared" ref="GK10:GK40" si="62">+IP10</f>
        <v>414.52</v>
      </c>
      <c r="GL10" s="49">
        <f t="shared" ref="GL10:GL40" si="63">+JE10</f>
        <v>1623.5300000000002</v>
      </c>
      <c r="GM10" s="49">
        <f t="shared" ref="GM10:GM40" si="64">SUM(GJ10:GL10)</f>
        <v>2592.5</v>
      </c>
      <c r="GN10" s="140"/>
      <c r="GO10" s="140"/>
      <c r="GP10" s="1130"/>
      <c r="GQ10" s="2667"/>
      <c r="GR10" s="1129">
        <v>987.92000000000007</v>
      </c>
      <c r="GS10" s="24"/>
      <c r="GT10" s="24">
        <v>1083.5300000000002</v>
      </c>
      <c r="GU10" s="24">
        <v>521.05000000000007</v>
      </c>
      <c r="GV10" s="50">
        <f t="shared" ref="GV10:GV40" si="65">SUM(GR10:GU10)</f>
        <v>2592.5000000000005</v>
      </c>
      <c r="GW10" s="2667"/>
      <c r="GX10" s="35"/>
      <c r="GY10" s="35"/>
      <c r="GZ10" s="24"/>
      <c r="HA10" s="24"/>
      <c r="HB10" s="24"/>
      <c r="HC10" s="24"/>
      <c r="HD10" s="24"/>
      <c r="HE10" s="24"/>
      <c r="HF10" s="24">
        <v>554.45000000000005</v>
      </c>
      <c r="HG10" s="24"/>
      <c r="HH10" s="24"/>
      <c r="HI10" s="24"/>
      <c r="HJ10" s="24"/>
      <c r="HK10" s="24"/>
      <c r="HL10" s="25">
        <f t="shared" ref="HL10:HL42" si="66">SUM(GX10:HK10)</f>
        <v>554.45000000000005</v>
      </c>
      <c r="HM10" s="35"/>
      <c r="HN10" s="24"/>
      <c r="HO10" s="24"/>
      <c r="HP10" s="24"/>
      <c r="HQ10" s="24"/>
      <c r="HR10" s="24"/>
      <c r="HS10" s="24"/>
      <c r="HT10" s="24"/>
      <c r="HU10" s="24"/>
      <c r="HV10" s="24"/>
      <c r="HW10" s="24"/>
      <c r="HX10" s="24"/>
      <c r="HY10" s="24"/>
      <c r="HZ10" s="24"/>
      <c r="IA10" s="32">
        <f t="shared" ref="IA10:IA42" si="67">SUM(HM10:HZ10)</f>
        <v>0</v>
      </c>
      <c r="IB10" s="48"/>
      <c r="IC10" s="1129"/>
      <c r="ID10" s="49"/>
      <c r="IE10" s="49"/>
      <c r="IF10" s="49"/>
      <c r="IG10" s="49"/>
      <c r="IH10" s="49"/>
      <c r="II10" s="49"/>
      <c r="IJ10" s="49">
        <v>414.52</v>
      </c>
      <c r="IK10" s="49"/>
      <c r="IL10" s="49"/>
      <c r="IM10" s="49"/>
      <c r="IN10" s="49"/>
      <c r="IO10" s="49"/>
      <c r="IP10" s="61">
        <f t="shared" ref="IP10:IP40" si="68">SUM(IB10:IO10)</f>
        <v>414.52</v>
      </c>
      <c r="IQ10" s="35"/>
      <c r="IR10" s="35"/>
      <c r="IS10" s="24"/>
      <c r="IT10" s="24"/>
      <c r="IU10" s="49"/>
      <c r="IV10" s="24"/>
      <c r="IW10" s="24"/>
      <c r="IX10" s="24"/>
      <c r="IY10" s="24">
        <v>1623.5300000000002</v>
      </c>
      <c r="IZ10" s="24"/>
      <c r="JA10" s="24"/>
      <c r="JB10" s="24"/>
      <c r="JC10" s="24"/>
      <c r="JD10" s="24"/>
      <c r="JE10" s="32">
        <f t="shared" ref="JE10:JE40" si="69">SUM(IQ10:JD10)</f>
        <v>1623.5300000000002</v>
      </c>
      <c r="JF10" s="2667"/>
      <c r="JH10" s="51">
        <v>2592.5000000000005</v>
      </c>
      <c r="JI10" s="1129"/>
      <c r="JJ10" s="49"/>
      <c r="JK10" s="53">
        <f t="shared" ref="JK10:JK40" si="70">+JH10+JJ10+JI10</f>
        <v>2592.5000000000005</v>
      </c>
      <c r="JL10" s="32"/>
      <c r="JM10" s="2669"/>
      <c r="JN10" s="66"/>
      <c r="JO10" s="67"/>
      <c r="JP10" s="67"/>
      <c r="JQ10" s="67"/>
      <c r="JR10" s="67">
        <v>1</v>
      </c>
      <c r="JS10" s="67"/>
      <c r="JT10" s="67"/>
      <c r="JU10" s="68"/>
      <c r="JV10" s="66"/>
      <c r="JW10" s="67"/>
      <c r="JX10" s="67"/>
      <c r="JY10" s="67"/>
      <c r="JZ10" s="67"/>
      <c r="KA10" s="67"/>
      <c r="KB10" s="67"/>
      <c r="KC10" s="68"/>
      <c r="KD10" s="66"/>
      <c r="KE10" s="67"/>
      <c r="KF10" s="67"/>
      <c r="KG10" s="67"/>
      <c r="KH10" s="67"/>
      <c r="KI10" s="67"/>
      <c r="KJ10" s="67"/>
      <c r="KK10" s="67"/>
      <c r="KL10" s="32"/>
      <c r="KM10" s="2669"/>
      <c r="KN10" s="35">
        <v>7077</v>
      </c>
      <c r="KO10" s="49">
        <v>0.79</v>
      </c>
      <c r="KP10" s="49">
        <v>4.29</v>
      </c>
      <c r="KQ10" s="49">
        <v>7.2399999999999993</v>
      </c>
      <c r="KR10" s="50">
        <v>12.53</v>
      </c>
      <c r="KS10" s="2">
        <v>0</v>
      </c>
      <c r="KT10" s="63">
        <v>0</v>
      </c>
      <c r="KU10" s="63">
        <v>0</v>
      </c>
      <c r="KV10" s="63">
        <v>0</v>
      </c>
      <c r="KW10" s="1029">
        <v>0</v>
      </c>
      <c r="KX10" s="35"/>
      <c r="KY10" s="49"/>
      <c r="KZ10" s="49"/>
      <c r="LA10" s="49"/>
      <c r="LB10" s="49"/>
      <c r="LC10" s="32"/>
      <c r="LD10" s="2669"/>
      <c r="LF10" s="998">
        <f t="shared" ref="LF10:LF40" si="71">SUM(LQ10,LW10,MI10,MO10+MC10)</f>
        <v>15210.119999999999</v>
      </c>
      <c r="LG10" s="27">
        <f t="shared" ref="LG10:LG40" si="72">SUM(LR10,LX10,MJ10,MP10+MD10)</f>
        <v>0</v>
      </c>
      <c r="LH10" s="27">
        <f t="shared" ref="LH10:LH40" si="73">SUM(LS10,LY10,MK10,MQ10+ME10)</f>
        <v>0</v>
      </c>
      <c r="LI10" s="28">
        <f t="shared" ref="LI10:LI40" si="74">SUM(LF10:LH10)</f>
        <v>15210.119999999999</v>
      </c>
      <c r="LJ10" s="35">
        <v>2</v>
      </c>
      <c r="LK10" s="24"/>
      <c r="LL10" s="24"/>
      <c r="LM10" s="32"/>
      <c r="LN10" s="1030">
        <v>7.7</v>
      </c>
      <c r="LO10" s="1128"/>
      <c r="LP10" s="2688"/>
      <c r="LQ10" s="35">
        <v>15210.119999999999</v>
      </c>
      <c r="LR10" s="35"/>
      <c r="LS10" s="24"/>
      <c r="LT10" s="24"/>
      <c r="LU10" s="24"/>
      <c r="LV10" s="1117">
        <f t="shared" ref="LV10:LV40" si="75">SUM(LQ10:LU10)</f>
        <v>15210.119999999999</v>
      </c>
      <c r="LW10" s="35"/>
      <c r="LX10" s="35"/>
      <c r="LY10" s="24"/>
      <c r="LZ10" s="24"/>
      <c r="MA10" s="417"/>
      <c r="MB10" s="28">
        <f t="shared" ref="MB10:MB40" si="76">SUM(LW10:MA10)</f>
        <v>0</v>
      </c>
      <c r="MC10" s="23"/>
      <c r="MD10" s="35"/>
      <c r="ME10" s="24"/>
      <c r="MF10" s="24"/>
      <c r="MG10" s="24"/>
      <c r="MH10" s="25"/>
      <c r="MI10" s="35"/>
      <c r="MJ10" s="35"/>
      <c r="MK10" s="24"/>
      <c r="ML10" s="24"/>
      <c r="MM10" s="24"/>
      <c r="MN10" s="25"/>
      <c r="MO10" s="35"/>
      <c r="MP10" s="35"/>
      <c r="MQ10" s="24"/>
      <c r="MR10" s="24"/>
      <c r="MS10" s="24"/>
      <c r="MT10" s="32">
        <f t="shared" ref="MT10:MT40" si="77">SUM(MO10:MS10)</f>
        <v>0</v>
      </c>
      <c r="MU10" s="2688"/>
      <c r="MW10" s="23">
        <f t="shared" ref="MW10:MW40" si="78">+NE10</f>
        <v>224929.78478124583</v>
      </c>
      <c r="MX10" s="24">
        <f t="shared" ref="MX10:MX40" si="79">+SUM(NR10,OE10,OR10,OY10,PF10)</f>
        <v>270540.11929571757</v>
      </c>
      <c r="MY10" s="24">
        <f t="shared" ref="MY10:MY40" si="80">+PN10</f>
        <v>21016.625608283044</v>
      </c>
      <c r="MZ10" s="333">
        <f t="shared" ref="MZ10:MZ40" si="81">+SUM(QE10,QF10,QG10)</f>
        <v>444848.5746780911</v>
      </c>
      <c r="NA10" s="2621"/>
      <c r="NB10" s="23">
        <f t="shared" ref="NB10:NB40" si="82">+NB9+JH10-LF10-LH10</f>
        <v>224286.61650315014</v>
      </c>
      <c r="NC10" s="63">
        <f t="shared" ref="NC10:NC40" si="83">+NC9+JI10-LG10</f>
        <v>643.16827809568952</v>
      </c>
      <c r="ND10" s="60">
        <f t="shared" ref="ND10:ND40" si="84">+ND9+JJ10</f>
        <v>0</v>
      </c>
      <c r="NE10" s="274">
        <f t="shared" si="4"/>
        <v>224929.78478124583</v>
      </c>
      <c r="NF10" s="23">
        <f t="shared" ref="NF10:NO10" si="85">+NF9+EE10-GX10</f>
        <v>0</v>
      </c>
      <c r="NG10" s="23">
        <f t="shared" si="85"/>
        <v>0</v>
      </c>
      <c r="NH10" s="24">
        <f t="shared" si="85"/>
        <v>0</v>
      </c>
      <c r="NI10" s="24">
        <f t="shared" si="85"/>
        <v>0</v>
      </c>
      <c r="NJ10" s="24">
        <f t="shared" si="85"/>
        <v>0</v>
      </c>
      <c r="NK10" s="24">
        <f t="shared" si="85"/>
        <v>0</v>
      </c>
      <c r="NL10" s="24">
        <f>+NL9+EK10-HD10</f>
        <v>0</v>
      </c>
      <c r="NM10" s="24">
        <f t="shared" si="85"/>
        <v>0</v>
      </c>
      <c r="NN10" s="24">
        <f t="shared" si="85"/>
        <v>48555.416549276</v>
      </c>
      <c r="NO10" s="24">
        <f t="shared" si="85"/>
        <v>0</v>
      </c>
      <c r="NP10" s="24">
        <f>+NP9+EE11-GX10</f>
        <v>8756.5482322711578</v>
      </c>
      <c r="NQ10" s="24">
        <f>+NQ9+EO10-HH10</f>
        <v>12484.2145856876</v>
      </c>
      <c r="NR10" s="24">
        <f t="shared" si="0"/>
        <v>69796.179367234756</v>
      </c>
      <c r="NS10" s="27">
        <f t="shared" ref="NS10:NS40" si="86">+NS9+DE10-IB10</f>
        <v>0</v>
      </c>
      <c r="NT10" s="280">
        <f t="shared" ref="NT10:NT40" si="87">+NT9+DF10-IC10</f>
        <v>0</v>
      </c>
      <c r="NU10" s="1127">
        <f t="shared" ref="NU10:NU40" si="88">+NU9+DG10-ID10</f>
        <v>0</v>
      </c>
      <c r="NV10" s="280">
        <f t="shared" ref="NV10:NV40" si="89">+NV9+DH10-IE10</f>
        <v>0</v>
      </c>
      <c r="NW10" s="27">
        <f t="shared" ref="NW10:NW40" si="90">+NW9+DI10-IF10</f>
        <v>0</v>
      </c>
      <c r="NX10" s="27">
        <f t="shared" ref="NX10:NX40" si="91">+NX9+DJ10-IG10</f>
        <v>0</v>
      </c>
      <c r="NY10" s="27">
        <f t="shared" ref="NY10:NY40" si="92">+NY9+DK10-IH10</f>
        <v>1984.698151907626</v>
      </c>
      <c r="NZ10" s="27">
        <f t="shared" ref="NZ10:NZ40" si="93">+NZ9+DL10-II10</f>
        <v>0</v>
      </c>
      <c r="OA10" s="27">
        <f t="shared" ref="OA10:OA40" si="94">+OA9+DM10-IJ10</f>
        <v>39323.724759987781</v>
      </c>
      <c r="OB10" s="280"/>
      <c r="OC10" s="24">
        <f t="shared" ref="OC10:OC40" si="95">+OC9+DO10-IL10</f>
        <v>3403.7241844007053</v>
      </c>
      <c r="OD10" s="24">
        <f t="shared" ref="OD10:OD40" si="96">+OD9+DP10-IM10</f>
        <v>0</v>
      </c>
      <c r="OE10" s="24">
        <f t="shared" si="1"/>
        <v>44712.147096296118</v>
      </c>
      <c r="OF10" s="24">
        <f t="shared" ref="OF10:OQ14" si="97">+OF9+DR10+FU10-IQ10</f>
        <v>0</v>
      </c>
      <c r="OG10" s="24">
        <f t="shared" si="97"/>
        <v>0</v>
      </c>
      <c r="OH10" s="24">
        <f t="shared" si="97"/>
        <v>0</v>
      </c>
      <c r="OI10" s="24">
        <f t="shared" si="97"/>
        <v>0</v>
      </c>
      <c r="OJ10" s="27">
        <f t="shared" si="97"/>
        <v>0</v>
      </c>
      <c r="OK10" s="24">
        <f t="shared" si="97"/>
        <v>0</v>
      </c>
      <c r="OL10" s="24">
        <f t="shared" si="97"/>
        <v>0</v>
      </c>
      <c r="OM10" s="24">
        <f t="shared" si="97"/>
        <v>0</v>
      </c>
      <c r="ON10" s="24">
        <f t="shared" si="97"/>
        <v>152748.23851377802</v>
      </c>
      <c r="OO10" s="24">
        <f t="shared" si="97"/>
        <v>0</v>
      </c>
      <c r="OP10" s="24">
        <f t="shared" si="97"/>
        <v>3283.55431840868</v>
      </c>
      <c r="OQ10" s="24">
        <f t="shared" si="97"/>
        <v>0</v>
      </c>
      <c r="OR10" s="25">
        <f t="shared" si="2"/>
        <v>156031.79283218671</v>
      </c>
      <c r="OS10" s="35"/>
      <c r="OT10" s="24"/>
      <c r="OU10" s="24"/>
      <c r="OV10" s="24"/>
      <c r="OW10" s="24"/>
      <c r="OX10" s="24"/>
      <c r="OY10" s="25">
        <f t="shared" ref="OY10:OY40" si="98">SUM(OS10:OX10)</f>
        <v>0</v>
      </c>
      <c r="OZ10" s="35">
        <f t="shared" ref="OZ10:OZ40" si="99">+OZ9+ER10-FU10</f>
        <v>0</v>
      </c>
      <c r="PA10" s="24">
        <f t="shared" ref="PA10:PA40" si="100">+PA9+ES10-FW10</f>
        <v>0</v>
      </c>
      <c r="PB10" s="24">
        <f t="shared" ref="PB10:PB40" si="101">+PB9+ET10-FY10</f>
        <v>0</v>
      </c>
      <c r="PC10" s="24">
        <f t="shared" ref="PC10:PC40" si="102">+PC9+EU10-GA10</f>
        <v>0</v>
      </c>
      <c r="PD10" s="24">
        <f t="shared" ref="PD10:PD40" si="103">+PD9+EV10-GC10</f>
        <v>0</v>
      </c>
      <c r="PE10" s="24">
        <f t="shared" ref="PE10:PE40" si="104">+PE9+EW10-GE10</f>
        <v>0</v>
      </c>
      <c r="PF10" s="32">
        <f t="shared" si="3"/>
        <v>0</v>
      </c>
      <c r="PG10" s="2621"/>
      <c r="PI10" s="2">
        <v>202.5</v>
      </c>
      <c r="PJ10" s="3">
        <v>510</v>
      </c>
      <c r="PK10" s="3">
        <v>255</v>
      </c>
      <c r="PL10" s="3">
        <f>HJ10</f>
        <v>0</v>
      </c>
      <c r="PM10" s="3">
        <v>0</v>
      </c>
      <c r="PN10" s="11">
        <f>PN9+PK10-PL10</f>
        <v>21016.625608283044</v>
      </c>
      <c r="PO10" s="14"/>
      <c r="PP10" s="2615"/>
      <c r="PR10" s="2"/>
      <c r="PS10" s="8"/>
      <c r="PT10" s="8"/>
      <c r="PU10" s="8"/>
      <c r="PV10" s="8"/>
      <c r="PW10" s="8"/>
      <c r="PX10" s="8">
        <f t="shared" ref="PX10:PX40" si="105">SUM(PU10:PW10)</f>
        <v>0</v>
      </c>
      <c r="PY10" s="3">
        <f t="shared" ref="PY10:PY40" si="106">+PI10</f>
        <v>202.5</v>
      </c>
      <c r="PZ10" s="3"/>
      <c r="QA10" s="3"/>
      <c r="QB10" s="3"/>
      <c r="QC10" s="3"/>
      <c r="QD10" s="3"/>
      <c r="QE10" s="11">
        <f t="shared" ref="QE10:QE40" si="107">+QE9+PR10-HK10</f>
        <v>29749.381073161156</v>
      </c>
      <c r="QF10" s="420">
        <f t="shared" ref="QF10:QF40" si="108">+QF9+PU10+PV10-IO10-PY10</f>
        <v>415099.19360492995</v>
      </c>
      <c r="QG10" s="1106">
        <f t="shared" ref="QG10:QG40" si="109">+QG9+PX10-QD10</f>
        <v>0</v>
      </c>
      <c r="QH10" s="484">
        <f t="shared" ref="QH10:QH40" si="110">QH9-QC10</f>
        <v>5505.3678056100007</v>
      </c>
      <c r="QI10" s="11"/>
      <c r="QJ10" s="2615"/>
      <c r="QL10" s="139">
        <f t="shared" ref="QL10:QL40" si="111">IF(JH10=0,"",(IFERROR(IF(1-ABS(1-(JN10/JN$43))&lt;0,0,1-ABS(1-(JN10/JN$43))),0)*JN$43)+(IFERROR(IF(1-ABS(1-(JO10/JO$43))&lt;0,0,1-ABS(1-(JO10/JO$43))),0)*JO$43)+(IFERROR(IF(1-ABS(1-(JP10/JP$43))&lt;0,0,1-ABS(1-(JP10/JP$43))),0)*JP$43)+(IFERROR(IF(1-ABS(1-(JQ10/JQ$43))&lt;0,0,1-ABS(1-(JQ10/JQ$43))),0)*JQ$43)+(IFERROR(IF(1-ABS(1-(JR10/JR$43))&lt;0,0,1-ABS(1-(JR10/JR$43))),0)*JR$43)+(IFERROR(IF(1-ABS(1-(JS10/JS$43))&lt;0,0,1-ABS(1-(JS10/JS$43))),0)*JS$43)+(IFERROR(IF(1-ABS(1-(JT10/JT$43))&lt;0,0,1-ABS(1-(JT10/JT$43))),0)*JT$43)+(IFERROR(IF(1-ABS(1-(JU10/JU$43))&lt;0,0,1-ABS(1-(JU10/JU$43))),0)*JU$43))</f>
        <v>0</v>
      </c>
      <c r="QM10" s="139" t="str">
        <f t="shared" ref="QM10:QM40" si="112">IF(JJ10=0,"",(IFERROR(IF(1-ABS(1-(KD10/KD$43))&lt;0,0,1-ABS(1-(KD10/KD$43))),0)*KD$43)+(IFERROR(IF(1-ABS(1-(KE10/KE$43))&lt;0,0,1-ABS(1-(KE10/KE$43))),0)*KE$43)+(IFERROR(IF(1-ABS(1-(KF10/KF$43))&lt;0,0,1-ABS(1-(KF10/KF$43))),0)*KF$43)+(IFERROR(IF(1-ABS(1-(KG10/KG$43))&lt;0,0,1-ABS(1-(KG10/KG$43))),0)*KG$43)+(IFERROR(IF(1-ABS(1-(KH10/KH$43))&lt;0,0,1-ABS(1-(KH10/KH$43))),0)*KH$43)+(IFERROR(IF(1-ABS(1-(KI10/KI$43))&lt;0,0,1-ABS(1-(KI10/KI$43))),0)*KI$43)+(IFERROR(IF(1-ABS(1-(KJ10/KJ$43))&lt;0,0,1-ABS(1-(KJ10/KJ$43))),0)*KJ$43)+(IFERROR(IF(1-ABS(1-(KK10/KK$43))&lt;0,0,1-ABS(1-(KK10/KK$43))),0)*KK$43))</f>
        <v/>
      </c>
      <c r="QO10" s="139">
        <f t="shared" ref="QO10:QO40" si="113">IF(JK10&gt;0,SUMPRODUCT(QR10:QW10,$JN$43:$JS$43),"")</f>
        <v>0</v>
      </c>
      <c r="QP10" s="139">
        <f t="shared" ref="QP10:QP40" si="114">IF(JK10&gt;0,SUMPRODUCT(QY10:RD10,$KD$43:$KI$43),"")</f>
        <v>0</v>
      </c>
      <c r="QR10" s="1">
        <f t="shared" ref="QR10:QR40" si="115">IF(NS$43=0,0,IF(SUM(NS10,OF10)-NS$8-OF$8&gt;NS$43,1,(SUM(NS10,OF10)-NS$8-OF$8)/NS$43))</f>
        <v>0</v>
      </c>
      <c r="QS10" s="1">
        <f t="shared" ref="QS10:QS40" si="116">IF(NU$43=0,0,IF(SUM(NU10,OH10)-NU$8-OH$8&gt;NU$43,1,(SUM(NU10,OH10)-NU$8-OH$8)/NU$43))</f>
        <v>0</v>
      </c>
      <c r="QT10" s="1">
        <f t="shared" ref="QT10:QT40" si="117">IF(NW$43=0,0,IF(SUM(NW10,OJ10)-NW$8-OJ$8&gt;NW$43,1,(SUM(NW10,OJ10)-NW$8-OJ$8)/NW$43))</f>
        <v>0</v>
      </c>
      <c r="QU10" s="1">
        <f t="shared" ref="QU10:QU40" si="118">IF(NY$43=0,0,IF(SUM(NY10,OL10)-NY$8-OL$8&gt;NY$43,1,(SUM(NY10,OL10)-NY$8-OL$8)/NY$43))</f>
        <v>0</v>
      </c>
      <c r="QV10" s="1">
        <f t="shared" ref="QV10:QV40" si="119">IF(OA$43=0,0,IF(SUM(OA10,ON10)-OA$8-ON$8&gt;OA$43,1,(SUM(OA10,ON10)-OA$8-ON$8)/OA$43))</f>
        <v>0</v>
      </c>
      <c r="QW10" s="1">
        <f t="shared" ref="QW10:QW40" si="120">IF(OC$43=0,0,IF(SUM(OC10,OP10)-OC$8-OP$8&gt;OC$43,1,(SUM(OC10,OP10)-OC$8-OP$8)/OC$43))</f>
        <v>0</v>
      </c>
      <c r="QY10" s="1">
        <f t="shared" ref="QY10:QY40" si="121">+IF(NS$43=0,0,IF(SUM(NS10,OF10)-NS$8-OF$8&gt;NS$43,1,(SUM(NS10,OF10)-NS$8-OF$8)/NS$43))</f>
        <v>0</v>
      </c>
      <c r="QZ10" s="1">
        <f t="shared" ref="QZ10:QZ40" si="122">+IF(NU$43=0,0,IF(SUM(NU10,OH10)-NU$8-OH$8&gt;NU$43,1,(SUM(NU10,OH10)-NU$8-OH$8)/NU$43))</f>
        <v>0</v>
      </c>
      <c r="RA10" s="1">
        <f t="shared" ref="RA10:RA40" si="123">+IF(NW$43=0,0,IF(SUM(NW10,OJ10)-NW$8-OJ$8&gt;NW$43,1,(SUM(NW10,OJ10)-NW$8-OJ$8)/NW$43))</f>
        <v>0</v>
      </c>
      <c r="RB10" s="1">
        <f t="shared" ref="RB10:RB40" si="124">+IF(NY$43=0,0,IF(SUM(NY10,OL10)-NY$8-OL$8&gt;NY$43,1,(SUM(NY10,OL10)-NY$8-OL$8)/NY$43))</f>
        <v>0</v>
      </c>
      <c r="RC10" s="1">
        <f t="shared" ref="RC10:RC40" si="125">+IF(OA$43=0,0,IF(SUM(OA10,ON10)-OA$8-ON$8&gt;OA$43,1,(SUM(OA10,ON10)-OA$8-ON$8)/OA$43))</f>
        <v>0</v>
      </c>
      <c r="RD10" s="1">
        <f t="shared" ref="RD10:RD40" si="126">+IF(OC$43=0,0,IF(SUM(OC10,OP10)-OC$8-OP$8&gt;OC$43,1,(SUM(OC10,OP10)-OC$8-OP$8)/OC$43))</f>
        <v>0</v>
      </c>
      <c r="RG10" s="1">
        <v>1</v>
      </c>
      <c r="RH10" s="1">
        <f t="shared" ref="RH10:RJ17" si="127">+RH9+JH10-LF10</f>
        <v>32806.541751083161</v>
      </c>
      <c r="RI10" s="1">
        <f t="shared" si="127"/>
        <v>3925.5835498622801</v>
      </c>
      <c r="RJ10" s="1">
        <f t="shared" si="127"/>
        <v>9178.5689913333827</v>
      </c>
      <c r="RK10" s="89">
        <f t="shared" si="5"/>
        <v>45910.694292278822</v>
      </c>
      <c r="RL10" s="1033">
        <v>1</v>
      </c>
      <c r="RM10" s="1098">
        <v>0</v>
      </c>
      <c r="RN10" s="1098">
        <f t="shared" ref="RN10:RN40" si="128">PV10</f>
        <v>0</v>
      </c>
      <c r="RO10" s="1097">
        <f t="shared" ref="RO10:RO40" si="129">PW10</f>
        <v>0</v>
      </c>
      <c r="RP10" s="1097">
        <f>BG10+AX10+BJ10+BM10+BP9+BY10+BD10-PW10</f>
        <v>1160.18</v>
      </c>
      <c r="RQ10" s="1094"/>
      <c r="RR10" s="1094" t="s">
        <v>661</v>
      </c>
      <c r="RU10" s="421">
        <v>1</v>
      </c>
      <c r="RV10" s="1095">
        <f t="shared" ref="RV10:RV40" si="130">GV10</f>
        <v>2592.5000000000005</v>
      </c>
      <c r="RW10" s="1094" t="s">
        <v>662</v>
      </c>
      <c r="RY10" s="1090"/>
      <c r="RZ10" s="1090">
        <f t="shared" ref="RZ10:RZ40" si="131">(DQ10+ED10)-(RM10+RP10)</f>
        <v>0</v>
      </c>
      <c r="SA10" s="1090"/>
      <c r="SB10" s="1090">
        <f t="shared" ref="SB10:SB40" si="132">JK10-RV10</f>
        <v>0</v>
      </c>
      <c r="SD10" s="1">
        <v>1</v>
      </c>
      <c r="SE10" s="1">
        <f t="shared" ref="SE10:SE40" si="133">PL10</f>
        <v>0</v>
      </c>
    </row>
    <row r="11" spans="1:500" s="1" customFormat="1">
      <c r="B11" s="471">
        <v>2</v>
      </c>
      <c r="C11" s="4">
        <f t="shared" si="6"/>
        <v>110944</v>
      </c>
      <c r="D11" s="64">
        <f t="shared" ref="D11:D39" si="134">P11+T11+X11+AB11</f>
        <v>7173.9</v>
      </c>
      <c r="E11" s="61">
        <f t="shared" si="7"/>
        <v>15.464949330210905</v>
      </c>
      <c r="F11" s="870"/>
      <c r="G11" s="870"/>
      <c r="H11" s="52">
        <v>11</v>
      </c>
      <c r="I11" s="61">
        <v>3.33</v>
      </c>
      <c r="J11" s="52"/>
      <c r="K11" s="54"/>
      <c r="L11" s="52">
        <v>7</v>
      </c>
      <c r="M11" s="61">
        <v>3.87</v>
      </c>
      <c r="N11" s="2629"/>
      <c r="O11" s="4">
        <f t="shared" si="8"/>
        <v>66024</v>
      </c>
      <c r="P11" s="1225">
        <f t="shared" si="9"/>
        <v>3229.4199999999996</v>
      </c>
      <c r="Q11" s="64">
        <f t="shared" si="10"/>
        <v>20.444538028500475</v>
      </c>
      <c r="R11" s="33"/>
      <c r="S11" s="26">
        <f t="shared" si="11"/>
        <v>18704</v>
      </c>
      <c r="T11" s="27">
        <f t="shared" si="12"/>
        <v>1899.1399999999999</v>
      </c>
      <c r="U11" s="53">
        <f t="shared" si="13"/>
        <v>9.8486683446191439</v>
      </c>
      <c r="V11" s="28"/>
      <c r="W11" s="26">
        <f t="shared" si="14"/>
        <v>23730</v>
      </c>
      <c r="X11" s="5">
        <f t="shared" si="15"/>
        <v>1600</v>
      </c>
      <c r="Y11" s="53">
        <f t="shared" si="16"/>
        <v>14.831250000000001</v>
      </c>
      <c r="Z11" s="33"/>
      <c r="AA11" s="26">
        <f t="shared" si="17"/>
        <v>2486</v>
      </c>
      <c r="AB11" s="27">
        <f t="shared" si="18"/>
        <v>445.34</v>
      </c>
      <c r="AC11" s="53">
        <f t="shared" si="19"/>
        <v>5.5822517626981636</v>
      </c>
      <c r="AD11" s="28"/>
      <c r="AE11" s="36"/>
      <c r="AF11" s="36"/>
      <c r="AG11" s="53">
        <f t="shared" si="20"/>
        <v>0</v>
      </c>
      <c r="AH11" s="28"/>
      <c r="AI11" s="26"/>
      <c r="AJ11" s="27"/>
      <c r="AK11" s="53">
        <f t="shared" si="21"/>
        <v>0</v>
      </c>
      <c r="AL11" s="28"/>
      <c r="AM11" s="2629"/>
      <c r="AN11" s="9"/>
      <c r="AO11" s="5"/>
      <c r="AP11" s="61">
        <f t="shared" si="22"/>
        <v>0</v>
      </c>
      <c r="AQ11" s="36"/>
      <c r="AR11" s="53"/>
      <c r="AS11" s="61">
        <f t="shared" si="23"/>
        <v>0</v>
      </c>
      <c r="AT11" s="36"/>
      <c r="AU11" s="27"/>
      <c r="AV11" s="61">
        <f t="shared" si="24"/>
        <v>0</v>
      </c>
      <c r="AW11" s="36">
        <v>35448</v>
      </c>
      <c r="AX11" s="27">
        <v>2226.4399999999996</v>
      </c>
      <c r="AY11" s="61">
        <f t="shared" si="25"/>
        <v>15.92138121844739</v>
      </c>
      <c r="AZ11" s="36"/>
      <c r="BA11" s="27"/>
      <c r="BB11" s="61">
        <f t="shared" si="26"/>
        <v>0</v>
      </c>
      <c r="BC11" s="36">
        <v>30576</v>
      </c>
      <c r="BD11" s="27">
        <v>1002.98</v>
      </c>
      <c r="BE11" s="61">
        <f t="shared" si="27"/>
        <v>30.485154240363716</v>
      </c>
      <c r="BF11" s="36"/>
      <c r="BG11" s="53"/>
      <c r="BH11" s="61">
        <f t="shared" si="28"/>
        <v>0</v>
      </c>
      <c r="BI11" s="36">
        <v>0</v>
      </c>
      <c r="BJ11" s="53">
        <v>0</v>
      </c>
      <c r="BK11" s="61">
        <f t="shared" si="29"/>
        <v>0</v>
      </c>
      <c r="BL11" s="52">
        <v>18704</v>
      </c>
      <c r="BM11" s="53">
        <v>1899.1399999999999</v>
      </c>
      <c r="BN11" s="61">
        <f t="shared" si="30"/>
        <v>9.8486683446191439</v>
      </c>
      <c r="BO11" s="1126">
        <v>2486</v>
      </c>
      <c r="BP11" s="53">
        <v>445.34</v>
      </c>
      <c r="BQ11" s="61">
        <f t="shared" si="31"/>
        <v>5.5822517626981636</v>
      </c>
      <c r="BR11" s="36"/>
      <c r="BS11" s="53"/>
      <c r="BT11" s="61">
        <f t="shared" si="32"/>
        <v>0</v>
      </c>
      <c r="BU11" s="36">
        <v>23730</v>
      </c>
      <c r="BV11" s="27">
        <v>1600</v>
      </c>
      <c r="BW11" s="28">
        <f t="shared" si="33"/>
        <v>14.831250000000001</v>
      </c>
      <c r="BX11" s="26"/>
      <c r="BY11" s="419"/>
      <c r="BZ11" s="61">
        <f t="shared" si="34"/>
        <v>0</v>
      </c>
      <c r="CA11" s="36"/>
      <c r="CB11" s="5"/>
      <c r="CC11" s="482">
        <f t="shared" si="35"/>
        <v>0</v>
      </c>
      <c r="CD11" s="4"/>
      <c r="CE11" s="27"/>
      <c r="CF11" s="28">
        <f t="shared" si="36"/>
        <v>0</v>
      </c>
      <c r="CG11" s="149"/>
      <c r="CH11" s="4">
        <v>0</v>
      </c>
      <c r="CI11" s="5">
        <v>0</v>
      </c>
      <c r="CJ11" s="5">
        <v>0</v>
      </c>
      <c r="CK11" s="5">
        <v>7488</v>
      </c>
      <c r="CL11" s="5"/>
      <c r="CM11" s="5">
        <f t="shared" ref="CM11:CM40" si="135">SUM(CH11:CL11)</f>
        <v>7488</v>
      </c>
      <c r="CN11" s="33"/>
      <c r="CO11" s="366"/>
      <c r="CQ11" s="4">
        <f t="shared" si="37"/>
        <v>0</v>
      </c>
      <c r="CR11" s="9">
        <f t="shared" si="38"/>
        <v>0</v>
      </c>
      <c r="CS11" s="5">
        <f t="shared" si="39"/>
        <v>0</v>
      </c>
      <c r="CT11" s="5">
        <f t="shared" si="40"/>
        <v>0</v>
      </c>
      <c r="CU11" s="5">
        <f t="shared" si="41"/>
        <v>0</v>
      </c>
      <c r="CV11" s="12">
        <f t="shared" si="42"/>
        <v>0</v>
      </c>
      <c r="CW11" s="486">
        <f t="shared" si="43"/>
        <v>0</v>
      </c>
      <c r="CX11" s="9">
        <f t="shared" si="44"/>
        <v>0</v>
      </c>
      <c r="CY11" s="5">
        <f t="shared" si="45"/>
        <v>6170.92</v>
      </c>
      <c r="CZ11" s="12">
        <f t="shared" si="46"/>
        <v>0</v>
      </c>
      <c r="DA11" s="486">
        <f t="shared" si="47"/>
        <v>1002.98</v>
      </c>
      <c r="DB11" s="486">
        <f t="shared" si="48"/>
        <v>0</v>
      </c>
      <c r="DC11" s="310">
        <f t="shared" si="49"/>
        <v>7173.9</v>
      </c>
      <c r="DD11" s="2695"/>
      <c r="DE11" s="9"/>
      <c r="DF11" s="9"/>
      <c r="DG11" s="5"/>
      <c r="DH11" s="5"/>
      <c r="DI11" s="5"/>
      <c r="DJ11" s="5"/>
      <c r="DK11" s="5"/>
      <c r="DL11" s="5"/>
      <c r="DM11" s="5">
        <v>2226.4399999999996</v>
      </c>
      <c r="DN11" s="5"/>
      <c r="DO11" s="5"/>
      <c r="DP11" s="12"/>
      <c r="DQ11" s="28">
        <f t="shared" si="50"/>
        <v>2226.4399999999996</v>
      </c>
      <c r="DR11" s="36"/>
      <c r="DS11" s="36"/>
      <c r="DT11" s="27"/>
      <c r="DU11" s="27"/>
      <c r="DV11" s="5"/>
      <c r="DW11" s="5"/>
      <c r="DX11" s="64"/>
      <c r="DY11" s="5"/>
      <c r="DZ11" s="5">
        <v>2344.48</v>
      </c>
      <c r="EA11" s="53"/>
      <c r="EB11" s="27">
        <v>1002.98</v>
      </c>
      <c r="EC11" s="33"/>
      <c r="ED11" s="28">
        <f t="shared" si="51"/>
        <v>3347.46</v>
      </c>
      <c r="EE11" s="9"/>
      <c r="EF11" s="9"/>
      <c r="EG11" s="5"/>
      <c r="EH11" s="5"/>
      <c r="EI11" s="27"/>
      <c r="EJ11" s="27"/>
      <c r="EK11" s="27"/>
      <c r="EL11" s="27"/>
      <c r="EM11" s="27">
        <v>1600</v>
      </c>
      <c r="EN11" s="27"/>
      <c r="EO11" s="27"/>
      <c r="EP11" s="33"/>
      <c r="EQ11" s="28">
        <f t="shared" si="52"/>
        <v>1600</v>
      </c>
      <c r="ER11" s="36"/>
      <c r="ES11" s="27"/>
      <c r="ET11" s="27"/>
      <c r="EU11" s="27"/>
      <c r="EV11" s="27"/>
      <c r="EW11" s="27"/>
      <c r="EX11" s="33">
        <f t="shared" si="53"/>
        <v>0</v>
      </c>
      <c r="EY11" s="2685"/>
      <c r="FA11" s="4">
        <f t="shared" si="54"/>
        <v>0</v>
      </c>
      <c r="FB11" s="5">
        <f t="shared" si="55"/>
        <v>0</v>
      </c>
      <c r="FC11" s="5">
        <f t="shared" si="56"/>
        <v>0</v>
      </c>
      <c r="FD11" s="12">
        <f t="shared" si="57"/>
        <v>0</v>
      </c>
      <c r="FE11" s="33"/>
      <c r="FF11" s="2674"/>
      <c r="FG11" s="9"/>
      <c r="FH11" s="5"/>
      <c r="FI11" s="5"/>
      <c r="FJ11" s="5"/>
      <c r="FK11" s="5"/>
      <c r="FL11" s="27"/>
      <c r="FM11" s="28">
        <f t="shared" si="58"/>
        <v>0</v>
      </c>
      <c r="FN11" s="36"/>
      <c r="FO11" s="27"/>
      <c r="FP11" s="27"/>
      <c r="FQ11" s="27"/>
      <c r="FR11" s="27"/>
      <c r="FS11" s="27"/>
      <c r="FT11" s="28">
        <f t="shared" si="59"/>
        <v>0</v>
      </c>
      <c r="FU11" s="36"/>
      <c r="FV11" s="36"/>
      <c r="FW11" s="27"/>
      <c r="FX11" s="27"/>
      <c r="FY11" s="27"/>
      <c r="FZ11" s="27"/>
      <c r="GA11" s="27"/>
      <c r="GB11" s="27"/>
      <c r="GC11" s="27"/>
      <c r="GD11" s="27"/>
      <c r="GE11" s="27"/>
      <c r="GF11" s="33"/>
      <c r="GG11" s="33">
        <f t="shared" si="60"/>
        <v>0</v>
      </c>
      <c r="GH11" s="2674"/>
      <c r="GJ11" s="4">
        <f t="shared" si="61"/>
        <v>3035.73</v>
      </c>
      <c r="GK11" s="64">
        <f t="shared" si="62"/>
        <v>1185.6400000000001</v>
      </c>
      <c r="GL11" s="53">
        <f t="shared" si="63"/>
        <v>5355.31</v>
      </c>
      <c r="GM11" s="53">
        <f t="shared" si="64"/>
        <v>9576.68</v>
      </c>
      <c r="GN11" s="141"/>
      <c r="GO11" s="141"/>
      <c r="GP11" s="33"/>
      <c r="GQ11" s="2667"/>
      <c r="GR11" s="152">
        <v>4252.95</v>
      </c>
      <c r="GS11" s="27">
        <v>0</v>
      </c>
      <c r="GT11" s="27">
        <v>2871.76</v>
      </c>
      <c r="GU11" s="27">
        <v>2451.9700000000003</v>
      </c>
      <c r="GV11" s="54">
        <f t="shared" si="65"/>
        <v>9576.68</v>
      </c>
      <c r="GW11" s="2667"/>
      <c r="GX11" s="36"/>
      <c r="GY11" s="36"/>
      <c r="GZ11" s="27"/>
      <c r="HA11" s="27"/>
      <c r="HB11" s="27"/>
      <c r="HC11" s="27"/>
      <c r="HD11" s="27"/>
      <c r="HE11" s="27"/>
      <c r="HF11" s="27">
        <v>3035.73</v>
      </c>
      <c r="HG11" s="27"/>
      <c r="HH11" s="27"/>
      <c r="HI11" s="27"/>
      <c r="HJ11" s="27"/>
      <c r="HK11" s="27"/>
      <c r="HL11" s="28">
        <f t="shared" si="66"/>
        <v>3035.73</v>
      </c>
      <c r="HM11" s="36"/>
      <c r="HN11" s="27"/>
      <c r="HO11" s="27"/>
      <c r="HP11" s="27"/>
      <c r="HQ11" s="27"/>
      <c r="HR11" s="27"/>
      <c r="HS11" s="27"/>
      <c r="HT11" s="27"/>
      <c r="HU11" s="27"/>
      <c r="HV11" s="27"/>
      <c r="HW11" s="27"/>
      <c r="HX11" s="27"/>
      <c r="HY11" s="27"/>
      <c r="HZ11" s="27"/>
      <c r="IA11" s="33">
        <f t="shared" si="67"/>
        <v>0</v>
      </c>
      <c r="IB11" s="52"/>
      <c r="IC11" s="152"/>
      <c r="ID11" s="53"/>
      <c r="IE11" s="53"/>
      <c r="IF11" s="53"/>
      <c r="IG11" s="53"/>
      <c r="IH11" s="53"/>
      <c r="II11" s="53"/>
      <c r="IJ11" s="53">
        <v>1185.6400000000001</v>
      </c>
      <c r="IK11" s="53"/>
      <c r="IL11" s="53"/>
      <c r="IM11" s="53"/>
      <c r="IN11" s="53"/>
      <c r="IO11" s="53"/>
      <c r="IP11" s="61">
        <f t="shared" si="68"/>
        <v>1185.6400000000001</v>
      </c>
      <c r="IQ11" s="36"/>
      <c r="IR11" s="36"/>
      <c r="IS11" s="27"/>
      <c r="IT11" s="27"/>
      <c r="IU11" s="53"/>
      <c r="IV11" s="27"/>
      <c r="IW11" s="27"/>
      <c r="IX11" s="27"/>
      <c r="IY11" s="27">
        <v>5355.31</v>
      </c>
      <c r="IZ11" s="27"/>
      <c r="JA11" s="27"/>
      <c r="JB11" s="27"/>
      <c r="JC11" s="27"/>
      <c r="JD11" s="27"/>
      <c r="JE11" s="33">
        <f>SUM(IQ11:JD11)</f>
        <v>5355.31</v>
      </c>
      <c r="JF11" s="2667"/>
      <c r="JH11" s="1442">
        <v>9576.68</v>
      </c>
      <c r="JI11" s="152"/>
      <c r="JJ11" s="53"/>
      <c r="JK11" s="53">
        <f t="shared" si="70"/>
        <v>9576.68</v>
      </c>
      <c r="JL11" s="33"/>
      <c r="JM11" s="2669"/>
      <c r="JN11" s="69"/>
      <c r="JO11" s="70"/>
      <c r="JP11" s="70"/>
      <c r="JQ11" s="70"/>
      <c r="JR11" s="70">
        <v>1</v>
      </c>
      <c r="JS11" s="70"/>
      <c r="JT11" s="70"/>
      <c r="JU11" s="71"/>
      <c r="JV11" s="69"/>
      <c r="JW11" s="70"/>
      <c r="JX11" s="70"/>
      <c r="JY11" s="70"/>
      <c r="JZ11" s="70"/>
      <c r="KA11" s="70"/>
      <c r="KB11" s="70"/>
      <c r="KC11" s="71"/>
      <c r="KD11" s="69"/>
      <c r="KE11" s="70"/>
      <c r="KF11" s="70"/>
      <c r="KG11" s="70"/>
      <c r="KH11" s="70"/>
      <c r="KI11" s="70"/>
      <c r="KJ11" s="70"/>
      <c r="KK11" s="70"/>
      <c r="KL11" s="33"/>
      <c r="KM11" s="2669"/>
      <c r="KN11" s="36">
        <v>6898.3919264179867</v>
      </c>
      <c r="KO11" s="53">
        <v>0.50456515074093</v>
      </c>
      <c r="KP11" s="53">
        <v>4.8317322432294327</v>
      </c>
      <c r="KQ11" s="53">
        <v>7.0048952478283084</v>
      </c>
      <c r="KR11" s="54">
        <v>12.750318010424117</v>
      </c>
      <c r="KS11" s="4">
        <v>0</v>
      </c>
      <c r="KT11" s="64">
        <v>0</v>
      </c>
      <c r="KU11" s="64">
        <v>0</v>
      </c>
      <c r="KV11" s="64">
        <v>0</v>
      </c>
      <c r="KW11" s="482">
        <v>0</v>
      </c>
      <c r="KX11" s="36"/>
      <c r="KY11" s="53"/>
      <c r="KZ11" s="53"/>
      <c r="LA11" s="53"/>
      <c r="LB11" s="53"/>
      <c r="LC11" s="33"/>
      <c r="LD11" s="2669"/>
      <c r="LF11" s="998">
        <f t="shared" si="71"/>
        <v>7595.01</v>
      </c>
      <c r="LG11" s="27">
        <f t="shared" si="72"/>
        <v>0</v>
      </c>
      <c r="LH11" s="27">
        <f t="shared" si="73"/>
        <v>0</v>
      </c>
      <c r="LI11" s="28">
        <f t="shared" si="74"/>
        <v>7595.01</v>
      </c>
      <c r="LJ11" s="36">
        <v>1</v>
      </c>
      <c r="LK11" s="27"/>
      <c r="LL11" s="27">
        <v>4</v>
      </c>
      <c r="LM11" s="33"/>
      <c r="LN11" s="1044">
        <v>7.7</v>
      </c>
      <c r="LO11" s="486"/>
      <c r="LP11" s="2688"/>
      <c r="LQ11" s="36">
        <v>7595.01</v>
      </c>
      <c r="LR11" s="36"/>
      <c r="LS11" s="27"/>
      <c r="LT11" s="27"/>
      <c r="LU11" s="27"/>
      <c r="LV11" s="1117">
        <f t="shared" si="75"/>
        <v>7595.01</v>
      </c>
      <c r="LW11" s="36"/>
      <c r="LX11" s="36"/>
      <c r="LY11" s="27"/>
      <c r="LZ11" s="27"/>
      <c r="MA11" s="33"/>
      <c r="MB11" s="28">
        <f t="shared" si="76"/>
        <v>0</v>
      </c>
      <c r="MC11" s="26"/>
      <c r="MD11" s="36"/>
      <c r="ME11" s="27"/>
      <c r="MF11" s="27"/>
      <c r="MG11" s="27"/>
      <c r="MH11" s="28"/>
      <c r="MI11" s="36"/>
      <c r="MJ11" s="36"/>
      <c r="MK11" s="27"/>
      <c r="ML11" s="27"/>
      <c r="MM11" s="27"/>
      <c r="MN11" s="28"/>
      <c r="MO11" s="36"/>
      <c r="MP11" s="36"/>
      <c r="MQ11" s="27"/>
      <c r="MR11" s="27"/>
      <c r="MS11" s="27"/>
      <c r="MT11" s="33">
        <f t="shared" si="77"/>
        <v>0</v>
      </c>
      <c r="MU11" s="2688"/>
      <c r="MW11" s="26">
        <f t="shared" si="78"/>
        <v>226911.45478124582</v>
      </c>
      <c r="MX11" s="27">
        <f t="shared" si="79"/>
        <v>268137.3392957176</v>
      </c>
      <c r="MY11" s="27">
        <f t="shared" si="80"/>
        <v>21376.625608283044</v>
      </c>
      <c r="MZ11" s="28">
        <f t="shared" si="81"/>
        <v>443175.5146780911</v>
      </c>
      <c r="NA11" s="2621"/>
      <c r="NB11" s="23">
        <f t="shared" si="82"/>
        <v>226268.28650315013</v>
      </c>
      <c r="NC11" s="64">
        <f t="shared" si="83"/>
        <v>643.16827809568952</v>
      </c>
      <c r="ND11" s="60">
        <f t="shared" si="84"/>
        <v>0</v>
      </c>
      <c r="NE11" s="275">
        <f t="shared" si="4"/>
        <v>226911.45478124582</v>
      </c>
      <c r="NF11" s="26">
        <f t="shared" ref="NF11:NF29" si="136">+NF10+EE11-GX11</f>
        <v>0</v>
      </c>
      <c r="NG11" s="27">
        <f t="shared" ref="NG11:NG29" si="137">+NG10+EF11-GY11</f>
        <v>0</v>
      </c>
      <c r="NH11" s="27">
        <f t="shared" ref="NH11:NH29" si="138">+NH10+EG11-GZ11</f>
        <v>0</v>
      </c>
      <c r="NI11" s="27">
        <f t="shared" ref="NI11:NI29" si="139">+NI10+EH11-HA11</f>
        <v>0</v>
      </c>
      <c r="NJ11" s="27">
        <f t="shared" ref="NJ11:NJ29" si="140">+NJ10+EI11-HB11</f>
        <v>0</v>
      </c>
      <c r="NK11" s="33">
        <f t="shared" ref="NK11:NK29" si="141">+NK10+EJ11-HC11</f>
        <v>0</v>
      </c>
      <c r="NL11" s="280">
        <f t="shared" ref="NL11:NL40" si="142">+NL10+EK11-HD11</f>
        <v>0</v>
      </c>
      <c r="NM11" s="36">
        <f t="shared" ref="NM11:NM40" si="143">+NM10+EL11-HE11</f>
        <v>0</v>
      </c>
      <c r="NN11" s="27">
        <f t="shared" ref="NN11:NN40" si="144">+NN10+EM11-HF11</f>
        <v>47119.686549275997</v>
      </c>
      <c r="NO11" s="27">
        <f t="shared" ref="NO11:NO40" si="145">+NO10+EN11-HG11</f>
        <v>0</v>
      </c>
      <c r="NP11" s="24">
        <f t="shared" ref="NP11:NP40" si="146">+NP10+EE12-GX11</f>
        <v>8756.5482322711578</v>
      </c>
      <c r="NQ11" s="24">
        <f t="shared" ref="NQ11:NQ40" si="147">+NQ10+EO11-HH11</f>
        <v>12484.2145856876</v>
      </c>
      <c r="NR11" s="27">
        <f t="shared" si="0"/>
        <v>68360.44936723476</v>
      </c>
      <c r="NS11" s="27">
        <f t="shared" si="86"/>
        <v>0</v>
      </c>
      <c r="NT11" s="27">
        <f t="shared" si="87"/>
        <v>0</v>
      </c>
      <c r="NU11" s="27">
        <f t="shared" si="88"/>
        <v>0</v>
      </c>
      <c r="NV11" s="27">
        <f t="shared" si="89"/>
        <v>0</v>
      </c>
      <c r="NW11" s="27">
        <f t="shared" si="90"/>
        <v>0</v>
      </c>
      <c r="NX11" s="27">
        <f t="shared" si="91"/>
        <v>0</v>
      </c>
      <c r="NY11" s="27">
        <f t="shared" si="92"/>
        <v>1984.698151907626</v>
      </c>
      <c r="NZ11" s="27">
        <f t="shared" si="93"/>
        <v>0</v>
      </c>
      <c r="OA11" s="27">
        <f t="shared" si="94"/>
        <v>40364.524759987784</v>
      </c>
      <c r="OB11" s="280"/>
      <c r="OC11" s="24">
        <f t="shared" si="95"/>
        <v>3403.7241844007053</v>
      </c>
      <c r="OD11" s="27">
        <f t="shared" si="96"/>
        <v>0</v>
      </c>
      <c r="OE11" s="27">
        <f t="shared" si="1"/>
        <v>45752.94709629612</v>
      </c>
      <c r="OF11" s="27">
        <f t="shared" si="97"/>
        <v>0</v>
      </c>
      <c r="OG11" s="27">
        <f t="shared" si="97"/>
        <v>0</v>
      </c>
      <c r="OH11" s="27">
        <f t="shared" si="97"/>
        <v>0</v>
      </c>
      <c r="OI11" s="27">
        <f t="shared" si="97"/>
        <v>0</v>
      </c>
      <c r="OJ11" s="27">
        <f t="shared" si="97"/>
        <v>0</v>
      </c>
      <c r="OK11" s="27">
        <f t="shared" si="97"/>
        <v>0</v>
      </c>
      <c r="OL11" s="24">
        <f t="shared" si="97"/>
        <v>0</v>
      </c>
      <c r="OM11" s="27">
        <f t="shared" si="97"/>
        <v>0</v>
      </c>
      <c r="ON11" s="24">
        <f t="shared" si="97"/>
        <v>149737.40851377803</v>
      </c>
      <c r="OO11" s="27">
        <f t="shared" si="97"/>
        <v>0</v>
      </c>
      <c r="OP11" s="27">
        <f t="shared" si="97"/>
        <v>4286.5343184086796</v>
      </c>
      <c r="OQ11" s="27">
        <f t="shared" si="97"/>
        <v>0</v>
      </c>
      <c r="OR11" s="28">
        <f t="shared" si="2"/>
        <v>154023.9428321867</v>
      </c>
      <c r="OS11" s="36"/>
      <c r="OT11" s="27"/>
      <c r="OU11" s="27"/>
      <c r="OV11" s="27"/>
      <c r="OW11" s="27"/>
      <c r="OX11" s="27"/>
      <c r="OY11" s="28">
        <f t="shared" si="98"/>
        <v>0</v>
      </c>
      <c r="OZ11" s="36">
        <f t="shared" si="99"/>
        <v>0</v>
      </c>
      <c r="PA11" s="27">
        <f t="shared" si="100"/>
        <v>0</v>
      </c>
      <c r="PB11" s="27">
        <f t="shared" si="101"/>
        <v>0</v>
      </c>
      <c r="PC11" s="27">
        <f t="shared" si="102"/>
        <v>0</v>
      </c>
      <c r="PD11" s="27">
        <f t="shared" si="103"/>
        <v>0</v>
      </c>
      <c r="PE11" s="27">
        <f t="shared" si="104"/>
        <v>0</v>
      </c>
      <c r="PF11" s="33">
        <f t="shared" si="3"/>
        <v>0</v>
      </c>
      <c r="PG11" s="2621"/>
      <c r="PI11" s="2">
        <v>1673.06</v>
      </c>
      <c r="PJ11" s="3">
        <v>720.00000000000011</v>
      </c>
      <c r="PK11" s="3">
        <v>360.00000000000006</v>
      </c>
      <c r="PL11" s="3">
        <f t="shared" ref="PL11:PL40" si="148">HJ11</f>
        <v>0</v>
      </c>
      <c r="PM11" s="3">
        <f t="shared" ref="PM11:PM40" si="149">PM10+PI11-PJ11</f>
        <v>953.05999999999983</v>
      </c>
      <c r="PN11" s="11">
        <f t="shared" ref="PN11:PN40" si="150">PN10+PK11-PL11</f>
        <v>21376.625608283044</v>
      </c>
      <c r="PO11" s="15"/>
      <c r="PP11" s="2615"/>
      <c r="PR11" s="4"/>
      <c r="PS11" s="9"/>
      <c r="PT11" s="9"/>
      <c r="PU11" s="9"/>
      <c r="PV11" s="9"/>
      <c r="PW11" s="9"/>
      <c r="PX11" s="8">
        <f t="shared" si="105"/>
        <v>0</v>
      </c>
      <c r="PY11" s="5">
        <f t="shared" si="106"/>
        <v>1673.06</v>
      </c>
      <c r="PZ11" s="5"/>
      <c r="QA11" s="5"/>
      <c r="QB11" s="5"/>
      <c r="QC11" s="5"/>
      <c r="QD11" s="5"/>
      <c r="QE11" s="12">
        <f t="shared" si="107"/>
        <v>29749.381073161156</v>
      </c>
      <c r="QF11" s="420">
        <f t="shared" si="108"/>
        <v>413426.13360492996</v>
      </c>
      <c r="QG11" s="1106">
        <f t="shared" si="109"/>
        <v>0</v>
      </c>
      <c r="QH11" s="484">
        <f t="shared" si="110"/>
        <v>5505.3678056100007</v>
      </c>
      <c r="QI11" s="12"/>
      <c r="QJ11" s="2615"/>
      <c r="QL11" s="139">
        <f t="shared" si="111"/>
        <v>0</v>
      </c>
      <c r="QM11" s="139" t="str">
        <f t="shared" si="112"/>
        <v/>
      </c>
      <c r="QO11" s="139">
        <f t="shared" si="113"/>
        <v>0</v>
      </c>
      <c r="QP11" s="139">
        <f t="shared" si="114"/>
        <v>0</v>
      </c>
      <c r="QR11" s="1">
        <f t="shared" si="115"/>
        <v>0</v>
      </c>
      <c r="QS11" s="1">
        <f t="shared" si="116"/>
        <v>0</v>
      </c>
      <c r="QT11" s="1">
        <f t="shared" si="117"/>
        <v>0</v>
      </c>
      <c r="QU11" s="1">
        <f t="shared" si="118"/>
        <v>0</v>
      </c>
      <c r="QV11" s="1">
        <f t="shared" si="119"/>
        <v>0</v>
      </c>
      <c r="QW11" s="1">
        <f t="shared" si="120"/>
        <v>0</v>
      </c>
      <c r="QY11" s="1">
        <f t="shared" si="121"/>
        <v>0</v>
      </c>
      <c r="QZ11" s="1">
        <f t="shared" si="122"/>
        <v>0</v>
      </c>
      <c r="RA11" s="1">
        <f t="shared" si="123"/>
        <v>0</v>
      </c>
      <c r="RB11" s="1">
        <f t="shared" si="124"/>
        <v>0</v>
      </c>
      <c r="RC11" s="1">
        <f t="shared" si="125"/>
        <v>0</v>
      </c>
      <c r="RD11" s="1">
        <f t="shared" si="126"/>
        <v>0</v>
      </c>
      <c r="RG11" s="1">
        <v>2</v>
      </c>
      <c r="RH11" s="1">
        <f t="shared" si="127"/>
        <v>34788.211751083159</v>
      </c>
      <c r="RI11" s="1">
        <f t="shared" si="127"/>
        <v>3925.5835498622801</v>
      </c>
      <c r="RJ11" s="1">
        <f t="shared" si="127"/>
        <v>9178.5689913333827</v>
      </c>
      <c r="RK11" s="89">
        <f t="shared" si="5"/>
        <v>47892.36429227882</v>
      </c>
      <c r="RL11" s="1033">
        <v>2</v>
      </c>
      <c r="RM11" s="1098">
        <v>0</v>
      </c>
      <c r="RN11" s="1098">
        <f t="shared" si="128"/>
        <v>0</v>
      </c>
      <c r="RO11" s="1097">
        <f t="shared" si="129"/>
        <v>0</v>
      </c>
      <c r="RP11" s="1097">
        <f t="shared" ref="RP11:RP40" si="151">BG11+AX11+BJ11+BM11+BP10+BY11+BD11-PW11</f>
        <v>5128.5599999999995</v>
      </c>
      <c r="RQ11" s="1094"/>
      <c r="RR11" s="1094" t="s">
        <v>663</v>
      </c>
      <c r="RU11" s="421">
        <v>2</v>
      </c>
      <c r="RV11" s="1095">
        <f t="shared" si="130"/>
        <v>9576.68</v>
      </c>
      <c r="RW11" s="1096" t="s">
        <v>664</v>
      </c>
      <c r="RY11" s="1090"/>
      <c r="RZ11" s="1090">
        <f t="shared" si="131"/>
        <v>445.34000000000015</v>
      </c>
      <c r="SA11" s="1090"/>
      <c r="SB11" s="1090">
        <f t="shared" si="132"/>
        <v>0</v>
      </c>
      <c r="SD11" s="1">
        <v>2</v>
      </c>
      <c r="SE11" s="1">
        <f t="shared" si="133"/>
        <v>0</v>
      </c>
    </row>
    <row r="12" spans="1:500" s="1" customFormat="1">
      <c r="A12" s="1">
        <v>1630.7189913362533</v>
      </c>
      <c r="B12" s="471">
        <v>3</v>
      </c>
      <c r="C12" s="4">
        <f t="shared" si="6"/>
        <v>56190.2</v>
      </c>
      <c r="D12" s="64">
        <f t="shared" si="134"/>
        <v>3306.5999999999995</v>
      </c>
      <c r="E12" s="61">
        <f t="shared" si="7"/>
        <v>16.993346640053229</v>
      </c>
      <c r="F12" s="870"/>
      <c r="G12" s="870"/>
      <c r="H12" s="52">
        <v>47</v>
      </c>
      <c r="I12" s="61">
        <v>14.33</v>
      </c>
      <c r="J12" s="52"/>
      <c r="K12" s="54"/>
      <c r="L12" s="52">
        <v>20</v>
      </c>
      <c r="M12" s="61">
        <v>13.6</v>
      </c>
      <c r="N12" s="2629"/>
      <c r="O12" s="4">
        <f t="shared" si="8"/>
        <v>32298</v>
      </c>
      <c r="P12" s="1225">
        <f t="shared" si="9"/>
        <v>1880.8599999999997</v>
      </c>
      <c r="Q12" s="64">
        <f t="shared" si="10"/>
        <v>17.171931988558427</v>
      </c>
      <c r="R12" s="33"/>
      <c r="S12" s="26">
        <f t="shared" si="11"/>
        <v>10001.200000000001</v>
      </c>
      <c r="T12" s="27">
        <f t="shared" si="12"/>
        <v>163.16</v>
      </c>
      <c r="U12" s="53">
        <f t="shared" si="13"/>
        <v>61.296886491787205</v>
      </c>
      <c r="V12" s="28"/>
      <c r="W12" s="26">
        <f t="shared" si="14"/>
        <v>12132</v>
      </c>
      <c r="X12" s="5">
        <f t="shared" si="15"/>
        <v>880</v>
      </c>
      <c r="Y12" s="53">
        <f t="shared" si="16"/>
        <v>13.786363636363637</v>
      </c>
      <c r="Z12" s="33"/>
      <c r="AA12" s="26">
        <f t="shared" si="17"/>
        <v>1759</v>
      </c>
      <c r="AB12" s="27">
        <f t="shared" si="18"/>
        <v>382.58</v>
      </c>
      <c r="AC12" s="53">
        <f t="shared" si="19"/>
        <v>4.5977311934758749</v>
      </c>
      <c r="AD12" s="28"/>
      <c r="AE12" s="36"/>
      <c r="AF12" s="36"/>
      <c r="AG12" s="53">
        <f t="shared" si="20"/>
        <v>0</v>
      </c>
      <c r="AH12" s="28"/>
      <c r="AI12" s="23"/>
      <c r="AJ12" s="27"/>
      <c r="AK12" s="53">
        <f t="shared" si="21"/>
        <v>0</v>
      </c>
      <c r="AL12" s="28"/>
      <c r="AM12" s="2629"/>
      <c r="AN12" s="9"/>
      <c r="AO12" s="5"/>
      <c r="AP12" s="61">
        <f t="shared" si="22"/>
        <v>0</v>
      </c>
      <c r="AQ12" s="36"/>
      <c r="AR12" s="53"/>
      <c r="AS12" s="61">
        <f t="shared" si="23"/>
        <v>0</v>
      </c>
      <c r="AT12" s="36"/>
      <c r="AU12" s="27"/>
      <c r="AV12" s="61">
        <f t="shared" si="24"/>
        <v>0</v>
      </c>
      <c r="AW12" s="36">
        <v>16716</v>
      </c>
      <c r="AX12" s="27">
        <v>1645.3199999999997</v>
      </c>
      <c r="AY12" s="61">
        <f t="shared" si="25"/>
        <v>10.15972576763183</v>
      </c>
      <c r="AZ12" s="36"/>
      <c r="BA12" s="27"/>
      <c r="BB12" s="61">
        <f t="shared" si="26"/>
        <v>0</v>
      </c>
      <c r="BC12" s="36">
        <v>15582</v>
      </c>
      <c r="BD12" s="27">
        <v>235.54</v>
      </c>
      <c r="BE12" s="61">
        <f t="shared" si="27"/>
        <v>66.15436868472446</v>
      </c>
      <c r="BF12" s="36"/>
      <c r="BG12" s="53"/>
      <c r="BH12" s="61">
        <f t="shared" si="28"/>
        <v>0</v>
      </c>
      <c r="BI12" s="36">
        <v>0</v>
      </c>
      <c r="BJ12" s="53">
        <v>0</v>
      </c>
      <c r="BK12" s="61">
        <f t="shared" si="29"/>
        <v>0</v>
      </c>
      <c r="BL12" s="52">
        <v>10001.200000000001</v>
      </c>
      <c r="BM12" s="53">
        <v>163.16</v>
      </c>
      <c r="BN12" s="61">
        <f t="shared" si="30"/>
        <v>61.296886491787205</v>
      </c>
      <c r="BO12" s="1125">
        <v>1759</v>
      </c>
      <c r="BP12" s="53">
        <v>382.58</v>
      </c>
      <c r="BQ12" s="61">
        <f t="shared" si="31"/>
        <v>4.5977311934758749</v>
      </c>
      <c r="BR12" s="36"/>
      <c r="BS12" s="53"/>
      <c r="BT12" s="61">
        <f t="shared" si="32"/>
        <v>0</v>
      </c>
      <c r="BU12" s="36">
        <v>12132</v>
      </c>
      <c r="BV12" s="27">
        <v>880</v>
      </c>
      <c r="BW12" s="28">
        <f t="shared" si="33"/>
        <v>13.786363636363637</v>
      </c>
      <c r="BX12" s="26"/>
      <c r="BY12" s="27"/>
      <c r="BZ12" s="61">
        <f t="shared" si="34"/>
        <v>0</v>
      </c>
      <c r="CA12" s="36"/>
      <c r="CB12" s="5"/>
      <c r="CC12" s="482">
        <f t="shared" si="35"/>
        <v>0</v>
      </c>
      <c r="CD12" s="4"/>
      <c r="CE12" s="280"/>
      <c r="CF12" s="28">
        <f t="shared" si="36"/>
        <v>0</v>
      </c>
      <c r="CG12" s="150"/>
      <c r="CH12" s="4">
        <v>848</v>
      </c>
      <c r="CI12" s="5">
        <v>0</v>
      </c>
      <c r="CJ12" s="5">
        <v>0</v>
      </c>
      <c r="CK12" s="5">
        <v>4940</v>
      </c>
      <c r="CL12" s="5"/>
      <c r="CM12" s="5">
        <f t="shared" si="135"/>
        <v>5788</v>
      </c>
      <c r="CN12" s="33"/>
      <c r="CO12" s="366"/>
      <c r="CQ12" s="4">
        <f t="shared" si="37"/>
        <v>0</v>
      </c>
      <c r="CR12" s="9">
        <f t="shared" si="38"/>
        <v>0</v>
      </c>
      <c r="CS12" s="5">
        <f t="shared" si="39"/>
        <v>0</v>
      </c>
      <c r="CT12" s="5">
        <f t="shared" si="40"/>
        <v>0</v>
      </c>
      <c r="CU12" s="5">
        <f t="shared" si="41"/>
        <v>0</v>
      </c>
      <c r="CV12" s="5">
        <f t="shared" si="42"/>
        <v>0</v>
      </c>
      <c r="CW12" s="488">
        <f t="shared" si="43"/>
        <v>1280.7399999999998</v>
      </c>
      <c r="CX12" s="5">
        <f t="shared" si="44"/>
        <v>0</v>
      </c>
      <c r="CY12" s="5">
        <f t="shared" si="45"/>
        <v>1790.32</v>
      </c>
      <c r="CZ12" s="5">
        <f t="shared" si="46"/>
        <v>0</v>
      </c>
      <c r="DA12" s="488">
        <f t="shared" si="47"/>
        <v>235.54</v>
      </c>
      <c r="DB12" s="12">
        <f t="shared" si="48"/>
        <v>0</v>
      </c>
      <c r="DC12" s="310">
        <f t="shared" si="49"/>
        <v>3306.5999999999995</v>
      </c>
      <c r="DD12" s="2695"/>
      <c r="DE12" s="9"/>
      <c r="DF12" s="9"/>
      <c r="DG12" s="5"/>
      <c r="DH12" s="5"/>
      <c r="DI12" s="5"/>
      <c r="DJ12" s="5"/>
      <c r="DK12" s="5">
        <v>1280.7399999999998</v>
      </c>
      <c r="DL12" s="5"/>
      <c r="DM12" s="5">
        <v>364.58</v>
      </c>
      <c r="DN12" s="5"/>
      <c r="DO12" s="5"/>
      <c r="DP12" s="12"/>
      <c r="DQ12" s="28">
        <f t="shared" si="50"/>
        <v>1645.3199999999997</v>
      </c>
      <c r="DR12" s="36"/>
      <c r="DS12" s="36"/>
      <c r="DT12" s="27"/>
      <c r="DU12" s="27"/>
      <c r="DV12" s="5"/>
      <c r="DW12" s="5"/>
      <c r="DX12" s="64"/>
      <c r="DY12" s="5"/>
      <c r="DZ12" s="5">
        <v>545.74</v>
      </c>
      <c r="EA12" s="53"/>
      <c r="EB12" s="27">
        <v>235.54</v>
      </c>
      <c r="EC12" s="33"/>
      <c r="ED12" s="28">
        <f t="shared" si="51"/>
        <v>781.28</v>
      </c>
      <c r="EE12" s="9"/>
      <c r="EF12" s="9"/>
      <c r="EG12" s="491"/>
      <c r="EH12" s="5"/>
      <c r="EI12" s="27"/>
      <c r="EJ12" s="27"/>
      <c r="EK12" s="27"/>
      <c r="EL12" s="27"/>
      <c r="EM12" s="27">
        <v>880</v>
      </c>
      <c r="EN12" s="27"/>
      <c r="EO12" s="27"/>
      <c r="EP12" s="33"/>
      <c r="EQ12" s="28">
        <f t="shared" si="52"/>
        <v>880</v>
      </c>
      <c r="ER12" s="36"/>
      <c r="ES12" s="27"/>
      <c r="ET12" s="27"/>
      <c r="EU12" s="27"/>
      <c r="EV12" s="27"/>
      <c r="EW12" s="27"/>
      <c r="EX12" s="33">
        <f t="shared" si="53"/>
        <v>0</v>
      </c>
      <c r="EY12" s="2685"/>
      <c r="FA12" s="4">
        <f t="shared" si="54"/>
        <v>0</v>
      </c>
      <c r="FB12" s="5">
        <f t="shared" si="55"/>
        <v>0</v>
      </c>
      <c r="FC12" s="5">
        <f t="shared" si="56"/>
        <v>0</v>
      </c>
      <c r="FD12" s="12">
        <f t="shared" si="57"/>
        <v>0</v>
      </c>
      <c r="FE12" s="33"/>
      <c r="FF12" s="2674"/>
      <c r="FG12" s="9"/>
      <c r="FH12" s="5"/>
      <c r="FI12" s="5"/>
      <c r="FJ12" s="5"/>
      <c r="FK12" s="5"/>
      <c r="FL12" s="27"/>
      <c r="FM12" s="28">
        <f t="shared" si="58"/>
        <v>0</v>
      </c>
      <c r="FN12" s="36"/>
      <c r="FO12" s="27"/>
      <c r="FP12" s="27"/>
      <c r="FQ12" s="27"/>
      <c r="FR12" s="27"/>
      <c r="FS12" s="27"/>
      <c r="FT12" s="28">
        <f t="shared" si="59"/>
        <v>0</v>
      </c>
      <c r="FU12" s="36"/>
      <c r="FV12" s="36"/>
      <c r="FW12" s="27"/>
      <c r="FX12" s="27"/>
      <c r="FY12" s="27"/>
      <c r="FZ12" s="27"/>
      <c r="GA12" s="27"/>
      <c r="GB12" s="27"/>
      <c r="GC12" s="27"/>
      <c r="GD12" s="27"/>
      <c r="GE12" s="27"/>
      <c r="GF12" s="33"/>
      <c r="GG12" s="33">
        <f t="shared" si="60"/>
        <v>0</v>
      </c>
      <c r="GH12" s="2674"/>
      <c r="GJ12" s="4">
        <f t="shared" si="61"/>
        <v>3409.38</v>
      </c>
      <c r="GK12" s="64">
        <f t="shared" si="62"/>
        <v>3524.2799999999997</v>
      </c>
      <c r="GL12" s="53">
        <f t="shared" si="63"/>
        <v>6632.76</v>
      </c>
      <c r="GM12" s="53">
        <f t="shared" si="64"/>
        <v>13566.42</v>
      </c>
      <c r="GN12" s="141"/>
      <c r="GO12" s="141"/>
      <c r="GP12" s="33"/>
      <c r="GQ12" s="2667"/>
      <c r="GR12" s="152">
        <v>6549.01</v>
      </c>
      <c r="GS12" s="27">
        <v>1552.8500000000001</v>
      </c>
      <c r="GT12" s="27">
        <v>3040.4199999999996</v>
      </c>
      <c r="GU12" s="27">
        <v>2424.14</v>
      </c>
      <c r="GV12" s="54">
        <f t="shared" si="65"/>
        <v>13566.42</v>
      </c>
      <c r="GW12" s="2667"/>
      <c r="GX12" s="36"/>
      <c r="GY12" s="36"/>
      <c r="GZ12" s="27"/>
      <c r="HA12" s="27"/>
      <c r="HB12" s="27"/>
      <c r="HC12" s="27"/>
      <c r="HD12" s="27"/>
      <c r="HE12" s="27"/>
      <c r="HF12" s="27">
        <v>1856.53</v>
      </c>
      <c r="HG12" s="27"/>
      <c r="HH12" s="27"/>
      <c r="HI12" s="27"/>
      <c r="HJ12" s="27">
        <v>1552.8500000000001</v>
      </c>
      <c r="HK12" s="27"/>
      <c r="HL12" s="28">
        <f t="shared" si="66"/>
        <v>3409.38</v>
      </c>
      <c r="HM12" s="36"/>
      <c r="HN12" s="27"/>
      <c r="HO12" s="27"/>
      <c r="HP12" s="27"/>
      <c r="HQ12" s="27"/>
      <c r="HR12" s="27"/>
      <c r="HS12" s="27"/>
      <c r="HT12" s="27"/>
      <c r="HU12" s="27"/>
      <c r="HV12" s="27"/>
      <c r="HW12" s="27"/>
      <c r="HX12" s="27"/>
      <c r="HY12" s="27"/>
      <c r="HZ12" s="27"/>
      <c r="IA12" s="33">
        <f t="shared" si="67"/>
        <v>0</v>
      </c>
      <c r="IB12" s="52"/>
      <c r="IC12" s="152"/>
      <c r="ID12" s="53"/>
      <c r="IE12" s="53"/>
      <c r="IF12" s="53"/>
      <c r="IG12" s="53"/>
      <c r="IH12" s="53"/>
      <c r="II12" s="53"/>
      <c r="IJ12" s="53">
        <v>3524.2799999999997</v>
      </c>
      <c r="IK12" s="53"/>
      <c r="IL12" s="64"/>
      <c r="IM12" s="53"/>
      <c r="IN12" s="53"/>
      <c r="IO12" s="53"/>
      <c r="IP12" s="61">
        <f t="shared" si="68"/>
        <v>3524.2799999999997</v>
      </c>
      <c r="IQ12" s="36"/>
      <c r="IR12" s="36"/>
      <c r="IS12" s="27"/>
      <c r="IT12" s="27"/>
      <c r="IU12" s="53"/>
      <c r="IV12" s="27"/>
      <c r="IW12" s="27"/>
      <c r="IX12" s="27"/>
      <c r="IY12" s="27">
        <v>6632.76</v>
      </c>
      <c r="IZ12" s="27"/>
      <c r="JA12" s="5"/>
      <c r="JB12" s="27"/>
      <c r="JC12" s="27"/>
      <c r="JD12" s="27"/>
      <c r="JE12" s="33">
        <f t="shared" si="69"/>
        <v>6632.76</v>
      </c>
      <c r="JF12" s="2667"/>
      <c r="JH12" s="845">
        <v>13566.419999999998</v>
      </c>
      <c r="JI12" s="152"/>
      <c r="JJ12" s="53"/>
      <c r="JK12" s="53">
        <f t="shared" si="70"/>
        <v>13566.419999999998</v>
      </c>
      <c r="JL12" s="33"/>
      <c r="JM12" s="2669"/>
      <c r="JN12" s="69"/>
      <c r="JO12" s="70"/>
      <c r="JP12" s="70"/>
      <c r="JQ12" s="70"/>
      <c r="JR12" s="70">
        <v>1</v>
      </c>
      <c r="JS12" s="70"/>
      <c r="JT12" s="70"/>
      <c r="JU12" s="71"/>
      <c r="JV12" s="69"/>
      <c r="JW12" s="70"/>
      <c r="JX12" s="70"/>
      <c r="JY12" s="70"/>
      <c r="JZ12" s="70"/>
      <c r="KA12" s="70"/>
      <c r="KB12" s="70"/>
      <c r="KC12" s="71"/>
      <c r="KD12" s="69"/>
      <c r="KE12" s="70"/>
      <c r="KF12" s="70"/>
      <c r="KG12" s="70"/>
      <c r="KH12" s="70"/>
      <c r="KI12" s="70"/>
      <c r="KJ12" s="70"/>
      <c r="KK12" s="70"/>
      <c r="KL12" s="33"/>
      <c r="KM12" s="2669"/>
      <c r="KN12" s="36">
        <v>6979.6703751248042</v>
      </c>
      <c r="KO12" s="53">
        <v>0.70770646127513903</v>
      </c>
      <c r="KP12" s="53">
        <v>4.0967322778490942</v>
      </c>
      <c r="KQ12" s="53">
        <v>6.2635715304521469</v>
      </c>
      <c r="KR12" s="54">
        <v>11.758079502210812</v>
      </c>
      <c r="KS12" s="4">
        <v>0</v>
      </c>
      <c r="KT12" s="64">
        <v>0</v>
      </c>
      <c r="KU12" s="64">
        <v>0</v>
      </c>
      <c r="KV12" s="64">
        <v>0</v>
      </c>
      <c r="KW12" s="482">
        <v>0</v>
      </c>
      <c r="KX12" s="36"/>
      <c r="KY12" s="53"/>
      <c r="KZ12" s="53"/>
      <c r="LA12" s="53"/>
      <c r="LB12" s="53"/>
      <c r="LC12" s="33"/>
      <c r="LD12" s="2669"/>
      <c r="LF12" s="998">
        <f t="shared" si="71"/>
        <v>30505.809999999998</v>
      </c>
      <c r="LG12" s="27">
        <f t="shared" si="72"/>
        <v>0</v>
      </c>
      <c r="LH12" s="27">
        <f t="shared" si="73"/>
        <v>0</v>
      </c>
      <c r="LI12" s="28">
        <f t="shared" si="74"/>
        <v>30505.809999999998</v>
      </c>
      <c r="LJ12" s="36">
        <v>4</v>
      </c>
      <c r="LK12" s="27"/>
      <c r="LL12" s="27">
        <v>1</v>
      </c>
      <c r="LM12" s="33"/>
      <c r="LN12" s="1041">
        <v>7.6</v>
      </c>
      <c r="LO12" s="486"/>
      <c r="LP12" s="2688"/>
      <c r="LQ12" s="36">
        <v>30505.809999999998</v>
      </c>
      <c r="LR12" s="36"/>
      <c r="LS12" s="27"/>
      <c r="LT12" s="27"/>
      <c r="LU12" s="27"/>
      <c r="LV12" s="1117">
        <f t="shared" si="75"/>
        <v>30505.809999999998</v>
      </c>
      <c r="LW12" s="36"/>
      <c r="LX12" s="36"/>
      <c r="LY12" s="27"/>
      <c r="LZ12" s="27"/>
      <c r="MA12" s="33"/>
      <c r="MB12" s="28">
        <f t="shared" si="76"/>
        <v>0</v>
      </c>
      <c r="MC12" s="26"/>
      <c r="MD12" s="36"/>
      <c r="ME12" s="27"/>
      <c r="MF12" s="27"/>
      <c r="MG12" s="27"/>
      <c r="MH12" s="28"/>
      <c r="MI12" s="36"/>
      <c r="MJ12" s="36"/>
      <c r="MK12" s="27"/>
      <c r="ML12" s="27"/>
      <c r="MM12" s="27"/>
      <c r="MN12" s="28"/>
      <c r="MO12" s="36"/>
      <c r="MP12" s="36"/>
      <c r="MQ12" s="27"/>
      <c r="MR12" s="27"/>
      <c r="MS12" s="27"/>
      <c r="MT12" s="33">
        <f t="shared" si="77"/>
        <v>0</v>
      </c>
      <c r="MU12" s="2688"/>
      <c r="MW12" s="26">
        <f t="shared" si="78"/>
        <v>209972.0647812458</v>
      </c>
      <c r="MX12" s="27">
        <f t="shared" si="79"/>
        <v>259430.36929571757</v>
      </c>
      <c r="MY12" s="27">
        <f t="shared" si="80"/>
        <v>19859.775608283046</v>
      </c>
      <c r="MZ12" s="28">
        <f t="shared" si="81"/>
        <v>442743.21467809111</v>
      </c>
      <c r="NA12" s="2621"/>
      <c r="NB12" s="23">
        <f t="shared" si="82"/>
        <v>209328.89650315011</v>
      </c>
      <c r="NC12" s="64">
        <f t="shared" si="83"/>
        <v>643.16827809568952</v>
      </c>
      <c r="ND12" s="60">
        <f t="shared" si="84"/>
        <v>0</v>
      </c>
      <c r="NE12" s="275">
        <f t="shared" si="4"/>
        <v>209972.0647812458</v>
      </c>
      <c r="NF12" s="26">
        <f t="shared" si="136"/>
        <v>0</v>
      </c>
      <c r="NG12" s="27">
        <f t="shared" si="137"/>
        <v>0</v>
      </c>
      <c r="NH12" s="27">
        <f t="shared" si="138"/>
        <v>0</v>
      </c>
      <c r="NI12" s="27">
        <f t="shared" si="139"/>
        <v>0</v>
      </c>
      <c r="NJ12" s="27">
        <f t="shared" si="140"/>
        <v>0</v>
      </c>
      <c r="NK12" s="33">
        <f t="shared" si="141"/>
        <v>0</v>
      </c>
      <c r="NL12" s="27">
        <f t="shared" si="142"/>
        <v>0</v>
      </c>
      <c r="NM12" s="36">
        <f t="shared" si="143"/>
        <v>0</v>
      </c>
      <c r="NN12" s="27">
        <f t="shared" si="144"/>
        <v>46143.156549275998</v>
      </c>
      <c r="NO12" s="27">
        <f t="shared" si="145"/>
        <v>0</v>
      </c>
      <c r="NP12" s="24">
        <f t="shared" si="146"/>
        <v>8756.5482322711578</v>
      </c>
      <c r="NQ12" s="24">
        <f t="shared" si="147"/>
        <v>12484.2145856876</v>
      </c>
      <c r="NR12" s="27">
        <f t="shared" si="0"/>
        <v>67383.919367234761</v>
      </c>
      <c r="NS12" s="27">
        <f t="shared" si="86"/>
        <v>0</v>
      </c>
      <c r="NT12" s="27">
        <f t="shared" si="87"/>
        <v>0</v>
      </c>
      <c r="NU12" s="27">
        <f t="shared" si="88"/>
        <v>0</v>
      </c>
      <c r="NV12" s="27">
        <f t="shared" si="89"/>
        <v>0</v>
      </c>
      <c r="NW12" s="27">
        <f t="shared" si="90"/>
        <v>0</v>
      </c>
      <c r="NX12" s="27">
        <f t="shared" si="91"/>
        <v>0</v>
      </c>
      <c r="NY12" s="27">
        <f t="shared" si="92"/>
        <v>3265.438151907626</v>
      </c>
      <c r="NZ12" s="27">
        <f t="shared" si="93"/>
        <v>0</v>
      </c>
      <c r="OA12" s="27">
        <f t="shared" si="94"/>
        <v>37204.824759987787</v>
      </c>
      <c r="OB12" s="280"/>
      <c r="OC12" s="24">
        <f t="shared" si="95"/>
        <v>3403.7241844007053</v>
      </c>
      <c r="OD12" s="27">
        <f t="shared" si="96"/>
        <v>0</v>
      </c>
      <c r="OE12" s="28">
        <f t="shared" si="1"/>
        <v>43873.987096296121</v>
      </c>
      <c r="OF12" s="27">
        <f t="shared" si="97"/>
        <v>0</v>
      </c>
      <c r="OG12" s="27">
        <f t="shared" si="97"/>
        <v>0</v>
      </c>
      <c r="OH12" s="27">
        <f t="shared" si="97"/>
        <v>0</v>
      </c>
      <c r="OI12" s="27">
        <f t="shared" si="97"/>
        <v>0</v>
      </c>
      <c r="OJ12" s="27">
        <f t="shared" si="97"/>
        <v>0</v>
      </c>
      <c r="OK12" s="27">
        <f t="shared" si="97"/>
        <v>0</v>
      </c>
      <c r="OL12" s="24">
        <f t="shared" si="97"/>
        <v>0</v>
      </c>
      <c r="OM12" s="27">
        <f t="shared" si="97"/>
        <v>0</v>
      </c>
      <c r="ON12" s="24">
        <f t="shared" si="97"/>
        <v>143650.38851377802</v>
      </c>
      <c r="OO12" s="27">
        <f t="shared" si="97"/>
        <v>0</v>
      </c>
      <c r="OP12" s="27">
        <f t="shared" si="97"/>
        <v>4522.0743184086796</v>
      </c>
      <c r="OQ12" s="27">
        <f t="shared" si="97"/>
        <v>0</v>
      </c>
      <c r="OR12" s="28">
        <f t="shared" si="2"/>
        <v>148172.46283218669</v>
      </c>
      <c r="OS12" s="36"/>
      <c r="OT12" s="27"/>
      <c r="OU12" s="27"/>
      <c r="OV12" s="27"/>
      <c r="OW12" s="27"/>
      <c r="OX12" s="27"/>
      <c r="OY12" s="28">
        <f t="shared" si="98"/>
        <v>0</v>
      </c>
      <c r="OZ12" s="36">
        <f t="shared" si="99"/>
        <v>0</v>
      </c>
      <c r="PA12" s="27">
        <f t="shared" si="100"/>
        <v>0</v>
      </c>
      <c r="PB12" s="27">
        <f t="shared" si="101"/>
        <v>0</v>
      </c>
      <c r="PC12" s="27">
        <f t="shared" si="102"/>
        <v>0</v>
      </c>
      <c r="PD12" s="27">
        <f t="shared" si="103"/>
        <v>0</v>
      </c>
      <c r="PE12" s="27">
        <f t="shared" si="104"/>
        <v>0</v>
      </c>
      <c r="PF12" s="33">
        <f t="shared" si="3"/>
        <v>0</v>
      </c>
      <c r="PG12" s="2621"/>
      <c r="PI12" s="2">
        <v>432.3</v>
      </c>
      <c r="PJ12" s="3">
        <v>72</v>
      </c>
      <c r="PK12" s="3">
        <v>36</v>
      </c>
      <c r="PL12" s="3">
        <f t="shared" si="148"/>
        <v>1552.8500000000001</v>
      </c>
      <c r="PM12" s="3">
        <f t="shared" si="149"/>
        <v>1313.36</v>
      </c>
      <c r="PN12" s="11">
        <f t="shared" si="150"/>
        <v>19859.775608283046</v>
      </c>
      <c r="PO12" s="15"/>
      <c r="PP12" s="2615"/>
      <c r="PR12" s="4"/>
      <c r="PS12" s="9"/>
      <c r="PT12" s="9"/>
      <c r="PU12" s="9"/>
      <c r="PV12" s="9"/>
      <c r="PW12" s="9"/>
      <c r="PX12" s="8">
        <f t="shared" si="105"/>
        <v>0</v>
      </c>
      <c r="PY12" s="5">
        <f t="shared" si="106"/>
        <v>432.3</v>
      </c>
      <c r="PZ12" s="5"/>
      <c r="QA12" s="5"/>
      <c r="QB12" s="5"/>
      <c r="QC12" s="5"/>
      <c r="QD12" s="5"/>
      <c r="QE12" s="12">
        <f t="shared" si="107"/>
        <v>29749.381073161156</v>
      </c>
      <c r="QF12" s="420">
        <f t="shared" si="108"/>
        <v>412993.83360492997</v>
      </c>
      <c r="QG12" s="1106">
        <f t="shared" si="109"/>
        <v>0</v>
      </c>
      <c r="QH12" s="484">
        <f t="shared" si="110"/>
        <v>5505.3678056100007</v>
      </c>
      <c r="QI12" s="12"/>
      <c r="QJ12" s="2615"/>
      <c r="QL12" s="139">
        <f t="shared" si="111"/>
        <v>0</v>
      </c>
      <c r="QM12" s="139" t="str">
        <f t="shared" si="112"/>
        <v/>
      </c>
      <c r="QO12" s="139">
        <f t="shared" si="113"/>
        <v>0</v>
      </c>
      <c r="QP12" s="139">
        <f t="shared" si="114"/>
        <v>0</v>
      </c>
      <c r="QR12" s="1">
        <f t="shared" si="115"/>
        <v>0</v>
      </c>
      <c r="QS12" s="1">
        <f t="shared" si="116"/>
        <v>0</v>
      </c>
      <c r="QT12" s="1">
        <f t="shared" si="117"/>
        <v>0</v>
      </c>
      <c r="QU12" s="1">
        <f t="shared" si="118"/>
        <v>0</v>
      </c>
      <c r="QV12" s="1">
        <f t="shared" si="119"/>
        <v>0</v>
      </c>
      <c r="QW12" s="1">
        <f t="shared" si="120"/>
        <v>0</v>
      </c>
      <c r="QY12" s="1">
        <f t="shared" si="121"/>
        <v>0</v>
      </c>
      <c r="QZ12" s="1">
        <f t="shared" si="122"/>
        <v>0</v>
      </c>
      <c r="RA12" s="1">
        <f t="shared" si="123"/>
        <v>0</v>
      </c>
      <c r="RB12" s="1">
        <f t="shared" si="124"/>
        <v>0</v>
      </c>
      <c r="RC12" s="1">
        <f t="shared" si="125"/>
        <v>0</v>
      </c>
      <c r="RD12" s="1">
        <f t="shared" si="126"/>
        <v>0</v>
      </c>
      <c r="RG12" s="1">
        <v>3</v>
      </c>
      <c r="RH12" s="1">
        <f t="shared" si="127"/>
        <v>17848.82175108316</v>
      </c>
      <c r="RI12" s="1">
        <f t="shared" si="127"/>
        <v>3925.5835498622801</v>
      </c>
      <c r="RJ12" s="1">
        <f t="shared" si="127"/>
        <v>9178.5689913333827</v>
      </c>
      <c r="RK12" s="89">
        <f t="shared" si="5"/>
        <v>30952.974292278821</v>
      </c>
      <c r="RL12" s="1033">
        <v>3</v>
      </c>
      <c r="RM12" s="1098">
        <v>0</v>
      </c>
      <c r="RN12" s="1098">
        <f t="shared" si="128"/>
        <v>0</v>
      </c>
      <c r="RO12" s="1097">
        <f t="shared" si="129"/>
        <v>0</v>
      </c>
      <c r="RP12" s="1097">
        <f t="shared" si="151"/>
        <v>2489.3599999999997</v>
      </c>
      <c r="RQ12" s="1094"/>
      <c r="RR12" s="1094" t="s">
        <v>665</v>
      </c>
      <c r="RU12" s="421">
        <v>3</v>
      </c>
      <c r="RV12" s="1095">
        <f t="shared" si="130"/>
        <v>13566.42</v>
      </c>
      <c r="RW12" s="1094" t="s">
        <v>666</v>
      </c>
      <c r="RY12" s="1090"/>
      <c r="RZ12" s="1090">
        <f t="shared" si="131"/>
        <v>-62.760000000000218</v>
      </c>
      <c r="SA12" s="1090"/>
      <c r="SB12" s="1090">
        <f t="shared" si="132"/>
        <v>0</v>
      </c>
      <c r="SD12" s="1">
        <v>3</v>
      </c>
      <c r="SE12" s="1">
        <f t="shared" si="133"/>
        <v>1552.8500000000001</v>
      </c>
      <c r="SF12" s="1094" t="s">
        <v>667</v>
      </c>
    </row>
    <row r="13" spans="1:500" s="1" customFormat="1" ht="16.95" customHeight="1">
      <c r="B13" s="471">
        <v>4</v>
      </c>
      <c r="C13" s="4">
        <f t="shared" si="6"/>
        <v>139638</v>
      </c>
      <c r="D13" s="64">
        <f t="shared" si="134"/>
        <v>10147.700000000001</v>
      </c>
      <c r="E13" s="61">
        <f t="shared" si="7"/>
        <v>13.760556579323392</v>
      </c>
      <c r="F13" s="870"/>
      <c r="G13" s="870"/>
      <c r="H13" s="52">
        <v>2</v>
      </c>
      <c r="I13" s="61">
        <v>1.58</v>
      </c>
      <c r="J13" s="52"/>
      <c r="K13" s="61"/>
      <c r="L13" s="52">
        <v>7.13</v>
      </c>
      <c r="M13" s="61">
        <v>2.11</v>
      </c>
      <c r="N13" s="2629"/>
      <c r="O13" s="4">
        <f t="shared" si="8"/>
        <v>83664</v>
      </c>
      <c r="P13" s="1225">
        <f t="shared" si="9"/>
        <v>6441.88</v>
      </c>
      <c r="Q13" s="64">
        <f t="shared" si="10"/>
        <v>12.987512962054556</v>
      </c>
      <c r="R13" s="33"/>
      <c r="S13" s="26">
        <f t="shared" si="11"/>
        <v>24564</v>
      </c>
      <c r="T13" s="27">
        <f t="shared" si="12"/>
        <v>813.84</v>
      </c>
      <c r="U13" s="53">
        <f t="shared" si="13"/>
        <v>30.182836921262162</v>
      </c>
      <c r="V13" s="28"/>
      <c r="W13" s="26">
        <f t="shared" si="14"/>
        <v>27952</v>
      </c>
      <c r="X13" s="5">
        <f t="shared" si="15"/>
        <v>1900</v>
      </c>
      <c r="Y13" s="53">
        <f t="shared" si="16"/>
        <v>14.711578947368421</v>
      </c>
      <c r="Z13" s="33"/>
      <c r="AA13" s="26">
        <f t="shared" si="17"/>
        <v>3458</v>
      </c>
      <c r="AB13" s="27">
        <f t="shared" si="18"/>
        <v>991.98</v>
      </c>
      <c r="AC13" s="53">
        <f t="shared" si="19"/>
        <v>3.4859573781729472</v>
      </c>
      <c r="AD13" s="28"/>
      <c r="AE13" s="36"/>
      <c r="AF13" s="36"/>
      <c r="AG13" s="53">
        <f t="shared" si="20"/>
        <v>0</v>
      </c>
      <c r="AH13" s="28"/>
      <c r="AI13" s="26"/>
      <c r="AJ13" s="27"/>
      <c r="AK13" s="53">
        <f t="shared" si="21"/>
        <v>0</v>
      </c>
      <c r="AL13" s="28"/>
      <c r="AM13" s="2629"/>
      <c r="AN13" s="9"/>
      <c r="AO13" s="5"/>
      <c r="AP13" s="61">
        <f t="shared" si="22"/>
        <v>0</v>
      </c>
      <c r="AQ13" s="36"/>
      <c r="AR13" s="53"/>
      <c r="AS13" s="61">
        <f t="shared" si="23"/>
        <v>0</v>
      </c>
      <c r="AT13" s="36"/>
      <c r="AU13" s="27"/>
      <c r="AV13" s="61">
        <f t="shared" si="24"/>
        <v>0</v>
      </c>
      <c r="AW13" s="36">
        <v>44268</v>
      </c>
      <c r="AX13" s="27">
        <v>3260.8199999999997</v>
      </c>
      <c r="AY13" s="61">
        <f t="shared" si="25"/>
        <v>13.575726351040537</v>
      </c>
      <c r="AZ13" s="36"/>
      <c r="BA13" s="27"/>
      <c r="BB13" s="61">
        <f t="shared" si="26"/>
        <v>0</v>
      </c>
      <c r="BC13" s="36">
        <v>39396</v>
      </c>
      <c r="BD13" s="27">
        <v>3181.0600000000004</v>
      </c>
      <c r="BE13" s="61">
        <f t="shared" si="27"/>
        <v>12.384551061595818</v>
      </c>
      <c r="BF13" s="36"/>
      <c r="BG13" s="53"/>
      <c r="BH13" s="61">
        <f t="shared" si="28"/>
        <v>0</v>
      </c>
      <c r="BI13" s="36">
        <v>0</v>
      </c>
      <c r="BJ13" s="53">
        <v>0</v>
      </c>
      <c r="BK13" s="61">
        <f t="shared" si="29"/>
        <v>0</v>
      </c>
      <c r="BL13" s="52">
        <v>24564</v>
      </c>
      <c r="BM13" s="53">
        <v>813.84</v>
      </c>
      <c r="BN13" s="61">
        <f t="shared" si="30"/>
        <v>30.182836921262162</v>
      </c>
      <c r="BO13" s="1125">
        <v>3458</v>
      </c>
      <c r="BP13" s="53">
        <v>991.98</v>
      </c>
      <c r="BQ13" s="61">
        <f t="shared" si="31"/>
        <v>3.4859573781729472</v>
      </c>
      <c r="BR13" s="36"/>
      <c r="BS13" s="53"/>
      <c r="BT13" s="61">
        <f t="shared" si="32"/>
        <v>0</v>
      </c>
      <c r="BU13" s="36">
        <v>27952</v>
      </c>
      <c r="BV13" s="5">
        <v>1900</v>
      </c>
      <c r="BW13" s="28">
        <f t="shared" si="33"/>
        <v>14.711578947368421</v>
      </c>
      <c r="BX13" s="26"/>
      <c r="BY13" s="27"/>
      <c r="BZ13" s="61">
        <f t="shared" si="34"/>
        <v>0</v>
      </c>
      <c r="CA13" s="36"/>
      <c r="CB13" s="5"/>
      <c r="CC13" s="482">
        <f t="shared" si="35"/>
        <v>0</v>
      </c>
      <c r="CD13" s="4"/>
      <c r="CE13" s="5"/>
      <c r="CF13" s="28">
        <f t="shared" si="36"/>
        <v>0</v>
      </c>
      <c r="CG13" s="150"/>
      <c r="CH13" s="4">
        <v>0</v>
      </c>
      <c r="CI13" s="5">
        <v>0</v>
      </c>
      <c r="CJ13" s="5">
        <v>0</v>
      </c>
      <c r="CK13" s="5">
        <v>13286</v>
      </c>
      <c r="CL13" s="5"/>
      <c r="CM13" s="5">
        <f t="shared" si="135"/>
        <v>13286</v>
      </c>
      <c r="CN13" s="33"/>
      <c r="CO13" s="366"/>
      <c r="CQ13" s="4">
        <f t="shared" si="37"/>
        <v>0</v>
      </c>
      <c r="CR13" s="9">
        <f t="shared" si="38"/>
        <v>0</v>
      </c>
      <c r="CS13" s="5">
        <f t="shared" si="39"/>
        <v>0</v>
      </c>
      <c r="CT13" s="5">
        <f t="shared" si="40"/>
        <v>0</v>
      </c>
      <c r="CU13" s="5">
        <f t="shared" si="41"/>
        <v>0</v>
      </c>
      <c r="CV13" s="5">
        <f t="shared" si="42"/>
        <v>0</v>
      </c>
      <c r="CW13" s="5">
        <f t="shared" si="43"/>
        <v>0</v>
      </c>
      <c r="CX13" s="5">
        <f t="shared" si="44"/>
        <v>0</v>
      </c>
      <c r="CY13" s="5">
        <f t="shared" si="45"/>
        <v>8368.18</v>
      </c>
      <c r="CZ13" s="5">
        <f t="shared" si="46"/>
        <v>0</v>
      </c>
      <c r="DA13" s="5">
        <f t="shared" si="47"/>
        <v>1779.52</v>
      </c>
      <c r="DB13" s="12">
        <f t="shared" si="48"/>
        <v>0</v>
      </c>
      <c r="DC13" s="55">
        <f t="shared" si="49"/>
        <v>10147.700000000001</v>
      </c>
      <c r="DD13" s="2695"/>
      <c r="DE13" s="9"/>
      <c r="DF13" s="9"/>
      <c r="DG13" s="5"/>
      <c r="DH13" s="5"/>
      <c r="DI13" s="5"/>
      <c r="DJ13" s="5"/>
      <c r="DK13" s="5"/>
      <c r="DL13" s="5"/>
      <c r="DM13" s="5">
        <v>3260.8199999999997</v>
      </c>
      <c r="DN13" s="5"/>
      <c r="DO13" s="5"/>
      <c r="DP13" s="12"/>
      <c r="DQ13" s="28">
        <f t="shared" si="50"/>
        <v>3260.8199999999997</v>
      </c>
      <c r="DR13" s="36"/>
      <c r="DS13" s="36"/>
      <c r="DT13" s="27"/>
      <c r="DU13" s="27"/>
      <c r="DV13" s="5"/>
      <c r="DW13" s="5"/>
      <c r="DX13" s="64"/>
      <c r="DY13" s="5"/>
      <c r="DZ13" s="5">
        <v>3207.3600000000006</v>
      </c>
      <c r="EA13" s="27"/>
      <c r="EB13" s="27">
        <v>1779.52</v>
      </c>
      <c r="EC13" s="33"/>
      <c r="ED13" s="28">
        <f t="shared" si="51"/>
        <v>4986.880000000001</v>
      </c>
      <c r="EE13" s="9"/>
      <c r="EF13" s="9"/>
      <c r="EG13" s="5"/>
      <c r="EH13" s="5"/>
      <c r="EI13" s="27"/>
      <c r="EJ13" s="27"/>
      <c r="EK13" s="27"/>
      <c r="EL13" s="27"/>
      <c r="EM13" s="27">
        <v>1900</v>
      </c>
      <c r="EN13" s="27"/>
      <c r="EO13" s="27"/>
      <c r="EP13" s="33"/>
      <c r="EQ13" s="28">
        <f t="shared" si="52"/>
        <v>1900</v>
      </c>
      <c r="ER13" s="36"/>
      <c r="ES13" s="27"/>
      <c r="ET13" s="27"/>
      <c r="EU13" s="27"/>
      <c r="EV13" s="27"/>
      <c r="EW13" s="27"/>
      <c r="EX13" s="33">
        <f t="shared" si="53"/>
        <v>0</v>
      </c>
      <c r="EY13" s="2685"/>
      <c r="FA13" s="4">
        <f t="shared" si="54"/>
        <v>0</v>
      </c>
      <c r="FB13" s="5">
        <f t="shared" si="55"/>
        <v>0</v>
      </c>
      <c r="FC13" s="5">
        <f t="shared" si="56"/>
        <v>0</v>
      </c>
      <c r="FD13" s="12">
        <f t="shared" si="57"/>
        <v>0</v>
      </c>
      <c r="FE13" s="33"/>
      <c r="FF13" s="2674"/>
      <c r="FG13" s="9"/>
      <c r="FH13" s="5"/>
      <c r="FI13" s="5"/>
      <c r="FJ13" s="5"/>
      <c r="FK13" s="5"/>
      <c r="FL13" s="27"/>
      <c r="FM13" s="28">
        <f t="shared" si="58"/>
        <v>0</v>
      </c>
      <c r="FN13" s="36"/>
      <c r="FO13" s="27"/>
      <c r="FP13" s="27"/>
      <c r="FQ13" s="27"/>
      <c r="FR13" s="27"/>
      <c r="FS13" s="27"/>
      <c r="FT13" s="28">
        <f t="shared" si="59"/>
        <v>0</v>
      </c>
      <c r="FU13" s="36"/>
      <c r="FV13" s="36"/>
      <c r="FW13" s="27"/>
      <c r="FX13" s="27"/>
      <c r="FY13" s="27"/>
      <c r="FZ13" s="27"/>
      <c r="GA13" s="27"/>
      <c r="GB13" s="27"/>
      <c r="GC13" s="27"/>
      <c r="GD13" s="27"/>
      <c r="GE13" s="27"/>
      <c r="GF13" s="33"/>
      <c r="GG13" s="33">
        <f t="shared" si="60"/>
        <v>0</v>
      </c>
      <c r="GH13" s="2674"/>
      <c r="GJ13" s="4">
        <f t="shared" si="61"/>
        <v>368.95</v>
      </c>
      <c r="GK13" s="64">
        <f t="shared" si="62"/>
        <v>3869.8999999999996</v>
      </c>
      <c r="GL13" s="53">
        <f t="shared" si="63"/>
        <v>7926.4700000000012</v>
      </c>
      <c r="GM13" s="53">
        <f t="shared" si="64"/>
        <v>12165.32</v>
      </c>
      <c r="GN13" s="141"/>
      <c r="GO13" s="141"/>
      <c r="GP13" s="33"/>
      <c r="GQ13" s="2667"/>
      <c r="GR13" s="152">
        <v>6170.95</v>
      </c>
      <c r="GS13" s="27">
        <v>368.95</v>
      </c>
      <c r="GT13" s="27">
        <v>3265.0699999999997</v>
      </c>
      <c r="GU13" s="27">
        <v>2360.35</v>
      </c>
      <c r="GV13" s="54">
        <f t="shared" si="65"/>
        <v>12165.32</v>
      </c>
      <c r="GW13" s="2667"/>
      <c r="GX13" s="36"/>
      <c r="GY13" s="36"/>
      <c r="GZ13" s="27"/>
      <c r="HA13" s="27"/>
      <c r="HB13" s="27"/>
      <c r="HC13" s="27"/>
      <c r="HD13" s="27"/>
      <c r="HE13" s="27"/>
      <c r="HF13" s="27"/>
      <c r="HG13" s="27"/>
      <c r="HH13" s="27"/>
      <c r="HI13" s="27"/>
      <c r="HJ13" s="27">
        <v>368.95</v>
      </c>
      <c r="HK13" s="27"/>
      <c r="HL13" s="28">
        <f t="shared" si="66"/>
        <v>368.95</v>
      </c>
      <c r="HM13" s="36"/>
      <c r="HN13" s="27"/>
      <c r="HO13" s="27"/>
      <c r="HP13" s="27"/>
      <c r="HQ13" s="27"/>
      <c r="HR13" s="27"/>
      <c r="HS13" s="27"/>
      <c r="HT13" s="27"/>
      <c r="HU13" s="27"/>
      <c r="HV13" s="27"/>
      <c r="HW13" s="27"/>
      <c r="HX13" s="27"/>
      <c r="HY13" s="27"/>
      <c r="HZ13" s="27"/>
      <c r="IA13" s="33">
        <f t="shared" si="67"/>
        <v>0</v>
      </c>
      <c r="IB13" s="845"/>
      <c r="IC13" s="363"/>
      <c r="ID13" s="64"/>
      <c r="IE13" s="64"/>
      <c r="IF13" s="64"/>
      <c r="IG13" s="64"/>
      <c r="IH13" s="64"/>
      <c r="II13" s="64"/>
      <c r="IJ13" s="64">
        <v>3869.8999999999996</v>
      </c>
      <c r="IK13" s="64"/>
      <c r="IL13" s="64"/>
      <c r="IM13" s="64"/>
      <c r="IN13" s="64"/>
      <c r="IO13" s="64"/>
      <c r="IP13" s="61">
        <f t="shared" si="68"/>
        <v>3869.8999999999996</v>
      </c>
      <c r="IQ13" s="36"/>
      <c r="IR13" s="36"/>
      <c r="IS13" s="27"/>
      <c r="IT13" s="27"/>
      <c r="IU13" s="53"/>
      <c r="IV13" s="27"/>
      <c r="IW13" s="27"/>
      <c r="IX13" s="27"/>
      <c r="IY13" s="27">
        <v>7926.4700000000012</v>
      </c>
      <c r="IZ13" s="27"/>
      <c r="JA13" s="27"/>
      <c r="JB13" s="27"/>
      <c r="JC13" s="27"/>
      <c r="JD13" s="27"/>
      <c r="JE13" s="33">
        <f t="shared" si="69"/>
        <v>7926.4700000000012</v>
      </c>
      <c r="JF13" s="2667"/>
      <c r="JH13" s="845">
        <v>12165.319999999998</v>
      </c>
      <c r="JI13" s="152"/>
      <c r="JJ13" s="53"/>
      <c r="JK13" s="53">
        <f t="shared" si="70"/>
        <v>12165.319999999998</v>
      </c>
      <c r="JL13" s="33"/>
      <c r="JM13" s="2669"/>
      <c r="JN13" s="69"/>
      <c r="JO13" s="70"/>
      <c r="JP13" s="70"/>
      <c r="JQ13" s="70"/>
      <c r="JR13" s="70">
        <v>1</v>
      </c>
      <c r="JS13" s="70"/>
      <c r="JT13" s="70"/>
      <c r="JU13" s="71"/>
      <c r="JV13" s="69"/>
      <c r="JW13" s="70"/>
      <c r="JX13" s="70"/>
      <c r="JY13" s="70"/>
      <c r="JZ13" s="70"/>
      <c r="KA13" s="70"/>
      <c r="KB13" s="70"/>
      <c r="KC13" s="71"/>
      <c r="KD13" s="69"/>
      <c r="KE13" s="70"/>
      <c r="KF13" s="70"/>
      <c r="KG13" s="70"/>
      <c r="KH13" s="70"/>
      <c r="KI13" s="70"/>
      <c r="KJ13" s="70"/>
      <c r="KK13" s="70"/>
      <c r="KL13" s="33"/>
      <c r="KM13" s="2669"/>
      <c r="KN13" s="36">
        <v>7064.3248031496059</v>
      </c>
      <c r="KO13" s="53">
        <v>0.66295275590551184</v>
      </c>
      <c r="KP13" s="53">
        <v>3.5828346456692914</v>
      </c>
      <c r="KQ13" s="53">
        <v>6.6788188976377949</v>
      </c>
      <c r="KR13" s="54">
        <v>11.798272031496062</v>
      </c>
      <c r="KS13" s="4">
        <v>0</v>
      </c>
      <c r="KT13" s="64">
        <v>0</v>
      </c>
      <c r="KU13" s="64">
        <v>0</v>
      </c>
      <c r="KV13" s="64">
        <v>0</v>
      </c>
      <c r="KW13" s="482">
        <v>0</v>
      </c>
      <c r="KX13" s="36"/>
      <c r="KY13" s="53"/>
      <c r="KZ13" s="53"/>
      <c r="LA13" s="53"/>
      <c r="LB13" s="53"/>
      <c r="LC13" s="33"/>
      <c r="LD13" s="2669"/>
      <c r="LF13" s="998">
        <f t="shared" si="71"/>
        <v>7418.77</v>
      </c>
      <c r="LG13" s="27">
        <f t="shared" si="72"/>
        <v>0</v>
      </c>
      <c r="LH13" s="27">
        <f t="shared" si="73"/>
        <v>0</v>
      </c>
      <c r="LI13" s="28">
        <f t="shared" si="74"/>
        <v>7418.77</v>
      </c>
      <c r="LJ13" s="36">
        <v>1</v>
      </c>
      <c r="LK13" s="27"/>
      <c r="LL13" s="27"/>
      <c r="LM13" s="33"/>
      <c r="LN13" s="1041">
        <v>7.51</v>
      </c>
      <c r="LO13" s="486"/>
      <c r="LP13" s="2688"/>
      <c r="LQ13" s="21">
        <v>7418.77</v>
      </c>
      <c r="LR13" s="27"/>
      <c r="LS13" s="27"/>
      <c r="LT13" s="27"/>
      <c r="LU13" s="27"/>
      <c r="LV13" s="1117">
        <f t="shared" si="75"/>
        <v>7418.77</v>
      </c>
      <c r="LW13" s="36"/>
      <c r="LX13" s="36"/>
      <c r="LY13" s="27"/>
      <c r="LZ13" s="27"/>
      <c r="MA13" s="33"/>
      <c r="MB13" s="28">
        <f t="shared" si="76"/>
        <v>0</v>
      </c>
      <c r="MC13" s="26"/>
      <c r="MD13" s="36"/>
      <c r="ME13" s="27"/>
      <c r="MF13" s="27"/>
      <c r="MG13" s="27"/>
      <c r="MH13" s="28"/>
      <c r="MI13" s="36"/>
      <c r="MJ13" s="36"/>
      <c r="MK13" s="27"/>
      <c r="ML13" s="27"/>
      <c r="MM13" s="27"/>
      <c r="MN13" s="28"/>
      <c r="MO13" s="36"/>
      <c r="MP13" s="36"/>
      <c r="MQ13" s="27"/>
      <c r="MR13" s="27"/>
      <c r="MS13" s="27"/>
      <c r="MT13" s="33">
        <f t="shared" si="77"/>
        <v>0</v>
      </c>
      <c r="MU13" s="2688"/>
      <c r="MW13" s="26">
        <f t="shared" si="78"/>
        <v>214718.61478124582</v>
      </c>
      <c r="MX13" s="27">
        <f t="shared" si="79"/>
        <v>257781.69929571758</v>
      </c>
      <c r="MY13" s="27">
        <f t="shared" si="80"/>
        <v>19790.825608283045</v>
      </c>
      <c r="MZ13" s="28">
        <f t="shared" si="81"/>
        <v>442743.21467809111</v>
      </c>
      <c r="NA13" s="2621"/>
      <c r="NB13" s="23">
        <f t="shared" si="82"/>
        <v>214075.44650315013</v>
      </c>
      <c r="NC13" s="64">
        <f t="shared" si="83"/>
        <v>643.16827809568952</v>
      </c>
      <c r="ND13" s="60">
        <f t="shared" si="84"/>
        <v>0</v>
      </c>
      <c r="NE13" s="275">
        <f t="shared" si="4"/>
        <v>214718.61478124582</v>
      </c>
      <c r="NF13" s="26">
        <f t="shared" si="136"/>
        <v>0</v>
      </c>
      <c r="NG13" s="27">
        <f t="shared" si="137"/>
        <v>0</v>
      </c>
      <c r="NH13" s="27">
        <f t="shared" si="138"/>
        <v>0</v>
      </c>
      <c r="NI13" s="27">
        <f t="shared" si="139"/>
        <v>0</v>
      </c>
      <c r="NJ13" s="27">
        <f t="shared" si="140"/>
        <v>0</v>
      </c>
      <c r="NK13" s="33">
        <f t="shared" si="141"/>
        <v>0</v>
      </c>
      <c r="NL13" s="27">
        <f t="shared" si="142"/>
        <v>0</v>
      </c>
      <c r="NM13" s="36">
        <f t="shared" si="143"/>
        <v>0</v>
      </c>
      <c r="NN13" s="27">
        <f t="shared" si="144"/>
        <v>48043.156549275998</v>
      </c>
      <c r="NO13" s="27">
        <f t="shared" si="145"/>
        <v>0</v>
      </c>
      <c r="NP13" s="24">
        <f t="shared" si="146"/>
        <v>8756.5482322711578</v>
      </c>
      <c r="NQ13" s="24">
        <f t="shared" si="147"/>
        <v>12484.2145856876</v>
      </c>
      <c r="NR13" s="27">
        <f t="shared" si="0"/>
        <v>69283.919367234761</v>
      </c>
      <c r="NS13" s="27">
        <f t="shared" si="86"/>
        <v>0</v>
      </c>
      <c r="NT13" s="27">
        <f t="shared" si="87"/>
        <v>0</v>
      </c>
      <c r="NU13" s="27">
        <f t="shared" si="88"/>
        <v>0</v>
      </c>
      <c r="NV13" s="27">
        <f t="shared" si="89"/>
        <v>0</v>
      </c>
      <c r="NW13" s="27">
        <f t="shared" si="90"/>
        <v>0</v>
      </c>
      <c r="NX13" s="27">
        <f t="shared" si="91"/>
        <v>0</v>
      </c>
      <c r="NY13" s="27">
        <f t="shared" si="92"/>
        <v>3265.438151907626</v>
      </c>
      <c r="NZ13" s="27">
        <f t="shared" si="93"/>
        <v>0</v>
      </c>
      <c r="OA13" s="27">
        <f t="shared" si="94"/>
        <v>36595.744759987785</v>
      </c>
      <c r="OB13" s="280"/>
      <c r="OC13" s="24">
        <f t="shared" si="95"/>
        <v>3403.7241844007053</v>
      </c>
      <c r="OD13" s="27">
        <f t="shared" si="96"/>
        <v>0</v>
      </c>
      <c r="OE13" s="28">
        <f t="shared" si="1"/>
        <v>43264.90709629612</v>
      </c>
      <c r="OF13" s="27">
        <f t="shared" si="97"/>
        <v>0</v>
      </c>
      <c r="OG13" s="27">
        <f t="shared" si="97"/>
        <v>0</v>
      </c>
      <c r="OH13" s="27">
        <f t="shared" si="97"/>
        <v>0</v>
      </c>
      <c r="OI13" s="27">
        <f t="shared" si="97"/>
        <v>0</v>
      </c>
      <c r="OJ13" s="27">
        <f t="shared" si="97"/>
        <v>0</v>
      </c>
      <c r="OK13" s="27">
        <f t="shared" si="97"/>
        <v>0</v>
      </c>
      <c r="OL13" s="24">
        <f t="shared" si="97"/>
        <v>0</v>
      </c>
      <c r="OM13" s="27">
        <f t="shared" si="97"/>
        <v>0</v>
      </c>
      <c r="ON13" s="24">
        <f t="shared" si="97"/>
        <v>138931.27851377803</v>
      </c>
      <c r="OO13" s="27">
        <f t="shared" si="97"/>
        <v>0</v>
      </c>
      <c r="OP13" s="27">
        <f t="shared" si="97"/>
        <v>6301.5943184086791</v>
      </c>
      <c r="OQ13" s="27">
        <f t="shared" si="97"/>
        <v>0</v>
      </c>
      <c r="OR13" s="28">
        <f t="shared" si="2"/>
        <v>145232.87283218669</v>
      </c>
      <c r="OS13" s="36"/>
      <c r="OT13" s="27"/>
      <c r="OU13" s="27"/>
      <c r="OV13" s="27"/>
      <c r="OW13" s="27"/>
      <c r="OX13" s="27"/>
      <c r="OY13" s="28">
        <f t="shared" si="98"/>
        <v>0</v>
      </c>
      <c r="OZ13" s="36">
        <f t="shared" si="99"/>
        <v>0</v>
      </c>
      <c r="PA13" s="27">
        <f t="shared" si="100"/>
        <v>0</v>
      </c>
      <c r="PB13" s="27">
        <f t="shared" si="101"/>
        <v>0</v>
      </c>
      <c r="PC13" s="27">
        <f t="shared" si="102"/>
        <v>0</v>
      </c>
      <c r="PD13" s="27">
        <f t="shared" si="103"/>
        <v>0</v>
      </c>
      <c r="PE13" s="27">
        <f t="shared" si="104"/>
        <v>0</v>
      </c>
      <c r="PF13" s="33">
        <f t="shared" si="3"/>
        <v>0</v>
      </c>
      <c r="PG13" s="2621"/>
      <c r="PI13" s="2"/>
      <c r="PJ13" s="3">
        <v>600</v>
      </c>
      <c r="PK13" s="3">
        <v>300</v>
      </c>
      <c r="PL13" s="3">
        <f t="shared" si="148"/>
        <v>368.95</v>
      </c>
      <c r="PM13" s="3">
        <f t="shared" si="149"/>
        <v>713.3599999999999</v>
      </c>
      <c r="PN13" s="11">
        <f t="shared" si="150"/>
        <v>19790.825608283045</v>
      </c>
      <c r="PO13" s="15"/>
      <c r="PP13" s="2615"/>
      <c r="PR13" s="4"/>
      <c r="PS13" s="9"/>
      <c r="PT13" s="9"/>
      <c r="PU13" s="9"/>
      <c r="PV13" s="9"/>
      <c r="PW13" s="9"/>
      <c r="PX13" s="8">
        <f t="shared" si="105"/>
        <v>0</v>
      </c>
      <c r="PY13" s="5">
        <f t="shared" si="106"/>
        <v>0</v>
      </c>
      <c r="PZ13" s="5"/>
      <c r="QA13" s="5"/>
      <c r="QB13" s="5"/>
      <c r="QC13" s="5"/>
      <c r="QD13" s="5"/>
      <c r="QE13" s="12">
        <f t="shared" si="107"/>
        <v>29749.381073161156</v>
      </c>
      <c r="QF13" s="420">
        <f t="shared" si="108"/>
        <v>412993.83360492997</v>
      </c>
      <c r="QG13" s="1106">
        <f t="shared" si="109"/>
        <v>0</v>
      </c>
      <c r="QH13" s="484">
        <f t="shared" si="110"/>
        <v>5505.3678056100007</v>
      </c>
      <c r="QI13" s="12"/>
      <c r="QJ13" s="2615"/>
      <c r="QL13" s="139">
        <f t="shared" si="111"/>
        <v>0</v>
      </c>
      <c r="QM13" s="139" t="str">
        <f t="shared" si="112"/>
        <v/>
      </c>
      <c r="QO13" s="139">
        <f t="shared" si="113"/>
        <v>0</v>
      </c>
      <c r="QP13" s="139">
        <f t="shared" si="114"/>
        <v>0</v>
      </c>
      <c r="QR13" s="1">
        <f t="shared" si="115"/>
        <v>0</v>
      </c>
      <c r="QS13" s="1">
        <f t="shared" si="116"/>
        <v>0</v>
      </c>
      <c r="QT13" s="1">
        <f t="shared" si="117"/>
        <v>0</v>
      </c>
      <c r="QU13" s="1">
        <f t="shared" si="118"/>
        <v>0</v>
      </c>
      <c r="QV13" s="1">
        <f t="shared" si="119"/>
        <v>0</v>
      </c>
      <c r="QW13" s="1">
        <f t="shared" si="120"/>
        <v>0</v>
      </c>
      <c r="QY13" s="1">
        <f t="shared" si="121"/>
        <v>0</v>
      </c>
      <c r="QZ13" s="1">
        <f t="shared" si="122"/>
        <v>0</v>
      </c>
      <c r="RA13" s="1">
        <f t="shared" si="123"/>
        <v>0</v>
      </c>
      <c r="RB13" s="1">
        <f t="shared" si="124"/>
        <v>0</v>
      </c>
      <c r="RC13" s="1">
        <f t="shared" si="125"/>
        <v>0</v>
      </c>
      <c r="RD13" s="1">
        <f t="shared" si="126"/>
        <v>0</v>
      </c>
      <c r="RG13" s="1">
        <v>4</v>
      </c>
      <c r="RH13" s="1">
        <f t="shared" si="127"/>
        <v>22595.371751083159</v>
      </c>
      <c r="RI13" s="1">
        <f t="shared" si="127"/>
        <v>3925.5835498622801</v>
      </c>
      <c r="RJ13" s="1">
        <f t="shared" si="127"/>
        <v>9178.5689913333827</v>
      </c>
      <c r="RK13" s="89">
        <f t="shared" si="5"/>
        <v>35699.524292278824</v>
      </c>
      <c r="RL13" s="1033">
        <v>4</v>
      </c>
      <c r="RM13" s="1098">
        <v>0</v>
      </c>
      <c r="RN13" s="1098">
        <f t="shared" si="128"/>
        <v>0</v>
      </c>
      <c r="RO13" s="1097">
        <f t="shared" si="129"/>
        <v>0</v>
      </c>
      <c r="RP13" s="1097">
        <f t="shared" si="151"/>
        <v>7638.3</v>
      </c>
      <c r="RQ13" s="1094"/>
      <c r="RR13" s="1094" t="s">
        <v>668</v>
      </c>
      <c r="RU13" s="421">
        <v>4</v>
      </c>
      <c r="RV13" s="1095">
        <f t="shared" si="130"/>
        <v>12165.32</v>
      </c>
      <c r="RW13" s="1094" t="s">
        <v>669</v>
      </c>
      <c r="RY13" s="1090"/>
      <c r="RZ13" s="1090">
        <f t="shared" si="131"/>
        <v>609.40000000000055</v>
      </c>
      <c r="SA13" s="1090"/>
      <c r="SB13" s="1090">
        <f t="shared" si="132"/>
        <v>0</v>
      </c>
      <c r="SD13" s="1">
        <v>4</v>
      </c>
      <c r="SE13" s="1">
        <f t="shared" si="133"/>
        <v>368.95</v>
      </c>
      <c r="SF13" s="1094" t="s">
        <v>670</v>
      </c>
    </row>
    <row r="14" spans="1:500" s="1" customFormat="1" ht="13.5" customHeight="1">
      <c r="B14" s="471">
        <v>5</v>
      </c>
      <c r="C14" s="4">
        <f t="shared" si="6"/>
        <v>117669</v>
      </c>
      <c r="D14" s="64">
        <f t="shared" si="134"/>
        <v>4803.8</v>
      </c>
      <c r="E14" s="61">
        <f t="shared" si="7"/>
        <v>24.494983138348807</v>
      </c>
      <c r="F14" s="870"/>
      <c r="G14" s="870"/>
      <c r="H14" s="52">
        <v>51</v>
      </c>
      <c r="I14" s="61">
        <v>16.13</v>
      </c>
      <c r="J14" s="52"/>
      <c r="K14" s="54"/>
      <c r="L14" s="52">
        <v>9.25</v>
      </c>
      <c r="M14" s="61">
        <v>4.76</v>
      </c>
      <c r="N14" s="2629"/>
      <c r="O14" s="4">
        <f t="shared" si="8"/>
        <v>77868</v>
      </c>
      <c r="P14" s="1225">
        <f t="shared" si="9"/>
        <v>2584.2199999999998</v>
      </c>
      <c r="Q14" s="64">
        <f t="shared" si="10"/>
        <v>30.132109495321608</v>
      </c>
      <c r="R14" s="33"/>
      <c r="S14" s="26">
        <f t="shared" si="11"/>
        <v>27945</v>
      </c>
      <c r="T14" s="27">
        <f t="shared" si="12"/>
        <v>1126.98</v>
      </c>
      <c r="U14" s="53">
        <f t="shared" si="13"/>
        <v>24.796358409199808</v>
      </c>
      <c r="V14" s="28"/>
      <c r="W14" s="26">
        <f t="shared" si="14"/>
        <v>9206</v>
      </c>
      <c r="X14" s="5">
        <f t="shared" si="15"/>
        <v>400</v>
      </c>
      <c r="Y14" s="53">
        <f t="shared" si="16"/>
        <v>23.015000000000001</v>
      </c>
      <c r="Z14" s="33"/>
      <c r="AA14" s="26">
        <f t="shared" si="17"/>
        <v>2650</v>
      </c>
      <c r="AB14" s="27">
        <f t="shared" si="18"/>
        <v>692.6</v>
      </c>
      <c r="AC14" s="53">
        <f t="shared" si="19"/>
        <v>3.826162287034363</v>
      </c>
      <c r="AD14" s="28"/>
      <c r="AE14" s="36"/>
      <c r="AF14" s="36"/>
      <c r="AG14" s="53">
        <f t="shared" si="20"/>
        <v>0</v>
      </c>
      <c r="AH14" s="28"/>
      <c r="AI14" s="23"/>
      <c r="AJ14" s="27"/>
      <c r="AK14" s="53">
        <f t="shared" si="21"/>
        <v>0</v>
      </c>
      <c r="AL14" s="28"/>
      <c r="AM14" s="2629"/>
      <c r="AN14" s="9"/>
      <c r="AO14" s="5"/>
      <c r="AP14" s="61">
        <f t="shared" si="22"/>
        <v>0</v>
      </c>
      <c r="AQ14" s="36"/>
      <c r="AR14" s="53"/>
      <c r="AS14" s="61">
        <f t="shared" si="23"/>
        <v>0</v>
      </c>
      <c r="AT14" s="36"/>
      <c r="AU14" s="27"/>
      <c r="AV14" s="61">
        <f t="shared" si="24"/>
        <v>0</v>
      </c>
      <c r="AW14" s="36">
        <v>40320</v>
      </c>
      <c r="AX14" s="27">
        <v>1414.54</v>
      </c>
      <c r="AY14" s="61">
        <f t="shared" si="25"/>
        <v>28.503965953596222</v>
      </c>
      <c r="AZ14" s="36"/>
      <c r="BA14" s="27"/>
      <c r="BB14" s="61">
        <f t="shared" si="26"/>
        <v>0</v>
      </c>
      <c r="BC14" s="36">
        <v>37548</v>
      </c>
      <c r="BD14" s="27">
        <v>1169.6799999999998</v>
      </c>
      <c r="BE14" s="61">
        <f t="shared" si="27"/>
        <v>32.101087476916767</v>
      </c>
      <c r="BF14" s="36"/>
      <c r="BG14" s="53"/>
      <c r="BH14" s="61">
        <f t="shared" si="28"/>
        <v>0</v>
      </c>
      <c r="BI14" s="36">
        <v>0</v>
      </c>
      <c r="BJ14" s="53">
        <v>0</v>
      </c>
      <c r="BK14" s="61">
        <f t="shared" si="29"/>
        <v>0</v>
      </c>
      <c r="BL14" s="52">
        <v>27945</v>
      </c>
      <c r="BM14" s="53">
        <v>1126.98</v>
      </c>
      <c r="BN14" s="61">
        <f t="shared" si="30"/>
        <v>24.796358409199808</v>
      </c>
      <c r="BO14" s="36">
        <v>2650</v>
      </c>
      <c r="BP14" s="53">
        <v>692.6</v>
      </c>
      <c r="BQ14" s="61">
        <f t="shared" si="31"/>
        <v>3.826162287034363</v>
      </c>
      <c r="BR14" s="36"/>
      <c r="BS14" s="53"/>
      <c r="BT14" s="61">
        <f t="shared" si="32"/>
        <v>0</v>
      </c>
      <c r="BU14" s="36">
        <v>9206</v>
      </c>
      <c r="BV14" s="5">
        <v>400</v>
      </c>
      <c r="BW14" s="28">
        <f t="shared" si="33"/>
        <v>23.015000000000001</v>
      </c>
      <c r="BX14" s="26"/>
      <c r="BY14" s="27"/>
      <c r="BZ14" s="61">
        <f t="shared" si="34"/>
        <v>0</v>
      </c>
      <c r="CA14" s="36"/>
      <c r="CB14" s="481"/>
      <c r="CC14" s="482">
        <f t="shared" si="35"/>
        <v>0</v>
      </c>
      <c r="CD14" s="4"/>
      <c r="CE14" s="5"/>
      <c r="CF14" s="28">
        <f t="shared" si="36"/>
        <v>0</v>
      </c>
      <c r="CG14" s="150"/>
      <c r="CH14" s="4">
        <v>800</v>
      </c>
      <c r="CI14" s="5">
        <v>0</v>
      </c>
      <c r="CJ14" s="5">
        <v>0</v>
      </c>
      <c r="CK14" s="5">
        <v>8606</v>
      </c>
      <c r="CL14" s="5"/>
      <c r="CM14" s="5">
        <f t="shared" si="135"/>
        <v>9406</v>
      </c>
      <c r="CN14" s="33"/>
      <c r="CO14" s="366"/>
      <c r="CQ14" s="4">
        <f t="shared" si="37"/>
        <v>0</v>
      </c>
      <c r="CR14" s="9">
        <f t="shared" si="38"/>
        <v>0</v>
      </c>
      <c r="CS14" s="5">
        <f t="shared" si="39"/>
        <v>0</v>
      </c>
      <c r="CT14" s="5">
        <f t="shared" si="40"/>
        <v>0</v>
      </c>
      <c r="CU14" s="5">
        <f t="shared" si="41"/>
        <v>0</v>
      </c>
      <c r="CV14" s="5">
        <f t="shared" si="42"/>
        <v>0</v>
      </c>
      <c r="CW14" s="5">
        <f t="shared" si="43"/>
        <v>1260.98</v>
      </c>
      <c r="CX14" s="5">
        <f t="shared" si="44"/>
        <v>0</v>
      </c>
      <c r="CY14" s="5">
        <f t="shared" si="45"/>
        <v>2373.1400000000003</v>
      </c>
      <c r="CZ14" s="5">
        <f t="shared" si="46"/>
        <v>0</v>
      </c>
      <c r="DA14" s="5">
        <f>SUM(DO14,EB14,EO14)</f>
        <v>1169.6799999999998</v>
      </c>
      <c r="DB14" s="12">
        <f t="shared" si="48"/>
        <v>0</v>
      </c>
      <c r="DC14" s="310">
        <f t="shared" si="49"/>
        <v>4803.8</v>
      </c>
      <c r="DD14" s="2695"/>
      <c r="DE14" s="9"/>
      <c r="DF14" s="9"/>
      <c r="DG14" s="5"/>
      <c r="DH14" s="5"/>
      <c r="DI14" s="5"/>
      <c r="DJ14" s="5"/>
      <c r="DK14" s="5">
        <v>1260.98</v>
      </c>
      <c r="DL14" s="5"/>
      <c r="DM14" s="5">
        <v>153.56</v>
      </c>
      <c r="DN14" s="5"/>
      <c r="DO14" s="5"/>
      <c r="DP14" s="12"/>
      <c r="DQ14" s="28">
        <f t="shared" si="50"/>
        <v>1414.54</v>
      </c>
      <c r="DR14" s="36"/>
      <c r="DS14" s="36"/>
      <c r="DT14" s="27"/>
      <c r="DU14" s="27"/>
      <c r="DV14" s="5"/>
      <c r="DW14" s="5"/>
      <c r="DX14" s="5"/>
      <c r="DY14" s="5"/>
      <c r="DZ14" s="5">
        <v>1819.5800000000004</v>
      </c>
      <c r="EA14" s="53"/>
      <c r="EB14" s="27">
        <v>1169.6799999999998</v>
      </c>
      <c r="EC14" s="33"/>
      <c r="ED14" s="28">
        <f t="shared" si="51"/>
        <v>2989.26</v>
      </c>
      <c r="EE14" s="9"/>
      <c r="EF14" s="9"/>
      <c r="EG14" s="5"/>
      <c r="EH14" s="5"/>
      <c r="EI14" s="27"/>
      <c r="EJ14" s="27"/>
      <c r="EK14" s="27"/>
      <c r="EL14" s="27"/>
      <c r="EM14" s="27">
        <v>400</v>
      </c>
      <c r="EN14" s="27"/>
      <c r="EO14" s="27"/>
      <c r="EP14" s="33"/>
      <c r="EQ14" s="28">
        <f t="shared" si="52"/>
        <v>400</v>
      </c>
      <c r="ER14" s="36"/>
      <c r="ES14" s="27"/>
      <c r="ET14" s="27"/>
      <c r="EU14" s="27"/>
      <c r="EV14" s="27"/>
      <c r="EW14" s="27"/>
      <c r="EX14" s="33">
        <f t="shared" si="53"/>
        <v>0</v>
      </c>
      <c r="EY14" s="2685"/>
      <c r="FA14" s="4">
        <f t="shared" si="54"/>
        <v>0</v>
      </c>
      <c r="FB14" s="5">
        <f t="shared" si="55"/>
        <v>0</v>
      </c>
      <c r="FC14" s="5">
        <f t="shared" si="56"/>
        <v>0</v>
      </c>
      <c r="FD14" s="12">
        <f t="shared" si="57"/>
        <v>0</v>
      </c>
      <c r="FE14" s="33"/>
      <c r="FF14" s="2674"/>
      <c r="FG14" s="9"/>
      <c r="FH14" s="5"/>
      <c r="FI14" s="5"/>
      <c r="FJ14" s="5"/>
      <c r="FK14" s="5"/>
      <c r="FL14" s="27"/>
      <c r="FM14" s="28">
        <f t="shared" si="58"/>
        <v>0</v>
      </c>
      <c r="FN14" s="36"/>
      <c r="FO14" s="27"/>
      <c r="FP14" s="27"/>
      <c r="FQ14" s="27"/>
      <c r="FR14" s="27"/>
      <c r="FS14" s="27"/>
      <c r="FT14" s="28">
        <f t="shared" si="59"/>
        <v>0</v>
      </c>
      <c r="FU14" s="36"/>
      <c r="FV14" s="36"/>
      <c r="FW14" s="27"/>
      <c r="FX14" s="27"/>
      <c r="FY14" s="27"/>
      <c r="FZ14" s="27"/>
      <c r="GA14" s="27"/>
      <c r="GB14" s="27"/>
      <c r="GC14" s="27"/>
      <c r="GD14" s="27"/>
      <c r="GE14" s="27"/>
      <c r="GF14" s="33"/>
      <c r="GG14" s="33">
        <f t="shared" si="60"/>
        <v>0</v>
      </c>
      <c r="GH14" s="2674"/>
      <c r="GJ14" s="4">
        <f t="shared" si="61"/>
        <v>0</v>
      </c>
      <c r="GK14" s="64">
        <f t="shared" si="62"/>
        <v>4308.5</v>
      </c>
      <c r="GL14" s="53">
        <f t="shared" si="63"/>
        <v>7395.01</v>
      </c>
      <c r="GM14" s="53">
        <f t="shared" si="64"/>
        <v>11703.51</v>
      </c>
      <c r="GN14" s="141"/>
      <c r="GO14" s="141"/>
      <c r="GP14" s="33"/>
      <c r="GQ14" s="2667"/>
      <c r="GR14" s="1124">
        <v>5986.75</v>
      </c>
      <c r="GS14" s="419"/>
      <c r="GT14" s="419">
        <v>3765.8300000000004</v>
      </c>
      <c r="GU14" s="27">
        <v>1950.9300000000003</v>
      </c>
      <c r="GV14" s="54">
        <f t="shared" si="65"/>
        <v>11703.51</v>
      </c>
      <c r="GW14" s="2667"/>
      <c r="GX14" s="9"/>
      <c r="GY14" s="9"/>
      <c r="GZ14" s="5"/>
      <c r="HA14" s="5"/>
      <c r="HB14" s="5"/>
      <c r="HC14" s="5"/>
      <c r="HD14" s="5"/>
      <c r="HE14" s="5"/>
      <c r="HF14" s="5"/>
      <c r="HG14" s="5"/>
      <c r="HH14" s="5"/>
      <c r="HI14" s="5"/>
      <c r="HJ14" s="5"/>
      <c r="HK14" s="5"/>
      <c r="HL14" s="15">
        <f t="shared" si="66"/>
        <v>0</v>
      </c>
      <c r="HM14" s="9"/>
      <c r="HN14" s="5"/>
      <c r="HO14" s="5"/>
      <c r="HP14" s="5"/>
      <c r="HQ14" s="5"/>
      <c r="HR14" s="5"/>
      <c r="HS14" s="5"/>
      <c r="HT14" s="5"/>
      <c r="HU14" s="5"/>
      <c r="HV14" s="5"/>
      <c r="HW14" s="5"/>
      <c r="HX14" s="5"/>
      <c r="HY14" s="5"/>
      <c r="HZ14" s="5"/>
      <c r="IA14" s="12">
        <f t="shared" si="67"/>
        <v>0</v>
      </c>
      <c r="IB14" s="845"/>
      <c r="IC14" s="363"/>
      <c r="ID14" s="64"/>
      <c r="IE14" s="64"/>
      <c r="IF14" s="64"/>
      <c r="IG14" s="64"/>
      <c r="IH14" s="64"/>
      <c r="II14" s="64"/>
      <c r="IJ14" s="64">
        <v>4308.5</v>
      </c>
      <c r="IK14" s="64"/>
      <c r="IL14" s="64"/>
      <c r="IM14" s="64"/>
      <c r="IN14" s="64"/>
      <c r="IO14" s="64"/>
      <c r="IP14" s="61">
        <f t="shared" si="68"/>
        <v>4308.5</v>
      </c>
      <c r="IQ14" s="9"/>
      <c r="IR14" s="9"/>
      <c r="IS14" s="5"/>
      <c r="IT14" s="5"/>
      <c r="IU14" s="64"/>
      <c r="IV14" s="5"/>
      <c r="IW14" s="5"/>
      <c r="IX14" s="5"/>
      <c r="IY14" s="5">
        <v>7395.01</v>
      </c>
      <c r="IZ14" s="5"/>
      <c r="JA14" s="5"/>
      <c r="JB14" s="5"/>
      <c r="JC14" s="5"/>
      <c r="JD14" s="5"/>
      <c r="JE14" s="12">
        <f t="shared" si="69"/>
        <v>7395.01</v>
      </c>
      <c r="JF14" s="2667"/>
      <c r="JH14" s="845">
        <v>11703.509999999998</v>
      </c>
      <c r="JI14" s="152"/>
      <c r="JJ14" s="53"/>
      <c r="JK14" s="53">
        <f t="shared" si="70"/>
        <v>11703.509999999998</v>
      </c>
      <c r="JL14" s="33"/>
      <c r="JM14" s="2669"/>
      <c r="JN14" s="69"/>
      <c r="JO14" s="70"/>
      <c r="JP14" s="70"/>
      <c r="JQ14" s="70"/>
      <c r="JR14" s="70">
        <v>1</v>
      </c>
      <c r="JS14" s="70"/>
      <c r="JT14" s="70"/>
      <c r="JU14" s="71"/>
      <c r="JV14" s="69"/>
      <c r="JW14" s="70"/>
      <c r="JX14" s="70"/>
      <c r="JY14" s="70"/>
      <c r="JZ14" s="70"/>
      <c r="KA14" s="70"/>
      <c r="KB14" s="70"/>
      <c r="KC14" s="71"/>
      <c r="KD14" s="69"/>
      <c r="KE14" s="70"/>
      <c r="KF14" s="70"/>
      <c r="KG14" s="70"/>
      <c r="KH14" s="70"/>
      <c r="KI14" s="70"/>
      <c r="KJ14" s="70"/>
      <c r="KK14" s="70"/>
      <c r="KL14" s="33"/>
      <c r="KM14" s="2669"/>
      <c r="KN14" s="36">
        <v>6949.7790326540635</v>
      </c>
      <c r="KO14" s="53">
        <v>0.7298805139536787</v>
      </c>
      <c r="KP14" s="53">
        <v>3.0605049513053437</v>
      </c>
      <c r="KQ14" s="53">
        <v>6.8634912840657991</v>
      </c>
      <c r="KR14" s="54">
        <v>11.642265200098208</v>
      </c>
      <c r="KS14" s="4">
        <v>0</v>
      </c>
      <c r="KT14" s="64">
        <v>0</v>
      </c>
      <c r="KU14" s="64">
        <v>0</v>
      </c>
      <c r="KV14" s="64">
        <v>0</v>
      </c>
      <c r="KW14" s="482">
        <v>0</v>
      </c>
      <c r="KX14" s="36"/>
      <c r="KY14" s="53"/>
      <c r="KZ14" s="53"/>
      <c r="LA14" s="53"/>
      <c r="LB14" s="53"/>
      <c r="LC14" s="33"/>
      <c r="LD14" s="2669"/>
      <c r="LF14" s="998">
        <f t="shared" si="71"/>
        <v>0</v>
      </c>
      <c r="LG14" s="27">
        <f t="shared" si="72"/>
        <v>0</v>
      </c>
      <c r="LH14" s="27">
        <f t="shared" si="73"/>
        <v>0</v>
      </c>
      <c r="LI14" s="28">
        <f t="shared" si="74"/>
        <v>0</v>
      </c>
      <c r="LJ14" s="36"/>
      <c r="LK14" s="27"/>
      <c r="LL14" s="27"/>
      <c r="LM14" s="33"/>
      <c r="LN14" s="1041">
        <v>7.4</v>
      </c>
      <c r="LO14" s="486"/>
      <c r="LP14" s="2688"/>
      <c r="LQ14" s="21"/>
      <c r="LR14" s="27"/>
      <c r="LS14" s="27"/>
      <c r="LT14" s="27"/>
      <c r="LU14" s="27"/>
      <c r="LV14" s="1117">
        <f t="shared" si="75"/>
        <v>0</v>
      </c>
      <c r="LW14" s="36"/>
      <c r="LX14" s="36"/>
      <c r="LY14" s="27"/>
      <c r="LZ14" s="27"/>
      <c r="MA14" s="33"/>
      <c r="MB14" s="28">
        <f t="shared" si="76"/>
        <v>0</v>
      </c>
      <c r="MC14" s="26"/>
      <c r="MD14" s="36"/>
      <c r="ME14" s="27"/>
      <c r="MF14" s="27"/>
      <c r="MG14" s="27"/>
      <c r="MH14" s="28"/>
      <c r="MI14" s="36"/>
      <c r="MJ14" s="36"/>
      <c r="MK14" s="27"/>
      <c r="ML14" s="27"/>
      <c r="MM14" s="27"/>
      <c r="MN14" s="28"/>
      <c r="MO14" s="36"/>
      <c r="MP14" s="36"/>
      <c r="MQ14" s="27"/>
      <c r="MR14" s="27"/>
      <c r="MS14" s="27"/>
      <c r="MT14" s="33">
        <f t="shared" si="77"/>
        <v>0</v>
      </c>
      <c r="MU14" s="2688"/>
      <c r="MW14" s="26">
        <f t="shared" si="78"/>
        <v>226422.12478124583</v>
      </c>
      <c r="MX14" s="27">
        <f t="shared" si="79"/>
        <v>250881.98929571756</v>
      </c>
      <c r="MY14" s="27">
        <f t="shared" si="80"/>
        <v>20165.825608283045</v>
      </c>
      <c r="MZ14" s="28">
        <f t="shared" si="81"/>
        <v>442743.21467809111</v>
      </c>
      <c r="NA14" s="2621"/>
      <c r="NB14" s="23">
        <f t="shared" si="82"/>
        <v>225778.95650315014</v>
      </c>
      <c r="NC14" s="64">
        <f t="shared" si="83"/>
        <v>643.16827809568952</v>
      </c>
      <c r="ND14" s="60">
        <f t="shared" si="84"/>
        <v>0</v>
      </c>
      <c r="NE14" s="275">
        <f t="shared" si="4"/>
        <v>226422.12478124583</v>
      </c>
      <c r="NF14" s="26">
        <f t="shared" si="136"/>
        <v>0</v>
      </c>
      <c r="NG14" s="27">
        <f t="shared" si="137"/>
        <v>0</v>
      </c>
      <c r="NH14" s="27">
        <f t="shared" si="138"/>
        <v>0</v>
      </c>
      <c r="NI14" s="27">
        <f t="shared" si="139"/>
        <v>0</v>
      </c>
      <c r="NJ14" s="27">
        <f t="shared" si="140"/>
        <v>0</v>
      </c>
      <c r="NK14" s="33">
        <f t="shared" si="141"/>
        <v>0</v>
      </c>
      <c r="NL14" s="27">
        <f t="shared" si="142"/>
        <v>0</v>
      </c>
      <c r="NM14" s="36">
        <f t="shared" si="143"/>
        <v>0</v>
      </c>
      <c r="NN14" s="27">
        <f t="shared" si="144"/>
        <v>48443.156549275998</v>
      </c>
      <c r="NO14" s="27">
        <f t="shared" si="145"/>
        <v>0</v>
      </c>
      <c r="NP14" s="24">
        <f t="shared" si="146"/>
        <v>8756.5482322711578</v>
      </c>
      <c r="NQ14" s="24">
        <f t="shared" si="147"/>
        <v>12484.2145856876</v>
      </c>
      <c r="NR14" s="27">
        <f t="shared" si="0"/>
        <v>69683.919367234761</v>
      </c>
      <c r="NS14" s="27">
        <f t="shared" si="86"/>
        <v>0</v>
      </c>
      <c r="NT14" s="27">
        <f t="shared" si="87"/>
        <v>0</v>
      </c>
      <c r="NU14" s="27">
        <f t="shared" si="88"/>
        <v>0</v>
      </c>
      <c r="NV14" s="27">
        <f t="shared" si="89"/>
        <v>0</v>
      </c>
      <c r="NW14" s="27">
        <f t="shared" si="90"/>
        <v>0</v>
      </c>
      <c r="NX14" s="27">
        <f t="shared" si="91"/>
        <v>0</v>
      </c>
      <c r="NY14" s="27">
        <f t="shared" si="92"/>
        <v>4526.4181519076265</v>
      </c>
      <c r="NZ14" s="27">
        <f t="shared" si="93"/>
        <v>0</v>
      </c>
      <c r="OA14" s="27">
        <f t="shared" si="94"/>
        <v>32440.804759987783</v>
      </c>
      <c r="OB14" s="280"/>
      <c r="OC14" s="24">
        <f t="shared" si="95"/>
        <v>3403.7241844007053</v>
      </c>
      <c r="OD14" s="27">
        <f t="shared" si="96"/>
        <v>0</v>
      </c>
      <c r="OE14" s="28">
        <f t="shared" si="1"/>
        <v>40370.94709629612</v>
      </c>
      <c r="OF14" s="27">
        <f t="shared" si="97"/>
        <v>0</v>
      </c>
      <c r="OG14" s="27">
        <f t="shared" si="97"/>
        <v>0</v>
      </c>
      <c r="OH14" s="27">
        <f t="shared" si="97"/>
        <v>0</v>
      </c>
      <c r="OI14" s="27">
        <f t="shared" si="97"/>
        <v>0</v>
      </c>
      <c r="OJ14" s="27">
        <f t="shared" si="97"/>
        <v>0</v>
      </c>
      <c r="OK14" s="27">
        <f t="shared" si="97"/>
        <v>0</v>
      </c>
      <c r="OL14" s="24">
        <f t="shared" si="97"/>
        <v>0</v>
      </c>
      <c r="OM14" s="27">
        <f t="shared" si="97"/>
        <v>0</v>
      </c>
      <c r="ON14" s="24">
        <f t="shared" si="97"/>
        <v>133355.84851377801</v>
      </c>
      <c r="OO14" s="27">
        <f t="shared" si="97"/>
        <v>0</v>
      </c>
      <c r="OP14" s="27">
        <f t="shared" si="97"/>
        <v>7471.2743184086794</v>
      </c>
      <c r="OQ14" s="27">
        <f t="shared" si="97"/>
        <v>0</v>
      </c>
      <c r="OR14" s="28">
        <f t="shared" si="2"/>
        <v>140827.12283218669</v>
      </c>
      <c r="OS14" s="36"/>
      <c r="OT14" s="27"/>
      <c r="OU14" s="27"/>
      <c r="OV14" s="27"/>
      <c r="OW14" s="27"/>
      <c r="OX14" s="27"/>
      <c r="OY14" s="28">
        <f t="shared" si="98"/>
        <v>0</v>
      </c>
      <c r="OZ14" s="36">
        <f t="shared" si="99"/>
        <v>0</v>
      </c>
      <c r="PA14" s="27">
        <f t="shared" si="100"/>
        <v>0</v>
      </c>
      <c r="PB14" s="27">
        <f t="shared" si="101"/>
        <v>0</v>
      </c>
      <c r="PC14" s="27">
        <f t="shared" si="102"/>
        <v>0</v>
      </c>
      <c r="PD14" s="27">
        <f t="shared" si="103"/>
        <v>0</v>
      </c>
      <c r="PE14" s="27">
        <f t="shared" si="104"/>
        <v>0</v>
      </c>
      <c r="PF14" s="33">
        <f t="shared" si="3"/>
        <v>0</v>
      </c>
      <c r="PG14" s="2621"/>
      <c r="PI14" s="2"/>
      <c r="PJ14" s="3">
        <v>750</v>
      </c>
      <c r="PK14" s="3">
        <v>375</v>
      </c>
      <c r="PL14" s="3">
        <f t="shared" si="148"/>
        <v>0</v>
      </c>
      <c r="PM14" s="3">
        <v>0</v>
      </c>
      <c r="PN14" s="11">
        <f t="shared" si="150"/>
        <v>20165.825608283045</v>
      </c>
      <c r="PO14" s="15"/>
      <c r="PP14" s="2615"/>
      <c r="PR14" s="4"/>
      <c r="PS14" s="9"/>
      <c r="PT14" s="9"/>
      <c r="PU14" s="9"/>
      <c r="PV14" s="9"/>
      <c r="PW14" s="9"/>
      <c r="PX14" s="8">
        <f t="shared" si="105"/>
        <v>0</v>
      </c>
      <c r="PY14" s="5">
        <f t="shared" si="106"/>
        <v>0</v>
      </c>
      <c r="PZ14" s="5"/>
      <c r="QA14" s="5"/>
      <c r="QB14" s="5"/>
      <c r="QC14" s="5"/>
      <c r="QD14" s="5"/>
      <c r="QE14" s="12">
        <f t="shared" si="107"/>
        <v>29749.381073161156</v>
      </c>
      <c r="QF14" s="420">
        <f t="shared" si="108"/>
        <v>412993.83360492997</v>
      </c>
      <c r="QG14" s="1106">
        <f t="shared" si="109"/>
        <v>0</v>
      </c>
      <c r="QH14" s="484">
        <f t="shared" si="110"/>
        <v>5505.3678056100007</v>
      </c>
      <c r="QI14" s="12"/>
      <c r="QJ14" s="2615"/>
      <c r="QL14" s="139">
        <f t="shared" si="111"/>
        <v>0</v>
      </c>
      <c r="QM14" s="139" t="str">
        <f t="shared" si="112"/>
        <v/>
      </c>
      <c r="QO14" s="139">
        <f t="shared" si="113"/>
        <v>0</v>
      </c>
      <c r="QP14" s="139">
        <f t="shared" si="114"/>
        <v>0</v>
      </c>
      <c r="QR14" s="1">
        <f t="shared" si="115"/>
        <v>0</v>
      </c>
      <c r="QS14" s="1">
        <f t="shared" si="116"/>
        <v>0</v>
      </c>
      <c r="QT14" s="1">
        <f t="shared" si="117"/>
        <v>0</v>
      </c>
      <c r="QU14" s="1">
        <f t="shared" si="118"/>
        <v>0</v>
      </c>
      <c r="QV14" s="1">
        <f t="shared" si="119"/>
        <v>0</v>
      </c>
      <c r="QW14" s="1">
        <f t="shared" si="120"/>
        <v>0</v>
      </c>
      <c r="QY14" s="1">
        <f t="shared" si="121"/>
        <v>0</v>
      </c>
      <c r="QZ14" s="1">
        <f t="shared" si="122"/>
        <v>0</v>
      </c>
      <c r="RA14" s="1">
        <f t="shared" si="123"/>
        <v>0</v>
      </c>
      <c r="RB14" s="1">
        <f t="shared" si="124"/>
        <v>0</v>
      </c>
      <c r="RC14" s="1">
        <f t="shared" si="125"/>
        <v>0</v>
      </c>
      <c r="RD14" s="1">
        <f t="shared" si="126"/>
        <v>0</v>
      </c>
      <c r="RG14" s="1">
        <v>5</v>
      </c>
      <c r="RH14" s="1">
        <f t="shared" si="127"/>
        <v>34298.881751083158</v>
      </c>
      <c r="RI14" s="1">
        <f t="shared" si="127"/>
        <v>3925.5835498622801</v>
      </c>
      <c r="RJ14" s="1">
        <f t="shared" si="127"/>
        <v>9178.5689913333827</v>
      </c>
      <c r="RK14" s="89">
        <f t="shared" si="5"/>
        <v>47403.034292278819</v>
      </c>
      <c r="RL14" s="1033">
        <v>5</v>
      </c>
      <c r="RM14" s="1098">
        <v>0</v>
      </c>
      <c r="RN14" s="1098">
        <f t="shared" si="128"/>
        <v>0</v>
      </c>
      <c r="RO14" s="1097">
        <f t="shared" si="129"/>
        <v>0</v>
      </c>
      <c r="RP14" s="1097">
        <f t="shared" si="151"/>
        <v>4703.18</v>
      </c>
      <c r="RQ14" s="1094"/>
      <c r="RR14" s="1123" t="s">
        <v>671</v>
      </c>
      <c r="RU14" s="421">
        <v>5</v>
      </c>
      <c r="RV14" s="1095">
        <f t="shared" si="130"/>
        <v>11703.51</v>
      </c>
      <c r="RW14" s="1094" t="s">
        <v>672</v>
      </c>
      <c r="RY14" s="1090"/>
      <c r="RZ14" s="1090">
        <f t="shared" si="131"/>
        <v>-299.38000000000011</v>
      </c>
      <c r="SA14" s="1090"/>
      <c r="SB14" s="1090">
        <f t="shared" si="132"/>
        <v>0</v>
      </c>
      <c r="SD14" s="1">
        <v>5</v>
      </c>
      <c r="SE14" s="1">
        <f t="shared" si="133"/>
        <v>0</v>
      </c>
      <c r="SF14" s="1094"/>
    </row>
    <row r="15" spans="1:500" s="1" customFormat="1">
      <c r="B15" s="471">
        <v>6</v>
      </c>
      <c r="C15" s="4">
        <f t="shared" si="6"/>
        <v>103026</v>
      </c>
      <c r="D15" s="53">
        <f t="shared" si="134"/>
        <v>7442.54</v>
      </c>
      <c r="E15" s="61">
        <f t="shared" si="7"/>
        <v>13.842854724327985</v>
      </c>
      <c r="F15" s="870"/>
      <c r="G15" s="870"/>
      <c r="H15" s="52"/>
      <c r="I15" s="61"/>
      <c r="J15" s="52"/>
      <c r="K15" s="54"/>
      <c r="L15" s="52">
        <v>9.3800000000000008</v>
      </c>
      <c r="M15" s="61">
        <v>8.51</v>
      </c>
      <c r="N15" s="2629"/>
      <c r="O15" s="4">
        <f t="shared" si="8"/>
        <v>55230</v>
      </c>
      <c r="P15" s="1225">
        <f t="shared" si="9"/>
        <v>3480.7</v>
      </c>
      <c r="Q15" s="64">
        <f t="shared" si="10"/>
        <v>15.867497917085645</v>
      </c>
      <c r="R15" s="33"/>
      <c r="S15" s="26">
        <f t="shared" si="11"/>
        <v>16356</v>
      </c>
      <c r="T15" s="27">
        <f t="shared" si="12"/>
        <v>719.57999999999993</v>
      </c>
      <c r="U15" s="53">
        <f t="shared" si="13"/>
        <v>22.729925790044195</v>
      </c>
      <c r="V15" s="28"/>
      <c r="W15" s="26">
        <f t="shared" si="14"/>
        <v>30756</v>
      </c>
      <c r="X15" s="5">
        <f t="shared" si="15"/>
        <v>2640</v>
      </c>
      <c r="Y15" s="53">
        <f t="shared" si="16"/>
        <v>11.65</v>
      </c>
      <c r="Z15" s="33"/>
      <c r="AA15" s="26">
        <f t="shared" si="17"/>
        <v>684</v>
      </c>
      <c r="AB15" s="27">
        <f t="shared" si="18"/>
        <v>602.26</v>
      </c>
      <c r="AC15" s="53">
        <f t="shared" si="19"/>
        <v>1.1357221133729618</v>
      </c>
      <c r="AD15" s="28"/>
      <c r="AE15" s="36"/>
      <c r="AF15" s="36"/>
      <c r="AG15" s="53">
        <f t="shared" si="20"/>
        <v>0</v>
      </c>
      <c r="AH15" s="28"/>
      <c r="AI15" s="26"/>
      <c r="AJ15" s="27"/>
      <c r="AK15" s="53">
        <f t="shared" si="21"/>
        <v>0</v>
      </c>
      <c r="AL15" s="28"/>
      <c r="AM15" s="2629"/>
      <c r="AN15" s="9"/>
      <c r="AO15" s="5"/>
      <c r="AP15" s="61">
        <f t="shared" si="22"/>
        <v>0</v>
      </c>
      <c r="AQ15" s="36"/>
      <c r="AR15" s="53"/>
      <c r="AS15" s="61">
        <f t="shared" si="23"/>
        <v>0</v>
      </c>
      <c r="AT15" s="36"/>
      <c r="AU15" s="27"/>
      <c r="AV15" s="61">
        <f t="shared" si="24"/>
        <v>0</v>
      </c>
      <c r="AW15" s="36">
        <v>29190</v>
      </c>
      <c r="AX15" s="27">
        <v>2650.2799999999997</v>
      </c>
      <c r="AY15" s="61">
        <f t="shared" si="25"/>
        <v>11.013930603558871</v>
      </c>
      <c r="AZ15" s="36"/>
      <c r="BA15" s="27"/>
      <c r="BB15" s="61">
        <f t="shared" si="26"/>
        <v>0</v>
      </c>
      <c r="BC15" s="36">
        <v>26040</v>
      </c>
      <c r="BD15" s="27">
        <v>830.42</v>
      </c>
      <c r="BE15" s="61">
        <f t="shared" si="27"/>
        <v>31.357626261409891</v>
      </c>
      <c r="BF15" s="36"/>
      <c r="BG15" s="53"/>
      <c r="BH15" s="61">
        <f t="shared" si="28"/>
        <v>0</v>
      </c>
      <c r="BI15" s="36">
        <v>0</v>
      </c>
      <c r="BJ15" s="53">
        <v>0</v>
      </c>
      <c r="BK15" s="61">
        <f t="shared" si="29"/>
        <v>0</v>
      </c>
      <c r="BL15" s="52">
        <v>16356</v>
      </c>
      <c r="BM15" s="53">
        <v>719.57999999999993</v>
      </c>
      <c r="BN15" s="61">
        <f t="shared" si="30"/>
        <v>22.729925790044195</v>
      </c>
      <c r="BO15" s="36">
        <v>684</v>
      </c>
      <c r="BP15" s="53">
        <v>602.26</v>
      </c>
      <c r="BQ15" s="61">
        <f t="shared" si="31"/>
        <v>1.1357221133729618</v>
      </c>
      <c r="BR15" s="36"/>
      <c r="BS15" s="53"/>
      <c r="BT15" s="61">
        <f t="shared" si="32"/>
        <v>0</v>
      </c>
      <c r="BU15" s="36">
        <v>30756</v>
      </c>
      <c r="BV15" s="5">
        <v>2640</v>
      </c>
      <c r="BW15" s="28">
        <f t="shared" si="33"/>
        <v>11.65</v>
      </c>
      <c r="BX15" s="26"/>
      <c r="BY15" s="27"/>
      <c r="BZ15" s="61">
        <f t="shared" si="34"/>
        <v>0</v>
      </c>
      <c r="CA15" s="36"/>
      <c r="CB15" s="481"/>
      <c r="CC15" s="482">
        <f t="shared" si="35"/>
        <v>0</v>
      </c>
      <c r="CD15" s="4"/>
      <c r="CE15" s="5"/>
      <c r="CF15" s="28">
        <f t="shared" si="36"/>
        <v>0</v>
      </c>
      <c r="CG15" s="149"/>
      <c r="CH15" s="4">
        <v>0</v>
      </c>
      <c r="CI15" s="5">
        <v>0</v>
      </c>
      <c r="CJ15" s="5">
        <v>0</v>
      </c>
      <c r="CK15" s="5">
        <v>6513</v>
      </c>
      <c r="CL15" s="5"/>
      <c r="CM15" s="5">
        <f t="shared" si="135"/>
        <v>6513</v>
      </c>
      <c r="CN15" s="33"/>
      <c r="CO15" s="366"/>
      <c r="CQ15" s="4">
        <f t="shared" si="37"/>
        <v>0</v>
      </c>
      <c r="CR15" s="9">
        <f t="shared" si="38"/>
        <v>0</v>
      </c>
      <c r="CS15" s="5">
        <f t="shared" si="39"/>
        <v>0</v>
      </c>
      <c r="CT15" s="5">
        <f t="shared" si="40"/>
        <v>0</v>
      </c>
      <c r="CU15" s="5">
        <f t="shared" si="41"/>
        <v>0</v>
      </c>
      <c r="CV15" s="5">
        <f t="shared" si="42"/>
        <v>0</v>
      </c>
      <c r="CW15" s="5">
        <f t="shared" si="43"/>
        <v>1729.94</v>
      </c>
      <c r="CX15" s="5">
        <f t="shared" si="44"/>
        <v>0</v>
      </c>
      <c r="CY15" s="5">
        <f t="shared" si="45"/>
        <v>4882.18</v>
      </c>
      <c r="CZ15" s="5">
        <f t="shared" si="46"/>
        <v>0</v>
      </c>
      <c r="DA15" s="5">
        <f t="shared" si="47"/>
        <v>830.42</v>
      </c>
      <c r="DB15" s="12">
        <f t="shared" si="48"/>
        <v>0</v>
      </c>
      <c r="DC15" s="310">
        <f t="shared" si="49"/>
        <v>7442.5400000000009</v>
      </c>
      <c r="DD15" s="2695"/>
      <c r="DE15" s="9"/>
      <c r="DF15" s="9"/>
      <c r="DG15" s="5"/>
      <c r="DH15" s="5"/>
      <c r="DI15" s="5"/>
      <c r="DJ15" s="5"/>
      <c r="DK15" s="5">
        <v>1729.94</v>
      </c>
      <c r="DL15" s="5"/>
      <c r="DM15" s="5">
        <v>920.3399999999998</v>
      </c>
      <c r="DN15" s="5"/>
      <c r="DO15" s="5"/>
      <c r="DP15" s="12"/>
      <c r="DQ15" s="28">
        <f t="shared" si="50"/>
        <v>2650.2799999999997</v>
      </c>
      <c r="DR15" s="36"/>
      <c r="DS15" s="36"/>
      <c r="DT15" s="27"/>
      <c r="DU15" s="27"/>
      <c r="DV15" s="5"/>
      <c r="DW15" s="5"/>
      <c r="DX15" s="5"/>
      <c r="DY15" s="5"/>
      <c r="DZ15" s="5">
        <v>1321.8400000000001</v>
      </c>
      <c r="EA15" s="53"/>
      <c r="EB15" s="27">
        <v>830.42</v>
      </c>
      <c r="EC15" s="33"/>
      <c r="ED15" s="28">
        <f t="shared" si="51"/>
        <v>2152.2600000000002</v>
      </c>
      <c r="EE15" s="9"/>
      <c r="EF15" s="9"/>
      <c r="EG15" s="5"/>
      <c r="EH15" s="5"/>
      <c r="EI15" s="27"/>
      <c r="EJ15" s="27"/>
      <c r="EK15" s="27"/>
      <c r="EL15" s="27"/>
      <c r="EM15" s="27">
        <v>2640</v>
      </c>
      <c r="EN15" s="27"/>
      <c r="EO15" s="27"/>
      <c r="EP15" s="33"/>
      <c r="EQ15" s="28">
        <f t="shared" si="52"/>
        <v>2640</v>
      </c>
      <c r="ER15" s="36"/>
      <c r="ES15" s="27"/>
      <c r="ET15" s="27"/>
      <c r="EU15" s="27"/>
      <c r="EV15" s="27"/>
      <c r="EW15" s="27"/>
      <c r="EX15" s="33">
        <f t="shared" si="53"/>
        <v>0</v>
      </c>
      <c r="EY15" s="2685"/>
      <c r="FA15" s="4">
        <f t="shared" si="54"/>
        <v>0</v>
      </c>
      <c r="FB15" s="5">
        <f t="shared" si="55"/>
        <v>0</v>
      </c>
      <c r="FC15" s="5">
        <f t="shared" si="56"/>
        <v>0</v>
      </c>
      <c r="FD15" s="12">
        <f t="shared" si="57"/>
        <v>0</v>
      </c>
      <c r="FE15" s="33"/>
      <c r="FF15" s="2674"/>
      <c r="FG15" s="9"/>
      <c r="FH15" s="5"/>
      <c r="FI15" s="5"/>
      <c r="FJ15" s="5"/>
      <c r="FK15" s="5"/>
      <c r="FL15" s="27"/>
      <c r="FM15" s="28">
        <f t="shared" si="58"/>
        <v>0</v>
      </c>
      <c r="FN15" s="36"/>
      <c r="FO15" s="27"/>
      <c r="FP15" s="27"/>
      <c r="FQ15" s="27"/>
      <c r="FR15" s="27"/>
      <c r="FS15" s="27"/>
      <c r="FT15" s="28">
        <f t="shared" si="59"/>
        <v>0</v>
      </c>
      <c r="FU15" s="36"/>
      <c r="FV15" s="36"/>
      <c r="FW15" s="27"/>
      <c r="FX15" s="27"/>
      <c r="FY15" s="27"/>
      <c r="FZ15" s="27"/>
      <c r="GA15" s="27"/>
      <c r="GB15" s="27"/>
      <c r="GC15" s="27"/>
      <c r="GD15" s="27"/>
      <c r="GE15" s="27"/>
      <c r="GF15" s="33"/>
      <c r="GG15" s="33">
        <f t="shared" si="60"/>
        <v>0</v>
      </c>
      <c r="GH15" s="2674"/>
      <c r="GJ15" s="4">
        <f t="shared" si="61"/>
        <v>1683.7800000000002</v>
      </c>
      <c r="GK15" s="64">
        <f t="shared" si="62"/>
        <v>3131.4599999999996</v>
      </c>
      <c r="GL15" s="53">
        <f t="shared" si="63"/>
        <v>6452.9699999999993</v>
      </c>
      <c r="GM15" s="53">
        <f t="shared" si="64"/>
        <v>11268.21</v>
      </c>
      <c r="GN15" s="141"/>
      <c r="GO15" s="141"/>
      <c r="GP15" s="33"/>
      <c r="GQ15" s="2702"/>
      <c r="GR15" s="845">
        <v>5365.55</v>
      </c>
      <c r="GS15" s="5">
        <v>153.80000000000001</v>
      </c>
      <c r="GT15" s="5">
        <v>3707.9300000000003</v>
      </c>
      <c r="GU15" s="27">
        <v>2040.93</v>
      </c>
      <c r="GV15" s="54">
        <f t="shared" si="65"/>
        <v>11268.210000000001</v>
      </c>
      <c r="GW15" s="2667"/>
      <c r="GX15" s="9"/>
      <c r="GY15" s="9"/>
      <c r="GZ15" s="5"/>
      <c r="HA15" s="5"/>
      <c r="HB15" s="5"/>
      <c r="HC15" s="5"/>
      <c r="HD15" s="5"/>
      <c r="HE15" s="5"/>
      <c r="HF15" s="5"/>
      <c r="HG15" s="5"/>
      <c r="HH15" s="5">
        <v>1529.9800000000002</v>
      </c>
      <c r="HI15" s="5"/>
      <c r="HJ15" s="5">
        <v>153.80000000000001</v>
      </c>
      <c r="HK15" s="5"/>
      <c r="HL15" s="15">
        <f t="shared" si="66"/>
        <v>1683.7800000000002</v>
      </c>
      <c r="HM15" s="9"/>
      <c r="HN15" s="5"/>
      <c r="HO15" s="5"/>
      <c r="HP15" s="5"/>
      <c r="HQ15" s="5"/>
      <c r="HR15" s="5"/>
      <c r="HS15" s="5"/>
      <c r="HT15" s="5"/>
      <c r="HU15" s="5"/>
      <c r="HV15" s="5"/>
      <c r="HW15" s="5"/>
      <c r="HX15" s="5"/>
      <c r="HY15" s="5"/>
      <c r="HZ15" s="5"/>
      <c r="IA15" s="12">
        <f t="shared" si="67"/>
        <v>0</v>
      </c>
      <c r="IB15" s="845"/>
      <c r="IC15" s="363"/>
      <c r="ID15" s="64"/>
      <c r="IE15" s="64"/>
      <c r="IF15" s="64"/>
      <c r="IG15" s="64"/>
      <c r="IH15" s="64">
        <v>700.81</v>
      </c>
      <c r="II15" s="64"/>
      <c r="IJ15" s="64">
        <v>2430.6499999999996</v>
      </c>
      <c r="IK15" s="64"/>
      <c r="IL15" s="64"/>
      <c r="IM15" s="64"/>
      <c r="IN15" s="64"/>
      <c r="IO15" s="64"/>
      <c r="IP15" s="61">
        <f t="shared" si="68"/>
        <v>3131.4599999999996</v>
      </c>
      <c r="IQ15" s="9"/>
      <c r="IR15" s="9"/>
      <c r="IS15" s="5"/>
      <c r="IT15" s="5"/>
      <c r="IU15" s="64"/>
      <c r="IV15" s="5"/>
      <c r="IW15" s="5"/>
      <c r="IX15" s="5"/>
      <c r="IY15" s="5">
        <v>4106.41</v>
      </c>
      <c r="IZ15" s="5"/>
      <c r="JA15" s="5">
        <v>2346.56</v>
      </c>
      <c r="JB15" s="5"/>
      <c r="JC15" s="5"/>
      <c r="JD15" s="5"/>
      <c r="JE15" s="12">
        <f t="shared" si="69"/>
        <v>6452.9699999999993</v>
      </c>
      <c r="JF15" s="2667"/>
      <c r="JH15" s="845">
        <v>6145.0899999999992</v>
      </c>
      <c r="JI15" s="152">
        <v>5123.1200000000008</v>
      </c>
      <c r="JJ15" s="53"/>
      <c r="JK15" s="53">
        <f t="shared" si="70"/>
        <v>11268.21</v>
      </c>
      <c r="JL15" s="33"/>
      <c r="JM15" s="2669"/>
      <c r="JN15" s="69"/>
      <c r="JO15" s="70"/>
      <c r="JP15" s="70"/>
      <c r="JQ15" s="70"/>
      <c r="JR15" s="70">
        <v>0.73585542830512785</v>
      </c>
      <c r="JS15" s="70">
        <v>0.26414457169487215</v>
      </c>
      <c r="JT15" s="70"/>
      <c r="JU15" s="71"/>
      <c r="JV15" s="69"/>
      <c r="JW15" s="70"/>
      <c r="JX15" s="70"/>
      <c r="JY15" s="70">
        <v>0.13995151292456143</v>
      </c>
      <c r="JZ15" s="70">
        <v>8.5904799182030228E-2</v>
      </c>
      <c r="KA15" s="70">
        <v>0.77414368789340826</v>
      </c>
      <c r="KB15" s="70"/>
      <c r="KC15" s="71"/>
      <c r="KD15" s="69"/>
      <c r="KE15" s="70"/>
      <c r="KF15" s="70"/>
      <c r="KG15" s="70"/>
      <c r="KH15" s="70"/>
      <c r="KI15" s="70"/>
      <c r="KJ15" s="70"/>
      <c r="KK15" s="70"/>
      <c r="KL15" s="33"/>
      <c r="KM15" s="2669"/>
      <c r="KN15" s="36">
        <v>6965.322834645669</v>
      </c>
      <c r="KO15" s="53">
        <v>0.71275590551181101</v>
      </c>
      <c r="KP15" s="53">
        <v>3.126299212598425</v>
      </c>
      <c r="KQ15" s="53">
        <v>7.1914173228346456</v>
      </c>
      <c r="KR15" s="54">
        <v>11.29387668503937</v>
      </c>
      <c r="KS15" s="4">
        <v>6781</v>
      </c>
      <c r="KT15" s="64">
        <v>1.71</v>
      </c>
      <c r="KU15" s="64">
        <v>7.7</v>
      </c>
      <c r="KV15" s="64">
        <v>4.92</v>
      </c>
      <c r="KW15" s="482">
        <v>11.062168</v>
      </c>
      <c r="KX15" s="36"/>
      <c r="KY15" s="53"/>
      <c r="KZ15" s="53"/>
      <c r="LA15" s="53"/>
      <c r="LB15" s="53"/>
      <c r="LC15" s="33"/>
      <c r="LD15" s="2669"/>
      <c r="LF15" s="998">
        <f t="shared" si="71"/>
        <v>0</v>
      </c>
      <c r="LG15" s="27">
        <f t="shared" si="72"/>
        <v>0</v>
      </c>
      <c r="LH15" s="27">
        <f t="shared" si="73"/>
        <v>0</v>
      </c>
      <c r="LI15" s="28">
        <f t="shared" si="74"/>
        <v>0</v>
      </c>
      <c r="LJ15" s="36"/>
      <c r="LK15" s="27"/>
      <c r="LL15" s="27"/>
      <c r="LM15" s="33"/>
      <c r="LN15" s="1041">
        <v>7.11</v>
      </c>
      <c r="LO15" s="486" t="s">
        <v>673</v>
      </c>
      <c r="LP15" s="2688"/>
      <c r="LQ15" s="1122"/>
      <c r="LR15" s="27"/>
      <c r="LS15" s="27"/>
      <c r="LT15" s="27"/>
      <c r="LU15" s="27"/>
      <c r="LV15" s="1117">
        <f t="shared" si="75"/>
        <v>0</v>
      </c>
      <c r="LW15" s="36"/>
      <c r="LX15" s="36"/>
      <c r="LY15" s="27"/>
      <c r="LZ15" s="27"/>
      <c r="MA15" s="33"/>
      <c r="MB15" s="28">
        <f t="shared" si="76"/>
        <v>0</v>
      </c>
      <c r="MC15" s="26"/>
      <c r="MD15" s="36"/>
      <c r="ME15" s="27"/>
      <c r="MF15" s="27"/>
      <c r="MG15" s="27"/>
      <c r="MH15" s="28"/>
      <c r="MI15" s="36"/>
      <c r="MJ15" s="36"/>
      <c r="MK15" s="27"/>
      <c r="ML15" s="27"/>
      <c r="MM15" s="27"/>
      <c r="MN15" s="28"/>
      <c r="MO15" s="36"/>
      <c r="MP15" s="36"/>
      <c r="MQ15" s="27"/>
      <c r="MR15" s="27"/>
      <c r="MS15" s="27"/>
      <c r="MT15" s="33">
        <f t="shared" si="77"/>
        <v>0</v>
      </c>
      <c r="MU15" s="2688"/>
      <c r="MW15" s="26">
        <f t="shared" si="78"/>
        <v>237690.33478124582</v>
      </c>
      <c r="MX15" s="27">
        <f t="shared" si="79"/>
        <v>247210.11929571757</v>
      </c>
      <c r="MY15" s="27">
        <f t="shared" si="80"/>
        <v>20432.025608283046</v>
      </c>
      <c r="MZ15" s="28">
        <f t="shared" si="81"/>
        <v>442709.47467809112</v>
      </c>
      <c r="NA15" s="2621"/>
      <c r="NB15" s="23">
        <f t="shared" si="82"/>
        <v>231924.04650315014</v>
      </c>
      <c r="NC15" s="64">
        <f t="shared" si="83"/>
        <v>5766.2882780956907</v>
      </c>
      <c r="ND15" s="60">
        <f t="shared" si="84"/>
        <v>0</v>
      </c>
      <c r="NE15" s="275">
        <f t="shared" si="4"/>
        <v>237690.33478124582</v>
      </c>
      <c r="NF15" s="26">
        <f t="shared" si="136"/>
        <v>0</v>
      </c>
      <c r="NG15" s="27">
        <f t="shared" si="137"/>
        <v>0</v>
      </c>
      <c r="NH15" s="27">
        <f t="shared" si="138"/>
        <v>0</v>
      </c>
      <c r="NI15" s="27">
        <f t="shared" si="139"/>
        <v>0</v>
      </c>
      <c r="NJ15" s="27">
        <f t="shared" si="140"/>
        <v>0</v>
      </c>
      <c r="NK15" s="33">
        <f t="shared" si="141"/>
        <v>0</v>
      </c>
      <c r="NL15" s="27">
        <f t="shared" si="142"/>
        <v>0</v>
      </c>
      <c r="NM15" s="36">
        <f t="shared" si="143"/>
        <v>0</v>
      </c>
      <c r="NN15" s="27">
        <f t="shared" si="144"/>
        <v>51083.156549275998</v>
      </c>
      <c r="NO15" s="27">
        <f t="shared" si="145"/>
        <v>0</v>
      </c>
      <c r="NP15" s="24">
        <f t="shared" si="146"/>
        <v>8756.5482322711578</v>
      </c>
      <c r="NQ15" s="24">
        <f t="shared" si="147"/>
        <v>10954.2345856876</v>
      </c>
      <c r="NR15" s="27">
        <f t="shared" si="0"/>
        <v>70793.939367234765</v>
      </c>
      <c r="NS15" s="27">
        <f t="shared" si="86"/>
        <v>0</v>
      </c>
      <c r="NT15" s="27">
        <f t="shared" si="87"/>
        <v>0</v>
      </c>
      <c r="NU15" s="27">
        <f t="shared" si="88"/>
        <v>0</v>
      </c>
      <c r="NV15" s="27">
        <f t="shared" si="89"/>
        <v>0</v>
      </c>
      <c r="NW15" s="27">
        <f t="shared" si="90"/>
        <v>0</v>
      </c>
      <c r="NX15" s="27">
        <f t="shared" si="91"/>
        <v>0</v>
      </c>
      <c r="NY15" s="27">
        <f t="shared" si="92"/>
        <v>5555.5481519076275</v>
      </c>
      <c r="NZ15" s="27">
        <f t="shared" si="93"/>
        <v>0</v>
      </c>
      <c r="OA15" s="27">
        <f t="shared" si="94"/>
        <v>30930.494759987778</v>
      </c>
      <c r="OB15" s="280"/>
      <c r="OC15" s="24">
        <f t="shared" si="95"/>
        <v>3403.7241844007053</v>
      </c>
      <c r="OD15" s="27">
        <f t="shared" si="96"/>
        <v>0</v>
      </c>
      <c r="OE15" s="28">
        <f t="shared" si="1"/>
        <v>39889.767096296113</v>
      </c>
      <c r="OF15" s="27">
        <f t="shared" ref="OF15:OK19" si="152">+OF14+DR15+FU15-IQ15</f>
        <v>0</v>
      </c>
      <c r="OG15" s="27">
        <f t="shared" si="152"/>
        <v>0</v>
      </c>
      <c r="OH15" s="27">
        <f t="shared" si="152"/>
        <v>0</v>
      </c>
      <c r="OI15" s="27">
        <f t="shared" si="152"/>
        <v>0</v>
      </c>
      <c r="OJ15" s="27">
        <f t="shared" ref="OJ15:OJ25" si="153">+OJ14+DV15+FY15-IU15</f>
        <v>0</v>
      </c>
      <c r="OK15" s="27">
        <f t="shared" si="152"/>
        <v>0</v>
      </c>
      <c r="OL15" s="24">
        <v>0</v>
      </c>
      <c r="OM15" s="27">
        <f t="shared" ref="OM15:ON40" si="154">+OM14+DY15+GB15-IX15</f>
        <v>0</v>
      </c>
      <c r="ON15" s="24">
        <f t="shared" ref="ON15:ON25" si="155">+ON14+DZ15+GC15-IY15</f>
        <v>130571.278513778</v>
      </c>
      <c r="OO15" s="27">
        <f t="shared" ref="OO15:OO40" si="156">+OO14+EA15+GD15-IZ15</f>
        <v>0</v>
      </c>
      <c r="OP15" s="27">
        <f t="shared" ref="OP15:OP40" si="157">+OP14+EB15+GE15-JA15</f>
        <v>5955.13431840868</v>
      </c>
      <c r="OQ15" s="27">
        <f t="shared" ref="OQ15:OQ40" si="158">+OQ14+EC15+GF15-JB15</f>
        <v>0</v>
      </c>
      <c r="OR15" s="28">
        <f t="shared" si="2"/>
        <v>136526.41283218667</v>
      </c>
      <c r="OS15" s="36"/>
      <c r="OT15" s="27"/>
      <c r="OU15" s="27"/>
      <c r="OV15" s="27"/>
      <c r="OW15" s="27"/>
      <c r="OX15" s="27"/>
      <c r="OY15" s="28">
        <f t="shared" si="98"/>
        <v>0</v>
      </c>
      <c r="OZ15" s="36">
        <f t="shared" si="99"/>
        <v>0</v>
      </c>
      <c r="PA15" s="27">
        <f t="shared" si="100"/>
        <v>0</v>
      </c>
      <c r="PB15" s="27">
        <f t="shared" si="101"/>
        <v>0</v>
      </c>
      <c r="PC15" s="27">
        <f t="shared" si="102"/>
        <v>0</v>
      </c>
      <c r="PD15" s="27">
        <f t="shared" si="103"/>
        <v>0</v>
      </c>
      <c r="PE15" s="27">
        <f t="shared" si="104"/>
        <v>0</v>
      </c>
      <c r="PF15" s="33">
        <f t="shared" si="3"/>
        <v>0</v>
      </c>
      <c r="PG15" s="2621"/>
      <c r="PI15" s="2">
        <v>33.74</v>
      </c>
      <c r="PJ15" s="3">
        <v>840</v>
      </c>
      <c r="PK15" s="3">
        <v>420</v>
      </c>
      <c r="PL15" s="3">
        <f t="shared" si="148"/>
        <v>153.80000000000001</v>
      </c>
      <c r="PM15" s="3">
        <v>0</v>
      </c>
      <c r="PN15" s="11">
        <f t="shared" si="150"/>
        <v>20432.025608283046</v>
      </c>
      <c r="PO15" s="15"/>
      <c r="PP15" s="2615"/>
      <c r="PR15" s="4"/>
      <c r="PS15" s="9"/>
      <c r="PT15" s="9"/>
      <c r="PU15" s="9"/>
      <c r="PV15" s="9"/>
      <c r="PW15" s="9"/>
      <c r="PX15" s="8">
        <f t="shared" si="105"/>
        <v>0</v>
      </c>
      <c r="PY15" s="5">
        <f t="shared" si="106"/>
        <v>33.74</v>
      </c>
      <c r="PZ15" s="5"/>
      <c r="QA15" s="5"/>
      <c r="QB15" s="5"/>
      <c r="QC15" s="5"/>
      <c r="QD15" s="5"/>
      <c r="QE15" s="12">
        <f t="shared" si="107"/>
        <v>29749.381073161156</v>
      </c>
      <c r="QF15" s="420">
        <f t="shared" si="108"/>
        <v>412960.09360492998</v>
      </c>
      <c r="QG15" s="1106">
        <f t="shared" si="109"/>
        <v>0</v>
      </c>
      <c r="QH15" s="484">
        <f t="shared" si="110"/>
        <v>5505.3678056100007</v>
      </c>
      <c r="QI15" s="12"/>
      <c r="QJ15" s="2615"/>
      <c r="QL15" s="139">
        <f t="shared" si="111"/>
        <v>0</v>
      </c>
      <c r="QM15" s="139" t="str">
        <f t="shared" si="112"/>
        <v/>
      </c>
      <c r="QO15" s="139">
        <f t="shared" si="113"/>
        <v>0</v>
      </c>
      <c r="QP15" s="139">
        <f t="shared" si="114"/>
        <v>0</v>
      </c>
      <c r="QR15" s="1">
        <f t="shared" si="115"/>
        <v>0</v>
      </c>
      <c r="QS15" s="1">
        <f t="shared" si="116"/>
        <v>0</v>
      </c>
      <c r="QT15" s="1">
        <f t="shared" si="117"/>
        <v>0</v>
      </c>
      <c r="QU15" s="1">
        <f t="shared" si="118"/>
        <v>0</v>
      </c>
      <c r="QV15" s="1">
        <f t="shared" si="119"/>
        <v>0</v>
      </c>
      <c r="QW15" s="1">
        <f t="shared" si="120"/>
        <v>0</v>
      </c>
      <c r="QY15" s="1">
        <f t="shared" si="121"/>
        <v>0</v>
      </c>
      <c r="QZ15" s="1">
        <f t="shared" si="122"/>
        <v>0</v>
      </c>
      <c r="RA15" s="1">
        <f t="shared" si="123"/>
        <v>0</v>
      </c>
      <c r="RB15" s="1">
        <f t="shared" si="124"/>
        <v>0</v>
      </c>
      <c r="RC15" s="1">
        <f t="shared" si="125"/>
        <v>0</v>
      </c>
      <c r="RD15" s="1">
        <f t="shared" si="126"/>
        <v>0</v>
      </c>
      <c r="RG15" s="1">
        <v>6</v>
      </c>
      <c r="RH15" s="1">
        <f t="shared" si="127"/>
        <v>40443.971751083154</v>
      </c>
      <c r="RI15" s="1">
        <f t="shared" si="127"/>
        <v>9048.7035498622809</v>
      </c>
      <c r="RJ15" s="1">
        <f t="shared" si="127"/>
        <v>9178.5689913333827</v>
      </c>
      <c r="RK15" s="89">
        <f t="shared" si="5"/>
        <v>58671.244292278818</v>
      </c>
      <c r="RL15" s="1033">
        <v>6</v>
      </c>
      <c r="RM15" s="1098">
        <v>0</v>
      </c>
      <c r="RN15" s="1098">
        <f t="shared" si="128"/>
        <v>0</v>
      </c>
      <c r="RO15" s="1097">
        <f t="shared" si="129"/>
        <v>0</v>
      </c>
      <c r="RP15" s="1097">
        <f t="shared" si="151"/>
        <v>4892.8799999999992</v>
      </c>
      <c r="RQ15" s="1094"/>
      <c r="RR15" s="1094" t="s">
        <v>674</v>
      </c>
      <c r="RU15" s="421">
        <v>6</v>
      </c>
      <c r="RV15" s="1095">
        <f t="shared" si="130"/>
        <v>11268.210000000001</v>
      </c>
      <c r="RW15" s="1094" t="s">
        <v>675</v>
      </c>
      <c r="RY15" s="1090"/>
      <c r="RZ15" s="1090">
        <f t="shared" si="131"/>
        <v>-90.339999999999236</v>
      </c>
      <c r="SA15" s="1090"/>
      <c r="SB15" s="1090">
        <f t="shared" si="132"/>
        <v>0</v>
      </c>
      <c r="SD15" s="1">
        <v>6</v>
      </c>
      <c r="SE15" s="1">
        <f t="shared" si="133"/>
        <v>153.80000000000001</v>
      </c>
      <c r="SF15" s="1094" t="s">
        <v>676</v>
      </c>
    </row>
    <row r="16" spans="1:500" s="1" customFormat="1">
      <c r="B16" s="471">
        <v>7</v>
      </c>
      <c r="C16" s="4">
        <f t="shared" si="6"/>
        <v>52139</v>
      </c>
      <c r="D16" s="64">
        <f t="shared" si="134"/>
        <v>4543.54</v>
      </c>
      <c r="E16" s="61">
        <f t="shared" si="7"/>
        <v>11.475413444142673</v>
      </c>
      <c r="F16" s="870"/>
      <c r="G16" s="870"/>
      <c r="H16" s="52">
        <v>29</v>
      </c>
      <c r="I16" s="61">
        <v>14.08</v>
      </c>
      <c r="J16" s="52"/>
      <c r="K16" s="54"/>
      <c r="L16" s="52">
        <v>20.25</v>
      </c>
      <c r="M16" s="61">
        <v>15.67</v>
      </c>
      <c r="N16" s="2629"/>
      <c r="O16" s="4">
        <f t="shared" si="8"/>
        <v>31206</v>
      </c>
      <c r="P16" s="1225">
        <f t="shared" si="9"/>
        <v>3051.9799999999996</v>
      </c>
      <c r="Q16" s="64">
        <f t="shared" si="10"/>
        <v>10.224837646380385</v>
      </c>
      <c r="R16" s="33"/>
      <c r="S16" s="26">
        <f t="shared" si="11"/>
        <v>8212</v>
      </c>
      <c r="T16" s="27">
        <f t="shared" si="12"/>
        <v>351.36</v>
      </c>
      <c r="U16" s="53">
        <f t="shared" si="13"/>
        <v>23.372040072859743</v>
      </c>
      <c r="V16" s="15"/>
      <c r="W16" s="26">
        <f t="shared" si="14"/>
        <v>12491</v>
      </c>
      <c r="X16" s="5">
        <f t="shared" si="15"/>
        <v>800</v>
      </c>
      <c r="Y16" s="53">
        <f t="shared" si="16"/>
        <v>15.61375</v>
      </c>
      <c r="Z16" s="33"/>
      <c r="AA16" s="26">
        <f t="shared" si="17"/>
        <v>230</v>
      </c>
      <c r="AB16" s="27">
        <f t="shared" si="18"/>
        <v>340.2</v>
      </c>
      <c r="AC16" s="53">
        <f t="shared" si="19"/>
        <v>0.67607289829512052</v>
      </c>
      <c r="AD16" s="28"/>
      <c r="AE16" s="36"/>
      <c r="AF16" s="36"/>
      <c r="AG16" s="53">
        <f t="shared" si="20"/>
        <v>0</v>
      </c>
      <c r="AH16" s="28"/>
      <c r="AI16" s="23"/>
      <c r="AJ16" s="27"/>
      <c r="AK16" s="53">
        <f t="shared" si="21"/>
        <v>0</v>
      </c>
      <c r="AL16" s="28"/>
      <c r="AM16" s="2629"/>
      <c r="AN16" s="9"/>
      <c r="AO16" s="5"/>
      <c r="AP16" s="61">
        <f t="shared" si="22"/>
        <v>0</v>
      </c>
      <c r="AQ16" s="36"/>
      <c r="AR16" s="53"/>
      <c r="AS16" s="61">
        <f t="shared" si="23"/>
        <v>0</v>
      </c>
      <c r="AT16" s="36">
        <v>0</v>
      </c>
      <c r="AU16" s="27"/>
      <c r="AV16" s="61">
        <f t="shared" si="24"/>
        <v>0</v>
      </c>
      <c r="AW16" s="36">
        <v>14448</v>
      </c>
      <c r="AX16" s="27">
        <v>1440.78</v>
      </c>
      <c r="AY16" s="61">
        <f t="shared" si="25"/>
        <v>10.027901553325282</v>
      </c>
      <c r="AZ16" s="36"/>
      <c r="BA16" s="27"/>
      <c r="BB16" s="61">
        <f t="shared" si="26"/>
        <v>0</v>
      </c>
      <c r="BC16" s="36">
        <v>16758</v>
      </c>
      <c r="BD16" s="27">
        <v>1611.1999999999998</v>
      </c>
      <c r="BE16" s="61">
        <f t="shared" si="27"/>
        <v>10.400943396226417</v>
      </c>
      <c r="BF16" s="36"/>
      <c r="BG16" s="53"/>
      <c r="BH16" s="61">
        <f t="shared" si="28"/>
        <v>0</v>
      </c>
      <c r="BI16" s="36">
        <v>0</v>
      </c>
      <c r="BJ16" s="53">
        <v>0</v>
      </c>
      <c r="BK16" s="61">
        <f t="shared" si="29"/>
        <v>0</v>
      </c>
      <c r="BL16" s="52">
        <v>8212</v>
      </c>
      <c r="BM16" s="53">
        <v>351.36</v>
      </c>
      <c r="BN16" s="61">
        <f t="shared" si="30"/>
        <v>23.372040072859743</v>
      </c>
      <c r="BO16" s="36">
        <v>230</v>
      </c>
      <c r="BP16" s="53">
        <v>340.2</v>
      </c>
      <c r="BQ16" s="61">
        <f t="shared" si="31"/>
        <v>0.67607289829512052</v>
      </c>
      <c r="BR16" s="36"/>
      <c r="BS16" s="53"/>
      <c r="BT16" s="61">
        <f t="shared" si="32"/>
        <v>0</v>
      </c>
      <c r="BU16" s="36">
        <v>12491</v>
      </c>
      <c r="BV16" s="27">
        <v>800</v>
      </c>
      <c r="BW16" s="28">
        <f t="shared" si="33"/>
        <v>15.61375</v>
      </c>
      <c r="BX16" s="26"/>
      <c r="BY16" s="27"/>
      <c r="BZ16" s="61">
        <f t="shared" si="34"/>
        <v>0</v>
      </c>
      <c r="CA16" s="36"/>
      <c r="CB16" s="481"/>
      <c r="CC16" s="482">
        <f t="shared" si="35"/>
        <v>0</v>
      </c>
      <c r="CD16" s="4"/>
      <c r="CE16" s="5"/>
      <c r="CF16" s="28">
        <f t="shared" si="36"/>
        <v>0</v>
      </c>
      <c r="CG16" s="150"/>
      <c r="CH16" s="4">
        <v>0</v>
      </c>
      <c r="CI16" s="5">
        <v>0</v>
      </c>
      <c r="CJ16" s="5">
        <v>0</v>
      </c>
      <c r="CK16" s="5">
        <v>3952</v>
      </c>
      <c r="CL16" s="5"/>
      <c r="CM16" s="5">
        <f t="shared" si="135"/>
        <v>3952</v>
      </c>
      <c r="CN16" s="33"/>
      <c r="CO16" s="366"/>
      <c r="CQ16" s="4">
        <f t="shared" si="37"/>
        <v>0</v>
      </c>
      <c r="CR16" s="9">
        <f t="shared" si="38"/>
        <v>0</v>
      </c>
      <c r="CS16" s="5">
        <f t="shared" si="39"/>
        <v>0</v>
      </c>
      <c r="CT16" s="5">
        <f t="shared" si="40"/>
        <v>0</v>
      </c>
      <c r="CU16" s="5">
        <f t="shared" si="41"/>
        <v>0</v>
      </c>
      <c r="CV16" s="5">
        <f t="shared" si="42"/>
        <v>0</v>
      </c>
      <c r="CW16" s="5">
        <f t="shared" si="43"/>
        <v>0</v>
      </c>
      <c r="CX16" s="5">
        <f t="shared" si="44"/>
        <v>0</v>
      </c>
      <c r="CY16" s="5">
        <f t="shared" si="45"/>
        <v>4258.0200000000004</v>
      </c>
      <c r="CZ16" s="5">
        <f t="shared" si="46"/>
        <v>0</v>
      </c>
      <c r="DA16" s="5">
        <f t="shared" si="47"/>
        <v>285.52</v>
      </c>
      <c r="DB16" s="12">
        <f t="shared" si="48"/>
        <v>0</v>
      </c>
      <c r="DC16" s="310">
        <f t="shared" si="49"/>
        <v>4543.5400000000009</v>
      </c>
      <c r="DD16" s="2695"/>
      <c r="DE16" s="9"/>
      <c r="DF16" s="9"/>
      <c r="DG16" s="5"/>
      <c r="DH16" s="5"/>
      <c r="DI16" s="5"/>
      <c r="DJ16" s="5"/>
      <c r="DK16" s="5"/>
      <c r="DL16" s="5"/>
      <c r="DM16" s="5">
        <v>1440.78</v>
      </c>
      <c r="DN16" s="5"/>
      <c r="DO16" s="5"/>
      <c r="DP16" s="12"/>
      <c r="DQ16" s="28">
        <f t="shared" si="50"/>
        <v>1440.78</v>
      </c>
      <c r="DR16" s="36"/>
      <c r="DS16" s="36"/>
      <c r="DT16" s="27"/>
      <c r="DU16" s="27"/>
      <c r="DV16" s="5"/>
      <c r="DW16" s="5"/>
      <c r="DX16" s="5"/>
      <c r="DY16" s="5"/>
      <c r="DZ16" s="5">
        <v>2017.24</v>
      </c>
      <c r="EA16" s="53"/>
      <c r="EB16" s="27">
        <v>285.52</v>
      </c>
      <c r="EC16" s="33"/>
      <c r="ED16" s="28">
        <f t="shared" si="51"/>
        <v>2302.7600000000002</v>
      </c>
      <c r="EE16" s="9"/>
      <c r="EF16" s="9"/>
      <c r="EG16" s="5"/>
      <c r="EH16" s="492"/>
      <c r="EI16" s="27"/>
      <c r="EJ16" s="27"/>
      <c r="EK16" s="27"/>
      <c r="EL16" s="27"/>
      <c r="EM16" s="27">
        <v>800</v>
      </c>
      <c r="EN16" s="27"/>
      <c r="EO16" s="27"/>
      <c r="EP16" s="33"/>
      <c r="EQ16" s="28">
        <f t="shared" si="52"/>
        <v>800</v>
      </c>
      <c r="ER16" s="36"/>
      <c r="ES16" s="27"/>
      <c r="ET16" s="27"/>
      <c r="EU16" s="27"/>
      <c r="EV16" s="27"/>
      <c r="EW16" s="27"/>
      <c r="EX16" s="33">
        <f t="shared" si="53"/>
        <v>0</v>
      </c>
      <c r="EY16" s="2685"/>
      <c r="FA16" s="4">
        <f t="shared" si="54"/>
        <v>0</v>
      </c>
      <c r="FB16" s="5">
        <f t="shared" si="55"/>
        <v>0</v>
      </c>
      <c r="FC16" s="5">
        <f t="shared" si="56"/>
        <v>0</v>
      </c>
      <c r="FD16" s="12">
        <f t="shared" si="57"/>
        <v>0</v>
      </c>
      <c r="FE16" s="33"/>
      <c r="FF16" s="2674"/>
      <c r="FG16" s="9"/>
      <c r="FH16" s="5"/>
      <c r="FI16" s="5"/>
      <c r="FJ16" s="5"/>
      <c r="FK16" s="5"/>
      <c r="FL16" s="27"/>
      <c r="FM16" s="28">
        <f t="shared" si="58"/>
        <v>0</v>
      </c>
      <c r="FN16" s="36"/>
      <c r="FO16" s="27"/>
      <c r="FP16" s="27"/>
      <c r="FQ16" s="27"/>
      <c r="FR16" s="27"/>
      <c r="FS16" s="27"/>
      <c r="FT16" s="28">
        <f t="shared" si="59"/>
        <v>0</v>
      </c>
      <c r="FU16" s="36"/>
      <c r="FV16" s="36"/>
      <c r="FW16" s="27"/>
      <c r="FX16" s="27"/>
      <c r="FY16" s="27"/>
      <c r="FZ16" s="27"/>
      <c r="GA16" s="27"/>
      <c r="GB16" s="27"/>
      <c r="GC16" s="27"/>
      <c r="GD16" s="27"/>
      <c r="GE16" s="27"/>
      <c r="GF16" s="33"/>
      <c r="GG16" s="33">
        <f t="shared" si="60"/>
        <v>0</v>
      </c>
      <c r="GH16" s="2674"/>
      <c r="GJ16" s="4">
        <f t="shared" si="61"/>
        <v>0</v>
      </c>
      <c r="GK16" s="64">
        <f t="shared" si="62"/>
        <v>3880.6600000000003</v>
      </c>
      <c r="GL16" s="53">
        <f t="shared" si="63"/>
        <v>6959.92</v>
      </c>
      <c r="GM16" s="53">
        <f t="shared" si="64"/>
        <v>10840.58</v>
      </c>
      <c r="GN16" s="141"/>
      <c r="GO16" s="141"/>
      <c r="GP16" s="33"/>
      <c r="GQ16" s="2667"/>
      <c r="GR16" s="1120">
        <v>5491.78</v>
      </c>
      <c r="GS16" s="280"/>
      <c r="GT16" s="280">
        <v>3101.7099999999996</v>
      </c>
      <c r="GU16" s="27">
        <v>2247.09</v>
      </c>
      <c r="GV16" s="54">
        <f t="shared" si="65"/>
        <v>10840.58</v>
      </c>
      <c r="GW16" s="2667"/>
      <c r="GX16" s="36"/>
      <c r="GY16" s="36"/>
      <c r="GZ16" s="27"/>
      <c r="HA16" s="27"/>
      <c r="HB16" s="27"/>
      <c r="HC16" s="27"/>
      <c r="HD16" s="27"/>
      <c r="HE16" s="27"/>
      <c r="HF16" s="27"/>
      <c r="HG16" s="27"/>
      <c r="HH16" s="27"/>
      <c r="HI16" s="27"/>
      <c r="HJ16" s="27"/>
      <c r="HK16" s="27"/>
      <c r="HL16" s="28">
        <f t="shared" si="66"/>
        <v>0</v>
      </c>
      <c r="HM16" s="36"/>
      <c r="HN16" s="27"/>
      <c r="HO16" s="27"/>
      <c r="HP16" s="27"/>
      <c r="HQ16" s="27"/>
      <c r="HR16" s="27"/>
      <c r="HS16" s="27"/>
      <c r="HT16" s="27"/>
      <c r="HU16" s="27"/>
      <c r="HV16" s="27"/>
      <c r="HW16" s="27"/>
      <c r="HX16" s="27"/>
      <c r="HY16" s="27"/>
      <c r="HZ16" s="27"/>
      <c r="IA16" s="33">
        <f t="shared" si="67"/>
        <v>0</v>
      </c>
      <c r="IB16" s="52"/>
      <c r="IC16" s="152"/>
      <c r="ID16" s="53"/>
      <c r="IE16" s="53"/>
      <c r="IF16" s="53"/>
      <c r="IG16" s="53"/>
      <c r="IH16" s="53"/>
      <c r="II16" s="53"/>
      <c r="IJ16" s="53">
        <v>3880.6600000000003</v>
      </c>
      <c r="IK16" s="53"/>
      <c r="IL16" s="53"/>
      <c r="IM16" s="53"/>
      <c r="IN16" s="53"/>
      <c r="IO16" s="53"/>
      <c r="IP16" s="61">
        <f t="shared" si="68"/>
        <v>3880.6600000000003</v>
      </c>
      <c r="IQ16" s="36"/>
      <c r="IR16" s="36"/>
      <c r="IS16" s="27"/>
      <c r="IT16" s="27"/>
      <c r="IU16" s="53"/>
      <c r="IV16" s="27"/>
      <c r="IW16" s="27"/>
      <c r="IX16" s="27"/>
      <c r="IY16" s="27">
        <v>6959.92</v>
      </c>
      <c r="IZ16" s="27"/>
      <c r="JA16" s="27"/>
      <c r="JB16" s="27"/>
      <c r="JC16" s="27"/>
      <c r="JD16" s="27"/>
      <c r="JE16" s="54">
        <f t="shared" si="69"/>
        <v>6959.92</v>
      </c>
      <c r="JF16" s="2667"/>
      <c r="JH16" s="52">
        <v>10840.58</v>
      </c>
      <c r="JI16" s="152"/>
      <c r="JJ16" s="53"/>
      <c r="JK16" s="53">
        <f t="shared" si="70"/>
        <v>10840.58</v>
      </c>
      <c r="JL16" s="33"/>
      <c r="JM16" s="2669"/>
      <c r="JN16" s="69"/>
      <c r="JO16" s="70"/>
      <c r="JP16" s="70"/>
      <c r="JQ16" s="70"/>
      <c r="JR16" s="850">
        <v>1</v>
      </c>
      <c r="JS16" s="850"/>
      <c r="JT16" s="850"/>
      <c r="JU16" s="851"/>
      <c r="JV16" s="849"/>
      <c r="JW16" s="850"/>
      <c r="JX16" s="850"/>
      <c r="JY16" s="850"/>
      <c r="JZ16" s="850"/>
      <c r="KA16" s="70"/>
      <c r="KB16" s="70"/>
      <c r="KC16" s="71"/>
      <c r="KD16" s="21"/>
      <c r="KE16" s="70"/>
      <c r="KF16" s="70"/>
      <c r="KG16" s="70"/>
      <c r="KH16" s="70"/>
      <c r="KI16" s="70"/>
      <c r="KJ16" s="70"/>
      <c r="KK16" s="70"/>
      <c r="KL16" s="33"/>
      <c r="KM16" s="2669"/>
      <c r="KN16" s="36">
        <v>6932.9613830264934</v>
      </c>
      <c r="KO16" s="53">
        <v>0.61509654243376743</v>
      </c>
      <c r="KP16" s="53">
        <v>4.5617602155365962</v>
      </c>
      <c r="KQ16" s="53">
        <v>6.6141356084418499</v>
      </c>
      <c r="KR16" s="54">
        <v>11.40536676066457</v>
      </c>
      <c r="KS16" s="4">
        <v>0</v>
      </c>
      <c r="KT16" s="64">
        <v>0</v>
      </c>
      <c r="KU16" s="64">
        <v>0</v>
      </c>
      <c r="KV16" s="64">
        <v>0</v>
      </c>
      <c r="KW16" s="482">
        <v>0</v>
      </c>
      <c r="KX16" s="36"/>
      <c r="KY16" s="53"/>
      <c r="KZ16" s="53"/>
      <c r="LA16" s="53"/>
      <c r="LB16" s="53"/>
      <c r="LC16" s="33"/>
      <c r="LD16" s="2669"/>
      <c r="LF16" s="1121">
        <f t="shared" si="71"/>
        <v>0</v>
      </c>
      <c r="LG16" s="280">
        <f t="shared" si="72"/>
        <v>0</v>
      </c>
      <c r="LH16" s="280">
        <f t="shared" si="73"/>
        <v>0</v>
      </c>
      <c r="LI16" s="844">
        <f t="shared" si="74"/>
        <v>0</v>
      </c>
      <c r="LJ16" s="36"/>
      <c r="LK16" s="27"/>
      <c r="LL16" s="27"/>
      <c r="LM16" s="33"/>
      <c r="LN16" s="1041">
        <v>6.88</v>
      </c>
      <c r="LO16" s="486" t="s">
        <v>677</v>
      </c>
      <c r="LP16" s="2688"/>
      <c r="LQ16" s="867"/>
      <c r="LR16" s="27"/>
      <c r="LS16" s="27"/>
      <c r="LT16" s="27"/>
      <c r="LU16" s="27"/>
      <c r="LV16" s="1117">
        <f t="shared" si="75"/>
        <v>0</v>
      </c>
      <c r="LW16" s="36"/>
      <c r="LX16" s="36"/>
      <c r="LY16" s="27"/>
      <c r="LZ16" s="27"/>
      <c r="MA16" s="33"/>
      <c r="MB16" s="28">
        <f t="shared" si="76"/>
        <v>0</v>
      </c>
      <c r="MC16" s="36"/>
      <c r="MD16" s="36"/>
      <c r="ME16" s="27"/>
      <c r="MF16" s="27"/>
      <c r="MG16" s="33"/>
      <c r="MH16" s="28"/>
      <c r="MI16" s="36"/>
      <c r="MJ16" s="36"/>
      <c r="MK16" s="27"/>
      <c r="ML16" s="27"/>
      <c r="MM16" s="27"/>
      <c r="MN16" s="28"/>
      <c r="MO16" s="36"/>
      <c r="MP16" s="36"/>
      <c r="MQ16" s="27"/>
      <c r="MR16" s="27"/>
      <c r="MS16" s="27"/>
      <c r="MT16" s="33">
        <f t="shared" si="77"/>
        <v>0</v>
      </c>
      <c r="MU16" s="2688"/>
      <c r="MW16" s="26">
        <f t="shared" si="78"/>
        <v>248530.91478124581</v>
      </c>
      <c r="MX16" s="27">
        <f t="shared" si="79"/>
        <v>240913.07929571753</v>
      </c>
      <c r="MY16" s="27">
        <f t="shared" si="80"/>
        <v>20739.525608283046</v>
      </c>
      <c r="MZ16" s="28">
        <f t="shared" si="81"/>
        <v>441844.87467809115</v>
      </c>
      <c r="NA16" s="2621"/>
      <c r="NB16" s="23">
        <f t="shared" si="82"/>
        <v>242764.62650315012</v>
      </c>
      <c r="NC16" s="64">
        <f t="shared" si="83"/>
        <v>5766.2882780956907</v>
      </c>
      <c r="ND16" s="60">
        <f t="shared" si="84"/>
        <v>0</v>
      </c>
      <c r="NE16" s="275">
        <f t="shared" si="4"/>
        <v>248530.91478124581</v>
      </c>
      <c r="NF16" s="26">
        <f t="shared" si="136"/>
        <v>0</v>
      </c>
      <c r="NG16" s="27">
        <f t="shared" si="137"/>
        <v>0</v>
      </c>
      <c r="NH16" s="27">
        <f t="shared" si="138"/>
        <v>0</v>
      </c>
      <c r="NI16" s="27">
        <f t="shared" si="139"/>
        <v>0</v>
      </c>
      <c r="NJ16" s="27">
        <f t="shared" si="140"/>
        <v>0</v>
      </c>
      <c r="NK16" s="33">
        <f t="shared" si="141"/>
        <v>0</v>
      </c>
      <c r="NL16" s="27">
        <f t="shared" si="142"/>
        <v>0</v>
      </c>
      <c r="NM16" s="36">
        <f t="shared" si="143"/>
        <v>0</v>
      </c>
      <c r="NN16" s="27">
        <f t="shared" si="144"/>
        <v>51883.156549275998</v>
      </c>
      <c r="NO16" s="27">
        <f t="shared" si="145"/>
        <v>0</v>
      </c>
      <c r="NP16" s="24">
        <f t="shared" si="146"/>
        <v>8756.5482322711578</v>
      </c>
      <c r="NQ16" s="24">
        <f t="shared" si="147"/>
        <v>10954.2345856876</v>
      </c>
      <c r="NR16" s="27">
        <f t="shared" si="0"/>
        <v>71593.939367234765</v>
      </c>
      <c r="NS16" s="27">
        <f t="shared" si="86"/>
        <v>0</v>
      </c>
      <c r="NT16" s="27">
        <f t="shared" si="87"/>
        <v>0</v>
      </c>
      <c r="NU16" s="27">
        <f t="shared" si="88"/>
        <v>0</v>
      </c>
      <c r="NV16" s="27">
        <f t="shared" si="89"/>
        <v>0</v>
      </c>
      <c r="NW16" s="27">
        <f t="shared" si="90"/>
        <v>0</v>
      </c>
      <c r="NX16" s="27">
        <f t="shared" si="91"/>
        <v>0</v>
      </c>
      <c r="NY16" s="27">
        <f t="shared" si="92"/>
        <v>5555.5481519076275</v>
      </c>
      <c r="NZ16" s="27">
        <f t="shared" si="93"/>
        <v>0</v>
      </c>
      <c r="OA16" s="27">
        <f t="shared" si="94"/>
        <v>28490.614759987777</v>
      </c>
      <c r="OB16" s="280"/>
      <c r="OC16" s="24">
        <f t="shared" si="95"/>
        <v>3403.7241844007053</v>
      </c>
      <c r="OD16" s="27">
        <f t="shared" si="96"/>
        <v>0</v>
      </c>
      <c r="OE16" s="28">
        <f t="shared" si="1"/>
        <v>37449.887096296108</v>
      </c>
      <c r="OF16" s="27">
        <f t="shared" si="152"/>
        <v>0</v>
      </c>
      <c r="OG16" s="27">
        <f t="shared" si="152"/>
        <v>0</v>
      </c>
      <c r="OH16" s="27">
        <f t="shared" si="152"/>
        <v>0</v>
      </c>
      <c r="OI16" s="27">
        <f t="shared" si="152"/>
        <v>0</v>
      </c>
      <c r="OJ16" s="27">
        <f t="shared" si="153"/>
        <v>0</v>
      </c>
      <c r="OK16" s="27">
        <f t="shared" si="152"/>
        <v>0</v>
      </c>
      <c r="OL16" s="24">
        <v>0</v>
      </c>
      <c r="OM16" s="27">
        <f t="shared" si="154"/>
        <v>0</v>
      </c>
      <c r="ON16" s="24">
        <f t="shared" si="155"/>
        <v>125628.59851377799</v>
      </c>
      <c r="OO16" s="27">
        <f t="shared" si="156"/>
        <v>0</v>
      </c>
      <c r="OP16" s="27">
        <f t="shared" si="157"/>
        <v>6240.6543184086804</v>
      </c>
      <c r="OQ16" s="27">
        <f t="shared" si="158"/>
        <v>0</v>
      </c>
      <c r="OR16" s="28">
        <f t="shared" si="2"/>
        <v>131869.25283218667</v>
      </c>
      <c r="OS16" s="36"/>
      <c r="OT16" s="27"/>
      <c r="OU16" s="27"/>
      <c r="OV16" s="27"/>
      <c r="OW16" s="27"/>
      <c r="OX16" s="27"/>
      <c r="OY16" s="28">
        <f t="shared" si="98"/>
        <v>0</v>
      </c>
      <c r="OZ16" s="36">
        <f t="shared" si="99"/>
        <v>0</v>
      </c>
      <c r="PA16" s="27">
        <f t="shared" si="100"/>
        <v>0</v>
      </c>
      <c r="PB16" s="27">
        <f t="shared" si="101"/>
        <v>0</v>
      </c>
      <c r="PC16" s="27">
        <f t="shared" si="102"/>
        <v>0</v>
      </c>
      <c r="PD16" s="27">
        <f t="shared" si="103"/>
        <v>0</v>
      </c>
      <c r="PE16" s="27">
        <f t="shared" si="104"/>
        <v>0</v>
      </c>
      <c r="PF16" s="33">
        <f t="shared" si="3"/>
        <v>0</v>
      </c>
      <c r="PG16" s="2621"/>
      <c r="PI16" s="1446">
        <v>864.6</v>
      </c>
      <c r="PJ16" s="3">
        <v>615.00000000000011</v>
      </c>
      <c r="PK16" s="3">
        <v>307.50000000000006</v>
      </c>
      <c r="PL16" s="3">
        <f t="shared" si="148"/>
        <v>0</v>
      </c>
      <c r="PM16" s="3">
        <v>0</v>
      </c>
      <c r="PN16" s="11">
        <f t="shared" si="150"/>
        <v>20739.525608283046</v>
      </c>
      <c r="PO16" s="15"/>
      <c r="PP16" s="2615"/>
      <c r="PR16" s="4"/>
      <c r="PS16" s="9"/>
      <c r="PT16" s="9"/>
      <c r="PU16" s="9"/>
      <c r="PV16" s="9"/>
      <c r="PW16" s="9"/>
      <c r="PX16" s="8">
        <f t="shared" si="105"/>
        <v>0</v>
      </c>
      <c r="PY16" s="5">
        <f t="shared" si="106"/>
        <v>864.6</v>
      </c>
      <c r="PZ16" s="5"/>
      <c r="QA16" s="5"/>
      <c r="QB16" s="5"/>
      <c r="QC16" s="5"/>
      <c r="QD16" s="5"/>
      <c r="QE16" s="12">
        <f t="shared" si="107"/>
        <v>29749.381073161156</v>
      </c>
      <c r="QF16" s="420">
        <f t="shared" si="108"/>
        <v>412095.49360493</v>
      </c>
      <c r="QG16" s="1106">
        <f t="shared" si="109"/>
        <v>0</v>
      </c>
      <c r="QH16" s="484">
        <f t="shared" si="110"/>
        <v>5505.3678056100007</v>
      </c>
      <c r="QI16" s="12"/>
      <c r="QJ16" s="2615"/>
      <c r="QL16" s="139">
        <f t="shared" si="111"/>
        <v>0</v>
      </c>
      <c r="QM16" s="139" t="str">
        <f t="shared" si="112"/>
        <v/>
      </c>
      <c r="QO16" s="139">
        <f t="shared" si="113"/>
        <v>0</v>
      </c>
      <c r="QP16" s="139">
        <f t="shared" si="114"/>
        <v>0</v>
      </c>
      <c r="QR16" s="1">
        <f t="shared" si="115"/>
        <v>0</v>
      </c>
      <c r="QS16" s="1">
        <f t="shared" si="116"/>
        <v>0</v>
      </c>
      <c r="QT16" s="1">
        <f t="shared" si="117"/>
        <v>0</v>
      </c>
      <c r="QU16" s="1">
        <f t="shared" si="118"/>
        <v>0</v>
      </c>
      <c r="QV16" s="1">
        <f t="shared" si="119"/>
        <v>0</v>
      </c>
      <c r="QW16" s="1">
        <f t="shared" si="120"/>
        <v>0</v>
      </c>
      <c r="QY16" s="1">
        <f t="shared" si="121"/>
        <v>0</v>
      </c>
      <c r="QZ16" s="1">
        <f t="shared" si="122"/>
        <v>0</v>
      </c>
      <c r="RA16" s="1">
        <f t="shared" si="123"/>
        <v>0</v>
      </c>
      <c r="RB16" s="1">
        <f t="shared" si="124"/>
        <v>0</v>
      </c>
      <c r="RC16" s="1">
        <f t="shared" si="125"/>
        <v>0</v>
      </c>
      <c r="RD16" s="1">
        <f t="shared" si="126"/>
        <v>0</v>
      </c>
      <c r="RG16" s="1">
        <v>7</v>
      </c>
      <c r="RH16" s="1">
        <f t="shared" si="127"/>
        <v>51284.551751083156</v>
      </c>
      <c r="RI16" s="1">
        <f t="shared" si="127"/>
        <v>9048.7035498622809</v>
      </c>
      <c r="RJ16" s="1">
        <f t="shared" si="127"/>
        <v>9178.5689913333827</v>
      </c>
      <c r="RK16" s="89">
        <f t="shared" si="5"/>
        <v>69511.824292278819</v>
      </c>
      <c r="RL16" s="1033">
        <v>7</v>
      </c>
      <c r="RM16" s="1098">
        <v>0</v>
      </c>
      <c r="RN16" s="1098">
        <f t="shared" si="128"/>
        <v>0</v>
      </c>
      <c r="RO16" s="1097">
        <f t="shared" si="129"/>
        <v>0</v>
      </c>
      <c r="RP16" s="1097">
        <f t="shared" si="151"/>
        <v>4005.5999999999995</v>
      </c>
      <c r="RQ16" s="1094"/>
      <c r="RR16" s="1094" t="s">
        <v>678</v>
      </c>
      <c r="RU16" s="421">
        <v>7</v>
      </c>
      <c r="RV16" s="1095">
        <f t="shared" si="130"/>
        <v>10840.58</v>
      </c>
      <c r="RW16" s="1094" t="s">
        <v>679</v>
      </c>
      <c r="RY16" s="1090"/>
      <c r="RZ16" s="1090">
        <f t="shared" si="131"/>
        <v>-262.05999999999949</v>
      </c>
      <c r="SA16" s="1090"/>
      <c r="SB16" s="1090">
        <f t="shared" si="132"/>
        <v>0</v>
      </c>
      <c r="SD16" s="1">
        <v>7</v>
      </c>
      <c r="SE16" s="1">
        <f t="shared" si="133"/>
        <v>0</v>
      </c>
      <c r="SF16" s="1094"/>
    </row>
    <row r="17" spans="1:500" s="1" customFormat="1">
      <c r="B17" s="471">
        <v>8</v>
      </c>
      <c r="C17" s="4">
        <f t="shared" si="6"/>
        <v>98325</v>
      </c>
      <c r="D17" s="64">
        <f t="shared" si="134"/>
        <v>6790.92</v>
      </c>
      <c r="E17" s="61">
        <f t="shared" si="7"/>
        <v>14.478892403385696</v>
      </c>
      <c r="F17" s="870"/>
      <c r="G17" s="870"/>
      <c r="H17" s="52">
        <v>48</v>
      </c>
      <c r="I17" s="61">
        <v>11.17</v>
      </c>
      <c r="J17" s="52"/>
      <c r="K17" s="54"/>
      <c r="L17" s="52">
        <v>18.25</v>
      </c>
      <c r="M17" s="61">
        <v>8.3800000000000008</v>
      </c>
      <c r="N17" s="2629"/>
      <c r="O17" s="4">
        <f t="shared" si="8"/>
        <v>56994</v>
      </c>
      <c r="P17" s="1225">
        <f t="shared" si="9"/>
        <v>3765.7200000000003</v>
      </c>
      <c r="Q17" s="64">
        <f t="shared" si="10"/>
        <v>15.134954271693061</v>
      </c>
      <c r="R17" s="33"/>
      <c r="S17" s="26">
        <f t="shared" si="11"/>
        <v>22422</v>
      </c>
      <c r="T17" s="27">
        <f t="shared" si="12"/>
        <v>732.68000000000006</v>
      </c>
      <c r="U17" s="53">
        <f t="shared" si="13"/>
        <v>30.602718785827371</v>
      </c>
      <c r="W17" s="26">
        <f t="shared" si="14"/>
        <v>18769</v>
      </c>
      <c r="X17" s="5">
        <f t="shared" si="15"/>
        <v>1664</v>
      </c>
      <c r="Y17" s="53">
        <f t="shared" si="16"/>
        <v>11.279447115384615</v>
      </c>
      <c r="Z17" s="33"/>
      <c r="AA17" s="26">
        <f t="shared" si="17"/>
        <v>140</v>
      </c>
      <c r="AB17" s="27">
        <f t="shared" si="18"/>
        <v>628.52</v>
      </c>
      <c r="AC17" s="53">
        <f t="shared" si="19"/>
        <v>0.22274549735887483</v>
      </c>
      <c r="AD17" s="28"/>
      <c r="AE17" s="36"/>
      <c r="AF17" s="36"/>
      <c r="AG17" s="53">
        <f t="shared" si="20"/>
        <v>0</v>
      </c>
      <c r="AH17" s="28"/>
      <c r="AI17" s="26"/>
      <c r="AJ17" s="27"/>
      <c r="AK17" s="53">
        <f t="shared" si="21"/>
        <v>0</v>
      </c>
      <c r="AL17" s="28"/>
      <c r="AM17" s="2629"/>
      <c r="AN17" s="9"/>
      <c r="AO17" s="5"/>
      <c r="AP17" s="61">
        <f t="shared" si="22"/>
        <v>0</v>
      </c>
      <c r="AQ17" s="36"/>
      <c r="AR17" s="53"/>
      <c r="AS17" s="61">
        <f t="shared" si="23"/>
        <v>0</v>
      </c>
      <c r="AT17" s="36">
        <v>0</v>
      </c>
      <c r="AU17" s="27"/>
      <c r="AV17" s="61">
        <f t="shared" si="24"/>
        <v>0</v>
      </c>
      <c r="AW17" s="36">
        <v>34944</v>
      </c>
      <c r="AX17" s="27">
        <v>2512.48</v>
      </c>
      <c r="AY17" s="61">
        <f t="shared" si="25"/>
        <v>13.908170413296823</v>
      </c>
      <c r="AZ17" s="36"/>
      <c r="BA17" s="27"/>
      <c r="BB17" s="61">
        <f t="shared" si="26"/>
        <v>0</v>
      </c>
      <c r="BC17" s="36">
        <v>22050</v>
      </c>
      <c r="BD17" s="27">
        <v>1253.24</v>
      </c>
      <c r="BE17" s="61">
        <f t="shared" si="27"/>
        <v>17.594395327311609</v>
      </c>
      <c r="BF17" s="36"/>
      <c r="BG17" s="53"/>
      <c r="BH17" s="61">
        <f t="shared" si="28"/>
        <v>0</v>
      </c>
      <c r="BI17" s="36">
        <v>0</v>
      </c>
      <c r="BJ17" s="53">
        <v>0</v>
      </c>
      <c r="BK17" s="61">
        <f t="shared" si="29"/>
        <v>0</v>
      </c>
      <c r="BL17" s="52">
        <v>22422</v>
      </c>
      <c r="BM17" s="53">
        <v>732.68000000000006</v>
      </c>
      <c r="BN17" s="61">
        <f t="shared" si="30"/>
        <v>30.602718785827371</v>
      </c>
      <c r="BO17" s="36">
        <v>140</v>
      </c>
      <c r="BP17" s="53">
        <v>628.52</v>
      </c>
      <c r="BQ17" s="61">
        <f t="shared" si="31"/>
        <v>0.22274549735887483</v>
      </c>
      <c r="BR17" s="36"/>
      <c r="BS17" s="53"/>
      <c r="BT17" s="61">
        <f t="shared" si="32"/>
        <v>0</v>
      </c>
      <c r="BU17" s="36">
        <v>18769</v>
      </c>
      <c r="BV17" s="27">
        <v>1664</v>
      </c>
      <c r="BW17" s="28">
        <f t="shared" si="33"/>
        <v>11.279447115384615</v>
      </c>
      <c r="BX17" s="26"/>
      <c r="BY17" s="27"/>
      <c r="BZ17" s="61">
        <f t="shared" si="34"/>
        <v>0</v>
      </c>
      <c r="CA17" s="36"/>
      <c r="CB17" s="481"/>
      <c r="CC17" s="482">
        <f t="shared" si="35"/>
        <v>0</v>
      </c>
      <c r="CD17" s="4"/>
      <c r="CE17" s="5"/>
      <c r="CF17" s="28">
        <f t="shared" si="36"/>
        <v>0</v>
      </c>
      <c r="CG17" s="150"/>
      <c r="CH17" s="4">
        <v>0</v>
      </c>
      <c r="CI17" s="5">
        <v>0</v>
      </c>
      <c r="CJ17" s="5">
        <v>0</v>
      </c>
      <c r="CK17" s="5">
        <v>6162</v>
      </c>
      <c r="CL17" s="5"/>
      <c r="CM17" s="5">
        <f t="shared" si="135"/>
        <v>6162</v>
      </c>
      <c r="CN17" s="33"/>
      <c r="CO17" s="366"/>
      <c r="CQ17" s="4">
        <f t="shared" si="37"/>
        <v>0</v>
      </c>
      <c r="CR17" s="9">
        <f t="shared" si="38"/>
        <v>0</v>
      </c>
      <c r="CS17" s="5">
        <f t="shared" si="39"/>
        <v>0</v>
      </c>
      <c r="CT17" s="5">
        <f t="shared" si="40"/>
        <v>0</v>
      </c>
      <c r="CU17" s="5">
        <f t="shared" si="41"/>
        <v>0</v>
      </c>
      <c r="CV17" s="5">
        <f t="shared" si="42"/>
        <v>0</v>
      </c>
      <c r="CW17" s="5">
        <f t="shared" si="43"/>
        <v>1099.96</v>
      </c>
      <c r="CX17" s="5">
        <f t="shared" si="44"/>
        <v>0</v>
      </c>
      <c r="CY17" s="5">
        <f t="shared" si="45"/>
        <v>5376.24</v>
      </c>
      <c r="CZ17" s="5">
        <f t="shared" si="46"/>
        <v>0</v>
      </c>
      <c r="DA17" s="5">
        <f t="shared" si="47"/>
        <v>314.71999999999997</v>
      </c>
      <c r="DB17" s="12">
        <f t="shared" si="48"/>
        <v>0</v>
      </c>
      <c r="DC17" s="310">
        <f t="shared" si="49"/>
        <v>6790.92</v>
      </c>
      <c r="DD17" s="2695"/>
      <c r="DE17" s="9"/>
      <c r="DF17" s="9"/>
      <c r="DG17" s="5"/>
      <c r="DH17" s="5"/>
      <c r="DI17" s="5"/>
      <c r="DJ17" s="5"/>
      <c r="DK17" s="5">
        <v>1099.96</v>
      </c>
      <c r="DL17" s="5"/>
      <c r="DM17" s="5">
        <v>1412.52</v>
      </c>
      <c r="DN17" s="5"/>
      <c r="DO17" s="5"/>
      <c r="DP17" s="12"/>
      <c r="DQ17" s="28">
        <f t="shared" si="50"/>
        <v>2512.48</v>
      </c>
      <c r="DR17" s="36"/>
      <c r="DS17" s="36"/>
      <c r="DT17" s="27"/>
      <c r="DU17" s="27"/>
      <c r="DV17" s="5"/>
      <c r="DW17" s="5"/>
      <c r="DX17" s="5"/>
      <c r="DY17" s="5"/>
      <c r="DZ17" s="5">
        <v>2299.7199999999998</v>
      </c>
      <c r="EA17" s="53"/>
      <c r="EB17" s="27">
        <v>314.71999999999997</v>
      </c>
      <c r="EC17" s="33"/>
      <c r="ED17" s="28">
        <f t="shared" si="51"/>
        <v>2614.4399999999996</v>
      </c>
      <c r="EE17" s="9"/>
      <c r="EF17" s="9"/>
      <c r="EG17" s="5"/>
      <c r="EH17" s="492"/>
      <c r="EI17" s="27"/>
      <c r="EJ17" s="27"/>
      <c r="EK17" s="27"/>
      <c r="EL17" s="27"/>
      <c r="EM17" s="27">
        <v>1664</v>
      </c>
      <c r="EN17" s="27"/>
      <c r="EO17" s="27"/>
      <c r="EP17" s="33"/>
      <c r="EQ17" s="28">
        <f t="shared" si="52"/>
        <v>1664</v>
      </c>
      <c r="ER17" s="36"/>
      <c r="ES17" s="27"/>
      <c r="ET17" s="27"/>
      <c r="EU17" s="27"/>
      <c r="EV17" s="27"/>
      <c r="EW17" s="27"/>
      <c r="EX17" s="33">
        <f t="shared" si="53"/>
        <v>0</v>
      </c>
      <c r="EY17" s="2685"/>
      <c r="FA17" s="4">
        <f t="shared" si="54"/>
        <v>0</v>
      </c>
      <c r="FB17" s="5">
        <f t="shared" si="55"/>
        <v>0</v>
      </c>
      <c r="FC17" s="5">
        <f t="shared" si="56"/>
        <v>0</v>
      </c>
      <c r="FD17" s="12">
        <f t="shared" si="57"/>
        <v>0</v>
      </c>
      <c r="FE17" s="33"/>
      <c r="FF17" s="2674"/>
      <c r="FG17" s="9"/>
      <c r="FH17" s="5"/>
      <c r="FI17" s="5"/>
      <c r="FJ17" s="5"/>
      <c r="FK17" s="5"/>
      <c r="FL17" s="27"/>
      <c r="FM17" s="28">
        <f t="shared" si="58"/>
        <v>0</v>
      </c>
      <c r="FN17" s="36"/>
      <c r="FO17" s="27"/>
      <c r="FP17" s="27"/>
      <c r="FQ17" s="27"/>
      <c r="FR17" s="27"/>
      <c r="FS17" s="27"/>
      <c r="FT17" s="28">
        <f t="shared" si="59"/>
        <v>0</v>
      </c>
      <c r="FU17" s="36"/>
      <c r="FV17" s="36"/>
      <c r="FW17" s="27"/>
      <c r="FX17" s="27"/>
      <c r="FY17" s="27"/>
      <c r="FZ17" s="27"/>
      <c r="GA17" s="27"/>
      <c r="GB17" s="27"/>
      <c r="GC17" s="27"/>
      <c r="GD17" s="27"/>
      <c r="GE17" s="27"/>
      <c r="GF17" s="33"/>
      <c r="GG17" s="33">
        <f t="shared" si="60"/>
        <v>0</v>
      </c>
      <c r="GH17" s="2674"/>
      <c r="GJ17" s="4">
        <f t="shared" si="61"/>
        <v>0</v>
      </c>
      <c r="GK17" s="64">
        <f t="shared" si="62"/>
        <v>2344.4600000000005</v>
      </c>
      <c r="GL17" s="53">
        <f t="shared" si="63"/>
        <v>4765.99</v>
      </c>
      <c r="GM17" s="53">
        <f t="shared" si="64"/>
        <v>7110.4500000000007</v>
      </c>
      <c r="GN17" s="141"/>
      <c r="GO17" s="141"/>
      <c r="GP17" s="33"/>
      <c r="GQ17" s="2667"/>
      <c r="GR17" s="1120">
        <v>2446.0500000000002</v>
      </c>
      <c r="GS17" s="280"/>
      <c r="GT17" s="27">
        <v>3089.7200000000003</v>
      </c>
      <c r="GU17" s="27">
        <v>1574.68</v>
      </c>
      <c r="GV17" s="54">
        <f t="shared" si="65"/>
        <v>7110.4500000000007</v>
      </c>
      <c r="GW17" s="2667"/>
      <c r="GX17" s="36"/>
      <c r="GY17" s="36"/>
      <c r="GZ17" s="27"/>
      <c r="HA17" s="27"/>
      <c r="HB17" s="27"/>
      <c r="HC17" s="27"/>
      <c r="HD17" s="27"/>
      <c r="HE17" s="27"/>
      <c r="HF17" s="27"/>
      <c r="HG17" s="27"/>
      <c r="HH17" s="27"/>
      <c r="HI17" s="27"/>
      <c r="HJ17" s="27"/>
      <c r="HK17" s="27"/>
      <c r="HL17" s="28">
        <f t="shared" si="66"/>
        <v>0</v>
      </c>
      <c r="HM17" s="36"/>
      <c r="HN17" s="27"/>
      <c r="HO17" s="27"/>
      <c r="HP17" s="27"/>
      <c r="HQ17" s="27"/>
      <c r="HR17" s="27"/>
      <c r="HS17" s="27"/>
      <c r="HT17" s="27"/>
      <c r="HU17" s="27"/>
      <c r="HV17" s="27"/>
      <c r="HW17" s="27"/>
      <c r="HX17" s="27"/>
      <c r="HY17" s="27"/>
      <c r="HZ17" s="27"/>
      <c r="IA17" s="33">
        <f t="shared" si="67"/>
        <v>0</v>
      </c>
      <c r="IB17" s="52"/>
      <c r="IC17" s="152"/>
      <c r="ID17" s="53"/>
      <c r="IE17" s="53"/>
      <c r="IF17" s="64"/>
      <c r="IG17" s="64"/>
      <c r="IH17" s="64"/>
      <c r="II17" s="64"/>
      <c r="IJ17" s="53">
        <v>2344.4600000000005</v>
      </c>
      <c r="IK17" s="53"/>
      <c r="IL17" s="53"/>
      <c r="IM17" s="53"/>
      <c r="IN17" s="53"/>
      <c r="IO17" s="53"/>
      <c r="IP17" s="61">
        <f t="shared" si="68"/>
        <v>2344.4600000000005</v>
      </c>
      <c r="IQ17" s="36"/>
      <c r="IR17" s="36"/>
      <c r="IS17" s="27"/>
      <c r="IT17" s="27"/>
      <c r="IU17" s="53"/>
      <c r="IV17" s="27"/>
      <c r="IW17" s="53"/>
      <c r="IX17" s="27"/>
      <c r="IY17" s="27">
        <v>4765.99</v>
      </c>
      <c r="IZ17" s="27"/>
      <c r="JA17" s="27"/>
      <c r="JB17" s="27"/>
      <c r="JC17" s="27"/>
      <c r="JD17" s="27"/>
      <c r="JE17" s="33">
        <f t="shared" si="69"/>
        <v>4765.99</v>
      </c>
      <c r="JF17" s="2667"/>
      <c r="JH17" s="52">
        <v>7110.4500000000007</v>
      </c>
      <c r="JI17" s="152"/>
      <c r="JJ17" s="53"/>
      <c r="JK17" s="53">
        <f t="shared" si="70"/>
        <v>7110.4500000000007</v>
      </c>
      <c r="JL17" s="33"/>
      <c r="JM17" s="2669"/>
      <c r="JN17" s="69"/>
      <c r="JO17" s="70"/>
      <c r="JP17" s="70"/>
      <c r="JQ17" s="70"/>
      <c r="JR17" s="70">
        <v>1</v>
      </c>
      <c r="JS17" s="70"/>
      <c r="JT17" s="70"/>
      <c r="JU17" s="71"/>
      <c r="JV17" s="69"/>
      <c r="JW17" s="70"/>
      <c r="JX17" s="70"/>
      <c r="JY17" s="70"/>
      <c r="JZ17" s="70"/>
      <c r="KA17" s="70"/>
      <c r="KB17" s="70"/>
      <c r="KC17" s="71"/>
      <c r="KD17" s="69"/>
      <c r="KE17" s="70"/>
      <c r="KF17" s="70"/>
      <c r="KG17" s="70"/>
      <c r="KH17" s="70"/>
      <c r="KI17" s="70"/>
      <c r="KJ17" s="70"/>
      <c r="KK17" s="70"/>
      <c r="KL17" s="33"/>
      <c r="KM17" s="2669"/>
      <c r="KN17" s="36">
        <v>6933.7660283097421</v>
      </c>
      <c r="KO17" s="53">
        <v>0.73031640299750211</v>
      </c>
      <c r="KP17" s="53">
        <v>4.0078184845961697</v>
      </c>
      <c r="KQ17" s="53">
        <v>6.467227310574521</v>
      </c>
      <c r="KR17" s="54">
        <v>10.951925368859285</v>
      </c>
      <c r="KS17" s="4">
        <v>0</v>
      </c>
      <c r="KT17" s="64">
        <v>0</v>
      </c>
      <c r="KU17" s="64">
        <v>0</v>
      </c>
      <c r="KV17" s="64">
        <v>0</v>
      </c>
      <c r="KW17" s="482">
        <v>0</v>
      </c>
      <c r="KX17" s="36"/>
      <c r="KY17" s="53"/>
      <c r="KZ17" s="53"/>
      <c r="LA17" s="53"/>
      <c r="LB17" s="53"/>
      <c r="LC17" s="33"/>
      <c r="LD17" s="2669"/>
      <c r="LF17" s="26">
        <f t="shared" si="71"/>
        <v>0</v>
      </c>
      <c r="LG17" s="27">
        <f t="shared" si="72"/>
        <v>0</v>
      </c>
      <c r="LH17" s="27">
        <f t="shared" si="73"/>
        <v>0</v>
      </c>
      <c r="LI17" s="28">
        <f t="shared" si="74"/>
        <v>0</v>
      </c>
      <c r="LJ17" s="36"/>
      <c r="LK17" s="27">
        <v>1</v>
      </c>
      <c r="LL17" s="27">
        <v>4</v>
      </c>
      <c r="LM17" s="33"/>
      <c r="LN17" s="1041">
        <v>6.76</v>
      </c>
      <c r="LO17" s="486" t="s">
        <v>680</v>
      </c>
      <c r="LP17" s="2688"/>
      <c r="LQ17" s="21"/>
      <c r="LR17" s="27"/>
      <c r="LS17" s="27"/>
      <c r="LT17" s="27"/>
      <c r="LU17" s="27"/>
      <c r="LV17" s="1117">
        <f t="shared" si="75"/>
        <v>0</v>
      </c>
      <c r="LW17" s="36"/>
      <c r="LX17" s="36"/>
      <c r="LY17" s="27"/>
      <c r="LZ17" s="27"/>
      <c r="MA17" s="33"/>
      <c r="MB17" s="28">
        <f t="shared" si="76"/>
        <v>0</v>
      </c>
      <c r="MC17" s="26"/>
      <c r="MD17" s="36"/>
      <c r="ME17" s="27"/>
      <c r="MF17" s="27"/>
      <c r="MG17" s="27"/>
      <c r="MH17" s="28"/>
      <c r="MI17" s="36"/>
      <c r="MJ17" s="36"/>
      <c r="MK17" s="27"/>
      <c r="ML17" s="27"/>
      <c r="MM17" s="27"/>
      <c r="MN17" s="28"/>
      <c r="MO17" s="36"/>
      <c r="MP17" s="36"/>
      <c r="MQ17" s="27"/>
      <c r="MR17" s="27"/>
      <c r="MS17" s="27"/>
      <c r="MT17" s="33">
        <f t="shared" si="77"/>
        <v>0</v>
      </c>
      <c r="MU17" s="2688"/>
      <c r="MW17" s="26">
        <f t="shared" si="78"/>
        <v>255641.36478124582</v>
      </c>
      <c r="MX17" s="27">
        <f t="shared" si="79"/>
        <v>240593.54929571756</v>
      </c>
      <c r="MY17" s="27">
        <f t="shared" si="80"/>
        <v>20853.525608283046</v>
      </c>
      <c r="MZ17" s="28">
        <f t="shared" si="81"/>
        <v>441500.47467809112</v>
      </c>
      <c r="NA17" s="2621"/>
      <c r="NB17" s="23">
        <f t="shared" si="82"/>
        <v>249875.07650315014</v>
      </c>
      <c r="NC17" s="64">
        <f t="shared" si="83"/>
        <v>5766.2882780956907</v>
      </c>
      <c r="ND17" s="60">
        <f t="shared" si="84"/>
        <v>0</v>
      </c>
      <c r="NE17" s="275">
        <f t="shared" si="4"/>
        <v>255641.36478124582</v>
      </c>
      <c r="NF17" s="26">
        <f t="shared" si="136"/>
        <v>0</v>
      </c>
      <c r="NG17" s="27">
        <f t="shared" si="137"/>
        <v>0</v>
      </c>
      <c r="NH17" s="27">
        <f t="shared" si="138"/>
        <v>0</v>
      </c>
      <c r="NI17" s="27">
        <f t="shared" si="139"/>
        <v>0</v>
      </c>
      <c r="NJ17" s="27">
        <f t="shared" si="140"/>
        <v>0</v>
      </c>
      <c r="NK17" s="33">
        <f t="shared" si="141"/>
        <v>0</v>
      </c>
      <c r="NL17" s="27">
        <f t="shared" si="142"/>
        <v>0</v>
      </c>
      <c r="NM17" s="36">
        <f t="shared" si="143"/>
        <v>0</v>
      </c>
      <c r="NN17" s="27">
        <f t="shared" si="144"/>
        <v>53547.156549275998</v>
      </c>
      <c r="NO17" s="27">
        <f t="shared" si="145"/>
        <v>0</v>
      </c>
      <c r="NP17" s="24">
        <f t="shared" si="146"/>
        <v>8756.5482322711578</v>
      </c>
      <c r="NQ17" s="24">
        <f t="shared" si="147"/>
        <v>10954.2345856876</v>
      </c>
      <c r="NR17" s="27">
        <f t="shared" si="0"/>
        <v>73257.939367234765</v>
      </c>
      <c r="NS17" s="27">
        <f t="shared" si="86"/>
        <v>0</v>
      </c>
      <c r="NT17" s="27">
        <f t="shared" si="87"/>
        <v>0</v>
      </c>
      <c r="NU17" s="27">
        <f t="shared" si="88"/>
        <v>0</v>
      </c>
      <c r="NV17" s="27">
        <f t="shared" si="89"/>
        <v>0</v>
      </c>
      <c r="NW17" s="27">
        <f t="shared" si="90"/>
        <v>0</v>
      </c>
      <c r="NX17" s="27">
        <f t="shared" si="91"/>
        <v>0</v>
      </c>
      <c r="NY17" s="27">
        <f t="shared" si="92"/>
        <v>6655.5081519076275</v>
      </c>
      <c r="NZ17" s="27">
        <f t="shared" si="93"/>
        <v>0</v>
      </c>
      <c r="OA17" s="27">
        <f t="shared" si="94"/>
        <v>27558.674759987778</v>
      </c>
      <c r="OB17" s="280"/>
      <c r="OC17" s="24">
        <f t="shared" si="95"/>
        <v>3403.7241844007053</v>
      </c>
      <c r="OD17" s="27">
        <f t="shared" si="96"/>
        <v>0</v>
      </c>
      <c r="OE17" s="28">
        <f t="shared" si="1"/>
        <v>37617.907096296112</v>
      </c>
      <c r="OF17" s="27">
        <f t="shared" si="152"/>
        <v>0</v>
      </c>
      <c r="OG17" s="27">
        <f t="shared" si="152"/>
        <v>0</v>
      </c>
      <c r="OH17" s="27">
        <f t="shared" si="152"/>
        <v>0</v>
      </c>
      <c r="OI17" s="27">
        <f t="shared" si="152"/>
        <v>0</v>
      </c>
      <c r="OJ17" s="27">
        <f t="shared" si="153"/>
        <v>0</v>
      </c>
      <c r="OK17" s="27">
        <f t="shared" si="152"/>
        <v>0</v>
      </c>
      <c r="OL17" s="24">
        <f t="shared" ref="OL17:OL25" si="159">+OL16+DX17+GA17-IW17</f>
        <v>0</v>
      </c>
      <c r="OM17" s="27">
        <f t="shared" si="154"/>
        <v>0</v>
      </c>
      <c r="ON17" s="24">
        <f t="shared" si="155"/>
        <v>123162.32851377799</v>
      </c>
      <c r="OO17" s="27">
        <f t="shared" si="156"/>
        <v>0</v>
      </c>
      <c r="OP17" s="27">
        <f t="shared" si="157"/>
        <v>6555.3743184086807</v>
      </c>
      <c r="OQ17" s="27">
        <f t="shared" si="158"/>
        <v>0</v>
      </c>
      <c r="OR17" s="28">
        <f t="shared" si="2"/>
        <v>129717.70283218667</v>
      </c>
      <c r="OS17" s="36"/>
      <c r="OT17" s="27"/>
      <c r="OU17" s="27"/>
      <c r="OV17" s="27"/>
      <c r="OW17" s="27"/>
      <c r="OX17" s="27"/>
      <c r="OY17" s="28">
        <f t="shared" si="98"/>
        <v>0</v>
      </c>
      <c r="OZ17" s="36">
        <f t="shared" si="99"/>
        <v>0</v>
      </c>
      <c r="PA17" s="27">
        <f t="shared" si="100"/>
        <v>0</v>
      </c>
      <c r="PB17" s="27">
        <f t="shared" si="101"/>
        <v>0</v>
      </c>
      <c r="PC17" s="27">
        <f t="shared" si="102"/>
        <v>0</v>
      </c>
      <c r="PD17" s="27">
        <f t="shared" si="103"/>
        <v>0</v>
      </c>
      <c r="PE17" s="27">
        <f t="shared" si="104"/>
        <v>0</v>
      </c>
      <c r="PF17" s="33">
        <f t="shared" si="3"/>
        <v>0</v>
      </c>
      <c r="PG17" s="2621"/>
      <c r="PI17" s="2">
        <v>344.4</v>
      </c>
      <c r="PJ17" s="3">
        <v>228.00000000000006</v>
      </c>
      <c r="PK17" s="3">
        <v>114.00000000000003</v>
      </c>
      <c r="PL17" s="3">
        <f t="shared" si="148"/>
        <v>0</v>
      </c>
      <c r="PM17" s="3">
        <f t="shared" si="149"/>
        <v>116.39999999999992</v>
      </c>
      <c r="PN17" s="11">
        <f t="shared" si="150"/>
        <v>20853.525608283046</v>
      </c>
      <c r="PO17" s="15"/>
      <c r="PP17" s="2615"/>
      <c r="PR17" s="4"/>
      <c r="PS17" s="9"/>
      <c r="PT17" s="9"/>
      <c r="PU17" s="9"/>
      <c r="PV17" s="9"/>
      <c r="PW17" s="9"/>
      <c r="PX17" s="8">
        <f t="shared" si="105"/>
        <v>0</v>
      </c>
      <c r="PY17" s="5">
        <f t="shared" si="106"/>
        <v>344.4</v>
      </c>
      <c r="PZ17" s="5"/>
      <c r="QA17" s="5"/>
      <c r="QB17" s="5"/>
      <c r="QC17" s="5"/>
      <c r="QD17" s="5"/>
      <c r="QE17" s="12">
        <f t="shared" si="107"/>
        <v>29749.381073161156</v>
      </c>
      <c r="QF17" s="420">
        <f t="shared" si="108"/>
        <v>411751.09360492998</v>
      </c>
      <c r="QG17" s="1106">
        <f t="shared" si="109"/>
        <v>0</v>
      </c>
      <c r="QH17" s="484">
        <f t="shared" si="110"/>
        <v>5505.3678056100007</v>
      </c>
      <c r="QI17" s="12"/>
      <c r="QJ17" s="2615"/>
      <c r="QL17" s="139">
        <f t="shared" si="111"/>
        <v>0</v>
      </c>
      <c r="QM17" s="139" t="str">
        <f t="shared" si="112"/>
        <v/>
      </c>
      <c r="QO17" s="139">
        <f t="shared" si="113"/>
        <v>0</v>
      </c>
      <c r="QP17" s="139">
        <f t="shared" si="114"/>
        <v>0</v>
      </c>
      <c r="QR17" s="1">
        <f t="shared" si="115"/>
        <v>0</v>
      </c>
      <c r="QS17" s="1">
        <f t="shared" si="116"/>
        <v>0</v>
      </c>
      <c r="QT17" s="1">
        <f t="shared" si="117"/>
        <v>0</v>
      </c>
      <c r="QU17" s="1">
        <f t="shared" si="118"/>
        <v>0</v>
      </c>
      <c r="QV17" s="1">
        <f t="shared" si="119"/>
        <v>0</v>
      </c>
      <c r="QW17" s="1">
        <f t="shared" si="120"/>
        <v>0</v>
      </c>
      <c r="QY17" s="1">
        <f t="shared" si="121"/>
        <v>0</v>
      </c>
      <c r="QZ17" s="1">
        <f t="shared" si="122"/>
        <v>0</v>
      </c>
      <c r="RA17" s="1">
        <f t="shared" si="123"/>
        <v>0</v>
      </c>
      <c r="RB17" s="1">
        <f t="shared" si="124"/>
        <v>0</v>
      </c>
      <c r="RC17" s="1">
        <f t="shared" si="125"/>
        <v>0</v>
      </c>
      <c r="RD17" s="1">
        <f t="shared" si="126"/>
        <v>0</v>
      </c>
      <c r="RG17" s="1">
        <v>8</v>
      </c>
      <c r="RH17" s="1">
        <f t="shared" si="127"/>
        <v>58395.001751083153</v>
      </c>
      <c r="RI17" s="1">
        <f t="shared" si="127"/>
        <v>9048.7035498622809</v>
      </c>
      <c r="RJ17" s="1">
        <f t="shared" si="127"/>
        <v>9178.5689913333827</v>
      </c>
      <c r="RK17" s="89">
        <f t="shared" si="5"/>
        <v>76622.274292278817</v>
      </c>
      <c r="RL17" s="1033">
        <v>8</v>
      </c>
      <c r="RM17" s="1098">
        <v>0</v>
      </c>
      <c r="RN17" s="1098">
        <f t="shared" si="128"/>
        <v>0</v>
      </c>
      <c r="RO17" s="1097">
        <f t="shared" si="129"/>
        <v>0</v>
      </c>
      <c r="RP17" s="1097">
        <f t="shared" si="151"/>
        <v>4838.5999999999995</v>
      </c>
      <c r="RQ17" s="1096"/>
      <c r="RR17" s="1050" t="s">
        <v>681</v>
      </c>
      <c r="RS17" s="1048"/>
      <c r="RU17" s="421">
        <v>8</v>
      </c>
      <c r="RV17" s="1095">
        <f t="shared" si="130"/>
        <v>7110.4500000000007</v>
      </c>
      <c r="RW17" s="1119" t="s">
        <v>682</v>
      </c>
      <c r="RX17" s="1048"/>
      <c r="RY17" s="1090"/>
      <c r="RZ17" s="1090">
        <f t="shared" si="131"/>
        <v>288.32000000000062</v>
      </c>
      <c r="SA17" s="1090"/>
      <c r="SB17" s="1090">
        <f t="shared" si="132"/>
        <v>0</v>
      </c>
      <c r="SD17" s="1">
        <v>8</v>
      </c>
      <c r="SE17" s="1">
        <f t="shared" si="133"/>
        <v>0</v>
      </c>
    </row>
    <row r="18" spans="1:500" s="1" customFormat="1">
      <c r="B18" s="471">
        <v>9</v>
      </c>
      <c r="C18" s="4">
        <f t="shared" si="6"/>
        <v>119347</v>
      </c>
      <c r="D18" s="64">
        <f t="shared" si="134"/>
        <v>6312.48</v>
      </c>
      <c r="E18" s="61">
        <f t="shared" si="7"/>
        <v>18.906515347375361</v>
      </c>
      <c r="F18" s="870"/>
      <c r="G18" s="870"/>
      <c r="H18" s="52">
        <v>11</v>
      </c>
      <c r="I18" s="61">
        <v>6</v>
      </c>
      <c r="J18" s="52"/>
      <c r="K18" s="54"/>
      <c r="L18" s="52">
        <v>5.5</v>
      </c>
      <c r="M18" s="61">
        <v>6.34</v>
      </c>
      <c r="N18" s="2629"/>
      <c r="O18" s="4">
        <f t="shared" si="8"/>
        <v>73836</v>
      </c>
      <c r="P18" s="1225">
        <f t="shared" si="9"/>
        <v>3972.08</v>
      </c>
      <c r="Q18" s="64">
        <f t="shared" si="10"/>
        <v>18.588749471309743</v>
      </c>
      <c r="R18" s="33"/>
      <c r="S18" s="26">
        <f t="shared" si="11"/>
        <v>20597</v>
      </c>
      <c r="T18" s="27">
        <f t="shared" si="12"/>
        <v>816.42000000000007</v>
      </c>
      <c r="U18" s="53">
        <f t="shared" si="13"/>
        <v>25.228436344038606</v>
      </c>
      <c r="V18" s="15"/>
      <c r="W18" s="26">
        <f t="shared" si="14"/>
        <v>24914</v>
      </c>
      <c r="X18" s="5">
        <f t="shared" si="15"/>
        <v>900</v>
      </c>
      <c r="Y18" s="53">
        <f t="shared" si="16"/>
        <v>27.682222222222222</v>
      </c>
      <c r="Z18" s="33"/>
      <c r="AA18" s="26">
        <f t="shared" si="17"/>
        <v>0</v>
      </c>
      <c r="AB18" s="27">
        <f t="shared" si="18"/>
        <v>623.98</v>
      </c>
      <c r="AC18" s="53">
        <f t="shared" si="19"/>
        <v>0</v>
      </c>
      <c r="AD18" s="28"/>
      <c r="AE18" s="36"/>
      <c r="AF18" s="36"/>
      <c r="AG18" s="53">
        <f t="shared" si="20"/>
        <v>0</v>
      </c>
      <c r="AH18" s="28"/>
      <c r="AI18" s="23"/>
      <c r="AJ18" s="27"/>
      <c r="AK18" s="53">
        <f t="shared" si="21"/>
        <v>0</v>
      </c>
      <c r="AL18" s="28"/>
      <c r="AM18" s="2629"/>
      <c r="AN18" s="9"/>
      <c r="AO18" s="5"/>
      <c r="AP18" s="61">
        <f t="shared" si="22"/>
        <v>0</v>
      </c>
      <c r="AQ18" s="36"/>
      <c r="AR18" s="53"/>
      <c r="AS18" s="61">
        <f t="shared" si="23"/>
        <v>0</v>
      </c>
      <c r="AT18" s="36">
        <v>0</v>
      </c>
      <c r="AU18" s="27"/>
      <c r="AV18" s="61">
        <f t="shared" si="24"/>
        <v>0</v>
      </c>
      <c r="AW18" s="36">
        <v>40320</v>
      </c>
      <c r="AX18" s="27">
        <v>2460.42</v>
      </c>
      <c r="AY18" s="61">
        <f t="shared" si="25"/>
        <v>16.387446045797059</v>
      </c>
      <c r="AZ18" s="36"/>
      <c r="BA18" s="27"/>
      <c r="BB18" s="61">
        <f t="shared" si="26"/>
        <v>0</v>
      </c>
      <c r="BC18" s="36">
        <v>33516</v>
      </c>
      <c r="BD18" s="27">
        <v>1511.6599999999999</v>
      </c>
      <c r="BE18" s="61">
        <f t="shared" si="27"/>
        <v>22.171652355688451</v>
      </c>
      <c r="BF18" s="36"/>
      <c r="BG18" s="53"/>
      <c r="BH18" s="61">
        <f t="shared" si="28"/>
        <v>0</v>
      </c>
      <c r="BI18" s="36">
        <v>0</v>
      </c>
      <c r="BJ18" s="53">
        <v>0</v>
      </c>
      <c r="BK18" s="61">
        <f t="shared" si="29"/>
        <v>0</v>
      </c>
      <c r="BL18" s="52">
        <v>20597</v>
      </c>
      <c r="BM18" s="53">
        <v>816.42000000000007</v>
      </c>
      <c r="BN18" s="482">
        <f t="shared" si="30"/>
        <v>25.228436344038606</v>
      </c>
      <c r="BO18" s="9">
        <v>0</v>
      </c>
      <c r="BP18" s="64">
        <v>623.98</v>
      </c>
      <c r="BQ18" s="482">
        <f t="shared" si="31"/>
        <v>0</v>
      </c>
      <c r="BR18" s="9"/>
      <c r="BS18" s="53"/>
      <c r="BT18" s="482">
        <f t="shared" si="32"/>
        <v>0</v>
      </c>
      <c r="BU18" s="9">
        <v>24914</v>
      </c>
      <c r="BV18" s="27">
        <v>900</v>
      </c>
      <c r="BW18" s="15">
        <f t="shared" si="33"/>
        <v>27.682222222222222</v>
      </c>
      <c r="BX18" s="26"/>
      <c r="BY18" s="27"/>
      <c r="BZ18" s="869">
        <f t="shared" si="34"/>
        <v>0</v>
      </c>
      <c r="CA18" s="9"/>
      <c r="CB18" s="481"/>
      <c r="CC18" s="482">
        <f t="shared" si="35"/>
        <v>0</v>
      </c>
      <c r="CD18" s="4"/>
      <c r="CE18" s="5"/>
      <c r="CF18" s="28">
        <f t="shared" si="36"/>
        <v>0</v>
      </c>
      <c r="CG18" s="150"/>
      <c r="CH18" s="4">
        <v>0</v>
      </c>
      <c r="CI18" s="5">
        <v>0</v>
      </c>
      <c r="CJ18" s="5">
        <v>0</v>
      </c>
      <c r="CK18" s="5">
        <v>6942</v>
      </c>
      <c r="CL18" s="5"/>
      <c r="CM18" s="5">
        <f t="shared" si="135"/>
        <v>6942</v>
      </c>
      <c r="CN18" s="33"/>
      <c r="CO18" s="366"/>
      <c r="CQ18" s="4">
        <f t="shared" si="37"/>
        <v>0</v>
      </c>
      <c r="CR18" s="9">
        <f t="shared" si="38"/>
        <v>0</v>
      </c>
      <c r="CS18" s="5">
        <f t="shared" si="39"/>
        <v>0</v>
      </c>
      <c r="CT18" s="5">
        <f t="shared" si="40"/>
        <v>0</v>
      </c>
      <c r="CU18" s="5">
        <f t="shared" si="41"/>
        <v>0</v>
      </c>
      <c r="CV18" s="5">
        <f t="shared" si="42"/>
        <v>0</v>
      </c>
      <c r="CW18" s="5">
        <f t="shared" si="43"/>
        <v>0</v>
      </c>
      <c r="CX18" s="5">
        <f t="shared" si="44"/>
        <v>0</v>
      </c>
      <c r="CY18" s="5">
        <f t="shared" si="45"/>
        <v>6312.48</v>
      </c>
      <c r="CZ18" s="5">
        <f t="shared" si="46"/>
        <v>0</v>
      </c>
      <c r="DA18" s="5">
        <f t="shared" si="47"/>
        <v>0</v>
      </c>
      <c r="DB18" s="12">
        <f t="shared" si="48"/>
        <v>0</v>
      </c>
      <c r="DC18" s="310">
        <f t="shared" si="49"/>
        <v>6312.48</v>
      </c>
      <c r="DD18" s="2695"/>
      <c r="DE18" s="9"/>
      <c r="DF18" s="9"/>
      <c r="DG18" s="5"/>
      <c r="DH18" s="5"/>
      <c r="DI18" s="5"/>
      <c r="DJ18" s="5"/>
      <c r="DK18" s="5"/>
      <c r="DL18" s="5"/>
      <c r="DM18" s="5">
        <v>2460.42</v>
      </c>
      <c r="DN18" s="5"/>
      <c r="DO18" s="5"/>
      <c r="DP18" s="12"/>
      <c r="DQ18" s="28">
        <f t="shared" si="50"/>
        <v>2460.42</v>
      </c>
      <c r="DR18" s="36"/>
      <c r="DS18" s="36"/>
      <c r="DT18" s="27"/>
      <c r="DU18" s="27"/>
      <c r="DV18" s="5"/>
      <c r="DW18" s="5"/>
      <c r="DX18" s="5"/>
      <c r="DY18" s="5"/>
      <c r="DZ18" s="5">
        <v>2952.06</v>
      </c>
      <c r="EA18" s="53"/>
      <c r="EB18" s="27"/>
      <c r="EC18" s="33"/>
      <c r="ED18" s="28">
        <f t="shared" si="51"/>
        <v>2952.06</v>
      </c>
      <c r="EE18" s="9"/>
      <c r="EF18" s="36"/>
      <c r="EG18" s="5"/>
      <c r="EH18" s="313"/>
      <c r="EI18" s="27"/>
      <c r="EJ18" s="27"/>
      <c r="EK18" s="27"/>
      <c r="EL18" s="27"/>
      <c r="EM18" s="27">
        <v>900</v>
      </c>
      <c r="EN18" s="27"/>
      <c r="EO18" s="27"/>
      <c r="EP18" s="33"/>
      <c r="EQ18" s="28">
        <f t="shared" si="52"/>
        <v>900</v>
      </c>
      <c r="ER18" s="36"/>
      <c r="ES18" s="27"/>
      <c r="ET18" s="27"/>
      <c r="EU18" s="27"/>
      <c r="EV18" s="27"/>
      <c r="EW18" s="27"/>
      <c r="EX18" s="33">
        <f t="shared" si="53"/>
        <v>0</v>
      </c>
      <c r="EY18" s="2685"/>
      <c r="FA18" s="4">
        <f t="shared" si="54"/>
        <v>0</v>
      </c>
      <c r="FB18" s="5">
        <f t="shared" si="55"/>
        <v>0</v>
      </c>
      <c r="FC18" s="5">
        <f t="shared" si="56"/>
        <v>0</v>
      </c>
      <c r="FD18" s="12">
        <f t="shared" si="57"/>
        <v>0</v>
      </c>
      <c r="FE18" s="33"/>
      <c r="FF18" s="2674"/>
      <c r="FG18" s="9"/>
      <c r="FH18" s="5"/>
      <c r="FI18" s="5"/>
      <c r="FJ18" s="5"/>
      <c r="FK18" s="5"/>
      <c r="FL18" s="27"/>
      <c r="FM18" s="28">
        <f t="shared" si="58"/>
        <v>0</v>
      </c>
      <c r="FN18" s="36"/>
      <c r="FO18" s="27"/>
      <c r="FP18" s="27"/>
      <c r="FQ18" s="27"/>
      <c r="FR18" s="27"/>
      <c r="FS18" s="27"/>
      <c r="FT18" s="28">
        <f t="shared" si="59"/>
        <v>0</v>
      </c>
      <c r="FU18" s="36"/>
      <c r="FV18" s="36"/>
      <c r="FW18" s="27"/>
      <c r="FX18" s="27"/>
      <c r="FY18" s="27"/>
      <c r="FZ18" s="27"/>
      <c r="GA18" s="27"/>
      <c r="GB18" s="27"/>
      <c r="GC18" s="27"/>
      <c r="GD18" s="27"/>
      <c r="GE18" s="27"/>
      <c r="GF18" s="33"/>
      <c r="GG18" s="33">
        <f t="shared" si="60"/>
        <v>0</v>
      </c>
      <c r="GH18" s="2674"/>
      <c r="GJ18" s="4">
        <f t="shared" si="61"/>
        <v>423.97</v>
      </c>
      <c r="GK18" s="64">
        <f t="shared" si="62"/>
        <v>2885.3900000000003</v>
      </c>
      <c r="GL18" s="53">
        <f t="shared" si="63"/>
        <v>7583.0499999999993</v>
      </c>
      <c r="GM18" s="53">
        <f t="shared" si="64"/>
        <v>10892.41</v>
      </c>
      <c r="GN18" s="141"/>
      <c r="GO18" s="141"/>
      <c r="GP18" s="33"/>
      <c r="GQ18" s="2667"/>
      <c r="GR18" s="363">
        <v>5285.05</v>
      </c>
      <c r="GS18" s="5">
        <v>423.97</v>
      </c>
      <c r="GT18" s="5">
        <v>2689.79</v>
      </c>
      <c r="GU18" s="27">
        <v>2493.6000000000004</v>
      </c>
      <c r="GV18" s="54">
        <f t="shared" si="65"/>
        <v>10892.410000000002</v>
      </c>
      <c r="GW18" s="2667"/>
      <c r="GX18" s="36"/>
      <c r="GY18" s="36"/>
      <c r="GZ18" s="27"/>
      <c r="HA18" s="27"/>
      <c r="HB18" s="27"/>
      <c r="HC18" s="27"/>
      <c r="HD18" s="27"/>
      <c r="HE18" s="27"/>
      <c r="HF18" s="27"/>
      <c r="HG18" s="27"/>
      <c r="HH18" s="27"/>
      <c r="HI18" s="27"/>
      <c r="HJ18" s="27">
        <v>423.97</v>
      </c>
      <c r="HK18" s="27"/>
      <c r="HL18" s="28">
        <f t="shared" si="66"/>
        <v>423.97</v>
      </c>
      <c r="HM18" s="36"/>
      <c r="HN18" s="27"/>
      <c r="HO18" s="27"/>
      <c r="HP18" s="27"/>
      <c r="HQ18" s="27"/>
      <c r="HR18" s="27"/>
      <c r="HS18" s="27"/>
      <c r="HT18" s="27"/>
      <c r="HU18" s="27"/>
      <c r="HV18" s="27"/>
      <c r="HW18" s="27"/>
      <c r="HX18" s="27"/>
      <c r="HY18" s="27"/>
      <c r="HZ18" s="27"/>
      <c r="IA18" s="33">
        <f t="shared" si="67"/>
        <v>0</v>
      </c>
      <c r="IB18" s="52"/>
      <c r="IC18" s="152"/>
      <c r="ID18" s="53"/>
      <c r="IE18" s="53"/>
      <c r="IF18" s="53"/>
      <c r="IG18" s="53"/>
      <c r="IH18" s="53"/>
      <c r="II18" s="53"/>
      <c r="IJ18" s="53">
        <v>2885.3900000000003</v>
      </c>
      <c r="IK18" s="53"/>
      <c r="IL18" s="53"/>
      <c r="IM18" s="53"/>
      <c r="IN18" s="53"/>
      <c r="IO18" s="53"/>
      <c r="IP18" s="61">
        <f t="shared" si="68"/>
        <v>2885.3900000000003</v>
      </c>
      <c r="IQ18" s="36"/>
      <c r="IR18" s="36"/>
      <c r="IS18" s="27"/>
      <c r="IT18" s="27"/>
      <c r="IU18" s="53"/>
      <c r="IV18" s="27"/>
      <c r="IW18" s="53"/>
      <c r="IX18" s="27"/>
      <c r="IY18" s="27">
        <v>7583.0499999999993</v>
      </c>
      <c r="IZ18" s="27"/>
      <c r="JA18" s="27"/>
      <c r="JB18" s="27"/>
      <c r="JC18" s="27"/>
      <c r="JD18" s="27"/>
      <c r="JE18" s="33">
        <f t="shared" si="69"/>
        <v>7583.0499999999993</v>
      </c>
      <c r="JF18" s="2667"/>
      <c r="JH18" s="52">
        <v>10892.409999999998</v>
      </c>
      <c r="JI18" s="152"/>
      <c r="JJ18" s="53"/>
      <c r="JK18" s="53">
        <f t="shared" si="70"/>
        <v>10892.409999999998</v>
      </c>
      <c r="JL18" s="33"/>
      <c r="JM18" s="2669"/>
      <c r="JN18" s="69"/>
      <c r="JO18" s="70"/>
      <c r="JP18" s="70"/>
      <c r="JQ18" s="70"/>
      <c r="JR18" s="70">
        <v>1</v>
      </c>
      <c r="JS18" s="70"/>
      <c r="JT18" s="70"/>
      <c r="JU18" s="71"/>
      <c r="JV18" s="69"/>
      <c r="JW18" s="70"/>
      <c r="JX18" s="70"/>
      <c r="JY18" s="70"/>
      <c r="JZ18" s="70"/>
      <c r="KA18" s="70"/>
      <c r="KB18" s="70"/>
      <c r="KC18" s="71"/>
      <c r="KD18" s="69"/>
      <c r="KE18" s="70"/>
      <c r="KF18" s="70"/>
      <c r="KG18" s="70"/>
      <c r="KH18" s="70"/>
      <c r="KI18" s="70"/>
      <c r="KJ18" s="70"/>
      <c r="KK18" s="70"/>
      <c r="KL18" s="33"/>
      <c r="KM18" s="2669"/>
      <c r="KN18" s="36">
        <v>6835.003551136364</v>
      </c>
      <c r="KO18" s="53">
        <v>0.67879971590909083</v>
      </c>
      <c r="KP18" s="53">
        <v>4.2204687500000002</v>
      </c>
      <c r="KQ18" s="53">
        <v>7.5594886363636364</v>
      </c>
      <c r="KR18" s="54">
        <v>12.667230113636363</v>
      </c>
      <c r="KS18" s="4">
        <v>0</v>
      </c>
      <c r="KT18" s="64">
        <v>0</v>
      </c>
      <c r="KU18" s="64">
        <v>0</v>
      </c>
      <c r="KV18" s="64">
        <v>0</v>
      </c>
      <c r="KW18" s="482">
        <v>0</v>
      </c>
      <c r="KX18" s="36"/>
      <c r="KY18" s="53"/>
      <c r="KZ18" s="53"/>
      <c r="LA18" s="53"/>
      <c r="LB18" s="53"/>
      <c r="LC18" s="33"/>
      <c r="LD18" s="2669"/>
      <c r="LF18" s="26">
        <f t="shared" si="71"/>
        <v>38235.979999999996</v>
      </c>
      <c r="LG18" s="27">
        <f t="shared" si="72"/>
        <v>0</v>
      </c>
      <c r="LH18" s="27">
        <f t="shared" si="73"/>
        <v>0</v>
      </c>
      <c r="LI18" s="28">
        <f t="shared" si="74"/>
        <v>38235.979999999996</v>
      </c>
      <c r="LJ18" s="36">
        <v>5</v>
      </c>
      <c r="LK18" s="27"/>
      <c r="LL18" s="27"/>
      <c r="LM18" s="33"/>
      <c r="LN18" s="1041">
        <v>7.11</v>
      </c>
      <c r="LO18" s="486"/>
      <c r="LP18" s="2688"/>
      <c r="LQ18" s="21">
        <v>38235.979999999996</v>
      </c>
      <c r="LR18" s="27"/>
      <c r="LS18" s="27"/>
      <c r="LT18" s="27"/>
      <c r="LU18" s="27"/>
      <c r="LV18" s="1117">
        <f t="shared" si="75"/>
        <v>38235.979999999996</v>
      </c>
      <c r="LW18" s="36"/>
      <c r="LX18" s="36"/>
      <c r="LY18" s="27"/>
      <c r="LZ18" s="27"/>
      <c r="MA18" s="33"/>
      <c r="MB18" s="28">
        <f t="shared" si="76"/>
        <v>0</v>
      </c>
      <c r="MC18" s="26"/>
      <c r="MD18" s="36"/>
      <c r="ME18" s="27"/>
      <c r="MF18" s="27"/>
      <c r="MG18" s="27"/>
      <c r="MH18" s="28"/>
      <c r="MI18" s="36"/>
      <c r="MJ18" s="36"/>
      <c r="MK18" s="27"/>
      <c r="ML18" s="27"/>
      <c r="MM18" s="27"/>
      <c r="MN18" s="28"/>
      <c r="MO18" s="36"/>
      <c r="MP18" s="36"/>
      <c r="MQ18" s="27"/>
      <c r="MR18" s="27"/>
      <c r="MS18" s="27"/>
      <c r="MT18" s="33">
        <f t="shared" si="77"/>
        <v>0</v>
      </c>
      <c r="MU18" s="2688"/>
      <c r="MW18" s="26">
        <f t="shared" si="78"/>
        <v>228297.79478124584</v>
      </c>
      <c r="MX18" s="27">
        <f t="shared" si="79"/>
        <v>236437.58929571754</v>
      </c>
      <c r="MY18" s="27">
        <f t="shared" si="80"/>
        <v>20639.555608283044</v>
      </c>
      <c r="MZ18" s="28">
        <f t="shared" si="81"/>
        <v>441500.47467809112</v>
      </c>
      <c r="NA18" s="2621"/>
      <c r="NB18" s="23">
        <f t="shared" si="82"/>
        <v>222531.50650315016</v>
      </c>
      <c r="NC18" s="64">
        <f t="shared" si="83"/>
        <v>5766.2882780956907</v>
      </c>
      <c r="ND18" s="60">
        <f t="shared" si="84"/>
        <v>0</v>
      </c>
      <c r="NE18" s="1110">
        <f t="shared" si="4"/>
        <v>228297.79478124584</v>
      </c>
      <c r="NF18" s="26">
        <f t="shared" si="136"/>
        <v>0</v>
      </c>
      <c r="NG18" s="27">
        <f t="shared" si="137"/>
        <v>0</v>
      </c>
      <c r="NH18" s="27">
        <f t="shared" si="138"/>
        <v>0</v>
      </c>
      <c r="NI18" s="27">
        <f t="shared" si="139"/>
        <v>0</v>
      </c>
      <c r="NJ18" s="27">
        <f t="shared" si="140"/>
        <v>0</v>
      </c>
      <c r="NK18" s="33">
        <f t="shared" si="141"/>
        <v>0</v>
      </c>
      <c r="NL18" s="27">
        <f t="shared" si="142"/>
        <v>0</v>
      </c>
      <c r="NM18" s="36">
        <f t="shared" si="143"/>
        <v>0</v>
      </c>
      <c r="NN18" s="27">
        <f t="shared" si="144"/>
        <v>54447.156549275998</v>
      </c>
      <c r="NO18" s="27">
        <f t="shared" si="145"/>
        <v>0</v>
      </c>
      <c r="NP18" s="24">
        <f t="shared" si="146"/>
        <v>8756.5482322711578</v>
      </c>
      <c r="NQ18" s="24">
        <f t="shared" si="147"/>
        <v>10954.2345856876</v>
      </c>
      <c r="NR18" s="27">
        <f t="shared" si="0"/>
        <v>74157.939367234765</v>
      </c>
      <c r="NS18" s="27">
        <f t="shared" si="86"/>
        <v>0</v>
      </c>
      <c r="NT18" s="27">
        <f t="shared" si="87"/>
        <v>0</v>
      </c>
      <c r="NU18" s="27">
        <f t="shared" si="88"/>
        <v>0</v>
      </c>
      <c r="NV18" s="27">
        <f t="shared" si="89"/>
        <v>0</v>
      </c>
      <c r="NW18" s="27">
        <f t="shared" si="90"/>
        <v>0</v>
      </c>
      <c r="NX18" s="27">
        <f t="shared" si="91"/>
        <v>0</v>
      </c>
      <c r="NY18" s="27">
        <f t="shared" si="92"/>
        <v>6655.5081519076275</v>
      </c>
      <c r="NZ18" s="27">
        <f t="shared" si="93"/>
        <v>0</v>
      </c>
      <c r="OA18" s="27">
        <f t="shared" si="94"/>
        <v>27133.704759987777</v>
      </c>
      <c r="OB18" s="280"/>
      <c r="OC18" s="24">
        <f t="shared" si="95"/>
        <v>3403.7241844007053</v>
      </c>
      <c r="OD18" s="27">
        <f t="shared" si="96"/>
        <v>0</v>
      </c>
      <c r="OE18" s="28">
        <f t="shared" si="1"/>
        <v>37192.937096296111</v>
      </c>
      <c r="OF18" s="27">
        <f t="shared" si="152"/>
        <v>0</v>
      </c>
      <c r="OG18" s="27">
        <f t="shared" si="152"/>
        <v>0</v>
      </c>
      <c r="OH18" s="27">
        <f t="shared" si="152"/>
        <v>0</v>
      </c>
      <c r="OI18" s="27">
        <f t="shared" si="152"/>
        <v>0</v>
      </c>
      <c r="OJ18" s="27">
        <f t="shared" si="153"/>
        <v>0</v>
      </c>
      <c r="OK18" s="27">
        <f t="shared" si="152"/>
        <v>0</v>
      </c>
      <c r="OL18" s="24">
        <f t="shared" si="159"/>
        <v>0</v>
      </c>
      <c r="OM18" s="27">
        <f t="shared" si="154"/>
        <v>0</v>
      </c>
      <c r="ON18" s="24">
        <f t="shared" si="155"/>
        <v>118531.33851377798</v>
      </c>
      <c r="OO18" s="27">
        <f t="shared" si="156"/>
        <v>0</v>
      </c>
      <c r="OP18" s="27">
        <f t="shared" si="157"/>
        <v>6555.3743184086807</v>
      </c>
      <c r="OQ18" s="27">
        <f t="shared" si="158"/>
        <v>0</v>
      </c>
      <c r="OR18" s="28">
        <f t="shared" si="2"/>
        <v>125086.71283218666</v>
      </c>
      <c r="OS18" s="36"/>
      <c r="OT18" s="27"/>
      <c r="OU18" s="27"/>
      <c r="OV18" s="27"/>
      <c r="OW18" s="27"/>
      <c r="OX18" s="27"/>
      <c r="OY18" s="28">
        <f t="shared" si="98"/>
        <v>0</v>
      </c>
      <c r="OZ18" s="36">
        <f t="shared" si="99"/>
        <v>0</v>
      </c>
      <c r="PA18" s="27">
        <f t="shared" si="100"/>
        <v>0</v>
      </c>
      <c r="PB18" s="27">
        <f t="shared" si="101"/>
        <v>0</v>
      </c>
      <c r="PC18" s="27">
        <f t="shared" si="102"/>
        <v>0</v>
      </c>
      <c r="PD18" s="27">
        <f t="shared" si="103"/>
        <v>0</v>
      </c>
      <c r="PE18" s="27">
        <f t="shared" si="104"/>
        <v>0</v>
      </c>
      <c r="PF18" s="33">
        <f t="shared" si="3"/>
        <v>0</v>
      </c>
      <c r="PG18" s="2621"/>
      <c r="PI18" s="2"/>
      <c r="PJ18" s="3">
        <v>420</v>
      </c>
      <c r="PK18" s="3">
        <v>210</v>
      </c>
      <c r="PL18" s="3">
        <f>HJ18</f>
        <v>423.97</v>
      </c>
      <c r="PM18" s="3">
        <v>0</v>
      </c>
      <c r="PN18" s="11">
        <f t="shared" si="150"/>
        <v>20639.555608283044</v>
      </c>
      <c r="PO18" s="15"/>
      <c r="PP18" s="2615"/>
      <c r="PR18" s="4"/>
      <c r="PS18" s="9"/>
      <c r="PT18" s="9"/>
      <c r="PU18" s="9"/>
      <c r="PV18" s="9"/>
      <c r="PW18" s="9"/>
      <c r="PX18" s="8">
        <f t="shared" si="105"/>
        <v>0</v>
      </c>
      <c r="PY18" s="5">
        <f t="shared" si="106"/>
        <v>0</v>
      </c>
      <c r="PZ18" s="5"/>
      <c r="QA18" s="5"/>
      <c r="QB18" s="5"/>
      <c r="QC18" s="5"/>
      <c r="QD18" s="5"/>
      <c r="QE18" s="12">
        <f t="shared" si="107"/>
        <v>29749.381073161156</v>
      </c>
      <c r="QF18" s="420">
        <f t="shared" si="108"/>
        <v>411751.09360492998</v>
      </c>
      <c r="QG18" s="1106">
        <f t="shared" si="109"/>
        <v>0</v>
      </c>
      <c r="QH18" s="484">
        <f t="shared" si="110"/>
        <v>5505.3678056100007</v>
      </c>
      <c r="QI18" s="12"/>
      <c r="QJ18" s="2615"/>
      <c r="QL18" s="139">
        <f t="shared" si="111"/>
        <v>0</v>
      </c>
      <c r="QM18" s="139" t="str">
        <f t="shared" si="112"/>
        <v/>
      </c>
      <c r="QO18" s="139">
        <f t="shared" si="113"/>
        <v>0</v>
      </c>
      <c r="QP18" s="139">
        <f t="shared" si="114"/>
        <v>0</v>
      </c>
      <c r="QR18" s="1">
        <f t="shared" si="115"/>
        <v>0</v>
      </c>
      <c r="QS18" s="1">
        <f t="shared" si="116"/>
        <v>0</v>
      </c>
      <c r="QT18" s="1">
        <f t="shared" si="117"/>
        <v>0</v>
      </c>
      <c r="QU18" s="1">
        <f t="shared" si="118"/>
        <v>0</v>
      </c>
      <c r="QV18" s="1">
        <f t="shared" si="119"/>
        <v>0</v>
      </c>
      <c r="QW18" s="1">
        <f t="shared" si="120"/>
        <v>0</v>
      </c>
      <c r="QY18" s="1">
        <f t="shared" si="121"/>
        <v>0</v>
      </c>
      <c r="QZ18" s="1">
        <f t="shared" si="122"/>
        <v>0</v>
      </c>
      <c r="RA18" s="1">
        <f t="shared" si="123"/>
        <v>0</v>
      </c>
      <c r="RB18" s="1">
        <f t="shared" si="124"/>
        <v>0</v>
      </c>
      <c r="RC18" s="1">
        <f t="shared" si="125"/>
        <v>0</v>
      </c>
      <c r="RD18" s="1">
        <f t="shared" si="126"/>
        <v>0</v>
      </c>
      <c r="RG18" s="1">
        <v>9</v>
      </c>
      <c r="RH18" s="421">
        <v>5984.4452097170979</v>
      </c>
      <c r="RI18" s="421">
        <v>5074.1017804837184</v>
      </c>
      <c r="RJ18" s="421">
        <v>13404.263703387322</v>
      </c>
      <c r="RK18" s="490">
        <f t="shared" si="5"/>
        <v>24462.810693588137</v>
      </c>
      <c r="RL18" s="1033">
        <v>9</v>
      </c>
      <c r="RM18" s="1098">
        <v>0</v>
      </c>
      <c r="RN18" s="1098">
        <f t="shared" si="128"/>
        <v>0</v>
      </c>
      <c r="RO18" s="1097">
        <f t="shared" si="129"/>
        <v>0</v>
      </c>
      <c r="RP18" s="1097">
        <f t="shared" si="151"/>
        <v>5417.02</v>
      </c>
      <c r="RQ18" s="1046"/>
      <c r="RR18" s="1046" t="s">
        <v>683</v>
      </c>
      <c r="RU18" s="421">
        <v>9</v>
      </c>
      <c r="RV18" s="1095">
        <f t="shared" si="130"/>
        <v>10892.410000000002</v>
      </c>
      <c r="RW18" s="1046" t="s">
        <v>684</v>
      </c>
      <c r="RY18" s="1090"/>
      <c r="RZ18" s="1090">
        <f t="shared" si="131"/>
        <v>-4.5400000000008731</v>
      </c>
      <c r="SA18" s="1090"/>
      <c r="SB18" s="1090">
        <f t="shared" si="132"/>
        <v>0</v>
      </c>
      <c r="SD18" s="1">
        <v>9</v>
      </c>
      <c r="SE18" s="1">
        <f t="shared" si="133"/>
        <v>423.97</v>
      </c>
      <c r="SF18" s="1094" t="s">
        <v>685</v>
      </c>
    </row>
    <row r="19" spans="1:500" s="1" customFormat="1">
      <c r="B19" s="471">
        <v>10</v>
      </c>
      <c r="C19" s="4">
        <f t="shared" si="6"/>
        <v>80209</v>
      </c>
      <c r="D19" s="64">
        <f t="shared" si="134"/>
        <v>4203.3999999999996</v>
      </c>
      <c r="E19" s="61">
        <f t="shared" si="7"/>
        <v>19.081933672741116</v>
      </c>
      <c r="F19" s="870"/>
      <c r="G19" s="870"/>
      <c r="H19" s="52">
        <v>76</v>
      </c>
      <c r="I19" s="61">
        <v>13.25</v>
      </c>
      <c r="J19" s="52"/>
      <c r="K19" s="54"/>
      <c r="L19" s="52">
        <v>10.67</v>
      </c>
      <c r="M19" s="61">
        <v>9.08</v>
      </c>
      <c r="N19" s="2629"/>
      <c r="O19" s="4">
        <f t="shared" si="8"/>
        <v>47460</v>
      </c>
      <c r="P19" s="1225">
        <f t="shared" si="9"/>
        <v>2572.06</v>
      </c>
      <c r="Q19" s="64">
        <f t="shared" si="10"/>
        <v>18.45213564224785</v>
      </c>
      <c r="R19" s="33"/>
      <c r="S19" s="26">
        <f t="shared" si="11"/>
        <v>16065</v>
      </c>
      <c r="T19" s="27">
        <f t="shared" si="12"/>
        <v>613.37999999999988</v>
      </c>
      <c r="U19" s="53">
        <f t="shared" si="13"/>
        <v>26.190941993543973</v>
      </c>
      <c r="V19" s="15"/>
      <c r="W19" s="26">
        <f t="shared" si="14"/>
        <v>16684</v>
      </c>
      <c r="X19" s="5">
        <f t="shared" si="15"/>
        <v>740</v>
      </c>
      <c r="Y19" s="53">
        <f t="shared" si="16"/>
        <v>22.545945945945945</v>
      </c>
      <c r="Z19" s="33"/>
      <c r="AA19" s="26">
        <f t="shared" si="17"/>
        <v>0</v>
      </c>
      <c r="AB19" s="27">
        <f t="shared" si="18"/>
        <v>277.95999999999998</v>
      </c>
      <c r="AC19" s="53">
        <f t="shared" si="19"/>
        <v>0</v>
      </c>
      <c r="AD19" s="28"/>
      <c r="AE19" s="36"/>
      <c r="AF19" s="36"/>
      <c r="AG19" s="53">
        <f t="shared" si="20"/>
        <v>0</v>
      </c>
      <c r="AH19" s="28"/>
      <c r="AI19" s="26"/>
      <c r="AJ19" s="27"/>
      <c r="AK19" s="53">
        <f t="shared" si="21"/>
        <v>0</v>
      </c>
      <c r="AL19" s="28"/>
      <c r="AM19" s="2629"/>
      <c r="AN19" s="9"/>
      <c r="AO19" s="5"/>
      <c r="AP19" s="61">
        <f t="shared" si="22"/>
        <v>0</v>
      </c>
      <c r="AQ19" s="36"/>
      <c r="AR19" s="53"/>
      <c r="AS19" s="61">
        <f t="shared" si="23"/>
        <v>0</v>
      </c>
      <c r="AT19" s="36">
        <v>0</v>
      </c>
      <c r="AU19" s="27"/>
      <c r="AV19" s="61">
        <f t="shared" si="24"/>
        <v>0</v>
      </c>
      <c r="AW19" s="36">
        <v>27552</v>
      </c>
      <c r="AX19" s="27">
        <v>1611.14</v>
      </c>
      <c r="AY19" s="61">
        <f t="shared" si="25"/>
        <v>17.100934741859799</v>
      </c>
      <c r="AZ19" s="36"/>
      <c r="BA19" s="27"/>
      <c r="BB19" s="61">
        <f t="shared" si="26"/>
        <v>0</v>
      </c>
      <c r="BC19" s="36">
        <v>19908</v>
      </c>
      <c r="BD19" s="27">
        <v>960.92</v>
      </c>
      <c r="BE19" s="61">
        <f t="shared" si="27"/>
        <v>20.717645589643258</v>
      </c>
      <c r="BF19" s="36"/>
      <c r="BG19" s="53"/>
      <c r="BH19" s="61">
        <f t="shared" si="28"/>
        <v>0</v>
      </c>
      <c r="BI19" s="36">
        <v>0</v>
      </c>
      <c r="BJ19" s="53">
        <v>0</v>
      </c>
      <c r="BK19" s="61">
        <f t="shared" si="29"/>
        <v>0</v>
      </c>
      <c r="BL19" s="52">
        <v>16065</v>
      </c>
      <c r="BM19" s="53">
        <v>613.37999999999988</v>
      </c>
      <c r="BN19" s="482">
        <f t="shared" si="30"/>
        <v>26.190941993543973</v>
      </c>
      <c r="BO19" s="9">
        <v>0</v>
      </c>
      <c r="BP19" s="64">
        <v>277.95999999999998</v>
      </c>
      <c r="BQ19" s="482">
        <f t="shared" si="31"/>
        <v>0</v>
      </c>
      <c r="BR19" s="9"/>
      <c r="BS19" s="53"/>
      <c r="BT19" s="482">
        <f t="shared" si="32"/>
        <v>0</v>
      </c>
      <c r="BU19" s="9">
        <v>16684</v>
      </c>
      <c r="BV19" s="27">
        <v>740</v>
      </c>
      <c r="BW19" s="15">
        <f t="shared" si="33"/>
        <v>22.545945945945945</v>
      </c>
      <c r="BX19" s="26"/>
      <c r="BY19" s="27"/>
      <c r="BZ19" s="482">
        <f t="shared" si="34"/>
        <v>0</v>
      </c>
      <c r="CA19" s="9"/>
      <c r="CB19" s="481"/>
      <c r="CC19" s="482">
        <f t="shared" si="35"/>
        <v>0</v>
      </c>
      <c r="CD19" s="4"/>
      <c r="CE19" s="5"/>
      <c r="CF19" s="28">
        <f t="shared" si="36"/>
        <v>0</v>
      </c>
      <c r="CG19" s="150"/>
      <c r="CH19" s="4">
        <v>0</v>
      </c>
      <c r="CI19" s="5">
        <v>0</v>
      </c>
      <c r="CJ19" s="5">
        <v>0</v>
      </c>
      <c r="CK19" s="5">
        <v>4758</v>
      </c>
      <c r="CL19" s="5"/>
      <c r="CM19" s="5">
        <f t="shared" si="135"/>
        <v>4758</v>
      </c>
      <c r="CN19" s="5"/>
      <c r="CO19" s="5"/>
      <c r="CQ19" s="4">
        <f t="shared" si="37"/>
        <v>0</v>
      </c>
      <c r="CR19" s="9">
        <f t="shared" si="38"/>
        <v>0</v>
      </c>
      <c r="CS19" s="5">
        <f t="shared" si="39"/>
        <v>0</v>
      </c>
      <c r="CT19" s="5">
        <f t="shared" si="40"/>
        <v>0</v>
      </c>
      <c r="CU19" s="5">
        <f t="shared" si="41"/>
        <v>0</v>
      </c>
      <c r="CV19" s="5">
        <f t="shared" si="42"/>
        <v>0</v>
      </c>
      <c r="CW19" s="5">
        <f t="shared" si="43"/>
        <v>0</v>
      </c>
      <c r="CX19" s="5">
        <f t="shared" si="44"/>
        <v>0</v>
      </c>
      <c r="CY19" s="5">
        <f t="shared" si="45"/>
        <v>4203.3999999999996</v>
      </c>
      <c r="CZ19" s="5">
        <f t="shared" si="46"/>
        <v>0</v>
      </c>
      <c r="DA19" s="5">
        <f t="shared" si="47"/>
        <v>0</v>
      </c>
      <c r="DB19" s="12">
        <f t="shared" si="48"/>
        <v>0</v>
      </c>
      <c r="DC19" s="310">
        <f t="shared" si="49"/>
        <v>4203.3999999999996</v>
      </c>
      <c r="DD19" s="2695"/>
      <c r="DE19" s="9"/>
      <c r="DF19" s="9"/>
      <c r="DG19" s="5"/>
      <c r="DH19" s="5"/>
      <c r="DI19" s="5"/>
      <c r="DJ19" s="5"/>
      <c r="DK19" s="5"/>
      <c r="DL19" s="5"/>
      <c r="DM19" s="5">
        <v>1611.14</v>
      </c>
      <c r="DN19" s="5"/>
      <c r="DO19" s="5"/>
      <c r="DP19" s="12"/>
      <c r="DQ19" s="28">
        <f t="shared" si="50"/>
        <v>1611.14</v>
      </c>
      <c r="DR19" s="36"/>
      <c r="DS19" s="36"/>
      <c r="DT19" s="27"/>
      <c r="DU19" s="27"/>
      <c r="DV19" s="5"/>
      <c r="DW19" s="5"/>
      <c r="DX19" s="5"/>
      <c r="DY19" s="5"/>
      <c r="DZ19" s="5">
        <v>1852.2599999999998</v>
      </c>
      <c r="EA19" s="27"/>
      <c r="EB19" s="27"/>
      <c r="EC19" s="33"/>
      <c r="ED19" s="28">
        <f t="shared" si="51"/>
        <v>1852.2599999999998</v>
      </c>
      <c r="EE19" s="9"/>
      <c r="EF19" s="36"/>
      <c r="EG19" s="5"/>
      <c r="EH19" s="313"/>
      <c r="EI19" s="27"/>
      <c r="EJ19" s="27"/>
      <c r="EK19" s="27"/>
      <c r="EL19" s="27"/>
      <c r="EM19" s="27">
        <v>740</v>
      </c>
      <c r="EN19" s="27"/>
      <c r="EO19" s="27"/>
      <c r="EP19" s="33"/>
      <c r="EQ19" s="28">
        <f t="shared" si="52"/>
        <v>740</v>
      </c>
      <c r="ER19" s="36"/>
      <c r="ES19" s="27"/>
      <c r="ET19" s="27"/>
      <c r="EU19" s="27"/>
      <c r="EV19" s="27"/>
      <c r="EW19" s="27"/>
      <c r="EX19" s="33">
        <f t="shared" si="53"/>
        <v>0</v>
      </c>
      <c r="EY19" s="2685"/>
      <c r="FA19" s="4">
        <f t="shared" si="54"/>
        <v>0</v>
      </c>
      <c r="FB19" s="5">
        <f t="shared" si="55"/>
        <v>0</v>
      </c>
      <c r="FC19" s="5">
        <f t="shared" si="56"/>
        <v>0</v>
      </c>
      <c r="FD19" s="12">
        <f t="shared" si="57"/>
        <v>0</v>
      </c>
      <c r="FE19" s="33"/>
      <c r="FF19" s="2674"/>
      <c r="FG19" s="9"/>
      <c r="FH19" s="5"/>
      <c r="FI19" s="5"/>
      <c r="FJ19" s="5"/>
      <c r="FK19" s="5"/>
      <c r="FL19" s="27"/>
      <c r="FM19" s="28">
        <f t="shared" si="58"/>
        <v>0</v>
      </c>
      <c r="FN19" s="36"/>
      <c r="FO19" s="27"/>
      <c r="FP19" s="27"/>
      <c r="FQ19" s="27"/>
      <c r="FR19" s="27"/>
      <c r="FS19" s="27"/>
      <c r="FT19" s="28">
        <f t="shared" si="59"/>
        <v>0</v>
      </c>
      <c r="FU19" s="36"/>
      <c r="FV19" s="36"/>
      <c r="FW19" s="27"/>
      <c r="FX19" s="27"/>
      <c r="FY19" s="27"/>
      <c r="FZ19" s="27"/>
      <c r="GA19" s="27"/>
      <c r="GB19" s="27"/>
      <c r="GC19" s="27"/>
      <c r="GD19" s="27"/>
      <c r="GE19" s="27"/>
      <c r="GF19" s="33"/>
      <c r="GG19" s="33">
        <f t="shared" si="60"/>
        <v>0</v>
      </c>
      <c r="GH19" s="2674"/>
      <c r="GJ19" s="4">
        <f t="shared" si="61"/>
        <v>2240.17</v>
      </c>
      <c r="GK19" s="64">
        <f t="shared" si="62"/>
        <v>3827.3900000000003</v>
      </c>
      <c r="GL19" s="53">
        <f t="shared" si="63"/>
        <v>5034.8900000000003</v>
      </c>
      <c r="GM19" s="53">
        <f t="shared" si="64"/>
        <v>11102.45</v>
      </c>
      <c r="GN19" s="141"/>
      <c r="GO19" s="141"/>
      <c r="GP19" s="33"/>
      <c r="GQ19" s="2667"/>
      <c r="GR19" s="363">
        <v>4459.47</v>
      </c>
      <c r="GS19" s="5"/>
      <c r="GT19" s="5">
        <v>3764.1400000000003</v>
      </c>
      <c r="GU19" s="27">
        <v>2878.84</v>
      </c>
      <c r="GV19" s="54">
        <f t="shared" si="65"/>
        <v>11102.45</v>
      </c>
      <c r="GW19" s="2667"/>
      <c r="GX19" s="36"/>
      <c r="GY19" s="36"/>
      <c r="GZ19" s="27"/>
      <c r="HA19" s="27"/>
      <c r="HB19" s="27"/>
      <c r="HC19" s="27"/>
      <c r="HD19" s="27"/>
      <c r="HE19" s="27"/>
      <c r="HF19" s="27">
        <v>1450.96</v>
      </c>
      <c r="HG19" s="27"/>
      <c r="HH19" s="27">
        <v>789.21</v>
      </c>
      <c r="HI19" s="27"/>
      <c r="HJ19" s="27"/>
      <c r="HK19" s="27"/>
      <c r="HL19" s="28">
        <f t="shared" si="66"/>
        <v>2240.17</v>
      </c>
      <c r="HM19" s="36"/>
      <c r="HN19" s="27"/>
      <c r="HO19" s="27"/>
      <c r="HP19" s="27"/>
      <c r="HQ19" s="27"/>
      <c r="HR19" s="27"/>
      <c r="HS19" s="27"/>
      <c r="HT19" s="27"/>
      <c r="HU19" s="27"/>
      <c r="HV19" s="27"/>
      <c r="HW19" s="27"/>
      <c r="HX19" s="27"/>
      <c r="HY19" s="27"/>
      <c r="HZ19" s="27"/>
      <c r="IA19" s="33">
        <f t="shared" si="67"/>
        <v>0</v>
      </c>
      <c r="IB19" s="52"/>
      <c r="IC19" s="152"/>
      <c r="ID19" s="53"/>
      <c r="IE19" s="53"/>
      <c r="IF19" s="53"/>
      <c r="IG19" s="53"/>
      <c r="IH19" s="53">
        <v>977.71</v>
      </c>
      <c r="II19" s="53"/>
      <c r="IJ19" s="53">
        <v>2849.6800000000003</v>
      </c>
      <c r="IK19" s="53"/>
      <c r="IL19" s="53"/>
      <c r="IM19" s="53"/>
      <c r="IN19" s="53"/>
      <c r="IO19" s="53"/>
      <c r="IP19" s="61">
        <f t="shared" si="68"/>
        <v>3827.3900000000003</v>
      </c>
      <c r="IQ19" s="36"/>
      <c r="IR19" s="36"/>
      <c r="IS19" s="27"/>
      <c r="IT19" s="27"/>
      <c r="IU19" s="53"/>
      <c r="IV19" s="27"/>
      <c r="IW19" s="53"/>
      <c r="IX19" s="27"/>
      <c r="IY19" s="27">
        <v>3033.61</v>
      </c>
      <c r="IZ19" s="27"/>
      <c r="JA19" s="27">
        <v>2001.28</v>
      </c>
      <c r="JB19" s="27"/>
      <c r="JC19" s="27"/>
      <c r="JD19" s="27"/>
      <c r="JE19" s="33">
        <f t="shared" si="69"/>
        <v>5034.8900000000003</v>
      </c>
      <c r="JF19" s="2667"/>
      <c r="JH19" s="52">
        <v>5711.81</v>
      </c>
      <c r="JI19" s="152">
        <v>5390.64</v>
      </c>
      <c r="JJ19" s="53"/>
      <c r="JK19" s="53">
        <f t="shared" si="70"/>
        <v>11102.45</v>
      </c>
      <c r="JL19" s="33"/>
      <c r="JM19" s="2669"/>
      <c r="JN19" s="69"/>
      <c r="JO19" s="70"/>
      <c r="JP19" s="70"/>
      <c r="JQ19" s="70"/>
      <c r="JR19" s="70">
        <v>1</v>
      </c>
      <c r="JS19" s="70"/>
      <c r="JT19" s="70"/>
      <c r="JU19" s="71"/>
      <c r="JV19" s="69"/>
      <c r="JW19" s="70"/>
      <c r="JX19" s="70"/>
      <c r="JY19" s="70">
        <v>0.18099999999999999</v>
      </c>
      <c r="JZ19" s="70">
        <v>0.30099999999999999</v>
      </c>
      <c r="KA19" s="70">
        <v>0.51800000000000002</v>
      </c>
      <c r="KB19" s="70"/>
      <c r="KC19" s="71"/>
      <c r="KD19" s="69"/>
      <c r="KE19" s="70"/>
      <c r="KF19" s="70"/>
      <c r="KG19" s="70"/>
      <c r="KH19" s="70"/>
      <c r="KI19" s="70"/>
      <c r="KJ19" s="70"/>
      <c r="KK19" s="70"/>
      <c r="KL19" s="33"/>
      <c r="KM19" s="2669"/>
      <c r="KN19" s="36">
        <v>7025</v>
      </c>
      <c r="KO19" s="53">
        <v>0.51</v>
      </c>
      <c r="KP19" s="53">
        <v>3.96</v>
      </c>
      <c r="KQ19" s="53">
        <v>5.9600000000000009</v>
      </c>
      <c r="KR19" s="54">
        <v>12.34</v>
      </c>
      <c r="KS19" s="4">
        <v>6779</v>
      </c>
      <c r="KT19" s="64">
        <v>1.54</v>
      </c>
      <c r="KU19" s="64">
        <v>5.25</v>
      </c>
      <c r="KV19" s="64">
        <v>6.59</v>
      </c>
      <c r="KW19" s="482">
        <v>11.76</v>
      </c>
      <c r="KX19" s="36"/>
      <c r="KY19" s="53"/>
      <c r="KZ19" s="53"/>
      <c r="LA19" s="53"/>
      <c r="LB19" s="53"/>
      <c r="LC19" s="33"/>
      <c r="LD19" s="2669"/>
      <c r="LF19" s="26">
        <f t="shared" si="71"/>
        <v>0</v>
      </c>
      <c r="LG19" s="27">
        <f t="shared" si="72"/>
        <v>0</v>
      </c>
      <c r="LH19" s="27">
        <f t="shared" si="73"/>
        <v>0</v>
      </c>
      <c r="LI19" s="28">
        <f t="shared" si="74"/>
        <v>0</v>
      </c>
      <c r="LJ19" s="36"/>
      <c r="LK19" s="27"/>
      <c r="LL19" s="27">
        <v>3</v>
      </c>
      <c r="LM19" s="33"/>
      <c r="LN19" s="1041">
        <v>7.5</v>
      </c>
      <c r="LO19" s="486"/>
      <c r="LP19" s="2688"/>
      <c r="LQ19" s="36"/>
      <c r="LR19" s="36"/>
      <c r="LS19" s="27"/>
      <c r="LT19" s="27"/>
      <c r="LU19" s="27"/>
      <c r="LV19" s="1117">
        <f t="shared" si="75"/>
        <v>0</v>
      </c>
      <c r="LW19" s="36"/>
      <c r="LX19" s="36"/>
      <c r="LY19" s="27"/>
      <c r="LZ19" s="27"/>
      <c r="MA19" s="33"/>
      <c r="MB19" s="28">
        <f t="shared" si="76"/>
        <v>0</v>
      </c>
      <c r="MC19" s="26"/>
      <c r="MD19" s="36"/>
      <c r="ME19" s="27"/>
      <c r="MF19" s="27"/>
      <c r="MG19" s="27"/>
      <c r="MH19" s="28"/>
      <c r="MI19" s="36"/>
      <c r="MJ19" s="36"/>
      <c r="MK19" s="27"/>
      <c r="ML19" s="27"/>
      <c r="MM19" s="27"/>
      <c r="MN19" s="28"/>
      <c r="MO19" s="36"/>
      <c r="MP19" s="36"/>
      <c r="MQ19" s="27"/>
      <c r="MR19" s="27"/>
      <c r="MS19" s="27"/>
      <c r="MT19" s="33">
        <f t="shared" si="77"/>
        <v>0</v>
      </c>
      <c r="MU19" s="2688"/>
      <c r="MW19" s="26">
        <f t="shared" si="78"/>
        <v>239400.24478124586</v>
      </c>
      <c r="MX19" s="27">
        <f t="shared" si="79"/>
        <v>229538.53929571752</v>
      </c>
      <c r="MY19" s="27">
        <f t="shared" si="80"/>
        <v>20969.555608283044</v>
      </c>
      <c r="MZ19" s="28">
        <f t="shared" si="81"/>
        <v>440695.47467809112</v>
      </c>
      <c r="NA19" s="2621"/>
      <c r="NB19" s="23">
        <f t="shared" si="82"/>
        <v>228243.31650315016</v>
      </c>
      <c r="NC19" s="64">
        <f t="shared" si="83"/>
        <v>11156.928278095691</v>
      </c>
      <c r="ND19" s="60">
        <f t="shared" si="84"/>
        <v>0</v>
      </c>
      <c r="NE19" s="275">
        <f t="shared" si="4"/>
        <v>239400.24478124586</v>
      </c>
      <c r="NF19" s="26">
        <f t="shared" si="136"/>
        <v>0</v>
      </c>
      <c r="NG19" s="27">
        <f t="shared" si="137"/>
        <v>0</v>
      </c>
      <c r="NH19" s="27">
        <f t="shared" si="138"/>
        <v>0</v>
      </c>
      <c r="NI19" s="27">
        <f t="shared" si="139"/>
        <v>0</v>
      </c>
      <c r="NJ19" s="27">
        <f t="shared" si="140"/>
        <v>0</v>
      </c>
      <c r="NK19" s="33">
        <f t="shared" si="141"/>
        <v>0</v>
      </c>
      <c r="NL19" s="27">
        <f t="shared" si="142"/>
        <v>0</v>
      </c>
      <c r="NM19" s="36">
        <f t="shared" si="143"/>
        <v>0</v>
      </c>
      <c r="NN19" s="27">
        <f t="shared" si="144"/>
        <v>53736.196549275999</v>
      </c>
      <c r="NO19" s="27">
        <f t="shared" si="145"/>
        <v>0</v>
      </c>
      <c r="NP19" s="24">
        <f t="shared" si="146"/>
        <v>8756.5482322711578</v>
      </c>
      <c r="NQ19" s="24">
        <f t="shared" si="147"/>
        <v>10165.024585687599</v>
      </c>
      <c r="NR19" s="27">
        <f t="shared" si="0"/>
        <v>72657.769367234752</v>
      </c>
      <c r="NS19" s="27">
        <f t="shared" si="86"/>
        <v>0</v>
      </c>
      <c r="NT19" s="27">
        <f t="shared" si="87"/>
        <v>0</v>
      </c>
      <c r="NU19" s="27">
        <f t="shared" si="88"/>
        <v>0</v>
      </c>
      <c r="NV19" s="27">
        <f t="shared" si="89"/>
        <v>0</v>
      </c>
      <c r="NW19" s="27">
        <f t="shared" si="90"/>
        <v>0</v>
      </c>
      <c r="NX19" s="27">
        <f t="shared" si="91"/>
        <v>0</v>
      </c>
      <c r="NY19" s="27">
        <f t="shared" si="92"/>
        <v>5677.7981519076275</v>
      </c>
      <c r="NZ19" s="27">
        <f t="shared" si="93"/>
        <v>0</v>
      </c>
      <c r="OA19" s="27">
        <f t="shared" si="94"/>
        <v>25895.164759987776</v>
      </c>
      <c r="OB19" s="280"/>
      <c r="OC19" s="24">
        <f t="shared" si="95"/>
        <v>3403.7241844007053</v>
      </c>
      <c r="OD19" s="27">
        <f t="shared" si="96"/>
        <v>0</v>
      </c>
      <c r="OE19" s="28">
        <f t="shared" si="1"/>
        <v>34976.687096296111</v>
      </c>
      <c r="OF19" s="27">
        <f t="shared" si="152"/>
        <v>0</v>
      </c>
      <c r="OG19" s="27">
        <f t="shared" si="152"/>
        <v>0</v>
      </c>
      <c r="OH19" s="27">
        <f t="shared" si="152"/>
        <v>0</v>
      </c>
      <c r="OI19" s="27">
        <f t="shared" si="152"/>
        <v>0</v>
      </c>
      <c r="OJ19" s="27">
        <f t="shared" si="153"/>
        <v>0</v>
      </c>
      <c r="OK19" s="27">
        <f t="shared" si="152"/>
        <v>0</v>
      </c>
      <c r="OL19" s="24">
        <f t="shared" si="159"/>
        <v>0</v>
      </c>
      <c r="OM19" s="27">
        <f t="shared" si="154"/>
        <v>0</v>
      </c>
      <c r="ON19" s="24">
        <f t="shared" si="155"/>
        <v>117349.98851377798</v>
      </c>
      <c r="OO19" s="27">
        <f t="shared" si="156"/>
        <v>0</v>
      </c>
      <c r="OP19" s="27">
        <f t="shared" si="157"/>
        <v>4554.0943184086809</v>
      </c>
      <c r="OQ19" s="27">
        <f t="shared" si="158"/>
        <v>0</v>
      </c>
      <c r="OR19" s="28">
        <f t="shared" si="2"/>
        <v>121904.08283218666</v>
      </c>
      <c r="OS19" s="36"/>
      <c r="OT19" s="27"/>
      <c r="OU19" s="27"/>
      <c r="OV19" s="27"/>
      <c r="OW19" s="27"/>
      <c r="OX19" s="27"/>
      <c r="OY19" s="28">
        <f t="shared" si="98"/>
        <v>0</v>
      </c>
      <c r="OZ19" s="36">
        <f t="shared" si="99"/>
        <v>0</v>
      </c>
      <c r="PA19" s="27">
        <f t="shared" si="100"/>
        <v>0</v>
      </c>
      <c r="PB19" s="27">
        <f t="shared" si="101"/>
        <v>0</v>
      </c>
      <c r="PC19" s="27">
        <f t="shared" si="102"/>
        <v>0</v>
      </c>
      <c r="PD19" s="27">
        <f t="shared" si="103"/>
        <v>0</v>
      </c>
      <c r="PE19" s="27">
        <f t="shared" si="104"/>
        <v>0</v>
      </c>
      <c r="PF19" s="33">
        <f t="shared" si="3"/>
        <v>0</v>
      </c>
      <c r="PG19" s="2621"/>
      <c r="PI19" s="2">
        <v>805</v>
      </c>
      <c r="PJ19" s="3">
        <v>660</v>
      </c>
      <c r="PK19" s="3">
        <v>330</v>
      </c>
      <c r="PL19" s="3">
        <f t="shared" si="148"/>
        <v>0</v>
      </c>
      <c r="PM19" s="3">
        <f t="shared" si="149"/>
        <v>145</v>
      </c>
      <c r="PN19" s="11">
        <f t="shared" si="150"/>
        <v>20969.555608283044</v>
      </c>
      <c r="PO19" s="15"/>
      <c r="PP19" s="2615"/>
      <c r="PR19" s="4"/>
      <c r="PS19" s="9"/>
      <c r="PT19" s="9"/>
      <c r="PU19" s="9"/>
      <c r="PV19" s="9"/>
      <c r="PW19" s="9"/>
      <c r="PX19" s="8">
        <f t="shared" si="105"/>
        <v>0</v>
      </c>
      <c r="PY19" s="5">
        <f t="shared" si="106"/>
        <v>805</v>
      </c>
      <c r="PZ19" s="5"/>
      <c r="QA19" s="5"/>
      <c r="QB19" s="5"/>
      <c r="QC19" s="5"/>
      <c r="QD19" s="5"/>
      <c r="QE19" s="12">
        <f t="shared" si="107"/>
        <v>29749.381073161156</v>
      </c>
      <c r="QF19" s="420">
        <f t="shared" si="108"/>
        <v>410946.09360492998</v>
      </c>
      <c r="QG19" s="1106">
        <f t="shared" si="109"/>
        <v>0</v>
      </c>
      <c r="QH19" s="484">
        <f t="shared" si="110"/>
        <v>5505.3678056100007</v>
      </c>
      <c r="QI19" s="12"/>
      <c r="QJ19" s="2615"/>
      <c r="QL19" s="139">
        <f t="shared" si="111"/>
        <v>0</v>
      </c>
      <c r="QM19" s="139" t="str">
        <f t="shared" si="112"/>
        <v/>
      </c>
      <c r="QO19" s="139">
        <f t="shared" si="113"/>
        <v>0</v>
      </c>
      <c r="QP19" s="139">
        <f t="shared" si="114"/>
        <v>0</v>
      </c>
      <c r="QR19" s="1">
        <f t="shared" si="115"/>
        <v>0</v>
      </c>
      <c r="QS19" s="1">
        <f t="shared" si="116"/>
        <v>0</v>
      </c>
      <c r="QT19" s="1">
        <f t="shared" si="117"/>
        <v>0</v>
      </c>
      <c r="QU19" s="1">
        <f t="shared" si="118"/>
        <v>0</v>
      </c>
      <c r="QV19" s="1">
        <f t="shared" si="119"/>
        <v>0</v>
      </c>
      <c r="QW19" s="1">
        <f t="shared" si="120"/>
        <v>0</v>
      </c>
      <c r="QY19" s="1">
        <f t="shared" si="121"/>
        <v>0</v>
      </c>
      <c r="QZ19" s="1">
        <f t="shared" si="122"/>
        <v>0</v>
      </c>
      <c r="RA19" s="1">
        <f t="shared" si="123"/>
        <v>0</v>
      </c>
      <c r="RB19" s="1">
        <f t="shared" si="124"/>
        <v>0</v>
      </c>
      <c r="RC19" s="1">
        <f t="shared" si="125"/>
        <v>0</v>
      </c>
      <c r="RD19" s="1">
        <f t="shared" si="126"/>
        <v>0</v>
      </c>
      <c r="RG19" s="1">
        <v>10</v>
      </c>
      <c r="RH19" s="1">
        <f t="shared" ref="RH19:RH40" si="160">+RH18+JH19-LF19</f>
        <v>11696.255209717099</v>
      </c>
      <c r="RI19" s="1">
        <f t="shared" ref="RI19:RI40" si="161">+RI18+JI19-LG19</f>
        <v>10464.741780483719</v>
      </c>
      <c r="RJ19" s="1">
        <f t="shared" ref="RJ19:RJ40" si="162">+RJ18+JJ19-LH19</f>
        <v>13404.263703387322</v>
      </c>
      <c r="RK19" s="89">
        <f t="shared" si="5"/>
        <v>35565.260693588134</v>
      </c>
      <c r="RL19" s="1033">
        <v>10</v>
      </c>
      <c r="RM19" s="1098">
        <v>0</v>
      </c>
      <c r="RN19" s="1098">
        <f t="shared" si="128"/>
        <v>0</v>
      </c>
      <c r="RO19" s="1097">
        <f t="shared" si="129"/>
        <v>0</v>
      </c>
      <c r="RP19" s="1097">
        <f t="shared" si="151"/>
        <v>3809.42</v>
      </c>
      <c r="RQ19" s="1109"/>
      <c r="RR19" s="1050" t="s">
        <v>686</v>
      </c>
      <c r="RS19" s="1048"/>
      <c r="RU19" s="421">
        <v>10</v>
      </c>
      <c r="RV19" s="1095">
        <f t="shared" si="130"/>
        <v>11102.45</v>
      </c>
      <c r="RW19" s="1046" t="s">
        <v>687</v>
      </c>
      <c r="RY19" s="1090"/>
      <c r="RZ19" s="1090">
        <f t="shared" si="131"/>
        <v>-346.02000000000044</v>
      </c>
      <c r="SA19" s="1090"/>
      <c r="SB19" s="1090">
        <f t="shared" si="132"/>
        <v>0</v>
      </c>
      <c r="SD19" s="1">
        <v>10</v>
      </c>
      <c r="SE19" s="1">
        <f t="shared" si="133"/>
        <v>0</v>
      </c>
    </row>
    <row r="20" spans="1:500" s="1" customFormat="1">
      <c r="B20" s="471">
        <v>11</v>
      </c>
      <c r="C20" s="4">
        <f t="shared" si="6"/>
        <v>105967.6</v>
      </c>
      <c r="D20" s="64">
        <f t="shared" si="134"/>
        <v>4155.1400000000003</v>
      </c>
      <c r="E20" s="61">
        <f t="shared" si="7"/>
        <v>25.502774876418123</v>
      </c>
      <c r="F20" s="870"/>
      <c r="G20" s="870"/>
      <c r="H20" s="52">
        <v>11</v>
      </c>
      <c r="I20" s="61">
        <v>7.67</v>
      </c>
      <c r="J20" s="52"/>
      <c r="K20" s="54"/>
      <c r="L20" s="52">
        <v>3</v>
      </c>
      <c r="M20" s="61">
        <v>4.6900000000000004</v>
      </c>
      <c r="N20" s="2629"/>
      <c r="O20" s="4">
        <f t="shared" si="8"/>
        <v>60522</v>
      </c>
      <c r="P20" s="1225">
        <f t="shared" si="9"/>
        <v>2829.42</v>
      </c>
      <c r="Q20" s="64">
        <f t="shared" si="10"/>
        <v>21.390249591789129</v>
      </c>
      <c r="R20" s="33"/>
      <c r="S20" s="26">
        <f t="shared" si="11"/>
        <v>20617.599999999999</v>
      </c>
      <c r="T20" s="27">
        <f t="shared" si="12"/>
        <v>605.72</v>
      </c>
      <c r="U20" s="53">
        <f t="shared" si="13"/>
        <v>34.038169451231589</v>
      </c>
      <c r="V20" s="28"/>
      <c r="W20" s="26">
        <f t="shared" si="14"/>
        <v>24828</v>
      </c>
      <c r="X20" s="5">
        <f t="shared" si="15"/>
        <v>720</v>
      </c>
      <c r="Y20" s="53">
        <f t="shared" si="16"/>
        <v>34.483333333333334</v>
      </c>
      <c r="Z20" s="33"/>
      <c r="AA20" s="26">
        <f t="shared" si="17"/>
        <v>0</v>
      </c>
      <c r="AB20" s="27">
        <f t="shared" si="18"/>
        <v>0</v>
      </c>
      <c r="AC20" s="53">
        <f t="shared" si="19"/>
        <v>0</v>
      </c>
      <c r="AD20" s="28"/>
      <c r="AE20" s="36"/>
      <c r="AF20" s="36"/>
      <c r="AG20" s="53">
        <f t="shared" si="20"/>
        <v>0</v>
      </c>
      <c r="AH20" s="28"/>
      <c r="AI20" s="23"/>
      <c r="AJ20" s="27"/>
      <c r="AK20" s="53">
        <f t="shared" si="21"/>
        <v>0</v>
      </c>
      <c r="AL20" s="28"/>
      <c r="AM20" s="2629"/>
      <c r="AN20" s="9"/>
      <c r="AO20" s="5"/>
      <c r="AP20" s="61">
        <f t="shared" si="22"/>
        <v>0</v>
      </c>
      <c r="AQ20" s="36"/>
      <c r="AR20" s="53"/>
      <c r="AS20" s="61">
        <f t="shared" si="23"/>
        <v>0</v>
      </c>
      <c r="AT20" s="36">
        <v>0</v>
      </c>
      <c r="AU20" s="27"/>
      <c r="AV20" s="61">
        <f t="shared" si="24"/>
        <v>0</v>
      </c>
      <c r="AW20" s="36">
        <v>26880</v>
      </c>
      <c r="AX20" s="27">
        <v>889.5</v>
      </c>
      <c r="AY20" s="61">
        <f t="shared" si="25"/>
        <v>30.219224283305227</v>
      </c>
      <c r="AZ20" s="36"/>
      <c r="BA20" s="27"/>
      <c r="BB20" s="61">
        <f t="shared" si="26"/>
        <v>0</v>
      </c>
      <c r="BC20" s="36">
        <v>33642</v>
      </c>
      <c r="BD20" s="27">
        <v>1939.92</v>
      </c>
      <c r="BE20" s="61">
        <f t="shared" si="27"/>
        <v>17.34195224545342</v>
      </c>
      <c r="BF20" s="36"/>
      <c r="BG20" s="53"/>
      <c r="BH20" s="61">
        <f t="shared" si="28"/>
        <v>0</v>
      </c>
      <c r="BI20" s="36">
        <v>0</v>
      </c>
      <c r="BJ20" s="53">
        <v>0</v>
      </c>
      <c r="BK20" s="61">
        <f t="shared" si="29"/>
        <v>0</v>
      </c>
      <c r="BL20" s="52">
        <v>20617.599999999999</v>
      </c>
      <c r="BM20" s="53">
        <v>605.72</v>
      </c>
      <c r="BN20" s="482">
        <f t="shared" si="30"/>
        <v>34.038169451231589</v>
      </c>
      <c r="BO20" s="9">
        <v>0</v>
      </c>
      <c r="BP20" s="64">
        <v>0</v>
      </c>
      <c r="BQ20" s="482">
        <f t="shared" si="31"/>
        <v>0</v>
      </c>
      <c r="BR20" s="9"/>
      <c r="BS20" s="53"/>
      <c r="BT20" s="482">
        <f t="shared" si="32"/>
        <v>0</v>
      </c>
      <c r="BU20" s="9">
        <v>24828</v>
      </c>
      <c r="BV20" s="27">
        <v>720</v>
      </c>
      <c r="BW20" s="15">
        <f t="shared" si="33"/>
        <v>34.483333333333334</v>
      </c>
      <c r="BX20" s="26"/>
      <c r="BY20" s="27"/>
      <c r="BZ20" s="482">
        <f t="shared" si="34"/>
        <v>0</v>
      </c>
      <c r="CA20" s="9"/>
      <c r="CB20" s="481"/>
      <c r="CC20" s="482">
        <f t="shared" si="35"/>
        <v>0</v>
      </c>
      <c r="CD20" s="4"/>
      <c r="CE20" s="5"/>
      <c r="CF20" s="28">
        <f t="shared" si="36"/>
        <v>0</v>
      </c>
      <c r="CG20" s="150"/>
      <c r="CH20" s="4">
        <v>0</v>
      </c>
      <c r="CI20" s="5">
        <v>0</v>
      </c>
      <c r="CJ20" s="5">
        <v>0</v>
      </c>
      <c r="CK20" s="5">
        <v>7686</v>
      </c>
      <c r="CL20" s="5"/>
      <c r="CM20" s="5">
        <f t="shared" si="135"/>
        <v>7686</v>
      </c>
      <c r="CN20" s="33"/>
      <c r="CO20" s="366"/>
      <c r="CQ20" s="4">
        <f t="shared" si="37"/>
        <v>0</v>
      </c>
      <c r="CR20" s="9">
        <f t="shared" si="38"/>
        <v>0</v>
      </c>
      <c r="CS20" s="5">
        <f t="shared" si="39"/>
        <v>0</v>
      </c>
      <c r="CT20" s="5">
        <f t="shared" si="40"/>
        <v>0</v>
      </c>
      <c r="CU20" s="5">
        <f t="shared" si="41"/>
        <v>0</v>
      </c>
      <c r="CV20" s="5">
        <f t="shared" si="42"/>
        <v>0</v>
      </c>
      <c r="CW20" s="5">
        <f t="shared" si="43"/>
        <v>889.5</v>
      </c>
      <c r="CX20" s="5">
        <f t="shared" si="44"/>
        <v>0</v>
      </c>
      <c r="CY20" s="5">
        <f t="shared" si="45"/>
        <v>3265.6400000000003</v>
      </c>
      <c r="CZ20" s="5">
        <f t="shared" si="46"/>
        <v>0</v>
      </c>
      <c r="DA20" s="5">
        <f t="shared" si="47"/>
        <v>0</v>
      </c>
      <c r="DB20" s="12">
        <f t="shared" si="48"/>
        <v>0</v>
      </c>
      <c r="DC20" s="310">
        <f t="shared" si="49"/>
        <v>4155.1400000000003</v>
      </c>
      <c r="DD20" s="2695"/>
      <c r="DE20" s="9"/>
      <c r="DF20" s="9"/>
      <c r="DG20" s="5"/>
      <c r="DH20" s="5"/>
      <c r="DI20" s="5"/>
      <c r="DJ20" s="5"/>
      <c r="DK20" s="5">
        <v>889.5</v>
      </c>
      <c r="DL20" s="5"/>
      <c r="DM20" s="27"/>
      <c r="DN20" s="27"/>
      <c r="DO20" s="27"/>
      <c r="DP20" s="12"/>
      <c r="DQ20" s="28">
        <f t="shared" si="50"/>
        <v>889.5</v>
      </c>
      <c r="DR20" s="36"/>
      <c r="DS20" s="36"/>
      <c r="DT20" s="27"/>
      <c r="DU20" s="27"/>
      <c r="DV20" s="5"/>
      <c r="DW20" s="5"/>
      <c r="DX20" s="5"/>
      <c r="DY20" s="5"/>
      <c r="DZ20" s="5">
        <v>2545.6400000000003</v>
      </c>
      <c r="EA20" s="27"/>
      <c r="EB20" s="27"/>
      <c r="EC20" s="33"/>
      <c r="ED20" s="28">
        <f t="shared" si="51"/>
        <v>2545.6400000000003</v>
      </c>
      <c r="EE20" s="9"/>
      <c r="EF20" s="416"/>
      <c r="EG20" s="5"/>
      <c r="EH20" s="313"/>
      <c r="EI20" s="27"/>
      <c r="EJ20" s="27"/>
      <c r="EK20" s="27"/>
      <c r="EL20" s="27"/>
      <c r="EM20" s="27">
        <v>720</v>
      </c>
      <c r="EN20" s="27"/>
      <c r="EO20" s="27"/>
      <c r="EP20" s="33"/>
      <c r="EQ20" s="28">
        <f t="shared" si="52"/>
        <v>720</v>
      </c>
      <c r="ER20" s="36"/>
      <c r="ES20" s="27"/>
      <c r="ET20" s="27"/>
      <c r="EU20" s="27"/>
      <c r="EV20" s="27"/>
      <c r="EW20" s="27"/>
      <c r="EX20" s="33">
        <f t="shared" si="53"/>
        <v>0</v>
      </c>
      <c r="EY20" s="2685"/>
      <c r="FA20" s="4">
        <f t="shared" si="54"/>
        <v>0</v>
      </c>
      <c r="FB20" s="5">
        <f t="shared" si="55"/>
        <v>0</v>
      </c>
      <c r="FC20" s="5">
        <f t="shared" si="56"/>
        <v>0</v>
      </c>
      <c r="FD20" s="12">
        <f t="shared" si="57"/>
        <v>0</v>
      </c>
      <c r="FE20" s="33"/>
      <c r="FF20" s="2674"/>
      <c r="FG20" s="9"/>
      <c r="FH20" s="5"/>
      <c r="FI20" s="5"/>
      <c r="FJ20" s="5"/>
      <c r="FK20" s="5"/>
      <c r="FL20" s="27"/>
      <c r="FM20" s="28">
        <f t="shared" si="58"/>
        <v>0</v>
      </c>
      <c r="FN20" s="36"/>
      <c r="FO20" s="27"/>
      <c r="FP20" s="27"/>
      <c r="FQ20" s="27"/>
      <c r="FR20" s="27"/>
      <c r="FS20" s="27"/>
      <c r="FT20" s="28">
        <f t="shared" si="59"/>
        <v>0</v>
      </c>
      <c r="FU20" s="36"/>
      <c r="FV20" s="36"/>
      <c r="FW20" s="27"/>
      <c r="FX20" s="27"/>
      <c r="FY20" s="27"/>
      <c r="FZ20" s="27"/>
      <c r="GA20" s="27"/>
      <c r="GB20" s="27"/>
      <c r="GC20" s="27"/>
      <c r="GD20" s="27"/>
      <c r="GE20" s="27"/>
      <c r="GF20" s="33"/>
      <c r="GG20" s="33">
        <f t="shared" si="60"/>
        <v>0</v>
      </c>
      <c r="GH20" s="2674"/>
      <c r="GJ20" s="4">
        <f t="shared" si="61"/>
        <v>2738.1800000000003</v>
      </c>
      <c r="GK20" s="64">
        <f t="shared" si="62"/>
        <v>3118.06</v>
      </c>
      <c r="GL20" s="53">
        <f t="shared" si="63"/>
        <v>5931.3600000000006</v>
      </c>
      <c r="GM20" s="53">
        <f t="shared" si="64"/>
        <v>11787.6</v>
      </c>
      <c r="GN20" s="141"/>
      <c r="GO20" s="141"/>
      <c r="GP20" s="33"/>
      <c r="GQ20" s="2667"/>
      <c r="GR20" s="363">
        <v>5139</v>
      </c>
      <c r="GS20" s="5"/>
      <c r="GT20" s="5">
        <v>3829.8999999999996</v>
      </c>
      <c r="GU20" s="27">
        <v>2818.7</v>
      </c>
      <c r="GV20" s="54">
        <f t="shared" si="65"/>
        <v>11787.599999999999</v>
      </c>
      <c r="GW20" s="2667"/>
      <c r="GX20" s="36"/>
      <c r="GY20" s="36"/>
      <c r="GZ20" s="27"/>
      <c r="HA20" s="27"/>
      <c r="HB20" s="27"/>
      <c r="HC20" s="27"/>
      <c r="HD20" s="27"/>
      <c r="HE20" s="27"/>
      <c r="HF20" s="27">
        <v>1945.92</v>
      </c>
      <c r="HG20" s="27"/>
      <c r="HH20" s="27">
        <v>792.26</v>
      </c>
      <c r="HI20" s="27"/>
      <c r="HJ20" s="27"/>
      <c r="HK20" s="27"/>
      <c r="HL20" s="28">
        <f t="shared" si="66"/>
        <v>2738.1800000000003</v>
      </c>
      <c r="HM20" s="36"/>
      <c r="HN20" s="27"/>
      <c r="HO20" s="27"/>
      <c r="HP20" s="27"/>
      <c r="HQ20" s="27"/>
      <c r="HR20" s="27"/>
      <c r="HS20" s="27"/>
      <c r="HT20" s="27"/>
      <c r="HU20" s="27"/>
      <c r="HV20" s="27"/>
      <c r="HW20" s="27"/>
      <c r="HX20" s="27"/>
      <c r="HY20" s="27"/>
      <c r="HZ20" s="27"/>
      <c r="IA20" s="33">
        <f t="shared" si="67"/>
        <v>0</v>
      </c>
      <c r="IB20" s="52"/>
      <c r="IC20" s="152"/>
      <c r="ID20" s="53"/>
      <c r="IE20" s="53"/>
      <c r="IF20" s="53"/>
      <c r="IG20" s="53"/>
      <c r="IH20" s="53">
        <v>1142.5</v>
      </c>
      <c r="II20" s="53"/>
      <c r="IJ20" s="53">
        <v>1975.56</v>
      </c>
      <c r="IK20" s="53"/>
      <c r="IL20" s="53"/>
      <c r="IM20" s="53"/>
      <c r="IN20" s="53"/>
      <c r="IO20" s="53"/>
      <c r="IP20" s="61">
        <f t="shared" si="68"/>
        <v>3118.06</v>
      </c>
      <c r="IQ20" s="36"/>
      <c r="IR20" s="36"/>
      <c r="IS20" s="27"/>
      <c r="IT20" s="27"/>
      <c r="IU20" s="53"/>
      <c r="IV20" s="27"/>
      <c r="IW20" s="27"/>
      <c r="IX20" s="27"/>
      <c r="IY20" s="27">
        <v>3564.75</v>
      </c>
      <c r="IZ20" s="27"/>
      <c r="JA20" s="27">
        <v>2366.61</v>
      </c>
      <c r="JB20" s="27"/>
      <c r="JC20" s="27"/>
      <c r="JD20" s="27"/>
      <c r="JE20" s="33">
        <f t="shared" si="69"/>
        <v>5931.3600000000006</v>
      </c>
      <c r="JF20" s="2667"/>
      <c r="JH20" s="52">
        <v>6445.58</v>
      </c>
      <c r="JI20" s="152">
        <v>5342.0199999999995</v>
      </c>
      <c r="JJ20" s="53"/>
      <c r="JK20" s="53">
        <f t="shared" si="70"/>
        <v>11787.599999999999</v>
      </c>
      <c r="JL20" s="33"/>
      <c r="JM20" s="2669"/>
      <c r="JN20" s="69"/>
      <c r="JO20" s="70"/>
      <c r="JP20" s="70"/>
      <c r="JQ20" s="70"/>
      <c r="JR20" s="70">
        <v>0.75980427978126097</v>
      </c>
      <c r="JS20" s="70">
        <v>0.24019572021873897</v>
      </c>
      <c r="JT20" s="70"/>
      <c r="JU20" s="71"/>
      <c r="JV20" s="69"/>
      <c r="JW20" s="70"/>
      <c r="JX20" s="70"/>
      <c r="JY20" s="70">
        <v>0.21387040857203832</v>
      </c>
      <c r="JZ20" s="70">
        <v>0.2356075042774082</v>
      </c>
      <c r="KA20" s="70">
        <v>0.55052208715055351</v>
      </c>
      <c r="KB20" s="70"/>
      <c r="KC20" s="71"/>
      <c r="KD20" s="69"/>
      <c r="KE20" s="70"/>
      <c r="KF20" s="70"/>
      <c r="KG20" s="70"/>
      <c r="KH20" s="70"/>
      <c r="KI20" s="70"/>
      <c r="KJ20" s="70"/>
      <c r="KK20" s="70"/>
      <c r="KL20" s="33"/>
      <c r="KM20" s="2669"/>
      <c r="KN20" s="36">
        <v>7084.0453190220633</v>
      </c>
      <c r="KO20" s="53">
        <v>0.49944543828264754</v>
      </c>
      <c r="KP20" s="53">
        <v>4.1486642814549786</v>
      </c>
      <c r="KQ20" s="53">
        <v>5.5836135957066197</v>
      </c>
      <c r="KR20" s="54">
        <v>11.891437090041743</v>
      </c>
      <c r="KS20" s="4">
        <v>7013</v>
      </c>
      <c r="KT20" s="64">
        <v>1.49</v>
      </c>
      <c r="KU20" s="64">
        <v>4.74</v>
      </c>
      <c r="KV20" s="64">
        <v>6.46</v>
      </c>
      <c r="KW20" s="482">
        <v>11.04</v>
      </c>
      <c r="KX20" s="36"/>
      <c r="KY20" s="53"/>
      <c r="KZ20" s="53"/>
      <c r="LA20" s="53"/>
      <c r="LB20" s="53"/>
      <c r="LC20" s="33"/>
      <c r="LD20" s="2669"/>
      <c r="LF20" s="26">
        <f t="shared" si="71"/>
        <v>0</v>
      </c>
      <c r="LG20" s="27">
        <f t="shared" si="72"/>
        <v>0</v>
      </c>
      <c r="LH20" s="27">
        <f t="shared" si="73"/>
        <v>0</v>
      </c>
      <c r="LI20" s="28">
        <f t="shared" si="74"/>
        <v>0</v>
      </c>
      <c r="LJ20" s="36"/>
      <c r="LK20" s="27"/>
      <c r="LL20" s="27">
        <v>7</v>
      </c>
      <c r="LM20" s="33"/>
      <c r="LN20" s="1041">
        <v>7.79</v>
      </c>
      <c r="LO20" s="486"/>
      <c r="LP20" s="2688"/>
      <c r="LQ20" s="36"/>
      <c r="LR20" s="36"/>
      <c r="LS20" s="27"/>
      <c r="LT20" s="27"/>
      <c r="LU20" s="27"/>
      <c r="LV20" s="1117">
        <f t="shared" si="75"/>
        <v>0</v>
      </c>
      <c r="LW20" s="36"/>
      <c r="LX20" s="36"/>
      <c r="LY20" s="277"/>
      <c r="LZ20" s="27"/>
      <c r="MA20" s="33"/>
      <c r="MB20" s="28">
        <f t="shared" si="76"/>
        <v>0</v>
      </c>
      <c r="MC20" s="26"/>
      <c r="MD20" s="36"/>
      <c r="ME20" s="27"/>
      <c r="MF20" s="27"/>
      <c r="MG20" s="27"/>
      <c r="MH20" s="28"/>
      <c r="MI20" s="36"/>
      <c r="MJ20" s="36"/>
      <c r="MK20" s="27"/>
      <c r="ML20" s="27"/>
      <c r="MM20" s="27"/>
      <c r="MN20" s="28"/>
      <c r="MO20" s="36"/>
      <c r="MP20" s="36"/>
      <c r="MQ20" s="27"/>
      <c r="MR20" s="27"/>
      <c r="MS20" s="27"/>
      <c r="MT20" s="33">
        <f t="shared" si="77"/>
        <v>0</v>
      </c>
      <c r="MU20" s="2688"/>
      <c r="MW20" s="26">
        <f t="shared" si="78"/>
        <v>239097.80199929353</v>
      </c>
      <c r="MX20" s="27">
        <f t="shared" si="79"/>
        <v>221906.07929571753</v>
      </c>
      <c r="MY20" s="27">
        <f t="shared" si="80"/>
        <v>20969.555608283044</v>
      </c>
      <c r="MZ20" s="28">
        <f t="shared" si="81"/>
        <v>440695.47467809112</v>
      </c>
      <c r="NA20" s="2621"/>
      <c r="NB20" s="23">
        <v>221721.73805395968</v>
      </c>
      <c r="NC20" s="64">
        <v>17376.063945333841</v>
      </c>
      <c r="ND20" s="60">
        <f t="shared" si="84"/>
        <v>0</v>
      </c>
      <c r="NE20" s="275">
        <f t="shared" si="4"/>
        <v>239097.80199929353</v>
      </c>
      <c r="NF20" s="26">
        <f t="shared" si="136"/>
        <v>0</v>
      </c>
      <c r="NG20" s="27">
        <f t="shared" si="137"/>
        <v>0</v>
      </c>
      <c r="NH20" s="27">
        <f t="shared" si="138"/>
        <v>0</v>
      </c>
      <c r="NI20" s="27">
        <f t="shared" si="139"/>
        <v>0</v>
      </c>
      <c r="NJ20" s="27">
        <f t="shared" si="140"/>
        <v>0</v>
      </c>
      <c r="NK20" s="33">
        <f t="shared" si="141"/>
        <v>0</v>
      </c>
      <c r="NL20" s="27">
        <f t="shared" si="142"/>
        <v>0</v>
      </c>
      <c r="NM20" s="36">
        <f t="shared" si="143"/>
        <v>0</v>
      </c>
      <c r="NN20" s="27">
        <f t="shared" si="144"/>
        <v>52510.276549276001</v>
      </c>
      <c r="NO20" s="27">
        <f t="shared" si="145"/>
        <v>0</v>
      </c>
      <c r="NP20" s="24">
        <f t="shared" si="146"/>
        <v>8756.5482322711578</v>
      </c>
      <c r="NQ20" s="24">
        <f t="shared" si="147"/>
        <v>9372.7645856875988</v>
      </c>
      <c r="NR20" s="27">
        <f t="shared" si="0"/>
        <v>70639.589367234759</v>
      </c>
      <c r="NS20" s="27">
        <f t="shared" si="86"/>
        <v>0</v>
      </c>
      <c r="NT20" s="27">
        <f t="shared" si="87"/>
        <v>0</v>
      </c>
      <c r="NU20" s="27">
        <f t="shared" si="88"/>
        <v>0</v>
      </c>
      <c r="NV20" s="27">
        <f t="shared" si="89"/>
        <v>0</v>
      </c>
      <c r="NW20" s="27">
        <f t="shared" si="90"/>
        <v>0</v>
      </c>
      <c r="NX20" s="27">
        <f t="shared" si="91"/>
        <v>0</v>
      </c>
      <c r="NY20" s="27">
        <f t="shared" si="92"/>
        <v>5424.7981519076275</v>
      </c>
      <c r="NZ20" s="27">
        <f t="shared" si="93"/>
        <v>0</v>
      </c>
      <c r="OA20" s="27">
        <f t="shared" si="94"/>
        <v>23919.604759987775</v>
      </c>
      <c r="OB20" s="280"/>
      <c r="OC20" s="24">
        <f t="shared" si="95"/>
        <v>3403.7241844007053</v>
      </c>
      <c r="OD20" s="27">
        <f t="shared" si="96"/>
        <v>0</v>
      </c>
      <c r="OE20" s="28">
        <f t="shared" si="1"/>
        <v>32748.127096296106</v>
      </c>
      <c r="OF20" s="27">
        <f t="shared" ref="OF20:OF40" si="163">+OF19+DR20+FU20-IQ20</f>
        <v>0</v>
      </c>
      <c r="OG20" s="27">
        <f t="shared" ref="OG20:OG40" si="164">+OG19+DS20+FV20-IR20</f>
        <v>0</v>
      </c>
      <c r="OH20" s="27">
        <v>0</v>
      </c>
      <c r="OI20" s="27">
        <f t="shared" ref="OI20:OK22" si="165">+OI19+DU20+FX20-IT20</f>
        <v>0</v>
      </c>
      <c r="OJ20" s="27">
        <f t="shared" si="153"/>
        <v>0</v>
      </c>
      <c r="OK20" s="27">
        <f t="shared" si="165"/>
        <v>0</v>
      </c>
      <c r="OL20" s="24">
        <f t="shared" si="159"/>
        <v>0</v>
      </c>
      <c r="OM20" s="27">
        <f t="shared" si="154"/>
        <v>0</v>
      </c>
      <c r="ON20" s="24">
        <f t="shared" si="155"/>
        <v>116330.87851377798</v>
      </c>
      <c r="OO20" s="27">
        <f t="shared" si="156"/>
        <v>0</v>
      </c>
      <c r="OP20" s="27">
        <f t="shared" si="157"/>
        <v>2187.4843184086808</v>
      </c>
      <c r="OQ20" s="27">
        <f t="shared" si="158"/>
        <v>0</v>
      </c>
      <c r="OR20" s="28">
        <f t="shared" si="2"/>
        <v>118518.36283218666</v>
      </c>
      <c r="OS20" s="36"/>
      <c r="OT20" s="27"/>
      <c r="OU20" s="27"/>
      <c r="OV20" s="27"/>
      <c r="OW20" s="27"/>
      <c r="OX20" s="27"/>
      <c r="OY20" s="28">
        <f t="shared" si="98"/>
        <v>0</v>
      </c>
      <c r="OZ20" s="36">
        <f t="shared" si="99"/>
        <v>0</v>
      </c>
      <c r="PA20" s="27">
        <f t="shared" si="100"/>
        <v>0</v>
      </c>
      <c r="PB20" s="27">
        <f t="shared" si="101"/>
        <v>0</v>
      </c>
      <c r="PC20" s="27">
        <f t="shared" si="102"/>
        <v>0</v>
      </c>
      <c r="PD20" s="27">
        <f t="shared" si="103"/>
        <v>0</v>
      </c>
      <c r="PE20" s="27">
        <f t="shared" si="104"/>
        <v>0</v>
      </c>
      <c r="PF20" s="33">
        <f t="shared" si="3"/>
        <v>0</v>
      </c>
      <c r="PG20" s="2621"/>
      <c r="PI20" s="2"/>
      <c r="PJ20" s="3">
        <v>0</v>
      </c>
      <c r="PK20" s="3">
        <v>0</v>
      </c>
      <c r="PL20" s="3">
        <f t="shared" si="148"/>
        <v>0</v>
      </c>
      <c r="PM20" s="3">
        <f t="shared" si="149"/>
        <v>145</v>
      </c>
      <c r="PN20" s="11">
        <f t="shared" si="150"/>
        <v>20969.555608283044</v>
      </c>
      <c r="PO20" s="15"/>
      <c r="PP20" s="2615"/>
      <c r="PR20" s="4"/>
      <c r="PS20" s="9"/>
      <c r="PT20" s="9"/>
      <c r="PU20" s="9"/>
      <c r="PV20" s="9"/>
      <c r="PW20" s="9"/>
      <c r="PX20" s="8">
        <f t="shared" si="105"/>
        <v>0</v>
      </c>
      <c r="PY20" s="5">
        <f t="shared" si="106"/>
        <v>0</v>
      </c>
      <c r="PZ20" s="5"/>
      <c r="QA20" s="5"/>
      <c r="QB20" s="5"/>
      <c r="QC20" s="5"/>
      <c r="QD20" s="5"/>
      <c r="QE20" s="12">
        <f t="shared" si="107"/>
        <v>29749.381073161156</v>
      </c>
      <c r="QF20" s="420">
        <f t="shared" si="108"/>
        <v>410946.09360492998</v>
      </c>
      <c r="QG20" s="1106">
        <f t="shared" si="109"/>
        <v>0</v>
      </c>
      <c r="QH20" s="484">
        <f t="shared" si="110"/>
        <v>5505.3678056100007</v>
      </c>
      <c r="QI20" s="12"/>
      <c r="QJ20" s="2615"/>
      <c r="QL20" s="139">
        <f t="shared" si="111"/>
        <v>0</v>
      </c>
      <c r="QM20" s="139" t="str">
        <f t="shared" si="112"/>
        <v/>
      </c>
      <c r="QO20" s="139">
        <f t="shared" si="113"/>
        <v>0</v>
      </c>
      <c r="QP20" s="139">
        <f t="shared" si="114"/>
        <v>0</v>
      </c>
      <c r="QR20" s="1">
        <f t="shared" si="115"/>
        <v>0</v>
      </c>
      <c r="QS20" s="1">
        <f t="shared" si="116"/>
        <v>0</v>
      </c>
      <c r="QT20" s="1">
        <f t="shared" si="117"/>
        <v>0</v>
      </c>
      <c r="QU20" s="1">
        <f t="shared" si="118"/>
        <v>0</v>
      </c>
      <c r="QV20" s="1">
        <f t="shared" si="119"/>
        <v>0</v>
      </c>
      <c r="QW20" s="1">
        <f t="shared" si="120"/>
        <v>0</v>
      </c>
      <c r="QY20" s="1">
        <f t="shared" si="121"/>
        <v>0</v>
      </c>
      <c r="QZ20" s="1">
        <f t="shared" si="122"/>
        <v>0</v>
      </c>
      <c r="RA20" s="1">
        <f t="shared" si="123"/>
        <v>0</v>
      </c>
      <c r="RB20" s="1">
        <f t="shared" si="124"/>
        <v>0</v>
      </c>
      <c r="RC20" s="1">
        <f t="shared" si="125"/>
        <v>0</v>
      </c>
      <c r="RD20" s="1">
        <f t="shared" si="126"/>
        <v>0</v>
      </c>
      <c r="RG20" s="1">
        <v>11</v>
      </c>
      <c r="RH20" s="1">
        <f t="shared" si="160"/>
        <v>18141.835209717101</v>
      </c>
      <c r="RI20" s="1">
        <f t="shared" si="161"/>
        <v>15806.761780483717</v>
      </c>
      <c r="RJ20" s="1">
        <f t="shared" si="162"/>
        <v>13404.263703387322</v>
      </c>
      <c r="RK20" s="89">
        <f t="shared" si="5"/>
        <v>47352.86069358814</v>
      </c>
      <c r="RL20" s="1033">
        <v>11</v>
      </c>
      <c r="RM20" s="1098">
        <f t="shared" ref="RM20:RM40" si="166">BP20</f>
        <v>0</v>
      </c>
      <c r="RN20" s="1098">
        <f t="shared" si="128"/>
        <v>0</v>
      </c>
      <c r="RO20" s="1097">
        <f t="shared" si="129"/>
        <v>0</v>
      </c>
      <c r="RP20" s="1097">
        <f t="shared" si="151"/>
        <v>3713.1000000000004</v>
      </c>
      <c r="RQ20" s="1109"/>
      <c r="RR20" s="1046" t="s">
        <v>688</v>
      </c>
      <c r="RU20" s="421">
        <v>11</v>
      </c>
      <c r="RV20" s="1095">
        <f t="shared" si="130"/>
        <v>11787.599999999999</v>
      </c>
      <c r="RW20" s="1046" t="s">
        <v>689</v>
      </c>
      <c r="RY20" s="1090"/>
      <c r="RZ20" s="1090">
        <f t="shared" si="131"/>
        <v>-277.96000000000004</v>
      </c>
      <c r="SA20" s="1090"/>
      <c r="SB20" s="1090">
        <f t="shared" si="132"/>
        <v>0</v>
      </c>
      <c r="SD20" s="1">
        <v>11</v>
      </c>
      <c r="SE20" s="1">
        <f t="shared" si="133"/>
        <v>0</v>
      </c>
    </row>
    <row r="21" spans="1:500" s="1" customFormat="1" ht="16.95" customHeight="1">
      <c r="B21" s="471">
        <v>12</v>
      </c>
      <c r="C21" s="26">
        <f t="shared" si="6"/>
        <v>148804</v>
      </c>
      <c r="D21" s="64">
        <f t="shared" si="134"/>
        <v>4861.67</v>
      </c>
      <c r="E21" s="61">
        <f t="shared" si="7"/>
        <v>30.60758957313022</v>
      </c>
      <c r="F21" s="870"/>
      <c r="G21" s="870"/>
      <c r="H21" s="52"/>
      <c r="I21" s="61"/>
      <c r="J21" s="52"/>
      <c r="K21" s="54"/>
      <c r="L21" s="52"/>
      <c r="M21" s="61"/>
      <c r="N21" s="2629"/>
      <c r="O21" s="4">
        <f t="shared" si="8"/>
        <v>85680</v>
      </c>
      <c r="P21" s="1225">
        <f t="shared" si="9"/>
        <v>4529.9400000000005</v>
      </c>
      <c r="Q21" s="64">
        <f t="shared" si="10"/>
        <v>18.914157803414614</v>
      </c>
      <c r="R21" s="33"/>
      <c r="S21" s="26">
        <f t="shared" si="11"/>
        <v>25809</v>
      </c>
      <c r="T21" s="27">
        <f t="shared" si="12"/>
        <v>331.73</v>
      </c>
      <c r="U21" s="53">
        <f t="shared" si="13"/>
        <v>77.801223886895968</v>
      </c>
      <c r="V21" s="28"/>
      <c r="W21" s="26">
        <f t="shared" si="14"/>
        <v>37315</v>
      </c>
      <c r="X21" s="5">
        <f t="shared" si="15"/>
        <v>0</v>
      </c>
      <c r="Y21" s="53">
        <f t="shared" si="16"/>
        <v>0</v>
      </c>
      <c r="Z21" s="33"/>
      <c r="AA21" s="26">
        <f t="shared" si="17"/>
        <v>0</v>
      </c>
      <c r="AB21" s="27">
        <f t="shared" si="18"/>
        <v>0</v>
      </c>
      <c r="AC21" s="53">
        <f t="shared" si="19"/>
        <v>0</v>
      </c>
      <c r="AD21" s="28"/>
      <c r="AE21" s="36"/>
      <c r="AF21" s="36"/>
      <c r="AG21" s="53">
        <f t="shared" si="20"/>
        <v>0</v>
      </c>
      <c r="AH21" s="28"/>
      <c r="AI21" s="26"/>
      <c r="AJ21" s="27"/>
      <c r="AK21" s="53">
        <f t="shared" si="21"/>
        <v>0</v>
      </c>
      <c r="AL21" s="28"/>
      <c r="AM21" s="2629"/>
      <c r="AN21" s="9"/>
      <c r="AO21" s="5"/>
      <c r="AP21" s="61">
        <f t="shared" si="22"/>
        <v>0</v>
      </c>
      <c r="AQ21" s="36"/>
      <c r="AR21" s="53"/>
      <c r="AS21" s="61">
        <f t="shared" si="23"/>
        <v>0</v>
      </c>
      <c r="AT21" s="36">
        <v>0</v>
      </c>
      <c r="AU21" s="27"/>
      <c r="AV21" s="61">
        <f t="shared" si="24"/>
        <v>0</v>
      </c>
      <c r="AW21" s="36">
        <v>46284</v>
      </c>
      <c r="AX21" s="27">
        <v>2401.04</v>
      </c>
      <c r="AY21" s="61">
        <f t="shared" si="25"/>
        <v>19.276646786392565</v>
      </c>
      <c r="AZ21" s="36"/>
      <c r="BA21" s="27"/>
      <c r="BB21" s="61">
        <f t="shared" si="26"/>
        <v>0</v>
      </c>
      <c r="BC21" s="36">
        <v>39396</v>
      </c>
      <c r="BD21" s="27">
        <v>2128.9</v>
      </c>
      <c r="BE21" s="61">
        <f t="shared" si="27"/>
        <v>18.505331391798581</v>
      </c>
      <c r="BF21" s="36"/>
      <c r="BG21" s="53"/>
      <c r="BH21" s="61">
        <f t="shared" si="28"/>
        <v>0</v>
      </c>
      <c r="BI21" s="36">
        <v>0</v>
      </c>
      <c r="BJ21" s="53">
        <v>0</v>
      </c>
      <c r="BK21" s="61">
        <f t="shared" si="29"/>
        <v>0</v>
      </c>
      <c r="BL21" s="52">
        <v>25809</v>
      </c>
      <c r="BM21" s="53">
        <v>331.73</v>
      </c>
      <c r="BN21" s="482">
        <f t="shared" si="30"/>
        <v>77.801223886895968</v>
      </c>
      <c r="BO21" s="9">
        <v>0</v>
      </c>
      <c r="BP21" s="64">
        <v>0</v>
      </c>
      <c r="BQ21" s="482">
        <f t="shared" si="31"/>
        <v>0</v>
      </c>
      <c r="BR21" s="9"/>
      <c r="BS21" s="53"/>
      <c r="BT21" s="482">
        <f t="shared" si="32"/>
        <v>0</v>
      </c>
      <c r="BU21" s="9">
        <v>37315</v>
      </c>
      <c r="BV21" s="27">
        <v>0</v>
      </c>
      <c r="BW21" s="15">
        <f t="shared" si="33"/>
        <v>0</v>
      </c>
      <c r="BX21" s="26"/>
      <c r="BY21" s="27"/>
      <c r="BZ21" s="482">
        <f t="shared" si="34"/>
        <v>0</v>
      </c>
      <c r="CA21" s="9"/>
      <c r="CB21" s="481"/>
      <c r="CC21" s="482">
        <f t="shared" si="35"/>
        <v>0</v>
      </c>
      <c r="CD21" s="4"/>
      <c r="CE21" s="5"/>
      <c r="CF21" s="28">
        <f t="shared" si="36"/>
        <v>0</v>
      </c>
      <c r="CG21" s="150"/>
      <c r="CH21" s="4">
        <v>528</v>
      </c>
      <c r="CI21" s="5">
        <v>0</v>
      </c>
      <c r="CJ21" s="5">
        <v>0</v>
      </c>
      <c r="CK21" s="5">
        <v>9144</v>
      </c>
      <c r="CL21" s="5"/>
      <c r="CM21" s="5">
        <f t="shared" si="135"/>
        <v>9672</v>
      </c>
      <c r="CN21" s="33"/>
      <c r="CO21" s="366"/>
      <c r="CQ21" s="4">
        <f t="shared" si="37"/>
        <v>0</v>
      </c>
      <c r="CR21" s="9">
        <f t="shared" si="38"/>
        <v>0</v>
      </c>
      <c r="CS21" s="5">
        <f t="shared" si="39"/>
        <v>0</v>
      </c>
      <c r="CT21" s="5">
        <f t="shared" si="40"/>
        <v>0</v>
      </c>
      <c r="CU21" s="5">
        <f t="shared" si="41"/>
        <v>0</v>
      </c>
      <c r="CV21" s="5">
        <f t="shared" si="42"/>
        <v>0</v>
      </c>
      <c r="CW21" s="5">
        <f t="shared" si="43"/>
        <v>0</v>
      </c>
      <c r="CX21" s="5">
        <f t="shared" si="44"/>
        <v>0</v>
      </c>
      <c r="CY21" s="5">
        <f t="shared" si="45"/>
        <v>4861.67</v>
      </c>
      <c r="CZ21" s="5">
        <f t="shared" si="46"/>
        <v>0</v>
      </c>
      <c r="DA21" s="5">
        <f t="shared" si="47"/>
        <v>0</v>
      </c>
      <c r="DB21" s="12">
        <f t="shared" si="48"/>
        <v>0</v>
      </c>
      <c r="DC21" s="310">
        <f t="shared" si="49"/>
        <v>4861.67</v>
      </c>
      <c r="DD21" s="2695"/>
      <c r="DE21" s="9"/>
      <c r="DF21" s="9"/>
      <c r="DG21" s="5"/>
      <c r="DH21" s="5"/>
      <c r="DI21" s="5"/>
      <c r="DJ21" s="5"/>
      <c r="DK21" s="5"/>
      <c r="DL21" s="5"/>
      <c r="DM21" s="5">
        <v>2401.04</v>
      </c>
      <c r="DN21" s="5"/>
      <c r="DO21" s="5"/>
      <c r="DP21" s="12"/>
      <c r="DQ21" s="28">
        <f t="shared" si="50"/>
        <v>2401.04</v>
      </c>
      <c r="DR21" s="36"/>
      <c r="DS21" s="36"/>
      <c r="DT21" s="53"/>
      <c r="DU21" s="27"/>
      <c r="DV21" s="5"/>
      <c r="DW21" s="5"/>
      <c r="DX21" s="5"/>
      <c r="DY21" s="5"/>
      <c r="DZ21" s="5">
        <v>2460.63</v>
      </c>
      <c r="EA21" s="27"/>
      <c r="EB21" s="27"/>
      <c r="EC21" s="33"/>
      <c r="ED21" s="28">
        <f t="shared" si="51"/>
        <v>2460.63</v>
      </c>
      <c r="EE21" s="9"/>
      <c r="EF21" s="36"/>
      <c r="EG21" s="5"/>
      <c r="EH21" s="313"/>
      <c r="EI21" s="27"/>
      <c r="EJ21" s="27"/>
      <c r="EK21" s="27"/>
      <c r="EL21" s="27"/>
      <c r="EM21" s="27"/>
      <c r="EN21" s="27"/>
      <c r="EO21" s="27"/>
      <c r="EP21" s="33"/>
      <c r="EQ21" s="28">
        <f t="shared" si="52"/>
        <v>0</v>
      </c>
      <c r="ER21" s="36"/>
      <c r="ES21" s="27"/>
      <c r="ET21" s="27"/>
      <c r="EU21" s="27"/>
      <c r="EV21" s="27"/>
      <c r="EW21" s="27"/>
      <c r="EX21" s="33">
        <f t="shared" si="53"/>
        <v>0</v>
      </c>
      <c r="EY21" s="2685"/>
      <c r="FA21" s="4">
        <f t="shared" si="54"/>
        <v>0</v>
      </c>
      <c r="FB21" s="5">
        <f t="shared" si="55"/>
        <v>0</v>
      </c>
      <c r="FC21" s="5">
        <f t="shared" si="56"/>
        <v>0</v>
      </c>
      <c r="FD21" s="12">
        <f t="shared" si="57"/>
        <v>0</v>
      </c>
      <c r="FE21" s="33"/>
      <c r="FF21" s="2674"/>
      <c r="FG21" s="9"/>
      <c r="FH21" s="5"/>
      <c r="FI21" s="5"/>
      <c r="FJ21" s="5"/>
      <c r="FK21" s="5"/>
      <c r="FL21" s="27"/>
      <c r="FM21" s="28">
        <f t="shared" si="58"/>
        <v>0</v>
      </c>
      <c r="FN21" s="36"/>
      <c r="FO21" s="27"/>
      <c r="FP21" s="27"/>
      <c r="FQ21" s="27"/>
      <c r="FR21" s="27"/>
      <c r="FS21" s="27"/>
      <c r="FT21" s="28">
        <f t="shared" si="59"/>
        <v>0</v>
      </c>
      <c r="FU21" s="36"/>
      <c r="FV21" s="36"/>
      <c r="FW21" s="27"/>
      <c r="FX21" s="27"/>
      <c r="FY21" s="27"/>
      <c r="FZ21" s="27"/>
      <c r="GA21" s="27"/>
      <c r="GB21" s="27"/>
      <c r="GC21" s="27"/>
      <c r="GD21" s="27"/>
      <c r="GE21" s="27"/>
      <c r="GF21" s="33"/>
      <c r="GG21" s="33">
        <f t="shared" si="60"/>
        <v>0</v>
      </c>
      <c r="GH21" s="2674"/>
      <c r="GJ21" s="4">
        <f t="shared" si="61"/>
        <v>4160.33</v>
      </c>
      <c r="GK21" s="64">
        <f t="shared" si="62"/>
        <v>2818.9900000000002</v>
      </c>
      <c r="GL21" s="53">
        <f t="shared" si="63"/>
        <v>5662.75</v>
      </c>
      <c r="GM21" s="53">
        <f t="shared" si="64"/>
        <v>12642.07</v>
      </c>
      <c r="GN21" s="141"/>
      <c r="GO21" s="141"/>
      <c r="GP21" s="33"/>
      <c r="GQ21" s="2667"/>
      <c r="GR21" s="363">
        <v>5800.0000000000009</v>
      </c>
      <c r="GS21" s="5"/>
      <c r="GT21" s="5">
        <v>3950.32</v>
      </c>
      <c r="GU21" s="27">
        <v>2891.75</v>
      </c>
      <c r="GV21" s="54">
        <f t="shared" si="65"/>
        <v>12642.070000000002</v>
      </c>
      <c r="GW21" s="2667"/>
      <c r="GX21" s="36"/>
      <c r="GY21" s="36"/>
      <c r="GZ21" s="27"/>
      <c r="HA21" s="27"/>
      <c r="HB21" s="27"/>
      <c r="HC21" s="27"/>
      <c r="HD21" s="27"/>
      <c r="HE21" s="27"/>
      <c r="HF21" s="27">
        <v>4075.1800000000003</v>
      </c>
      <c r="HG21" s="27"/>
      <c r="HH21" s="27">
        <v>85.15</v>
      </c>
      <c r="HI21" s="27"/>
      <c r="HJ21" s="27"/>
      <c r="HK21" s="27"/>
      <c r="HL21" s="28">
        <f t="shared" si="66"/>
        <v>4160.33</v>
      </c>
      <c r="HM21" s="36"/>
      <c r="HN21" s="27"/>
      <c r="HO21" s="27"/>
      <c r="HP21" s="27"/>
      <c r="HQ21" s="27"/>
      <c r="HR21" s="27"/>
      <c r="HS21" s="27"/>
      <c r="HT21" s="27"/>
      <c r="HU21" s="27"/>
      <c r="HV21" s="27"/>
      <c r="HW21" s="27"/>
      <c r="HX21" s="27"/>
      <c r="HY21" s="27"/>
      <c r="HZ21" s="27"/>
      <c r="IA21" s="33">
        <f t="shared" si="67"/>
        <v>0</v>
      </c>
      <c r="IB21" s="52"/>
      <c r="IC21" s="152"/>
      <c r="ID21" s="53"/>
      <c r="IE21" s="53"/>
      <c r="IF21" s="53"/>
      <c r="IG21" s="53"/>
      <c r="IH21" s="53">
        <v>77.900000000000006</v>
      </c>
      <c r="II21" s="53"/>
      <c r="IJ21" s="53">
        <v>2741.09</v>
      </c>
      <c r="IK21" s="53"/>
      <c r="IL21" s="53"/>
      <c r="IM21" s="53"/>
      <c r="IN21" s="53"/>
      <c r="IO21" s="53"/>
      <c r="IP21" s="61">
        <f t="shared" si="68"/>
        <v>2818.9900000000002</v>
      </c>
      <c r="IQ21" s="36"/>
      <c r="IR21" s="36"/>
      <c r="IS21" s="27"/>
      <c r="IT21" s="27"/>
      <c r="IU21" s="53"/>
      <c r="IV21" s="27"/>
      <c r="IW21" s="27"/>
      <c r="IX21" s="27"/>
      <c r="IY21" s="27">
        <v>5662.75</v>
      </c>
      <c r="IZ21" s="27"/>
      <c r="JA21" s="27"/>
      <c r="JB21" s="27"/>
      <c r="JC21" s="27"/>
      <c r="JD21" s="27"/>
      <c r="JE21" s="33">
        <f t="shared" si="69"/>
        <v>5662.75</v>
      </c>
      <c r="JF21" s="2667"/>
      <c r="JH21" s="52">
        <v>12642.069999999998</v>
      </c>
      <c r="JI21" s="152"/>
      <c r="JJ21" s="53"/>
      <c r="JK21" s="53">
        <f t="shared" si="70"/>
        <v>12642.069999999998</v>
      </c>
      <c r="JL21" s="33"/>
      <c r="JM21" s="2669"/>
      <c r="JN21" s="69"/>
      <c r="JO21" s="70"/>
      <c r="JP21" s="70"/>
      <c r="JQ21" s="70"/>
      <c r="JR21" s="70">
        <v>1</v>
      </c>
      <c r="JS21" s="70"/>
      <c r="JT21" s="70"/>
      <c r="JU21" s="71"/>
      <c r="JV21" s="69"/>
      <c r="JW21" s="70"/>
      <c r="JX21" s="70"/>
      <c r="JY21" s="70"/>
      <c r="JZ21" s="70"/>
      <c r="KA21" s="70"/>
      <c r="KB21" s="70"/>
      <c r="KC21" s="71"/>
      <c r="KD21" s="69"/>
      <c r="KE21" s="70"/>
      <c r="KF21" s="70"/>
      <c r="KG21" s="70"/>
      <c r="KH21" s="70"/>
      <c r="KI21" s="70"/>
      <c r="KJ21" s="70"/>
      <c r="KK21" s="70"/>
      <c r="KL21" s="33"/>
      <c r="KM21" s="2669"/>
      <c r="KN21" s="36">
        <v>7081.9033220764941</v>
      </c>
      <c r="KO21" s="53">
        <v>0.97041545590198686</v>
      </c>
      <c r="KP21" s="53">
        <v>2.8003322076494155</v>
      </c>
      <c r="KQ21" s="53">
        <v>6.682055289405481</v>
      </c>
      <c r="KR21" s="54">
        <v>11.056319798947616</v>
      </c>
      <c r="KS21" s="4">
        <v>0</v>
      </c>
      <c r="KT21" s="64">
        <v>0</v>
      </c>
      <c r="KU21" s="64">
        <v>0</v>
      </c>
      <c r="KV21" s="64">
        <v>0</v>
      </c>
      <c r="KW21" s="482">
        <v>0</v>
      </c>
      <c r="KX21" s="36"/>
      <c r="KY21" s="53"/>
      <c r="KZ21" s="53"/>
      <c r="LA21" s="53"/>
      <c r="LB21" s="53"/>
      <c r="LC21" s="33"/>
      <c r="LD21" s="2669"/>
      <c r="LF21" s="26">
        <f t="shared" si="71"/>
        <v>14556.14</v>
      </c>
      <c r="LG21" s="27">
        <f t="shared" si="72"/>
        <v>0</v>
      </c>
      <c r="LH21" s="27">
        <f t="shared" si="73"/>
        <v>0</v>
      </c>
      <c r="LI21" s="28">
        <f t="shared" si="74"/>
        <v>14556.14</v>
      </c>
      <c r="LJ21" s="36">
        <v>2</v>
      </c>
      <c r="LK21" s="27">
        <v>1</v>
      </c>
      <c r="LL21" s="27">
        <v>2</v>
      </c>
      <c r="LM21" s="33"/>
      <c r="LN21" s="1041">
        <v>8</v>
      </c>
      <c r="LO21" s="486"/>
      <c r="LP21" s="2688"/>
      <c r="LQ21" s="36">
        <v>14556.14</v>
      </c>
      <c r="LR21" s="36"/>
      <c r="LS21" s="27"/>
      <c r="LT21" s="27"/>
      <c r="LU21" s="27"/>
      <c r="LV21" s="1117">
        <f t="shared" si="75"/>
        <v>14556.14</v>
      </c>
      <c r="LW21" s="36"/>
      <c r="LX21" s="36"/>
      <c r="LY21" s="27"/>
      <c r="LZ21" s="27"/>
      <c r="MA21" s="33"/>
      <c r="MB21" s="28">
        <f t="shared" si="76"/>
        <v>0</v>
      </c>
      <c r="MC21" s="26"/>
      <c r="MD21" s="36"/>
      <c r="ME21" s="27"/>
      <c r="MF21" s="27"/>
      <c r="MG21" s="27"/>
      <c r="MH21" s="28"/>
      <c r="MI21" s="36"/>
      <c r="MJ21" s="36"/>
      <c r="MK21" s="27"/>
      <c r="ML21" s="27"/>
      <c r="MM21" s="27"/>
      <c r="MN21" s="28"/>
      <c r="MO21" s="36"/>
      <c r="MP21" s="36"/>
      <c r="MQ21" s="27"/>
      <c r="MR21" s="27"/>
      <c r="MS21" s="27"/>
      <c r="MT21" s="33">
        <f t="shared" si="77"/>
        <v>0</v>
      </c>
      <c r="MU21" s="2688"/>
      <c r="MW21" s="26">
        <f t="shared" si="78"/>
        <v>237183.73199929352</v>
      </c>
      <c r="MX21" s="27">
        <f t="shared" si="79"/>
        <v>214125.67929571751</v>
      </c>
      <c r="MY21" s="27">
        <f t="shared" si="80"/>
        <v>20969.555608283044</v>
      </c>
      <c r="MZ21" s="28">
        <f t="shared" si="81"/>
        <v>440695.47467809112</v>
      </c>
      <c r="NA21" s="2621"/>
      <c r="NB21" s="23">
        <f t="shared" si="82"/>
        <v>219807.66805395967</v>
      </c>
      <c r="NC21" s="64">
        <f t="shared" si="83"/>
        <v>17376.063945333841</v>
      </c>
      <c r="ND21" s="60">
        <f t="shared" si="84"/>
        <v>0</v>
      </c>
      <c r="NE21" s="275">
        <f t="shared" si="4"/>
        <v>237183.73199929352</v>
      </c>
      <c r="NF21" s="26">
        <f t="shared" si="136"/>
        <v>0</v>
      </c>
      <c r="NG21" s="27">
        <f t="shared" si="137"/>
        <v>0</v>
      </c>
      <c r="NH21" s="27">
        <f t="shared" si="138"/>
        <v>0</v>
      </c>
      <c r="NI21" s="27">
        <f t="shared" si="139"/>
        <v>0</v>
      </c>
      <c r="NJ21" s="27">
        <f t="shared" si="140"/>
        <v>0</v>
      </c>
      <c r="NK21" s="33">
        <f t="shared" si="141"/>
        <v>0</v>
      </c>
      <c r="NL21" s="27">
        <f t="shared" si="142"/>
        <v>0</v>
      </c>
      <c r="NM21" s="36">
        <f t="shared" si="143"/>
        <v>0</v>
      </c>
      <c r="NN21" s="27">
        <f t="shared" si="144"/>
        <v>48435.096549276001</v>
      </c>
      <c r="NO21" s="27">
        <f t="shared" si="145"/>
        <v>0</v>
      </c>
      <c r="NP21" s="24">
        <f t="shared" si="146"/>
        <v>8756.5482322711578</v>
      </c>
      <c r="NQ21" s="24">
        <f t="shared" si="147"/>
        <v>9287.6145856875992</v>
      </c>
      <c r="NR21" s="27">
        <f t="shared" si="0"/>
        <v>66479.259367234758</v>
      </c>
      <c r="NS21" s="27">
        <f t="shared" si="86"/>
        <v>0</v>
      </c>
      <c r="NT21" s="27">
        <f t="shared" si="87"/>
        <v>0</v>
      </c>
      <c r="NU21" s="27">
        <f t="shared" si="88"/>
        <v>0</v>
      </c>
      <c r="NV21" s="27">
        <f t="shared" si="89"/>
        <v>0</v>
      </c>
      <c r="NW21" s="27">
        <f t="shared" si="90"/>
        <v>0</v>
      </c>
      <c r="NX21" s="27">
        <f t="shared" si="91"/>
        <v>0</v>
      </c>
      <c r="NY21" s="27">
        <f t="shared" si="92"/>
        <v>5346.8981519076278</v>
      </c>
      <c r="NZ21" s="27">
        <f t="shared" si="93"/>
        <v>0</v>
      </c>
      <c r="OA21" s="27">
        <f t="shared" si="94"/>
        <v>23579.554759987775</v>
      </c>
      <c r="OB21" s="280"/>
      <c r="OC21" s="24">
        <f t="shared" si="95"/>
        <v>3403.7241844007053</v>
      </c>
      <c r="OD21" s="27">
        <f t="shared" si="96"/>
        <v>0</v>
      </c>
      <c r="OE21" s="28">
        <f t="shared" si="1"/>
        <v>32330.177096296105</v>
      </c>
      <c r="OF21" s="27">
        <f t="shared" si="163"/>
        <v>0</v>
      </c>
      <c r="OG21" s="27">
        <f t="shared" si="164"/>
        <v>0</v>
      </c>
      <c r="OH21" s="27">
        <f>+OH20+DT21+FW21-IS21</f>
        <v>0</v>
      </c>
      <c r="OI21" s="27">
        <f t="shared" si="165"/>
        <v>0</v>
      </c>
      <c r="OJ21" s="27">
        <f t="shared" si="153"/>
        <v>0</v>
      </c>
      <c r="OK21" s="27">
        <f t="shared" si="165"/>
        <v>0</v>
      </c>
      <c r="OL21" s="24">
        <f t="shared" si="159"/>
        <v>0</v>
      </c>
      <c r="OM21" s="27">
        <f t="shared" si="154"/>
        <v>0</v>
      </c>
      <c r="ON21" s="24">
        <f t="shared" si="155"/>
        <v>113128.75851377798</v>
      </c>
      <c r="OO21" s="27">
        <f t="shared" si="156"/>
        <v>0</v>
      </c>
      <c r="OP21" s="27">
        <f t="shared" si="157"/>
        <v>2187.4843184086808</v>
      </c>
      <c r="OQ21" s="27">
        <f t="shared" si="158"/>
        <v>0</v>
      </c>
      <c r="OR21" s="28">
        <f t="shared" si="2"/>
        <v>115316.24283218666</v>
      </c>
      <c r="OS21" s="36"/>
      <c r="OT21" s="27"/>
      <c r="OU21" s="27"/>
      <c r="OV21" s="27"/>
      <c r="OW21" s="27"/>
      <c r="OX21" s="27"/>
      <c r="OY21" s="28">
        <f t="shared" si="98"/>
        <v>0</v>
      </c>
      <c r="OZ21" s="36">
        <f t="shared" si="99"/>
        <v>0</v>
      </c>
      <c r="PA21" s="27">
        <f t="shared" si="100"/>
        <v>0</v>
      </c>
      <c r="PB21" s="27">
        <f t="shared" si="101"/>
        <v>0</v>
      </c>
      <c r="PC21" s="27">
        <f t="shared" si="102"/>
        <v>0</v>
      </c>
      <c r="PD21" s="27">
        <f t="shared" si="103"/>
        <v>0</v>
      </c>
      <c r="PE21" s="27">
        <f t="shared" si="104"/>
        <v>0</v>
      </c>
      <c r="PF21" s="33">
        <f t="shared" si="3"/>
        <v>0</v>
      </c>
      <c r="PG21" s="2621"/>
      <c r="PI21" s="2"/>
      <c r="PJ21" s="3">
        <v>0</v>
      </c>
      <c r="PK21" s="3">
        <v>0</v>
      </c>
      <c r="PL21" s="3">
        <f t="shared" si="148"/>
        <v>0</v>
      </c>
      <c r="PM21" s="3">
        <f t="shared" si="149"/>
        <v>145</v>
      </c>
      <c r="PN21" s="11">
        <f t="shared" si="150"/>
        <v>20969.555608283044</v>
      </c>
      <c r="PO21" s="15"/>
      <c r="PP21" s="2615"/>
      <c r="PR21" s="4"/>
      <c r="PS21" s="9"/>
      <c r="PT21" s="9"/>
      <c r="PU21" s="9"/>
      <c r="PV21" s="9"/>
      <c r="PW21" s="9"/>
      <c r="PX21" s="8">
        <f t="shared" si="105"/>
        <v>0</v>
      </c>
      <c r="PY21" s="5">
        <f t="shared" si="106"/>
        <v>0</v>
      </c>
      <c r="PZ21" s="5"/>
      <c r="QA21" s="5"/>
      <c r="QB21" s="5"/>
      <c r="QC21" s="5"/>
      <c r="QD21" s="5"/>
      <c r="QE21" s="12">
        <f t="shared" si="107"/>
        <v>29749.381073161156</v>
      </c>
      <c r="QF21" s="420">
        <f t="shared" si="108"/>
        <v>410946.09360492998</v>
      </c>
      <c r="QG21" s="1106">
        <f t="shared" si="109"/>
        <v>0</v>
      </c>
      <c r="QH21" s="484">
        <f t="shared" si="110"/>
        <v>5505.3678056100007</v>
      </c>
      <c r="QI21" s="12"/>
      <c r="QJ21" s="2615"/>
      <c r="QL21" s="139">
        <f t="shared" si="111"/>
        <v>0</v>
      </c>
      <c r="QM21" s="139" t="str">
        <f t="shared" si="112"/>
        <v/>
      </c>
      <c r="QO21" s="139">
        <f t="shared" si="113"/>
        <v>0</v>
      </c>
      <c r="QP21" s="139">
        <f t="shared" si="114"/>
        <v>0</v>
      </c>
      <c r="QR21" s="1">
        <f t="shared" si="115"/>
        <v>0</v>
      </c>
      <c r="QS21" s="1">
        <f t="shared" si="116"/>
        <v>0</v>
      </c>
      <c r="QT21" s="1">
        <f t="shared" si="117"/>
        <v>0</v>
      </c>
      <c r="QU21" s="1">
        <f t="shared" si="118"/>
        <v>0</v>
      </c>
      <c r="QV21" s="1">
        <f t="shared" si="119"/>
        <v>0</v>
      </c>
      <c r="QW21" s="1">
        <f t="shared" si="120"/>
        <v>0</v>
      </c>
      <c r="QY21" s="1">
        <f t="shared" si="121"/>
        <v>0</v>
      </c>
      <c r="QZ21" s="1">
        <f t="shared" si="122"/>
        <v>0</v>
      </c>
      <c r="RA21" s="1">
        <f t="shared" si="123"/>
        <v>0</v>
      </c>
      <c r="RB21" s="1">
        <f t="shared" si="124"/>
        <v>0</v>
      </c>
      <c r="RC21" s="1">
        <f t="shared" si="125"/>
        <v>0</v>
      </c>
      <c r="RD21" s="1">
        <f t="shared" si="126"/>
        <v>0</v>
      </c>
      <c r="RG21" s="1">
        <v>12</v>
      </c>
      <c r="RH21" s="1">
        <f t="shared" si="160"/>
        <v>16227.765209717101</v>
      </c>
      <c r="RI21" s="1">
        <f t="shared" si="161"/>
        <v>15806.761780483717</v>
      </c>
      <c r="RJ21" s="1">
        <f t="shared" si="162"/>
        <v>13404.263703387322</v>
      </c>
      <c r="RK21" s="89">
        <f t="shared" si="5"/>
        <v>45438.79069358814</v>
      </c>
      <c r="RL21" s="1033">
        <v>12</v>
      </c>
      <c r="RM21" s="1098">
        <f t="shared" si="166"/>
        <v>0</v>
      </c>
      <c r="RN21" s="1098">
        <f t="shared" si="128"/>
        <v>0</v>
      </c>
      <c r="RO21" s="1097">
        <f t="shared" si="129"/>
        <v>0</v>
      </c>
      <c r="RP21" s="1097">
        <f t="shared" si="151"/>
        <v>4861.67</v>
      </c>
      <c r="RQ21" s="1050"/>
      <c r="RR21" s="1046" t="s">
        <v>690</v>
      </c>
      <c r="RS21" s="1048"/>
      <c r="RU21" s="421">
        <v>12</v>
      </c>
      <c r="RV21" s="1095">
        <f t="shared" si="130"/>
        <v>12642.070000000002</v>
      </c>
      <c r="RW21" s="1046" t="s">
        <v>691</v>
      </c>
      <c r="RY21" s="1090"/>
      <c r="RZ21" s="1090">
        <f t="shared" si="131"/>
        <v>0</v>
      </c>
      <c r="SA21" s="1090"/>
      <c r="SB21" s="1090">
        <f t="shared" si="132"/>
        <v>0</v>
      </c>
      <c r="SD21" s="1">
        <v>12</v>
      </c>
      <c r="SE21" s="1">
        <f t="shared" si="133"/>
        <v>0</v>
      </c>
    </row>
    <row r="22" spans="1:500" s="1" customFormat="1">
      <c r="B22" s="471">
        <v>13</v>
      </c>
      <c r="C22" s="4">
        <f t="shared" si="6"/>
        <v>131309</v>
      </c>
      <c r="D22" s="64">
        <f t="shared" si="134"/>
        <v>5579</v>
      </c>
      <c r="E22" s="61">
        <f t="shared" si="7"/>
        <v>23.536296827388419</v>
      </c>
      <c r="F22" s="870"/>
      <c r="G22" s="870"/>
      <c r="H22" s="52">
        <v>32</v>
      </c>
      <c r="I22" s="61">
        <v>6.5</v>
      </c>
      <c r="J22" s="52"/>
      <c r="K22" s="54"/>
      <c r="L22" s="52">
        <v>53.17</v>
      </c>
      <c r="M22" s="61">
        <v>4.4000000000000004</v>
      </c>
      <c r="N22" s="2629"/>
      <c r="O22" s="4">
        <f t="shared" si="8"/>
        <v>76776</v>
      </c>
      <c r="P22" s="1225">
        <f t="shared" si="9"/>
        <v>5004.82</v>
      </c>
      <c r="Q22" s="64">
        <f t="shared" si="10"/>
        <v>15.340411842983364</v>
      </c>
      <c r="R22" s="33"/>
      <c r="S22" s="26">
        <f t="shared" si="11"/>
        <v>24620</v>
      </c>
      <c r="T22" s="27">
        <f t="shared" si="12"/>
        <v>354.17999999999995</v>
      </c>
      <c r="U22" s="53">
        <f t="shared" si="13"/>
        <v>69.512677169800682</v>
      </c>
      <c r="V22" s="28"/>
      <c r="W22" s="26">
        <f t="shared" si="14"/>
        <v>29913</v>
      </c>
      <c r="X22" s="5">
        <f t="shared" si="15"/>
        <v>220</v>
      </c>
      <c r="Y22" s="53">
        <f t="shared" si="16"/>
        <v>135.96818181818182</v>
      </c>
      <c r="Z22" s="33"/>
      <c r="AA22" s="26">
        <f t="shared" si="17"/>
        <v>0</v>
      </c>
      <c r="AB22" s="27">
        <f t="shared" si="18"/>
        <v>0</v>
      </c>
      <c r="AC22" s="53">
        <f t="shared" si="19"/>
        <v>0</v>
      </c>
      <c r="AD22" s="28"/>
      <c r="AE22" s="36"/>
      <c r="AF22" s="36"/>
      <c r="AG22" s="53">
        <f t="shared" si="20"/>
        <v>0</v>
      </c>
      <c r="AH22" s="28"/>
      <c r="AI22" s="23"/>
      <c r="AJ22" s="27"/>
      <c r="AK22" s="53">
        <f t="shared" si="21"/>
        <v>0</v>
      </c>
      <c r="AL22" s="28"/>
      <c r="AM22" s="2629"/>
      <c r="AN22" s="9"/>
      <c r="AO22" s="64"/>
      <c r="AP22" s="61">
        <f t="shared" si="22"/>
        <v>0</v>
      </c>
      <c r="AQ22" s="36"/>
      <c r="AR22" s="53"/>
      <c r="AS22" s="61">
        <f t="shared" si="23"/>
        <v>0</v>
      </c>
      <c r="AT22" s="36">
        <v>0</v>
      </c>
      <c r="AU22" s="27"/>
      <c r="AV22" s="61">
        <f t="shared" si="24"/>
        <v>0</v>
      </c>
      <c r="AW22" s="36">
        <v>36960</v>
      </c>
      <c r="AX22" s="27">
        <v>3579.1</v>
      </c>
      <c r="AY22" s="61">
        <f t="shared" si="25"/>
        <v>10.326618423626051</v>
      </c>
      <c r="AZ22" s="36"/>
      <c r="BA22" s="27"/>
      <c r="BB22" s="61">
        <f t="shared" si="26"/>
        <v>0</v>
      </c>
      <c r="BC22" s="36">
        <v>39816</v>
      </c>
      <c r="BD22" s="27">
        <v>1425.7199999999998</v>
      </c>
      <c r="BE22" s="61">
        <f t="shared" si="27"/>
        <v>27.926942176584465</v>
      </c>
      <c r="BF22" s="36"/>
      <c r="BG22" s="53"/>
      <c r="BH22" s="61">
        <f t="shared" si="28"/>
        <v>0</v>
      </c>
      <c r="BI22" s="36">
        <v>0</v>
      </c>
      <c r="BJ22" s="53">
        <v>0</v>
      </c>
      <c r="BK22" s="61">
        <f t="shared" si="29"/>
        <v>0</v>
      </c>
      <c r="BL22" s="52">
        <v>24620</v>
      </c>
      <c r="BM22" s="53">
        <v>354.17999999999995</v>
      </c>
      <c r="BN22" s="482">
        <f t="shared" si="30"/>
        <v>69.512677169800682</v>
      </c>
      <c r="BO22" s="9">
        <v>0</v>
      </c>
      <c r="BP22" s="64">
        <v>0</v>
      </c>
      <c r="BQ22" s="482">
        <f t="shared" si="31"/>
        <v>0</v>
      </c>
      <c r="BR22" s="9"/>
      <c r="BS22" s="64"/>
      <c r="BT22" s="482">
        <f t="shared" si="32"/>
        <v>0</v>
      </c>
      <c r="BU22" s="9">
        <v>29913</v>
      </c>
      <c r="BV22" s="27">
        <v>220</v>
      </c>
      <c r="BW22" s="1118">
        <f t="shared" si="33"/>
        <v>135.96818181818182</v>
      </c>
      <c r="BX22" s="26"/>
      <c r="BY22" s="27"/>
      <c r="BZ22" s="482">
        <f t="shared" si="34"/>
        <v>0</v>
      </c>
      <c r="CA22" s="9"/>
      <c r="CB22" s="481"/>
      <c r="CC22" s="482">
        <f t="shared" si="35"/>
        <v>0</v>
      </c>
      <c r="CD22" s="4"/>
      <c r="CE22" s="5"/>
      <c r="CF22" s="28">
        <f t="shared" si="36"/>
        <v>0</v>
      </c>
      <c r="CG22" s="150"/>
      <c r="CH22" s="4">
        <v>1504</v>
      </c>
      <c r="CI22" s="5">
        <v>0</v>
      </c>
      <c r="CJ22" s="5">
        <v>0</v>
      </c>
      <c r="CK22" s="5">
        <v>6936</v>
      </c>
      <c r="CL22" s="5"/>
      <c r="CM22" s="5">
        <f t="shared" si="135"/>
        <v>8440</v>
      </c>
      <c r="CN22" s="33"/>
      <c r="CO22" s="366"/>
      <c r="CQ22" s="4">
        <f t="shared" si="37"/>
        <v>0</v>
      </c>
      <c r="CR22" s="9">
        <f t="shared" si="38"/>
        <v>0</v>
      </c>
      <c r="CS22" s="5">
        <f t="shared" si="39"/>
        <v>0</v>
      </c>
      <c r="CT22" s="5">
        <f t="shared" si="40"/>
        <v>0</v>
      </c>
      <c r="CU22" s="5">
        <f t="shared" si="41"/>
        <v>0</v>
      </c>
      <c r="CV22" s="5">
        <f t="shared" si="42"/>
        <v>0</v>
      </c>
      <c r="CW22" s="5">
        <f t="shared" si="43"/>
        <v>0</v>
      </c>
      <c r="CX22" s="5">
        <f t="shared" si="44"/>
        <v>0</v>
      </c>
      <c r="CY22" s="5">
        <f t="shared" si="45"/>
        <v>4843.62</v>
      </c>
      <c r="CZ22" s="5">
        <f t="shared" si="46"/>
        <v>0</v>
      </c>
      <c r="DA22" s="5">
        <f t="shared" si="47"/>
        <v>735.38</v>
      </c>
      <c r="DB22" s="12">
        <f t="shared" si="48"/>
        <v>0</v>
      </c>
      <c r="DC22" s="310">
        <f t="shared" si="49"/>
        <v>5579</v>
      </c>
      <c r="DD22" s="2695"/>
      <c r="DE22" s="9"/>
      <c r="DF22" s="9"/>
      <c r="DG22" s="5"/>
      <c r="DH22" s="5"/>
      <c r="DI22" s="5"/>
      <c r="DJ22" s="5"/>
      <c r="DK22" s="5"/>
      <c r="DL22" s="5"/>
      <c r="DM22" s="5">
        <v>3579.1</v>
      </c>
      <c r="DN22" s="5"/>
      <c r="DO22" s="5"/>
      <c r="DP22" s="12"/>
      <c r="DQ22" s="28">
        <f t="shared" si="50"/>
        <v>3579.1</v>
      </c>
      <c r="DR22" s="36"/>
      <c r="DS22" s="36"/>
      <c r="DT22" s="53"/>
      <c r="DU22" s="27"/>
      <c r="DV22" s="5"/>
      <c r="DW22" s="5"/>
      <c r="DX22" s="5"/>
      <c r="DY22" s="5"/>
      <c r="DZ22" s="5">
        <v>1264.52</v>
      </c>
      <c r="EA22" s="27"/>
      <c r="EB22" s="27">
        <v>515.38</v>
      </c>
      <c r="EC22" s="33"/>
      <c r="ED22" s="28">
        <f t="shared" si="51"/>
        <v>1779.9</v>
      </c>
      <c r="EE22" s="9"/>
      <c r="EF22" s="36"/>
      <c r="EG22" s="5"/>
      <c r="EH22" s="325"/>
      <c r="EI22" s="27"/>
      <c r="EJ22" s="27"/>
      <c r="EK22" s="27"/>
      <c r="EL22" s="27"/>
      <c r="EM22" s="27"/>
      <c r="EN22" s="27"/>
      <c r="EO22" s="27">
        <v>220</v>
      </c>
      <c r="EP22" s="33"/>
      <c r="EQ22" s="28">
        <f t="shared" si="52"/>
        <v>220</v>
      </c>
      <c r="ER22" s="36"/>
      <c r="ES22" s="27"/>
      <c r="ET22" s="27"/>
      <c r="EU22" s="27"/>
      <c r="EV22" s="27"/>
      <c r="EW22" s="27"/>
      <c r="EX22" s="33">
        <f t="shared" si="53"/>
        <v>0</v>
      </c>
      <c r="EY22" s="2685"/>
      <c r="FA22" s="4">
        <f t="shared" si="54"/>
        <v>0</v>
      </c>
      <c r="FB22" s="5">
        <f t="shared" si="55"/>
        <v>0</v>
      </c>
      <c r="FC22" s="5">
        <f t="shared" si="56"/>
        <v>0</v>
      </c>
      <c r="FD22" s="12">
        <f t="shared" si="57"/>
        <v>0</v>
      </c>
      <c r="FE22" s="33"/>
      <c r="FF22" s="2674"/>
      <c r="FG22" s="9"/>
      <c r="FH22" s="5"/>
      <c r="FI22" s="5"/>
      <c r="FJ22" s="5"/>
      <c r="FK22" s="5"/>
      <c r="FL22" s="27"/>
      <c r="FM22" s="28">
        <f t="shared" si="58"/>
        <v>0</v>
      </c>
      <c r="FN22" s="36"/>
      <c r="FO22" s="27"/>
      <c r="FP22" s="27"/>
      <c r="FQ22" s="27"/>
      <c r="FR22" s="27"/>
      <c r="FS22" s="27"/>
      <c r="FT22" s="28">
        <f t="shared" si="59"/>
        <v>0</v>
      </c>
      <c r="FU22" s="36"/>
      <c r="FV22" s="36"/>
      <c r="FW22" s="27"/>
      <c r="FX22" s="27"/>
      <c r="FY22" s="27"/>
      <c r="FZ22" s="27"/>
      <c r="GA22" s="27"/>
      <c r="GB22" s="27"/>
      <c r="GC22" s="27"/>
      <c r="GD22" s="27"/>
      <c r="GE22" s="27"/>
      <c r="GF22" s="33"/>
      <c r="GG22" s="33">
        <f t="shared" si="60"/>
        <v>0</v>
      </c>
      <c r="GH22" s="2674"/>
      <c r="GJ22" s="4">
        <f t="shared" si="61"/>
        <v>2881.04</v>
      </c>
      <c r="GK22" s="64">
        <f t="shared" si="62"/>
        <v>2475.41</v>
      </c>
      <c r="GL22" s="53">
        <f t="shared" si="63"/>
        <v>4216.5</v>
      </c>
      <c r="GM22" s="53">
        <f t="shared" si="64"/>
        <v>9572.9500000000007</v>
      </c>
      <c r="GN22" s="141"/>
      <c r="GO22" s="141"/>
      <c r="GP22" s="33"/>
      <c r="GQ22" s="2667"/>
      <c r="GR22" s="363">
        <v>4190.1099999999997</v>
      </c>
      <c r="GS22" s="5"/>
      <c r="GT22" s="5">
        <v>2890.9999999999995</v>
      </c>
      <c r="GU22" s="27">
        <v>2491.8399999999997</v>
      </c>
      <c r="GV22" s="54">
        <f t="shared" si="65"/>
        <v>9572.9499999999989</v>
      </c>
      <c r="GW22" s="2667"/>
      <c r="GX22" s="36"/>
      <c r="GY22" s="36"/>
      <c r="GZ22" s="27"/>
      <c r="HA22" s="27"/>
      <c r="HB22" s="27"/>
      <c r="HC22" s="27"/>
      <c r="HD22" s="27"/>
      <c r="HE22" s="27"/>
      <c r="HF22" s="27">
        <v>1766.45</v>
      </c>
      <c r="HG22" s="27"/>
      <c r="HH22" s="27">
        <v>1114.5899999999999</v>
      </c>
      <c r="HI22" s="27"/>
      <c r="HJ22" s="27"/>
      <c r="HK22" s="27"/>
      <c r="HL22" s="28">
        <f t="shared" si="66"/>
        <v>2881.04</v>
      </c>
      <c r="HM22" s="36"/>
      <c r="HN22" s="27"/>
      <c r="HO22" s="27"/>
      <c r="HP22" s="27"/>
      <c r="HQ22" s="27"/>
      <c r="HR22" s="27"/>
      <c r="HS22" s="27"/>
      <c r="HT22" s="27"/>
      <c r="HU22" s="27"/>
      <c r="HV22" s="27"/>
      <c r="HW22" s="27"/>
      <c r="HX22" s="27"/>
      <c r="HY22" s="27"/>
      <c r="HZ22" s="27"/>
      <c r="IA22" s="33">
        <f t="shared" si="67"/>
        <v>0</v>
      </c>
      <c r="IB22" s="363"/>
      <c r="IC22" s="363"/>
      <c r="ID22" s="64"/>
      <c r="IE22" s="64"/>
      <c r="IF22" s="64"/>
      <c r="IG22" s="64"/>
      <c r="IH22" s="64">
        <v>856</v>
      </c>
      <c r="II22" s="64"/>
      <c r="IJ22" s="64">
        <v>1619.41</v>
      </c>
      <c r="IK22" s="64"/>
      <c r="IL22" s="64"/>
      <c r="IM22" s="53"/>
      <c r="IN22" s="53"/>
      <c r="IO22" s="53"/>
      <c r="IP22" s="61">
        <f t="shared" si="68"/>
        <v>2475.41</v>
      </c>
      <c r="IQ22" s="36"/>
      <c r="IR22" s="36"/>
      <c r="IS22" s="53"/>
      <c r="IT22" s="27"/>
      <c r="IU22" s="53"/>
      <c r="IV22" s="27"/>
      <c r="IW22" s="27"/>
      <c r="IX22" s="27"/>
      <c r="IY22" s="27">
        <v>2954.6699999999996</v>
      </c>
      <c r="IZ22" s="27"/>
      <c r="JA22" s="27">
        <v>1261.83</v>
      </c>
      <c r="JB22" s="27"/>
      <c r="JC22" s="27"/>
      <c r="JD22" s="27"/>
      <c r="JE22" s="33">
        <f t="shared" si="69"/>
        <v>4216.5</v>
      </c>
      <c r="JF22" s="2667"/>
      <c r="JH22" s="52">
        <v>6104.28</v>
      </c>
      <c r="JI22" s="152">
        <v>3468.6700000000005</v>
      </c>
      <c r="JJ22" s="53"/>
      <c r="JK22" s="53">
        <f t="shared" si="70"/>
        <v>9572.9500000000007</v>
      </c>
      <c r="JL22" s="33"/>
      <c r="JM22" s="2669"/>
      <c r="JN22" s="69"/>
      <c r="JO22" s="70"/>
      <c r="JP22" s="70"/>
      <c r="JQ22" s="70"/>
      <c r="JR22" s="70">
        <v>1</v>
      </c>
      <c r="JS22" s="70"/>
      <c r="JT22" s="70"/>
      <c r="JU22" s="71"/>
      <c r="JV22" s="69"/>
      <c r="JW22" s="70"/>
      <c r="JX22" s="70"/>
      <c r="JY22" s="70"/>
      <c r="JZ22" s="70">
        <v>0.43251803302698544</v>
      </c>
      <c r="KA22" s="70">
        <v>0.56748196697301456</v>
      </c>
      <c r="KB22" s="70"/>
      <c r="KC22" s="71"/>
      <c r="KD22" s="69"/>
      <c r="KE22" s="70"/>
      <c r="KF22" s="70"/>
      <c r="KG22" s="70"/>
      <c r="KH22" s="70"/>
      <c r="KI22" s="70"/>
      <c r="KJ22" s="70"/>
      <c r="KK22" s="70"/>
      <c r="KL22" s="33"/>
      <c r="KM22" s="2669"/>
      <c r="KN22" s="36">
        <v>7051.6112621980483</v>
      </c>
      <c r="KO22" s="53">
        <v>0.53799232122860341</v>
      </c>
      <c r="KP22" s="53">
        <v>4.5559462486002245</v>
      </c>
      <c r="KQ22" s="53">
        <v>5.3519884818429047</v>
      </c>
      <c r="KR22" s="54">
        <v>10.77199488081907</v>
      </c>
      <c r="KS22" s="4">
        <v>6900</v>
      </c>
      <c r="KT22" s="64">
        <v>1.26</v>
      </c>
      <c r="KU22" s="64">
        <v>5.01</v>
      </c>
      <c r="KV22" s="64">
        <v>7.38</v>
      </c>
      <c r="KW22" s="482">
        <v>12.53</v>
      </c>
      <c r="KX22" s="36"/>
      <c r="KY22" s="53"/>
      <c r="KZ22" s="53"/>
      <c r="LA22" s="53"/>
      <c r="LB22" s="53"/>
      <c r="LC22" s="33"/>
      <c r="LD22" s="2669"/>
      <c r="LF22" s="4">
        <f t="shared" si="71"/>
        <v>40278.120000000003</v>
      </c>
      <c r="LG22" s="27">
        <f t="shared" si="72"/>
        <v>0</v>
      </c>
      <c r="LH22" s="27">
        <f t="shared" si="73"/>
        <v>0</v>
      </c>
      <c r="LI22" s="28">
        <f t="shared" si="74"/>
        <v>40278.120000000003</v>
      </c>
      <c r="LJ22" s="36">
        <v>6</v>
      </c>
      <c r="LK22" s="27"/>
      <c r="LL22" s="27"/>
      <c r="LM22" s="33"/>
      <c r="LN22" s="1041">
        <v>8.1999999999999993</v>
      </c>
      <c r="LO22" s="486"/>
      <c r="LP22" s="2688"/>
      <c r="LQ22" s="36">
        <v>40278.120000000003</v>
      </c>
      <c r="LR22" s="36"/>
      <c r="LS22" s="27"/>
      <c r="LT22" s="27"/>
      <c r="LU22" s="27"/>
      <c r="LV22" s="1117">
        <f t="shared" si="75"/>
        <v>40278.120000000003</v>
      </c>
      <c r="LW22" s="36"/>
      <c r="LX22" s="36"/>
      <c r="LY22" s="27"/>
      <c r="LZ22" s="27"/>
      <c r="MA22" s="33"/>
      <c r="MB22" s="28">
        <f t="shared" si="76"/>
        <v>0</v>
      </c>
      <c r="MC22" s="26"/>
      <c r="MD22" s="36"/>
      <c r="ME22" s="27"/>
      <c r="MF22" s="27"/>
      <c r="MG22" s="27"/>
      <c r="MH22" s="28"/>
      <c r="MI22" s="36"/>
      <c r="MJ22" s="36"/>
      <c r="MK22" s="27"/>
      <c r="ML22" s="27"/>
      <c r="MM22" s="27"/>
      <c r="MN22" s="28"/>
      <c r="MO22" s="36"/>
      <c r="MP22" s="36"/>
      <c r="MQ22" s="27"/>
      <c r="MR22" s="27"/>
      <c r="MS22" s="27"/>
      <c r="MT22" s="33">
        <f t="shared" si="77"/>
        <v>0</v>
      </c>
      <c r="MU22" s="2688"/>
      <c r="MW22" s="26">
        <f t="shared" si="78"/>
        <v>206478.56199929351</v>
      </c>
      <c r="MX22" s="27">
        <f t="shared" si="79"/>
        <v>210131.72929571755</v>
      </c>
      <c r="MY22" s="27">
        <f t="shared" si="80"/>
        <v>20969.555608283044</v>
      </c>
      <c r="MZ22" s="28">
        <f t="shared" si="81"/>
        <v>440421.35467809113</v>
      </c>
      <c r="NA22" s="2621"/>
      <c r="NB22" s="23">
        <f t="shared" si="82"/>
        <v>185633.82805395967</v>
      </c>
      <c r="NC22" s="64">
        <f t="shared" si="83"/>
        <v>20844.733945333843</v>
      </c>
      <c r="ND22" s="60">
        <f t="shared" si="84"/>
        <v>0</v>
      </c>
      <c r="NE22" s="275">
        <f t="shared" si="4"/>
        <v>206478.56199929351</v>
      </c>
      <c r="NF22" s="26">
        <f t="shared" si="136"/>
        <v>0</v>
      </c>
      <c r="NG22" s="27">
        <f t="shared" si="137"/>
        <v>0</v>
      </c>
      <c r="NH22" s="27">
        <f t="shared" si="138"/>
        <v>0</v>
      </c>
      <c r="NI22" s="27">
        <f t="shared" si="139"/>
        <v>0</v>
      </c>
      <c r="NJ22" s="27">
        <f t="shared" si="140"/>
        <v>0</v>
      </c>
      <c r="NK22" s="33">
        <f t="shared" si="141"/>
        <v>0</v>
      </c>
      <c r="NL22" s="27">
        <f t="shared" si="142"/>
        <v>0</v>
      </c>
      <c r="NM22" s="36">
        <f t="shared" si="143"/>
        <v>0</v>
      </c>
      <c r="NN22" s="27">
        <f t="shared" si="144"/>
        <v>46668.646549276003</v>
      </c>
      <c r="NO22" s="27">
        <f t="shared" si="145"/>
        <v>0</v>
      </c>
      <c r="NP22" s="24">
        <f t="shared" si="146"/>
        <v>8756.5482322711578</v>
      </c>
      <c r="NQ22" s="24">
        <f t="shared" si="147"/>
        <v>8393.024585687599</v>
      </c>
      <c r="NR22" s="27">
        <f t="shared" si="0"/>
        <v>63818.219367234764</v>
      </c>
      <c r="NS22" s="27">
        <f t="shared" si="86"/>
        <v>0</v>
      </c>
      <c r="NT22" s="27">
        <f t="shared" si="87"/>
        <v>0</v>
      </c>
      <c r="NU22" s="27">
        <f t="shared" si="88"/>
        <v>0</v>
      </c>
      <c r="NV22" s="27">
        <f t="shared" si="89"/>
        <v>0</v>
      </c>
      <c r="NW22" s="27">
        <f t="shared" si="90"/>
        <v>0</v>
      </c>
      <c r="NX22" s="27">
        <f t="shared" si="91"/>
        <v>0</v>
      </c>
      <c r="NY22" s="27">
        <f t="shared" si="92"/>
        <v>4490.8981519076278</v>
      </c>
      <c r="NZ22" s="27">
        <f t="shared" si="93"/>
        <v>0</v>
      </c>
      <c r="OA22" s="27">
        <f t="shared" si="94"/>
        <v>25539.244759987774</v>
      </c>
      <c r="OB22" s="280"/>
      <c r="OC22" s="24">
        <f t="shared" si="95"/>
        <v>3403.7241844007053</v>
      </c>
      <c r="OD22" s="27">
        <f t="shared" si="96"/>
        <v>0</v>
      </c>
      <c r="OE22" s="28">
        <f t="shared" si="1"/>
        <v>33433.867096296111</v>
      </c>
      <c r="OF22" s="27">
        <f t="shared" si="163"/>
        <v>0</v>
      </c>
      <c r="OG22" s="27">
        <f t="shared" si="164"/>
        <v>0</v>
      </c>
      <c r="OH22" s="27">
        <v>0</v>
      </c>
      <c r="OI22" s="27">
        <f t="shared" si="165"/>
        <v>0</v>
      </c>
      <c r="OJ22" s="27">
        <f t="shared" si="153"/>
        <v>0</v>
      </c>
      <c r="OK22" s="27">
        <f t="shared" si="165"/>
        <v>0</v>
      </c>
      <c r="OL22" s="24">
        <f t="shared" si="159"/>
        <v>0</v>
      </c>
      <c r="OM22" s="27">
        <f t="shared" si="154"/>
        <v>0</v>
      </c>
      <c r="ON22" s="24">
        <f t="shared" si="155"/>
        <v>111438.60851377799</v>
      </c>
      <c r="OO22" s="27">
        <f t="shared" si="156"/>
        <v>0</v>
      </c>
      <c r="OP22" s="27">
        <f t="shared" si="157"/>
        <v>1441.034318408681</v>
      </c>
      <c r="OQ22" s="27">
        <f t="shared" si="158"/>
        <v>0</v>
      </c>
      <c r="OR22" s="28">
        <f t="shared" si="2"/>
        <v>112879.64283218667</v>
      </c>
      <c r="OS22" s="36"/>
      <c r="OT22" s="27"/>
      <c r="OU22" s="27"/>
      <c r="OV22" s="27"/>
      <c r="OW22" s="27"/>
      <c r="OX22" s="27"/>
      <c r="OY22" s="28">
        <f t="shared" si="98"/>
        <v>0</v>
      </c>
      <c r="OZ22" s="36">
        <f t="shared" si="99"/>
        <v>0</v>
      </c>
      <c r="PA22" s="27">
        <f t="shared" si="100"/>
        <v>0</v>
      </c>
      <c r="PB22" s="27">
        <f t="shared" si="101"/>
        <v>0</v>
      </c>
      <c r="PC22" s="27">
        <f t="shared" si="102"/>
        <v>0</v>
      </c>
      <c r="PD22" s="27">
        <f t="shared" si="103"/>
        <v>0</v>
      </c>
      <c r="PE22" s="27">
        <f t="shared" si="104"/>
        <v>0</v>
      </c>
      <c r="PF22" s="33">
        <f t="shared" si="3"/>
        <v>0</v>
      </c>
      <c r="PG22" s="2621"/>
      <c r="PI22" s="2">
        <v>274.12</v>
      </c>
      <c r="PJ22" s="3"/>
      <c r="PK22" s="3"/>
      <c r="PL22" s="3">
        <f t="shared" si="148"/>
        <v>0</v>
      </c>
      <c r="PM22" s="3">
        <f t="shared" si="149"/>
        <v>419.12</v>
      </c>
      <c r="PN22" s="11">
        <f t="shared" si="150"/>
        <v>20969.555608283044</v>
      </c>
      <c r="PO22" s="15"/>
      <c r="PP22" s="2615"/>
      <c r="PR22" s="4"/>
      <c r="PS22" s="9"/>
      <c r="PT22" s="9"/>
      <c r="PU22" s="9"/>
      <c r="PV22" s="9"/>
      <c r="PW22" s="9"/>
      <c r="PX22" s="8">
        <f t="shared" si="105"/>
        <v>0</v>
      </c>
      <c r="PY22" s="5">
        <f t="shared" si="106"/>
        <v>274.12</v>
      </c>
      <c r="PZ22" s="5"/>
      <c r="QA22" s="5"/>
      <c r="QB22" s="5"/>
      <c r="QC22" s="5"/>
      <c r="QD22" s="5"/>
      <c r="QE22" s="12">
        <f t="shared" si="107"/>
        <v>29749.381073161156</v>
      </c>
      <c r="QF22" s="420">
        <f t="shared" si="108"/>
        <v>410671.97360492998</v>
      </c>
      <c r="QG22" s="1106">
        <f t="shared" si="109"/>
        <v>0</v>
      </c>
      <c r="QH22" s="484">
        <f t="shared" si="110"/>
        <v>5505.3678056100007</v>
      </c>
      <c r="QI22" s="12"/>
      <c r="QJ22" s="2615"/>
      <c r="QL22" s="139">
        <f t="shared" si="111"/>
        <v>0</v>
      </c>
      <c r="QM22" s="139" t="str">
        <f t="shared" si="112"/>
        <v/>
      </c>
      <c r="QO22" s="139">
        <f t="shared" si="113"/>
        <v>0</v>
      </c>
      <c r="QP22" s="139">
        <f t="shared" si="114"/>
        <v>0</v>
      </c>
      <c r="QR22" s="1">
        <f t="shared" si="115"/>
        <v>0</v>
      </c>
      <c r="QS22" s="1">
        <f t="shared" si="116"/>
        <v>0</v>
      </c>
      <c r="QT22" s="1">
        <f t="shared" si="117"/>
        <v>0</v>
      </c>
      <c r="QU22" s="1">
        <f t="shared" si="118"/>
        <v>0</v>
      </c>
      <c r="QV22" s="1">
        <f t="shared" si="119"/>
        <v>0</v>
      </c>
      <c r="QW22" s="1">
        <f t="shared" si="120"/>
        <v>0</v>
      </c>
      <c r="QY22" s="1">
        <f t="shared" si="121"/>
        <v>0</v>
      </c>
      <c r="QZ22" s="1">
        <f t="shared" si="122"/>
        <v>0</v>
      </c>
      <c r="RA22" s="1">
        <f t="shared" si="123"/>
        <v>0</v>
      </c>
      <c r="RB22" s="1">
        <f t="shared" si="124"/>
        <v>0</v>
      </c>
      <c r="RC22" s="1">
        <f t="shared" si="125"/>
        <v>0</v>
      </c>
      <c r="RD22" s="1">
        <f t="shared" si="126"/>
        <v>0</v>
      </c>
      <c r="RG22" s="1">
        <v>13</v>
      </c>
      <c r="RH22" s="1">
        <f t="shared" si="160"/>
        <v>-17946.074790282903</v>
      </c>
      <c r="RI22" s="1">
        <f t="shared" si="161"/>
        <v>19275.431780483719</v>
      </c>
      <c r="RJ22" s="1">
        <f t="shared" si="162"/>
        <v>13404.263703387322</v>
      </c>
      <c r="RK22" s="89">
        <f t="shared" si="5"/>
        <v>14733.620693588138</v>
      </c>
      <c r="RL22" s="1033">
        <v>13</v>
      </c>
      <c r="RM22" s="1098">
        <f t="shared" si="166"/>
        <v>0</v>
      </c>
      <c r="RN22" s="1098">
        <f t="shared" si="128"/>
        <v>0</v>
      </c>
      <c r="RO22" s="1097">
        <f t="shared" si="129"/>
        <v>0</v>
      </c>
      <c r="RP22" s="1097">
        <f t="shared" si="151"/>
        <v>5359</v>
      </c>
      <c r="RQ22" s="1050"/>
      <c r="RR22" s="1050" t="s">
        <v>692</v>
      </c>
      <c r="RS22" s="1048"/>
      <c r="RU22" s="421">
        <v>13</v>
      </c>
      <c r="RV22" s="1095">
        <f t="shared" si="130"/>
        <v>9572.9499999999989</v>
      </c>
      <c r="RW22" s="1050" t="s">
        <v>693</v>
      </c>
      <c r="RX22" s="1048"/>
      <c r="RY22" s="1090"/>
      <c r="RZ22" s="1090">
        <f t="shared" si="131"/>
        <v>0</v>
      </c>
      <c r="SA22" s="1090"/>
      <c r="SB22" s="1090">
        <f t="shared" si="132"/>
        <v>0</v>
      </c>
      <c r="SD22" s="1">
        <v>13</v>
      </c>
      <c r="SE22" s="1">
        <f t="shared" si="133"/>
        <v>0</v>
      </c>
    </row>
    <row r="23" spans="1:500" s="1" customFormat="1">
      <c r="A23" s="1">
        <v>160</v>
      </c>
      <c r="B23" s="471">
        <v>14</v>
      </c>
      <c r="C23" s="4">
        <f t="shared" si="6"/>
        <v>128871</v>
      </c>
      <c r="D23" s="64">
        <f t="shared" si="134"/>
        <v>7443.6600000000008</v>
      </c>
      <c r="E23" s="61">
        <f t="shared" si="7"/>
        <v>17.312854160453323</v>
      </c>
      <c r="F23" s="870"/>
      <c r="G23" s="870"/>
      <c r="H23" s="52">
        <v>5</v>
      </c>
      <c r="I23" s="61">
        <v>3.3</v>
      </c>
      <c r="J23" s="52"/>
      <c r="K23" s="54"/>
      <c r="L23" s="52">
        <v>3.67</v>
      </c>
      <c r="M23" s="61">
        <v>2.81</v>
      </c>
      <c r="N23" s="2629"/>
      <c r="O23" s="4">
        <f t="shared" si="8"/>
        <v>73416</v>
      </c>
      <c r="P23" s="1225">
        <f t="shared" si="9"/>
        <v>5325.1200000000008</v>
      </c>
      <c r="Q23" s="64">
        <f t="shared" si="10"/>
        <v>13.78673156661258</v>
      </c>
      <c r="R23" s="33"/>
      <c r="S23" s="26">
        <f t="shared" si="11"/>
        <v>24004</v>
      </c>
      <c r="T23" s="27">
        <f t="shared" si="12"/>
        <v>438.54</v>
      </c>
      <c r="U23" s="53">
        <f t="shared" si="13"/>
        <v>54.736170018698402</v>
      </c>
      <c r="V23" s="28"/>
      <c r="W23" s="26">
        <f t="shared" si="14"/>
        <v>31451</v>
      </c>
      <c r="X23" s="5">
        <f t="shared" si="15"/>
        <v>1680</v>
      </c>
      <c r="Y23" s="53">
        <f t="shared" si="16"/>
        <v>18.720833333333335</v>
      </c>
      <c r="Z23" s="33"/>
      <c r="AA23" s="26">
        <f t="shared" si="17"/>
        <v>0</v>
      </c>
      <c r="AB23" s="27">
        <f t="shared" si="18"/>
        <v>0</v>
      </c>
      <c r="AC23" s="53">
        <f t="shared" si="19"/>
        <v>0</v>
      </c>
      <c r="AD23" s="28"/>
      <c r="AE23" s="36"/>
      <c r="AF23" s="36"/>
      <c r="AG23" s="53">
        <f t="shared" si="20"/>
        <v>0</v>
      </c>
      <c r="AH23" s="28"/>
      <c r="AI23" s="26"/>
      <c r="AJ23" s="27"/>
      <c r="AK23" s="53">
        <f t="shared" si="21"/>
        <v>0</v>
      </c>
      <c r="AL23" s="28"/>
      <c r="AM23" s="2629"/>
      <c r="AN23" s="9"/>
      <c r="AO23" s="5"/>
      <c r="AP23" s="61">
        <f t="shared" si="22"/>
        <v>0</v>
      </c>
      <c r="AQ23" s="36"/>
      <c r="AR23" s="53"/>
      <c r="AS23" s="61">
        <f t="shared" si="23"/>
        <v>0</v>
      </c>
      <c r="AT23" s="36">
        <v>0</v>
      </c>
      <c r="AU23" s="27"/>
      <c r="AV23" s="61">
        <f t="shared" si="24"/>
        <v>0</v>
      </c>
      <c r="AW23" s="36">
        <v>42000</v>
      </c>
      <c r="AX23" s="27">
        <v>3660.6200000000008</v>
      </c>
      <c r="AY23" s="61">
        <f t="shared" si="25"/>
        <v>11.473466243423243</v>
      </c>
      <c r="AZ23" s="36"/>
      <c r="BA23" s="27"/>
      <c r="BB23" s="61">
        <f t="shared" si="26"/>
        <v>0</v>
      </c>
      <c r="BC23" s="36">
        <v>31416</v>
      </c>
      <c r="BD23" s="27">
        <v>1664.5</v>
      </c>
      <c r="BE23" s="61">
        <f t="shared" si="27"/>
        <v>18.874136377290476</v>
      </c>
      <c r="BF23" s="36"/>
      <c r="BG23" s="53"/>
      <c r="BH23" s="61">
        <f t="shared" si="28"/>
        <v>0</v>
      </c>
      <c r="BI23" s="36">
        <v>0</v>
      </c>
      <c r="BJ23" s="53">
        <v>0</v>
      </c>
      <c r="BK23" s="61">
        <f t="shared" si="29"/>
        <v>0</v>
      </c>
      <c r="BL23" s="52">
        <v>24004</v>
      </c>
      <c r="BM23" s="53">
        <v>438.54</v>
      </c>
      <c r="BN23" s="482">
        <f t="shared" si="30"/>
        <v>54.736170018698402</v>
      </c>
      <c r="BO23" s="9">
        <v>0</v>
      </c>
      <c r="BP23" s="64">
        <v>0</v>
      </c>
      <c r="BQ23" s="482">
        <f t="shared" si="31"/>
        <v>0</v>
      </c>
      <c r="BR23" s="9"/>
      <c r="BS23" s="64"/>
      <c r="BT23" s="482">
        <f t="shared" si="32"/>
        <v>0</v>
      </c>
      <c r="BU23" s="9">
        <v>31451</v>
      </c>
      <c r="BV23" s="27">
        <v>1680</v>
      </c>
      <c r="BW23" s="15">
        <f t="shared" si="33"/>
        <v>18.720833333333335</v>
      </c>
      <c r="BX23" s="26"/>
      <c r="BY23" s="27"/>
      <c r="BZ23" s="482">
        <f t="shared" si="34"/>
        <v>0</v>
      </c>
      <c r="CA23" s="9"/>
      <c r="CB23" s="481"/>
      <c r="CC23" s="482">
        <f t="shared" si="35"/>
        <v>0</v>
      </c>
      <c r="CD23" s="4"/>
      <c r="CE23" s="5"/>
      <c r="CF23" s="28">
        <f t="shared" si="36"/>
        <v>0</v>
      </c>
      <c r="CG23" s="150"/>
      <c r="CH23" s="1108">
        <v>0</v>
      </c>
      <c r="CI23" s="5">
        <v>0</v>
      </c>
      <c r="CJ23" s="5">
        <v>0</v>
      </c>
      <c r="CK23" s="5">
        <v>3537</v>
      </c>
      <c r="CL23" s="5"/>
      <c r="CM23" s="5">
        <f t="shared" si="135"/>
        <v>3537</v>
      </c>
      <c r="CN23" s="33"/>
      <c r="CO23" s="366"/>
      <c r="CQ23" s="4">
        <f t="shared" si="37"/>
        <v>0</v>
      </c>
      <c r="CR23" s="9">
        <f t="shared" si="38"/>
        <v>0</v>
      </c>
      <c r="CS23" s="5">
        <f t="shared" si="39"/>
        <v>0</v>
      </c>
      <c r="CT23" s="5">
        <f t="shared" si="40"/>
        <v>0</v>
      </c>
      <c r="CU23" s="5">
        <f t="shared" si="41"/>
        <v>0</v>
      </c>
      <c r="CV23" s="5">
        <f t="shared" si="42"/>
        <v>0</v>
      </c>
      <c r="CW23" s="5">
        <f t="shared" si="43"/>
        <v>0</v>
      </c>
      <c r="CX23" s="5">
        <f t="shared" si="44"/>
        <v>0</v>
      </c>
      <c r="CY23" s="5">
        <f t="shared" si="45"/>
        <v>4134.1000000000004</v>
      </c>
      <c r="CZ23" s="5">
        <f t="shared" si="46"/>
        <v>0</v>
      </c>
      <c r="DA23" s="5">
        <f t="shared" si="47"/>
        <v>3309.56</v>
      </c>
      <c r="DB23" s="12">
        <f t="shared" si="48"/>
        <v>0</v>
      </c>
      <c r="DC23" s="310">
        <f t="shared" si="49"/>
        <v>7443.66</v>
      </c>
      <c r="DD23" s="2695"/>
      <c r="DE23" s="9"/>
      <c r="DF23" s="9"/>
      <c r="DG23" s="5"/>
      <c r="DH23" s="5"/>
      <c r="DI23" s="5"/>
      <c r="DJ23" s="5"/>
      <c r="DK23" s="5"/>
      <c r="DL23" s="5"/>
      <c r="DM23" s="5">
        <v>3660.6200000000008</v>
      </c>
      <c r="DN23" s="5"/>
      <c r="DO23" s="5"/>
      <c r="DP23" s="12"/>
      <c r="DQ23" s="28">
        <f t="shared" si="50"/>
        <v>3660.6200000000008</v>
      </c>
      <c r="DR23" s="36"/>
      <c r="DS23" s="9"/>
      <c r="DT23" s="5"/>
      <c r="DU23" s="5"/>
      <c r="DV23" s="5"/>
      <c r="DW23" s="5"/>
      <c r="DX23" s="5"/>
      <c r="DY23" s="5"/>
      <c r="DZ23" s="5">
        <v>473.48</v>
      </c>
      <c r="EA23" s="27"/>
      <c r="EB23" s="27">
        <v>1629.56</v>
      </c>
      <c r="EC23" s="33"/>
      <c r="ED23" s="28">
        <f t="shared" si="51"/>
        <v>2103.04</v>
      </c>
      <c r="EE23" s="9"/>
      <c r="EF23" s="36"/>
      <c r="EG23" s="5"/>
      <c r="EH23" s="27"/>
      <c r="EI23" s="27"/>
      <c r="EJ23" s="27"/>
      <c r="EK23" s="27"/>
      <c r="EL23" s="27"/>
      <c r="EM23" s="27"/>
      <c r="EN23" s="27"/>
      <c r="EO23" s="27">
        <v>1680</v>
      </c>
      <c r="EP23" s="33"/>
      <c r="EQ23" s="28">
        <f t="shared" si="52"/>
        <v>1680</v>
      </c>
      <c r="ER23" s="36"/>
      <c r="ES23" s="27"/>
      <c r="ET23" s="27"/>
      <c r="EU23" s="27"/>
      <c r="EV23" s="27"/>
      <c r="EW23" s="27"/>
      <c r="EX23" s="33">
        <f t="shared" si="53"/>
        <v>0</v>
      </c>
      <c r="EY23" s="2685"/>
      <c r="FA23" s="4">
        <f t="shared" si="54"/>
        <v>0</v>
      </c>
      <c r="FB23" s="5">
        <f t="shared" si="55"/>
        <v>0</v>
      </c>
      <c r="FC23" s="5">
        <f t="shared" si="56"/>
        <v>0</v>
      </c>
      <c r="FD23" s="12">
        <f t="shared" si="57"/>
        <v>0</v>
      </c>
      <c r="FE23" s="33"/>
      <c r="FF23" s="2674"/>
      <c r="FG23" s="9"/>
      <c r="FH23" s="5"/>
      <c r="FI23" s="5"/>
      <c r="FJ23" s="5"/>
      <c r="FK23" s="5"/>
      <c r="FL23" s="27"/>
      <c r="FM23" s="28">
        <f t="shared" si="58"/>
        <v>0</v>
      </c>
      <c r="FN23" s="36"/>
      <c r="FO23" s="27"/>
      <c r="FP23" s="27"/>
      <c r="FQ23" s="27"/>
      <c r="FR23" s="27"/>
      <c r="FS23" s="27"/>
      <c r="FT23" s="28">
        <f t="shared" si="59"/>
        <v>0</v>
      </c>
      <c r="FU23" s="36"/>
      <c r="FV23" s="36"/>
      <c r="FW23" s="27"/>
      <c r="FX23" s="27"/>
      <c r="FY23" s="27"/>
      <c r="FZ23" s="27"/>
      <c r="GA23" s="27"/>
      <c r="GB23" s="27"/>
      <c r="GC23" s="27"/>
      <c r="GD23" s="27"/>
      <c r="GE23" s="27"/>
      <c r="GF23" s="33"/>
      <c r="GG23" s="33">
        <f t="shared" si="60"/>
        <v>0</v>
      </c>
      <c r="GH23" s="2674"/>
      <c r="GJ23" s="4">
        <f t="shared" si="61"/>
        <v>0</v>
      </c>
      <c r="GK23" s="64">
        <f t="shared" si="62"/>
        <v>778.52</v>
      </c>
      <c r="GL23" s="53">
        <f t="shared" si="63"/>
        <v>2017.5500000000002</v>
      </c>
      <c r="GM23" s="53">
        <f t="shared" si="64"/>
        <v>2796.07</v>
      </c>
      <c r="GN23" s="141"/>
      <c r="GO23" s="141"/>
      <c r="GP23" s="33" t="s">
        <v>694</v>
      </c>
      <c r="GQ23" s="2667"/>
      <c r="GR23" s="363">
        <v>1732.6999999999998</v>
      </c>
      <c r="GS23" s="5"/>
      <c r="GT23" s="5">
        <v>464.94000000000005</v>
      </c>
      <c r="GU23" s="27">
        <v>598.42999999999995</v>
      </c>
      <c r="GV23" s="54">
        <f t="shared" si="65"/>
        <v>2796.0699999999997</v>
      </c>
      <c r="GW23" s="2667"/>
      <c r="GX23" s="36"/>
      <c r="GY23" s="36"/>
      <c r="GZ23" s="27"/>
      <c r="HA23" s="27"/>
      <c r="HB23" s="27"/>
      <c r="HC23" s="27"/>
      <c r="HD23" s="27"/>
      <c r="HE23" s="27"/>
      <c r="HF23" s="27"/>
      <c r="HG23" s="27"/>
      <c r="HH23" s="27"/>
      <c r="HI23" s="27"/>
      <c r="HJ23" s="27"/>
      <c r="HK23" s="27"/>
      <c r="HL23" s="28">
        <f t="shared" si="66"/>
        <v>0</v>
      </c>
      <c r="HM23" s="36"/>
      <c r="HN23" s="27"/>
      <c r="HO23" s="27"/>
      <c r="HP23" s="27"/>
      <c r="HQ23" s="27"/>
      <c r="HR23" s="27"/>
      <c r="HS23" s="27"/>
      <c r="HT23" s="27"/>
      <c r="HU23" s="27"/>
      <c r="HV23" s="27"/>
      <c r="HW23" s="27"/>
      <c r="HX23" s="27"/>
      <c r="HY23" s="27"/>
      <c r="HZ23" s="27"/>
      <c r="IA23" s="33">
        <f t="shared" si="67"/>
        <v>0</v>
      </c>
      <c r="IB23" s="52"/>
      <c r="IC23" s="152"/>
      <c r="ID23" s="53"/>
      <c r="IE23" s="53"/>
      <c r="IF23" s="53"/>
      <c r="IG23" s="53"/>
      <c r="IH23" s="53"/>
      <c r="II23" s="53"/>
      <c r="IJ23" s="53">
        <v>778.52</v>
      </c>
      <c r="IK23" s="53"/>
      <c r="IL23" s="53"/>
      <c r="IM23" s="53"/>
      <c r="IN23" s="53"/>
      <c r="IO23" s="53"/>
      <c r="IP23" s="61">
        <f t="shared" si="68"/>
        <v>778.52</v>
      </c>
      <c r="IQ23" s="36"/>
      <c r="IR23" s="36"/>
      <c r="IS23" s="27"/>
      <c r="IT23" s="27"/>
      <c r="IU23" s="53"/>
      <c r="IV23" s="27"/>
      <c r="IW23" s="27"/>
      <c r="IX23" s="27"/>
      <c r="IY23" s="27">
        <v>1941.9</v>
      </c>
      <c r="IZ23" s="27"/>
      <c r="JA23" s="27">
        <v>75.650000000000006</v>
      </c>
      <c r="JB23" s="27"/>
      <c r="JC23" s="27"/>
      <c r="JD23" s="27"/>
      <c r="JE23" s="33">
        <f t="shared" si="69"/>
        <v>2017.5500000000002</v>
      </c>
      <c r="JF23" s="2667"/>
      <c r="JH23" s="52">
        <v>2796.0699999999997</v>
      </c>
      <c r="JI23" s="152"/>
      <c r="JJ23" s="53"/>
      <c r="JK23" s="53">
        <f t="shared" si="70"/>
        <v>2796.0699999999997</v>
      </c>
      <c r="JL23" s="33"/>
      <c r="JM23" s="2669"/>
      <c r="JN23" s="69"/>
      <c r="JO23" s="70"/>
      <c r="JP23" s="70"/>
      <c r="JQ23" s="70"/>
      <c r="JR23" s="70">
        <v>0.97294416806446182</v>
      </c>
      <c r="JS23" s="70">
        <v>2.7055831935538094E-2</v>
      </c>
      <c r="JT23" s="70"/>
      <c r="JU23" s="71"/>
      <c r="JV23" s="69"/>
      <c r="JW23" s="70"/>
      <c r="JX23" s="70"/>
      <c r="JY23" s="70"/>
      <c r="JZ23" s="70"/>
      <c r="KA23" s="70"/>
      <c r="KB23" s="70"/>
      <c r="KC23" s="71"/>
      <c r="KD23" s="69"/>
      <c r="KE23" s="70"/>
      <c r="KF23" s="70"/>
      <c r="KG23" s="70"/>
      <c r="KH23" s="70"/>
      <c r="KI23" s="70"/>
      <c r="KJ23" s="70"/>
      <c r="KK23" s="70"/>
      <c r="KL23" s="33"/>
      <c r="KM23" s="2669"/>
      <c r="KN23" s="36">
        <v>6831</v>
      </c>
      <c r="KO23" s="53">
        <v>0.6</v>
      </c>
      <c r="KP23" s="53">
        <v>4.42</v>
      </c>
      <c r="KQ23" s="53">
        <v>8.56</v>
      </c>
      <c r="KR23" s="54">
        <v>14.57</v>
      </c>
      <c r="KS23" s="4">
        <v>6910.2600662891173</v>
      </c>
      <c r="KT23" s="64">
        <v>1.2729644040877111</v>
      </c>
      <c r="KU23" s="64">
        <v>5.0629644040877109</v>
      </c>
      <c r="KV23" s="64">
        <v>7.554071191824578</v>
      </c>
      <c r="KW23" s="482">
        <v>12.93261622703846</v>
      </c>
      <c r="KX23" s="36"/>
      <c r="KY23" s="53"/>
      <c r="KZ23" s="53"/>
      <c r="LA23" s="53"/>
      <c r="LB23" s="53"/>
      <c r="LC23" s="33"/>
      <c r="LD23" s="2669"/>
      <c r="LF23" s="4">
        <f t="shared" si="71"/>
        <v>0</v>
      </c>
      <c r="LG23" s="27">
        <f t="shared" si="72"/>
        <v>0</v>
      </c>
      <c r="LH23" s="27">
        <f t="shared" si="73"/>
        <v>0</v>
      </c>
      <c r="LI23" s="28">
        <f t="shared" si="74"/>
        <v>0</v>
      </c>
      <c r="LJ23" s="36"/>
      <c r="LK23" s="27">
        <v>1</v>
      </c>
      <c r="LL23" s="27">
        <v>3</v>
      </c>
      <c r="LM23" s="33"/>
      <c r="LN23" s="1041">
        <v>8.31</v>
      </c>
      <c r="LO23" s="486" t="s">
        <v>680</v>
      </c>
      <c r="LP23" s="2688"/>
      <c r="LQ23" s="36"/>
      <c r="LR23" s="36"/>
      <c r="LS23" s="27"/>
      <c r="LT23" s="27"/>
      <c r="LU23" s="27"/>
      <c r="LV23" s="1117">
        <f t="shared" si="75"/>
        <v>0</v>
      </c>
      <c r="LW23" s="36"/>
      <c r="LX23" s="36"/>
      <c r="LY23" s="27"/>
      <c r="LZ23" s="27"/>
      <c r="MA23" s="33"/>
      <c r="MB23" s="28">
        <f t="shared" si="76"/>
        <v>0</v>
      </c>
      <c r="MC23" s="26"/>
      <c r="MD23" s="36"/>
      <c r="ME23" s="27"/>
      <c r="MF23" s="27"/>
      <c r="MG23" s="27"/>
      <c r="MH23" s="28"/>
      <c r="MI23" s="36"/>
      <c r="MJ23" s="36"/>
      <c r="MK23" s="27"/>
      <c r="ML23" s="27"/>
      <c r="MM23" s="27"/>
      <c r="MN23" s="28"/>
      <c r="MO23" s="36"/>
      <c r="MP23" s="36"/>
      <c r="MQ23" s="27"/>
      <c r="MR23" s="27"/>
      <c r="MS23" s="27"/>
      <c r="MT23" s="33">
        <f t="shared" si="77"/>
        <v>0</v>
      </c>
      <c r="MU23" s="2688"/>
      <c r="MW23" s="26">
        <f t="shared" si="78"/>
        <v>209274.63199929352</v>
      </c>
      <c r="MX23" s="27">
        <f t="shared" si="79"/>
        <v>214779.31929571755</v>
      </c>
      <c r="MY23" s="27">
        <f t="shared" si="80"/>
        <v>20969.555608283044</v>
      </c>
      <c r="MZ23" s="28">
        <f t="shared" si="81"/>
        <v>440421.35467809113</v>
      </c>
      <c r="NA23" s="2621"/>
      <c r="NB23" s="23">
        <f t="shared" si="82"/>
        <v>188429.89805395968</v>
      </c>
      <c r="NC23" s="64">
        <f t="shared" si="83"/>
        <v>20844.733945333843</v>
      </c>
      <c r="ND23" s="60">
        <f t="shared" si="84"/>
        <v>0</v>
      </c>
      <c r="NE23" s="275">
        <f t="shared" si="4"/>
        <v>209274.63199929352</v>
      </c>
      <c r="NF23" s="26">
        <f t="shared" si="136"/>
        <v>0</v>
      </c>
      <c r="NG23" s="27">
        <f t="shared" si="137"/>
        <v>0</v>
      </c>
      <c r="NH23" s="27">
        <f t="shared" si="138"/>
        <v>0</v>
      </c>
      <c r="NI23" s="27">
        <f t="shared" si="139"/>
        <v>0</v>
      </c>
      <c r="NJ23" s="27">
        <f t="shared" si="140"/>
        <v>0</v>
      </c>
      <c r="NK23" s="33">
        <f t="shared" si="141"/>
        <v>0</v>
      </c>
      <c r="NL23" s="27">
        <f t="shared" si="142"/>
        <v>0</v>
      </c>
      <c r="NM23" s="36">
        <f t="shared" si="143"/>
        <v>0</v>
      </c>
      <c r="NN23" s="27">
        <f t="shared" si="144"/>
        <v>46668.646549276003</v>
      </c>
      <c r="NO23" s="27">
        <f t="shared" si="145"/>
        <v>0</v>
      </c>
      <c r="NP23" s="24">
        <f t="shared" si="146"/>
        <v>8756.5482322711578</v>
      </c>
      <c r="NQ23" s="24">
        <f t="shared" si="147"/>
        <v>10073.024585687599</v>
      </c>
      <c r="NR23" s="27">
        <f t="shared" si="0"/>
        <v>65498.219367234764</v>
      </c>
      <c r="NS23" s="27">
        <f t="shared" si="86"/>
        <v>0</v>
      </c>
      <c r="NT23" s="27">
        <f t="shared" si="87"/>
        <v>0</v>
      </c>
      <c r="NU23" s="27">
        <f t="shared" si="88"/>
        <v>0</v>
      </c>
      <c r="NV23" s="27">
        <f t="shared" si="89"/>
        <v>0</v>
      </c>
      <c r="NW23" s="27">
        <f t="shared" si="90"/>
        <v>0</v>
      </c>
      <c r="NX23" s="5">
        <f t="shared" si="91"/>
        <v>0</v>
      </c>
      <c r="NY23" s="27">
        <f t="shared" si="92"/>
        <v>4490.8981519076278</v>
      </c>
      <c r="NZ23" s="27">
        <f t="shared" si="93"/>
        <v>0</v>
      </c>
      <c r="OA23" s="27">
        <f t="shared" si="94"/>
        <v>28421.344759987773</v>
      </c>
      <c r="OB23" s="280"/>
      <c r="OC23" s="24">
        <f t="shared" si="95"/>
        <v>3403.7241844007053</v>
      </c>
      <c r="OD23" s="27">
        <f t="shared" si="96"/>
        <v>0</v>
      </c>
      <c r="OE23" s="28">
        <f t="shared" si="1"/>
        <v>36315.96709629611</v>
      </c>
      <c r="OF23" s="27">
        <f t="shared" si="163"/>
        <v>0</v>
      </c>
      <c r="OG23" s="27">
        <f t="shared" si="164"/>
        <v>0</v>
      </c>
      <c r="OH23" s="27">
        <v>0</v>
      </c>
      <c r="OI23" s="27">
        <f t="shared" ref="OI23:OJ40" si="167">+OI22+DU23+FX23-IT23</f>
        <v>0</v>
      </c>
      <c r="OJ23" s="27">
        <f t="shared" si="153"/>
        <v>0</v>
      </c>
      <c r="OK23" s="27">
        <f t="shared" ref="OK23:OL40" si="168">+OK22+DW23+FZ23-IV23</f>
        <v>0</v>
      </c>
      <c r="OL23" s="24">
        <f t="shared" si="159"/>
        <v>0</v>
      </c>
      <c r="OM23" s="27">
        <f t="shared" si="154"/>
        <v>0</v>
      </c>
      <c r="ON23" s="24">
        <f t="shared" si="155"/>
        <v>109970.18851377799</v>
      </c>
      <c r="OO23" s="27">
        <f t="shared" si="156"/>
        <v>0</v>
      </c>
      <c r="OP23" s="27">
        <f t="shared" si="157"/>
        <v>2994.9443184086808</v>
      </c>
      <c r="OQ23" s="27">
        <f t="shared" si="158"/>
        <v>0</v>
      </c>
      <c r="OR23" s="28">
        <f t="shared" si="2"/>
        <v>112965.13283218667</v>
      </c>
      <c r="OS23" s="36"/>
      <c r="OT23" s="27"/>
      <c r="OU23" s="27"/>
      <c r="OV23" s="27"/>
      <c r="OW23" s="27"/>
      <c r="OX23" s="27"/>
      <c r="OY23" s="28">
        <f t="shared" si="98"/>
        <v>0</v>
      </c>
      <c r="OZ23" s="36">
        <f t="shared" si="99"/>
        <v>0</v>
      </c>
      <c r="PA23" s="27">
        <f t="shared" si="100"/>
        <v>0</v>
      </c>
      <c r="PB23" s="27">
        <f t="shared" si="101"/>
        <v>0</v>
      </c>
      <c r="PC23" s="27">
        <f t="shared" si="102"/>
        <v>0</v>
      </c>
      <c r="PD23" s="27">
        <f t="shared" si="103"/>
        <v>0</v>
      </c>
      <c r="PE23" s="27">
        <f t="shared" si="104"/>
        <v>0</v>
      </c>
      <c r="PF23" s="33">
        <f t="shared" si="3"/>
        <v>0</v>
      </c>
      <c r="PG23" s="2621"/>
      <c r="PI23" s="2"/>
      <c r="PJ23" s="3"/>
      <c r="PK23" s="3"/>
      <c r="PL23" s="3">
        <f t="shared" si="148"/>
        <v>0</v>
      </c>
      <c r="PM23" s="3">
        <f t="shared" si="149"/>
        <v>419.12</v>
      </c>
      <c r="PN23" s="11">
        <f t="shared" si="150"/>
        <v>20969.555608283044</v>
      </c>
      <c r="PO23" s="15"/>
      <c r="PP23" s="2615"/>
      <c r="PR23" s="4"/>
      <c r="PS23" s="9"/>
      <c r="PT23" s="9"/>
      <c r="PU23" s="9"/>
      <c r="PV23" s="9"/>
      <c r="PW23" s="9"/>
      <c r="PX23" s="8">
        <f t="shared" si="105"/>
        <v>0</v>
      </c>
      <c r="PY23" s="5">
        <f t="shared" si="106"/>
        <v>0</v>
      </c>
      <c r="PZ23" s="5"/>
      <c r="QA23" s="5"/>
      <c r="QB23" s="5"/>
      <c r="QC23" s="5"/>
      <c r="QD23" s="5"/>
      <c r="QE23" s="12">
        <f t="shared" si="107"/>
        <v>29749.381073161156</v>
      </c>
      <c r="QF23" s="420">
        <f t="shared" si="108"/>
        <v>410671.97360492998</v>
      </c>
      <c r="QG23" s="1106">
        <f t="shared" si="109"/>
        <v>0</v>
      </c>
      <c r="QH23" s="484">
        <f t="shared" si="110"/>
        <v>5505.3678056100007</v>
      </c>
      <c r="QI23" s="12"/>
      <c r="QJ23" s="2615"/>
      <c r="QL23" s="139">
        <f t="shared" si="111"/>
        <v>0</v>
      </c>
      <c r="QM23" s="139" t="str">
        <f t="shared" si="112"/>
        <v/>
      </c>
      <c r="QO23" s="139">
        <f t="shared" si="113"/>
        <v>0</v>
      </c>
      <c r="QP23" s="139">
        <f t="shared" si="114"/>
        <v>0</v>
      </c>
      <c r="QR23" s="1">
        <f t="shared" si="115"/>
        <v>0</v>
      </c>
      <c r="QS23" s="1">
        <f t="shared" si="116"/>
        <v>0</v>
      </c>
      <c r="QT23" s="1">
        <f t="shared" si="117"/>
        <v>0</v>
      </c>
      <c r="QU23" s="1">
        <f t="shared" si="118"/>
        <v>0</v>
      </c>
      <c r="QV23" s="1">
        <f t="shared" si="119"/>
        <v>0</v>
      </c>
      <c r="QW23" s="1">
        <f t="shared" si="120"/>
        <v>0</v>
      </c>
      <c r="QY23" s="1">
        <f t="shared" si="121"/>
        <v>0</v>
      </c>
      <c r="QZ23" s="1">
        <f t="shared" si="122"/>
        <v>0</v>
      </c>
      <c r="RA23" s="1">
        <f t="shared" si="123"/>
        <v>0</v>
      </c>
      <c r="RB23" s="1">
        <f t="shared" si="124"/>
        <v>0</v>
      </c>
      <c r="RC23" s="1">
        <f t="shared" si="125"/>
        <v>0</v>
      </c>
      <c r="RD23" s="1">
        <f t="shared" si="126"/>
        <v>0</v>
      </c>
      <c r="RG23" s="1">
        <v>14</v>
      </c>
      <c r="RH23" s="1">
        <f t="shared" si="160"/>
        <v>-15150.004790282903</v>
      </c>
      <c r="RI23" s="1">
        <f t="shared" si="161"/>
        <v>19275.431780483719</v>
      </c>
      <c r="RJ23" s="1">
        <f t="shared" si="162"/>
        <v>13404.263703387322</v>
      </c>
      <c r="RK23" s="89">
        <f t="shared" si="5"/>
        <v>17529.690693588138</v>
      </c>
      <c r="RL23" s="1033">
        <v>14</v>
      </c>
      <c r="RM23" s="1098">
        <f t="shared" si="166"/>
        <v>0</v>
      </c>
      <c r="RN23" s="1098">
        <f t="shared" si="128"/>
        <v>0</v>
      </c>
      <c r="RO23" s="1097">
        <f t="shared" si="129"/>
        <v>0</v>
      </c>
      <c r="RP23" s="1097">
        <f t="shared" si="151"/>
        <v>5763.6600000000008</v>
      </c>
      <c r="RQ23" s="1050"/>
      <c r="RR23" s="1116" t="s">
        <v>695</v>
      </c>
      <c r="RS23" s="1048"/>
      <c r="RU23" s="421">
        <v>14</v>
      </c>
      <c r="RV23" s="1095">
        <f t="shared" si="130"/>
        <v>2796.0699999999997</v>
      </c>
      <c r="RW23" s="1115" t="s">
        <v>696</v>
      </c>
      <c r="RX23" s="1114"/>
      <c r="RY23" s="1090"/>
      <c r="RZ23" s="1090">
        <f t="shared" si="131"/>
        <v>0</v>
      </c>
      <c r="SA23" s="1090"/>
      <c r="SB23" s="1090">
        <f t="shared" si="132"/>
        <v>0</v>
      </c>
      <c r="SD23" s="1">
        <v>14</v>
      </c>
      <c r="SE23" s="1">
        <f t="shared" si="133"/>
        <v>0</v>
      </c>
    </row>
    <row r="24" spans="1:500" s="1" customFormat="1">
      <c r="B24" s="471">
        <v>15</v>
      </c>
      <c r="C24" s="4">
        <f t="shared" si="6"/>
        <v>166716</v>
      </c>
      <c r="D24" s="64">
        <f t="shared" si="134"/>
        <v>7984.4500000000007</v>
      </c>
      <c r="E24" s="61">
        <f t="shared" si="7"/>
        <v>20.880085666514287</v>
      </c>
      <c r="F24" s="870"/>
      <c r="G24" s="870"/>
      <c r="H24" s="52"/>
      <c r="I24" s="61"/>
      <c r="J24" s="52"/>
      <c r="K24" s="54"/>
      <c r="L24" s="52"/>
      <c r="M24" s="61"/>
      <c r="N24" s="2629"/>
      <c r="O24" s="4">
        <f t="shared" si="8"/>
        <v>93072</v>
      </c>
      <c r="P24" s="1225">
        <f t="shared" si="9"/>
        <v>5232.5900000000011</v>
      </c>
      <c r="Q24" s="64">
        <f t="shared" si="10"/>
        <v>17.786985030357812</v>
      </c>
      <c r="R24" s="33"/>
      <c r="S24" s="26">
        <f t="shared" si="11"/>
        <v>32348</v>
      </c>
      <c r="T24" s="27">
        <f t="shared" si="12"/>
        <v>531.86</v>
      </c>
      <c r="U24" s="53">
        <f t="shared" si="13"/>
        <v>60.820516677321095</v>
      </c>
      <c r="V24" s="28"/>
      <c r="W24" s="26">
        <f t="shared" si="14"/>
        <v>41296</v>
      </c>
      <c r="X24" s="5">
        <f t="shared" si="15"/>
        <v>2220</v>
      </c>
      <c r="Y24" s="53">
        <f t="shared" si="16"/>
        <v>18.601801801801802</v>
      </c>
      <c r="Z24" s="33"/>
      <c r="AA24" s="26">
        <f t="shared" si="17"/>
        <v>0</v>
      </c>
      <c r="AB24" s="27">
        <f t="shared" si="18"/>
        <v>0</v>
      </c>
      <c r="AC24" s="53">
        <f t="shared" si="19"/>
        <v>0</v>
      </c>
      <c r="AD24" s="28"/>
      <c r="AE24" s="36"/>
      <c r="AF24" s="36"/>
      <c r="AG24" s="53">
        <f t="shared" si="20"/>
        <v>0</v>
      </c>
      <c r="AH24" s="28"/>
      <c r="AI24" s="23"/>
      <c r="AJ24" s="27"/>
      <c r="AK24" s="53">
        <f t="shared" si="21"/>
        <v>0</v>
      </c>
      <c r="AL24" s="28"/>
      <c r="AM24" s="2629"/>
      <c r="AN24" s="9"/>
      <c r="AO24" s="5"/>
      <c r="AP24" s="61">
        <f t="shared" si="22"/>
        <v>0</v>
      </c>
      <c r="AQ24" s="36"/>
      <c r="AR24" s="53"/>
      <c r="AS24" s="61">
        <f t="shared" si="23"/>
        <v>0</v>
      </c>
      <c r="AT24" s="36">
        <v>0</v>
      </c>
      <c r="AU24" s="27"/>
      <c r="AV24" s="61">
        <f t="shared" si="24"/>
        <v>0</v>
      </c>
      <c r="AW24" s="36">
        <v>53088</v>
      </c>
      <c r="AX24" s="27">
        <v>5081.4100000000008</v>
      </c>
      <c r="AY24" s="61">
        <f t="shared" si="25"/>
        <v>10.447493904250983</v>
      </c>
      <c r="AZ24" s="36"/>
      <c r="BA24" s="27"/>
      <c r="BB24" s="61">
        <f t="shared" si="26"/>
        <v>0</v>
      </c>
      <c r="BC24" s="36">
        <v>39984</v>
      </c>
      <c r="BD24" s="27">
        <v>151.18</v>
      </c>
      <c r="BE24" s="61">
        <f t="shared" si="27"/>
        <v>264.47942849583279</v>
      </c>
      <c r="BF24" s="36"/>
      <c r="BG24" s="53"/>
      <c r="BH24" s="61">
        <f t="shared" si="28"/>
        <v>0</v>
      </c>
      <c r="BI24" s="36">
        <v>0</v>
      </c>
      <c r="BJ24" s="53">
        <v>0</v>
      </c>
      <c r="BK24" s="61">
        <f t="shared" si="29"/>
        <v>0</v>
      </c>
      <c r="BL24" s="52">
        <v>32348</v>
      </c>
      <c r="BM24" s="53">
        <v>531.86</v>
      </c>
      <c r="BN24" s="482">
        <f t="shared" si="30"/>
        <v>60.820516677321095</v>
      </c>
      <c r="BO24" s="9">
        <v>0</v>
      </c>
      <c r="BP24" s="64">
        <v>0</v>
      </c>
      <c r="BQ24" s="482">
        <f t="shared" si="31"/>
        <v>0</v>
      </c>
      <c r="BR24" s="9"/>
      <c r="BS24" s="64"/>
      <c r="BT24" s="482">
        <f t="shared" si="32"/>
        <v>0</v>
      </c>
      <c r="BU24" s="9">
        <v>41296</v>
      </c>
      <c r="BV24" s="27">
        <v>2220</v>
      </c>
      <c r="BW24" s="15">
        <f t="shared" si="33"/>
        <v>18.601801801801802</v>
      </c>
      <c r="BX24" s="26"/>
      <c r="BY24" s="27"/>
      <c r="BZ24" s="482">
        <f t="shared" si="34"/>
        <v>0</v>
      </c>
      <c r="CA24" s="9"/>
      <c r="CB24" s="481"/>
      <c r="CC24" s="482">
        <f t="shared" si="35"/>
        <v>0</v>
      </c>
      <c r="CD24" s="4"/>
      <c r="CE24" s="5"/>
      <c r="CF24" s="28">
        <f t="shared" si="36"/>
        <v>0</v>
      </c>
      <c r="CG24" s="150"/>
      <c r="CH24" s="1108">
        <v>432</v>
      </c>
      <c r="CI24" s="5">
        <v>0</v>
      </c>
      <c r="CJ24" s="5">
        <v>0</v>
      </c>
      <c r="CK24" s="5">
        <v>6132</v>
      </c>
      <c r="CL24" s="5"/>
      <c r="CM24" s="5">
        <f t="shared" si="135"/>
        <v>6564</v>
      </c>
      <c r="CN24" s="33"/>
      <c r="CO24" s="366"/>
      <c r="CQ24" s="4">
        <f t="shared" si="37"/>
        <v>0</v>
      </c>
      <c r="CR24" s="9">
        <f t="shared" si="38"/>
        <v>0</v>
      </c>
      <c r="CS24" s="5">
        <f t="shared" si="39"/>
        <v>0</v>
      </c>
      <c r="CT24" s="5">
        <f t="shared" si="40"/>
        <v>0</v>
      </c>
      <c r="CU24" s="5">
        <f t="shared" si="41"/>
        <v>0</v>
      </c>
      <c r="CV24" s="5">
        <f t="shared" si="42"/>
        <v>0</v>
      </c>
      <c r="CW24" s="5">
        <f t="shared" si="43"/>
        <v>0</v>
      </c>
      <c r="CX24" s="5">
        <f t="shared" si="44"/>
        <v>0</v>
      </c>
      <c r="CY24" s="5">
        <f t="shared" si="45"/>
        <v>5613.27</v>
      </c>
      <c r="CZ24" s="5">
        <f t="shared" si="46"/>
        <v>0</v>
      </c>
      <c r="DA24" s="5">
        <f t="shared" si="47"/>
        <v>2371.1799999999998</v>
      </c>
      <c r="DB24" s="12">
        <f t="shared" si="48"/>
        <v>0</v>
      </c>
      <c r="DC24" s="310">
        <f t="shared" si="49"/>
        <v>7984.4500000000007</v>
      </c>
      <c r="DD24" s="2695"/>
      <c r="DE24" s="9"/>
      <c r="DF24" s="9"/>
      <c r="DG24" s="5"/>
      <c r="DH24" s="5"/>
      <c r="DI24" s="5"/>
      <c r="DJ24" s="5"/>
      <c r="DK24" s="5"/>
      <c r="DL24" s="5"/>
      <c r="DM24" s="5">
        <v>5081.4100000000008</v>
      </c>
      <c r="DN24" s="5"/>
      <c r="DO24" s="5"/>
      <c r="DP24" s="12"/>
      <c r="DQ24" s="28">
        <f t="shared" si="50"/>
        <v>5081.4100000000008</v>
      </c>
      <c r="DR24" s="36"/>
      <c r="DS24" s="9"/>
      <c r="DT24" s="5"/>
      <c r="DU24" s="5"/>
      <c r="DV24" s="5"/>
      <c r="DW24" s="5"/>
      <c r="DX24" s="5"/>
      <c r="DY24" s="5"/>
      <c r="DZ24" s="5">
        <v>531.86</v>
      </c>
      <c r="EA24" s="27"/>
      <c r="EB24" s="27">
        <v>151.18</v>
      </c>
      <c r="EC24" s="33"/>
      <c r="ED24" s="28">
        <f t="shared" si="51"/>
        <v>683.04</v>
      </c>
      <c r="EE24" s="9"/>
      <c r="EF24" s="36"/>
      <c r="EG24" s="5"/>
      <c r="EH24" s="27"/>
      <c r="EI24" s="27"/>
      <c r="EJ24" s="27"/>
      <c r="EK24" s="27"/>
      <c r="EL24" s="27"/>
      <c r="EM24" s="27"/>
      <c r="EN24" s="27"/>
      <c r="EO24" s="27">
        <v>2220</v>
      </c>
      <c r="EP24" s="33"/>
      <c r="EQ24" s="28">
        <f t="shared" si="52"/>
        <v>2220</v>
      </c>
      <c r="ER24" s="36"/>
      <c r="ES24" s="27"/>
      <c r="ET24" s="27"/>
      <c r="EU24" s="27"/>
      <c r="EV24" s="27"/>
      <c r="EW24" s="27"/>
      <c r="EX24" s="33">
        <f t="shared" si="53"/>
        <v>0</v>
      </c>
      <c r="EY24" s="2685"/>
      <c r="FA24" s="4">
        <f t="shared" si="54"/>
        <v>0</v>
      </c>
      <c r="FB24" s="5">
        <f t="shared" si="55"/>
        <v>0</v>
      </c>
      <c r="FC24" s="5">
        <f t="shared" si="56"/>
        <v>0</v>
      </c>
      <c r="FD24" s="12">
        <f t="shared" si="57"/>
        <v>0</v>
      </c>
      <c r="FE24" s="33"/>
      <c r="FF24" s="2674"/>
      <c r="FG24" s="9"/>
      <c r="FH24" s="5"/>
      <c r="FI24" s="5"/>
      <c r="FJ24" s="5"/>
      <c r="FK24" s="5"/>
      <c r="FL24" s="27"/>
      <c r="FM24" s="28">
        <f t="shared" si="58"/>
        <v>0</v>
      </c>
      <c r="FN24" s="36"/>
      <c r="FO24" s="27"/>
      <c r="FP24" s="27"/>
      <c r="FQ24" s="27"/>
      <c r="FR24" s="27"/>
      <c r="FS24" s="27"/>
      <c r="FT24" s="28">
        <f t="shared" si="59"/>
        <v>0</v>
      </c>
      <c r="FU24" s="36"/>
      <c r="FV24" s="36"/>
      <c r="FW24" s="27"/>
      <c r="FX24" s="27"/>
      <c r="FY24" s="27"/>
      <c r="FZ24" s="27"/>
      <c r="GA24" s="27"/>
      <c r="GB24" s="27"/>
      <c r="GC24" s="27"/>
      <c r="GD24" s="27"/>
      <c r="GE24" s="27"/>
      <c r="GF24" s="33"/>
      <c r="GG24" s="33">
        <f t="shared" si="60"/>
        <v>0</v>
      </c>
      <c r="GH24" s="2674"/>
      <c r="GJ24" s="4">
        <f t="shared" si="61"/>
        <v>598.13</v>
      </c>
      <c r="GK24" s="64">
        <f t="shared" si="62"/>
        <v>4970.3500000000004</v>
      </c>
      <c r="GL24" s="53">
        <f t="shared" si="63"/>
        <v>3762.5200000000004</v>
      </c>
      <c r="GM24" s="53">
        <f t="shared" si="64"/>
        <v>9331</v>
      </c>
      <c r="GN24" s="141"/>
      <c r="GO24" s="141"/>
      <c r="GP24" s="33"/>
      <c r="GQ24" s="2667"/>
      <c r="GR24" s="152">
        <v>5715.8999999999987</v>
      </c>
      <c r="GS24" s="27"/>
      <c r="GT24" s="27">
        <v>2300.2199999999998</v>
      </c>
      <c r="GU24" s="27">
        <v>1314.8799999999999</v>
      </c>
      <c r="GV24" s="33">
        <f t="shared" si="65"/>
        <v>9330.9999999999982</v>
      </c>
      <c r="GW24" s="2667"/>
      <c r="GX24" s="36"/>
      <c r="GY24" s="36"/>
      <c r="GZ24" s="27"/>
      <c r="HA24" s="27"/>
      <c r="HB24" s="27"/>
      <c r="HC24" s="27"/>
      <c r="HD24" s="27"/>
      <c r="HE24" s="27"/>
      <c r="HF24" s="27"/>
      <c r="HG24" s="27"/>
      <c r="HH24" s="27">
        <v>598.13</v>
      </c>
      <c r="HI24" s="27"/>
      <c r="HJ24" s="27"/>
      <c r="HK24" s="27"/>
      <c r="HL24" s="28">
        <f t="shared" si="66"/>
        <v>598.13</v>
      </c>
      <c r="HM24" s="36"/>
      <c r="HN24" s="27"/>
      <c r="HO24" s="27"/>
      <c r="HP24" s="27"/>
      <c r="HQ24" s="27"/>
      <c r="HR24" s="27"/>
      <c r="HS24" s="27"/>
      <c r="HT24" s="27"/>
      <c r="HU24" s="27"/>
      <c r="HV24" s="27"/>
      <c r="HW24" s="27"/>
      <c r="HX24" s="27"/>
      <c r="HY24" s="27"/>
      <c r="HZ24" s="27"/>
      <c r="IA24" s="33">
        <f t="shared" si="67"/>
        <v>0</v>
      </c>
      <c r="IB24" s="52"/>
      <c r="IC24" s="152"/>
      <c r="ID24" s="53"/>
      <c r="IE24" s="53"/>
      <c r="IF24" s="53"/>
      <c r="IG24" s="53"/>
      <c r="IH24" s="53">
        <v>2212.8599999999997</v>
      </c>
      <c r="II24" s="53"/>
      <c r="IJ24" s="53">
        <v>2757.4900000000002</v>
      </c>
      <c r="IK24" s="53"/>
      <c r="IL24" s="53"/>
      <c r="IM24" s="53"/>
      <c r="IN24" s="53"/>
      <c r="IO24" s="53"/>
      <c r="IP24" s="61">
        <f t="shared" si="68"/>
        <v>4970.3500000000004</v>
      </c>
      <c r="IQ24" s="36"/>
      <c r="IR24" s="36"/>
      <c r="IS24" s="53"/>
      <c r="IT24" s="27"/>
      <c r="IU24" s="53"/>
      <c r="IV24" s="27"/>
      <c r="IW24" s="27"/>
      <c r="IX24" s="27"/>
      <c r="IY24" s="27">
        <v>2173.63</v>
      </c>
      <c r="IZ24" s="27"/>
      <c r="JA24" s="27">
        <v>1588.89</v>
      </c>
      <c r="JB24" s="27"/>
      <c r="JC24" s="27"/>
      <c r="JD24" s="27"/>
      <c r="JE24" s="33">
        <f t="shared" si="69"/>
        <v>3762.5200000000004</v>
      </c>
      <c r="JF24" s="2667"/>
      <c r="JH24" s="52">
        <v>3677.75</v>
      </c>
      <c r="JI24" s="152">
        <v>5653.2499999999991</v>
      </c>
      <c r="JJ24" s="53"/>
      <c r="JK24" s="53">
        <f t="shared" si="70"/>
        <v>9331</v>
      </c>
      <c r="JL24" s="33"/>
      <c r="JM24" s="2669"/>
      <c r="JN24" s="69"/>
      <c r="JO24" s="70"/>
      <c r="JP24" s="70"/>
      <c r="JQ24" s="70"/>
      <c r="JR24" s="70">
        <v>1</v>
      </c>
      <c r="JS24" s="70"/>
      <c r="JT24" s="70"/>
      <c r="JU24" s="71"/>
      <c r="JV24" s="69"/>
      <c r="JW24" s="70"/>
      <c r="JX24" s="70"/>
      <c r="JY24" s="70">
        <v>0.39100000000000001</v>
      </c>
      <c r="JZ24" s="70">
        <v>0.222</v>
      </c>
      <c r="KA24" s="70">
        <v>0.38700000000000001</v>
      </c>
      <c r="KB24" s="70"/>
      <c r="KC24" s="71"/>
      <c r="KD24" s="69"/>
      <c r="KE24" s="70"/>
      <c r="KF24" s="70"/>
      <c r="KG24" s="70"/>
      <c r="KH24" s="70"/>
      <c r="KI24" s="70"/>
      <c r="KJ24" s="70"/>
      <c r="KK24" s="70"/>
      <c r="KL24" s="33"/>
      <c r="KM24" s="2669"/>
      <c r="KN24" s="36">
        <v>6904</v>
      </c>
      <c r="KO24" s="53">
        <v>0.8</v>
      </c>
      <c r="KP24" s="53">
        <v>3.86</v>
      </c>
      <c r="KQ24" s="53">
        <v>6.71</v>
      </c>
      <c r="KR24" s="54">
        <v>12.13</v>
      </c>
      <c r="KS24" s="4">
        <v>7000</v>
      </c>
      <c r="KT24" s="64">
        <v>1.6299999999999997</v>
      </c>
      <c r="KU24" s="64">
        <v>4.62</v>
      </c>
      <c r="KV24" s="64">
        <v>5.99</v>
      </c>
      <c r="KW24" s="482">
        <v>10.52</v>
      </c>
      <c r="KX24" s="36"/>
      <c r="KY24" s="53"/>
      <c r="KZ24" s="53"/>
      <c r="LA24" s="53"/>
      <c r="LB24" s="53"/>
      <c r="LC24" s="33"/>
      <c r="LD24" s="2669"/>
      <c r="LF24" s="4">
        <f t="shared" si="71"/>
        <v>7550.35</v>
      </c>
      <c r="LG24" s="27">
        <f t="shared" si="72"/>
        <v>7351.01</v>
      </c>
      <c r="LH24" s="27">
        <f t="shared" si="73"/>
        <v>0</v>
      </c>
      <c r="LI24" s="28">
        <f t="shared" si="74"/>
        <v>14901.36</v>
      </c>
      <c r="LJ24" s="36">
        <v>2</v>
      </c>
      <c r="LK24" s="27"/>
      <c r="LL24" s="27">
        <v>4</v>
      </c>
      <c r="LM24" s="33"/>
      <c r="LN24" s="1041">
        <v>8.25</v>
      </c>
      <c r="LO24" s="486"/>
      <c r="LP24" s="2688"/>
      <c r="LQ24" s="36">
        <v>7550.35</v>
      </c>
      <c r="LR24" s="36"/>
      <c r="LS24" s="27"/>
      <c r="LT24" s="27"/>
      <c r="LU24" s="27"/>
      <c r="LV24" s="1107">
        <f t="shared" si="75"/>
        <v>7550.35</v>
      </c>
      <c r="LW24" s="36"/>
      <c r="LX24" s="36">
        <v>7351.01</v>
      </c>
      <c r="LY24" s="27"/>
      <c r="LZ24" s="27"/>
      <c r="MA24" s="33"/>
      <c r="MB24" s="28">
        <f t="shared" si="76"/>
        <v>7351.01</v>
      </c>
      <c r="MC24" s="26"/>
      <c r="MD24" s="36"/>
      <c r="ME24" s="27"/>
      <c r="MF24" s="27"/>
      <c r="MG24" s="27"/>
      <c r="MH24" s="28"/>
      <c r="MI24" s="36"/>
      <c r="MJ24" s="36"/>
      <c r="MK24" s="27"/>
      <c r="ML24" s="27"/>
      <c r="MM24" s="27"/>
      <c r="MN24" s="28"/>
      <c r="MO24" s="36"/>
      <c r="MP24" s="36"/>
      <c r="MQ24" s="27"/>
      <c r="MR24" s="27"/>
      <c r="MS24" s="27"/>
      <c r="MT24" s="33">
        <f t="shared" si="77"/>
        <v>0</v>
      </c>
      <c r="MU24" s="2688"/>
      <c r="MW24" s="26">
        <f t="shared" si="78"/>
        <v>203704.27199929353</v>
      </c>
      <c r="MX24" s="27">
        <f t="shared" si="79"/>
        <v>213432.76929571753</v>
      </c>
      <c r="MY24" s="27">
        <f t="shared" si="80"/>
        <v>20969.555608283044</v>
      </c>
      <c r="MZ24" s="28">
        <f t="shared" si="81"/>
        <v>440421.35467809113</v>
      </c>
      <c r="NA24" s="2621"/>
      <c r="NB24" s="23">
        <f t="shared" si="82"/>
        <v>184557.29805395968</v>
      </c>
      <c r="NC24" s="64">
        <f t="shared" si="83"/>
        <v>19146.973945333841</v>
      </c>
      <c r="ND24" s="60">
        <f t="shared" si="84"/>
        <v>0</v>
      </c>
      <c r="NE24" s="275">
        <f t="shared" si="4"/>
        <v>203704.27199929353</v>
      </c>
      <c r="NF24" s="26">
        <f t="shared" si="136"/>
        <v>0</v>
      </c>
      <c r="NG24" s="27">
        <f t="shared" si="137"/>
        <v>0</v>
      </c>
      <c r="NH24" s="27">
        <f t="shared" si="138"/>
        <v>0</v>
      </c>
      <c r="NI24" s="27">
        <f t="shared" si="139"/>
        <v>0</v>
      </c>
      <c r="NJ24" s="27">
        <f t="shared" si="140"/>
        <v>0</v>
      </c>
      <c r="NK24" s="33">
        <f t="shared" si="141"/>
        <v>0</v>
      </c>
      <c r="NL24" s="27">
        <f t="shared" si="142"/>
        <v>0</v>
      </c>
      <c r="NM24" s="36">
        <f t="shared" si="143"/>
        <v>0</v>
      </c>
      <c r="NN24" s="27">
        <f t="shared" si="144"/>
        <v>46668.646549276003</v>
      </c>
      <c r="NO24" s="27">
        <f t="shared" si="145"/>
        <v>0</v>
      </c>
      <c r="NP24" s="24">
        <f t="shared" si="146"/>
        <v>8756.5482322711578</v>
      </c>
      <c r="NQ24" s="24">
        <f t="shared" si="147"/>
        <v>11694.8945856876</v>
      </c>
      <c r="NR24" s="27">
        <f t="shared" si="0"/>
        <v>67120.089367234759</v>
      </c>
      <c r="NS24" s="27">
        <f t="shared" si="86"/>
        <v>0</v>
      </c>
      <c r="NT24" s="27">
        <f t="shared" si="87"/>
        <v>0</v>
      </c>
      <c r="NU24" s="27">
        <f t="shared" si="88"/>
        <v>0</v>
      </c>
      <c r="NV24" s="27">
        <f t="shared" si="89"/>
        <v>0</v>
      </c>
      <c r="NW24" s="27">
        <f t="shared" si="90"/>
        <v>0</v>
      </c>
      <c r="NX24" s="5">
        <f t="shared" si="91"/>
        <v>0</v>
      </c>
      <c r="NY24" s="27">
        <f t="shared" si="92"/>
        <v>2278.0381519076282</v>
      </c>
      <c r="NZ24" s="27">
        <f t="shared" si="93"/>
        <v>0</v>
      </c>
      <c r="OA24" s="27">
        <f t="shared" si="94"/>
        <v>30745.264759987771</v>
      </c>
      <c r="OB24" s="280"/>
      <c r="OC24" s="24">
        <f t="shared" si="95"/>
        <v>3403.7241844007053</v>
      </c>
      <c r="OD24" s="27">
        <f t="shared" si="96"/>
        <v>0</v>
      </c>
      <c r="OE24" s="28">
        <f t="shared" si="1"/>
        <v>36427.027096296108</v>
      </c>
      <c r="OF24" s="27">
        <f t="shared" si="163"/>
        <v>0</v>
      </c>
      <c r="OG24" s="27">
        <f t="shared" si="164"/>
        <v>0</v>
      </c>
      <c r="OH24" s="27">
        <f t="shared" ref="OH24:OH40" si="169">+OH23+DT24+FW24-IS24</f>
        <v>0</v>
      </c>
      <c r="OI24" s="27">
        <f t="shared" si="167"/>
        <v>0</v>
      </c>
      <c r="OJ24" s="27">
        <f t="shared" si="153"/>
        <v>0</v>
      </c>
      <c r="OK24" s="27">
        <f t="shared" si="168"/>
        <v>0</v>
      </c>
      <c r="OL24" s="24">
        <f t="shared" si="159"/>
        <v>0</v>
      </c>
      <c r="OM24" s="27">
        <f t="shared" si="154"/>
        <v>0</v>
      </c>
      <c r="ON24" s="24">
        <f t="shared" si="155"/>
        <v>108328.41851377799</v>
      </c>
      <c r="OO24" s="27">
        <f t="shared" si="156"/>
        <v>0</v>
      </c>
      <c r="OP24" s="27">
        <f t="shared" si="157"/>
        <v>1557.2343184086806</v>
      </c>
      <c r="OQ24" s="27">
        <f t="shared" si="158"/>
        <v>0</v>
      </c>
      <c r="OR24" s="28">
        <f t="shared" si="2"/>
        <v>109885.65283218666</v>
      </c>
      <c r="OS24" s="36"/>
      <c r="OT24" s="27"/>
      <c r="OU24" s="27"/>
      <c r="OV24" s="27"/>
      <c r="OW24" s="27"/>
      <c r="OX24" s="27"/>
      <c r="OY24" s="28">
        <f t="shared" si="98"/>
        <v>0</v>
      </c>
      <c r="OZ24" s="36">
        <f t="shared" si="99"/>
        <v>0</v>
      </c>
      <c r="PA24" s="27">
        <f t="shared" si="100"/>
        <v>0</v>
      </c>
      <c r="PB24" s="27">
        <f t="shared" si="101"/>
        <v>0</v>
      </c>
      <c r="PC24" s="27">
        <f t="shared" si="102"/>
        <v>0</v>
      </c>
      <c r="PD24" s="27">
        <f t="shared" si="103"/>
        <v>0</v>
      </c>
      <c r="PE24" s="27">
        <f t="shared" si="104"/>
        <v>0</v>
      </c>
      <c r="PF24" s="33">
        <f t="shared" si="3"/>
        <v>0</v>
      </c>
      <c r="PG24" s="2621"/>
      <c r="PI24" s="2"/>
      <c r="PJ24" s="3"/>
      <c r="PK24" s="3"/>
      <c r="PL24" s="3">
        <f t="shared" si="148"/>
        <v>0</v>
      </c>
      <c r="PM24" s="3">
        <f t="shared" si="149"/>
        <v>419.12</v>
      </c>
      <c r="PN24" s="11">
        <f t="shared" si="150"/>
        <v>20969.555608283044</v>
      </c>
      <c r="PO24" s="15"/>
      <c r="PP24" s="2615"/>
      <c r="PR24" s="4"/>
      <c r="PS24" s="9"/>
      <c r="PT24" s="9"/>
      <c r="PU24" s="9"/>
      <c r="PV24" s="1112"/>
      <c r="PW24" s="9"/>
      <c r="PX24" s="8">
        <f t="shared" si="105"/>
        <v>0</v>
      </c>
      <c r="PY24" s="5">
        <f t="shared" si="106"/>
        <v>0</v>
      </c>
      <c r="PZ24" s="5"/>
      <c r="QA24" s="5"/>
      <c r="QB24" s="5"/>
      <c r="QC24" s="5"/>
      <c r="QD24" s="5"/>
      <c r="QE24" s="12">
        <f t="shared" si="107"/>
        <v>29749.381073161156</v>
      </c>
      <c r="QF24" s="420">
        <f t="shared" si="108"/>
        <v>410671.97360492998</v>
      </c>
      <c r="QG24" s="1106">
        <f t="shared" si="109"/>
        <v>0</v>
      </c>
      <c r="QH24" s="484">
        <f t="shared" si="110"/>
        <v>5505.3678056100007</v>
      </c>
      <c r="QI24" s="12"/>
      <c r="QJ24" s="2615"/>
      <c r="QL24" s="139">
        <f t="shared" si="111"/>
        <v>0</v>
      </c>
      <c r="QM24" s="139" t="str">
        <f t="shared" si="112"/>
        <v/>
      </c>
      <c r="QO24" s="139">
        <f t="shared" si="113"/>
        <v>0</v>
      </c>
      <c r="QP24" s="139">
        <f t="shared" si="114"/>
        <v>0</v>
      </c>
      <c r="QR24" s="1">
        <f t="shared" si="115"/>
        <v>0</v>
      </c>
      <c r="QS24" s="1">
        <f t="shared" si="116"/>
        <v>0</v>
      </c>
      <c r="QT24" s="1">
        <f t="shared" si="117"/>
        <v>0</v>
      </c>
      <c r="QU24" s="1">
        <f t="shared" si="118"/>
        <v>0</v>
      </c>
      <c r="QV24" s="1">
        <f t="shared" si="119"/>
        <v>0</v>
      </c>
      <c r="QW24" s="1">
        <f t="shared" si="120"/>
        <v>0</v>
      </c>
      <c r="QY24" s="1">
        <f t="shared" si="121"/>
        <v>0</v>
      </c>
      <c r="QZ24" s="1">
        <f t="shared" si="122"/>
        <v>0</v>
      </c>
      <c r="RA24" s="1">
        <f t="shared" si="123"/>
        <v>0</v>
      </c>
      <c r="RB24" s="1">
        <f t="shared" si="124"/>
        <v>0</v>
      </c>
      <c r="RC24" s="1">
        <f t="shared" si="125"/>
        <v>0</v>
      </c>
      <c r="RD24" s="1">
        <f t="shared" si="126"/>
        <v>0</v>
      </c>
      <c r="RG24" s="1">
        <v>15</v>
      </c>
      <c r="RH24" s="1">
        <f t="shared" si="160"/>
        <v>-19022.604790282901</v>
      </c>
      <c r="RI24" s="1">
        <f t="shared" si="161"/>
        <v>17577.671780483717</v>
      </c>
      <c r="RJ24" s="1">
        <f t="shared" si="162"/>
        <v>13404.263703387322</v>
      </c>
      <c r="RK24" s="89">
        <f t="shared" si="5"/>
        <v>11959.330693588137</v>
      </c>
      <c r="RL24" s="1033">
        <v>15</v>
      </c>
      <c r="RM24" s="1098">
        <f t="shared" si="166"/>
        <v>0</v>
      </c>
      <c r="RN24" s="1098">
        <f t="shared" si="128"/>
        <v>0</v>
      </c>
      <c r="RO24" s="1097">
        <f t="shared" si="129"/>
        <v>0</v>
      </c>
      <c r="RP24" s="1097">
        <f t="shared" si="151"/>
        <v>5764.4500000000007</v>
      </c>
      <c r="RQ24" s="1050"/>
      <c r="RR24" s="1050" t="s">
        <v>697</v>
      </c>
      <c r="RS24" s="1048"/>
      <c r="RU24" s="421">
        <v>15</v>
      </c>
      <c r="RV24" s="1095">
        <f t="shared" si="130"/>
        <v>9330.9999999999982</v>
      </c>
      <c r="RW24" s="1046" t="s">
        <v>698</v>
      </c>
      <c r="RY24" s="1090"/>
      <c r="RZ24" s="1090">
        <f t="shared" si="131"/>
        <v>0</v>
      </c>
      <c r="SA24" s="1090"/>
      <c r="SB24" s="1090">
        <f t="shared" si="132"/>
        <v>0</v>
      </c>
      <c r="SD24" s="1">
        <v>15</v>
      </c>
      <c r="SE24" s="1">
        <f t="shared" si="133"/>
        <v>0</v>
      </c>
    </row>
    <row r="25" spans="1:500" s="1" customFormat="1">
      <c r="B25" s="471">
        <v>16</v>
      </c>
      <c r="C25" s="4">
        <f t="shared" si="6"/>
        <v>162955</v>
      </c>
      <c r="D25" s="64">
        <f t="shared" si="134"/>
        <v>8949.2300000000014</v>
      </c>
      <c r="E25" s="61">
        <f t="shared" si="7"/>
        <v>18.208829139490209</v>
      </c>
      <c r="F25" s="870"/>
      <c r="G25" s="870"/>
      <c r="H25" s="52"/>
      <c r="I25" s="61"/>
      <c r="J25" s="52"/>
      <c r="K25" s="54"/>
      <c r="L25" s="52"/>
      <c r="M25" s="61"/>
      <c r="N25" s="2629"/>
      <c r="O25" s="4">
        <f t="shared" si="8"/>
        <v>90090</v>
      </c>
      <c r="P25" s="1225">
        <f t="shared" si="9"/>
        <v>5743.1200000000008</v>
      </c>
      <c r="Q25" s="64">
        <f t="shared" si="10"/>
        <v>15.686595439412722</v>
      </c>
      <c r="R25" s="33"/>
      <c r="S25" s="26">
        <f t="shared" si="11"/>
        <v>30305</v>
      </c>
      <c r="T25" s="27">
        <f t="shared" si="12"/>
        <v>1106.1100000000001</v>
      </c>
      <c r="U25" s="53">
        <f t="shared" si="13"/>
        <v>27.397817576913685</v>
      </c>
      <c r="V25" s="28"/>
      <c r="W25" s="26">
        <f t="shared" si="14"/>
        <v>42560</v>
      </c>
      <c r="X25" s="5">
        <f t="shared" si="15"/>
        <v>2100</v>
      </c>
      <c r="Y25" s="53">
        <f t="shared" si="16"/>
        <v>20.266666666666666</v>
      </c>
      <c r="Z25" s="33"/>
      <c r="AA25" s="26">
        <f t="shared" si="17"/>
        <v>0</v>
      </c>
      <c r="AB25" s="27">
        <f t="shared" si="18"/>
        <v>0</v>
      </c>
      <c r="AC25" s="53">
        <f t="shared" si="19"/>
        <v>0</v>
      </c>
      <c r="AD25" s="28"/>
      <c r="AE25" s="36"/>
      <c r="AF25" s="36"/>
      <c r="AG25" s="53">
        <f t="shared" si="20"/>
        <v>0</v>
      </c>
      <c r="AH25" s="28"/>
      <c r="AI25" s="26"/>
      <c r="AJ25" s="27"/>
      <c r="AK25" s="53">
        <f t="shared" si="21"/>
        <v>0</v>
      </c>
      <c r="AL25" s="28"/>
      <c r="AM25" s="2629"/>
      <c r="AN25" s="9"/>
      <c r="AO25" s="5"/>
      <c r="AP25" s="61">
        <f t="shared" si="22"/>
        <v>0</v>
      </c>
      <c r="AQ25" s="36"/>
      <c r="AR25" s="53"/>
      <c r="AS25" s="61">
        <f t="shared" si="23"/>
        <v>0</v>
      </c>
      <c r="AT25" s="36">
        <v>0</v>
      </c>
      <c r="AU25" s="27"/>
      <c r="AV25" s="61">
        <f t="shared" si="24"/>
        <v>0</v>
      </c>
      <c r="AW25" s="36">
        <v>48594</v>
      </c>
      <c r="AX25" s="27">
        <v>4348.0400000000009</v>
      </c>
      <c r="AY25" s="61">
        <f t="shared" si="25"/>
        <v>11.176070137349241</v>
      </c>
      <c r="AZ25" s="36"/>
      <c r="BA25" s="27"/>
      <c r="BB25" s="61">
        <f t="shared" si="26"/>
        <v>0</v>
      </c>
      <c r="BC25" s="36">
        <v>41496</v>
      </c>
      <c r="BD25" s="27">
        <v>1395.08</v>
      </c>
      <c r="BE25" s="61">
        <f t="shared" si="27"/>
        <v>29.744530779596872</v>
      </c>
      <c r="BF25" s="36"/>
      <c r="BG25" s="53"/>
      <c r="BH25" s="61">
        <f t="shared" si="28"/>
        <v>0</v>
      </c>
      <c r="BI25" s="36">
        <v>0</v>
      </c>
      <c r="BJ25" s="53">
        <v>0</v>
      </c>
      <c r="BK25" s="61">
        <f t="shared" si="29"/>
        <v>0</v>
      </c>
      <c r="BL25" s="52">
        <v>30305</v>
      </c>
      <c r="BM25" s="53">
        <v>1106.1100000000001</v>
      </c>
      <c r="BN25" s="482">
        <f t="shared" si="30"/>
        <v>27.397817576913685</v>
      </c>
      <c r="BO25" s="9">
        <v>0</v>
      </c>
      <c r="BP25" s="64">
        <v>0</v>
      </c>
      <c r="BQ25" s="482">
        <f t="shared" si="31"/>
        <v>0</v>
      </c>
      <c r="BR25" s="9"/>
      <c r="BS25" s="64"/>
      <c r="BT25" s="482">
        <f t="shared" si="32"/>
        <v>0</v>
      </c>
      <c r="BU25" s="9">
        <v>42560</v>
      </c>
      <c r="BV25" s="27">
        <v>2100</v>
      </c>
      <c r="BW25" s="15">
        <f t="shared" si="33"/>
        <v>20.266666666666666</v>
      </c>
      <c r="BX25" s="26"/>
      <c r="BY25" s="5"/>
      <c r="BZ25" s="482">
        <f t="shared" si="34"/>
        <v>0</v>
      </c>
      <c r="CA25" s="9"/>
      <c r="CB25" s="481"/>
      <c r="CC25" s="482">
        <f t="shared" si="35"/>
        <v>0</v>
      </c>
      <c r="CD25" s="4"/>
      <c r="CE25" s="5"/>
      <c r="CF25" s="28">
        <f t="shared" si="36"/>
        <v>0</v>
      </c>
      <c r="CG25" s="150"/>
      <c r="CH25" s="1108">
        <v>0</v>
      </c>
      <c r="CI25" s="5">
        <v>0</v>
      </c>
      <c r="CJ25" s="5">
        <v>0</v>
      </c>
      <c r="CK25" s="5">
        <v>8559</v>
      </c>
      <c r="CL25" s="5"/>
      <c r="CM25" s="5">
        <f t="shared" si="135"/>
        <v>8559</v>
      </c>
      <c r="CN25" s="33"/>
      <c r="CO25" s="366"/>
      <c r="CQ25" s="4">
        <f t="shared" si="37"/>
        <v>0</v>
      </c>
      <c r="CR25" s="9">
        <f t="shared" si="38"/>
        <v>0</v>
      </c>
      <c r="CS25" s="5">
        <f t="shared" si="39"/>
        <v>0</v>
      </c>
      <c r="CT25" s="5">
        <f t="shared" si="40"/>
        <v>0</v>
      </c>
      <c r="CU25" s="5">
        <f t="shared" si="41"/>
        <v>0</v>
      </c>
      <c r="CV25" s="5">
        <f t="shared" si="42"/>
        <v>0</v>
      </c>
      <c r="CW25" s="5">
        <f t="shared" si="43"/>
        <v>0</v>
      </c>
      <c r="CX25" s="5">
        <f t="shared" si="44"/>
        <v>0</v>
      </c>
      <c r="CY25" s="5">
        <f t="shared" si="45"/>
        <v>6414.1500000000005</v>
      </c>
      <c r="CZ25" s="5">
        <f t="shared" si="46"/>
        <v>0</v>
      </c>
      <c r="DA25" s="5">
        <f t="shared" si="47"/>
        <v>2535.08</v>
      </c>
      <c r="DB25" s="12">
        <f t="shared" si="48"/>
        <v>0</v>
      </c>
      <c r="DC25" s="310">
        <f t="shared" si="49"/>
        <v>8949.23</v>
      </c>
      <c r="DD25" s="2695"/>
      <c r="DE25" s="9"/>
      <c r="DF25" s="9"/>
      <c r="DG25" s="5"/>
      <c r="DH25" s="5"/>
      <c r="DI25" s="5"/>
      <c r="DJ25" s="5"/>
      <c r="DK25" s="5"/>
      <c r="DL25" s="5"/>
      <c r="DM25" s="5">
        <v>4348.0400000000009</v>
      </c>
      <c r="DN25" s="5"/>
      <c r="DO25" s="5"/>
      <c r="DP25" s="12"/>
      <c r="DQ25" s="28">
        <f t="shared" si="50"/>
        <v>4348.0400000000009</v>
      </c>
      <c r="DR25" s="36"/>
      <c r="DS25" s="9"/>
      <c r="DT25" s="5"/>
      <c r="DU25" s="5"/>
      <c r="DV25" s="5"/>
      <c r="DW25" s="5"/>
      <c r="DX25" s="5"/>
      <c r="DY25" s="5"/>
      <c r="DZ25" s="5">
        <v>1106.1099999999999</v>
      </c>
      <c r="EA25" s="27"/>
      <c r="EB25" s="27">
        <v>1395.08</v>
      </c>
      <c r="EC25" s="33"/>
      <c r="ED25" s="28">
        <f t="shared" si="51"/>
        <v>2501.1899999999996</v>
      </c>
      <c r="EE25" s="9"/>
      <c r="EF25" s="36"/>
      <c r="EG25" s="5"/>
      <c r="EH25" s="27"/>
      <c r="EI25" s="27"/>
      <c r="EJ25" s="27"/>
      <c r="EK25" s="27"/>
      <c r="EL25" s="27"/>
      <c r="EM25" s="27">
        <v>960</v>
      </c>
      <c r="EN25" s="27"/>
      <c r="EO25" s="27">
        <v>1140</v>
      </c>
      <c r="EP25" s="33"/>
      <c r="EQ25" s="28">
        <f t="shared" si="52"/>
        <v>2100</v>
      </c>
      <c r="ER25" s="36"/>
      <c r="ES25" s="27"/>
      <c r="ET25" s="27"/>
      <c r="EU25" s="27"/>
      <c r="EV25" s="27"/>
      <c r="EW25" s="27"/>
      <c r="EX25" s="33">
        <f t="shared" si="53"/>
        <v>0</v>
      </c>
      <c r="EY25" s="2685"/>
      <c r="FA25" s="4">
        <f t="shared" si="54"/>
        <v>0</v>
      </c>
      <c r="FB25" s="5">
        <f t="shared" si="55"/>
        <v>0</v>
      </c>
      <c r="FC25" s="5">
        <f t="shared" si="56"/>
        <v>0</v>
      </c>
      <c r="FD25" s="12">
        <f t="shared" si="57"/>
        <v>0</v>
      </c>
      <c r="FE25" s="33"/>
      <c r="FF25" s="2674"/>
      <c r="FG25" s="9"/>
      <c r="FH25" s="5"/>
      <c r="FI25" s="5"/>
      <c r="FJ25" s="5"/>
      <c r="FK25" s="5"/>
      <c r="FL25" s="27"/>
      <c r="FM25" s="28">
        <f t="shared" si="58"/>
        <v>0</v>
      </c>
      <c r="FN25" s="36"/>
      <c r="FO25" s="27"/>
      <c r="FP25" s="27"/>
      <c r="FQ25" s="27"/>
      <c r="FR25" s="27"/>
      <c r="FS25" s="27"/>
      <c r="FT25" s="28">
        <f t="shared" si="59"/>
        <v>0</v>
      </c>
      <c r="FU25" s="36"/>
      <c r="FV25" s="36"/>
      <c r="FW25" s="27"/>
      <c r="FX25" s="27"/>
      <c r="FY25" s="27"/>
      <c r="FZ25" s="27"/>
      <c r="GA25" s="27"/>
      <c r="GB25" s="27"/>
      <c r="GC25" s="27"/>
      <c r="GD25" s="27"/>
      <c r="GE25" s="27"/>
      <c r="GF25" s="33"/>
      <c r="GG25" s="33">
        <f t="shared" si="60"/>
        <v>0</v>
      </c>
      <c r="GH25" s="2674"/>
      <c r="GJ25" s="4">
        <f t="shared" si="61"/>
        <v>3330.3599999999997</v>
      </c>
      <c r="GK25" s="64">
        <f t="shared" si="62"/>
        <v>5311.1299999999992</v>
      </c>
      <c r="GL25" s="53">
        <f t="shared" si="63"/>
        <v>4571.7299999999996</v>
      </c>
      <c r="GM25" s="53">
        <f t="shared" si="64"/>
        <v>13213.219999999998</v>
      </c>
      <c r="GN25" s="141"/>
      <c r="GO25" s="141"/>
      <c r="GP25" s="33"/>
      <c r="GQ25" s="2667"/>
      <c r="GR25" s="152">
        <v>6425.329999999999</v>
      </c>
      <c r="GS25" s="27"/>
      <c r="GT25" s="27">
        <v>3483.3300000000004</v>
      </c>
      <c r="GU25" s="27">
        <v>3304.56</v>
      </c>
      <c r="GV25" s="33">
        <f t="shared" si="65"/>
        <v>13213.22</v>
      </c>
      <c r="GW25" s="2667"/>
      <c r="GX25" s="26"/>
      <c r="GY25" s="27"/>
      <c r="GZ25" s="64"/>
      <c r="HA25" s="27"/>
      <c r="HB25" s="27"/>
      <c r="HC25" s="27"/>
      <c r="HD25" s="27"/>
      <c r="HE25" s="27"/>
      <c r="HF25" s="27">
        <v>614.20000000000005</v>
      </c>
      <c r="HG25" s="27"/>
      <c r="HH25" s="27">
        <v>2716.16</v>
      </c>
      <c r="HI25" s="27"/>
      <c r="HJ25" s="27"/>
      <c r="HK25" s="27"/>
      <c r="HL25" s="28">
        <f t="shared" si="66"/>
        <v>3330.3599999999997</v>
      </c>
      <c r="HM25" s="36"/>
      <c r="HN25" s="27"/>
      <c r="HO25" s="27"/>
      <c r="HP25" s="27"/>
      <c r="HQ25" s="27"/>
      <c r="HR25" s="27"/>
      <c r="HS25" s="27"/>
      <c r="HT25" s="27"/>
      <c r="HU25" s="27"/>
      <c r="HV25" s="27"/>
      <c r="HW25" s="27"/>
      <c r="HX25" s="27"/>
      <c r="HY25" s="27"/>
      <c r="HZ25" s="27"/>
      <c r="IA25" s="33">
        <f t="shared" si="67"/>
        <v>0</v>
      </c>
      <c r="IB25" s="52"/>
      <c r="IC25" s="152"/>
      <c r="ID25" s="53"/>
      <c r="IE25" s="53"/>
      <c r="IF25" s="53"/>
      <c r="IG25" s="53"/>
      <c r="IH25" s="53">
        <v>1131.4299999999998</v>
      </c>
      <c r="II25" s="53"/>
      <c r="IJ25" s="53">
        <v>4179.7</v>
      </c>
      <c r="IK25" s="53"/>
      <c r="IL25" s="53"/>
      <c r="IM25" s="53"/>
      <c r="IN25" s="53"/>
      <c r="IO25" s="53"/>
      <c r="IP25" s="61">
        <f t="shared" si="68"/>
        <v>5311.1299999999992</v>
      </c>
      <c r="IQ25" s="36"/>
      <c r="IR25" s="36"/>
      <c r="IS25" s="27"/>
      <c r="IT25" s="27"/>
      <c r="IU25" s="53"/>
      <c r="IV25" s="27"/>
      <c r="IW25" s="27"/>
      <c r="IX25" s="27"/>
      <c r="IY25" s="27">
        <v>2591.17</v>
      </c>
      <c r="IZ25" s="27"/>
      <c r="JA25" s="27">
        <v>1980.56</v>
      </c>
      <c r="JB25" s="27"/>
      <c r="JC25" s="27"/>
      <c r="JD25" s="27"/>
      <c r="JE25" s="33">
        <f t="shared" si="69"/>
        <v>4571.7299999999996</v>
      </c>
      <c r="JF25" s="2667"/>
      <c r="JH25" s="52">
        <v>5452.22</v>
      </c>
      <c r="JI25" s="152">
        <v>7761</v>
      </c>
      <c r="JJ25" s="53"/>
      <c r="JK25" s="53">
        <f t="shared" si="70"/>
        <v>13213.220000000001</v>
      </c>
      <c r="JL25" s="33"/>
      <c r="JM25" s="2669"/>
      <c r="JN25" s="69"/>
      <c r="JO25" s="70"/>
      <c r="JP25" s="70"/>
      <c r="JQ25" s="70"/>
      <c r="JR25" s="70">
        <v>0.78852895351856656</v>
      </c>
      <c r="JS25" s="70">
        <v>0.21147104648143339</v>
      </c>
      <c r="JT25" s="70"/>
      <c r="JU25" s="71"/>
      <c r="JV25" s="69"/>
      <c r="JW25" s="70"/>
      <c r="JX25" s="70"/>
      <c r="JY25" s="70">
        <v>0.13465828377492978</v>
      </c>
      <c r="JZ25" s="70">
        <v>0.26017140732981192</v>
      </c>
      <c r="KA25" s="70">
        <v>0.60517030889525836</v>
      </c>
      <c r="KB25" s="70"/>
      <c r="KC25" s="71"/>
      <c r="KD25" s="69"/>
      <c r="KE25" s="70"/>
      <c r="KF25" s="70"/>
      <c r="KG25" s="70"/>
      <c r="KH25" s="70"/>
      <c r="KI25" s="70"/>
      <c r="KJ25" s="70"/>
      <c r="KK25" s="70"/>
      <c r="KL25" s="33"/>
      <c r="KM25" s="2669"/>
      <c r="KN25" s="36">
        <v>6911</v>
      </c>
      <c r="KO25" s="53">
        <v>0.91</v>
      </c>
      <c r="KP25" s="53">
        <v>4.0599999999999996</v>
      </c>
      <c r="KQ25" s="53">
        <v>6.85</v>
      </c>
      <c r="KR25" s="54">
        <v>10.94</v>
      </c>
      <c r="KS25" s="4">
        <v>6940.7238211879976</v>
      </c>
      <c r="KT25" s="64">
        <v>1.455505205143907</v>
      </c>
      <c r="KU25" s="64">
        <v>4.8409920391916712</v>
      </c>
      <c r="KV25" s="64">
        <v>5.9195468462951624</v>
      </c>
      <c r="KW25" s="482">
        <v>10.802804654011021</v>
      </c>
      <c r="KX25" s="36"/>
      <c r="KY25" s="53"/>
      <c r="KZ25" s="53"/>
      <c r="LA25" s="53"/>
      <c r="LB25" s="53"/>
      <c r="LC25" s="33"/>
      <c r="LD25" s="2669"/>
      <c r="LF25" s="4">
        <f t="shared" si="71"/>
        <v>10420.216</v>
      </c>
      <c r="LG25" s="27">
        <f t="shared" si="72"/>
        <v>4529.5139999999992</v>
      </c>
      <c r="LH25" s="27">
        <f t="shared" si="73"/>
        <v>0</v>
      </c>
      <c r="LI25" s="28">
        <f t="shared" si="74"/>
        <v>14949.73</v>
      </c>
      <c r="LJ25" s="36">
        <v>2</v>
      </c>
      <c r="LK25" s="27">
        <v>1</v>
      </c>
      <c r="LL25" s="27">
        <v>3</v>
      </c>
      <c r="LM25" s="33"/>
      <c r="LN25" s="1041">
        <v>8.17</v>
      </c>
      <c r="LO25" s="486"/>
      <c r="LP25" s="2688"/>
      <c r="LQ25" s="36">
        <v>7400.54</v>
      </c>
      <c r="LR25" s="36"/>
      <c r="LS25" s="27"/>
      <c r="LT25" s="27"/>
      <c r="LU25" s="27"/>
      <c r="LV25" s="1107">
        <f t="shared" si="75"/>
        <v>7400.54</v>
      </c>
      <c r="LW25" s="36">
        <v>3019.6759999999999</v>
      </c>
      <c r="LX25" s="36">
        <v>4529.5139999999992</v>
      </c>
      <c r="LY25" s="27"/>
      <c r="LZ25" s="27"/>
      <c r="MA25" s="33"/>
      <c r="MB25" s="28">
        <f t="shared" si="76"/>
        <v>7549.1899999999987</v>
      </c>
      <c r="MC25" s="26"/>
      <c r="MD25" s="36"/>
      <c r="ME25" s="27"/>
      <c r="MF25" s="27"/>
      <c r="MG25" s="27"/>
      <c r="MH25" s="28"/>
      <c r="MI25" s="36"/>
      <c r="MJ25" s="36"/>
      <c r="MK25" s="27"/>
      <c r="ML25" s="27"/>
      <c r="MM25" s="27"/>
      <c r="MN25" s="28"/>
      <c r="MO25" s="36"/>
      <c r="MP25" s="36"/>
      <c r="MQ25" s="27"/>
      <c r="MR25" s="27"/>
      <c r="MS25" s="27"/>
      <c r="MT25" s="33">
        <f t="shared" si="77"/>
        <v>0</v>
      </c>
      <c r="MU25" s="2688"/>
      <c r="MW25" s="26">
        <f t="shared" si="78"/>
        <v>201967.76199929352</v>
      </c>
      <c r="MX25" s="27">
        <f t="shared" si="79"/>
        <v>209168.77929571754</v>
      </c>
      <c r="MY25" s="27">
        <f t="shared" si="80"/>
        <v>20969.555608283044</v>
      </c>
      <c r="MZ25" s="28">
        <f t="shared" si="81"/>
        <v>440385.11467809114</v>
      </c>
      <c r="NA25" s="2621"/>
      <c r="NB25" s="23">
        <f t="shared" si="82"/>
        <v>179589.30205395969</v>
      </c>
      <c r="NC25" s="64">
        <f t="shared" si="83"/>
        <v>22378.459945333841</v>
      </c>
      <c r="ND25" s="60">
        <f t="shared" si="84"/>
        <v>0</v>
      </c>
      <c r="NE25" s="275">
        <f t="shared" si="4"/>
        <v>201967.76199929352</v>
      </c>
      <c r="NF25" s="26">
        <f t="shared" si="136"/>
        <v>0</v>
      </c>
      <c r="NG25" s="27">
        <f t="shared" si="137"/>
        <v>0</v>
      </c>
      <c r="NH25" s="27">
        <f t="shared" si="138"/>
        <v>0</v>
      </c>
      <c r="NI25" s="27">
        <f t="shared" si="139"/>
        <v>0</v>
      </c>
      <c r="NJ25" s="27">
        <f t="shared" si="140"/>
        <v>0</v>
      </c>
      <c r="NK25" s="33">
        <f t="shared" si="141"/>
        <v>0</v>
      </c>
      <c r="NL25" s="27">
        <f t="shared" si="142"/>
        <v>0</v>
      </c>
      <c r="NM25" s="36">
        <f t="shared" si="143"/>
        <v>0</v>
      </c>
      <c r="NN25" s="27">
        <f t="shared" si="144"/>
        <v>47014.446549276006</v>
      </c>
      <c r="NO25" s="27">
        <f t="shared" si="145"/>
        <v>0</v>
      </c>
      <c r="NP25" s="24">
        <f t="shared" si="146"/>
        <v>8756.5482322711578</v>
      </c>
      <c r="NQ25" s="24">
        <f t="shared" si="147"/>
        <v>10118.7345856876</v>
      </c>
      <c r="NR25" s="27">
        <f t="shared" si="0"/>
        <v>65889.729367234773</v>
      </c>
      <c r="NS25" s="27">
        <f t="shared" si="86"/>
        <v>0</v>
      </c>
      <c r="NT25" s="27">
        <f t="shared" si="87"/>
        <v>0</v>
      </c>
      <c r="NU25" s="27">
        <f t="shared" si="88"/>
        <v>0</v>
      </c>
      <c r="NV25" s="27">
        <f t="shared" si="89"/>
        <v>0</v>
      </c>
      <c r="NW25" s="27">
        <f t="shared" si="90"/>
        <v>0</v>
      </c>
      <c r="NX25" s="5">
        <f t="shared" si="91"/>
        <v>0</v>
      </c>
      <c r="NY25" s="27">
        <f t="shared" si="92"/>
        <v>1146.6081519076283</v>
      </c>
      <c r="NZ25" s="27">
        <f t="shared" si="93"/>
        <v>0</v>
      </c>
      <c r="OA25" s="27">
        <f t="shared" si="94"/>
        <v>30913.604759987775</v>
      </c>
      <c r="OB25" s="280"/>
      <c r="OC25" s="24">
        <f t="shared" si="95"/>
        <v>3403.7241844007053</v>
      </c>
      <c r="OD25" s="27">
        <f t="shared" si="96"/>
        <v>0</v>
      </c>
      <c r="OE25" s="28">
        <f t="shared" si="1"/>
        <v>35463.937096296111</v>
      </c>
      <c r="OF25" s="27">
        <f t="shared" si="163"/>
        <v>0</v>
      </c>
      <c r="OG25" s="27">
        <f t="shared" si="164"/>
        <v>0</v>
      </c>
      <c r="OH25" s="27">
        <f t="shared" si="169"/>
        <v>0</v>
      </c>
      <c r="OI25" s="27">
        <f t="shared" si="167"/>
        <v>0</v>
      </c>
      <c r="OJ25" s="27">
        <f t="shared" si="153"/>
        <v>0</v>
      </c>
      <c r="OK25" s="27">
        <f t="shared" si="168"/>
        <v>0</v>
      </c>
      <c r="OL25" s="24">
        <f t="shared" si="159"/>
        <v>0</v>
      </c>
      <c r="OM25" s="27">
        <f t="shared" si="154"/>
        <v>0</v>
      </c>
      <c r="ON25" s="24">
        <f t="shared" si="155"/>
        <v>106843.35851377799</v>
      </c>
      <c r="OO25" s="27">
        <f t="shared" si="156"/>
        <v>0</v>
      </c>
      <c r="OP25" s="27">
        <f t="shared" si="157"/>
        <v>971.75431840868032</v>
      </c>
      <c r="OQ25" s="27">
        <f t="shared" si="158"/>
        <v>0</v>
      </c>
      <c r="OR25" s="28">
        <f t="shared" si="2"/>
        <v>107815.11283218667</v>
      </c>
      <c r="OS25" s="36"/>
      <c r="OT25" s="27"/>
      <c r="OU25" s="27"/>
      <c r="OV25" s="27"/>
      <c r="OW25" s="27"/>
      <c r="OX25" s="27"/>
      <c r="OY25" s="28">
        <f t="shared" si="98"/>
        <v>0</v>
      </c>
      <c r="OZ25" s="36">
        <f t="shared" si="99"/>
        <v>0</v>
      </c>
      <c r="PA25" s="27">
        <f t="shared" si="100"/>
        <v>0</v>
      </c>
      <c r="PB25" s="27">
        <f t="shared" si="101"/>
        <v>0</v>
      </c>
      <c r="PC25" s="27">
        <f t="shared" si="102"/>
        <v>0</v>
      </c>
      <c r="PD25" s="27">
        <f t="shared" si="103"/>
        <v>0</v>
      </c>
      <c r="PE25" s="27">
        <f t="shared" si="104"/>
        <v>0</v>
      </c>
      <c r="PF25" s="33">
        <f t="shared" si="3"/>
        <v>0</v>
      </c>
      <c r="PG25" s="2621"/>
      <c r="PI25" s="2">
        <v>36.24</v>
      </c>
      <c r="PJ25" s="3"/>
      <c r="PK25" s="3"/>
      <c r="PL25" s="3">
        <f t="shared" si="148"/>
        <v>0</v>
      </c>
      <c r="PM25" s="3">
        <f t="shared" si="149"/>
        <v>455.36</v>
      </c>
      <c r="PN25" s="11">
        <f t="shared" si="150"/>
        <v>20969.555608283044</v>
      </c>
      <c r="PO25" s="15"/>
      <c r="PP25" s="2615"/>
      <c r="PR25" s="4"/>
      <c r="PS25" s="9"/>
      <c r="PT25" s="9"/>
      <c r="PU25" s="486"/>
      <c r="PV25" s="64"/>
      <c r="PW25" s="9"/>
      <c r="PX25" s="8">
        <f t="shared" si="105"/>
        <v>0</v>
      </c>
      <c r="PY25" s="5">
        <f t="shared" si="106"/>
        <v>36.24</v>
      </c>
      <c r="PZ25" s="5"/>
      <c r="QA25" s="5"/>
      <c r="QB25" s="5"/>
      <c r="QC25" s="5"/>
      <c r="QD25" s="5"/>
      <c r="QE25" s="12">
        <f t="shared" si="107"/>
        <v>29749.381073161156</v>
      </c>
      <c r="QF25" s="420">
        <f t="shared" si="108"/>
        <v>410635.73360492999</v>
      </c>
      <c r="QG25" s="1106">
        <f t="shared" si="109"/>
        <v>0</v>
      </c>
      <c r="QH25" s="484">
        <f t="shared" si="110"/>
        <v>5505.3678056100007</v>
      </c>
      <c r="QI25" s="12"/>
      <c r="QJ25" s="2615"/>
      <c r="QL25" s="139">
        <f t="shared" si="111"/>
        <v>0</v>
      </c>
      <c r="QM25" s="139" t="str">
        <f t="shared" si="112"/>
        <v/>
      </c>
      <c r="QO25" s="139">
        <f t="shared" si="113"/>
        <v>0</v>
      </c>
      <c r="QP25" s="139">
        <f t="shared" si="114"/>
        <v>0</v>
      </c>
      <c r="QR25" s="1">
        <f t="shared" si="115"/>
        <v>0</v>
      </c>
      <c r="QS25" s="1">
        <f t="shared" si="116"/>
        <v>0</v>
      </c>
      <c r="QT25" s="1">
        <f t="shared" si="117"/>
        <v>0</v>
      </c>
      <c r="QU25" s="1">
        <f t="shared" si="118"/>
        <v>0</v>
      </c>
      <c r="QV25" s="1">
        <f t="shared" si="119"/>
        <v>0</v>
      </c>
      <c r="QW25" s="1">
        <f t="shared" si="120"/>
        <v>0</v>
      </c>
      <c r="QY25" s="1">
        <f t="shared" si="121"/>
        <v>0</v>
      </c>
      <c r="QZ25" s="1">
        <f t="shared" si="122"/>
        <v>0</v>
      </c>
      <c r="RA25" s="1">
        <f t="shared" si="123"/>
        <v>0</v>
      </c>
      <c r="RB25" s="1">
        <f t="shared" si="124"/>
        <v>0</v>
      </c>
      <c r="RC25" s="1">
        <f t="shared" si="125"/>
        <v>0</v>
      </c>
      <c r="RD25" s="1">
        <f t="shared" si="126"/>
        <v>0</v>
      </c>
      <c r="RG25" s="1">
        <v>16</v>
      </c>
      <c r="RH25" s="1">
        <f t="shared" si="160"/>
        <v>-23990.600790282901</v>
      </c>
      <c r="RI25" s="1">
        <f t="shared" si="161"/>
        <v>20809.157780483718</v>
      </c>
      <c r="RJ25" s="1">
        <f t="shared" si="162"/>
        <v>13404.263703387322</v>
      </c>
      <c r="RK25" s="89">
        <f t="shared" si="5"/>
        <v>10222.820693588139</v>
      </c>
      <c r="RL25" s="1033">
        <v>16</v>
      </c>
      <c r="RM25" s="1098">
        <f t="shared" si="166"/>
        <v>0</v>
      </c>
      <c r="RN25" s="1098">
        <f t="shared" si="128"/>
        <v>0</v>
      </c>
      <c r="RO25" s="1097">
        <f t="shared" si="129"/>
        <v>0</v>
      </c>
      <c r="RP25" s="1097">
        <f t="shared" si="151"/>
        <v>6849.2300000000014</v>
      </c>
      <c r="RQ25" s="1046"/>
      <c r="RR25" s="1046" t="s">
        <v>699</v>
      </c>
      <c r="RS25" s="1048"/>
      <c r="RU25" s="421">
        <v>16</v>
      </c>
      <c r="RV25" s="1095">
        <f t="shared" si="130"/>
        <v>13213.22</v>
      </c>
      <c r="RW25" s="1050" t="s">
        <v>700</v>
      </c>
      <c r="RX25" s="1048"/>
      <c r="RY25" s="1090"/>
      <c r="RZ25" s="1090">
        <f t="shared" si="131"/>
        <v>0</v>
      </c>
      <c r="SA25" s="1090"/>
      <c r="SB25" s="1090">
        <f t="shared" si="132"/>
        <v>0</v>
      </c>
      <c r="SD25" s="1">
        <v>16</v>
      </c>
      <c r="SE25" s="1">
        <f t="shared" si="133"/>
        <v>0</v>
      </c>
      <c r="SF25" s="1094"/>
    </row>
    <row r="26" spans="1:500" s="1" customFormat="1" ht="13.95" customHeight="1">
      <c r="B26" s="471">
        <v>17</v>
      </c>
      <c r="C26" s="4">
        <f t="shared" si="6"/>
        <v>154539.70000000001</v>
      </c>
      <c r="D26" s="64">
        <f t="shared" si="134"/>
        <v>7600.04</v>
      </c>
      <c r="E26" s="61">
        <f t="shared" si="7"/>
        <v>20.334064031241944</v>
      </c>
      <c r="F26" s="870"/>
      <c r="G26" s="870"/>
      <c r="H26" s="52"/>
      <c r="I26" s="61"/>
      <c r="J26" s="52"/>
      <c r="K26" s="54"/>
      <c r="L26" s="52"/>
      <c r="M26" s="61"/>
      <c r="N26" s="2629"/>
      <c r="O26" s="4">
        <f t="shared" si="8"/>
        <v>89586</v>
      </c>
      <c r="P26" s="1225">
        <f t="shared" si="9"/>
        <v>4645.7</v>
      </c>
      <c r="Q26" s="64">
        <f t="shared" si="10"/>
        <v>19.283638633575134</v>
      </c>
      <c r="R26" s="33"/>
      <c r="S26" s="26">
        <f t="shared" si="11"/>
        <v>24619.7</v>
      </c>
      <c r="T26" s="27">
        <f t="shared" si="12"/>
        <v>974.33999999999992</v>
      </c>
      <c r="U26" s="53">
        <f t="shared" si="13"/>
        <v>25.268078904694462</v>
      </c>
      <c r="V26" s="28"/>
      <c r="W26" s="26">
        <f t="shared" si="14"/>
        <v>40334</v>
      </c>
      <c r="X26" s="5">
        <f t="shared" si="15"/>
        <v>1980</v>
      </c>
      <c r="Y26" s="53">
        <f t="shared" si="16"/>
        <v>20.37070707070707</v>
      </c>
      <c r="Z26" s="33"/>
      <c r="AA26" s="26">
        <f t="shared" si="17"/>
        <v>0</v>
      </c>
      <c r="AB26" s="27">
        <f t="shared" si="18"/>
        <v>0</v>
      </c>
      <c r="AC26" s="53">
        <f t="shared" si="19"/>
        <v>0</v>
      </c>
      <c r="AD26" s="28"/>
      <c r="AE26" s="36"/>
      <c r="AF26" s="36"/>
      <c r="AG26" s="53">
        <f t="shared" si="20"/>
        <v>0</v>
      </c>
      <c r="AH26" s="28"/>
      <c r="AI26" s="23"/>
      <c r="AJ26" s="27"/>
      <c r="AK26" s="53">
        <f t="shared" si="21"/>
        <v>0</v>
      </c>
      <c r="AL26" s="28"/>
      <c r="AM26" s="2629"/>
      <c r="AN26" s="9"/>
      <c r="AO26" s="5"/>
      <c r="AP26" s="61">
        <f t="shared" si="22"/>
        <v>0</v>
      </c>
      <c r="AQ26" s="36"/>
      <c r="AR26" s="53"/>
      <c r="AS26" s="61">
        <f t="shared" si="23"/>
        <v>0</v>
      </c>
      <c r="AT26" s="36">
        <v>0</v>
      </c>
      <c r="AU26" s="27"/>
      <c r="AV26" s="61">
        <f t="shared" si="24"/>
        <v>0</v>
      </c>
      <c r="AW26" s="36">
        <v>50190</v>
      </c>
      <c r="AX26" s="27">
        <v>2625.8199999999997</v>
      </c>
      <c r="AY26" s="61">
        <f t="shared" si="25"/>
        <v>19.114029141372981</v>
      </c>
      <c r="AZ26" s="36"/>
      <c r="BA26" s="27"/>
      <c r="BB26" s="61">
        <f t="shared" si="26"/>
        <v>0</v>
      </c>
      <c r="BC26" s="36">
        <v>39396</v>
      </c>
      <c r="BD26" s="27">
        <v>2019.8799999999999</v>
      </c>
      <c r="BE26" s="61">
        <f t="shared" si="27"/>
        <v>19.504128958155931</v>
      </c>
      <c r="BF26" s="36"/>
      <c r="BG26" s="53"/>
      <c r="BH26" s="61">
        <f t="shared" si="28"/>
        <v>0</v>
      </c>
      <c r="BI26" s="36">
        <v>0</v>
      </c>
      <c r="BJ26" s="53">
        <v>0</v>
      </c>
      <c r="BK26" s="61">
        <f t="shared" si="29"/>
        <v>0</v>
      </c>
      <c r="BL26" s="52">
        <v>24619.7</v>
      </c>
      <c r="BM26" s="53">
        <v>974.33999999999992</v>
      </c>
      <c r="BN26" s="482">
        <f t="shared" si="30"/>
        <v>25.268078904694462</v>
      </c>
      <c r="BO26" s="9">
        <v>0</v>
      </c>
      <c r="BP26" s="64">
        <v>0</v>
      </c>
      <c r="BQ26" s="482">
        <f t="shared" si="31"/>
        <v>0</v>
      </c>
      <c r="BR26" s="9"/>
      <c r="BS26" s="64"/>
      <c r="BT26" s="482">
        <f t="shared" si="32"/>
        <v>0</v>
      </c>
      <c r="BU26" s="9">
        <v>40334</v>
      </c>
      <c r="BV26" s="27">
        <v>1980</v>
      </c>
      <c r="BW26" s="15">
        <f t="shared" si="33"/>
        <v>20.37070707070707</v>
      </c>
      <c r="BX26" s="26"/>
      <c r="BY26" s="5"/>
      <c r="BZ26" s="482">
        <f t="shared" si="34"/>
        <v>0</v>
      </c>
      <c r="CA26" s="9"/>
      <c r="CB26" s="5"/>
      <c r="CC26" s="483">
        <f t="shared" si="35"/>
        <v>0</v>
      </c>
      <c r="CD26" s="4"/>
      <c r="CE26" s="5"/>
      <c r="CF26" s="28">
        <f t="shared" si="36"/>
        <v>0</v>
      </c>
      <c r="CG26" s="150"/>
      <c r="CH26" s="1108">
        <v>0</v>
      </c>
      <c r="CI26" s="5">
        <v>0</v>
      </c>
      <c r="CJ26" s="5">
        <v>0</v>
      </c>
      <c r="CK26" s="5">
        <v>7323</v>
      </c>
      <c r="CL26" s="5"/>
      <c r="CM26" s="5">
        <f t="shared" si="135"/>
        <v>7323</v>
      </c>
      <c r="CN26" s="33"/>
      <c r="CO26" s="366"/>
      <c r="CQ26" s="4">
        <f t="shared" si="37"/>
        <v>0</v>
      </c>
      <c r="CR26" s="9">
        <f t="shared" si="38"/>
        <v>0</v>
      </c>
      <c r="CS26" s="5">
        <f t="shared" si="39"/>
        <v>0</v>
      </c>
      <c r="CT26" s="5">
        <f t="shared" si="40"/>
        <v>0</v>
      </c>
      <c r="CU26" s="5">
        <f t="shared" si="41"/>
        <v>0</v>
      </c>
      <c r="CV26" s="5">
        <f t="shared" si="42"/>
        <v>0</v>
      </c>
      <c r="CW26" s="5">
        <f t="shared" si="43"/>
        <v>0</v>
      </c>
      <c r="CX26" s="5">
        <f t="shared" si="44"/>
        <v>0</v>
      </c>
      <c r="CY26" s="5">
        <f t="shared" si="45"/>
        <v>3600.16</v>
      </c>
      <c r="CZ26" s="5">
        <f t="shared" si="46"/>
        <v>0</v>
      </c>
      <c r="DA26" s="5">
        <f t="shared" si="47"/>
        <v>3999.88</v>
      </c>
      <c r="DB26" s="12">
        <f t="shared" si="48"/>
        <v>0</v>
      </c>
      <c r="DC26" s="310">
        <f t="shared" si="49"/>
        <v>7600.04</v>
      </c>
      <c r="DD26" s="2695"/>
      <c r="DE26" s="9"/>
      <c r="DF26" s="9"/>
      <c r="DG26" s="5"/>
      <c r="DH26" s="5"/>
      <c r="DI26" s="5"/>
      <c r="DJ26" s="5"/>
      <c r="DK26" s="5"/>
      <c r="DL26" s="5"/>
      <c r="DM26" s="5">
        <v>2625.8199999999997</v>
      </c>
      <c r="DN26" s="5"/>
      <c r="DO26" s="487"/>
      <c r="DP26" s="12"/>
      <c r="DQ26" s="28">
        <f t="shared" si="50"/>
        <v>2625.8199999999997</v>
      </c>
      <c r="DR26" s="36"/>
      <c r="DS26" s="9"/>
      <c r="DT26" s="5"/>
      <c r="DU26" s="5"/>
      <c r="DV26" s="5"/>
      <c r="DW26" s="5"/>
      <c r="DX26" s="5"/>
      <c r="DY26" s="5"/>
      <c r="DZ26" s="5">
        <v>974.33999999999992</v>
      </c>
      <c r="EA26" s="27"/>
      <c r="EB26" s="27">
        <v>2019.8799999999999</v>
      </c>
      <c r="EC26" s="33"/>
      <c r="ED26" s="28">
        <f t="shared" si="51"/>
        <v>2994.22</v>
      </c>
      <c r="EE26" s="9"/>
      <c r="EF26" s="36"/>
      <c r="EG26" s="5"/>
      <c r="EH26" s="27"/>
      <c r="EI26" s="27"/>
      <c r="EJ26" s="27"/>
      <c r="EK26" s="27"/>
      <c r="EL26" s="27"/>
      <c r="EM26" s="27"/>
      <c r="EN26" s="27"/>
      <c r="EO26" s="27">
        <v>1980</v>
      </c>
      <c r="EP26" s="33"/>
      <c r="EQ26" s="28">
        <f t="shared" si="52"/>
        <v>1980</v>
      </c>
      <c r="ER26" s="36"/>
      <c r="ES26" s="27"/>
      <c r="ET26" s="27"/>
      <c r="EU26" s="27"/>
      <c r="EV26" s="27"/>
      <c r="EW26" s="27"/>
      <c r="EX26" s="33">
        <f t="shared" si="53"/>
        <v>0</v>
      </c>
      <c r="EY26" s="2685"/>
      <c r="FA26" s="4">
        <f t="shared" si="54"/>
        <v>0</v>
      </c>
      <c r="FB26" s="5">
        <f t="shared" si="55"/>
        <v>0</v>
      </c>
      <c r="FC26" s="5">
        <f t="shared" si="56"/>
        <v>0</v>
      </c>
      <c r="FD26" s="12">
        <f t="shared" si="57"/>
        <v>0</v>
      </c>
      <c r="FE26" s="33"/>
      <c r="FF26" s="2674"/>
      <c r="FG26" s="9"/>
      <c r="FH26" s="5"/>
      <c r="FI26" s="5"/>
      <c r="FJ26" s="5"/>
      <c r="FK26" s="5"/>
      <c r="FL26" s="27"/>
      <c r="FM26" s="28">
        <f t="shared" si="58"/>
        <v>0</v>
      </c>
      <c r="FN26" s="36"/>
      <c r="FO26" s="27"/>
      <c r="FP26" s="27"/>
      <c r="FQ26" s="27"/>
      <c r="FR26" s="27"/>
      <c r="FS26" s="27"/>
      <c r="FT26" s="28">
        <f t="shared" si="59"/>
        <v>0</v>
      </c>
      <c r="FU26" s="36"/>
      <c r="FV26" s="36"/>
      <c r="FW26" s="27"/>
      <c r="FX26" s="27"/>
      <c r="FY26" s="27"/>
      <c r="FZ26" s="27"/>
      <c r="GA26" s="27"/>
      <c r="GB26" s="27"/>
      <c r="GC26" s="27"/>
      <c r="GD26" s="27"/>
      <c r="GE26" s="27"/>
      <c r="GF26" s="33"/>
      <c r="GG26" s="33">
        <f t="shared" si="60"/>
        <v>0</v>
      </c>
      <c r="GH26" s="2674"/>
      <c r="GJ26" s="4">
        <f t="shared" si="61"/>
        <v>1405.68</v>
      </c>
      <c r="GK26" s="64">
        <f t="shared" si="62"/>
        <v>3734.6900000000005</v>
      </c>
      <c r="GL26" s="53">
        <f t="shared" si="63"/>
        <v>6986.8899999999994</v>
      </c>
      <c r="GM26" s="53">
        <f t="shared" si="64"/>
        <v>12127.26</v>
      </c>
      <c r="GN26" s="141"/>
      <c r="GO26" s="141"/>
      <c r="GP26" s="33"/>
      <c r="GQ26" s="2667"/>
      <c r="GR26" s="152">
        <v>6131.1500000000005</v>
      </c>
      <c r="GS26" s="27"/>
      <c r="GT26" s="27">
        <v>2823.6900000000005</v>
      </c>
      <c r="GU26" s="27">
        <v>3172.42</v>
      </c>
      <c r="GV26" s="33">
        <f t="shared" si="65"/>
        <v>12127.26</v>
      </c>
      <c r="GW26" s="2667"/>
      <c r="GX26" s="36"/>
      <c r="GY26" s="36"/>
      <c r="GZ26" s="27"/>
      <c r="HA26" s="27"/>
      <c r="HB26" s="27"/>
      <c r="HC26" s="27"/>
      <c r="HD26" s="27"/>
      <c r="HE26" s="27"/>
      <c r="HF26" s="27">
        <v>1319.73</v>
      </c>
      <c r="HG26" s="27"/>
      <c r="HH26" s="27">
        <v>85.95</v>
      </c>
      <c r="HI26" s="27"/>
      <c r="HJ26" s="27"/>
      <c r="HK26" s="27"/>
      <c r="HL26" s="28">
        <f t="shared" si="66"/>
        <v>1405.68</v>
      </c>
      <c r="HM26" s="36"/>
      <c r="HN26" s="27"/>
      <c r="HO26" s="27"/>
      <c r="HP26" s="27"/>
      <c r="HQ26" s="27"/>
      <c r="HR26" s="27"/>
      <c r="HS26" s="27"/>
      <c r="HT26" s="27"/>
      <c r="HU26" s="27"/>
      <c r="HV26" s="27"/>
      <c r="HW26" s="27"/>
      <c r="HX26" s="27"/>
      <c r="HY26" s="27"/>
      <c r="HZ26" s="27"/>
      <c r="IA26" s="33">
        <f t="shared" si="67"/>
        <v>0</v>
      </c>
      <c r="IB26" s="52"/>
      <c r="IC26" s="152"/>
      <c r="ID26" s="53"/>
      <c r="IE26" s="53"/>
      <c r="IF26" s="53"/>
      <c r="IG26" s="53"/>
      <c r="IH26" s="53">
        <v>150.05000000000001</v>
      </c>
      <c r="II26" s="53"/>
      <c r="IJ26" s="53">
        <v>3584.6400000000003</v>
      </c>
      <c r="IK26" s="53"/>
      <c r="IL26" s="64"/>
      <c r="IM26" s="64"/>
      <c r="IN26" s="53"/>
      <c r="IO26" s="53"/>
      <c r="IP26" s="61">
        <f t="shared" si="68"/>
        <v>3734.6900000000005</v>
      </c>
      <c r="IQ26" s="36"/>
      <c r="IR26" s="36"/>
      <c r="IS26" s="53"/>
      <c r="IT26" s="27"/>
      <c r="IU26" s="53"/>
      <c r="IV26" s="27"/>
      <c r="IW26" s="27"/>
      <c r="IX26" s="27"/>
      <c r="IY26" s="27">
        <v>6986.8899999999994</v>
      </c>
      <c r="IZ26" s="27"/>
      <c r="JA26" s="27"/>
      <c r="JB26" s="27"/>
      <c r="JC26" s="27"/>
      <c r="JD26" s="27"/>
      <c r="JE26" s="33">
        <f t="shared" si="69"/>
        <v>6986.8899999999994</v>
      </c>
      <c r="JF26" s="2667"/>
      <c r="JH26" s="52">
        <v>12127.259999999998</v>
      </c>
      <c r="JI26" s="152"/>
      <c r="JJ26" s="53"/>
      <c r="JK26" s="53">
        <f t="shared" si="70"/>
        <v>12127.259999999998</v>
      </c>
      <c r="JL26" s="33"/>
      <c r="JM26" s="2669"/>
      <c r="JN26" s="152"/>
      <c r="JO26" s="53"/>
      <c r="JP26" s="70"/>
      <c r="JQ26" s="70"/>
      <c r="JR26" s="70">
        <v>0.99282387133564487</v>
      </c>
      <c r="JS26" s="70">
        <v>7.1761286643550548E-3</v>
      </c>
      <c r="JT26" s="53"/>
      <c r="JU26" s="61"/>
      <c r="JV26" s="69"/>
      <c r="JW26" s="70"/>
      <c r="JX26" s="70"/>
      <c r="JY26" s="70"/>
      <c r="JZ26" s="70"/>
      <c r="KA26" s="70"/>
      <c r="KB26" s="70"/>
      <c r="KC26" s="71"/>
      <c r="KD26" s="69"/>
      <c r="KE26" s="70"/>
      <c r="KF26" s="70"/>
      <c r="KG26" s="70"/>
      <c r="KH26" s="70"/>
      <c r="KI26" s="70"/>
      <c r="KJ26" s="70"/>
      <c r="KK26" s="70"/>
      <c r="KL26" s="33"/>
      <c r="KM26" s="2669"/>
      <c r="KN26" s="36">
        <v>6999.5554839748747</v>
      </c>
      <c r="KO26" s="53">
        <v>0.80294089225318099</v>
      </c>
      <c r="KP26" s="53">
        <v>3.0872298276695114</v>
      </c>
      <c r="KQ26" s="53">
        <v>5.3936785311644382</v>
      </c>
      <c r="KR26" s="54">
        <v>11.198136575938154</v>
      </c>
      <c r="KS26" s="4">
        <v>0</v>
      </c>
      <c r="KT26" s="64">
        <v>0</v>
      </c>
      <c r="KU26" s="64">
        <v>0</v>
      </c>
      <c r="KV26" s="64">
        <v>0</v>
      </c>
      <c r="KW26" s="482">
        <v>0</v>
      </c>
      <c r="KX26" s="36"/>
      <c r="KY26" s="53"/>
      <c r="KZ26" s="53"/>
      <c r="LA26" s="53"/>
      <c r="LB26" s="53"/>
      <c r="LC26" s="33"/>
      <c r="LD26" s="2669"/>
      <c r="LF26" s="853">
        <f t="shared" si="71"/>
        <v>10522.04</v>
      </c>
      <c r="LG26" s="27">
        <f t="shared" si="72"/>
        <v>12113.86</v>
      </c>
      <c r="LH26" s="27">
        <f t="shared" si="73"/>
        <v>0</v>
      </c>
      <c r="LI26" s="28">
        <f t="shared" si="74"/>
        <v>22635.9</v>
      </c>
      <c r="LJ26" s="36">
        <v>3</v>
      </c>
      <c r="LK26" s="27"/>
      <c r="LL26" s="27">
        <v>2</v>
      </c>
      <c r="LM26" s="33"/>
      <c r="LN26" s="1041">
        <v>7.91</v>
      </c>
      <c r="LO26" s="486"/>
      <c r="LP26" s="2688"/>
      <c r="LQ26" s="36">
        <v>7502.44</v>
      </c>
      <c r="LR26" s="36"/>
      <c r="LS26" s="27"/>
      <c r="LT26" s="27"/>
      <c r="LU26" s="27"/>
      <c r="LV26" s="1107">
        <f t="shared" si="75"/>
        <v>7502.44</v>
      </c>
      <c r="LW26" s="36">
        <v>3019.6000000000004</v>
      </c>
      <c r="LX26" s="36">
        <v>12113.86</v>
      </c>
      <c r="LY26" s="27"/>
      <c r="LZ26" s="27"/>
      <c r="MA26" s="33"/>
      <c r="MB26" s="28">
        <f t="shared" si="76"/>
        <v>15133.460000000001</v>
      </c>
      <c r="MC26" s="26"/>
      <c r="MD26" s="36"/>
      <c r="ME26" s="27"/>
      <c r="MF26" s="27"/>
      <c r="MG26" s="27"/>
      <c r="MH26" s="28"/>
      <c r="MI26" s="36"/>
      <c r="MJ26" s="36"/>
      <c r="MK26" s="27"/>
      <c r="ML26" s="27"/>
      <c r="MM26" s="27"/>
      <c r="MN26" s="28"/>
      <c r="MO26" s="36"/>
      <c r="MP26" s="36"/>
      <c r="MQ26" s="27"/>
      <c r="MR26" s="27"/>
      <c r="MS26" s="27"/>
      <c r="MT26" s="33">
        <f t="shared" si="77"/>
        <v>0</v>
      </c>
      <c r="MU26" s="2688"/>
      <c r="MW26" s="26">
        <f t="shared" si="78"/>
        <v>191459.12199929354</v>
      </c>
      <c r="MX26" s="27">
        <f t="shared" si="79"/>
        <v>204641.55929571754</v>
      </c>
      <c r="MY26" s="27">
        <f t="shared" si="80"/>
        <v>20969.555608283044</v>
      </c>
      <c r="MZ26" s="28">
        <f t="shared" si="81"/>
        <v>440385.11467809114</v>
      </c>
      <c r="NA26" s="2621"/>
      <c r="NB26" s="23">
        <f t="shared" si="82"/>
        <v>181194.52205395969</v>
      </c>
      <c r="NC26" s="64">
        <f t="shared" si="83"/>
        <v>10264.599945333841</v>
      </c>
      <c r="ND26" s="60">
        <f t="shared" si="84"/>
        <v>0</v>
      </c>
      <c r="NE26" s="275">
        <f t="shared" si="4"/>
        <v>191459.12199929354</v>
      </c>
      <c r="NF26" s="26">
        <f t="shared" si="136"/>
        <v>0</v>
      </c>
      <c r="NG26" s="27">
        <f t="shared" si="137"/>
        <v>0</v>
      </c>
      <c r="NH26" s="27">
        <f t="shared" si="138"/>
        <v>0</v>
      </c>
      <c r="NI26" s="27">
        <f t="shared" si="139"/>
        <v>0</v>
      </c>
      <c r="NJ26" s="27">
        <f t="shared" si="140"/>
        <v>0</v>
      </c>
      <c r="NK26" s="33">
        <f t="shared" si="141"/>
        <v>0</v>
      </c>
      <c r="NL26" s="27">
        <f t="shared" si="142"/>
        <v>0</v>
      </c>
      <c r="NM26" s="36">
        <f t="shared" si="143"/>
        <v>0</v>
      </c>
      <c r="NN26" s="27">
        <f t="shared" si="144"/>
        <v>45694.716549276003</v>
      </c>
      <c r="NO26" s="27">
        <f t="shared" si="145"/>
        <v>0</v>
      </c>
      <c r="NP26" s="24">
        <f t="shared" si="146"/>
        <v>8756.5482322711578</v>
      </c>
      <c r="NQ26" s="24">
        <f t="shared" si="147"/>
        <v>12012.784585687599</v>
      </c>
      <c r="NR26" s="27">
        <f t="shared" si="0"/>
        <v>66464.049367234751</v>
      </c>
      <c r="NS26" s="27">
        <f t="shared" si="86"/>
        <v>0</v>
      </c>
      <c r="NT26" s="27">
        <f t="shared" si="87"/>
        <v>0</v>
      </c>
      <c r="NU26" s="27">
        <f t="shared" si="88"/>
        <v>0</v>
      </c>
      <c r="NV26" s="27">
        <f t="shared" si="89"/>
        <v>0</v>
      </c>
      <c r="NW26" s="27">
        <f t="shared" si="90"/>
        <v>0</v>
      </c>
      <c r="NX26" s="5">
        <f t="shared" si="91"/>
        <v>0</v>
      </c>
      <c r="NY26" s="27">
        <f t="shared" si="92"/>
        <v>996.55815190762837</v>
      </c>
      <c r="NZ26" s="27">
        <f t="shared" si="93"/>
        <v>0</v>
      </c>
      <c r="OA26" s="27">
        <f t="shared" si="94"/>
        <v>29954.784759987771</v>
      </c>
      <c r="OB26" s="280"/>
      <c r="OC26" s="24">
        <f t="shared" si="95"/>
        <v>3403.7241844007053</v>
      </c>
      <c r="OD26" s="27">
        <f t="shared" si="96"/>
        <v>0</v>
      </c>
      <c r="OE26" s="28">
        <f t="shared" si="1"/>
        <v>34355.067096296109</v>
      </c>
      <c r="OF26" s="27">
        <f t="shared" si="163"/>
        <v>0</v>
      </c>
      <c r="OG26" s="27">
        <f t="shared" si="164"/>
        <v>0</v>
      </c>
      <c r="OH26" s="27">
        <f t="shared" si="169"/>
        <v>0</v>
      </c>
      <c r="OI26" s="27">
        <f t="shared" si="167"/>
        <v>0</v>
      </c>
      <c r="OJ26" s="27">
        <f t="shared" si="167"/>
        <v>0</v>
      </c>
      <c r="OK26" s="27">
        <f t="shared" si="168"/>
        <v>0</v>
      </c>
      <c r="OL26" s="24">
        <f t="shared" si="168"/>
        <v>0</v>
      </c>
      <c r="OM26" s="27">
        <f t="shared" si="154"/>
        <v>0</v>
      </c>
      <c r="ON26" s="24">
        <f t="shared" si="154"/>
        <v>100830.80851377799</v>
      </c>
      <c r="OO26" s="27">
        <f t="shared" si="156"/>
        <v>0</v>
      </c>
      <c r="OP26" s="27">
        <f t="shared" si="157"/>
        <v>2991.63431840868</v>
      </c>
      <c r="OQ26" s="27">
        <f t="shared" si="158"/>
        <v>0</v>
      </c>
      <c r="OR26" s="28">
        <f t="shared" si="2"/>
        <v>103822.44283218667</v>
      </c>
      <c r="OS26" s="36"/>
      <c r="OT26" s="27"/>
      <c r="OU26" s="27"/>
      <c r="OV26" s="27"/>
      <c r="OW26" s="27"/>
      <c r="OX26" s="27"/>
      <c r="OY26" s="28">
        <f t="shared" si="98"/>
        <v>0</v>
      </c>
      <c r="OZ26" s="36">
        <f t="shared" si="99"/>
        <v>0</v>
      </c>
      <c r="PA26" s="27">
        <f t="shared" si="100"/>
        <v>0</v>
      </c>
      <c r="PB26" s="27">
        <f t="shared" si="101"/>
        <v>0</v>
      </c>
      <c r="PC26" s="27">
        <f t="shared" si="102"/>
        <v>0</v>
      </c>
      <c r="PD26" s="27">
        <f t="shared" si="103"/>
        <v>0</v>
      </c>
      <c r="PE26" s="27">
        <f t="shared" si="104"/>
        <v>0</v>
      </c>
      <c r="PF26" s="33">
        <f t="shared" si="3"/>
        <v>0</v>
      </c>
      <c r="PG26" s="2621"/>
      <c r="PI26" s="2"/>
      <c r="PJ26" s="3"/>
      <c r="PK26" s="3"/>
      <c r="PL26" s="3">
        <f t="shared" si="148"/>
        <v>0</v>
      </c>
      <c r="PM26" s="3">
        <f t="shared" si="149"/>
        <v>455.36</v>
      </c>
      <c r="PN26" s="11">
        <f t="shared" si="150"/>
        <v>20969.555608283044</v>
      </c>
      <c r="PO26" s="15"/>
      <c r="PP26" s="2615"/>
      <c r="PR26" s="4"/>
      <c r="PS26" s="9"/>
      <c r="PT26" s="9"/>
      <c r="PU26" s="9"/>
      <c r="PV26" s="1108"/>
      <c r="PW26" s="9"/>
      <c r="PX26" s="8">
        <f t="shared" si="105"/>
        <v>0</v>
      </c>
      <c r="PY26" s="5">
        <f t="shared" si="106"/>
        <v>0</v>
      </c>
      <c r="PZ26" s="5"/>
      <c r="QA26" s="5"/>
      <c r="QB26" s="5"/>
      <c r="QC26" s="5"/>
      <c r="QD26" s="5"/>
      <c r="QE26" s="12">
        <f t="shared" si="107"/>
        <v>29749.381073161156</v>
      </c>
      <c r="QF26" s="420">
        <f t="shared" si="108"/>
        <v>410635.73360492999</v>
      </c>
      <c r="QG26" s="1106">
        <f t="shared" si="109"/>
        <v>0</v>
      </c>
      <c r="QH26" s="484">
        <f t="shared" si="110"/>
        <v>5505.3678056100007</v>
      </c>
      <c r="QI26" s="12"/>
      <c r="QJ26" s="2615"/>
      <c r="QL26" s="139">
        <f t="shared" si="111"/>
        <v>0</v>
      </c>
      <c r="QM26" s="139" t="str">
        <f t="shared" si="112"/>
        <v/>
      </c>
      <c r="QO26" s="139">
        <f t="shared" si="113"/>
        <v>0</v>
      </c>
      <c r="QP26" s="139">
        <f t="shared" si="114"/>
        <v>0</v>
      </c>
      <c r="QR26" s="1">
        <f t="shared" si="115"/>
        <v>0</v>
      </c>
      <c r="QS26" s="1">
        <f t="shared" si="116"/>
        <v>0</v>
      </c>
      <c r="QT26" s="1">
        <f t="shared" si="117"/>
        <v>0</v>
      </c>
      <c r="QU26" s="1">
        <f t="shared" si="118"/>
        <v>0</v>
      </c>
      <c r="QV26" s="1">
        <f t="shared" si="119"/>
        <v>0</v>
      </c>
      <c r="QW26" s="1">
        <f t="shared" si="120"/>
        <v>0</v>
      </c>
      <c r="QY26" s="1">
        <f t="shared" si="121"/>
        <v>0</v>
      </c>
      <c r="QZ26" s="1">
        <f t="shared" si="122"/>
        <v>0</v>
      </c>
      <c r="RA26" s="1">
        <f t="shared" si="123"/>
        <v>0</v>
      </c>
      <c r="RB26" s="1">
        <f t="shared" si="124"/>
        <v>0</v>
      </c>
      <c r="RC26" s="1">
        <f t="shared" si="125"/>
        <v>0</v>
      </c>
      <c r="RD26" s="1">
        <f t="shared" si="126"/>
        <v>0</v>
      </c>
      <c r="RG26" s="1">
        <v>17</v>
      </c>
      <c r="RH26" s="1">
        <f t="shared" si="160"/>
        <v>-22385.380790282903</v>
      </c>
      <c r="RI26" s="1">
        <f t="shared" si="161"/>
        <v>8695.2977804837174</v>
      </c>
      <c r="RJ26" s="1">
        <f t="shared" si="162"/>
        <v>13404.263703387322</v>
      </c>
      <c r="RK26" s="89">
        <f t="shared" si="5"/>
        <v>-285.81930641186409</v>
      </c>
      <c r="RL26" s="1033">
        <v>17</v>
      </c>
      <c r="RM26" s="1098">
        <f t="shared" si="166"/>
        <v>0</v>
      </c>
      <c r="RN26" s="1098">
        <f t="shared" si="128"/>
        <v>0</v>
      </c>
      <c r="RO26" s="1097">
        <f t="shared" si="129"/>
        <v>0</v>
      </c>
      <c r="RP26" s="1097">
        <f t="shared" si="151"/>
        <v>5620.04</v>
      </c>
      <c r="RQ26" s="1050"/>
      <c r="RR26" s="1046" t="s">
        <v>701</v>
      </c>
      <c r="RS26" s="1048"/>
      <c r="RU26" s="421">
        <v>17</v>
      </c>
      <c r="RV26" s="1095">
        <f t="shared" si="130"/>
        <v>12127.26</v>
      </c>
      <c r="RW26" s="1046" t="s">
        <v>702</v>
      </c>
      <c r="RY26" s="1090"/>
      <c r="RZ26" s="1090">
        <f t="shared" si="131"/>
        <v>0</v>
      </c>
      <c r="SA26" s="1090"/>
      <c r="SB26" s="1090">
        <f t="shared" si="132"/>
        <v>0</v>
      </c>
      <c r="SD26" s="1">
        <v>17</v>
      </c>
      <c r="SE26" s="1">
        <f t="shared" si="133"/>
        <v>0</v>
      </c>
    </row>
    <row r="27" spans="1:500" s="1" customFormat="1" ht="15.6" customHeight="1">
      <c r="B27" s="471">
        <v>18</v>
      </c>
      <c r="C27" s="4">
        <f t="shared" si="6"/>
        <v>168348</v>
      </c>
      <c r="D27" s="64">
        <f t="shared" si="134"/>
        <v>7231.9000000000005</v>
      </c>
      <c r="E27" s="482">
        <f t="shared" si="7"/>
        <v>23.27852984692819</v>
      </c>
      <c r="F27" s="1113"/>
      <c r="G27" s="1113"/>
      <c r="H27" s="845"/>
      <c r="I27" s="482"/>
      <c r="J27" s="845"/>
      <c r="K27" s="846"/>
      <c r="L27" s="845"/>
      <c r="M27" s="482"/>
      <c r="N27" s="2629"/>
      <c r="O27" s="4">
        <f t="shared" si="8"/>
        <v>92442</v>
      </c>
      <c r="P27" s="1225">
        <f t="shared" si="9"/>
        <v>3724.7200000000003</v>
      </c>
      <c r="Q27" s="64">
        <f t="shared" si="10"/>
        <v>24.818509847720094</v>
      </c>
      <c r="R27" s="12"/>
      <c r="S27" s="4">
        <f t="shared" si="11"/>
        <v>33966</v>
      </c>
      <c r="T27" s="5">
        <f t="shared" si="12"/>
        <v>787.18000000000006</v>
      </c>
      <c r="U27" s="64">
        <f t="shared" si="13"/>
        <v>43.148962117939988</v>
      </c>
      <c r="V27" s="15"/>
      <c r="W27" s="26">
        <f t="shared" si="14"/>
        <v>41940</v>
      </c>
      <c r="X27" s="5">
        <f t="shared" si="15"/>
        <v>2720</v>
      </c>
      <c r="Y27" s="64">
        <f t="shared" si="16"/>
        <v>15.419117647058824</v>
      </c>
      <c r="Z27" s="12"/>
      <c r="AA27" s="26">
        <f t="shared" si="17"/>
        <v>0</v>
      </c>
      <c r="AB27" s="27">
        <f t="shared" si="18"/>
        <v>0</v>
      </c>
      <c r="AC27" s="64">
        <f t="shared" si="19"/>
        <v>0</v>
      </c>
      <c r="AD27" s="15"/>
      <c r="AE27" s="9"/>
      <c r="AF27" s="9"/>
      <c r="AG27" s="64">
        <f t="shared" si="20"/>
        <v>0</v>
      </c>
      <c r="AH27" s="15"/>
      <c r="AI27" s="4"/>
      <c r="AJ27" s="5"/>
      <c r="AK27" s="64">
        <f t="shared" si="21"/>
        <v>0</v>
      </c>
      <c r="AL27" s="15"/>
      <c r="AM27" s="2629"/>
      <c r="AN27" s="9"/>
      <c r="AO27" s="5"/>
      <c r="AP27" s="482">
        <f t="shared" si="22"/>
        <v>0</v>
      </c>
      <c r="AQ27" s="9"/>
      <c r="AR27" s="64"/>
      <c r="AS27" s="482">
        <f t="shared" si="23"/>
        <v>0</v>
      </c>
      <c r="AT27" s="9">
        <v>0</v>
      </c>
      <c r="AU27" s="5"/>
      <c r="AV27" s="482">
        <f t="shared" si="24"/>
        <v>0</v>
      </c>
      <c r="AW27" s="9">
        <v>48342</v>
      </c>
      <c r="AX27" s="5">
        <v>3660.28</v>
      </c>
      <c r="AY27" s="482">
        <f t="shared" si="25"/>
        <v>13.207186335471603</v>
      </c>
      <c r="AZ27" s="9"/>
      <c r="BA27" s="5"/>
      <c r="BB27" s="482">
        <f t="shared" si="26"/>
        <v>0</v>
      </c>
      <c r="BC27" s="9">
        <v>44100</v>
      </c>
      <c r="BD27" s="27">
        <v>64.44</v>
      </c>
      <c r="BE27" s="482">
        <f t="shared" si="27"/>
        <v>684.35754189944134</v>
      </c>
      <c r="BF27" s="36"/>
      <c r="BG27" s="53"/>
      <c r="BH27" s="482">
        <f t="shared" si="28"/>
        <v>0</v>
      </c>
      <c r="BI27" s="36">
        <v>0</v>
      </c>
      <c r="BJ27" s="53">
        <v>0</v>
      </c>
      <c r="BK27" s="482">
        <f t="shared" si="29"/>
        <v>0</v>
      </c>
      <c r="BL27" s="845">
        <v>33966</v>
      </c>
      <c r="BM27" s="1034">
        <v>787.18000000000006</v>
      </c>
      <c r="BN27" s="482">
        <f t="shared" si="30"/>
        <v>43.148962117939988</v>
      </c>
      <c r="BO27" s="9">
        <v>0</v>
      </c>
      <c r="BP27" s="64">
        <v>0</v>
      </c>
      <c r="BQ27" s="482">
        <f t="shared" si="31"/>
        <v>0</v>
      </c>
      <c r="BR27" s="9"/>
      <c r="BS27" s="64"/>
      <c r="BT27" s="482">
        <f t="shared" si="32"/>
        <v>0</v>
      </c>
      <c r="BU27" s="9">
        <v>41940</v>
      </c>
      <c r="BV27" s="27">
        <v>2720</v>
      </c>
      <c r="BW27" s="15">
        <f t="shared" si="33"/>
        <v>15.419117647058824</v>
      </c>
      <c r="BX27" s="26"/>
      <c r="BY27" s="5"/>
      <c r="BZ27" s="482">
        <f t="shared" si="34"/>
        <v>0</v>
      </c>
      <c r="CA27" s="9"/>
      <c r="CB27" s="5"/>
      <c r="CC27" s="482">
        <f t="shared" si="35"/>
        <v>0</v>
      </c>
      <c r="CD27" s="4"/>
      <c r="CE27" s="5"/>
      <c r="CF27" s="15">
        <f t="shared" si="36"/>
        <v>0</v>
      </c>
      <c r="CG27" s="150"/>
      <c r="CH27" s="1108">
        <v>784</v>
      </c>
      <c r="CI27" s="5">
        <v>0</v>
      </c>
      <c r="CJ27" s="5">
        <v>0</v>
      </c>
      <c r="CK27" s="5">
        <v>10740</v>
      </c>
      <c r="CL27" s="5"/>
      <c r="CM27" s="5">
        <f t="shared" si="135"/>
        <v>11524</v>
      </c>
      <c r="CN27" s="12"/>
      <c r="CO27" s="366"/>
      <c r="CQ27" s="4">
        <f t="shared" si="37"/>
        <v>0</v>
      </c>
      <c r="CR27" s="9">
        <f t="shared" si="38"/>
        <v>0</v>
      </c>
      <c r="CS27" s="5">
        <f t="shared" si="39"/>
        <v>0</v>
      </c>
      <c r="CT27" s="5">
        <f t="shared" si="40"/>
        <v>0</v>
      </c>
      <c r="CU27" s="5">
        <f t="shared" si="41"/>
        <v>0</v>
      </c>
      <c r="CV27" s="5">
        <f t="shared" si="42"/>
        <v>0</v>
      </c>
      <c r="CW27" s="5">
        <f t="shared" si="43"/>
        <v>670.36</v>
      </c>
      <c r="CX27" s="5">
        <f t="shared" si="44"/>
        <v>0</v>
      </c>
      <c r="CY27" s="5">
        <f t="shared" si="45"/>
        <v>6097.1</v>
      </c>
      <c r="CZ27" s="5">
        <f t="shared" si="46"/>
        <v>0</v>
      </c>
      <c r="DA27" s="5">
        <f t="shared" si="47"/>
        <v>464.44</v>
      </c>
      <c r="DB27" s="12">
        <f t="shared" si="48"/>
        <v>0</v>
      </c>
      <c r="DC27" s="847">
        <f t="shared" si="49"/>
        <v>7231.9</v>
      </c>
      <c r="DD27" s="2695"/>
      <c r="DE27" s="9"/>
      <c r="DF27" s="9"/>
      <c r="DG27" s="5"/>
      <c r="DH27" s="5"/>
      <c r="DI27" s="5"/>
      <c r="DJ27" s="5"/>
      <c r="DK27" s="5">
        <v>670.36</v>
      </c>
      <c r="DL27" s="5"/>
      <c r="DM27" s="5">
        <v>2989.92</v>
      </c>
      <c r="DN27" s="12"/>
      <c r="DO27" s="5"/>
      <c r="DP27" s="486"/>
      <c r="DQ27" s="15">
        <f t="shared" si="50"/>
        <v>3660.28</v>
      </c>
      <c r="DR27" s="9"/>
      <c r="DS27" s="9"/>
      <c r="DT27" s="5"/>
      <c r="DU27" s="5"/>
      <c r="DV27" s="5"/>
      <c r="DW27" s="5"/>
      <c r="DX27" s="5"/>
      <c r="DY27" s="5"/>
      <c r="DZ27" s="5">
        <v>787.18</v>
      </c>
      <c r="EA27" s="5"/>
      <c r="EB27" s="5">
        <v>64.44</v>
      </c>
      <c r="EC27" s="12"/>
      <c r="ED27" s="15">
        <f t="shared" si="51"/>
        <v>851.61999999999989</v>
      </c>
      <c r="EE27" s="9"/>
      <c r="EF27" s="9"/>
      <c r="EG27" s="5"/>
      <c r="EH27" s="5"/>
      <c r="EI27" s="5"/>
      <c r="EJ27" s="5"/>
      <c r="EK27" s="5"/>
      <c r="EL27" s="5"/>
      <c r="EM27" s="5">
        <v>2320</v>
      </c>
      <c r="EN27" s="5"/>
      <c r="EO27" s="5">
        <v>400</v>
      </c>
      <c r="EP27" s="12"/>
      <c r="EQ27" s="15">
        <f t="shared" si="52"/>
        <v>2720</v>
      </c>
      <c r="ER27" s="9"/>
      <c r="ES27" s="5"/>
      <c r="ET27" s="5"/>
      <c r="EU27" s="5"/>
      <c r="EV27" s="5"/>
      <c r="EW27" s="5"/>
      <c r="EX27" s="12">
        <f t="shared" si="53"/>
        <v>0</v>
      </c>
      <c r="EY27" s="2685"/>
      <c r="FA27" s="4">
        <f t="shared" si="54"/>
        <v>0</v>
      </c>
      <c r="FB27" s="5">
        <f t="shared" si="55"/>
        <v>0</v>
      </c>
      <c r="FC27" s="5">
        <f t="shared" si="56"/>
        <v>0</v>
      </c>
      <c r="FD27" s="12">
        <f t="shared" si="57"/>
        <v>0</v>
      </c>
      <c r="FE27" s="12"/>
      <c r="FF27" s="2674"/>
      <c r="FG27" s="9"/>
      <c r="FH27" s="5"/>
      <c r="FI27" s="5"/>
      <c r="FJ27" s="5"/>
      <c r="FK27" s="5"/>
      <c r="FL27" s="5"/>
      <c r="FM27" s="15">
        <f t="shared" si="58"/>
        <v>0</v>
      </c>
      <c r="FN27" s="9"/>
      <c r="FO27" s="5"/>
      <c r="FP27" s="5"/>
      <c r="FQ27" s="5"/>
      <c r="FR27" s="5"/>
      <c r="FS27" s="5"/>
      <c r="FT27" s="15">
        <f t="shared" si="59"/>
        <v>0</v>
      </c>
      <c r="FU27" s="9"/>
      <c r="FV27" s="9"/>
      <c r="FW27" s="5"/>
      <c r="FX27" s="5"/>
      <c r="FY27" s="5"/>
      <c r="FZ27" s="5"/>
      <c r="GA27" s="5"/>
      <c r="GB27" s="5"/>
      <c r="GC27" s="5"/>
      <c r="GD27" s="5"/>
      <c r="GE27" s="5"/>
      <c r="GF27" s="12"/>
      <c r="GG27" s="12">
        <f t="shared" si="60"/>
        <v>0</v>
      </c>
      <c r="GH27" s="2674"/>
      <c r="GJ27" s="4">
        <f t="shared" si="61"/>
        <v>3636.23</v>
      </c>
      <c r="GK27" s="64">
        <f t="shared" si="62"/>
        <v>3127.65</v>
      </c>
      <c r="GL27" s="64">
        <f t="shared" si="63"/>
        <v>4565.1899999999996</v>
      </c>
      <c r="GM27" s="64">
        <f t="shared" si="64"/>
        <v>11329.07</v>
      </c>
      <c r="GN27" s="848"/>
      <c r="GO27" s="848"/>
      <c r="GP27" s="12"/>
      <c r="GQ27" s="2667"/>
      <c r="GR27" s="1112">
        <v>4851.6000000000004</v>
      </c>
      <c r="GS27" s="5"/>
      <c r="GT27" s="5">
        <v>2568.48</v>
      </c>
      <c r="GU27" s="5">
        <v>3908.99</v>
      </c>
      <c r="GV27" s="12">
        <f t="shared" si="65"/>
        <v>11329.07</v>
      </c>
      <c r="GW27" s="2667"/>
      <c r="GX27" s="9"/>
      <c r="GY27" s="9"/>
      <c r="GZ27" s="5"/>
      <c r="HA27" s="5"/>
      <c r="HB27" s="5"/>
      <c r="HC27" s="5"/>
      <c r="HD27" s="5"/>
      <c r="HE27" s="5"/>
      <c r="HF27" s="5">
        <v>573.54</v>
      </c>
      <c r="HG27" s="5"/>
      <c r="HH27" s="5">
        <v>3062.69</v>
      </c>
      <c r="HI27" s="5"/>
      <c r="HJ27" s="5"/>
      <c r="HK27" s="5"/>
      <c r="HL27" s="15">
        <f t="shared" si="66"/>
        <v>3636.23</v>
      </c>
      <c r="HM27" s="9"/>
      <c r="HN27" s="5"/>
      <c r="HO27" s="5"/>
      <c r="HP27" s="5"/>
      <c r="HQ27" s="5"/>
      <c r="HR27" s="5"/>
      <c r="HS27" s="5"/>
      <c r="HT27" s="5"/>
      <c r="HU27" s="5"/>
      <c r="HV27" s="5"/>
      <c r="HW27" s="5"/>
      <c r="HX27" s="5"/>
      <c r="HY27" s="5"/>
      <c r="HZ27" s="5"/>
      <c r="IA27" s="12">
        <f t="shared" si="67"/>
        <v>0</v>
      </c>
      <c r="IB27" s="845"/>
      <c r="IC27" s="363"/>
      <c r="ID27" s="64"/>
      <c r="IE27" s="64"/>
      <c r="IF27" s="64"/>
      <c r="IG27" s="64"/>
      <c r="IH27" s="64">
        <v>384.19</v>
      </c>
      <c r="II27" s="64"/>
      <c r="IJ27" s="64">
        <v>2743.46</v>
      </c>
      <c r="IK27" s="64"/>
      <c r="IL27" s="64"/>
      <c r="IM27" s="64"/>
      <c r="IN27" s="64"/>
      <c r="IO27" s="64"/>
      <c r="IP27" s="61">
        <f t="shared" si="68"/>
        <v>3127.65</v>
      </c>
      <c r="IQ27" s="9"/>
      <c r="IR27" s="9"/>
      <c r="IS27" s="64"/>
      <c r="IT27" s="5"/>
      <c r="IU27" s="64"/>
      <c r="IV27" s="5"/>
      <c r="IW27" s="5"/>
      <c r="IX27" s="5"/>
      <c r="IY27" s="5">
        <v>2881.1</v>
      </c>
      <c r="IZ27" s="5"/>
      <c r="JA27" s="5">
        <v>1684.09</v>
      </c>
      <c r="JB27" s="5"/>
      <c r="JC27" s="5"/>
      <c r="JD27" s="5"/>
      <c r="JE27" s="12">
        <f t="shared" si="69"/>
        <v>4565.1899999999996</v>
      </c>
      <c r="JF27" s="2667"/>
      <c r="JH27" s="52">
        <v>4750.08</v>
      </c>
      <c r="JI27" s="152">
        <v>6578.9900000000007</v>
      </c>
      <c r="JJ27" s="64"/>
      <c r="JK27" s="64">
        <f t="shared" si="70"/>
        <v>11329.07</v>
      </c>
      <c r="JL27" s="12"/>
      <c r="JM27" s="2669"/>
      <c r="JN27" s="849"/>
      <c r="JO27" s="850"/>
      <c r="JP27" s="850"/>
      <c r="JQ27" s="850"/>
      <c r="JR27" s="850">
        <v>0.78634237439087362</v>
      </c>
      <c r="JS27" s="850">
        <v>0.21365762560912641</v>
      </c>
      <c r="JT27" s="850"/>
      <c r="JU27" s="851"/>
      <c r="JV27" s="849"/>
      <c r="JW27" s="850"/>
      <c r="JX27" s="850"/>
      <c r="JY27" s="850">
        <v>5.8396501590669697E-2</v>
      </c>
      <c r="JZ27" s="850">
        <v>0.22009761376746279</v>
      </c>
      <c r="KA27" s="850">
        <v>0.72150588464186749</v>
      </c>
      <c r="KB27" s="850"/>
      <c r="KC27" s="851"/>
      <c r="KD27" s="849"/>
      <c r="KE27" s="850"/>
      <c r="KF27" s="850"/>
      <c r="KG27" s="850"/>
      <c r="KH27" s="850"/>
      <c r="KI27" s="850"/>
      <c r="KJ27" s="850"/>
      <c r="KK27" s="850"/>
      <c r="KL27" s="12"/>
      <c r="KM27" s="2669"/>
      <c r="KN27" s="9">
        <v>6908</v>
      </c>
      <c r="KO27" s="64">
        <v>0.63</v>
      </c>
      <c r="KP27" s="64">
        <v>3.35</v>
      </c>
      <c r="KQ27" s="64">
        <v>7.9</v>
      </c>
      <c r="KR27" s="846">
        <v>13.56</v>
      </c>
      <c r="KS27" s="4">
        <v>6844.3036318188506</v>
      </c>
      <c r="KT27" s="64">
        <v>1.5058888398764887</v>
      </c>
      <c r="KU27" s="64">
        <v>7.3209645640347008</v>
      </c>
      <c r="KV27" s="64">
        <v>5.7759255991765919</v>
      </c>
      <c r="KW27" s="482">
        <v>9.8524437582708426</v>
      </c>
      <c r="KX27" s="9"/>
      <c r="KY27" s="64"/>
      <c r="KZ27" s="64"/>
      <c r="LA27" s="64"/>
      <c r="LB27" s="64"/>
      <c r="LC27" s="12"/>
      <c r="LD27" s="2669"/>
      <c r="LF27" s="4">
        <f t="shared" si="71"/>
        <v>15088.79</v>
      </c>
      <c r="LG27" s="5">
        <f t="shared" si="72"/>
        <v>0</v>
      </c>
      <c r="LH27" s="5">
        <f t="shared" si="73"/>
        <v>0</v>
      </c>
      <c r="LI27" s="15">
        <f t="shared" si="74"/>
        <v>15088.79</v>
      </c>
      <c r="LJ27" s="9">
        <v>2</v>
      </c>
      <c r="LK27" s="5"/>
      <c r="LL27" s="5">
        <v>1</v>
      </c>
      <c r="LM27" s="12"/>
      <c r="LN27" s="1111">
        <v>7.42</v>
      </c>
      <c r="LO27" s="486"/>
      <c r="LP27" s="2688"/>
      <c r="LQ27" s="9">
        <v>15088.79</v>
      </c>
      <c r="LR27" s="9"/>
      <c r="LS27" s="5"/>
      <c r="LT27" s="5"/>
      <c r="LU27" s="5"/>
      <c r="LV27" s="1107">
        <f t="shared" si="75"/>
        <v>15088.79</v>
      </c>
      <c r="LW27" s="9"/>
      <c r="LX27" s="9"/>
      <c r="LY27" s="5"/>
      <c r="LZ27" s="5"/>
      <c r="MA27" s="12"/>
      <c r="MB27" s="28">
        <f t="shared" si="76"/>
        <v>0</v>
      </c>
      <c r="MC27" s="4"/>
      <c r="MD27" s="9"/>
      <c r="ME27" s="5"/>
      <c r="MF27" s="5"/>
      <c r="MG27" s="5"/>
      <c r="MH27" s="15"/>
      <c r="MI27" s="9"/>
      <c r="MJ27" s="9"/>
      <c r="MK27" s="5"/>
      <c r="ML27" s="5"/>
      <c r="MM27" s="5"/>
      <c r="MN27" s="15"/>
      <c r="MO27" s="9"/>
      <c r="MP27" s="9"/>
      <c r="MQ27" s="5"/>
      <c r="MR27" s="5"/>
      <c r="MS27" s="5"/>
      <c r="MT27" s="12">
        <f t="shared" si="77"/>
        <v>0</v>
      </c>
      <c r="MU27" s="2688"/>
      <c r="MW27" s="4">
        <f t="shared" si="78"/>
        <v>187699.40199929351</v>
      </c>
      <c r="MX27" s="5">
        <f t="shared" si="79"/>
        <v>200544.38929571753</v>
      </c>
      <c r="MY27" s="5">
        <f t="shared" si="80"/>
        <v>21377.855608283044</v>
      </c>
      <c r="MZ27" s="15">
        <f t="shared" si="81"/>
        <v>439092.87467809115</v>
      </c>
      <c r="NA27" s="2621"/>
      <c r="NB27" s="23">
        <f t="shared" si="82"/>
        <v>170855.81205395967</v>
      </c>
      <c r="NC27" s="64">
        <f t="shared" si="83"/>
        <v>16843.589945333842</v>
      </c>
      <c r="ND27" s="60">
        <f t="shared" si="84"/>
        <v>0</v>
      </c>
      <c r="NE27" s="1042">
        <f t="shared" si="4"/>
        <v>187699.40199929351</v>
      </c>
      <c r="NF27" s="4">
        <f t="shared" si="136"/>
        <v>0</v>
      </c>
      <c r="NG27" s="5">
        <f t="shared" si="137"/>
        <v>0</v>
      </c>
      <c r="NH27" s="5">
        <f t="shared" si="138"/>
        <v>0</v>
      </c>
      <c r="NI27" s="5">
        <f t="shared" si="139"/>
        <v>0</v>
      </c>
      <c r="NJ27" s="5">
        <f t="shared" si="140"/>
        <v>0</v>
      </c>
      <c r="NK27" s="12">
        <f t="shared" si="141"/>
        <v>0</v>
      </c>
      <c r="NL27" s="27">
        <f t="shared" si="142"/>
        <v>0</v>
      </c>
      <c r="NM27" s="9">
        <f t="shared" si="143"/>
        <v>0</v>
      </c>
      <c r="NN27" s="5">
        <f t="shared" si="144"/>
        <v>47441.176549276002</v>
      </c>
      <c r="NO27" s="5">
        <f t="shared" si="145"/>
        <v>0</v>
      </c>
      <c r="NP27" s="24">
        <f t="shared" si="146"/>
        <v>8756.5482322711578</v>
      </c>
      <c r="NQ27" s="24">
        <f t="shared" si="147"/>
        <v>9350.0945856875987</v>
      </c>
      <c r="NR27" s="5">
        <f t="shared" si="0"/>
        <v>65547.81936723477</v>
      </c>
      <c r="NS27" s="27">
        <f t="shared" si="86"/>
        <v>0</v>
      </c>
      <c r="NT27" s="5">
        <f t="shared" si="87"/>
        <v>0</v>
      </c>
      <c r="NU27" s="5">
        <f t="shared" si="88"/>
        <v>0</v>
      </c>
      <c r="NV27" s="5">
        <f t="shared" si="89"/>
        <v>0</v>
      </c>
      <c r="NW27" s="5">
        <f t="shared" si="90"/>
        <v>0</v>
      </c>
      <c r="NX27" s="5">
        <f t="shared" si="91"/>
        <v>0</v>
      </c>
      <c r="NY27" s="27">
        <f t="shared" si="92"/>
        <v>1282.7281519076282</v>
      </c>
      <c r="NZ27" s="5">
        <f t="shared" si="93"/>
        <v>0</v>
      </c>
      <c r="OA27" s="27">
        <f t="shared" si="94"/>
        <v>30201.244759987771</v>
      </c>
      <c r="OB27" s="5"/>
      <c r="OC27" s="24">
        <f t="shared" si="95"/>
        <v>3403.7241844007053</v>
      </c>
      <c r="OD27" s="5">
        <f t="shared" si="96"/>
        <v>0</v>
      </c>
      <c r="OE27" s="5">
        <f t="shared" si="1"/>
        <v>34887.697096296106</v>
      </c>
      <c r="OF27" s="5">
        <f t="shared" si="163"/>
        <v>0</v>
      </c>
      <c r="OG27" s="5">
        <f t="shared" si="164"/>
        <v>0</v>
      </c>
      <c r="OH27" s="5">
        <f t="shared" si="169"/>
        <v>0</v>
      </c>
      <c r="OI27" s="5">
        <f t="shared" si="167"/>
        <v>0</v>
      </c>
      <c r="OJ27" s="27">
        <f t="shared" si="167"/>
        <v>0</v>
      </c>
      <c r="OK27" s="5">
        <f t="shared" si="168"/>
        <v>0</v>
      </c>
      <c r="OL27" s="24">
        <f t="shared" si="168"/>
        <v>0</v>
      </c>
      <c r="OM27" s="5">
        <f t="shared" si="154"/>
        <v>0</v>
      </c>
      <c r="ON27" s="24">
        <f t="shared" si="154"/>
        <v>98736.888513777973</v>
      </c>
      <c r="OO27" s="5">
        <f t="shared" si="156"/>
        <v>0</v>
      </c>
      <c r="OP27" s="5">
        <f t="shared" si="157"/>
        <v>1371.9843184086801</v>
      </c>
      <c r="OQ27" s="5">
        <f t="shared" si="158"/>
        <v>0</v>
      </c>
      <c r="OR27" s="15">
        <f t="shared" si="2"/>
        <v>100108.87283218665</v>
      </c>
      <c r="OS27" s="9"/>
      <c r="OT27" s="5"/>
      <c r="OU27" s="5"/>
      <c r="OV27" s="5"/>
      <c r="OW27" s="5"/>
      <c r="OX27" s="5"/>
      <c r="OY27" s="15">
        <f t="shared" si="98"/>
        <v>0</v>
      </c>
      <c r="OZ27" s="9">
        <f t="shared" si="99"/>
        <v>0</v>
      </c>
      <c r="PA27" s="5">
        <f t="shared" si="100"/>
        <v>0</v>
      </c>
      <c r="PB27" s="5">
        <f t="shared" si="101"/>
        <v>0</v>
      </c>
      <c r="PC27" s="5">
        <f t="shared" si="102"/>
        <v>0</v>
      </c>
      <c r="PD27" s="5">
        <f t="shared" si="103"/>
        <v>0</v>
      </c>
      <c r="PE27" s="5">
        <f t="shared" si="104"/>
        <v>0</v>
      </c>
      <c r="PF27" s="12">
        <f t="shared" si="3"/>
        <v>0</v>
      </c>
      <c r="PG27" s="2621"/>
      <c r="PI27" s="2">
        <v>1292.24</v>
      </c>
      <c r="PJ27" s="3">
        <v>816.6</v>
      </c>
      <c r="PK27" s="3">
        <v>408.3</v>
      </c>
      <c r="PL27" s="3">
        <f t="shared" si="148"/>
        <v>0</v>
      </c>
      <c r="PM27" s="3">
        <f t="shared" si="149"/>
        <v>930.99999999999989</v>
      </c>
      <c r="PN27" s="11">
        <f t="shared" si="150"/>
        <v>21377.855608283044</v>
      </c>
      <c r="PO27" s="15"/>
      <c r="PP27" s="2615"/>
      <c r="PR27" s="4"/>
      <c r="PS27" s="9"/>
      <c r="PT27" s="9"/>
      <c r="PU27" s="9"/>
      <c r="PV27" s="9"/>
      <c r="PW27" s="9"/>
      <c r="PX27" s="8">
        <f t="shared" si="105"/>
        <v>0</v>
      </c>
      <c r="PY27" s="5">
        <f t="shared" si="106"/>
        <v>1292.24</v>
      </c>
      <c r="PZ27" s="5"/>
      <c r="QA27" s="5"/>
      <c r="QB27" s="5"/>
      <c r="QC27" s="5"/>
      <c r="QD27" s="5"/>
      <c r="QE27" s="12">
        <f t="shared" si="107"/>
        <v>29749.381073161156</v>
      </c>
      <c r="QF27" s="420">
        <f t="shared" si="108"/>
        <v>409343.49360493</v>
      </c>
      <c r="QG27" s="1106">
        <f t="shared" si="109"/>
        <v>0</v>
      </c>
      <c r="QH27" s="484">
        <f t="shared" si="110"/>
        <v>5505.3678056100007</v>
      </c>
      <c r="QI27" s="12"/>
      <c r="QJ27" s="2615"/>
      <c r="QL27" s="139">
        <f t="shared" si="111"/>
        <v>0</v>
      </c>
      <c r="QM27" s="139" t="str">
        <f t="shared" si="112"/>
        <v/>
      </c>
      <c r="QO27" s="139">
        <f t="shared" si="113"/>
        <v>0</v>
      </c>
      <c r="QP27" s="139">
        <f t="shared" si="114"/>
        <v>0</v>
      </c>
      <c r="QR27" s="1">
        <f t="shared" si="115"/>
        <v>0</v>
      </c>
      <c r="QS27" s="1">
        <f t="shared" si="116"/>
        <v>0</v>
      </c>
      <c r="QT27" s="1">
        <f t="shared" si="117"/>
        <v>0</v>
      </c>
      <c r="QU27" s="1">
        <f t="shared" si="118"/>
        <v>0</v>
      </c>
      <c r="QV27" s="1">
        <f t="shared" si="119"/>
        <v>0</v>
      </c>
      <c r="QW27" s="1">
        <f t="shared" si="120"/>
        <v>0</v>
      </c>
      <c r="QY27" s="1">
        <f t="shared" si="121"/>
        <v>0</v>
      </c>
      <c r="QZ27" s="1">
        <f t="shared" si="122"/>
        <v>0</v>
      </c>
      <c r="RA27" s="1">
        <f t="shared" si="123"/>
        <v>0</v>
      </c>
      <c r="RB27" s="1">
        <f t="shared" si="124"/>
        <v>0</v>
      </c>
      <c r="RC27" s="1">
        <f t="shared" si="125"/>
        <v>0</v>
      </c>
      <c r="RD27" s="1">
        <f t="shared" si="126"/>
        <v>0</v>
      </c>
      <c r="RG27" s="1">
        <v>18</v>
      </c>
      <c r="RH27" s="1">
        <f t="shared" si="160"/>
        <v>-32724.090790282906</v>
      </c>
      <c r="RI27" s="1">
        <f t="shared" si="161"/>
        <v>15274.287780483719</v>
      </c>
      <c r="RJ27" s="1">
        <f t="shared" si="162"/>
        <v>13404.263703387322</v>
      </c>
      <c r="RK27" s="89">
        <f t="shared" si="5"/>
        <v>-4045.5393064118653</v>
      </c>
      <c r="RL27" s="1033">
        <v>18</v>
      </c>
      <c r="RM27" s="1098">
        <f t="shared" si="166"/>
        <v>0</v>
      </c>
      <c r="RN27" s="1098">
        <f t="shared" si="128"/>
        <v>0</v>
      </c>
      <c r="RO27" s="1097">
        <f t="shared" si="129"/>
        <v>0</v>
      </c>
      <c r="RP27" s="1097">
        <f t="shared" si="151"/>
        <v>4511.8999999999996</v>
      </c>
      <c r="RQ27" s="1050"/>
      <c r="RR27" s="1050" t="s">
        <v>703</v>
      </c>
      <c r="RS27" s="1048"/>
      <c r="RU27" s="421">
        <v>18</v>
      </c>
      <c r="RV27" s="1095">
        <f t="shared" si="130"/>
        <v>11329.07</v>
      </c>
      <c r="RW27" s="1046" t="s">
        <v>704</v>
      </c>
      <c r="RX27" s="1048"/>
      <c r="RY27" s="1090"/>
      <c r="RZ27" s="1090">
        <f t="shared" si="131"/>
        <v>0</v>
      </c>
      <c r="SA27" s="1090"/>
      <c r="SB27" s="1090">
        <f t="shared" si="132"/>
        <v>0</v>
      </c>
      <c r="SD27" s="1">
        <v>18</v>
      </c>
      <c r="SE27" s="1">
        <f t="shared" si="133"/>
        <v>0</v>
      </c>
      <c r="SF27" s="1094"/>
    </row>
    <row r="28" spans="1:500" s="1" customFormat="1">
      <c r="B28" s="471">
        <v>19</v>
      </c>
      <c r="C28" s="4">
        <f t="shared" si="6"/>
        <v>163562.6</v>
      </c>
      <c r="D28" s="64">
        <f t="shared" si="134"/>
        <v>8370.380000000001</v>
      </c>
      <c r="E28" s="61">
        <f t="shared" si="7"/>
        <v>19.540642121385169</v>
      </c>
      <c r="F28" s="870"/>
      <c r="G28" s="870"/>
      <c r="H28" s="52"/>
      <c r="I28" s="61"/>
      <c r="J28" s="52"/>
      <c r="K28" s="54"/>
      <c r="L28" s="52"/>
      <c r="M28" s="61"/>
      <c r="N28" s="2629"/>
      <c r="O28" s="4">
        <f t="shared" si="8"/>
        <v>91014</v>
      </c>
      <c r="P28" s="1225">
        <f t="shared" si="9"/>
        <v>4094.78</v>
      </c>
      <c r="Q28" s="64">
        <f t="shared" si="10"/>
        <v>22.226835141326273</v>
      </c>
      <c r="R28" s="33"/>
      <c r="S28" s="26">
        <f t="shared" si="11"/>
        <v>31440.6</v>
      </c>
      <c r="T28" s="27">
        <f t="shared" si="12"/>
        <v>1135.5999999999999</v>
      </c>
      <c r="U28" s="53">
        <f t="shared" si="13"/>
        <v>27.686333215921099</v>
      </c>
      <c r="V28" s="28"/>
      <c r="W28" s="26">
        <f t="shared" si="14"/>
        <v>41108</v>
      </c>
      <c r="X28" s="5">
        <f t="shared" si="15"/>
        <v>3140</v>
      </c>
      <c r="Y28" s="53">
        <f t="shared" si="16"/>
        <v>13.09171974522293</v>
      </c>
      <c r="Z28" s="33"/>
      <c r="AA28" s="26">
        <f t="shared" si="17"/>
        <v>0</v>
      </c>
      <c r="AB28" s="27">
        <f t="shared" si="18"/>
        <v>0</v>
      </c>
      <c r="AC28" s="53">
        <f t="shared" si="19"/>
        <v>0</v>
      </c>
      <c r="AD28" s="28"/>
      <c r="AE28" s="36"/>
      <c r="AF28" s="36"/>
      <c r="AG28" s="53">
        <f t="shared" si="20"/>
        <v>0</v>
      </c>
      <c r="AH28" s="28"/>
      <c r="AI28" s="23"/>
      <c r="AJ28" s="27"/>
      <c r="AK28" s="53">
        <f t="shared" si="21"/>
        <v>0</v>
      </c>
      <c r="AL28" s="28"/>
      <c r="AM28" s="2629"/>
      <c r="AN28" s="9"/>
      <c r="AO28" s="5"/>
      <c r="AP28" s="61">
        <f t="shared" si="22"/>
        <v>0</v>
      </c>
      <c r="AQ28" s="36"/>
      <c r="AR28" s="53"/>
      <c r="AS28" s="61">
        <f t="shared" si="23"/>
        <v>0</v>
      </c>
      <c r="AT28" s="36">
        <v>0</v>
      </c>
      <c r="AU28" s="27"/>
      <c r="AV28" s="61">
        <f t="shared" si="24"/>
        <v>0</v>
      </c>
      <c r="AW28" s="36">
        <v>49476</v>
      </c>
      <c r="AX28" s="27">
        <v>4056.88</v>
      </c>
      <c r="AY28" s="61">
        <f t="shared" si="25"/>
        <v>12.19557886849007</v>
      </c>
      <c r="AZ28" s="36"/>
      <c r="BA28" s="27"/>
      <c r="BB28" s="61">
        <f t="shared" si="26"/>
        <v>0</v>
      </c>
      <c r="BC28" s="36">
        <v>41538</v>
      </c>
      <c r="BD28" s="5">
        <v>37.9</v>
      </c>
      <c r="BE28" s="61">
        <f t="shared" si="27"/>
        <v>1095.9894459102902</v>
      </c>
      <c r="BF28" s="36"/>
      <c r="BG28" s="53"/>
      <c r="BH28" s="61">
        <f t="shared" si="28"/>
        <v>0</v>
      </c>
      <c r="BI28" s="36">
        <v>0</v>
      </c>
      <c r="BJ28" s="53">
        <v>0</v>
      </c>
      <c r="BK28" s="61">
        <f t="shared" si="29"/>
        <v>0</v>
      </c>
      <c r="BL28" s="52">
        <v>31440.6</v>
      </c>
      <c r="BM28" s="53">
        <v>1135.5999999999999</v>
      </c>
      <c r="BN28" s="482">
        <f t="shared" si="30"/>
        <v>27.686333215921099</v>
      </c>
      <c r="BO28" s="9">
        <v>0</v>
      </c>
      <c r="BP28" s="64">
        <v>0</v>
      </c>
      <c r="BQ28" s="482">
        <f t="shared" si="31"/>
        <v>0</v>
      </c>
      <c r="BR28" s="9"/>
      <c r="BS28" s="64"/>
      <c r="BT28" s="482">
        <f t="shared" si="32"/>
        <v>0</v>
      </c>
      <c r="BU28" s="9">
        <v>41108</v>
      </c>
      <c r="BV28" s="27">
        <v>3140</v>
      </c>
      <c r="BW28" s="15">
        <f t="shared" si="33"/>
        <v>13.09171974522293</v>
      </c>
      <c r="BX28" s="26"/>
      <c r="BY28" s="5"/>
      <c r="BZ28" s="482">
        <f t="shared" si="34"/>
        <v>0</v>
      </c>
      <c r="CA28" s="9"/>
      <c r="CB28" s="5"/>
      <c r="CC28" s="482">
        <f t="shared" si="35"/>
        <v>0</v>
      </c>
      <c r="CD28" s="4"/>
      <c r="CE28" s="5"/>
      <c r="CF28" s="28">
        <f t="shared" si="36"/>
        <v>0</v>
      </c>
      <c r="CG28" s="150"/>
      <c r="CH28" s="1108">
        <v>0</v>
      </c>
      <c r="CI28" s="5">
        <v>0</v>
      </c>
      <c r="CJ28" s="5">
        <v>0</v>
      </c>
      <c r="CK28" s="5">
        <v>11055</v>
      </c>
      <c r="CL28" s="5"/>
      <c r="CM28" s="5">
        <f t="shared" si="135"/>
        <v>11055</v>
      </c>
      <c r="CN28" s="33"/>
      <c r="CO28" s="366"/>
      <c r="CQ28" s="4">
        <f t="shared" si="37"/>
        <v>0</v>
      </c>
      <c r="CR28" s="9">
        <f t="shared" si="38"/>
        <v>0</v>
      </c>
      <c r="CS28" s="5">
        <f t="shared" si="39"/>
        <v>0</v>
      </c>
      <c r="CT28" s="5">
        <f t="shared" si="40"/>
        <v>0</v>
      </c>
      <c r="CU28" s="5">
        <f t="shared" si="41"/>
        <v>0</v>
      </c>
      <c r="CV28" s="5">
        <f t="shared" si="42"/>
        <v>0</v>
      </c>
      <c r="CW28" s="5">
        <f t="shared" si="43"/>
        <v>0</v>
      </c>
      <c r="CX28" s="5">
        <f t="shared" si="44"/>
        <v>0</v>
      </c>
      <c r="CY28" s="5">
        <f t="shared" si="45"/>
        <v>6772.4800000000005</v>
      </c>
      <c r="CZ28" s="5">
        <f t="shared" si="46"/>
        <v>0</v>
      </c>
      <c r="DA28" s="5">
        <f t="shared" si="47"/>
        <v>1597.9</v>
      </c>
      <c r="DB28" s="12">
        <f t="shared" si="48"/>
        <v>0</v>
      </c>
      <c r="DC28" s="310">
        <f t="shared" si="49"/>
        <v>8370.380000000001</v>
      </c>
      <c r="DD28" s="2695"/>
      <c r="DE28" s="9"/>
      <c r="DF28" s="9"/>
      <c r="DG28" s="5"/>
      <c r="DH28" s="5"/>
      <c r="DI28" s="5"/>
      <c r="DJ28" s="5"/>
      <c r="DK28" s="5"/>
      <c r="DL28" s="5"/>
      <c r="DM28" s="5">
        <v>4056.88</v>
      </c>
      <c r="DN28" s="5"/>
      <c r="DO28" s="488"/>
      <c r="DP28" s="324"/>
      <c r="DQ28" s="28">
        <f t="shared" si="50"/>
        <v>4056.88</v>
      </c>
      <c r="DR28" s="36"/>
      <c r="DS28" s="9"/>
      <c r="DT28" s="5"/>
      <c r="DU28" s="5"/>
      <c r="DV28" s="5"/>
      <c r="DW28" s="5"/>
      <c r="DX28" s="27"/>
      <c r="DY28" s="27"/>
      <c r="DZ28" s="27">
        <v>1135.6000000000001</v>
      </c>
      <c r="EA28" s="27"/>
      <c r="EB28" s="27">
        <v>37.9</v>
      </c>
      <c r="EC28" s="33"/>
      <c r="ED28" s="28">
        <f t="shared" si="51"/>
        <v>1173.5000000000002</v>
      </c>
      <c r="EE28" s="856"/>
      <c r="EF28" s="36"/>
      <c r="EG28" s="27"/>
      <c r="EH28" s="27"/>
      <c r="EI28" s="27"/>
      <c r="EJ28" s="27"/>
      <c r="EK28" s="27"/>
      <c r="EL28" s="27"/>
      <c r="EM28" s="27">
        <v>1580</v>
      </c>
      <c r="EN28" s="27"/>
      <c r="EO28" s="27">
        <v>1560</v>
      </c>
      <c r="EP28" s="33"/>
      <c r="EQ28" s="28">
        <f t="shared" si="52"/>
        <v>3140</v>
      </c>
      <c r="ER28" s="36"/>
      <c r="ES28" s="27"/>
      <c r="ET28" s="27"/>
      <c r="EU28" s="27"/>
      <c r="EV28" s="27"/>
      <c r="EW28" s="27"/>
      <c r="EX28" s="33">
        <f t="shared" si="53"/>
        <v>0</v>
      </c>
      <c r="EY28" s="2685"/>
      <c r="FA28" s="4">
        <f t="shared" si="54"/>
        <v>0</v>
      </c>
      <c r="FB28" s="5">
        <f t="shared" si="55"/>
        <v>0</v>
      </c>
      <c r="FC28" s="5">
        <f t="shared" si="56"/>
        <v>0</v>
      </c>
      <c r="FD28" s="12">
        <f t="shared" si="57"/>
        <v>0</v>
      </c>
      <c r="FE28" s="33"/>
      <c r="FF28" s="2674"/>
      <c r="FG28" s="9"/>
      <c r="FH28" s="5"/>
      <c r="FI28" s="5"/>
      <c r="FJ28" s="5"/>
      <c r="FK28" s="5"/>
      <c r="FL28" s="27"/>
      <c r="FM28" s="28">
        <f t="shared" si="58"/>
        <v>0</v>
      </c>
      <c r="FN28" s="36"/>
      <c r="FO28" s="27"/>
      <c r="FP28" s="27"/>
      <c r="FQ28" s="27"/>
      <c r="FR28" s="27"/>
      <c r="FS28" s="27"/>
      <c r="FT28" s="28">
        <f t="shared" si="59"/>
        <v>0</v>
      </c>
      <c r="FU28" s="36"/>
      <c r="FV28" s="36"/>
      <c r="FW28" s="27"/>
      <c r="FX28" s="27"/>
      <c r="FY28" s="27"/>
      <c r="FZ28" s="27"/>
      <c r="GA28" s="27"/>
      <c r="GB28" s="27"/>
      <c r="GC28" s="27"/>
      <c r="GD28" s="27"/>
      <c r="GE28" s="27"/>
      <c r="GF28" s="33"/>
      <c r="GG28" s="33">
        <f t="shared" si="60"/>
        <v>0</v>
      </c>
      <c r="GH28" s="2674"/>
      <c r="GJ28" s="4">
        <f t="shared" si="61"/>
        <v>1989.55</v>
      </c>
      <c r="GK28" s="5">
        <f t="shared" si="62"/>
        <v>4373.5000000000009</v>
      </c>
      <c r="GL28" s="27">
        <f t="shared" si="63"/>
        <v>5642.1799999999994</v>
      </c>
      <c r="GM28" s="27">
        <f t="shared" si="64"/>
        <v>12005.23</v>
      </c>
      <c r="GN28" s="141"/>
      <c r="GO28" s="141"/>
      <c r="GP28" s="33"/>
      <c r="GQ28" s="2667"/>
      <c r="GR28" s="845">
        <v>5021.6000000000004</v>
      </c>
      <c r="GS28" s="36">
        <v>285.5</v>
      </c>
      <c r="GT28" s="27">
        <v>3046.3699999999994</v>
      </c>
      <c r="GU28" s="27">
        <v>3651.76</v>
      </c>
      <c r="GV28" s="33">
        <f t="shared" si="65"/>
        <v>12005.23</v>
      </c>
      <c r="GW28" s="2667"/>
      <c r="GX28" s="36"/>
      <c r="GY28" s="36"/>
      <c r="GZ28" s="27"/>
      <c r="HA28" s="27"/>
      <c r="HB28" s="27"/>
      <c r="HC28" s="27"/>
      <c r="HD28" s="27"/>
      <c r="HE28" s="27"/>
      <c r="HF28" s="27">
        <v>1704.05</v>
      </c>
      <c r="HG28" s="27"/>
      <c r="HH28" s="27"/>
      <c r="HI28" s="27"/>
      <c r="HJ28" s="27">
        <v>285.5</v>
      </c>
      <c r="HK28" s="27"/>
      <c r="HL28" s="28">
        <f t="shared" si="66"/>
        <v>1989.55</v>
      </c>
      <c r="HM28" s="36"/>
      <c r="HN28" s="27"/>
      <c r="HO28" s="27"/>
      <c r="HP28" s="27"/>
      <c r="HQ28" s="27"/>
      <c r="HR28" s="27"/>
      <c r="HS28" s="27"/>
      <c r="HT28" s="27"/>
      <c r="HU28" s="27"/>
      <c r="HV28" s="27"/>
      <c r="HW28" s="27"/>
      <c r="HX28" s="27"/>
      <c r="HY28" s="27"/>
      <c r="HZ28" s="27"/>
      <c r="IA28" s="33">
        <f t="shared" si="67"/>
        <v>0</v>
      </c>
      <c r="IB28" s="52"/>
      <c r="IC28" s="152"/>
      <c r="ID28" s="53"/>
      <c r="IE28" s="53"/>
      <c r="IF28" s="53"/>
      <c r="IG28" s="53"/>
      <c r="IH28" s="53"/>
      <c r="II28" s="53"/>
      <c r="IJ28" s="53">
        <v>4373.5000000000009</v>
      </c>
      <c r="IK28" s="53"/>
      <c r="IL28" s="53"/>
      <c r="IM28" s="53"/>
      <c r="IN28" s="53"/>
      <c r="IO28" s="53"/>
      <c r="IP28" s="61">
        <f t="shared" si="68"/>
        <v>4373.5000000000009</v>
      </c>
      <c r="IQ28" s="36"/>
      <c r="IR28" s="36"/>
      <c r="IS28" s="27"/>
      <c r="IT28" s="27"/>
      <c r="IU28" s="53"/>
      <c r="IV28" s="27"/>
      <c r="IW28" s="27"/>
      <c r="IX28" s="27"/>
      <c r="IY28" s="27">
        <v>5642.1799999999994</v>
      </c>
      <c r="IZ28" s="27"/>
      <c r="JA28" s="27"/>
      <c r="JB28" s="27"/>
      <c r="JC28" s="27"/>
      <c r="JD28" s="27"/>
      <c r="JE28" s="33">
        <f t="shared" si="69"/>
        <v>5642.1799999999994</v>
      </c>
      <c r="JF28" s="2667"/>
      <c r="JH28" s="52">
        <v>12005.230000000001</v>
      </c>
      <c r="JI28" s="152"/>
      <c r="JJ28" s="53"/>
      <c r="JK28" s="53">
        <f t="shared" si="70"/>
        <v>12005.230000000001</v>
      </c>
      <c r="JL28" s="33"/>
      <c r="JM28" s="2669"/>
      <c r="JN28" s="69"/>
      <c r="JO28" s="70"/>
      <c r="JP28" s="70"/>
      <c r="JQ28" s="70"/>
      <c r="JR28" s="70">
        <v>1</v>
      </c>
      <c r="JS28" s="70"/>
      <c r="JT28" s="70"/>
      <c r="JU28" s="71"/>
      <c r="JV28" s="69"/>
      <c r="JW28" s="70"/>
      <c r="JX28" s="70"/>
      <c r="JY28" s="70"/>
      <c r="JZ28" s="70"/>
      <c r="KA28" s="70"/>
      <c r="KB28" s="70"/>
      <c r="KC28" s="71"/>
      <c r="KD28" s="69"/>
      <c r="KE28" s="70"/>
      <c r="KF28" s="70"/>
      <c r="KG28" s="70"/>
      <c r="KH28" s="70"/>
      <c r="KI28" s="70"/>
      <c r="KJ28" s="70"/>
      <c r="KK28" s="70"/>
      <c r="KL28" s="33"/>
      <c r="KM28" s="2669"/>
      <c r="KN28" s="36">
        <v>6978.3190293950001</v>
      </c>
      <c r="KO28" s="53">
        <v>0.84107238824199981</v>
      </c>
      <c r="KP28" s="53">
        <v>3.5813704095757672</v>
      </c>
      <c r="KQ28" s="53">
        <v>5.7386352902858082</v>
      </c>
      <c r="KR28" s="54">
        <v>10.363950004071331</v>
      </c>
      <c r="KS28" s="4">
        <v>0</v>
      </c>
      <c r="KT28" s="64">
        <v>0</v>
      </c>
      <c r="KU28" s="64">
        <v>0</v>
      </c>
      <c r="KV28" s="64">
        <v>0</v>
      </c>
      <c r="KW28" s="482">
        <v>0</v>
      </c>
      <c r="KX28" s="36"/>
      <c r="KY28" s="53"/>
      <c r="KZ28" s="53"/>
      <c r="LA28" s="53"/>
      <c r="LB28" s="53"/>
      <c r="LC28" s="33"/>
      <c r="LD28" s="2669"/>
      <c r="LF28" s="4">
        <f t="shared" si="71"/>
        <v>0</v>
      </c>
      <c r="LG28" s="27">
        <f t="shared" si="72"/>
        <v>9837.02</v>
      </c>
      <c r="LH28" s="27">
        <f t="shared" si="73"/>
        <v>0</v>
      </c>
      <c r="LI28" s="28">
        <f t="shared" si="74"/>
        <v>9837.02</v>
      </c>
      <c r="LJ28" s="36">
        <v>1</v>
      </c>
      <c r="LK28" s="27"/>
      <c r="LL28" s="27"/>
      <c r="LM28" s="33"/>
      <c r="LN28" s="1041">
        <v>6.79</v>
      </c>
      <c r="LO28" s="486"/>
      <c r="LP28" s="2688"/>
      <c r="LQ28" s="1036"/>
      <c r="LR28" s="36"/>
      <c r="LS28" s="27"/>
      <c r="LT28" s="27"/>
      <c r="LU28" s="27"/>
      <c r="LV28" s="1107">
        <f t="shared" si="75"/>
        <v>0</v>
      </c>
      <c r="LW28" s="36"/>
      <c r="LX28" s="36">
        <v>9837.02</v>
      </c>
      <c r="LY28" s="27"/>
      <c r="LZ28" s="27"/>
      <c r="MA28" s="33"/>
      <c r="MB28" s="28">
        <f t="shared" si="76"/>
        <v>9837.02</v>
      </c>
      <c r="MC28" s="26"/>
      <c r="MD28" s="36"/>
      <c r="ME28" s="27"/>
      <c r="MF28" s="27"/>
      <c r="MG28" s="27"/>
      <c r="MH28" s="28"/>
      <c r="MI28" s="36"/>
      <c r="MJ28" s="36"/>
      <c r="MK28" s="27"/>
      <c r="ML28" s="27"/>
      <c r="MM28" s="27"/>
      <c r="MN28" s="28"/>
      <c r="MO28" s="36"/>
      <c r="MP28" s="36"/>
      <c r="MQ28" s="27"/>
      <c r="MR28" s="27"/>
      <c r="MS28" s="27"/>
      <c r="MT28" s="33">
        <f t="shared" si="77"/>
        <v>0</v>
      </c>
      <c r="MU28" s="2688"/>
      <c r="MW28" s="26">
        <f t="shared" si="78"/>
        <v>189867.61199929353</v>
      </c>
      <c r="MX28" s="27">
        <f t="shared" si="79"/>
        <v>197195.03929571752</v>
      </c>
      <c r="MY28" s="27">
        <f t="shared" si="80"/>
        <v>21338.355608283044</v>
      </c>
      <c r="MZ28" s="28">
        <f t="shared" si="81"/>
        <v>438024.51467809116</v>
      </c>
      <c r="NA28" s="2621"/>
      <c r="NB28" s="23">
        <f t="shared" si="82"/>
        <v>182861.04205395968</v>
      </c>
      <c r="NC28" s="64">
        <f t="shared" si="83"/>
        <v>7006.569945333842</v>
      </c>
      <c r="ND28" s="60">
        <f t="shared" si="84"/>
        <v>0</v>
      </c>
      <c r="NE28" s="1110">
        <f t="shared" si="4"/>
        <v>189867.61199929353</v>
      </c>
      <c r="NF28" s="26">
        <f t="shared" si="136"/>
        <v>0</v>
      </c>
      <c r="NG28" s="27">
        <f t="shared" si="137"/>
        <v>0</v>
      </c>
      <c r="NH28" s="27">
        <f t="shared" si="138"/>
        <v>0</v>
      </c>
      <c r="NI28" s="27">
        <f t="shared" si="139"/>
        <v>0</v>
      </c>
      <c r="NJ28" s="27">
        <f t="shared" si="140"/>
        <v>0</v>
      </c>
      <c r="NK28" s="33">
        <f t="shared" si="141"/>
        <v>0</v>
      </c>
      <c r="NL28" s="27">
        <f t="shared" si="142"/>
        <v>0</v>
      </c>
      <c r="NM28" s="36">
        <f t="shared" si="143"/>
        <v>0</v>
      </c>
      <c r="NN28" s="27">
        <f t="shared" si="144"/>
        <v>47317.126549275999</v>
      </c>
      <c r="NO28" s="27">
        <f t="shared" si="145"/>
        <v>0</v>
      </c>
      <c r="NP28" s="24">
        <f t="shared" si="146"/>
        <v>8756.5482322711578</v>
      </c>
      <c r="NQ28" s="24">
        <f t="shared" si="147"/>
        <v>10910.094585687599</v>
      </c>
      <c r="NR28" s="27">
        <f t="shared" si="0"/>
        <v>66983.769367234752</v>
      </c>
      <c r="NS28" s="27">
        <f t="shared" si="86"/>
        <v>0</v>
      </c>
      <c r="NT28" s="27">
        <f t="shared" si="87"/>
        <v>0</v>
      </c>
      <c r="NU28" s="27">
        <f t="shared" si="88"/>
        <v>0</v>
      </c>
      <c r="NV28" s="27">
        <f t="shared" si="89"/>
        <v>0</v>
      </c>
      <c r="NW28" s="27">
        <f t="shared" si="90"/>
        <v>0</v>
      </c>
      <c r="NX28" s="5">
        <f t="shared" si="91"/>
        <v>0</v>
      </c>
      <c r="NY28" s="27">
        <f t="shared" si="92"/>
        <v>1282.7281519076282</v>
      </c>
      <c r="NZ28" s="27">
        <f t="shared" si="93"/>
        <v>0</v>
      </c>
      <c r="OA28" s="27">
        <f t="shared" si="94"/>
        <v>29884.624759987768</v>
      </c>
      <c r="OB28" s="27"/>
      <c r="OC28" s="24">
        <f t="shared" si="95"/>
        <v>3403.7241844007053</v>
      </c>
      <c r="OD28" s="27">
        <f t="shared" si="96"/>
        <v>0</v>
      </c>
      <c r="OE28" s="28">
        <f t="shared" si="1"/>
        <v>34571.077096296103</v>
      </c>
      <c r="OF28" s="27">
        <f t="shared" si="163"/>
        <v>0</v>
      </c>
      <c r="OG28" s="27">
        <f t="shared" si="164"/>
        <v>0</v>
      </c>
      <c r="OH28" s="27">
        <f t="shared" si="169"/>
        <v>0</v>
      </c>
      <c r="OI28" s="27">
        <f t="shared" si="167"/>
        <v>0</v>
      </c>
      <c r="OJ28" s="27">
        <f t="shared" si="167"/>
        <v>0</v>
      </c>
      <c r="OK28" s="27">
        <f t="shared" si="168"/>
        <v>0</v>
      </c>
      <c r="OL28" s="24">
        <f t="shared" si="168"/>
        <v>0</v>
      </c>
      <c r="OM28" s="27">
        <f t="shared" si="154"/>
        <v>0</v>
      </c>
      <c r="ON28" s="24">
        <f t="shared" si="154"/>
        <v>94230.308513777985</v>
      </c>
      <c r="OO28" s="27">
        <f t="shared" si="156"/>
        <v>0</v>
      </c>
      <c r="OP28" s="27">
        <f t="shared" si="157"/>
        <v>1409.8843184086802</v>
      </c>
      <c r="OQ28" s="27">
        <f t="shared" si="158"/>
        <v>0</v>
      </c>
      <c r="OR28" s="28">
        <f t="shared" si="2"/>
        <v>95640.192832186673</v>
      </c>
      <c r="OS28" s="36"/>
      <c r="OT28" s="27"/>
      <c r="OU28" s="27"/>
      <c r="OV28" s="27"/>
      <c r="OW28" s="27"/>
      <c r="OX28" s="27"/>
      <c r="OY28" s="28">
        <f t="shared" si="98"/>
        <v>0</v>
      </c>
      <c r="OZ28" s="36">
        <f t="shared" si="99"/>
        <v>0</v>
      </c>
      <c r="PA28" s="27">
        <f t="shared" si="100"/>
        <v>0</v>
      </c>
      <c r="PB28" s="27">
        <f t="shared" si="101"/>
        <v>0</v>
      </c>
      <c r="PC28" s="27">
        <f t="shared" si="102"/>
        <v>0</v>
      </c>
      <c r="PD28" s="27">
        <f t="shared" si="103"/>
        <v>0</v>
      </c>
      <c r="PE28" s="27">
        <f t="shared" si="104"/>
        <v>0</v>
      </c>
      <c r="PF28" s="33">
        <f t="shared" si="3"/>
        <v>0</v>
      </c>
      <c r="PG28" s="2621"/>
      <c r="PI28" s="2">
        <v>1068.3599999999999</v>
      </c>
      <c r="PJ28" s="3">
        <v>492</v>
      </c>
      <c r="PK28" s="3">
        <v>246.00000000000009</v>
      </c>
      <c r="PL28" s="3">
        <f t="shared" si="148"/>
        <v>285.5</v>
      </c>
      <c r="PM28" s="3">
        <f t="shared" si="149"/>
        <v>1507.3599999999997</v>
      </c>
      <c r="PN28" s="11">
        <f t="shared" si="150"/>
        <v>21338.355608283044</v>
      </c>
      <c r="PO28" s="15"/>
      <c r="PP28" s="2615"/>
      <c r="PR28" s="4"/>
      <c r="PS28" s="9"/>
      <c r="PT28" s="9"/>
      <c r="PU28" s="9"/>
      <c r="PV28" s="9"/>
      <c r="PW28" s="9"/>
      <c r="PX28" s="8">
        <f t="shared" si="105"/>
        <v>0</v>
      </c>
      <c r="PY28" s="5">
        <f t="shared" si="106"/>
        <v>1068.3599999999999</v>
      </c>
      <c r="PZ28" s="5"/>
      <c r="QA28" s="5"/>
      <c r="QB28" s="5"/>
      <c r="QC28" s="5"/>
      <c r="QD28" s="5"/>
      <c r="QE28" s="12">
        <f t="shared" si="107"/>
        <v>29749.381073161156</v>
      </c>
      <c r="QF28" s="420">
        <f t="shared" si="108"/>
        <v>408275.13360493002</v>
      </c>
      <c r="QG28" s="1106">
        <f t="shared" si="109"/>
        <v>0</v>
      </c>
      <c r="QH28" s="484">
        <f t="shared" si="110"/>
        <v>5505.3678056100007</v>
      </c>
      <c r="QI28" s="12"/>
      <c r="QJ28" s="2615"/>
      <c r="QL28" s="139">
        <f t="shared" si="111"/>
        <v>0</v>
      </c>
      <c r="QM28" s="139" t="str">
        <f t="shared" si="112"/>
        <v/>
      </c>
      <c r="QO28" s="139">
        <f t="shared" si="113"/>
        <v>0</v>
      </c>
      <c r="QP28" s="139">
        <f t="shared" si="114"/>
        <v>0</v>
      </c>
      <c r="QR28" s="1">
        <f t="shared" si="115"/>
        <v>0</v>
      </c>
      <c r="QS28" s="1">
        <f t="shared" si="116"/>
        <v>0</v>
      </c>
      <c r="QT28" s="1">
        <f t="shared" si="117"/>
        <v>0</v>
      </c>
      <c r="QU28" s="1">
        <f t="shared" si="118"/>
        <v>0</v>
      </c>
      <c r="QV28" s="1">
        <f t="shared" si="119"/>
        <v>0</v>
      </c>
      <c r="QW28" s="1">
        <f t="shared" si="120"/>
        <v>0</v>
      </c>
      <c r="QY28" s="1">
        <f t="shared" si="121"/>
        <v>0</v>
      </c>
      <c r="QZ28" s="1">
        <f t="shared" si="122"/>
        <v>0</v>
      </c>
      <c r="RA28" s="1">
        <f t="shared" si="123"/>
        <v>0</v>
      </c>
      <c r="RB28" s="1">
        <f t="shared" si="124"/>
        <v>0</v>
      </c>
      <c r="RC28" s="1">
        <f t="shared" si="125"/>
        <v>0</v>
      </c>
      <c r="RD28" s="1">
        <f t="shared" si="126"/>
        <v>0</v>
      </c>
      <c r="RG28" s="1">
        <v>19</v>
      </c>
      <c r="RH28" s="1">
        <f t="shared" si="160"/>
        <v>-20718.860790282903</v>
      </c>
      <c r="RI28" s="1">
        <f t="shared" si="161"/>
        <v>5437.2677804837185</v>
      </c>
      <c r="RJ28" s="1">
        <f t="shared" si="162"/>
        <v>13404.263703387322</v>
      </c>
      <c r="RK28" s="89">
        <f t="shared" si="5"/>
        <v>-1877.3293064118625</v>
      </c>
      <c r="RL28" s="1033">
        <v>19</v>
      </c>
      <c r="RM28" s="1098">
        <f t="shared" si="166"/>
        <v>0</v>
      </c>
      <c r="RN28" s="1098">
        <f t="shared" si="128"/>
        <v>0</v>
      </c>
      <c r="RO28" s="1097">
        <f t="shared" si="129"/>
        <v>0</v>
      </c>
      <c r="RP28" s="1097">
        <f t="shared" si="151"/>
        <v>5230.3799999999992</v>
      </c>
      <c r="RQ28" s="1050"/>
      <c r="RR28" s="1046" t="s">
        <v>705</v>
      </c>
      <c r="RS28" s="1048"/>
      <c r="RU28" s="421">
        <v>19</v>
      </c>
      <c r="RV28" s="1095">
        <f t="shared" si="130"/>
        <v>12005.23</v>
      </c>
      <c r="RW28" s="1046" t="s">
        <v>706</v>
      </c>
      <c r="RX28" s="1048"/>
      <c r="RY28" s="1090"/>
      <c r="RZ28" s="1090">
        <f t="shared" si="131"/>
        <v>0</v>
      </c>
      <c r="SA28" s="1090"/>
      <c r="SB28" s="1090">
        <f t="shared" si="132"/>
        <v>0</v>
      </c>
      <c r="SD28" s="1">
        <v>19</v>
      </c>
      <c r="SE28" s="1">
        <f t="shared" si="133"/>
        <v>285.5</v>
      </c>
      <c r="SF28" s="1096" t="s">
        <v>707</v>
      </c>
    </row>
    <row r="29" spans="1:500" s="1" customFormat="1">
      <c r="B29" s="471">
        <v>20</v>
      </c>
      <c r="C29" s="4">
        <f t="shared" si="6"/>
        <v>159533.6</v>
      </c>
      <c r="D29" s="64">
        <f t="shared" si="134"/>
        <v>9801.83</v>
      </c>
      <c r="E29" s="482">
        <f t="shared" si="7"/>
        <v>16.275899500399415</v>
      </c>
      <c r="F29" s="870"/>
      <c r="G29" s="870"/>
      <c r="H29" s="845"/>
      <c r="I29" s="482"/>
      <c r="J29" s="845"/>
      <c r="K29" s="846"/>
      <c r="L29" s="845"/>
      <c r="M29" s="482"/>
      <c r="N29" s="2629"/>
      <c r="O29" s="4">
        <f t="shared" si="8"/>
        <v>89418</v>
      </c>
      <c r="P29" s="1225">
        <f t="shared" si="9"/>
        <v>5791.05</v>
      </c>
      <c r="Q29" s="64">
        <f t="shared" si="10"/>
        <v>15.440723184914653</v>
      </c>
      <c r="R29" s="12"/>
      <c r="S29" s="26">
        <f t="shared" si="11"/>
        <v>33999.599999999999</v>
      </c>
      <c r="T29" s="27">
        <f t="shared" si="12"/>
        <v>950.78</v>
      </c>
      <c r="U29" s="64">
        <f t="shared" si="13"/>
        <v>35.759692042323145</v>
      </c>
      <c r="V29" s="15"/>
      <c r="W29" s="26">
        <f t="shared" si="14"/>
        <v>36116</v>
      </c>
      <c r="X29" s="5">
        <f t="shared" si="15"/>
        <v>3060</v>
      </c>
      <c r="Y29" s="64">
        <f t="shared" si="16"/>
        <v>11.802614379084968</v>
      </c>
      <c r="Z29" s="12"/>
      <c r="AA29" s="26">
        <f t="shared" si="17"/>
        <v>0</v>
      </c>
      <c r="AB29" s="27">
        <f t="shared" si="18"/>
        <v>0</v>
      </c>
      <c r="AC29" s="64">
        <f t="shared" si="19"/>
        <v>0</v>
      </c>
      <c r="AD29" s="15"/>
      <c r="AE29" s="9"/>
      <c r="AF29" s="9"/>
      <c r="AG29" s="64">
        <f t="shared" si="20"/>
        <v>0</v>
      </c>
      <c r="AH29" s="15"/>
      <c r="AI29" s="4"/>
      <c r="AJ29" s="5"/>
      <c r="AK29" s="64">
        <f t="shared" si="21"/>
        <v>0</v>
      </c>
      <c r="AL29" s="15"/>
      <c r="AM29" s="2629"/>
      <c r="AN29" s="9"/>
      <c r="AO29" s="5"/>
      <c r="AP29" s="482">
        <f t="shared" si="22"/>
        <v>0</v>
      </c>
      <c r="AQ29" s="9"/>
      <c r="AR29" s="64"/>
      <c r="AS29" s="482">
        <f t="shared" si="23"/>
        <v>0</v>
      </c>
      <c r="AT29" s="9">
        <v>0</v>
      </c>
      <c r="AU29" s="5"/>
      <c r="AV29" s="482">
        <f t="shared" si="24"/>
        <v>0</v>
      </c>
      <c r="AW29" s="9">
        <v>55188</v>
      </c>
      <c r="AX29" s="5">
        <v>3745.01</v>
      </c>
      <c r="AY29" s="482">
        <f t="shared" si="25"/>
        <v>14.736409248573434</v>
      </c>
      <c r="AZ29" s="9"/>
      <c r="BA29" s="5"/>
      <c r="BB29" s="482">
        <f t="shared" si="26"/>
        <v>0</v>
      </c>
      <c r="BC29" s="9">
        <v>34230</v>
      </c>
      <c r="BD29" s="5">
        <v>2046.04</v>
      </c>
      <c r="BE29" s="482">
        <f t="shared" si="27"/>
        <v>16.729878203749681</v>
      </c>
      <c r="BF29" s="36"/>
      <c r="BG29" s="53"/>
      <c r="BH29" s="482">
        <f t="shared" si="28"/>
        <v>0</v>
      </c>
      <c r="BI29" s="9">
        <v>0</v>
      </c>
      <c r="BJ29" s="53">
        <v>0</v>
      </c>
      <c r="BK29" s="482">
        <f t="shared" si="29"/>
        <v>0</v>
      </c>
      <c r="BL29" s="52">
        <v>33999.599999999999</v>
      </c>
      <c r="BM29" s="53">
        <v>950.78</v>
      </c>
      <c r="BN29" s="482">
        <f t="shared" si="30"/>
        <v>35.759692042323145</v>
      </c>
      <c r="BO29" s="9">
        <v>0</v>
      </c>
      <c r="BP29" s="64">
        <v>0</v>
      </c>
      <c r="BQ29" s="482">
        <f t="shared" si="31"/>
        <v>0</v>
      </c>
      <c r="BR29" s="9"/>
      <c r="BS29" s="64"/>
      <c r="BT29" s="482">
        <f t="shared" si="32"/>
        <v>0</v>
      </c>
      <c r="BU29" s="9">
        <v>36116</v>
      </c>
      <c r="BV29" s="27">
        <v>3060</v>
      </c>
      <c r="BW29" s="15">
        <f t="shared" si="33"/>
        <v>11.802614379084968</v>
      </c>
      <c r="BX29" s="26"/>
      <c r="BY29" s="5"/>
      <c r="BZ29" s="482">
        <f t="shared" si="34"/>
        <v>0</v>
      </c>
      <c r="CA29" s="9"/>
      <c r="CB29" s="5"/>
      <c r="CC29" s="482">
        <f t="shared" si="35"/>
        <v>0</v>
      </c>
      <c r="CD29" s="4"/>
      <c r="CE29" s="494"/>
      <c r="CF29" s="15">
        <f t="shared" si="36"/>
        <v>0</v>
      </c>
      <c r="CG29" s="150"/>
      <c r="CH29" s="1108">
        <v>1040</v>
      </c>
      <c r="CI29" s="5">
        <v>0</v>
      </c>
      <c r="CJ29" s="5">
        <v>0</v>
      </c>
      <c r="CK29" s="5">
        <v>12624</v>
      </c>
      <c r="CL29" s="5"/>
      <c r="CM29" s="5">
        <f t="shared" si="135"/>
        <v>13664</v>
      </c>
      <c r="CN29" s="12"/>
      <c r="CO29" s="366"/>
      <c r="CQ29" s="4">
        <f t="shared" si="37"/>
        <v>0</v>
      </c>
      <c r="CR29" s="9">
        <f t="shared" si="38"/>
        <v>0</v>
      </c>
      <c r="CS29" s="5">
        <f t="shared" si="39"/>
        <v>0</v>
      </c>
      <c r="CT29" s="5">
        <f t="shared" si="40"/>
        <v>0</v>
      </c>
      <c r="CU29" s="5">
        <f t="shared" si="41"/>
        <v>0</v>
      </c>
      <c r="CV29" s="5">
        <f t="shared" si="42"/>
        <v>0</v>
      </c>
      <c r="CW29" s="5">
        <f t="shared" si="43"/>
        <v>615.76</v>
      </c>
      <c r="CX29" s="5">
        <f t="shared" si="44"/>
        <v>0</v>
      </c>
      <c r="CY29" s="5">
        <f t="shared" si="45"/>
        <v>6993.59</v>
      </c>
      <c r="CZ29" s="5">
        <f t="shared" si="46"/>
        <v>0</v>
      </c>
      <c r="DA29" s="5">
        <f t="shared" si="47"/>
        <v>2192.48</v>
      </c>
      <c r="DB29" s="12">
        <f t="shared" si="48"/>
        <v>0</v>
      </c>
      <c r="DC29" s="847">
        <f t="shared" si="49"/>
        <v>9801.83</v>
      </c>
      <c r="DD29" s="2695"/>
      <c r="DE29" s="9"/>
      <c r="DF29" s="9"/>
      <c r="DG29" s="5"/>
      <c r="DH29" s="5"/>
      <c r="DI29" s="5"/>
      <c r="DJ29" s="5"/>
      <c r="DK29" s="5">
        <v>615.76</v>
      </c>
      <c r="DL29" s="5"/>
      <c r="DM29" s="5">
        <v>3129.25</v>
      </c>
      <c r="DN29" s="5"/>
      <c r="DO29" s="5"/>
      <c r="DP29" s="12"/>
      <c r="DQ29" s="15">
        <f t="shared" si="50"/>
        <v>3745.01</v>
      </c>
      <c r="DR29" s="9"/>
      <c r="DS29" s="9"/>
      <c r="DT29" s="5"/>
      <c r="DU29" s="5"/>
      <c r="DV29" s="5"/>
      <c r="DW29" s="5"/>
      <c r="DX29" s="5"/>
      <c r="DY29" s="5"/>
      <c r="DZ29" s="5">
        <v>2964.34</v>
      </c>
      <c r="EA29" s="5"/>
      <c r="EB29" s="5">
        <v>32.479999999999997</v>
      </c>
      <c r="EC29" s="12"/>
      <c r="ED29" s="15">
        <f t="shared" si="51"/>
        <v>2996.82</v>
      </c>
      <c r="EE29" s="9"/>
      <c r="EF29" s="9"/>
      <c r="EG29" s="5"/>
      <c r="EH29" s="5"/>
      <c r="EI29" s="5"/>
      <c r="EJ29" s="5"/>
      <c r="EK29" s="5"/>
      <c r="EL29" s="5"/>
      <c r="EM29" s="5">
        <v>900</v>
      </c>
      <c r="EN29" s="5"/>
      <c r="EO29" s="5">
        <v>2160</v>
      </c>
      <c r="EP29" s="12"/>
      <c r="EQ29" s="15">
        <f t="shared" si="52"/>
        <v>3060</v>
      </c>
      <c r="ER29" s="9"/>
      <c r="ES29" s="5"/>
      <c r="ET29" s="5"/>
      <c r="EU29" s="5"/>
      <c r="EV29" s="5"/>
      <c r="EW29" s="5"/>
      <c r="EX29" s="12">
        <f t="shared" si="53"/>
        <v>0</v>
      </c>
      <c r="EY29" s="2685"/>
      <c r="FA29" s="4">
        <f t="shared" si="54"/>
        <v>0</v>
      </c>
      <c r="FB29" s="5">
        <f t="shared" si="55"/>
        <v>0</v>
      </c>
      <c r="FC29" s="5">
        <f t="shared" si="56"/>
        <v>0</v>
      </c>
      <c r="FD29" s="12">
        <f t="shared" si="57"/>
        <v>0</v>
      </c>
      <c r="FE29" s="12"/>
      <c r="FF29" s="2674"/>
      <c r="FG29" s="9"/>
      <c r="FH29" s="5"/>
      <c r="FI29" s="5"/>
      <c r="FJ29" s="5"/>
      <c r="FK29" s="5"/>
      <c r="FL29" s="5"/>
      <c r="FM29" s="15">
        <f t="shared" si="58"/>
        <v>0</v>
      </c>
      <c r="FN29" s="9"/>
      <c r="FO29" s="5"/>
      <c r="FP29" s="5"/>
      <c r="FQ29" s="5"/>
      <c r="FR29" s="5"/>
      <c r="FS29" s="5"/>
      <c r="FT29" s="15">
        <f t="shared" si="59"/>
        <v>0</v>
      </c>
      <c r="FU29" s="9"/>
      <c r="FV29" s="9"/>
      <c r="FW29" s="5"/>
      <c r="FX29" s="5"/>
      <c r="FY29" s="5"/>
      <c r="FZ29" s="5"/>
      <c r="GA29" s="5"/>
      <c r="GB29" s="5"/>
      <c r="GC29" s="5"/>
      <c r="GD29" s="5"/>
      <c r="GE29" s="5"/>
      <c r="GF29" s="12"/>
      <c r="GG29" s="12">
        <f t="shared" si="60"/>
        <v>0</v>
      </c>
      <c r="GH29" s="2674"/>
      <c r="GJ29" s="4">
        <f t="shared" si="61"/>
        <v>3623.62</v>
      </c>
      <c r="GK29" s="64">
        <f t="shared" si="62"/>
        <v>2841.04</v>
      </c>
      <c r="GL29" s="64">
        <f t="shared" si="63"/>
        <v>6268.18</v>
      </c>
      <c r="GM29" s="64">
        <f t="shared" si="64"/>
        <v>12732.84</v>
      </c>
      <c r="GN29" s="848"/>
      <c r="GO29" s="848"/>
      <c r="GP29" s="12"/>
      <c r="GQ29" s="2667"/>
      <c r="GR29" s="1017">
        <v>4920.55</v>
      </c>
      <c r="GS29" s="5">
        <v>1460.1999999999998</v>
      </c>
      <c r="GT29" s="5">
        <v>2860.1400000000003</v>
      </c>
      <c r="GU29" s="5">
        <v>3491.95</v>
      </c>
      <c r="GV29" s="12">
        <f t="shared" si="65"/>
        <v>12732.84</v>
      </c>
      <c r="GW29" s="2667"/>
      <c r="GX29" s="9"/>
      <c r="GY29" s="9"/>
      <c r="GZ29" s="5"/>
      <c r="HA29" s="5"/>
      <c r="HB29" s="5"/>
      <c r="HC29" s="5"/>
      <c r="HD29" s="5"/>
      <c r="HE29" s="5"/>
      <c r="HF29" s="5">
        <v>2163.42</v>
      </c>
      <c r="HG29" s="5"/>
      <c r="HH29" s="5"/>
      <c r="HI29" s="5"/>
      <c r="HJ29" s="5">
        <v>1460.1999999999998</v>
      </c>
      <c r="HK29" s="5"/>
      <c r="HL29" s="15">
        <f t="shared" si="66"/>
        <v>3623.62</v>
      </c>
      <c r="HM29" s="9"/>
      <c r="HN29" s="5"/>
      <c r="HO29" s="5"/>
      <c r="HP29" s="5"/>
      <c r="HQ29" s="5"/>
      <c r="HR29" s="5"/>
      <c r="HS29" s="5"/>
      <c r="HT29" s="5"/>
      <c r="HU29" s="5"/>
      <c r="HV29" s="5"/>
      <c r="HW29" s="5"/>
      <c r="HX29" s="5"/>
      <c r="HY29" s="5"/>
      <c r="HZ29" s="5"/>
      <c r="IA29" s="12">
        <f t="shared" si="67"/>
        <v>0</v>
      </c>
      <c r="IB29" s="845"/>
      <c r="IC29" s="363"/>
      <c r="ID29" s="64"/>
      <c r="IE29" s="64"/>
      <c r="IF29" s="64"/>
      <c r="IG29" s="64"/>
      <c r="IH29" s="64"/>
      <c r="II29" s="64"/>
      <c r="IJ29" s="64">
        <v>2841.04</v>
      </c>
      <c r="IK29" s="64"/>
      <c r="IL29" s="64"/>
      <c r="IM29" s="64"/>
      <c r="IN29" s="64"/>
      <c r="IO29" s="64"/>
      <c r="IP29" s="61">
        <f t="shared" si="68"/>
        <v>2841.04</v>
      </c>
      <c r="IQ29" s="9"/>
      <c r="IR29" s="9"/>
      <c r="IS29" s="5"/>
      <c r="IT29" s="5"/>
      <c r="IU29" s="64"/>
      <c r="IV29" s="5"/>
      <c r="IW29" s="5"/>
      <c r="IX29" s="5"/>
      <c r="IY29" s="5">
        <v>6268.18</v>
      </c>
      <c r="IZ29" s="5"/>
      <c r="JA29" s="5"/>
      <c r="JB29" s="5"/>
      <c r="JC29" s="5"/>
      <c r="JD29" s="5"/>
      <c r="JE29" s="12">
        <f t="shared" si="69"/>
        <v>6268.18</v>
      </c>
      <c r="JF29" s="2667"/>
      <c r="JH29" s="52">
        <v>12732.84</v>
      </c>
      <c r="JI29" s="152"/>
      <c r="JJ29" s="64"/>
      <c r="JK29" s="64">
        <f t="shared" si="70"/>
        <v>12732.84</v>
      </c>
      <c r="JL29" s="12"/>
      <c r="JM29" s="2669"/>
      <c r="JN29" s="849"/>
      <c r="JO29" s="850"/>
      <c r="JP29" s="850"/>
      <c r="JQ29" s="850"/>
      <c r="JR29" s="850">
        <v>1</v>
      </c>
      <c r="JS29" s="850"/>
      <c r="JT29" s="850"/>
      <c r="JU29" s="851"/>
      <c r="JV29" s="849"/>
      <c r="JW29" s="850"/>
      <c r="JX29" s="850"/>
      <c r="JY29" s="850"/>
      <c r="JZ29" s="850"/>
      <c r="KA29" s="850"/>
      <c r="KB29" s="850"/>
      <c r="KC29" s="851"/>
      <c r="KD29" s="849"/>
      <c r="KE29" s="850"/>
      <c r="KF29" s="850"/>
      <c r="KG29" s="850"/>
      <c r="KH29" s="850"/>
      <c r="KI29" s="850"/>
      <c r="KJ29" s="850"/>
      <c r="KK29" s="850"/>
      <c r="KL29" s="12"/>
      <c r="KM29" s="2669"/>
      <c r="KN29" s="9">
        <v>7192.7786353812908</v>
      </c>
      <c r="KO29" s="64">
        <v>0.90471441803025632</v>
      </c>
      <c r="KP29" s="64">
        <v>3.5056715035504786</v>
      </c>
      <c r="KQ29" s="64">
        <v>6.0404754553874644</v>
      </c>
      <c r="KR29" s="846">
        <v>10.966193269527633</v>
      </c>
      <c r="KS29" s="4">
        <v>0</v>
      </c>
      <c r="KT29" s="64">
        <v>0</v>
      </c>
      <c r="KU29" s="64">
        <v>0</v>
      </c>
      <c r="KV29" s="64">
        <v>0</v>
      </c>
      <c r="KW29" s="482">
        <v>0</v>
      </c>
      <c r="KX29" s="9"/>
      <c r="KY29" s="64"/>
      <c r="KZ29" s="64"/>
      <c r="LA29" s="64"/>
      <c r="LB29" s="64"/>
      <c r="LC29" s="12"/>
      <c r="LD29" s="2669"/>
      <c r="LF29" s="4">
        <f t="shared" si="71"/>
        <v>22438.080000000002</v>
      </c>
      <c r="LG29" s="5">
        <f t="shared" si="72"/>
        <v>0</v>
      </c>
      <c r="LH29" s="5">
        <f t="shared" si="73"/>
        <v>0</v>
      </c>
      <c r="LI29" s="15">
        <f t="shared" si="74"/>
        <v>22438.080000000002</v>
      </c>
      <c r="LJ29" s="9">
        <v>3</v>
      </c>
      <c r="LK29" s="5">
        <v>1</v>
      </c>
      <c r="LL29" s="5">
        <v>1</v>
      </c>
      <c r="LM29" s="12"/>
      <c r="LN29" s="1111">
        <v>6.38</v>
      </c>
      <c r="LO29" s="486"/>
      <c r="LP29" s="2688"/>
      <c r="LQ29" s="9">
        <v>22438.080000000002</v>
      </c>
      <c r="LR29" s="9"/>
      <c r="LS29" s="5"/>
      <c r="LT29" s="5"/>
      <c r="LU29" s="5"/>
      <c r="LV29" s="1107">
        <f t="shared" si="75"/>
        <v>22438.080000000002</v>
      </c>
      <c r="LW29" s="9"/>
      <c r="LX29" s="9"/>
      <c r="LY29" s="5"/>
      <c r="LZ29" s="5"/>
      <c r="MA29" s="12"/>
      <c r="MB29" s="28">
        <f t="shared" si="76"/>
        <v>0</v>
      </c>
      <c r="MC29" s="4"/>
      <c r="MD29" s="9"/>
      <c r="ME29" s="5"/>
      <c r="MF29" s="5"/>
      <c r="MG29" s="5"/>
      <c r="MH29" s="15"/>
      <c r="MI29" s="9"/>
      <c r="MJ29" s="9"/>
      <c r="MK29" s="5"/>
      <c r="ML29" s="5"/>
      <c r="MM29" s="5"/>
      <c r="MN29" s="15"/>
      <c r="MO29" s="9"/>
      <c r="MP29" s="9"/>
      <c r="MQ29" s="5"/>
      <c r="MR29" s="5"/>
      <c r="MS29" s="5"/>
      <c r="MT29" s="12">
        <f t="shared" si="77"/>
        <v>0</v>
      </c>
      <c r="MU29" s="2688"/>
      <c r="MW29" s="4">
        <f t="shared" si="78"/>
        <v>190577.24630256637</v>
      </c>
      <c r="MX29" s="5">
        <f t="shared" si="79"/>
        <v>195724.22929571752</v>
      </c>
      <c r="MY29" s="5">
        <f t="shared" si="80"/>
        <v>19946.255608283042</v>
      </c>
      <c r="MZ29" s="15">
        <f t="shared" si="81"/>
        <v>437817.31467809115</v>
      </c>
      <c r="NA29" s="2621"/>
      <c r="NB29" s="23">
        <v>184226.01581518335</v>
      </c>
      <c r="NC29" s="64">
        <v>6351.2304873830426</v>
      </c>
      <c r="ND29" s="60">
        <f t="shared" si="84"/>
        <v>0</v>
      </c>
      <c r="NE29" s="1042">
        <f t="shared" si="4"/>
        <v>190577.24630256637</v>
      </c>
      <c r="NF29" s="4">
        <f t="shared" si="136"/>
        <v>0</v>
      </c>
      <c r="NG29" s="5">
        <f t="shared" si="137"/>
        <v>0</v>
      </c>
      <c r="NH29" s="27">
        <f t="shared" si="138"/>
        <v>0</v>
      </c>
      <c r="NI29" s="5">
        <f t="shared" si="139"/>
        <v>0</v>
      </c>
      <c r="NJ29" s="5">
        <f t="shared" si="140"/>
        <v>0</v>
      </c>
      <c r="NK29" s="12">
        <f t="shared" si="141"/>
        <v>0</v>
      </c>
      <c r="NL29" s="27">
        <f t="shared" si="142"/>
        <v>0</v>
      </c>
      <c r="NM29" s="9">
        <f t="shared" si="143"/>
        <v>0</v>
      </c>
      <c r="NN29" s="5">
        <f t="shared" si="144"/>
        <v>46053.706549276001</v>
      </c>
      <c r="NO29" s="5">
        <f t="shared" si="145"/>
        <v>0</v>
      </c>
      <c r="NP29" s="24">
        <f t="shared" si="146"/>
        <v>8756.5482322711578</v>
      </c>
      <c r="NQ29" s="24">
        <f t="shared" si="147"/>
        <v>13070.094585687599</v>
      </c>
      <c r="NR29" s="5">
        <f t="shared" si="0"/>
        <v>67880.349367234769</v>
      </c>
      <c r="NS29" s="27">
        <f t="shared" si="86"/>
        <v>0</v>
      </c>
      <c r="NT29" s="5">
        <f t="shared" si="87"/>
        <v>0</v>
      </c>
      <c r="NU29" s="27">
        <f t="shared" si="88"/>
        <v>0</v>
      </c>
      <c r="NV29" s="5">
        <f t="shared" si="89"/>
        <v>0</v>
      </c>
      <c r="NW29" s="5">
        <f t="shared" si="90"/>
        <v>0</v>
      </c>
      <c r="NX29" s="5">
        <f t="shared" si="91"/>
        <v>0</v>
      </c>
      <c r="NY29" s="27">
        <f t="shared" si="92"/>
        <v>1898.4881519076282</v>
      </c>
      <c r="NZ29" s="5">
        <f t="shared" si="93"/>
        <v>0</v>
      </c>
      <c r="OA29" s="27">
        <f t="shared" si="94"/>
        <v>30172.834759987767</v>
      </c>
      <c r="OB29" s="27"/>
      <c r="OC29" s="24">
        <f t="shared" si="95"/>
        <v>3403.7241844007053</v>
      </c>
      <c r="OD29" s="5">
        <f t="shared" si="96"/>
        <v>0</v>
      </c>
      <c r="OE29" s="15">
        <f t="shared" si="1"/>
        <v>35475.047096296104</v>
      </c>
      <c r="OF29" s="27">
        <f t="shared" si="163"/>
        <v>0</v>
      </c>
      <c r="OG29" s="5">
        <f t="shared" si="164"/>
        <v>0</v>
      </c>
      <c r="OH29" s="5">
        <f t="shared" si="169"/>
        <v>0</v>
      </c>
      <c r="OI29" s="5">
        <f t="shared" si="167"/>
        <v>0</v>
      </c>
      <c r="OJ29" s="27">
        <f t="shared" si="167"/>
        <v>0</v>
      </c>
      <c r="OK29" s="5">
        <f t="shared" si="168"/>
        <v>0</v>
      </c>
      <c r="OL29" s="24">
        <f t="shared" si="168"/>
        <v>0</v>
      </c>
      <c r="OM29" s="5">
        <f t="shared" si="154"/>
        <v>0</v>
      </c>
      <c r="ON29" s="24">
        <f t="shared" si="154"/>
        <v>90926.468513777974</v>
      </c>
      <c r="OO29" s="5">
        <f t="shared" si="156"/>
        <v>0</v>
      </c>
      <c r="OP29" s="5">
        <f t="shared" si="157"/>
        <v>1442.3643184086802</v>
      </c>
      <c r="OQ29" s="5">
        <f t="shared" si="158"/>
        <v>0</v>
      </c>
      <c r="OR29" s="15">
        <f t="shared" si="2"/>
        <v>92368.832832186657</v>
      </c>
      <c r="OS29" s="9"/>
      <c r="OT29" s="5"/>
      <c r="OU29" s="5"/>
      <c r="OV29" s="5"/>
      <c r="OW29" s="5"/>
      <c r="OX29" s="5"/>
      <c r="OY29" s="15">
        <f t="shared" si="98"/>
        <v>0</v>
      </c>
      <c r="OZ29" s="9">
        <f t="shared" si="99"/>
        <v>0</v>
      </c>
      <c r="PA29" s="5">
        <f t="shared" si="100"/>
        <v>0</v>
      </c>
      <c r="PB29" s="5">
        <f t="shared" si="101"/>
        <v>0</v>
      </c>
      <c r="PC29" s="5">
        <f t="shared" si="102"/>
        <v>0</v>
      </c>
      <c r="PD29" s="5">
        <f t="shared" si="103"/>
        <v>0</v>
      </c>
      <c r="PE29" s="5">
        <f t="shared" si="104"/>
        <v>0</v>
      </c>
      <c r="PF29" s="12">
        <f t="shared" si="3"/>
        <v>0</v>
      </c>
      <c r="PG29" s="2621"/>
      <c r="PI29" s="2">
        <v>207.2</v>
      </c>
      <c r="PJ29" s="3">
        <v>136.20000000000019</v>
      </c>
      <c r="PK29" s="3">
        <v>68.100000000000094</v>
      </c>
      <c r="PL29" s="3">
        <f t="shared" si="148"/>
        <v>1460.1999999999998</v>
      </c>
      <c r="PM29" s="3">
        <f t="shared" si="149"/>
        <v>1578.3599999999994</v>
      </c>
      <c r="PN29" s="11">
        <f t="shared" si="150"/>
        <v>19946.255608283042</v>
      </c>
      <c r="PO29" s="15"/>
      <c r="PP29" s="2615"/>
      <c r="PR29" s="4"/>
      <c r="PS29" s="9"/>
      <c r="PT29" s="9"/>
      <c r="PU29" s="9"/>
      <c r="PV29" s="9"/>
      <c r="PW29" s="9"/>
      <c r="PX29" s="8">
        <f t="shared" si="105"/>
        <v>0</v>
      </c>
      <c r="PY29" s="5">
        <f t="shared" si="106"/>
        <v>207.2</v>
      </c>
      <c r="PZ29" s="5"/>
      <c r="QA29" s="5"/>
      <c r="QB29" s="5"/>
      <c r="QC29" s="5"/>
      <c r="QD29" s="5"/>
      <c r="QE29" s="12">
        <f t="shared" si="107"/>
        <v>29749.381073161156</v>
      </c>
      <c r="QF29" s="420">
        <f t="shared" si="108"/>
        <v>408067.93360493</v>
      </c>
      <c r="QG29" s="1106">
        <f t="shared" si="109"/>
        <v>0</v>
      </c>
      <c r="QH29" s="484">
        <f t="shared" si="110"/>
        <v>5505.3678056100007</v>
      </c>
      <c r="QI29" s="12"/>
      <c r="QJ29" s="2615"/>
      <c r="QL29" s="139">
        <f t="shared" si="111"/>
        <v>0</v>
      </c>
      <c r="QM29" s="139" t="str">
        <f t="shared" si="112"/>
        <v/>
      </c>
      <c r="QO29" s="139">
        <f t="shared" si="113"/>
        <v>0</v>
      </c>
      <c r="QP29" s="139">
        <f t="shared" si="114"/>
        <v>0</v>
      </c>
      <c r="QR29" s="1">
        <f t="shared" si="115"/>
        <v>0</v>
      </c>
      <c r="QS29" s="1">
        <f t="shared" si="116"/>
        <v>0</v>
      </c>
      <c r="QT29" s="1">
        <f t="shared" si="117"/>
        <v>0</v>
      </c>
      <c r="QU29" s="1">
        <f t="shared" si="118"/>
        <v>0</v>
      </c>
      <c r="QV29" s="1">
        <f t="shared" si="119"/>
        <v>0</v>
      </c>
      <c r="QW29" s="1">
        <f t="shared" si="120"/>
        <v>0</v>
      </c>
      <c r="QY29" s="1">
        <f t="shared" si="121"/>
        <v>0</v>
      </c>
      <c r="QZ29" s="1">
        <f t="shared" si="122"/>
        <v>0</v>
      </c>
      <c r="RA29" s="1">
        <f t="shared" si="123"/>
        <v>0</v>
      </c>
      <c r="RB29" s="1">
        <f t="shared" si="124"/>
        <v>0</v>
      </c>
      <c r="RC29" s="1">
        <f t="shared" si="125"/>
        <v>0</v>
      </c>
      <c r="RD29" s="1">
        <f t="shared" si="126"/>
        <v>0</v>
      </c>
      <c r="RG29" s="1">
        <v>20</v>
      </c>
      <c r="RH29" s="1">
        <f t="shared" si="160"/>
        <v>-30424.100790282904</v>
      </c>
      <c r="RI29" s="1">
        <f t="shared" si="161"/>
        <v>5437.2677804837185</v>
      </c>
      <c r="RJ29" s="1">
        <f t="shared" si="162"/>
        <v>13404.263703387322</v>
      </c>
      <c r="RK29" s="89">
        <f t="shared" si="5"/>
        <v>-11582.569306411864</v>
      </c>
      <c r="RL29" s="1033">
        <v>20</v>
      </c>
      <c r="RM29" s="1098">
        <f t="shared" si="166"/>
        <v>0</v>
      </c>
      <c r="RN29" s="1098">
        <f t="shared" si="128"/>
        <v>0</v>
      </c>
      <c r="RO29" s="1097">
        <f t="shared" si="129"/>
        <v>0</v>
      </c>
      <c r="RP29" s="1097">
        <f t="shared" si="151"/>
        <v>6741.83</v>
      </c>
      <c r="RQ29" s="1109"/>
      <c r="RR29" s="1046" t="s">
        <v>708</v>
      </c>
      <c r="RU29" s="421">
        <v>20</v>
      </c>
      <c r="RV29" s="1095">
        <f t="shared" si="130"/>
        <v>12732.84</v>
      </c>
      <c r="RW29" s="1050" t="s">
        <v>709</v>
      </c>
      <c r="RX29" s="1048"/>
      <c r="RY29" s="1090"/>
      <c r="RZ29" s="1090">
        <f t="shared" si="131"/>
        <v>0</v>
      </c>
      <c r="SA29" s="1090"/>
      <c r="SB29" s="1090">
        <f t="shared" si="132"/>
        <v>0</v>
      </c>
      <c r="SD29" s="1">
        <v>20</v>
      </c>
      <c r="SE29" s="1">
        <f t="shared" si="133"/>
        <v>1460.1999999999998</v>
      </c>
      <c r="SF29" s="1094" t="s">
        <v>710</v>
      </c>
    </row>
    <row r="30" spans="1:500" s="1" customFormat="1">
      <c r="B30" s="471">
        <v>21</v>
      </c>
      <c r="C30" s="4">
        <f t="shared" si="6"/>
        <v>156355</v>
      </c>
      <c r="D30" s="64">
        <f t="shared" si="134"/>
        <v>9539.64</v>
      </c>
      <c r="E30" s="61">
        <f t="shared" si="7"/>
        <v>16.390031489657893</v>
      </c>
      <c r="F30" s="870"/>
      <c r="G30" s="870"/>
      <c r="H30" s="52"/>
      <c r="I30" s="61"/>
      <c r="J30" s="52"/>
      <c r="K30" s="54"/>
      <c r="L30" s="52"/>
      <c r="M30" s="61"/>
      <c r="N30" s="2629"/>
      <c r="O30" s="4">
        <f t="shared" si="8"/>
        <v>86888</v>
      </c>
      <c r="P30" s="1225">
        <f t="shared" si="9"/>
        <v>5695.5599999999995</v>
      </c>
      <c r="Q30" s="64">
        <f t="shared" si="10"/>
        <v>15.255391919319612</v>
      </c>
      <c r="R30" s="33"/>
      <c r="S30" s="26">
        <f t="shared" si="11"/>
        <v>32834</v>
      </c>
      <c r="T30" s="27">
        <f t="shared" si="12"/>
        <v>784.07999999999993</v>
      </c>
      <c r="U30" s="53">
        <f t="shared" si="13"/>
        <v>41.875828997041125</v>
      </c>
      <c r="V30" s="28"/>
      <c r="W30" s="26">
        <f t="shared" si="14"/>
        <v>36633</v>
      </c>
      <c r="X30" s="5">
        <f t="shared" si="15"/>
        <v>3060</v>
      </c>
      <c r="Y30" s="53">
        <f t="shared" si="16"/>
        <v>11.97156862745098</v>
      </c>
      <c r="Z30" s="33"/>
      <c r="AA30" s="26">
        <f t="shared" si="17"/>
        <v>0</v>
      </c>
      <c r="AB30" s="27">
        <f t="shared" si="18"/>
        <v>0</v>
      </c>
      <c r="AC30" s="53">
        <f t="shared" si="19"/>
        <v>0</v>
      </c>
      <c r="AD30" s="28"/>
      <c r="AE30" s="36"/>
      <c r="AF30" s="36"/>
      <c r="AG30" s="53">
        <f t="shared" si="20"/>
        <v>0</v>
      </c>
      <c r="AH30" s="28"/>
      <c r="AI30" s="23"/>
      <c r="AJ30" s="27"/>
      <c r="AK30" s="53">
        <f t="shared" si="21"/>
        <v>0</v>
      </c>
      <c r="AL30" s="28"/>
      <c r="AM30" s="2629"/>
      <c r="AN30" s="9"/>
      <c r="AO30" s="5"/>
      <c r="AP30" s="61">
        <f t="shared" si="22"/>
        <v>0</v>
      </c>
      <c r="AQ30" s="36"/>
      <c r="AR30" s="53"/>
      <c r="AS30" s="61">
        <f t="shared" si="23"/>
        <v>0</v>
      </c>
      <c r="AT30" s="36">
        <v>0</v>
      </c>
      <c r="AU30" s="27"/>
      <c r="AV30" s="61">
        <f t="shared" si="24"/>
        <v>0</v>
      </c>
      <c r="AW30" s="36">
        <v>45066</v>
      </c>
      <c r="AX30" s="27">
        <v>3403.62</v>
      </c>
      <c r="AY30" s="61">
        <f t="shared" si="25"/>
        <v>13.240608528566645</v>
      </c>
      <c r="AZ30" s="36"/>
      <c r="BA30" s="27"/>
      <c r="BB30" s="61">
        <f t="shared" si="26"/>
        <v>0</v>
      </c>
      <c r="BC30" s="36">
        <v>41822</v>
      </c>
      <c r="BD30" s="27">
        <v>2291.94</v>
      </c>
      <c r="BE30" s="61">
        <f t="shared" si="27"/>
        <v>18.247423580023909</v>
      </c>
      <c r="BF30" s="36"/>
      <c r="BG30" s="53"/>
      <c r="BH30" s="61">
        <f t="shared" si="28"/>
        <v>0</v>
      </c>
      <c r="BI30" s="36">
        <v>0</v>
      </c>
      <c r="BJ30" s="53">
        <v>0</v>
      </c>
      <c r="BK30" s="61">
        <f t="shared" si="29"/>
        <v>0</v>
      </c>
      <c r="BL30" s="52">
        <v>32834</v>
      </c>
      <c r="BM30" s="53">
        <v>784.07999999999993</v>
      </c>
      <c r="BN30" s="482">
        <f t="shared" si="30"/>
        <v>41.875828997041125</v>
      </c>
      <c r="BO30" s="9">
        <v>0</v>
      </c>
      <c r="BP30" s="64">
        <v>0</v>
      </c>
      <c r="BQ30" s="482">
        <f t="shared" si="31"/>
        <v>0</v>
      </c>
      <c r="BR30" s="9"/>
      <c r="BS30" s="64"/>
      <c r="BT30" s="482">
        <f t="shared" si="32"/>
        <v>0</v>
      </c>
      <c r="BU30" s="9">
        <v>36633</v>
      </c>
      <c r="BV30" s="27">
        <v>3060</v>
      </c>
      <c r="BW30" s="15">
        <f t="shared" si="33"/>
        <v>11.97156862745098</v>
      </c>
      <c r="BX30" s="4"/>
      <c r="BY30" s="5"/>
      <c r="BZ30" s="482">
        <f t="shared" si="34"/>
        <v>0</v>
      </c>
      <c r="CA30" s="9"/>
      <c r="CB30" s="5"/>
      <c r="CC30" s="482">
        <f t="shared" si="35"/>
        <v>0</v>
      </c>
      <c r="CD30" s="4"/>
      <c r="CE30" s="5"/>
      <c r="CF30" s="28">
        <f t="shared" si="36"/>
        <v>0</v>
      </c>
      <c r="CG30" s="150"/>
      <c r="CH30" s="1108">
        <v>1376</v>
      </c>
      <c r="CI30" s="5">
        <v>0</v>
      </c>
      <c r="CJ30" s="5">
        <v>0</v>
      </c>
      <c r="CK30" s="5">
        <v>12453</v>
      </c>
      <c r="CL30" s="5"/>
      <c r="CM30" s="5">
        <f t="shared" si="135"/>
        <v>13829</v>
      </c>
      <c r="CN30" s="33"/>
      <c r="CO30" s="366"/>
      <c r="CQ30" s="4">
        <f t="shared" si="37"/>
        <v>0</v>
      </c>
      <c r="CR30" s="9">
        <f t="shared" si="38"/>
        <v>0</v>
      </c>
      <c r="CS30" s="5">
        <f t="shared" si="39"/>
        <v>0</v>
      </c>
      <c r="CT30" s="5">
        <f t="shared" si="40"/>
        <v>0</v>
      </c>
      <c r="CU30" s="5">
        <f t="shared" si="41"/>
        <v>0</v>
      </c>
      <c r="CV30" s="5">
        <f t="shared" si="42"/>
        <v>0</v>
      </c>
      <c r="CW30" s="5">
        <f t="shared" si="43"/>
        <v>938.66</v>
      </c>
      <c r="CX30" s="5">
        <f t="shared" si="44"/>
        <v>0</v>
      </c>
      <c r="CY30" s="5">
        <f t="shared" si="45"/>
        <v>6745.48</v>
      </c>
      <c r="CZ30" s="5">
        <f t="shared" si="46"/>
        <v>0</v>
      </c>
      <c r="DA30" s="5">
        <f t="shared" si="47"/>
        <v>1855.5</v>
      </c>
      <c r="DB30" s="12">
        <f t="shared" si="48"/>
        <v>0</v>
      </c>
      <c r="DC30" s="310">
        <f t="shared" si="49"/>
        <v>9539.64</v>
      </c>
      <c r="DD30" s="2695"/>
      <c r="DE30" s="9"/>
      <c r="DF30" s="9"/>
      <c r="DG30" s="5"/>
      <c r="DH30" s="5"/>
      <c r="DI30" s="5"/>
      <c r="DJ30" s="5"/>
      <c r="DK30" s="5">
        <v>938.66</v>
      </c>
      <c r="DL30" s="5"/>
      <c r="DM30" s="5">
        <v>2464.96</v>
      </c>
      <c r="DN30" s="5"/>
      <c r="DO30" s="5"/>
      <c r="DP30" s="12"/>
      <c r="DQ30" s="28">
        <f t="shared" si="50"/>
        <v>3403.62</v>
      </c>
      <c r="DR30" s="36"/>
      <c r="DS30" s="9"/>
      <c r="DT30" s="5"/>
      <c r="DU30" s="5"/>
      <c r="DV30" s="5"/>
      <c r="DW30" s="5"/>
      <c r="DX30" s="27"/>
      <c r="DY30" s="27"/>
      <c r="DZ30" s="27">
        <v>2240.52</v>
      </c>
      <c r="EA30" s="27"/>
      <c r="EB30" s="27">
        <v>835.5</v>
      </c>
      <c r="EC30" s="33"/>
      <c r="ED30" s="28">
        <f t="shared" si="51"/>
        <v>3076.02</v>
      </c>
      <c r="EE30" s="9"/>
      <c r="EF30" s="36"/>
      <c r="EG30" s="27"/>
      <c r="EH30" s="27"/>
      <c r="EI30" s="27"/>
      <c r="EJ30" s="27"/>
      <c r="EK30" s="27"/>
      <c r="EL30" s="27"/>
      <c r="EM30" s="27">
        <v>2040</v>
      </c>
      <c r="EN30" s="27"/>
      <c r="EO30" s="27">
        <v>1020</v>
      </c>
      <c r="EP30" s="33"/>
      <c r="EQ30" s="28">
        <f t="shared" si="52"/>
        <v>3060</v>
      </c>
      <c r="ER30" s="36"/>
      <c r="ES30" s="27"/>
      <c r="ET30" s="27"/>
      <c r="EU30" s="27"/>
      <c r="EV30" s="27"/>
      <c r="EW30" s="27"/>
      <c r="EX30" s="33">
        <f t="shared" si="53"/>
        <v>0</v>
      </c>
      <c r="EY30" s="2685"/>
      <c r="FA30" s="4">
        <f t="shared" si="54"/>
        <v>0</v>
      </c>
      <c r="FB30" s="5">
        <f t="shared" si="55"/>
        <v>0</v>
      </c>
      <c r="FC30" s="5">
        <f t="shared" si="56"/>
        <v>0</v>
      </c>
      <c r="FD30" s="12">
        <f t="shared" si="57"/>
        <v>0</v>
      </c>
      <c r="FE30" s="33"/>
      <c r="FF30" s="2674"/>
      <c r="FG30" s="9"/>
      <c r="FH30" s="5"/>
      <c r="FI30" s="5"/>
      <c r="FJ30" s="5"/>
      <c r="FK30" s="5"/>
      <c r="FL30" s="27"/>
      <c r="FM30" s="28">
        <f t="shared" si="58"/>
        <v>0</v>
      </c>
      <c r="FN30" s="36"/>
      <c r="FO30" s="27"/>
      <c r="FP30" s="27"/>
      <c r="FQ30" s="27"/>
      <c r="FR30" s="27"/>
      <c r="FS30" s="27"/>
      <c r="FT30" s="28">
        <f t="shared" si="59"/>
        <v>0</v>
      </c>
      <c r="FU30" s="36"/>
      <c r="FV30" s="36"/>
      <c r="FW30" s="27"/>
      <c r="FX30" s="27"/>
      <c r="FY30" s="27"/>
      <c r="FZ30" s="27"/>
      <c r="GA30" s="27"/>
      <c r="GB30" s="27"/>
      <c r="GC30" s="27"/>
      <c r="GD30" s="27"/>
      <c r="GE30" s="27"/>
      <c r="GF30" s="33"/>
      <c r="GG30" s="33">
        <f t="shared" si="60"/>
        <v>0</v>
      </c>
      <c r="GH30" s="2674"/>
      <c r="GJ30" s="4">
        <f t="shared" si="61"/>
        <v>1583.6000000000001</v>
      </c>
      <c r="GK30" s="64">
        <f t="shared" si="62"/>
        <v>4800.2</v>
      </c>
      <c r="GL30" s="53">
        <f t="shared" si="63"/>
        <v>7350.4299999999994</v>
      </c>
      <c r="GM30" s="53">
        <f t="shared" si="64"/>
        <v>13734.23</v>
      </c>
      <c r="GN30" s="141"/>
      <c r="GO30" s="141"/>
      <c r="GP30" s="33"/>
      <c r="GQ30" s="2667"/>
      <c r="GR30" s="152">
        <v>6245.0999999999995</v>
      </c>
      <c r="GS30" s="27"/>
      <c r="GT30" s="27">
        <v>3197.5099999999998</v>
      </c>
      <c r="GU30" s="27">
        <v>4291.62</v>
      </c>
      <c r="GV30" s="33">
        <f t="shared" si="65"/>
        <v>13734.23</v>
      </c>
      <c r="GW30" s="2667"/>
      <c r="GX30" s="36"/>
      <c r="GY30" s="36"/>
      <c r="GZ30" s="27"/>
      <c r="HA30" s="27"/>
      <c r="HB30" s="27"/>
      <c r="HC30" s="27"/>
      <c r="HD30" s="27"/>
      <c r="HE30" s="27"/>
      <c r="HF30" s="27">
        <v>1583.6000000000001</v>
      </c>
      <c r="HG30" s="27"/>
      <c r="HH30" s="27"/>
      <c r="HI30" s="27"/>
      <c r="HJ30" s="27"/>
      <c r="HK30" s="27"/>
      <c r="HL30" s="28">
        <f t="shared" si="66"/>
        <v>1583.6000000000001</v>
      </c>
      <c r="HM30" s="36"/>
      <c r="HN30" s="27"/>
      <c r="HO30" s="27"/>
      <c r="HP30" s="27"/>
      <c r="HQ30" s="27"/>
      <c r="HR30" s="27"/>
      <c r="HS30" s="27"/>
      <c r="HT30" s="27"/>
      <c r="HU30" s="27"/>
      <c r="HV30" s="27"/>
      <c r="HW30" s="27"/>
      <c r="HX30" s="27"/>
      <c r="HY30" s="27"/>
      <c r="HZ30" s="27"/>
      <c r="IA30" s="33">
        <f t="shared" si="67"/>
        <v>0</v>
      </c>
      <c r="IB30" s="52"/>
      <c r="IC30" s="152"/>
      <c r="ID30" s="53"/>
      <c r="IE30" s="53"/>
      <c r="IF30" s="53"/>
      <c r="IG30" s="53"/>
      <c r="IH30" s="53"/>
      <c r="II30" s="53"/>
      <c r="IJ30" s="53">
        <v>4800.2</v>
      </c>
      <c r="IK30" s="53"/>
      <c r="IL30" s="53"/>
      <c r="IM30" s="53"/>
      <c r="IN30" s="53"/>
      <c r="IO30" s="53"/>
      <c r="IP30" s="61">
        <f t="shared" si="68"/>
        <v>4800.2</v>
      </c>
      <c r="IQ30" s="36"/>
      <c r="IR30" s="36"/>
      <c r="IS30" s="27"/>
      <c r="IT30" s="27"/>
      <c r="IU30" s="53"/>
      <c r="IV30" s="27"/>
      <c r="IW30" s="27"/>
      <c r="IX30" s="27"/>
      <c r="IY30" s="27">
        <v>7350.4299999999994</v>
      </c>
      <c r="IZ30" s="27"/>
      <c r="JA30" s="27"/>
      <c r="JB30" s="27"/>
      <c r="JC30" s="27"/>
      <c r="JD30" s="27"/>
      <c r="JE30" s="33">
        <f t="shared" si="69"/>
        <v>7350.4299999999994</v>
      </c>
      <c r="JF30" s="2667"/>
      <c r="JH30" s="52">
        <v>13734.23</v>
      </c>
      <c r="JI30" s="152"/>
      <c r="JJ30" s="53"/>
      <c r="JK30" s="53">
        <f t="shared" si="70"/>
        <v>13734.23</v>
      </c>
      <c r="JL30" s="33"/>
      <c r="JM30" s="2669"/>
      <c r="JN30" s="69"/>
      <c r="JO30" s="70"/>
      <c r="JP30" s="70"/>
      <c r="JQ30" s="70"/>
      <c r="JR30" s="70">
        <v>1</v>
      </c>
      <c r="JS30" s="70"/>
      <c r="JT30" s="70"/>
      <c r="JU30" s="71"/>
      <c r="JV30" s="69"/>
      <c r="JW30" s="70"/>
      <c r="JX30" s="70"/>
      <c r="JY30" s="70"/>
      <c r="JZ30" s="70"/>
      <c r="KA30" s="70"/>
      <c r="KB30" s="70"/>
      <c r="KC30" s="71"/>
      <c r="KD30" s="69"/>
      <c r="KE30" s="70"/>
      <c r="KF30" s="70"/>
      <c r="KG30" s="70"/>
      <c r="KH30" s="70"/>
      <c r="KI30" s="70"/>
      <c r="KJ30" s="70"/>
      <c r="KK30" s="70"/>
      <c r="KL30" s="33"/>
      <c r="KM30" s="2669"/>
      <c r="KN30" s="9">
        <v>7121.0796977473628</v>
      </c>
      <c r="KO30" s="64">
        <v>0.77148132306814943</v>
      </c>
      <c r="KP30" s="64">
        <v>3.3064620758483034</v>
      </c>
      <c r="KQ30" s="64">
        <v>6.2130824066153405</v>
      </c>
      <c r="KR30" s="846">
        <v>11.030502566295981</v>
      </c>
      <c r="KS30" s="4">
        <v>0</v>
      </c>
      <c r="KT30" s="64">
        <v>0</v>
      </c>
      <c r="KU30" s="64">
        <v>0</v>
      </c>
      <c r="KV30" s="64">
        <v>0</v>
      </c>
      <c r="KW30" s="482">
        <v>0</v>
      </c>
      <c r="KX30" s="36"/>
      <c r="KY30" s="53"/>
      <c r="KZ30" s="53"/>
      <c r="LA30" s="53"/>
      <c r="LB30" s="53"/>
      <c r="LC30" s="33"/>
      <c r="LD30" s="2669"/>
      <c r="LF30" s="4">
        <f t="shared" si="71"/>
        <v>25239.61</v>
      </c>
      <c r="LG30" s="27">
        <f t="shared" si="72"/>
        <v>0</v>
      </c>
      <c r="LH30" s="27">
        <f t="shared" si="73"/>
        <v>0</v>
      </c>
      <c r="LI30" s="28">
        <f t="shared" si="74"/>
        <v>25239.61</v>
      </c>
      <c r="LJ30" s="36">
        <v>3</v>
      </c>
      <c r="LK30" s="27"/>
      <c r="LL30" s="27"/>
      <c r="LM30" s="33"/>
      <c r="LN30" s="1041">
        <v>5.97</v>
      </c>
      <c r="LO30" s="486"/>
      <c r="LP30" s="2688"/>
      <c r="LQ30" s="36">
        <v>25239.61</v>
      </c>
      <c r="LR30" s="36"/>
      <c r="LS30" s="27"/>
      <c r="LT30" s="27"/>
      <c r="LU30" s="27"/>
      <c r="LV30" s="1107">
        <f t="shared" si="75"/>
        <v>25239.61</v>
      </c>
      <c r="LW30" s="36"/>
      <c r="LX30" s="36"/>
      <c r="LY30" s="27"/>
      <c r="LZ30" s="27"/>
      <c r="MA30" s="33"/>
      <c r="MB30" s="28">
        <f t="shared" si="76"/>
        <v>0</v>
      </c>
      <c r="MC30" s="26"/>
      <c r="MD30" s="36"/>
      <c r="ME30" s="27"/>
      <c r="MF30" s="27"/>
      <c r="MG30" s="27"/>
      <c r="MH30" s="28"/>
      <c r="MI30" s="36"/>
      <c r="MJ30" s="36"/>
      <c r="MK30" s="27"/>
      <c r="ML30" s="27"/>
      <c r="MM30" s="27"/>
      <c r="MN30" s="28"/>
      <c r="MO30" s="36"/>
      <c r="MP30" s="36"/>
      <c r="MQ30" s="27"/>
      <c r="MR30" s="27"/>
      <c r="MS30" s="27"/>
      <c r="MT30" s="33">
        <f t="shared" si="77"/>
        <v>0</v>
      </c>
      <c r="MU30" s="2688"/>
      <c r="MW30" s="26">
        <f t="shared" si="78"/>
        <v>179071.86630256637</v>
      </c>
      <c r="MX30" s="27">
        <f t="shared" si="79"/>
        <v>191529.63929571753</v>
      </c>
      <c r="MY30" s="27">
        <f t="shared" si="80"/>
        <v>19946.255608283042</v>
      </c>
      <c r="MZ30" s="28">
        <f t="shared" si="81"/>
        <v>437056.75467809115</v>
      </c>
      <c r="NA30" s="2621"/>
      <c r="NB30" s="23">
        <f t="shared" si="82"/>
        <v>172720.63581518334</v>
      </c>
      <c r="NC30" s="64">
        <f t="shared" si="83"/>
        <v>6351.2304873830426</v>
      </c>
      <c r="ND30" s="60">
        <f t="shared" si="84"/>
        <v>0</v>
      </c>
      <c r="NE30" s="275">
        <f t="shared" si="4"/>
        <v>179071.86630256637</v>
      </c>
      <c r="NF30" s="26">
        <f t="shared" ref="NF30:NF40" si="170">+NF29+EE30-GX30</f>
        <v>0</v>
      </c>
      <c r="NG30" s="27">
        <f t="shared" ref="NG30:NG40" si="171">+NG29+EF30-GY30</f>
        <v>0</v>
      </c>
      <c r="NH30" s="27">
        <f t="shared" ref="NH30:NH40" si="172">+NH29+EG30-GZ30</f>
        <v>0</v>
      </c>
      <c r="NI30" s="27">
        <v>0</v>
      </c>
      <c r="NJ30" s="27">
        <f t="shared" ref="NJ30:NJ40" si="173">+NJ29+EI30-HB30</f>
        <v>0</v>
      </c>
      <c r="NK30" s="33">
        <f t="shared" ref="NK30:NK40" si="174">+NK29+EJ30-HC30</f>
        <v>0</v>
      </c>
      <c r="NL30" s="27">
        <f t="shared" si="142"/>
        <v>0</v>
      </c>
      <c r="NM30" s="36">
        <f t="shared" si="143"/>
        <v>0</v>
      </c>
      <c r="NN30" s="27">
        <f t="shared" si="144"/>
        <v>46510.106549276003</v>
      </c>
      <c r="NO30" s="27">
        <f t="shared" si="145"/>
        <v>0</v>
      </c>
      <c r="NP30" s="24">
        <f t="shared" si="146"/>
        <v>8756.5482322711578</v>
      </c>
      <c r="NQ30" s="24">
        <f t="shared" si="147"/>
        <v>14090.094585687599</v>
      </c>
      <c r="NR30" s="27">
        <f t="shared" si="0"/>
        <v>69356.749367234763</v>
      </c>
      <c r="NS30" s="27">
        <f t="shared" si="86"/>
        <v>0</v>
      </c>
      <c r="NT30" s="27">
        <f t="shared" si="87"/>
        <v>0</v>
      </c>
      <c r="NU30" s="27">
        <f t="shared" si="88"/>
        <v>0</v>
      </c>
      <c r="NV30" s="27">
        <f t="shared" si="89"/>
        <v>0</v>
      </c>
      <c r="NW30" s="27">
        <f t="shared" si="90"/>
        <v>0</v>
      </c>
      <c r="NX30" s="5">
        <f t="shared" si="91"/>
        <v>0</v>
      </c>
      <c r="NY30" s="27">
        <f t="shared" si="92"/>
        <v>2837.1481519076283</v>
      </c>
      <c r="NZ30" s="27">
        <f t="shared" si="93"/>
        <v>0</v>
      </c>
      <c r="OA30" s="27">
        <f t="shared" si="94"/>
        <v>27837.594759987765</v>
      </c>
      <c r="OB30" s="27"/>
      <c r="OC30" s="24">
        <f t="shared" si="95"/>
        <v>3403.7241844007053</v>
      </c>
      <c r="OD30" s="27">
        <f t="shared" si="96"/>
        <v>0</v>
      </c>
      <c r="OE30" s="28">
        <f t="shared" si="1"/>
        <v>34078.467096296103</v>
      </c>
      <c r="OF30" s="27">
        <f t="shared" si="163"/>
        <v>0</v>
      </c>
      <c r="OG30" s="27">
        <f t="shared" si="164"/>
        <v>0</v>
      </c>
      <c r="OH30" s="27">
        <f t="shared" si="169"/>
        <v>0</v>
      </c>
      <c r="OI30" s="27">
        <f t="shared" si="167"/>
        <v>0</v>
      </c>
      <c r="OJ30" s="27">
        <f t="shared" si="167"/>
        <v>0</v>
      </c>
      <c r="OK30" s="27">
        <f t="shared" si="168"/>
        <v>0</v>
      </c>
      <c r="OL30" s="24">
        <f t="shared" si="168"/>
        <v>0</v>
      </c>
      <c r="OM30" s="53">
        <f t="shared" si="154"/>
        <v>0</v>
      </c>
      <c r="ON30" s="24">
        <f t="shared" si="154"/>
        <v>85816.558513777985</v>
      </c>
      <c r="OO30" s="27">
        <f t="shared" si="156"/>
        <v>0</v>
      </c>
      <c r="OP30" s="27">
        <f t="shared" si="157"/>
        <v>2277.8643184086804</v>
      </c>
      <c r="OQ30" s="27">
        <f t="shared" si="158"/>
        <v>0</v>
      </c>
      <c r="OR30" s="28">
        <f t="shared" si="2"/>
        <v>88094.422832186669</v>
      </c>
      <c r="OS30" s="36"/>
      <c r="OT30" s="27"/>
      <c r="OU30" s="27"/>
      <c r="OV30" s="27"/>
      <c r="OW30" s="27"/>
      <c r="OX30" s="27"/>
      <c r="OY30" s="28">
        <f t="shared" si="98"/>
        <v>0</v>
      </c>
      <c r="OZ30" s="36">
        <f t="shared" si="99"/>
        <v>0</v>
      </c>
      <c r="PA30" s="27">
        <f t="shared" si="100"/>
        <v>0</v>
      </c>
      <c r="PB30" s="27">
        <f t="shared" si="101"/>
        <v>0</v>
      </c>
      <c r="PC30" s="27">
        <f t="shared" si="102"/>
        <v>0</v>
      </c>
      <c r="PD30" s="27">
        <f t="shared" si="103"/>
        <v>0</v>
      </c>
      <c r="PE30" s="27">
        <f t="shared" si="104"/>
        <v>0</v>
      </c>
      <c r="PF30" s="33">
        <f t="shared" si="3"/>
        <v>0</v>
      </c>
      <c r="PG30" s="2621"/>
      <c r="PI30" s="2">
        <v>760.56</v>
      </c>
      <c r="PJ30" s="3">
        <v>0</v>
      </c>
      <c r="PK30" s="3">
        <v>0</v>
      </c>
      <c r="PL30" s="3">
        <f t="shared" si="148"/>
        <v>0</v>
      </c>
      <c r="PM30" s="3">
        <f t="shared" si="149"/>
        <v>2338.9199999999992</v>
      </c>
      <c r="PN30" s="11">
        <f t="shared" si="150"/>
        <v>19946.255608283042</v>
      </c>
      <c r="PO30" s="15"/>
      <c r="PP30" s="2615"/>
      <c r="PR30" s="4"/>
      <c r="PS30" s="9"/>
      <c r="PT30" s="9"/>
      <c r="PU30" s="9"/>
      <c r="PV30" s="9"/>
      <c r="PW30" s="9"/>
      <c r="PX30" s="8">
        <f t="shared" si="105"/>
        <v>0</v>
      </c>
      <c r="PY30" s="5">
        <f t="shared" si="106"/>
        <v>760.56</v>
      </c>
      <c r="PZ30" s="5"/>
      <c r="QA30" s="5"/>
      <c r="QB30" s="5"/>
      <c r="QC30" s="5"/>
      <c r="QD30" s="5"/>
      <c r="QE30" s="12">
        <f t="shared" si="107"/>
        <v>29749.381073161156</v>
      </c>
      <c r="QF30" s="420">
        <f t="shared" si="108"/>
        <v>407307.37360493001</v>
      </c>
      <c r="QG30" s="1106">
        <f t="shared" si="109"/>
        <v>0</v>
      </c>
      <c r="QH30" s="484">
        <f t="shared" si="110"/>
        <v>5505.3678056100007</v>
      </c>
      <c r="QI30" s="12"/>
      <c r="QJ30" s="2615"/>
      <c r="QL30" s="139">
        <f t="shared" si="111"/>
        <v>0</v>
      </c>
      <c r="QM30" s="139" t="str">
        <f t="shared" si="112"/>
        <v/>
      </c>
      <c r="QO30" s="139">
        <f t="shared" si="113"/>
        <v>0</v>
      </c>
      <c r="QP30" s="139">
        <f t="shared" si="114"/>
        <v>0</v>
      </c>
      <c r="QR30" s="1">
        <f t="shared" si="115"/>
        <v>0</v>
      </c>
      <c r="QS30" s="1">
        <f t="shared" si="116"/>
        <v>0</v>
      </c>
      <c r="QT30" s="1">
        <f t="shared" si="117"/>
        <v>0</v>
      </c>
      <c r="QU30" s="1">
        <f t="shared" si="118"/>
        <v>0</v>
      </c>
      <c r="QV30" s="1">
        <f t="shared" si="119"/>
        <v>0</v>
      </c>
      <c r="QW30" s="1">
        <f t="shared" si="120"/>
        <v>0</v>
      </c>
      <c r="QY30" s="1">
        <f t="shared" si="121"/>
        <v>0</v>
      </c>
      <c r="QZ30" s="1">
        <f t="shared" si="122"/>
        <v>0</v>
      </c>
      <c r="RA30" s="1">
        <f t="shared" si="123"/>
        <v>0</v>
      </c>
      <c r="RB30" s="1">
        <f t="shared" si="124"/>
        <v>0</v>
      </c>
      <c r="RC30" s="1">
        <f t="shared" si="125"/>
        <v>0</v>
      </c>
      <c r="RD30" s="1">
        <f t="shared" si="126"/>
        <v>0</v>
      </c>
      <c r="RG30" s="1">
        <v>21</v>
      </c>
      <c r="RH30" s="1">
        <f t="shared" si="160"/>
        <v>-41929.480790282905</v>
      </c>
      <c r="RI30" s="1">
        <f t="shared" si="161"/>
        <v>5437.2677804837185</v>
      </c>
      <c r="RJ30" s="1">
        <f t="shared" si="162"/>
        <v>13404.263703387322</v>
      </c>
      <c r="RK30" s="89">
        <f t="shared" si="5"/>
        <v>-23087.949306411869</v>
      </c>
      <c r="RL30" s="1033">
        <v>21</v>
      </c>
      <c r="RM30" s="1098">
        <f t="shared" si="166"/>
        <v>0</v>
      </c>
      <c r="RN30" s="1098">
        <f t="shared" si="128"/>
        <v>0</v>
      </c>
      <c r="RO30" s="1097">
        <f t="shared" si="129"/>
        <v>0</v>
      </c>
      <c r="RP30" s="1097">
        <f t="shared" si="151"/>
        <v>6479.6399999999994</v>
      </c>
      <c r="RQ30" s="1109"/>
      <c r="RR30" s="1050" t="s">
        <v>711</v>
      </c>
      <c r="RS30" s="1048"/>
      <c r="RU30" s="421">
        <v>21</v>
      </c>
      <c r="RV30" s="1095">
        <f t="shared" si="130"/>
        <v>13734.23</v>
      </c>
      <c r="RW30" s="1050" t="s">
        <v>712</v>
      </c>
      <c r="RY30" s="1090"/>
      <c r="RZ30" s="1090">
        <f t="shared" si="131"/>
        <v>0</v>
      </c>
      <c r="SA30" s="1090"/>
      <c r="SB30" s="1090">
        <f t="shared" si="132"/>
        <v>0</v>
      </c>
      <c r="SD30" s="1">
        <v>21</v>
      </c>
      <c r="SE30" s="1">
        <f t="shared" si="133"/>
        <v>0</v>
      </c>
    </row>
    <row r="31" spans="1:500" s="1" customFormat="1">
      <c r="B31" s="471">
        <v>22</v>
      </c>
      <c r="C31" s="4">
        <f t="shared" si="6"/>
        <v>170766</v>
      </c>
      <c r="D31" s="64">
        <f t="shared" si="134"/>
        <v>9895.0600000000013</v>
      </c>
      <c r="E31" s="61">
        <f t="shared" si="7"/>
        <v>17.257702328232469</v>
      </c>
      <c r="F31" s="870"/>
      <c r="G31" s="870"/>
      <c r="H31" s="52"/>
      <c r="I31" s="61"/>
      <c r="J31" s="52"/>
      <c r="K31" s="54"/>
      <c r="L31" s="52"/>
      <c r="M31" s="61"/>
      <c r="N31" s="2629"/>
      <c r="O31" s="4">
        <f t="shared" si="8"/>
        <v>95340</v>
      </c>
      <c r="P31" s="1225">
        <f t="shared" si="9"/>
        <v>4417.3</v>
      </c>
      <c r="Q31" s="64">
        <f t="shared" si="10"/>
        <v>21.583320127679805</v>
      </c>
      <c r="R31" s="33"/>
      <c r="S31" s="26">
        <f t="shared" si="11"/>
        <v>37745</v>
      </c>
      <c r="T31" s="27">
        <f t="shared" si="12"/>
        <v>1737.76</v>
      </c>
      <c r="U31" s="53">
        <f t="shared" si="13"/>
        <v>21.720490746708407</v>
      </c>
      <c r="V31" s="28"/>
      <c r="W31" s="26">
        <f t="shared" si="14"/>
        <v>37681</v>
      </c>
      <c r="X31" s="5">
        <f t="shared" si="15"/>
        <v>3740</v>
      </c>
      <c r="Y31" s="53">
        <f t="shared" si="16"/>
        <v>10.075133689839571</v>
      </c>
      <c r="Z31" s="33"/>
      <c r="AA31" s="26">
        <f t="shared" si="17"/>
        <v>0</v>
      </c>
      <c r="AB31" s="27">
        <f t="shared" si="18"/>
        <v>0</v>
      </c>
      <c r="AC31" s="53">
        <f t="shared" si="19"/>
        <v>0</v>
      </c>
      <c r="AD31" s="28"/>
      <c r="AE31" s="36"/>
      <c r="AF31" s="36"/>
      <c r="AG31" s="53">
        <f t="shared" si="20"/>
        <v>0</v>
      </c>
      <c r="AH31" s="28"/>
      <c r="AI31" s="26"/>
      <c r="AJ31" s="27"/>
      <c r="AK31" s="53">
        <f t="shared" si="21"/>
        <v>0</v>
      </c>
      <c r="AL31" s="28"/>
      <c r="AM31" s="2629"/>
      <c r="AN31" s="9"/>
      <c r="AO31" s="5"/>
      <c r="AP31" s="61">
        <f t="shared" si="22"/>
        <v>0</v>
      </c>
      <c r="AQ31" s="36"/>
      <c r="AR31" s="53"/>
      <c r="AS31" s="61">
        <f t="shared" si="23"/>
        <v>0</v>
      </c>
      <c r="AT31" s="36">
        <v>0</v>
      </c>
      <c r="AU31" s="27"/>
      <c r="AV31" s="61">
        <f t="shared" si="24"/>
        <v>0</v>
      </c>
      <c r="AW31" s="36">
        <v>50610</v>
      </c>
      <c r="AX31" s="27">
        <v>2634.32</v>
      </c>
      <c r="AY31" s="61">
        <f t="shared" si="25"/>
        <v>19.211789000576999</v>
      </c>
      <c r="AZ31" s="36"/>
      <c r="BA31" s="27"/>
      <c r="BB31" s="61">
        <f t="shared" si="26"/>
        <v>0</v>
      </c>
      <c r="BC31" s="36">
        <v>44730</v>
      </c>
      <c r="BD31" s="27">
        <v>1782.98</v>
      </c>
      <c r="BE31" s="61">
        <f t="shared" si="27"/>
        <v>25.087213541374553</v>
      </c>
      <c r="BF31" s="36"/>
      <c r="BG31" s="53"/>
      <c r="BH31" s="61">
        <f t="shared" si="28"/>
        <v>0</v>
      </c>
      <c r="BI31" s="36">
        <v>0</v>
      </c>
      <c r="BJ31" s="53">
        <v>0</v>
      </c>
      <c r="BK31" s="61">
        <f t="shared" si="29"/>
        <v>0</v>
      </c>
      <c r="BL31" s="52">
        <v>37745</v>
      </c>
      <c r="BM31" s="53">
        <v>1737.76</v>
      </c>
      <c r="BN31" s="482">
        <f t="shared" si="30"/>
        <v>21.720490746708407</v>
      </c>
      <c r="BO31" s="9">
        <v>0</v>
      </c>
      <c r="BP31" s="64">
        <v>0</v>
      </c>
      <c r="BQ31" s="482">
        <f t="shared" si="31"/>
        <v>0</v>
      </c>
      <c r="BR31" s="9"/>
      <c r="BS31" s="64"/>
      <c r="BT31" s="482">
        <f t="shared" si="32"/>
        <v>0</v>
      </c>
      <c r="BU31" s="9">
        <v>37681</v>
      </c>
      <c r="BV31" s="27">
        <v>3740</v>
      </c>
      <c r="BW31" s="15">
        <f t="shared" si="33"/>
        <v>10.075133689839571</v>
      </c>
      <c r="BX31" s="4"/>
      <c r="BY31" s="5"/>
      <c r="BZ31" s="482">
        <f t="shared" si="34"/>
        <v>0</v>
      </c>
      <c r="CA31" s="9"/>
      <c r="CB31" s="5"/>
      <c r="CC31" s="482">
        <f t="shared" si="35"/>
        <v>0</v>
      </c>
      <c r="CD31" s="4"/>
      <c r="CE31" s="5"/>
      <c r="CF31" s="28">
        <f t="shared" si="36"/>
        <v>0</v>
      </c>
      <c r="CG31" s="150"/>
      <c r="CH31" s="1108">
        <v>1296</v>
      </c>
      <c r="CI31" s="5">
        <v>0</v>
      </c>
      <c r="CJ31" s="5">
        <v>0</v>
      </c>
      <c r="CK31" s="5">
        <v>10911</v>
      </c>
      <c r="CL31" s="5"/>
      <c r="CM31" s="5">
        <f t="shared" si="135"/>
        <v>12207</v>
      </c>
      <c r="CN31" s="33"/>
      <c r="CO31" s="366"/>
      <c r="CQ31" s="4">
        <f t="shared" si="37"/>
        <v>0</v>
      </c>
      <c r="CR31" s="9">
        <f t="shared" si="38"/>
        <v>0</v>
      </c>
      <c r="CS31" s="5">
        <f t="shared" si="39"/>
        <v>0</v>
      </c>
      <c r="CT31" s="5">
        <f t="shared" si="40"/>
        <v>0</v>
      </c>
      <c r="CU31" s="5">
        <f t="shared" si="41"/>
        <v>0</v>
      </c>
      <c r="CV31" s="5">
        <f t="shared" si="42"/>
        <v>0</v>
      </c>
      <c r="CW31" s="5">
        <f t="shared" si="43"/>
        <v>0</v>
      </c>
      <c r="CX31" s="5">
        <f t="shared" si="44"/>
        <v>0</v>
      </c>
      <c r="CY31" s="5">
        <f t="shared" si="45"/>
        <v>8475.06</v>
      </c>
      <c r="CZ31" s="5">
        <f t="shared" si="46"/>
        <v>0</v>
      </c>
      <c r="DA31" s="5">
        <f t="shared" si="47"/>
        <v>1420</v>
      </c>
      <c r="DB31" s="12">
        <f t="shared" si="48"/>
        <v>0</v>
      </c>
      <c r="DC31" s="310">
        <f t="shared" si="49"/>
        <v>9895.06</v>
      </c>
      <c r="DD31" s="2695"/>
      <c r="DE31" s="9"/>
      <c r="DF31" s="9"/>
      <c r="DG31" s="5"/>
      <c r="DH31" s="5"/>
      <c r="DI31" s="5"/>
      <c r="DJ31" s="5"/>
      <c r="DK31" s="5"/>
      <c r="DL31" s="5"/>
      <c r="DM31" s="487">
        <v>2634.32</v>
      </c>
      <c r="DN31" s="5"/>
      <c r="DO31" s="5"/>
      <c r="DP31" s="12"/>
      <c r="DQ31" s="28">
        <f t="shared" si="50"/>
        <v>2634.32</v>
      </c>
      <c r="DR31" s="36"/>
      <c r="DS31" s="9"/>
      <c r="DT31" s="5"/>
      <c r="DU31" s="5"/>
      <c r="DV31" s="5"/>
      <c r="DW31" s="5"/>
      <c r="DX31" s="27"/>
      <c r="DY31" s="27"/>
      <c r="DZ31" s="27">
        <v>3520.74</v>
      </c>
      <c r="EA31" s="27"/>
      <c r="EB31" s="27"/>
      <c r="EC31" s="33"/>
      <c r="ED31" s="28">
        <f t="shared" si="51"/>
        <v>3520.74</v>
      </c>
      <c r="EE31" s="9"/>
      <c r="EF31" s="36"/>
      <c r="EG31"/>
      <c r="EH31" s="27"/>
      <c r="EI31" s="27"/>
      <c r="EJ31" s="27"/>
      <c r="EK31" s="27"/>
      <c r="EL31" s="27"/>
      <c r="EM31" s="27">
        <v>2320</v>
      </c>
      <c r="EN31" s="27"/>
      <c r="EO31" s="27">
        <v>1420</v>
      </c>
      <c r="EP31" s="33"/>
      <c r="EQ31" s="28">
        <f t="shared" si="52"/>
        <v>3740</v>
      </c>
      <c r="ER31" s="36"/>
      <c r="ES31" s="27"/>
      <c r="ET31" s="27"/>
      <c r="EU31" s="27"/>
      <c r="EV31" s="27"/>
      <c r="EW31" s="27"/>
      <c r="EX31" s="33">
        <f t="shared" si="53"/>
        <v>0</v>
      </c>
      <c r="EY31" s="2685"/>
      <c r="FA31" s="4">
        <f t="shared" si="54"/>
        <v>0</v>
      </c>
      <c r="FB31" s="5">
        <f t="shared" si="55"/>
        <v>0</v>
      </c>
      <c r="FC31" s="5">
        <f t="shared" si="56"/>
        <v>0</v>
      </c>
      <c r="FD31" s="12">
        <f t="shared" si="57"/>
        <v>0</v>
      </c>
      <c r="FE31" s="33"/>
      <c r="FF31" s="2674"/>
      <c r="FG31" s="9"/>
      <c r="FH31" s="5"/>
      <c r="FI31" s="5"/>
      <c r="FJ31" s="5"/>
      <c r="FK31" s="5"/>
      <c r="FL31" s="27"/>
      <c r="FM31" s="28">
        <f t="shared" si="58"/>
        <v>0</v>
      </c>
      <c r="FN31" s="36"/>
      <c r="FO31" s="27"/>
      <c r="FP31" s="27"/>
      <c r="FQ31" s="27"/>
      <c r="FR31" s="27"/>
      <c r="FS31" s="27"/>
      <c r="FT31" s="28">
        <f t="shared" si="59"/>
        <v>0</v>
      </c>
      <c r="FU31" s="36"/>
      <c r="FV31" s="36"/>
      <c r="FW31" s="27"/>
      <c r="FX31" s="27"/>
      <c r="FY31" s="27"/>
      <c r="FZ31" s="27"/>
      <c r="GA31" s="27"/>
      <c r="GB31" s="27"/>
      <c r="GC31" s="27"/>
      <c r="GD31" s="27"/>
      <c r="GE31" s="27"/>
      <c r="GF31" s="33"/>
      <c r="GG31" s="33">
        <f t="shared" si="60"/>
        <v>0</v>
      </c>
      <c r="GH31" s="2674"/>
      <c r="GJ31" s="4">
        <f t="shared" si="61"/>
        <v>2055.5699999999997</v>
      </c>
      <c r="GK31" s="64">
        <f t="shared" si="62"/>
        <v>4474.26</v>
      </c>
      <c r="GL31" s="53">
        <f t="shared" si="63"/>
        <v>6078.1</v>
      </c>
      <c r="GM31" s="53">
        <f t="shared" si="64"/>
        <v>12607.93</v>
      </c>
      <c r="GN31" s="141"/>
      <c r="GO31" s="141"/>
      <c r="GP31" s="33"/>
      <c r="GQ31" s="2667"/>
      <c r="GR31" s="152">
        <v>5677.8899999999994</v>
      </c>
      <c r="GS31" s="27"/>
      <c r="GT31" s="27">
        <v>3390.92</v>
      </c>
      <c r="GU31" s="27">
        <v>3539.12</v>
      </c>
      <c r="GV31" s="33">
        <f t="shared" si="65"/>
        <v>12607.93</v>
      </c>
      <c r="GW31" s="2667"/>
      <c r="GX31" s="36"/>
      <c r="GY31" s="36"/>
      <c r="GZ31" s="27"/>
      <c r="HA31" s="27"/>
      <c r="HB31" s="27"/>
      <c r="HC31" s="27"/>
      <c r="HD31" s="27"/>
      <c r="HE31" s="27"/>
      <c r="HF31" s="27">
        <v>2055.5699999999997</v>
      </c>
      <c r="HG31" s="27"/>
      <c r="HH31" s="27"/>
      <c r="HI31" s="27"/>
      <c r="HJ31" s="27"/>
      <c r="HK31" s="27"/>
      <c r="HL31" s="28">
        <f t="shared" si="66"/>
        <v>2055.5699999999997</v>
      </c>
      <c r="HM31" s="36"/>
      <c r="HN31" s="27"/>
      <c r="HO31" s="27"/>
      <c r="HP31" s="27"/>
      <c r="HQ31" s="27"/>
      <c r="HR31" s="27"/>
      <c r="HS31" s="27"/>
      <c r="HT31" s="27"/>
      <c r="HU31" s="27"/>
      <c r="HV31" s="27"/>
      <c r="HW31" s="27"/>
      <c r="HX31" s="27"/>
      <c r="HY31" s="27"/>
      <c r="HZ31" s="27"/>
      <c r="IA31" s="33">
        <f t="shared" si="67"/>
        <v>0</v>
      </c>
      <c r="IB31" s="52"/>
      <c r="IC31" s="152"/>
      <c r="ID31" s="53"/>
      <c r="IE31" s="53"/>
      <c r="IF31" s="53"/>
      <c r="IG31" s="53"/>
      <c r="IH31" s="53"/>
      <c r="II31" s="53"/>
      <c r="IJ31" s="53">
        <v>4474.26</v>
      </c>
      <c r="IK31" s="53"/>
      <c r="IL31" s="53"/>
      <c r="IM31" s="53"/>
      <c r="IN31" s="53"/>
      <c r="IO31" s="53"/>
      <c r="IP31" s="61">
        <f t="shared" si="68"/>
        <v>4474.26</v>
      </c>
      <c r="IQ31" s="36"/>
      <c r="IR31" s="36"/>
      <c r="IS31" s="27"/>
      <c r="IT31" s="27"/>
      <c r="IU31" s="53"/>
      <c r="IV31" s="27"/>
      <c r="IW31" s="27"/>
      <c r="IX31" s="27"/>
      <c r="IY31" s="27">
        <v>6078.1</v>
      </c>
      <c r="IZ31" s="27"/>
      <c r="JA31" s="27"/>
      <c r="JB31" s="27"/>
      <c r="JC31" s="27"/>
      <c r="JD31" s="27"/>
      <c r="JE31" s="33">
        <f t="shared" si="69"/>
        <v>6078.1</v>
      </c>
      <c r="JF31" s="2667"/>
      <c r="JH31" s="52">
        <v>12607.930000000002</v>
      </c>
      <c r="JI31" s="152"/>
      <c r="JJ31" s="53"/>
      <c r="JK31" s="53">
        <f t="shared" si="70"/>
        <v>12607.930000000002</v>
      </c>
      <c r="JL31" s="33"/>
      <c r="JM31" s="2669"/>
      <c r="JN31" s="69"/>
      <c r="JO31" s="70"/>
      <c r="JP31" s="70"/>
      <c r="JQ31" s="70"/>
      <c r="JR31" s="70">
        <v>1</v>
      </c>
      <c r="JS31" s="70"/>
      <c r="JT31" s="70"/>
      <c r="JU31" s="71"/>
      <c r="JV31" s="69"/>
      <c r="JW31" s="70"/>
      <c r="JX31" s="70"/>
      <c r="JY31" s="70"/>
      <c r="JZ31" s="70"/>
      <c r="KA31" s="70"/>
      <c r="KB31" s="70"/>
      <c r="KC31" s="71"/>
      <c r="KD31" s="69"/>
      <c r="KE31" s="70"/>
      <c r="KF31" s="70"/>
      <c r="KG31" s="70"/>
      <c r="KH31" s="70"/>
      <c r="KI31" s="70"/>
      <c r="KJ31" s="70"/>
      <c r="KK31" s="70"/>
      <c r="KL31" s="33"/>
      <c r="KM31" s="2669"/>
      <c r="KN31" s="9">
        <v>7012.8901783628007</v>
      </c>
      <c r="KO31" s="64">
        <v>0.71062543811823342</v>
      </c>
      <c r="KP31" s="64">
        <v>3.4990560012462026</v>
      </c>
      <c r="KQ31" s="64">
        <v>6.1543702780590381</v>
      </c>
      <c r="KR31" s="846">
        <v>10.293405249630034</v>
      </c>
      <c r="KS31" s="4">
        <v>0</v>
      </c>
      <c r="KT31" s="64">
        <v>0</v>
      </c>
      <c r="KU31" s="64">
        <v>0</v>
      </c>
      <c r="KV31" s="64">
        <v>0</v>
      </c>
      <c r="KW31" s="482">
        <v>0</v>
      </c>
      <c r="KX31" s="36"/>
      <c r="KY31" s="53"/>
      <c r="KZ31" s="53"/>
      <c r="LA31" s="53"/>
      <c r="LB31" s="53"/>
      <c r="LC31" s="33"/>
      <c r="LD31" s="2669"/>
      <c r="LF31" s="4">
        <f t="shared" si="71"/>
        <v>26206.15</v>
      </c>
      <c r="LG31" s="5">
        <f t="shared" si="72"/>
        <v>0</v>
      </c>
      <c r="LH31" s="27">
        <f t="shared" si="73"/>
        <v>0</v>
      </c>
      <c r="LI31" s="28">
        <f t="shared" si="74"/>
        <v>26206.15</v>
      </c>
      <c r="LJ31" s="36">
        <v>3</v>
      </c>
      <c r="LK31" s="27">
        <v>1</v>
      </c>
      <c r="LL31" s="27">
        <v>6</v>
      </c>
      <c r="LM31" s="33"/>
      <c r="LN31" s="1041">
        <v>5.97</v>
      </c>
      <c r="LO31" s="486"/>
      <c r="LP31" s="2688"/>
      <c r="LQ31" s="36">
        <v>26206.15</v>
      </c>
      <c r="LR31" s="36"/>
      <c r="LS31" s="27"/>
      <c r="LT31" s="27"/>
      <c r="LU31" s="27"/>
      <c r="LV31" s="1107">
        <f t="shared" si="75"/>
        <v>26206.15</v>
      </c>
      <c r="LW31" s="36"/>
      <c r="LX31" s="36"/>
      <c r="LY31" s="27"/>
      <c r="LZ31" s="27"/>
      <c r="MA31" s="33"/>
      <c r="MB31" s="28">
        <f t="shared" si="76"/>
        <v>0</v>
      </c>
      <c r="MC31" s="26"/>
      <c r="MD31" s="36"/>
      <c r="ME31" s="27"/>
      <c r="MF31" s="27"/>
      <c r="MG31" s="27"/>
      <c r="MH31" s="28"/>
      <c r="MI31" s="36"/>
      <c r="MJ31" s="36"/>
      <c r="MK31" s="27"/>
      <c r="ML31" s="27"/>
      <c r="MM31" s="27"/>
      <c r="MN31" s="28"/>
      <c r="MO31" s="36"/>
      <c r="MP31" s="36"/>
      <c r="MQ31" s="27"/>
      <c r="MR31" s="27"/>
      <c r="MS31" s="27"/>
      <c r="MT31" s="33">
        <f t="shared" si="77"/>
        <v>0</v>
      </c>
      <c r="MU31" s="2688"/>
      <c r="MW31" s="26">
        <f t="shared" si="78"/>
        <v>165473.64630256637</v>
      </c>
      <c r="MX31" s="27">
        <f t="shared" si="79"/>
        <v>188816.76929571753</v>
      </c>
      <c r="MY31" s="27">
        <f t="shared" si="80"/>
        <v>20228.255608283042</v>
      </c>
      <c r="MZ31" s="28">
        <f t="shared" si="81"/>
        <v>437056.75467809115</v>
      </c>
      <c r="NA31" s="2621"/>
      <c r="NB31" s="23">
        <f t="shared" si="82"/>
        <v>159122.41581518334</v>
      </c>
      <c r="NC31" s="64">
        <f t="shared" si="83"/>
        <v>6351.2304873830426</v>
      </c>
      <c r="ND31" s="60">
        <f t="shared" si="84"/>
        <v>0</v>
      </c>
      <c r="NE31" s="1110">
        <f t="shared" si="4"/>
        <v>165473.64630256637</v>
      </c>
      <c r="NF31" s="26">
        <f t="shared" si="170"/>
        <v>0</v>
      </c>
      <c r="NG31" s="27">
        <f t="shared" si="171"/>
        <v>0</v>
      </c>
      <c r="NH31" s="27">
        <f t="shared" si="172"/>
        <v>0</v>
      </c>
      <c r="NI31" s="27">
        <f t="shared" ref="NI31:NI40" si="175">+NI30+EH31-HA31</f>
        <v>0</v>
      </c>
      <c r="NJ31" s="27">
        <f t="shared" si="173"/>
        <v>0</v>
      </c>
      <c r="NK31" s="33">
        <f t="shared" si="174"/>
        <v>0</v>
      </c>
      <c r="NL31" s="27">
        <f t="shared" si="142"/>
        <v>0</v>
      </c>
      <c r="NM31" s="36">
        <f t="shared" si="143"/>
        <v>0</v>
      </c>
      <c r="NN31" s="27">
        <f t="shared" si="144"/>
        <v>46774.536549276003</v>
      </c>
      <c r="NO31" s="27">
        <f t="shared" si="145"/>
        <v>0</v>
      </c>
      <c r="NP31" s="24">
        <f t="shared" si="146"/>
        <v>8756.5482322711578</v>
      </c>
      <c r="NQ31" s="24">
        <f t="shared" si="147"/>
        <v>15510.094585687599</v>
      </c>
      <c r="NR31" s="27">
        <f t="shared" si="0"/>
        <v>71041.179367234756</v>
      </c>
      <c r="NS31" s="27">
        <f t="shared" si="86"/>
        <v>0</v>
      </c>
      <c r="NT31" s="27">
        <f t="shared" si="87"/>
        <v>0</v>
      </c>
      <c r="NU31" s="27">
        <f t="shared" si="88"/>
        <v>0</v>
      </c>
      <c r="NV31" s="27">
        <f t="shared" si="89"/>
        <v>0</v>
      </c>
      <c r="NW31" s="27">
        <f t="shared" si="90"/>
        <v>0</v>
      </c>
      <c r="NX31" s="5">
        <f t="shared" si="91"/>
        <v>0</v>
      </c>
      <c r="NY31" s="27">
        <f t="shared" si="92"/>
        <v>2837.1481519076283</v>
      </c>
      <c r="NZ31" s="27">
        <f t="shared" si="93"/>
        <v>0</v>
      </c>
      <c r="OA31" s="27">
        <f t="shared" si="94"/>
        <v>25997.654759987767</v>
      </c>
      <c r="OB31" s="27"/>
      <c r="OC31" s="24">
        <f t="shared" si="95"/>
        <v>3403.7241844007053</v>
      </c>
      <c r="OD31" s="27">
        <f t="shared" si="96"/>
        <v>0</v>
      </c>
      <c r="OE31" s="28">
        <f t="shared" si="1"/>
        <v>32238.5270962961</v>
      </c>
      <c r="OF31" s="27">
        <f t="shared" si="163"/>
        <v>0</v>
      </c>
      <c r="OG31" s="27">
        <f t="shared" si="164"/>
        <v>0</v>
      </c>
      <c r="OH31" s="27">
        <f t="shared" si="169"/>
        <v>0</v>
      </c>
      <c r="OI31" s="27">
        <f t="shared" si="167"/>
        <v>0</v>
      </c>
      <c r="OJ31" s="27">
        <f t="shared" si="167"/>
        <v>0</v>
      </c>
      <c r="OK31" s="27">
        <f t="shared" si="168"/>
        <v>0</v>
      </c>
      <c r="OL31" s="24">
        <f t="shared" si="168"/>
        <v>0</v>
      </c>
      <c r="OM31" s="27">
        <f t="shared" si="154"/>
        <v>0</v>
      </c>
      <c r="ON31" s="24">
        <f t="shared" si="154"/>
        <v>83259.198513777985</v>
      </c>
      <c r="OO31" s="27">
        <f t="shared" si="156"/>
        <v>0</v>
      </c>
      <c r="OP31" s="27">
        <f t="shared" si="157"/>
        <v>2277.8643184086804</v>
      </c>
      <c r="OQ31" s="27">
        <f t="shared" si="158"/>
        <v>0</v>
      </c>
      <c r="OR31" s="28">
        <f t="shared" si="2"/>
        <v>85537.062832186668</v>
      </c>
      <c r="OS31" s="36"/>
      <c r="OT31" s="27"/>
      <c r="OU31" s="27"/>
      <c r="OV31" s="27"/>
      <c r="OW31" s="27"/>
      <c r="OX31" s="27"/>
      <c r="OY31" s="28">
        <f t="shared" si="98"/>
        <v>0</v>
      </c>
      <c r="OZ31" s="36">
        <f t="shared" si="99"/>
        <v>0</v>
      </c>
      <c r="PA31" s="27">
        <f t="shared" si="100"/>
        <v>0</v>
      </c>
      <c r="PB31" s="27">
        <f t="shared" si="101"/>
        <v>0</v>
      </c>
      <c r="PC31" s="27">
        <f t="shared" si="102"/>
        <v>0</v>
      </c>
      <c r="PD31" s="27">
        <f t="shared" si="103"/>
        <v>0</v>
      </c>
      <c r="PE31" s="27">
        <f t="shared" si="104"/>
        <v>0</v>
      </c>
      <c r="PF31" s="33">
        <f t="shared" si="3"/>
        <v>0</v>
      </c>
      <c r="PG31" s="2621"/>
      <c r="PI31" s="2"/>
      <c r="PJ31" s="3">
        <v>564</v>
      </c>
      <c r="PK31" s="3">
        <v>282</v>
      </c>
      <c r="PL31" s="3">
        <f t="shared" si="148"/>
        <v>0</v>
      </c>
      <c r="PM31" s="3">
        <f t="shared" si="149"/>
        <v>1774.9199999999992</v>
      </c>
      <c r="PN31" s="11">
        <f t="shared" si="150"/>
        <v>20228.255608283042</v>
      </c>
      <c r="PO31" s="15"/>
      <c r="PP31" s="2615"/>
      <c r="PR31" s="4"/>
      <c r="PS31" s="9"/>
      <c r="PT31" s="9"/>
      <c r="PU31" s="9"/>
      <c r="PV31" s="9"/>
      <c r="PW31" s="9"/>
      <c r="PX31" s="8">
        <f t="shared" si="105"/>
        <v>0</v>
      </c>
      <c r="PY31" s="5">
        <f t="shared" si="106"/>
        <v>0</v>
      </c>
      <c r="PZ31" s="5"/>
      <c r="QA31" s="5"/>
      <c r="QB31" s="5"/>
      <c r="QC31" s="5"/>
      <c r="QD31" s="5"/>
      <c r="QE31" s="12">
        <f t="shared" si="107"/>
        <v>29749.381073161156</v>
      </c>
      <c r="QF31" s="420">
        <f t="shared" si="108"/>
        <v>407307.37360493001</v>
      </c>
      <c r="QG31" s="1106">
        <f t="shared" si="109"/>
        <v>0</v>
      </c>
      <c r="QH31" s="484">
        <f t="shared" si="110"/>
        <v>5505.3678056100007</v>
      </c>
      <c r="QI31" s="12"/>
      <c r="QJ31" s="2615"/>
      <c r="QL31" s="139">
        <f t="shared" si="111"/>
        <v>0</v>
      </c>
      <c r="QM31" s="139" t="str">
        <f t="shared" si="112"/>
        <v/>
      </c>
      <c r="QO31" s="139">
        <f t="shared" si="113"/>
        <v>0</v>
      </c>
      <c r="QP31" s="139">
        <f t="shared" si="114"/>
        <v>0</v>
      </c>
      <c r="QR31" s="1">
        <f t="shared" si="115"/>
        <v>0</v>
      </c>
      <c r="QS31" s="1">
        <f t="shared" si="116"/>
        <v>0</v>
      </c>
      <c r="QT31" s="1">
        <f t="shared" si="117"/>
        <v>0</v>
      </c>
      <c r="QU31" s="1">
        <f t="shared" si="118"/>
        <v>0</v>
      </c>
      <c r="QV31" s="1">
        <f t="shared" si="119"/>
        <v>0</v>
      </c>
      <c r="QW31" s="1">
        <f t="shared" si="120"/>
        <v>0</v>
      </c>
      <c r="QY31" s="1">
        <f t="shared" si="121"/>
        <v>0</v>
      </c>
      <c r="QZ31" s="1">
        <f t="shared" si="122"/>
        <v>0</v>
      </c>
      <c r="RA31" s="1">
        <f t="shared" si="123"/>
        <v>0</v>
      </c>
      <c r="RB31" s="1">
        <f t="shared" si="124"/>
        <v>0</v>
      </c>
      <c r="RC31" s="1">
        <f t="shared" si="125"/>
        <v>0</v>
      </c>
      <c r="RD31" s="1">
        <f t="shared" si="126"/>
        <v>0</v>
      </c>
      <c r="RG31" s="1">
        <v>22</v>
      </c>
      <c r="RH31" s="1">
        <f t="shared" si="160"/>
        <v>-55527.700790282906</v>
      </c>
      <c r="RI31" s="1">
        <f t="shared" si="161"/>
        <v>5437.2677804837185</v>
      </c>
      <c r="RJ31" s="1">
        <f t="shared" si="162"/>
        <v>13404.263703387322</v>
      </c>
      <c r="RK31" s="89">
        <f t="shared" si="5"/>
        <v>-36686.169306411874</v>
      </c>
      <c r="RL31" s="1033">
        <v>22</v>
      </c>
      <c r="RM31" s="1098">
        <f t="shared" si="166"/>
        <v>0</v>
      </c>
      <c r="RN31" s="1098">
        <f t="shared" si="128"/>
        <v>0</v>
      </c>
      <c r="RO31" s="1097">
        <f t="shared" si="129"/>
        <v>0</v>
      </c>
      <c r="RP31" s="1097">
        <f t="shared" si="151"/>
        <v>6155.0599999999995</v>
      </c>
      <c r="RQ31" s="1109"/>
      <c r="RR31" s="1109" t="s">
        <v>713</v>
      </c>
      <c r="RS31" s="1048"/>
      <c r="RU31" s="421">
        <v>22</v>
      </c>
      <c r="RV31" s="1095">
        <f t="shared" si="130"/>
        <v>12607.93</v>
      </c>
      <c r="RW31" s="1046" t="s">
        <v>714</v>
      </c>
      <c r="RY31" s="1090"/>
      <c r="RZ31" s="1090">
        <f t="shared" si="131"/>
        <v>0</v>
      </c>
      <c r="SA31" s="1090"/>
      <c r="SB31" s="1090">
        <f t="shared" si="132"/>
        <v>0</v>
      </c>
      <c r="SD31" s="1">
        <v>22</v>
      </c>
      <c r="SE31" s="1">
        <f t="shared" si="133"/>
        <v>0</v>
      </c>
    </row>
    <row r="32" spans="1:500" s="1" customFormat="1">
      <c r="B32" s="471">
        <v>23</v>
      </c>
      <c r="C32" s="4">
        <f t="shared" si="6"/>
        <v>159059</v>
      </c>
      <c r="D32" s="64">
        <f t="shared" si="134"/>
        <v>10125.36</v>
      </c>
      <c r="E32" s="61">
        <f t="shared" si="7"/>
        <v>15.708972322959381</v>
      </c>
      <c r="F32" s="870"/>
      <c r="G32" s="870"/>
      <c r="H32" s="52"/>
      <c r="I32" s="61"/>
      <c r="J32" s="52"/>
      <c r="K32" s="54"/>
      <c r="L32" s="52"/>
      <c r="M32" s="61"/>
      <c r="N32" s="2629"/>
      <c r="O32" s="4">
        <f t="shared" si="8"/>
        <v>90552</v>
      </c>
      <c r="P32" s="1225">
        <f t="shared" si="9"/>
        <v>4891.6000000000004</v>
      </c>
      <c r="Q32" s="64">
        <f t="shared" si="10"/>
        <v>18.51173440183171</v>
      </c>
      <c r="R32" s="33"/>
      <c r="S32" s="26">
        <f t="shared" si="11"/>
        <v>31417</v>
      </c>
      <c r="T32" s="27">
        <f t="shared" si="12"/>
        <v>1013.76</v>
      </c>
      <c r="U32" s="53">
        <f t="shared" si="13"/>
        <v>30.99056976010101</v>
      </c>
      <c r="V32" s="28"/>
      <c r="W32" s="26">
        <f t="shared" si="14"/>
        <v>37090</v>
      </c>
      <c r="X32" s="5">
        <f t="shared" si="15"/>
        <v>4220</v>
      </c>
      <c r="Y32" s="53">
        <f t="shared" si="16"/>
        <v>8.7890995260663516</v>
      </c>
      <c r="Z32" s="33"/>
      <c r="AA32" s="26">
        <f t="shared" si="17"/>
        <v>0</v>
      </c>
      <c r="AB32" s="27">
        <f t="shared" si="18"/>
        <v>0</v>
      </c>
      <c r="AC32" s="53">
        <f t="shared" si="19"/>
        <v>0</v>
      </c>
      <c r="AD32" s="28"/>
      <c r="AE32" s="36"/>
      <c r="AF32" s="36"/>
      <c r="AG32" s="53">
        <f t="shared" si="20"/>
        <v>0</v>
      </c>
      <c r="AH32" s="28"/>
      <c r="AI32" s="23"/>
      <c r="AJ32" s="27"/>
      <c r="AK32" s="53">
        <f t="shared" si="21"/>
        <v>0</v>
      </c>
      <c r="AL32" s="28"/>
      <c r="AM32" s="2629"/>
      <c r="AN32" s="9"/>
      <c r="AO32" s="5"/>
      <c r="AP32" s="61">
        <f t="shared" si="22"/>
        <v>0</v>
      </c>
      <c r="AQ32" s="36"/>
      <c r="AR32" s="53"/>
      <c r="AS32" s="61">
        <f t="shared" si="23"/>
        <v>0</v>
      </c>
      <c r="AT32" s="36">
        <v>0</v>
      </c>
      <c r="AU32" s="27"/>
      <c r="AV32" s="61">
        <f t="shared" si="24"/>
        <v>0</v>
      </c>
      <c r="AW32" s="36">
        <v>50022</v>
      </c>
      <c r="AX32" s="27">
        <v>2826.54</v>
      </c>
      <c r="AY32" s="61">
        <f t="shared" si="25"/>
        <v>17.697255301534739</v>
      </c>
      <c r="AZ32" s="36"/>
      <c r="BA32" s="27"/>
      <c r="BB32" s="61">
        <f t="shared" si="26"/>
        <v>0</v>
      </c>
      <c r="BC32" s="36">
        <v>40530</v>
      </c>
      <c r="BD32" s="27">
        <v>2065.06</v>
      </c>
      <c r="BE32" s="61">
        <f t="shared" si="27"/>
        <v>19.626548381160838</v>
      </c>
      <c r="BF32" s="36"/>
      <c r="BG32" s="53"/>
      <c r="BH32" s="61">
        <f t="shared" si="28"/>
        <v>0</v>
      </c>
      <c r="BI32" s="36">
        <v>0</v>
      </c>
      <c r="BJ32" s="53">
        <v>0</v>
      </c>
      <c r="BK32" s="61">
        <f t="shared" si="29"/>
        <v>0</v>
      </c>
      <c r="BL32" s="52">
        <v>31417</v>
      </c>
      <c r="BM32" s="53">
        <v>1013.76</v>
      </c>
      <c r="BN32" s="482">
        <f t="shared" si="30"/>
        <v>30.99056976010101</v>
      </c>
      <c r="BO32" s="9">
        <v>0</v>
      </c>
      <c r="BP32" s="64">
        <v>0</v>
      </c>
      <c r="BQ32" s="482">
        <f t="shared" si="31"/>
        <v>0</v>
      </c>
      <c r="BR32" s="9"/>
      <c r="BS32" s="64"/>
      <c r="BT32" s="482">
        <f t="shared" si="32"/>
        <v>0</v>
      </c>
      <c r="BU32" s="9">
        <v>37090</v>
      </c>
      <c r="BV32" s="5">
        <v>4220</v>
      </c>
      <c r="BW32" s="15">
        <f t="shared" si="33"/>
        <v>8.7890995260663516</v>
      </c>
      <c r="BX32" s="4"/>
      <c r="BY32" s="5"/>
      <c r="BZ32" s="482">
        <f t="shared" si="34"/>
        <v>0</v>
      </c>
      <c r="CA32" s="9"/>
      <c r="CB32" s="5"/>
      <c r="CC32" s="482">
        <f t="shared" si="35"/>
        <v>0</v>
      </c>
      <c r="CD32" s="4"/>
      <c r="CE32" s="5"/>
      <c r="CF32" s="28">
        <f t="shared" si="36"/>
        <v>0</v>
      </c>
      <c r="CG32" s="150"/>
      <c r="CH32" s="1108">
        <v>1536</v>
      </c>
      <c r="CI32" s="5">
        <v>0</v>
      </c>
      <c r="CJ32" s="5">
        <v>0</v>
      </c>
      <c r="CK32" s="5">
        <v>10446</v>
      </c>
      <c r="CL32" s="5"/>
      <c r="CM32" s="5">
        <f t="shared" si="135"/>
        <v>11982</v>
      </c>
      <c r="CN32" s="33"/>
      <c r="CO32" s="368"/>
      <c r="CQ32" s="4">
        <f t="shared" si="37"/>
        <v>0</v>
      </c>
      <c r="CR32" s="9">
        <f t="shared" si="38"/>
        <v>0</v>
      </c>
      <c r="CS32" s="5">
        <f t="shared" si="39"/>
        <v>0</v>
      </c>
      <c r="CT32" s="5">
        <f t="shared" si="40"/>
        <v>0</v>
      </c>
      <c r="CU32" s="5">
        <f t="shared" si="41"/>
        <v>0</v>
      </c>
      <c r="CV32" s="5">
        <f t="shared" si="42"/>
        <v>0</v>
      </c>
      <c r="CW32" s="5">
        <f t="shared" si="43"/>
        <v>2502.4799999999996</v>
      </c>
      <c r="CX32" s="5">
        <f t="shared" si="44"/>
        <v>0</v>
      </c>
      <c r="CY32" s="5">
        <f t="shared" si="45"/>
        <v>5742.88</v>
      </c>
      <c r="CZ32" s="5">
        <f t="shared" si="46"/>
        <v>0</v>
      </c>
      <c r="DA32" s="5">
        <f t="shared" si="47"/>
        <v>1880</v>
      </c>
      <c r="DB32" s="12">
        <f t="shared" si="48"/>
        <v>0</v>
      </c>
      <c r="DC32" s="310">
        <f>SUM(CQ32:DB32,PV32,PW32,)</f>
        <v>10125.36</v>
      </c>
      <c r="DD32" s="2695"/>
      <c r="DE32" s="9"/>
      <c r="DF32" s="9"/>
      <c r="DG32" s="5"/>
      <c r="DH32" s="5"/>
      <c r="DI32" s="5"/>
      <c r="DJ32" s="5"/>
      <c r="DK32" s="5">
        <v>2502.4799999999996</v>
      </c>
      <c r="DL32" s="12"/>
      <c r="DM32" s="487">
        <v>324.06</v>
      </c>
      <c r="DN32" s="9"/>
      <c r="DO32" s="5"/>
      <c r="DP32" s="12"/>
      <c r="DQ32" s="28">
        <f t="shared" si="50"/>
        <v>2826.5399999999995</v>
      </c>
      <c r="DR32" s="36"/>
      <c r="DS32" s="9"/>
      <c r="DT32" s="5"/>
      <c r="DU32" s="5"/>
      <c r="DV32" s="5"/>
      <c r="DW32" s="5"/>
      <c r="DX32" s="27"/>
      <c r="DY32" s="27"/>
      <c r="DZ32" s="27">
        <v>3078.82</v>
      </c>
      <c r="EA32" s="27"/>
      <c r="EB32" s="27"/>
      <c r="EC32" s="33"/>
      <c r="ED32" s="28">
        <f t="shared" si="51"/>
        <v>3078.82</v>
      </c>
      <c r="EE32" s="9"/>
      <c r="EF32" s="36"/>
      <c r="EG32" s="27"/>
      <c r="EH32" s="27"/>
      <c r="EI32" s="27"/>
      <c r="EJ32" s="27"/>
      <c r="EK32" s="27"/>
      <c r="EL32" s="27"/>
      <c r="EM32" s="27">
        <v>2340</v>
      </c>
      <c r="EN32" s="27"/>
      <c r="EO32" s="1448">
        <v>1880</v>
      </c>
      <c r="EP32" s="33"/>
      <c r="EQ32" s="28">
        <f t="shared" si="52"/>
        <v>4220</v>
      </c>
      <c r="ER32" s="36"/>
      <c r="ES32" s="27"/>
      <c r="ET32" s="27"/>
      <c r="EU32" s="27"/>
      <c r="EV32" s="27"/>
      <c r="EW32" s="27"/>
      <c r="EX32" s="33">
        <f t="shared" si="53"/>
        <v>0</v>
      </c>
      <c r="EY32" s="2685"/>
      <c r="FA32" s="4">
        <f t="shared" si="54"/>
        <v>0</v>
      </c>
      <c r="FB32" s="5">
        <f t="shared" si="55"/>
        <v>0</v>
      </c>
      <c r="FC32" s="5">
        <f t="shared" si="56"/>
        <v>0</v>
      </c>
      <c r="FD32" s="12">
        <f t="shared" si="57"/>
        <v>0</v>
      </c>
      <c r="FE32" s="33"/>
      <c r="FF32" s="2674"/>
      <c r="FG32" s="9"/>
      <c r="FH32" s="5"/>
      <c r="FI32" s="5"/>
      <c r="FJ32" s="5"/>
      <c r="FK32" s="5"/>
      <c r="FL32" s="27"/>
      <c r="FM32" s="28">
        <f t="shared" si="58"/>
        <v>0</v>
      </c>
      <c r="FN32" s="36"/>
      <c r="FO32" s="27"/>
      <c r="FP32" s="27"/>
      <c r="FQ32" s="27"/>
      <c r="FR32" s="27"/>
      <c r="FS32" s="27"/>
      <c r="FT32" s="28">
        <f t="shared" si="59"/>
        <v>0</v>
      </c>
      <c r="FU32" s="36"/>
      <c r="FV32" s="36"/>
      <c r="FW32" s="27"/>
      <c r="FX32" s="27"/>
      <c r="FY32" s="27"/>
      <c r="FZ32" s="27"/>
      <c r="GA32" s="27"/>
      <c r="GB32" s="27"/>
      <c r="GC32" s="27"/>
      <c r="GD32" s="27"/>
      <c r="GE32" s="27"/>
      <c r="GF32" s="33"/>
      <c r="GG32" s="33">
        <f t="shared" si="60"/>
        <v>0</v>
      </c>
      <c r="GH32" s="2674"/>
      <c r="GJ32" s="4">
        <f t="shared" si="61"/>
        <v>3266.19</v>
      </c>
      <c r="GK32" s="64">
        <f t="shared" si="62"/>
        <v>4514.34</v>
      </c>
      <c r="GL32" s="53">
        <f t="shared" si="63"/>
        <v>4911.1499999999996</v>
      </c>
      <c r="GM32" s="53">
        <f t="shared" si="64"/>
        <v>12691.68</v>
      </c>
      <c r="GN32" s="141"/>
      <c r="GO32" s="141"/>
      <c r="GP32" s="33"/>
      <c r="GQ32" s="2667"/>
      <c r="GR32" s="152">
        <v>7149.15</v>
      </c>
      <c r="GS32" s="27"/>
      <c r="GT32" s="27">
        <v>2168.73</v>
      </c>
      <c r="GU32" s="27">
        <v>3373.8</v>
      </c>
      <c r="GV32" s="33">
        <f t="shared" si="65"/>
        <v>12691.68</v>
      </c>
      <c r="GW32" s="2667"/>
      <c r="GX32" s="36"/>
      <c r="GY32" s="36"/>
      <c r="GZ32" s="27"/>
      <c r="HA32" s="27"/>
      <c r="HB32" s="27"/>
      <c r="HC32" s="27"/>
      <c r="HD32" s="27"/>
      <c r="HE32" s="27"/>
      <c r="HF32" s="27">
        <v>970.4</v>
      </c>
      <c r="HG32" s="27"/>
      <c r="HH32" s="27">
        <v>2295.79</v>
      </c>
      <c r="HI32" s="27"/>
      <c r="HJ32" s="27"/>
      <c r="HK32" s="27"/>
      <c r="HL32" s="28">
        <f t="shared" si="66"/>
        <v>3266.19</v>
      </c>
      <c r="HM32" s="36"/>
      <c r="HN32" s="27"/>
      <c r="HO32" s="27"/>
      <c r="HP32" s="27"/>
      <c r="HQ32" s="27"/>
      <c r="HR32" s="27"/>
      <c r="HS32" s="27"/>
      <c r="HT32" s="27"/>
      <c r="HU32" s="27"/>
      <c r="HV32" s="27"/>
      <c r="HW32" s="27"/>
      <c r="HX32" s="27"/>
      <c r="HY32" s="27"/>
      <c r="HZ32" s="27"/>
      <c r="IA32" s="33">
        <f t="shared" si="67"/>
        <v>0</v>
      </c>
      <c r="IB32" s="52"/>
      <c r="IC32" s="152"/>
      <c r="ID32" s="53"/>
      <c r="IE32" s="53"/>
      <c r="IF32" s="53"/>
      <c r="IG32" s="53"/>
      <c r="IH32" s="53">
        <v>1209.9100000000001</v>
      </c>
      <c r="II32" s="53"/>
      <c r="IJ32" s="53">
        <v>3304.43</v>
      </c>
      <c r="IK32" s="53"/>
      <c r="IL32" s="53"/>
      <c r="IM32" s="53"/>
      <c r="IN32" s="53"/>
      <c r="IO32" s="53"/>
      <c r="IP32" s="61">
        <f t="shared" si="68"/>
        <v>4514.34</v>
      </c>
      <c r="IQ32" s="36"/>
      <c r="IR32" s="36"/>
      <c r="IS32" s="27"/>
      <c r="IT32" s="27"/>
      <c r="IU32" s="53"/>
      <c r="IV32" s="27"/>
      <c r="IW32" s="27"/>
      <c r="IX32" s="27"/>
      <c r="IY32" s="27">
        <v>3078.64</v>
      </c>
      <c r="IZ32" s="27"/>
      <c r="JA32" s="27">
        <v>1832.51</v>
      </c>
      <c r="JB32" s="27"/>
      <c r="JC32" s="27"/>
      <c r="JD32" s="27"/>
      <c r="JE32" s="33">
        <f t="shared" si="69"/>
        <v>4911.1499999999996</v>
      </c>
      <c r="JF32" s="2667"/>
      <c r="JH32" s="52">
        <v>6275.66</v>
      </c>
      <c r="JI32" s="152">
        <v>6416.02</v>
      </c>
      <c r="JJ32" s="53"/>
      <c r="JK32" s="53">
        <f t="shared" si="70"/>
        <v>12691.68</v>
      </c>
      <c r="JL32" s="33"/>
      <c r="JM32" s="2669"/>
      <c r="JN32" s="69"/>
      <c r="JO32" s="70"/>
      <c r="JP32" s="70"/>
      <c r="JQ32" s="70"/>
      <c r="JR32" s="70">
        <v>0.80051012521255216</v>
      </c>
      <c r="JS32" s="70">
        <v>0.19948987478744784</v>
      </c>
      <c r="JT32" s="70"/>
      <c r="JU32" s="71"/>
      <c r="JV32" s="69"/>
      <c r="JW32" s="70"/>
      <c r="JX32" s="70"/>
      <c r="JY32" s="70">
        <v>0.18857640718077562</v>
      </c>
      <c r="JZ32" s="70">
        <v>0.16798731924152355</v>
      </c>
      <c r="KA32" s="70">
        <v>0.64343627357770083</v>
      </c>
      <c r="KB32" s="70"/>
      <c r="KC32" s="71"/>
      <c r="KD32" s="69"/>
      <c r="KE32" s="70"/>
      <c r="KF32" s="70"/>
      <c r="KG32" s="70"/>
      <c r="KH32" s="70"/>
      <c r="KI32" s="70"/>
      <c r="KJ32" s="70"/>
      <c r="KK32" s="70"/>
      <c r="KL32" s="33"/>
      <c r="KM32" s="2669"/>
      <c r="KN32" s="36">
        <v>7081.120398167167</v>
      </c>
      <c r="KO32" s="53">
        <v>0.73430241744351388</v>
      </c>
      <c r="KP32" s="53">
        <v>3.0904108073945329</v>
      </c>
      <c r="KQ32" s="53">
        <v>6.849001422025597</v>
      </c>
      <c r="KR32" s="54">
        <v>10.31750355506399</v>
      </c>
      <c r="KS32" s="4">
        <v>6973.345818682159</v>
      </c>
      <c r="KT32" s="64">
        <v>1.87</v>
      </c>
      <c r="KU32" s="64">
        <v>6.6802232074606325</v>
      </c>
      <c r="KV32" s="64">
        <v>5.2047622687662436</v>
      </c>
      <c r="KW32" s="482">
        <v>9.2416786424094166</v>
      </c>
      <c r="KX32" s="36"/>
      <c r="KY32" s="53"/>
      <c r="KZ32" s="53"/>
      <c r="LA32" s="53"/>
      <c r="LB32" s="53"/>
      <c r="LC32" s="33"/>
      <c r="LD32" s="2669"/>
      <c r="LF32" s="4">
        <f t="shared" si="71"/>
        <v>32349.66</v>
      </c>
      <c r="LG32" s="5">
        <f t="shared" si="72"/>
        <v>0</v>
      </c>
      <c r="LH32" s="27">
        <f t="shared" si="73"/>
        <v>0</v>
      </c>
      <c r="LI32" s="28">
        <f t="shared" si="74"/>
        <v>32349.66</v>
      </c>
      <c r="LJ32" s="36">
        <v>4</v>
      </c>
      <c r="LK32" s="27"/>
      <c r="LL32" s="27">
        <v>7</v>
      </c>
      <c r="LM32" s="33"/>
      <c r="LN32" s="1041">
        <v>5.28</v>
      </c>
      <c r="LO32" s="486"/>
      <c r="LP32" s="2688"/>
      <c r="LQ32" s="36">
        <v>32349.66</v>
      </c>
      <c r="LR32" s="36"/>
      <c r="LS32" s="27"/>
      <c r="LT32" s="27"/>
      <c r="LU32" s="27"/>
      <c r="LV32" s="1107">
        <f t="shared" si="75"/>
        <v>32349.66</v>
      </c>
      <c r="LW32" s="36"/>
      <c r="LX32" s="36"/>
      <c r="LY32" s="27"/>
      <c r="LZ32" s="27"/>
      <c r="MA32" s="33"/>
      <c r="MB32" s="28">
        <f t="shared" si="76"/>
        <v>0</v>
      </c>
      <c r="MC32" s="26"/>
      <c r="MD32" s="36"/>
      <c r="ME32" s="27"/>
      <c r="MF32" s="27"/>
      <c r="MG32" s="27"/>
      <c r="MH32" s="28"/>
      <c r="MI32" s="36"/>
      <c r="MJ32" s="36"/>
      <c r="MK32" s="27"/>
      <c r="ML32" s="27"/>
      <c r="MM32" s="27"/>
      <c r="MN32" s="28"/>
      <c r="MO32" s="36"/>
      <c r="MP32" s="36"/>
      <c r="MQ32" s="27"/>
      <c r="MR32" s="27"/>
      <c r="MS32" s="27"/>
      <c r="MT32" s="33">
        <f t="shared" si="77"/>
        <v>0</v>
      </c>
      <c r="MU32" s="2688"/>
      <c r="MW32" s="26">
        <f t="shared" si="78"/>
        <v>145815.66630256639</v>
      </c>
      <c r="MX32" s="27">
        <f t="shared" si="79"/>
        <v>186250.44929571752</v>
      </c>
      <c r="MY32" s="27">
        <f t="shared" si="80"/>
        <v>20651.255608283042</v>
      </c>
      <c r="MZ32" s="28">
        <f t="shared" si="81"/>
        <v>434691.33467809117</v>
      </c>
      <c r="NA32" s="2621"/>
      <c r="NB32" s="23">
        <f t="shared" si="82"/>
        <v>133048.41581518334</v>
      </c>
      <c r="NC32" s="64">
        <f t="shared" si="83"/>
        <v>12767.250487383044</v>
      </c>
      <c r="ND32" s="60">
        <f t="shared" si="84"/>
        <v>0</v>
      </c>
      <c r="NE32" s="275">
        <f t="shared" si="4"/>
        <v>145815.66630256639</v>
      </c>
      <c r="NF32" s="26">
        <f t="shared" si="170"/>
        <v>0</v>
      </c>
      <c r="NG32" s="27">
        <f t="shared" si="171"/>
        <v>0</v>
      </c>
      <c r="NH32" s="27">
        <f t="shared" si="172"/>
        <v>0</v>
      </c>
      <c r="NI32" s="27">
        <f t="shared" si="175"/>
        <v>0</v>
      </c>
      <c r="NJ32" s="27">
        <f t="shared" si="173"/>
        <v>0</v>
      </c>
      <c r="NK32" s="33">
        <f t="shared" si="174"/>
        <v>0</v>
      </c>
      <c r="NL32" s="27">
        <f t="shared" si="142"/>
        <v>0</v>
      </c>
      <c r="NM32" s="36">
        <f t="shared" si="143"/>
        <v>0</v>
      </c>
      <c r="NN32" s="27">
        <f t="shared" si="144"/>
        <v>48144.136549276001</v>
      </c>
      <c r="NO32" s="27">
        <f t="shared" si="145"/>
        <v>0</v>
      </c>
      <c r="NP32" s="24">
        <f t="shared" si="146"/>
        <v>8756.5482322711578</v>
      </c>
      <c r="NQ32" s="24">
        <f t="shared" si="147"/>
        <v>15094.304585687598</v>
      </c>
      <c r="NR32" s="27">
        <f t="shared" si="0"/>
        <v>71994.989367234753</v>
      </c>
      <c r="NS32" s="27">
        <f t="shared" si="86"/>
        <v>0</v>
      </c>
      <c r="NT32" s="27">
        <f t="shared" si="87"/>
        <v>0</v>
      </c>
      <c r="NU32" s="27">
        <f t="shared" si="88"/>
        <v>0</v>
      </c>
      <c r="NV32" s="27">
        <f t="shared" si="89"/>
        <v>0</v>
      </c>
      <c r="NW32" s="27">
        <f t="shared" si="90"/>
        <v>0</v>
      </c>
      <c r="NX32" s="5">
        <f t="shared" si="91"/>
        <v>0</v>
      </c>
      <c r="NY32" s="27">
        <f t="shared" si="92"/>
        <v>4129.7181519076275</v>
      </c>
      <c r="NZ32" s="27">
        <f t="shared" si="93"/>
        <v>0</v>
      </c>
      <c r="OA32" s="27">
        <f t="shared" si="94"/>
        <v>23017.284759987768</v>
      </c>
      <c r="OB32" s="27"/>
      <c r="OC32" s="24">
        <f t="shared" si="95"/>
        <v>3403.7241844007053</v>
      </c>
      <c r="OD32" s="27">
        <f t="shared" si="96"/>
        <v>0</v>
      </c>
      <c r="OE32" s="28">
        <f t="shared" si="1"/>
        <v>30550.727096296101</v>
      </c>
      <c r="OF32" s="27">
        <f t="shared" si="163"/>
        <v>0</v>
      </c>
      <c r="OG32" s="27">
        <f t="shared" si="164"/>
        <v>0</v>
      </c>
      <c r="OH32" s="27">
        <f t="shared" si="169"/>
        <v>0</v>
      </c>
      <c r="OI32" s="27">
        <f t="shared" si="167"/>
        <v>0</v>
      </c>
      <c r="OJ32" s="27">
        <f t="shared" si="167"/>
        <v>0</v>
      </c>
      <c r="OK32" s="27">
        <f t="shared" si="168"/>
        <v>0</v>
      </c>
      <c r="OL32" s="24">
        <f t="shared" si="168"/>
        <v>0</v>
      </c>
      <c r="OM32" s="27">
        <f t="shared" si="154"/>
        <v>0</v>
      </c>
      <c r="ON32" s="24">
        <f t="shared" si="154"/>
        <v>83259.378513777992</v>
      </c>
      <c r="OO32" s="27">
        <f t="shared" si="156"/>
        <v>0</v>
      </c>
      <c r="OP32" s="27">
        <f t="shared" si="157"/>
        <v>445.35431840868046</v>
      </c>
      <c r="OQ32" s="27">
        <f t="shared" si="158"/>
        <v>0</v>
      </c>
      <c r="OR32" s="28">
        <f t="shared" si="2"/>
        <v>83704.732832186666</v>
      </c>
      <c r="OS32" s="36"/>
      <c r="OT32" s="27"/>
      <c r="OU32" s="27"/>
      <c r="OV32" s="27"/>
      <c r="OW32" s="27"/>
      <c r="OX32" s="27"/>
      <c r="OY32" s="28">
        <f t="shared" si="98"/>
        <v>0</v>
      </c>
      <c r="OZ32" s="36">
        <f t="shared" si="99"/>
        <v>0</v>
      </c>
      <c r="PA32" s="27">
        <f t="shared" si="100"/>
        <v>0</v>
      </c>
      <c r="PB32" s="27">
        <f t="shared" si="101"/>
        <v>0</v>
      </c>
      <c r="PC32" s="27">
        <f t="shared" si="102"/>
        <v>0</v>
      </c>
      <c r="PD32" s="27">
        <f t="shared" si="103"/>
        <v>0</v>
      </c>
      <c r="PE32" s="27">
        <f t="shared" si="104"/>
        <v>0</v>
      </c>
      <c r="PF32" s="33">
        <f t="shared" si="3"/>
        <v>0</v>
      </c>
      <c r="PG32" s="2621"/>
      <c r="PI32" s="1446">
        <v>2365.42</v>
      </c>
      <c r="PJ32" s="3">
        <v>846.00000000000011</v>
      </c>
      <c r="PK32" s="3">
        <v>423</v>
      </c>
      <c r="PL32" s="3">
        <f t="shared" si="148"/>
        <v>0</v>
      </c>
      <c r="PM32" s="3">
        <f t="shared" si="149"/>
        <v>3294.3399999999992</v>
      </c>
      <c r="PN32" s="11">
        <f t="shared" si="150"/>
        <v>20651.255608283042</v>
      </c>
      <c r="PO32" s="15"/>
      <c r="PP32" s="2615"/>
      <c r="PR32" s="4"/>
      <c r="PS32" s="9"/>
      <c r="PT32" s="9"/>
      <c r="PU32" s="9"/>
      <c r="PV32" s="9"/>
      <c r="PW32" s="9"/>
      <c r="PX32" s="8">
        <f t="shared" si="105"/>
        <v>0</v>
      </c>
      <c r="PY32" s="5">
        <f t="shared" si="106"/>
        <v>2365.42</v>
      </c>
      <c r="PZ32" s="5"/>
      <c r="QA32" s="5"/>
      <c r="QB32" s="5"/>
      <c r="QC32" s="5"/>
      <c r="QD32" s="5"/>
      <c r="QE32" s="12">
        <f t="shared" si="107"/>
        <v>29749.381073161156</v>
      </c>
      <c r="QF32" s="420">
        <f t="shared" si="108"/>
        <v>404941.95360493002</v>
      </c>
      <c r="QG32" s="1106">
        <f t="shared" si="109"/>
        <v>0</v>
      </c>
      <c r="QH32" s="484">
        <f t="shared" si="110"/>
        <v>5505.3678056100007</v>
      </c>
      <c r="QI32" s="12"/>
      <c r="QJ32" s="2615"/>
      <c r="QL32" s="139">
        <f t="shared" si="111"/>
        <v>0</v>
      </c>
      <c r="QM32" s="139" t="str">
        <f t="shared" si="112"/>
        <v/>
      </c>
      <c r="QO32" s="139">
        <f t="shared" si="113"/>
        <v>0</v>
      </c>
      <c r="QP32" s="139">
        <f t="shared" si="114"/>
        <v>0</v>
      </c>
      <c r="QR32" s="1">
        <f t="shared" si="115"/>
        <v>0</v>
      </c>
      <c r="QS32" s="1">
        <f t="shared" si="116"/>
        <v>0</v>
      </c>
      <c r="QT32" s="1">
        <f t="shared" si="117"/>
        <v>0</v>
      </c>
      <c r="QU32" s="1">
        <f t="shared" si="118"/>
        <v>0</v>
      </c>
      <c r="QV32" s="1">
        <f t="shared" si="119"/>
        <v>0</v>
      </c>
      <c r="QW32" s="1">
        <f t="shared" si="120"/>
        <v>0</v>
      </c>
      <c r="QY32" s="1">
        <f t="shared" si="121"/>
        <v>0</v>
      </c>
      <c r="QZ32" s="1">
        <f t="shared" si="122"/>
        <v>0</v>
      </c>
      <c r="RA32" s="1">
        <f t="shared" si="123"/>
        <v>0</v>
      </c>
      <c r="RB32" s="1">
        <f t="shared" si="124"/>
        <v>0</v>
      </c>
      <c r="RC32" s="1">
        <f t="shared" si="125"/>
        <v>0</v>
      </c>
      <c r="RD32" s="1">
        <f t="shared" si="126"/>
        <v>0</v>
      </c>
      <c r="RG32" s="1">
        <v>23</v>
      </c>
      <c r="RH32" s="1">
        <f t="shared" si="160"/>
        <v>-81601.700790282906</v>
      </c>
      <c r="RI32" s="1">
        <f t="shared" si="161"/>
        <v>11853.287780483719</v>
      </c>
      <c r="RJ32" s="1">
        <f t="shared" si="162"/>
        <v>13404.263703387322</v>
      </c>
      <c r="RK32" s="89">
        <f t="shared" si="5"/>
        <v>-56344.149306411869</v>
      </c>
      <c r="RL32" s="1033">
        <v>23</v>
      </c>
      <c r="RM32" s="1098">
        <f t="shared" si="166"/>
        <v>0</v>
      </c>
      <c r="RN32" s="1098">
        <f t="shared" si="128"/>
        <v>0</v>
      </c>
      <c r="RO32" s="1097">
        <f t="shared" si="129"/>
        <v>0</v>
      </c>
      <c r="RP32" s="1097">
        <f t="shared" si="151"/>
        <v>5905.3600000000006</v>
      </c>
      <c r="RQ32" s="1094"/>
      <c r="RR32" s="1094" t="s">
        <v>715</v>
      </c>
      <c r="RU32" s="421">
        <v>23</v>
      </c>
      <c r="RV32" s="1095">
        <f t="shared" si="130"/>
        <v>12691.68</v>
      </c>
      <c r="RW32" s="1094" t="s">
        <v>716</v>
      </c>
      <c r="RY32" s="1090"/>
      <c r="RZ32" s="1090">
        <f t="shared" si="131"/>
        <v>0</v>
      </c>
      <c r="SA32" s="1090"/>
      <c r="SB32" s="1090">
        <f t="shared" si="132"/>
        <v>0</v>
      </c>
      <c r="SD32" s="1">
        <v>23</v>
      </c>
      <c r="SE32" s="1">
        <f t="shared" si="133"/>
        <v>0</v>
      </c>
    </row>
    <row r="33" spans="1:500" s="1" customFormat="1">
      <c r="B33" s="471">
        <v>24</v>
      </c>
      <c r="C33" s="4">
        <f t="shared" si="6"/>
        <v>129075</v>
      </c>
      <c r="D33" s="64">
        <f t="shared" si="134"/>
        <v>8739.5999999999985</v>
      </c>
      <c r="E33" s="61">
        <f t="shared" si="7"/>
        <v>14.768982562130992</v>
      </c>
      <c r="F33" s="870"/>
      <c r="G33" s="870"/>
      <c r="H33" s="52">
        <v>48</v>
      </c>
      <c r="I33" s="61">
        <v>5.9</v>
      </c>
      <c r="J33" s="52"/>
      <c r="K33" s="54"/>
      <c r="L33" s="52">
        <v>9.17</v>
      </c>
      <c r="M33" s="61">
        <v>2.25</v>
      </c>
      <c r="N33" s="2629"/>
      <c r="O33" s="4">
        <f t="shared" si="8"/>
        <v>68964</v>
      </c>
      <c r="P33" s="1225">
        <f t="shared" si="9"/>
        <v>3847.5799999999995</v>
      </c>
      <c r="Q33" s="64">
        <f t="shared" si="10"/>
        <v>17.923993783105228</v>
      </c>
      <c r="R33" s="33"/>
      <c r="S33" s="26">
        <f t="shared" si="11"/>
        <v>33073</v>
      </c>
      <c r="T33" s="27">
        <f t="shared" si="12"/>
        <v>1972.0200000000002</v>
      </c>
      <c r="U33" s="53">
        <f t="shared" si="13"/>
        <v>16.771128081865292</v>
      </c>
      <c r="V33" s="28"/>
      <c r="W33" s="26">
        <f t="shared" si="14"/>
        <v>27038</v>
      </c>
      <c r="X33" s="5">
        <f t="shared" si="15"/>
        <v>2920</v>
      </c>
      <c r="Y33" s="53">
        <f t="shared" si="16"/>
        <v>9.2595890410958912</v>
      </c>
      <c r="Z33" s="33"/>
      <c r="AA33" s="26">
        <f t="shared" si="17"/>
        <v>0</v>
      </c>
      <c r="AB33" s="27">
        <f t="shared" si="18"/>
        <v>0</v>
      </c>
      <c r="AC33" s="53">
        <f t="shared" si="19"/>
        <v>0</v>
      </c>
      <c r="AD33" s="28"/>
      <c r="AE33" s="36"/>
      <c r="AF33" s="36"/>
      <c r="AG33" s="53">
        <f t="shared" si="20"/>
        <v>0</v>
      </c>
      <c r="AH33" s="28"/>
      <c r="AI33" s="26"/>
      <c r="AJ33" s="27"/>
      <c r="AK33" s="53">
        <f t="shared" si="21"/>
        <v>0</v>
      </c>
      <c r="AL33" s="28"/>
      <c r="AM33" s="2629"/>
      <c r="AN33" s="9"/>
      <c r="AO33" s="5"/>
      <c r="AP33" s="61">
        <f t="shared" si="22"/>
        <v>0</v>
      </c>
      <c r="AQ33" s="36"/>
      <c r="AR33" s="53"/>
      <c r="AS33" s="61">
        <f t="shared" si="23"/>
        <v>0</v>
      </c>
      <c r="AT33" s="36">
        <v>0</v>
      </c>
      <c r="AU33" s="27"/>
      <c r="AV33" s="61">
        <f t="shared" si="24"/>
        <v>0</v>
      </c>
      <c r="AW33" s="36">
        <v>47082</v>
      </c>
      <c r="AX33" s="27">
        <v>1720.1</v>
      </c>
      <c r="AY33" s="61">
        <f t="shared" si="25"/>
        <v>27.371664438114063</v>
      </c>
      <c r="AZ33" s="36"/>
      <c r="BA33" s="27"/>
      <c r="BB33" s="61">
        <f t="shared" si="26"/>
        <v>0</v>
      </c>
      <c r="BC33" s="36">
        <v>21882</v>
      </c>
      <c r="BD33" s="27">
        <v>2127.4799999999996</v>
      </c>
      <c r="BE33" s="61">
        <f t="shared" si="27"/>
        <v>10.285408088442667</v>
      </c>
      <c r="BF33" s="36"/>
      <c r="BG33" s="53"/>
      <c r="BH33" s="61">
        <f t="shared" si="28"/>
        <v>0</v>
      </c>
      <c r="BI33" s="36">
        <v>0</v>
      </c>
      <c r="BJ33" s="53">
        <v>0</v>
      </c>
      <c r="BK33" s="61">
        <f t="shared" si="29"/>
        <v>0</v>
      </c>
      <c r="BL33" s="52">
        <v>33073</v>
      </c>
      <c r="BM33" s="53">
        <v>1972.0200000000002</v>
      </c>
      <c r="BN33" s="482">
        <f t="shared" si="30"/>
        <v>16.771128081865292</v>
      </c>
      <c r="BO33" s="9">
        <v>0</v>
      </c>
      <c r="BP33" s="64">
        <v>0</v>
      </c>
      <c r="BQ33" s="482">
        <f t="shared" si="31"/>
        <v>0</v>
      </c>
      <c r="BR33" s="9"/>
      <c r="BS33" s="64"/>
      <c r="BT33" s="482">
        <f t="shared" si="32"/>
        <v>0</v>
      </c>
      <c r="BU33" s="9">
        <v>27038</v>
      </c>
      <c r="BV33" s="5">
        <v>2920</v>
      </c>
      <c r="BW33" s="15">
        <f t="shared" si="33"/>
        <v>9.2595890410958912</v>
      </c>
      <c r="BX33" s="4"/>
      <c r="BY33" s="5"/>
      <c r="BZ33" s="482">
        <f t="shared" si="34"/>
        <v>0</v>
      </c>
      <c r="CA33" s="9"/>
      <c r="CB33" s="5"/>
      <c r="CC33" s="482">
        <f t="shared" si="35"/>
        <v>0</v>
      </c>
      <c r="CD33" s="4"/>
      <c r="CE33" s="5"/>
      <c r="CF33" s="28">
        <f t="shared" si="36"/>
        <v>0</v>
      </c>
      <c r="CG33" s="150"/>
      <c r="CH33" s="1108">
        <v>288</v>
      </c>
      <c r="CI33" s="5">
        <v>0</v>
      </c>
      <c r="CJ33" s="5">
        <v>0</v>
      </c>
      <c r="CK33" s="5">
        <v>6261</v>
      </c>
      <c r="CL33" s="5"/>
      <c r="CM33" s="5">
        <f t="shared" si="135"/>
        <v>6549</v>
      </c>
      <c r="CN33" s="33"/>
      <c r="CO33" s="366"/>
      <c r="CQ33" s="4">
        <f t="shared" si="37"/>
        <v>0</v>
      </c>
      <c r="CR33" s="9">
        <f t="shared" si="38"/>
        <v>0</v>
      </c>
      <c r="CS33" s="5">
        <f t="shared" si="39"/>
        <v>0</v>
      </c>
      <c r="CT33" s="5">
        <f t="shared" si="40"/>
        <v>0</v>
      </c>
      <c r="CU33" s="5">
        <f t="shared" si="41"/>
        <v>0</v>
      </c>
      <c r="CV33" s="5">
        <f t="shared" si="42"/>
        <v>0</v>
      </c>
      <c r="CW33" s="5">
        <f t="shared" si="43"/>
        <v>1720.1</v>
      </c>
      <c r="CX33" s="5">
        <f t="shared" si="44"/>
        <v>0</v>
      </c>
      <c r="CY33" s="5">
        <f t="shared" si="45"/>
        <v>6953.28</v>
      </c>
      <c r="CZ33" s="5">
        <f t="shared" si="46"/>
        <v>0</v>
      </c>
      <c r="DA33" s="5">
        <f t="shared" si="47"/>
        <v>66.22</v>
      </c>
      <c r="DB33" s="12">
        <f t="shared" si="48"/>
        <v>0</v>
      </c>
      <c r="DC33" s="310">
        <f>SUM(CQ33:DB33,PV33)</f>
        <v>8739.5999999999985</v>
      </c>
      <c r="DD33" s="2695"/>
      <c r="DE33" s="9"/>
      <c r="DF33" s="9"/>
      <c r="DG33" s="5"/>
      <c r="DH33" s="5"/>
      <c r="DI33" s="5"/>
      <c r="DJ33" s="5"/>
      <c r="DK33" s="5">
        <v>1720.1</v>
      </c>
      <c r="DL33" s="5"/>
      <c r="DM33" s="487"/>
      <c r="DN33" s="5"/>
      <c r="DO33" s="5"/>
      <c r="DP33" s="12"/>
      <c r="DQ33" s="28">
        <f t="shared" si="50"/>
        <v>1720.1</v>
      </c>
      <c r="DR33" s="36"/>
      <c r="DS33" s="9"/>
      <c r="DT33" s="5"/>
      <c r="DU33" s="5"/>
      <c r="DV33" s="5"/>
      <c r="DW33" s="5"/>
      <c r="DX33" s="27"/>
      <c r="DY33" s="27"/>
      <c r="DZ33" s="27">
        <v>4033.2799999999997</v>
      </c>
      <c r="EA33" s="27"/>
      <c r="EB33" s="27">
        <v>66.22</v>
      </c>
      <c r="EC33" s="33"/>
      <c r="ED33" s="28">
        <f t="shared" si="51"/>
        <v>4099.5</v>
      </c>
      <c r="EE33" s="9"/>
      <c r="EF33" s="36"/>
      <c r="EG33" s="27"/>
      <c r="EH33" s="27"/>
      <c r="EI33" s="27"/>
      <c r="EJ33" s="27"/>
      <c r="EK33" s="27"/>
      <c r="EL33" s="27"/>
      <c r="EM33" s="27">
        <v>2920</v>
      </c>
      <c r="EN33" s="27"/>
      <c r="EO33" s="27"/>
      <c r="EP33" s="33"/>
      <c r="EQ33" s="28">
        <f t="shared" si="52"/>
        <v>2920</v>
      </c>
      <c r="ER33" s="36"/>
      <c r="ES33" s="27"/>
      <c r="ET33" s="27"/>
      <c r="EU33" s="27"/>
      <c r="EV33" s="27"/>
      <c r="EW33" s="27"/>
      <c r="EX33" s="33">
        <f t="shared" si="53"/>
        <v>0</v>
      </c>
      <c r="EY33" s="2685"/>
      <c r="FA33" s="4">
        <f t="shared" si="54"/>
        <v>0</v>
      </c>
      <c r="FB33" s="5">
        <f t="shared" si="55"/>
        <v>0</v>
      </c>
      <c r="FC33" s="5">
        <f t="shared" si="56"/>
        <v>0</v>
      </c>
      <c r="FD33" s="12">
        <f t="shared" si="57"/>
        <v>0</v>
      </c>
      <c r="FE33" s="33"/>
      <c r="FF33" s="2674"/>
      <c r="FG33" s="9"/>
      <c r="FH33" s="5"/>
      <c r="FI33" s="5"/>
      <c r="FJ33" s="5"/>
      <c r="FK33" s="5"/>
      <c r="FL33" s="27"/>
      <c r="FM33" s="28">
        <f t="shared" si="58"/>
        <v>0</v>
      </c>
      <c r="FN33" s="36"/>
      <c r="FO33" s="27"/>
      <c r="FP33" s="27"/>
      <c r="FQ33" s="27"/>
      <c r="FR33" s="27"/>
      <c r="FS33" s="27"/>
      <c r="FT33" s="28">
        <f t="shared" si="59"/>
        <v>0</v>
      </c>
      <c r="FU33" s="36"/>
      <c r="FV33" s="36"/>
      <c r="FW33" s="27"/>
      <c r="FX33" s="27"/>
      <c r="FY33" s="27"/>
      <c r="FZ33" s="27"/>
      <c r="GA33" s="27"/>
      <c r="GB33" s="27"/>
      <c r="GC33" s="27"/>
      <c r="GD33" s="27"/>
      <c r="GE33" s="27"/>
      <c r="GF33" s="33"/>
      <c r="GG33" s="33">
        <f t="shared" si="60"/>
        <v>0</v>
      </c>
      <c r="GH33" s="2674"/>
      <c r="GJ33" s="4">
        <f t="shared" si="61"/>
        <v>3668.21</v>
      </c>
      <c r="GK33" s="64">
        <f t="shared" si="62"/>
        <v>3083.92</v>
      </c>
      <c r="GL33" s="53">
        <f t="shared" si="63"/>
        <v>5908.66</v>
      </c>
      <c r="GM33" s="53">
        <f t="shared" si="64"/>
        <v>12660.79</v>
      </c>
      <c r="GN33" s="141"/>
      <c r="GO33" s="141"/>
      <c r="GP33" s="33"/>
      <c r="GQ33" s="2667"/>
      <c r="GR33" s="152">
        <v>5847.75</v>
      </c>
      <c r="GS33" s="27">
        <v>476.22</v>
      </c>
      <c r="GT33" s="27">
        <v>3120.77</v>
      </c>
      <c r="GU33" s="27">
        <v>3216.05</v>
      </c>
      <c r="GV33" s="33">
        <f t="shared" si="65"/>
        <v>12660.79</v>
      </c>
      <c r="GW33" s="2667"/>
      <c r="GX33" s="36"/>
      <c r="GY33" s="152"/>
      <c r="GZ33" s="27"/>
      <c r="HA33" s="53"/>
      <c r="HB33" s="27"/>
      <c r="HC33" s="27"/>
      <c r="HD33" s="27"/>
      <c r="HE33" s="27"/>
      <c r="HF33" s="27">
        <v>3191.9900000000002</v>
      </c>
      <c r="HG33" s="27"/>
      <c r="HH33" s="27"/>
      <c r="HI33" s="27"/>
      <c r="HJ33" s="27">
        <v>476.22</v>
      </c>
      <c r="HK33" s="27"/>
      <c r="HL33" s="28">
        <f t="shared" si="66"/>
        <v>3668.21</v>
      </c>
      <c r="HM33" s="36"/>
      <c r="HN33" s="27"/>
      <c r="HO33" s="27"/>
      <c r="HP33" s="27"/>
      <c r="HQ33" s="27"/>
      <c r="HR33" s="27"/>
      <c r="HS33" s="27"/>
      <c r="HT33" s="27"/>
      <c r="HU33" s="27"/>
      <c r="HV33" s="27"/>
      <c r="HW33" s="27"/>
      <c r="HX33" s="27"/>
      <c r="HY33" s="27"/>
      <c r="HZ33" s="27"/>
      <c r="IA33" s="33">
        <f t="shared" si="67"/>
        <v>0</v>
      </c>
      <c r="IB33" s="52"/>
      <c r="IC33" s="152"/>
      <c r="ID33" s="53"/>
      <c r="IE33" s="53"/>
      <c r="IF33" s="53"/>
      <c r="IG33" s="53"/>
      <c r="IH33" s="53"/>
      <c r="II33" s="53"/>
      <c r="IJ33" s="53">
        <v>3083.92</v>
      </c>
      <c r="IK33" s="53"/>
      <c r="IL33" s="53"/>
      <c r="IM33" s="53"/>
      <c r="IN33" s="53"/>
      <c r="IO33" s="53"/>
      <c r="IP33" s="61">
        <f t="shared" si="68"/>
        <v>3083.92</v>
      </c>
      <c r="IQ33" s="152"/>
      <c r="IR33" s="152"/>
      <c r="IS33" s="53"/>
      <c r="IT33" s="53"/>
      <c r="IU33" s="53"/>
      <c r="IV33" s="27"/>
      <c r="IW33" s="27"/>
      <c r="IX33" s="27"/>
      <c r="IY33" s="27">
        <v>5908.66</v>
      </c>
      <c r="IZ33" s="27"/>
      <c r="JA33" s="27"/>
      <c r="JB33" s="27"/>
      <c r="JC33" s="27"/>
      <c r="JD33" s="27"/>
      <c r="JE33" s="33">
        <f t="shared" si="69"/>
        <v>5908.66</v>
      </c>
      <c r="JF33" s="2667"/>
      <c r="JH33" s="52">
        <v>12660.789999999995</v>
      </c>
      <c r="JI33" s="152"/>
      <c r="JJ33" s="53"/>
      <c r="JK33" s="53">
        <f t="shared" si="70"/>
        <v>12660.789999999995</v>
      </c>
      <c r="JL33" s="33"/>
      <c r="JM33" s="2669"/>
      <c r="JN33" s="69"/>
      <c r="JO33" s="70"/>
      <c r="JP33" s="70"/>
      <c r="JQ33" s="70"/>
      <c r="JR33" s="70">
        <v>1</v>
      </c>
      <c r="JS33" s="70"/>
      <c r="JT33" s="70"/>
      <c r="JU33" s="71"/>
      <c r="JV33" s="69"/>
      <c r="JW33" s="70"/>
      <c r="JX33" s="70"/>
      <c r="JY33" s="70"/>
      <c r="JZ33" s="70"/>
      <c r="KA33" s="70"/>
      <c r="KB33" s="70"/>
      <c r="KC33" s="71"/>
      <c r="KD33" s="69"/>
      <c r="KE33" s="70"/>
      <c r="KF33" s="70"/>
      <c r="KG33" s="70"/>
      <c r="KH33" s="70"/>
      <c r="KI33" s="70"/>
      <c r="KJ33" s="70"/>
      <c r="KK33" s="70"/>
      <c r="KL33" s="33"/>
      <c r="KM33" s="2669"/>
      <c r="KN33" s="36">
        <v>7064.2983727924729</v>
      </c>
      <c r="KO33" s="53">
        <v>0.66956427855325051</v>
      </c>
      <c r="KP33" s="53">
        <v>3.4965219403100178</v>
      </c>
      <c r="KQ33" s="53">
        <v>6.247610858332691</v>
      </c>
      <c r="KR33" s="54">
        <v>11.309642983805043</v>
      </c>
      <c r="KS33" s="4">
        <v>0</v>
      </c>
      <c r="KT33" s="64">
        <v>0</v>
      </c>
      <c r="KU33" s="64">
        <v>0</v>
      </c>
      <c r="KV33" s="64">
        <v>0</v>
      </c>
      <c r="KW33" s="482">
        <v>0</v>
      </c>
      <c r="KX33" s="36"/>
      <c r="KY33" s="53"/>
      <c r="KZ33" s="53"/>
      <c r="LA33" s="53"/>
      <c r="LB33" s="53"/>
      <c r="LC33" s="33"/>
      <c r="LD33" s="2669"/>
      <c r="LF33" s="26">
        <f t="shared" si="71"/>
        <v>37836.720000000001</v>
      </c>
      <c r="LG33" s="27">
        <f t="shared" si="72"/>
        <v>0</v>
      </c>
      <c r="LH33" s="27">
        <f t="shared" si="73"/>
        <v>0</v>
      </c>
      <c r="LI33" s="28">
        <f t="shared" si="74"/>
        <v>37836.720000000001</v>
      </c>
      <c r="LJ33" s="36">
        <v>5</v>
      </c>
      <c r="LK33" s="27">
        <v>1</v>
      </c>
      <c r="LL33" s="27">
        <v>6</v>
      </c>
      <c r="LM33" s="33"/>
      <c r="LN33" s="1041">
        <v>5.0199999999999996</v>
      </c>
      <c r="LO33" s="486"/>
      <c r="LP33" s="2688"/>
      <c r="LQ33" s="36">
        <v>37836.720000000001</v>
      </c>
      <c r="LR33" s="36"/>
      <c r="LS33" s="27"/>
      <c r="LT33" s="27"/>
      <c r="LU33" s="27"/>
      <c r="LV33" s="1107">
        <f t="shared" si="75"/>
        <v>37836.720000000001</v>
      </c>
      <c r="LW33" s="36"/>
      <c r="LX33" s="36"/>
      <c r="LY33" s="27"/>
      <c r="LZ33" s="27"/>
      <c r="MA33" s="33"/>
      <c r="MB33" s="28">
        <f t="shared" si="76"/>
        <v>0</v>
      </c>
      <c r="MC33" s="26"/>
      <c r="MD33" s="36"/>
      <c r="ME33" s="27"/>
      <c r="MF33" s="27"/>
      <c r="MG33" s="27"/>
      <c r="MH33" s="28"/>
      <c r="MI33" s="36"/>
      <c r="MJ33" s="152"/>
      <c r="MK33" s="27"/>
      <c r="ML33" s="27"/>
      <c r="MM33" s="27"/>
      <c r="MN33" s="28"/>
      <c r="MO33" s="36"/>
      <c r="MP33" s="36"/>
      <c r="MQ33" s="27"/>
      <c r="MR33" s="27"/>
      <c r="MS33" s="27"/>
      <c r="MT33" s="33">
        <f t="shared" si="77"/>
        <v>0</v>
      </c>
      <c r="MU33" s="2688"/>
      <c r="MW33" s="26">
        <f t="shared" si="78"/>
        <v>120639.73630256639</v>
      </c>
      <c r="MX33" s="27">
        <f t="shared" si="79"/>
        <v>182805.47929571752</v>
      </c>
      <c r="MY33" s="27">
        <f t="shared" si="80"/>
        <v>20475.03560828304</v>
      </c>
      <c r="MZ33" s="28">
        <f t="shared" si="81"/>
        <v>433409.85467809119</v>
      </c>
      <c r="NA33" s="2621"/>
      <c r="NB33" s="23">
        <f t="shared" si="82"/>
        <v>107872.48581518335</v>
      </c>
      <c r="NC33" s="64">
        <f t="shared" si="83"/>
        <v>12767.250487383044</v>
      </c>
      <c r="ND33" s="60">
        <f t="shared" si="84"/>
        <v>0</v>
      </c>
      <c r="NE33" s="275">
        <f t="shared" si="4"/>
        <v>120639.73630256639</v>
      </c>
      <c r="NF33" s="26">
        <f t="shared" si="170"/>
        <v>0</v>
      </c>
      <c r="NG33" s="27">
        <f t="shared" si="171"/>
        <v>0</v>
      </c>
      <c r="NH33" s="27">
        <f t="shared" si="172"/>
        <v>0</v>
      </c>
      <c r="NI33" s="27">
        <f t="shared" si="175"/>
        <v>0</v>
      </c>
      <c r="NJ33" s="27">
        <f t="shared" si="173"/>
        <v>0</v>
      </c>
      <c r="NK33" s="33">
        <f t="shared" si="174"/>
        <v>0</v>
      </c>
      <c r="NL33" s="27">
        <f t="shared" si="142"/>
        <v>0</v>
      </c>
      <c r="NM33" s="36">
        <f t="shared" si="143"/>
        <v>0</v>
      </c>
      <c r="NN33" s="27">
        <f t="shared" si="144"/>
        <v>47872.146549276003</v>
      </c>
      <c r="NO33" s="27">
        <f t="shared" si="145"/>
        <v>0</v>
      </c>
      <c r="NP33" s="24">
        <f t="shared" si="146"/>
        <v>8756.5482322711578</v>
      </c>
      <c r="NQ33" s="24">
        <f t="shared" si="147"/>
        <v>15094.304585687598</v>
      </c>
      <c r="NR33" s="27">
        <f t="shared" si="0"/>
        <v>71722.999367234763</v>
      </c>
      <c r="NS33" s="27">
        <f t="shared" si="86"/>
        <v>0</v>
      </c>
      <c r="NT33" s="27">
        <f t="shared" si="87"/>
        <v>0</v>
      </c>
      <c r="NU33" s="27">
        <f t="shared" si="88"/>
        <v>0</v>
      </c>
      <c r="NV33" s="27">
        <f t="shared" si="89"/>
        <v>0</v>
      </c>
      <c r="NW33" s="27">
        <f t="shared" si="90"/>
        <v>0</v>
      </c>
      <c r="NX33" s="5">
        <f t="shared" si="91"/>
        <v>0</v>
      </c>
      <c r="NY33" s="27">
        <f t="shared" si="92"/>
        <v>5849.8181519076279</v>
      </c>
      <c r="NZ33" s="27">
        <f t="shared" si="93"/>
        <v>0</v>
      </c>
      <c r="OA33" s="27">
        <f t="shared" si="94"/>
        <v>19933.364759987766</v>
      </c>
      <c r="OB33" s="27"/>
      <c r="OC33" s="24">
        <f t="shared" si="95"/>
        <v>3403.7241844007053</v>
      </c>
      <c r="OD33" s="27">
        <f t="shared" si="96"/>
        <v>0</v>
      </c>
      <c r="OE33" s="28">
        <f t="shared" si="1"/>
        <v>29186.907096296098</v>
      </c>
      <c r="OF33" s="27">
        <f t="shared" si="163"/>
        <v>0</v>
      </c>
      <c r="OG33" s="27">
        <f t="shared" si="164"/>
        <v>0</v>
      </c>
      <c r="OH33" s="27">
        <f t="shared" si="169"/>
        <v>0</v>
      </c>
      <c r="OI33" s="27">
        <f t="shared" si="167"/>
        <v>0</v>
      </c>
      <c r="OJ33" s="27">
        <f t="shared" si="167"/>
        <v>0</v>
      </c>
      <c r="OK33" s="27">
        <f t="shared" si="168"/>
        <v>0</v>
      </c>
      <c r="OL33" s="24">
        <f t="shared" si="168"/>
        <v>0</v>
      </c>
      <c r="OM33" s="27">
        <f t="shared" si="154"/>
        <v>0</v>
      </c>
      <c r="ON33" s="24">
        <f t="shared" si="154"/>
        <v>81383.998513777988</v>
      </c>
      <c r="OO33" s="27">
        <f t="shared" si="156"/>
        <v>0</v>
      </c>
      <c r="OP33" s="27">
        <f t="shared" si="157"/>
        <v>511.57431840868048</v>
      </c>
      <c r="OQ33" s="27">
        <f t="shared" si="158"/>
        <v>0</v>
      </c>
      <c r="OR33" s="28">
        <f t="shared" si="2"/>
        <v>81895.572832186663</v>
      </c>
      <c r="OS33" s="36"/>
      <c r="OT33" s="27"/>
      <c r="OU33" s="27"/>
      <c r="OV33" s="27"/>
      <c r="OW33" s="27"/>
      <c r="OX33" s="27"/>
      <c r="OY33" s="28">
        <f t="shared" si="98"/>
        <v>0</v>
      </c>
      <c r="OZ33" s="36">
        <f t="shared" si="99"/>
        <v>0</v>
      </c>
      <c r="PA33" s="27">
        <f t="shared" si="100"/>
        <v>0</v>
      </c>
      <c r="PB33" s="27">
        <f t="shared" si="101"/>
        <v>0</v>
      </c>
      <c r="PC33" s="27">
        <f t="shared" si="102"/>
        <v>0</v>
      </c>
      <c r="PD33" s="27">
        <f t="shared" si="103"/>
        <v>0</v>
      </c>
      <c r="PE33" s="27">
        <f t="shared" si="104"/>
        <v>0</v>
      </c>
      <c r="PF33" s="33">
        <f t="shared" si="3"/>
        <v>0</v>
      </c>
      <c r="PG33" s="2621"/>
      <c r="PI33" s="1446">
        <v>1281.48</v>
      </c>
      <c r="PJ33" s="3">
        <v>600</v>
      </c>
      <c r="PK33" s="3">
        <v>300</v>
      </c>
      <c r="PL33" s="3">
        <f t="shared" si="148"/>
        <v>476.22</v>
      </c>
      <c r="PM33" s="3">
        <f t="shared" si="149"/>
        <v>3975.8199999999997</v>
      </c>
      <c r="PN33" s="11">
        <f t="shared" si="150"/>
        <v>20475.03560828304</v>
      </c>
      <c r="PO33" s="15"/>
      <c r="PP33" s="2615"/>
      <c r="PR33" s="4"/>
      <c r="PS33" s="9"/>
      <c r="PT33" s="9"/>
      <c r="PU33" s="9"/>
      <c r="PV33" s="9"/>
      <c r="PW33" s="9"/>
      <c r="PX33" s="8">
        <f t="shared" si="105"/>
        <v>0</v>
      </c>
      <c r="PY33" s="5">
        <f t="shared" si="106"/>
        <v>1281.48</v>
      </c>
      <c r="PZ33" s="5"/>
      <c r="QA33" s="5"/>
      <c r="QB33" s="5"/>
      <c r="QC33" s="5"/>
      <c r="QD33" s="5"/>
      <c r="QE33" s="12">
        <f t="shared" si="107"/>
        <v>29749.381073161156</v>
      </c>
      <c r="QF33" s="420">
        <f t="shared" si="108"/>
        <v>403660.47360493004</v>
      </c>
      <c r="QG33" s="1106">
        <f t="shared" si="109"/>
        <v>0</v>
      </c>
      <c r="QH33" s="484">
        <f t="shared" si="110"/>
        <v>5505.3678056100007</v>
      </c>
      <c r="QI33" s="12"/>
      <c r="QJ33" s="2615"/>
      <c r="QL33" s="139">
        <f t="shared" si="111"/>
        <v>0</v>
      </c>
      <c r="QM33" s="139" t="str">
        <f t="shared" si="112"/>
        <v/>
      </c>
      <c r="QO33" s="139">
        <f t="shared" si="113"/>
        <v>0</v>
      </c>
      <c r="QP33" s="139">
        <f t="shared" si="114"/>
        <v>0</v>
      </c>
      <c r="QR33" s="1">
        <f t="shared" si="115"/>
        <v>0</v>
      </c>
      <c r="QS33" s="1">
        <f t="shared" si="116"/>
        <v>0</v>
      </c>
      <c r="QT33" s="1">
        <f t="shared" si="117"/>
        <v>0</v>
      </c>
      <c r="QU33" s="1">
        <f t="shared" si="118"/>
        <v>0</v>
      </c>
      <c r="QV33" s="1">
        <f t="shared" si="119"/>
        <v>0</v>
      </c>
      <c r="QW33" s="1">
        <f t="shared" si="120"/>
        <v>0</v>
      </c>
      <c r="QY33" s="1">
        <f t="shared" si="121"/>
        <v>0</v>
      </c>
      <c r="QZ33" s="1">
        <f t="shared" si="122"/>
        <v>0</v>
      </c>
      <c r="RA33" s="1">
        <f t="shared" si="123"/>
        <v>0</v>
      </c>
      <c r="RB33" s="1">
        <f t="shared" si="124"/>
        <v>0</v>
      </c>
      <c r="RC33" s="1">
        <f t="shared" si="125"/>
        <v>0</v>
      </c>
      <c r="RD33" s="1">
        <f t="shared" si="126"/>
        <v>0</v>
      </c>
      <c r="RG33" s="1">
        <v>24</v>
      </c>
      <c r="RH33" s="1">
        <f t="shared" si="160"/>
        <v>-106777.63079028291</v>
      </c>
      <c r="RI33" s="1">
        <f t="shared" si="161"/>
        <v>11853.287780483719</v>
      </c>
      <c r="RJ33" s="1">
        <f t="shared" si="162"/>
        <v>13404.263703387322</v>
      </c>
      <c r="RK33" s="89">
        <f t="shared" si="5"/>
        <v>-81520.079306411877</v>
      </c>
      <c r="RL33" s="1033">
        <v>24</v>
      </c>
      <c r="RM33" s="1098">
        <f t="shared" si="166"/>
        <v>0</v>
      </c>
      <c r="RN33" s="1098">
        <f t="shared" si="128"/>
        <v>0</v>
      </c>
      <c r="RO33" s="1097">
        <f t="shared" si="129"/>
        <v>0</v>
      </c>
      <c r="RP33" s="1097">
        <f t="shared" si="151"/>
        <v>5819.5999999999995</v>
      </c>
      <c r="RQ33" s="1046"/>
      <c r="RR33" s="1046" t="s">
        <v>717</v>
      </c>
      <c r="RS33" s="1048"/>
      <c r="RU33" s="421">
        <v>24</v>
      </c>
      <c r="RV33" s="1095">
        <f t="shared" si="130"/>
        <v>12660.79</v>
      </c>
      <c r="RW33" s="1046" t="s">
        <v>718</v>
      </c>
      <c r="RX33" s="1048"/>
      <c r="RY33" s="1090"/>
      <c r="RZ33" s="1090">
        <f t="shared" si="131"/>
        <v>0</v>
      </c>
      <c r="SA33" s="1090"/>
      <c r="SB33" s="1090">
        <f t="shared" si="132"/>
        <v>0</v>
      </c>
      <c r="SD33" s="1">
        <v>24</v>
      </c>
      <c r="SE33" s="1">
        <f t="shared" si="133"/>
        <v>476.22</v>
      </c>
      <c r="SF33" s="1094" t="s">
        <v>719</v>
      </c>
    </row>
    <row r="34" spans="1:500" s="1" customFormat="1">
      <c r="B34" s="471">
        <v>25</v>
      </c>
      <c r="C34" s="4">
        <f t="shared" si="6"/>
        <v>154840</v>
      </c>
      <c r="D34" s="64">
        <f t="shared" si="134"/>
        <v>6684.7999999999993</v>
      </c>
      <c r="E34" s="61">
        <f t="shared" si="7"/>
        <v>23.162996649114412</v>
      </c>
      <c r="F34" s="870"/>
      <c r="G34" s="870"/>
      <c r="H34" s="52">
        <v>8</v>
      </c>
      <c r="I34" s="61">
        <v>4.25</v>
      </c>
      <c r="J34" s="52"/>
      <c r="K34" s="54"/>
      <c r="L34" s="52">
        <v>5</v>
      </c>
      <c r="M34" s="61">
        <v>1.33</v>
      </c>
      <c r="N34" s="2629"/>
      <c r="O34" s="4">
        <f t="shared" si="8"/>
        <v>94752</v>
      </c>
      <c r="P34" s="1225">
        <f t="shared" si="9"/>
        <v>4257.8999999999996</v>
      </c>
      <c r="Q34" s="64">
        <f t="shared" si="10"/>
        <v>22.253223419995773</v>
      </c>
      <c r="R34" s="33"/>
      <c r="S34" s="26">
        <f t="shared" si="11"/>
        <v>33077</v>
      </c>
      <c r="T34" s="27">
        <f t="shared" si="12"/>
        <v>806.9</v>
      </c>
      <c r="U34" s="53">
        <f t="shared" si="13"/>
        <v>40.992688065435622</v>
      </c>
      <c r="V34" s="28"/>
      <c r="W34" s="26">
        <f t="shared" si="14"/>
        <v>27011</v>
      </c>
      <c r="X34" s="5">
        <f t="shared" si="15"/>
        <v>1620</v>
      </c>
      <c r="Y34" s="53">
        <f t="shared" si="16"/>
        <v>16.673456790123456</v>
      </c>
      <c r="Z34" s="33"/>
      <c r="AA34" s="26">
        <f t="shared" si="17"/>
        <v>0</v>
      </c>
      <c r="AB34" s="27">
        <f t="shared" si="18"/>
        <v>0</v>
      </c>
      <c r="AC34" s="53">
        <f t="shared" si="19"/>
        <v>0</v>
      </c>
      <c r="AD34" s="28"/>
      <c r="AE34" s="36"/>
      <c r="AF34" s="36"/>
      <c r="AG34" s="53">
        <f t="shared" si="20"/>
        <v>0</v>
      </c>
      <c r="AH34" s="28"/>
      <c r="AI34" s="23"/>
      <c r="AJ34" s="27"/>
      <c r="AK34" s="53">
        <f t="shared" si="21"/>
        <v>0</v>
      </c>
      <c r="AL34" s="28"/>
      <c r="AM34" s="2629"/>
      <c r="AN34" s="9"/>
      <c r="AO34" s="5"/>
      <c r="AP34" s="61">
        <f t="shared" si="22"/>
        <v>0</v>
      </c>
      <c r="AQ34" s="36"/>
      <c r="AR34" s="53"/>
      <c r="AS34" s="61">
        <f t="shared" si="23"/>
        <v>0</v>
      </c>
      <c r="AT34" s="36">
        <v>0</v>
      </c>
      <c r="AU34" s="27"/>
      <c r="AV34" s="61">
        <f t="shared" si="24"/>
        <v>0</v>
      </c>
      <c r="AW34" s="36">
        <v>50946</v>
      </c>
      <c r="AX34" s="27">
        <v>1829.2399999999998</v>
      </c>
      <c r="AY34" s="61">
        <f t="shared" si="25"/>
        <v>27.850910760753102</v>
      </c>
      <c r="AZ34" s="36"/>
      <c r="BA34" s="27"/>
      <c r="BB34" s="61">
        <f t="shared" si="26"/>
        <v>0</v>
      </c>
      <c r="BC34" s="36">
        <v>43806</v>
      </c>
      <c r="BD34" s="27">
        <v>2428.66</v>
      </c>
      <c r="BE34" s="61">
        <f t="shared" si="27"/>
        <v>18.037106881984304</v>
      </c>
      <c r="BF34" s="36"/>
      <c r="BG34" s="53"/>
      <c r="BH34" s="61">
        <f t="shared" si="28"/>
        <v>0</v>
      </c>
      <c r="BI34" s="36">
        <v>0</v>
      </c>
      <c r="BJ34" s="53">
        <v>0</v>
      </c>
      <c r="BK34" s="61">
        <f t="shared" si="29"/>
        <v>0</v>
      </c>
      <c r="BL34" s="52">
        <v>33077</v>
      </c>
      <c r="BM34" s="53">
        <v>806.9</v>
      </c>
      <c r="BN34" s="482">
        <f t="shared" si="30"/>
        <v>40.992688065435622</v>
      </c>
      <c r="BO34" s="9">
        <v>0</v>
      </c>
      <c r="BP34" s="64">
        <v>0</v>
      </c>
      <c r="BQ34" s="482">
        <f t="shared" si="31"/>
        <v>0</v>
      </c>
      <c r="BR34" s="9"/>
      <c r="BS34" s="64"/>
      <c r="BT34" s="482">
        <f t="shared" si="32"/>
        <v>0</v>
      </c>
      <c r="BU34" s="9">
        <v>27011</v>
      </c>
      <c r="BV34" s="5">
        <v>1620</v>
      </c>
      <c r="BW34" s="15">
        <f t="shared" si="33"/>
        <v>16.673456790123456</v>
      </c>
      <c r="BX34" s="4"/>
      <c r="BY34" s="5"/>
      <c r="BZ34" s="482">
        <f t="shared" si="34"/>
        <v>0</v>
      </c>
      <c r="CA34" s="9"/>
      <c r="CB34" s="5"/>
      <c r="CC34" s="482">
        <f t="shared" si="35"/>
        <v>0</v>
      </c>
      <c r="CD34" s="4"/>
      <c r="CE34" s="5"/>
      <c r="CF34" s="28">
        <f t="shared" si="36"/>
        <v>0</v>
      </c>
      <c r="CG34" s="150"/>
      <c r="CH34" s="1108">
        <v>368</v>
      </c>
      <c r="CI34" s="5">
        <v>0</v>
      </c>
      <c r="CJ34" s="5">
        <v>0</v>
      </c>
      <c r="CK34" s="5">
        <v>7728</v>
      </c>
      <c r="CL34" s="5"/>
      <c r="CM34" s="5">
        <f t="shared" si="135"/>
        <v>8096</v>
      </c>
      <c r="CN34" s="33"/>
      <c r="CO34" s="366"/>
      <c r="CQ34" s="4">
        <f t="shared" si="37"/>
        <v>0</v>
      </c>
      <c r="CR34" s="9">
        <f t="shared" si="38"/>
        <v>0</v>
      </c>
      <c r="CS34" s="5">
        <f t="shared" si="39"/>
        <v>0</v>
      </c>
      <c r="CT34" s="5">
        <f t="shared" si="40"/>
        <v>0</v>
      </c>
      <c r="CU34" s="5">
        <f t="shared" si="41"/>
        <v>0</v>
      </c>
      <c r="CV34" s="5">
        <f t="shared" si="42"/>
        <v>0</v>
      </c>
      <c r="CW34" s="5">
        <f t="shared" si="43"/>
        <v>1112.1199999999999</v>
      </c>
      <c r="CX34" s="5">
        <f t="shared" si="44"/>
        <v>0</v>
      </c>
      <c r="CY34" s="5">
        <f t="shared" si="45"/>
        <v>5219.1399999999994</v>
      </c>
      <c r="CZ34" s="5">
        <f t="shared" si="46"/>
        <v>0</v>
      </c>
      <c r="DA34" s="5">
        <f t="shared" si="47"/>
        <v>353.53999999999996</v>
      </c>
      <c r="DB34" s="12">
        <f t="shared" si="48"/>
        <v>0</v>
      </c>
      <c r="DC34" s="310">
        <f>SUM(CQ34:DB34,PV34)</f>
        <v>6684.7999999999993</v>
      </c>
      <c r="DD34" s="2695"/>
      <c r="DE34" s="9"/>
      <c r="DF34" s="9"/>
      <c r="DG34" s="5"/>
      <c r="DH34" s="5"/>
      <c r="DI34" s="5"/>
      <c r="DJ34" s="5"/>
      <c r="DK34" s="5">
        <v>1112.1199999999999</v>
      </c>
      <c r="DL34" s="5"/>
      <c r="DM34" s="487">
        <v>717.12</v>
      </c>
      <c r="DN34" s="5"/>
      <c r="DO34" s="5"/>
      <c r="DP34" s="12"/>
      <c r="DQ34" s="28">
        <f t="shared" si="50"/>
        <v>1829.2399999999998</v>
      </c>
      <c r="DR34" s="36"/>
      <c r="DS34" s="36"/>
      <c r="DT34" s="27"/>
      <c r="DU34" s="27"/>
      <c r="DV34" s="27"/>
      <c r="DW34" s="27"/>
      <c r="DX34" s="27"/>
      <c r="DY34" s="27"/>
      <c r="DZ34" s="27">
        <v>2882.0199999999995</v>
      </c>
      <c r="EA34" s="27"/>
      <c r="EB34" s="27">
        <v>353.53999999999996</v>
      </c>
      <c r="EC34" s="33"/>
      <c r="ED34" s="28">
        <f t="shared" si="51"/>
        <v>3235.5599999999995</v>
      </c>
      <c r="EE34" s="9"/>
      <c r="EF34" s="36"/>
      <c r="EG34" s="27"/>
      <c r="EH34" s="27"/>
      <c r="EI34" s="27"/>
      <c r="EJ34" s="27"/>
      <c r="EK34" s="27"/>
      <c r="EL34" s="27"/>
      <c r="EM34" s="27">
        <v>1620</v>
      </c>
      <c r="EN34" s="27"/>
      <c r="EO34" s="27"/>
      <c r="EP34" s="33"/>
      <c r="EQ34" s="28">
        <f t="shared" si="52"/>
        <v>1620</v>
      </c>
      <c r="ER34" s="36"/>
      <c r="ES34" s="27"/>
      <c r="ET34" s="27"/>
      <c r="EU34" s="27"/>
      <c r="EV34" s="27"/>
      <c r="EW34" s="27"/>
      <c r="EX34" s="33">
        <f t="shared" si="53"/>
        <v>0</v>
      </c>
      <c r="EY34" s="2685"/>
      <c r="FA34" s="4">
        <f t="shared" si="54"/>
        <v>0</v>
      </c>
      <c r="FB34" s="5">
        <f t="shared" si="55"/>
        <v>0</v>
      </c>
      <c r="FC34" s="5">
        <f t="shared" si="56"/>
        <v>0</v>
      </c>
      <c r="FD34" s="12">
        <f t="shared" si="57"/>
        <v>0</v>
      </c>
      <c r="FE34" s="33"/>
      <c r="FF34" s="2674"/>
      <c r="FG34" s="9"/>
      <c r="FH34" s="5"/>
      <c r="FI34" s="5"/>
      <c r="FJ34" s="5"/>
      <c r="FK34" s="5"/>
      <c r="FL34" s="27"/>
      <c r="FM34" s="28">
        <f t="shared" si="58"/>
        <v>0</v>
      </c>
      <c r="FN34" s="36"/>
      <c r="FO34" s="27"/>
      <c r="FP34" s="27"/>
      <c r="FQ34" s="27"/>
      <c r="FR34" s="27"/>
      <c r="FS34" s="27"/>
      <c r="FT34" s="28">
        <f t="shared" si="59"/>
        <v>0</v>
      </c>
      <c r="FU34" s="36"/>
      <c r="FV34" s="36"/>
      <c r="FW34" s="27"/>
      <c r="FX34" s="27"/>
      <c r="FY34" s="27"/>
      <c r="FZ34" s="27"/>
      <c r="GA34" s="27"/>
      <c r="GB34" s="27"/>
      <c r="GC34" s="27"/>
      <c r="GD34" s="27"/>
      <c r="GE34" s="27"/>
      <c r="GF34" s="33"/>
      <c r="GG34" s="33">
        <f t="shared" si="60"/>
        <v>0</v>
      </c>
      <c r="GH34" s="2674"/>
      <c r="GJ34" s="4">
        <f t="shared" si="61"/>
        <v>3261.73</v>
      </c>
      <c r="GK34" s="64">
        <f t="shared" si="62"/>
        <v>4296.1099999999997</v>
      </c>
      <c r="GL34" s="53">
        <f t="shared" si="63"/>
        <v>5915.32</v>
      </c>
      <c r="GM34" s="53">
        <f t="shared" si="64"/>
        <v>13473.16</v>
      </c>
      <c r="GN34" s="141"/>
      <c r="GO34" s="141"/>
      <c r="GP34" s="33"/>
      <c r="GQ34" s="2667"/>
      <c r="GR34" s="152">
        <v>6270.3</v>
      </c>
      <c r="GS34" s="27">
        <v>781.44999999999993</v>
      </c>
      <c r="GT34" s="27">
        <v>2998.1899999999996</v>
      </c>
      <c r="GU34" s="27">
        <v>3423.2200000000003</v>
      </c>
      <c r="GV34" s="33">
        <f t="shared" si="65"/>
        <v>13473.16</v>
      </c>
      <c r="GW34" s="2667"/>
      <c r="GX34" s="36"/>
      <c r="GY34" s="36"/>
      <c r="GZ34" s="27"/>
      <c r="HA34" s="27"/>
      <c r="HB34" s="27"/>
      <c r="HC34" s="27"/>
      <c r="HD34" s="27"/>
      <c r="HE34" s="27"/>
      <c r="HF34" s="27">
        <v>2480.2800000000002</v>
      </c>
      <c r="HG34" s="27"/>
      <c r="HH34" s="27"/>
      <c r="HI34" s="27"/>
      <c r="HJ34" s="27">
        <v>781.44999999999993</v>
      </c>
      <c r="HK34" s="27"/>
      <c r="HL34" s="28">
        <f t="shared" si="66"/>
        <v>3261.73</v>
      </c>
      <c r="HM34" s="36"/>
      <c r="HN34" s="27"/>
      <c r="HO34" s="27"/>
      <c r="HP34" s="27"/>
      <c r="HQ34" s="27"/>
      <c r="HR34" s="27"/>
      <c r="HS34" s="27"/>
      <c r="HT34" s="27"/>
      <c r="HU34" s="27"/>
      <c r="HV34" s="27"/>
      <c r="HW34" s="27"/>
      <c r="HX34" s="27"/>
      <c r="HY34" s="27"/>
      <c r="HZ34" s="27"/>
      <c r="IA34" s="33">
        <f t="shared" si="67"/>
        <v>0</v>
      </c>
      <c r="IB34" s="52"/>
      <c r="IC34" s="152"/>
      <c r="ID34" s="53"/>
      <c r="IE34" s="53"/>
      <c r="IF34" s="53"/>
      <c r="IG34" s="53"/>
      <c r="IH34" s="53"/>
      <c r="II34" s="53"/>
      <c r="IJ34" s="53">
        <v>4296.1099999999997</v>
      </c>
      <c r="IK34" s="53"/>
      <c r="IL34" s="53"/>
      <c r="IM34" s="53"/>
      <c r="IN34" s="53"/>
      <c r="IO34" s="53"/>
      <c r="IP34" s="61">
        <f t="shared" si="68"/>
        <v>4296.1099999999997</v>
      </c>
      <c r="IQ34" s="36"/>
      <c r="IR34" s="36"/>
      <c r="IS34" s="27"/>
      <c r="IT34" s="27"/>
      <c r="IU34" s="53"/>
      <c r="IV34" s="27"/>
      <c r="IW34" s="27"/>
      <c r="IX34" s="27"/>
      <c r="IY34" s="27">
        <v>5915.32</v>
      </c>
      <c r="IZ34" s="27"/>
      <c r="JA34" s="27"/>
      <c r="JB34" s="27"/>
      <c r="JC34" s="27"/>
      <c r="JD34" s="27"/>
      <c r="JE34" s="33">
        <f t="shared" si="69"/>
        <v>5915.32</v>
      </c>
      <c r="JF34" s="2667"/>
      <c r="JH34" s="52">
        <v>13473.159999999996</v>
      </c>
      <c r="JI34" s="152"/>
      <c r="JJ34" s="53"/>
      <c r="JK34" s="53">
        <f t="shared" si="70"/>
        <v>13473.159999999996</v>
      </c>
      <c r="JL34" s="33"/>
      <c r="JM34" s="2669"/>
      <c r="JN34" s="69"/>
      <c r="JO34" s="70"/>
      <c r="JP34" s="70"/>
      <c r="JQ34" s="70"/>
      <c r="JR34" s="70">
        <v>1</v>
      </c>
      <c r="JS34" s="70"/>
      <c r="JT34" s="70"/>
      <c r="JU34" s="71"/>
      <c r="JV34" s="69"/>
      <c r="JW34" s="70"/>
      <c r="JX34" s="70"/>
      <c r="JY34" s="70"/>
      <c r="JZ34" s="70"/>
      <c r="KA34" s="70"/>
      <c r="KB34" s="70"/>
      <c r="KC34" s="71"/>
      <c r="KD34" s="69"/>
      <c r="KE34" s="70"/>
      <c r="KF34" s="70"/>
      <c r="KG34" s="70"/>
      <c r="KH34" s="70"/>
      <c r="KI34" s="70"/>
      <c r="KJ34" s="70"/>
      <c r="KK34" s="70"/>
      <c r="KL34" s="33"/>
      <c r="KM34" s="2669"/>
      <c r="KN34" s="36">
        <v>7180.2346961005014</v>
      </c>
      <c r="KO34" s="53">
        <v>0.60134267663931451</v>
      </c>
      <c r="KP34" s="53">
        <v>3.0418095998838139</v>
      </c>
      <c r="KQ34" s="53">
        <v>5.7974228451092875</v>
      </c>
      <c r="KR34" s="54">
        <v>10.894090200275944</v>
      </c>
      <c r="KS34" s="4">
        <v>0</v>
      </c>
      <c r="KT34" s="64">
        <v>0</v>
      </c>
      <c r="KU34" s="64">
        <v>0</v>
      </c>
      <c r="KV34" s="64">
        <v>0</v>
      </c>
      <c r="KW34" s="482">
        <v>0</v>
      </c>
      <c r="KX34" s="36"/>
      <c r="KY34" s="53"/>
      <c r="KZ34" s="53"/>
      <c r="LA34" s="53"/>
      <c r="LB34" s="53"/>
      <c r="LC34" s="33"/>
      <c r="LD34" s="2669"/>
      <c r="LF34" s="26">
        <f t="shared" si="71"/>
        <v>12668.5275</v>
      </c>
      <c r="LG34" s="27">
        <f t="shared" si="72"/>
        <v>2235.6224999999999</v>
      </c>
      <c r="LH34" s="27">
        <f t="shared" si="73"/>
        <v>0</v>
      </c>
      <c r="LI34" s="28">
        <f t="shared" si="74"/>
        <v>14904.15</v>
      </c>
      <c r="LJ34" s="36">
        <v>2</v>
      </c>
      <c r="LK34" s="27"/>
      <c r="LL34" s="27">
        <v>9</v>
      </c>
      <c r="LM34" s="33"/>
      <c r="LN34" s="1041">
        <v>4.74</v>
      </c>
      <c r="LO34" s="486"/>
      <c r="LP34" s="2688"/>
      <c r="LQ34" s="36">
        <v>12668.5275</v>
      </c>
      <c r="LR34" s="36">
        <v>2235.6224999999999</v>
      </c>
      <c r="LS34" s="27"/>
      <c r="LT34" s="27"/>
      <c r="LU34" s="27"/>
      <c r="LV34" s="1107">
        <f t="shared" si="75"/>
        <v>14904.15</v>
      </c>
      <c r="LW34" s="36"/>
      <c r="LX34" s="36"/>
      <c r="LY34" s="27"/>
      <c r="LZ34" s="27"/>
      <c r="MA34" s="33"/>
      <c r="MB34" s="28">
        <f t="shared" si="76"/>
        <v>0</v>
      </c>
      <c r="MC34" s="26"/>
      <c r="MD34" s="36"/>
      <c r="ME34" s="27"/>
      <c r="MF34" s="27"/>
      <c r="MG34" s="27"/>
      <c r="MH34" s="28"/>
      <c r="MI34" s="36"/>
      <c r="MJ34" s="36"/>
      <c r="MK34" s="27"/>
      <c r="ML34" s="27"/>
      <c r="MM34" s="27"/>
      <c r="MN34" s="28"/>
      <c r="MO34" s="36"/>
      <c r="MP34" s="36"/>
      <c r="MQ34" s="27"/>
      <c r="MR34" s="27"/>
      <c r="MS34" s="27"/>
      <c r="MT34" s="33">
        <f t="shared" si="77"/>
        <v>0</v>
      </c>
      <c r="MU34" s="2688"/>
      <c r="MW34" s="26">
        <f t="shared" si="78"/>
        <v>119208.7463025664</v>
      </c>
      <c r="MX34" s="27">
        <f t="shared" si="79"/>
        <v>176798.56929571752</v>
      </c>
      <c r="MY34" s="27">
        <f t="shared" si="80"/>
        <v>19969.58560828304</v>
      </c>
      <c r="MZ34" s="28">
        <f t="shared" si="81"/>
        <v>433409.85467809119</v>
      </c>
      <c r="NA34" s="2621"/>
      <c r="NB34" s="23">
        <f t="shared" si="82"/>
        <v>108677.11831518335</v>
      </c>
      <c r="NC34" s="64">
        <f t="shared" si="83"/>
        <v>10531.627987383044</v>
      </c>
      <c r="ND34" s="60">
        <f t="shared" si="84"/>
        <v>0</v>
      </c>
      <c r="NE34" s="275">
        <f t="shared" si="4"/>
        <v>119208.7463025664</v>
      </c>
      <c r="NF34" s="26">
        <f t="shared" si="170"/>
        <v>0</v>
      </c>
      <c r="NG34" s="27">
        <f t="shared" si="171"/>
        <v>0</v>
      </c>
      <c r="NH34" s="27">
        <f t="shared" si="172"/>
        <v>0</v>
      </c>
      <c r="NI34" s="27">
        <f t="shared" si="175"/>
        <v>0</v>
      </c>
      <c r="NJ34" s="27">
        <f t="shared" si="173"/>
        <v>0</v>
      </c>
      <c r="NK34" s="33">
        <f t="shared" si="174"/>
        <v>0</v>
      </c>
      <c r="NL34" s="27">
        <f t="shared" si="142"/>
        <v>0</v>
      </c>
      <c r="NM34" s="36">
        <f t="shared" si="143"/>
        <v>0</v>
      </c>
      <c r="NN34" s="27">
        <f t="shared" si="144"/>
        <v>47011.866549276005</v>
      </c>
      <c r="NO34" s="27">
        <f t="shared" si="145"/>
        <v>0</v>
      </c>
      <c r="NP34" s="24">
        <f t="shared" si="146"/>
        <v>8756.5482322711578</v>
      </c>
      <c r="NQ34" s="24">
        <f t="shared" si="147"/>
        <v>15094.304585687598</v>
      </c>
      <c r="NR34" s="27">
        <f t="shared" si="0"/>
        <v>70862.719367234764</v>
      </c>
      <c r="NS34" s="27">
        <f t="shared" si="86"/>
        <v>0</v>
      </c>
      <c r="NT34" s="27">
        <f t="shared" si="87"/>
        <v>0</v>
      </c>
      <c r="NU34" s="27">
        <f t="shared" si="88"/>
        <v>0</v>
      </c>
      <c r="NV34" s="27">
        <f t="shared" si="89"/>
        <v>0</v>
      </c>
      <c r="NW34" s="27">
        <f t="shared" si="90"/>
        <v>0</v>
      </c>
      <c r="NX34" s="5">
        <f t="shared" si="91"/>
        <v>0</v>
      </c>
      <c r="NY34" s="27">
        <f t="shared" si="92"/>
        <v>6961.9381519076278</v>
      </c>
      <c r="NZ34" s="27">
        <f t="shared" si="93"/>
        <v>0</v>
      </c>
      <c r="OA34" s="27">
        <f t="shared" si="94"/>
        <v>16354.374759987764</v>
      </c>
      <c r="OB34" s="27"/>
      <c r="OC34" s="24">
        <f t="shared" si="95"/>
        <v>3403.7241844007053</v>
      </c>
      <c r="OD34" s="27">
        <f t="shared" si="96"/>
        <v>0</v>
      </c>
      <c r="OE34" s="28">
        <f t="shared" si="1"/>
        <v>26720.037096296095</v>
      </c>
      <c r="OF34" s="27">
        <f t="shared" si="163"/>
        <v>0</v>
      </c>
      <c r="OG34" s="27">
        <f t="shared" si="164"/>
        <v>0</v>
      </c>
      <c r="OH34" s="27">
        <f t="shared" si="169"/>
        <v>0</v>
      </c>
      <c r="OI34" s="27">
        <f t="shared" si="167"/>
        <v>0</v>
      </c>
      <c r="OJ34" s="27">
        <f t="shared" si="167"/>
        <v>0</v>
      </c>
      <c r="OK34" s="27">
        <f t="shared" si="168"/>
        <v>0</v>
      </c>
      <c r="OL34" s="24">
        <f t="shared" si="168"/>
        <v>0</v>
      </c>
      <c r="OM34" s="27">
        <f t="shared" si="154"/>
        <v>0</v>
      </c>
      <c r="ON34" s="24">
        <f t="shared" si="154"/>
        <v>78350.698513777985</v>
      </c>
      <c r="OO34" s="27">
        <f t="shared" si="156"/>
        <v>0</v>
      </c>
      <c r="OP34" s="27">
        <f t="shared" si="157"/>
        <v>865.11431840868045</v>
      </c>
      <c r="OQ34" s="27">
        <f t="shared" si="158"/>
        <v>0</v>
      </c>
      <c r="OR34" s="28">
        <f t="shared" si="2"/>
        <v>79215.812832186668</v>
      </c>
      <c r="OS34" s="36"/>
      <c r="OT34" s="27"/>
      <c r="OU34" s="27"/>
      <c r="OV34" s="27"/>
      <c r="OW34" s="27"/>
      <c r="OX34" s="27"/>
      <c r="OY34" s="28">
        <f t="shared" si="98"/>
        <v>0</v>
      </c>
      <c r="OZ34" s="36">
        <f t="shared" si="99"/>
        <v>0</v>
      </c>
      <c r="PA34" s="27">
        <f t="shared" si="100"/>
        <v>0</v>
      </c>
      <c r="PB34" s="27">
        <f t="shared" si="101"/>
        <v>0</v>
      </c>
      <c r="PC34" s="27">
        <f t="shared" si="102"/>
        <v>0</v>
      </c>
      <c r="PD34" s="27">
        <f t="shared" si="103"/>
        <v>0</v>
      </c>
      <c r="PE34" s="27">
        <f t="shared" si="104"/>
        <v>0</v>
      </c>
      <c r="PF34" s="33">
        <f t="shared" si="3"/>
        <v>0</v>
      </c>
      <c r="PG34" s="2621"/>
      <c r="PI34" s="2"/>
      <c r="PJ34" s="3">
        <v>552.00000000000011</v>
      </c>
      <c r="PK34" s="3">
        <v>276</v>
      </c>
      <c r="PL34" s="3">
        <f t="shared" si="148"/>
        <v>781.44999999999993</v>
      </c>
      <c r="PM34" s="3">
        <f t="shared" si="149"/>
        <v>3423.8199999999997</v>
      </c>
      <c r="PN34" s="11">
        <f t="shared" si="150"/>
        <v>19969.58560828304</v>
      </c>
      <c r="PO34" s="15"/>
      <c r="PP34" s="2615"/>
      <c r="PR34" s="4"/>
      <c r="PS34" s="9"/>
      <c r="PT34" s="9"/>
      <c r="PU34" s="9"/>
      <c r="PV34" s="9"/>
      <c r="PW34" s="9"/>
      <c r="PX34" s="8">
        <f t="shared" si="105"/>
        <v>0</v>
      </c>
      <c r="PY34" s="5">
        <f t="shared" si="106"/>
        <v>0</v>
      </c>
      <c r="PZ34" s="5"/>
      <c r="QA34" s="5"/>
      <c r="QB34" s="5"/>
      <c r="QC34" s="5"/>
      <c r="QD34" s="5"/>
      <c r="QE34" s="12">
        <f t="shared" si="107"/>
        <v>29749.381073161156</v>
      </c>
      <c r="QF34" s="420">
        <f t="shared" si="108"/>
        <v>403660.47360493004</v>
      </c>
      <c r="QG34" s="1106">
        <f t="shared" si="109"/>
        <v>0</v>
      </c>
      <c r="QH34" s="484">
        <f t="shared" si="110"/>
        <v>5505.3678056100007</v>
      </c>
      <c r="QI34" s="12"/>
      <c r="QJ34" s="2615"/>
      <c r="QL34" s="139">
        <f t="shared" si="111"/>
        <v>0</v>
      </c>
      <c r="QM34" s="139" t="str">
        <f t="shared" si="112"/>
        <v/>
      </c>
      <c r="QO34" s="139">
        <f t="shared" si="113"/>
        <v>0</v>
      </c>
      <c r="QP34" s="139">
        <f t="shared" si="114"/>
        <v>0</v>
      </c>
      <c r="QR34" s="1">
        <f t="shared" si="115"/>
        <v>0</v>
      </c>
      <c r="QS34" s="1">
        <f t="shared" si="116"/>
        <v>0</v>
      </c>
      <c r="QT34" s="1">
        <f t="shared" si="117"/>
        <v>0</v>
      </c>
      <c r="QU34" s="1">
        <f t="shared" si="118"/>
        <v>0</v>
      </c>
      <c r="QV34" s="1">
        <f t="shared" si="119"/>
        <v>0</v>
      </c>
      <c r="QW34" s="1">
        <f t="shared" si="120"/>
        <v>0</v>
      </c>
      <c r="QY34" s="1">
        <f t="shared" si="121"/>
        <v>0</v>
      </c>
      <c r="QZ34" s="1">
        <f t="shared" si="122"/>
        <v>0</v>
      </c>
      <c r="RA34" s="1">
        <f t="shared" si="123"/>
        <v>0</v>
      </c>
      <c r="RB34" s="1">
        <f t="shared" si="124"/>
        <v>0</v>
      </c>
      <c r="RC34" s="1">
        <f t="shared" si="125"/>
        <v>0</v>
      </c>
      <c r="RD34" s="1">
        <f t="shared" si="126"/>
        <v>0</v>
      </c>
      <c r="RG34" s="1">
        <v>25</v>
      </c>
      <c r="RH34" s="1">
        <f t="shared" si="160"/>
        <v>-105972.99829028291</v>
      </c>
      <c r="RI34" s="1">
        <f t="shared" si="161"/>
        <v>9617.6652804837195</v>
      </c>
      <c r="RJ34" s="1">
        <f t="shared" si="162"/>
        <v>13404.263703387322</v>
      </c>
      <c r="RK34" s="89">
        <f t="shared" si="5"/>
        <v>-82951.069306411868</v>
      </c>
      <c r="RL34" s="1033">
        <v>25</v>
      </c>
      <c r="RM34" s="1098">
        <f t="shared" si="166"/>
        <v>0</v>
      </c>
      <c r="RN34" s="1098">
        <f t="shared" si="128"/>
        <v>0</v>
      </c>
      <c r="RO34" s="1097">
        <f t="shared" si="129"/>
        <v>0</v>
      </c>
      <c r="RP34" s="1097">
        <f t="shared" si="151"/>
        <v>5064.7999999999993</v>
      </c>
      <c r="RQ34" s="1094"/>
      <c r="RR34" s="1094" t="s">
        <v>720</v>
      </c>
      <c r="RU34" s="421">
        <v>25</v>
      </c>
      <c r="RV34" s="1095">
        <f t="shared" si="130"/>
        <v>13473.16</v>
      </c>
      <c r="RW34" s="1046" t="s">
        <v>721</v>
      </c>
      <c r="RY34" s="1090"/>
      <c r="RZ34" s="1090">
        <f t="shared" si="131"/>
        <v>0</v>
      </c>
      <c r="SA34" s="1090"/>
      <c r="SB34" s="1090">
        <f t="shared" si="132"/>
        <v>0</v>
      </c>
      <c r="SD34" s="1">
        <v>25</v>
      </c>
      <c r="SE34" s="1">
        <f t="shared" si="133"/>
        <v>781.44999999999993</v>
      </c>
      <c r="SF34" s="1094" t="s">
        <v>722</v>
      </c>
    </row>
    <row r="35" spans="1:500" s="1" customFormat="1">
      <c r="B35" s="471">
        <v>26</v>
      </c>
      <c r="C35" s="4">
        <f t="shared" si="6"/>
        <v>100987</v>
      </c>
      <c r="D35" s="64">
        <f t="shared" si="134"/>
        <v>6363.2</v>
      </c>
      <c r="E35" s="61">
        <f t="shared" si="7"/>
        <v>15.87047397535831</v>
      </c>
      <c r="F35" s="870"/>
      <c r="G35" s="870"/>
      <c r="H35" s="52">
        <v>25</v>
      </c>
      <c r="I35" s="61">
        <v>2.58</v>
      </c>
      <c r="J35" s="52"/>
      <c r="K35" s="54"/>
      <c r="L35" s="52">
        <v>14.17</v>
      </c>
      <c r="M35" s="61">
        <v>5.22</v>
      </c>
      <c r="N35" s="2629"/>
      <c r="O35" s="4">
        <f t="shared" si="8"/>
        <v>63462</v>
      </c>
      <c r="P35" s="1225">
        <f t="shared" si="9"/>
        <v>3288.96</v>
      </c>
      <c r="Q35" s="64">
        <f t="shared" si="10"/>
        <v>19.295461179217746</v>
      </c>
      <c r="R35" s="33"/>
      <c r="S35" s="26">
        <f t="shared" si="11"/>
        <v>22166</v>
      </c>
      <c r="T35" s="27">
        <f t="shared" si="12"/>
        <v>1574.24</v>
      </c>
      <c r="U35" s="53">
        <f t="shared" si="13"/>
        <v>14.080445167191789</v>
      </c>
      <c r="V35" s="28"/>
      <c r="W35" s="26">
        <f t="shared" si="14"/>
        <v>15359</v>
      </c>
      <c r="X35" s="5">
        <f t="shared" si="15"/>
        <v>1500</v>
      </c>
      <c r="Y35" s="53">
        <f t="shared" si="16"/>
        <v>10.239333333333333</v>
      </c>
      <c r="Z35" s="33"/>
      <c r="AA35" s="26">
        <f t="shared" si="17"/>
        <v>0</v>
      </c>
      <c r="AB35" s="27">
        <f t="shared" si="18"/>
        <v>0</v>
      </c>
      <c r="AC35" s="53">
        <f t="shared" si="19"/>
        <v>0</v>
      </c>
      <c r="AD35" s="28"/>
      <c r="AE35" s="36"/>
      <c r="AF35" s="36"/>
      <c r="AG35" s="53">
        <f t="shared" si="20"/>
        <v>0</v>
      </c>
      <c r="AH35" s="28"/>
      <c r="AI35" s="26"/>
      <c r="AJ35" s="27"/>
      <c r="AK35" s="53">
        <f t="shared" si="21"/>
        <v>0</v>
      </c>
      <c r="AL35" s="28"/>
      <c r="AM35" s="2629"/>
      <c r="AN35" s="9"/>
      <c r="AO35" s="5"/>
      <c r="AP35" s="61">
        <f t="shared" si="22"/>
        <v>0</v>
      </c>
      <c r="AQ35" s="36"/>
      <c r="AR35" s="53"/>
      <c r="AS35" s="61">
        <f t="shared" si="23"/>
        <v>0</v>
      </c>
      <c r="AT35" s="36">
        <v>0</v>
      </c>
      <c r="AU35" s="27"/>
      <c r="AV35" s="61">
        <f t="shared" si="24"/>
        <v>0</v>
      </c>
      <c r="AW35" s="36">
        <v>33012</v>
      </c>
      <c r="AX35" s="27">
        <v>1842.36</v>
      </c>
      <c r="AY35" s="61">
        <f t="shared" si="25"/>
        <v>17.918322152022409</v>
      </c>
      <c r="AZ35" s="36"/>
      <c r="BA35" s="27"/>
      <c r="BB35" s="61">
        <f t="shared" si="26"/>
        <v>0</v>
      </c>
      <c r="BC35" s="36">
        <v>30450</v>
      </c>
      <c r="BD35" s="27">
        <v>1446.6000000000001</v>
      </c>
      <c r="BE35" s="61">
        <f t="shared" si="27"/>
        <v>21.049357113231022</v>
      </c>
      <c r="BF35" s="36"/>
      <c r="BG35" s="53"/>
      <c r="BH35" s="61">
        <f t="shared" si="28"/>
        <v>0</v>
      </c>
      <c r="BI35" s="36">
        <v>0</v>
      </c>
      <c r="BJ35" s="53">
        <v>0</v>
      </c>
      <c r="BK35" s="61">
        <f t="shared" si="29"/>
        <v>0</v>
      </c>
      <c r="BL35" s="52">
        <v>22166</v>
      </c>
      <c r="BM35" s="53">
        <v>1574.24</v>
      </c>
      <c r="BN35" s="61">
        <f t="shared" si="30"/>
        <v>14.080445167191789</v>
      </c>
      <c r="BO35" s="9">
        <v>0</v>
      </c>
      <c r="BP35" s="64">
        <v>0</v>
      </c>
      <c r="BQ35" s="61">
        <f t="shared" si="31"/>
        <v>0</v>
      </c>
      <c r="BR35" s="36"/>
      <c r="BS35" s="53"/>
      <c r="BT35" s="61">
        <f t="shared" si="32"/>
        <v>0</v>
      </c>
      <c r="BU35" s="36">
        <v>15359</v>
      </c>
      <c r="BV35" s="5">
        <v>1500</v>
      </c>
      <c r="BW35" s="28">
        <f t="shared" si="33"/>
        <v>10.239333333333333</v>
      </c>
      <c r="BX35" s="4"/>
      <c r="BY35" s="5"/>
      <c r="BZ35" s="61">
        <f t="shared" si="34"/>
        <v>0</v>
      </c>
      <c r="CA35" s="36"/>
      <c r="CB35" s="5"/>
      <c r="CC35" s="61">
        <f t="shared" si="35"/>
        <v>0</v>
      </c>
      <c r="CD35" s="26"/>
      <c r="CE35" s="5"/>
      <c r="CF35" s="28">
        <f t="shared" si="36"/>
        <v>0</v>
      </c>
      <c r="CG35" s="150"/>
      <c r="CH35" s="1108">
        <v>608</v>
      </c>
      <c r="CI35" s="5">
        <v>0</v>
      </c>
      <c r="CJ35" s="5">
        <v>0</v>
      </c>
      <c r="CK35" s="5">
        <v>7392</v>
      </c>
      <c r="CL35" s="5"/>
      <c r="CM35" s="5">
        <f t="shared" si="135"/>
        <v>8000</v>
      </c>
      <c r="CN35" s="33"/>
      <c r="CO35" s="366"/>
      <c r="CQ35" s="4">
        <f t="shared" si="37"/>
        <v>0</v>
      </c>
      <c r="CR35" s="9">
        <f t="shared" si="38"/>
        <v>0</v>
      </c>
      <c r="CS35" s="5">
        <f t="shared" si="39"/>
        <v>0</v>
      </c>
      <c r="CT35" s="5">
        <f t="shared" si="40"/>
        <v>0</v>
      </c>
      <c r="CU35" s="5">
        <f t="shared" si="41"/>
        <v>0</v>
      </c>
      <c r="CV35" s="5">
        <f t="shared" si="42"/>
        <v>0</v>
      </c>
      <c r="CW35" s="5">
        <f t="shared" si="43"/>
        <v>1235.82</v>
      </c>
      <c r="CX35" s="5">
        <f t="shared" si="44"/>
        <v>0</v>
      </c>
      <c r="CY35" s="5">
        <f t="shared" si="45"/>
        <v>3715.46</v>
      </c>
      <c r="CZ35" s="5">
        <f t="shared" si="46"/>
        <v>0</v>
      </c>
      <c r="DA35" s="5">
        <f t="shared" si="47"/>
        <v>1411.92</v>
      </c>
      <c r="DB35" s="12">
        <f t="shared" si="48"/>
        <v>0</v>
      </c>
      <c r="DC35" s="310">
        <f>SUM(CQ35:DB35,PV35)</f>
        <v>6363.2</v>
      </c>
      <c r="DD35" s="2695"/>
      <c r="DE35" s="9"/>
      <c r="DF35" s="9"/>
      <c r="DG35" s="5"/>
      <c r="DH35" s="5"/>
      <c r="DI35" s="5"/>
      <c r="DJ35" s="5"/>
      <c r="DK35" s="5">
        <v>1235.82</v>
      </c>
      <c r="DL35" s="5"/>
      <c r="DM35" s="5">
        <v>606.54</v>
      </c>
      <c r="DN35" s="5"/>
      <c r="DO35" s="5"/>
      <c r="DP35" s="12"/>
      <c r="DQ35" s="28">
        <f t="shared" si="50"/>
        <v>1842.36</v>
      </c>
      <c r="DR35" s="36"/>
      <c r="DS35" s="36"/>
      <c r="DT35" s="27"/>
      <c r="DU35" s="27"/>
      <c r="DV35" s="27"/>
      <c r="DW35" s="27"/>
      <c r="DX35" s="27"/>
      <c r="DY35" s="27"/>
      <c r="DZ35" s="27">
        <v>1608.92</v>
      </c>
      <c r="EA35" s="27"/>
      <c r="EB35" s="27">
        <v>1411.92</v>
      </c>
      <c r="EC35" s="33"/>
      <c r="ED35" s="28">
        <f t="shared" si="51"/>
        <v>3020.84</v>
      </c>
      <c r="EE35" s="9"/>
      <c r="EF35" s="36"/>
      <c r="EG35" s="27"/>
      <c r="EH35" s="27"/>
      <c r="EI35" s="27"/>
      <c r="EJ35" s="27"/>
      <c r="EK35" s="27"/>
      <c r="EL35" s="27"/>
      <c r="EM35" s="27">
        <v>1500</v>
      </c>
      <c r="EN35" s="27"/>
      <c r="EO35" s="27"/>
      <c r="EP35" s="33"/>
      <c r="EQ35" s="28">
        <f t="shared" si="52"/>
        <v>1500</v>
      </c>
      <c r="ER35" s="36"/>
      <c r="ES35" s="27"/>
      <c r="ET35" s="27"/>
      <c r="EU35" s="27"/>
      <c r="EV35" s="27"/>
      <c r="EW35" s="27"/>
      <c r="EX35" s="33">
        <f t="shared" si="53"/>
        <v>0</v>
      </c>
      <c r="EY35" s="2685"/>
      <c r="FA35" s="4">
        <f t="shared" si="54"/>
        <v>0</v>
      </c>
      <c r="FB35" s="5">
        <f t="shared" si="55"/>
        <v>0</v>
      </c>
      <c r="FC35" s="5">
        <f t="shared" si="56"/>
        <v>0</v>
      </c>
      <c r="FD35" s="12">
        <f t="shared" si="57"/>
        <v>0</v>
      </c>
      <c r="FE35" s="33"/>
      <c r="FF35" s="2674"/>
      <c r="FG35" s="9"/>
      <c r="FH35" s="5"/>
      <c r="FI35" s="5"/>
      <c r="FJ35" s="5"/>
      <c r="FK35" s="5"/>
      <c r="FL35" s="27"/>
      <c r="FM35" s="28">
        <f t="shared" si="58"/>
        <v>0</v>
      </c>
      <c r="FN35" s="36"/>
      <c r="FO35" s="27"/>
      <c r="FP35" s="27"/>
      <c r="FQ35" s="27"/>
      <c r="FR35" s="27"/>
      <c r="FS35" s="27"/>
      <c r="FT35" s="28">
        <f t="shared" si="59"/>
        <v>0</v>
      </c>
      <c r="FU35" s="36"/>
      <c r="FV35" s="36"/>
      <c r="FW35" s="27"/>
      <c r="FX35" s="27"/>
      <c r="FY35" s="27"/>
      <c r="FZ35" s="27"/>
      <c r="GA35" s="27"/>
      <c r="GB35" s="27"/>
      <c r="GC35" s="27"/>
      <c r="GD35" s="27"/>
      <c r="GE35" s="27"/>
      <c r="GF35" s="33"/>
      <c r="GG35" s="33">
        <f t="shared" si="60"/>
        <v>0</v>
      </c>
      <c r="GH35" s="2674"/>
      <c r="GJ35" s="4">
        <f t="shared" si="61"/>
        <v>2203.0500000000002</v>
      </c>
      <c r="GK35" s="64">
        <f t="shared" si="62"/>
        <v>4460.8799999999992</v>
      </c>
      <c r="GL35" s="53">
        <f t="shared" si="63"/>
        <v>7190.5100000000011</v>
      </c>
      <c r="GM35" s="53">
        <f t="shared" si="64"/>
        <v>13854.44</v>
      </c>
      <c r="GN35" s="141"/>
      <c r="GO35" s="141"/>
      <c r="GP35" s="33"/>
      <c r="GQ35" s="2667"/>
      <c r="GR35" s="152">
        <v>6520.55</v>
      </c>
      <c r="GS35" s="27">
        <v>812.5</v>
      </c>
      <c r="GT35" s="27">
        <v>3370.3</v>
      </c>
      <c r="GU35" s="27">
        <v>3151.09</v>
      </c>
      <c r="GV35" s="33">
        <f t="shared" si="65"/>
        <v>13854.44</v>
      </c>
      <c r="GW35" s="2667"/>
      <c r="GX35" s="36"/>
      <c r="GY35" s="36"/>
      <c r="GZ35" s="27"/>
      <c r="HA35" s="27"/>
      <c r="HB35" s="27"/>
      <c r="HC35" s="27"/>
      <c r="HD35" s="27"/>
      <c r="HE35" s="27"/>
      <c r="HF35" s="27">
        <v>1390.55</v>
      </c>
      <c r="HG35" s="27"/>
      <c r="HH35" s="27"/>
      <c r="HI35" s="27"/>
      <c r="HJ35" s="27">
        <v>812.5</v>
      </c>
      <c r="HK35" s="27"/>
      <c r="HL35" s="28">
        <f t="shared" si="66"/>
        <v>2203.0500000000002</v>
      </c>
      <c r="HM35" s="36"/>
      <c r="HN35" s="27"/>
      <c r="HO35" s="27"/>
      <c r="HP35" s="27"/>
      <c r="HQ35" s="27"/>
      <c r="HR35" s="27"/>
      <c r="HS35" s="27"/>
      <c r="HT35" s="27"/>
      <c r="HU35" s="27"/>
      <c r="HV35" s="27"/>
      <c r="HW35" s="27"/>
      <c r="HX35" s="27"/>
      <c r="HY35" s="27"/>
      <c r="HZ35" s="27"/>
      <c r="IA35" s="33">
        <f t="shared" si="67"/>
        <v>0</v>
      </c>
      <c r="IB35" s="52"/>
      <c r="IC35" s="152"/>
      <c r="ID35" s="53"/>
      <c r="IE35" s="53"/>
      <c r="IF35" s="53"/>
      <c r="IG35" s="53"/>
      <c r="IH35" s="53"/>
      <c r="II35" s="53"/>
      <c r="IJ35" s="53">
        <v>4460.8799999999992</v>
      </c>
      <c r="IK35" s="53"/>
      <c r="IL35" s="53"/>
      <c r="IM35" s="53"/>
      <c r="IN35" s="53"/>
      <c r="IO35" s="53"/>
      <c r="IP35" s="61">
        <f t="shared" si="68"/>
        <v>4460.8799999999992</v>
      </c>
      <c r="IQ35" s="36"/>
      <c r="IR35" s="36"/>
      <c r="IS35" s="27"/>
      <c r="IT35" s="27"/>
      <c r="IU35" s="53"/>
      <c r="IV35" s="27"/>
      <c r="IW35" s="27"/>
      <c r="IX35" s="27"/>
      <c r="IY35" s="27">
        <v>7190.5100000000011</v>
      </c>
      <c r="IZ35" s="27"/>
      <c r="JA35" s="27"/>
      <c r="JB35" s="27"/>
      <c r="JC35" s="27"/>
      <c r="JD35" s="27"/>
      <c r="JE35" s="33">
        <f t="shared" si="69"/>
        <v>7190.5100000000011</v>
      </c>
      <c r="JF35" s="2667"/>
      <c r="JH35" s="52">
        <v>13854.440000000002</v>
      </c>
      <c r="JI35" s="152"/>
      <c r="JJ35" s="53"/>
      <c r="JK35" s="53">
        <f t="shared" si="70"/>
        <v>13854.440000000002</v>
      </c>
      <c r="JL35" s="33"/>
      <c r="JM35" s="2669"/>
      <c r="JN35" s="69"/>
      <c r="JO35" s="70"/>
      <c r="JP35" s="70"/>
      <c r="JQ35" s="70"/>
      <c r="JR35" s="70">
        <v>1</v>
      </c>
      <c r="JS35" s="70"/>
      <c r="JT35" s="70"/>
      <c r="JU35" s="71"/>
      <c r="JV35" s="69"/>
      <c r="JW35" s="70"/>
      <c r="JX35" s="70"/>
      <c r="JY35" s="70"/>
      <c r="JZ35" s="70"/>
      <c r="KA35" s="70"/>
      <c r="KB35" s="70"/>
      <c r="KC35" s="71"/>
      <c r="KD35" s="69"/>
      <c r="KE35" s="70"/>
      <c r="KF35" s="70"/>
      <c r="KG35" s="70"/>
      <c r="KH35" s="70"/>
      <c r="KI35" s="70"/>
      <c r="KJ35" s="70"/>
      <c r="KK35" s="70"/>
      <c r="KL35" s="33"/>
      <c r="KM35" s="2669"/>
      <c r="KN35" s="36">
        <v>7142.9037294015616</v>
      </c>
      <c r="KO35" s="53">
        <v>0.76744001156403585</v>
      </c>
      <c r="KP35" s="53">
        <v>3.1543083261058111</v>
      </c>
      <c r="KQ35" s="53">
        <v>6.2492071407921364</v>
      </c>
      <c r="KR35" s="54">
        <v>10.210561849089332</v>
      </c>
      <c r="KS35" s="4">
        <v>0</v>
      </c>
      <c r="KT35" s="64">
        <v>0</v>
      </c>
      <c r="KU35" s="64">
        <v>0</v>
      </c>
      <c r="KV35" s="64">
        <v>0</v>
      </c>
      <c r="KW35" s="482">
        <v>0</v>
      </c>
      <c r="KX35" s="36"/>
      <c r="KY35" s="53"/>
      <c r="KZ35" s="53"/>
      <c r="LA35" s="53"/>
      <c r="LB35" s="53"/>
      <c r="LC35" s="33"/>
      <c r="LD35" s="2669"/>
      <c r="LF35" s="26">
        <f t="shared" si="71"/>
        <v>19271.71</v>
      </c>
      <c r="LG35" s="27">
        <f t="shared" si="72"/>
        <v>3400.8899999999994</v>
      </c>
      <c r="LH35" s="27">
        <f t="shared" si="73"/>
        <v>0</v>
      </c>
      <c r="LI35" s="28">
        <f t="shared" si="74"/>
        <v>22672.6</v>
      </c>
      <c r="LJ35" s="36">
        <v>3</v>
      </c>
      <c r="LK35" s="27">
        <v>1</v>
      </c>
      <c r="LL35" s="27">
        <v>6</v>
      </c>
      <c r="LM35" s="33"/>
      <c r="LN35" s="1041">
        <v>4.7</v>
      </c>
      <c r="LO35" s="1052"/>
      <c r="LP35" s="2688"/>
      <c r="LQ35" s="36">
        <v>19271.71</v>
      </c>
      <c r="LR35" s="36">
        <v>3400.8899999999994</v>
      </c>
      <c r="LS35" s="27"/>
      <c r="LT35" s="27"/>
      <c r="LU35" s="27"/>
      <c r="LV35" s="1107">
        <f t="shared" si="75"/>
        <v>22672.6</v>
      </c>
      <c r="LW35" s="36"/>
      <c r="LX35" s="36"/>
      <c r="LY35" s="27"/>
      <c r="LZ35" s="27"/>
      <c r="MA35" s="33"/>
      <c r="MB35" s="28">
        <f t="shared" si="76"/>
        <v>0</v>
      </c>
      <c r="MC35" s="26"/>
      <c r="MD35" s="36"/>
      <c r="ME35" s="27"/>
      <c r="MF35" s="27"/>
      <c r="MG35" s="27"/>
      <c r="MH35" s="28"/>
      <c r="MI35" s="36"/>
      <c r="MJ35" s="36"/>
      <c r="MK35" s="27"/>
      <c r="ML35" s="27"/>
      <c r="MM35" s="27"/>
      <c r="MN35" s="28"/>
      <c r="MO35" s="36"/>
      <c r="MP35" s="36"/>
      <c r="MQ35" s="27"/>
      <c r="MR35" s="27"/>
      <c r="MS35" s="27"/>
      <c r="MT35" s="33">
        <f t="shared" si="77"/>
        <v>0</v>
      </c>
      <c r="MU35" s="2688"/>
      <c r="MW35" s="26">
        <f t="shared" si="78"/>
        <v>110390.58630256641</v>
      </c>
      <c r="MX35" s="27">
        <f t="shared" si="79"/>
        <v>170119.82929571753</v>
      </c>
      <c r="MY35" s="27">
        <f t="shared" si="80"/>
        <v>19403.08560828304</v>
      </c>
      <c r="MZ35" s="28">
        <f t="shared" si="81"/>
        <v>433143.0546780912</v>
      </c>
      <c r="NA35" s="2621"/>
      <c r="NB35" s="23">
        <f t="shared" si="82"/>
        <v>103259.84831518336</v>
      </c>
      <c r="NC35" s="64">
        <f t="shared" si="83"/>
        <v>7130.737987383045</v>
      </c>
      <c r="ND35" s="60">
        <f t="shared" si="84"/>
        <v>0</v>
      </c>
      <c r="NE35" s="275">
        <f t="shared" si="4"/>
        <v>110390.58630256641</v>
      </c>
      <c r="NF35" s="26">
        <f t="shared" si="170"/>
        <v>0</v>
      </c>
      <c r="NG35" s="27">
        <f t="shared" si="171"/>
        <v>0</v>
      </c>
      <c r="NH35" s="27">
        <f t="shared" si="172"/>
        <v>0</v>
      </c>
      <c r="NI35" s="27">
        <f t="shared" si="175"/>
        <v>0</v>
      </c>
      <c r="NJ35" s="27">
        <f t="shared" si="173"/>
        <v>0</v>
      </c>
      <c r="NK35" s="33">
        <f t="shared" si="174"/>
        <v>0</v>
      </c>
      <c r="NL35" s="27">
        <f t="shared" si="142"/>
        <v>0</v>
      </c>
      <c r="NM35" s="36">
        <f t="shared" si="143"/>
        <v>0</v>
      </c>
      <c r="NN35" s="27">
        <f t="shared" si="144"/>
        <v>47121.316549276002</v>
      </c>
      <c r="NO35" s="27">
        <f t="shared" si="145"/>
        <v>0</v>
      </c>
      <c r="NP35" s="24">
        <f t="shared" si="146"/>
        <v>8756.5482322711578</v>
      </c>
      <c r="NQ35" s="24">
        <f t="shared" si="147"/>
        <v>15094.304585687598</v>
      </c>
      <c r="NR35" s="27">
        <f t="shared" si="0"/>
        <v>70972.169367234761</v>
      </c>
      <c r="NS35" s="27">
        <f t="shared" si="86"/>
        <v>0</v>
      </c>
      <c r="NT35" s="27">
        <f t="shared" si="87"/>
        <v>0</v>
      </c>
      <c r="NU35" s="27">
        <f t="shared" si="88"/>
        <v>0</v>
      </c>
      <c r="NV35" s="27">
        <f t="shared" si="89"/>
        <v>0</v>
      </c>
      <c r="NW35" s="27">
        <f t="shared" si="90"/>
        <v>0</v>
      </c>
      <c r="NX35" s="5">
        <f t="shared" si="91"/>
        <v>0</v>
      </c>
      <c r="NY35" s="27">
        <f t="shared" si="92"/>
        <v>8197.7581519076284</v>
      </c>
      <c r="NZ35" s="27">
        <f t="shared" si="93"/>
        <v>0</v>
      </c>
      <c r="OA35" s="27">
        <f t="shared" si="94"/>
        <v>12500.034759987766</v>
      </c>
      <c r="OB35" s="27"/>
      <c r="OC35" s="24">
        <f t="shared" si="95"/>
        <v>3403.7241844007053</v>
      </c>
      <c r="OD35" s="27">
        <f t="shared" si="96"/>
        <v>0</v>
      </c>
      <c r="OE35" s="28">
        <f t="shared" si="1"/>
        <v>24101.517096296098</v>
      </c>
      <c r="OF35" s="27">
        <f t="shared" si="163"/>
        <v>0</v>
      </c>
      <c r="OG35" s="27">
        <f t="shared" si="164"/>
        <v>0</v>
      </c>
      <c r="OH35" s="27">
        <f t="shared" si="169"/>
        <v>0</v>
      </c>
      <c r="OI35" s="27">
        <f t="shared" si="167"/>
        <v>0</v>
      </c>
      <c r="OJ35" s="27">
        <f t="shared" si="167"/>
        <v>0</v>
      </c>
      <c r="OK35" s="27">
        <f t="shared" si="168"/>
        <v>0</v>
      </c>
      <c r="OL35" s="24">
        <f t="shared" si="168"/>
        <v>0</v>
      </c>
      <c r="OM35" s="27">
        <f t="shared" si="154"/>
        <v>0</v>
      </c>
      <c r="ON35" s="24">
        <f t="shared" si="154"/>
        <v>72769.108513777988</v>
      </c>
      <c r="OO35" s="27">
        <f t="shared" si="156"/>
        <v>0</v>
      </c>
      <c r="OP35" s="27">
        <f t="shared" si="157"/>
        <v>2277.0343184086805</v>
      </c>
      <c r="OQ35" s="27">
        <f t="shared" si="158"/>
        <v>0</v>
      </c>
      <c r="OR35" s="28">
        <f t="shared" si="2"/>
        <v>75046.14283218667</v>
      </c>
      <c r="OS35" s="36"/>
      <c r="OT35" s="27"/>
      <c r="OU35" s="27"/>
      <c r="OV35" s="27"/>
      <c r="OW35" s="27"/>
      <c r="OX35" s="27"/>
      <c r="OY35" s="28">
        <f t="shared" si="98"/>
        <v>0</v>
      </c>
      <c r="OZ35" s="36">
        <f t="shared" si="99"/>
        <v>0</v>
      </c>
      <c r="PA35" s="27">
        <f t="shared" si="100"/>
        <v>0</v>
      </c>
      <c r="PB35" s="27">
        <f t="shared" si="101"/>
        <v>0</v>
      </c>
      <c r="PC35" s="27">
        <f t="shared" si="102"/>
        <v>0</v>
      </c>
      <c r="PD35" s="27">
        <f t="shared" si="103"/>
        <v>0</v>
      </c>
      <c r="PE35" s="27">
        <f t="shared" si="104"/>
        <v>0</v>
      </c>
      <c r="PF35" s="33">
        <f t="shared" si="3"/>
        <v>0</v>
      </c>
      <c r="PG35" s="2621"/>
      <c r="PI35" s="2">
        <v>266.8</v>
      </c>
      <c r="PJ35" s="3">
        <v>492.00000000000006</v>
      </c>
      <c r="PK35" s="3">
        <v>246.00000000000003</v>
      </c>
      <c r="PL35" s="3">
        <f t="shared" si="148"/>
        <v>812.5</v>
      </c>
      <c r="PM35" s="3">
        <f t="shared" si="149"/>
        <v>3198.62</v>
      </c>
      <c r="PN35" s="11">
        <f t="shared" si="150"/>
        <v>19403.08560828304</v>
      </c>
      <c r="PO35" s="15"/>
      <c r="PP35" s="2615"/>
      <c r="PR35" s="4"/>
      <c r="PS35" s="9"/>
      <c r="PT35" s="9"/>
      <c r="PU35" s="9"/>
      <c r="PV35" s="9"/>
      <c r="PW35" s="9"/>
      <c r="PX35" s="8">
        <f t="shared" si="105"/>
        <v>0</v>
      </c>
      <c r="PY35" s="5">
        <f t="shared" si="106"/>
        <v>266.8</v>
      </c>
      <c r="PZ35" s="5"/>
      <c r="QA35" s="5"/>
      <c r="QB35" s="5"/>
      <c r="QC35" s="5"/>
      <c r="QD35" s="5"/>
      <c r="QE35" s="12">
        <f t="shared" si="107"/>
        <v>29749.381073161156</v>
      </c>
      <c r="QF35" s="420">
        <f t="shared" si="108"/>
        <v>403393.67360493005</v>
      </c>
      <c r="QG35" s="1106">
        <f t="shared" si="109"/>
        <v>0</v>
      </c>
      <c r="QH35" s="484">
        <f t="shared" si="110"/>
        <v>5505.3678056100007</v>
      </c>
      <c r="QI35" s="12"/>
      <c r="QJ35" s="2615"/>
      <c r="QL35" s="139">
        <f t="shared" si="111"/>
        <v>0</v>
      </c>
      <c r="QM35" s="139" t="str">
        <f t="shared" si="112"/>
        <v/>
      </c>
      <c r="QO35" s="139">
        <f t="shared" si="113"/>
        <v>0</v>
      </c>
      <c r="QP35" s="139">
        <f t="shared" si="114"/>
        <v>0</v>
      </c>
      <c r="QR35" s="1">
        <f t="shared" si="115"/>
        <v>0</v>
      </c>
      <c r="QS35" s="1">
        <f t="shared" si="116"/>
        <v>0</v>
      </c>
      <c r="QT35" s="1">
        <f t="shared" si="117"/>
        <v>0</v>
      </c>
      <c r="QU35" s="1">
        <f t="shared" si="118"/>
        <v>0</v>
      </c>
      <c r="QV35" s="1">
        <f t="shared" si="119"/>
        <v>0</v>
      </c>
      <c r="QW35" s="1">
        <f t="shared" si="120"/>
        <v>0</v>
      </c>
      <c r="QY35" s="1">
        <f t="shared" si="121"/>
        <v>0</v>
      </c>
      <c r="QZ35" s="1">
        <f t="shared" si="122"/>
        <v>0</v>
      </c>
      <c r="RA35" s="1">
        <f t="shared" si="123"/>
        <v>0</v>
      </c>
      <c r="RB35" s="1">
        <f t="shared" si="124"/>
        <v>0</v>
      </c>
      <c r="RC35" s="1">
        <f t="shared" si="125"/>
        <v>0</v>
      </c>
      <c r="RD35" s="1">
        <f t="shared" si="126"/>
        <v>0</v>
      </c>
      <c r="RG35" s="1">
        <v>26</v>
      </c>
      <c r="RH35" s="1">
        <f t="shared" si="160"/>
        <v>-111390.2682902829</v>
      </c>
      <c r="RI35" s="1">
        <f t="shared" si="161"/>
        <v>6216.7752804837201</v>
      </c>
      <c r="RJ35" s="1">
        <f t="shared" si="162"/>
        <v>13404.263703387322</v>
      </c>
      <c r="RK35" s="89">
        <f t="shared" si="5"/>
        <v>-91769.229306411857</v>
      </c>
      <c r="RL35" s="1033">
        <v>26</v>
      </c>
      <c r="RM35" s="1098">
        <f t="shared" si="166"/>
        <v>0</v>
      </c>
      <c r="RN35" s="1098">
        <f t="shared" si="128"/>
        <v>0</v>
      </c>
      <c r="RO35" s="1097">
        <f t="shared" si="129"/>
        <v>0</v>
      </c>
      <c r="RP35" s="1097">
        <f t="shared" si="151"/>
        <v>4863.2</v>
      </c>
      <c r="RQ35" s="1050"/>
      <c r="RR35" s="1050" t="s">
        <v>723</v>
      </c>
      <c r="RS35" s="1048"/>
      <c r="RU35" s="421">
        <v>26</v>
      </c>
      <c r="RV35" s="1095">
        <f t="shared" si="130"/>
        <v>13854.44</v>
      </c>
      <c r="RW35" s="1050" t="s">
        <v>724</v>
      </c>
      <c r="RX35" s="1048"/>
      <c r="RY35" s="1090"/>
      <c r="RZ35" s="1090">
        <f t="shared" si="131"/>
        <v>0</v>
      </c>
      <c r="SA35" s="1090"/>
      <c r="SB35" s="1090">
        <f t="shared" si="132"/>
        <v>0</v>
      </c>
      <c r="SD35" s="1">
        <v>26</v>
      </c>
      <c r="SE35" s="1">
        <f t="shared" si="133"/>
        <v>812.5</v>
      </c>
      <c r="SF35" s="1094" t="s">
        <v>725</v>
      </c>
    </row>
    <row r="36" spans="1:500" s="1" customFormat="1">
      <c r="B36" s="471">
        <v>27</v>
      </c>
      <c r="C36" s="4">
        <f t="shared" si="6"/>
        <v>124709</v>
      </c>
      <c r="D36" s="64">
        <f t="shared" si="134"/>
        <v>8475.48</v>
      </c>
      <c r="E36" s="61">
        <f t="shared" si="7"/>
        <v>14.714092889134303</v>
      </c>
      <c r="F36" s="870"/>
      <c r="G36" s="870"/>
      <c r="H36" s="52">
        <v>32</v>
      </c>
      <c r="I36" s="61">
        <v>7.58</v>
      </c>
      <c r="J36" s="52"/>
      <c r="K36" s="54"/>
      <c r="L36" s="52">
        <v>5</v>
      </c>
      <c r="M36" s="61">
        <v>4.3</v>
      </c>
      <c r="N36" s="2629"/>
      <c r="O36" s="4">
        <f t="shared" si="8"/>
        <v>78918</v>
      </c>
      <c r="P36" s="5">
        <f t="shared" si="9"/>
        <v>4372.38</v>
      </c>
      <c r="Q36" s="64">
        <f t="shared" si="10"/>
        <v>18.049208897671292</v>
      </c>
      <c r="R36" s="33"/>
      <c r="S36" s="26">
        <f t="shared" si="11"/>
        <v>22802</v>
      </c>
      <c r="T36" s="27">
        <f t="shared" si="12"/>
        <v>2263.1</v>
      </c>
      <c r="U36" s="53">
        <f t="shared" si="13"/>
        <v>10.07556007246697</v>
      </c>
      <c r="V36" s="28"/>
      <c r="W36" s="26">
        <f t="shared" si="14"/>
        <v>22989</v>
      </c>
      <c r="X36" s="5">
        <f t="shared" si="15"/>
        <v>1840</v>
      </c>
      <c r="Y36" s="53">
        <f t="shared" si="16"/>
        <v>12.494021739130435</v>
      </c>
      <c r="Z36" s="33"/>
      <c r="AA36" s="26">
        <f t="shared" si="17"/>
        <v>0</v>
      </c>
      <c r="AB36" s="27">
        <f t="shared" si="18"/>
        <v>0</v>
      </c>
      <c r="AC36" s="53">
        <f t="shared" si="19"/>
        <v>0</v>
      </c>
      <c r="AD36" s="28"/>
      <c r="AE36" s="36"/>
      <c r="AF36" s="36"/>
      <c r="AG36" s="53">
        <f t="shared" si="20"/>
        <v>0</v>
      </c>
      <c r="AH36" s="28"/>
      <c r="AI36" s="23"/>
      <c r="AJ36" s="27"/>
      <c r="AK36" s="53">
        <f t="shared" si="21"/>
        <v>0</v>
      </c>
      <c r="AL36" s="28"/>
      <c r="AM36" s="2629"/>
      <c r="AN36" s="9"/>
      <c r="AO36" s="5"/>
      <c r="AP36" s="61">
        <f t="shared" si="22"/>
        <v>0</v>
      </c>
      <c r="AQ36" s="36"/>
      <c r="AR36" s="53"/>
      <c r="AS36" s="61">
        <f t="shared" si="23"/>
        <v>0</v>
      </c>
      <c r="AT36" s="36"/>
      <c r="AU36" s="27"/>
      <c r="AV36" s="61">
        <f t="shared" si="24"/>
        <v>0</v>
      </c>
      <c r="AW36" s="36">
        <v>44604</v>
      </c>
      <c r="AX36" s="27">
        <v>2554.5</v>
      </c>
      <c r="AY36" s="61">
        <f t="shared" si="25"/>
        <v>17.46095126247798</v>
      </c>
      <c r="AZ36" s="36"/>
      <c r="BA36" s="27"/>
      <c r="BB36" s="61">
        <f t="shared" si="26"/>
        <v>0</v>
      </c>
      <c r="BC36" s="36">
        <v>34314</v>
      </c>
      <c r="BD36" s="27">
        <v>1817.88</v>
      </c>
      <c r="BE36" s="61">
        <f t="shared" si="27"/>
        <v>18.875833388342464</v>
      </c>
      <c r="BF36" s="36"/>
      <c r="BG36" s="53"/>
      <c r="BH36" s="61">
        <f t="shared" si="28"/>
        <v>0</v>
      </c>
      <c r="BI36" s="36">
        <v>0</v>
      </c>
      <c r="BJ36" s="53">
        <v>0</v>
      </c>
      <c r="BK36" s="61">
        <f t="shared" si="29"/>
        <v>0</v>
      </c>
      <c r="BL36" s="52">
        <v>22802</v>
      </c>
      <c r="BM36" s="53">
        <v>2263.1</v>
      </c>
      <c r="BN36" s="61">
        <f t="shared" si="30"/>
        <v>10.07556007246697</v>
      </c>
      <c r="BO36" s="9">
        <v>0</v>
      </c>
      <c r="BP36" s="64">
        <v>0</v>
      </c>
      <c r="BQ36" s="61">
        <f t="shared" si="31"/>
        <v>0</v>
      </c>
      <c r="BR36" s="36"/>
      <c r="BS36" s="53"/>
      <c r="BT36" s="61">
        <f t="shared" si="32"/>
        <v>0</v>
      </c>
      <c r="BU36" s="9">
        <v>22989</v>
      </c>
      <c r="BV36" s="5">
        <v>1840</v>
      </c>
      <c r="BW36" s="28">
        <f t="shared" si="33"/>
        <v>12.494021739130435</v>
      </c>
      <c r="BX36" s="4"/>
      <c r="BY36" s="5"/>
      <c r="BZ36" s="61">
        <f t="shared" si="34"/>
        <v>0</v>
      </c>
      <c r="CA36" s="36"/>
      <c r="CB36" s="5"/>
      <c r="CC36" s="61">
        <f t="shared" si="35"/>
        <v>0</v>
      </c>
      <c r="CD36" s="26"/>
      <c r="CE36" s="5"/>
      <c r="CF36" s="28">
        <f t="shared" si="36"/>
        <v>0</v>
      </c>
      <c r="CG36" s="150"/>
      <c r="CH36" s="1108">
        <v>0</v>
      </c>
      <c r="CI36" s="5">
        <v>0</v>
      </c>
      <c r="CJ36" s="5">
        <v>0</v>
      </c>
      <c r="CK36" s="5">
        <v>7626</v>
      </c>
      <c r="CL36" s="5"/>
      <c r="CM36" s="5">
        <f t="shared" si="135"/>
        <v>7626</v>
      </c>
      <c r="CN36" s="33"/>
      <c r="CO36" s="366"/>
      <c r="CQ36" s="4">
        <f t="shared" si="37"/>
        <v>0</v>
      </c>
      <c r="CR36" s="9">
        <f t="shared" si="38"/>
        <v>0</v>
      </c>
      <c r="CS36" s="5">
        <f t="shared" si="39"/>
        <v>0</v>
      </c>
      <c r="CT36" s="5">
        <f t="shared" si="40"/>
        <v>0</v>
      </c>
      <c r="CU36" s="5">
        <f t="shared" si="41"/>
        <v>0</v>
      </c>
      <c r="CV36" s="5">
        <f t="shared" si="42"/>
        <v>0</v>
      </c>
      <c r="CW36" s="5">
        <f t="shared" si="43"/>
        <v>821.86</v>
      </c>
      <c r="CX36" s="5">
        <f t="shared" si="44"/>
        <v>0</v>
      </c>
      <c r="CY36" s="5">
        <f t="shared" si="45"/>
        <v>5835.74</v>
      </c>
      <c r="CZ36" s="5">
        <f t="shared" si="46"/>
        <v>0</v>
      </c>
      <c r="DA36" s="5">
        <f t="shared" si="47"/>
        <v>1817.88</v>
      </c>
      <c r="DB36" s="12">
        <f t="shared" si="48"/>
        <v>0</v>
      </c>
      <c r="DC36" s="310">
        <f>SUM(CQ36:DB36,PV36)</f>
        <v>8475.48</v>
      </c>
      <c r="DD36" s="2695"/>
      <c r="DE36" s="9"/>
      <c r="DF36" s="9"/>
      <c r="DG36" s="5"/>
      <c r="DH36" s="5"/>
      <c r="DI36" s="5"/>
      <c r="DJ36" s="5"/>
      <c r="DK36" s="5">
        <v>821.86</v>
      </c>
      <c r="DL36" s="5"/>
      <c r="DM36" s="5">
        <v>1732.6399999999999</v>
      </c>
      <c r="DN36" s="5"/>
      <c r="DO36" s="5"/>
      <c r="DP36" s="12"/>
      <c r="DQ36" s="28">
        <f t="shared" si="50"/>
        <v>2554.5</v>
      </c>
      <c r="DR36" s="36"/>
      <c r="DS36" s="36"/>
      <c r="DT36" s="27"/>
      <c r="DU36" s="27"/>
      <c r="DV36" s="27"/>
      <c r="DW36" s="27"/>
      <c r="DX36" s="27"/>
      <c r="DY36" s="27"/>
      <c r="DZ36" s="27">
        <v>2263.1</v>
      </c>
      <c r="EA36" s="27"/>
      <c r="EB36" s="27">
        <v>1817.88</v>
      </c>
      <c r="EC36" s="33"/>
      <c r="ED36" s="28">
        <f t="shared" si="51"/>
        <v>4080.98</v>
      </c>
      <c r="EE36" s="9"/>
      <c r="EF36" s="36"/>
      <c r="EG36" s="27"/>
      <c r="EH36" s="27"/>
      <c r="EI36" s="27"/>
      <c r="EJ36" s="27"/>
      <c r="EK36" s="27"/>
      <c r="EL36" s="27"/>
      <c r="EM36" s="27">
        <v>1840</v>
      </c>
      <c r="EN36" s="27"/>
      <c r="EO36" s="27"/>
      <c r="EP36" s="33"/>
      <c r="EQ36" s="28">
        <f t="shared" si="52"/>
        <v>1840</v>
      </c>
      <c r="ER36" s="36"/>
      <c r="ES36" s="27"/>
      <c r="ET36" s="27"/>
      <c r="EU36" s="27"/>
      <c r="EV36" s="27"/>
      <c r="EW36" s="27"/>
      <c r="EX36" s="33">
        <f t="shared" si="53"/>
        <v>0</v>
      </c>
      <c r="EY36" s="2685"/>
      <c r="FA36" s="4">
        <f t="shared" si="54"/>
        <v>0</v>
      </c>
      <c r="FB36" s="5">
        <f t="shared" si="55"/>
        <v>0</v>
      </c>
      <c r="FC36" s="5">
        <f t="shared" si="56"/>
        <v>0</v>
      </c>
      <c r="FD36" s="12">
        <f t="shared" si="57"/>
        <v>0</v>
      </c>
      <c r="FE36" s="33"/>
      <c r="FF36" s="2674"/>
      <c r="FG36" s="9"/>
      <c r="FH36" s="5"/>
      <c r="FI36" s="5"/>
      <c r="FJ36" s="5"/>
      <c r="FK36" s="5"/>
      <c r="FL36" s="27"/>
      <c r="FM36" s="28">
        <f t="shared" si="58"/>
        <v>0</v>
      </c>
      <c r="FN36" s="36"/>
      <c r="FO36" s="27"/>
      <c r="FP36" s="27"/>
      <c r="FQ36" s="27"/>
      <c r="FR36" s="27"/>
      <c r="FS36" s="27"/>
      <c r="FT36" s="28">
        <f t="shared" si="59"/>
        <v>0</v>
      </c>
      <c r="FU36" s="36"/>
      <c r="FV36" s="36"/>
      <c r="FW36" s="27"/>
      <c r="FX36" s="27"/>
      <c r="FY36" s="27"/>
      <c r="FZ36" s="27"/>
      <c r="GA36" s="27"/>
      <c r="GB36" s="27"/>
      <c r="GC36" s="27"/>
      <c r="GD36" s="27"/>
      <c r="GE36" s="27"/>
      <c r="GF36" s="33"/>
      <c r="GG36" s="33">
        <f t="shared" si="60"/>
        <v>0</v>
      </c>
      <c r="GH36" s="2674"/>
      <c r="GJ36" s="4">
        <f t="shared" si="61"/>
        <v>5544.63</v>
      </c>
      <c r="GK36" s="64">
        <f t="shared" si="62"/>
        <v>3961.17</v>
      </c>
      <c r="GL36" s="53">
        <f t="shared" si="63"/>
        <v>4752.43</v>
      </c>
      <c r="GM36" s="53">
        <f t="shared" si="64"/>
        <v>14258.23</v>
      </c>
      <c r="GN36" s="141"/>
      <c r="GO36" s="141"/>
      <c r="GP36" s="33"/>
      <c r="GQ36" s="2667"/>
      <c r="GR36" s="152">
        <v>6505.32</v>
      </c>
      <c r="GS36" s="27">
        <v>572.54999999999995</v>
      </c>
      <c r="GT36" s="27">
        <v>3961.46</v>
      </c>
      <c r="GU36" s="27">
        <v>3218.9</v>
      </c>
      <c r="GV36" s="33">
        <f t="shared" si="65"/>
        <v>14258.23</v>
      </c>
      <c r="GW36" s="2667"/>
      <c r="GX36" s="36"/>
      <c r="GY36" s="36"/>
      <c r="GZ36" s="27"/>
      <c r="HA36" s="27"/>
      <c r="HB36" s="27"/>
      <c r="HC36" s="27"/>
      <c r="HD36" s="27"/>
      <c r="HE36" s="27"/>
      <c r="HF36" s="27">
        <v>1653.1</v>
      </c>
      <c r="HG36" s="27"/>
      <c r="HH36" s="27">
        <v>3318.9800000000005</v>
      </c>
      <c r="HI36" s="27"/>
      <c r="HJ36" s="27">
        <v>572.54999999999995</v>
      </c>
      <c r="HK36" s="27"/>
      <c r="HL36" s="28">
        <f t="shared" si="66"/>
        <v>5544.63</v>
      </c>
      <c r="HM36" s="36"/>
      <c r="HN36" s="27"/>
      <c r="HO36" s="27"/>
      <c r="HP36" s="27"/>
      <c r="HQ36" s="27"/>
      <c r="HR36" s="27"/>
      <c r="HS36" s="27"/>
      <c r="HT36" s="27"/>
      <c r="HU36" s="27"/>
      <c r="HV36" s="27"/>
      <c r="HW36" s="27"/>
      <c r="HX36" s="27"/>
      <c r="HY36" s="27"/>
      <c r="HZ36" s="27"/>
      <c r="IA36" s="33">
        <f t="shared" si="67"/>
        <v>0</v>
      </c>
      <c r="IB36" s="52"/>
      <c r="IC36" s="152"/>
      <c r="ID36" s="53"/>
      <c r="IE36" s="53"/>
      <c r="IF36" s="53"/>
      <c r="IG36" s="53"/>
      <c r="IH36" s="53">
        <v>1081.54</v>
      </c>
      <c r="II36" s="53"/>
      <c r="IJ36" s="53">
        <v>2879.63</v>
      </c>
      <c r="IK36" s="53"/>
      <c r="IL36" s="53"/>
      <c r="IM36" s="53"/>
      <c r="IN36" s="53"/>
      <c r="IO36" s="53"/>
      <c r="IP36" s="61">
        <f t="shared" si="68"/>
        <v>3961.17</v>
      </c>
      <c r="IQ36" s="36"/>
      <c r="IR36" s="36"/>
      <c r="IS36" s="27"/>
      <c r="IT36" s="27"/>
      <c r="IU36" s="53"/>
      <c r="IV36" s="27"/>
      <c r="IW36" s="27"/>
      <c r="IX36" s="27"/>
      <c r="IY36" s="27">
        <v>3883.2800000000007</v>
      </c>
      <c r="IZ36" s="27"/>
      <c r="JA36" s="27">
        <v>869.15</v>
      </c>
      <c r="JB36" s="27"/>
      <c r="JC36" s="27"/>
      <c r="JD36" s="27"/>
      <c r="JE36" s="33">
        <f t="shared" si="69"/>
        <v>4752.43</v>
      </c>
      <c r="JF36" s="2667"/>
      <c r="JH36" s="52">
        <v>8028.96</v>
      </c>
      <c r="JI36" s="152">
        <v>6229.2700000000013</v>
      </c>
      <c r="JJ36" s="53"/>
      <c r="JK36" s="53">
        <f t="shared" si="70"/>
        <v>14258.230000000001</v>
      </c>
      <c r="JL36" s="33"/>
      <c r="JM36" s="2669"/>
      <c r="JN36" s="69"/>
      <c r="JO36" s="70"/>
      <c r="JP36" s="70"/>
      <c r="JQ36" s="70"/>
      <c r="JR36" s="70">
        <v>0.90639364318977811</v>
      </c>
      <c r="JS36" s="70">
        <v>9.3606356810221905E-2</v>
      </c>
      <c r="JT36" s="70"/>
      <c r="JU36" s="71"/>
      <c r="JV36" s="69"/>
      <c r="JW36" s="70"/>
      <c r="JX36" s="70"/>
      <c r="JY36" s="70">
        <v>0.17362227034628455</v>
      </c>
      <c r="JZ36" s="70">
        <v>0.15404694290021143</v>
      </c>
      <c r="KA36" s="70">
        <v>0.672330786753504</v>
      </c>
      <c r="KB36" s="70"/>
      <c r="KC36" s="71"/>
      <c r="KD36" s="69"/>
      <c r="KE36" s="70"/>
      <c r="KF36" s="70"/>
      <c r="KG36" s="70"/>
      <c r="KH36" s="70"/>
      <c r="KI36" s="70"/>
      <c r="KJ36" s="70"/>
      <c r="KK36" s="70"/>
      <c r="KL36" s="33"/>
      <c r="KM36" s="2669"/>
      <c r="KN36" s="36">
        <v>7107.7783105864992</v>
      </c>
      <c r="KO36" s="53">
        <v>0.83614779294233366</v>
      </c>
      <c r="KP36" s="53">
        <v>3.2027197835976886</v>
      </c>
      <c r="KQ36" s="53">
        <v>6.4538522070576665</v>
      </c>
      <c r="KR36" s="54">
        <v>13.271782750276651</v>
      </c>
      <c r="KS36" s="4">
        <v>6809.4105869861978</v>
      </c>
      <c r="KT36" s="64">
        <v>1.9287289549522222</v>
      </c>
      <c r="KU36" s="64">
        <v>7.5578628848779008</v>
      </c>
      <c r="KV36" s="64">
        <v>5.5012012740785678</v>
      </c>
      <c r="KW36" s="482">
        <v>8.7647567680873646</v>
      </c>
      <c r="KX36" s="36"/>
      <c r="KY36" s="53"/>
      <c r="KZ36" s="53"/>
      <c r="LA36" s="53"/>
      <c r="LB36" s="53"/>
      <c r="LC36" s="33"/>
      <c r="LD36" s="2669"/>
      <c r="LF36" s="26">
        <f t="shared" si="71"/>
        <v>37660.179499999998</v>
      </c>
      <c r="LG36" s="27">
        <f t="shared" si="72"/>
        <v>5311.7504999999992</v>
      </c>
      <c r="LH36" s="27">
        <f t="shared" si="73"/>
        <v>0</v>
      </c>
      <c r="LI36" s="28">
        <f t="shared" si="74"/>
        <v>42971.93</v>
      </c>
      <c r="LJ36" s="36">
        <v>6</v>
      </c>
      <c r="LK36" s="27">
        <v>1</v>
      </c>
      <c r="LL36" s="27"/>
      <c r="LM36" s="33"/>
      <c r="LN36" s="1041">
        <v>4.62</v>
      </c>
      <c r="LO36" s="857"/>
      <c r="LP36" s="2688"/>
      <c r="LQ36" s="36">
        <v>37660.179499999998</v>
      </c>
      <c r="LR36" s="36">
        <v>5311.7504999999992</v>
      </c>
      <c r="LS36" s="27"/>
      <c r="LT36" s="27"/>
      <c r="LU36" s="27"/>
      <c r="LV36" s="1107">
        <f t="shared" si="75"/>
        <v>42971.93</v>
      </c>
      <c r="LW36" s="36"/>
      <c r="LX36" s="36"/>
      <c r="LY36" s="27"/>
      <c r="LZ36" s="27"/>
      <c r="MA36" s="33"/>
      <c r="MB36" s="28">
        <f t="shared" si="76"/>
        <v>0</v>
      </c>
      <c r="MC36" s="26"/>
      <c r="MD36" s="36"/>
      <c r="ME36" s="27"/>
      <c r="MF36" s="27"/>
      <c r="MG36" s="27"/>
      <c r="MH36" s="28"/>
      <c r="MI36" s="36"/>
      <c r="MJ36" s="36"/>
      <c r="MK36" s="27"/>
      <c r="ML36" s="27"/>
      <c r="MM36" s="27"/>
      <c r="MN36" s="28"/>
      <c r="MO36" s="36"/>
      <c r="MP36" s="36"/>
      <c r="MQ36" s="27"/>
      <c r="MR36" s="27"/>
      <c r="MS36" s="27"/>
      <c r="MT36" s="33">
        <f t="shared" si="77"/>
        <v>0</v>
      </c>
      <c r="MU36" s="2688"/>
      <c r="MW36" s="26">
        <f t="shared" si="78"/>
        <v>81676.886302566418</v>
      </c>
      <c r="MX36" s="27">
        <f t="shared" si="79"/>
        <v>164909.62929571752</v>
      </c>
      <c r="MY36" s="27">
        <f t="shared" si="80"/>
        <v>18938.53560828304</v>
      </c>
      <c r="MZ36" s="28">
        <f t="shared" si="81"/>
        <v>432366.81467809121</v>
      </c>
      <c r="NA36" s="2621"/>
      <c r="NB36" s="23">
        <f t="shared" si="82"/>
        <v>73628.628815183372</v>
      </c>
      <c r="NC36" s="64">
        <f t="shared" si="83"/>
        <v>8048.2574873830481</v>
      </c>
      <c r="ND36" s="60">
        <f t="shared" si="84"/>
        <v>0</v>
      </c>
      <c r="NE36" s="275">
        <f t="shared" si="4"/>
        <v>81676.886302566418</v>
      </c>
      <c r="NF36" s="26">
        <f t="shared" si="170"/>
        <v>0</v>
      </c>
      <c r="NG36" s="27">
        <f t="shared" si="171"/>
        <v>0</v>
      </c>
      <c r="NH36" s="27">
        <f t="shared" si="172"/>
        <v>0</v>
      </c>
      <c r="NI36" s="27">
        <f t="shared" si="175"/>
        <v>0</v>
      </c>
      <c r="NJ36" s="27">
        <f t="shared" si="173"/>
        <v>0</v>
      </c>
      <c r="NK36" s="33">
        <f t="shared" si="174"/>
        <v>0</v>
      </c>
      <c r="NL36" s="27">
        <f t="shared" si="142"/>
        <v>0</v>
      </c>
      <c r="NM36" s="36">
        <f t="shared" si="143"/>
        <v>0</v>
      </c>
      <c r="NN36" s="27">
        <f t="shared" si="144"/>
        <v>47308.216549276003</v>
      </c>
      <c r="NO36" s="27">
        <f t="shared" si="145"/>
        <v>0</v>
      </c>
      <c r="NP36" s="24">
        <f t="shared" si="146"/>
        <v>8756.5482322711578</v>
      </c>
      <c r="NQ36" s="24">
        <f t="shared" si="147"/>
        <v>11775.324585687598</v>
      </c>
      <c r="NR36" s="27">
        <f t="shared" si="0"/>
        <v>67840.089367234759</v>
      </c>
      <c r="NS36" s="27">
        <f t="shared" si="86"/>
        <v>0</v>
      </c>
      <c r="NT36" s="27">
        <f t="shared" si="87"/>
        <v>0</v>
      </c>
      <c r="NU36" s="27">
        <f t="shared" si="88"/>
        <v>0</v>
      </c>
      <c r="NV36" s="27">
        <f t="shared" si="89"/>
        <v>0</v>
      </c>
      <c r="NW36" s="27">
        <f t="shared" si="90"/>
        <v>0</v>
      </c>
      <c r="NX36" s="5">
        <f t="shared" si="91"/>
        <v>0</v>
      </c>
      <c r="NY36" s="27">
        <f t="shared" si="92"/>
        <v>7938.078151907629</v>
      </c>
      <c r="NZ36" s="27">
        <f t="shared" si="93"/>
        <v>0</v>
      </c>
      <c r="OA36" s="27">
        <f t="shared" si="94"/>
        <v>11353.044759987766</v>
      </c>
      <c r="OB36" s="27"/>
      <c r="OC36" s="24">
        <f t="shared" si="95"/>
        <v>3403.7241844007053</v>
      </c>
      <c r="OD36" s="27">
        <f t="shared" si="96"/>
        <v>0</v>
      </c>
      <c r="OE36" s="28">
        <f t="shared" si="1"/>
        <v>22694.8470962961</v>
      </c>
      <c r="OF36" s="27">
        <f t="shared" si="163"/>
        <v>0</v>
      </c>
      <c r="OG36" s="27">
        <f t="shared" si="164"/>
        <v>0</v>
      </c>
      <c r="OH36" s="27">
        <f t="shared" si="169"/>
        <v>0</v>
      </c>
      <c r="OI36" s="27">
        <f t="shared" si="167"/>
        <v>0</v>
      </c>
      <c r="OJ36" s="27">
        <f t="shared" si="167"/>
        <v>0</v>
      </c>
      <c r="OK36" s="27">
        <f t="shared" si="168"/>
        <v>0</v>
      </c>
      <c r="OL36" s="24">
        <f t="shared" si="168"/>
        <v>0</v>
      </c>
      <c r="OM36" s="27">
        <f t="shared" si="154"/>
        <v>0</v>
      </c>
      <c r="ON36" s="24">
        <f t="shared" si="154"/>
        <v>71148.928513777995</v>
      </c>
      <c r="OO36" s="27">
        <f t="shared" si="156"/>
        <v>0</v>
      </c>
      <c r="OP36" s="27">
        <f t="shared" si="157"/>
        <v>3225.7643184086805</v>
      </c>
      <c r="OQ36" s="27">
        <f t="shared" si="158"/>
        <v>0</v>
      </c>
      <c r="OR36" s="28">
        <f t="shared" si="2"/>
        <v>74374.692832186673</v>
      </c>
      <c r="OS36" s="36"/>
      <c r="OT36" s="27"/>
      <c r="OU36" s="27"/>
      <c r="OV36" s="27"/>
      <c r="OW36" s="27"/>
      <c r="OX36" s="27"/>
      <c r="OY36" s="28">
        <f t="shared" si="98"/>
        <v>0</v>
      </c>
      <c r="OZ36" s="36">
        <f t="shared" si="99"/>
        <v>0</v>
      </c>
      <c r="PA36" s="27">
        <f t="shared" si="100"/>
        <v>0</v>
      </c>
      <c r="PB36" s="27">
        <f t="shared" si="101"/>
        <v>0</v>
      </c>
      <c r="PC36" s="27">
        <f t="shared" si="102"/>
        <v>0</v>
      </c>
      <c r="PD36" s="27">
        <f t="shared" si="103"/>
        <v>0</v>
      </c>
      <c r="PE36" s="27">
        <f t="shared" si="104"/>
        <v>0</v>
      </c>
      <c r="PF36" s="33">
        <f t="shared" si="3"/>
        <v>0</v>
      </c>
      <c r="PG36" s="2621"/>
      <c r="PI36" s="1446">
        <v>776.24</v>
      </c>
      <c r="PJ36" s="3">
        <v>216</v>
      </c>
      <c r="PK36" s="3">
        <v>108</v>
      </c>
      <c r="PL36" s="3">
        <f t="shared" si="148"/>
        <v>572.54999999999995</v>
      </c>
      <c r="PM36" s="3">
        <f t="shared" si="149"/>
        <v>3758.8599999999997</v>
      </c>
      <c r="PN36" s="11">
        <f t="shared" si="150"/>
        <v>18938.53560828304</v>
      </c>
      <c r="PO36" s="15"/>
      <c r="PP36" s="2615"/>
      <c r="PR36" s="4"/>
      <c r="PS36" s="9"/>
      <c r="PT36" s="9"/>
      <c r="PU36" s="9"/>
      <c r="PV36" s="9"/>
      <c r="PW36" s="9"/>
      <c r="PX36" s="8">
        <f t="shared" si="105"/>
        <v>0</v>
      </c>
      <c r="PY36" s="5">
        <f t="shared" si="106"/>
        <v>776.24</v>
      </c>
      <c r="PZ36" s="5"/>
      <c r="QA36" s="5"/>
      <c r="QB36" s="5"/>
      <c r="QC36" s="5"/>
      <c r="QD36" s="5"/>
      <c r="QE36" s="12">
        <f t="shared" si="107"/>
        <v>29749.381073161156</v>
      </c>
      <c r="QF36" s="420">
        <f t="shared" si="108"/>
        <v>402617.43360493006</v>
      </c>
      <c r="QG36" s="1106">
        <f t="shared" si="109"/>
        <v>0</v>
      </c>
      <c r="QH36" s="484">
        <f t="shared" si="110"/>
        <v>5505.3678056100007</v>
      </c>
      <c r="QI36" s="12"/>
      <c r="QJ36" s="2615"/>
      <c r="QL36" s="139">
        <f t="shared" si="111"/>
        <v>0</v>
      </c>
      <c r="QM36" s="139" t="str">
        <f t="shared" si="112"/>
        <v/>
      </c>
      <c r="QO36" s="139">
        <f t="shared" si="113"/>
        <v>0</v>
      </c>
      <c r="QP36" s="139">
        <f t="shared" si="114"/>
        <v>0</v>
      </c>
      <c r="QR36" s="1">
        <f t="shared" si="115"/>
        <v>0</v>
      </c>
      <c r="QS36" s="1">
        <f t="shared" si="116"/>
        <v>0</v>
      </c>
      <c r="QT36" s="1">
        <f t="shared" si="117"/>
        <v>0</v>
      </c>
      <c r="QU36" s="1">
        <f t="shared" si="118"/>
        <v>0</v>
      </c>
      <c r="QV36" s="1">
        <f t="shared" si="119"/>
        <v>0</v>
      </c>
      <c r="QW36" s="1">
        <f t="shared" si="120"/>
        <v>0</v>
      </c>
      <c r="QY36" s="1">
        <f t="shared" si="121"/>
        <v>0</v>
      </c>
      <c r="QZ36" s="1">
        <f t="shared" si="122"/>
        <v>0</v>
      </c>
      <c r="RA36" s="1">
        <f t="shared" si="123"/>
        <v>0</v>
      </c>
      <c r="RB36" s="1">
        <f t="shared" si="124"/>
        <v>0</v>
      </c>
      <c r="RC36" s="1">
        <f t="shared" si="125"/>
        <v>0</v>
      </c>
      <c r="RD36" s="1">
        <f t="shared" si="126"/>
        <v>0</v>
      </c>
      <c r="RG36" s="1">
        <v>27</v>
      </c>
      <c r="RH36" s="1">
        <f t="shared" si="160"/>
        <v>-141021.48779028287</v>
      </c>
      <c r="RI36" s="1">
        <f t="shared" si="161"/>
        <v>7134.2947804837231</v>
      </c>
      <c r="RJ36" s="1">
        <f t="shared" si="162"/>
        <v>13404.263703387322</v>
      </c>
      <c r="RK36" s="89">
        <f t="shared" si="5"/>
        <v>-120482.92930641182</v>
      </c>
      <c r="RL36" s="1033">
        <v>27</v>
      </c>
      <c r="RM36" s="1098">
        <f t="shared" si="166"/>
        <v>0</v>
      </c>
      <c r="RN36" s="1098">
        <f t="shared" si="128"/>
        <v>0</v>
      </c>
      <c r="RO36" s="1097">
        <f t="shared" si="129"/>
        <v>0</v>
      </c>
      <c r="RP36" s="1097">
        <f t="shared" si="151"/>
        <v>6635.4800000000005</v>
      </c>
      <c r="RQ36" s="1050"/>
      <c r="RR36" s="1050" t="s">
        <v>726</v>
      </c>
      <c r="RU36" s="421">
        <v>27</v>
      </c>
      <c r="RV36" s="1095">
        <f t="shared" si="130"/>
        <v>14258.23</v>
      </c>
      <c r="RW36" s="1046" t="s">
        <v>727</v>
      </c>
      <c r="RY36" s="1090"/>
      <c r="RZ36" s="1090">
        <f t="shared" si="131"/>
        <v>0</v>
      </c>
      <c r="SA36" s="1090"/>
      <c r="SB36" s="1090">
        <f t="shared" si="132"/>
        <v>0</v>
      </c>
      <c r="SD36" s="1">
        <v>27</v>
      </c>
      <c r="SE36" s="1">
        <f t="shared" si="133"/>
        <v>572.54999999999995</v>
      </c>
      <c r="SF36" s="1094" t="s">
        <v>728</v>
      </c>
    </row>
    <row r="37" spans="1:500" s="1" customFormat="1">
      <c r="B37" s="471">
        <v>28</v>
      </c>
      <c r="C37" s="4">
        <f t="shared" si="6"/>
        <v>147552</v>
      </c>
      <c r="D37" s="64">
        <f t="shared" si="134"/>
        <v>9753.7999999999993</v>
      </c>
      <c r="E37" s="61">
        <f t="shared" si="7"/>
        <v>15.127642559822839</v>
      </c>
      <c r="F37" s="870"/>
      <c r="G37" s="870"/>
      <c r="H37" s="52">
        <v>8</v>
      </c>
      <c r="I37" s="61">
        <v>2.5299999999999998</v>
      </c>
      <c r="J37" s="52"/>
      <c r="K37" s="54"/>
      <c r="L37" s="52"/>
      <c r="M37" s="61"/>
      <c r="N37" s="2629"/>
      <c r="O37" s="4">
        <f t="shared" si="8"/>
        <v>85638</v>
      </c>
      <c r="P37" s="5">
        <f t="shared" si="9"/>
        <v>5042.8600000000006</v>
      </c>
      <c r="Q37" s="64">
        <f t="shared" si="10"/>
        <v>16.98203003850989</v>
      </c>
      <c r="R37" s="33"/>
      <c r="S37" s="26">
        <f t="shared" si="11"/>
        <v>29713</v>
      </c>
      <c r="T37" s="27">
        <f t="shared" si="12"/>
        <v>2370.9399999999996</v>
      </c>
      <c r="U37" s="53">
        <f t="shared" si="13"/>
        <v>12.532160240242268</v>
      </c>
      <c r="V37" s="28"/>
      <c r="W37" s="26">
        <f t="shared" si="14"/>
        <v>32201</v>
      </c>
      <c r="X37" s="5">
        <f t="shared" si="15"/>
        <v>2340</v>
      </c>
      <c r="Y37" s="53">
        <f t="shared" si="16"/>
        <v>13.761111111111111</v>
      </c>
      <c r="Z37" s="33"/>
      <c r="AA37" s="26">
        <f t="shared" si="17"/>
        <v>0</v>
      </c>
      <c r="AB37" s="27">
        <f t="shared" si="18"/>
        <v>0</v>
      </c>
      <c r="AC37" s="53">
        <f t="shared" si="19"/>
        <v>0</v>
      </c>
      <c r="AD37" s="28"/>
      <c r="AE37" s="36"/>
      <c r="AF37" s="36"/>
      <c r="AG37" s="53">
        <f t="shared" si="20"/>
        <v>0</v>
      </c>
      <c r="AH37" s="28"/>
      <c r="AI37" s="26"/>
      <c r="AJ37" s="27"/>
      <c r="AK37" s="53">
        <f t="shared" si="21"/>
        <v>0</v>
      </c>
      <c r="AL37" s="28"/>
      <c r="AM37" s="2629"/>
      <c r="AN37" s="9"/>
      <c r="AO37" s="5"/>
      <c r="AP37" s="61">
        <f t="shared" si="22"/>
        <v>0</v>
      </c>
      <c r="AQ37" s="36"/>
      <c r="AR37" s="53"/>
      <c r="AS37" s="61">
        <f t="shared" si="23"/>
        <v>0</v>
      </c>
      <c r="AT37" s="36"/>
      <c r="AU37" s="27"/>
      <c r="AV37" s="61">
        <f t="shared" si="24"/>
        <v>0</v>
      </c>
      <c r="AW37" s="36">
        <v>49266</v>
      </c>
      <c r="AX37" s="27">
        <v>2974.5200000000004</v>
      </c>
      <c r="AY37" s="61">
        <f t="shared" si="25"/>
        <v>16.562672296706694</v>
      </c>
      <c r="AZ37" s="36"/>
      <c r="BA37" s="27"/>
      <c r="BB37" s="61">
        <f t="shared" si="26"/>
        <v>0</v>
      </c>
      <c r="BC37" s="36">
        <v>36372</v>
      </c>
      <c r="BD37" s="27">
        <v>2068.3399999999997</v>
      </c>
      <c r="BE37" s="61">
        <f t="shared" si="27"/>
        <v>17.585116566908731</v>
      </c>
      <c r="BF37" s="36"/>
      <c r="BG37" s="53"/>
      <c r="BH37" s="61">
        <f t="shared" si="28"/>
        <v>0</v>
      </c>
      <c r="BI37" s="36">
        <v>0</v>
      </c>
      <c r="BJ37" s="53">
        <v>0</v>
      </c>
      <c r="BK37" s="61">
        <f t="shared" si="29"/>
        <v>0</v>
      </c>
      <c r="BL37" s="52">
        <v>29713</v>
      </c>
      <c r="BM37" s="53">
        <v>2370.9399999999996</v>
      </c>
      <c r="BN37" s="61">
        <f t="shared" si="30"/>
        <v>12.532160240242268</v>
      </c>
      <c r="BO37" s="9">
        <v>0</v>
      </c>
      <c r="BP37" s="64">
        <v>0</v>
      </c>
      <c r="BQ37" s="61">
        <f t="shared" si="31"/>
        <v>0</v>
      </c>
      <c r="BR37" s="36"/>
      <c r="BS37" s="53"/>
      <c r="BT37" s="61">
        <f t="shared" si="32"/>
        <v>0</v>
      </c>
      <c r="BU37" s="36">
        <v>32201</v>
      </c>
      <c r="BV37" s="5">
        <v>2340</v>
      </c>
      <c r="BW37" s="28">
        <f t="shared" si="33"/>
        <v>13.761111111111111</v>
      </c>
      <c r="BX37" s="26"/>
      <c r="BY37" s="5"/>
      <c r="BZ37" s="61">
        <f t="shared" si="34"/>
        <v>0</v>
      </c>
      <c r="CA37" s="36"/>
      <c r="CB37" s="5"/>
      <c r="CC37" s="61">
        <f t="shared" si="35"/>
        <v>0</v>
      </c>
      <c r="CD37" s="26"/>
      <c r="CE37" s="5"/>
      <c r="CF37" s="28">
        <f t="shared" si="36"/>
        <v>0</v>
      </c>
      <c r="CG37" s="150"/>
      <c r="CH37" s="1108">
        <v>928</v>
      </c>
      <c r="CI37" s="5">
        <v>0</v>
      </c>
      <c r="CJ37" s="5">
        <v>0</v>
      </c>
      <c r="CK37" s="5">
        <v>10410</v>
      </c>
      <c r="CL37" s="5"/>
      <c r="CM37" s="5">
        <f t="shared" si="135"/>
        <v>11338</v>
      </c>
      <c r="CN37" s="33"/>
      <c r="CO37" s="366"/>
      <c r="CQ37" s="4">
        <f t="shared" si="37"/>
        <v>0</v>
      </c>
      <c r="CR37" s="9">
        <f t="shared" si="38"/>
        <v>0</v>
      </c>
      <c r="CS37" s="5">
        <f t="shared" si="39"/>
        <v>0</v>
      </c>
      <c r="CT37" s="5">
        <f t="shared" si="40"/>
        <v>0</v>
      </c>
      <c r="CU37" s="5">
        <f t="shared" si="41"/>
        <v>0</v>
      </c>
      <c r="CV37" s="5">
        <f t="shared" si="42"/>
        <v>0</v>
      </c>
      <c r="CW37" s="5">
        <f t="shared" si="43"/>
        <v>528.6</v>
      </c>
      <c r="CX37" s="5">
        <f t="shared" si="44"/>
        <v>0</v>
      </c>
      <c r="CY37" s="5">
        <f t="shared" si="45"/>
        <v>7156.8600000000006</v>
      </c>
      <c r="CZ37" s="5">
        <f t="shared" si="46"/>
        <v>0</v>
      </c>
      <c r="DA37" s="5">
        <f t="shared" si="47"/>
        <v>2068.3399999999997</v>
      </c>
      <c r="DB37" s="12">
        <f t="shared" si="48"/>
        <v>0</v>
      </c>
      <c r="DC37" s="310">
        <f>SUM(CQ37:DB37,PV37,PW37)</f>
        <v>9753.8000000000011</v>
      </c>
      <c r="DD37" s="2695"/>
      <c r="DE37" s="9"/>
      <c r="DF37" s="9"/>
      <c r="DG37" s="5"/>
      <c r="DH37" s="5"/>
      <c r="DI37" s="5"/>
      <c r="DJ37" s="5"/>
      <c r="DK37" s="5">
        <v>528.6</v>
      </c>
      <c r="DL37" s="5"/>
      <c r="DM37" s="5">
        <v>2445.92</v>
      </c>
      <c r="DN37" s="5"/>
      <c r="DO37" s="5"/>
      <c r="DP37" s="12"/>
      <c r="DQ37" s="61">
        <f t="shared" si="50"/>
        <v>2974.52</v>
      </c>
      <c r="DR37" s="36"/>
      <c r="DS37" s="36"/>
      <c r="DT37" s="27"/>
      <c r="DU37" s="27"/>
      <c r="DV37" s="27"/>
      <c r="DW37" s="27"/>
      <c r="DX37" s="27"/>
      <c r="DY37" s="27"/>
      <c r="DZ37" s="27">
        <v>2370.94</v>
      </c>
      <c r="EA37" s="27"/>
      <c r="EB37" s="27">
        <v>2068.3399999999997</v>
      </c>
      <c r="EC37" s="33"/>
      <c r="ED37" s="61">
        <f t="shared" si="51"/>
        <v>4439.28</v>
      </c>
      <c r="EE37" s="9"/>
      <c r="EF37" s="36"/>
      <c r="EG37" s="27"/>
      <c r="EH37" s="27"/>
      <c r="EI37" s="27"/>
      <c r="EJ37" s="27"/>
      <c r="EK37" s="27"/>
      <c r="EL37" s="27"/>
      <c r="EM37" s="27">
        <v>2340</v>
      </c>
      <c r="EN37" s="27"/>
      <c r="EO37" s="27"/>
      <c r="EP37" s="33"/>
      <c r="EQ37" s="28">
        <f t="shared" si="52"/>
        <v>2340</v>
      </c>
      <c r="ER37" s="36"/>
      <c r="ES37" s="27"/>
      <c r="ET37" s="27"/>
      <c r="EU37" s="27"/>
      <c r="EV37" s="27"/>
      <c r="EW37" s="27"/>
      <c r="EX37" s="33">
        <f t="shared" si="53"/>
        <v>0</v>
      </c>
      <c r="EY37" s="2685"/>
      <c r="FA37" s="4">
        <f t="shared" si="54"/>
        <v>0</v>
      </c>
      <c r="FB37" s="5">
        <f t="shared" si="55"/>
        <v>0</v>
      </c>
      <c r="FC37" s="5">
        <f t="shared" si="56"/>
        <v>0</v>
      </c>
      <c r="FD37" s="12">
        <f t="shared" si="57"/>
        <v>0</v>
      </c>
      <c r="FE37" s="33"/>
      <c r="FF37" s="2674"/>
      <c r="FG37" s="9"/>
      <c r="FH37" s="5"/>
      <c r="FI37" s="5"/>
      <c r="FJ37" s="5"/>
      <c r="FK37" s="5"/>
      <c r="FL37" s="27"/>
      <c r="FM37" s="28">
        <f t="shared" si="58"/>
        <v>0</v>
      </c>
      <c r="FN37" s="36"/>
      <c r="FO37" s="27"/>
      <c r="FP37" s="27"/>
      <c r="FQ37" s="27"/>
      <c r="FR37" s="27"/>
      <c r="FS37" s="27"/>
      <c r="FT37" s="28">
        <f t="shared" si="59"/>
        <v>0</v>
      </c>
      <c r="FU37" s="36"/>
      <c r="FV37" s="36"/>
      <c r="FW37" s="27"/>
      <c r="FX37" s="27"/>
      <c r="FY37" s="27"/>
      <c r="FZ37" s="27"/>
      <c r="GA37" s="27"/>
      <c r="GB37" s="27"/>
      <c r="GC37" s="27"/>
      <c r="GD37" s="27"/>
      <c r="GE37" s="27"/>
      <c r="GF37" s="33"/>
      <c r="GG37" s="33">
        <f t="shared" si="60"/>
        <v>0</v>
      </c>
      <c r="GH37" s="2674"/>
      <c r="GJ37" s="4">
        <f t="shared" si="61"/>
        <v>2877.9999999999995</v>
      </c>
      <c r="GK37" s="64">
        <f t="shared" si="62"/>
        <v>3798.8100000000004</v>
      </c>
      <c r="GL37" s="53">
        <f t="shared" si="63"/>
        <v>6959.31</v>
      </c>
      <c r="GM37" s="53">
        <f t="shared" si="64"/>
        <v>13636.119999999999</v>
      </c>
      <c r="GN37" s="141"/>
      <c r="GO37" s="141"/>
      <c r="GP37" s="33"/>
      <c r="GQ37" s="2667"/>
      <c r="GR37" s="152">
        <v>7427</v>
      </c>
      <c r="GS37" s="27"/>
      <c r="GT37" s="27">
        <v>3248.0399999999995</v>
      </c>
      <c r="GU37" s="27">
        <v>2961.08</v>
      </c>
      <c r="GV37" s="33">
        <f t="shared" si="65"/>
        <v>13636.119999999999</v>
      </c>
      <c r="GW37" s="2667"/>
      <c r="GX37" s="36"/>
      <c r="GY37" s="36"/>
      <c r="GZ37" s="27"/>
      <c r="HA37" s="27"/>
      <c r="HB37" s="27"/>
      <c r="HC37" s="27"/>
      <c r="HD37" s="27"/>
      <c r="HE37" s="27"/>
      <c r="HF37" s="27">
        <v>2877.9999999999995</v>
      </c>
      <c r="HG37" s="27"/>
      <c r="HH37" s="27"/>
      <c r="HI37" s="27"/>
      <c r="HJ37" s="27"/>
      <c r="HK37" s="27"/>
      <c r="HL37" s="28">
        <f t="shared" si="66"/>
        <v>2877.9999999999995</v>
      </c>
      <c r="HM37" s="36"/>
      <c r="HN37" s="27"/>
      <c r="HO37" s="27"/>
      <c r="HP37" s="27"/>
      <c r="HQ37" s="27"/>
      <c r="HR37" s="27"/>
      <c r="HS37" s="27"/>
      <c r="HT37" s="27"/>
      <c r="HU37" s="27"/>
      <c r="HV37" s="27"/>
      <c r="HW37" s="27"/>
      <c r="HX37" s="27"/>
      <c r="HY37" s="27"/>
      <c r="HZ37" s="27"/>
      <c r="IA37" s="33">
        <f t="shared" si="67"/>
        <v>0</v>
      </c>
      <c r="IB37" s="52"/>
      <c r="IC37" s="152"/>
      <c r="ID37" s="53"/>
      <c r="IE37" s="53"/>
      <c r="IF37" s="53"/>
      <c r="IG37" s="53"/>
      <c r="IH37" s="53"/>
      <c r="II37" s="53"/>
      <c r="IJ37" s="53">
        <v>3798.8100000000004</v>
      </c>
      <c r="IK37" s="53"/>
      <c r="IL37" s="53"/>
      <c r="IM37" s="53"/>
      <c r="IN37" s="53"/>
      <c r="IO37" s="53"/>
      <c r="IP37" s="61">
        <f t="shared" si="68"/>
        <v>3798.8100000000004</v>
      </c>
      <c r="IQ37" s="36"/>
      <c r="IR37" s="36"/>
      <c r="IS37" s="27"/>
      <c r="IT37" s="27"/>
      <c r="IU37" s="53"/>
      <c r="IV37" s="27"/>
      <c r="IW37" s="27"/>
      <c r="IX37" s="27"/>
      <c r="IY37" s="27">
        <v>6959.31</v>
      </c>
      <c r="IZ37" s="27"/>
      <c r="JA37" s="27"/>
      <c r="JB37" s="27"/>
      <c r="JC37" s="27"/>
      <c r="JD37" s="27"/>
      <c r="JE37" s="33">
        <f t="shared" si="69"/>
        <v>6959.31</v>
      </c>
      <c r="JF37" s="2667"/>
      <c r="JH37" s="52">
        <v>13636.119999999999</v>
      </c>
      <c r="JI37" s="152"/>
      <c r="JJ37" s="53"/>
      <c r="JK37" s="53">
        <f t="shared" si="70"/>
        <v>13636.119999999999</v>
      </c>
      <c r="JL37" s="33"/>
      <c r="JM37" s="2669"/>
      <c r="JN37" s="69"/>
      <c r="JO37" s="70"/>
      <c r="JP37" s="70"/>
      <c r="JQ37" s="70"/>
      <c r="JR37" s="70">
        <v>1</v>
      </c>
      <c r="JS37" s="70"/>
      <c r="JT37" s="70"/>
      <c r="JU37" s="71"/>
      <c r="JV37" s="69"/>
      <c r="JW37" s="70"/>
      <c r="JX37" s="70"/>
      <c r="JY37" s="70"/>
      <c r="JZ37" s="70"/>
      <c r="KA37" s="53"/>
      <c r="KB37" s="70"/>
      <c r="KC37" s="71"/>
      <c r="KD37" s="69"/>
      <c r="KE37" s="70"/>
      <c r="KF37" s="70"/>
      <c r="KG37" s="70"/>
      <c r="KH37" s="70"/>
      <c r="KI37" s="70"/>
      <c r="KJ37" s="70"/>
      <c r="KK37" s="70"/>
      <c r="KL37" s="33"/>
      <c r="KM37" s="2669"/>
      <c r="KN37" s="36">
        <v>6984.9905134332685</v>
      </c>
      <c r="KO37" s="53">
        <v>0.70632992975595621</v>
      </c>
      <c r="KP37" s="53">
        <v>4.161230357013542</v>
      </c>
      <c r="KQ37" s="53">
        <v>7.0401158664639008</v>
      </c>
      <c r="KR37" s="54">
        <v>12.33944106133681</v>
      </c>
      <c r="KS37" s="4">
        <v>0</v>
      </c>
      <c r="KT37" s="64">
        <v>0</v>
      </c>
      <c r="KU37" s="64">
        <v>0</v>
      </c>
      <c r="KV37" s="64">
        <v>0</v>
      </c>
      <c r="KW37" s="482">
        <v>0</v>
      </c>
      <c r="KX37" s="36"/>
      <c r="KY37" s="53"/>
      <c r="KZ37" s="53"/>
      <c r="LA37" s="53"/>
      <c r="LB37" s="53"/>
      <c r="LC37" s="33"/>
      <c r="LD37" s="2669"/>
      <c r="LF37" s="26">
        <f t="shared" si="71"/>
        <v>7564.65</v>
      </c>
      <c r="LG37" s="27">
        <f t="shared" si="72"/>
        <v>0</v>
      </c>
      <c r="LH37" s="27">
        <f t="shared" si="73"/>
        <v>0</v>
      </c>
      <c r="LI37" s="28">
        <f t="shared" si="74"/>
        <v>7564.65</v>
      </c>
      <c r="LJ37" s="36">
        <v>1</v>
      </c>
      <c r="LK37" s="27"/>
      <c r="LL37" s="27"/>
      <c r="LM37" s="33"/>
      <c r="LN37" s="1041">
        <v>4.68</v>
      </c>
      <c r="LO37" s="486"/>
      <c r="LP37" s="2688"/>
      <c r="LQ37" s="26">
        <v>7564.65</v>
      </c>
      <c r="LR37" s="36"/>
      <c r="LS37" s="27"/>
      <c r="LT37" s="27"/>
      <c r="LU37" s="27"/>
      <c r="LV37" s="1107">
        <f t="shared" si="75"/>
        <v>7564.65</v>
      </c>
      <c r="LW37" s="36"/>
      <c r="LX37" s="36"/>
      <c r="LY37" s="27"/>
      <c r="LZ37" s="27"/>
      <c r="MA37" s="33"/>
      <c r="MB37" s="28">
        <f t="shared" si="76"/>
        <v>0</v>
      </c>
      <c r="MC37" s="26"/>
      <c r="MD37" s="36"/>
      <c r="ME37" s="27"/>
      <c r="MF37" s="27"/>
      <c r="MG37" s="27"/>
      <c r="MH37" s="28"/>
      <c r="MI37" s="36"/>
      <c r="MJ37" s="36"/>
      <c r="MK37" s="27"/>
      <c r="ML37" s="27"/>
      <c r="MM37" s="27"/>
      <c r="MN37" s="28"/>
      <c r="MO37" s="36"/>
      <c r="MP37" s="36"/>
      <c r="MQ37" s="27"/>
      <c r="MR37" s="27"/>
      <c r="MS37" s="27"/>
      <c r="MT37" s="33">
        <f t="shared" si="77"/>
        <v>0</v>
      </c>
      <c r="MU37" s="2688"/>
      <c r="MW37" s="26">
        <f t="shared" si="78"/>
        <v>87748.356302566419</v>
      </c>
      <c r="MX37" s="27">
        <f t="shared" si="79"/>
        <v>161027.30929571754</v>
      </c>
      <c r="MY37" s="27">
        <f t="shared" si="80"/>
        <v>18938.53560828304</v>
      </c>
      <c r="MZ37" s="28">
        <f t="shared" si="81"/>
        <v>432326.35467809119</v>
      </c>
      <c r="NA37" s="2621"/>
      <c r="NB37" s="23">
        <f t="shared" si="82"/>
        <v>79700.098815183374</v>
      </c>
      <c r="NC37" s="64">
        <f t="shared" si="83"/>
        <v>8048.2574873830481</v>
      </c>
      <c r="ND37" s="60">
        <f t="shared" si="84"/>
        <v>0</v>
      </c>
      <c r="NE37" s="275">
        <f t="shared" si="4"/>
        <v>87748.356302566419</v>
      </c>
      <c r="NF37" s="26">
        <f t="shared" si="170"/>
        <v>0</v>
      </c>
      <c r="NG37" s="27">
        <f t="shared" si="171"/>
        <v>0</v>
      </c>
      <c r="NH37" s="27">
        <f t="shared" si="172"/>
        <v>0</v>
      </c>
      <c r="NI37" s="27">
        <f t="shared" si="175"/>
        <v>0</v>
      </c>
      <c r="NJ37" s="27">
        <f t="shared" si="173"/>
        <v>0</v>
      </c>
      <c r="NK37" s="33">
        <f t="shared" si="174"/>
        <v>0</v>
      </c>
      <c r="NL37" s="27">
        <f t="shared" si="142"/>
        <v>0</v>
      </c>
      <c r="NM37" s="152">
        <f t="shared" si="143"/>
        <v>0</v>
      </c>
      <c r="NN37" s="27">
        <f t="shared" si="144"/>
        <v>46770.216549276003</v>
      </c>
      <c r="NO37" s="27">
        <f t="shared" si="145"/>
        <v>0</v>
      </c>
      <c r="NP37" s="24">
        <f t="shared" si="146"/>
        <v>8756.5482322711578</v>
      </c>
      <c r="NQ37" s="24">
        <f t="shared" si="147"/>
        <v>11775.324585687598</v>
      </c>
      <c r="NR37" s="27">
        <f t="shared" si="0"/>
        <v>67302.089367234759</v>
      </c>
      <c r="NS37" s="27">
        <f t="shared" si="86"/>
        <v>0</v>
      </c>
      <c r="NT37" s="27">
        <f t="shared" si="87"/>
        <v>0</v>
      </c>
      <c r="NU37" s="27">
        <f t="shared" si="88"/>
        <v>0</v>
      </c>
      <c r="NV37" s="27">
        <f t="shared" si="89"/>
        <v>0</v>
      </c>
      <c r="NW37" s="27">
        <f t="shared" si="90"/>
        <v>0</v>
      </c>
      <c r="NX37" s="5">
        <f t="shared" si="91"/>
        <v>0</v>
      </c>
      <c r="NY37" s="27">
        <f t="shared" si="92"/>
        <v>8466.6781519076285</v>
      </c>
      <c r="NZ37" s="27">
        <f t="shared" si="93"/>
        <v>0</v>
      </c>
      <c r="OA37" s="27">
        <f t="shared" si="94"/>
        <v>10000.154759987767</v>
      </c>
      <c r="OB37" s="27"/>
      <c r="OC37" s="24">
        <f t="shared" si="95"/>
        <v>3403.7241844007053</v>
      </c>
      <c r="OD37" s="27">
        <f t="shared" si="96"/>
        <v>0</v>
      </c>
      <c r="OE37" s="28">
        <f t="shared" si="1"/>
        <v>21870.557096296099</v>
      </c>
      <c r="OF37" s="27">
        <f t="shared" si="163"/>
        <v>0</v>
      </c>
      <c r="OG37" s="27">
        <f t="shared" si="164"/>
        <v>0</v>
      </c>
      <c r="OH37" s="27">
        <f t="shared" si="169"/>
        <v>0</v>
      </c>
      <c r="OI37" s="27">
        <f t="shared" si="167"/>
        <v>0</v>
      </c>
      <c r="OJ37" s="27">
        <f t="shared" si="167"/>
        <v>0</v>
      </c>
      <c r="OK37" s="27">
        <f t="shared" si="168"/>
        <v>0</v>
      </c>
      <c r="OL37" s="24">
        <f t="shared" si="168"/>
        <v>0</v>
      </c>
      <c r="OM37" s="27">
        <f t="shared" si="154"/>
        <v>0</v>
      </c>
      <c r="ON37" s="24">
        <f t="shared" si="154"/>
        <v>66560.558513778</v>
      </c>
      <c r="OO37" s="27">
        <f t="shared" si="156"/>
        <v>0</v>
      </c>
      <c r="OP37" s="27">
        <f t="shared" si="157"/>
        <v>5294.1043184086802</v>
      </c>
      <c r="OQ37" s="27">
        <f t="shared" si="158"/>
        <v>0</v>
      </c>
      <c r="OR37" s="28">
        <f t="shared" si="2"/>
        <v>71854.662832186674</v>
      </c>
      <c r="OS37" s="36"/>
      <c r="OT37" s="27"/>
      <c r="OU37" s="27"/>
      <c r="OV37" s="27"/>
      <c r="OW37" s="27"/>
      <c r="OX37" s="27"/>
      <c r="OY37" s="28">
        <f t="shared" si="98"/>
        <v>0</v>
      </c>
      <c r="OZ37" s="36">
        <f t="shared" si="99"/>
        <v>0</v>
      </c>
      <c r="PA37" s="27">
        <f t="shared" si="100"/>
        <v>0</v>
      </c>
      <c r="PB37" s="27">
        <f t="shared" si="101"/>
        <v>0</v>
      </c>
      <c r="PC37" s="27">
        <f t="shared" si="102"/>
        <v>0</v>
      </c>
      <c r="PD37" s="27">
        <f t="shared" si="103"/>
        <v>0</v>
      </c>
      <c r="PE37" s="27">
        <f t="shared" si="104"/>
        <v>0</v>
      </c>
      <c r="PF37" s="33">
        <f t="shared" si="3"/>
        <v>0</v>
      </c>
      <c r="PG37" s="2621"/>
      <c r="PI37" s="2">
        <v>40.46</v>
      </c>
      <c r="PJ37" s="3">
        <v>0</v>
      </c>
      <c r="PK37" s="3">
        <v>0</v>
      </c>
      <c r="PL37" s="3">
        <f t="shared" si="148"/>
        <v>0</v>
      </c>
      <c r="PM37" s="3">
        <f t="shared" si="149"/>
        <v>3799.3199999999997</v>
      </c>
      <c r="PN37" s="11">
        <f t="shared" si="150"/>
        <v>18938.53560828304</v>
      </c>
      <c r="PO37" s="15"/>
      <c r="PP37" s="2615"/>
      <c r="PR37" s="4"/>
      <c r="PS37" s="9"/>
      <c r="PT37" s="9"/>
      <c r="PU37" s="9"/>
      <c r="PV37" s="9"/>
      <c r="PW37" s="9"/>
      <c r="PX37" s="8">
        <f t="shared" si="105"/>
        <v>0</v>
      </c>
      <c r="PY37" s="5">
        <f t="shared" si="106"/>
        <v>40.46</v>
      </c>
      <c r="PZ37" s="5"/>
      <c r="QA37" s="5"/>
      <c r="QB37" s="5"/>
      <c r="QC37" s="5"/>
      <c r="QD37" s="5"/>
      <c r="QE37" s="12">
        <f t="shared" si="107"/>
        <v>29749.381073161156</v>
      </c>
      <c r="QF37" s="420">
        <f t="shared" si="108"/>
        <v>402576.97360493004</v>
      </c>
      <c r="QG37" s="1106">
        <f t="shared" si="109"/>
        <v>0</v>
      </c>
      <c r="QH37" s="484">
        <f t="shared" si="110"/>
        <v>5505.3678056100007</v>
      </c>
      <c r="QI37" s="12"/>
      <c r="QJ37" s="2615"/>
      <c r="QL37" s="139">
        <f t="shared" si="111"/>
        <v>0</v>
      </c>
      <c r="QM37" s="139" t="str">
        <f t="shared" si="112"/>
        <v/>
      </c>
      <c r="QO37" s="139">
        <f t="shared" si="113"/>
        <v>0</v>
      </c>
      <c r="QP37" s="139">
        <f t="shared" si="114"/>
        <v>0</v>
      </c>
      <c r="QR37" s="1">
        <f t="shared" si="115"/>
        <v>0</v>
      </c>
      <c r="QS37" s="1">
        <f t="shared" si="116"/>
        <v>0</v>
      </c>
      <c r="QT37" s="1">
        <f t="shared" si="117"/>
        <v>0</v>
      </c>
      <c r="QU37" s="1">
        <f t="shared" si="118"/>
        <v>0</v>
      </c>
      <c r="QV37" s="1">
        <f t="shared" si="119"/>
        <v>0</v>
      </c>
      <c r="QW37" s="1">
        <f t="shared" si="120"/>
        <v>0</v>
      </c>
      <c r="QY37" s="1">
        <f t="shared" si="121"/>
        <v>0</v>
      </c>
      <c r="QZ37" s="1">
        <f t="shared" si="122"/>
        <v>0</v>
      </c>
      <c r="RA37" s="1">
        <f t="shared" si="123"/>
        <v>0</v>
      </c>
      <c r="RB37" s="1">
        <f t="shared" si="124"/>
        <v>0</v>
      </c>
      <c r="RC37" s="1">
        <f t="shared" si="125"/>
        <v>0</v>
      </c>
      <c r="RD37" s="1">
        <f t="shared" si="126"/>
        <v>0</v>
      </c>
      <c r="RG37" s="1">
        <v>28</v>
      </c>
      <c r="RH37" s="1">
        <f t="shared" si="160"/>
        <v>-134950.01779028287</v>
      </c>
      <c r="RI37" s="1">
        <f t="shared" si="161"/>
        <v>7134.2947804837231</v>
      </c>
      <c r="RJ37" s="1">
        <f t="shared" si="162"/>
        <v>13404.263703387322</v>
      </c>
      <c r="RK37" s="89">
        <f t="shared" si="5"/>
        <v>-114411.45930641184</v>
      </c>
      <c r="RL37" s="1033">
        <v>28</v>
      </c>
      <c r="RM37" s="1098">
        <f t="shared" si="166"/>
        <v>0</v>
      </c>
      <c r="RN37" s="1098">
        <f t="shared" si="128"/>
        <v>0</v>
      </c>
      <c r="RO37" s="1097">
        <f t="shared" si="129"/>
        <v>0</v>
      </c>
      <c r="RP37" s="1097">
        <f t="shared" si="151"/>
        <v>7413.7999999999993</v>
      </c>
      <c r="RQ37" s="1046"/>
      <c r="RR37" s="1046" t="s">
        <v>729</v>
      </c>
      <c r="RU37" s="421">
        <v>28</v>
      </c>
      <c r="RV37" s="1095">
        <f t="shared" si="130"/>
        <v>13636.119999999999</v>
      </c>
      <c r="RW37" s="1050" t="s">
        <v>730</v>
      </c>
      <c r="RX37" s="1048"/>
      <c r="RY37" s="1090"/>
      <c r="RZ37" s="1090">
        <f t="shared" si="131"/>
        <v>0</v>
      </c>
      <c r="SA37" s="1090"/>
      <c r="SB37" s="1090">
        <f t="shared" si="132"/>
        <v>0</v>
      </c>
      <c r="SD37" s="1">
        <v>28</v>
      </c>
      <c r="SE37" s="1">
        <f t="shared" si="133"/>
        <v>0</v>
      </c>
    </row>
    <row r="38" spans="1:500" s="1" customFormat="1">
      <c r="B38" s="471">
        <v>29</v>
      </c>
      <c r="C38" s="4">
        <f t="shared" si="6"/>
        <v>106523</v>
      </c>
      <c r="D38" s="64">
        <f t="shared" si="134"/>
        <v>6000.16</v>
      </c>
      <c r="E38" s="61">
        <f t="shared" si="7"/>
        <v>17.753359910402391</v>
      </c>
      <c r="F38" s="870"/>
      <c r="G38" s="870"/>
      <c r="H38" s="52">
        <v>25</v>
      </c>
      <c r="I38" s="61">
        <v>7.25</v>
      </c>
      <c r="J38" s="52"/>
      <c r="K38" s="54"/>
      <c r="L38" s="52">
        <v>4.5</v>
      </c>
      <c r="M38" s="61">
        <v>5.48</v>
      </c>
      <c r="N38" s="2629"/>
      <c r="O38" s="4">
        <f t="shared" si="8"/>
        <v>60102</v>
      </c>
      <c r="P38" s="5">
        <f t="shared" si="9"/>
        <v>2762.7799999999997</v>
      </c>
      <c r="Q38" s="64">
        <f t="shared" si="10"/>
        <v>21.754175142429006</v>
      </c>
      <c r="R38" s="33"/>
      <c r="S38" s="26">
        <f t="shared" si="11"/>
        <v>20409</v>
      </c>
      <c r="T38" s="27">
        <f t="shared" si="12"/>
        <v>1517.3799999999999</v>
      </c>
      <c r="U38" s="53">
        <f t="shared" si="13"/>
        <v>13.450157508336739</v>
      </c>
      <c r="V38" s="28"/>
      <c r="W38" s="26">
        <f t="shared" si="14"/>
        <v>26012</v>
      </c>
      <c r="X38" s="5">
        <f t="shared" si="15"/>
        <v>1720</v>
      </c>
      <c r="Y38" s="53">
        <f t="shared" si="16"/>
        <v>15.123255813953488</v>
      </c>
      <c r="Z38" s="33"/>
      <c r="AA38" s="26">
        <f t="shared" si="17"/>
        <v>0</v>
      </c>
      <c r="AB38" s="27">
        <f t="shared" si="18"/>
        <v>0</v>
      </c>
      <c r="AC38" s="53">
        <f t="shared" si="19"/>
        <v>0</v>
      </c>
      <c r="AD38" s="28"/>
      <c r="AE38" s="36"/>
      <c r="AF38" s="36"/>
      <c r="AG38" s="53">
        <f t="shared" si="20"/>
        <v>0</v>
      </c>
      <c r="AH38" s="28"/>
      <c r="AI38" s="23"/>
      <c r="AJ38" s="27"/>
      <c r="AK38" s="53">
        <f t="shared" si="21"/>
        <v>0</v>
      </c>
      <c r="AL38" s="28"/>
      <c r="AM38" s="2629"/>
      <c r="AN38" s="9"/>
      <c r="AO38" s="5"/>
      <c r="AP38" s="61">
        <f t="shared" si="22"/>
        <v>0</v>
      </c>
      <c r="AQ38" s="36"/>
      <c r="AR38" s="53"/>
      <c r="AS38" s="61">
        <f t="shared" si="23"/>
        <v>0</v>
      </c>
      <c r="AT38" s="36"/>
      <c r="AU38" s="27"/>
      <c r="AV38" s="61">
        <f t="shared" si="24"/>
        <v>0</v>
      </c>
      <c r="AW38" s="36">
        <v>29106</v>
      </c>
      <c r="AX38" s="27">
        <v>1237.2599999999998</v>
      </c>
      <c r="AY38" s="61">
        <f t="shared" si="25"/>
        <v>23.524562339362792</v>
      </c>
      <c r="AZ38" s="36"/>
      <c r="BA38" s="27"/>
      <c r="BB38" s="61">
        <f t="shared" si="26"/>
        <v>0</v>
      </c>
      <c r="BC38" s="36">
        <v>30996</v>
      </c>
      <c r="BD38" s="27">
        <v>1525.5200000000002</v>
      </c>
      <c r="BE38" s="61">
        <f t="shared" si="27"/>
        <v>20.318317688394774</v>
      </c>
      <c r="BF38" s="36"/>
      <c r="BG38" s="53"/>
      <c r="BH38" s="61">
        <f t="shared" si="28"/>
        <v>0</v>
      </c>
      <c r="BI38" s="36">
        <v>0</v>
      </c>
      <c r="BJ38" s="53">
        <v>0</v>
      </c>
      <c r="BK38" s="61" t="s">
        <v>731</v>
      </c>
      <c r="BL38" s="52">
        <v>20409</v>
      </c>
      <c r="BM38" s="53">
        <v>1517.3799999999999</v>
      </c>
      <c r="BN38" s="61">
        <f t="shared" si="30"/>
        <v>13.450157508336739</v>
      </c>
      <c r="BO38" s="36">
        <v>0</v>
      </c>
      <c r="BP38" s="53">
        <v>0</v>
      </c>
      <c r="BQ38" s="61">
        <f t="shared" si="31"/>
        <v>0</v>
      </c>
      <c r="BR38" s="36"/>
      <c r="BS38" s="27"/>
      <c r="BT38" s="61">
        <f t="shared" si="32"/>
        <v>0</v>
      </c>
      <c r="BU38" s="36">
        <v>26012</v>
      </c>
      <c r="BV38" s="5">
        <v>1720</v>
      </c>
      <c r="BW38" s="28">
        <f t="shared" si="33"/>
        <v>15.123255813953488</v>
      </c>
      <c r="BX38" s="26"/>
      <c r="BY38" s="5"/>
      <c r="BZ38" s="61">
        <f t="shared" si="34"/>
        <v>0</v>
      </c>
      <c r="CA38" s="36"/>
      <c r="CB38" s="5"/>
      <c r="CC38" s="61">
        <f t="shared" si="35"/>
        <v>0</v>
      </c>
      <c r="CD38" s="26"/>
      <c r="CE38" s="5"/>
      <c r="CF38" s="28">
        <f t="shared" si="36"/>
        <v>0</v>
      </c>
      <c r="CG38" s="150"/>
      <c r="CH38" s="9">
        <v>0</v>
      </c>
      <c r="CI38" s="5">
        <v>0</v>
      </c>
      <c r="CJ38" s="5">
        <v>0</v>
      </c>
      <c r="CK38" s="5">
        <v>8757</v>
      </c>
      <c r="CL38" s="5"/>
      <c r="CM38" s="5">
        <f t="shared" si="135"/>
        <v>8757</v>
      </c>
      <c r="CN38" s="33"/>
      <c r="CO38" s="366"/>
      <c r="CQ38" s="4">
        <f t="shared" si="37"/>
        <v>0</v>
      </c>
      <c r="CR38" s="9">
        <f t="shared" si="38"/>
        <v>0</v>
      </c>
      <c r="CS38" s="5">
        <f t="shared" si="39"/>
        <v>0</v>
      </c>
      <c r="CT38" s="5">
        <f t="shared" si="40"/>
        <v>0</v>
      </c>
      <c r="CU38" s="5">
        <f t="shared" si="41"/>
        <v>0</v>
      </c>
      <c r="CV38" s="5">
        <f t="shared" si="42"/>
        <v>0</v>
      </c>
      <c r="CW38" s="5">
        <f t="shared" si="43"/>
        <v>646.11999999999989</v>
      </c>
      <c r="CX38" s="5">
        <f t="shared" si="44"/>
        <v>0</v>
      </c>
      <c r="CY38" s="5">
        <f t="shared" si="45"/>
        <v>3828.52</v>
      </c>
      <c r="CZ38" s="5">
        <f t="shared" si="46"/>
        <v>0</v>
      </c>
      <c r="DA38" s="5">
        <f t="shared" si="47"/>
        <v>1525.5200000000002</v>
      </c>
      <c r="DB38" s="12">
        <f t="shared" si="48"/>
        <v>0</v>
      </c>
      <c r="DC38" s="310">
        <f>SUM(CQ38:DB38,PV38)</f>
        <v>6000.16</v>
      </c>
      <c r="DD38" s="2695"/>
      <c r="DE38" s="9"/>
      <c r="DF38" s="9"/>
      <c r="DG38" s="5"/>
      <c r="DH38" s="5"/>
      <c r="DI38" s="5"/>
      <c r="DJ38" s="5"/>
      <c r="DK38" s="5">
        <v>646.11999999999989</v>
      </c>
      <c r="DL38" s="5"/>
      <c r="DM38" s="5">
        <v>591.14</v>
      </c>
      <c r="DN38" s="5"/>
      <c r="DO38" s="5"/>
      <c r="DP38" s="12"/>
      <c r="DQ38" s="61">
        <f t="shared" si="50"/>
        <v>1237.2599999999998</v>
      </c>
      <c r="DR38" s="36"/>
      <c r="DS38" s="36"/>
      <c r="DT38" s="27"/>
      <c r="DU38" s="27"/>
      <c r="DV38" s="27"/>
      <c r="DW38" s="27"/>
      <c r="DX38" s="27"/>
      <c r="DY38" s="27"/>
      <c r="DZ38" s="27">
        <v>1517.3799999999999</v>
      </c>
      <c r="EA38" s="27"/>
      <c r="EB38" s="27">
        <v>1525.5200000000002</v>
      </c>
      <c r="EC38" s="33"/>
      <c r="ED38" s="61">
        <f t="shared" si="51"/>
        <v>3042.9</v>
      </c>
      <c r="EE38" s="36"/>
      <c r="EF38" s="36"/>
      <c r="EG38" s="27"/>
      <c r="EH38" s="27"/>
      <c r="EI38" s="27"/>
      <c r="EJ38" s="27"/>
      <c r="EK38" s="27"/>
      <c r="EL38" s="27"/>
      <c r="EM38" s="27">
        <v>1720</v>
      </c>
      <c r="EN38" s="27"/>
      <c r="EO38" s="27"/>
      <c r="EP38" s="33"/>
      <c r="EQ38" s="28">
        <f t="shared" si="52"/>
        <v>1720</v>
      </c>
      <c r="ER38" s="36"/>
      <c r="ES38" s="27"/>
      <c r="ET38" s="27"/>
      <c r="EU38" s="27"/>
      <c r="EV38" s="27"/>
      <c r="EW38" s="27"/>
      <c r="EX38" s="33">
        <f t="shared" si="53"/>
        <v>0</v>
      </c>
      <c r="EY38" s="2685"/>
      <c r="FA38" s="4">
        <f t="shared" si="54"/>
        <v>0</v>
      </c>
      <c r="FB38" s="5">
        <f t="shared" si="55"/>
        <v>0</v>
      </c>
      <c r="FC38" s="5">
        <f t="shared" si="56"/>
        <v>0</v>
      </c>
      <c r="FD38" s="12">
        <f t="shared" si="57"/>
        <v>0</v>
      </c>
      <c r="FE38" s="33"/>
      <c r="FF38" s="2674"/>
      <c r="FG38" s="9"/>
      <c r="FH38" s="5"/>
      <c r="FI38" s="5"/>
      <c r="FJ38" s="5"/>
      <c r="FK38" s="5"/>
      <c r="FL38" s="27"/>
      <c r="FM38" s="28">
        <f t="shared" si="58"/>
        <v>0</v>
      </c>
      <c r="FN38" s="36"/>
      <c r="FO38" s="27"/>
      <c r="FP38" s="27"/>
      <c r="FQ38" s="27"/>
      <c r="FR38" s="27"/>
      <c r="FS38" s="27"/>
      <c r="FT38" s="28">
        <f t="shared" si="59"/>
        <v>0</v>
      </c>
      <c r="FU38" s="36"/>
      <c r="FV38" s="36"/>
      <c r="FW38" s="27"/>
      <c r="FX38" s="27"/>
      <c r="FY38" s="27"/>
      <c r="FZ38" s="27"/>
      <c r="GA38" s="27"/>
      <c r="GB38" s="27"/>
      <c r="GC38" s="27"/>
      <c r="GD38" s="27"/>
      <c r="GE38" s="27"/>
      <c r="GF38" s="33"/>
      <c r="GG38" s="33">
        <f t="shared" si="60"/>
        <v>0</v>
      </c>
      <c r="GH38" s="2674"/>
      <c r="GJ38" s="4">
        <f t="shared" si="61"/>
        <v>1367.8600000000001</v>
      </c>
      <c r="GK38" s="64">
        <f t="shared" si="62"/>
        <v>3867.53</v>
      </c>
      <c r="GL38" s="53">
        <f t="shared" si="63"/>
        <v>5132.7000000000007</v>
      </c>
      <c r="GM38" s="53">
        <f t="shared" si="64"/>
        <v>10368.09</v>
      </c>
      <c r="GN38" s="141"/>
      <c r="GO38" s="141"/>
      <c r="GP38" s="33"/>
      <c r="GQ38" s="2667"/>
      <c r="GR38" s="152">
        <v>4483.45</v>
      </c>
      <c r="GS38" s="27"/>
      <c r="GT38" s="27">
        <v>2398.71</v>
      </c>
      <c r="GU38" s="27">
        <v>3485.9300000000003</v>
      </c>
      <c r="GV38" s="33">
        <f t="shared" si="65"/>
        <v>10368.09</v>
      </c>
      <c r="GW38" s="2667"/>
      <c r="GX38" s="36"/>
      <c r="GY38" s="36"/>
      <c r="GZ38" s="27"/>
      <c r="HA38" s="27"/>
      <c r="HB38" s="27"/>
      <c r="HC38" s="27"/>
      <c r="HD38" s="27"/>
      <c r="HE38" s="27"/>
      <c r="HF38" s="27">
        <v>1367.8600000000001</v>
      </c>
      <c r="HG38" s="27"/>
      <c r="HH38" s="27"/>
      <c r="HI38" s="27"/>
      <c r="HJ38" s="27"/>
      <c r="HK38" s="27"/>
      <c r="HL38" s="28">
        <f t="shared" si="66"/>
        <v>1367.8600000000001</v>
      </c>
      <c r="HM38" s="36"/>
      <c r="HN38" s="27"/>
      <c r="HO38" s="27"/>
      <c r="HP38" s="27"/>
      <c r="HQ38" s="27"/>
      <c r="HR38" s="27"/>
      <c r="HS38" s="27"/>
      <c r="HT38" s="27"/>
      <c r="HU38" s="27"/>
      <c r="HV38" s="27"/>
      <c r="HW38" s="27"/>
      <c r="HX38" s="27"/>
      <c r="HY38" s="27"/>
      <c r="HZ38" s="27"/>
      <c r="IA38" s="33">
        <f t="shared" si="67"/>
        <v>0</v>
      </c>
      <c r="IB38" s="52"/>
      <c r="IC38" s="152"/>
      <c r="ID38" s="53"/>
      <c r="IE38" s="53"/>
      <c r="IF38" s="53"/>
      <c r="IG38" s="53"/>
      <c r="IH38" s="53"/>
      <c r="II38" s="53"/>
      <c r="IJ38" s="53">
        <v>3867.53</v>
      </c>
      <c r="IK38" s="53"/>
      <c r="IL38" s="53"/>
      <c r="IM38" s="53"/>
      <c r="IN38" s="53"/>
      <c r="IO38" s="53"/>
      <c r="IP38" s="61">
        <f t="shared" si="68"/>
        <v>3867.53</v>
      </c>
      <c r="IQ38" s="36"/>
      <c r="IR38" s="36"/>
      <c r="IS38" s="27"/>
      <c r="IT38" s="27"/>
      <c r="IU38" s="53"/>
      <c r="IV38" s="53"/>
      <c r="IW38" s="53"/>
      <c r="IX38" s="53"/>
      <c r="IY38" s="27">
        <v>5132.7000000000007</v>
      </c>
      <c r="IZ38" s="53"/>
      <c r="JA38" s="27"/>
      <c r="JB38" s="27"/>
      <c r="JC38" s="27"/>
      <c r="JD38" s="27"/>
      <c r="JE38" s="33">
        <f t="shared" si="69"/>
        <v>5132.7000000000007</v>
      </c>
      <c r="JF38" s="2667"/>
      <c r="JH38" s="52">
        <v>10368.09</v>
      </c>
      <c r="JI38" s="152"/>
      <c r="JJ38" s="27"/>
      <c r="JK38" s="53">
        <f t="shared" si="70"/>
        <v>10368.09</v>
      </c>
      <c r="JL38" s="33"/>
      <c r="JM38" s="2669"/>
      <c r="JN38" s="69"/>
      <c r="JO38" s="70"/>
      <c r="JP38" s="70"/>
      <c r="JQ38" s="70"/>
      <c r="JR38" s="70">
        <v>1</v>
      </c>
      <c r="JS38" s="70"/>
      <c r="JT38" s="70"/>
      <c r="JU38" s="71"/>
      <c r="JV38" s="69"/>
      <c r="JW38" s="70"/>
      <c r="JX38" s="70"/>
      <c r="JY38" s="70"/>
      <c r="JZ38" s="70"/>
      <c r="KA38" s="70"/>
      <c r="KB38" s="70"/>
      <c r="KC38" s="71"/>
      <c r="KD38" s="69"/>
      <c r="KE38" s="70"/>
      <c r="KF38" s="70"/>
      <c r="KG38" s="70"/>
      <c r="KH38" s="70"/>
      <c r="KI38" s="70"/>
      <c r="KJ38" s="70"/>
      <c r="KK38" s="70"/>
      <c r="KL38" s="33"/>
      <c r="KM38" s="2669"/>
      <c r="KN38" s="36">
        <v>7072.9151690101498</v>
      </c>
      <c r="KO38" s="53">
        <v>0.96377502560759842</v>
      </c>
      <c r="KP38" s="53">
        <v>2.7295995902784251</v>
      </c>
      <c r="KQ38" s="53">
        <v>6.7844231306453109</v>
      </c>
      <c r="KR38" s="54">
        <v>10.83296288443989</v>
      </c>
      <c r="KS38" s="4">
        <v>0</v>
      </c>
      <c r="KT38" s="64">
        <v>0</v>
      </c>
      <c r="KU38" s="64">
        <v>0</v>
      </c>
      <c r="KV38" s="64">
        <v>0</v>
      </c>
      <c r="KW38" s="482">
        <v>0</v>
      </c>
      <c r="KX38" s="36"/>
      <c r="KY38" s="53"/>
      <c r="KZ38" s="53"/>
      <c r="LA38" s="53"/>
      <c r="LB38" s="53"/>
      <c r="LC38" s="33"/>
      <c r="LD38" s="2669"/>
      <c r="LF38" s="26">
        <f t="shared" si="71"/>
        <v>0</v>
      </c>
      <c r="LG38" s="27">
        <f t="shared" si="72"/>
        <v>0</v>
      </c>
      <c r="LH38" s="27">
        <f t="shared" si="73"/>
        <v>0</v>
      </c>
      <c r="LI38" s="28">
        <f t="shared" si="74"/>
        <v>0</v>
      </c>
      <c r="LJ38" s="36"/>
      <c r="LK38" s="27"/>
      <c r="LL38" s="27"/>
      <c r="LM38" s="33"/>
      <c r="LN38" s="1041">
        <v>5.35</v>
      </c>
      <c r="LO38" s="486" t="s">
        <v>680</v>
      </c>
      <c r="LP38" s="2688"/>
      <c r="LQ38" s="26"/>
      <c r="LR38" s="36"/>
      <c r="LS38" s="27"/>
      <c r="LT38" s="27"/>
      <c r="LU38" s="27"/>
      <c r="LV38" s="1107">
        <f t="shared" si="75"/>
        <v>0</v>
      </c>
      <c r="LW38" s="36"/>
      <c r="LX38" s="36"/>
      <c r="LY38" s="27"/>
      <c r="LZ38" s="27"/>
      <c r="MA38" s="33"/>
      <c r="MB38" s="28">
        <f t="shared" si="76"/>
        <v>0</v>
      </c>
      <c r="MC38" s="26"/>
      <c r="MD38" s="36"/>
      <c r="ME38" s="27"/>
      <c r="MF38" s="27"/>
      <c r="MG38" s="27"/>
      <c r="MH38" s="28"/>
      <c r="MI38" s="36"/>
      <c r="MJ38" s="36"/>
      <c r="MK38" s="27"/>
      <c r="ML38" s="27"/>
      <c r="MM38" s="27"/>
      <c r="MN38" s="28"/>
      <c r="MO38" s="36"/>
      <c r="MP38" s="36"/>
      <c r="MQ38" s="27"/>
      <c r="MR38" s="27"/>
      <c r="MS38" s="27"/>
      <c r="MT38" s="33">
        <f t="shared" si="77"/>
        <v>0</v>
      </c>
      <c r="MU38" s="2688"/>
      <c r="MW38" s="26">
        <f t="shared" si="78"/>
        <v>98116.446302566415</v>
      </c>
      <c r="MX38" s="27">
        <f t="shared" si="79"/>
        <v>156659.37929571755</v>
      </c>
      <c r="MY38" s="27">
        <f t="shared" si="80"/>
        <v>19238.53560828304</v>
      </c>
      <c r="MZ38" s="28">
        <f t="shared" si="81"/>
        <v>432326.35467809119</v>
      </c>
      <c r="NA38" s="2621"/>
      <c r="NB38" s="23">
        <f t="shared" si="82"/>
        <v>90068.18881518337</v>
      </c>
      <c r="NC38" s="64">
        <f t="shared" si="83"/>
        <v>8048.2574873830481</v>
      </c>
      <c r="ND38" s="60">
        <f t="shared" si="84"/>
        <v>0</v>
      </c>
      <c r="NE38" s="275">
        <f t="shared" si="4"/>
        <v>98116.446302566415</v>
      </c>
      <c r="NF38" s="26">
        <f t="shared" si="170"/>
        <v>0</v>
      </c>
      <c r="NG38" s="27">
        <f t="shared" si="171"/>
        <v>0</v>
      </c>
      <c r="NH38" s="27">
        <f t="shared" si="172"/>
        <v>0</v>
      </c>
      <c r="NI38" s="27">
        <f t="shared" si="175"/>
        <v>0</v>
      </c>
      <c r="NJ38" s="27">
        <f t="shared" si="173"/>
        <v>0</v>
      </c>
      <c r="NK38" s="33">
        <f t="shared" si="174"/>
        <v>0</v>
      </c>
      <c r="NL38" s="27">
        <f t="shared" si="142"/>
        <v>0</v>
      </c>
      <c r="NM38" s="152">
        <f t="shared" si="143"/>
        <v>0</v>
      </c>
      <c r="NN38" s="27">
        <f t="shared" si="144"/>
        <v>47122.356549276003</v>
      </c>
      <c r="NO38" s="27">
        <f t="shared" si="145"/>
        <v>0</v>
      </c>
      <c r="NP38" s="24">
        <f t="shared" si="146"/>
        <v>8756.5482322711578</v>
      </c>
      <c r="NQ38" s="24">
        <f t="shared" si="147"/>
        <v>11775.324585687598</v>
      </c>
      <c r="NR38" s="27">
        <f t="shared" si="0"/>
        <v>67654.229367234759</v>
      </c>
      <c r="NS38" s="27">
        <f t="shared" si="86"/>
        <v>0</v>
      </c>
      <c r="NT38" s="27">
        <f t="shared" si="87"/>
        <v>0</v>
      </c>
      <c r="NU38" s="27">
        <f t="shared" si="88"/>
        <v>0</v>
      </c>
      <c r="NV38" s="27">
        <f t="shared" si="89"/>
        <v>0</v>
      </c>
      <c r="NW38" s="5">
        <f t="shared" si="90"/>
        <v>0</v>
      </c>
      <c r="NX38" s="5">
        <f t="shared" si="91"/>
        <v>0</v>
      </c>
      <c r="NY38" s="27">
        <f t="shared" si="92"/>
        <v>9112.7981519076275</v>
      </c>
      <c r="NZ38" s="27">
        <f t="shared" si="93"/>
        <v>0</v>
      </c>
      <c r="OA38" s="27">
        <f t="shared" si="94"/>
        <v>6723.7647599877655</v>
      </c>
      <c r="OB38" s="27"/>
      <c r="OC38" s="24">
        <f t="shared" si="95"/>
        <v>3403.7241844007053</v>
      </c>
      <c r="OD38" s="27">
        <f t="shared" si="96"/>
        <v>0</v>
      </c>
      <c r="OE38" s="28">
        <f t="shared" si="1"/>
        <v>19240.287096296099</v>
      </c>
      <c r="OF38" s="27">
        <f t="shared" si="163"/>
        <v>0</v>
      </c>
      <c r="OG38" s="27">
        <f t="shared" si="164"/>
        <v>0</v>
      </c>
      <c r="OH38" s="27">
        <f t="shared" si="169"/>
        <v>0</v>
      </c>
      <c r="OI38" s="27">
        <f t="shared" si="167"/>
        <v>0</v>
      </c>
      <c r="OJ38" s="27">
        <f t="shared" si="167"/>
        <v>0</v>
      </c>
      <c r="OK38" s="27">
        <f t="shared" si="168"/>
        <v>0</v>
      </c>
      <c r="OL38" s="24">
        <f t="shared" si="168"/>
        <v>0</v>
      </c>
      <c r="OM38" s="27">
        <f t="shared" si="154"/>
        <v>0</v>
      </c>
      <c r="ON38" s="24">
        <f t="shared" si="154"/>
        <v>62945.238513778007</v>
      </c>
      <c r="OO38" s="27">
        <f t="shared" si="156"/>
        <v>0</v>
      </c>
      <c r="OP38" s="27">
        <f t="shared" si="157"/>
        <v>6819.6243184086807</v>
      </c>
      <c r="OQ38" s="27">
        <f t="shared" si="158"/>
        <v>0</v>
      </c>
      <c r="OR38" s="28">
        <f t="shared" si="2"/>
        <v>69764.862832186685</v>
      </c>
      <c r="OS38" s="36"/>
      <c r="OT38" s="27"/>
      <c r="OU38" s="27"/>
      <c r="OV38" s="27"/>
      <c r="OW38" s="27"/>
      <c r="OX38" s="27"/>
      <c r="OY38" s="28">
        <f t="shared" si="98"/>
        <v>0</v>
      </c>
      <c r="OZ38" s="36">
        <f t="shared" si="99"/>
        <v>0</v>
      </c>
      <c r="PA38" s="27">
        <f t="shared" si="100"/>
        <v>0</v>
      </c>
      <c r="PB38" s="27">
        <f t="shared" si="101"/>
        <v>0</v>
      </c>
      <c r="PC38" s="27">
        <f t="shared" si="102"/>
        <v>0</v>
      </c>
      <c r="PD38" s="27">
        <f t="shared" si="103"/>
        <v>0</v>
      </c>
      <c r="PE38" s="27">
        <f t="shared" si="104"/>
        <v>0</v>
      </c>
      <c r="PF38" s="33">
        <f t="shared" si="3"/>
        <v>0</v>
      </c>
      <c r="PG38" s="2621"/>
      <c r="PI38" s="2"/>
      <c r="PJ38" s="3">
        <v>600</v>
      </c>
      <c r="PK38" s="3">
        <v>300</v>
      </c>
      <c r="PL38" s="3">
        <f t="shared" si="148"/>
        <v>0</v>
      </c>
      <c r="PM38" s="3">
        <f t="shared" si="149"/>
        <v>3199.3199999999997</v>
      </c>
      <c r="PN38" s="11">
        <f t="shared" si="150"/>
        <v>19238.53560828304</v>
      </c>
      <c r="PO38" s="15"/>
      <c r="PP38" s="2615"/>
      <c r="PR38" s="4"/>
      <c r="PS38" s="9"/>
      <c r="PT38" s="9"/>
      <c r="PU38" s="9"/>
      <c r="PV38" s="9"/>
      <c r="PW38" s="9"/>
      <c r="PX38" s="8">
        <f t="shared" si="105"/>
        <v>0</v>
      </c>
      <c r="PY38" s="5">
        <f t="shared" si="106"/>
        <v>0</v>
      </c>
      <c r="PZ38" s="5"/>
      <c r="QA38" s="5"/>
      <c r="QB38" s="5"/>
      <c r="QC38" s="5"/>
      <c r="QD38" s="5"/>
      <c r="QE38" s="12">
        <f t="shared" si="107"/>
        <v>29749.381073161156</v>
      </c>
      <c r="QF38" s="420">
        <f t="shared" si="108"/>
        <v>402576.97360493004</v>
      </c>
      <c r="QG38" s="1106">
        <f t="shared" si="109"/>
        <v>0</v>
      </c>
      <c r="QH38" s="484">
        <f t="shared" si="110"/>
        <v>5505.3678056100007</v>
      </c>
      <c r="QI38" s="12"/>
      <c r="QJ38" s="2615"/>
      <c r="QL38" s="139">
        <f t="shared" si="111"/>
        <v>0</v>
      </c>
      <c r="QM38" s="139" t="str">
        <f t="shared" si="112"/>
        <v/>
      </c>
      <c r="QO38" s="139">
        <f t="shared" si="113"/>
        <v>0</v>
      </c>
      <c r="QP38" s="139">
        <f t="shared" si="114"/>
        <v>0</v>
      </c>
      <c r="QR38" s="1">
        <f t="shared" si="115"/>
        <v>0</v>
      </c>
      <c r="QS38" s="1">
        <f t="shared" si="116"/>
        <v>0</v>
      </c>
      <c r="QT38" s="1">
        <f t="shared" si="117"/>
        <v>0</v>
      </c>
      <c r="QU38" s="1">
        <f t="shared" si="118"/>
        <v>0</v>
      </c>
      <c r="QV38" s="1">
        <f t="shared" si="119"/>
        <v>0</v>
      </c>
      <c r="QW38" s="1">
        <f t="shared" si="120"/>
        <v>0</v>
      </c>
      <c r="QY38" s="1">
        <f t="shared" si="121"/>
        <v>0</v>
      </c>
      <c r="QZ38" s="1">
        <f t="shared" si="122"/>
        <v>0</v>
      </c>
      <c r="RA38" s="1">
        <f t="shared" si="123"/>
        <v>0</v>
      </c>
      <c r="RB38" s="1">
        <f t="shared" si="124"/>
        <v>0</v>
      </c>
      <c r="RC38" s="1">
        <f t="shared" si="125"/>
        <v>0</v>
      </c>
      <c r="RD38" s="1">
        <f t="shared" si="126"/>
        <v>0</v>
      </c>
      <c r="RG38" s="1">
        <v>29</v>
      </c>
      <c r="RH38" s="1">
        <f t="shared" si="160"/>
        <v>-124581.92779028288</v>
      </c>
      <c r="RI38" s="1">
        <f t="shared" si="161"/>
        <v>7134.2947804837231</v>
      </c>
      <c r="RJ38" s="1">
        <f t="shared" si="162"/>
        <v>13404.263703387322</v>
      </c>
      <c r="RK38" s="89">
        <f t="shared" si="5"/>
        <v>-104043.36930641184</v>
      </c>
      <c r="RL38" s="1033">
        <v>29</v>
      </c>
      <c r="RM38" s="1098">
        <f t="shared" si="166"/>
        <v>0</v>
      </c>
      <c r="RN38" s="1098">
        <f t="shared" si="128"/>
        <v>0</v>
      </c>
      <c r="RO38" s="1097">
        <f t="shared" si="129"/>
        <v>0</v>
      </c>
      <c r="RP38" s="1097">
        <f t="shared" si="151"/>
        <v>4280.16</v>
      </c>
      <c r="RQ38" s="1094"/>
      <c r="RR38" s="1094" t="s">
        <v>732</v>
      </c>
      <c r="RU38" s="421">
        <v>29</v>
      </c>
      <c r="RV38" s="1095">
        <f t="shared" si="130"/>
        <v>10368.09</v>
      </c>
      <c r="RW38" s="1096" t="s">
        <v>733</v>
      </c>
      <c r="RY38" s="1090"/>
      <c r="RZ38" s="1090">
        <f t="shared" si="131"/>
        <v>0</v>
      </c>
      <c r="SA38" s="1090"/>
      <c r="SB38" s="1090">
        <f t="shared" si="132"/>
        <v>0</v>
      </c>
      <c r="SD38" s="1">
        <v>29</v>
      </c>
      <c r="SE38" s="1">
        <f t="shared" si="133"/>
        <v>0</v>
      </c>
    </row>
    <row r="39" spans="1:500" s="1" customFormat="1">
      <c r="B39" s="471">
        <v>30</v>
      </c>
      <c r="C39" s="4">
        <f t="shared" si="6"/>
        <v>80887</v>
      </c>
      <c r="D39" s="64">
        <f t="shared" si="134"/>
        <v>4829.6000000000004</v>
      </c>
      <c r="E39" s="61">
        <f t="shared" si="7"/>
        <v>16.748177902931918</v>
      </c>
      <c r="F39" s="870"/>
      <c r="G39" s="870"/>
      <c r="H39" s="52">
        <v>50</v>
      </c>
      <c r="I39" s="61">
        <v>9.83</v>
      </c>
      <c r="J39" s="52"/>
      <c r="K39" s="54"/>
      <c r="L39" s="52">
        <v>24</v>
      </c>
      <c r="M39" s="61">
        <v>9.89</v>
      </c>
      <c r="N39" s="2629"/>
      <c r="O39" s="4">
        <f t="shared" si="8"/>
        <v>44688</v>
      </c>
      <c r="P39" s="5">
        <f t="shared" si="9"/>
        <v>2821.3200000000006</v>
      </c>
      <c r="Q39" s="64">
        <f t="shared" si="10"/>
        <v>15.839394326060139</v>
      </c>
      <c r="R39" s="33"/>
      <c r="S39" s="26">
        <f t="shared" si="11"/>
        <v>14070</v>
      </c>
      <c r="T39" s="27">
        <f t="shared" si="12"/>
        <v>668.28</v>
      </c>
      <c r="U39" s="53">
        <f t="shared" si="13"/>
        <v>21.05404920093374</v>
      </c>
      <c r="V39" s="28"/>
      <c r="W39" s="26">
        <f t="shared" si="14"/>
        <v>22129</v>
      </c>
      <c r="X39" s="5">
        <f t="shared" si="15"/>
        <v>1340</v>
      </c>
      <c r="Y39" s="53">
        <f t="shared" si="16"/>
        <v>16.514179104477613</v>
      </c>
      <c r="Z39" s="33"/>
      <c r="AA39" s="26">
        <f t="shared" si="17"/>
        <v>0</v>
      </c>
      <c r="AB39" s="27">
        <f t="shared" si="18"/>
        <v>0</v>
      </c>
      <c r="AC39" s="53">
        <f t="shared" si="19"/>
        <v>0</v>
      </c>
      <c r="AD39" s="28"/>
      <c r="AE39" s="36"/>
      <c r="AF39" s="36"/>
      <c r="AG39" s="53">
        <f t="shared" si="20"/>
        <v>0</v>
      </c>
      <c r="AH39" s="28"/>
      <c r="AI39" s="26"/>
      <c r="AJ39" s="27"/>
      <c r="AK39" s="53">
        <f t="shared" si="21"/>
        <v>0</v>
      </c>
      <c r="AL39" s="28"/>
      <c r="AM39" s="2629"/>
      <c r="AN39" s="9"/>
      <c r="AO39" s="5"/>
      <c r="AP39" s="61">
        <f t="shared" si="22"/>
        <v>0</v>
      </c>
      <c r="AQ39" s="36"/>
      <c r="AR39" s="53"/>
      <c r="AS39" s="61">
        <f t="shared" si="23"/>
        <v>0</v>
      </c>
      <c r="AT39" s="36"/>
      <c r="AU39" s="27"/>
      <c r="AV39" s="61">
        <f t="shared" si="24"/>
        <v>0</v>
      </c>
      <c r="AW39" s="36">
        <v>19950</v>
      </c>
      <c r="AX39" s="27">
        <v>1565.2200000000003</v>
      </c>
      <c r="AY39" s="61">
        <f t="shared" si="25"/>
        <v>12.74581209031318</v>
      </c>
      <c r="AZ39" s="36"/>
      <c r="BA39" s="27"/>
      <c r="BB39" s="61">
        <f t="shared" si="26"/>
        <v>0</v>
      </c>
      <c r="BC39" s="36">
        <v>24738</v>
      </c>
      <c r="BD39" s="27">
        <v>1256.1000000000001</v>
      </c>
      <c r="BE39" s="61">
        <f t="shared" si="27"/>
        <v>19.694291855743966</v>
      </c>
      <c r="BF39" s="36"/>
      <c r="BG39" s="53"/>
      <c r="BH39" s="61">
        <f t="shared" si="28"/>
        <v>0</v>
      </c>
      <c r="BI39" s="36"/>
      <c r="BJ39" s="53"/>
      <c r="BK39" s="61">
        <f>IFERROR(BI39/BJ39,0)</f>
        <v>0</v>
      </c>
      <c r="BL39" s="52">
        <v>14070</v>
      </c>
      <c r="BM39" s="53">
        <v>668.28</v>
      </c>
      <c r="BN39" s="61">
        <f t="shared" si="30"/>
        <v>21.05404920093374</v>
      </c>
      <c r="BO39" s="36"/>
      <c r="BP39" s="53"/>
      <c r="BQ39" s="61">
        <f t="shared" si="31"/>
        <v>0</v>
      </c>
      <c r="BR39" s="36"/>
      <c r="BS39" s="27"/>
      <c r="BT39" s="61">
        <f t="shared" si="32"/>
        <v>0</v>
      </c>
      <c r="BU39" s="36">
        <v>22129</v>
      </c>
      <c r="BV39" s="27">
        <v>1340</v>
      </c>
      <c r="BW39" s="28">
        <f t="shared" si="33"/>
        <v>16.514179104477613</v>
      </c>
      <c r="BX39" s="26"/>
      <c r="BY39" s="5"/>
      <c r="BZ39" s="61">
        <f t="shared" si="34"/>
        <v>0</v>
      </c>
      <c r="CA39" s="36"/>
      <c r="CB39" s="5"/>
      <c r="CC39" s="61">
        <f t="shared" si="35"/>
        <v>0</v>
      </c>
      <c r="CD39" s="26"/>
      <c r="CE39" s="27"/>
      <c r="CF39" s="28">
        <f t="shared" si="36"/>
        <v>0</v>
      </c>
      <c r="CG39" s="150"/>
      <c r="CH39" s="9">
        <v>1584</v>
      </c>
      <c r="CI39" s="5"/>
      <c r="CJ39" s="5"/>
      <c r="CK39" s="5">
        <v>7314</v>
      </c>
      <c r="CL39" s="5"/>
      <c r="CM39" s="5">
        <f t="shared" si="135"/>
        <v>8898</v>
      </c>
      <c r="CN39" s="33"/>
      <c r="CO39" s="366"/>
      <c r="CQ39" s="4">
        <f t="shared" si="37"/>
        <v>0</v>
      </c>
      <c r="CR39" s="9">
        <f t="shared" si="38"/>
        <v>0</v>
      </c>
      <c r="CS39" s="5">
        <f t="shared" si="39"/>
        <v>0</v>
      </c>
      <c r="CT39" s="5">
        <f t="shared" si="40"/>
        <v>0</v>
      </c>
      <c r="CU39" s="5">
        <f t="shared" si="41"/>
        <v>0</v>
      </c>
      <c r="CV39" s="5">
        <f t="shared" si="42"/>
        <v>0</v>
      </c>
      <c r="CW39" s="5">
        <f t="shared" si="43"/>
        <v>386.40000000000003</v>
      </c>
      <c r="CX39" s="5">
        <f t="shared" si="44"/>
        <v>0</v>
      </c>
      <c r="CY39" s="5">
        <f t="shared" si="45"/>
        <v>3222.26</v>
      </c>
      <c r="CZ39" s="5">
        <f t="shared" si="46"/>
        <v>0</v>
      </c>
      <c r="DA39" s="5">
        <f t="shared" si="47"/>
        <v>1220.94</v>
      </c>
      <c r="DB39" s="12">
        <f t="shared" si="48"/>
        <v>0</v>
      </c>
      <c r="DC39" s="310">
        <f>SUM(CQ39:DB39,PV39)</f>
        <v>4829.6000000000004</v>
      </c>
      <c r="DD39" s="2695"/>
      <c r="DE39" s="9"/>
      <c r="DF39" s="9"/>
      <c r="DG39" s="5"/>
      <c r="DH39" s="5"/>
      <c r="DI39" s="5"/>
      <c r="DJ39" s="5"/>
      <c r="DK39" s="5">
        <v>386.40000000000003</v>
      </c>
      <c r="DL39" s="5"/>
      <c r="DM39" s="5">
        <v>1178.8200000000002</v>
      </c>
      <c r="DN39" s="5"/>
      <c r="DO39" s="5"/>
      <c r="DP39" s="12"/>
      <c r="DQ39" s="61">
        <f t="shared" si="50"/>
        <v>1565.2200000000003</v>
      </c>
      <c r="DR39" s="36"/>
      <c r="DS39" s="36"/>
      <c r="DT39" s="27"/>
      <c r="DU39" s="27"/>
      <c r="DV39" s="27"/>
      <c r="DW39" s="27"/>
      <c r="DX39" s="27"/>
      <c r="DY39" s="27"/>
      <c r="DZ39" s="27">
        <v>703.43999999999994</v>
      </c>
      <c r="EA39" s="27"/>
      <c r="EB39" s="27">
        <v>1220.94</v>
      </c>
      <c r="EC39" s="33"/>
      <c r="ED39" s="61">
        <f t="shared" si="51"/>
        <v>1924.38</v>
      </c>
      <c r="EE39" s="36"/>
      <c r="EF39" s="36"/>
      <c r="EG39" s="27"/>
      <c r="EH39" s="27"/>
      <c r="EI39" s="27"/>
      <c r="EJ39" s="27"/>
      <c r="EK39" s="27"/>
      <c r="EL39" s="27"/>
      <c r="EM39" s="27">
        <v>1340</v>
      </c>
      <c r="EN39" s="27"/>
      <c r="EO39" s="27"/>
      <c r="EP39" s="33"/>
      <c r="EQ39" s="28">
        <f t="shared" si="52"/>
        <v>1340</v>
      </c>
      <c r="ER39" s="36"/>
      <c r="ES39" s="27"/>
      <c r="ET39" s="27"/>
      <c r="EU39" s="27"/>
      <c r="EV39" s="27"/>
      <c r="EW39" s="27"/>
      <c r="EX39" s="33">
        <f t="shared" si="53"/>
        <v>0</v>
      </c>
      <c r="EY39" s="2685"/>
      <c r="FA39" s="4">
        <f t="shared" si="54"/>
        <v>0</v>
      </c>
      <c r="FB39" s="5">
        <f t="shared" si="55"/>
        <v>0</v>
      </c>
      <c r="FC39" s="5">
        <f t="shared" si="56"/>
        <v>0</v>
      </c>
      <c r="FD39" s="12">
        <f t="shared" si="57"/>
        <v>0</v>
      </c>
      <c r="FE39" s="33"/>
      <c r="FF39" s="2674"/>
      <c r="FG39" s="9"/>
      <c r="FH39" s="5"/>
      <c r="FI39" s="5"/>
      <c r="FJ39" s="5"/>
      <c r="FK39" s="5"/>
      <c r="FL39" s="27"/>
      <c r="FM39" s="28">
        <f t="shared" si="58"/>
        <v>0</v>
      </c>
      <c r="FN39" s="36"/>
      <c r="FO39" s="27"/>
      <c r="FP39" s="27"/>
      <c r="FQ39" s="27"/>
      <c r="FR39" s="27"/>
      <c r="FS39" s="27"/>
      <c r="FT39" s="28">
        <f t="shared" si="59"/>
        <v>0</v>
      </c>
      <c r="FU39" s="36"/>
      <c r="FV39" s="36"/>
      <c r="FW39" s="27"/>
      <c r="FX39" s="27"/>
      <c r="FY39" s="27"/>
      <c r="FZ39" s="27"/>
      <c r="GA39" s="27"/>
      <c r="GB39" s="27"/>
      <c r="GC39" s="27"/>
      <c r="GD39" s="27"/>
      <c r="GE39" s="27"/>
      <c r="GF39" s="33"/>
      <c r="GG39" s="33">
        <f t="shared" si="60"/>
        <v>0</v>
      </c>
      <c r="GH39" s="2674"/>
      <c r="GJ39" s="4">
        <f t="shared" si="61"/>
        <v>3505.29</v>
      </c>
      <c r="GK39" s="5">
        <f t="shared" si="62"/>
        <v>5085.9500000000007</v>
      </c>
      <c r="GL39" s="27">
        <f t="shared" si="63"/>
        <v>4049.0499999999993</v>
      </c>
      <c r="GM39" s="27">
        <f t="shared" si="64"/>
        <v>12640.29</v>
      </c>
      <c r="GN39" s="141"/>
      <c r="GO39" s="141"/>
      <c r="GP39" s="33"/>
      <c r="GQ39" s="2667"/>
      <c r="GR39" s="152">
        <v>5911.95</v>
      </c>
      <c r="GS39" s="27"/>
      <c r="GT39" s="27">
        <v>3249.2400000000002</v>
      </c>
      <c r="GU39" s="27">
        <v>3479.1</v>
      </c>
      <c r="GV39" s="33">
        <f t="shared" si="65"/>
        <v>12640.29</v>
      </c>
      <c r="GW39" s="2667"/>
      <c r="GX39" s="36"/>
      <c r="GY39" s="36"/>
      <c r="GZ39" s="27"/>
      <c r="HA39" s="27"/>
      <c r="HB39" s="27"/>
      <c r="HC39" s="27"/>
      <c r="HD39" s="27"/>
      <c r="HE39" s="27"/>
      <c r="HF39" s="27">
        <v>1067.0900000000001</v>
      </c>
      <c r="HG39" s="27"/>
      <c r="HH39" s="27">
        <v>2438.1999999999998</v>
      </c>
      <c r="HI39" s="27"/>
      <c r="HJ39" s="27"/>
      <c r="HK39" s="27"/>
      <c r="HL39" s="28">
        <f t="shared" si="66"/>
        <v>3505.29</v>
      </c>
      <c r="HM39" s="36"/>
      <c r="HN39" s="27"/>
      <c r="HO39" s="27"/>
      <c r="HP39" s="27"/>
      <c r="HQ39" s="27"/>
      <c r="HR39" s="27"/>
      <c r="HS39" s="27"/>
      <c r="HT39" s="27"/>
      <c r="HU39" s="27"/>
      <c r="HV39" s="27"/>
      <c r="HW39" s="27"/>
      <c r="HX39" s="27"/>
      <c r="HY39" s="27"/>
      <c r="HZ39" s="27"/>
      <c r="IA39" s="33">
        <f t="shared" si="67"/>
        <v>0</v>
      </c>
      <c r="IB39" s="52"/>
      <c r="IC39" s="152"/>
      <c r="ID39" s="53"/>
      <c r="IE39" s="53"/>
      <c r="IF39" s="53"/>
      <c r="IG39" s="53"/>
      <c r="IH39" s="53">
        <v>2625.9300000000003</v>
      </c>
      <c r="II39" s="53"/>
      <c r="IJ39" s="53">
        <v>2460.0200000000004</v>
      </c>
      <c r="IK39" s="53"/>
      <c r="IL39" s="53"/>
      <c r="IM39" s="27"/>
      <c r="IN39" s="27"/>
      <c r="IO39" s="27"/>
      <c r="IP39" s="61">
        <f t="shared" si="68"/>
        <v>5085.9500000000007</v>
      </c>
      <c r="IQ39" s="36"/>
      <c r="IR39" s="36"/>
      <c r="IS39" s="27"/>
      <c r="IT39" s="27"/>
      <c r="IU39" s="53"/>
      <c r="IV39" s="27"/>
      <c r="IW39" s="27"/>
      <c r="IX39" s="27"/>
      <c r="IY39" s="27">
        <v>2349.3599999999997</v>
      </c>
      <c r="IZ39" s="27"/>
      <c r="JA39" s="27">
        <v>1699.6899999999998</v>
      </c>
      <c r="JB39" s="27"/>
      <c r="JC39" s="27"/>
      <c r="JD39" s="27"/>
      <c r="JE39" s="33">
        <f t="shared" si="69"/>
        <v>4049.0499999999993</v>
      </c>
      <c r="JF39" s="2667"/>
      <c r="JH39" s="52">
        <v>4707.0599999999995</v>
      </c>
      <c r="JI39" s="152">
        <v>7933.23</v>
      </c>
      <c r="JJ39" s="27"/>
      <c r="JK39" s="53">
        <f t="shared" si="70"/>
        <v>12640.289999999999</v>
      </c>
      <c r="JL39" s="33"/>
      <c r="JM39" s="2669"/>
      <c r="JN39" s="69"/>
      <c r="JO39" s="70"/>
      <c r="JP39" s="70"/>
      <c r="JQ39" s="70"/>
      <c r="JR39" s="70"/>
      <c r="JS39" s="70"/>
      <c r="JT39" s="70"/>
      <c r="JU39" s="71"/>
      <c r="JV39" s="69"/>
      <c r="JW39" s="70"/>
      <c r="JX39" s="70"/>
      <c r="JY39" s="70"/>
      <c r="JZ39" s="70"/>
      <c r="KA39" s="70"/>
      <c r="KB39" s="70"/>
      <c r="KC39" s="71"/>
      <c r="KD39" s="69"/>
      <c r="KE39" s="70"/>
      <c r="KF39" s="70"/>
      <c r="KG39" s="70"/>
      <c r="KH39" s="70"/>
      <c r="KI39" s="70"/>
      <c r="KJ39" s="70"/>
      <c r="KK39" s="70"/>
      <c r="KL39" s="33"/>
      <c r="KM39" s="2669"/>
      <c r="KN39" s="36">
        <v>7223</v>
      </c>
      <c r="KO39" s="53">
        <v>0.76</v>
      </c>
      <c r="KP39" s="53">
        <v>4.9000000000000004</v>
      </c>
      <c r="KQ39" s="53">
        <v>3.9200000000000004</v>
      </c>
      <c r="KR39" s="54">
        <v>13.806632</v>
      </c>
      <c r="KS39" s="845">
        <v>6821.7954271961489</v>
      </c>
      <c r="KT39" s="64">
        <v>2.5713598074608903</v>
      </c>
      <c r="KU39" s="64">
        <v>6.1274729241877264</v>
      </c>
      <c r="KV39" s="64">
        <v>6.0514440433212995</v>
      </c>
      <c r="KW39" s="482">
        <v>11.292440433212997</v>
      </c>
      <c r="KX39" s="36"/>
      <c r="KY39" s="53"/>
      <c r="KZ39" s="53"/>
      <c r="LA39" s="53"/>
      <c r="LB39" s="53"/>
      <c r="LC39" s="33"/>
      <c r="LD39" s="2669"/>
      <c r="LF39" s="26">
        <f t="shared" si="71"/>
        <v>7438.34</v>
      </c>
      <c r="LG39" s="27">
        <f t="shared" si="72"/>
        <v>0</v>
      </c>
      <c r="LH39" s="27">
        <f t="shared" si="73"/>
        <v>0</v>
      </c>
      <c r="LI39" s="28">
        <f t="shared" si="74"/>
        <v>7438.34</v>
      </c>
      <c r="LJ39" s="36">
        <v>2</v>
      </c>
      <c r="LK39" s="27"/>
      <c r="LL39" s="27"/>
      <c r="LM39" s="33"/>
      <c r="LN39" s="1041">
        <v>5.2</v>
      </c>
      <c r="LO39" s="21"/>
      <c r="LP39" s="2688"/>
      <c r="LQ39" s="26">
        <v>7438.34</v>
      </c>
      <c r="LR39" s="36"/>
      <c r="LS39" s="27"/>
      <c r="LT39" s="27"/>
      <c r="LU39" s="27"/>
      <c r="LV39" s="1107">
        <f t="shared" si="75"/>
        <v>7438.34</v>
      </c>
      <c r="LW39" s="36"/>
      <c r="LX39" s="36"/>
      <c r="LY39" s="27"/>
      <c r="LZ39" s="27"/>
      <c r="MA39" s="33"/>
      <c r="MB39" s="28">
        <f t="shared" si="76"/>
        <v>0</v>
      </c>
      <c r="MC39" s="26"/>
      <c r="MD39" s="36"/>
      <c r="ME39" s="27"/>
      <c r="MF39" s="27"/>
      <c r="MG39" s="27"/>
      <c r="MH39" s="28"/>
      <c r="MI39" s="36"/>
      <c r="MJ39" s="36"/>
      <c r="MK39" s="27"/>
      <c r="ML39" s="27"/>
      <c r="MM39" s="27"/>
      <c r="MN39" s="28"/>
      <c r="MO39" s="36"/>
      <c r="MP39" s="36"/>
      <c r="MQ39" s="27"/>
      <c r="MR39" s="27"/>
      <c r="MS39" s="27"/>
      <c r="MT39" s="33">
        <f t="shared" si="77"/>
        <v>0</v>
      </c>
      <c r="MU39" s="2688"/>
      <c r="MW39" s="26">
        <f t="shared" si="78"/>
        <v>103318.39630256643</v>
      </c>
      <c r="MX39" s="27">
        <f t="shared" si="79"/>
        <v>148848.68929571754</v>
      </c>
      <c r="MY39" s="27">
        <f t="shared" si="80"/>
        <v>19238.53560828304</v>
      </c>
      <c r="MZ39" s="28">
        <f t="shared" si="81"/>
        <v>432191.51467809116</v>
      </c>
      <c r="NA39" s="2621"/>
      <c r="NB39" s="23">
        <f t="shared" si="82"/>
        <v>87336.908815183371</v>
      </c>
      <c r="NC39" s="64">
        <f t="shared" si="83"/>
        <v>15981.487487383049</v>
      </c>
      <c r="ND39" s="60">
        <f t="shared" si="84"/>
        <v>0</v>
      </c>
      <c r="NE39" s="275">
        <f t="shared" si="4"/>
        <v>103318.39630256643</v>
      </c>
      <c r="NF39" s="26">
        <f t="shared" si="170"/>
        <v>0</v>
      </c>
      <c r="NG39" s="27">
        <f t="shared" si="171"/>
        <v>0</v>
      </c>
      <c r="NH39" s="27">
        <f t="shared" si="172"/>
        <v>0</v>
      </c>
      <c r="NI39" s="27">
        <f t="shared" si="175"/>
        <v>0</v>
      </c>
      <c r="NJ39" s="27">
        <f t="shared" si="173"/>
        <v>0</v>
      </c>
      <c r="NK39" s="33">
        <f t="shared" si="174"/>
        <v>0</v>
      </c>
      <c r="NL39" s="27">
        <f t="shared" si="142"/>
        <v>0</v>
      </c>
      <c r="NM39" s="152">
        <f t="shared" si="143"/>
        <v>0</v>
      </c>
      <c r="NN39" s="27">
        <f t="shared" si="144"/>
        <v>47395.266549275999</v>
      </c>
      <c r="NO39" s="27">
        <f t="shared" si="145"/>
        <v>0</v>
      </c>
      <c r="NP39" s="24">
        <f t="shared" si="146"/>
        <v>8756.5482322711578</v>
      </c>
      <c r="NQ39" s="24">
        <f t="shared" si="147"/>
        <v>9337.1245856875976</v>
      </c>
      <c r="NR39" s="27">
        <f t="shared" si="0"/>
        <v>65488.939367234758</v>
      </c>
      <c r="NS39" s="27">
        <f t="shared" si="86"/>
        <v>0</v>
      </c>
      <c r="NT39" s="27">
        <f t="shared" si="87"/>
        <v>0</v>
      </c>
      <c r="NU39" s="27">
        <f t="shared" si="88"/>
        <v>0</v>
      </c>
      <c r="NV39" s="27">
        <f t="shared" si="89"/>
        <v>0</v>
      </c>
      <c r="NW39" s="5">
        <f t="shared" si="90"/>
        <v>0</v>
      </c>
      <c r="NX39" s="5">
        <f t="shared" si="91"/>
        <v>0</v>
      </c>
      <c r="NY39" s="27">
        <f t="shared" si="92"/>
        <v>6873.2681519076268</v>
      </c>
      <c r="NZ39" s="27">
        <f t="shared" si="93"/>
        <v>0</v>
      </c>
      <c r="OA39" s="27">
        <f t="shared" si="94"/>
        <v>5442.5647599877648</v>
      </c>
      <c r="OB39" s="27"/>
      <c r="OC39" s="24">
        <f t="shared" si="95"/>
        <v>3403.7241844007053</v>
      </c>
      <c r="OD39" s="27">
        <f t="shared" si="96"/>
        <v>0</v>
      </c>
      <c r="OE39" s="28">
        <f t="shared" si="1"/>
        <v>15719.557096296097</v>
      </c>
      <c r="OF39" s="27">
        <f t="shared" si="163"/>
        <v>0</v>
      </c>
      <c r="OG39" s="27">
        <f t="shared" si="164"/>
        <v>0</v>
      </c>
      <c r="OH39" s="27">
        <f t="shared" si="169"/>
        <v>0</v>
      </c>
      <c r="OI39" s="27">
        <f t="shared" si="167"/>
        <v>0</v>
      </c>
      <c r="OJ39" s="27">
        <f t="shared" si="167"/>
        <v>0</v>
      </c>
      <c r="OK39" s="27">
        <f t="shared" si="168"/>
        <v>0</v>
      </c>
      <c r="OL39" s="24">
        <f t="shared" si="168"/>
        <v>0</v>
      </c>
      <c r="OM39" s="27">
        <f t="shared" si="154"/>
        <v>0</v>
      </c>
      <c r="ON39" s="24">
        <f t="shared" si="154"/>
        <v>61299.318513778009</v>
      </c>
      <c r="OO39" s="27">
        <f t="shared" si="156"/>
        <v>0</v>
      </c>
      <c r="OP39" s="27">
        <f t="shared" si="157"/>
        <v>6340.8743184086807</v>
      </c>
      <c r="OQ39" s="27">
        <f t="shared" si="158"/>
        <v>0</v>
      </c>
      <c r="OR39" s="28">
        <f t="shared" si="2"/>
        <v>67640.192832186687</v>
      </c>
      <c r="OS39" s="36"/>
      <c r="OT39" s="27"/>
      <c r="OU39" s="27"/>
      <c r="OV39" s="27"/>
      <c r="OW39" s="27"/>
      <c r="OX39" s="27"/>
      <c r="OY39" s="28">
        <f t="shared" si="98"/>
        <v>0</v>
      </c>
      <c r="OZ39" s="36">
        <f t="shared" si="99"/>
        <v>0</v>
      </c>
      <c r="PA39" s="27">
        <f t="shared" si="100"/>
        <v>0</v>
      </c>
      <c r="PB39" s="27">
        <f t="shared" si="101"/>
        <v>0</v>
      </c>
      <c r="PC39" s="27">
        <f t="shared" si="102"/>
        <v>0</v>
      </c>
      <c r="PD39" s="27">
        <f t="shared" si="103"/>
        <v>0</v>
      </c>
      <c r="PE39" s="27">
        <f t="shared" si="104"/>
        <v>0</v>
      </c>
      <c r="PF39" s="33">
        <f t="shared" si="3"/>
        <v>0</v>
      </c>
      <c r="PG39" s="2621"/>
      <c r="PI39" s="2">
        <v>134.84</v>
      </c>
      <c r="PJ39" s="3"/>
      <c r="PK39" s="3"/>
      <c r="PL39" s="3">
        <f t="shared" si="148"/>
        <v>0</v>
      </c>
      <c r="PM39" s="3">
        <f t="shared" si="149"/>
        <v>3334.16</v>
      </c>
      <c r="PN39" s="11">
        <f t="shared" si="150"/>
        <v>19238.53560828304</v>
      </c>
      <c r="PO39" s="15"/>
      <c r="PP39" s="2615"/>
      <c r="PR39" s="4"/>
      <c r="PS39" s="9"/>
      <c r="PT39" s="9"/>
      <c r="PU39" s="9"/>
      <c r="PV39" s="9"/>
      <c r="PW39" s="9"/>
      <c r="PX39" s="8">
        <f t="shared" si="105"/>
        <v>0</v>
      </c>
      <c r="PY39" s="5">
        <f t="shared" si="106"/>
        <v>134.84</v>
      </c>
      <c r="PZ39" s="5"/>
      <c r="QA39" s="5"/>
      <c r="QB39" s="5"/>
      <c r="QC39" s="5"/>
      <c r="QD39" s="5"/>
      <c r="QE39" s="12">
        <f t="shared" si="107"/>
        <v>29749.381073161156</v>
      </c>
      <c r="QF39" s="420">
        <f t="shared" si="108"/>
        <v>402442.13360493002</v>
      </c>
      <c r="QG39" s="1106">
        <f t="shared" si="109"/>
        <v>0</v>
      </c>
      <c r="QH39" s="484">
        <f t="shared" si="110"/>
        <v>5505.3678056100007</v>
      </c>
      <c r="QI39" s="12"/>
      <c r="QJ39" s="2615"/>
      <c r="QL39" s="139">
        <f t="shared" si="111"/>
        <v>0</v>
      </c>
      <c r="QM39" s="139" t="str">
        <f t="shared" si="112"/>
        <v/>
      </c>
      <c r="QO39" s="139">
        <f t="shared" si="113"/>
        <v>0</v>
      </c>
      <c r="QP39" s="139">
        <f t="shared" si="114"/>
        <v>0</v>
      </c>
      <c r="QR39" s="1">
        <f t="shared" si="115"/>
        <v>0</v>
      </c>
      <c r="QS39" s="1">
        <f t="shared" si="116"/>
        <v>0</v>
      </c>
      <c r="QT39" s="1">
        <f t="shared" si="117"/>
        <v>0</v>
      </c>
      <c r="QU39" s="1">
        <f t="shared" si="118"/>
        <v>0</v>
      </c>
      <c r="QV39" s="1">
        <f t="shared" si="119"/>
        <v>0</v>
      </c>
      <c r="QW39" s="1">
        <f t="shared" si="120"/>
        <v>0</v>
      </c>
      <c r="QY39" s="1">
        <f t="shared" si="121"/>
        <v>0</v>
      </c>
      <c r="QZ39" s="1">
        <f t="shared" si="122"/>
        <v>0</v>
      </c>
      <c r="RA39" s="1">
        <f t="shared" si="123"/>
        <v>0</v>
      </c>
      <c r="RB39" s="1">
        <f t="shared" si="124"/>
        <v>0</v>
      </c>
      <c r="RC39" s="1">
        <f t="shared" si="125"/>
        <v>0</v>
      </c>
      <c r="RD39" s="1">
        <f t="shared" si="126"/>
        <v>0</v>
      </c>
      <c r="RG39" s="1">
        <v>30</v>
      </c>
      <c r="RH39" s="1">
        <f t="shared" si="160"/>
        <v>-127313.20779028288</v>
      </c>
      <c r="RI39" s="1">
        <f t="shared" si="161"/>
        <v>15067.524780483724</v>
      </c>
      <c r="RJ39" s="1">
        <f t="shared" si="162"/>
        <v>13404.263703387322</v>
      </c>
      <c r="RK39" s="89">
        <f t="shared" si="5"/>
        <v>-98841.41930641183</v>
      </c>
      <c r="RL39" s="1033">
        <v>30</v>
      </c>
      <c r="RM39" s="1098">
        <f t="shared" si="166"/>
        <v>0</v>
      </c>
      <c r="RN39" s="1098">
        <f t="shared" si="128"/>
        <v>0</v>
      </c>
      <c r="RO39" s="1097">
        <f t="shared" si="129"/>
        <v>0</v>
      </c>
      <c r="RP39" s="1097">
        <f t="shared" si="151"/>
        <v>3489.6000000000004</v>
      </c>
      <c r="RQ39" s="1094"/>
      <c r="RR39" s="1094" t="s">
        <v>734</v>
      </c>
      <c r="RU39" s="421">
        <v>30</v>
      </c>
      <c r="RV39" s="1095">
        <f t="shared" si="130"/>
        <v>12640.29</v>
      </c>
      <c r="RW39" s="1096" t="s">
        <v>735</v>
      </c>
      <c r="RY39" s="1090"/>
      <c r="RZ39" s="1090">
        <f t="shared" si="131"/>
        <v>0</v>
      </c>
      <c r="SA39" s="1090"/>
      <c r="SB39" s="1090">
        <f t="shared" si="132"/>
        <v>0</v>
      </c>
      <c r="SD39" s="1">
        <v>30</v>
      </c>
      <c r="SE39" s="1">
        <f t="shared" si="133"/>
        <v>0</v>
      </c>
    </row>
    <row r="40" spans="1:500" s="1" customFormat="1">
      <c r="B40" s="1105">
        <v>31</v>
      </c>
      <c r="C40" s="6">
        <f t="shared" si="6"/>
        <v>140294</v>
      </c>
      <c r="D40" s="7">
        <f>P40+T40+X40+AB40</f>
        <v>7316.92</v>
      </c>
      <c r="E40" s="62">
        <f t="shared" si="7"/>
        <v>19.173914707281206</v>
      </c>
      <c r="F40" s="1444"/>
      <c r="G40" s="1445"/>
      <c r="H40" s="56">
        <v>6</v>
      </c>
      <c r="I40" s="62">
        <v>3.83</v>
      </c>
      <c r="J40" s="56"/>
      <c r="K40" s="58"/>
      <c r="L40" s="56">
        <v>6</v>
      </c>
      <c r="M40" s="62">
        <v>2.44</v>
      </c>
      <c r="N40" s="2630"/>
      <c r="O40" s="6">
        <f t="shared" si="8"/>
        <v>85218</v>
      </c>
      <c r="P40" s="5">
        <f t="shared" si="9"/>
        <v>3731.34</v>
      </c>
      <c r="Q40" s="65">
        <f t="shared" si="10"/>
        <v>22.838444097830806</v>
      </c>
      <c r="R40" s="34"/>
      <c r="S40" s="29">
        <f t="shared" si="11"/>
        <v>27978</v>
      </c>
      <c r="T40" s="30">
        <f t="shared" si="12"/>
        <v>1905.5800000000002</v>
      </c>
      <c r="U40" s="57">
        <f t="shared" si="13"/>
        <v>14.682144019143777</v>
      </c>
      <c r="V40" s="31"/>
      <c r="W40" s="29">
        <f t="shared" si="14"/>
        <v>27098</v>
      </c>
      <c r="X40" s="7">
        <f t="shared" si="15"/>
        <v>1680</v>
      </c>
      <c r="Y40" s="57">
        <f t="shared" si="16"/>
        <v>16.129761904761907</v>
      </c>
      <c r="Z40" s="34"/>
      <c r="AA40" s="29">
        <f>SUM(BO40,BR40)</f>
        <v>0</v>
      </c>
      <c r="AB40" s="30">
        <f t="shared" si="18"/>
        <v>0</v>
      </c>
      <c r="AC40" s="57">
        <f t="shared" si="19"/>
        <v>0</v>
      </c>
      <c r="AD40" s="31"/>
      <c r="AE40" s="36"/>
      <c r="AF40" s="36"/>
      <c r="AG40" s="57">
        <f t="shared" si="20"/>
        <v>0</v>
      </c>
      <c r="AH40" s="31"/>
      <c r="AI40" s="23"/>
      <c r="AJ40" s="30"/>
      <c r="AK40" s="57">
        <f t="shared" si="21"/>
        <v>0</v>
      </c>
      <c r="AL40" s="31"/>
      <c r="AM40" s="2630"/>
      <c r="AN40" s="10"/>
      <c r="AO40" s="7"/>
      <c r="AP40" s="62">
        <f t="shared" si="22"/>
        <v>0</v>
      </c>
      <c r="AQ40" s="37"/>
      <c r="AR40" s="57"/>
      <c r="AS40" s="62">
        <f t="shared" si="23"/>
        <v>0</v>
      </c>
      <c r="AT40" s="37"/>
      <c r="AU40" s="30"/>
      <c r="AV40" s="62">
        <f t="shared" si="24"/>
        <v>0</v>
      </c>
      <c r="AW40" s="37">
        <v>45360</v>
      </c>
      <c r="AX40" s="27">
        <v>1644.2800000000002</v>
      </c>
      <c r="AY40" s="62">
        <f t="shared" si="25"/>
        <v>27.586542438027582</v>
      </c>
      <c r="AZ40" s="37"/>
      <c r="BA40" s="30"/>
      <c r="BB40" s="62">
        <f t="shared" si="26"/>
        <v>0</v>
      </c>
      <c r="BC40" s="37">
        <v>39858</v>
      </c>
      <c r="BD40" s="30">
        <v>2087.06</v>
      </c>
      <c r="BE40" s="62">
        <f t="shared" si="27"/>
        <v>19.097678073462191</v>
      </c>
      <c r="BF40" s="37"/>
      <c r="BG40" s="57"/>
      <c r="BH40" s="62">
        <f t="shared" si="28"/>
        <v>0</v>
      </c>
      <c r="BI40" s="37"/>
      <c r="BJ40" s="30"/>
      <c r="BK40" s="62">
        <f>IFERROR(BI40/BJ40,0)</f>
        <v>0</v>
      </c>
      <c r="BL40" s="1104">
        <v>27978</v>
      </c>
      <c r="BM40" s="57">
        <v>1905.5800000000002</v>
      </c>
      <c r="BN40" s="62">
        <f t="shared" si="30"/>
        <v>14.682144019143777</v>
      </c>
      <c r="BO40" s="37"/>
      <c r="BP40" s="57"/>
      <c r="BQ40" s="62">
        <f t="shared" si="31"/>
        <v>0</v>
      </c>
      <c r="BR40" s="37"/>
      <c r="BS40" s="30"/>
      <c r="BT40" s="62">
        <f t="shared" si="32"/>
        <v>0</v>
      </c>
      <c r="BU40" s="37">
        <v>27098</v>
      </c>
      <c r="BV40" s="30">
        <v>1680</v>
      </c>
      <c r="BW40" s="31">
        <f t="shared" si="33"/>
        <v>16.129761904761907</v>
      </c>
      <c r="BX40" s="29"/>
      <c r="BY40" s="7"/>
      <c r="BZ40" s="62">
        <f t="shared" si="34"/>
        <v>0</v>
      </c>
      <c r="CA40" s="37"/>
      <c r="CB40" s="30"/>
      <c r="CC40" s="62">
        <f t="shared" si="35"/>
        <v>0</v>
      </c>
      <c r="CD40" s="29"/>
      <c r="CE40" s="30"/>
      <c r="CF40" s="31">
        <f t="shared" si="36"/>
        <v>0</v>
      </c>
      <c r="CG40" s="151"/>
      <c r="CH40" s="10"/>
      <c r="CI40" s="5"/>
      <c r="CJ40" s="7"/>
      <c r="CK40" s="7">
        <v>0</v>
      </c>
      <c r="CL40" s="7"/>
      <c r="CM40" s="7">
        <f t="shared" si="135"/>
        <v>0</v>
      </c>
      <c r="CN40" s="34"/>
      <c r="CO40" s="367"/>
      <c r="CQ40" s="6">
        <f t="shared" si="37"/>
        <v>0</v>
      </c>
      <c r="CR40" s="10">
        <f t="shared" si="38"/>
        <v>0</v>
      </c>
      <c r="CS40" s="7">
        <f t="shared" si="39"/>
        <v>0</v>
      </c>
      <c r="CT40" s="7">
        <f t="shared" si="40"/>
        <v>0</v>
      </c>
      <c r="CU40" s="7">
        <f t="shared" si="41"/>
        <v>0</v>
      </c>
      <c r="CV40" s="7">
        <f t="shared" si="42"/>
        <v>0</v>
      </c>
      <c r="CW40" s="7">
        <f t="shared" si="43"/>
        <v>551.34</v>
      </c>
      <c r="CX40" s="7">
        <f t="shared" si="44"/>
        <v>0</v>
      </c>
      <c r="CY40" s="7">
        <f t="shared" si="45"/>
        <v>5352.88</v>
      </c>
      <c r="CZ40" s="7">
        <f t="shared" si="46"/>
        <v>0</v>
      </c>
      <c r="DA40" s="7">
        <f t="shared" si="47"/>
        <v>1412.6999999999998</v>
      </c>
      <c r="DB40" s="13">
        <f t="shared" si="48"/>
        <v>0</v>
      </c>
      <c r="DC40" s="310">
        <f>SUM(CQ40:DB40,PV40)</f>
        <v>7316.92</v>
      </c>
      <c r="DD40" s="2696"/>
      <c r="DE40" s="10"/>
      <c r="DF40" s="10"/>
      <c r="DG40" s="7"/>
      <c r="DH40" s="7"/>
      <c r="DI40" s="7"/>
      <c r="DJ40" s="7"/>
      <c r="DK40" s="7">
        <v>551.34</v>
      </c>
      <c r="DL40" s="7"/>
      <c r="DM40" s="7">
        <v>1092.94</v>
      </c>
      <c r="DN40" s="7"/>
      <c r="DO40" s="7"/>
      <c r="DP40" s="13"/>
      <c r="DQ40" s="31">
        <f t="shared" si="50"/>
        <v>1644.2800000000002</v>
      </c>
      <c r="DR40" s="37"/>
      <c r="DS40" s="37"/>
      <c r="DT40" s="30"/>
      <c r="DU40" s="30"/>
      <c r="DV40" s="30"/>
      <c r="DW40" s="30"/>
      <c r="DX40" s="30"/>
      <c r="DY40" s="30"/>
      <c r="DZ40" s="30">
        <v>2579.94</v>
      </c>
      <c r="EA40" s="30"/>
      <c r="EB40" s="30">
        <v>1412.6999999999998</v>
      </c>
      <c r="EC40" s="34"/>
      <c r="ED40" s="61">
        <f t="shared" si="51"/>
        <v>3992.64</v>
      </c>
      <c r="EE40" s="37"/>
      <c r="EF40" s="37"/>
      <c r="EG40" s="30"/>
      <c r="EH40" s="30"/>
      <c r="EI40" s="30"/>
      <c r="EJ40" s="30"/>
      <c r="EK40" s="30"/>
      <c r="EL40" s="30"/>
      <c r="EM40" s="30">
        <v>1680</v>
      </c>
      <c r="EN40" s="30"/>
      <c r="EO40" s="30"/>
      <c r="EP40" s="34"/>
      <c r="EQ40" s="31">
        <f t="shared" si="52"/>
        <v>1680</v>
      </c>
      <c r="ER40" s="37"/>
      <c r="ES40" s="30"/>
      <c r="ET40" s="30"/>
      <c r="EU40" s="30"/>
      <c r="EV40" s="30"/>
      <c r="EW40" s="30"/>
      <c r="EX40" s="34">
        <f t="shared" si="53"/>
        <v>0</v>
      </c>
      <c r="EY40" s="2686"/>
      <c r="FA40" s="6">
        <f t="shared" si="54"/>
        <v>0</v>
      </c>
      <c r="FB40" s="7">
        <f t="shared" si="55"/>
        <v>0</v>
      </c>
      <c r="FC40" s="7">
        <f t="shared" si="56"/>
        <v>0</v>
      </c>
      <c r="FD40" s="13">
        <f t="shared" si="57"/>
        <v>0</v>
      </c>
      <c r="FE40" s="34"/>
      <c r="FF40" s="2675"/>
      <c r="FG40" s="10"/>
      <c r="FH40" s="7"/>
      <c r="FI40" s="7"/>
      <c r="FJ40" s="7"/>
      <c r="FK40" s="7"/>
      <c r="FL40" s="30"/>
      <c r="FM40" s="31">
        <f t="shared" si="58"/>
        <v>0</v>
      </c>
      <c r="FN40" s="37"/>
      <c r="FO40" s="30"/>
      <c r="FP40" s="30"/>
      <c r="FQ40" s="30"/>
      <c r="FR40" s="30"/>
      <c r="FS40" s="30"/>
      <c r="FT40" s="31">
        <f t="shared" si="59"/>
        <v>0</v>
      </c>
      <c r="FU40" s="37"/>
      <c r="FV40" s="37"/>
      <c r="FW40" s="30"/>
      <c r="FX40" s="30"/>
      <c r="FY40" s="30"/>
      <c r="FZ40" s="30"/>
      <c r="GA40" s="30"/>
      <c r="GB40" s="30"/>
      <c r="GC40" s="30"/>
      <c r="GD40" s="30"/>
      <c r="GE40" s="30"/>
      <c r="GF40" s="34"/>
      <c r="GG40" s="34">
        <f t="shared" si="60"/>
        <v>0</v>
      </c>
      <c r="GH40" s="2675"/>
      <c r="GJ40" s="6">
        <f t="shared" si="61"/>
        <v>4192.5099999999993</v>
      </c>
      <c r="GK40" s="7">
        <f t="shared" si="62"/>
        <v>1870.6999999999998</v>
      </c>
      <c r="GL40" s="30">
        <f t="shared" si="63"/>
        <v>4888.8899999999994</v>
      </c>
      <c r="GM40" s="30">
        <f t="shared" si="64"/>
        <v>10952.099999999999</v>
      </c>
      <c r="GN40" s="279"/>
      <c r="GO40" s="279"/>
      <c r="GP40" s="34"/>
      <c r="GQ40" s="2668"/>
      <c r="GR40" s="1104">
        <v>4313.0199999999995</v>
      </c>
      <c r="GS40" s="30">
        <v>732.7</v>
      </c>
      <c r="GT40" s="30">
        <v>2940.1000000000004</v>
      </c>
      <c r="GU40" s="30">
        <v>2966.2799999999997</v>
      </c>
      <c r="GV40" s="31">
        <f t="shared" si="65"/>
        <v>10952.099999999999</v>
      </c>
      <c r="GW40" s="2668"/>
      <c r="GX40" s="37"/>
      <c r="GY40" s="37"/>
      <c r="GZ40" s="30"/>
      <c r="HA40" s="30"/>
      <c r="HB40" s="30"/>
      <c r="HC40" s="30"/>
      <c r="HD40" s="30"/>
      <c r="HE40" s="30"/>
      <c r="HF40" s="30">
        <v>1819.2599999999998</v>
      </c>
      <c r="HG40" s="30"/>
      <c r="HH40" s="30">
        <v>1640.55</v>
      </c>
      <c r="HI40" s="30"/>
      <c r="HJ40" s="30">
        <v>732.7</v>
      </c>
      <c r="HK40" s="30"/>
      <c r="HL40" s="31">
        <f t="shared" si="66"/>
        <v>4192.5099999999993</v>
      </c>
      <c r="HM40" s="37"/>
      <c r="HN40" s="30"/>
      <c r="HO40" s="30"/>
      <c r="HP40" s="30"/>
      <c r="HQ40" s="30"/>
      <c r="HR40" s="30"/>
      <c r="HS40" s="30"/>
      <c r="HT40" s="30"/>
      <c r="HU40" s="30"/>
      <c r="HV40" s="30"/>
      <c r="HW40" s="30"/>
      <c r="HX40" s="30"/>
      <c r="HY40" s="30"/>
      <c r="HZ40" s="30"/>
      <c r="IA40" s="34">
        <f t="shared" si="67"/>
        <v>0</v>
      </c>
      <c r="IB40" s="56"/>
      <c r="IC40" s="1104"/>
      <c r="ID40" s="57"/>
      <c r="IE40" s="57"/>
      <c r="IF40" s="57"/>
      <c r="IG40" s="57"/>
      <c r="IH40" s="57">
        <v>1783.58</v>
      </c>
      <c r="II40" s="57"/>
      <c r="IJ40" s="57">
        <v>87.12</v>
      </c>
      <c r="IK40" s="57"/>
      <c r="IL40" s="57"/>
      <c r="IM40" s="30"/>
      <c r="IN40" s="30"/>
      <c r="IO40" s="30"/>
      <c r="IP40" s="62">
        <f t="shared" si="68"/>
        <v>1870.6999999999998</v>
      </c>
      <c r="IQ40" s="37"/>
      <c r="IR40" s="37"/>
      <c r="IS40" s="30"/>
      <c r="IT40" s="30"/>
      <c r="IU40" s="57"/>
      <c r="IV40" s="30"/>
      <c r="IW40" s="30"/>
      <c r="IX40" s="30"/>
      <c r="IY40" s="30">
        <v>3153.52</v>
      </c>
      <c r="IZ40" s="30"/>
      <c r="JA40" s="30">
        <v>1735.37</v>
      </c>
      <c r="JB40" s="30"/>
      <c r="JC40" s="30"/>
      <c r="JD40" s="30"/>
      <c r="JE40" s="854">
        <f t="shared" si="69"/>
        <v>4888.8899999999994</v>
      </c>
      <c r="JF40" s="2668"/>
      <c r="JH40" s="52">
        <v>5644.2300000000005</v>
      </c>
      <c r="JI40" s="57">
        <v>5307.869999999999</v>
      </c>
      <c r="JJ40" s="30"/>
      <c r="JK40" s="57">
        <f t="shared" si="70"/>
        <v>10952.099999999999</v>
      </c>
      <c r="JL40" s="31"/>
      <c r="JM40" s="2670"/>
      <c r="JN40" s="74"/>
      <c r="JO40" s="75"/>
      <c r="JP40" s="75"/>
      <c r="JQ40" s="75"/>
      <c r="JR40" s="75">
        <v>0.74462089070780113</v>
      </c>
      <c r="JS40" s="75">
        <v>0.25537910929219881</v>
      </c>
      <c r="JT40" s="75"/>
      <c r="JU40" s="76"/>
      <c r="JV40" s="74"/>
      <c r="JW40" s="75"/>
      <c r="JX40" s="75"/>
      <c r="JY40" s="75">
        <v>0.31467893285694631</v>
      </c>
      <c r="JZ40" s="75">
        <v>3.1208644719021444E-2</v>
      </c>
      <c r="KA40" s="75">
        <v>0.65411242242403222</v>
      </c>
      <c r="KB40" s="75"/>
      <c r="KC40" s="76"/>
      <c r="KD40" s="77"/>
      <c r="KE40" s="75"/>
      <c r="KF40" s="75"/>
      <c r="KG40" s="75"/>
      <c r="KH40" s="75"/>
      <c r="KI40" s="75"/>
      <c r="KJ40" s="75"/>
      <c r="KK40" s="75"/>
      <c r="KL40" s="31"/>
      <c r="KM40" s="2670"/>
      <c r="KN40" s="29">
        <v>7049</v>
      </c>
      <c r="KO40" s="57">
        <v>0.76</v>
      </c>
      <c r="KP40" s="57">
        <v>2.8300000000000005</v>
      </c>
      <c r="KQ40" s="57">
        <v>6.6</v>
      </c>
      <c r="KR40" s="58">
        <v>11.9238</v>
      </c>
      <c r="KS40" s="1063">
        <v>6758</v>
      </c>
      <c r="KT40" s="65">
        <v>1.7</v>
      </c>
      <c r="KU40" s="65">
        <v>5.9700000000000006</v>
      </c>
      <c r="KV40" s="65">
        <v>5.95</v>
      </c>
      <c r="KW40" s="1064">
        <v>11.085129999999999</v>
      </c>
      <c r="KX40" s="37"/>
      <c r="KY40" s="57"/>
      <c r="KZ40" s="57"/>
      <c r="LA40" s="57"/>
      <c r="LB40" s="57"/>
      <c r="LC40" s="31"/>
      <c r="LD40" s="2670"/>
      <c r="LF40" s="29">
        <f t="shared" si="71"/>
        <v>22633.17</v>
      </c>
      <c r="LG40" s="30">
        <f t="shared" si="72"/>
        <v>0</v>
      </c>
      <c r="LH40" s="30">
        <f t="shared" si="73"/>
        <v>0</v>
      </c>
      <c r="LI40" s="31">
        <f t="shared" si="74"/>
        <v>22633.17</v>
      </c>
      <c r="LJ40" s="37">
        <v>3</v>
      </c>
      <c r="LK40" s="30"/>
      <c r="LL40" s="30">
        <v>5</v>
      </c>
      <c r="LM40" s="34"/>
      <c r="LN40" s="1103">
        <v>4.9800000000000004</v>
      </c>
      <c r="LO40" s="332"/>
      <c r="LP40" s="2689"/>
      <c r="LQ40" s="29">
        <v>22633.17</v>
      </c>
      <c r="LR40" s="37"/>
      <c r="LS40" s="30"/>
      <c r="LT40" s="30"/>
      <c r="LU40" s="30"/>
      <c r="LV40" s="1102">
        <f t="shared" si="75"/>
        <v>22633.17</v>
      </c>
      <c r="LW40" s="37"/>
      <c r="LX40" s="37"/>
      <c r="LY40" s="30"/>
      <c r="LZ40" s="30"/>
      <c r="MA40" s="34"/>
      <c r="MB40" s="31">
        <f t="shared" si="76"/>
        <v>0</v>
      </c>
      <c r="MC40" s="29"/>
      <c r="MD40" s="37"/>
      <c r="ME40" s="30"/>
      <c r="MF40" s="30"/>
      <c r="MG40" s="30"/>
      <c r="MH40" s="31"/>
      <c r="MI40" s="37"/>
      <c r="MJ40" s="37"/>
      <c r="MK40" s="30"/>
      <c r="ML40" s="30"/>
      <c r="MM40" s="30"/>
      <c r="MN40" s="31"/>
      <c r="MO40" s="37"/>
      <c r="MP40" s="37"/>
      <c r="MQ40" s="30"/>
      <c r="MR40" s="30"/>
      <c r="MS40" s="30"/>
      <c r="MT40" s="34">
        <f t="shared" si="77"/>
        <v>0</v>
      </c>
      <c r="MU40" s="2689"/>
      <c r="MW40" s="29">
        <f t="shared" si="78"/>
        <v>91637.32630256642</v>
      </c>
      <c r="MX40" s="30">
        <f t="shared" si="79"/>
        <v>145946.20929571753</v>
      </c>
      <c r="MY40" s="30">
        <f t="shared" si="80"/>
        <v>18505.83560828304</v>
      </c>
      <c r="MZ40" s="31">
        <f t="shared" si="81"/>
        <v>432191.51467809116</v>
      </c>
      <c r="NA40" s="2622"/>
      <c r="NB40" s="23">
        <f t="shared" si="82"/>
        <v>70347.968815183369</v>
      </c>
      <c r="NC40" s="64">
        <f t="shared" si="83"/>
        <v>21289.357487383048</v>
      </c>
      <c r="ND40" s="60">
        <f t="shared" si="84"/>
        <v>0</v>
      </c>
      <c r="NE40" s="276">
        <f t="shared" si="4"/>
        <v>91637.32630256642</v>
      </c>
      <c r="NF40" s="26">
        <f t="shared" si="170"/>
        <v>0</v>
      </c>
      <c r="NG40" s="30">
        <f t="shared" si="171"/>
        <v>0</v>
      </c>
      <c r="NH40" s="30">
        <f t="shared" si="172"/>
        <v>0</v>
      </c>
      <c r="NI40" s="30">
        <f t="shared" si="175"/>
        <v>0</v>
      </c>
      <c r="NJ40" s="30">
        <f t="shared" si="173"/>
        <v>0</v>
      </c>
      <c r="NK40" s="34">
        <f t="shared" si="174"/>
        <v>0</v>
      </c>
      <c r="NL40" s="1233">
        <f t="shared" si="142"/>
        <v>0</v>
      </c>
      <c r="NM40" s="57">
        <f t="shared" si="143"/>
        <v>0</v>
      </c>
      <c r="NN40" s="30">
        <f t="shared" si="144"/>
        <v>47256.006549275997</v>
      </c>
      <c r="NO40" s="30">
        <f t="shared" si="145"/>
        <v>0</v>
      </c>
      <c r="NP40" s="24">
        <f t="shared" si="146"/>
        <v>8756.5482322711578</v>
      </c>
      <c r="NQ40" s="24">
        <f t="shared" si="147"/>
        <v>7696.5745856875974</v>
      </c>
      <c r="NR40" s="30">
        <f t="shared" si="0"/>
        <v>63709.129367234746</v>
      </c>
      <c r="NS40" s="30">
        <f t="shared" si="86"/>
        <v>0</v>
      </c>
      <c r="NT40" s="30">
        <f t="shared" si="87"/>
        <v>0</v>
      </c>
      <c r="NU40" s="30">
        <f t="shared" si="88"/>
        <v>0</v>
      </c>
      <c r="NV40" s="30">
        <f t="shared" si="89"/>
        <v>0</v>
      </c>
      <c r="NW40" s="7">
        <f t="shared" si="90"/>
        <v>0</v>
      </c>
      <c r="NX40" s="7">
        <f t="shared" si="91"/>
        <v>0</v>
      </c>
      <c r="NY40" s="30">
        <f t="shared" si="92"/>
        <v>5641.028151907627</v>
      </c>
      <c r="NZ40" s="30">
        <f t="shared" si="93"/>
        <v>0</v>
      </c>
      <c r="OA40" s="30">
        <f t="shared" si="94"/>
        <v>6448.3847599877654</v>
      </c>
      <c r="OB40" s="30"/>
      <c r="OC40" s="30">
        <f t="shared" si="95"/>
        <v>3403.7241844007053</v>
      </c>
      <c r="OD40" s="30">
        <f t="shared" si="96"/>
        <v>0</v>
      </c>
      <c r="OE40" s="30">
        <f t="shared" si="1"/>
        <v>15493.137096296099</v>
      </c>
      <c r="OF40" s="30">
        <f t="shared" si="163"/>
        <v>0</v>
      </c>
      <c r="OG40" s="30">
        <f t="shared" si="164"/>
        <v>0</v>
      </c>
      <c r="OH40" s="30">
        <f t="shared" si="169"/>
        <v>0</v>
      </c>
      <c r="OI40" s="30">
        <f t="shared" si="167"/>
        <v>0</v>
      </c>
      <c r="OJ40" s="27">
        <f t="shared" si="167"/>
        <v>0</v>
      </c>
      <c r="OK40" s="30">
        <f t="shared" si="168"/>
        <v>0</v>
      </c>
      <c r="OL40" s="24">
        <f t="shared" si="168"/>
        <v>0</v>
      </c>
      <c r="OM40" s="30">
        <f t="shared" si="154"/>
        <v>0</v>
      </c>
      <c r="ON40" s="24">
        <f t="shared" si="154"/>
        <v>60725.738513778015</v>
      </c>
      <c r="OO40" s="30">
        <f t="shared" si="156"/>
        <v>0</v>
      </c>
      <c r="OP40" s="30">
        <f t="shared" si="157"/>
        <v>6018.2043184086806</v>
      </c>
      <c r="OQ40" s="30">
        <f t="shared" si="158"/>
        <v>0</v>
      </c>
      <c r="OR40" s="31">
        <f t="shared" si="2"/>
        <v>66743.942832186702</v>
      </c>
      <c r="OS40" s="37"/>
      <c r="OT40" s="30"/>
      <c r="OU40" s="30"/>
      <c r="OV40" s="30"/>
      <c r="OW40" s="30"/>
      <c r="OX40" s="30"/>
      <c r="OY40" s="31">
        <f t="shared" si="98"/>
        <v>0</v>
      </c>
      <c r="OZ40" s="37">
        <f t="shared" si="99"/>
        <v>0</v>
      </c>
      <c r="PA40" s="30">
        <f t="shared" si="100"/>
        <v>0</v>
      </c>
      <c r="PB40" s="30">
        <f t="shared" si="101"/>
        <v>0</v>
      </c>
      <c r="PC40" s="30">
        <f t="shared" si="102"/>
        <v>0</v>
      </c>
      <c r="PD40" s="30">
        <f t="shared" si="103"/>
        <v>0</v>
      </c>
      <c r="PE40" s="30">
        <f t="shared" si="104"/>
        <v>0</v>
      </c>
      <c r="PF40" s="34">
        <f t="shared" si="3"/>
        <v>0</v>
      </c>
      <c r="PG40" s="2622"/>
      <c r="PI40" s="2"/>
      <c r="PJ40" s="3"/>
      <c r="PK40" s="3"/>
      <c r="PL40" s="3">
        <f t="shared" si="148"/>
        <v>732.7</v>
      </c>
      <c r="PM40" s="3">
        <f t="shared" si="149"/>
        <v>3334.16</v>
      </c>
      <c r="PN40" s="11">
        <f t="shared" si="150"/>
        <v>18505.83560828304</v>
      </c>
      <c r="PO40" s="16"/>
      <c r="PP40" s="2616"/>
      <c r="PR40" s="6"/>
      <c r="PS40" s="10"/>
      <c r="PT40" s="10"/>
      <c r="PU40" s="10"/>
      <c r="PV40" s="10"/>
      <c r="PW40" s="10"/>
      <c r="PX40" s="1101">
        <f t="shared" si="105"/>
        <v>0</v>
      </c>
      <c r="PY40" s="7">
        <f t="shared" si="106"/>
        <v>0</v>
      </c>
      <c r="PZ40" s="7"/>
      <c r="QA40" s="7"/>
      <c r="QB40" s="7"/>
      <c r="QC40" s="7"/>
      <c r="QD40" s="7"/>
      <c r="QE40" s="13">
        <f t="shared" si="107"/>
        <v>29749.381073161156</v>
      </c>
      <c r="QF40" s="1100">
        <f t="shared" si="108"/>
        <v>402442.13360493002</v>
      </c>
      <c r="QG40" s="1099">
        <f t="shared" si="109"/>
        <v>0</v>
      </c>
      <c r="QH40" s="484">
        <f t="shared" si="110"/>
        <v>5505.3678056100007</v>
      </c>
      <c r="QI40" s="13"/>
      <c r="QJ40" s="2616"/>
      <c r="QL40" s="139">
        <f t="shared" si="111"/>
        <v>0</v>
      </c>
      <c r="QM40" s="139" t="str">
        <f t="shared" si="112"/>
        <v/>
      </c>
      <c r="QO40" s="139">
        <f t="shared" si="113"/>
        <v>0</v>
      </c>
      <c r="QP40" s="139">
        <f t="shared" si="114"/>
        <v>0</v>
      </c>
      <c r="QR40" s="1">
        <f t="shared" si="115"/>
        <v>0</v>
      </c>
      <c r="QS40" s="1">
        <f t="shared" si="116"/>
        <v>0</v>
      </c>
      <c r="QT40" s="1">
        <f t="shared" si="117"/>
        <v>0</v>
      </c>
      <c r="QU40" s="1">
        <f t="shared" si="118"/>
        <v>0</v>
      </c>
      <c r="QV40" s="1">
        <f t="shared" si="119"/>
        <v>0</v>
      </c>
      <c r="QW40" s="1">
        <f t="shared" si="120"/>
        <v>0</v>
      </c>
      <c r="QY40" s="1">
        <f t="shared" si="121"/>
        <v>0</v>
      </c>
      <c r="QZ40" s="1">
        <f t="shared" si="122"/>
        <v>0</v>
      </c>
      <c r="RA40" s="1">
        <f t="shared" si="123"/>
        <v>0</v>
      </c>
      <c r="RB40" s="1">
        <f t="shared" si="124"/>
        <v>0</v>
      </c>
      <c r="RC40" s="1">
        <f t="shared" si="125"/>
        <v>0</v>
      </c>
      <c r="RD40" s="1">
        <f t="shared" si="126"/>
        <v>0</v>
      </c>
      <c r="RG40" s="1">
        <v>31</v>
      </c>
      <c r="RH40" s="1">
        <f t="shared" si="160"/>
        <v>-144302.14779028288</v>
      </c>
      <c r="RI40" s="1">
        <f t="shared" si="161"/>
        <v>20375.394780483723</v>
      </c>
      <c r="RJ40" s="1">
        <f t="shared" si="162"/>
        <v>13404.263703387322</v>
      </c>
      <c r="RK40" s="89">
        <f t="shared" si="5"/>
        <v>-110522.48930641184</v>
      </c>
      <c r="RL40" s="1033">
        <v>31</v>
      </c>
      <c r="RM40" s="1098">
        <f t="shared" si="166"/>
        <v>0</v>
      </c>
      <c r="RN40" s="1098">
        <f t="shared" si="128"/>
        <v>0</v>
      </c>
      <c r="RO40" s="1097">
        <f t="shared" si="129"/>
        <v>0</v>
      </c>
      <c r="RP40" s="1097">
        <f t="shared" si="151"/>
        <v>5636.92</v>
      </c>
      <c r="RQ40" s="1094"/>
      <c r="RR40" s="1096" t="s">
        <v>736</v>
      </c>
      <c r="RU40" s="421">
        <v>31</v>
      </c>
      <c r="RV40" s="1095">
        <f t="shared" si="130"/>
        <v>10952.099999999999</v>
      </c>
      <c r="RW40" s="1094" t="s">
        <v>737</v>
      </c>
      <c r="RY40" s="1090"/>
      <c r="RZ40" s="1090">
        <f t="shared" si="131"/>
        <v>0</v>
      </c>
      <c r="SA40" s="1090"/>
      <c r="SB40" s="1090">
        <f t="shared" si="132"/>
        <v>0</v>
      </c>
      <c r="SD40" s="1">
        <v>31</v>
      </c>
      <c r="SE40" s="1">
        <f t="shared" si="133"/>
        <v>732.7</v>
      </c>
      <c r="SF40" s="1094" t="s">
        <v>738</v>
      </c>
    </row>
    <row r="41" spans="1:500" s="38" customFormat="1" ht="13.95" customHeight="1">
      <c r="A41" s="307" t="s">
        <v>206</v>
      </c>
      <c r="B41" s="307"/>
      <c r="C41" s="72">
        <f>SUM(C10:C40)</f>
        <v>3907108.7</v>
      </c>
      <c r="D41" s="72">
        <f>SUM(D10:D40)</f>
        <v>215585.98</v>
      </c>
      <c r="E41" s="38">
        <f t="shared" si="7"/>
        <v>18.123204022821891</v>
      </c>
      <c r="H41" s="38">
        <f t="shared" ref="H41:P41" si="176">SUM(H10:H40)</f>
        <v>525</v>
      </c>
      <c r="I41" s="38">
        <f t="shared" si="176"/>
        <v>141.09000000000003</v>
      </c>
      <c r="J41" s="38">
        <f t="shared" si="176"/>
        <v>0</v>
      </c>
      <c r="K41" s="38">
        <f t="shared" si="176"/>
        <v>0</v>
      </c>
      <c r="L41" s="38">
        <f t="shared" si="176"/>
        <v>235.10999999999999</v>
      </c>
      <c r="M41" s="38">
        <f t="shared" si="176"/>
        <v>115.13</v>
      </c>
      <c r="N41" s="72">
        <f t="shared" si="176"/>
        <v>0</v>
      </c>
      <c r="O41" s="72">
        <f t="shared" si="176"/>
        <v>2280968</v>
      </c>
      <c r="P41" s="38">
        <f t="shared" si="176"/>
        <v>123930.96000000002</v>
      </c>
      <c r="Q41" s="38">
        <f t="shared" si="10"/>
        <v>18.40515073876616</v>
      </c>
      <c r="R41" s="72">
        <f>SUM(R10:R40)</f>
        <v>0</v>
      </c>
      <c r="S41" s="1409">
        <f t="shared" si="11"/>
        <v>759997.7</v>
      </c>
      <c r="T41" s="1410">
        <f>SUM(T10:T40)</f>
        <v>31325.600000000006</v>
      </c>
      <c r="U41" s="1410">
        <f t="shared" si="13"/>
        <v>24.261233623617738</v>
      </c>
      <c r="V41" s="72">
        <f>SUM(V10:V40)</f>
        <v>0</v>
      </c>
      <c r="W41" s="72">
        <f>SUM(W10:W40)</f>
        <v>854736</v>
      </c>
      <c r="X41" s="72">
        <f>SUM(X10:X40)</f>
        <v>55344</v>
      </c>
      <c r="Y41" s="38">
        <f t="shared" si="16"/>
        <v>15.444058976582827</v>
      </c>
      <c r="Z41" s="72">
        <f>SUM(Z10:Z40)</f>
        <v>0</v>
      </c>
      <c r="AA41" s="72">
        <f>SUM(AA10:AA40)</f>
        <v>11407</v>
      </c>
      <c r="AB41" s="72">
        <f t="shared" si="18"/>
        <v>4985.42</v>
      </c>
      <c r="AC41" s="38">
        <f t="shared" si="19"/>
        <v>2.2880720180045011</v>
      </c>
      <c r="AD41" s="72"/>
      <c r="AE41" s="72">
        <f>SUM(AE10:AE40)</f>
        <v>0</v>
      </c>
      <c r="AF41" s="38">
        <f>SUM(AF10:AF40)</f>
        <v>0</v>
      </c>
      <c r="AG41" s="38">
        <f t="shared" si="20"/>
        <v>0</v>
      </c>
      <c r="AH41" s="72">
        <f>SUM(AH10:AH40)</f>
        <v>0</v>
      </c>
      <c r="AI41" s="72">
        <f>SUM(AI10:AI40)</f>
        <v>0</v>
      </c>
      <c r="AJ41" s="72">
        <f>SUM(AJ10:AJ40)</f>
        <v>0</v>
      </c>
      <c r="AK41" s="38">
        <f t="shared" si="21"/>
        <v>0</v>
      </c>
      <c r="AL41" s="72">
        <f>SUM(AL10:AL40)</f>
        <v>0</v>
      </c>
      <c r="AM41" s="72">
        <f>SUM(AM10:AM40)</f>
        <v>0</v>
      </c>
      <c r="AN41" s="72">
        <f>SUM(AN10:AN40)</f>
        <v>0</v>
      </c>
      <c r="AO41" s="72">
        <f>SUM(AO10:AO40)</f>
        <v>0</v>
      </c>
      <c r="AP41" s="38">
        <f t="shared" si="22"/>
        <v>0</v>
      </c>
      <c r="AQ41" s="72">
        <f>SUM(AQ10:AQ40)</f>
        <v>0</v>
      </c>
      <c r="AR41" s="38">
        <f>SUM(AR10:AR40)</f>
        <v>0</v>
      </c>
      <c r="AS41" s="38">
        <f t="shared" si="23"/>
        <v>0</v>
      </c>
      <c r="AT41" s="72">
        <f>SUM(AT10:AT40)</f>
        <v>0</v>
      </c>
      <c r="AU41" s="72">
        <f>SUM(AU10:AU40)</f>
        <v>0</v>
      </c>
      <c r="AV41" s="38">
        <f t="shared" si="24"/>
        <v>0</v>
      </c>
      <c r="AW41" s="72">
        <f>SUM(AW10:AW40)</f>
        <v>1241562</v>
      </c>
      <c r="AX41" s="38">
        <f>SUM(AX10:AX40)</f>
        <v>77937.64</v>
      </c>
      <c r="AY41" s="38">
        <f t="shared" si="25"/>
        <v>15.930197527151194</v>
      </c>
      <c r="AZ41" s="72">
        <f>SUM(AZ10:AZ40)</f>
        <v>0</v>
      </c>
      <c r="BA41" s="72">
        <f>SUM(BA10:BA40)</f>
        <v>0</v>
      </c>
      <c r="BB41" s="38">
        <f t="shared" si="26"/>
        <v>0</v>
      </c>
      <c r="BC41" s="72">
        <f>SUM(BC10:BC40)</f>
        <v>1039406</v>
      </c>
      <c r="BD41" s="38">
        <f>SUM(BD10:BD40)</f>
        <v>45993.319999999992</v>
      </c>
      <c r="BE41" s="38">
        <f t="shared" si="27"/>
        <v>22.599064385871692</v>
      </c>
      <c r="BF41" s="72">
        <f>SUM(BF10:BF40)</f>
        <v>0</v>
      </c>
      <c r="BG41" s="38">
        <f>SUM(BG10:BG40)</f>
        <v>0</v>
      </c>
      <c r="BH41" s="38">
        <f t="shared" si="28"/>
        <v>0</v>
      </c>
      <c r="BI41" s="72">
        <f>SUM(BI10:BI40)</f>
        <v>0</v>
      </c>
      <c r="BJ41" s="38">
        <f>SUM(BJ10:BJ40)</f>
        <v>0</v>
      </c>
      <c r="BK41" s="38">
        <f>IFERROR(BI41/BJ41,0)</f>
        <v>0</v>
      </c>
      <c r="BL41" s="38">
        <f>SUM(BL10:BL40)</f>
        <v>759997.7</v>
      </c>
      <c r="BM41" s="38">
        <f>SUM(BM10:BM40)</f>
        <v>31325.600000000006</v>
      </c>
      <c r="BN41" s="38">
        <f t="shared" si="30"/>
        <v>24.261233623617738</v>
      </c>
      <c r="BO41" s="72">
        <f>SUM(BO10:BO40)</f>
        <v>11407</v>
      </c>
      <c r="BP41" s="38">
        <f>SUM(BP10:BP40)</f>
        <v>4985.42</v>
      </c>
      <c r="BQ41" s="38">
        <f t="shared" si="31"/>
        <v>2.2880720180045011</v>
      </c>
      <c r="BR41" s="72">
        <f>SUM(BR10:BR40)</f>
        <v>0</v>
      </c>
      <c r="BS41" s="38">
        <f>SUM(BS10:BS40)</f>
        <v>0</v>
      </c>
      <c r="BT41" s="38">
        <f t="shared" si="32"/>
        <v>0</v>
      </c>
      <c r="BU41" s="72">
        <f>SUM(BU10:BU40)</f>
        <v>854736</v>
      </c>
      <c r="BV41" s="72">
        <f>SUM(BV10:BV40)</f>
        <v>55344</v>
      </c>
      <c r="BW41" s="38">
        <f t="shared" si="33"/>
        <v>15.444058976582827</v>
      </c>
      <c r="BX41" s="72">
        <f>SUM(BX10:BX40)</f>
        <v>0</v>
      </c>
      <c r="BY41" s="38">
        <f>SUM(BY10:BY40)</f>
        <v>0</v>
      </c>
      <c r="BZ41" s="38">
        <f t="shared" si="34"/>
        <v>0</v>
      </c>
      <c r="CA41" s="72">
        <f>SUM(CA10:CA40)</f>
        <v>0</v>
      </c>
      <c r="CB41" s="72">
        <f>SUM(CB10:CB40)</f>
        <v>0</v>
      </c>
      <c r="CC41" s="38">
        <f t="shared" si="35"/>
        <v>0</v>
      </c>
      <c r="CD41" s="72">
        <f>SUM(CD10:CD40)</f>
        <v>0</v>
      </c>
      <c r="CE41" s="278">
        <f>SUM(CE10:CE40)</f>
        <v>0</v>
      </c>
      <c r="CF41" s="38">
        <f t="shared" si="36"/>
        <v>0</v>
      </c>
      <c r="CG41" s="72">
        <f t="shared" ref="CG41:CQ41" si="177">SUM(CG10:CG40)</f>
        <v>0</v>
      </c>
      <c r="CH41" s="72">
        <f t="shared" si="177"/>
        <v>13920</v>
      </c>
      <c r="CI41" s="72">
        <f t="shared" si="177"/>
        <v>0</v>
      </c>
      <c r="CJ41" s="72">
        <f>SUM(CJ10:CJ40)</f>
        <v>0</v>
      </c>
      <c r="CK41" s="38">
        <f t="shared" si="177"/>
        <v>238905</v>
      </c>
      <c r="CL41" s="72">
        <f t="shared" si="177"/>
        <v>0</v>
      </c>
      <c r="CM41" s="72">
        <f t="shared" si="177"/>
        <v>252825</v>
      </c>
      <c r="CN41" s="72">
        <f t="shared" si="177"/>
        <v>0</v>
      </c>
      <c r="CO41" s="72">
        <f t="shared" si="177"/>
        <v>0</v>
      </c>
      <c r="CP41" s="72">
        <f t="shared" si="177"/>
        <v>0</v>
      </c>
      <c r="CQ41" s="72">
        <f t="shared" si="177"/>
        <v>0</v>
      </c>
      <c r="CR41" s="72"/>
      <c r="CS41" s="72">
        <f>SUM(CS10:CS40)</f>
        <v>0</v>
      </c>
      <c r="CT41" s="72"/>
      <c r="CU41" s="72">
        <f>SUM(CU10:CU40)</f>
        <v>0</v>
      </c>
      <c r="CV41" s="72"/>
      <c r="CW41" s="72">
        <f>SUM(CW10:CW40)</f>
        <v>17990.739999999998</v>
      </c>
      <c r="CX41" s="72"/>
      <c r="CY41" s="72">
        <f>SUM(CY10:CY40)</f>
        <v>159272.95999999999</v>
      </c>
      <c r="CZ41" s="72"/>
      <c r="DA41" s="72">
        <f>SUM(DA10:DA40)</f>
        <v>38322.28</v>
      </c>
      <c r="DB41" s="72"/>
      <c r="DC41" s="38">
        <f>SUM(DC10:DC40)</f>
        <v>215585.98</v>
      </c>
      <c r="DD41" s="72">
        <f>SUM(DD10:DD40)</f>
        <v>0</v>
      </c>
      <c r="DE41" s="72">
        <f>SUM(DE10:DE40)</f>
        <v>0</v>
      </c>
      <c r="DF41" s="72"/>
      <c r="DG41" s="38">
        <f>SUM(DG10:DG40)</f>
        <v>0</v>
      </c>
      <c r="DH41" s="72"/>
      <c r="DI41" s="72">
        <f>SUM(DI10:DI40)</f>
        <v>0</v>
      </c>
      <c r="DJ41" s="72"/>
      <c r="DK41" s="38">
        <f>SUM(DK10:DK40)</f>
        <v>17990.739999999998</v>
      </c>
      <c r="DL41" s="72"/>
      <c r="DM41" s="72">
        <f t="shared" ref="DM41:DR41" si="178">SUM(DM10:DM40)</f>
        <v>59946.9</v>
      </c>
      <c r="DN41" s="72">
        <f t="shared" si="178"/>
        <v>0</v>
      </c>
      <c r="DO41" s="38">
        <f t="shared" si="178"/>
        <v>0</v>
      </c>
      <c r="DP41" s="72">
        <f t="shared" si="178"/>
        <v>0</v>
      </c>
      <c r="DQ41" s="72">
        <f t="shared" si="178"/>
        <v>77937.64</v>
      </c>
      <c r="DR41" s="72">
        <f t="shared" si="178"/>
        <v>0</v>
      </c>
      <c r="DS41" s="72"/>
      <c r="DT41" s="72">
        <f>SUM(DT10:DT40)</f>
        <v>0</v>
      </c>
      <c r="DU41" s="72"/>
      <c r="DV41" s="72">
        <f>SUM(DV10:DV40)</f>
        <v>0</v>
      </c>
      <c r="DW41" s="72"/>
      <c r="DX41" s="72">
        <f>SUM(DX10:DX40)</f>
        <v>0</v>
      </c>
      <c r="DY41" s="72"/>
      <c r="DZ41" s="38">
        <f>SUM(DZ10:DZ40)</f>
        <v>59662.05999999999</v>
      </c>
      <c r="EB41" s="72">
        <f>SUM(EB10:EB40)</f>
        <v>22642.28</v>
      </c>
      <c r="EC41" s="72"/>
      <c r="ED41" s="38">
        <f t="shared" ref="ED41:EI41" si="179">SUM(ED10:ED40)</f>
        <v>82304.34</v>
      </c>
      <c r="EE41" s="72">
        <f t="shared" si="179"/>
        <v>0</v>
      </c>
      <c r="EF41" s="72">
        <f t="shared" si="179"/>
        <v>0</v>
      </c>
      <c r="EG41" s="72">
        <f t="shared" si="179"/>
        <v>0</v>
      </c>
      <c r="EH41" s="72">
        <f t="shared" si="179"/>
        <v>0</v>
      </c>
      <c r="EI41" s="72">
        <f t="shared" si="179"/>
        <v>0</v>
      </c>
      <c r="EJ41" s="72"/>
      <c r="EK41" s="72">
        <f>SUM(EK10:EK40)</f>
        <v>0</v>
      </c>
      <c r="EL41" s="278">
        <f>SUM(EL10:EL40)</f>
        <v>0</v>
      </c>
      <c r="EM41" s="72">
        <f>SUM(EM10:EM40)</f>
        <v>39664</v>
      </c>
      <c r="EN41" s="72"/>
      <c r="EO41" s="72">
        <f>SUM(EO10:EO40)</f>
        <v>15680</v>
      </c>
      <c r="EP41" s="72"/>
      <c r="EQ41" s="38">
        <f t="shared" ref="EQ41:FU41" si="180">SUM(EQ10:EQ40)</f>
        <v>55344</v>
      </c>
      <c r="ER41" s="72">
        <f t="shared" si="180"/>
        <v>0</v>
      </c>
      <c r="ES41" s="72">
        <f t="shared" si="180"/>
        <v>0</v>
      </c>
      <c r="ET41" s="72">
        <f t="shared" si="180"/>
        <v>0</v>
      </c>
      <c r="EU41" s="72">
        <f t="shared" si="180"/>
        <v>0</v>
      </c>
      <c r="EV41" s="72">
        <f t="shared" si="180"/>
        <v>0</v>
      </c>
      <c r="EW41" s="72">
        <f t="shared" si="180"/>
        <v>0</v>
      </c>
      <c r="EX41" s="72">
        <f t="shared" si="180"/>
        <v>0</v>
      </c>
      <c r="EY41" s="72">
        <f t="shared" si="180"/>
        <v>0</v>
      </c>
      <c r="EZ41" s="72">
        <f t="shared" si="180"/>
        <v>0</v>
      </c>
      <c r="FA41" s="72">
        <f t="shared" si="180"/>
        <v>0</v>
      </c>
      <c r="FB41" s="72">
        <f t="shared" si="180"/>
        <v>0</v>
      </c>
      <c r="FC41" s="72">
        <f t="shared" si="180"/>
        <v>0</v>
      </c>
      <c r="FD41" s="72">
        <f t="shared" si="180"/>
        <v>0</v>
      </c>
      <c r="FE41" s="72">
        <f t="shared" si="180"/>
        <v>0</v>
      </c>
      <c r="FF41" s="72">
        <f t="shared" si="180"/>
        <v>0</v>
      </c>
      <c r="FG41" s="72">
        <f t="shared" si="180"/>
        <v>0</v>
      </c>
      <c r="FH41" s="72">
        <f t="shared" si="180"/>
        <v>0</v>
      </c>
      <c r="FI41" s="72">
        <f t="shared" si="180"/>
        <v>0</v>
      </c>
      <c r="FJ41" s="72">
        <f t="shared" si="180"/>
        <v>0</v>
      </c>
      <c r="FK41" s="72">
        <f t="shared" si="180"/>
        <v>0</v>
      </c>
      <c r="FL41" s="72">
        <f t="shared" si="180"/>
        <v>0</v>
      </c>
      <c r="FM41" s="72">
        <f t="shared" si="180"/>
        <v>0</v>
      </c>
      <c r="FN41" s="72">
        <f t="shared" si="180"/>
        <v>0</v>
      </c>
      <c r="FO41" s="72">
        <f t="shared" si="180"/>
        <v>0</v>
      </c>
      <c r="FP41" s="72">
        <f t="shared" si="180"/>
        <v>0</v>
      </c>
      <c r="FQ41" s="72">
        <f t="shared" si="180"/>
        <v>0</v>
      </c>
      <c r="FR41" s="72">
        <f t="shared" si="180"/>
        <v>0</v>
      </c>
      <c r="FS41" s="72">
        <f t="shared" si="180"/>
        <v>0</v>
      </c>
      <c r="FT41" s="72">
        <f t="shared" si="180"/>
        <v>0</v>
      </c>
      <c r="FU41" s="72">
        <f t="shared" si="180"/>
        <v>0</v>
      </c>
      <c r="FV41" s="72"/>
      <c r="FW41" s="72">
        <f>SUM(FW10:FW40)</f>
        <v>0</v>
      </c>
      <c r="FX41" s="72"/>
      <c r="FY41" s="72">
        <f>SUM(FY10:FY40)</f>
        <v>0</v>
      </c>
      <c r="FZ41" s="72"/>
      <c r="GA41" s="72">
        <f>SUM(GA10:GA40)</f>
        <v>0</v>
      </c>
      <c r="GB41" s="72"/>
      <c r="GC41" s="72">
        <f>SUM(GC10:GC40)</f>
        <v>0</v>
      </c>
      <c r="GE41" s="72">
        <f>SUM(GE10:GE40)</f>
        <v>0</v>
      </c>
      <c r="GF41" s="72"/>
      <c r="GG41" s="72">
        <f t="shared" ref="GG41:HK41" si="181">SUM(GG10:GG40)</f>
        <v>0</v>
      </c>
      <c r="GH41" s="72">
        <f t="shared" si="181"/>
        <v>0</v>
      </c>
      <c r="GI41" s="72">
        <f t="shared" si="181"/>
        <v>0</v>
      </c>
      <c r="GJ41" s="38">
        <f t="shared" si="181"/>
        <v>69606.19</v>
      </c>
      <c r="GK41" s="38">
        <f t="shared" si="181"/>
        <v>107135.40999999999</v>
      </c>
      <c r="GL41" s="38">
        <f t="shared" si="181"/>
        <v>172491.3</v>
      </c>
      <c r="GM41" s="38">
        <f t="shared" si="181"/>
        <v>349232.9</v>
      </c>
      <c r="GN41" s="72">
        <f t="shared" si="181"/>
        <v>0</v>
      </c>
      <c r="GO41" s="72">
        <f t="shared" si="181"/>
        <v>0</v>
      </c>
      <c r="GP41" s="72">
        <f t="shared" si="181"/>
        <v>0</v>
      </c>
      <c r="GQ41" s="72">
        <f t="shared" si="181"/>
        <v>0</v>
      </c>
      <c r="GR41" s="38">
        <f t="shared" si="181"/>
        <v>163274.90000000002</v>
      </c>
      <c r="GS41" s="38">
        <f t="shared" si="181"/>
        <v>7620.6900000000005</v>
      </c>
      <c r="GT41" s="38">
        <f t="shared" si="181"/>
        <v>92642.260000000038</v>
      </c>
      <c r="GU41" s="38">
        <f t="shared" si="181"/>
        <v>85695.050000000017</v>
      </c>
      <c r="GV41" s="38">
        <f t="shared" si="181"/>
        <v>349232.9</v>
      </c>
      <c r="GW41" s="72">
        <f t="shared" si="181"/>
        <v>0</v>
      </c>
      <c r="GX41" s="38">
        <f t="shared" si="181"/>
        <v>0</v>
      </c>
      <c r="GY41" s="72">
        <f t="shared" si="181"/>
        <v>0</v>
      </c>
      <c r="GZ41" s="72">
        <f t="shared" si="181"/>
        <v>0</v>
      </c>
      <c r="HA41" s="72">
        <f t="shared" si="181"/>
        <v>0</v>
      </c>
      <c r="HB41" s="72">
        <f t="shared" si="181"/>
        <v>0</v>
      </c>
      <c r="HC41" s="72">
        <f t="shared" si="181"/>
        <v>0</v>
      </c>
      <c r="HD41" s="72">
        <f t="shared" si="181"/>
        <v>0</v>
      </c>
      <c r="HE41" s="72">
        <f t="shared" si="181"/>
        <v>0</v>
      </c>
      <c r="HF41" s="38">
        <f t="shared" si="181"/>
        <v>41517.860000000008</v>
      </c>
      <c r="HG41" s="72">
        <f t="shared" si="181"/>
        <v>0</v>
      </c>
      <c r="HH41" s="38">
        <f t="shared" si="181"/>
        <v>20467.64</v>
      </c>
      <c r="HI41" s="72">
        <f t="shared" si="181"/>
        <v>0</v>
      </c>
      <c r="HJ41" s="38">
        <f t="shared" si="181"/>
        <v>7620.6900000000005</v>
      </c>
      <c r="HK41" s="72">
        <f t="shared" si="181"/>
        <v>0</v>
      </c>
      <c r="HL41" s="38">
        <f t="shared" si="66"/>
        <v>69606.19</v>
      </c>
      <c r="HM41" s="38">
        <f t="shared" ref="HM41:HZ41" si="182">SUM(HM10:HM40)</f>
        <v>0</v>
      </c>
      <c r="HN41" s="38">
        <f t="shared" si="182"/>
        <v>0</v>
      </c>
      <c r="HO41" s="38">
        <f t="shared" si="182"/>
        <v>0</v>
      </c>
      <c r="HP41" s="38">
        <f t="shared" si="182"/>
        <v>0</v>
      </c>
      <c r="HQ41" s="38">
        <f t="shared" si="182"/>
        <v>0</v>
      </c>
      <c r="HR41" s="38">
        <f t="shared" si="182"/>
        <v>0</v>
      </c>
      <c r="HS41" s="38">
        <f t="shared" si="182"/>
        <v>0</v>
      </c>
      <c r="HT41" s="38">
        <f t="shared" si="182"/>
        <v>0</v>
      </c>
      <c r="HU41" s="38">
        <f t="shared" si="182"/>
        <v>0</v>
      </c>
      <c r="HV41" s="38">
        <f t="shared" si="182"/>
        <v>0</v>
      </c>
      <c r="HW41" s="38">
        <f t="shared" si="182"/>
        <v>0</v>
      </c>
      <c r="HX41" s="38">
        <f t="shared" si="182"/>
        <v>0</v>
      </c>
      <c r="HY41" s="38">
        <f t="shared" si="182"/>
        <v>0</v>
      </c>
      <c r="HZ41" s="38">
        <f t="shared" si="182"/>
        <v>0</v>
      </c>
      <c r="IA41" s="38">
        <f t="shared" si="67"/>
        <v>0</v>
      </c>
      <c r="IB41" s="38">
        <f t="shared" ref="IB41:JM41" si="183">SUM(IB10:IB40)</f>
        <v>0</v>
      </c>
      <c r="IC41" s="38">
        <f t="shared" si="183"/>
        <v>0</v>
      </c>
      <c r="ID41" s="38">
        <f t="shared" si="183"/>
        <v>0</v>
      </c>
      <c r="IE41" s="38">
        <f t="shared" si="183"/>
        <v>0</v>
      </c>
      <c r="IF41" s="38">
        <f t="shared" si="183"/>
        <v>0</v>
      </c>
      <c r="IG41" s="38">
        <f t="shared" si="183"/>
        <v>0</v>
      </c>
      <c r="IH41" s="38">
        <f t="shared" si="183"/>
        <v>14334.409999999998</v>
      </c>
      <c r="II41" s="38">
        <f t="shared" si="183"/>
        <v>0</v>
      </c>
      <c r="IJ41" s="38">
        <f t="shared" si="183"/>
        <v>92801</v>
      </c>
      <c r="IK41" s="38">
        <f t="shared" si="183"/>
        <v>0</v>
      </c>
      <c r="IL41" s="38">
        <f t="shared" si="183"/>
        <v>0</v>
      </c>
      <c r="IM41" s="72">
        <f t="shared" si="183"/>
        <v>0</v>
      </c>
      <c r="IN41" s="72">
        <f t="shared" si="183"/>
        <v>0</v>
      </c>
      <c r="IO41" s="72">
        <f t="shared" si="183"/>
        <v>0</v>
      </c>
      <c r="IP41" s="38">
        <f t="shared" si="183"/>
        <v>107135.40999999999</v>
      </c>
      <c r="IQ41" s="72">
        <f t="shared" si="183"/>
        <v>0</v>
      </c>
      <c r="IR41" s="72">
        <f t="shared" si="183"/>
        <v>0</v>
      </c>
      <c r="IS41" s="72">
        <f t="shared" si="183"/>
        <v>0</v>
      </c>
      <c r="IT41" s="72">
        <f t="shared" si="183"/>
        <v>0</v>
      </c>
      <c r="IU41" s="38">
        <f t="shared" si="183"/>
        <v>0</v>
      </c>
      <c r="IV41" s="72">
        <f t="shared" si="183"/>
        <v>0</v>
      </c>
      <c r="IW41" s="72">
        <f t="shared" si="183"/>
        <v>0</v>
      </c>
      <c r="IX41" s="72">
        <f t="shared" si="183"/>
        <v>0</v>
      </c>
      <c r="IY41" s="38">
        <f t="shared" si="183"/>
        <v>153049.10999999999</v>
      </c>
      <c r="IZ41" s="72">
        <f t="shared" si="183"/>
        <v>0</v>
      </c>
      <c r="JA41" s="38">
        <f t="shared" si="183"/>
        <v>19442.189999999999</v>
      </c>
      <c r="JB41" s="72">
        <f t="shared" si="183"/>
        <v>0</v>
      </c>
      <c r="JC41" s="72">
        <f t="shared" si="183"/>
        <v>0</v>
      </c>
      <c r="JD41" s="72">
        <f t="shared" si="183"/>
        <v>0</v>
      </c>
      <c r="JE41" s="38">
        <f t="shared" si="183"/>
        <v>172491.3</v>
      </c>
      <c r="JF41" s="72">
        <f t="shared" si="183"/>
        <v>0</v>
      </c>
      <c r="JG41" s="72">
        <f t="shared" si="183"/>
        <v>0</v>
      </c>
      <c r="JH41" s="38">
        <f>SUM(JH10:JH40)</f>
        <v>284028.82</v>
      </c>
      <c r="JI41" s="38">
        <f t="shared" si="183"/>
        <v>65204.08</v>
      </c>
      <c r="JJ41" s="72">
        <f t="shared" si="183"/>
        <v>0</v>
      </c>
      <c r="JK41" s="38">
        <f t="shared" si="183"/>
        <v>349232.89999999997</v>
      </c>
      <c r="JL41" s="72">
        <f t="shared" si="183"/>
        <v>0</v>
      </c>
      <c r="JM41" s="72">
        <f t="shared" si="183"/>
        <v>0</v>
      </c>
      <c r="JN41" s="38">
        <f t="shared" ref="JN41:JU41" si="184">IFERROR(SUM(JN10:JN40)/SUM($JN$10:$JU$40),"")</f>
        <v>0</v>
      </c>
      <c r="JO41" s="38">
        <f t="shared" si="184"/>
        <v>0</v>
      </c>
      <c r="JP41" s="38">
        <f t="shared" si="184"/>
        <v>0</v>
      </c>
      <c r="JQ41" s="38">
        <f t="shared" si="184"/>
        <v>0</v>
      </c>
      <c r="JR41" s="38">
        <f t="shared" si="184"/>
        <v>0.94959412448353542</v>
      </c>
      <c r="JS41" s="305">
        <f t="shared" si="184"/>
        <v>5.0405875516464423E-2</v>
      </c>
      <c r="JT41" s="38">
        <f t="shared" si="184"/>
        <v>0</v>
      </c>
      <c r="JU41" s="38">
        <f t="shared" si="184"/>
        <v>0</v>
      </c>
      <c r="JV41" s="38">
        <f t="shared" ref="JV41:KK41" si="185">IFERROR(SUM(JV10:JV40)/SUM($JV$10:$KC$40),"")</f>
        <v>0</v>
      </c>
      <c r="JW41" s="38">
        <f t="shared" si="185"/>
        <v>0</v>
      </c>
      <c r="JX41" s="38">
        <f t="shared" si="185"/>
        <v>0</v>
      </c>
      <c r="JY41" s="38">
        <f t="shared" si="185"/>
        <v>0.17957543172462059</v>
      </c>
      <c r="JZ41" s="38">
        <f t="shared" si="185"/>
        <v>0.21105422644444555</v>
      </c>
      <c r="KA41" s="38">
        <f t="shared" si="185"/>
        <v>0.60937034183093397</v>
      </c>
      <c r="KB41" s="38">
        <f t="shared" si="185"/>
        <v>0</v>
      </c>
      <c r="KC41" s="38">
        <f t="shared" si="185"/>
        <v>0</v>
      </c>
      <c r="KD41" s="38">
        <f t="shared" si="185"/>
        <v>0</v>
      </c>
      <c r="KE41" s="38">
        <f t="shared" si="185"/>
        <v>0</v>
      </c>
      <c r="KF41" s="38">
        <f t="shared" si="185"/>
        <v>0</v>
      </c>
      <c r="KG41" s="38">
        <f t="shared" si="185"/>
        <v>0</v>
      </c>
      <c r="KH41" s="38">
        <f t="shared" si="185"/>
        <v>0</v>
      </c>
      <c r="KI41" s="38">
        <f t="shared" si="185"/>
        <v>0</v>
      </c>
      <c r="KJ41" s="38">
        <f t="shared" si="185"/>
        <v>0</v>
      </c>
      <c r="KK41" s="38">
        <f t="shared" si="185"/>
        <v>0</v>
      </c>
      <c r="KL41" s="72">
        <f>SUM(KL10:KL40)</f>
        <v>0</v>
      </c>
      <c r="KM41" s="72">
        <f>SUM(KM10:KM40)</f>
        <v>0</v>
      </c>
      <c r="KN41" s="72">
        <f>IFERROR(SUMPRODUCT((KN10:KN40&lt;&gt;"")*KN10:KN40,$JH$10:$JH$40)/SUMIFS($JH$10:$JH$40,KN10:KN40,"&gt;"&amp;0),0)</f>
        <v>7030.677559276005</v>
      </c>
      <c r="KO41" s="38">
        <f>IFERROR(SUMPRODUCT((KO10:KO40&lt;&gt;"")*KO10:KO40,$JH$10:$JH$40)/SUMIFS($JH$10:$JH$40,KO10:KO40,"&gt;"&amp;0),0)</f>
        <v>0.73202129390277981</v>
      </c>
      <c r="KP41" s="38">
        <f>IFERROR(SUMPRODUCT((KP10:KP40&lt;&gt;"")*KP10:KP40,$JH$10:$JH$40)/SUMIFS($JH$10:$JH$40,KP10:KP40,"&gt;"&amp;0),0)</f>
        <v>3.6102920139093682</v>
      </c>
      <c r="KQ41" s="38">
        <f>IFERROR(SUMPRODUCT((KQ10:KQ40&lt;&gt;"")*KQ10:KQ40,$JH$10:$JH$40)/SUMIFS($JH$10:$JH$40,KQ10:KQ40,"&gt;"&amp;0),0)</f>
        <v>6.4150584581114787</v>
      </c>
      <c r="KR41" s="38">
        <f>IFERROR(SUMPRODUCT((KR10:KR40&lt;&gt;"")*KR10:KR40,$JH$10:$JH$40)/SUMIFS($JH$10:$JH$40,KR10:KR40,"&gt;"&amp;0),0)</f>
        <v>11.483290408062928</v>
      </c>
      <c r="KS41" s="72">
        <f>IFERROR(SUMPRODUCT((KS10:KS40&lt;&gt;"")*KS10:KS40,$JI$10:$JI$40)/SUMIFS($JI$10:$JI$40,KS10:KS40,"&gt;"&amp;0),0)</f>
        <v>6875.2904448711161</v>
      </c>
      <c r="KT41" s="38">
        <f>IFERROR(SUMPRODUCT((KT10:KT40&lt;&gt;"")*KT10:KT40,$JI$10:$JI$40)/SUMIFS($JI$10:$JI$40,KT10:KT40,"&gt;"&amp;0),0)</f>
        <v>1.7367863237751235</v>
      </c>
      <c r="KU41" s="38">
        <f>IFERROR(SUMPRODUCT((KU10:KU40&lt;&gt;"")*KU10:KU40,$JI$10:$JI$40)/SUMIFS($JI$10:$JI$40,KU10:KU40,"&gt;"&amp;0),0)</f>
        <v>6.0201854322010817</v>
      </c>
      <c r="KV41" s="38">
        <f>IFERROR(SUMPRODUCT((KV10:KV40&lt;&gt;"")*KV10:KV40,$JI$10:$JI$40)/SUMIFS($JI$10:$JI$40,KV10:KV40,"&gt;"&amp;0),0)</f>
        <v>5.9182535806325367</v>
      </c>
      <c r="KW41" s="38">
        <f>IFERROR(SUMPRODUCT((KW10:KW40&lt;&gt;"")*KW10:KW40,$JI$10:$JI$40)/SUMIFS($JI$10:$JI$40,KW10:KW40,"&gt;"&amp;0),0)</f>
        <v>10.627459967110331</v>
      </c>
      <c r="KX41" s="72">
        <f>IFERROR(SUMPRODUCT((KX10:KX40&lt;&gt;"")*KX10:KX40,$JJ$10:$JJ$40)/SUMIFS($JJ$10:$JJ$40,KX10:KX40,"&gt;"&amp;0),0)</f>
        <v>0</v>
      </c>
      <c r="KY41" s="38">
        <f>IFERROR(SUMPRODUCT((KY10:KY40&lt;&gt;"")*KY10:KY40,$JJ$10:$JJ$40)/SUMIFS($JJ$10:$JJ$40,KY10:KY40,"&gt;"&amp;0),0)</f>
        <v>0</v>
      </c>
      <c r="KZ41" s="38">
        <f>IFERROR(SUMPRODUCT((KZ10:KZ40&lt;&gt;"")*KZ10:KZ40,$JJ$10:$JJ$40)/SUMIFS($JJ$10:$JJ$40,KZ10:KZ40,"&gt;"&amp;0),0)</f>
        <v>0</v>
      </c>
      <c r="LA41" s="38">
        <f>IFERROR(SUMPRODUCT((LA10:LA40&lt;&gt;"")*LA10:LA40,$JJ$10:$JJ$40)/SUMIFS($JJ$10:$JJ$40,LA10:LA40,"&gt;"&amp;0),0)</f>
        <v>0</v>
      </c>
      <c r="LB41" s="38">
        <f>IFERROR(SUMPRODUCT((LB10:LB40&lt;&gt;"")*LB10:LB40,$JJ$10:$JJ$40)/SUMIFS($JJ$10:$JJ$40,LB10:LB40,"&gt;"&amp;0),0)</f>
        <v>0</v>
      </c>
      <c r="LC41" s="72"/>
      <c r="LD41" s="72">
        <f t="shared" ref="LD41:LM41" si="186">SUM(LD10:LD40)</f>
        <v>0</v>
      </c>
      <c r="LE41" s="72">
        <f t="shared" si="186"/>
        <v>0</v>
      </c>
      <c r="LF41" s="278">
        <f t="shared" si="186"/>
        <v>448688.14300000004</v>
      </c>
      <c r="LG41" s="278">
        <f t="shared" si="186"/>
        <v>44779.666999999994</v>
      </c>
      <c r="LH41" s="278">
        <f t="shared" si="186"/>
        <v>0</v>
      </c>
      <c r="LI41" s="278">
        <f t="shared" si="186"/>
        <v>493467.81</v>
      </c>
      <c r="LJ41" s="72">
        <f t="shared" si="186"/>
        <v>66</v>
      </c>
      <c r="LK41" s="72">
        <f t="shared" si="186"/>
        <v>9</v>
      </c>
      <c r="LL41" s="72">
        <f t="shared" si="186"/>
        <v>74</v>
      </c>
      <c r="LM41" s="72">
        <f t="shared" si="186"/>
        <v>0</v>
      </c>
      <c r="LN41" s="72">
        <f>AVERAGE(LN10:LN40)</f>
        <v>6.6774193548387091</v>
      </c>
      <c r="LO41" s="72">
        <f t="shared" ref="LO41:MI41" si="187">SUM(LO10:LO40)</f>
        <v>0</v>
      </c>
      <c r="LP41" s="72">
        <f t="shared" si="187"/>
        <v>0</v>
      </c>
      <c r="LQ41" s="38">
        <f t="shared" si="187"/>
        <v>442648.86700000009</v>
      </c>
      <c r="LR41" s="72">
        <f t="shared" si="187"/>
        <v>10948.262999999999</v>
      </c>
      <c r="LS41" s="72">
        <f t="shared" si="187"/>
        <v>0</v>
      </c>
      <c r="LT41" s="72">
        <f t="shared" si="187"/>
        <v>0</v>
      </c>
      <c r="LU41" s="72">
        <f t="shared" si="187"/>
        <v>0</v>
      </c>
      <c r="LV41" s="72">
        <f t="shared" si="187"/>
        <v>453597.13000000006</v>
      </c>
      <c r="LW41" s="72">
        <f t="shared" si="187"/>
        <v>6039.2759999999998</v>
      </c>
      <c r="LX41" s="72">
        <f t="shared" si="187"/>
        <v>33831.403999999995</v>
      </c>
      <c r="LY41" s="72">
        <f t="shared" si="187"/>
        <v>0</v>
      </c>
      <c r="LZ41" s="72">
        <f t="shared" si="187"/>
        <v>0</v>
      </c>
      <c r="MA41" s="72">
        <f t="shared" si="187"/>
        <v>0</v>
      </c>
      <c r="MB41" s="72">
        <f t="shared" si="187"/>
        <v>39870.68</v>
      </c>
      <c r="MC41" s="72">
        <f t="shared" si="187"/>
        <v>0</v>
      </c>
      <c r="MD41" s="72">
        <f t="shared" si="187"/>
        <v>0</v>
      </c>
      <c r="ME41" s="72">
        <f t="shared" si="187"/>
        <v>0</v>
      </c>
      <c r="MF41" s="72">
        <f t="shared" si="187"/>
        <v>0</v>
      </c>
      <c r="MG41" s="72">
        <f t="shared" si="187"/>
        <v>0</v>
      </c>
      <c r="MH41" s="72">
        <f t="shared" si="187"/>
        <v>0</v>
      </c>
      <c r="MI41" s="72">
        <f t="shared" si="187"/>
        <v>0</v>
      </c>
      <c r="MJ41" s="72"/>
      <c r="MK41" s="72">
        <f>SUM(MK10:MK40)</f>
        <v>0</v>
      </c>
      <c r="ML41" s="72">
        <f>SUM(ML10:ML40)</f>
        <v>0</v>
      </c>
      <c r="MM41" s="72">
        <f>SUM(MM10:MM40)</f>
        <v>0</v>
      </c>
      <c r="MN41" s="72">
        <f>SUM(MN10:MN40)</f>
        <v>0</v>
      </c>
      <c r="MO41" s="72">
        <f>SUM(MO10:MO40)</f>
        <v>0</v>
      </c>
      <c r="MP41" s="72"/>
      <c r="MQ41" s="72">
        <f t="shared" ref="MQ41:MV41" si="188">SUM(MQ10:MQ40)</f>
        <v>0</v>
      </c>
      <c r="MR41" s="72">
        <f t="shared" si="188"/>
        <v>0</v>
      </c>
      <c r="MS41" s="72">
        <f t="shared" si="188"/>
        <v>0</v>
      </c>
      <c r="MT41" s="72">
        <f t="shared" si="188"/>
        <v>0</v>
      </c>
      <c r="MU41" s="72">
        <f t="shared" si="188"/>
        <v>0</v>
      </c>
      <c r="MV41" s="72">
        <f t="shared" si="188"/>
        <v>0</v>
      </c>
      <c r="MW41" s="72">
        <f>+MW40</f>
        <v>91637.32630256642</v>
      </c>
      <c r="MX41" s="72">
        <f>+MX40</f>
        <v>145946.20929571753</v>
      </c>
      <c r="MY41" s="72">
        <f>+MY40</f>
        <v>18505.83560828304</v>
      </c>
      <c r="MZ41" s="72">
        <f>+MZ40</f>
        <v>432191.51467809116</v>
      </c>
      <c r="NA41" s="72">
        <f>+NA40</f>
        <v>0</v>
      </c>
      <c r="NB41" s="1093">
        <f t="shared" ref="NB41:ND42" si="189">NB40</f>
        <v>70347.968815183369</v>
      </c>
      <c r="NC41" s="1092">
        <f t="shared" si="189"/>
        <v>21289.357487383048</v>
      </c>
      <c r="ND41" s="72">
        <f t="shared" si="189"/>
        <v>0</v>
      </c>
      <c r="NE41" s="72">
        <f t="shared" ref="NE41:OJ41" si="190">+NE40</f>
        <v>91637.32630256642</v>
      </c>
      <c r="NF41" s="72">
        <f t="shared" si="190"/>
        <v>0</v>
      </c>
      <c r="NG41" s="72">
        <f t="shared" si="190"/>
        <v>0</v>
      </c>
      <c r="NH41" s="72">
        <f t="shared" si="190"/>
        <v>0</v>
      </c>
      <c r="NI41" s="72">
        <f t="shared" si="190"/>
        <v>0</v>
      </c>
      <c r="NJ41" s="72">
        <f t="shared" si="190"/>
        <v>0</v>
      </c>
      <c r="NK41" s="72">
        <f t="shared" si="190"/>
        <v>0</v>
      </c>
      <c r="NL41" s="72">
        <f t="shared" si="190"/>
        <v>0</v>
      </c>
      <c r="NM41" s="278">
        <f t="shared" si="190"/>
        <v>0</v>
      </c>
      <c r="NN41" s="72">
        <f t="shared" si="190"/>
        <v>47256.006549275997</v>
      </c>
      <c r="NO41" s="72">
        <f t="shared" si="190"/>
        <v>0</v>
      </c>
      <c r="NP41" s="72">
        <f t="shared" si="190"/>
        <v>8756.5482322711578</v>
      </c>
      <c r="NQ41" s="72">
        <f t="shared" si="190"/>
        <v>7696.5745856875974</v>
      </c>
      <c r="NR41" s="72">
        <f t="shared" si="190"/>
        <v>63709.129367234746</v>
      </c>
      <c r="NS41" s="72">
        <f t="shared" si="190"/>
        <v>0</v>
      </c>
      <c r="NT41" s="72">
        <f t="shared" si="190"/>
        <v>0</v>
      </c>
      <c r="NU41" s="72">
        <f t="shared" si="190"/>
        <v>0</v>
      </c>
      <c r="NV41" s="72">
        <f t="shared" si="190"/>
        <v>0</v>
      </c>
      <c r="NW41" s="72">
        <f t="shared" si="190"/>
        <v>0</v>
      </c>
      <c r="NX41" s="72">
        <f t="shared" si="190"/>
        <v>0</v>
      </c>
      <c r="NY41" s="72">
        <f t="shared" si="190"/>
        <v>5641.028151907627</v>
      </c>
      <c r="NZ41" s="72">
        <f t="shared" si="190"/>
        <v>0</v>
      </c>
      <c r="OA41" s="72">
        <f t="shared" si="190"/>
        <v>6448.3847599877654</v>
      </c>
      <c r="OB41" s="72">
        <f t="shared" si="190"/>
        <v>0</v>
      </c>
      <c r="OC41" s="72">
        <f t="shared" si="190"/>
        <v>3403.7241844007053</v>
      </c>
      <c r="OD41" s="72">
        <f t="shared" si="190"/>
        <v>0</v>
      </c>
      <c r="OE41" s="72">
        <f t="shared" si="190"/>
        <v>15493.137096296099</v>
      </c>
      <c r="OF41" s="72">
        <f t="shared" si="190"/>
        <v>0</v>
      </c>
      <c r="OG41" s="72">
        <f t="shared" si="190"/>
        <v>0</v>
      </c>
      <c r="OH41" s="72">
        <f t="shared" si="190"/>
        <v>0</v>
      </c>
      <c r="OI41" s="72">
        <f t="shared" si="190"/>
        <v>0</v>
      </c>
      <c r="OJ41" s="72">
        <f t="shared" si="190"/>
        <v>0</v>
      </c>
      <c r="OK41" s="72">
        <f t="shared" ref="OK41:PF41" si="191">+OK40</f>
        <v>0</v>
      </c>
      <c r="OL41" s="72">
        <f t="shared" si="191"/>
        <v>0</v>
      </c>
      <c r="OM41" s="72">
        <f t="shared" si="191"/>
        <v>0</v>
      </c>
      <c r="ON41" s="72">
        <f t="shared" si="191"/>
        <v>60725.738513778015</v>
      </c>
      <c r="OO41" s="72">
        <f t="shared" si="191"/>
        <v>0</v>
      </c>
      <c r="OP41" s="72">
        <f t="shared" si="191"/>
        <v>6018.2043184086806</v>
      </c>
      <c r="OQ41" s="72">
        <f t="shared" si="191"/>
        <v>0</v>
      </c>
      <c r="OR41" s="72">
        <f t="shared" si="191"/>
        <v>66743.942832186702</v>
      </c>
      <c r="OS41" s="72">
        <f t="shared" si="191"/>
        <v>0</v>
      </c>
      <c r="OT41" s="72">
        <f t="shared" si="191"/>
        <v>0</v>
      </c>
      <c r="OU41" s="72">
        <f t="shared" si="191"/>
        <v>0</v>
      </c>
      <c r="OV41" s="72">
        <f t="shared" si="191"/>
        <v>0</v>
      </c>
      <c r="OW41" s="72">
        <f t="shared" si="191"/>
        <v>0</v>
      </c>
      <c r="OX41" s="72">
        <f t="shared" si="191"/>
        <v>0</v>
      </c>
      <c r="OY41" s="72">
        <f t="shared" si="191"/>
        <v>0</v>
      </c>
      <c r="OZ41" s="72">
        <f t="shared" si="191"/>
        <v>0</v>
      </c>
      <c r="PA41" s="72">
        <f t="shared" si="191"/>
        <v>0</v>
      </c>
      <c r="PB41" s="72">
        <f t="shared" si="191"/>
        <v>0</v>
      </c>
      <c r="PC41" s="72">
        <f t="shared" si="191"/>
        <v>0</v>
      </c>
      <c r="PD41" s="72">
        <f t="shared" si="191"/>
        <v>0</v>
      </c>
      <c r="PE41" s="72">
        <f t="shared" si="191"/>
        <v>0</v>
      </c>
      <c r="PF41" s="72">
        <f t="shared" si="191"/>
        <v>0</v>
      </c>
      <c r="PG41" s="72">
        <f t="shared" ref="PG41:PL41" si="192">SUM(PG10:PG40)</f>
        <v>0</v>
      </c>
      <c r="PH41" s="72">
        <f t="shared" si="192"/>
        <v>0</v>
      </c>
      <c r="PI41" s="38">
        <f t="shared" si="192"/>
        <v>12859.559999999998</v>
      </c>
      <c r="PJ41" s="72">
        <f t="shared" si="192"/>
        <v>10729.800000000001</v>
      </c>
      <c r="PK41" s="72">
        <f t="shared" si="192"/>
        <v>5364.9</v>
      </c>
      <c r="PL41" s="72">
        <f t="shared" si="192"/>
        <v>7620.6900000000005</v>
      </c>
      <c r="PM41" s="72">
        <f>PM40</f>
        <v>3334.16</v>
      </c>
      <c r="PN41" s="72">
        <f>+PN40</f>
        <v>18505.83560828304</v>
      </c>
      <c r="PO41" s="72">
        <f>SUM(PO10:PO40)</f>
        <v>0</v>
      </c>
      <c r="PP41" s="72">
        <f>SUM(PP10:PP40)</f>
        <v>0</v>
      </c>
      <c r="PQ41" s="72">
        <f>SUM(PQ10:PQ40)</f>
        <v>0</v>
      </c>
      <c r="PR41" s="72">
        <f>SUM(PR10:PR40)</f>
        <v>0</v>
      </c>
      <c r="PS41" s="72">
        <f>SUM(PS10:PS40)</f>
        <v>0</v>
      </c>
      <c r="PT41" s="72"/>
      <c r="PU41" s="72">
        <f>SUM(PU10:PU40)</f>
        <v>0</v>
      </c>
      <c r="PV41" s="38">
        <f>SUM(PV10:PV40)</f>
        <v>0</v>
      </c>
      <c r="PW41" s="72">
        <f>SUM(PW10:PW40)</f>
        <v>0</v>
      </c>
      <c r="PX41" s="72">
        <f>SUM(PX10:PX40)</f>
        <v>0</v>
      </c>
      <c r="PY41" s="72">
        <f>SUM(PY10:PY40)</f>
        <v>12859.559999999998</v>
      </c>
      <c r="PZ41" s="72">
        <f>+PZ40</f>
        <v>0</v>
      </c>
      <c r="QA41" s="72"/>
      <c r="QB41" s="72"/>
      <c r="QC41" s="72"/>
      <c r="QD41" s="72"/>
      <c r="QE41" s="72">
        <f>+QE40</f>
        <v>29749.381073161156</v>
      </c>
      <c r="QF41" s="72">
        <f>+QF40</f>
        <v>402442.13360493002</v>
      </c>
      <c r="QG41" s="72">
        <f>+QG40</f>
        <v>0</v>
      </c>
      <c r="QH41" s="72">
        <f>+QH40</f>
        <v>5505.3678056100007</v>
      </c>
      <c r="RP41" s="1091"/>
      <c r="RW41" s="72"/>
      <c r="RY41" s="1089"/>
      <c r="RZ41" s="1090"/>
      <c r="SA41" s="1089"/>
      <c r="SB41" s="1089"/>
    </row>
    <row r="42" spans="1:500" s="38" customFormat="1">
      <c r="A42" s="307" t="s">
        <v>207</v>
      </c>
      <c r="B42" s="307"/>
      <c r="C42" s="412">
        <f>SUM(O42,S42,W42,AA42)</f>
        <v>3763115.6491000005</v>
      </c>
      <c r="D42" s="412">
        <f>SUM(P42,T42,X42,AB42)</f>
        <v>216674.1226203744</v>
      </c>
      <c r="E42" s="38">
        <f>E41</f>
        <v>18.123204022821891</v>
      </c>
      <c r="F42" s="72"/>
      <c r="G42" s="72"/>
      <c r="H42" s="307">
        <f t="shared" ref="H42:P42" si="193">H41</f>
        <v>525</v>
      </c>
      <c r="I42" s="364">
        <f t="shared" si="193"/>
        <v>141.09000000000003</v>
      </c>
      <c r="J42" s="307">
        <f t="shared" si="193"/>
        <v>0</v>
      </c>
      <c r="K42" s="364">
        <f t="shared" si="193"/>
        <v>0</v>
      </c>
      <c r="L42" s="307">
        <f t="shared" si="193"/>
        <v>235.10999999999999</v>
      </c>
      <c r="M42" s="364">
        <f t="shared" si="193"/>
        <v>115.13</v>
      </c>
      <c r="N42" s="72">
        <f t="shared" si="193"/>
        <v>0</v>
      </c>
      <c r="O42" s="364">
        <f>AW42+BC42</f>
        <v>2174914.2228000001</v>
      </c>
      <c r="P42" s="364">
        <f t="shared" si="193"/>
        <v>123930.96000000002</v>
      </c>
      <c r="Q42" s="307">
        <f t="shared" si="10"/>
        <v>17.549401883112981</v>
      </c>
      <c r="R42" s="72">
        <f>R41</f>
        <v>0</v>
      </c>
      <c r="S42" s="364">
        <f t="shared" si="11"/>
        <v>823676.23600000003</v>
      </c>
      <c r="T42" s="364">
        <f>SUM(BG42,BM42,BJ42,BY42)</f>
        <v>31325.600000000006</v>
      </c>
      <c r="U42" s="38">
        <f t="shared" si="13"/>
        <v>26.294029036953798</v>
      </c>
      <c r="V42" s="72">
        <f>V41</f>
        <v>0</v>
      </c>
      <c r="W42" s="412">
        <f>BU42</f>
        <v>746845.30090000003</v>
      </c>
      <c r="X42" s="479">
        <f>BV42</f>
        <v>56432.142620374361</v>
      </c>
      <c r="Y42" s="38">
        <f t="shared" si="16"/>
        <v>13.234395616060796</v>
      </c>
      <c r="Z42" s="72">
        <f>Z41</f>
        <v>0</v>
      </c>
      <c r="AA42" s="364">
        <f>BO42</f>
        <v>17679.8894</v>
      </c>
      <c r="AB42" s="364">
        <f>AB41</f>
        <v>4985.42</v>
      </c>
      <c r="AC42" s="38">
        <f>AC41</f>
        <v>2.2880720180045011</v>
      </c>
      <c r="AD42" s="72"/>
      <c r="AE42" s="412">
        <f>AE41</f>
        <v>0</v>
      </c>
      <c r="AF42" s="412">
        <f>AF41</f>
        <v>0</v>
      </c>
      <c r="AG42" s="38">
        <f t="shared" si="20"/>
        <v>0</v>
      </c>
      <c r="AH42" s="72">
        <f>AH41</f>
        <v>0</v>
      </c>
      <c r="AI42" s="412"/>
      <c r="AJ42" s="412"/>
      <c r="AK42" s="38">
        <f t="shared" si="21"/>
        <v>0</v>
      </c>
      <c r="AL42" s="72">
        <f t="shared" ref="AL42:AR42" si="194">AL41</f>
        <v>0</v>
      </c>
      <c r="AM42" s="72">
        <f t="shared" si="194"/>
        <v>0</v>
      </c>
      <c r="AN42" s="72">
        <f t="shared" si="194"/>
        <v>0</v>
      </c>
      <c r="AO42" s="72">
        <f t="shared" si="194"/>
        <v>0</v>
      </c>
      <c r="AP42" s="72">
        <f t="shared" si="194"/>
        <v>0</v>
      </c>
      <c r="AQ42" s="364">
        <f t="shared" si="194"/>
        <v>0</v>
      </c>
      <c r="AR42" s="1088">
        <f t="shared" si="194"/>
        <v>0</v>
      </c>
      <c r="AS42" s="38">
        <f t="shared" si="23"/>
        <v>0</v>
      </c>
      <c r="AT42" s="364">
        <f>AT41</f>
        <v>0</v>
      </c>
      <c r="AU42" s="364">
        <f>AU41</f>
        <v>0</v>
      </c>
      <c r="AV42" s="72">
        <f>AV41</f>
        <v>0</v>
      </c>
      <c r="AW42" s="412">
        <v>1219112.1776000001</v>
      </c>
      <c r="AX42" s="364">
        <f>AX41</f>
        <v>77937.64</v>
      </c>
      <c r="AY42" s="38">
        <f t="shared" si="25"/>
        <v>15.642149000149351</v>
      </c>
      <c r="AZ42" s="72">
        <f t="shared" ref="AZ42:BG42" si="195">AZ41</f>
        <v>0</v>
      </c>
      <c r="BA42" s="72">
        <f t="shared" si="195"/>
        <v>0</v>
      </c>
      <c r="BB42" s="72">
        <f t="shared" si="195"/>
        <v>0</v>
      </c>
      <c r="BC42" s="412">
        <v>955802.04520000005</v>
      </c>
      <c r="BD42" s="72">
        <f t="shared" si="195"/>
        <v>45993.319999999992</v>
      </c>
      <c r="BE42" s="72">
        <f t="shared" si="195"/>
        <v>22.599064385871692</v>
      </c>
      <c r="BF42" s="364">
        <f t="shared" si="195"/>
        <v>0</v>
      </c>
      <c r="BG42" s="364">
        <f t="shared" si="195"/>
        <v>0</v>
      </c>
      <c r="BH42" s="307">
        <f t="shared" si="28"/>
        <v>0</v>
      </c>
      <c r="BI42" s="364">
        <f>BI41</f>
        <v>0</v>
      </c>
      <c r="BJ42" s="38">
        <f>BJ41</f>
        <v>0</v>
      </c>
      <c r="BK42" s="38">
        <f>IFERROR(BI42/BJ42,0)</f>
        <v>0</v>
      </c>
      <c r="BL42" s="412">
        <v>823676.23600000003</v>
      </c>
      <c r="BM42" s="364">
        <f>BM41</f>
        <v>31325.600000000006</v>
      </c>
      <c r="BN42" s="72">
        <f>BN41</f>
        <v>24.261233623617738</v>
      </c>
      <c r="BO42" s="412">
        <v>17679.8894</v>
      </c>
      <c r="BP42" s="307">
        <f>BP41</f>
        <v>4985.42</v>
      </c>
      <c r="BQ42" s="38">
        <f t="shared" si="31"/>
        <v>3.546318946046672</v>
      </c>
      <c r="BR42" s="364">
        <f>BR41</f>
        <v>0</v>
      </c>
      <c r="BS42" s="307">
        <f>BS41</f>
        <v>0</v>
      </c>
      <c r="BT42" s="38">
        <f>BT41</f>
        <v>0</v>
      </c>
      <c r="BU42" s="412">
        <v>746845.30090000003</v>
      </c>
      <c r="BV42" s="412">
        <v>56432.142620374361</v>
      </c>
      <c r="BW42" s="38">
        <f t="shared" si="33"/>
        <v>13.234395616060796</v>
      </c>
      <c r="BX42" s="364">
        <f>BX41</f>
        <v>0</v>
      </c>
      <c r="BY42" s="72">
        <f>BY41</f>
        <v>0</v>
      </c>
      <c r="BZ42" s="38">
        <f t="shared" si="34"/>
        <v>0</v>
      </c>
      <c r="CA42" s="364"/>
      <c r="CB42" s="364">
        <f>CB41</f>
        <v>0</v>
      </c>
      <c r="CC42" s="38">
        <f t="shared" si="35"/>
        <v>0</v>
      </c>
      <c r="CD42" s="364">
        <f>CD41</f>
        <v>0</v>
      </c>
      <c r="CE42" s="364">
        <f>CE41</f>
        <v>0</v>
      </c>
      <c r="CF42" s="38">
        <f>CF41</f>
        <v>0</v>
      </c>
      <c r="CG42" s="72">
        <f>+CG41</f>
        <v>0</v>
      </c>
      <c r="CH42" s="412">
        <v>19233.6358</v>
      </c>
      <c r="CI42" s="72">
        <f t="shared" ref="CI42:CN42" si="196">+CI41</f>
        <v>0</v>
      </c>
      <c r="CJ42" s="72">
        <f t="shared" si="196"/>
        <v>0</v>
      </c>
      <c r="CK42" s="421">
        <v>210325.72140000001</v>
      </c>
      <c r="CL42" s="72">
        <f t="shared" si="196"/>
        <v>0</v>
      </c>
      <c r="CM42" s="72">
        <f>CH42+CI42+CJ42+CK42</f>
        <v>229559.3572</v>
      </c>
      <c r="CN42" s="72">
        <f t="shared" si="196"/>
        <v>0</v>
      </c>
      <c r="CO42" s="364"/>
      <c r="CP42" s="72">
        <f>+CP41</f>
        <v>0</v>
      </c>
      <c r="CQ42" s="72">
        <f>+CQ41</f>
        <v>0</v>
      </c>
      <c r="CR42" s="72"/>
      <c r="CS42" s="72">
        <f>+CS41</f>
        <v>0</v>
      </c>
      <c r="CT42" s="72"/>
      <c r="CU42" s="72">
        <f>+CU41</f>
        <v>0</v>
      </c>
      <c r="CV42" s="72"/>
      <c r="CW42" s="72">
        <f>+CW41</f>
        <v>17990.739999999998</v>
      </c>
      <c r="CX42" s="72"/>
      <c r="CY42" s="72">
        <f>+CY41</f>
        <v>159272.95999999999</v>
      </c>
      <c r="CZ42" s="72"/>
      <c r="DA42" s="72">
        <f>+DA41</f>
        <v>38322.28</v>
      </c>
      <c r="DB42" s="72"/>
      <c r="DC42" s="72">
        <f>+DC41</f>
        <v>215585.98</v>
      </c>
      <c r="DD42" s="72">
        <f>+DD41</f>
        <v>0</v>
      </c>
      <c r="DE42" s="72">
        <f>+DE41</f>
        <v>0</v>
      </c>
      <c r="DF42" s="72"/>
      <c r="DG42" s="72">
        <f>+DG41</f>
        <v>0</v>
      </c>
      <c r="DH42" s="72"/>
      <c r="DI42" s="72">
        <f>+DI41</f>
        <v>0</v>
      </c>
      <c r="DJ42" s="72"/>
      <c r="DK42" s="72">
        <f>+DK41</f>
        <v>17990.739999999998</v>
      </c>
      <c r="DL42" s="72"/>
      <c r="DM42" s="38">
        <f t="shared" ref="DM42:DR42" si="197">+DM41</f>
        <v>59946.9</v>
      </c>
      <c r="DN42" s="72">
        <f t="shared" si="197"/>
        <v>0</v>
      </c>
      <c r="DO42" s="72">
        <f t="shared" si="197"/>
        <v>0</v>
      </c>
      <c r="DP42" s="72">
        <f t="shared" si="197"/>
        <v>0</v>
      </c>
      <c r="DQ42" s="38">
        <f t="shared" si="197"/>
        <v>77937.64</v>
      </c>
      <c r="DR42" s="38">
        <f t="shared" si="197"/>
        <v>0</v>
      </c>
      <c r="DS42" s="72"/>
      <c r="DT42" s="72">
        <f>+DT41</f>
        <v>0</v>
      </c>
      <c r="DU42" s="72"/>
      <c r="DV42" s="38">
        <f>+DV41</f>
        <v>0</v>
      </c>
      <c r="DW42" s="72"/>
      <c r="DX42" s="38">
        <f>+DX41</f>
        <v>0</v>
      </c>
      <c r="DY42" s="72"/>
      <c r="DZ42" s="72">
        <f>+DZ41</f>
        <v>59662.05999999999</v>
      </c>
      <c r="EA42" s="72"/>
      <c r="EB42" s="72">
        <f>+EB41</f>
        <v>22642.28</v>
      </c>
      <c r="EC42" s="72"/>
      <c r="ED42" s="72">
        <f>+ED41</f>
        <v>82304.34</v>
      </c>
      <c r="EE42" s="72">
        <f>+EE41</f>
        <v>0</v>
      </c>
      <c r="EF42" s="72">
        <f>+EF41</f>
        <v>0</v>
      </c>
      <c r="EG42" s="72">
        <f>+EG41</f>
        <v>0</v>
      </c>
      <c r="EH42" s="72"/>
      <c r="EI42" s="72">
        <f>+EI41</f>
        <v>0</v>
      </c>
      <c r="EJ42" s="72"/>
      <c r="EK42" s="72">
        <f>+EK41</f>
        <v>0</v>
      </c>
      <c r="EL42" s="72">
        <f>+EL41</f>
        <v>0</v>
      </c>
      <c r="EM42" s="72">
        <f>+EM41</f>
        <v>39664</v>
      </c>
      <c r="EN42" s="72"/>
      <c r="EO42" s="72">
        <f>+EO41</f>
        <v>15680</v>
      </c>
      <c r="EP42" s="72"/>
      <c r="EQ42" s="72">
        <f t="shared" ref="EQ42:FU42" si="198">+EQ41</f>
        <v>55344</v>
      </c>
      <c r="ER42" s="72">
        <f t="shared" si="198"/>
        <v>0</v>
      </c>
      <c r="ES42" s="72">
        <f t="shared" si="198"/>
        <v>0</v>
      </c>
      <c r="ET42" s="72">
        <f t="shared" si="198"/>
        <v>0</v>
      </c>
      <c r="EU42" s="72">
        <f t="shared" si="198"/>
        <v>0</v>
      </c>
      <c r="EV42" s="72">
        <f t="shared" si="198"/>
        <v>0</v>
      </c>
      <c r="EW42" s="72">
        <f t="shared" si="198"/>
        <v>0</v>
      </c>
      <c r="EX42" s="72">
        <f t="shared" si="198"/>
        <v>0</v>
      </c>
      <c r="EY42" s="72">
        <f t="shared" si="198"/>
        <v>0</v>
      </c>
      <c r="EZ42" s="72">
        <f t="shared" si="198"/>
        <v>0</v>
      </c>
      <c r="FA42" s="72">
        <f t="shared" si="198"/>
        <v>0</v>
      </c>
      <c r="FB42" s="72">
        <f t="shared" si="198"/>
        <v>0</v>
      </c>
      <c r="FC42" s="72">
        <f t="shared" si="198"/>
        <v>0</v>
      </c>
      <c r="FD42" s="72">
        <f t="shared" si="198"/>
        <v>0</v>
      </c>
      <c r="FE42" s="72">
        <f t="shared" si="198"/>
        <v>0</v>
      </c>
      <c r="FF42" s="72">
        <f t="shared" si="198"/>
        <v>0</v>
      </c>
      <c r="FG42" s="72">
        <f t="shared" si="198"/>
        <v>0</v>
      </c>
      <c r="FH42" s="72">
        <f t="shared" si="198"/>
        <v>0</v>
      </c>
      <c r="FI42" s="72">
        <f t="shared" si="198"/>
        <v>0</v>
      </c>
      <c r="FJ42" s="72">
        <f t="shared" si="198"/>
        <v>0</v>
      </c>
      <c r="FK42" s="72">
        <f t="shared" si="198"/>
        <v>0</v>
      </c>
      <c r="FL42" s="72">
        <f t="shared" si="198"/>
        <v>0</v>
      </c>
      <c r="FM42" s="72">
        <f t="shared" si="198"/>
        <v>0</v>
      </c>
      <c r="FN42" s="72">
        <f t="shared" si="198"/>
        <v>0</v>
      </c>
      <c r="FO42" s="72">
        <f t="shared" si="198"/>
        <v>0</v>
      </c>
      <c r="FP42" s="72">
        <f t="shared" si="198"/>
        <v>0</v>
      </c>
      <c r="FQ42" s="72">
        <f t="shared" si="198"/>
        <v>0</v>
      </c>
      <c r="FR42" s="72">
        <f t="shared" si="198"/>
        <v>0</v>
      </c>
      <c r="FS42" s="72">
        <f t="shared" si="198"/>
        <v>0</v>
      </c>
      <c r="FT42" s="72">
        <f t="shared" si="198"/>
        <v>0</v>
      </c>
      <c r="FU42" s="72">
        <f t="shared" si="198"/>
        <v>0</v>
      </c>
      <c r="FV42" s="72"/>
      <c r="FW42" s="72">
        <f>+FW41</f>
        <v>0</v>
      </c>
      <c r="FX42" s="72"/>
      <c r="FY42" s="72">
        <f>+FY41</f>
        <v>0</v>
      </c>
      <c r="FZ42" s="72"/>
      <c r="GA42" s="72">
        <f>+GA41</f>
        <v>0</v>
      </c>
      <c r="GB42" s="72"/>
      <c r="GC42" s="72">
        <f>+GC41</f>
        <v>0</v>
      </c>
      <c r="GD42" s="72"/>
      <c r="GE42" s="72">
        <f>+GE41</f>
        <v>0</v>
      </c>
      <c r="GF42" s="72"/>
      <c r="GG42" s="72">
        <f t="shared" ref="GG42:HK42" si="199">+GG41</f>
        <v>0</v>
      </c>
      <c r="GH42" s="72">
        <f t="shared" si="199"/>
        <v>0</v>
      </c>
      <c r="GI42" s="72">
        <f t="shared" si="199"/>
        <v>0</v>
      </c>
      <c r="GJ42" s="72">
        <f t="shared" si="199"/>
        <v>69606.19</v>
      </c>
      <c r="GK42" s="72">
        <f t="shared" si="199"/>
        <v>107135.40999999999</v>
      </c>
      <c r="GL42" s="72">
        <f t="shared" si="199"/>
        <v>172491.3</v>
      </c>
      <c r="GM42" s="72">
        <f t="shared" si="199"/>
        <v>349232.9</v>
      </c>
      <c r="GN42" s="72">
        <f t="shared" si="199"/>
        <v>0</v>
      </c>
      <c r="GO42" s="72">
        <f t="shared" si="199"/>
        <v>0</v>
      </c>
      <c r="GP42" s="72">
        <f t="shared" si="199"/>
        <v>0</v>
      </c>
      <c r="GQ42" s="72">
        <f t="shared" si="199"/>
        <v>0</v>
      </c>
      <c r="GR42" s="72">
        <f t="shared" si="199"/>
        <v>163274.90000000002</v>
      </c>
      <c r="GS42" s="72">
        <f t="shared" si="199"/>
        <v>7620.6900000000005</v>
      </c>
      <c r="GT42" s="72">
        <f t="shared" si="199"/>
        <v>92642.260000000038</v>
      </c>
      <c r="GU42" s="72">
        <f t="shared" si="199"/>
        <v>85695.050000000017</v>
      </c>
      <c r="GV42" s="72">
        <f t="shared" si="199"/>
        <v>349232.9</v>
      </c>
      <c r="GW42" s="72">
        <f t="shared" si="199"/>
        <v>0</v>
      </c>
      <c r="GX42" s="72">
        <f t="shared" si="199"/>
        <v>0</v>
      </c>
      <c r="GY42" s="72">
        <f t="shared" si="199"/>
        <v>0</v>
      </c>
      <c r="GZ42" s="72">
        <f t="shared" si="199"/>
        <v>0</v>
      </c>
      <c r="HA42" s="72">
        <f t="shared" si="199"/>
        <v>0</v>
      </c>
      <c r="HB42" s="72">
        <f t="shared" si="199"/>
        <v>0</v>
      </c>
      <c r="HC42" s="72">
        <f t="shared" si="199"/>
        <v>0</v>
      </c>
      <c r="HD42" s="72">
        <f t="shared" si="199"/>
        <v>0</v>
      </c>
      <c r="HE42" s="72">
        <f t="shared" si="199"/>
        <v>0</v>
      </c>
      <c r="HF42" s="72">
        <f t="shared" si="199"/>
        <v>41517.860000000008</v>
      </c>
      <c r="HG42" s="72">
        <f t="shared" si="199"/>
        <v>0</v>
      </c>
      <c r="HH42" s="72">
        <f t="shared" si="199"/>
        <v>20467.64</v>
      </c>
      <c r="HI42" s="72">
        <f t="shared" si="199"/>
        <v>0</v>
      </c>
      <c r="HJ42" s="72">
        <f t="shared" si="199"/>
        <v>7620.6900000000005</v>
      </c>
      <c r="HK42" s="72">
        <f t="shared" si="199"/>
        <v>0</v>
      </c>
      <c r="HL42" s="72">
        <f t="shared" si="66"/>
        <v>69606.19</v>
      </c>
      <c r="HM42" s="72">
        <f t="shared" ref="HM42:HZ42" si="200">+HM41</f>
        <v>0</v>
      </c>
      <c r="HN42" s="72">
        <f t="shared" si="200"/>
        <v>0</v>
      </c>
      <c r="HO42" s="72">
        <f t="shared" si="200"/>
        <v>0</v>
      </c>
      <c r="HP42" s="72">
        <f t="shared" si="200"/>
        <v>0</v>
      </c>
      <c r="HQ42" s="72">
        <f t="shared" si="200"/>
        <v>0</v>
      </c>
      <c r="HR42" s="72">
        <f t="shared" si="200"/>
        <v>0</v>
      </c>
      <c r="HS42" s="72">
        <f t="shared" si="200"/>
        <v>0</v>
      </c>
      <c r="HT42" s="72">
        <f t="shared" si="200"/>
        <v>0</v>
      </c>
      <c r="HU42" s="72">
        <f t="shared" si="200"/>
        <v>0</v>
      </c>
      <c r="HV42" s="72">
        <f t="shared" si="200"/>
        <v>0</v>
      </c>
      <c r="HW42" s="72">
        <f t="shared" si="200"/>
        <v>0</v>
      </c>
      <c r="HX42" s="72">
        <f t="shared" si="200"/>
        <v>0</v>
      </c>
      <c r="HY42" s="72">
        <f t="shared" si="200"/>
        <v>0</v>
      </c>
      <c r="HZ42" s="72">
        <f t="shared" si="200"/>
        <v>0</v>
      </c>
      <c r="IA42" s="72">
        <f t="shared" si="67"/>
        <v>0</v>
      </c>
      <c r="IB42" s="72">
        <f t="shared" ref="IB42:IO42" si="201">+IB41</f>
        <v>0</v>
      </c>
      <c r="IC42" s="72">
        <f t="shared" si="201"/>
        <v>0</v>
      </c>
      <c r="ID42" s="72">
        <f t="shared" si="201"/>
        <v>0</v>
      </c>
      <c r="IE42" s="72">
        <f t="shared" si="201"/>
        <v>0</v>
      </c>
      <c r="IF42" s="72">
        <f t="shared" si="201"/>
        <v>0</v>
      </c>
      <c r="IG42" s="72">
        <f t="shared" si="201"/>
        <v>0</v>
      </c>
      <c r="IH42" s="72">
        <f t="shared" si="201"/>
        <v>14334.409999999998</v>
      </c>
      <c r="II42" s="72">
        <f t="shared" si="201"/>
        <v>0</v>
      </c>
      <c r="IJ42" s="38">
        <f t="shared" si="201"/>
        <v>92801</v>
      </c>
      <c r="IK42" s="72">
        <f t="shared" si="201"/>
        <v>0</v>
      </c>
      <c r="IL42" s="72">
        <f t="shared" si="201"/>
        <v>0</v>
      </c>
      <c r="IM42" s="38">
        <f t="shared" si="201"/>
        <v>0</v>
      </c>
      <c r="IN42" s="72">
        <f t="shared" si="201"/>
        <v>0</v>
      </c>
      <c r="IO42" s="72">
        <f t="shared" si="201"/>
        <v>0</v>
      </c>
      <c r="IP42" s="421">
        <f>SUM(IB42:IO42)</f>
        <v>107135.41</v>
      </c>
      <c r="IQ42" s="72">
        <f t="shared" ref="IQ42:JD42" si="202">+IQ41</f>
        <v>0</v>
      </c>
      <c r="IR42" s="72">
        <f t="shared" si="202"/>
        <v>0</v>
      </c>
      <c r="IS42" s="38">
        <f t="shared" si="202"/>
        <v>0</v>
      </c>
      <c r="IT42" s="72">
        <f t="shared" si="202"/>
        <v>0</v>
      </c>
      <c r="IU42" s="38">
        <f t="shared" si="202"/>
        <v>0</v>
      </c>
      <c r="IV42" s="72">
        <f t="shared" si="202"/>
        <v>0</v>
      </c>
      <c r="IW42" s="72">
        <f t="shared" si="202"/>
        <v>0</v>
      </c>
      <c r="IX42" s="72">
        <f t="shared" si="202"/>
        <v>0</v>
      </c>
      <c r="IY42" s="72">
        <f t="shared" si="202"/>
        <v>153049.10999999999</v>
      </c>
      <c r="IZ42" s="72">
        <f t="shared" si="202"/>
        <v>0</v>
      </c>
      <c r="JA42" s="72">
        <f t="shared" si="202"/>
        <v>19442.189999999999</v>
      </c>
      <c r="JB42" s="72">
        <f t="shared" si="202"/>
        <v>0</v>
      </c>
      <c r="JC42" s="72">
        <f t="shared" si="202"/>
        <v>0</v>
      </c>
      <c r="JD42" s="72">
        <f t="shared" si="202"/>
        <v>0</v>
      </c>
      <c r="JE42" s="421">
        <f>SUM(IQ42:JD42)</f>
        <v>172491.3</v>
      </c>
      <c r="JF42" s="72">
        <f t="shared" ref="JF42:KM42" si="203">+JF41</f>
        <v>0</v>
      </c>
      <c r="JG42" s="72">
        <f t="shared" si="203"/>
        <v>0</v>
      </c>
      <c r="JH42" s="72">
        <f t="shared" si="203"/>
        <v>284028.82</v>
      </c>
      <c r="JI42" s="72">
        <f t="shared" si="203"/>
        <v>65204.08</v>
      </c>
      <c r="JJ42" s="38">
        <f t="shared" si="203"/>
        <v>0</v>
      </c>
      <c r="JK42" s="72">
        <f t="shared" si="203"/>
        <v>349232.89999999997</v>
      </c>
      <c r="JL42" s="72">
        <f t="shared" si="203"/>
        <v>0</v>
      </c>
      <c r="JM42" s="72">
        <f t="shared" si="203"/>
        <v>0</v>
      </c>
      <c r="JN42" s="38">
        <f t="shared" si="203"/>
        <v>0</v>
      </c>
      <c r="JO42" s="38">
        <f t="shared" si="203"/>
        <v>0</v>
      </c>
      <c r="JP42" s="38">
        <f t="shared" si="203"/>
        <v>0</v>
      </c>
      <c r="JQ42" s="38">
        <f t="shared" si="203"/>
        <v>0</v>
      </c>
      <c r="JR42" s="38">
        <f t="shared" si="203"/>
        <v>0.94959412448353542</v>
      </c>
      <c r="JS42" s="1087">
        <f t="shared" si="203"/>
        <v>5.0405875516464423E-2</v>
      </c>
      <c r="JT42" s="38">
        <f t="shared" si="203"/>
        <v>0</v>
      </c>
      <c r="JU42" s="38">
        <f t="shared" si="203"/>
        <v>0</v>
      </c>
      <c r="JV42" s="38">
        <f t="shared" si="203"/>
        <v>0</v>
      </c>
      <c r="JW42" s="38">
        <f t="shared" si="203"/>
        <v>0</v>
      </c>
      <c r="JX42" s="38">
        <f t="shared" si="203"/>
        <v>0</v>
      </c>
      <c r="JY42" s="38">
        <f t="shared" si="203"/>
        <v>0.17957543172462059</v>
      </c>
      <c r="JZ42" s="38">
        <f t="shared" si="203"/>
        <v>0.21105422644444555</v>
      </c>
      <c r="KA42" s="38">
        <f t="shared" si="203"/>
        <v>0.60937034183093397</v>
      </c>
      <c r="KB42" s="38">
        <f t="shared" si="203"/>
        <v>0</v>
      </c>
      <c r="KC42" s="38">
        <f t="shared" si="203"/>
        <v>0</v>
      </c>
      <c r="KD42" s="38">
        <f t="shared" si="203"/>
        <v>0</v>
      </c>
      <c r="KE42" s="38">
        <f t="shared" si="203"/>
        <v>0</v>
      </c>
      <c r="KF42" s="38">
        <f t="shared" si="203"/>
        <v>0</v>
      </c>
      <c r="KG42" s="38">
        <f t="shared" si="203"/>
        <v>0</v>
      </c>
      <c r="KH42" s="38">
        <f t="shared" si="203"/>
        <v>0</v>
      </c>
      <c r="KI42" s="38">
        <f t="shared" si="203"/>
        <v>0</v>
      </c>
      <c r="KJ42" s="38">
        <f t="shared" si="203"/>
        <v>0</v>
      </c>
      <c r="KK42" s="38">
        <f t="shared" si="203"/>
        <v>0</v>
      </c>
      <c r="KL42" s="72">
        <f t="shared" si="203"/>
        <v>0</v>
      </c>
      <c r="KM42" s="72">
        <f t="shared" si="203"/>
        <v>0</v>
      </c>
      <c r="KN42" s="72">
        <f t="shared" ref="KN42:KW42" si="204">KN41</f>
        <v>7030.677559276005</v>
      </c>
      <c r="KO42" s="38">
        <f t="shared" si="204"/>
        <v>0.73202129390277981</v>
      </c>
      <c r="KP42" s="38">
        <f t="shared" si="204"/>
        <v>3.6102920139093682</v>
      </c>
      <c r="KQ42" s="38">
        <f t="shared" si="204"/>
        <v>6.4150584581114787</v>
      </c>
      <c r="KR42" s="38">
        <f t="shared" si="204"/>
        <v>11.483290408062928</v>
      </c>
      <c r="KS42" s="72">
        <f t="shared" si="204"/>
        <v>6875.2904448711161</v>
      </c>
      <c r="KT42" s="38">
        <f t="shared" si="204"/>
        <v>1.7367863237751235</v>
      </c>
      <c r="KU42" s="38">
        <f t="shared" si="204"/>
        <v>6.0201854322010817</v>
      </c>
      <c r="KV42" s="38">
        <f t="shared" si="204"/>
        <v>5.9182535806325367</v>
      </c>
      <c r="KW42" s="38">
        <f t="shared" si="204"/>
        <v>10.627459967110331</v>
      </c>
      <c r="KX42" s="72">
        <f t="shared" ref="KX42:LB42" si="205">KX41</f>
        <v>0</v>
      </c>
      <c r="KY42" s="38">
        <f t="shared" si="205"/>
        <v>0</v>
      </c>
      <c r="KZ42" s="38">
        <f t="shared" si="205"/>
        <v>0</v>
      </c>
      <c r="LA42" s="38">
        <f t="shared" si="205"/>
        <v>0</v>
      </c>
      <c r="LB42" s="38">
        <f t="shared" si="205"/>
        <v>0</v>
      </c>
      <c r="LC42" s="72"/>
      <c r="LD42" s="72">
        <f t="shared" ref="LD42:MI42" si="206">+LD41</f>
        <v>0</v>
      </c>
      <c r="LE42" s="72">
        <f t="shared" si="206"/>
        <v>0</v>
      </c>
      <c r="LF42" s="72">
        <f t="shared" si="206"/>
        <v>448688.14300000004</v>
      </c>
      <c r="LG42" s="72">
        <f t="shared" si="206"/>
        <v>44779.666999999994</v>
      </c>
      <c r="LH42" s="72">
        <f t="shared" si="206"/>
        <v>0</v>
      </c>
      <c r="LI42" s="72">
        <f t="shared" si="206"/>
        <v>493467.81</v>
      </c>
      <c r="LJ42" s="72">
        <f t="shared" si="206"/>
        <v>66</v>
      </c>
      <c r="LK42" s="72">
        <f t="shared" si="206"/>
        <v>9</v>
      </c>
      <c r="LL42" s="72">
        <f t="shared" si="206"/>
        <v>74</v>
      </c>
      <c r="LM42" s="72">
        <f t="shared" si="206"/>
        <v>0</v>
      </c>
      <c r="LN42" s="72">
        <f t="shared" si="206"/>
        <v>6.6774193548387091</v>
      </c>
      <c r="LO42" s="72">
        <f t="shared" si="206"/>
        <v>0</v>
      </c>
      <c r="LP42" s="72">
        <f t="shared" si="206"/>
        <v>0</v>
      </c>
      <c r="LQ42" s="72">
        <f t="shared" si="206"/>
        <v>442648.86700000009</v>
      </c>
      <c r="LR42" s="72">
        <f t="shared" si="206"/>
        <v>10948.262999999999</v>
      </c>
      <c r="LS42" s="72">
        <f t="shared" si="206"/>
        <v>0</v>
      </c>
      <c r="LT42" s="72">
        <f t="shared" si="206"/>
        <v>0</v>
      </c>
      <c r="LU42" s="72">
        <f t="shared" si="206"/>
        <v>0</v>
      </c>
      <c r="LV42" s="72">
        <f t="shared" si="206"/>
        <v>453597.13000000006</v>
      </c>
      <c r="LW42" s="72">
        <f t="shared" si="206"/>
        <v>6039.2759999999998</v>
      </c>
      <c r="LX42" s="72">
        <f t="shared" si="206"/>
        <v>33831.403999999995</v>
      </c>
      <c r="LY42" s="72">
        <f t="shared" si="206"/>
        <v>0</v>
      </c>
      <c r="LZ42" s="72">
        <f t="shared" si="206"/>
        <v>0</v>
      </c>
      <c r="MA42" s="72">
        <f t="shared" si="206"/>
        <v>0</v>
      </c>
      <c r="MB42" s="72">
        <f t="shared" si="206"/>
        <v>39870.68</v>
      </c>
      <c r="MC42" s="72">
        <f t="shared" si="206"/>
        <v>0</v>
      </c>
      <c r="MD42" s="72">
        <f t="shared" si="206"/>
        <v>0</v>
      </c>
      <c r="ME42" s="72">
        <f t="shared" si="206"/>
        <v>0</v>
      </c>
      <c r="MF42" s="72">
        <f t="shared" si="206"/>
        <v>0</v>
      </c>
      <c r="MG42" s="72">
        <f t="shared" si="206"/>
        <v>0</v>
      </c>
      <c r="MH42" s="72">
        <f t="shared" si="206"/>
        <v>0</v>
      </c>
      <c r="MI42" s="72">
        <f t="shared" si="206"/>
        <v>0</v>
      </c>
      <c r="MJ42" s="72"/>
      <c r="MK42" s="72">
        <f>+MK41</f>
        <v>0</v>
      </c>
      <c r="ML42" s="72">
        <f>+ML41</f>
        <v>0</v>
      </c>
      <c r="MM42" s="72">
        <f>+MM41</f>
        <v>0</v>
      </c>
      <c r="MN42" s="72">
        <f>+MN41</f>
        <v>0</v>
      </c>
      <c r="MO42" s="72">
        <f>+MO41</f>
        <v>0</v>
      </c>
      <c r="MP42" s="72"/>
      <c r="MQ42" s="72">
        <f t="shared" ref="MQ42:MV42" si="207">+MQ41</f>
        <v>0</v>
      </c>
      <c r="MR42" s="72">
        <f t="shared" si="207"/>
        <v>0</v>
      </c>
      <c r="MS42" s="72">
        <f t="shared" si="207"/>
        <v>0</v>
      </c>
      <c r="MT42" s="72">
        <f t="shared" si="207"/>
        <v>0</v>
      </c>
      <c r="MU42" s="72">
        <f t="shared" si="207"/>
        <v>0</v>
      </c>
      <c r="MV42" s="72">
        <f t="shared" si="207"/>
        <v>0</v>
      </c>
      <c r="MW42" s="364">
        <f>MW41</f>
        <v>91637.32630256642</v>
      </c>
      <c r="MX42" s="364">
        <f>MX41</f>
        <v>145946.20929571753</v>
      </c>
      <c r="MY42" s="364">
        <f>+MY41</f>
        <v>18505.83560828304</v>
      </c>
      <c r="MZ42" s="364">
        <f>MZ41</f>
        <v>432191.51467809116</v>
      </c>
      <c r="NA42" s="72">
        <f>+NA41</f>
        <v>0</v>
      </c>
      <c r="NB42" s="1472">
        <v>74553.67169719057</v>
      </c>
      <c r="NC42" s="1472">
        <v>23392.691747340945</v>
      </c>
      <c r="ND42" s="364">
        <f t="shared" si="189"/>
        <v>0</v>
      </c>
      <c r="NE42" s="364">
        <f>NB42+NC42</f>
        <v>97946.363444531511</v>
      </c>
      <c r="NF42" s="412">
        <f>NF41</f>
        <v>0</v>
      </c>
      <c r="NG42" s="364">
        <f t="shared" ref="NG42:NO42" si="208">NG41</f>
        <v>0</v>
      </c>
      <c r="NH42" s="364">
        <f t="shared" si="208"/>
        <v>0</v>
      </c>
      <c r="NI42" s="364">
        <f t="shared" si="208"/>
        <v>0</v>
      </c>
      <c r="NJ42" s="364">
        <f>NJ41</f>
        <v>0</v>
      </c>
      <c r="NK42" s="72">
        <f t="shared" si="208"/>
        <v>0</v>
      </c>
      <c r="NL42" s="364">
        <f>NL41</f>
        <v>0</v>
      </c>
      <c r="NM42" s="364">
        <f t="shared" si="208"/>
        <v>0</v>
      </c>
      <c r="NN42" s="1474">
        <v>36409.862027032752</v>
      </c>
      <c r="NO42" s="72">
        <f t="shared" si="208"/>
        <v>0</v>
      </c>
      <c r="NP42" s="412">
        <v>8756.5482322711578</v>
      </c>
      <c r="NQ42" s="1474">
        <v>18590.8150132308</v>
      </c>
      <c r="NR42" s="364">
        <f>NN42+NP42+NQ42</f>
        <v>63757.225272534713</v>
      </c>
      <c r="NS42" s="364">
        <f t="shared" ref="NS42:OQ42" si="209">NS41</f>
        <v>0</v>
      </c>
      <c r="NT42" s="364">
        <f t="shared" si="209"/>
        <v>0</v>
      </c>
      <c r="NU42" s="364">
        <f t="shared" si="209"/>
        <v>0</v>
      </c>
      <c r="NV42" s="364">
        <f t="shared" si="209"/>
        <v>0</v>
      </c>
      <c r="NW42" s="364">
        <f>NW41</f>
        <v>0</v>
      </c>
      <c r="NX42" s="364">
        <f t="shared" si="209"/>
        <v>0</v>
      </c>
      <c r="NY42" s="412">
        <v>5933.5346092523796</v>
      </c>
      <c r="NZ42" s="364">
        <f t="shared" si="209"/>
        <v>0</v>
      </c>
      <c r="OA42" s="412">
        <v>6203.48570226225</v>
      </c>
      <c r="OB42" s="364">
        <f t="shared" si="209"/>
        <v>0</v>
      </c>
      <c r="OC42" s="412">
        <v>1565.61197844705</v>
      </c>
      <c r="OD42" s="364">
        <f t="shared" si="209"/>
        <v>0</v>
      </c>
      <c r="OE42" s="364">
        <f>NY42+OA42+OC42</f>
        <v>13702.632289961679</v>
      </c>
      <c r="OF42" s="364">
        <v>0</v>
      </c>
      <c r="OG42" s="364">
        <f t="shared" si="209"/>
        <v>0</v>
      </c>
      <c r="OH42" s="364">
        <f t="shared" si="209"/>
        <v>0</v>
      </c>
      <c r="OI42" s="364">
        <f t="shared" si="209"/>
        <v>0</v>
      </c>
      <c r="OJ42" s="364">
        <v>0</v>
      </c>
      <c r="OK42" s="364">
        <f t="shared" si="209"/>
        <v>0</v>
      </c>
      <c r="OL42" s="364">
        <v>0</v>
      </c>
      <c r="OM42" s="364">
        <f t="shared" si="209"/>
        <v>0</v>
      </c>
      <c r="ON42" s="412">
        <v>70504.720253800202</v>
      </c>
      <c r="OO42" s="364">
        <f t="shared" si="209"/>
        <v>0</v>
      </c>
      <c r="OP42" s="412">
        <v>9104.7591678050994</v>
      </c>
      <c r="OQ42" s="364">
        <f t="shared" si="209"/>
        <v>0</v>
      </c>
      <c r="OR42" s="364">
        <f>ON42+OP42</f>
        <v>79609.479421605298</v>
      </c>
      <c r="OS42" s="72">
        <f t="shared" ref="OS42:PJ42" si="210">+OS41</f>
        <v>0</v>
      </c>
      <c r="OT42" s="72">
        <f t="shared" si="210"/>
        <v>0</v>
      </c>
      <c r="OU42" s="72">
        <f t="shared" si="210"/>
        <v>0</v>
      </c>
      <c r="OV42" s="72">
        <f t="shared" si="210"/>
        <v>0</v>
      </c>
      <c r="OW42" s="72">
        <f t="shared" si="210"/>
        <v>0</v>
      </c>
      <c r="OX42" s="72">
        <f t="shared" si="210"/>
        <v>0</v>
      </c>
      <c r="OY42" s="72">
        <f t="shared" si="210"/>
        <v>0</v>
      </c>
      <c r="OZ42" s="72">
        <f t="shared" si="210"/>
        <v>0</v>
      </c>
      <c r="PA42" s="72">
        <f t="shared" si="210"/>
        <v>0</v>
      </c>
      <c r="PB42" s="72">
        <f t="shared" si="210"/>
        <v>0</v>
      </c>
      <c r="PC42" s="72">
        <f t="shared" si="210"/>
        <v>0</v>
      </c>
      <c r="PD42" s="72">
        <f t="shared" si="210"/>
        <v>0</v>
      </c>
      <c r="PE42" s="72">
        <f t="shared" si="210"/>
        <v>0</v>
      </c>
      <c r="PF42" s="72">
        <f t="shared" si="210"/>
        <v>0</v>
      </c>
      <c r="PG42" s="72">
        <f t="shared" si="210"/>
        <v>0</v>
      </c>
      <c r="PH42" s="72">
        <f t="shared" si="210"/>
        <v>0</v>
      </c>
      <c r="PI42" s="72">
        <f t="shared" si="210"/>
        <v>12859.559999999998</v>
      </c>
      <c r="PJ42" s="72">
        <f t="shared" si="210"/>
        <v>10729.800000000001</v>
      </c>
      <c r="PK42" s="72">
        <f t="shared" ref="PK42" si="211">+PK41</f>
        <v>5364.9</v>
      </c>
      <c r="PL42" s="72">
        <f>+PL41</f>
        <v>7620.6900000000005</v>
      </c>
      <c r="PM42" s="72">
        <v>1607.4897377964558</v>
      </c>
      <c r="PN42" s="72">
        <v>23336.863116668144</v>
      </c>
      <c r="PO42" s="72">
        <f>+PO41</f>
        <v>0</v>
      </c>
      <c r="PP42" s="72">
        <f>+PP41</f>
        <v>0</v>
      </c>
      <c r="PQ42" s="72">
        <f>+PQ41</f>
        <v>0</v>
      </c>
      <c r="PR42" s="72">
        <f>+PR41</f>
        <v>0</v>
      </c>
      <c r="PS42" s="72"/>
      <c r="PT42" s="72"/>
      <c r="PU42" s="72">
        <f>+PU41</f>
        <v>0</v>
      </c>
      <c r="PV42" s="72">
        <f>+PV41</f>
        <v>0</v>
      </c>
      <c r="PW42" s="72">
        <f>+PW41</f>
        <v>0</v>
      </c>
      <c r="PX42" s="72"/>
      <c r="PY42" s="72">
        <f>+PY41</f>
        <v>12859.559999999998</v>
      </c>
      <c r="PZ42" s="72"/>
      <c r="QA42" s="72"/>
      <c r="QB42" s="72"/>
      <c r="QC42" s="72"/>
      <c r="QD42" s="72"/>
      <c r="QE42" s="412">
        <v>29749.381073161156</v>
      </c>
      <c r="QF42" s="412">
        <v>410436.07557805313</v>
      </c>
      <c r="QG42" s="1473">
        <v>0</v>
      </c>
      <c r="QH42" s="876">
        <f>QH41</f>
        <v>5505.3678056100007</v>
      </c>
      <c r="RW42" s="72"/>
    </row>
    <row r="43" spans="1:500" s="311" customFormat="1">
      <c r="A43" s="312" t="s">
        <v>12</v>
      </c>
      <c r="B43" s="312"/>
      <c r="C43" s="337">
        <f>SUM(O43,S43,W43)</f>
        <v>4790000</v>
      </c>
      <c r="D43" s="337">
        <f>SUM(P43,T43,X43)</f>
        <v>240000</v>
      </c>
      <c r="E43" s="1084">
        <f>IFERROR(C43/D43,0)</f>
        <v>19.958333333333332</v>
      </c>
      <c r="F43" s="309"/>
      <c r="G43" s="309"/>
      <c r="H43" s="308"/>
      <c r="I43" s="308"/>
      <c r="J43" s="308"/>
      <c r="K43" s="308"/>
      <c r="L43" s="308"/>
      <c r="M43" s="308"/>
      <c r="N43" s="308"/>
      <c r="O43" s="337">
        <f>SUM(AQ43,AW43,BC43)</f>
        <v>2595000</v>
      </c>
      <c r="P43" s="337">
        <f>SUM(AR43,AX43,BD43)</f>
        <v>135000</v>
      </c>
      <c r="Q43" s="1084">
        <f t="shared" si="10"/>
        <v>19.222222222222221</v>
      </c>
      <c r="R43" s="308"/>
      <c r="S43" s="1085">
        <f t="shared" si="11"/>
        <v>1345000</v>
      </c>
      <c r="T43" s="1085">
        <f>SUM(BG43,BJ43,BM43,BY43)</f>
        <v>45000</v>
      </c>
      <c r="U43" s="1083">
        <f t="shared" si="13"/>
        <v>29.888888888888889</v>
      </c>
      <c r="V43" s="308"/>
      <c r="W43" s="337">
        <f>SUM(BR43,BU43,CD43)</f>
        <v>850000</v>
      </c>
      <c r="X43" s="337">
        <f>BV43</f>
        <v>60000</v>
      </c>
      <c r="Y43" s="1084">
        <f t="shared" si="16"/>
        <v>14.166666666666666</v>
      </c>
      <c r="Z43" s="308"/>
      <c r="AA43" s="337"/>
      <c r="AB43" s="1085">
        <f>BS43</f>
        <v>0</v>
      </c>
      <c r="AC43" s="1084">
        <f>AC42</f>
        <v>2.2880720180045011</v>
      </c>
      <c r="AD43" s="337"/>
      <c r="AE43" s="308"/>
      <c r="AF43" s="308"/>
      <c r="AG43" s="309"/>
      <c r="AH43" s="308"/>
      <c r="AI43" s="308">
        <f>BR43</f>
        <v>0</v>
      </c>
      <c r="AJ43" s="308">
        <f>BS43</f>
        <v>0</v>
      </c>
      <c r="AK43" s="309">
        <f t="shared" si="21"/>
        <v>0</v>
      </c>
      <c r="AL43" s="308"/>
      <c r="AM43" s="308"/>
      <c r="AN43" s="308"/>
      <c r="AO43" s="308"/>
      <c r="AP43" s="308">
        <f>IFERROR(AN43/AO43,0)</f>
        <v>0</v>
      </c>
      <c r="AQ43" s="337"/>
      <c r="AR43" s="337"/>
      <c r="AS43" s="309"/>
      <c r="AT43" s="337"/>
      <c r="AU43" s="337"/>
      <c r="AV43" s="309"/>
      <c r="AW43" s="337">
        <v>1345000</v>
      </c>
      <c r="AX43" s="337">
        <v>90000</v>
      </c>
      <c r="AY43" s="309">
        <f t="shared" si="25"/>
        <v>14.944444444444445</v>
      </c>
      <c r="AZ43" s="308"/>
      <c r="BA43" s="308"/>
      <c r="BB43" s="309"/>
      <c r="BC43" s="308">
        <v>1250000</v>
      </c>
      <c r="BD43" s="308">
        <v>45000</v>
      </c>
      <c r="BE43" s="309">
        <f>IFERROR(BC43/BD43,0)</f>
        <v>27.777777777777779</v>
      </c>
      <c r="BF43" s="337"/>
      <c r="BG43" s="337"/>
      <c r="BH43" s="309"/>
      <c r="BI43" s="337"/>
      <c r="BJ43" s="308">
        <v>0</v>
      </c>
      <c r="BK43" s="309">
        <f>IFERROR(BI43/BJ43,0)</f>
        <v>0</v>
      </c>
      <c r="BL43" s="337">
        <v>1345000</v>
      </c>
      <c r="BM43" s="337">
        <v>45000</v>
      </c>
      <c r="BN43" s="309">
        <f>IFERROR(BL43/BM43,0)</f>
        <v>29.888888888888889</v>
      </c>
      <c r="BO43" s="309">
        <v>0</v>
      </c>
      <c r="BP43" s="337">
        <v>0</v>
      </c>
      <c r="BQ43" s="309">
        <f>IFERROR(BP43/#REF!,0)</f>
        <v>0</v>
      </c>
      <c r="BR43" s="337"/>
      <c r="BS43" s="337"/>
      <c r="BT43" s="309">
        <f>IFERROR(BR43/BS43,0)</f>
        <v>0</v>
      </c>
      <c r="BU43" s="337">
        <v>850000</v>
      </c>
      <c r="BV43" s="337">
        <v>60000</v>
      </c>
      <c r="BW43" s="309">
        <f t="shared" si="33"/>
        <v>14.166666666666666</v>
      </c>
      <c r="BX43" s="337"/>
      <c r="BY43" s="337"/>
      <c r="BZ43" s="1083">
        <f t="shared" si="34"/>
        <v>0</v>
      </c>
      <c r="CA43" s="337"/>
      <c r="CB43" s="337"/>
      <c r="CC43" s="78">
        <f t="shared" si="35"/>
        <v>0</v>
      </c>
      <c r="CD43" s="337"/>
      <c r="CE43" s="308"/>
      <c r="CF43" s="309">
        <f>IFERROR(CD43/CE43,0)</f>
        <v>0</v>
      </c>
      <c r="CG43" s="308"/>
      <c r="CH43" s="308">
        <v>80000</v>
      </c>
      <c r="CI43" s="308"/>
      <c r="CJ43" s="308"/>
      <c r="CK43" s="308">
        <v>545000</v>
      </c>
      <c r="CL43" s="308"/>
      <c r="CM43" s="308">
        <f>SUM(CH43:CK43)</f>
        <v>625000</v>
      </c>
      <c r="CN43" s="308"/>
      <c r="CO43" s="308"/>
      <c r="CP43" s="308"/>
      <c r="CQ43" s="308"/>
      <c r="CR43" s="308"/>
      <c r="CS43" s="308"/>
      <c r="CT43" s="308"/>
      <c r="CU43" s="308"/>
      <c r="CV43" s="308"/>
      <c r="CW43" s="308"/>
      <c r="CX43" s="308"/>
      <c r="CY43" s="308"/>
      <c r="CZ43" s="308"/>
      <c r="DA43" s="308"/>
      <c r="DB43" s="308"/>
      <c r="DC43" s="308"/>
      <c r="DD43" s="308"/>
      <c r="DE43" s="308"/>
      <c r="DF43" s="308"/>
      <c r="DG43" s="308"/>
      <c r="DH43" s="308"/>
      <c r="DI43" s="308"/>
      <c r="DJ43" s="308"/>
      <c r="DK43" s="308"/>
      <c r="DL43" s="308"/>
      <c r="DM43" s="308"/>
      <c r="DN43" s="308"/>
      <c r="DO43" s="308"/>
      <c r="DP43" s="308"/>
      <c r="DQ43" s="308"/>
      <c r="DR43" s="308"/>
      <c r="DS43" s="308"/>
      <c r="DT43" s="308"/>
      <c r="DU43" s="308"/>
      <c r="DV43" s="308"/>
      <c r="DW43" s="308"/>
      <c r="DX43" s="308"/>
      <c r="DY43" s="308"/>
      <c r="DZ43" s="308"/>
      <c r="EA43" s="308"/>
      <c r="EB43" s="308"/>
      <c r="EC43" s="308"/>
      <c r="ED43" s="308"/>
      <c r="EE43" s="308"/>
      <c r="EF43" s="308"/>
      <c r="EG43" s="308"/>
      <c r="EH43" s="308"/>
      <c r="EI43" s="308"/>
      <c r="EJ43" s="308"/>
      <c r="EK43" s="308"/>
      <c r="EL43" s="308"/>
      <c r="EM43" s="308"/>
      <c r="EN43" s="308"/>
      <c r="EO43" s="308"/>
      <c r="EP43" s="308"/>
      <c r="EQ43" s="308"/>
      <c r="ER43" s="308"/>
      <c r="ES43" s="308"/>
      <c r="ET43" s="308"/>
      <c r="EU43" s="308"/>
      <c r="EV43" s="308"/>
      <c r="EW43" s="308"/>
      <c r="EX43" s="308"/>
      <c r="EY43" s="308"/>
      <c r="EZ43" s="308"/>
      <c r="FA43" s="308"/>
      <c r="FB43" s="308"/>
      <c r="FC43" s="308"/>
      <c r="FD43" s="308"/>
      <c r="FE43" s="308"/>
      <c r="FF43" s="308"/>
      <c r="FG43" s="308"/>
      <c r="FH43" s="308"/>
      <c r="FI43" s="308"/>
      <c r="FJ43" s="308"/>
      <c r="FK43" s="308"/>
      <c r="FL43" s="308"/>
      <c r="FM43" s="308"/>
      <c r="FN43" s="308"/>
      <c r="FO43" s="308"/>
      <c r="FP43" s="308"/>
      <c r="FQ43" s="308"/>
      <c r="FR43" s="308"/>
      <c r="FS43" s="308"/>
      <c r="FT43" s="308"/>
      <c r="FU43" s="308"/>
      <c r="FV43" s="308"/>
      <c r="FW43" s="308"/>
      <c r="FX43" s="308"/>
      <c r="FY43" s="308"/>
      <c r="FZ43" s="308"/>
      <c r="GA43" s="308"/>
      <c r="GB43" s="308"/>
      <c r="GC43" s="308"/>
      <c r="GD43" s="308"/>
      <c r="GE43" s="308"/>
      <c r="GF43" s="308"/>
      <c r="GG43" s="308"/>
      <c r="GH43" s="308"/>
      <c r="GI43" s="308"/>
      <c r="GJ43" s="308">
        <v>85334.961197056109</v>
      </c>
      <c r="GK43" s="308">
        <v>63525.038802943898</v>
      </c>
      <c r="GL43" s="308">
        <v>166140</v>
      </c>
      <c r="GM43" s="308">
        <f>GK43+GL43+GJ43</f>
        <v>315000</v>
      </c>
      <c r="GN43" s="308">
        <v>0</v>
      </c>
      <c r="GO43" s="308">
        <v>0</v>
      </c>
      <c r="GP43" s="308"/>
      <c r="GQ43" s="308"/>
      <c r="GR43" s="308"/>
      <c r="GS43" s="308"/>
      <c r="GT43" s="308"/>
      <c r="GU43" s="308"/>
      <c r="GV43" s="308">
        <f>SUM(GR43:GT43)</f>
        <v>0</v>
      </c>
      <c r="GW43" s="308"/>
      <c r="GX43" s="308"/>
      <c r="GY43" s="308"/>
      <c r="GZ43" s="308"/>
      <c r="HA43" s="308"/>
      <c r="HB43" s="308"/>
      <c r="HC43" s="308"/>
      <c r="HD43" s="308"/>
      <c r="HE43" s="308"/>
      <c r="HF43" s="308"/>
      <c r="HG43" s="308"/>
      <c r="HH43" s="308"/>
      <c r="HI43" s="308"/>
      <c r="HJ43" s="308"/>
      <c r="HK43" s="308"/>
      <c r="HL43" s="308"/>
      <c r="HM43" s="308"/>
      <c r="HN43" s="308"/>
      <c r="HO43" s="308"/>
      <c r="HP43" s="308"/>
      <c r="HQ43" s="308"/>
      <c r="HR43" s="308"/>
      <c r="HS43" s="308"/>
      <c r="HT43" s="308"/>
      <c r="HU43" s="308"/>
      <c r="HV43" s="308"/>
      <c r="HW43" s="308"/>
      <c r="HX43" s="308"/>
      <c r="HY43" s="308"/>
      <c r="HZ43" s="308"/>
      <c r="IA43" s="308"/>
      <c r="IB43" s="308"/>
      <c r="IC43" s="308"/>
      <c r="ID43" s="308"/>
      <c r="IE43" s="308"/>
      <c r="IF43" s="308"/>
      <c r="IG43" s="308"/>
      <c r="IH43" s="308"/>
      <c r="II43" s="308"/>
      <c r="IJ43" s="308"/>
      <c r="IK43" s="308"/>
      <c r="IL43" s="308"/>
      <c r="IM43" s="308"/>
      <c r="IN43" s="308"/>
      <c r="IO43" s="308"/>
      <c r="IP43" s="478">
        <f>SUM(IB43:IO43)</f>
        <v>0</v>
      </c>
      <c r="IQ43" s="308"/>
      <c r="IR43" s="308"/>
      <c r="IS43" s="308"/>
      <c r="IT43" s="308"/>
      <c r="IU43" s="308"/>
      <c r="IV43" s="308"/>
      <c r="IW43" s="308"/>
      <c r="IX43" s="308"/>
      <c r="IY43" s="308"/>
      <c r="IZ43" s="308"/>
      <c r="JA43" s="308"/>
      <c r="JB43" s="308"/>
      <c r="JC43" s="308"/>
      <c r="JD43" s="308"/>
      <c r="JE43" s="308">
        <f>SUM(IQ43:JD43)</f>
        <v>0</v>
      </c>
      <c r="JF43" s="308"/>
      <c r="JG43" s="308"/>
      <c r="JH43" s="308">
        <v>265000</v>
      </c>
      <c r="JI43" s="308">
        <v>50000</v>
      </c>
      <c r="JJ43" s="308"/>
      <c r="JK43" s="308">
        <f>SUM(JH43:JJ43)</f>
        <v>315000</v>
      </c>
      <c r="JL43" s="308"/>
      <c r="JM43" s="308"/>
      <c r="JN43" s="309"/>
      <c r="JO43" s="309"/>
      <c r="JP43" s="309"/>
      <c r="JQ43" s="309"/>
      <c r="JR43" s="309"/>
      <c r="JS43" s="309"/>
      <c r="JT43" s="309"/>
      <c r="JU43" s="309"/>
      <c r="JV43" s="309"/>
      <c r="JW43" s="309"/>
      <c r="JX43" s="309"/>
      <c r="JY43" s="309"/>
      <c r="JZ43" s="309"/>
      <c r="KA43" s="309"/>
      <c r="KB43" s="309"/>
      <c r="KC43" s="309"/>
      <c r="KD43" s="309">
        <v>0</v>
      </c>
      <c r="KE43" s="309">
        <v>1</v>
      </c>
      <c r="KF43" s="309">
        <v>0</v>
      </c>
      <c r="KG43" s="309">
        <v>0</v>
      </c>
      <c r="KH43" s="309">
        <v>0</v>
      </c>
      <c r="KI43" s="309">
        <v>0</v>
      </c>
      <c r="KJ43" s="309">
        <v>0</v>
      </c>
      <c r="KK43" s="309">
        <v>0</v>
      </c>
      <c r="KL43" s="308"/>
      <c r="KM43" s="308"/>
      <c r="KN43" s="308">
        <v>7061</v>
      </c>
      <c r="KO43" s="309">
        <v>0.65</v>
      </c>
      <c r="KP43" s="309">
        <v>4.1500000000000004</v>
      </c>
      <c r="KQ43" s="309">
        <v>5.72</v>
      </c>
      <c r="KR43" s="309">
        <v>12.12</v>
      </c>
      <c r="KS43" s="308">
        <v>6887</v>
      </c>
      <c r="KT43" s="309">
        <v>1.67</v>
      </c>
      <c r="KU43" s="309">
        <v>4.8099999999999996</v>
      </c>
      <c r="KV43" s="309">
        <v>5.98</v>
      </c>
      <c r="KW43" s="309">
        <v>11.92</v>
      </c>
      <c r="KX43" s="308"/>
      <c r="KY43" s="309"/>
      <c r="KZ43" s="309"/>
      <c r="LA43" s="309"/>
      <c r="LB43" s="309"/>
      <c r="LC43" s="308">
        <v>13.25</v>
      </c>
      <c r="LD43" s="308"/>
      <c r="LE43" s="308"/>
      <c r="LF43" s="308">
        <v>280000</v>
      </c>
      <c r="LG43" s="308">
        <v>30000</v>
      </c>
      <c r="LH43" s="308"/>
      <c r="LI43" s="308">
        <f>SUM(LF43:LH43)</f>
        <v>310000</v>
      </c>
      <c r="LJ43" s="308"/>
      <c r="LK43" s="308"/>
      <c r="LL43" s="308"/>
      <c r="LM43" s="308"/>
      <c r="LN43" s="308"/>
      <c r="LO43" s="308"/>
      <c r="LP43" s="308"/>
      <c r="LQ43" s="308"/>
      <c r="LR43" s="308"/>
      <c r="LS43" s="308"/>
      <c r="LT43" s="308"/>
      <c r="LU43" s="308"/>
      <c r="LV43" s="308"/>
      <c r="LW43" s="308"/>
      <c r="LX43" s="308"/>
      <c r="LY43" s="308"/>
      <c r="LZ43" s="308"/>
      <c r="MA43" s="308"/>
      <c r="MB43" s="308"/>
      <c r="MC43" s="308"/>
      <c r="MD43" s="308"/>
      <c r="MF43" s="308"/>
      <c r="MG43" s="308"/>
      <c r="MH43" s="308"/>
      <c r="MI43" s="308"/>
      <c r="MJ43" s="308"/>
      <c r="MK43" s="308"/>
      <c r="ML43" s="308"/>
      <c r="MM43" s="308"/>
      <c r="MN43" s="308"/>
      <c r="MO43" s="308"/>
      <c r="MP43" s="308"/>
      <c r="MQ43" s="308"/>
      <c r="MR43" s="308"/>
      <c r="MS43" s="308"/>
      <c r="MT43" s="308"/>
      <c r="MU43" s="308"/>
      <c r="MV43" s="308"/>
      <c r="MW43" s="308"/>
      <c r="MX43" s="308"/>
      <c r="MY43" s="308"/>
      <c r="MZ43" s="308"/>
      <c r="NA43" s="308"/>
      <c r="NB43" s="308"/>
      <c r="NC43" s="308"/>
      <c r="ND43" s="308"/>
      <c r="NE43" s="308"/>
      <c r="NF43" s="308"/>
      <c r="NG43" s="308"/>
      <c r="NH43" s="308"/>
      <c r="NI43" s="308"/>
      <c r="NJ43" s="308"/>
      <c r="NK43" s="308"/>
      <c r="NL43" s="308"/>
      <c r="NM43" s="308"/>
      <c r="NN43" s="308"/>
      <c r="NO43" s="308"/>
      <c r="NP43" s="308"/>
      <c r="NQ43" s="308"/>
      <c r="NR43" s="308"/>
      <c r="NS43" s="308"/>
      <c r="NT43" s="308"/>
      <c r="NU43" s="308"/>
      <c r="NV43" s="308"/>
      <c r="NW43" s="308"/>
      <c r="NX43" s="308"/>
      <c r="NY43" s="308"/>
      <c r="NZ43" s="308"/>
      <c r="OA43" s="308"/>
      <c r="OB43" s="308"/>
      <c r="OC43" s="308"/>
      <c r="OD43" s="308"/>
      <c r="OE43" s="308"/>
      <c r="OF43" s="308"/>
      <c r="OG43" s="308"/>
      <c r="OH43" s="308"/>
      <c r="OI43" s="308"/>
      <c r="OJ43" s="308"/>
      <c r="OK43" s="308"/>
      <c r="OL43" s="308"/>
      <c r="OM43" s="308"/>
      <c r="ON43" s="308"/>
      <c r="OO43" s="308"/>
      <c r="OP43" s="308"/>
      <c r="OQ43" s="308"/>
      <c r="OR43" s="308"/>
      <c r="OS43" s="308"/>
      <c r="OT43" s="308"/>
      <c r="OU43" s="308"/>
      <c r="OV43" s="308"/>
      <c r="OW43" s="308"/>
      <c r="OX43" s="308"/>
      <c r="OY43" s="308"/>
      <c r="OZ43" s="308"/>
      <c r="PA43" s="308"/>
      <c r="PB43" s="308"/>
      <c r="PC43" s="308"/>
      <c r="PD43" s="308"/>
      <c r="PE43" s="308"/>
      <c r="PF43" s="308"/>
      <c r="PG43" s="308"/>
      <c r="PH43" s="308"/>
      <c r="PI43" s="308"/>
      <c r="PJ43" s="308"/>
      <c r="PK43" s="308"/>
      <c r="PL43" s="308"/>
      <c r="PM43" s="308"/>
      <c r="PN43" s="308"/>
      <c r="PO43" s="308"/>
      <c r="PP43" s="308"/>
      <c r="PQ43" s="308"/>
      <c r="PR43" s="308"/>
      <c r="PS43" s="308"/>
      <c r="PT43" s="308"/>
      <c r="PU43" s="308"/>
      <c r="PV43" s="308"/>
      <c r="PW43" s="308"/>
      <c r="PX43" s="308"/>
      <c r="PY43" s="308"/>
      <c r="PZ43" s="308"/>
      <c r="QA43" s="308"/>
      <c r="QB43" s="308"/>
      <c r="QC43" s="308"/>
      <c r="QD43" s="308"/>
      <c r="QE43" s="308"/>
      <c r="RM43" s="1478">
        <f>SUM(RM10:RM42)</f>
        <v>0</v>
      </c>
      <c r="RP43" s="1478">
        <f>SUM(RP10:RP42)</f>
        <v>160241.98000000001</v>
      </c>
      <c r="RR43" s="1478">
        <f>RM43+RP43</f>
        <v>160241.98000000001</v>
      </c>
      <c r="RW43" s="1073"/>
    </row>
    <row r="44" spans="1:500">
      <c r="A44" t="s">
        <v>208</v>
      </c>
      <c r="C44" s="38">
        <f>IFERROR(C42/C43,"")</f>
        <v>0.78561913342379974</v>
      </c>
      <c r="D44" s="38">
        <f>IFERROR(D42/D43,"")</f>
        <v>0.90280884425156005</v>
      </c>
      <c r="E44" s="38">
        <f>IFERROR(E42/E43,"")</f>
        <v>0.90805197609128485</v>
      </c>
      <c r="F44" s="38"/>
      <c r="G44" s="38"/>
      <c r="H44" s="38"/>
      <c r="I44" s="38"/>
      <c r="J44" s="38" t="str">
        <f t="shared" ref="J44:T44" si="212">IFERROR(J42/J43,"")</f>
        <v/>
      </c>
      <c r="K44" s="38" t="str">
        <f t="shared" si="212"/>
        <v/>
      </c>
      <c r="L44" s="38" t="str">
        <f t="shared" si="212"/>
        <v/>
      </c>
      <c r="M44" s="38" t="str">
        <f t="shared" si="212"/>
        <v/>
      </c>
      <c r="N44" s="38" t="str">
        <f t="shared" si="212"/>
        <v/>
      </c>
      <c r="O44" s="38">
        <f t="shared" si="212"/>
        <v>0.83811723421965323</v>
      </c>
      <c r="P44" s="38">
        <f t="shared" si="212"/>
        <v>0.91800711111111122</v>
      </c>
      <c r="Q44" s="38">
        <f t="shared" si="212"/>
        <v>0.91297466443940367</v>
      </c>
      <c r="R44" s="38" t="str">
        <f t="shared" si="212"/>
        <v/>
      </c>
      <c r="S44" s="1082">
        <f t="shared" si="212"/>
        <v>0.61239868847583645</v>
      </c>
      <c r="T44" s="38">
        <f t="shared" si="212"/>
        <v>0.69612444444444455</v>
      </c>
      <c r="U44" s="1081">
        <f t="shared" si="13"/>
        <v>0.87972587855979256</v>
      </c>
      <c r="V44" s="38" t="str">
        <f t="shared" ref="V44:AA44" si="213">IFERROR(V42/V43,"")</f>
        <v/>
      </c>
      <c r="W44" s="38">
        <f t="shared" si="213"/>
        <v>0.87864153047058824</v>
      </c>
      <c r="X44" s="38">
        <f t="shared" si="213"/>
        <v>0.94053571033957273</v>
      </c>
      <c r="Y44" s="38">
        <f t="shared" si="213"/>
        <v>0.93419263172193856</v>
      </c>
      <c r="Z44" s="38" t="str">
        <f t="shared" si="213"/>
        <v/>
      </c>
      <c r="AA44" s="38" t="str">
        <f t="shared" si="213"/>
        <v/>
      </c>
      <c r="AB44" s="72" t="str">
        <f>BP44</f>
        <v/>
      </c>
      <c r="AC44" s="38">
        <f>IFERROR(AC42/AC43,"")</f>
        <v>1</v>
      </c>
      <c r="AD44" s="38"/>
      <c r="AE44" s="38" t="str">
        <f t="shared" ref="AE44:BN44" si="214">IFERROR(AE42/AE43,"")</f>
        <v/>
      </c>
      <c r="AF44" s="38" t="str">
        <f t="shared" si="214"/>
        <v/>
      </c>
      <c r="AG44" s="38" t="str">
        <f t="shared" si="214"/>
        <v/>
      </c>
      <c r="AH44" s="38" t="str">
        <f t="shared" si="214"/>
        <v/>
      </c>
      <c r="AI44" s="38" t="str">
        <f t="shared" si="214"/>
        <v/>
      </c>
      <c r="AJ44" s="38" t="str">
        <f t="shared" si="214"/>
        <v/>
      </c>
      <c r="AK44" s="38" t="str">
        <f t="shared" si="214"/>
        <v/>
      </c>
      <c r="AL44" s="38" t="str">
        <f t="shared" si="214"/>
        <v/>
      </c>
      <c r="AM44" s="38" t="str">
        <f t="shared" si="214"/>
        <v/>
      </c>
      <c r="AN44" s="38" t="str">
        <f t="shared" si="214"/>
        <v/>
      </c>
      <c r="AO44" s="38" t="str">
        <f t="shared" si="214"/>
        <v/>
      </c>
      <c r="AP44" s="38" t="str">
        <f t="shared" si="214"/>
        <v/>
      </c>
      <c r="AQ44" s="38" t="str">
        <f t="shared" si="214"/>
        <v/>
      </c>
      <c r="AR44" s="38" t="str">
        <f t="shared" si="214"/>
        <v/>
      </c>
      <c r="AS44" s="38" t="str">
        <f t="shared" si="214"/>
        <v/>
      </c>
      <c r="AT44" s="38" t="str">
        <f t="shared" si="214"/>
        <v/>
      </c>
      <c r="AU44" s="38" t="str">
        <f t="shared" si="214"/>
        <v/>
      </c>
      <c r="AV44" s="38" t="str">
        <f t="shared" si="214"/>
        <v/>
      </c>
      <c r="AW44" s="38">
        <f t="shared" si="214"/>
        <v>0.90640310602230489</v>
      </c>
      <c r="AX44" s="38">
        <f t="shared" si="214"/>
        <v>0.86597377777777773</v>
      </c>
      <c r="AY44" s="38">
        <f t="shared" si="214"/>
        <v>1.0466865501958673</v>
      </c>
      <c r="AZ44" s="38" t="str">
        <f t="shared" si="214"/>
        <v/>
      </c>
      <c r="BA44" s="38" t="str">
        <f t="shared" si="214"/>
        <v/>
      </c>
      <c r="BB44" s="38" t="str">
        <f t="shared" si="214"/>
        <v/>
      </c>
      <c r="BC44" s="38">
        <f t="shared" si="214"/>
        <v>0.76464163616000003</v>
      </c>
      <c r="BD44" s="38">
        <f t="shared" si="214"/>
        <v>1.0220737777777775</v>
      </c>
      <c r="BE44" s="38">
        <f t="shared" si="214"/>
        <v>0.8135663178913809</v>
      </c>
      <c r="BF44" s="38" t="str">
        <f t="shared" si="214"/>
        <v/>
      </c>
      <c r="BG44" s="38" t="str">
        <f t="shared" si="214"/>
        <v/>
      </c>
      <c r="BH44" s="38" t="str">
        <f t="shared" si="214"/>
        <v/>
      </c>
      <c r="BI44" s="38" t="str">
        <f t="shared" si="214"/>
        <v/>
      </c>
      <c r="BJ44" s="38" t="str">
        <f t="shared" si="214"/>
        <v/>
      </c>
      <c r="BK44" s="38" t="str">
        <f t="shared" si="214"/>
        <v/>
      </c>
      <c r="BL44" s="38">
        <f t="shared" si="214"/>
        <v>0.61239868847583645</v>
      </c>
      <c r="BM44" s="38">
        <f t="shared" si="214"/>
        <v>0.69612444444444455</v>
      </c>
      <c r="BN44" s="38">
        <f t="shared" si="214"/>
        <v>0.8117141361061696</v>
      </c>
      <c r="BO44" s="38" t="str">
        <f>IFERROR(BO42/BP43,"")</f>
        <v/>
      </c>
      <c r="BP44" s="38" t="str">
        <f>IFERROR(BP42/#REF!,"")</f>
        <v/>
      </c>
      <c r="BQ44" s="38" t="str">
        <f>IFERROR(BQ42/BQ43,"")</f>
        <v/>
      </c>
      <c r="BR44" s="38" t="str">
        <f>IFERROR(BR42/BR43,"")</f>
        <v/>
      </c>
      <c r="BS44" s="38" t="str">
        <f>IFERROR(BS42/BS43,"")</f>
        <v/>
      </c>
      <c r="BT44" s="38" t="str">
        <f>IFERROR(BT42/BT43,"")</f>
        <v/>
      </c>
      <c r="BU44" s="38"/>
      <c r="BV44" s="38"/>
      <c r="BW44" s="38">
        <f t="shared" ref="BW44:CQ44" si="215">IFERROR(BW42/BW43,"")</f>
        <v>0.93419263172193856</v>
      </c>
      <c r="BX44" s="38" t="str">
        <f t="shared" si="215"/>
        <v/>
      </c>
      <c r="BY44" s="38" t="str">
        <f t="shared" si="215"/>
        <v/>
      </c>
      <c r="BZ44" s="38" t="str">
        <f t="shared" si="215"/>
        <v/>
      </c>
      <c r="CA44" s="38" t="str">
        <f t="shared" si="215"/>
        <v/>
      </c>
      <c r="CB44" s="38" t="str">
        <f t="shared" si="215"/>
        <v/>
      </c>
      <c r="CC44" s="38" t="str">
        <f t="shared" si="215"/>
        <v/>
      </c>
      <c r="CD44" s="38" t="str">
        <f t="shared" si="215"/>
        <v/>
      </c>
      <c r="CE44" s="38" t="str">
        <f t="shared" si="215"/>
        <v/>
      </c>
      <c r="CF44" s="38" t="str">
        <f t="shared" si="215"/>
        <v/>
      </c>
      <c r="CG44" s="38" t="str">
        <f t="shared" si="215"/>
        <v/>
      </c>
      <c r="CH44" s="38">
        <f t="shared" si="215"/>
        <v>0.2404204475</v>
      </c>
      <c r="CI44" s="38" t="str">
        <f t="shared" si="215"/>
        <v/>
      </c>
      <c r="CJ44" s="38" t="str">
        <f t="shared" si="215"/>
        <v/>
      </c>
      <c r="CK44" s="38">
        <f t="shared" si="215"/>
        <v>0.38591875486238536</v>
      </c>
      <c r="CL44" s="38" t="str">
        <f t="shared" si="215"/>
        <v/>
      </c>
      <c r="CM44" s="38">
        <f t="shared" si="215"/>
        <v>0.36729497152000001</v>
      </c>
      <c r="CN44" s="38" t="str">
        <f t="shared" si="215"/>
        <v/>
      </c>
      <c r="CO44" s="38" t="str">
        <f t="shared" si="215"/>
        <v/>
      </c>
      <c r="CP44" s="38" t="str">
        <f t="shared" si="215"/>
        <v/>
      </c>
      <c r="CQ44" s="38" t="str">
        <f t="shared" si="215"/>
        <v/>
      </c>
      <c r="CR44" s="38"/>
      <c r="CS44" s="38" t="str">
        <f>IFERROR(CS42/CS43,"")</f>
        <v/>
      </c>
      <c r="CT44" s="38"/>
      <c r="CU44" s="38" t="str">
        <f>IFERROR(CU42/CU43,"")</f>
        <v/>
      </c>
      <c r="CV44" s="38"/>
      <c r="CW44" s="38" t="str">
        <f>IFERROR(CW42/CW43,"")</f>
        <v/>
      </c>
      <c r="CX44" s="38"/>
      <c r="CY44" s="38" t="str">
        <f>IFERROR(CY42/CY43,"")</f>
        <v/>
      </c>
      <c r="CZ44" s="38"/>
      <c r="DA44" s="38" t="str">
        <f>IFERROR(DA42/DA43,"")</f>
        <v/>
      </c>
      <c r="DB44" s="38"/>
      <c r="DC44" s="38" t="str">
        <f>IFERROR(DC42/DC43,"")</f>
        <v/>
      </c>
      <c r="DD44" s="38" t="str">
        <f>IFERROR(DD42/DD43,"")</f>
        <v/>
      </c>
      <c r="DE44" s="38" t="str">
        <f>IFERROR(DE42/DE43,"")</f>
        <v/>
      </c>
      <c r="DF44" s="38"/>
      <c r="DG44" s="38" t="str">
        <f>IFERROR(DG42/DG43,"")</f>
        <v/>
      </c>
      <c r="DH44" s="38"/>
      <c r="DI44" s="38" t="str">
        <f>IFERROR(DI42/DI43,"")</f>
        <v/>
      </c>
      <c r="DJ44" s="38"/>
      <c r="DK44" s="38" t="str">
        <f>IFERROR(DK42/DK43,"")</f>
        <v/>
      </c>
      <c r="DL44" s="38"/>
      <c r="DM44" s="38" t="str">
        <f>IFERROR(DM42/DM43,"")</f>
        <v/>
      </c>
      <c r="DN44" s="38"/>
      <c r="DO44" s="38" t="str">
        <f>IFERROR(DO42/DO43,"")</f>
        <v/>
      </c>
      <c r="DP44" s="38"/>
      <c r="DQ44" s="38" t="str">
        <f>IFERROR(DQ42/DQ43,"")</f>
        <v/>
      </c>
      <c r="DR44" s="38" t="str">
        <f>IFERROR(DR42/DR43,"")</f>
        <v/>
      </c>
      <c r="DS44" s="38"/>
      <c r="DT44" s="38" t="str">
        <f>IFERROR(DT42/DT43,"")</f>
        <v/>
      </c>
      <c r="DU44" s="38"/>
      <c r="DV44" s="38" t="str">
        <f>IFERROR(DV42/DV43,"")</f>
        <v/>
      </c>
      <c r="DW44" s="38"/>
      <c r="DX44" s="38" t="str">
        <f>IFERROR(DX42/DX43,"")</f>
        <v/>
      </c>
      <c r="DY44" s="38"/>
      <c r="DZ44" s="38" t="str">
        <f>IFERROR(DZ42/DZ43,"")</f>
        <v/>
      </c>
      <c r="EA44" s="38"/>
      <c r="EB44" s="38" t="str">
        <f>IFERROR(EB42/EB43,"")</f>
        <v/>
      </c>
      <c r="EC44" s="38"/>
      <c r="ED44" s="38" t="str">
        <f>IFERROR(ED42/ED43,"")</f>
        <v/>
      </c>
      <c r="EE44" s="38" t="str">
        <f>IFERROR(EE42/EE43,"")</f>
        <v/>
      </c>
      <c r="EF44" s="38"/>
      <c r="EG44" s="38"/>
      <c r="EH44" s="38"/>
      <c r="EI44" s="38" t="str">
        <f>IFERROR(EI42/EI43,"")</f>
        <v/>
      </c>
      <c r="EJ44" s="38"/>
      <c r="EK44" s="38" t="str">
        <f>IFERROR(EK42/EK43,"")</f>
        <v/>
      </c>
      <c r="EL44" s="38"/>
      <c r="EM44" s="38" t="str">
        <f>IFERROR(EM42/EM43,"")</f>
        <v/>
      </c>
      <c r="EN44" s="38"/>
      <c r="EO44" s="38" t="str">
        <f>IFERROR(EO42/EO43,"")</f>
        <v/>
      </c>
      <c r="EP44" s="38"/>
      <c r="EQ44" s="38" t="str">
        <f t="shared" ref="EQ44:FU44" si="216">IFERROR(EQ42/EQ43,"")</f>
        <v/>
      </c>
      <c r="ER44" s="38" t="str">
        <f t="shared" si="216"/>
        <v/>
      </c>
      <c r="ES44" s="38" t="str">
        <f t="shared" si="216"/>
        <v/>
      </c>
      <c r="ET44" s="38" t="str">
        <f t="shared" si="216"/>
        <v/>
      </c>
      <c r="EU44" s="38" t="str">
        <f t="shared" si="216"/>
        <v/>
      </c>
      <c r="EV44" s="38" t="str">
        <f t="shared" si="216"/>
        <v/>
      </c>
      <c r="EW44" s="38" t="str">
        <f t="shared" si="216"/>
        <v/>
      </c>
      <c r="EX44" s="38" t="str">
        <f t="shared" si="216"/>
        <v/>
      </c>
      <c r="EY44" s="38" t="str">
        <f t="shared" si="216"/>
        <v/>
      </c>
      <c r="EZ44" s="38" t="str">
        <f t="shared" si="216"/>
        <v/>
      </c>
      <c r="FA44" s="38" t="str">
        <f t="shared" si="216"/>
        <v/>
      </c>
      <c r="FB44" s="38" t="str">
        <f t="shared" si="216"/>
        <v/>
      </c>
      <c r="FC44" s="38" t="str">
        <f t="shared" si="216"/>
        <v/>
      </c>
      <c r="FD44" s="38" t="str">
        <f t="shared" si="216"/>
        <v/>
      </c>
      <c r="FE44" s="38" t="str">
        <f t="shared" si="216"/>
        <v/>
      </c>
      <c r="FF44" s="38" t="str">
        <f t="shared" si="216"/>
        <v/>
      </c>
      <c r="FG44" s="38" t="str">
        <f t="shared" si="216"/>
        <v/>
      </c>
      <c r="FH44" s="38" t="str">
        <f t="shared" si="216"/>
        <v/>
      </c>
      <c r="FI44" s="38" t="str">
        <f t="shared" si="216"/>
        <v/>
      </c>
      <c r="FJ44" s="38" t="str">
        <f t="shared" si="216"/>
        <v/>
      </c>
      <c r="FK44" s="38" t="str">
        <f t="shared" si="216"/>
        <v/>
      </c>
      <c r="FL44" s="38" t="str">
        <f t="shared" si="216"/>
        <v/>
      </c>
      <c r="FM44" s="38" t="str">
        <f t="shared" si="216"/>
        <v/>
      </c>
      <c r="FN44" s="38" t="str">
        <f t="shared" si="216"/>
        <v/>
      </c>
      <c r="FO44" s="38" t="str">
        <f t="shared" si="216"/>
        <v/>
      </c>
      <c r="FP44" s="38" t="str">
        <f t="shared" si="216"/>
        <v/>
      </c>
      <c r="FQ44" s="38" t="str">
        <f t="shared" si="216"/>
        <v/>
      </c>
      <c r="FR44" s="38" t="str">
        <f t="shared" si="216"/>
        <v/>
      </c>
      <c r="FS44" s="38" t="str">
        <f t="shared" si="216"/>
        <v/>
      </c>
      <c r="FT44" s="38" t="str">
        <f t="shared" si="216"/>
        <v/>
      </c>
      <c r="FU44" s="38" t="str">
        <f t="shared" si="216"/>
        <v/>
      </c>
      <c r="FV44" s="38"/>
      <c r="FW44" s="38" t="str">
        <f>IFERROR(FW42/FW43,"")</f>
        <v/>
      </c>
      <c r="FX44" s="38"/>
      <c r="FY44" s="38" t="str">
        <f>IFERROR(FY42/FY43,"")</f>
        <v/>
      </c>
      <c r="FZ44" s="38"/>
      <c r="GA44" s="38" t="str">
        <f>IFERROR(GA42/GA43,"")</f>
        <v/>
      </c>
      <c r="GB44" s="38"/>
      <c r="GC44" s="38" t="str">
        <f>IFERROR(GC42/GC43,"")</f>
        <v/>
      </c>
      <c r="GD44" s="38"/>
      <c r="GE44" s="38" t="str">
        <f>IFERROR(GE42/GE43,"")</f>
        <v/>
      </c>
      <c r="GF44" s="38"/>
      <c r="GG44" s="38" t="str">
        <f t="shared" ref="GG44:GW44" si="217">IFERROR(GG42/GG43,"")</f>
        <v/>
      </c>
      <c r="GH44" s="38" t="str">
        <f t="shared" si="217"/>
        <v/>
      </c>
      <c r="GI44" s="38" t="str">
        <f t="shared" si="217"/>
        <v/>
      </c>
      <c r="GJ44" s="38">
        <f t="shared" si="217"/>
        <v>0.81568197868239356</v>
      </c>
      <c r="GK44" s="38">
        <f t="shared" si="217"/>
        <v>1.686506801394273</v>
      </c>
      <c r="GL44" s="38">
        <f t="shared" si="217"/>
        <v>1.0382286023835319</v>
      </c>
      <c r="GM44" s="38">
        <f t="shared" si="217"/>
        <v>1.108675873015873</v>
      </c>
      <c r="GN44" s="38" t="str">
        <f t="shared" si="217"/>
        <v/>
      </c>
      <c r="GO44" s="38" t="str">
        <f t="shared" si="217"/>
        <v/>
      </c>
      <c r="GP44" s="38" t="str">
        <f t="shared" si="217"/>
        <v/>
      </c>
      <c r="GQ44" s="38" t="str">
        <f t="shared" si="217"/>
        <v/>
      </c>
      <c r="GR44" s="38" t="str">
        <f t="shared" si="217"/>
        <v/>
      </c>
      <c r="GS44" s="38" t="str">
        <f t="shared" si="217"/>
        <v/>
      </c>
      <c r="GT44" s="38" t="str">
        <f t="shared" si="217"/>
        <v/>
      </c>
      <c r="GU44" s="38" t="str">
        <f t="shared" si="217"/>
        <v/>
      </c>
      <c r="GV44" s="38" t="str">
        <f t="shared" si="217"/>
        <v/>
      </c>
      <c r="GW44" s="38" t="str">
        <f t="shared" si="217"/>
        <v/>
      </c>
      <c r="GX44" s="72"/>
      <c r="GY44" s="38"/>
      <c r="GZ44" s="38" t="str">
        <f>IFERROR(GZ42/GZ43,"")</f>
        <v/>
      </c>
      <c r="HA44" s="38"/>
      <c r="HB44" s="38" t="str">
        <f>IFERROR(HB42/HB43,"")</f>
        <v/>
      </c>
      <c r="HC44" s="38"/>
      <c r="HD44" s="38" t="str">
        <f>IFERROR(HD42/HD43,"")</f>
        <v/>
      </c>
      <c r="HE44" s="38"/>
      <c r="HF44" s="38" t="str">
        <f>IFERROR(HF42/HF43,"")</f>
        <v/>
      </c>
      <c r="HG44" s="38"/>
      <c r="HH44" s="38" t="str">
        <f>IFERROR(HH42/HH43,"")</f>
        <v/>
      </c>
      <c r="HI44" s="38"/>
      <c r="HJ44" s="38" t="str">
        <f>IFERROR(HJ42/HJ43,"")</f>
        <v/>
      </c>
      <c r="HK44" s="38" t="str">
        <f>IFERROR(HK42/HK43,"")</f>
        <v/>
      </c>
      <c r="HL44" s="38" t="str">
        <f>IFERROR(HL42/HL43,"")</f>
        <v/>
      </c>
      <c r="HM44" s="38"/>
      <c r="HN44" s="38"/>
      <c r="HO44" s="38"/>
      <c r="HP44" s="38"/>
      <c r="HQ44" s="38"/>
      <c r="HR44" s="38"/>
      <c r="HS44" s="38"/>
      <c r="HT44" s="38"/>
      <c r="HU44" s="38"/>
      <c r="HV44" s="38"/>
      <c r="HW44" s="38"/>
      <c r="HX44" s="38"/>
      <c r="HY44" s="38"/>
      <c r="HZ44" s="38"/>
      <c r="IA44" s="38"/>
      <c r="IB44" s="38" t="str">
        <f>IFERROR(IB42/IB43,"")</f>
        <v/>
      </c>
      <c r="IC44" s="38"/>
      <c r="ID44" s="38" t="str">
        <f>IFERROR(ID42/ID43,"")</f>
        <v/>
      </c>
      <c r="IE44" s="38"/>
      <c r="IF44" s="38" t="str">
        <f>IFERROR(IF42/IF43,"")</f>
        <v/>
      </c>
      <c r="IG44" s="38"/>
      <c r="IH44" s="38" t="str">
        <f>IFERROR(IH42/IH43,"")</f>
        <v/>
      </c>
      <c r="II44" s="38"/>
      <c r="IJ44" s="38" t="str">
        <f>IFERROR(IJ42/IJ43,"")</f>
        <v/>
      </c>
      <c r="IK44" s="38"/>
      <c r="IL44" s="38" t="str">
        <f>IFERROR(IL42/IL43,"")</f>
        <v/>
      </c>
      <c r="IM44" s="38"/>
      <c r="IN44" s="38" t="str">
        <f>IFERROR(IN42/IN43,"")</f>
        <v/>
      </c>
      <c r="IO44" s="38" t="str">
        <f>IFERROR(IO42/IO43,"")</f>
        <v/>
      </c>
      <c r="IP44" s="38" t="str">
        <f>IFERROR(IP42/IP43,"")</f>
        <v/>
      </c>
      <c r="IQ44" s="38"/>
      <c r="IR44" s="38"/>
      <c r="IS44" s="38" t="str">
        <f>IFERROR(IS42/IS43,"")</f>
        <v/>
      </c>
      <c r="IT44" s="38"/>
      <c r="IU44" s="38" t="str">
        <f>IFERROR(IU42/IU43,"")</f>
        <v/>
      </c>
      <c r="IV44" s="38"/>
      <c r="IW44" s="38" t="str">
        <f>IFERROR(IW42/IW43,"")</f>
        <v/>
      </c>
      <c r="IX44" s="38"/>
      <c r="IY44" s="38" t="str">
        <f>IFERROR(IY42/IY43,"")</f>
        <v/>
      </c>
      <c r="IZ44" s="38"/>
      <c r="JA44" s="38" t="str">
        <f>IFERROR(JA42/JA43,"")</f>
        <v/>
      </c>
      <c r="JB44" s="38"/>
      <c r="JC44" s="38" t="str">
        <f t="shared" ref="JC44:JM44" si="218">IFERROR(JC42/JC43,"")</f>
        <v/>
      </c>
      <c r="JD44" s="38" t="str">
        <f t="shared" si="218"/>
        <v/>
      </c>
      <c r="JE44" s="38" t="str">
        <f t="shared" si="218"/>
        <v/>
      </c>
      <c r="JF44" s="38" t="str">
        <f t="shared" si="218"/>
        <v/>
      </c>
      <c r="JG44" s="38" t="str">
        <f t="shared" si="218"/>
        <v/>
      </c>
      <c r="JH44" s="38">
        <f t="shared" si="218"/>
        <v>1.0718068679245283</v>
      </c>
      <c r="JI44" s="38">
        <f t="shared" si="218"/>
        <v>1.3040816</v>
      </c>
      <c r="JJ44" s="38" t="str">
        <f t="shared" si="218"/>
        <v/>
      </c>
      <c r="JK44" s="38">
        <f t="shared" si="218"/>
        <v>1.108675873015873</v>
      </c>
      <c r="JL44" s="38" t="str">
        <f t="shared" si="218"/>
        <v/>
      </c>
      <c r="JM44" s="38" t="str">
        <f t="shared" si="218"/>
        <v/>
      </c>
      <c r="JN44" s="38">
        <f t="shared" ref="JN44:KK44" si="219">IFERROR(IF(1-ABS(1-(JN42/JN43))&lt;0,0,1-ABS(1-(JN42/JN43))),0)</f>
        <v>0</v>
      </c>
      <c r="JO44" s="38">
        <f t="shared" si="219"/>
        <v>0</v>
      </c>
      <c r="JP44" s="38">
        <f t="shared" si="219"/>
        <v>0</v>
      </c>
      <c r="JQ44" s="38">
        <f t="shared" si="219"/>
        <v>0</v>
      </c>
      <c r="JR44" s="38">
        <f t="shared" si="219"/>
        <v>0</v>
      </c>
      <c r="JS44" s="38">
        <f t="shared" si="219"/>
        <v>0</v>
      </c>
      <c r="JT44" s="38">
        <f t="shared" si="219"/>
        <v>0</v>
      </c>
      <c r="JU44" s="38">
        <f t="shared" si="219"/>
        <v>0</v>
      </c>
      <c r="JV44" s="38">
        <f t="shared" si="219"/>
        <v>0</v>
      </c>
      <c r="JW44" s="38">
        <f t="shared" si="219"/>
        <v>0</v>
      </c>
      <c r="JX44" s="38">
        <f t="shared" si="219"/>
        <v>0</v>
      </c>
      <c r="JY44" s="38">
        <f t="shared" si="219"/>
        <v>0</v>
      </c>
      <c r="JZ44" s="38">
        <f t="shared" si="219"/>
        <v>0</v>
      </c>
      <c r="KA44" s="38">
        <f t="shared" si="219"/>
        <v>0</v>
      </c>
      <c r="KB44" s="38">
        <f t="shared" si="219"/>
        <v>0</v>
      </c>
      <c r="KC44" s="38">
        <f t="shared" si="219"/>
        <v>0</v>
      </c>
      <c r="KD44" s="38">
        <f t="shared" si="219"/>
        <v>0</v>
      </c>
      <c r="KE44" s="38">
        <f t="shared" si="219"/>
        <v>0</v>
      </c>
      <c r="KF44" s="38">
        <f t="shared" si="219"/>
        <v>0</v>
      </c>
      <c r="KG44" s="38">
        <f t="shared" si="219"/>
        <v>0</v>
      </c>
      <c r="KH44" s="38">
        <f t="shared" si="219"/>
        <v>0</v>
      </c>
      <c r="KI44" s="38">
        <f t="shared" si="219"/>
        <v>0</v>
      </c>
      <c r="KJ44" s="38">
        <f t="shared" si="219"/>
        <v>0</v>
      </c>
      <c r="KK44" s="38">
        <f t="shared" si="219"/>
        <v>0</v>
      </c>
      <c r="KL44" s="38" t="str">
        <f t="shared" ref="KL44:LE44" si="220">IFERROR(KL42/KL43,"")</f>
        <v/>
      </c>
      <c r="KM44" s="38" t="str">
        <f t="shared" si="220"/>
        <v/>
      </c>
      <c r="KN44" s="38">
        <f t="shared" si="220"/>
        <v>0.99570564499022873</v>
      </c>
      <c r="KO44" s="38">
        <f t="shared" si="220"/>
        <v>1.1261866060042767</v>
      </c>
      <c r="KP44" s="38">
        <f t="shared" si="220"/>
        <v>0.86994988286972719</v>
      </c>
      <c r="KQ44" s="38">
        <f t="shared" si="220"/>
        <v>1.1215137164530558</v>
      </c>
      <c r="KR44" s="38">
        <f t="shared" si="220"/>
        <v>0.94746620528572012</v>
      </c>
      <c r="KS44" s="38">
        <f t="shared" si="220"/>
        <v>0.99829975967345952</v>
      </c>
      <c r="KT44" s="38">
        <f t="shared" si="220"/>
        <v>1.0399918106437867</v>
      </c>
      <c r="KU44" s="38">
        <f t="shared" si="220"/>
        <v>1.251597802952408</v>
      </c>
      <c r="KV44" s="38">
        <f t="shared" si="220"/>
        <v>0.98967451181146093</v>
      </c>
      <c r="KW44" s="38">
        <f t="shared" si="220"/>
        <v>0.89156543348241035</v>
      </c>
      <c r="KX44" s="38" t="str">
        <f t="shared" si="220"/>
        <v/>
      </c>
      <c r="KY44" s="38" t="str">
        <f t="shared" si="220"/>
        <v/>
      </c>
      <c r="KZ44" s="38" t="str">
        <f t="shared" si="220"/>
        <v/>
      </c>
      <c r="LA44" s="38" t="str">
        <f t="shared" si="220"/>
        <v/>
      </c>
      <c r="LB44" s="38" t="str">
        <f t="shared" si="220"/>
        <v/>
      </c>
      <c r="LC44" s="38">
        <f t="shared" si="220"/>
        <v>0</v>
      </c>
      <c r="LD44" s="38" t="str">
        <f t="shared" si="220"/>
        <v/>
      </c>
      <c r="LE44" s="38" t="str">
        <f t="shared" si="220"/>
        <v/>
      </c>
      <c r="LF44" s="38"/>
      <c r="LG44" s="38"/>
      <c r="LH44" s="38"/>
      <c r="LI44" s="38"/>
      <c r="LJ44" s="38"/>
      <c r="LK44" s="38"/>
      <c r="LL44" s="38" t="str">
        <f t="shared" ref="LL44:LQ44" si="221">IFERROR(LL42/LL43,"")</f>
        <v/>
      </c>
      <c r="LM44" s="38" t="str">
        <f t="shared" si="221"/>
        <v/>
      </c>
      <c r="LN44" s="38" t="str">
        <f t="shared" si="221"/>
        <v/>
      </c>
      <c r="LO44" s="38" t="str">
        <f t="shared" si="221"/>
        <v/>
      </c>
      <c r="LP44" s="38" t="str">
        <f t="shared" si="221"/>
        <v/>
      </c>
      <c r="LQ44" s="38" t="str">
        <f t="shared" si="221"/>
        <v/>
      </c>
      <c r="LR44" s="38"/>
      <c r="LS44" s="38" t="str">
        <f>IFERROR(LS42/LS43,"")</f>
        <v/>
      </c>
      <c r="LT44" s="38" t="str">
        <f>IFERROR(LT42/LT43,"")</f>
        <v/>
      </c>
      <c r="LU44" s="38" t="str">
        <f>IFERROR(LU42/LU43,"")</f>
        <v/>
      </c>
      <c r="LV44" s="38" t="str">
        <f>IFERROR(LV42/LV43,"")</f>
        <v/>
      </c>
      <c r="LW44" s="38" t="str">
        <f>IFERROR(LW42/LW43,"")</f>
        <v/>
      </c>
      <c r="LX44" s="38"/>
      <c r="LY44" s="38" t="str">
        <f>IFERROR(LY42/LY43,"")</f>
        <v/>
      </c>
      <c r="LZ44" s="38" t="str">
        <f>IFERROR(LZ42/LZ43,"")</f>
        <v/>
      </c>
      <c r="MA44" s="38"/>
      <c r="MB44" s="38" t="str">
        <f>IFERROR(MB42/MB43,"")</f>
        <v/>
      </c>
      <c r="MC44" s="38" t="str">
        <f>IFERROR(MC42/MC43,"")</f>
        <v/>
      </c>
      <c r="MD44" s="38"/>
      <c r="ME44" s="38"/>
      <c r="MF44" s="38" t="str">
        <f>IFERROR(MF42/MF43,"")</f>
        <v/>
      </c>
      <c r="MG44" s="38" t="str">
        <f>IFERROR(MG42/MG43,"")</f>
        <v/>
      </c>
      <c r="MH44" s="38" t="str">
        <f>IFERROR(MH42/MH43,"")</f>
        <v/>
      </c>
      <c r="MI44" s="38" t="str">
        <f>IFERROR(MI42/MI43,"")</f>
        <v/>
      </c>
      <c r="MJ44" s="38"/>
      <c r="MK44" s="38" t="str">
        <f>IFERROR(MK42/MK43,"")</f>
        <v/>
      </c>
      <c r="ML44" s="38" t="str">
        <f>IFERROR(ML42/ML43,"")</f>
        <v/>
      </c>
      <c r="MM44" s="38" t="str">
        <f>IFERROR(MM42/MM43,"")</f>
        <v/>
      </c>
      <c r="MN44" s="38" t="str">
        <f>IFERROR(MN42/MN43,"")</f>
        <v/>
      </c>
      <c r="MO44" s="38" t="str">
        <f>IFERROR(MO42/MO43,"")</f>
        <v/>
      </c>
      <c r="MP44" s="38"/>
      <c r="MQ44" s="38" t="str">
        <f t="shared" ref="MQ44:NB44" si="222">IFERROR(MQ42/MQ43,"")</f>
        <v/>
      </c>
      <c r="MR44" s="38" t="str">
        <f t="shared" si="222"/>
        <v/>
      </c>
      <c r="MS44" s="38" t="str">
        <f t="shared" si="222"/>
        <v/>
      </c>
      <c r="MT44" s="38" t="str">
        <f t="shared" si="222"/>
        <v/>
      </c>
      <c r="MU44" s="38" t="str">
        <f t="shared" si="222"/>
        <v/>
      </c>
      <c r="MV44" s="38" t="str">
        <f t="shared" si="222"/>
        <v/>
      </c>
      <c r="MW44" s="38" t="str">
        <f t="shared" si="222"/>
        <v/>
      </c>
      <c r="MX44" s="38" t="str">
        <f t="shared" si="222"/>
        <v/>
      </c>
      <c r="MY44" s="38" t="str">
        <f t="shared" si="222"/>
        <v/>
      </c>
      <c r="MZ44" s="38" t="str">
        <f t="shared" si="222"/>
        <v/>
      </c>
      <c r="NA44" s="38" t="str">
        <f t="shared" si="222"/>
        <v/>
      </c>
      <c r="NB44" s="38" t="str">
        <f t="shared" si="222"/>
        <v/>
      </c>
      <c r="NC44" s="38"/>
      <c r="ND44" s="38" t="str">
        <f>IFERROR(ND42/ND43,"")</f>
        <v/>
      </c>
      <c r="NE44" s="38" t="str">
        <f>IFERROR(NE42/NE43,"")</f>
        <v/>
      </c>
      <c r="NF44" s="38" t="str">
        <f>IFERROR(NF42/NF43,"")</f>
        <v/>
      </c>
      <c r="NG44" s="38"/>
      <c r="NH44" s="38" t="str">
        <f>IFERROR(NH42/NH43,"")</f>
        <v/>
      </c>
      <c r="NI44" s="38"/>
      <c r="NJ44" s="38" t="str">
        <f>IFERROR(NJ42/NJ43,"")</f>
        <v/>
      </c>
      <c r="NK44" s="38"/>
      <c r="NL44" s="38" t="str">
        <f>IFERROR(NL42/NL43,"")</f>
        <v/>
      </c>
      <c r="NM44" s="38"/>
      <c r="NN44" s="38" t="str">
        <f>IFERROR(NN42/NN43,"")</f>
        <v/>
      </c>
      <c r="NO44" s="38"/>
      <c r="NP44" s="38" t="str">
        <f>IFERROR(NP42/NP43,"")</f>
        <v/>
      </c>
      <c r="NQ44" s="72"/>
      <c r="NR44" s="38" t="str">
        <f>IFERROR(NR42/NR43,"")</f>
        <v/>
      </c>
      <c r="NS44" s="38" t="str">
        <f>IFERROR(NS42/NS43,"")</f>
        <v/>
      </c>
      <c r="NT44" s="38"/>
      <c r="NU44" s="38" t="str">
        <f>IFERROR(NU42/NU43,"")</f>
        <v/>
      </c>
      <c r="NV44" s="38"/>
      <c r="NW44" s="38" t="str">
        <f>IFERROR(NW42/NW43,"")</f>
        <v/>
      </c>
      <c r="NX44" s="38"/>
      <c r="NY44" s="38" t="str">
        <f>IFERROR(NY42/NY43,"")</f>
        <v/>
      </c>
      <c r="NZ44" s="38"/>
      <c r="OA44" s="38" t="str">
        <f>IFERROR(OA42/OA43,"")</f>
        <v/>
      </c>
      <c r="OB44" s="38"/>
      <c r="OC44" s="72">
        <f>OC41-OC42</f>
        <v>1838.1122059536553</v>
      </c>
      <c r="OD44" s="38"/>
      <c r="OE44" s="38" t="str">
        <f>IFERROR(OE42/OE43,"")</f>
        <v/>
      </c>
      <c r="OF44" s="38" t="str">
        <f>IFERROR(OF42/OF43,"")</f>
        <v/>
      </c>
      <c r="OG44" s="38"/>
      <c r="OH44" s="38" t="str">
        <f>IFERROR(OH42/OH43,"")</f>
        <v/>
      </c>
      <c r="OI44" s="38"/>
      <c r="OJ44" s="38" t="str">
        <f>IFERROR(OJ42/OJ43,"")</f>
        <v/>
      </c>
      <c r="OK44" s="38"/>
      <c r="OL44" s="38" t="str">
        <f>IFERROR(OL42/OL43,"")</f>
        <v/>
      </c>
      <c r="OM44" s="38"/>
      <c r="ON44" s="38" t="str">
        <f>IFERROR(ON42/ON43,"")</f>
        <v/>
      </c>
      <c r="OO44" s="38"/>
      <c r="OP44" s="72">
        <f>OP41-OP42</f>
        <v>-3086.5548493964188</v>
      </c>
      <c r="OQ44" s="38"/>
      <c r="OR44" s="38" t="str">
        <f t="shared" ref="OR44:PJ44" si="223">IFERROR(OR42/OR43,"")</f>
        <v/>
      </c>
      <c r="OS44" s="38" t="str">
        <f t="shared" si="223"/>
        <v/>
      </c>
      <c r="OT44" s="38" t="str">
        <f t="shared" si="223"/>
        <v/>
      </c>
      <c r="OU44" s="38" t="str">
        <f t="shared" si="223"/>
        <v/>
      </c>
      <c r="OV44" s="38" t="str">
        <f t="shared" si="223"/>
        <v/>
      </c>
      <c r="OW44" s="38" t="str">
        <f t="shared" si="223"/>
        <v/>
      </c>
      <c r="OX44" s="38" t="str">
        <f t="shared" si="223"/>
        <v/>
      </c>
      <c r="OY44" s="38" t="str">
        <f t="shared" si="223"/>
        <v/>
      </c>
      <c r="OZ44" s="38" t="str">
        <f t="shared" si="223"/>
        <v/>
      </c>
      <c r="PA44" s="38" t="str">
        <f t="shared" si="223"/>
        <v/>
      </c>
      <c r="PB44" s="38" t="str">
        <f t="shared" si="223"/>
        <v/>
      </c>
      <c r="PC44" s="38" t="str">
        <f t="shared" si="223"/>
        <v/>
      </c>
      <c r="PD44" s="38" t="str">
        <f t="shared" si="223"/>
        <v/>
      </c>
      <c r="PE44" s="38" t="str">
        <f t="shared" si="223"/>
        <v/>
      </c>
      <c r="PF44" s="38" t="str">
        <f t="shared" si="223"/>
        <v/>
      </c>
      <c r="PG44" s="38" t="str">
        <f t="shared" si="223"/>
        <v/>
      </c>
      <c r="PH44" s="38" t="str">
        <f t="shared" si="223"/>
        <v/>
      </c>
      <c r="PI44" s="38" t="str">
        <f t="shared" si="223"/>
        <v/>
      </c>
      <c r="PJ44" s="38" t="str">
        <f t="shared" si="223"/>
        <v/>
      </c>
      <c r="PK44" s="38"/>
      <c r="PL44" s="38"/>
      <c r="PM44" s="38" t="str">
        <f t="shared" ref="PM44:PR44" si="224">IFERROR(PM42/PM43,"")</f>
        <v/>
      </c>
      <c r="PN44" s="38" t="str">
        <f t="shared" si="224"/>
        <v/>
      </c>
      <c r="PO44" s="38" t="str">
        <f t="shared" si="224"/>
        <v/>
      </c>
      <c r="PP44" s="38" t="str">
        <f t="shared" si="224"/>
        <v/>
      </c>
      <c r="PQ44" s="38" t="str">
        <f t="shared" si="224"/>
        <v/>
      </c>
      <c r="PR44" s="38" t="str">
        <f t="shared" si="224"/>
        <v/>
      </c>
      <c r="PS44" s="38"/>
      <c r="PT44" s="38"/>
      <c r="PU44" s="38" t="str">
        <f>IFERROR(PU42/PU43,"")</f>
        <v/>
      </c>
      <c r="PV44" s="38"/>
      <c r="PW44" s="38" t="str">
        <f>IFERROR(PW42/PW43,"")</f>
        <v/>
      </c>
      <c r="PX44" s="38"/>
      <c r="PY44" s="38" t="str">
        <f>IFERROR(PY42/PY43,"")</f>
        <v/>
      </c>
      <c r="PZ44" s="38" t="str">
        <f>IFERROR(PZ42/PZ43,"")</f>
        <v/>
      </c>
      <c r="QA44" s="38"/>
      <c r="QB44" s="38"/>
      <c r="QC44" s="38"/>
      <c r="QD44" s="38"/>
      <c r="QE44" s="38" t="str">
        <f>IFERROR(QE42/QE43,"")</f>
        <v/>
      </c>
      <c r="RW44" s="1"/>
    </row>
    <row r="45" spans="1:500">
      <c r="D45" s="1"/>
      <c r="O45" t="e">
        <f ca="1">IF(VALUE(MONTH(DATEVALUE(MID(CELL("filename",A1),FIND("]",CELL("filename",A1))+1,255)&amp;"1")))&lt;&gt;MONTH(TODAY()),O43/(DAY(EOMONTH(DATE(YEAR(TODAY()),VALUE(MONTH(DATEVALUE(MID(CELL("filename",A1),FIND("]",CELL("filename",A1))+1,255)&amp;"1"))),1),0))),(O43-O42)/('[1]Summary TCM'!$AB$140-DAY(TODAY()-1)))</f>
        <v>#VALUE!</v>
      </c>
      <c r="P45" t="e">
        <f ca="1">IF(VALUE(MONTH(DATEVALUE(MID(CELL("filename",B1),FIND("]",CELL("filename",B1))+1,255)&amp;"1")))&lt;&gt;MONTH(TODAY()),P43/(DAY(EOMONTH(DATE(YEAR(TODAY()),VALUE(MONTH(DATEVALUE(MID(CELL("filename",B1),FIND("]",CELL("filename",B1))+1,255)&amp;"1"))),1),0))),(P43-P42)/('[1]Summary TCM'!$AB$140-DAY(TODAY()-1)))</f>
        <v>#VALUE!</v>
      </c>
      <c r="Q45" t="e">
        <f ca="1">IF(VALUE(MONTH(DATEVALUE(MID(CELL("filename",C1),FIND("]",CELL("filename",C1))+1,255)&amp;"1")))&lt;&gt;MONTH(TODAY()),Q43/(DAY(EOMONTH(DATE(YEAR(TODAY()),VALUE(MONTH(DATEVALUE(MID(CELL("filename",C1),FIND("]",CELL("filename",C1))+1,255)&amp;"1"))),1),0))),(Q43-Q42)/('[1]Summary TCM'!$AB$140-DAY(TODAY()-1)))</f>
        <v>#VALUE!</v>
      </c>
      <c r="R45" t="e">
        <f ca="1">IF(VALUE(MONTH(DATEVALUE(MID(CELL("filename",D1),FIND("]",CELL("filename",D1))+1,255)&amp;"1")))&lt;&gt;MONTH(TODAY()),R43/(DAY(EOMONTH(DATE(YEAR(TODAY()),VALUE(MONTH(DATEVALUE(MID(CELL("filename",D1),FIND("]",CELL("filename",D1))+1,255)&amp;"1"))),1),0))),(R43-R42)/('[1]Summary TCM'!$AB$140-DAY(TODAY()-1)))</f>
        <v>#VALUE!</v>
      </c>
      <c r="S45" s="72" t="e">
        <f ca="1">SUM(BF45,BI45,BL45,BX45)</f>
        <v>#VALUE!</v>
      </c>
      <c r="T45" t="e">
        <f ca="1">IF(VALUE(MONTH(DATEVALUE(MID(CELL("filename",H1),FIND("]",CELL("filename",H1))+1,255)&amp;"1")))&lt;&gt;MONTH(TODAY()),T43/(DAY(EOMONTH(DATE(YEAR(TODAY()),VALUE(MONTH(DATEVALUE(MID(CELL("filename",H1),FIND("]",CELL("filename",H1))+1,255)&amp;"1"))),1),0))),(T43-T42)/('[1]Summary TCM'!$AB$140-DAY(TODAY()-1)))</f>
        <v>#VALUE!</v>
      </c>
      <c r="U45" t="e">
        <f ca="1">IF(VALUE(MONTH(DATEVALUE(MID(CELL("filename",I1),FIND("]",CELL("filename",I1))+1,255)&amp;"1")))&lt;&gt;MONTH(TODAY()),U43/(DAY(EOMONTH(DATE(YEAR(TODAY()),VALUE(MONTH(DATEVALUE(MID(CELL("filename",I1),FIND("]",CELL("filename",I1))+1,255)&amp;"1"))),1),0))),(U43-U42)/('[1]Summary TCM'!$AB$140-DAY(TODAY()-1)))</f>
        <v>#VALUE!</v>
      </c>
      <c r="V45" t="e">
        <f ca="1">IF(VALUE(MONTH(DATEVALUE(MID(CELL("filename",L1),FIND("]",CELL("filename",L1))+1,255)&amp;"1")))&lt;&gt;MONTH(TODAY()),V43/(DAY(EOMONTH(DATE(YEAR(TODAY()),VALUE(MONTH(DATEVALUE(MID(CELL("filename",L1),FIND("]",CELL("filename",L1))+1,255)&amp;"1"))),1),0))),(V43-V42)/('[1]Summary TCM'!$AB$140-DAY(TODAY()-1)))</f>
        <v>#VALUE!</v>
      </c>
      <c r="W45" t="e">
        <f ca="1">IF(VALUE(MONTH(DATEVALUE(MID(CELL("filename",M1),FIND("]",CELL("filename",M1))+1,255)&amp;"1")))&lt;&gt;MONTH(TODAY()),W43/(DAY(EOMONTH(DATE(YEAR(TODAY()),VALUE(MONTH(DATEVALUE(MID(CELL("filename",M1),FIND("]",CELL("filename",M1))+1,255)&amp;"1"))),1),0))),(W43-W42)/('[1]Summary TCM'!$AB$140-DAY(TODAY()-1)))</f>
        <v>#VALUE!</v>
      </c>
      <c r="X45" t="e">
        <f ca="1">IF(VALUE(MONTH(DATEVALUE(MID(CELL("filename",N1),FIND("]",CELL("filename",N1))+1,255)&amp;"1")))&lt;&gt;MONTH(TODAY()),X43/(DAY(EOMONTH(DATE(YEAR(TODAY()),VALUE(MONTH(DATEVALUE(MID(CELL("filename",N1),FIND("]",CELL("filename",N1))+1,255)&amp;"1"))),1),0))),(X43-X42)/('[1]Summary TCM'!$AB$140-DAY(TODAY()-1)))</f>
        <v>#VALUE!</v>
      </c>
      <c r="Y45" t="e">
        <f ca="1">IF(VALUE(MONTH(DATEVALUE(MID(CELL("filename",O1),FIND("]",CELL("filename",O1))+1,255)&amp;"1")))&lt;&gt;MONTH(TODAY()),Y43/(DAY(EOMONTH(DATE(YEAR(TODAY()),VALUE(MONTH(DATEVALUE(MID(CELL("filename",O1),FIND("]",CELL("filename",O1))+1,255)&amp;"1"))),1),0))),(Y43-Y42)/('[1]Summary TCM'!$AB$140-DAY(TODAY()-1)))</f>
        <v>#VALUE!</v>
      </c>
      <c r="Z45" t="e">
        <f ca="1">IF(VALUE(MONTH(DATEVALUE(MID(CELL("filename",P1),FIND("]",CELL("filename",P1))+1,255)&amp;"1")))&lt;&gt;MONTH(TODAY()),Z43/(DAY(EOMONTH(DATE(YEAR(TODAY()),VALUE(MONTH(DATEVALUE(MID(CELL("filename",P1),FIND("]",CELL("filename",P1))+1,255)&amp;"1"))),1),0))),(Z43-Z42)/('[1]Summary TCM'!$AB$140-DAY(TODAY()-1)))</f>
        <v>#VALUE!</v>
      </c>
      <c r="AE45" t="e">
        <f ca="1">IF(VALUE(MONTH(DATEVALUE(MID(CELL("filename",Q1),FIND("]",CELL("filename",Q1))+1,255)&amp;"1")))&lt;&gt;MONTH(TODAY()),AE43/(DAY(EOMONTH(DATE(YEAR(TODAY()),VALUE(MONTH(DATEVALUE(MID(CELL("filename",Q1),FIND("]",CELL("filename",Q1))+1,255)&amp;"1"))),1),0))),(AE43-AE42)/('[1]Summary TCM'!$AB$140-DAY(TODAY()-1)))</f>
        <v>#VALUE!</v>
      </c>
      <c r="AF45" t="e">
        <f ca="1">IF(VALUE(MONTH(DATEVALUE(MID(CELL("filename",R1),FIND("]",CELL("filename",R1))+1,255)&amp;"1")))&lt;&gt;MONTH(TODAY()),AF43/(DAY(EOMONTH(DATE(YEAR(TODAY()),VALUE(MONTH(DATEVALUE(MID(CELL("filename",R1),FIND("]",CELL("filename",R1))+1,255)&amp;"1"))),1),0))),(AF43-AF42)/('[1]Summary TCM'!$AB$140-DAY(TODAY()-1)))</f>
        <v>#VALUE!</v>
      </c>
      <c r="AG45" t="e">
        <f ca="1">IF(VALUE(MONTH(DATEVALUE(MID(CELL("filename",S1),FIND("]",CELL("filename",S1))+1,255)&amp;"1")))&lt;&gt;MONTH(TODAY()),AG43/(DAY(EOMONTH(DATE(YEAR(TODAY()),VALUE(MONTH(DATEVALUE(MID(CELL("filename",S1),FIND("]",CELL("filename",S1))+1,255)&amp;"1"))),1),0))),(AG43-AG42)/('[1]Summary TCM'!$AB$140-DAY(TODAY()-1)))</f>
        <v>#VALUE!</v>
      </c>
      <c r="AH45" t="e">
        <f ca="1">IF(VALUE(MONTH(DATEVALUE(MID(CELL("filename",T1),FIND("]",CELL("filename",T1))+1,255)&amp;"1")))&lt;&gt;MONTH(TODAY()),AH43/(DAY(EOMONTH(DATE(YEAR(TODAY()),VALUE(MONTH(DATEVALUE(MID(CELL("filename",T1),FIND("]",CELL("filename",T1))+1,255)&amp;"1"))),1),0))),(AH43-AH42)/('[1]Summary TCM'!$AB$140-DAY(TODAY()-1)))</f>
        <v>#VALUE!</v>
      </c>
      <c r="AI45" t="e">
        <f ca="1">IF(VALUE(MONTH(DATEVALUE(MID(CELL("filename",U1),FIND("]",CELL("filename",U1))+1,255)&amp;"1")))&lt;&gt;MONTH(TODAY()),AI43/(DAY(EOMONTH(DATE(YEAR(TODAY()),VALUE(MONTH(DATEVALUE(MID(CELL("filename",U1),FIND("]",CELL("filename",U1))+1,255)&amp;"1"))),1),0))),(AI43-AI42)/('[1]Summary TCM'!$AB$140-DAY(TODAY()-1)))</f>
        <v>#VALUE!</v>
      </c>
      <c r="AJ45" t="e">
        <f ca="1">IF(VALUE(MONTH(DATEVALUE(MID(CELL("filename",V1),FIND("]",CELL("filename",V1))+1,255)&amp;"1")))&lt;&gt;MONTH(TODAY()),AJ43/(DAY(EOMONTH(DATE(YEAR(TODAY()),VALUE(MONTH(DATEVALUE(MID(CELL("filename",V1),FIND("]",CELL("filename",V1))+1,255)&amp;"1"))),1),0))),(AJ43-AJ42)/('[1]Summary TCM'!$AB$140-DAY(TODAY()-1)))</f>
        <v>#VALUE!</v>
      </c>
      <c r="AK45" t="e">
        <f ca="1">IF(VALUE(MONTH(DATEVALUE(MID(CELL("filename",W1),FIND("]",CELL("filename",W1))+1,255)&amp;"1")))&lt;&gt;MONTH(TODAY()),AK43/(DAY(EOMONTH(DATE(YEAR(TODAY()),VALUE(MONTH(DATEVALUE(MID(CELL("filename",W1),FIND("]",CELL("filename",W1))+1,255)&amp;"1"))),1),0))),(AK43-AK42)/('[1]Summary TCM'!$AB$140-DAY(TODAY()-1)))</f>
        <v>#VALUE!</v>
      </c>
      <c r="AL45" t="e">
        <f ca="1">IF(VALUE(MONTH(DATEVALUE(MID(CELL("filename",X1),FIND("]",CELL("filename",X1))+1,255)&amp;"1")))&lt;&gt;MONTH(TODAY()),AL43/(DAY(EOMONTH(DATE(YEAR(TODAY()),VALUE(MONTH(DATEVALUE(MID(CELL("filename",X1),FIND("]",CELL("filename",X1))+1,255)&amp;"1"))),1),0))),(AL43-AL42)/('[1]Summary TCM'!$AB$140-DAY(TODAY()-1)))</f>
        <v>#VALUE!</v>
      </c>
      <c r="AN45" t="e">
        <f ca="1">IF(VALUE(MONTH(DATEVALUE(MID(CELL("filename",Z1),FIND("]",CELL("filename",Z1))+1,255)&amp;"1")))&lt;&gt;MONTH(TODAY()),AN43/(DAY(EOMONTH(DATE(YEAR(TODAY()),VALUE(MONTH(DATEVALUE(MID(CELL("filename",Z1),FIND("]",CELL("filename",Z1))+1,255)&amp;"1"))),1),0))),(AN43-AN42)/('[1]Summary TCM'!$AB$140-DAY(TODAY()-1)))</f>
        <v>#VALUE!</v>
      </c>
      <c r="AO45" t="e">
        <f ca="1">IF(VALUE(MONTH(DATEVALUE(MID(CELL("filename",AE1),FIND("]",CELL("filename",AE1))+1,255)&amp;"1")))&lt;&gt;MONTH(TODAY()),AO43/(DAY(EOMONTH(DATE(YEAR(TODAY()),VALUE(MONTH(DATEVALUE(MID(CELL("filename",AE1),FIND("]",CELL("filename",AE1))+1,255)&amp;"1"))),1),0))),(AO43-AO42)/('[1]Summary TCM'!$AB$140-DAY(TODAY()-1)))</f>
        <v>#VALUE!</v>
      </c>
      <c r="AP45" t="e">
        <f ca="1">IF(VALUE(MONTH(DATEVALUE(MID(CELL("filename",AF1),FIND("]",CELL("filename",AF1))+1,255)&amp;"1")))&lt;&gt;MONTH(TODAY()),AP43/(DAY(EOMONTH(DATE(YEAR(TODAY()),VALUE(MONTH(DATEVALUE(MID(CELL("filename",AF1),FIND("]",CELL("filename",AF1))+1,255)&amp;"1"))),1),0))),(AP43-AP42)/('[1]Summary TCM'!$AB$140-DAY(TODAY()-1)))</f>
        <v>#VALUE!</v>
      </c>
      <c r="AQ45" t="e">
        <f ca="1">IF(VALUE(MONTH(DATEVALUE(MID(CELL("filename",AG1),FIND("]",CELL("filename",AG1))+1,255)&amp;"1")))&lt;&gt;MONTH(TODAY()),AQ43/(DAY(EOMONTH(DATE(YEAR(TODAY()),VALUE(MONTH(DATEVALUE(MID(CELL("filename",AG1),FIND("]",CELL("filename",AG1))+1,255)&amp;"1"))),1),0))),(AQ43-AQ42)/('[1]Summary TCM'!$AB$140-DAY(TODAY()-1)))</f>
        <v>#VALUE!</v>
      </c>
      <c r="AR45" t="e">
        <f ca="1">IF(VALUE(MONTH(DATEVALUE(MID(CELL("filename",AH1),FIND("]",CELL("filename",AH1))+1,255)&amp;"1")))&lt;&gt;MONTH(TODAY()),AR43/(DAY(EOMONTH(DATE(YEAR(TODAY()),VALUE(MONTH(DATEVALUE(MID(CELL("filename",AH1),FIND("]",CELL("filename",AH1))+1,255)&amp;"1"))),1),0))),(AR43-AR42)/('[1]Summary TCM'!$AB$140-DAY(TODAY()-1)))</f>
        <v>#VALUE!</v>
      </c>
      <c r="AS45" t="e">
        <f ca="1">IF(VALUE(MONTH(DATEVALUE(MID(CELL("filename",AI1),FIND("]",CELL("filename",AI1))+1,255)&amp;"1")))&lt;&gt;MONTH(TODAY()),AS43/(DAY(EOMONTH(DATE(YEAR(TODAY()),VALUE(MONTH(DATEVALUE(MID(CELL("filename",AI1),FIND("]",CELL("filename",AI1))+1,255)&amp;"1"))),1),0))),(AS43-AS42)/('[1]Summary TCM'!$AB$140-DAY(TODAY()-1)))</f>
        <v>#VALUE!</v>
      </c>
      <c r="AT45" t="e">
        <f ca="1">IF(VALUE(MONTH(DATEVALUE(MID(CELL("filename",AJ1),FIND("]",CELL("filename",AJ1))+1,255)&amp;"1")))&lt;&gt;MONTH(TODAY()),AT43/(DAY(EOMONTH(DATE(YEAR(TODAY()),VALUE(MONTH(DATEVALUE(MID(CELL("filename",AJ1),FIND("]",CELL("filename",AJ1))+1,255)&amp;"1"))),1),0))),(AT43-AT42)/('[1]Summary TCM'!$AB$140-DAY(TODAY()-1)))</f>
        <v>#VALUE!</v>
      </c>
      <c r="AU45" t="e">
        <f ca="1">IF(VALUE(MONTH(DATEVALUE(MID(CELL("filename",AK1),FIND("]",CELL("filename",AK1))+1,255)&amp;"1")))&lt;&gt;MONTH(TODAY()),AU43/(DAY(EOMONTH(DATE(YEAR(TODAY()),VALUE(MONTH(DATEVALUE(MID(CELL("filename",AK1),FIND("]",CELL("filename",AK1))+1,255)&amp;"1"))),1),0))),(AU43-AU42)/('[1]Summary TCM'!$AB$140-DAY(TODAY()-1)))</f>
        <v>#VALUE!</v>
      </c>
      <c r="AV45" t="e">
        <f ca="1">IF(VALUE(MONTH(DATEVALUE(MID(CELL("filename",AL1),FIND("]",CELL("filename",AL1))+1,255)&amp;"1")))&lt;&gt;MONTH(TODAY()),AV43/(DAY(EOMONTH(DATE(YEAR(TODAY()),VALUE(MONTH(DATEVALUE(MID(CELL("filename",AL1),FIND("]",CELL("filename",AL1))+1,255)&amp;"1"))),1),0))),(AV43-AV42)/('[1]Summary TCM'!$AB$140-DAY(TODAY()-1)))</f>
        <v>#VALUE!</v>
      </c>
      <c r="AW45" t="e">
        <f ca="1">IF(VALUE(MONTH(DATEVALUE(MID(CELL("filename",AM1),FIND("]",CELL("filename",AM1))+1,255)&amp;"1")))&lt;&gt;MONTH(TODAY()),AW43/(DAY(EOMONTH(DATE(YEAR(TODAY()),VALUE(MONTH(DATEVALUE(MID(CELL("filename",AM1),FIND("]",CELL("filename",AM1))+1,255)&amp;"1"))),1),0))),(AW43-AW42)/('[1]Summary TCM'!$AB$140-DAY(TODAY()-1)))</f>
        <v>#VALUE!</v>
      </c>
      <c r="AX45" t="e">
        <f ca="1">IF(VALUE(MONTH(DATEVALUE(MID(CELL("filename",AN1),FIND("]",CELL("filename",AN1))+1,255)&amp;"1")))&lt;&gt;MONTH(TODAY()),AX43/(DAY(EOMONTH(DATE(YEAR(TODAY()),VALUE(MONTH(DATEVALUE(MID(CELL("filename",AN1),FIND("]",CELL("filename",AN1))+1,255)&amp;"1"))),1),0))),(AX43-AX42)/('[1]Summary TCM'!$AB$140-DAY(TODAY()-1)))</f>
        <v>#VALUE!</v>
      </c>
      <c r="AY45" t="e">
        <f ca="1">IF(VALUE(MONTH(DATEVALUE(MID(CELL("filename",AO1),FIND("]",CELL("filename",AO1))+1,255)&amp;"1")))&lt;&gt;MONTH(TODAY()),AY43/(DAY(EOMONTH(DATE(YEAR(TODAY()),VALUE(MONTH(DATEVALUE(MID(CELL("filename",AO1),FIND("]",CELL("filename",AO1))+1,255)&amp;"1"))),1),0))),(AY43-AY42)/('[1]Summary TCM'!$AB$140-DAY(TODAY()-1)))</f>
        <v>#VALUE!</v>
      </c>
      <c r="AZ45" t="e">
        <f ca="1">IF(VALUE(MONTH(DATEVALUE(MID(CELL("filename",AP1),FIND("]",CELL("filename",AP1))+1,255)&amp;"1")))&lt;&gt;MONTH(TODAY()),AZ43/(DAY(EOMONTH(DATE(YEAR(TODAY()),VALUE(MONTH(DATEVALUE(MID(CELL("filename",AP1),FIND("]",CELL("filename",AP1))+1,255)&amp;"1"))),1),0))),(AZ43-AZ42)/('[1]Summary TCM'!$AB$140-DAY(TODAY()-1)))</f>
        <v>#VALUE!</v>
      </c>
      <c r="BA45" t="e">
        <f ca="1">IF(VALUE(MONTH(DATEVALUE(MID(CELL("filename",AQ1),FIND("]",CELL("filename",AQ1))+1,255)&amp;"1")))&lt;&gt;MONTH(TODAY()),BA43/(DAY(EOMONTH(DATE(YEAR(TODAY()),VALUE(MONTH(DATEVALUE(MID(CELL("filename",AQ1),FIND("]",CELL("filename",AQ1))+1,255)&amp;"1"))),1),0))),(BA43-BA42)/('[1]Summary TCM'!$AB$140-DAY(TODAY()-1)))</f>
        <v>#VALUE!</v>
      </c>
      <c r="BB45" t="e">
        <f ca="1">IF(VALUE(MONTH(DATEVALUE(MID(CELL("filename",AR1),FIND("]",CELL("filename",AR1))+1,255)&amp;"1")))&lt;&gt;MONTH(TODAY()),BB43/(DAY(EOMONTH(DATE(YEAR(TODAY()),VALUE(MONTH(DATEVALUE(MID(CELL("filename",AR1),FIND("]",CELL("filename",AR1))+1,255)&amp;"1"))),1),0))),(BB43-BB42)/('[1]Summary TCM'!$AB$140-DAY(TODAY()-1)))</f>
        <v>#VALUE!</v>
      </c>
      <c r="BC45" t="e">
        <f ca="1">IF(VALUE(MONTH(DATEVALUE(MID(CELL("filename",AS1),FIND("]",CELL("filename",AS1))+1,255)&amp;"1")))&lt;&gt;MONTH(TODAY()),BC43/(DAY(EOMONTH(DATE(YEAR(TODAY()),VALUE(MONTH(DATEVALUE(MID(CELL("filename",AS1),FIND("]",CELL("filename",AS1))+1,255)&amp;"1"))),1),0))),(BC43-BC42)/('[1]Summary TCM'!$AB$140-DAY(TODAY()-1)))</f>
        <v>#VALUE!</v>
      </c>
      <c r="BD45" t="e">
        <f ca="1">IF(VALUE(MONTH(DATEVALUE(MID(CELL("filename",AT1),FIND("]",CELL("filename",AT1))+1,255)&amp;"1")))&lt;&gt;MONTH(TODAY()),BD43/(DAY(EOMONTH(DATE(YEAR(TODAY()),VALUE(MONTH(DATEVALUE(MID(CELL("filename",AT1),FIND("]",CELL("filename",AT1))+1,255)&amp;"1"))),1),0))),(BD43-BD42)/('[1]Summary TCM'!$AB$140-DAY(TODAY()-1)))</f>
        <v>#VALUE!</v>
      </c>
      <c r="BE45" t="e">
        <f ca="1">IF(VALUE(MONTH(DATEVALUE(MID(CELL("filename",AU1),FIND("]",CELL("filename",AU1))+1,255)&amp;"1")))&lt;&gt;MONTH(TODAY()),BE43/(DAY(EOMONTH(DATE(YEAR(TODAY()),VALUE(MONTH(DATEVALUE(MID(CELL("filename",AU1),FIND("]",CELL("filename",AU1))+1,255)&amp;"1"))),1),0))),(BE43-BE42)/('[1]Summary TCM'!$AB$140-DAY(TODAY()-1)))</f>
        <v>#VALUE!</v>
      </c>
      <c r="BF45" t="e">
        <f ca="1">IF(VALUE(MONTH(DATEVALUE(MID(CELL("filename",AV1),FIND("]",CELL("filename",AV1))+1,255)&amp;"1")))&lt;&gt;MONTH(TODAY()),BF43/(DAY(EOMONTH(DATE(YEAR(TODAY()),VALUE(MONTH(DATEVALUE(MID(CELL("filename",AV1),FIND("]",CELL("filename",AV1))+1,255)&amp;"1"))),1),0))),(BF43-BF42)/('[1]Summary TCM'!$AB$140-DAY(TODAY()-1)))</f>
        <v>#VALUE!</v>
      </c>
      <c r="BG45" t="e">
        <f ca="1">IF(VALUE(MONTH(DATEVALUE(MID(CELL("filename",AW1),FIND("]",CELL("filename",AW1))+1,255)&amp;"1")))&lt;&gt;MONTH(TODAY()),BG43/(DAY(EOMONTH(DATE(YEAR(TODAY()),VALUE(MONTH(DATEVALUE(MID(CELL("filename",AW1),FIND("]",CELL("filename",AW1))+1,255)&amp;"1"))),1),0))),(BG43-BG42)/('[1]Summary TCM'!$AB$140-DAY(TODAY()-1)))</f>
        <v>#VALUE!</v>
      </c>
      <c r="BH45" t="e">
        <f ca="1">IF(VALUE(MONTH(DATEVALUE(MID(CELL("filename",AX1),FIND("]",CELL("filename",AX1))+1,255)&amp;"1")))&lt;&gt;MONTH(TODAY()),BH43/(DAY(EOMONTH(DATE(YEAR(TODAY()),VALUE(MONTH(DATEVALUE(MID(CELL("filename",AX1),FIND("]",CELL("filename",AX1))+1,255)&amp;"1"))),1),0))),(BH43-BH42)/('[1]Summary TCM'!$AB$140-DAY(TODAY()-1)))</f>
        <v>#VALUE!</v>
      </c>
      <c r="BI45" t="e">
        <f ca="1">IF(VALUE(MONTH(DATEVALUE(MID(CELL("filename",AY1),FIND("]",CELL("filename",AY1))+1,255)&amp;"1")))&lt;&gt;MONTH(TODAY()),BI43/(DAY(EOMONTH(DATE(YEAR(TODAY()),VALUE(MONTH(DATEVALUE(MID(CELL("filename",AY1),FIND("]",CELL("filename",AY1))+1,255)&amp;"1"))),1),0))),(BI43-BI42)/('[1]Summary TCM'!$AB$140-DAY(TODAY()-1)))</f>
        <v>#VALUE!</v>
      </c>
      <c r="BJ45" t="e">
        <f ca="1">IF(VALUE(MONTH(DATEVALUE(MID(CELL("filename",AZ1),FIND("]",CELL("filename",AZ1))+1,255)&amp;"1")))&lt;&gt;MONTH(TODAY()),BJ43/(DAY(EOMONTH(DATE(YEAR(TODAY()),VALUE(MONTH(DATEVALUE(MID(CELL("filename",AZ1),FIND("]",CELL("filename",AZ1))+1,255)&amp;"1"))),1),0))),(BJ43-BJ42)/('[1]Summary TCM'!$AB$140-DAY(TODAY()-1)))</f>
        <v>#VALUE!</v>
      </c>
      <c r="BK45" t="e">
        <f ca="1">IF(VALUE(MONTH(DATEVALUE(MID(CELL("filename",BA1),FIND("]",CELL("filename",BA1))+1,255)&amp;"1")))&lt;&gt;MONTH(TODAY()),BK43/(DAY(EOMONTH(DATE(YEAR(TODAY()),VALUE(MONTH(DATEVALUE(MID(CELL("filename",BA1),FIND("]",CELL("filename",BA1))+1,255)&amp;"1"))),1),0))),(BK43-BK42)/('[1]Summary TCM'!$AB$140-DAY(TODAY()-1)))</f>
        <v>#VALUE!</v>
      </c>
      <c r="BL45" t="e">
        <f ca="1">IF(VALUE(MONTH(DATEVALUE(MID(CELL("filename",BB1),FIND("]",CELL("filename",BB1))+1,255)&amp;"1")))&lt;&gt;MONTH(TODAY()),BL43/(DAY(EOMONTH(DATE(YEAR(TODAY()),VALUE(MONTH(DATEVALUE(MID(CELL("filename",BB1),FIND("]",CELL("filename",BB1))+1,255)&amp;"1"))),1),0))),(BL43-BL42)/('[1]Summary TCM'!$AB$140-DAY(TODAY()-1)))</f>
        <v>#VALUE!</v>
      </c>
      <c r="BM45" t="e">
        <f ca="1">IF(VALUE(MONTH(DATEVALUE(MID(CELL("filename",BC1),FIND("]",CELL("filename",BC1))+1,255)&amp;"1")))&lt;&gt;MONTH(TODAY()),BM43/(DAY(EOMONTH(DATE(YEAR(TODAY()),VALUE(MONTH(DATEVALUE(MID(CELL("filename",BC1),FIND("]",CELL("filename",BC1))+1,255)&amp;"1"))),1),0))),(BM43-BM42)/('[1]Summary TCM'!$AB$140-DAY(TODAY()-1)))</f>
        <v>#VALUE!</v>
      </c>
      <c r="BN45" t="e">
        <f ca="1">IF(VALUE(MONTH(DATEVALUE(MID(CELL("filename",BD1),FIND("]",CELL("filename",BD1))+1,255)&amp;"1")))&lt;&gt;MONTH(TODAY()),BN43/(DAY(EOMONTH(DATE(YEAR(TODAY()),VALUE(MONTH(DATEVALUE(MID(CELL("filename",BD1),FIND("]",CELL("filename",BD1))+1,255)&amp;"1"))),1),0))),(BN43-BN42)/('[1]Summary TCM'!$AB$140-DAY(TODAY()-1)))</f>
        <v>#VALUE!</v>
      </c>
      <c r="BO45" t="e">
        <f ca="1">IF(VALUE(MONTH(DATEVALUE(MID(CELL("filename",BE1),FIND("]",CELL("filename",BE1))+1,255)&amp;"1")))&lt;&gt;MONTH(TODAY()),BP43/(DAY(EOMONTH(DATE(YEAR(TODAY()),VALUE(MONTH(DATEVALUE(MID(CELL("filename",BE1),FIND("]",CELL("filename",BE1))+1,255)&amp;"1"))),1),0))),(BP43-BO42)/('[1]Summary TCM'!$AB$140-DAY(TODAY()-1)))</f>
        <v>#VALUE!</v>
      </c>
      <c r="BP45" t="e">
        <f ca="1">IF(VALUE(MONTH(DATEVALUE(MID(CELL("filename",BF1),FIND("]",CELL("filename",BF1))+1,255)&amp;"1")))&lt;&gt;MONTH(TODAY()),#REF!/(DAY(EOMONTH(DATE(YEAR(TODAY()),VALUE(MONTH(DATEVALUE(MID(CELL("filename",BF1),FIND("]",CELL("filename",BF1))+1,255)&amp;"1"))),1),0))),(#REF!-BP42)/('[1]Summary TCM'!$AB$140-DAY(TODAY()-1)))</f>
        <v>#VALUE!</v>
      </c>
      <c r="BQ45" t="e">
        <f ca="1">IF(VALUE(MONTH(DATEVALUE(MID(CELL("filename",BG1),FIND("]",CELL("filename",BG1))+1,255)&amp;"1")))&lt;&gt;MONTH(TODAY()),BQ43/(DAY(EOMONTH(DATE(YEAR(TODAY()),VALUE(MONTH(DATEVALUE(MID(CELL("filename",BG1),FIND("]",CELL("filename",BG1))+1,255)&amp;"1"))),1),0))),(BQ43-BQ42)/('[1]Summary TCM'!$AB$140-DAY(TODAY()-1)))</f>
        <v>#VALUE!</v>
      </c>
      <c r="BR45" t="e">
        <f ca="1">IF(VALUE(MONTH(DATEVALUE(MID(CELL("filename",BE1),FIND("]",CELL("filename",BE1))+1,255)&amp;"1")))&lt;&gt;MONTH(TODAY()),BR43/(DAY(EOMONTH(DATE(YEAR(TODAY()),VALUE(MONTH(DATEVALUE(MID(CELL("filename",BE1),FIND("]",CELL("filename",BE1))+1,255)&amp;"1"))),1),0))),(BR43-BR42)/('[1]Summary TCM'!$AB$140-DAY(TODAY()-1)))</f>
        <v>#VALUE!</v>
      </c>
      <c r="BS45" t="e">
        <f ca="1">IF(VALUE(MONTH(DATEVALUE(MID(CELL("filename",BF1),FIND("]",CELL("filename",BF1))+1,255)&amp;"1")))&lt;&gt;MONTH(TODAY()),BS43/(DAY(EOMONTH(DATE(YEAR(TODAY()),VALUE(MONTH(DATEVALUE(MID(CELL("filename",BF1),FIND("]",CELL("filename",BF1))+1,255)&amp;"1"))),1),0))),(BS43-BS42)/('[1]Summary TCM'!$AB$140-DAY(TODAY()-1)))</f>
        <v>#VALUE!</v>
      </c>
      <c r="BT45" t="e">
        <f ca="1">IF(VALUE(MONTH(DATEVALUE(MID(CELL("filename",BG1),FIND("]",CELL("filename",BG1))+1,255)&amp;"1")))&lt;&gt;MONTH(TODAY()),BT43/(DAY(EOMONTH(DATE(YEAR(TODAY()),VALUE(MONTH(DATEVALUE(MID(CELL("filename",BG1),FIND("]",CELL("filename",BG1))+1,255)&amp;"1"))),1),0))),(BT43-BT42)/('[1]Summary TCM'!$AB$140-DAY(TODAY()-1)))</f>
        <v>#VALUE!</v>
      </c>
      <c r="BU45" t="e">
        <f ca="1">IF(VALUE(MONTH(DATEVALUE(MID(CELL("filename",BH1),FIND("]",CELL("filename",BH1))+1,255)&amp;"1")))&lt;&gt;MONTH(TODAY()),BU43/(DAY(EOMONTH(DATE(YEAR(TODAY()),VALUE(MONTH(DATEVALUE(MID(CELL("filename",BH1),FIND("]",CELL("filename",BH1))+1,255)&amp;"1"))),1),0))),(BU43-BU42)/('[1]Summary TCM'!$AB$140-DAY(TODAY()-1)))</f>
        <v>#VALUE!</v>
      </c>
      <c r="BV45" t="e">
        <f ca="1">IF(VALUE(MONTH(DATEVALUE(MID(CELL("filename",BI1),FIND("]",CELL("filename",BI1))+1,255)&amp;"1")))&lt;&gt;MONTH(TODAY()),BV43/(DAY(EOMONTH(DATE(YEAR(TODAY()),VALUE(MONTH(DATEVALUE(MID(CELL("filename",BI1),FIND("]",CELL("filename",BI1))+1,255)&amp;"1"))),1),0))),(BV43-BV42)/('[1]Summary TCM'!$AB$140-DAY(TODAY()-1)))</f>
        <v>#VALUE!</v>
      </c>
      <c r="BW45" t="e">
        <f ca="1">IF(VALUE(MONTH(DATEVALUE(MID(CELL("filename",BJ1),FIND("]",CELL("filename",BJ1))+1,255)&amp;"1")))&lt;&gt;MONTH(TODAY()),BW43/(DAY(EOMONTH(DATE(YEAR(TODAY()),VALUE(MONTH(DATEVALUE(MID(CELL("filename",BJ1),FIND("]",CELL("filename",BJ1))+1,255)&amp;"1"))),1),0))),(BW43-BW42)/('[1]Summary TCM'!$AB$140-DAY(TODAY()-1)))</f>
        <v>#VALUE!</v>
      </c>
      <c r="CD45" t="e">
        <f ca="1">IF(VALUE(MONTH(DATEVALUE(MID(CELL("filename",BK1),FIND("]",CELL("filename",BK1))+1,255)&amp;"1")))&lt;&gt;MONTH(TODAY()),CD43/(DAY(EOMONTH(DATE(YEAR(TODAY()),VALUE(MONTH(DATEVALUE(MID(CELL("filename",BK1),FIND("]",CELL("filename",BK1))+1,255)&amp;"1"))),1),0))),(CD43-CD42)/('[1]Summary TCM'!$AB$140-DAY(TODAY()-1)))</f>
        <v>#VALUE!</v>
      </c>
      <c r="CE45" t="e">
        <f ca="1">IF(VALUE(MONTH(DATEVALUE(MID(CELL("filename",BL1),FIND("]",CELL("filename",BL1))+1,255)&amp;"1")))&lt;&gt;MONTH(TODAY()),CE43/(DAY(EOMONTH(DATE(YEAR(TODAY()),VALUE(MONTH(DATEVALUE(MID(CELL("filename",BL1),FIND("]",CELL("filename",BL1))+1,255)&amp;"1"))),1),0))),(CE43-CE42)/('[1]Summary TCM'!$AB$140-DAY(TODAY()-1)))</f>
        <v>#VALUE!</v>
      </c>
      <c r="CF45" t="e">
        <f ca="1">IF(VALUE(MONTH(DATEVALUE(MID(CELL("filename",BM1),FIND("]",CELL("filename",BM1))+1,255)&amp;"1")))&lt;&gt;MONTH(TODAY()),CF43/(DAY(EOMONTH(DATE(YEAR(TODAY()),VALUE(MONTH(DATEVALUE(MID(CELL("filename",BM1),FIND("]",CELL("filename",BM1))+1,255)&amp;"1"))),1),0))),(CF43-CF42)/('[1]Summary TCM'!$AB$140-DAY(TODAY()-1)))</f>
        <v>#VALUE!</v>
      </c>
      <c r="DK45" s="281"/>
      <c r="JN45">
        <f>SUMPRODUCT(JN43:JU43,JN44:JU44)</f>
        <v>0</v>
      </c>
      <c r="JV45">
        <f>SUMPRODUCT(JV43:KC43,JV44:KC44)</f>
        <v>0</v>
      </c>
      <c r="KD45">
        <f>SUMPRODUCT(KD43:KK43,KD44:KK44)</f>
        <v>0</v>
      </c>
      <c r="LW45" s="314"/>
      <c r="LY45" s="314"/>
      <c r="MA45" s="1"/>
      <c r="OC45" s="95"/>
      <c r="QL45" s="1"/>
      <c r="QM45" s="1"/>
      <c r="QO45" s="1"/>
      <c r="QP45" s="1"/>
      <c r="RW45" s="1"/>
    </row>
    <row r="46" spans="1:500">
      <c r="D46" s="1"/>
      <c r="E46" s="1"/>
      <c r="F46" s="1"/>
      <c r="G46" s="1"/>
      <c r="H46" s="95"/>
      <c r="I46" s="1">
        <f>AVERAGE(I42+K42+M42)</f>
        <v>256.22000000000003</v>
      </c>
      <c r="AB46" s="887"/>
      <c r="DK46" s="1"/>
      <c r="GP46" s="887">
        <f>GK41+GL41</f>
        <v>279626.70999999996</v>
      </c>
      <c r="IL46">
        <v>3280.2499999999986</v>
      </c>
      <c r="JK46" s="95"/>
      <c r="LJ46" s="330"/>
      <c r="LR46" s="314"/>
      <c r="MK46">
        <v>150634.23206750001</v>
      </c>
      <c r="NW46" s="1"/>
      <c r="NX46" s="1"/>
      <c r="OC46" s="95"/>
      <c r="RW46" s="1"/>
    </row>
    <row r="47" spans="1:500">
      <c r="C47" s="1">
        <f>C43-C42</f>
        <v>1026884.3508999995</v>
      </c>
      <c r="D47" s="887">
        <f>D43-D41</f>
        <v>24414.01999999999</v>
      </c>
      <c r="E47" s="1"/>
      <c r="F47" s="1"/>
      <c r="G47" s="1"/>
      <c r="H47" s="1"/>
      <c r="I47" s="1"/>
      <c r="T47" s="887"/>
      <c r="AB47" s="887"/>
      <c r="AQ47" s="95"/>
      <c r="AR47" s="95"/>
      <c r="AS47" s="95"/>
      <c r="AT47" s="95"/>
      <c r="AU47" s="95"/>
      <c r="AV47" s="95"/>
      <c r="AW47" s="95"/>
      <c r="AX47" s="95"/>
      <c r="AY47" s="95"/>
      <c r="AZ47" s="95"/>
      <c r="BA47" s="95"/>
      <c r="BB47" s="95"/>
      <c r="BC47" s="95"/>
      <c r="BD47" s="95"/>
      <c r="BE47" s="95"/>
      <c r="BF47" s="95"/>
      <c r="BG47" s="95"/>
      <c r="BH47" s="95"/>
      <c r="BI47" s="95"/>
      <c r="BJ47" s="95"/>
      <c r="BK47" s="95"/>
      <c r="BL47" s="95"/>
      <c r="BM47" s="95"/>
      <c r="BN47" s="95"/>
      <c r="BO47" s="95">
        <f ca="1">BO47</f>
        <v>0</v>
      </c>
      <c r="BP47" s="95"/>
      <c r="BQ47" s="95"/>
      <c r="BR47" s="95"/>
      <c r="BS47" s="95"/>
      <c r="BT47" s="95"/>
      <c r="BU47" s="95"/>
      <c r="BV47" s="95"/>
      <c r="BW47" s="95"/>
      <c r="BX47" s="95"/>
      <c r="BY47" s="95"/>
      <c r="BZ47" s="95"/>
      <c r="CA47" s="95"/>
      <c r="CB47" s="95"/>
      <c r="CC47" s="95"/>
      <c r="DW47" s="1">
        <f>DV28+DR28</f>
        <v>0</v>
      </c>
      <c r="GM47" s="887"/>
      <c r="GP47" s="887"/>
      <c r="JH47" s="887"/>
      <c r="JI47" s="887"/>
      <c r="JK47" s="887">
        <f>11000*3</f>
        <v>33000</v>
      </c>
      <c r="JL47" s="887"/>
      <c r="LG47">
        <v>4151.3280000000004</v>
      </c>
      <c r="LH47" s="329">
        <f>LG41-4496.575</f>
        <v>40283.091999999997</v>
      </c>
      <c r="LJ47" s="1447">
        <v>271265.18600000005</v>
      </c>
      <c r="LK47" s="314">
        <f>LJ47-LF41</f>
        <v>-177422.95699999999</v>
      </c>
      <c r="LL47" s="314"/>
      <c r="LO47" s="314"/>
      <c r="LP47" s="314">
        <v>5222.3980000000001</v>
      </c>
      <c r="LR47" s="314"/>
      <c r="MK47">
        <v>119136.80000000002</v>
      </c>
      <c r="RW47" s="1"/>
    </row>
    <row r="48" spans="1:500">
      <c r="D48" s="887"/>
      <c r="E48" s="1"/>
      <c r="F48" s="1"/>
      <c r="G48" s="1"/>
      <c r="I48" s="95"/>
      <c r="O48" s="887"/>
      <c r="P48" s="887"/>
      <c r="S48" s="887"/>
      <c r="T48" s="887"/>
      <c r="AB48" s="887"/>
      <c r="AC48" s="1"/>
      <c r="AD48" s="1"/>
      <c r="AE48" s="1"/>
      <c r="AQ48" s="887"/>
      <c r="AR48" s="887"/>
      <c r="AW48" s="1">
        <f>AW43-AW42</f>
        <v>125887.82239999995</v>
      </c>
      <c r="BC48">
        <f>BC43-BC42</f>
        <v>294197.95479999995</v>
      </c>
      <c r="BG48" s="887"/>
      <c r="BL48">
        <f>BL43-BL42</f>
        <v>521323.76399999997</v>
      </c>
      <c r="BM48" s="887">
        <f>BM43/31</f>
        <v>1451.6129032258063</v>
      </c>
      <c r="BO48" s="887"/>
      <c r="BP48" s="887"/>
      <c r="BR48" s="1080">
        <f>BR43-BR42</f>
        <v>0</v>
      </c>
      <c r="BS48" s="95"/>
      <c r="BU48">
        <f>BU43-BU42</f>
        <v>103154.69909999997</v>
      </c>
      <c r="BV48" s="1">
        <f>BV43-BV41</f>
        <v>4656</v>
      </c>
      <c r="BX48">
        <f>BX43-BX42</f>
        <v>0</v>
      </c>
      <c r="CD48" s="1080">
        <f>CD43-CD42</f>
        <v>0</v>
      </c>
      <c r="IL48" s="1">
        <f>IL39-IL46</f>
        <v>-3280.2499999999986</v>
      </c>
      <c r="JH48" s="887"/>
      <c r="JI48" s="887"/>
      <c r="JJ48" s="887"/>
      <c r="JK48">
        <f>JK41+JK47</f>
        <v>382232.89999999997</v>
      </c>
      <c r="JL48" s="887"/>
      <c r="JN48" s="2715">
        <f>JL48/10</f>
        <v>0</v>
      </c>
      <c r="JO48" s="2715"/>
      <c r="LF48" s="328"/>
      <c r="LG48" s="328"/>
      <c r="LH48" s="331"/>
      <c r="LK48" s="328"/>
      <c r="LL48" s="314"/>
      <c r="LP48" s="314">
        <v>7444.732</v>
      </c>
      <c r="LR48" s="314"/>
      <c r="MK48">
        <v>44765.296399999999</v>
      </c>
      <c r="RW48" s="1"/>
    </row>
    <row r="49" spans="2:491" ht="25.2" customHeight="1">
      <c r="D49" s="887"/>
      <c r="O49" s="1">
        <f>O43-O42</f>
        <v>420085.77719999989</v>
      </c>
      <c r="P49" s="887">
        <f>P43-P41</f>
        <v>11069.039999999979</v>
      </c>
      <c r="S49" s="887">
        <f>S43-S42</f>
        <v>521323.76399999997</v>
      </c>
      <c r="T49" s="887">
        <f>T43-T41</f>
        <v>13674.399999999994</v>
      </c>
      <c r="X49" s="887">
        <f>X43-X42</f>
        <v>3567.8573796256387</v>
      </c>
      <c r="Z49" s="1"/>
      <c r="AA49" s="887">
        <f>P41+T41+AB41</f>
        <v>160241.98000000004</v>
      </c>
      <c r="AB49" s="887"/>
      <c r="AD49" s="1"/>
      <c r="AE49" s="1"/>
      <c r="BG49" s="887"/>
      <c r="BV49" s="887">
        <f>BV43/31</f>
        <v>1935.483870967742</v>
      </c>
      <c r="BY49" s="887"/>
      <c r="DS49" s="1"/>
      <c r="EL49" s="1"/>
      <c r="GX49" s="887">
        <f>GV38-GM38</f>
        <v>0</v>
      </c>
      <c r="JH49" s="887"/>
      <c r="JK49" s="887"/>
      <c r="JP49">
        <f>11000*10</f>
        <v>110000</v>
      </c>
      <c r="LF49" s="306"/>
      <c r="LG49" s="887">
        <f>LG41+LG47</f>
        <v>48930.994999999995</v>
      </c>
      <c r="LH49" s="887">
        <f>LG41-LX10</f>
        <v>44779.666999999994</v>
      </c>
      <c r="LI49" s="327"/>
      <c r="LL49" s="314"/>
      <c r="LP49" s="314">
        <v>7339.2969999999996</v>
      </c>
      <c r="MK49">
        <f>MK46+MK47-MK48</f>
        <v>225005.73566750006</v>
      </c>
      <c r="OA49" s="1"/>
      <c r="RW49" s="1"/>
    </row>
    <row r="50" spans="2:491">
      <c r="M50" s="92"/>
      <c r="P50" s="887">
        <f>P49/3</f>
        <v>3689.679999999993</v>
      </c>
      <c r="T50" s="887">
        <f>T49/12</f>
        <v>1139.5333333333328</v>
      </c>
      <c r="U50" s="887"/>
      <c r="X50" s="887">
        <f>X49/12</f>
        <v>297.32144830213656</v>
      </c>
      <c r="AB50" s="887"/>
      <c r="AD50" s="887"/>
      <c r="AX50" s="887"/>
      <c r="BD50" s="887"/>
      <c r="BM50" s="887"/>
      <c r="BP50" s="887"/>
      <c r="BV50" s="887"/>
      <c r="GM50" s="1079"/>
      <c r="GR50" s="887">
        <f>GR43/31</f>
        <v>0</v>
      </c>
      <c r="JH50" s="887"/>
      <c r="JK50" s="95"/>
      <c r="JL50" s="887"/>
      <c r="JN50" s="95"/>
      <c r="JP50" s="887">
        <f>JK41+JP49</f>
        <v>459232.89999999997</v>
      </c>
      <c r="LG50" s="887"/>
      <c r="LH50" s="95"/>
      <c r="LK50" s="314"/>
      <c r="LL50" s="314"/>
      <c r="LX50" s="1078"/>
      <c r="RW50" s="1"/>
    </row>
    <row r="51" spans="2:491" ht="22.95" hidden="1" customHeight="1">
      <c r="M51" s="39"/>
      <c r="O51" s="1"/>
      <c r="AB51" s="887"/>
      <c r="JK51" s="485">
        <v>137362.99999999991</v>
      </c>
      <c r="LJ51" s="95"/>
      <c r="RW51" s="1"/>
    </row>
    <row r="52" spans="2:491" s="145" customFormat="1" hidden="1">
      <c r="M52" s="982"/>
      <c r="O52" s="1077">
        <v>86458.948064517128</v>
      </c>
      <c r="P52" s="1077">
        <v>5000</v>
      </c>
      <c r="S52" s="1077">
        <v>28064.516129032258</v>
      </c>
      <c r="T52" s="1077">
        <v>1612.9032258064517</v>
      </c>
      <c r="W52" s="1077">
        <v>29354.83870967742</v>
      </c>
      <c r="X52" s="1077">
        <v>2903.2258064516127</v>
      </c>
      <c r="AB52" s="489">
        <f>P43-P41</f>
        <v>11069.039999999979</v>
      </c>
      <c r="AW52" s="145">
        <f>114433+880303+87096</f>
        <v>1081832</v>
      </c>
      <c r="AX52" s="145">
        <f>14516+24194+16935</f>
        <v>55645</v>
      </c>
      <c r="BC52" s="145">
        <f>10391+32968</f>
        <v>43359</v>
      </c>
      <c r="JL52" s="432"/>
      <c r="RW52" s="459"/>
    </row>
    <row r="53" spans="2:491" s="145" customFormat="1" hidden="1">
      <c r="B53" s="145">
        <v>1</v>
      </c>
      <c r="C53" s="459">
        <f t="shared" ref="C53:C83" si="225">SUM(O53,W53,S53)</f>
        <v>143878.30290322681</v>
      </c>
      <c r="D53" s="459">
        <f t="shared" ref="D53:D83" si="226">SUM(P53,X53,T53)</f>
        <v>9516.1290322580644</v>
      </c>
      <c r="M53" s="982"/>
      <c r="N53" s="145">
        <v>1</v>
      </c>
      <c r="O53" s="459">
        <f>O52</f>
        <v>86458.948064517128</v>
      </c>
      <c r="P53" s="986">
        <f>P52</f>
        <v>5000</v>
      </c>
      <c r="R53" s="145">
        <v>1</v>
      </c>
      <c r="S53" s="459">
        <f>S52</f>
        <v>28064.516129032258</v>
      </c>
      <c r="T53" s="145">
        <f>T52</f>
        <v>1612.9032258064517</v>
      </c>
      <c r="V53" s="145">
        <v>1</v>
      </c>
      <c r="W53" s="459">
        <f>W52</f>
        <v>29354.83870967742</v>
      </c>
      <c r="X53" s="145">
        <f>X52</f>
        <v>2903.2258064516127</v>
      </c>
      <c r="Z53" s="145">
        <v>1</v>
      </c>
      <c r="AB53" s="145">
        <v>30</v>
      </c>
      <c r="BF53" s="145">
        <v>121506</v>
      </c>
      <c r="RW53" s="459"/>
    </row>
    <row r="54" spans="2:491" s="145" customFormat="1" hidden="1">
      <c r="B54" s="145">
        <v>2</v>
      </c>
      <c r="C54" s="459">
        <f t="shared" si="225"/>
        <v>287756.60580645362</v>
      </c>
      <c r="D54" s="459">
        <f t="shared" si="226"/>
        <v>19032.258064516129</v>
      </c>
      <c r="M54" s="982"/>
      <c r="N54" s="145">
        <v>2</v>
      </c>
      <c r="O54" s="459">
        <f t="shared" ref="O54:O83" si="227">O53+($O$52)</f>
        <v>172917.89612903426</v>
      </c>
      <c r="P54" s="986">
        <f t="shared" ref="P54:P83" si="228">P53+($P$52)</f>
        <v>10000</v>
      </c>
      <c r="R54" s="145">
        <v>2</v>
      </c>
      <c r="S54" s="459">
        <f t="shared" ref="S54:S83" si="229">S53+($S$52)</f>
        <v>56129.032258064515</v>
      </c>
      <c r="T54" s="459">
        <f t="shared" ref="T54:T83" si="230">T53+$T$52</f>
        <v>3225.8064516129034</v>
      </c>
      <c r="V54" s="145">
        <v>2</v>
      </c>
      <c r="W54" s="459">
        <f t="shared" ref="W54:W83" si="231">W53+($W$52)</f>
        <v>58709.677419354841</v>
      </c>
      <c r="X54" s="459">
        <f t="shared" ref="X54:X83" si="232">X53+$X$52</f>
        <v>5806.4516129032254</v>
      </c>
      <c r="Z54" s="145">
        <v>2</v>
      </c>
      <c r="AB54" s="489">
        <f>AB52/AB53</f>
        <v>368.96799999999928</v>
      </c>
      <c r="BF54" s="145">
        <v>896260</v>
      </c>
      <c r="JH54" s="145">
        <v>95000</v>
      </c>
      <c r="JI54" s="145">
        <v>165000</v>
      </c>
      <c r="JJ54" s="145">
        <f>SUM(JH54:JI54)</f>
        <v>260000</v>
      </c>
      <c r="RW54" s="459"/>
    </row>
    <row r="55" spans="2:491" s="145" customFormat="1" hidden="1">
      <c r="B55" s="145">
        <v>3</v>
      </c>
      <c r="C55" s="459">
        <f t="shared" si="225"/>
        <v>431634.90870968043</v>
      </c>
      <c r="D55" s="459">
        <f t="shared" si="226"/>
        <v>28548.387096774193</v>
      </c>
      <c r="M55" s="982"/>
      <c r="N55" s="145">
        <v>3</v>
      </c>
      <c r="O55" s="459">
        <f t="shared" si="227"/>
        <v>259376.8441935514</v>
      </c>
      <c r="P55" s="986">
        <f t="shared" si="228"/>
        <v>15000</v>
      </c>
      <c r="R55" s="145">
        <v>3</v>
      </c>
      <c r="S55" s="459">
        <f t="shared" si="229"/>
        <v>84193.548387096773</v>
      </c>
      <c r="T55" s="459">
        <f t="shared" si="230"/>
        <v>4838.7096774193551</v>
      </c>
      <c r="V55" s="145">
        <v>3</v>
      </c>
      <c r="W55" s="459">
        <f t="shared" si="231"/>
        <v>88064.516129032258</v>
      </c>
      <c r="X55" s="459">
        <f t="shared" si="232"/>
        <v>8709.6774193548372</v>
      </c>
      <c r="Z55" s="145">
        <v>3</v>
      </c>
      <c r="BF55" s="145">
        <v>24906</v>
      </c>
      <c r="RW55" s="459"/>
    </row>
    <row r="56" spans="2:491" s="145" customFormat="1" hidden="1">
      <c r="B56" s="145">
        <v>4</v>
      </c>
      <c r="C56" s="459">
        <f t="shared" si="225"/>
        <v>575513.21161290724</v>
      </c>
      <c r="D56" s="459">
        <f t="shared" si="226"/>
        <v>38064.516129032258</v>
      </c>
      <c r="M56" s="982"/>
      <c r="N56" s="145">
        <v>4</v>
      </c>
      <c r="O56" s="459">
        <f t="shared" si="227"/>
        <v>345835.79225806851</v>
      </c>
      <c r="P56" s="986">
        <f t="shared" si="228"/>
        <v>20000</v>
      </c>
      <c r="R56" s="145">
        <v>4</v>
      </c>
      <c r="S56" s="459">
        <f t="shared" si="229"/>
        <v>112258.06451612903</v>
      </c>
      <c r="T56" s="459">
        <f t="shared" si="230"/>
        <v>6451.6129032258068</v>
      </c>
      <c r="V56" s="145">
        <v>4</v>
      </c>
      <c r="W56" s="459">
        <f t="shared" si="231"/>
        <v>117419.35483870968</v>
      </c>
      <c r="X56" s="459">
        <f t="shared" si="232"/>
        <v>11612.903225806451</v>
      </c>
      <c r="Z56" s="145">
        <v>4</v>
      </c>
      <c r="RW56" s="459"/>
    </row>
    <row r="57" spans="2:491" s="145" customFormat="1" hidden="1">
      <c r="B57" s="145">
        <v>5</v>
      </c>
      <c r="C57" s="459">
        <f t="shared" si="225"/>
        <v>719391.51451613405</v>
      </c>
      <c r="D57" s="459">
        <f t="shared" si="226"/>
        <v>47580.645161290318</v>
      </c>
      <c r="M57" s="982"/>
      <c r="N57" s="145">
        <v>5</v>
      </c>
      <c r="O57" s="459">
        <f t="shared" si="227"/>
        <v>432294.74032258563</v>
      </c>
      <c r="P57" s="986">
        <f t="shared" si="228"/>
        <v>25000</v>
      </c>
      <c r="R57" s="145">
        <v>5</v>
      </c>
      <c r="S57" s="459">
        <f t="shared" si="229"/>
        <v>140322.58064516127</v>
      </c>
      <c r="T57" s="459">
        <f t="shared" si="230"/>
        <v>8064.5161290322585</v>
      </c>
      <c r="V57" s="145">
        <v>5</v>
      </c>
      <c r="W57" s="459">
        <f t="shared" si="231"/>
        <v>146774.19354838709</v>
      </c>
      <c r="X57" s="459">
        <f t="shared" si="232"/>
        <v>14516.129032258064</v>
      </c>
      <c r="Z57" s="145">
        <v>5</v>
      </c>
      <c r="BF57" s="1005">
        <f>SUM(BF53:BF56)</f>
        <v>1042672</v>
      </c>
      <c r="RW57" s="459"/>
    </row>
    <row r="58" spans="2:491" s="145" customFormat="1" hidden="1">
      <c r="B58" s="145">
        <v>6</v>
      </c>
      <c r="C58" s="459">
        <f t="shared" si="225"/>
        <v>863269.81741936086</v>
      </c>
      <c r="D58" s="459">
        <f t="shared" si="226"/>
        <v>57096.774193548394</v>
      </c>
      <c r="M58" s="982"/>
      <c r="N58" s="145">
        <v>6</v>
      </c>
      <c r="O58" s="459">
        <f t="shared" si="227"/>
        <v>518753.68838710274</v>
      </c>
      <c r="P58" s="986">
        <f t="shared" si="228"/>
        <v>30000</v>
      </c>
      <c r="R58" s="145">
        <v>6</v>
      </c>
      <c r="S58" s="459">
        <f t="shared" si="229"/>
        <v>168387.09677419352</v>
      </c>
      <c r="T58" s="459">
        <f t="shared" si="230"/>
        <v>9677.4193548387102</v>
      </c>
      <c r="V58" s="145">
        <v>6</v>
      </c>
      <c r="W58" s="459">
        <f t="shared" si="231"/>
        <v>176129.03225806452</v>
      </c>
      <c r="X58" s="459">
        <f t="shared" si="232"/>
        <v>17419.354838709678</v>
      </c>
      <c r="Z58" s="145">
        <v>6</v>
      </c>
      <c r="BF58" s="145">
        <f>1038834-1017766</f>
        <v>21068</v>
      </c>
      <c r="RW58" s="459"/>
    </row>
    <row r="59" spans="2:491" s="145" customFormat="1" hidden="1">
      <c r="B59" s="145">
        <v>7</v>
      </c>
      <c r="C59" s="459">
        <f t="shared" si="225"/>
        <v>1007148.1203225877</v>
      </c>
      <c r="D59" s="459">
        <f t="shared" si="226"/>
        <v>66612.903225806454</v>
      </c>
      <c r="M59" s="982"/>
      <c r="N59" s="145">
        <v>7</v>
      </c>
      <c r="O59" s="459">
        <f t="shared" si="227"/>
        <v>605212.63645161991</v>
      </c>
      <c r="P59" s="986">
        <f t="shared" si="228"/>
        <v>35000</v>
      </c>
      <c r="R59" s="145">
        <v>7</v>
      </c>
      <c r="S59" s="459">
        <f t="shared" si="229"/>
        <v>196451.61290322576</v>
      </c>
      <c r="T59" s="459">
        <f t="shared" si="230"/>
        <v>11290.322580645163</v>
      </c>
      <c r="V59" s="145">
        <v>7</v>
      </c>
      <c r="W59" s="459">
        <f t="shared" si="231"/>
        <v>205483.87096774194</v>
      </c>
      <c r="X59" s="459">
        <f t="shared" si="232"/>
        <v>20322.580645161292</v>
      </c>
      <c r="Z59" s="145">
        <v>7</v>
      </c>
      <c r="BF59" s="145">
        <f>BF57-1038834</f>
        <v>3838</v>
      </c>
      <c r="RW59" s="459"/>
    </row>
    <row r="60" spans="2:491" s="145" customFormat="1" hidden="1">
      <c r="B60" s="145">
        <v>8</v>
      </c>
      <c r="C60" s="459">
        <f t="shared" si="225"/>
        <v>1151026.4232258145</v>
      </c>
      <c r="D60" s="459">
        <f t="shared" si="226"/>
        <v>76129.032258064515</v>
      </c>
      <c r="M60" s="982"/>
      <c r="N60" s="145">
        <v>8</v>
      </c>
      <c r="O60" s="459">
        <f t="shared" si="227"/>
        <v>691671.58451613702</v>
      </c>
      <c r="P60" s="986">
        <f t="shared" si="228"/>
        <v>40000</v>
      </c>
      <c r="R60" s="145">
        <v>8</v>
      </c>
      <c r="S60" s="459">
        <f t="shared" si="229"/>
        <v>224516.129032258</v>
      </c>
      <c r="T60" s="459">
        <f t="shared" si="230"/>
        <v>12903.225806451614</v>
      </c>
      <c r="V60" s="145">
        <v>8</v>
      </c>
      <c r="W60" s="459">
        <f t="shared" si="231"/>
        <v>234838.70967741936</v>
      </c>
      <c r="X60" s="459">
        <f t="shared" si="232"/>
        <v>23225.806451612905</v>
      </c>
      <c r="Z60" s="145">
        <v>8</v>
      </c>
      <c r="AP60" s="145">
        <v>37911.700000000004</v>
      </c>
      <c r="RW60" s="459"/>
    </row>
    <row r="61" spans="2:491" s="145" customFormat="1" hidden="1">
      <c r="B61" s="145">
        <v>9</v>
      </c>
      <c r="C61" s="459">
        <f t="shared" si="225"/>
        <v>1294904.7261290411</v>
      </c>
      <c r="D61" s="459">
        <f t="shared" si="226"/>
        <v>85645.161290322576</v>
      </c>
      <c r="M61" s="982"/>
      <c r="N61" s="145">
        <v>9</v>
      </c>
      <c r="O61" s="459">
        <f t="shared" si="227"/>
        <v>778130.53258065414</v>
      </c>
      <c r="P61" s="986">
        <f t="shared" si="228"/>
        <v>45000</v>
      </c>
      <c r="R61" s="145">
        <v>9</v>
      </c>
      <c r="S61" s="459">
        <f t="shared" si="229"/>
        <v>252580.64516129025</v>
      </c>
      <c r="T61" s="459">
        <f t="shared" si="230"/>
        <v>14516.129032258064</v>
      </c>
      <c r="V61" s="145">
        <v>9</v>
      </c>
      <c r="W61" s="459">
        <f t="shared" si="231"/>
        <v>264193.54838709679</v>
      </c>
      <c r="X61" s="459">
        <f t="shared" si="232"/>
        <v>26129.032258064519</v>
      </c>
      <c r="Z61" s="145">
        <v>9</v>
      </c>
      <c r="RW61" s="459"/>
    </row>
    <row r="62" spans="2:491" s="145" customFormat="1" hidden="1">
      <c r="B62" s="145">
        <v>10</v>
      </c>
      <c r="C62" s="459">
        <f t="shared" si="225"/>
        <v>1438783.0290322679</v>
      </c>
      <c r="D62" s="459">
        <f t="shared" si="226"/>
        <v>95161.290322580651</v>
      </c>
      <c r="M62" s="982"/>
      <c r="N62" s="145">
        <v>10</v>
      </c>
      <c r="O62" s="459">
        <f t="shared" si="227"/>
        <v>864589.48064517125</v>
      </c>
      <c r="P62" s="986">
        <f t="shared" si="228"/>
        <v>50000</v>
      </c>
      <c r="R62" s="145">
        <v>10</v>
      </c>
      <c r="S62" s="459">
        <f t="shared" si="229"/>
        <v>280645.16129032249</v>
      </c>
      <c r="T62" s="459">
        <f t="shared" si="230"/>
        <v>16129.032258064515</v>
      </c>
      <c r="V62" s="145">
        <v>10</v>
      </c>
      <c r="W62" s="459">
        <f t="shared" si="231"/>
        <v>293548.38709677418</v>
      </c>
      <c r="X62" s="459">
        <f t="shared" si="232"/>
        <v>29032.258064516132</v>
      </c>
      <c r="Z62" s="145">
        <v>10</v>
      </c>
      <c r="RW62" s="459"/>
    </row>
    <row r="63" spans="2:491" s="145" customFormat="1" hidden="1">
      <c r="B63" s="145">
        <v>11</v>
      </c>
      <c r="C63" s="459">
        <f t="shared" si="225"/>
        <v>1582661.3319354947</v>
      </c>
      <c r="D63" s="459">
        <f t="shared" si="226"/>
        <v>104677.41935483871</v>
      </c>
      <c r="M63" s="982"/>
      <c r="N63" s="145">
        <v>11</v>
      </c>
      <c r="O63" s="459">
        <f t="shared" si="227"/>
        <v>951048.42870968836</v>
      </c>
      <c r="P63" s="986">
        <f t="shared" si="228"/>
        <v>55000</v>
      </c>
      <c r="R63" s="145">
        <v>11</v>
      </c>
      <c r="S63" s="459">
        <f t="shared" si="229"/>
        <v>308709.67741935473</v>
      </c>
      <c r="T63" s="459">
        <f t="shared" si="230"/>
        <v>17741.935483870966</v>
      </c>
      <c r="V63" s="145">
        <v>11</v>
      </c>
      <c r="W63" s="459">
        <f t="shared" si="231"/>
        <v>322903.22580645158</v>
      </c>
      <c r="X63" s="459">
        <f t="shared" si="232"/>
        <v>31935.483870967746</v>
      </c>
      <c r="Z63" s="145">
        <v>11</v>
      </c>
      <c r="RW63" s="459"/>
    </row>
    <row r="64" spans="2:491" s="145" customFormat="1" hidden="1">
      <c r="B64" s="145">
        <v>12</v>
      </c>
      <c r="C64" s="459">
        <f t="shared" si="225"/>
        <v>1726539.6348387212</v>
      </c>
      <c r="D64" s="459">
        <f t="shared" si="226"/>
        <v>114193.54838709679</v>
      </c>
      <c r="M64" s="982"/>
      <c r="N64" s="145">
        <v>12</v>
      </c>
      <c r="O64" s="459">
        <f t="shared" si="227"/>
        <v>1037507.3767742055</v>
      </c>
      <c r="P64" s="986">
        <f t="shared" si="228"/>
        <v>60000</v>
      </c>
      <c r="R64" s="145">
        <v>12</v>
      </c>
      <c r="S64" s="459">
        <f t="shared" si="229"/>
        <v>336774.19354838697</v>
      </c>
      <c r="T64" s="459">
        <f t="shared" si="230"/>
        <v>19354.838709677417</v>
      </c>
      <c r="V64" s="145">
        <v>12</v>
      </c>
      <c r="W64" s="459">
        <f t="shared" si="231"/>
        <v>352258.06451612897</v>
      </c>
      <c r="X64" s="459">
        <f t="shared" si="232"/>
        <v>34838.709677419356</v>
      </c>
      <c r="Z64" s="145">
        <v>12</v>
      </c>
      <c r="RW64" s="459"/>
    </row>
    <row r="65" spans="2:491" s="145" customFormat="1" hidden="1">
      <c r="B65" s="145">
        <v>13</v>
      </c>
      <c r="C65" s="459">
        <f t="shared" si="225"/>
        <v>1870417.9377419481</v>
      </c>
      <c r="D65" s="459">
        <f t="shared" si="226"/>
        <v>123709.67741935483</v>
      </c>
      <c r="M65" s="982"/>
      <c r="N65" s="145">
        <v>13</v>
      </c>
      <c r="O65" s="459">
        <f t="shared" si="227"/>
        <v>1123966.3248387226</v>
      </c>
      <c r="P65" s="986">
        <f t="shared" si="228"/>
        <v>65000</v>
      </c>
      <c r="R65" s="145">
        <v>13</v>
      </c>
      <c r="S65" s="459">
        <f t="shared" si="229"/>
        <v>364838.70967741922</v>
      </c>
      <c r="T65" s="459">
        <f t="shared" si="230"/>
        <v>20967.741935483868</v>
      </c>
      <c r="V65" s="145">
        <v>13</v>
      </c>
      <c r="W65" s="459">
        <f t="shared" si="231"/>
        <v>381612.90322580637</v>
      </c>
      <c r="X65" s="459">
        <f t="shared" si="232"/>
        <v>37741.93548387097</v>
      </c>
      <c r="Z65" s="145">
        <v>13</v>
      </c>
      <c r="RW65" s="459"/>
    </row>
    <row r="66" spans="2:491" s="145" customFormat="1" hidden="1">
      <c r="B66" s="145">
        <v>14</v>
      </c>
      <c r="C66" s="459">
        <f t="shared" si="225"/>
        <v>2014296.2406451749</v>
      </c>
      <c r="D66" s="459">
        <f t="shared" si="226"/>
        <v>133225.80645161291</v>
      </c>
      <c r="M66" s="982"/>
      <c r="N66" s="145">
        <v>14</v>
      </c>
      <c r="O66" s="459">
        <f t="shared" si="227"/>
        <v>1210425.2729032398</v>
      </c>
      <c r="P66" s="986">
        <f t="shared" si="228"/>
        <v>70000</v>
      </c>
      <c r="R66" s="145">
        <v>14</v>
      </c>
      <c r="S66" s="459">
        <f t="shared" si="229"/>
        <v>392903.22580645146</v>
      </c>
      <c r="T66" s="459">
        <f t="shared" si="230"/>
        <v>22580.645161290318</v>
      </c>
      <c r="V66" s="145">
        <v>14</v>
      </c>
      <c r="W66" s="459">
        <f t="shared" si="231"/>
        <v>410967.74193548376</v>
      </c>
      <c r="X66" s="459">
        <f t="shared" si="232"/>
        <v>40645.161290322583</v>
      </c>
      <c r="Z66" s="145">
        <v>14</v>
      </c>
      <c r="RW66" s="459"/>
    </row>
    <row r="67" spans="2:491" s="145" customFormat="1" hidden="1">
      <c r="B67" s="145">
        <v>15</v>
      </c>
      <c r="C67" s="459">
        <f t="shared" si="225"/>
        <v>2158174.5435484019</v>
      </c>
      <c r="D67" s="459">
        <f t="shared" si="226"/>
        <v>142741.93548387097</v>
      </c>
      <c r="M67" s="982"/>
      <c r="N67" s="145">
        <v>15</v>
      </c>
      <c r="O67" s="459">
        <f t="shared" si="227"/>
        <v>1296884.220967757</v>
      </c>
      <c r="P67" s="986">
        <f t="shared" si="228"/>
        <v>75000</v>
      </c>
      <c r="R67" s="145">
        <v>15</v>
      </c>
      <c r="S67" s="459">
        <f t="shared" si="229"/>
        <v>420967.7419354837</v>
      </c>
      <c r="T67" s="459">
        <f t="shared" si="230"/>
        <v>24193.548387096769</v>
      </c>
      <c r="V67" s="145">
        <v>15</v>
      </c>
      <c r="W67" s="459">
        <f t="shared" si="231"/>
        <v>440322.58064516116</v>
      </c>
      <c r="X67" s="459">
        <f t="shared" si="232"/>
        <v>43548.387096774197</v>
      </c>
      <c r="Z67" s="145">
        <v>15</v>
      </c>
      <c r="RW67" s="459"/>
    </row>
    <row r="68" spans="2:491" s="145" customFormat="1" hidden="1">
      <c r="B68" s="145">
        <v>16</v>
      </c>
      <c r="C68" s="459">
        <f t="shared" si="225"/>
        <v>2302052.846451629</v>
      </c>
      <c r="D68" s="459">
        <f t="shared" si="226"/>
        <v>152258.06451612903</v>
      </c>
      <c r="M68" s="982"/>
      <c r="N68" s="145">
        <v>16</v>
      </c>
      <c r="O68" s="459">
        <f t="shared" si="227"/>
        <v>1383343.1690322743</v>
      </c>
      <c r="P68" s="986">
        <f t="shared" si="228"/>
        <v>80000</v>
      </c>
      <c r="R68" s="145">
        <v>16</v>
      </c>
      <c r="S68" s="459">
        <f t="shared" si="229"/>
        <v>449032.25806451595</v>
      </c>
      <c r="T68" s="459">
        <f t="shared" si="230"/>
        <v>25806.45161290322</v>
      </c>
      <c r="V68" s="145">
        <v>16</v>
      </c>
      <c r="W68" s="459">
        <f t="shared" si="231"/>
        <v>469677.41935483855</v>
      </c>
      <c r="X68" s="459">
        <f t="shared" si="232"/>
        <v>46451.61290322581</v>
      </c>
      <c r="Z68" s="145">
        <v>16</v>
      </c>
      <c r="RW68" s="459"/>
    </row>
    <row r="69" spans="2:491" s="145" customFormat="1" hidden="1">
      <c r="B69" s="145">
        <v>17</v>
      </c>
      <c r="C69" s="459">
        <f t="shared" si="225"/>
        <v>2445931.1493548555</v>
      </c>
      <c r="D69" s="459">
        <f t="shared" si="226"/>
        <v>161774.19354838709</v>
      </c>
      <c r="N69" s="145">
        <v>17</v>
      </c>
      <c r="O69" s="459">
        <f t="shared" si="227"/>
        <v>1469802.1170967915</v>
      </c>
      <c r="P69" s="986">
        <f t="shared" si="228"/>
        <v>85000</v>
      </c>
      <c r="R69" s="145">
        <v>17</v>
      </c>
      <c r="S69" s="459">
        <f t="shared" si="229"/>
        <v>477096.77419354819</v>
      </c>
      <c r="T69" s="459">
        <f t="shared" si="230"/>
        <v>27419.354838709671</v>
      </c>
      <c r="V69" s="145">
        <v>17</v>
      </c>
      <c r="W69" s="459">
        <f t="shared" si="231"/>
        <v>499032.25806451595</v>
      </c>
      <c r="X69" s="459">
        <f t="shared" si="232"/>
        <v>49354.838709677424</v>
      </c>
      <c r="Z69" s="145">
        <v>17</v>
      </c>
      <c r="RW69" s="459"/>
    </row>
    <row r="70" spans="2:491" s="145" customFormat="1" hidden="1">
      <c r="B70" s="145">
        <v>18</v>
      </c>
      <c r="C70" s="459">
        <f t="shared" si="225"/>
        <v>2589809.4522580826</v>
      </c>
      <c r="D70" s="459">
        <f t="shared" si="226"/>
        <v>171290.32258064515</v>
      </c>
      <c r="N70" s="145">
        <v>18</v>
      </c>
      <c r="O70" s="459">
        <f t="shared" si="227"/>
        <v>1556261.0651613087</v>
      </c>
      <c r="P70" s="986">
        <f t="shared" si="228"/>
        <v>90000</v>
      </c>
      <c r="R70" s="145">
        <v>18</v>
      </c>
      <c r="S70" s="459">
        <f t="shared" si="229"/>
        <v>505161.29032258043</v>
      </c>
      <c r="T70" s="459">
        <f t="shared" si="230"/>
        <v>29032.258064516122</v>
      </c>
      <c r="V70" s="145">
        <v>18</v>
      </c>
      <c r="W70" s="459">
        <f t="shared" si="231"/>
        <v>528387.09677419334</v>
      </c>
      <c r="X70" s="459">
        <f t="shared" si="232"/>
        <v>52258.064516129038</v>
      </c>
      <c r="Z70" s="145">
        <v>18</v>
      </c>
      <c r="RW70" s="459"/>
    </row>
    <row r="71" spans="2:491" s="145" customFormat="1" hidden="1">
      <c r="B71" s="145">
        <v>19</v>
      </c>
      <c r="C71" s="459">
        <f t="shared" si="225"/>
        <v>2733687.7551613091</v>
      </c>
      <c r="D71" s="459">
        <f t="shared" si="226"/>
        <v>180806.45161290324</v>
      </c>
      <c r="N71" s="145">
        <v>19</v>
      </c>
      <c r="O71" s="459">
        <f t="shared" si="227"/>
        <v>1642720.013225826</v>
      </c>
      <c r="P71" s="986">
        <f t="shared" si="228"/>
        <v>95000</v>
      </c>
      <c r="R71" s="145">
        <v>19</v>
      </c>
      <c r="S71" s="459">
        <f t="shared" si="229"/>
        <v>533225.80645161273</v>
      </c>
      <c r="T71" s="459">
        <f t="shared" si="230"/>
        <v>30645.161290322572</v>
      </c>
      <c r="V71" s="145">
        <v>19</v>
      </c>
      <c r="W71" s="459">
        <f t="shared" si="231"/>
        <v>557741.93548387079</v>
      </c>
      <c r="X71" s="459">
        <f t="shared" si="232"/>
        <v>55161.290322580651</v>
      </c>
      <c r="Z71" s="145">
        <v>19</v>
      </c>
      <c r="RW71" s="459"/>
    </row>
    <row r="72" spans="2:491" s="145" customFormat="1" hidden="1">
      <c r="B72" s="145">
        <v>20</v>
      </c>
      <c r="C72" s="459">
        <f t="shared" si="225"/>
        <v>2877566.0580645362</v>
      </c>
      <c r="D72" s="459">
        <f t="shared" si="226"/>
        <v>190322.5806451613</v>
      </c>
      <c r="N72" s="145">
        <v>20</v>
      </c>
      <c r="O72" s="459">
        <f t="shared" si="227"/>
        <v>1729178.9612903432</v>
      </c>
      <c r="P72" s="986">
        <f t="shared" si="228"/>
        <v>100000</v>
      </c>
      <c r="R72" s="145">
        <v>20</v>
      </c>
      <c r="S72" s="459">
        <f t="shared" si="229"/>
        <v>561290.32258064498</v>
      </c>
      <c r="T72" s="459">
        <f t="shared" si="230"/>
        <v>32258.064516129023</v>
      </c>
      <c r="V72" s="145">
        <v>20</v>
      </c>
      <c r="W72" s="459">
        <f t="shared" si="231"/>
        <v>587096.77419354825</v>
      </c>
      <c r="X72" s="459">
        <f t="shared" si="232"/>
        <v>58064.516129032265</v>
      </c>
      <c r="Z72" s="145">
        <v>20</v>
      </c>
      <c r="RW72" s="459"/>
    </row>
    <row r="73" spans="2:491" s="145" customFormat="1" hidden="1">
      <c r="B73" s="145">
        <v>21</v>
      </c>
      <c r="C73" s="459">
        <f t="shared" si="225"/>
        <v>3021444.3609677632</v>
      </c>
      <c r="D73" s="459">
        <f t="shared" si="226"/>
        <v>199838.70967741936</v>
      </c>
      <c r="N73" s="145">
        <v>21</v>
      </c>
      <c r="O73" s="459">
        <f t="shared" si="227"/>
        <v>1815637.9093548604</v>
      </c>
      <c r="P73" s="986">
        <f t="shared" si="228"/>
        <v>105000</v>
      </c>
      <c r="R73" s="145">
        <v>21</v>
      </c>
      <c r="S73" s="459">
        <f t="shared" si="229"/>
        <v>589354.83870967722</v>
      </c>
      <c r="T73" s="459">
        <f t="shared" si="230"/>
        <v>33870.967741935478</v>
      </c>
      <c r="V73" s="145">
        <v>21</v>
      </c>
      <c r="W73" s="459">
        <f t="shared" si="231"/>
        <v>616451.6129032257</v>
      </c>
      <c r="X73" s="459">
        <f t="shared" si="232"/>
        <v>60967.741935483878</v>
      </c>
      <c r="Z73" s="145">
        <v>21</v>
      </c>
      <c r="RW73" s="459"/>
    </row>
    <row r="74" spans="2:491" s="145" customFormat="1" hidden="1">
      <c r="B74" s="145">
        <v>22</v>
      </c>
      <c r="C74" s="459">
        <f t="shared" si="225"/>
        <v>3165322.6638709903</v>
      </c>
      <c r="D74" s="459">
        <f t="shared" si="226"/>
        <v>209354.83870967742</v>
      </c>
      <c r="N74" s="145">
        <v>22</v>
      </c>
      <c r="O74" s="459">
        <f t="shared" si="227"/>
        <v>1902096.8574193777</v>
      </c>
      <c r="P74" s="986">
        <f t="shared" si="228"/>
        <v>110000</v>
      </c>
      <c r="R74" s="145">
        <v>22</v>
      </c>
      <c r="S74" s="459">
        <f t="shared" si="229"/>
        <v>617419.35483870946</v>
      </c>
      <c r="T74" s="459">
        <f t="shared" si="230"/>
        <v>35483.870967741932</v>
      </c>
      <c r="V74" s="145">
        <v>22</v>
      </c>
      <c r="W74" s="459">
        <f t="shared" si="231"/>
        <v>645806.45161290315</v>
      </c>
      <c r="X74" s="459">
        <f t="shared" si="232"/>
        <v>63870.967741935492</v>
      </c>
      <c r="Z74" s="145">
        <v>22</v>
      </c>
      <c r="RW74" s="459"/>
    </row>
    <row r="75" spans="2:491" s="145" customFormat="1" hidden="1">
      <c r="B75" s="145">
        <v>23</v>
      </c>
      <c r="C75" s="459">
        <f t="shared" si="225"/>
        <v>3309200.9667742173</v>
      </c>
      <c r="D75" s="459">
        <f t="shared" si="226"/>
        <v>218870.96774193548</v>
      </c>
      <c r="N75" s="145">
        <v>23</v>
      </c>
      <c r="O75" s="459">
        <f t="shared" si="227"/>
        <v>1988555.8054838949</v>
      </c>
      <c r="P75" s="986">
        <f t="shared" si="228"/>
        <v>115000</v>
      </c>
      <c r="R75" s="145">
        <v>23</v>
      </c>
      <c r="S75" s="459">
        <f t="shared" si="229"/>
        <v>645483.87096774171</v>
      </c>
      <c r="T75" s="459">
        <f t="shared" si="230"/>
        <v>37096.774193548386</v>
      </c>
      <c r="V75" s="145">
        <v>23</v>
      </c>
      <c r="W75" s="459">
        <f t="shared" si="231"/>
        <v>675161.29032258061</v>
      </c>
      <c r="X75" s="459">
        <f t="shared" si="232"/>
        <v>66774.193548387106</v>
      </c>
      <c r="Y75" s="459"/>
      <c r="Z75" s="145">
        <v>23</v>
      </c>
      <c r="RW75" s="459"/>
    </row>
    <row r="76" spans="2:491" s="145" customFormat="1" hidden="1">
      <c r="B76" s="145">
        <v>24</v>
      </c>
      <c r="C76" s="459">
        <f t="shared" si="225"/>
        <v>3453079.2696774439</v>
      </c>
      <c r="D76" s="459">
        <f t="shared" si="226"/>
        <v>228387.09677419357</v>
      </c>
      <c r="N76" s="145">
        <v>24</v>
      </c>
      <c r="O76" s="459">
        <f t="shared" si="227"/>
        <v>2075014.7535484121</v>
      </c>
      <c r="P76" s="986">
        <f t="shared" si="228"/>
        <v>120000</v>
      </c>
      <c r="R76" s="145">
        <v>24</v>
      </c>
      <c r="S76" s="459">
        <f t="shared" si="229"/>
        <v>673548.38709677395</v>
      </c>
      <c r="T76" s="459">
        <f t="shared" si="230"/>
        <v>38709.677419354841</v>
      </c>
      <c r="V76" s="145">
        <v>24</v>
      </c>
      <c r="W76" s="459">
        <f t="shared" si="231"/>
        <v>704516.12903225806</v>
      </c>
      <c r="X76" s="459">
        <f t="shared" si="232"/>
        <v>69677.419354838712</v>
      </c>
      <c r="Z76" s="145">
        <v>24</v>
      </c>
      <c r="RW76" s="459"/>
    </row>
    <row r="77" spans="2:491" s="145" customFormat="1" hidden="1">
      <c r="B77" s="145">
        <v>25</v>
      </c>
      <c r="C77" s="459">
        <f t="shared" si="225"/>
        <v>3596957.5725806709</v>
      </c>
      <c r="D77" s="459">
        <f t="shared" si="226"/>
        <v>237903.22580645161</v>
      </c>
      <c r="N77" s="145">
        <v>25</v>
      </c>
      <c r="O77" s="459">
        <f t="shared" si="227"/>
        <v>2161473.7016129293</v>
      </c>
      <c r="P77" s="986">
        <f t="shared" si="228"/>
        <v>125000</v>
      </c>
      <c r="R77" s="145">
        <v>25</v>
      </c>
      <c r="S77" s="459">
        <f t="shared" si="229"/>
        <v>701612.90322580619</v>
      </c>
      <c r="T77" s="459">
        <f t="shared" si="230"/>
        <v>40322.580645161295</v>
      </c>
      <c r="V77" s="145">
        <v>25</v>
      </c>
      <c r="W77" s="459">
        <f t="shared" si="231"/>
        <v>733870.96774193551</v>
      </c>
      <c r="X77" s="459">
        <f t="shared" si="232"/>
        <v>72580.645161290318</v>
      </c>
      <c r="Z77" s="145">
        <v>25</v>
      </c>
      <c r="RW77" s="459"/>
    </row>
    <row r="78" spans="2:491" s="145" customFormat="1" hidden="1">
      <c r="B78" s="145">
        <v>26</v>
      </c>
      <c r="C78" s="459">
        <f t="shared" si="225"/>
        <v>3740835.875483898</v>
      </c>
      <c r="D78" s="459">
        <f t="shared" si="226"/>
        <v>247419.3548387097</v>
      </c>
      <c r="N78" s="145">
        <v>26</v>
      </c>
      <c r="O78" s="459">
        <f t="shared" si="227"/>
        <v>2247932.6496774466</v>
      </c>
      <c r="P78" s="986">
        <f t="shared" si="228"/>
        <v>130000</v>
      </c>
      <c r="R78" s="145">
        <v>26</v>
      </c>
      <c r="S78" s="459">
        <f t="shared" si="229"/>
        <v>729677.41935483844</v>
      </c>
      <c r="T78" s="459">
        <f t="shared" si="230"/>
        <v>41935.48387096775</v>
      </c>
      <c r="V78" s="145">
        <v>26</v>
      </c>
      <c r="W78" s="459">
        <f t="shared" si="231"/>
        <v>763225.80645161297</v>
      </c>
      <c r="X78" s="459">
        <f t="shared" si="232"/>
        <v>75483.870967741925</v>
      </c>
      <c r="Z78" s="145">
        <v>26</v>
      </c>
      <c r="RW78" s="459"/>
    </row>
    <row r="79" spans="2:491" s="145" customFormat="1" hidden="1">
      <c r="B79" s="145">
        <v>27</v>
      </c>
      <c r="C79" s="459">
        <f t="shared" si="225"/>
        <v>3884714.1783871246</v>
      </c>
      <c r="D79" s="459">
        <f t="shared" si="226"/>
        <v>256935.48387096773</v>
      </c>
      <c r="N79" s="145">
        <v>27</v>
      </c>
      <c r="O79" s="459">
        <f t="shared" si="227"/>
        <v>2334391.5977419638</v>
      </c>
      <c r="P79" s="986">
        <f t="shared" si="228"/>
        <v>135000</v>
      </c>
      <c r="R79" s="145">
        <v>27</v>
      </c>
      <c r="S79" s="459">
        <f t="shared" si="229"/>
        <v>757741.93548387068</v>
      </c>
      <c r="T79" s="459">
        <f t="shared" si="230"/>
        <v>43548.387096774204</v>
      </c>
      <c r="V79" s="145">
        <v>27</v>
      </c>
      <c r="W79" s="459">
        <f t="shared" si="231"/>
        <v>792580.64516129042</v>
      </c>
      <c r="X79" s="459">
        <f t="shared" si="232"/>
        <v>78387.096774193531</v>
      </c>
      <c r="Z79" s="145">
        <v>27</v>
      </c>
      <c r="RW79" s="459"/>
    </row>
    <row r="80" spans="2:491" s="145" customFormat="1" hidden="1">
      <c r="B80" s="145">
        <v>28</v>
      </c>
      <c r="C80" s="459">
        <f t="shared" si="225"/>
        <v>4028592.4812903516</v>
      </c>
      <c r="D80" s="459">
        <f t="shared" si="226"/>
        <v>266451.61290322582</v>
      </c>
      <c r="N80" s="145">
        <v>28</v>
      </c>
      <c r="O80" s="459">
        <f t="shared" si="227"/>
        <v>2420850.545806481</v>
      </c>
      <c r="P80" s="986">
        <f t="shared" si="228"/>
        <v>140000</v>
      </c>
      <c r="R80" s="145">
        <v>28</v>
      </c>
      <c r="S80" s="459">
        <f t="shared" si="229"/>
        <v>785806.45161290292</v>
      </c>
      <c r="T80" s="459">
        <f t="shared" si="230"/>
        <v>45161.290322580659</v>
      </c>
      <c r="V80" s="145">
        <v>28</v>
      </c>
      <c r="W80" s="459">
        <f t="shared" si="231"/>
        <v>821935.48387096787</v>
      </c>
      <c r="X80" s="459">
        <f t="shared" si="232"/>
        <v>81290.322580645137</v>
      </c>
      <c r="Z80" s="145">
        <v>28</v>
      </c>
      <c r="RW80" s="459"/>
    </row>
    <row r="81" spans="2:491" s="145" customFormat="1" hidden="1">
      <c r="B81" s="145">
        <v>29</v>
      </c>
      <c r="C81" s="459">
        <f t="shared" si="225"/>
        <v>4172470.7841935786</v>
      </c>
      <c r="D81" s="459">
        <f t="shared" si="226"/>
        <v>275967.74193548382</v>
      </c>
      <c r="N81" s="145">
        <v>29</v>
      </c>
      <c r="O81" s="459">
        <f t="shared" si="227"/>
        <v>2507309.4938709983</v>
      </c>
      <c r="P81" s="986">
        <f t="shared" si="228"/>
        <v>145000</v>
      </c>
      <c r="R81" s="145">
        <v>29</v>
      </c>
      <c r="S81" s="459">
        <f t="shared" si="229"/>
        <v>813870.96774193516</v>
      </c>
      <c r="T81" s="459">
        <f t="shared" si="230"/>
        <v>46774.193548387113</v>
      </c>
      <c r="V81" s="145">
        <v>29</v>
      </c>
      <c r="W81" s="459">
        <f t="shared" si="231"/>
        <v>851290.32258064533</v>
      </c>
      <c r="X81" s="459">
        <f t="shared" si="232"/>
        <v>84193.548387096744</v>
      </c>
      <c r="Z81" s="145">
        <v>29</v>
      </c>
      <c r="RW81" s="459"/>
    </row>
    <row r="82" spans="2:491" s="145" customFormat="1" hidden="1">
      <c r="B82" s="145">
        <v>30</v>
      </c>
      <c r="C82" s="459">
        <f t="shared" si="225"/>
        <v>4316349.0870968057</v>
      </c>
      <c r="D82" s="459">
        <f t="shared" si="226"/>
        <v>285483.87096774194</v>
      </c>
      <c r="N82" s="145">
        <v>30</v>
      </c>
      <c r="O82" s="459">
        <f t="shared" si="227"/>
        <v>2593768.4419355155</v>
      </c>
      <c r="P82" s="986">
        <f t="shared" si="228"/>
        <v>150000</v>
      </c>
      <c r="R82" s="145">
        <v>30</v>
      </c>
      <c r="S82" s="459">
        <f t="shared" si="229"/>
        <v>841935.48387096741</v>
      </c>
      <c r="T82" s="459">
        <f t="shared" si="230"/>
        <v>48387.096774193567</v>
      </c>
      <c r="V82" s="145">
        <v>30</v>
      </c>
      <c r="W82" s="459">
        <f t="shared" si="231"/>
        <v>880645.16129032278</v>
      </c>
      <c r="X82" s="459">
        <f t="shared" si="232"/>
        <v>87096.77419354835</v>
      </c>
      <c r="RW82" s="459"/>
    </row>
    <row r="83" spans="2:491" s="145" customFormat="1" hidden="1">
      <c r="B83" s="145">
        <v>31</v>
      </c>
      <c r="C83" s="459">
        <f t="shared" si="225"/>
        <v>4460227.3900000332</v>
      </c>
      <c r="D83" s="459">
        <f t="shared" si="226"/>
        <v>294999.99999999994</v>
      </c>
      <c r="N83" s="145">
        <v>31</v>
      </c>
      <c r="O83" s="459">
        <f t="shared" si="227"/>
        <v>2680227.3900000327</v>
      </c>
      <c r="P83" s="986">
        <f t="shared" si="228"/>
        <v>155000</v>
      </c>
      <c r="Q83" s="982"/>
      <c r="R83" s="145">
        <v>31</v>
      </c>
      <c r="S83" s="459">
        <f t="shared" si="229"/>
        <v>869999.99999999965</v>
      </c>
      <c r="T83" s="459">
        <f t="shared" si="230"/>
        <v>50000.000000000022</v>
      </c>
      <c r="U83" s="982"/>
      <c r="V83" s="145">
        <v>31</v>
      </c>
      <c r="W83" s="459">
        <f t="shared" si="231"/>
        <v>910000.00000000023</v>
      </c>
      <c r="X83" s="459">
        <f t="shared" si="232"/>
        <v>89999.999999999956</v>
      </c>
      <c r="RW83" s="459"/>
    </row>
    <row r="84" spans="2:491" s="145" customFormat="1" hidden="1">
      <c r="RW84" s="459"/>
    </row>
    <row r="85" spans="2:491" s="145" customFormat="1" hidden="1">
      <c r="RW85" s="459"/>
    </row>
    <row r="86" spans="2:491" s="145" customFormat="1" hidden="1">
      <c r="RW86" s="459"/>
    </row>
    <row r="87" spans="2:491" s="145" customFormat="1" hidden="1">
      <c r="RW87" s="459"/>
    </row>
    <row r="88" spans="2:491" s="145" customFormat="1" hidden="1">
      <c r="W88" s="459"/>
      <c r="X88" s="459"/>
      <c r="RW88" s="459"/>
    </row>
    <row r="89" spans="2:491" s="145" customFormat="1" hidden="1">
      <c r="O89" s="489"/>
      <c r="P89" s="489"/>
      <c r="S89" s="489"/>
      <c r="T89" s="489"/>
      <c r="W89" s="489"/>
      <c r="X89" s="489"/>
      <c r="RW89" s="459"/>
    </row>
    <row r="90" spans="2:491" s="145" customFormat="1" hidden="1">
      <c r="W90" s="489"/>
      <c r="RW90" s="459"/>
    </row>
    <row r="91" spans="2:491" s="145" customFormat="1" hidden="1">
      <c r="RW91" s="459"/>
    </row>
    <row r="92" spans="2:491" s="145" customFormat="1" hidden="1">
      <c r="RW92" s="459"/>
    </row>
    <row r="93" spans="2:491" s="145" customFormat="1" hidden="1">
      <c r="RW93" s="459"/>
    </row>
    <row r="94" spans="2:491" s="145" customFormat="1" hidden="1">
      <c r="M94" s="982"/>
      <c r="O94" s="1076">
        <v>86458.948064517128</v>
      </c>
      <c r="P94" s="983">
        <v>4354.8387096774195</v>
      </c>
      <c r="Q94" s="459"/>
      <c r="R94" s="459"/>
      <c r="S94" s="983">
        <v>28064.516129032258</v>
      </c>
      <c r="T94" s="983">
        <v>1451.6129032258063</v>
      </c>
      <c r="U94" s="984"/>
      <c r="V94" s="984"/>
      <c r="W94" s="983">
        <v>29354.83870967742</v>
      </c>
      <c r="X94" s="983">
        <v>1935.483870967742</v>
      </c>
      <c r="Y94" s="985"/>
      <c r="Z94" s="985"/>
      <c r="AB94" s="459">
        <f>P94*31</f>
        <v>135000</v>
      </c>
      <c r="JL94" s="432"/>
      <c r="RW94" s="459"/>
    </row>
    <row r="95" spans="2:491" s="145" customFormat="1" hidden="1">
      <c r="B95" s="145">
        <v>1</v>
      </c>
      <c r="C95" s="459">
        <f t="shared" ref="C95:C125" si="233">SUM(O95,W95,S95)</f>
        <v>143878.30290322681</v>
      </c>
      <c r="D95" s="459">
        <f t="shared" ref="D95:D125" si="234">SUM(P95,X95,T95)</f>
        <v>7741.9354838709678</v>
      </c>
      <c r="M95" s="982"/>
      <c r="N95" s="145">
        <v>1</v>
      </c>
      <c r="O95" s="459">
        <f>O94</f>
        <v>86458.948064517128</v>
      </c>
      <c r="P95" s="459">
        <f>P94</f>
        <v>4354.8387096774195</v>
      </c>
      <c r="R95" s="145">
        <v>1</v>
      </c>
      <c r="S95" s="459">
        <f>S94</f>
        <v>28064.516129032258</v>
      </c>
      <c r="T95" s="145">
        <f>T94</f>
        <v>1451.6129032258063</v>
      </c>
      <c r="V95" s="145">
        <v>1</v>
      </c>
      <c r="W95" s="459">
        <f>W94</f>
        <v>29354.83870967742</v>
      </c>
      <c r="X95" s="459">
        <f>X94</f>
        <v>1935.483870967742</v>
      </c>
      <c r="Z95" s="145">
        <v>1</v>
      </c>
      <c r="RW95" s="459"/>
    </row>
    <row r="96" spans="2:491" s="145" customFormat="1" hidden="1">
      <c r="B96" s="145">
        <v>2</v>
      </c>
      <c r="C96" s="459">
        <f t="shared" si="233"/>
        <v>287756.60580645362</v>
      </c>
      <c r="D96" s="459">
        <f t="shared" si="234"/>
        <v>15483.870967741936</v>
      </c>
      <c r="M96" s="982"/>
      <c r="N96" s="145">
        <v>2</v>
      </c>
      <c r="O96" s="459">
        <f t="shared" ref="O96:O125" si="235">O95+($O$94)</f>
        <v>172917.89612903426</v>
      </c>
      <c r="P96" s="459">
        <f t="shared" ref="P96:P125" si="236">P95+($P$94)</f>
        <v>8709.677419354839</v>
      </c>
      <c r="R96" s="145">
        <v>2</v>
      </c>
      <c r="S96" s="459">
        <f t="shared" ref="S96:S125" si="237">S95+($S$94)</f>
        <v>56129.032258064515</v>
      </c>
      <c r="T96" s="489">
        <f t="shared" ref="T96:T125" si="238">T95+($T$94)</f>
        <v>2903.2258064516127</v>
      </c>
      <c r="V96" s="145">
        <v>2</v>
      </c>
      <c r="W96" s="459">
        <f t="shared" ref="W96:W125" si="239">W95+($W$94)</f>
        <v>58709.677419354841</v>
      </c>
      <c r="X96" s="459">
        <f t="shared" ref="X96:X125" si="240">X95+$X$94</f>
        <v>3870.9677419354839</v>
      </c>
      <c r="Z96" s="145">
        <v>2</v>
      </c>
      <c r="RW96" s="459"/>
    </row>
    <row r="97" spans="2:491" s="145" customFormat="1" hidden="1">
      <c r="B97" s="145">
        <v>3</v>
      </c>
      <c r="C97" s="459">
        <f t="shared" si="233"/>
        <v>431634.90870968043</v>
      </c>
      <c r="D97" s="459">
        <f t="shared" si="234"/>
        <v>23225.806451612902</v>
      </c>
      <c r="M97" s="982"/>
      <c r="N97" s="145">
        <v>3</v>
      </c>
      <c r="O97" s="459">
        <f t="shared" si="235"/>
        <v>259376.8441935514</v>
      </c>
      <c r="P97" s="459">
        <f t="shared" si="236"/>
        <v>13064.516129032258</v>
      </c>
      <c r="R97" s="145">
        <v>3</v>
      </c>
      <c r="S97" s="459">
        <f t="shared" si="237"/>
        <v>84193.548387096773</v>
      </c>
      <c r="T97" s="489">
        <f t="shared" si="238"/>
        <v>4354.8387096774186</v>
      </c>
      <c r="V97" s="145">
        <v>3</v>
      </c>
      <c r="W97" s="459">
        <f t="shared" si="239"/>
        <v>88064.516129032258</v>
      </c>
      <c r="X97" s="459">
        <f t="shared" si="240"/>
        <v>5806.4516129032254</v>
      </c>
      <c r="Z97" s="145">
        <v>3</v>
      </c>
      <c r="RW97" s="459"/>
    </row>
    <row r="98" spans="2:491" s="145" customFormat="1" hidden="1">
      <c r="B98" s="145">
        <v>4</v>
      </c>
      <c r="C98" s="459">
        <f t="shared" si="233"/>
        <v>575513.21161290724</v>
      </c>
      <c r="D98" s="459">
        <f t="shared" si="234"/>
        <v>30967.741935483871</v>
      </c>
      <c r="M98" s="982"/>
      <c r="N98" s="145">
        <v>4</v>
      </c>
      <c r="O98" s="459">
        <f t="shared" si="235"/>
        <v>345835.79225806851</v>
      </c>
      <c r="P98" s="459">
        <f t="shared" si="236"/>
        <v>17419.354838709678</v>
      </c>
      <c r="R98" s="145">
        <v>4</v>
      </c>
      <c r="S98" s="459">
        <f t="shared" si="237"/>
        <v>112258.06451612903</v>
      </c>
      <c r="T98" s="489">
        <f t="shared" si="238"/>
        <v>5806.4516129032254</v>
      </c>
      <c r="V98" s="145">
        <v>4</v>
      </c>
      <c r="W98" s="459">
        <f t="shared" si="239"/>
        <v>117419.35483870968</v>
      </c>
      <c r="X98" s="459">
        <f t="shared" si="240"/>
        <v>7741.9354838709678</v>
      </c>
      <c r="Z98" s="145">
        <v>4</v>
      </c>
      <c r="RW98" s="459"/>
    </row>
    <row r="99" spans="2:491" s="145" customFormat="1" hidden="1">
      <c r="B99" s="145">
        <v>5</v>
      </c>
      <c r="C99" s="459">
        <f t="shared" si="233"/>
        <v>719391.51451613405</v>
      </c>
      <c r="D99" s="459">
        <f t="shared" si="234"/>
        <v>38709.677419354841</v>
      </c>
      <c r="M99" s="982"/>
      <c r="N99" s="145">
        <v>5</v>
      </c>
      <c r="O99" s="459">
        <f t="shared" si="235"/>
        <v>432294.74032258563</v>
      </c>
      <c r="P99" s="459">
        <f t="shared" si="236"/>
        <v>21774.193548387098</v>
      </c>
      <c r="R99" s="145">
        <v>5</v>
      </c>
      <c r="S99" s="459">
        <f t="shared" si="237"/>
        <v>140322.58064516127</v>
      </c>
      <c r="T99" s="489">
        <f t="shared" si="238"/>
        <v>7258.0645161290322</v>
      </c>
      <c r="V99" s="145">
        <v>5</v>
      </c>
      <c r="W99" s="459">
        <f t="shared" si="239"/>
        <v>146774.19354838709</v>
      </c>
      <c r="X99" s="459">
        <f t="shared" si="240"/>
        <v>9677.4193548387102</v>
      </c>
      <c r="Z99" s="145">
        <v>5</v>
      </c>
      <c r="RW99" s="459"/>
    </row>
    <row r="100" spans="2:491" s="145" customFormat="1" hidden="1">
      <c r="B100" s="145">
        <v>6</v>
      </c>
      <c r="C100" s="459">
        <f t="shared" si="233"/>
        <v>863269.81741936086</v>
      </c>
      <c r="D100" s="459">
        <f t="shared" si="234"/>
        <v>46451.61290322581</v>
      </c>
      <c r="M100" s="982"/>
      <c r="N100" s="145">
        <v>6</v>
      </c>
      <c r="O100" s="459">
        <f t="shared" si="235"/>
        <v>518753.68838710274</v>
      </c>
      <c r="P100" s="459">
        <f t="shared" si="236"/>
        <v>26129.032258064519</v>
      </c>
      <c r="R100" s="145">
        <v>6</v>
      </c>
      <c r="S100" s="459">
        <f t="shared" si="237"/>
        <v>168387.09677419352</v>
      </c>
      <c r="T100" s="489">
        <f t="shared" si="238"/>
        <v>8709.677419354839</v>
      </c>
      <c r="V100" s="145">
        <v>6</v>
      </c>
      <c r="W100" s="459">
        <f t="shared" si="239"/>
        <v>176129.03225806452</v>
      </c>
      <c r="X100" s="459">
        <f t="shared" si="240"/>
        <v>11612.903225806453</v>
      </c>
      <c r="Z100" s="145">
        <v>6</v>
      </c>
      <c r="RW100" s="459"/>
    </row>
    <row r="101" spans="2:491" s="145" customFormat="1" hidden="1">
      <c r="B101" s="145">
        <v>7</v>
      </c>
      <c r="C101" s="459">
        <f t="shared" si="233"/>
        <v>1007148.1203225877</v>
      </c>
      <c r="D101" s="459">
        <f t="shared" si="234"/>
        <v>54193.54838709678</v>
      </c>
      <c r="M101" s="982"/>
      <c r="N101" s="145">
        <v>7</v>
      </c>
      <c r="O101" s="459">
        <f t="shared" si="235"/>
        <v>605212.63645161991</v>
      </c>
      <c r="P101" s="459">
        <f t="shared" si="236"/>
        <v>30483.870967741939</v>
      </c>
      <c r="R101" s="145">
        <v>7</v>
      </c>
      <c r="S101" s="459">
        <f t="shared" si="237"/>
        <v>196451.61290322576</v>
      </c>
      <c r="T101" s="489">
        <f t="shared" si="238"/>
        <v>10161.290322580646</v>
      </c>
      <c r="V101" s="145">
        <v>7</v>
      </c>
      <c r="W101" s="459">
        <f t="shared" si="239"/>
        <v>205483.87096774194</v>
      </c>
      <c r="X101" s="459">
        <f t="shared" si="240"/>
        <v>13548.387096774195</v>
      </c>
      <c r="Z101" s="145">
        <v>7</v>
      </c>
      <c r="RW101" s="459"/>
    </row>
    <row r="102" spans="2:491" s="145" customFormat="1" hidden="1">
      <c r="B102" s="145">
        <v>8</v>
      </c>
      <c r="C102" s="459">
        <f t="shared" si="233"/>
        <v>1151026.4232258145</v>
      </c>
      <c r="D102" s="459">
        <f t="shared" si="234"/>
        <v>61935.48387096775</v>
      </c>
      <c r="M102" s="982"/>
      <c r="N102" s="145">
        <v>8</v>
      </c>
      <c r="O102" s="459">
        <f t="shared" si="235"/>
        <v>691671.58451613702</v>
      </c>
      <c r="P102" s="459">
        <f t="shared" si="236"/>
        <v>34838.709677419356</v>
      </c>
      <c r="R102" s="145">
        <v>8</v>
      </c>
      <c r="S102" s="459">
        <f t="shared" si="237"/>
        <v>224516.129032258</v>
      </c>
      <c r="T102" s="489">
        <f t="shared" si="238"/>
        <v>11612.903225806453</v>
      </c>
      <c r="V102" s="145">
        <v>8</v>
      </c>
      <c r="W102" s="459">
        <f t="shared" si="239"/>
        <v>234838.70967741936</v>
      </c>
      <c r="X102" s="459">
        <f t="shared" si="240"/>
        <v>15483.870967741937</v>
      </c>
      <c r="Z102" s="145">
        <v>8</v>
      </c>
      <c r="AP102" s="145">
        <v>37911.700000000004</v>
      </c>
      <c r="RW102" s="459"/>
    </row>
    <row r="103" spans="2:491" s="145" customFormat="1" hidden="1">
      <c r="B103" s="145">
        <v>9</v>
      </c>
      <c r="C103" s="459">
        <f t="shared" si="233"/>
        <v>1294904.7261290411</v>
      </c>
      <c r="D103" s="459">
        <f t="shared" si="234"/>
        <v>69677.419354838712</v>
      </c>
      <c r="M103" s="982"/>
      <c r="N103" s="145">
        <v>9</v>
      </c>
      <c r="O103" s="459">
        <f t="shared" si="235"/>
        <v>778130.53258065414</v>
      </c>
      <c r="P103" s="459">
        <f t="shared" si="236"/>
        <v>39193.548387096773</v>
      </c>
      <c r="R103" s="145">
        <v>9</v>
      </c>
      <c r="S103" s="459">
        <f t="shared" si="237"/>
        <v>252580.64516129025</v>
      </c>
      <c r="T103" s="489">
        <f t="shared" si="238"/>
        <v>13064.516129032259</v>
      </c>
      <c r="V103" s="145">
        <v>9</v>
      </c>
      <c r="W103" s="459">
        <f t="shared" si="239"/>
        <v>264193.54838709679</v>
      </c>
      <c r="X103" s="459">
        <f t="shared" si="240"/>
        <v>17419.354838709678</v>
      </c>
      <c r="Z103" s="145">
        <v>9</v>
      </c>
      <c r="RW103" s="459"/>
    </row>
    <row r="104" spans="2:491" s="145" customFormat="1" hidden="1">
      <c r="B104" s="145">
        <v>10</v>
      </c>
      <c r="C104" s="459">
        <f t="shared" si="233"/>
        <v>1438783.0290322679</v>
      </c>
      <c r="D104" s="459">
        <f t="shared" si="234"/>
        <v>77419.354838709667</v>
      </c>
      <c r="M104" s="982"/>
      <c r="N104" s="145">
        <v>10</v>
      </c>
      <c r="O104" s="459">
        <f t="shared" si="235"/>
        <v>864589.48064517125</v>
      </c>
      <c r="P104" s="459">
        <f t="shared" si="236"/>
        <v>43548.38709677419</v>
      </c>
      <c r="R104" s="145">
        <v>10</v>
      </c>
      <c r="S104" s="459">
        <f t="shared" si="237"/>
        <v>280645.16129032249</v>
      </c>
      <c r="T104" s="489">
        <f t="shared" si="238"/>
        <v>14516.129032258066</v>
      </c>
      <c r="V104" s="145">
        <v>10</v>
      </c>
      <c r="W104" s="459">
        <f t="shared" si="239"/>
        <v>293548.38709677418</v>
      </c>
      <c r="X104" s="459">
        <f t="shared" si="240"/>
        <v>19354.83870967742</v>
      </c>
      <c r="Z104" s="145">
        <v>10</v>
      </c>
      <c r="RW104" s="459"/>
    </row>
    <row r="105" spans="2:491" s="145" customFormat="1" hidden="1">
      <c r="B105" s="145">
        <v>11</v>
      </c>
      <c r="C105" s="459">
        <f t="shared" si="233"/>
        <v>1582661.3319354947</v>
      </c>
      <c r="D105" s="459">
        <f t="shared" si="234"/>
        <v>85161.290322580651</v>
      </c>
      <c r="M105" s="982"/>
      <c r="N105" s="145">
        <v>11</v>
      </c>
      <c r="O105" s="459">
        <f t="shared" si="235"/>
        <v>951048.42870968836</v>
      </c>
      <c r="P105" s="459">
        <f t="shared" si="236"/>
        <v>47903.225806451606</v>
      </c>
      <c r="R105" s="145">
        <v>11</v>
      </c>
      <c r="S105" s="459">
        <f t="shared" si="237"/>
        <v>308709.67741935473</v>
      </c>
      <c r="T105" s="489">
        <f t="shared" si="238"/>
        <v>15967.741935483873</v>
      </c>
      <c r="V105" s="145">
        <v>11</v>
      </c>
      <c r="W105" s="459">
        <f t="shared" si="239"/>
        <v>322903.22580645158</v>
      </c>
      <c r="X105" s="459">
        <f t="shared" si="240"/>
        <v>21290.322580645163</v>
      </c>
      <c r="Z105" s="145">
        <v>11</v>
      </c>
      <c r="RW105" s="459"/>
    </row>
    <row r="106" spans="2:491" s="145" customFormat="1" hidden="1">
      <c r="B106" s="145">
        <v>12</v>
      </c>
      <c r="C106" s="459">
        <f t="shared" si="233"/>
        <v>1726539.6348387212</v>
      </c>
      <c r="D106" s="459">
        <f t="shared" si="234"/>
        <v>92903.225806451606</v>
      </c>
      <c r="M106" s="982"/>
      <c r="N106" s="145">
        <v>12</v>
      </c>
      <c r="O106" s="459">
        <f t="shared" si="235"/>
        <v>1037507.3767742055</v>
      </c>
      <c r="P106" s="459">
        <f t="shared" si="236"/>
        <v>52258.064516129023</v>
      </c>
      <c r="R106" s="145">
        <v>12</v>
      </c>
      <c r="S106" s="459">
        <f t="shared" si="237"/>
        <v>336774.19354838697</v>
      </c>
      <c r="T106" s="489">
        <f t="shared" si="238"/>
        <v>17419.354838709678</v>
      </c>
      <c r="V106" s="145">
        <v>12</v>
      </c>
      <c r="W106" s="459">
        <f t="shared" si="239"/>
        <v>352258.06451612897</v>
      </c>
      <c r="X106" s="459">
        <f t="shared" si="240"/>
        <v>23225.806451612905</v>
      </c>
      <c r="Z106" s="145">
        <v>12</v>
      </c>
      <c r="RW106" s="459"/>
    </row>
    <row r="107" spans="2:491" s="145" customFormat="1" hidden="1">
      <c r="B107" s="145">
        <v>13</v>
      </c>
      <c r="C107" s="459">
        <f t="shared" si="233"/>
        <v>1870417.9377419481</v>
      </c>
      <c r="D107" s="459">
        <f t="shared" si="234"/>
        <v>100645.16129032258</v>
      </c>
      <c r="M107" s="982"/>
      <c r="N107" s="145">
        <v>13</v>
      </c>
      <c r="O107" s="459">
        <f t="shared" si="235"/>
        <v>1123966.3248387226</v>
      </c>
      <c r="P107" s="459">
        <f t="shared" si="236"/>
        <v>56612.90322580644</v>
      </c>
      <c r="R107" s="145">
        <v>13</v>
      </c>
      <c r="S107" s="459">
        <f t="shared" si="237"/>
        <v>364838.70967741922</v>
      </c>
      <c r="T107" s="489">
        <f t="shared" si="238"/>
        <v>18870.967741935485</v>
      </c>
      <c r="V107" s="145">
        <v>13</v>
      </c>
      <c r="W107" s="459">
        <f t="shared" si="239"/>
        <v>381612.90322580637</v>
      </c>
      <c r="X107" s="459">
        <f t="shared" si="240"/>
        <v>25161.290322580648</v>
      </c>
      <c r="Z107" s="145">
        <v>13</v>
      </c>
      <c r="RW107" s="459"/>
    </row>
    <row r="108" spans="2:491" s="145" customFormat="1" hidden="1">
      <c r="B108" s="145">
        <v>14</v>
      </c>
      <c r="C108" s="459">
        <f t="shared" si="233"/>
        <v>2014296.2406451749</v>
      </c>
      <c r="D108" s="459">
        <f t="shared" si="234"/>
        <v>108387.09677419353</v>
      </c>
      <c r="M108" s="982"/>
      <c r="N108" s="145">
        <v>14</v>
      </c>
      <c r="O108" s="459">
        <f t="shared" si="235"/>
        <v>1210425.2729032398</v>
      </c>
      <c r="P108" s="459">
        <f t="shared" si="236"/>
        <v>60967.741935483857</v>
      </c>
      <c r="R108" s="145">
        <v>14</v>
      </c>
      <c r="S108" s="459">
        <f t="shared" si="237"/>
        <v>392903.22580645146</v>
      </c>
      <c r="T108" s="489">
        <f t="shared" si="238"/>
        <v>20322.580645161292</v>
      </c>
      <c r="V108" s="145">
        <v>14</v>
      </c>
      <c r="W108" s="459">
        <f t="shared" si="239"/>
        <v>410967.74193548376</v>
      </c>
      <c r="X108" s="459">
        <f t="shared" si="240"/>
        <v>27096.77419354839</v>
      </c>
      <c r="Z108" s="145">
        <v>14</v>
      </c>
      <c r="RW108" s="459"/>
    </row>
    <row r="109" spans="2:491" s="145" customFormat="1" hidden="1">
      <c r="B109" s="145">
        <v>15</v>
      </c>
      <c r="C109" s="459">
        <f t="shared" si="233"/>
        <v>2158174.5435484019</v>
      </c>
      <c r="D109" s="459">
        <f t="shared" si="234"/>
        <v>116129.03225806452</v>
      </c>
      <c r="M109" s="982"/>
      <c r="N109" s="145">
        <v>15</v>
      </c>
      <c r="O109" s="459">
        <f t="shared" si="235"/>
        <v>1296884.220967757</v>
      </c>
      <c r="P109" s="459">
        <f t="shared" si="236"/>
        <v>65322.580645161273</v>
      </c>
      <c r="R109" s="145">
        <v>15</v>
      </c>
      <c r="S109" s="459">
        <f t="shared" si="237"/>
        <v>420967.7419354837</v>
      </c>
      <c r="T109" s="489">
        <f t="shared" si="238"/>
        <v>21774.193548387098</v>
      </c>
      <c r="V109" s="145">
        <v>15</v>
      </c>
      <c r="W109" s="459">
        <f t="shared" si="239"/>
        <v>440322.58064516116</v>
      </c>
      <c r="X109" s="459">
        <f t="shared" si="240"/>
        <v>29032.258064516132</v>
      </c>
      <c r="Z109" s="145">
        <v>15</v>
      </c>
      <c r="RW109" s="459"/>
    </row>
    <row r="110" spans="2:491" s="145" customFormat="1" hidden="1">
      <c r="B110" s="145">
        <v>16</v>
      </c>
      <c r="C110" s="459">
        <f t="shared" si="233"/>
        <v>2302052.846451629</v>
      </c>
      <c r="D110" s="459">
        <f t="shared" si="234"/>
        <v>123870.96774193548</v>
      </c>
      <c r="M110" s="982"/>
      <c r="N110" s="145">
        <v>16</v>
      </c>
      <c r="O110" s="459">
        <f t="shared" si="235"/>
        <v>1383343.1690322743</v>
      </c>
      <c r="P110" s="459">
        <f t="shared" si="236"/>
        <v>69677.419354838697</v>
      </c>
      <c r="R110" s="145">
        <v>16</v>
      </c>
      <c r="S110" s="459">
        <f t="shared" si="237"/>
        <v>449032.25806451595</v>
      </c>
      <c r="T110" s="489">
        <f t="shared" si="238"/>
        <v>23225.806451612905</v>
      </c>
      <c r="V110" s="145">
        <v>16</v>
      </c>
      <c r="W110" s="459">
        <f t="shared" si="239"/>
        <v>469677.41935483855</v>
      </c>
      <c r="X110" s="459">
        <f t="shared" si="240"/>
        <v>30967.741935483875</v>
      </c>
      <c r="Z110" s="145">
        <v>16</v>
      </c>
      <c r="RW110" s="459"/>
    </row>
    <row r="111" spans="2:491" s="145" customFormat="1" hidden="1">
      <c r="B111" s="145">
        <v>17</v>
      </c>
      <c r="C111" s="459">
        <f t="shared" si="233"/>
        <v>2445931.1493548555</v>
      </c>
      <c r="D111" s="459">
        <f t="shared" si="234"/>
        <v>131612.90322580643</v>
      </c>
      <c r="N111" s="145">
        <v>17</v>
      </c>
      <c r="O111" s="459">
        <f t="shared" si="235"/>
        <v>1469802.1170967915</v>
      </c>
      <c r="P111" s="459">
        <f t="shared" si="236"/>
        <v>74032.258064516122</v>
      </c>
      <c r="R111" s="145">
        <v>17</v>
      </c>
      <c r="S111" s="459">
        <f t="shared" si="237"/>
        <v>477096.77419354819</v>
      </c>
      <c r="T111" s="489">
        <f t="shared" si="238"/>
        <v>24677.419354838712</v>
      </c>
      <c r="V111" s="145">
        <v>17</v>
      </c>
      <c r="W111" s="459">
        <f t="shared" si="239"/>
        <v>499032.25806451595</v>
      </c>
      <c r="X111" s="459">
        <f t="shared" si="240"/>
        <v>32903.225806451614</v>
      </c>
      <c r="Z111" s="145">
        <v>17</v>
      </c>
      <c r="RW111" s="459"/>
    </row>
    <row r="112" spans="2:491" s="145" customFormat="1" hidden="1">
      <c r="B112" s="145">
        <v>18</v>
      </c>
      <c r="C112" s="459">
        <f t="shared" si="233"/>
        <v>2589809.4522580826</v>
      </c>
      <c r="D112" s="459">
        <f t="shared" si="234"/>
        <v>139354.83870967742</v>
      </c>
      <c r="N112" s="145">
        <v>18</v>
      </c>
      <c r="O112" s="459">
        <f t="shared" si="235"/>
        <v>1556261.0651613087</v>
      </c>
      <c r="P112" s="459">
        <f t="shared" si="236"/>
        <v>78387.096774193546</v>
      </c>
      <c r="R112" s="145">
        <v>18</v>
      </c>
      <c r="S112" s="459">
        <f t="shared" si="237"/>
        <v>505161.29032258043</v>
      </c>
      <c r="T112" s="489">
        <f t="shared" si="238"/>
        <v>26129.032258064519</v>
      </c>
      <c r="V112" s="145">
        <v>18</v>
      </c>
      <c r="W112" s="459">
        <f t="shared" si="239"/>
        <v>528387.09677419334</v>
      </c>
      <c r="X112" s="459">
        <f t="shared" si="240"/>
        <v>34838.709677419356</v>
      </c>
      <c r="Z112" s="145">
        <v>18</v>
      </c>
      <c r="RW112" s="459"/>
    </row>
    <row r="113" spans="2:491" s="145" customFormat="1" hidden="1">
      <c r="B113" s="145">
        <v>19</v>
      </c>
      <c r="C113" s="459">
        <f t="shared" si="233"/>
        <v>2733687.7551613091</v>
      </c>
      <c r="D113" s="459">
        <f t="shared" si="234"/>
        <v>147096.77419354839</v>
      </c>
      <c r="N113" s="145">
        <v>19</v>
      </c>
      <c r="O113" s="459">
        <f t="shared" si="235"/>
        <v>1642720.013225826</v>
      </c>
      <c r="P113" s="459">
        <f t="shared" si="236"/>
        <v>82741.93548387097</v>
      </c>
      <c r="R113" s="145">
        <v>19</v>
      </c>
      <c r="S113" s="459">
        <f t="shared" si="237"/>
        <v>533225.80645161273</v>
      </c>
      <c r="T113" s="489">
        <f t="shared" si="238"/>
        <v>27580.645161290326</v>
      </c>
      <c r="V113" s="145">
        <v>19</v>
      </c>
      <c r="W113" s="459">
        <f t="shared" si="239"/>
        <v>557741.93548387079</v>
      </c>
      <c r="X113" s="459">
        <f t="shared" si="240"/>
        <v>36774.193548387098</v>
      </c>
      <c r="Z113" s="145">
        <v>19</v>
      </c>
      <c r="RW113" s="459"/>
    </row>
    <row r="114" spans="2:491" s="145" customFormat="1" hidden="1">
      <c r="B114" s="145">
        <v>20</v>
      </c>
      <c r="C114" s="459">
        <f t="shared" si="233"/>
        <v>2877566.0580645362</v>
      </c>
      <c r="D114" s="459">
        <f t="shared" si="234"/>
        <v>154838.70967741936</v>
      </c>
      <c r="N114" s="145">
        <v>20</v>
      </c>
      <c r="O114" s="459">
        <f t="shared" si="235"/>
        <v>1729178.9612903432</v>
      </c>
      <c r="P114" s="459">
        <f t="shared" si="236"/>
        <v>87096.774193548394</v>
      </c>
      <c r="R114" s="145">
        <v>20</v>
      </c>
      <c r="S114" s="459">
        <f t="shared" si="237"/>
        <v>561290.32258064498</v>
      </c>
      <c r="T114" s="489">
        <f t="shared" si="238"/>
        <v>29032.258064516132</v>
      </c>
      <c r="V114" s="145">
        <v>20</v>
      </c>
      <c r="W114" s="459">
        <f t="shared" si="239"/>
        <v>587096.77419354825</v>
      </c>
      <c r="X114" s="459">
        <f t="shared" si="240"/>
        <v>38709.677419354841</v>
      </c>
      <c r="Z114" s="145">
        <v>20</v>
      </c>
      <c r="RW114" s="459"/>
    </row>
    <row r="115" spans="2:491" s="145" customFormat="1" hidden="1">
      <c r="B115" s="145">
        <v>21</v>
      </c>
      <c r="C115" s="459">
        <f t="shared" si="233"/>
        <v>3021444.3609677632</v>
      </c>
      <c r="D115" s="459">
        <f t="shared" si="234"/>
        <v>162580.64516129033</v>
      </c>
      <c r="N115" s="145">
        <v>21</v>
      </c>
      <c r="O115" s="459">
        <f t="shared" si="235"/>
        <v>1815637.9093548604</v>
      </c>
      <c r="P115" s="459">
        <f t="shared" si="236"/>
        <v>91451.612903225818</v>
      </c>
      <c r="R115" s="145">
        <v>21</v>
      </c>
      <c r="S115" s="459">
        <f t="shared" si="237"/>
        <v>589354.83870967722</v>
      </c>
      <c r="T115" s="489">
        <f t="shared" si="238"/>
        <v>30483.870967741939</v>
      </c>
      <c r="V115" s="145">
        <v>21</v>
      </c>
      <c r="W115" s="459">
        <f t="shared" si="239"/>
        <v>616451.6129032257</v>
      </c>
      <c r="X115" s="459">
        <f t="shared" si="240"/>
        <v>40645.161290322583</v>
      </c>
      <c r="Z115" s="145">
        <v>21</v>
      </c>
      <c r="RW115" s="459"/>
    </row>
    <row r="116" spans="2:491" s="145" customFormat="1" hidden="1">
      <c r="B116" s="145">
        <v>22</v>
      </c>
      <c r="C116" s="459">
        <f t="shared" si="233"/>
        <v>3165322.6638709903</v>
      </c>
      <c r="D116" s="459">
        <f t="shared" si="234"/>
        <v>170322.58064516133</v>
      </c>
      <c r="N116" s="145">
        <v>22</v>
      </c>
      <c r="O116" s="459">
        <f t="shared" si="235"/>
        <v>1902096.8574193777</v>
      </c>
      <c r="P116" s="459">
        <f t="shared" si="236"/>
        <v>95806.451612903242</v>
      </c>
      <c r="R116" s="145">
        <v>22</v>
      </c>
      <c r="S116" s="459">
        <f t="shared" si="237"/>
        <v>617419.35483870946</v>
      </c>
      <c r="T116" s="489">
        <f t="shared" si="238"/>
        <v>31935.483870967746</v>
      </c>
      <c r="V116" s="145">
        <v>22</v>
      </c>
      <c r="W116" s="459">
        <f t="shared" si="239"/>
        <v>645806.45161290315</v>
      </c>
      <c r="X116" s="459">
        <f t="shared" si="240"/>
        <v>42580.645161290326</v>
      </c>
      <c r="Z116" s="145">
        <v>22</v>
      </c>
      <c r="RW116" s="459"/>
    </row>
    <row r="117" spans="2:491" s="145" customFormat="1" hidden="1">
      <c r="B117" s="145">
        <v>23</v>
      </c>
      <c r="C117" s="459">
        <f t="shared" si="233"/>
        <v>3309200.9667742173</v>
      </c>
      <c r="D117" s="459">
        <f t="shared" si="234"/>
        <v>178064.51612903227</v>
      </c>
      <c r="N117" s="145">
        <v>23</v>
      </c>
      <c r="O117" s="459">
        <f t="shared" si="235"/>
        <v>1988555.8054838949</v>
      </c>
      <c r="P117" s="459">
        <f t="shared" si="236"/>
        <v>100161.29032258067</v>
      </c>
      <c r="R117" s="145">
        <v>23</v>
      </c>
      <c r="S117" s="459">
        <f t="shared" si="237"/>
        <v>645483.87096774171</v>
      </c>
      <c r="T117" s="489">
        <f t="shared" si="238"/>
        <v>33387.096774193553</v>
      </c>
      <c r="V117" s="145">
        <v>23</v>
      </c>
      <c r="W117" s="459">
        <f t="shared" si="239"/>
        <v>675161.29032258061</v>
      </c>
      <c r="X117" s="459">
        <f t="shared" si="240"/>
        <v>44516.129032258068</v>
      </c>
      <c r="Y117" s="459"/>
      <c r="Z117" s="145">
        <v>23</v>
      </c>
      <c r="RW117" s="459"/>
    </row>
    <row r="118" spans="2:491" s="145" customFormat="1" hidden="1">
      <c r="B118" s="145">
        <v>24</v>
      </c>
      <c r="C118" s="459">
        <f t="shared" si="233"/>
        <v>3453079.2696774439</v>
      </c>
      <c r="D118" s="459">
        <f t="shared" si="234"/>
        <v>185806.45161290327</v>
      </c>
      <c r="N118" s="145">
        <v>24</v>
      </c>
      <c r="O118" s="459">
        <f t="shared" si="235"/>
        <v>2075014.7535484121</v>
      </c>
      <c r="P118" s="459">
        <f t="shared" si="236"/>
        <v>104516.12903225809</v>
      </c>
      <c r="R118" s="145">
        <v>24</v>
      </c>
      <c r="S118" s="459">
        <f t="shared" si="237"/>
        <v>673548.38709677395</v>
      </c>
      <c r="T118" s="489">
        <f t="shared" si="238"/>
        <v>34838.709677419356</v>
      </c>
      <c r="V118" s="145">
        <v>24</v>
      </c>
      <c r="W118" s="459">
        <f t="shared" si="239"/>
        <v>704516.12903225806</v>
      </c>
      <c r="X118" s="459">
        <f t="shared" si="240"/>
        <v>46451.61290322581</v>
      </c>
      <c r="Z118" s="145">
        <v>24</v>
      </c>
      <c r="RW118" s="459"/>
    </row>
    <row r="119" spans="2:491" s="145" customFormat="1" hidden="1">
      <c r="B119" s="145">
        <v>25</v>
      </c>
      <c r="C119" s="459">
        <f t="shared" si="233"/>
        <v>3596957.5725806709</v>
      </c>
      <c r="D119" s="459">
        <f t="shared" si="234"/>
        <v>193548.38709677421</v>
      </c>
      <c r="N119" s="145">
        <v>25</v>
      </c>
      <c r="O119" s="459">
        <f t="shared" si="235"/>
        <v>2161473.7016129293</v>
      </c>
      <c r="P119" s="459">
        <f t="shared" si="236"/>
        <v>108870.96774193551</v>
      </c>
      <c r="R119" s="145">
        <v>25</v>
      </c>
      <c r="S119" s="459">
        <f t="shared" si="237"/>
        <v>701612.90322580619</v>
      </c>
      <c r="T119" s="489">
        <f t="shared" si="238"/>
        <v>36290.322580645159</v>
      </c>
      <c r="V119" s="145">
        <v>25</v>
      </c>
      <c r="W119" s="459">
        <f t="shared" si="239"/>
        <v>733870.96774193551</v>
      </c>
      <c r="X119" s="459">
        <f t="shared" si="240"/>
        <v>48387.096774193553</v>
      </c>
      <c r="Z119" s="145">
        <v>25</v>
      </c>
      <c r="RW119" s="459"/>
    </row>
    <row r="120" spans="2:491" s="145" customFormat="1" hidden="1">
      <c r="B120" s="145">
        <v>26</v>
      </c>
      <c r="C120" s="459">
        <f t="shared" si="233"/>
        <v>3740835.875483898</v>
      </c>
      <c r="D120" s="459">
        <f t="shared" si="234"/>
        <v>201290.32258064521</v>
      </c>
      <c r="N120" s="145">
        <v>26</v>
      </c>
      <c r="O120" s="459">
        <f t="shared" si="235"/>
        <v>2247932.6496774466</v>
      </c>
      <c r="P120" s="459">
        <f t="shared" si="236"/>
        <v>113225.80645161294</v>
      </c>
      <c r="R120" s="145">
        <v>26</v>
      </c>
      <c r="S120" s="459">
        <f t="shared" si="237"/>
        <v>729677.41935483844</v>
      </c>
      <c r="T120" s="489">
        <f t="shared" si="238"/>
        <v>37741.935483870962</v>
      </c>
      <c r="V120" s="145">
        <v>26</v>
      </c>
      <c r="W120" s="459">
        <f t="shared" si="239"/>
        <v>763225.80645161297</v>
      </c>
      <c r="X120" s="459">
        <f t="shared" si="240"/>
        <v>50322.580645161295</v>
      </c>
      <c r="Z120" s="145">
        <v>26</v>
      </c>
      <c r="RW120" s="459"/>
    </row>
    <row r="121" spans="2:491" s="145" customFormat="1" hidden="1">
      <c r="B121" s="145">
        <v>27</v>
      </c>
      <c r="C121" s="459">
        <f t="shared" si="233"/>
        <v>3884714.1783871246</v>
      </c>
      <c r="D121" s="459">
        <f t="shared" si="234"/>
        <v>209032.25806451615</v>
      </c>
      <c r="N121" s="145">
        <v>27</v>
      </c>
      <c r="O121" s="459">
        <f t="shared" si="235"/>
        <v>2334391.5977419638</v>
      </c>
      <c r="P121" s="459">
        <f t="shared" si="236"/>
        <v>117580.64516129036</v>
      </c>
      <c r="R121" s="145">
        <v>27</v>
      </c>
      <c r="S121" s="459">
        <f t="shared" si="237"/>
        <v>757741.93548387068</v>
      </c>
      <c r="T121" s="489">
        <f t="shared" si="238"/>
        <v>39193.548387096766</v>
      </c>
      <c r="V121" s="145">
        <v>27</v>
      </c>
      <c r="W121" s="459">
        <f t="shared" si="239"/>
        <v>792580.64516129042</v>
      </c>
      <c r="X121" s="459">
        <f t="shared" si="240"/>
        <v>52258.064516129038</v>
      </c>
      <c r="Z121" s="145">
        <v>27</v>
      </c>
      <c r="RW121" s="459"/>
    </row>
    <row r="122" spans="2:491" s="145" customFormat="1" hidden="1">
      <c r="B122" s="145">
        <v>28</v>
      </c>
      <c r="C122" s="459">
        <f t="shared" si="233"/>
        <v>4028592.4812903516</v>
      </c>
      <c r="D122" s="459">
        <f t="shared" si="234"/>
        <v>216774.19354838715</v>
      </c>
      <c r="N122" s="145">
        <v>28</v>
      </c>
      <c r="O122" s="459">
        <f t="shared" si="235"/>
        <v>2420850.545806481</v>
      </c>
      <c r="P122" s="459">
        <f t="shared" si="236"/>
        <v>121935.48387096779</v>
      </c>
      <c r="R122" s="145">
        <v>28</v>
      </c>
      <c r="S122" s="459">
        <f t="shared" si="237"/>
        <v>785806.45161290292</v>
      </c>
      <c r="T122" s="489">
        <f t="shared" si="238"/>
        <v>40645.161290322569</v>
      </c>
      <c r="V122" s="145">
        <v>28</v>
      </c>
      <c r="W122" s="459">
        <f t="shared" si="239"/>
        <v>821935.48387096787</v>
      </c>
      <c r="X122" s="459">
        <f t="shared" si="240"/>
        <v>54193.54838709678</v>
      </c>
      <c r="Z122" s="145">
        <v>28</v>
      </c>
      <c r="RW122" s="459"/>
    </row>
    <row r="123" spans="2:491" s="145" customFormat="1" hidden="1">
      <c r="B123" s="145">
        <v>29</v>
      </c>
      <c r="C123" s="459">
        <f t="shared" si="233"/>
        <v>4172470.7841935786</v>
      </c>
      <c r="D123" s="459">
        <f t="shared" si="234"/>
        <v>224516.12903225809</v>
      </c>
      <c r="N123" s="145">
        <v>29</v>
      </c>
      <c r="O123" s="459">
        <f t="shared" si="235"/>
        <v>2507309.4938709983</v>
      </c>
      <c r="P123" s="459">
        <f t="shared" si="236"/>
        <v>126290.32258064521</v>
      </c>
      <c r="R123" s="145">
        <v>29</v>
      </c>
      <c r="S123" s="459">
        <f t="shared" si="237"/>
        <v>813870.96774193516</v>
      </c>
      <c r="T123" s="489">
        <f t="shared" si="238"/>
        <v>42096.774193548372</v>
      </c>
      <c r="V123" s="145">
        <v>29</v>
      </c>
      <c r="W123" s="459">
        <f t="shared" si="239"/>
        <v>851290.32258064533</v>
      </c>
      <c r="X123" s="459">
        <f t="shared" si="240"/>
        <v>56129.032258064522</v>
      </c>
      <c r="Z123" s="145">
        <v>29</v>
      </c>
      <c r="RW123" s="459"/>
    </row>
    <row r="124" spans="2:491" s="145" customFormat="1" hidden="1">
      <c r="B124" s="145">
        <v>30</v>
      </c>
      <c r="C124" s="459">
        <f t="shared" si="233"/>
        <v>4316349.0870968057</v>
      </c>
      <c r="D124" s="459">
        <f t="shared" si="234"/>
        <v>232258.06451612909</v>
      </c>
      <c r="N124" s="145">
        <v>30</v>
      </c>
      <c r="O124" s="459">
        <f t="shared" si="235"/>
        <v>2593768.4419355155</v>
      </c>
      <c r="P124" s="459">
        <f t="shared" si="236"/>
        <v>130645.16129032263</v>
      </c>
      <c r="R124" s="145">
        <v>30</v>
      </c>
      <c r="S124" s="459">
        <f t="shared" si="237"/>
        <v>841935.48387096741</v>
      </c>
      <c r="T124" s="489">
        <f t="shared" si="238"/>
        <v>43548.387096774175</v>
      </c>
      <c r="V124" s="145">
        <v>30</v>
      </c>
      <c r="W124" s="459">
        <f t="shared" si="239"/>
        <v>880645.16129032278</v>
      </c>
      <c r="X124" s="459">
        <f t="shared" si="240"/>
        <v>58064.516129032265</v>
      </c>
      <c r="Z124" s="145">
        <v>29</v>
      </c>
      <c r="RW124" s="459"/>
    </row>
    <row r="125" spans="2:491" hidden="1">
      <c r="B125" s="145">
        <v>31</v>
      </c>
      <c r="C125" s="459">
        <f t="shared" si="233"/>
        <v>4460227.3900000332</v>
      </c>
      <c r="D125" s="459">
        <f t="shared" si="234"/>
        <v>240000.00000000003</v>
      </c>
      <c r="N125" s="145">
        <v>31</v>
      </c>
      <c r="O125" s="459">
        <f t="shared" si="235"/>
        <v>2680227.3900000327</v>
      </c>
      <c r="P125" s="459">
        <f t="shared" si="236"/>
        <v>135000.00000000006</v>
      </c>
      <c r="Q125" s="985"/>
      <c r="R125" s="145">
        <v>31</v>
      </c>
      <c r="S125" s="459">
        <f t="shared" si="237"/>
        <v>869999.99999999965</v>
      </c>
      <c r="T125" s="489">
        <f t="shared" si="238"/>
        <v>44999.999999999978</v>
      </c>
      <c r="U125" s="985"/>
      <c r="V125" s="145">
        <v>31</v>
      </c>
      <c r="W125" s="459">
        <f t="shared" si="239"/>
        <v>910000.00000000023</v>
      </c>
      <c r="X125" s="459">
        <f t="shared" si="240"/>
        <v>60000.000000000007</v>
      </c>
      <c r="Y125" s="145"/>
      <c r="Z125" s="145">
        <v>29</v>
      </c>
      <c r="RW125" s="1"/>
    </row>
    <row r="126" spans="2:491" hidden="1">
      <c r="RW126" s="1"/>
    </row>
    <row r="127" spans="2:491" hidden="1">
      <c r="RW127" s="1"/>
    </row>
    <row r="128" spans="2:491" hidden="1">
      <c r="RW128" s="1"/>
    </row>
    <row r="129" spans="2:491" hidden="1">
      <c r="RW129" s="1"/>
    </row>
    <row r="130" spans="2:491" hidden="1">
      <c r="RW130" s="1"/>
    </row>
    <row r="131" spans="2:491" hidden="1">
      <c r="P131" s="887"/>
      <c r="RW131" s="1"/>
    </row>
    <row r="132" spans="2:491" hidden="1">
      <c r="P132" s="887"/>
      <c r="RW132" s="1"/>
    </row>
    <row r="133" spans="2:491" hidden="1">
      <c r="RW133" s="1"/>
    </row>
    <row r="134" spans="2:491" ht="23.4" hidden="1">
      <c r="C134" s="1075" t="s">
        <v>739</v>
      </c>
      <c r="RW134" s="1"/>
    </row>
    <row r="135" spans="2:491" hidden="1">
      <c r="O135" s="479">
        <v>26672.719032257806</v>
      </c>
      <c r="P135" s="479">
        <v>677.41935483870964</v>
      </c>
      <c r="RW135" s="1"/>
    </row>
    <row r="136" spans="2:491" hidden="1">
      <c r="B136">
        <v>1</v>
      </c>
      <c r="C136">
        <f t="shared" ref="C136:C166" si="241">SUM(O136,W136,S136)</f>
        <v>26672.719032257806</v>
      </c>
      <c r="D136">
        <f t="shared" ref="D136:D166" si="242">SUM(P136,X136,T136)</f>
        <v>677.41935483870964</v>
      </c>
      <c r="N136">
        <v>1</v>
      </c>
      <c r="O136">
        <f>O135</f>
        <v>26672.719032257806</v>
      </c>
      <c r="P136">
        <f>P135</f>
        <v>677.41935483870964</v>
      </c>
      <c r="RW136" s="1"/>
    </row>
    <row r="137" spans="2:491" hidden="1">
      <c r="B137">
        <v>2</v>
      </c>
      <c r="C137">
        <f t="shared" si="241"/>
        <v>53345.438064515612</v>
      </c>
      <c r="D137">
        <f t="shared" si="242"/>
        <v>3741.9354838709678</v>
      </c>
      <c r="N137">
        <v>2</v>
      </c>
      <c r="O137">
        <f t="shared" ref="O137:O166" si="243">O136+($O$135)</f>
        <v>53345.438064515612</v>
      </c>
      <c r="P137">
        <f t="shared" ref="P137:P166" si="244">P136+($P$135)</f>
        <v>1354.8387096774193</v>
      </c>
      <c r="T137">
        <f>74000/31</f>
        <v>2387.0967741935483</v>
      </c>
      <c r="RW137" s="1"/>
    </row>
    <row r="138" spans="2:491" hidden="1">
      <c r="B138">
        <v>3</v>
      </c>
      <c r="C138">
        <f t="shared" si="241"/>
        <v>80018.157096773415</v>
      </c>
      <c r="D138">
        <f t="shared" si="242"/>
        <v>2032.2580645161288</v>
      </c>
      <c r="N138">
        <v>3</v>
      </c>
      <c r="O138">
        <f t="shared" si="243"/>
        <v>80018.157096773415</v>
      </c>
      <c r="P138">
        <f t="shared" si="244"/>
        <v>2032.2580645161288</v>
      </c>
      <c r="RW138" s="1"/>
    </row>
    <row r="139" spans="2:491" hidden="1">
      <c r="B139">
        <v>4</v>
      </c>
      <c r="C139">
        <f t="shared" si="241"/>
        <v>106690.87612903122</v>
      </c>
      <c r="D139">
        <f t="shared" si="242"/>
        <v>2709.6774193548385</v>
      </c>
      <c r="N139">
        <v>4</v>
      </c>
      <c r="O139">
        <f t="shared" si="243"/>
        <v>106690.87612903122</v>
      </c>
      <c r="P139">
        <f t="shared" si="244"/>
        <v>2709.6774193548385</v>
      </c>
      <c r="RW139" s="1"/>
    </row>
    <row r="140" spans="2:491" hidden="1">
      <c r="B140">
        <v>5</v>
      </c>
      <c r="C140">
        <f t="shared" si="241"/>
        <v>133363.59516128903</v>
      </c>
      <c r="D140">
        <f t="shared" si="242"/>
        <v>3387.0967741935483</v>
      </c>
      <c r="N140">
        <v>5</v>
      </c>
      <c r="O140">
        <f t="shared" si="243"/>
        <v>133363.59516128903</v>
      </c>
      <c r="P140">
        <f t="shared" si="244"/>
        <v>3387.0967741935483</v>
      </c>
      <c r="RW140" s="1"/>
    </row>
    <row r="141" spans="2:491" hidden="1">
      <c r="B141">
        <v>6</v>
      </c>
      <c r="C141">
        <f t="shared" si="241"/>
        <v>160036.31419354683</v>
      </c>
      <c r="D141">
        <f t="shared" si="242"/>
        <v>4064.516129032258</v>
      </c>
      <c r="N141">
        <v>6</v>
      </c>
      <c r="O141">
        <f t="shared" si="243"/>
        <v>160036.31419354683</v>
      </c>
      <c r="P141">
        <f t="shared" si="244"/>
        <v>4064.516129032258</v>
      </c>
      <c r="RW141" s="1"/>
    </row>
    <row r="142" spans="2:491" hidden="1">
      <c r="B142">
        <v>7</v>
      </c>
      <c r="C142">
        <f t="shared" si="241"/>
        <v>186709.03322580463</v>
      </c>
      <c r="D142">
        <f t="shared" si="242"/>
        <v>4741.9354838709678</v>
      </c>
      <c r="N142">
        <v>7</v>
      </c>
      <c r="O142">
        <f t="shared" si="243"/>
        <v>186709.03322580463</v>
      </c>
      <c r="P142">
        <f t="shared" si="244"/>
        <v>4741.9354838709678</v>
      </c>
      <c r="RW142" s="1"/>
    </row>
    <row r="143" spans="2:491" hidden="1">
      <c r="B143">
        <v>8</v>
      </c>
      <c r="C143">
        <f t="shared" si="241"/>
        <v>213381.75225806242</v>
      </c>
      <c r="D143">
        <f t="shared" si="242"/>
        <v>5419.3548387096771</v>
      </c>
      <c r="N143">
        <v>8</v>
      </c>
      <c r="O143">
        <f t="shared" si="243"/>
        <v>213381.75225806242</v>
      </c>
      <c r="P143">
        <f t="shared" si="244"/>
        <v>5419.3548387096771</v>
      </c>
      <c r="RW143" s="1"/>
    </row>
    <row r="144" spans="2:491" hidden="1">
      <c r="B144">
        <v>9</v>
      </c>
      <c r="C144">
        <f t="shared" si="241"/>
        <v>240054.47129032022</v>
      </c>
      <c r="D144">
        <f t="shared" si="242"/>
        <v>6096.7741935483864</v>
      </c>
      <c r="N144">
        <v>9</v>
      </c>
      <c r="O144">
        <f t="shared" si="243"/>
        <v>240054.47129032022</v>
      </c>
      <c r="P144">
        <f t="shared" si="244"/>
        <v>6096.7741935483864</v>
      </c>
      <c r="RW144" s="1"/>
    </row>
    <row r="145" spans="2:491" hidden="1">
      <c r="B145">
        <v>10</v>
      </c>
      <c r="C145">
        <f t="shared" si="241"/>
        <v>266727.19032257801</v>
      </c>
      <c r="D145">
        <f t="shared" si="242"/>
        <v>6774.1935483870957</v>
      </c>
      <c r="N145">
        <v>10</v>
      </c>
      <c r="O145">
        <f t="shared" si="243"/>
        <v>266727.19032257801</v>
      </c>
      <c r="P145">
        <f t="shared" si="244"/>
        <v>6774.1935483870957</v>
      </c>
      <c r="RW145" s="1"/>
    </row>
    <row r="146" spans="2:491" hidden="1">
      <c r="B146">
        <v>11</v>
      </c>
      <c r="C146">
        <f t="shared" si="241"/>
        <v>293399.90935483581</v>
      </c>
      <c r="D146">
        <f t="shared" si="242"/>
        <v>7451.612903225805</v>
      </c>
      <c r="N146">
        <v>11</v>
      </c>
      <c r="O146">
        <f t="shared" si="243"/>
        <v>293399.90935483581</v>
      </c>
      <c r="P146">
        <f t="shared" si="244"/>
        <v>7451.612903225805</v>
      </c>
      <c r="RW146" s="1"/>
    </row>
    <row r="147" spans="2:491" hidden="1">
      <c r="B147">
        <v>12</v>
      </c>
      <c r="C147">
        <f t="shared" si="241"/>
        <v>320072.6283870936</v>
      </c>
      <c r="D147">
        <f t="shared" si="242"/>
        <v>8129.0322580645143</v>
      </c>
      <c r="N147">
        <v>12</v>
      </c>
      <c r="O147">
        <f t="shared" si="243"/>
        <v>320072.6283870936</v>
      </c>
      <c r="P147">
        <f t="shared" si="244"/>
        <v>8129.0322580645143</v>
      </c>
      <c r="RW147" s="1"/>
    </row>
    <row r="148" spans="2:491" hidden="1">
      <c r="B148">
        <v>13</v>
      </c>
      <c r="C148">
        <f t="shared" si="241"/>
        <v>346745.3474193514</v>
      </c>
      <c r="D148">
        <f t="shared" si="242"/>
        <v>8806.4516129032236</v>
      </c>
      <c r="N148">
        <v>13</v>
      </c>
      <c r="O148">
        <f t="shared" si="243"/>
        <v>346745.3474193514</v>
      </c>
      <c r="P148">
        <f t="shared" si="244"/>
        <v>8806.4516129032236</v>
      </c>
      <c r="RW148" s="1"/>
    </row>
    <row r="149" spans="2:491" hidden="1">
      <c r="B149">
        <v>14</v>
      </c>
      <c r="C149">
        <f t="shared" si="241"/>
        <v>373418.06645160919</v>
      </c>
      <c r="D149">
        <f t="shared" si="242"/>
        <v>9483.8709677419338</v>
      </c>
      <c r="N149">
        <v>14</v>
      </c>
      <c r="O149">
        <f t="shared" si="243"/>
        <v>373418.06645160919</v>
      </c>
      <c r="P149">
        <f t="shared" si="244"/>
        <v>9483.8709677419338</v>
      </c>
      <c r="RW149" s="1"/>
    </row>
    <row r="150" spans="2:491" hidden="1">
      <c r="B150">
        <v>15</v>
      </c>
      <c r="C150">
        <f t="shared" si="241"/>
        <v>400090.78548386699</v>
      </c>
      <c r="D150">
        <f t="shared" si="242"/>
        <v>10161.290322580644</v>
      </c>
      <c r="N150">
        <v>15</v>
      </c>
      <c r="O150">
        <f t="shared" si="243"/>
        <v>400090.78548386699</v>
      </c>
      <c r="P150">
        <f t="shared" si="244"/>
        <v>10161.290322580644</v>
      </c>
      <c r="RW150" s="1"/>
    </row>
    <row r="151" spans="2:491" hidden="1">
      <c r="B151">
        <v>16</v>
      </c>
      <c r="C151">
        <f t="shared" si="241"/>
        <v>426763.50451612478</v>
      </c>
      <c r="D151">
        <f t="shared" si="242"/>
        <v>10838.709677419354</v>
      </c>
      <c r="N151">
        <v>16</v>
      </c>
      <c r="O151">
        <f t="shared" si="243"/>
        <v>426763.50451612478</v>
      </c>
      <c r="P151">
        <f t="shared" si="244"/>
        <v>10838.709677419354</v>
      </c>
      <c r="RW151" s="1"/>
    </row>
    <row r="152" spans="2:491" hidden="1">
      <c r="B152">
        <v>17</v>
      </c>
      <c r="C152">
        <f t="shared" si="241"/>
        <v>453436.22354838258</v>
      </c>
      <c r="D152">
        <f t="shared" si="242"/>
        <v>11516.129032258064</v>
      </c>
      <c r="N152">
        <v>17</v>
      </c>
      <c r="O152">
        <f t="shared" si="243"/>
        <v>453436.22354838258</v>
      </c>
      <c r="P152">
        <f t="shared" si="244"/>
        <v>11516.129032258064</v>
      </c>
      <c r="RW152" s="1"/>
    </row>
    <row r="153" spans="2:491" hidden="1">
      <c r="B153">
        <v>18</v>
      </c>
      <c r="C153">
        <f t="shared" si="241"/>
        <v>480108.94258064037</v>
      </c>
      <c r="D153">
        <f t="shared" si="242"/>
        <v>12193.548387096775</v>
      </c>
      <c r="N153">
        <v>18</v>
      </c>
      <c r="O153">
        <f t="shared" si="243"/>
        <v>480108.94258064037</v>
      </c>
      <c r="P153">
        <f t="shared" si="244"/>
        <v>12193.548387096775</v>
      </c>
      <c r="RW153" s="1"/>
    </row>
    <row r="154" spans="2:491" hidden="1">
      <c r="B154">
        <v>19</v>
      </c>
      <c r="C154">
        <f t="shared" si="241"/>
        <v>506781.66161289817</v>
      </c>
      <c r="D154">
        <f t="shared" si="242"/>
        <v>12870.967741935485</v>
      </c>
      <c r="N154">
        <v>19</v>
      </c>
      <c r="O154">
        <f t="shared" si="243"/>
        <v>506781.66161289817</v>
      </c>
      <c r="P154">
        <f t="shared" si="244"/>
        <v>12870.967741935485</v>
      </c>
      <c r="RW154" s="1"/>
    </row>
    <row r="155" spans="2:491" hidden="1">
      <c r="B155">
        <v>20</v>
      </c>
      <c r="C155">
        <f t="shared" si="241"/>
        <v>533454.38064515602</v>
      </c>
      <c r="D155">
        <f t="shared" si="242"/>
        <v>13548.387096774195</v>
      </c>
      <c r="N155">
        <v>20</v>
      </c>
      <c r="O155">
        <f t="shared" si="243"/>
        <v>533454.38064515602</v>
      </c>
      <c r="P155">
        <f t="shared" si="244"/>
        <v>13548.387096774195</v>
      </c>
      <c r="RW155" s="1"/>
    </row>
    <row r="156" spans="2:491" hidden="1">
      <c r="B156">
        <v>21</v>
      </c>
      <c r="C156">
        <f t="shared" si="241"/>
        <v>560127.09967741382</v>
      </c>
      <c r="D156">
        <f t="shared" si="242"/>
        <v>14225.806451612905</v>
      </c>
      <c r="N156">
        <v>21</v>
      </c>
      <c r="O156">
        <f t="shared" si="243"/>
        <v>560127.09967741382</v>
      </c>
      <c r="P156">
        <f t="shared" si="244"/>
        <v>14225.806451612905</v>
      </c>
      <c r="RW156" s="1"/>
    </row>
    <row r="157" spans="2:491" hidden="1">
      <c r="B157">
        <v>22</v>
      </c>
      <c r="C157">
        <f t="shared" si="241"/>
        <v>586799.81870967161</v>
      </c>
      <c r="D157">
        <f t="shared" si="242"/>
        <v>14903.225806451615</v>
      </c>
      <c r="N157">
        <v>22</v>
      </c>
      <c r="O157">
        <f t="shared" si="243"/>
        <v>586799.81870967161</v>
      </c>
      <c r="P157">
        <f t="shared" si="244"/>
        <v>14903.225806451615</v>
      </c>
      <c r="RW157" s="1"/>
    </row>
    <row r="158" spans="2:491" hidden="1">
      <c r="B158">
        <v>23</v>
      </c>
      <c r="C158">
        <f t="shared" si="241"/>
        <v>613472.53774192941</v>
      </c>
      <c r="D158">
        <f t="shared" si="242"/>
        <v>15580.645161290326</v>
      </c>
      <c r="N158">
        <v>23</v>
      </c>
      <c r="O158">
        <f t="shared" si="243"/>
        <v>613472.53774192941</v>
      </c>
      <c r="P158">
        <f t="shared" si="244"/>
        <v>15580.645161290326</v>
      </c>
      <c r="RW158" s="1"/>
    </row>
    <row r="159" spans="2:491" hidden="1">
      <c r="B159">
        <v>24</v>
      </c>
      <c r="C159">
        <f t="shared" si="241"/>
        <v>640145.2567741872</v>
      </c>
      <c r="D159">
        <f t="shared" si="242"/>
        <v>16258.064516129036</v>
      </c>
      <c r="N159">
        <v>24</v>
      </c>
      <c r="O159">
        <f t="shared" si="243"/>
        <v>640145.2567741872</v>
      </c>
      <c r="P159">
        <f t="shared" si="244"/>
        <v>16258.064516129036</v>
      </c>
      <c r="RW159" s="1"/>
    </row>
    <row r="160" spans="2:491" hidden="1">
      <c r="B160">
        <v>25</v>
      </c>
      <c r="C160">
        <f t="shared" si="241"/>
        <v>666817.975806445</v>
      </c>
      <c r="D160">
        <f t="shared" si="242"/>
        <v>16935.483870967746</v>
      </c>
      <c r="N160">
        <v>25</v>
      </c>
      <c r="O160">
        <f t="shared" si="243"/>
        <v>666817.975806445</v>
      </c>
      <c r="P160">
        <f t="shared" si="244"/>
        <v>16935.483870967746</v>
      </c>
      <c r="RW160" s="1"/>
    </row>
    <row r="161" spans="2:491" hidden="1">
      <c r="B161">
        <v>26</v>
      </c>
      <c r="C161">
        <f t="shared" si="241"/>
        <v>693490.6948387028</v>
      </c>
      <c r="D161">
        <f t="shared" si="242"/>
        <v>17612.903225806454</v>
      </c>
      <c r="N161">
        <v>26</v>
      </c>
      <c r="O161">
        <f t="shared" si="243"/>
        <v>693490.6948387028</v>
      </c>
      <c r="P161">
        <f t="shared" si="244"/>
        <v>17612.903225806454</v>
      </c>
      <c r="RW161" s="1"/>
    </row>
    <row r="162" spans="2:491" hidden="1">
      <c r="B162">
        <v>27</v>
      </c>
      <c r="C162">
        <f t="shared" si="241"/>
        <v>720163.41387096059</v>
      </c>
      <c r="D162">
        <f t="shared" si="242"/>
        <v>18290.322580645163</v>
      </c>
      <c r="N162">
        <v>27</v>
      </c>
      <c r="O162">
        <f t="shared" si="243"/>
        <v>720163.41387096059</v>
      </c>
      <c r="P162">
        <f t="shared" si="244"/>
        <v>18290.322580645163</v>
      </c>
      <c r="RW162" s="1"/>
    </row>
    <row r="163" spans="2:491" hidden="1">
      <c r="B163">
        <v>28</v>
      </c>
      <c r="C163">
        <f t="shared" si="241"/>
        <v>746836.13290321839</v>
      </c>
      <c r="D163">
        <f t="shared" si="242"/>
        <v>18967.741935483871</v>
      </c>
      <c r="N163">
        <v>28</v>
      </c>
      <c r="O163">
        <f t="shared" si="243"/>
        <v>746836.13290321839</v>
      </c>
      <c r="P163">
        <f t="shared" si="244"/>
        <v>18967.741935483871</v>
      </c>
      <c r="RW163" s="1"/>
    </row>
    <row r="164" spans="2:491" hidden="1">
      <c r="B164">
        <v>29</v>
      </c>
      <c r="C164">
        <f t="shared" si="241"/>
        <v>773508.85193547618</v>
      </c>
      <c r="D164">
        <f t="shared" si="242"/>
        <v>19645.16129032258</v>
      </c>
      <c r="N164">
        <v>29</v>
      </c>
      <c r="O164">
        <f t="shared" si="243"/>
        <v>773508.85193547618</v>
      </c>
      <c r="P164">
        <f t="shared" si="244"/>
        <v>19645.16129032258</v>
      </c>
      <c r="RW164" s="1"/>
    </row>
    <row r="165" spans="2:491" hidden="1">
      <c r="B165">
        <v>30</v>
      </c>
      <c r="C165">
        <f t="shared" si="241"/>
        <v>800181.57096773398</v>
      </c>
      <c r="D165">
        <f t="shared" si="242"/>
        <v>20322.580645161288</v>
      </c>
      <c r="N165">
        <v>30</v>
      </c>
      <c r="O165">
        <f t="shared" si="243"/>
        <v>800181.57096773398</v>
      </c>
      <c r="P165">
        <f t="shared" si="244"/>
        <v>20322.580645161288</v>
      </c>
      <c r="RW165" s="1"/>
    </row>
    <row r="166" spans="2:491" hidden="1">
      <c r="B166">
        <v>31</v>
      </c>
      <c r="C166">
        <f t="shared" si="241"/>
        <v>826854.28999999177</v>
      </c>
      <c r="D166">
        <f t="shared" si="242"/>
        <v>20999.999999999996</v>
      </c>
      <c r="N166">
        <v>31</v>
      </c>
      <c r="O166">
        <f t="shared" si="243"/>
        <v>826854.28999999177</v>
      </c>
      <c r="P166">
        <f t="shared" si="244"/>
        <v>20999.999999999996</v>
      </c>
      <c r="RW166" s="1"/>
    </row>
    <row r="167" spans="2:491" hidden="1">
      <c r="RW167" s="1"/>
    </row>
    <row r="168" spans="2:491" hidden="1"/>
    <row r="169" spans="2:491" hidden="1"/>
    <row r="170" spans="2:491" hidden="1"/>
    <row r="171" spans="2:491" hidden="1"/>
    <row r="172" spans="2:491" hidden="1"/>
    <row r="173" spans="2:491" hidden="1"/>
    <row r="174" spans="2:491" hidden="1"/>
    <row r="175" spans="2:491" hidden="1"/>
    <row r="176" spans="2:491" hidden="1"/>
    <row r="177" spans="2:491" hidden="1">
      <c r="O177" s="479">
        <v>26672.719032257806</v>
      </c>
      <c r="P177" s="479">
        <v>806.45161290322585</v>
      </c>
      <c r="Q177" s="887">
        <f>P177/31</f>
        <v>26.014568158168576</v>
      </c>
      <c r="RW177" s="1"/>
    </row>
    <row r="178" spans="2:491" hidden="1">
      <c r="B178">
        <v>1</v>
      </c>
      <c r="C178">
        <f t="shared" ref="C178:C208" si="245">SUM(O178,W178,S178)</f>
        <v>26672.719032257806</v>
      </c>
      <c r="D178">
        <f t="shared" ref="D178:D208" si="246">SUM(P178,X178,T178)</f>
        <v>806.45161290322585</v>
      </c>
      <c r="N178">
        <v>1</v>
      </c>
      <c r="O178">
        <f>O177</f>
        <v>26672.719032257806</v>
      </c>
      <c r="P178">
        <f>P177</f>
        <v>806.45161290322585</v>
      </c>
      <c r="RW178" s="1"/>
    </row>
    <row r="179" spans="2:491" hidden="1">
      <c r="B179">
        <v>2</v>
      </c>
      <c r="C179">
        <f t="shared" si="245"/>
        <v>53345.438064515612</v>
      </c>
      <c r="D179">
        <f t="shared" si="246"/>
        <v>1612.9032258064517</v>
      </c>
      <c r="N179">
        <v>2</v>
      </c>
      <c r="O179">
        <f t="shared" ref="O179:O208" si="247">O178+($O$177)</f>
        <v>53345.438064515612</v>
      </c>
      <c r="P179">
        <f t="shared" ref="P179:P208" si="248">P178+($P$177)</f>
        <v>1612.9032258064517</v>
      </c>
      <c r="RW179" s="1"/>
    </row>
    <row r="180" spans="2:491" hidden="1">
      <c r="B180">
        <v>3</v>
      </c>
      <c r="C180">
        <f t="shared" si="245"/>
        <v>80018.157096773415</v>
      </c>
      <c r="D180">
        <f t="shared" si="246"/>
        <v>2419.3548387096776</v>
      </c>
      <c r="N180">
        <v>3</v>
      </c>
      <c r="O180">
        <f t="shared" si="247"/>
        <v>80018.157096773415</v>
      </c>
      <c r="P180">
        <f t="shared" si="248"/>
        <v>2419.3548387096776</v>
      </c>
      <c r="RW180" s="1"/>
    </row>
    <row r="181" spans="2:491" hidden="1">
      <c r="B181">
        <v>4</v>
      </c>
      <c r="C181">
        <f t="shared" si="245"/>
        <v>106690.87612903122</v>
      </c>
      <c r="D181">
        <f t="shared" si="246"/>
        <v>3225.8064516129034</v>
      </c>
      <c r="N181">
        <v>4</v>
      </c>
      <c r="O181">
        <f t="shared" si="247"/>
        <v>106690.87612903122</v>
      </c>
      <c r="P181">
        <f t="shared" si="248"/>
        <v>3225.8064516129034</v>
      </c>
      <c r="RW181" s="1"/>
    </row>
    <row r="182" spans="2:491" hidden="1">
      <c r="B182">
        <v>5</v>
      </c>
      <c r="C182">
        <f t="shared" si="245"/>
        <v>133363.59516128903</v>
      </c>
      <c r="D182">
        <f t="shared" si="246"/>
        <v>4032.2580645161293</v>
      </c>
      <c r="N182">
        <v>5</v>
      </c>
      <c r="O182">
        <f t="shared" si="247"/>
        <v>133363.59516128903</v>
      </c>
      <c r="P182">
        <f t="shared" si="248"/>
        <v>4032.2580645161293</v>
      </c>
      <c r="RW182" s="1"/>
    </row>
    <row r="183" spans="2:491" hidden="1">
      <c r="B183">
        <v>6</v>
      </c>
      <c r="C183">
        <f t="shared" si="245"/>
        <v>160036.31419354683</v>
      </c>
      <c r="D183">
        <f t="shared" si="246"/>
        <v>4838.7096774193551</v>
      </c>
      <c r="N183">
        <v>6</v>
      </c>
      <c r="O183">
        <f t="shared" si="247"/>
        <v>160036.31419354683</v>
      </c>
      <c r="P183">
        <f t="shared" si="248"/>
        <v>4838.7096774193551</v>
      </c>
      <c r="RW183" s="1"/>
    </row>
    <row r="184" spans="2:491" hidden="1">
      <c r="B184">
        <v>7</v>
      </c>
      <c r="C184">
        <f t="shared" si="245"/>
        <v>186709.03322580463</v>
      </c>
      <c r="D184">
        <f t="shared" si="246"/>
        <v>5645.1612903225814</v>
      </c>
      <c r="N184">
        <v>7</v>
      </c>
      <c r="O184">
        <f t="shared" si="247"/>
        <v>186709.03322580463</v>
      </c>
      <c r="P184">
        <f t="shared" si="248"/>
        <v>5645.1612903225814</v>
      </c>
      <c r="RW184" s="1"/>
    </row>
    <row r="185" spans="2:491" hidden="1">
      <c r="B185">
        <v>8</v>
      </c>
      <c r="C185">
        <f t="shared" si="245"/>
        <v>213381.75225806242</v>
      </c>
      <c r="D185">
        <f t="shared" si="246"/>
        <v>6451.6129032258068</v>
      </c>
      <c r="N185">
        <v>8</v>
      </c>
      <c r="O185">
        <f t="shared" si="247"/>
        <v>213381.75225806242</v>
      </c>
      <c r="P185">
        <f t="shared" si="248"/>
        <v>6451.6129032258068</v>
      </c>
      <c r="RW185" s="1"/>
    </row>
    <row r="186" spans="2:491" hidden="1">
      <c r="B186">
        <v>9</v>
      </c>
      <c r="C186">
        <f t="shared" si="245"/>
        <v>240054.47129032022</v>
      </c>
      <c r="D186">
        <f t="shared" si="246"/>
        <v>7258.0645161290322</v>
      </c>
      <c r="N186">
        <v>9</v>
      </c>
      <c r="O186">
        <f t="shared" si="247"/>
        <v>240054.47129032022</v>
      </c>
      <c r="P186">
        <f t="shared" si="248"/>
        <v>7258.0645161290322</v>
      </c>
      <c r="RW186" s="1"/>
    </row>
    <row r="187" spans="2:491" hidden="1">
      <c r="B187">
        <v>10</v>
      </c>
      <c r="C187">
        <f t="shared" si="245"/>
        <v>266727.19032257801</v>
      </c>
      <c r="D187">
        <f t="shared" si="246"/>
        <v>8064.5161290322576</v>
      </c>
      <c r="N187">
        <v>10</v>
      </c>
      <c r="O187">
        <f t="shared" si="247"/>
        <v>266727.19032257801</v>
      </c>
      <c r="P187">
        <f t="shared" si="248"/>
        <v>8064.5161290322576</v>
      </c>
      <c r="RW187" s="1"/>
    </row>
    <row r="188" spans="2:491" hidden="1">
      <c r="B188">
        <v>11</v>
      </c>
      <c r="C188">
        <f t="shared" si="245"/>
        <v>293399.90935483581</v>
      </c>
      <c r="D188">
        <f t="shared" si="246"/>
        <v>8870.967741935483</v>
      </c>
      <c r="N188">
        <v>11</v>
      </c>
      <c r="O188">
        <f t="shared" si="247"/>
        <v>293399.90935483581</v>
      </c>
      <c r="P188">
        <f t="shared" si="248"/>
        <v>8870.967741935483</v>
      </c>
      <c r="RW188" s="1"/>
    </row>
    <row r="189" spans="2:491" hidden="1">
      <c r="B189">
        <v>12</v>
      </c>
      <c r="C189">
        <f t="shared" si="245"/>
        <v>320072.6283870936</v>
      </c>
      <c r="D189">
        <f t="shared" si="246"/>
        <v>9677.4193548387084</v>
      </c>
      <c r="N189">
        <v>12</v>
      </c>
      <c r="O189">
        <f t="shared" si="247"/>
        <v>320072.6283870936</v>
      </c>
      <c r="P189">
        <f t="shared" si="248"/>
        <v>9677.4193548387084</v>
      </c>
      <c r="RW189" s="1"/>
    </row>
    <row r="190" spans="2:491" hidden="1">
      <c r="B190">
        <v>13</v>
      </c>
      <c r="C190">
        <f t="shared" si="245"/>
        <v>346745.3474193514</v>
      </c>
      <c r="D190">
        <f t="shared" si="246"/>
        <v>10483.870967741934</v>
      </c>
      <c r="N190">
        <v>13</v>
      </c>
      <c r="O190">
        <f t="shared" si="247"/>
        <v>346745.3474193514</v>
      </c>
      <c r="P190">
        <f t="shared" si="248"/>
        <v>10483.870967741934</v>
      </c>
      <c r="RW190" s="1"/>
    </row>
    <row r="191" spans="2:491" hidden="1">
      <c r="B191">
        <v>14</v>
      </c>
      <c r="C191">
        <f t="shared" si="245"/>
        <v>373418.06645160919</v>
      </c>
      <c r="D191">
        <f t="shared" si="246"/>
        <v>11290.322580645159</v>
      </c>
      <c r="N191">
        <v>14</v>
      </c>
      <c r="O191">
        <f t="shared" si="247"/>
        <v>373418.06645160919</v>
      </c>
      <c r="P191">
        <f t="shared" si="248"/>
        <v>11290.322580645159</v>
      </c>
      <c r="RW191" s="1"/>
    </row>
    <row r="192" spans="2:491" hidden="1">
      <c r="B192">
        <v>15</v>
      </c>
      <c r="C192">
        <f t="shared" si="245"/>
        <v>400090.78548386699</v>
      </c>
      <c r="D192">
        <f t="shared" si="246"/>
        <v>12096.774193548385</v>
      </c>
      <c r="N192">
        <v>15</v>
      </c>
      <c r="O192">
        <f t="shared" si="247"/>
        <v>400090.78548386699</v>
      </c>
      <c r="P192">
        <f t="shared" si="248"/>
        <v>12096.774193548385</v>
      </c>
      <c r="RW192" s="1"/>
    </row>
    <row r="193" spans="2:491" hidden="1">
      <c r="B193">
        <v>16</v>
      </c>
      <c r="C193">
        <f t="shared" si="245"/>
        <v>426763.50451612478</v>
      </c>
      <c r="D193">
        <f t="shared" si="246"/>
        <v>12903.22580645161</v>
      </c>
      <c r="N193">
        <v>16</v>
      </c>
      <c r="O193">
        <f t="shared" si="247"/>
        <v>426763.50451612478</v>
      </c>
      <c r="P193">
        <f t="shared" si="248"/>
        <v>12903.22580645161</v>
      </c>
      <c r="RW193" s="1"/>
    </row>
    <row r="194" spans="2:491" hidden="1">
      <c r="B194">
        <v>17</v>
      </c>
      <c r="C194">
        <f t="shared" si="245"/>
        <v>453436.22354838258</v>
      </c>
      <c r="D194">
        <f t="shared" si="246"/>
        <v>13709.677419354835</v>
      </c>
      <c r="N194">
        <v>17</v>
      </c>
      <c r="O194">
        <f t="shared" si="247"/>
        <v>453436.22354838258</v>
      </c>
      <c r="P194">
        <f t="shared" si="248"/>
        <v>13709.677419354835</v>
      </c>
      <c r="RW194" s="1"/>
    </row>
    <row r="195" spans="2:491" hidden="1">
      <c r="B195">
        <v>18</v>
      </c>
      <c r="C195">
        <f t="shared" si="245"/>
        <v>480108.94258064037</v>
      </c>
      <c r="D195">
        <f t="shared" si="246"/>
        <v>14516.129032258061</v>
      </c>
      <c r="N195">
        <v>18</v>
      </c>
      <c r="O195">
        <f t="shared" si="247"/>
        <v>480108.94258064037</v>
      </c>
      <c r="P195">
        <f t="shared" si="248"/>
        <v>14516.129032258061</v>
      </c>
      <c r="RW195" s="1"/>
    </row>
    <row r="196" spans="2:491" hidden="1">
      <c r="B196">
        <v>19</v>
      </c>
      <c r="C196">
        <f t="shared" si="245"/>
        <v>506781.66161289817</v>
      </c>
      <c r="D196">
        <f t="shared" si="246"/>
        <v>15322.580645161286</v>
      </c>
      <c r="N196">
        <v>19</v>
      </c>
      <c r="O196">
        <f t="shared" si="247"/>
        <v>506781.66161289817</v>
      </c>
      <c r="P196">
        <f t="shared" si="248"/>
        <v>15322.580645161286</v>
      </c>
      <c r="RW196" s="1"/>
    </row>
    <row r="197" spans="2:491" hidden="1">
      <c r="B197">
        <v>20</v>
      </c>
      <c r="C197">
        <f t="shared" si="245"/>
        <v>533454.38064515602</v>
      </c>
      <c r="D197">
        <f t="shared" si="246"/>
        <v>16129.032258064512</v>
      </c>
      <c r="N197">
        <v>20</v>
      </c>
      <c r="O197">
        <f t="shared" si="247"/>
        <v>533454.38064515602</v>
      </c>
      <c r="P197">
        <f t="shared" si="248"/>
        <v>16129.032258064512</v>
      </c>
      <c r="RW197" s="1"/>
    </row>
    <row r="198" spans="2:491" hidden="1">
      <c r="B198">
        <v>21</v>
      </c>
      <c r="C198">
        <f t="shared" si="245"/>
        <v>560127.09967741382</v>
      </c>
      <c r="D198">
        <f t="shared" si="246"/>
        <v>16935.483870967739</v>
      </c>
      <c r="N198">
        <v>21</v>
      </c>
      <c r="O198">
        <f t="shared" si="247"/>
        <v>560127.09967741382</v>
      </c>
      <c r="P198">
        <f t="shared" si="248"/>
        <v>16935.483870967739</v>
      </c>
      <c r="RW198" s="1"/>
    </row>
    <row r="199" spans="2:491" hidden="1">
      <c r="B199">
        <v>22</v>
      </c>
      <c r="C199">
        <f t="shared" si="245"/>
        <v>586799.81870967161</v>
      </c>
      <c r="D199">
        <f t="shared" si="246"/>
        <v>17741.935483870966</v>
      </c>
      <c r="N199">
        <v>22</v>
      </c>
      <c r="O199">
        <f t="shared" si="247"/>
        <v>586799.81870967161</v>
      </c>
      <c r="P199">
        <f t="shared" si="248"/>
        <v>17741.935483870966</v>
      </c>
      <c r="RW199" s="1"/>
    </row>
    <row r="200" spans="2:491" hidden="1">
      <c r="B200">
        <v>23</v>
      </c>
      <c r="C200">
        <f t="shared" si="245"/>
        <v>613472.53774192941</v>
      </c>
      <c r="D200">
        <f t="shared" si="246"/>
        <v>18548.387096774193</v>
      </c>
      <c r="N200">
        <v>23</v>
      </c>
      <c r="O200">
        <f t="shared" si="247"/>
        <v>613472.53774192941</v>
      </c>
      <c r="P200">
        <f t="shared" si="248"/>
        <v>18548.387096774193</v>
      </c>
      <c r="RW200" s="1"/>
    </row>
    <row r="201" spans="2:491" hidden="1">
      <c r="B201">
        <v>24</v>
      </c>
      <c r="C201">
        <f t="shared" si="245"/>
        <v>640145.2567741872</v>
      </c>
      <c r="D201">
        <f t="shared" si="246"/>
        <v>19354.83870967742</v>
      </c>
      <c r="N201">
        <v>24</v>
      </c>
      <c r="O201">
        <f t="shared" si="247"/>
        <v>640145.2567741872</v>
      </c>
      <c r="P201">
        <f t="shared" si="248"/>
        <v>19354.83870967742</v>
      </c>
      <c r="RW201" s="1"/>
    </row>
    <row r="202" spans="2:491" hidden="1">
      <c r="B202">
        <v>25</v>
      </c>
      <c r="C202">
        <f t="shared" si="245"/>
        <v>666817.975806445</v>
      </c>
      <c r="D202">
        <f t="shared" si="246"/>
        <v>20161.290322580648</v>
      </c>
      <c r="N202">
        <v>25</v>
      </c>
      <c r="O202">
        <f t="shared" si="247"/>
        <v>666817.975806445</v>
      </c>
      <c r="P202">
        <f t="shared" si="248"/>
        <v>20161.290322580648</v>
      </c>
      <c r="RW202" s="1"/>
    </row>
    <row r="203" spans="2:491" hidden="1">
      <c r="B203">
        <v>26</v>
      </c>
      <c r="C203">
        <f t="shared" si="245"/>
        <v>693490.6948387028</v>
      </c>
      <c r="D203">
        <f t="shared" si="246"/>
        <v>20967.741935483875</v>
      </c>
      <c r="N203">
        <v>26</v>
      </c>
      <c r="O203">
        <f t="shared" si="247"/>
        <v>693490.6948387028</v>
      </c>
      <c r="P203">
        <f t="shared" si="248"/>
        <v>20967.741935483875</v>
      </c>
      <c r="RW203" s="1"/>
    </row>
    <row r="204" spans="2:491" hidden="1">
      <c r="B204">
        <v>27</v>
      </c>
      <c r="C204">
        <f t="shared" si="245"/>
        <v>720163.41387096059</v>
      </c>
      <c r="D204">
        <f t="shared" si="246"/>
        <v>21774.193548387102</v>
      </c>
      <c r="N204">
        <v>27</v>
      </c>
      <c r="O204">
        <f t="shared" si="247"/>
        <v>720163.41387096059</v>
      </c>
      <c r="P204">
        <f t="shared" si="248"/>
        <v>21774.193548387102</v>
      </c>
      <c r="RW204" s="1"/>
    </row>
    <row r="205" spans="2:491" hidden="1">
      <c r="B205">
        <v>28</v>
      </c>
      <c r="C205">
        <f t="shared" si="245"/>
        <v>746836.13290321839</v>
      </c>
      <c r="D205">
        <f t="shared" si="246"/>
        <v>22580.645161290329</v>
      </c>
      <c r="N205">
        <v>28</v>
      </c>
      <c r="O205">
        <f t="shared" si="247"/>
        <v>746836.13290321839</v>
      </c>
      <c r="P205">
        <f t="shared" si="248"/>
        <v>22580.645161290329</v>
      </c>
      <c r="RW205" s="1"/>
    </row>
    <row r="206" spans="2:491" hidden="1">
      <c r="B206">
        <v>29</v>
      </c>
      <c r="C206">
        <f t="shared" si="245"/>
        <v>773508.85193547618</v>
      </c>
      <c r="D206">
        <f t="shared" si="246"/>
        <v>23387.096774193556</v>
      </c>
      <c r="N206">
        <v>29</v>
      </c>
      <c r="O206">
        <f t="shared" si="247"/>
        <v>773508.85193547618</v>
      </c>
      <c r="P206">
        <f t="shared" si="248"/>
        <v>23387.096774193556</v>
      </c>
      <c r="RW206" s="1"/>
    </row>
    <row r="207" spans="2:491" hidden="1">
      <c r="B207">
        <v>30</v>
      </c>
      <c r="C207">
        <f t="shared" si="245"/>
        <v>800181.57096773398</v>
      </c>
      <c r="D207">
        <f t="shared" si="246"/>
        <v>24193.548387096784</v>
      </c>
      <c r="N207">
        <v>30</v>
      </c>
      <c r="O207">
        <f t="shared" si="247"/>
        <v>800181.57096773398</v>
      </c>
      <c r="P207">
        <f t="shared" si="248"/>
        <v>24193.548387096784</v>
      </c>
      <c r="RW207" s="1"/>
    </row>
    <row r="208" spans="2:491" hidden="1">
      <c r="B208">
        <v>31</v>
      </c>
      <c r="C208">
        <f t="shared" si="245"/>
        <v>826854.28999999177</v>
      </c>
      <c r="D208">
        <f t="shared" si="246"/>
        <v>25000.000000000011</v>
      </c>
      <c r="N208">
        <v>31</v>
      </c>
      <c r="O208">
        <f t="shared" si="247"/>
        <v>826854.28999999177</v>
      </c>
      <c r="P208">
        <f t="shared" si="248"/>
        <v>25000.000000000011</v>
      </c>
      <c r="RW208" s="1"/>
    </row>
    <row r="209" spans="16:491" hidden="1">
      <c r="RW209" s="1"/>
    </row>
    <row r="210" spans="16:491" hidden="1">
      <c r="AA210" s="1"/>
      <c r="AB210" s="887">
        <f>(AB43+X43)/30</f>
        <v>2000</v>
      </c>
      <c r="BM210" s="887">
        <f>BM43/30</f>
        <v>1500</v>
      </c>
      <c r="BP210" s="887" t="e">
        <f>#REF!/30</f>
        <v>#REF!</v>
      </c>
      <c r="BV210" s="887">
        <f>BV43/30</f>
        <v>2000</v>
      </c>
      <c r="RW210" s="1"/>
    </row>
    <row r="211" spans="16:491" hidden="1">
      <c r="P211" s="887">
        <f>P43/31</f>
        <v>4354.8387096774195</v>
      </c>
      <c r="BY211" s="887">
        <f>BY43/30</f>
        <v>0</v>
      </c>
      <c r="JK211" s="887"/>
      <c r="LX211" s="1074"/>
      <c r="RW211" s="1"/>
    </row>
    <row r="212" spans="16:491" hidden="1">
      <c r="AB212" s="887">
        <f>X41+AB41</f>
        <v>60329.42</v>
      </c>
      <c r="RW212" s="1"/>
    </row>
    <row r="213" spans="16:491" hidden="1">
      <c r="GR213" s="887"/>
      <c r="RW213" s="1"/>
    </row>
    <row r="214" spans="16:491" hidden="1">
      <c r="P214">
        <f>1600*7</f>
        <v>11200</v>
      </c>
    </row>
    <row r="215" spans="16:491" hidden="1"/>
    <row r="216" spans="16:491" hidden="1"/>
    <row r="217" spans="16:491" hidden="1">
      <c r="RQ217">
        <v>2412020236</v>
      </c>
    </row>
    <row r="218" spans="16:491" hidden="1"/>
    <row r="219" spans="16:491" hidden="1"/>
    <row r="220" spans="16:491" hidden="1"/>
    <row r="221" spans="16:491" hidden="1"/>
    <row r="222" spans="16:491" hidden="1"/>
    <row r="223" spans="16:491" hidden="1"/>
    <row r="224" spans="16:491" hidden="1">
      <c r="JH224" s="887">
        <f>JH43/31</f>
        <v>8548.3870967741932</v>
      </c>
    </row>
    <row r="225" spans="20:20" hidden="1"/>
    <row r="226" spans="20:20" hidden="1"/>
    <row r="228" spans="20:20">
      <c r="T228" s="887">
        <f>P41+T41+AB41</f>
        <v>160241.98000000004</v>
      </c>
    </row>
    <row r="300" spans="28:271">
      <c r="AB300" s="1">
        <f>AB43-AB41</f>
        <v>-4985.42</v>
      </c>
      <c r="JK300" s="887"/>
    </row>
    <row r="301" spans="28:271">
      <c r="JI301" s="1">
        <f>JH41+JI41</f>
        <v>349232.9</v>
      </c>
    </row>
  </sheetData>
  <mergeCells count="202">
    <mergeCell ref="AA8:AD9"/>
    <mergeCell ref="RM8:RR8"/>
    <mergeCell ref="RU8:RX8"/>
    <mergeCell ref="PZ6:PZ7"/>
    <mergeCell ref="QA6:QA7"/>
    <mergeCell ref="MO6:MS6"/>
    <mergeCell ref="MT6:MT7"/>
    <mergeCell ref="MW6:MW7"/>
    <mergeCell ref="MX6:MX7"/>
    <mergeCell ref="MY6:MY7"/>
    <mergeCell ref="MZ6:MZ7"/>
    <mergeCell ref="OZ6:PE6"/>
    <mergeCell ref="PF6:PF7"/>
    <mergeCell ref="NB6:ND6"/>
    <mergeCell ref="NE6:NE7"/>
    <mergeCell ref="NF6:NP6"/>
    <mergeCell ref="NR6:NR7"/>
    <mergeCell ref="NS6:OC6"/>
    <mergeCell ref="OE6:OE7"/>
    <mergeCell ref="OS6:OX6"/>
    <mergeCell ref="OY6:OY7"/>
    <mergeCell ref="QB6:QB7"/>
    <mergeCell ref="QC6:QC7"/>
    <mergeCell ref="QD6:QD7"/>
    <mergeCell ref="RY8:SB8"/>
    <mergeCell ref="JN48:JO48"/>
    <mergeCell ref="QI6:QI7"/>
    <mergeCell ref="RH6:RJ6"/>
    <mergeCell ref="RK6:RK7"/>
    <mergeCell ref="QE6:QG6"/>
    <mergeCell ref="PM6:PM7"/>
    <mergeCell ref="PN6:PN7"/>
    <mergeCell ref="PO6:PO7"/>
    <mergeCell ref="PR6:PS6"/>
    <mergeCell ref="PT6:PX6"/>
    <mergeCell ref="PY6:PY7"/>
    <mergeCell ref="PG5:PG40"/>
    <mergeCell ref="MC6:MG6"/>
    <mergeCell ref="MH6:MH7"/>
    <mergeCell ref="MI6:MM6"/>
    <mergeCell ref="MN6:MN7"/>
    <mergeCell ref="PR5:QI5"/>
    <mergeCell ref="QJ5:QJ40"/>
    <mergeCell ref="QL5:QM5"/>
    <mergeCell ref="QO5:QP5"/>
    <mergeCell ref="PI6:PI7"/>
    <mergeCell ref="PJ6:PJ7"/>
    <mergeCell ref="PK6:PK7"/>
    <mergeCell ref="CS6:CS7"/>
    <mergeCell ref="CT6:CT7"/>
    <mergeCell ref="CU6:CU7"/>
    <mergeCell ref="EX6:EX7"/>
    <mergeCell ref="FA6:FA7"/>
    <mergeCell ref="FB6:FB7"/>
    <mergeCell ref="FC6:FC7"/>
    <mergeCell ref="FD6:FD7"/>
    <mergeCell ref="FE6:FE7"/>
    <mergeCell ref="CY6:CY7"/>
    <mergeCell ref="CZ6:CZ7"/>
    <mergeCell ref="DA6:DA7"/>
    <mergeCell ref="DB6:DB7"/>
    <mergeCell ref="DC6:DC7"/>
    <mergeCell ref="DE6:DO6"/>
    <mergeCell ref="DQ6:DQ7"/>
    <mergeCell ref="DR6:EB6"/>
    <mergeCell ref="ED6:ED7"/>
    <mergeCell ref="EE6:EO6"/>
    <mergeCell ref="EQ6:EQ7"/>
    <mergeCell ref="ER6:EW6"/>
    <mergeCell ref="CV6:CV7"/>
    <mergeCell ref="CW6:CW7"/>
    <mergeCell ref="CX6:CX7"/>
    <mergeCell ref="CI6:CI7"/>
    <mergeCell ref="CJ6:CJ7"/>
    <mergeCell ref="CK6:CK7"/>
    <mergeCell ref="CL6:CL7"/>
    <mergeCell ref="CM6:CM7"/>
    <mergeCell ref="CN6:CN7"/>
    <mergeCell ref="CO6:CO7"/>
    <mergeCell ref="CQ6:CQ7"/>
    <mergeCell ref="CR6:CR7"/>
    <mergeCell ref="BI6:BK6"/>
    <mergeCell ref="BL6:BN6"/>
    <mergeCell ref="BO6:BQ6"/>
    <mergeCell ref="BR6:BT6"/>
    <mergeCell ref="BU6:BW6"/>
    <mergeCell ref="BX6:BZ6"/>
    <mergeCell ref="CA6:CC6"/>
    <mergeCell ref="CD6:CF6"/>
    <mergeCell ref="CH6:CH7"/>
    <mergeCell ref="GR6:GR7"/>
    <mergeCell ref="JL6:JL7"/>
    <mergeCell ref="JN6:JU6"/>
    <mergeCell ref="JV6:KC6"/>
    <mergeCell ref="KD6:KK6"/>
    <mergeCell ref="KL6:KL7"/>
    <mergeCell ref="KN6:KR6"/>
    <mergeCell ref="GX6:HK6"/>
    <mergeCell ref="IB6:IO6"/>
    <mergeCell ref="IP6:IP7"/>
    <mergeCell ref="IQ6:JD6"/>
    <mergeCell ref="JE6:JE7"/>
    <mergeCell ref="JH6:JH7"/>
    <mergeCell ref="JI6:JI7"/>
    <mergeCell ref="JJ6:JJ7"/>
    <mergeCell ref="JK6:JK7"/>
    <mergeCell ref="IA6:IA7"/>
    <mergeCell ref="FG6:FL6"/>
    <mergeCell ref="FM6:FM7"/>
    <mergeCell ref="FN6:FS6"/>
    <mergeCell ref="FT6:FT7"/>
    <mergeCell ref="FU6:GE6"/>
    <mergeCell ref="GG6:GG7"/>
    <mergeCell ref="GJ6:GL6"/>
    <mergeCell ref="GM6:GM7"/>
    <mergeCell ref="GP6:GP7"/>
    <mergeCell ref="QR5:QW5"/>
    <mergeCell ref="QY5:RD5"/>
    <mergeCell ref="C6:C7"/>
    <mergeCell ref="D6:D7"/>
    <mergeCell ref="E6:E7"/>
    <mergeCell ref="F6:G6"/>
    <mergeCell ref="H6:I6"/>
    <mergeCell ref="J6:K6"/>
    <mergeCell ref="L6:M6"/>
    <mergeCell ref="O6:R6"/>
    <mergeCell ref="LJ6:LM6"/>
    <mergeCell ref="LN6:LN7"/>
    <mergeCell ref="LO6:LO7"/>
    <mergeCell ref="LQ6:LU6"/>
    <mergeCell ref="LV6:LV7"/>
    <mergeCell ref="LW6:MB6"/>
    <mergeCell ref="JN5:KL5"/>
    <mergeCell ref="KM5:KM40"/>
    <mergeCell ref="KN5:LC5"/>
    <mergeCell ref="LD5:LD40"/>
    <mergeCell ref="LF5:LO5"/>
    <mergeCell ref="LP5:LP40"/>
    <mergeCell ref="KS6:KW6"/>
    <mergeCell ref="KX6:LB6"/>
    <mergeCell ref="LF4:MU4"/>
    <mergeCell ref="MW4:PG4"/>
    <mergeCell ref="PI4:PP4"/>
    <mergeCell ref="LQ5:MT5"/>
    <mergeCell ref="MU5:MU40"/>
    <mergeCell ref="MW5:MZ5"/>
    <mergeCell ref="NA5:NA40"/>
    <mergeCell ref="OF6:OP6"/>
    <mergeCell ref="OR6:OR7"/>
    <mergeCell ref="PI5:PO5"/>
    <mergeCell ref="PP5:PP40"/>
    <mergeCell ref="NB5:PF5"/>
    <mergeCell ref="PL6:PL7"/>
    <mergeCell ref="LF6:LI6"/>
    <mergeCell ref="LC6:LC7"/>
    <mergeCell ref="PR4:QJ4"/>
    <mergeCell ref="FA5:FE5"/>
    <mergeCell ref="FF5:FF40"/>
    <mergeCell ref="FG5:GG5"/>
    <mergeCell ref="GH5:GH40"/>
    <mergeCell ref="AQ6:AS6"/>
    <mergeCell ref="AT6:AV6"/>
    <mergeCell ref="AW6:AY6"/>
    <mergeCell ref="AZ6:BB6"/>
    <mergeCell ref="BC6:BE6"/>
    <mergeCell ref="BF6:BH6"/>
    <mergeCell ref="JH5:JL5"/>
    <mergeCell ref="JM5:JM40"/>
    <mergeCell ref="GS6:GS7"/>
    <mergeCell ref="GT6:GT7"/>
    <mergeCell ref="GU6:GU7"/>
    <mergeCell ref="GV6:GV7"/>
    <mergeCell ref="GR5:GV5"/>
    <mergeCell ref="GW5:GW40"/>
    <mergeCell ref="GX5:JE5"/>
    <mergeCell ref="JF5:JF40"/>
    <mergeCell ref="HL6:HL7"/>
    <mergeCell ref="HM6:HZ6"/>
    <mergeCell ref="B4:B7"/>
    <mergeCell ref="C4:CO4"/>
    <mergeCell ref="CQ4:EY4"/>
    <mergeCell ref="FA4:GH4"/>
    <mergeCell ref="GJ4:JF4"/>
    <mergeCell ref="JH4:LD4"/>
    <mergeCell ref="CQ5:DC5"/>
    <mergeCell ref="DD5:DD40"/>
    <mergeCell ref="DE5:EX5"/>
    <mergeCell ref="EY5:EY40"/>
    <mergeCell ref="C5:M5"/>
    <mergeCell ref="N5:N40"/>
    <mergeCell ref="O5:AL5"/>
    <mergeCell ref="AM5:AM40"/>
    <mergeCell ref="AN5:CF5"/>
    <mergeCell ref="CH5:CN5"/>
    <mergeCell ref="AA6:AD6"/>
    <mergeCell ref="AE6:AH6"/>
    <mergeCell ref="AI6:AL6"/>
    <mergeCell ref="AN6:AP6"/>
    <mergeCell ref="S6:V6"/>
    <mergeCell ref="W6:Z6"/>
    <mergeCell ref="GJ5:GP5"/>
    <mergeCell ref="GQ5:GQ40"/>
  </mergeCells>
  <conditionalFormatting sqref="B10:B40">
    <cfRule type="expression" dxfId="289" priority="17" stopIfTrue="1">
      <formula>SUMIFS($AQ10:$CF10,$AQ$7:$CF$7,"ROM")&lt;&gt;SUM($DQ10,$ED10,$EQ10,$PX10)</formula>
    </cfRule>
    <cfRule type="expression" dxfId="288" priority="18" stopIfTrue="1">
      <formula>OR(SUM(GR10:GU10)&lt;&gt;SUM(HL10,IP10,JE10),SUM(HL10,IP10,JE10)&lt;&gt;SUM(JH10:JJ10))</formula>
    </cfRule>
    <cfRule type="expression" dxfId="287" priority="19">
      <formula>OR(SUM(#REF!)&lt;&gt;SUM(P1048567,AE1048567,AT1048567),SUM(P1048567,AE1048567,AT1048567)&lt;&gt;SUM(AW1048567:AY1048567))</formula>
    </cfRule>
  </conditionalFormatting>
  <conditionalFormatting sqref="C10:CC10 CE10:JJ10 JM10:QI10 BN11:CC11 CE11:CL11 CN11:JG11 JI11:JJ11 U11:W15 NE11:NK18 X11:Z23 JM11:LU32 C11:R40 T11:T40 AA11:AA40 AC11:BM40 CM11:CM40 LV11:NA40 NL11:QI40 NB11:ND42 AB11:AB44 S11:S45 BZ12:CC18 CE12:CG18 BY12:BY19 BN12:BX29 CH12:CL37 U16:U17 W16:W17 U18:W23 BZ19:CG19 NF19:NK20 NE19:NE25 BY20:CG29 NG21:NK24 NF21:NF25 V24:Z40 U24:U44 NG25:NG31 NH25:NK33 NE26:NF31 BN30:CG37 NE32:NG33 JM33:KR33 KX33:LU34 KS33:KW35 JS34:KR35 JM34:JR36 NE34:NK40 KX35:LN35 LP35:LU36 JS36:LN36 JM37:LU40 BN38:CL40 T43">
    <cfRule type="expression" dxfId="286" priority="16">
      <formula>$B10=DAY(TODAY()-1)</formula>
    </cfRule>
  </conditionalFormatting>
  <conditionalFormatting sqref="O10:R40">
    <cfRule type="expression" dxfId="285" priority="13">
      <formula>OR(AND(O10&lt;(O$45-(10%*O$45)),O$7="OB"),AND(O10&lt;(O$45-(10%*O$45)),O$7="ROM"))</formula>
    </cfRule>
  </conditionalFormatting>
  <conditionalFormatting sqref="S10:T10 T11:T40 S11:S45 T43">
    <cfRule type="expression" dxfId="284" priority="12">
      <formula>OR(AND(S10&lt;(S$45-(10%*S$45)),S$7="OB"),AND(S10&lt;(S$45-(10%*S$45)),S$7="ROM"))</formula>
    </cfRule>
  </conditionalFormatting>
  <conditionalFormatting sqref="V16">
    <cfRule type="expression" dxfId="283" priority="20">
      <formula>$B16=DAY(TODAY()-1)</formula>
    </cfRule>
  </conditionalFormatting>
  <conditionalFormatting sqref="W10:X40">
    <cfRule type="expression" dxfId="282" priority="9">
      <formula>OR(AND(W10&lt;(W$45-(10%*W$45)),W$7="OB"),AND(W10&lt;(W$45-(10%*W$45)),W$7="ROM"))</formula>
    </cfRule>
  </conditionalFormatting>
  <conditionalFormatting sqref="Y10:AD10 AG10:BK10 BN10:BZ10 U10:V16 BN11:BY11 AK11:BK33 Y11:AA40 AC11:AD40 AG11:AJ40 BZ11:BZ40 AB11:AB44 BN12:BW12 BX12:BY29 BN13:BR15 BS13:BW21 BO16:BR16 U17 BN17:BR21 U18:V23 BN22:BW29 V24:V40 U24:U44 BN30:BY40 O40">
    <cfRule type="expression" dxfId="281" priority="15">
      <formula>OR(AND(O10&lt;(O$45-(10%*O$45)),O$7="OB"),AND(O10&lt;(O$45-(10%*O$45)),O$7="ROM"))</formula>
    </cfRule>
  </conditionalFormatting>
  <conditionalFormatting sqref="AE10:AF40">
    <cfRule type="expression" dxfId="280" priority="10">
      <formula>OR(AND(AE10&lt;(AE$45-(10%*AE$45)),AE$7="OB"),AND(AE10&lt;(AE$45-(10%*AE$45)),AE$7="ROM"))</formula>
    </cfRule>
  </conditionalFormatting>
  <conditionalFormatting sqref="BL10:BM33 AK34:BM40">
    <cfRule type="expression" dxfId="279" priority="11">
      <formula>OR(AND(AK10&lt;(AK$45-(10%*AK$45)),AK$7="OB"),AND(AK10&lt;(AK$45-(10%*AK$45)),AK$7="ROM"))</formula>
    </cfRule>
  </conditionalFormatting>
  <conditionalFormatting sqref="CA10:CF40">
    <cfRule type="expression" dxfId="278" priority="6">
      <formula>OR(AND(CA10&lt;(CA$45-(10%*CA$45)),CA$7="OB"),AND(CA10&lt;(CA$45-(10%*CA$45)),CA$7="ROM"))</formula>
    </cfRule>
  </conditionalFormatting>
  <conditionalFormatting sqref="CD10:CD18">
    <cfRule type="expression" dxfId="277" priority="7">
      <formula>$B10=DAY(TODAY()-1)</formula>
    </cfRule>
  </conditionalFormatting>
  <conditionalFormatting sqref="CN12:JJ40">
    <cfRule type="expression" dxfId="276" priority="3">
      <formula>$B12=DAY(TODAY()-1)</formula>
    </cfRule>
  </conditionalFormatting>
  <conditionalFormatting sqref="ED1">
    <cfRule type="expression" dxfId="275" priority="2">
      <formula>$B1=DAY(TODAY()-1)</formula>
    </cfRule>
  </conditionalFormatting>
  <conditionalFormatting sqref="EE10">
    <cfRule type="expression" dxfId="274" priority="5">
      <formula>OR(AND(EE10&lt;(EE$45-(10%*EE$45)),EE$7="OB"),AND(EE10&lt;(EE$45-(10%*EE$45)),EE$7="ROM"))</formula>
    </cfRule>
  </conditionalFormatting>
  <conditionalFormatting sqref="EG21">
    <cfRule type="expression" dxfId="273" priority="8">
      <formula>OR(AND(EG21&lt;(EG$45-(10%*EG$45)),EG$7="OB"),AND(EG21&lt;(EG$45-(10%*EG$45)),EG$7="ROM"))</formula>
    </cfRule>
  </conditionalFormatting>
  <conditionalFormatting sqref="JK10:JL40">
    <cfRule type="expression" dxfId="272" priority="4">
      <formula>$B10=DAY(TODAY()-1)</formula>
    </cfRule>
  </conditionalFormatting>
  <conditionalFormatting sqref="OI1">
    <cfRule type="expression" dxfId="271" priority="1">
      <formula>$B1=DAY(TODAY()-1)</formula>
    </cfRule>
  </conditionalFormatting>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1:SF301"/>
  <sheetViews>
    <sheetView showGridLines="0" zoomScale="65" zoomScaleNormal="65" workbookViewId="0">
      <pane xSplit="2" ySplit="9" topLeftCell="ON19" activePane="bottomRight" state="frozen"/>
      <selection pane="topRight" activeCell="BM11" sqref="BM11"/>
      <selection pane="bottomLeft" activeCell="BM11" sqref="BM11"/>
      <selection pane="bottomRight" activeCell="PN9" sqref="PN9"/>
    </sheetView>
  </sheetViews>
  <sheetFormatPr defaultColWidth="8.6640625" defaultRowHeight="14.4"/>
  <cols>
    <col min="1" max="1" width="2.33203125" customWidth="1"/>
    <col min="2" max="2" width="7.33203125" customWidth="1"/>
    <col min="3" max="3" width="15.33203125" customWidth="1"/>
    <col min="4" max="4" width="13" customWidth="1"/>
    <col min="5" max="5" width="10.44140625" customWidth="1"/>
    <col min="6" max="7" width="10.44140625" hidden="1" customWidth="1"/>
    <col min="8" max="8" width="13.6640625" customWidth="1"/>
    <col min="9" max="9" width="10.44140625" customWidth="1"/>
    <col min="10" max="10" width="12.33203125" customWidth="1"/>
    <col min="11" max="11" width="11.5546875" customWidth="1"/>
    <col min="12" max="12" width="10" customWidth="1"/>
    <col min="13" max="13" width="8.6640625" customWidth="1"/>
    <col min="14" max="14" width="5" customWidth="1"/>
    <col min="15" max="15" width="14.6640625" customWidth="1"/>
    <col min="16" max="16" width="16.6640625" customWidth="1"/>
    <col min="17" max="17" width="11.6640625" customWidth="1"/>
    <col min="18" max="18" width="8.33203125" customWidth="1"/>
    <col min="19" max="19" width="12.6640625" customWidth="1"/>
    <col min="20" max="20" width="15.33203125" customWidth="1"/>
    <col min="21" max="21" width="10.33203125" customWidth="1"/>
    <col min="22" max="22" width="8.6640625" customWidth="1"/>
    <col min="23" max="23" width="13" customWidth="1"/>
    <col min="24" max="24" width="13.6640625" customWidth="1"/>
    <col min="25" max="26" width="9.33203125" customWidth="1"/>
    <col min="27" max="27" width="15.44140625" customWidth="1"/>
    <col min="28" max="28" width="12.6640625" customWidth="1"/>
    <col min="29" max="30" width="9.33203125" customWidth="1"/>
    <col min="31" max="31" width="14.33203125" hidden="1" customWidth="1"/>
    <col min="32" max="33" width="12.6640625" hidden="1" customWidth="1"/>
    <col min="34" max="34" width="8.6640625" hidden="1" customWidth="1"/>
    <col min="35" max="35" width="10.33203125" hidden="1" customWidth="1"/>
    <col min="36" max="36" width="9.33203125" hidden="1" customWidth="1"/>
    <col min="37" max="38" width="8.6640625" hidden="1" customWidth="1"/>
    <col min="39" max="39" width="1.33203125" customWidth="1"/>
    <col min="40" max="40" width="12" hidden="1" customWidth="1"/>
    <col min="41" max="42" width="8.6640625" hidden="1" customWidth="1"/>
    <col min="43" max="43" width="14.5546875" hidden="1" customWidth="1"/>
    <col min="44" max="45" width="12.33203125" hidden="1" customWidth="1"/>
    <col min="46" max="46" width="14.6640625" hidden="1" customWidth="1"/>
    <col min="47" max="47" width="11.44140625" hidden="1" customWidth="1"/>
    <col min="48" max="48" width="11.6640625" hidden="1" customWidth="1"/>
    <col min="49" max="49" width="14.5546875" customWidth="1"/>
    <col min="50" max="50" width="12.33203125" customWidth="1"/>
    <col min="51" max="51" width="11.33203125" customWidth="1"/>
    <col min="52" max="52" width="8.5546875" hidden="1" customWidth="1"/>
    <col min="53" max="53" width="8.6640625" hidden="1" customWidth="1"/>
    <col min="54" max="54" width="9.33203125" hidden="1" customWidth="1"/>
    <col min="55" max="55" width="11.5546875" customWidth="1"/>
    <col min="56" max="56" width="11.44140625" customWidth="1"/>
    <col min="57" max="57" width="10.44140625" customWidth="1"/>
    <col min="58" max="58" width="13.6640625" hidden="1" customWidth="1"/>
    <col min="59" max="59" width="15.33203125" hidden="1" customWidth="1"/>
    <col min="60" max="60" width="9.33203125" hidden="1" customWidth="1"/>
    <col min="61" max="61" width="11.6640625" hidden="1" customWidth="1"/>
    <col min="62" max="62" width="12.33203125" hidden="1" customWidth="1"/>
    <col min="63" max="63" width="8.6640625" hidden="1" customWidth="1"/>
    <col min="64" max="64" width="13.109375" customWidth="1"/>
    <col min="65" max="65" width="12.33203125" customWidth="1"/>
    <col min="66" max="66" width="8.6640625" customWidth="1"/>
    <col min="67" max="67" width="11.44140625" hidden="1" customWidth="1"/>
    <col min="68" max="68" width="14.6640625" hidden="1" customWidth="1"/>
    <col min="69" max="69" width="10.6640625" hidden="1" customWidth="1"/>
    <col min="70" max="71" width="11.44140625" hidden="1" customWidth="1"/>
    <col min="72" max="72" width="8.6640625" hidden="1" customWidth="1"/>
    <col min="73" max="73" width="13.33203125" customWidth="1"/>
    <col min="74" max="74" width="12.6640625" customWidth="1"/>
    <col min="75" max="75" width="11.88671875" customWidth="1"/>
    <col min="76" max="76" width="13.5546875" hidden="1" customWidth="1"/>
    <col min="77" max="77" width="12.33203125" hidden="1" customWidth="1"/>
    <col min="78" max="78" width="9.33203125" hidden="1" customWidth="1"/>
    <col min="79" max="79" width="12.6640625" hidden="1" customWidth="1"/>
    <col min="80" max="80" width="11.33203125" hidden="1" customWidth="1"/>
    <col min="81" max="81" width="9.33203125" hidden="1" customWidth="1"/>
    <col min="82" max="82" width="13.44140625" hidden="1" customWidth="1"/>
    <col min="83" max="83" width="13" hidden="1" customWidth="1"/>
    <col min="84" max="84" width="9.33203125" hidden="1" customWidth="1"/>
    <col min="85" max="85" width="7.6640625" customWidth="1"/>
    <col min="86" max="87" width="10.6640625" customWidth="1"/>
    <col min="88" max="88" width="12.33203125" customWidth="1"/>
    <col min="89" max="89" width="11" customWidth="1"/>
    <col min="90" max="90" width="0" hidden="1" customWidth="1"/>
    <col min="91" max="91" width="9.88671875" customWidth="1"/>
    <col min="92" max="92" width="0" hidden="1" customWidth="1"/>
    <col min="93" max="93" width="18.33203125" customWidth="1"/>
    <col min="94" max="94" width="6.6640625" customWidth="1"/>
    <col min="96" max="96" width="11.6640625" bestFit="1" customWidth="1"/>
    <col min="98" max="98" width="11.6640625" bestFit="1" customWidth="1"/>
    <col min="100" max="100" width="11.6640625" bestFit="1" customWidth="1"/>
    <col min="102" max="102" width="11.6640625" bestFit="1" customWidth="1"/>
    <col min="103" max="103" width="11.5546875" customWidth="1"/>
    <col min="104" max="104" width="11.6640625" bestFit="1" customWidth="1"/>
    <col min="105" max="105" width="10.33203125" customWidth="1"/>
    <col min="106" max="106" width="11.6640625" bestFit="1" customWidth="1"/>
    <col min="107" max="107" width="13.33203125" bestFit="1" customWidth="1"/>
    <col min="108" max="108" width="7.6640625" customWidth="1"/>
    <col min="109" max="109" width="12.33203125" customWidth="1"/>
    <col min="110" max="110" width="11.6640625" bestFit="1" customWidth="1"/>
    <col min="111" max="111" width="11.6640625" customWidth="1"/>
    <col min="112" max="112" width="11.6640625" bestFit="1" customWidth="1"/>
    <col min="113" max="113" width="12.5546875" bestFit="1" customWidth="1"/>
    <col min="114" max="114" width="11.6640625" bestFit="1" customWidth="1"/>
    <col min="115" max="115" width="12.5546875" customWidth="1"/>
    <col min="116" max="116" width="11.6640625" bestFit="1" customWidth="1"/>
    <col min="117" max="117" width="12.6640625" bestFit="1" customWidth="1"/>
    <col min="118" max="118" width="11.6640625" bestFit="1" customWidth="1"/>
    <col min="119" max="119" width="12.33203125" customWidth="1"/>
    <col min="120" max="120" width="11.6640625" bestFit="1" customWidth="1"/>
    <col min="121" max="121" width="13.6640625" bestFit="1" customWidth="1"/>
    <col min="122" max="122" width="11.33203125" customWidth="1"/>
    <col min="123" max="123" width="16.6640625" customWidth="1"/>
    <col min="124" max="124" width="9.6640625" customWidth="1"/>
    <col min="125" max="125" width="11.6640625" bestFit="1" customWidth="1"/>
    <col min="126" max="126" width="10.33203125" bestFit="1" customWidth="1"/>
    <col min="127" max="127" width="11.6640625" bestFit="1" customWidth="1"/>
    <col min="128" max="128" width="10.33203125" customWidth="1"/>
    <col min="129" max="129" width="11.6640625" bestFit="1" customWidth="1"/>
    <col min="130" max="130" width="12.33203125" customWidth="1"/>
    <col min="131" max="131" width="10.33203125" customWidth="1"/>
    <col min="132" max="132" width="9.33203125" customWidth="1"/>
    <col min="133" max="133" width="11.6640625" bestFit="1" customWidth="1"/>
    <col min="134" max="134" width="14.6640625" customWidth="1"/>
    <col min="135" max="135" width="12.6640625" bestFit="1" customWidth="1"/>
    <col min="136" max="136" width="12.33203125" customWidth="1"/>
    <col min="137" max="137" width="12.6640625" bestFit="1" customWidth="1"/>
    <col min="138" max="138" width="12.33203125" customWidth="1"/>
    <col min="139" max="139" width="12.6640625" bestFit="1" customWidth="1"/>
    <col min="140" max="140" width="12.33203125" customWidth="1"/>
    <col min="141" max="141" width="12.6640625" bestFit="1" customWidth="1"/>
    <col min="142" max="142" width="12.33203125" customWidth="1"/>
    <col min="143" max="143" width="12.6640625" bestFit="1" customWidth="1"/>
    <col min="144" max="144" width="12.33203125" customWidth="1"/>
    <col min="145" max="145" width="12.6640625" bestFit="1" customWidth="1"/>
    <col min="146" max="146" width="11.6640625" customWidth="1"/>
    <col min="147" max="147" width="12.6640625" customWidth="1"/>
    <col min="148" max="154" width="8.6640625" hidden="1" customWidth="1"/>
    <col min="155" max="155" width="1.33203125" customWidth="1"/>
    <col min="156" max="156" width="6.6640625" customWidth="1"/>
    <col min="159" max="159" width="9.33203125" bestFit="1" customWidth="1"/>
    <col min="162" max="162" width="1.33203125" customWidth="1"/>
    <col min="163" max="176" width="8.6640625" hidden="1" customWidth="1"/>
    <col min="177" max="177" width="7.33203125" bestFit="1" customWidth="1"/>
    <col min="178" max="178" width="11.6640625" bestFit="1" customWidth="1"/>
    <col min="179" max="179" width="6.6640625" bestFit="1" customWidth="1"/>
    <col min="180" max="180" width="11.6640625" bestFit="1" customWidth="1"/>
    <col min="181" max="181" width="6.6640625" bestFit="1" customWidth="1"/>
    <col min="182" max="182" width="11.6640625" bestFit="1" customWidth="1"/>
    <col min="183" max="183" width="6.6640625" bestFit="1" customWidth="1"/>
    <col min="184" max="184" width="11.6640625" bestFit="1" customWidth="1"/>
    <col min="185" max="185" width="10.33203125" bestFit="1" customWidth="1"/>
    <col min="186" max="186" width="11.6640625" bestFit="1" customWidth="1"/>
    <col min="187" max="187" width="6.6640625" bestFit="1" customWidth="1"/>
    <col min="188" max="188" width="11.6640625" bestFit="1" customWidth="1"/>
    <col min="190" max="190" width="1.33203125" customWidth="1"/>
    <col min="191" max="191" width="6.6640625" customWidth="1"/>
    <col min="192" max="192" width="13" customWidth="1"/>
    <col min="193" max="193" width="13.44140625" customWidth="1"/>
    <col min="194" max="194" width="14.33203125" customWidth="1"/>
    <col min="195" max="195" width="17.33203125" customWidth="1"/>
    <col min="196" max="196" width="10.33203125" hidden="1" customWidth="1"/>
    <col min="197" max="197" width="8.6640625" hidden="1" customWidth="1"/>
    <col min="198" max="198" width="45.33203125" customWidth="1"/>
    <col min="199" max="199" width="1.33203125" customWidth="1"/>
    <col min="200" max="200" width="15.44140625" customWidth="1"/>
    <col min="201" max="202" width="13.33203125" customWidth="1"/>
    <col min="203" max="203" width="12.33203125" customWidth="1"/>
    <col min="204" max="204" width="15.33203125" customWidth="1"/>
    <col min="205" max="205" width="1.33203125" customWidth="1"/>
    <col min="206" max="206" width="13.5546875" customWidth="1"/>
    <col min="207" max="207" width="12.33203125" customWidth="1"/>
    <col min="208" max="208" width="13.33203125" customWidth="1"/>
    <col min="209" max="209" width="13" customWidth="1"/>
    <col min="210" max="210" width="12.6640625" customWidth="1"/>
    <col min="211" max="211" width="14.44140625" customWidth="1"/>
    <col min="212" max="212" width="12" customWidth="1"/>
    <col min="213" max="214" width="11.6640625" customWidth="1"/>
    <col min="215" max="215" width="13" customWidth="1"/>
    <col min="216" max="216" width="11.5546875" customWidth="1"/>
    <col min="217" max="217" width="11.6640625" customWidth="1"/>
    <col min="218" max="218" width="10.44140625" customWidth="1"/>
    <col min="219" max="219" width="10.33203125" customWidth="1"/>
    <col min="220" max="220" width="11.44140625" customWidth="1"/>
    <col min="221" max="234" width="10.44140625" hidden="1" customWidth="1"/>
    <col min="235" max="235" width="0.5546875" hidden="1" customWidth="1"/>
    <col min="236" max="236" width="11.33203125" customWidth="1"/>
    <col min="237" max="237" width="11.6640625" customWidth="1"/>
    <col min="238" max="238" width="10.33203125" customWidth="1"/>
    <col min="239" max="239" width="11.6640625" customWidth="1"/>
    <col min="240" max="240" width="12.33203125" bestFit="1" customWidth="1"/>
    <col min="241" max="241" width="11.6640625" bestFit="1" customWidth="1"/>
    <col min="242" max="242" width="12" customWidth="1"/>
    <col min="243" max="243" width="11.6640625" bestFit="1" customWidth="1"/>
    <col min="244" max="244" width="12.33203125" bestFit="1" customWidth="1"/>
    <col min="245" max="245" width="11.6640625" bestFit="1" customWidth="1"/>
    <col min="246" max="246" width="13.33203125" customWidth="1"/>
    <col min="247" max="247" width="12.33203125" customWidth="1"/>
    <col min="248" max="249" width="8.6640625" customWidth="1"/>
    <col min="250" max="250" width="13" customWidth="1"/>
    <col min="251" max="251" width="10.6640625" customWidth="1"/>
    <col min="252" max="252" width="11.6640625" bestFit="1" customWidth="1"/>
    <col min="253" max="253" width="9.44140625" customWidth="1"/>
    <col min="254" max="254" width="11.6640625" bestFit="1" customWidth="1"/>
    <col min="255" max="256" width="12" bestFit="1" customWidth="1"/>
    <col min="257" max="257" width="10.5546875" customWidth="1"/>
    <col min="258" max="258" width="11.6640625" bestFit="1" customWidth="1"/>
    <col min="259" max="259" width="12.5546875" bestFit="1" customWidth="1"/>
    <col min="260" max="260" width="12" bestFit="1" customWidth="1"/>
    <col min="261" max="261" width="11.6640625" customWidth="1"/>
    <col min="262" max="262" width="11.6640625" bestFit="1" customWidth="1"/>
    <col min="265" max="265" width="13" customWidth="1"/>
    <col min="266" max="266" width="1.33203125" customWidth="1"/>
    <col min="267" max="267" width="6.6640625" customWidth="1"/>
    <col min="268" max="268" width="15.33203125" customWidth="1"/>
    <col min="269" max="269" width="16" customWidth="1"/>
    <col min="270" max="270" width="15.5546875" bestFit="1" customWidth="1"/>
    <col min="271" max="271" width="13.6640625" customWidth="1"/>
    <col min="272" max="272" width="13" bestFit="1" customWidth="1"/>
    <col min="273" max="273" width="3.6640625" customWidth="1"/>
    <col min="274" max="274" width="9.6640625" customWidth="1"/>
    <col min="276" max="276" width="12.33203125" bestFit="1" customWidth="1"/>
    <col min="278" max="278" width="11.5546875" customWidth="1"/>
    <col min="282" max="286" width="8.6640625" customWidth="1"/>
    <col min="287" max="287" width="9.33203125" customWidth="1"/>
    <col min="288" max="289" width="8.6640625" customWidth="1"/>
    <col min="296" max="296" width="8.6640625" customWidth="1"/>
    <col min="297" max="297" width="6.33203125" customWidth="1"/>
    <col min="299" max="299" width="1.33203125" customWidth="1"/>
    <col min="305" max="305" width="10.33203125" customWidth="1"/>
    <col min="306" max="306" width="8.33203125" customWidth="1"/>
    <col min="307" max="309" width="8.6640625" customWidth="1"/>
    <col min="315" max="315" width="0" hidden="1" customWidth="1"/>
    <col min="316" max="316" width="1.33203125" customWidth="1"/>
    <col min="317" max="317" width="6.6640625" customWidth="1"/>
    <col min="318" max="318" width="16.33203125" customWidth="1"/>
    <col min="319" max="319" width="15.33203125" customWidth="1"/>
    <col min="320" max="320" width="15.109375" customWidth="1"/>
    <col min="321" max="321" width="14.33203125" bestFit="1" customWidth="1"/>
    <col min="322" max="322" width="15.88671875" customWidth="1"/>
    <col min="323" max="323" width="13.44140625" bestFit="1" customWidth="1"/>
    <col min="325" max="325" width="0" hidden="1" customWidth="1"/>
    <col min="327" max="327" width="49.33203125" customWidth="1"/>
    <col min="328" max="328" width="1.33203125" customWidth="1"/>
    <col min="329" max="329" width="15.33203125" customWidth="1"/>
    <col min="330" max="330" width="10.33203125" bestFit="1" customWidth="1"/>
    <col min="331" max="331" width="13.6640625" bestFit="1" customWidth="1"/>
    <col min="332" max="332" width="9.44140625" customWidth="1"/>
    <col min="333" max="333" width="9.6640625" customWidth="1"/>
    <col min="334" max="334" width="12.33203125" customWidth="1"/>
    <col min="335" max="335" width="10.44140625" bestFit="1" customWidth="1"/>
    <col min="336" max="336" width="11.33203125" customWidth="1"/>
    <col min="337" max="337" width="13.6640625" bestFit="1" customWidth="1"/>
    <col min="338" max="338" width="12" bestFit="1" customWidth="1"/>
    <col min="339" max="339" width="13" bestFit="1" customWidth="1"/>
    <col min="340" max="340" width="9.6640625" bestFit="1" customWidth="1"/>
    <col min="341" max="341" width="9.33203125" bestFit="1" customWidth="1"/>
    <col min="342" max="342" width="12.6640625" customWidth="1"/>
    <col min="343" max="343" width="13.6640625" bestFit="1" customWidth="1"/>
    <col min="344" max="344" width="9.44140625" bestFit="1" customWidth="1"/>
    <col min="345" max="345" width="9.6640625" bestFit="1" customWidth="1"/>
    <col min="346" max="346" width="13.5546875" bestFit="1" customWidth="1"/>
    <col min="347" max="347" width="7.6640625" customWidth="1"/>
    <col min="348" max="348" width="9.33203125" customWidth="1"/>
    <col min="349" max="349" width="15.5546875" customWidth="1"/>
    <col min="350" max="350" width="9.44140625" customWidth="1"/>
    <col min="351" max="351" width="9.6640625" customWidth="1"/>
    <col min="352" max="352" width="13.5546875" customWidth="1"/>
    <col min="353" max="354" width="9.33203125" customWidth="1"/>
    <col min="355" max="355" width="15.5546875" customWidth="1"/>
    <col min="356" max="356" width="9.44140625" customWidth="1"/>
    <col min="357" max="357" width="9.6640625" customWidth="1"/>
    <col min="358" max="358" width="8.6640625" customWidth="1"/>
    <col min="359" max="359" width="1.33203125" customWidth="1"/>
    <col min="360" max="360" width="6.6640625" customWidth="1"/>
    <col min="361" max="361" width="13" customWidth="1"/>
    <col min="362" max="362" width="12.33203125" customWidth="1"/>
    <col min="364" max="364" width="12" customWidth="1"/>
    <col min="365" max="365" width="1.33203125" customWidth="1"/>
    <col min="366" max="366" width="17.33203125" customWidth="1"/>
    <col min="367" max="368" width="17.6640625" customWidth="1"/>
    <col min="369" max="369" width="15.33203125" customWidth="1"/>
    <col min="370" max="370" width="13.6640625" hidden="1" customWidth="1"/>
    <col min="371" max="371" width="14.44140625" hidden="1" customWidth="1"/>
    <col min="372" max="372" width="12.33203125" hidden="1" customWidth="1"/>
    <col min="373" max="373" width="11.6640625" hidden="1" customWidth="1"/>
    <col min="374" max="374" width="12" hidden="1" customWidth="1"/>
    <col min="375" max="375" width="11.6640625" hidden="1" customWidth="1"/>
    <col min="376" max="376" width="13.33203125" hidden="1" customWidth="1"/>
    <col min="377" max="377" width="13.44140625" hidden="1" customWidth="1"/>
    <col min="378" max="378" width="10.33203125" customWidth="1"/>
    <col min="379" max="379" width="11.6640625" hidden="1" customWidth="1"/>
    <col min="380" max="380" width="9.33203125" customWidth="1"/>
    <col min="381" max="381" width="11.6640625" bestFit="1" customWidth="1"/>
    <col min="382" max="382" width="11.5546875" bestFit="1" customWidth="1"/>
    <col min="383" max="383" width="12.33203125" hidden="1" customWidth="1"/>
    <col min="384" max="384" width="11.6640625" hidden="1" customWidth="1"/>
    <col min="385" max="385" width="11.33203125" hidden="1" customWidth="1"/>
    <col min="386" max="386" width="11.6640625" hidden="1" customWidth="1"/>
    <col min="387" max="387" width="10.33203125" hidden="1" customWidth="1"/>
    <col min="388" max="388" width="11.6640625" hidden="1" customWidth="1"/>
    <col min="389" max="389" width="12.33203125" customWidth="1"/>
    <col min="390" max="390" width="11.6640625" hidden="1" customWidth="1"/>
    <col min="391" max="391" width="13.44140625" customWidth="1"/>
    <col min="392" max="392" width="14.6640625" hidden="1" customWidth="1"/>
    <col min="393" max="393" width="11.33203125" bestFit="1" customWidth="1"/>
    <col min="394" max="394" width="12.6640625" hidden="1" customWidth="1"/>
    <col min="395" max="395" width="12.33203125" customWidth="1"/>
    <col min="396" max="396" width="10" hidden="1" customWidth="1"/>
    <col min="397" max="397" width="11.6640625" hidden="1" customWidth="1"/>
    <col min="398" max="398" width="9.6640625" hidden="1" customWidth="1"/>
    <col min="399" max="399" width="11.6640625" hidden="1" customWidth="1"/>
    <col min="400" max="400" width="11" hidden="1" customWidth="1"/>
    <col min="401" max="401" width="11.6640625" hidden="1" customWidth="1"/>
    <col min="402" max="402" width="9.6640625" hidden="1" customWidth="1"/>
    <col min="403" max="403" width="11.6640625" hidden="1" customWidth="1"/>
    <col min="404" max="404" width="10.6640625" customWidth="1"/>
    <col min="405" max="405" width="11.6640625" hidden="1" customWidth="1"/>
    <col min="406" max="406" width="8.33203125" customWidth="1"/>
    <col min="407" max="407" width="11.6640625" hidden="1" customWidth="1"/>
    <col min="408" max="408" width="13.6640625" customWidth="1"/>
    <col min="409" max="409" width="9.33203125" hidden="1" customWidth="1"/>
    <col min="410" max="410" width="9.5546875" hidden="1" customWidth="1"/>
    <col min="411" max="414" width="9.33203125" hidden="1" customWidth="1"/>
    <col min="415" max="415" width="9.5546875" hidden="1" customWidth="1"/>
    <col min="416" max="419" width="8.6640625" hidden="1" customWidth="1"/>
    <col min="420" max="420" width="13.44140625" hidden="1" customWidth="1"/>
    <col min="421" max="421" width="8.6640625" hidden="1" customWidth="1"/>
    <col min="422" max="422" width="9.33203125" hidden="1" customWidth="1"/>
    <col min="423" max="423" width="1.33203125" customWidth="1"/>
    <col min="424" max="424" width="6.6640625" customWidth="1"/>
    <col min="425" max="425" width="11.6640625" customWidth="1"/>
    <col min="426" max="428" width="9.5546875" customWidth="1"/>
    <col min="429" max="429" width="11.5546875" customWidth="1"/>
    <col min="430" max="430" width="11.88671875" customWidth="1"/>
    <col min="431" max="431" width="15.6640625" customWidth="1"/>
    <col min="432" max="432" width="1.33203125" customWidth="1"/>
    <col min="433" max="433" width="6.6640625" customWidth="1"/>
    <col min="434" max="435" width="14" customWidth="1"/>
    <col min="437" max="438" width="12.33203125" customWidth="1"/>
    <col min="439" max="440" width="14" customWidth="1"/>
    <col min="441" max="441" width="10.6640625" customWidth="1"/>
    <col min="442" max="442" width="12" bestFit="1" customWidth="1"/>
    <col min="443" max="443" width="11.33203125" customWidth="1"/>
    <col min="444" max="446" width="12" customWidth="1"/>
    <col min="447" max="447" width="12.6640625" customWidth="1"/>
    <col min="448" max="448" width="11.5546875" customWidth="1"/>
    <col min="449" max="449" width="14.33203125" customWidth="1"/>
    <col min="450" max="450" width="14.33203125" hidden="1" customWidth="1"/>
    <col min="460" max="475" width="0" hidden="1" customWidth="1"/>
    <col min="476" max="476" width="12.33203125" hidden="1" customWidth="1"/>
    <col min="477" max="479" width="8.6640625" hidden="1" customWidth="1"/>
    <col min="480" max="480" width="8.6640625" customWidth="1"/>
    <col min="481" max="482" width="11.33203125" customWidth="1"/>
    <col min="483" max="483" width="10" bestFit="1" customWidth="1"/>
    <col min="484" max="484" width="10" customWidth="1"/>
    <col min="485" max="485" width="18.33203125" bestFit="1" customWidth="1"/>
    <col min="486" max="486" width="19.5546875" bestFit="1" customWidth="1"/>
    <col min="491" max="491" width="19.5546875" bestFit="1" customWidth="1"/>
    <col min="500" max="500" width="16.88671875" customWidth="1"/>
  </cols>
  <sheetData>
    <row r="1" spans="1:500">
      <c r="AQ1" s="887"/>
      <c r="AR1" s="887"/>
      <c r="AW1" s="887"/>
      <c r="AX1" s="887"/>
      <c r="BF1" s="887"/>
      <c r="BG1" s="887"/>
      <c r="BI1" s="887"/>
      <c r="BJ1" s="887"/>
      <c r="BO1" s="887"/>
      <c r="BP1" s="887"/>
      <c r="BR1" s="887"/>
      <c r="BS1" s="887"/>
      <c r="CI1" s="1">
        <f>CE28+CB28</f>
        <v>0</v>
      </c>
      <c r="ED1" s="28">
        <v>668.31000000000006</v>
      </c>
      <c r="EJ1" s="281"/>
      <c r="GM1">
        <v>6835.7999999999993</v>
      </c>
      <c r="GO1" s="314"/>
      <c r="JH1" s="106"/>
      <c r="JI1" s="106"/>
      <c r="JJ1" s="106"/>
      <c r="LM1" s="106"/>
      <c r="ND1" s="98"/>
      <c r="NE1" s="98"/>
      <c r="NF1" s="145"/>
      <c r="NK1" s="1"/>
      <c r="OI1" s="72"/>
      <c r="PO1" s="1"/>
      <c r="PR1" s="1"/>
      <c r="RW1" s="1"/>
    </row>
    <row r="2" spans="1:500">
      <c r="BS2" s="1"/>
      <c r="BV2" s="1"/>
      <c r="CE2" s="1"/>
      <c r="DE2">
        <v>214.42</v>
      </c>
      <c r="DM2" s="852"/>
      <c r="DQ2" s="25"/>
      <c r="EG2" s="281"/>
      <c r="EH2" s="281"/>
      <c r="GO2" s="314"/>
      <c r="IY2" s="106"/>
      <c r="LZ2">
        <v>3250.7799999997887</v>
      </c>
      <c r="NC2">
        <v>45772.269007624804</v>
      </c>
      <c r="ND2" s="145"/>
      <c r="NE2" s="98"/>
      <c r="NH2" s="1"/>
      <c r="NL2" s="98"/>
      <c r="NM2" s="98"/>
      <c r="NN2" s="98">
        <f>NL2+NM2</f>
        <v>0</v>
      </c>
      <c r="NU2" s="1"/>
      <c r="OO2" s="1"/>
      <c r="OR2" s="1"/>
      <c r="PJ2">
        <v>1588.98</v>
      </c>
      <c r="PO2">
        <v>-820.9</v>
      </c>
      <c r="QL2" t="s">
        <v>209</v>
      </c>
      <c r="RW2" s="1"/>
    </row>
    <row r="3" spans="1:500">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489"/>
      <c r="AR3" s="489"/>
      <c r="AS3" s="145"/>
      <c r="AT3" s="489"/>
      <c r="AU3" s="489"/>
      <c r="AV3" s="145"/>
      <c r="AW3" s="489"/>
      <c r="AX3" s="489"/>
      <c r="AY3" s="145"/>
      <c r="AZ3" s="145"/>
      <c r="BA3" s="145"/>
      <c r="BB3" s="145"/>
      <c r="BC3" s="145"/>
      <c r="BD3" s="145"/>
      <c r="BE3" s="145"/>
      <c r="BF3" s="489"/>
      <c r="BG3" s="489"/>
      <c r="BH3" s="145"/>
      <c r="BI3" s="489"/>
      <c r="BJ3" s="489"/>
      <c r="BK3" s="145"/>
      <c r="BL3" s="489"/>
      <c r="BM3" s="489"/>
      <c r="BN3" s="145"/>
      <c r="BO3" s="489"/>
      <c r="BP3" s="489"/>
      <c r="BQ3" s="145"/>
      <c r="BR3" s="489"/>
      <c r="BS3" s="489"/>
      <c r="BT3" s="145"/>
      <c r="BU3" s="489"/>
      <c r="BV3" s="489"/>
      <c r="BW3" s="145"/>
      <c r="BX3" s="489"/>
      <c r="BY3" s="489"/>
      <c r="BZ3" s="145"/>
      <c r="CA3" s="489"/>
      <c r="CB3" s="489">
        <f>CB43/31</f>
        <v>0</v>
      </c>
      <c r="CC3" s="145"/>
      <c r="CD3" s="489">
        <f>CD43/31</f>
        <v>0</v>
      </c>
      <c r="CE3" s="489">
        <f>CE43/31</f>
        <v>0</v>
      </c>
      <c r="CF3" s="145"/>
      <c r="CG3" s="145"/>
      <c r="CH3" s="145"/>
      <c r="CI3" s="145"/>
      <c r="CJ3" s="145"/>
      <c r="CK3" s="145"/>
      <c r="CL3" s="145"/>
      <c r="CM3" s="145"/>
      <c r="CN3" s="145"/>
      <c r="CO3" s="145"/>
      <c r="DM3" s="95"/>
      <c r="DO3" s="95"/>
      <c r="EE3" s="1"/>
      <c r="EF3" s="1"/>
      <c r="GO3" s="314"/>
      <c r="ND3" s="145"/>
      <c r="NE3" s="98"/>
      <c r="NH3" s="1"/>
      <c r="RW3" s="1"/>
    </row>
    <row r="4" spans="1:500" s="39" customFormat="1" ht="36" customHeight="1">
      <c r="B4" s="2625" t="s">
        <v>103</v>
      </c>
      <c r="C4" s="2692" t="s">
        <v>104</v>
      </c>
      <c r="D4" s="2693"/>
      <c r="E4" s="2693"/>
      <c r="F4" s="2693"/>
      <c r="G4" s="2693"/>
      <c r="H4" s="2693"/>
      <c r="I4" s="2693"/>
      <c r="J4" s="2693"/>
      <c r="K4" s="2693"/>
      <c r="L4" s="2693"/>
      <c r="M4" s="2693"/>
      <c r="N4" s="2693"/>
      <c r="O4" s="2693"/>
      <c r="P4" s="2693"/>
      <c r="Q4" s="2693"/>
      <c r="R4" s="2693"/>
      <c r="S4" s="2693"/>
      <c r="T4" s="2693"/>
      <c r="U4" s="2693"/>
      <c r="V4" s="2693"/>
      <c r="W4" s="2693"/>
      <c r="X4" s="2693"/>
      <c r="Y4" s="2693"/>
      <c r="Z4" s="2693"/>
      <c r="AA4" s="2693"/>
      <c r="AB4" s="2693"/>
      <c r="AC4" s="2693"/>
      <c r="AD4" s="2693"/>
      <c r="AE4" s="2693"/>
      <c r="AF4" s="2693"/>
      <c r="AG4" s="2693"/>
      <c r="AH4" s="2693"/>
      <c r="AI4" s="2693"/>
      <c r="AJ4" s="2693"/>
      <c r="AK4" s="2693"/>
      <c r="AL4" s="2693"/>
      <c r="AM4" s="2693"/>
      <c r="AN4" s="2693"/>
      <c r="AO4" s="2693"/>
      <c r="AP4" s="2693"/>
      <c r="AQ4" s="2693"/>
      <c r="AR4" s="2693"/>
      <c r="AS4" s="2693"/>
      <c r="AT4" s="2693"/>
      <c r="AU4" s="2693"/>
      <c r="AV4" s="2693"/>
      <c r="AW4" s="2693"/>
      <c r="AX4" s="2693"/>
      <c r="AY4" s="2693"/>
      <c r="AZ4" s="2693"/>
      <c r="BA4" s="2693"/>
      <c r="BB4" s="2693"/>
      <c r="BC4" s="2693"/>
      <c r="BD4" s="2693"/>
      <c r="BE4" s="2693"/>
      <c r="BF4" s="2693"/>
      <c r="BG4" s="2693"/>
      <c r="BH4" s="2693"/>
      <c r="BI4" s="2693"/>
      <c r="BJ4" s="2693"/>
      <c r="BK4" s="2693"/>
      <c r="BL4" s="2693"/>
      <c r="BM4" s="2693"/>
      <c r="BN4" s="2693"/>
      <c r="BO4" s="2693"/>
      <c r="BP4" s="2693"/>
      <c r="BQ4" s="2693"/>
      <c r="BR4" s="2693"/>
      <c r="BS4" s="2693"/>
      <c r="BT4" s="2693"/>
      <c r="BU4" s="2693"/>
      <c r="BV4" s="2693"/>
      <c r="BW4" s="2693"/>
      <c r="BX4" s="2693"/>
      <c r="BY4" s="2693"/>
      <c r="BZ4" s="2693"/>
      <c r="CA4" s="2693"/>
      <c r="CB4" s="2693"/>
      <c r="CC4" s="2693"/>
      <c r="CD4" s="2693"/>
      <c r="CE4" s="2693"/>
      <c r="CF4" s="2693"/>
      <c r="CG4" s="2693"/>
      <c r="CH4" s="2693"/>
      <c r="CI4" s="2693"/>
      <c r="CJ4" s="2693"/>
      <c r="CK4" s="2693"/>
      <c r="CL4" s="2693"/>
      <c r="CM4" s="2693"/>
      <c r="CN4" s="2693"/>
      <c r="CO4" s="2694"/>
      <c r="CQ4" s="2646" t="s">
        <v>105</v>
      </c>
      <c r="CR4" s="2647"/>
      <c r="CS4" s="2647"/>
      <c r="CT4" s="2647"/>
      <c r="CU4" s="2647"/>
      <c r="CV4" s="2647"/>
      <c r="CW4" s="2647"/>
      <c r="CX4" s="2647"/>
      <c r="CY4" s="2647"/>
      <c r="CZ4" s="2647"/>
      <c r="DA4" s="2647"/>
      <c r="DB4" s="2647"/>
      <c r="DC4" s="2647"/>
      <c r="DD4" s="2647"/>
      <c r="DE4" s="2647"/>
      <c r="DF4" s="2647"/>
      <c r="DG4" s="2647"/>
      <c r="DH4" s="2647"/>
      <c r="DI4" s="2647"/>
      <c r="DJ4" s="2647"/>
      <c r="DK4" s="2647"/>
      <c r="DL4" s="2647"/>
      <c r="DM4" s="2647"/>
      <c r="DN4" s="2647"/>
      <c r="DO4" s="2647"/>
      <c r="DP4" s="2647"/>
      <c r="DQ4" s="2647"/>
      <c r="DR4" s="2647"/>
      <c r="DS4" s="2647"/>
      <c r="DT4" s="2647"/>
      <c r="DU4" s="2647"/>
      <c r="DV4" s="2647"/>
      <c r="DW4" s="2647"/>
      <c r="DX4" s="2647"/>
      <c r="DY4" s="2647"/>
      <c r="DZ4" s="2647"/>
      <c r="EA4" s="2647"/>
      <c r="EB4" s="2647"/>
      <c r="EC4" s="2647"/>
      <c r="ED4" s="2647"/>
      <c r="EE4" s="2647"/>
      <c r="EF4" s="2647"/>
      <c r="EG4" s="2647"/>
      <c r="EH4" s="2647"/>
      <c r="EI4" s="2647"/>
      <c r="EJ4" s="2647"/>
      <c r="EK4" s="2647"/>
      <c r="EL4" s="2647"/>
      <c r="EM4" s="2647"/>
      <c r="EN4" s="2647"/>
      <c r="EO4" s="2647"/>
      <c r="EP4" s="2647"/>
      <c r="EQ4" s="2647"/>
      <c r="ER4" s="2647"/>
      <c r="ES4" s="2647"/>
      <c r="ET4" s="2647"/>
      <c r="EU4" s="2647"/>
      <c r="EV4" s="2647"/>
      <c r="EW4" s="2647"/>
      <c r="EX4" s="2647"/>
      <c r="EY4" s="2648"/>
      <c r="FA4" s="2649" t="s">
        <v>106</v>
      </c>
      <c r="FB4" s="2650"/>
      <c r="FC4" s="2650"/>
      <c r="FD4" s="2650"/>
      <c r="FE4" s="2650"/>
      <c r="FF4" s="2650"/>
      <c r="FG4" s="2650"/>
      <c r="FH4" s="2650"/>
      <c r="FI4" s="2650"/>
      <c r="FJ4" s="2650"/>
      <c r="FK4" s="2650"/>
      <c r="FL4" s="2650"/>
      <c r="FM4" s="2650"/>
      <c r="FN4" s="2650"/>
      <c r="FO4" s="2650"/>
      <c r="FP4" s="2650"/>
      <c r="FQ4" s="2650"/>
      <c r="FR4" s="2650"/>
      <c r="FS4" s="2650"/>
      <c r="FT4" s="2650"/>
      <c r="FU4" s="2650"/>
      <c r="FV4" s="2650"/>
      <c r="FW4" s="2650"/>
      <c r="FX4" s="2650"/>
      <c r="FY4" s="2650"/>
      <c r="FZ4" s="2650"/>
      <c r="GA4" s="2650"/>
      <c r="GB4" s="2650"/>
      <c r="GC4" s="2650"/>
      <c r="GD4" s="2650"/>
      <c r="GE4" s="2650"/>
      <c r="GF4" s="2650"/>
      <c r="GG4" s="2650"/>
      <c r="GH4" s="2651"/>
      <c r="GJ4" s="2652" t="s">
        <v>22</v>
      </c>
      <c r="GK4" s="2653"/>
      <c r="GL4" s="2653"/>
      <c r="GM4" s="2653"/>
      <c r="GN4" s="2653"/>
      <c r="GO4" s="2653"/>
      <c r="GP4" s="2653"/>
      <c r="GQ4" s="2653"/>
      <c r="GR4" s="2653"/>
      <c r="GS4" s="2653"/>
      <c r="GT4" s="2653"/>
      <c r="GU4" s="2653"/>
      <c r="GV4" s="2653"/>
      <c r="GW4" s="2653"/>
      <c r="GX4" s="2653"/>
      <c r="GY4" s="2653"/>
      <c r="GZ4" s="2653"/>
      <c r="HA4" s="2653"/>
      <c r="HB4" s="2653"/>
      <c r="HC4" s="2653"/>
      <c r="HD4" s="2653"/>
      <c r="HE4" s="2653"/>
      <c r="HF4" s="2653"/>
      <c r="HG4" s="2653"/>
      <c r="HH4" s="2653"/>
      <c r="HI4" s="2653"/>
      <c r="HJ4" s="2653"/>
      <c r="HK4" s="2653"/>
      <c r="HL4" s="2653"/>
      <c r="HM4" s="2653"/>
      <c r="HN4" s="2653"/>
      <c r="HO4" s="2653"/>
      <c r="HP4" s="2653"/>
      <c r="HQ4" s="2653"/>
      <c r="HR4" s="2653"/>
      <c r="HS4" s="2653"/>
      <c r="HT4" s="2653"/>
      <c r="HU4" s="2653"/>
      <c r="HV4" s="2653"/>
      <c r="HW4" s="2653"/>
      <c r="HX4" s="2653"/>
      <c r="HY4" s="2653"/>
      <c r="HZ4" s="2653"/>
      <c r="IA4" s="2653"/>
      <c r="IB4" s="2653"/>
      <c r="IC4" s="2653"/>
      <c r="ID4" s="2653"/>
      <c r="IE4" s="2653"/>
      <c r="IF4" s="2653"/>
      <c r="IG4" s="2653"/>
      <c r="IH4" s="2653"/>
      <c r="II4" s="2653"/>
      <c r="IJ4" s="2653"/>
      <c r="IK4" s="2653"/>
      <c r="IL4" s="2653"/>
      <c r="IM4" s="2653"/>
      <c r="IN4" s="2653"/>
      <c r="IO4" s="2653"/>
      <c r="IP4" s="2653"/>
      <c r="IQ4" s="2653"/>
      <c r="IR4" s="2653"/>
      <c r="IS4" s="2653"/>
      <c r="IT4" s="2653"/>
      <c r="IU4" s="2653"/>
      <c r="IV4" s="2653"/>
      <c r="IW4" s="2653"/>
      <c r="IX4" s="2653"/>
      <c r="IY4" s="2653"/>
      <c r="IZ4" s="2653"/>
      <c r="JA4" s="2653"/>
      <c r="JB4" s="2653"/>
      <c r="JC4" s="2653"/>
      <c r="JD4" s="2653"/>
      <c r="JE4" s="2653"/>
      <c r="JF4" s="2654"/>
      <c r="JH4" s="2655" t="s">
        <v>107</v>
      </c>
      <c r="JI4" s="2656"/>
      <c r="JJ4" s="2656"/>
      <c r="JK4" s="2656"/>
      <c r="JL4" s="2656"/>
      <c r="JM4" s="2656"/>
      <c r="JN4" s="2656"/>
      <c r="JO4" s="2656"/>
      <c r="JP4" s="2656"/>
      <c r="JQ4" s="2656"/>
      <c r="JR4" s="2656"/>
      <c r="JS4" s="2656"/>
      <c r="JT4" s="2656"/>
      <c r="JU4" s="2656"/>
      <c r="JV4" s="2656"/>
      <c r="JW4" s="2656"/>
      <c r="JX4" s="2656"/>
      <c r="JY4" s="2656"/>
      <c r="JZ4" s="2656"/>
      <c r="KA4" s="2656"/>
      <c r="KB4" s="2656"/>
      <c r="KC4" s="2656"/>
      <c r="KD4" s="2656"/>
      <c r="KE4" s="2656"/>
      <c r="KF4" s="2656"/>
      <c r="KG4" s="2656"/>
      <c r="KH4" s="2656"/>
      <c r="KI4" s="2656"/>
      <c r="KJ4" s="2656"/>
      <c r="KK4" s="2656"/>
      <c r="KL4" s="2656"/>
      <c r="KM4" s="2656"/>
      <c r="KN4" s="2656"/>
      <c r="KO4" s="2656"/>
      <c r="KP4" s="2656"/>
      <c r="KQ4" s="2656"/>
      <c r="KR4" s="2656"/>
      <c r="KS4" s="2656"/>
      <c r="KT4" s="2656"/>
      <c r="KU4" s="2656"/>
      <c r="KV4" s="2656"/>
      <c r="KW4" s="2656"/>
      <c r="KX4" s="2656"/>
      <c r="KY4" s="2656"/>
      <c r="KZ4" s="2656"/>
      <c r="LA4" s="2656"/>
      <c r="LB4" s="2656"/>
      <c r="LC4" s="2656"/>
      <c r="LD4" s="2657"/>
      <c r="LF4" s="2658" t="s">
        <v>108</v>
      </c>
      <c r="LG4" s="2659"/>
      <c r="LH4" s="2659"/>
      <c r="LI4" s="2659"/>
      <c r="LJ4" s="2659"/>
      <c r="LK4" s="2659"/>
      <c r="LL4" s="2659"/>
      <c r="LM4" s="2659"/>
      <c r="LN4" s="2659"/>
      <c r="LO4" s="2659"/>
      <c r="LP4" s="2659"/>
      <c r="LQ4" s="2659"/>
      <c r="LR4" s="2659"/>
      <c r="LS4" s="2659"/>
      <c r="LT4" s="2659"/>
      <c r="LU4" s="2659"/>
      <c r="LV4" s="2659"/>
      <c r="LW4" s="2659"/>
      <c r="LX4" s="2659"/>
      <c r="LY4" s="2659"/>
      <c r="LZ4" s="2659"/>
      <c r="MA4" s="2659"/>
      <c r="MB4" s="2659"/>
      <c r="MC4" s="2659"/>
      <c r="MD4" s="2659"/>
      <c r="ME4" s="2659"/>
      <c r="MF4" s="2659"/>
      <c r="MG4" s="2659"/>
      <c r="MH4" s="2659"/>
      <c r="MI4" s="2659"/>
      <c r="MJ4" s="2659"/>
      <c r="MK4" s="2659"/>
      <c r="ML4" s="2659"/>
      <c r="MM4" s="2659"/>
      <c r="MN4" s="2659"/>
      <c r="MO4" s="2659"/>
      <c r="MP4" s="2659"/>
      <c r="MQ4" s="2659"/>
      <c r="MR4" s="2659"/>
      <c r="MS4" s="2659"/>
      <c r="MT4" s="2659"/>
      <c r="MU4" s="2660"/>
      <c r="MW4" s="2661"/>
      <c r="MX4" s="2662"/>
      <c r="MY4" s="2662"/>
      <c r="MZ4" s="2662"/>
      <c r="NA4" s="2662"/>
      <c r="NB4" s="2662"/>
      <c r="NC4" s="2662"/>
      <c r="ND4" s="2662"/>
      <c r="NE4" s="2662"/>
      <c r="NF4" s="2662"/>
      <c r="NG4" s="2662"/>
      <c r="NH4" s="2662"/>
      <c r="NI4" s="2662"/>
      <c r="NJ4" s="2662"/>
      <c r="NK4" s="2662"/>
      <c r="NL4" s="2662"/>
      <c r="NM4" s="2662"/>
      <c r="NN4" s="2662"/>
      <c r="NO4" s="2662"/>
      <c r="NP4" s="2662"/>
      <c r="NQ4" s="2662"/>
      <c r="NR4" s="2662"/>
      <c r="NS4" s="2662"/>
      <c r="NT4" s="2662"/>
      <c r="NU4" s="2662"/>
      <c r="NV4" s="2662"/>
      <c r="NW4" s="2662"/>
      <c r="NX4" s="2662"/>
      <c r="NY4" s="2662"/>
      <c r="NZ4" s="2662"/>
      <c r="OA4" s="2662"/>
      <c r="OB4" s="2662"/>
      <c r="OC4" s="2662"/>
      <c r="OD4" s="2662"/>
      <c r="OE4" s="2662"/>
      <c r="OF4" s="2662"/>
      <c r="OG4" s="2662"/>
      <c r="OH4" s="2662"/>
      <c r="OI4" s="2662"/>
      <c r="OJ4" s="2662"/>
      <c r="OK4" s="2662"/>
      <c r="OL4" s="2662"/>
      <c r="OM4" s="2662"/>
      <c r="ON4" s="2662"/>
      <c r="OO4" s="2662"/>
      <c r="OP4" s="2662"/>
      <c r="OQ4" s="2662"/>
      <c r="OR4" s="2662"/>
      <c r="OS4" s="2662"/>
      <c r="OT4" s="2662"/>
      <c r="OU4" s="2662"/>
      <c r="OV4" s="2662"/>
      <c r="OW4" s="2662"/>
      <c r="OX4" s="2662"/>
      <c r="OY4" s="2662"/>
      <c r="OZ4" s="2662"/>
      <c r="PA4" s="2662"/>
      <c r="PB4" s="2662"/>
      <c r="PC4" s="2662"/>
      <c r="PD4" s="2662"/>
      <c r="PE4" s="2662"/>
      <c r="PF4" s="2662"/>
      <c r="PG4" s="2663"/>
      <c r="PI4" s="2664" t="s">
        <v>110</v>
      </c>
      <c r="PJ4" s="2665"/>
      <c r="PK4" s="2665"/>
      <c r="PL4" s="2665"/>
      <c r="PM4" s="2665"/>
      <c r="PN4" s="2665"/>
      <c r="PO4" s="2665"/>
      <c r="PP4" s="2666"/>
      <c r="PR4" s="2677" t="s">
        <v>30</v>
      </c>
      <c r="PS4" s="2678"/>
      <c r="PT4" s="2678"/>
      <c r="PU4" s="2678"/>
      <c r="PV4" s="2678"/>
      <c r="PW4" s="2678"/>
      <c r="PX4" s="2678"/>
      <c r="PY4" s="2678"/>
      <c r="PZ4" s="2678"/>
      <c r="QA4" s="2678"/>
      <c r="QB4" s="2678"/>
      <c r="QC4" s="2678"/>
      <c r="QD4" s="2678"/>
      <c r="QE4" s="2678"/>
      <c r="QF4" s="2678"/>
      <c r="QG4" s="2678"/>
      <c r="QH4" s="2678"/>
      <c r="QI4" s="2678"/>
      <c r="QJ4" s="2679"/>
      <c r="RW4" s="1068"/>
    </row>
    <row r="5" spans="1:500" s="40" customFormat="1" ht="12.75" customHeight="1">
      <c r="B5" s="2626"/>
      <c r="C5" s="2624" t="s">
        <v>111</v>
      </c>
      <c r="D5" s="2628"/>
      <c r="E5" s="2628"/>
      <c r="F5" s="2628"/>
      <c r="G5" s="2628"/>
      <c r="H5" s="2628"/>
      <c r="I5" s="2628"/>
      <c r="J5" s="2628"/>
      <c r="K5" s="2628"/>
      <c r="L5" s="2628"/>
      <c r="M5" s="2628"/>
      <c r="N5" s="2629"/>
      <c r="O5" s="2631" t="s">
        <v>112</v>
      </c>
      <c r="P5" s="2623"/>
      <c r="Q5" s="2623"/>
      <c r="R5" s="2623"/>
      <c r="S5" s="2623"/>
      <c r="T5" s="2623"/>
      <c r="U5" s="2623"/>
      <c r="V5" s="2623"/>
      <c r="W5" s="2623"/>
      <c r="X5" s="2623"/>
      <c r="Y5" s="2623"/>
      <c r="Z5" s="2623"/>
      <c r="AA5" s="2623"/>
      <c r="AB5" s="2623"/>
      <c r="AC5" s="2623"/>
      <c r="AD5" s="2623"/>
      <c r="AE5" s="2623"/>
      <c r="AF5" s="2623"/>
      <c r="AG5" s="2623"/>
      <c r="AH5" s="2623"/>
      <c r="AI5" s="2623"/>
      <c r="AJ5" s="2623"/>
      <c r="AK5" s="2623"/>
      <c r="AL5" s="2624"/>
      <c r="AM5" s="2629"/>
      <c r="AN5" s="2680" t="s">
        <v>113</v>
      </c>
      <c r="AO5" s="2681"/>
      <c r="AP5" s="2681"/>
      <c r="AQ5" s="2681"/>
      <c r="AR5" s="2681"/>
      <c r="AS5" s="2681"/>
      <c r="AT5" s="2681"/>
      <c r="AU5" s="2681"/>
      <c r="AV5" s="2681"/>
      <c r="AW5" s="2681"/>
      <c r="AX5" s="2681"/>
      <c r="AY5" s="2681"/>
      <c r="AZ5" s="2681"/>
      <c r="BA5" s="2681"/>
      <c r="BB5" s="2681"/>
      <c r="BC5" s="2681"/>
      <c r="BD5" s="2681"/>
      <c r="BE5" s="2681"/>
      <c r="BF5" s="2681"/>
      <c r="BG5" s="2681"/>
      <c r="BH5" s="2681"/>
      <c r="BI5" s="2681"/>
      <c r="BJ5" s="2681"/>
      <c r="BK5" s="2681"/>
      <c r="BL5" s="2681"/>
      <c r="BM5" s="2681"/>
      <c r="BN5" s="2681"/>
      <c r="BO5" s="2681"/>
      <c r="BP5" s="2681"/>
      <c r="BQ5" s="2681"/>
      <c r="BR5" s="2681"/>
      <c r="BS5" s="2681"/>
      <c r="BT5" s="2681"/>
      <c r="BU5" s="2681"/>
      <c r="BV5" s="2681"/>
      <c r="BW5" s="2681"/>
      <c r="BX5" s="2681"/>
      <c r="BY5" s="2681"/>
      <c r="BZ5" s="2681"/>
      <c r="CA5" s="2681"/>
      <c r="CB5" s="2681"/>
      <c r="CC5" s="2681"/>
      <c r="CD5" s="2681"/>
      <c r="CE5" s="2681"/>
      <c r="CF5" s="2682"/>
      <c r="CG5" s="147"/>
      <c r="CH5" s="2633" t="s">
        <v>114</v>
      </c>
      <c r="CI5" s="2635"/>
      <c r="CJ5" s="2635"/>
      <c r="CK5" s="2635"/>
      <c r="CL5" s="2635"/>
      <c r="CM5" s="2635"/>
      <c r="CN5" s="2634"/>
      <c r="CO5" s="348" t="s">
        <v>210</v>
      </c>
      <c r="CP5" s="41"/>
      <c r="CQ5" s="2623" t="s">
        <v>111</v>
      </c>
      <c r="CR5" s="2623"/>
      <c r="CS5" s="2623"/>
      <c r="CT5" s="2623"/>
      <c r="CU5" s="2623"/>
      <c r="CV5" s="2623"/>
      <c r="CW5" s="2623"/>
      <c r="CX5" s="2623"/>
      <c r="CY5" s="2623"/>
      <c r="CZ5" s="2623"/>
      <c r="DA5" s="2623"/>
      <c r="DB5" s="2624"/>
      <c r="DC5" s="2624"/>
      <c r="DD5" s="2685"/>
      <c r="DE5" s="2631" t="s">
        <v>115</v>
      </c>
      <c r="DF5" s="2631"/>
      <c r="DG5" s="2623"/>
      <c r="DH5" s="2623"/>
      <c r="DI5" s="2623"/>
      <c r="DJ5" s="2623"/>
      <c r="DK5" s="2623"/>
      <c r="DL5" s="2623"/>
      <c r="DM5" s="2623"/>
      <c r="DN5" s="2623"/>
      <c r="DO5" s="2623"/>
      <c r="DP5" s="2623"/>
      <c r="DQ5" s="2623"/>
      <c r="DR5" s="2623"/>
      <c r="DS5" s="2623"/>
      <c r="DT5" s="2623"/>
      <c r="DU5" s="2623"/>
      <c r="DV5" s="2623"/>
      <c r="DW5" s="2623"/>
      <c r="DX5" s="2623"/>
      <c r="DY5" s="2623"/>
      <c r="DZ5" s="2623"/>
      <c r="EA5" s="2623"/>
      <c r="EB5" s="2623"/>
      <c r="EC5" s="2623"/>
      <c r="ED5" s="2623"/>
      <c r="EE5" s="2623"/>
      <c r="EF5" s="2623"/>
      <c r="EG5" s="2623"/>
      <c r="EH5" s="2623"/>
      <c r="EI5" s="2623"/>
      <c r="EJ5" s="2623"/>
      <c r="EK5" s="2623"/>
      <c r="EL5" s="2623"/>
      <c r="EM5" s="2623"/>
      <c r="EN5" s="2623"/>
      <c r="EO5" s="2623"/>
      <c r="EP5" s="2623"/>
      <c r="EQ5" s="2623"/>
      <c r="ER5" s="2623"/>
      <c r="ES5" s="2623"/>
      <c r="ET5" s="2623"/>
      <c r="EU5" s="2623"/>
      <c r="EV5" s="2623"/>
      <c r="EW5" s="2623"/>
      <c r="EX5" s="2624"/>
      <c r="EY5" s="2685"/>
      <c r="FA5" s="2623" t="s">
        <v>111</v>
      </c>
      <c r="FB5" s="2623"/>
      <c r="FC5" s="2623"/>
      <c r="FD5" s="2623"/>
      <c r="FE5" s="2624"/>
      <c r="FF5" s="2674"/>
      <c r="FG5" s="2631" t="s">
        <v>116</v>
      </c>
      <c r="FH5" s="2623"/>
      <c r="FI5" s="2623"/>
      <c r="FJ5" s="2623"/>
      <c r="FK5" s="2623"/>
      <c r="FL5" s="2623"/>
      <c r="FM5" s="2623"/>
      <c r="FN5" s="2623"/>
      <c r="FO5" s="2623"/>
      <c r="FP5" s="2623"/>
      <c r="FQ5" s="2623"/>
      <c r="FR5" s="2623"/>
      <c r="FS5" s="2623"/>
      <c r="FT5" s="2623"/>
      <c r="FU5" s="2623"/>
      <c r="FV5" s="2623"/>
      <c r="FW5" s="2623"/>
      <c r="FX5" s="2623"/>
      <c r="FY5" s="2623"/>
      <c r="FZ5" s="2623"/>
      <c r="GA5" s="2623"/>
      <c r="GB5" s="2623"/>
      <c r="GC5" s="2623"/>
      <c r="GD5" s="2623"/>
      <c r="GE5" s="2623"/>
      <c r="GF5" s="2624"/>
      <c r="GG5" s="2624"/>
      <c r="GH5" s="2674"/>
      <c r="GJ5" s="2623" t="s">
        <v>111</v>
      </c>
      <c r="GK5" s="2623"/>
      <c r="GL5" s="2623"/>
      <c r="GM5" s="2623"/>
      <c r="GN5" s="2623"/>
      <c r="GO5" s="2623"/>
      <c r="GP5" s="2624"/>
      <c r="GQ5" s="2667"/>
      <c r="GR5" s="2631" t="s">
        <v>112</v>
      </c>
      <c r="GS5" s="2623"/>
      <c r="GT5" s="2623"/>
      <c r="GU5" s="2623"/>
      <c r="GV5" s="2624"/>
      <c r="GW5" s="2667"/>
      <c r="GX5" s="2631" t="s">
        <v>117</v>
      </c>
      <c r="GY5" s="2631"/>
      <c r="GZ5" s="2623"/>
      <c r="HA5" s="2623"/>
      <c r="HB5" s="2623"/>
      <c r="HC5" s="2623"/>
      <c r="HD5" s="2623"/>
      <c r="HE5" s="2623"/>
      <c r="HF5" s="2623"/>
      <c r="HG5" s="2623"/>
      <c r="HH5" s="2623"/>
      <c r="HI5" s="2623"/>
      <c r="HJ5" s="2623"/>
      <c r="HK5" s="2623"/>
      <c r="HL5" s="2623"/>
      <c r="HM5" s="2623"/>
      <c r="HN5" s="2623"/>
      <c r="HO5" s="2623"/>
      <c r="HP5" s="2623"/>
      <c r="HQ5" s="2623"/>
      <c r="HR5" s="2623"/>
      <c r="HS5" s="2623"/>
      <c r="HT5" s="2623"/>
      <c r="HU5" s="2623"/>
      <c r="HV5" s="2623"/>
      <c r="HW5" s="2623"/>
      <c r="HX5" s="2623"/>
      <c r="HY5" s="2623"/>
      <c r="HZ5" s="2623"/>
      <c r="IA5" s="2623"/>
      <c r="IB5" s="2623"/>
      <c r="IC5" s="2623"/>
      <c r="ID5" s="2623"/>
      <c r="IE5" s="2623"/>
      <c r="IF5" s="2623"/>
      <c r="IG5" s="2623"/>
      <c r="IH5" s="2623"/>
      <c r="II5" s="2623"/>
      <c r="IJ5" s="2623"/>
      <c r="IK5" s="2623"/>
      <c r="IL5" s="2623"/>
      <c r="IM5" s="2623"/>
      <c r="IN5" s="2623"/>
      <c r="IO5" s="2623"/>
      <c r="IP5" s="2623"/>
      <c r="IQ5" s="2623"/>
      <c r="IR5" s="2623"/>
      <c r="IS5" s="2623"/>
      <c r="IT5" s="2623"/>
      <c r="IU5" s="2623"/>
      <c r="IV5" s="2623"/>
      <c r="IW5" s="2623"/>
      <c r="IX5" s="2623"/>
      <c r="IY5" s="2623"/>
      <c r="IZ5" s="2623"/>
      <c r="JA5" s="2623"/>
      <c r="JB5" s="2623"/>
      <c r="JC5" s="2623"/>
      <c r="JD5" s="2623"/>
      <c r="JE5" s="2624"/>
      <c r="JF5" s="2667"/>
      <c r="JH5" s="2623" t="s">
        <v>111</v>
      </c>
      <c r="JI5" s="2623"/>
      <c r="JJ5" s="2623"/>
      <c r="JK5" s="2623"/>
      <c r="JL5" s="2624"/>
      <c r="JM5" s="2669"/>
      <c r="JN5" s="2631" t="s">
        <v>118</v>
      </c>
      <c r="JO5" s="2623"/>
      <c r="JP5" s="2623"/>
      <c r="JQ5" s="2623"/>
      <c r="JR5" s="2623"/>
      <c r="JS5" s="2623"/>
      <c r="JT5" s="2623"/>
      <c r="JU5" s="2623"/>
      <c r="JV5" s="2623"/>
      <c r="JW5" s="2623"/>
      <c r="JX5" s="2623"/>
      <c r="JY5" s="2623"/>
      <c r="JZ5" s="2623"/>
      <c r="KA5" s="2623"/>
      <c r="KB5" s="2623"/>
      <c r="KC5" s="2623"/>
      <c r="KD5" s="2623"/>
      <c r="KE5" s="2623"/>
      <c r="KF5" s="2623"/>
      <c r="KG5" s="2623"/>
      <c r="KH5" s="2623"/>
      <c r="KI5" s="2623"/>
      <c r="KJ5" s="2623"/>
      <c r="KK5" s="2623"/>
      <c r="KL5" s="2624"/>
      <c r="KM5" s="2669"/>
      <c r="KN5" s="2631" t="s">
        <v>119</v>
      </c>
      <c r="KO5" s="2623"/>
      <c r="KP5" s="2623"/>
      <c r="KQ5" s="2623"/>
      <c r="KR5" s="2623"/>
      <c r="KS5" s="2623"/>
      <c r="KT5" s="2623"/>
      <c r="KU5" s="2623"/>
      <c r="KV5" s="2623"/>
      <c r="KW5" s="2623"/>
      <c r="KX5" s="2623"/>
      <c r="KY5" s="2623"/>
      <c r="KZ5" s="2623"/>
      <c r="LA5" s="2623"/>
      <c r="LB5" s="2623"/>
      <c r="LC5" s="2624"/>
      <c r="LD5" s="2669"/>
      <c r="LF5" s="2623" t="s">
        <v>111</v>
      </c>
      <c r="LG5" s="2623"/>
      <c r="LH5" s="2623"/>
      <c r="LI5" s="2623"/>
      <c r="LJ5" s="2623"/>
      <c r="LK5" s="2623"/>
      <c r="LL5" s="2623"/>
      <c r="LM5" s="2623"/>
      <c r="LN5" s="2623"/>
      <c r="LO5" s="2624"/>
      <c r="LP5" s="2688"/>
      <c r="LQ5" s="2631" t="s">
        <v>120</v>
      </c>
      <c r="LR5" s="2631"/>
      <c r="LS5" s="2623"/>
      <c r="LT5" s="2623"/>
      <c r="LU5" s="2623"/>
      <c r="LV5" s="2623"/>
      <c r="LW5" s="2623"/>
      <c r="LX5" s="2623"/>
      <c r="LY5" s="2623"/>
      <c r="LZ5" s="2623"/>
      <c r="MA5" s="2623"/>
      <c r="MB5" s="2623"/>
      <c r="MC5" s="2623"/>
      <c r="MD5" s="2623"/>
      <c r="ME5" s="2623"/>
      <c r="MF5" s="2623"/>
      <c r="MG5" s="2623"/>
      <c r="MH5" s="2623"/>
      <c r="MI5" s="2623"/>
      <c r="MJ5" s="2623"/>
      <c r="MK5" s="2623"/>
      <c r="ML5" s="2623"/>
      <c r="MM5" s="2623"/>
      <c r="MN5" s="2623"/>
      <c r="MO5" s="2623"/>
      <c r="MP5" s="2623"/>
      <c r="MQ5" s="2623"/>
      <c r="MR5" s="2623"/>
      <c r="MS5" s="2623"/>
      <c r="MT5" s="2624"/>
      <c r="MU5" s="2688"/>
      <c r="MW5" s="2623" t="s">
        <v>111</v>
      </c>
      <c r="MX5" s="2623"/>
      <c r="MY5" s="2623"/>
      <c r="MZ5" s="2624"/>
      <c r="NA5" s="2621"/>
      <c r="NB5" s="2631" t="s">
        <v>121</v>
      </c>
      <c r="NC5" s="2631"/>
      <c r="ND5" s="2623"/>
      <c r="NE5" s="2623"/>
      <c r="NF5" s="2623"/>
      <c r="NG5" s="2623"/>
      <c r="NH5" s="2623"/>
      <c r="NI5" s="2623"/>
      <c r="NJ5" s="2623"/>
      <c r="NK5" s="2623"/>
      <c r="NL5" s="2623"/>
      <c r="NM5" s="2623"/>
      <c r="NN5" s="2623"/>
      <c r="NO5" s="2623"/>
      <c r="NP5" s="2623"/>
      <c r="NQ5" s="2623"/>
      <c r="NR5" s="2623"/>
      <c r="NS5" s="2623"/>
      <c r="NT5" s="2623"/>
      <c r="NU5" s="2623"/>
      <c r="NV5" s="2623"/>
      <c r="NW5" s="2623"/>
      <c r="NX5" s="2623"/>
      <c r="NY5" s="2623"/>
      <c r="NZ5" s="2623"/>
      <c r="OA5" s="2623"/>
      <c r="OB5" s="2623"/>
      <c r="OC5" s="2623"/>
      <c r="OD5" s="2623"/>
      <c r="OE5" s="2623"/>
      <c r="OF5" s="2623"/>
      <c r="OG5" s="2623"/>
      <c r="OH5" s="2623"/>
      <c r="OI5" s="2623"/>
      <c r="OJ5" s="2623"/>
      <c r="OK5" s="2623"/>
      <c r="OL5" s="2623"/>
      <c r="OM5" s="2623"/>
      <c r="ON5" s="2623"/>
      <c r="OO5" s="2623"/>
      <c r="OP5" s="2623"/>
      <c r="OQ5" s="2623"/>
      <c r="OR5" s="2623"/>
      <c r="OS5" s="2623"/>
      <c r="OT5" s="2623"/>
      <c r="OU5" s="2623"/>
      <c r="OV5" s="2623"/>
      <c r="OW5" s="2623"/>
      <c r="OX5" s="2623"/>
      <c r="OY5" s="2623"/>
      <c r="OZ5" s="2623"/>
      <c r="PA5" s="2623"/>
      <c r="PB5" s="2623"/>
      <c r="PC5" s="2623"/>
      <c r="PD5" s="2623"/>
      <c r="PE5" s="2623"/>
      <c r="PF5" s="2624"/>
      <c r="PG5" s="2621"/>
      <c r="PI5" s="2623" t="s">
        <v>111</v>
      </c>
      <c r="PJ5" s="2623"/>
      <c r="PK5" s="2623"/>
      <c r="PL5" s="2623"/>
      <c r="PM5" s="2623"/>
      <c r="PN5" s="2624"/>
      <c r="PO5" s="2624"/>
      <c r="PP5" s="2615"/>
      <c r="PR5" s="2633" t="s">
        <v>211</v>
      </c>
      <c r="PS5" s="2635"/>
      <c r="PT5" s="2635"/>
      <c r="PU5" s="2635"/>
      <c r="PV5" s="2635"/>
      <c r="PW5" s="2635"/>
      <c r="PX5" s="2635"/>
      <c r="PY5" s="2635"/>
      <c r="PZ5" s="2635"/>
      <c r="QA5" s="2635"/>
      <c r="QB5" s="2635"/>
      <c r="QC5" s="2635"/>
      <c r="QD5" s="2635"/>
      <c r="QE5" s="2635"/>
      <c r="QF5" s="2635"/>
      <c r="QG5" s="2635"/>
      <c r="QH5" s="2635"/>
      <c r="QI5" s="2634"/>
      <c r="QJ5" s="2615"/>
      <c r="QL5" s="2617" t="s">
        <v>122</v>
      </c>
      <c r="QM5" s="2617"/>
      <c r="QO5" s="2617" t="s">
        <v>123</v>
      </c>
      <c r="QP5" s="2617"/>
      <c r="QR5" s="2618" t="s">
        <v>124</v>
      </c>
      <c r="QS5" s="2618"/>
      <c r="QT5" s="2618"/>
      <c r="QU5" s="2618"/>
      <c r="QV5" s="2618"/>
      <c r="QW5" s="2618"/>
      <c r="QX5" s="89"/>
      <c r="QY5" s="2618" t="s">
        <v>125</v>
      </c>
      <c r="QZ5" s="2618"/>
      <c r="RA5" s="2618"/>
      <c r="RB5" s="2618"/>
      <c r="RC5" s="2618"/>
      <c r="RD5" s="2618"/>
      <c r="RW5" s="1148"/>
    </row>
    <row r="6" spans="1:500" s="42" customFormat="1" ht="31.2" customHeight="1">
      <c r="B6" s="2626"/>
      <c r="C6" s="2632" t="s">
        <v>3</v>
      </c>
      <c r="D6" s="2632" t="s">
        <v>126</v>
      </c>
      <c r="E6" s="2632" t="s">
        <v>127</v>
      </c>
      <c r="F6" s="2633" t="s">
        <v>212</v>
      </c>
      <c r="G6" s="2634"/>
      <c r="H6" s="2633" t="s">
        <v>212</v>
      </c>
      <c r="I6" s="2634"/>
      <c r="J6" s="2633" t="s">
        <v>128</v>
      </c>
      <c r="K6" s="2634"/>
      <c r="L6" s="2633" t="s">
        <v>129</v>
      </c>
      <c r="M6" s="2635"/>
      <c r="N6" s="2629"/>
      <c r="O6" s="2636" t="s">
        <v>16</v>
      </c>
      <c r="P6" s="2637"/>
      <c r="Q6" s="2637"/>
      <c r="R6" s="2559"/>
      <c r="S6" s="2638" t="s">
        <v>17</v>
      </c>
      <c r="T6" s="2638"/>
      <c r="U6" s="2638"/>
      <c r="V6" s="2638"/>
      <c r="W6" s="2697" t="s">
        <v>213</v>
      </c>
      <c r="X6" s="2698"/>
      <c r="Y6" s="2698"/>
      <c r="Z6" s="2698"/>
      <c r="AA6" s="2699" t="s">
        <v>18</v>
      </c>
      <c r="AB6" s="2700"/>
      <c r="AC6" s="2700"/>
      <c r="AD6" s="2700"/>
      <c r="AE6" s="2701" t="s">
        <v>66</v>
      </c>
      <c r="AF6" s="2701"/>
      <c r="AG6" s="2701"/>
      <c r="AH6" s="2701"/>
      <c r="AI6" s="2640" t="s">
        <v>214</v>
      </c>
      <c r="AJ6" s="2640"/>
      <c r="AK6" s="2640"/>
      <c r="AL6" s="2641"/>
      <c r="AM6" s="2629"/>
      <c r="AN6" s="2636" t="s">
        <v>215</v>
      </c>
      <c r="AO6" s="2637"/>
      <c r="AP6" s="2637"/>
      <c r="AQ6" s="2637" t="s">
        <v>216</v>
      </c>
      <c r="AR6" s="2637"/>
      <c r="AS6" s="2637"/>
      <c r="AT6" s="2637" t="s">
        <v>217</v>
      </c>
      <c r="AU6" s="2637"/>
      <c r="AV6" s="2637"/>
      <c r="AW6" s="2637" t="s">
        <v>218</v>
      </c>
      <c r="AX6" s="2637"/>
      <c r="AY6" s="2637"/>
      <c r="AZ6" s="2637" t="s">
        <v>219</v>
      </c>
      <c r="BA6" s="2637"/>
      <c r="BB6" s="2637"/>
      <c r="BC6" s="2637" t="s">
        <v>220</v>
      </c>
      <c r="BD6" s="2637"/>
      <c r="BE6" s="2637"/>
      <c r="BF6" s="2638" t="s">
        <v>221</v>
      </c>
      <c r="BG6" s="2708"/>
      <c r="BH6" s="2709"/>
      <c r="BI6" s="2638" t="s">
        <v>222</v>
      </c>
      <c r="BJ6" s="2638"/>
      <c r="BK6" s="2638"/>
      <c r="BL6" s="2638" t="s">
        <v>223</v>
      </c>
      <c r="BM6" s="2638"/>
      <c r="BN6" s="2638"/>
      <c r="BO6" s="2706" t="s">
        <v>224</v>
      </c>
      <c r="BP6" s="2706"/>
      <c r="BQ6" s="2706"/>
      <c r="BR6" s="2698" t="s">
        <v>225</v>
      </c>
      <c r="BS6" s="2698"/>
      <c r="BT6" s="2698"/>
      <c r="BU6" s="2698" t="s">
        <v>226</v>
      </c>
      <c r="BV6" s="2707"/>
      <c r="BW6" s="2697"/>
      <c r="BX6" s="2638" t="s">
        <v>227</v>
      </c>
      <c r="BY6" s="2638"/>
      <c r="BZ6" s="2645"/>
      <c r="CA6" s="2698" t="s">
        <v>228</v>
      </c>
      <c r="CB6" s="2698"/>
      <c r="CC6" s="2710"/>
      <c r="CD6" s="2698" t="s">
        <v>229</v>
      </c>
      <c r="CE6" s="2698"/>
      <c r="CF6" s="2710"/>
      <c r="CG6" s="147"/>
      <c r="CH6" s="2634" t="s">
        <v>16</v>
      </c>
      <c r="CI6" s="2632" t="s">
        <v>17</v>
      </c>
      <c r="CJ6" s="2632" t="s">
        <v>18</v>
      </c>
      <c r="CK6" s="2632" t="s">
        <v>83</v>
      </c>
      <c r="CL6" s="2632" t="s">
        <v>130</v>
      </c>
      <c r="CM6" s="2671" t="s">
        <v>7</v>
      </c>
      <c r="CN6" s="2633" t="s">
        <v>145</v>
      </c>
      <c r="CO6" s="2632" t="s">
        <v>18</v>
      </c>
      <c r="CQ6" s="2632" t="s">
        <v>146</v>
      </c>
      <c r="CR6" s="2632" t="s">
        <v>230</v>
      </c>
      <c r="CS6" s="2632" t="s">
        <v>147</v>
      </c>
      <c r="CT6" s="2632" t="s">
        <v>231</v>
      </c>
      <c r="CU6" s="2632" t="s">
        <v>148</v>
      </c>
      <c r="CV6" s="2632" t="s">
        <v>232</v>
      </c>
      <c r="CW6" s="2632" t="s">
        <v>149</v>
      </c>
      <c r="CX6" s="2632" t="s">
        <v>233</v>
      </c>
      <c r="CY6" s="2632" t="s">
        <v>69</v>
      </c>
      <c r="CZ6" s="2632" t="s">
        <v>234</v>
      </c>
      <c r="DA6" s="2632" t="s">
        <v>71</v>
      </c>
      <c r="DB6" s="2632" t="s">
        <v>235</v>
      </c>
      <c r="DC6" s="2633" t="s">
        <v>7</v>
      </c>
      <c r="DD6" s="2685"/>
      <c r="DE6" s="2634" t="s">
        <v>236</v>
      </c>
      <c r="DF6" s="2634"/>
      <c r="DG6" s="2632"/>
      <c r="DH6" s="2632"/>
      <c r="DI6" s="2632"/>
      <c r="DJ6" s="2632"/>
      <c r="DK6" s="2632"/>
      <c r="DL6" s="2632"/>
      <c r="DM6" s="2632"/>
      <c r="DN6" s="2633"/>
      <c r="DO6" s="2633"/>
      <c r="DP6" s="1394"/>
      <c r="DQ6" s="2676" t="s">
        <v>151</v>
      </c>
      <c r="DR6" s="2632" t="s">
        <v>237</v>
      </c>
      <c r="DS6" s="2632"/>
      <c r="DT6" s="2632"/>
      <c r="DU6" s="2632"/>
      <c r="DV6" s="2632"/>
      <c r="DW6" s="2632"/>
      <c r="DX6" s="2632"/>
      <c r="DY6" s="2632"/>
      <c r="DZ6" s="2632"/>
      <c r="EA6" s="2633"/>
      <c r="EB6" s="2633"/>
      <c r="EC6" s="1394"/>
      <c r="ED6" s="2676" t="s">
        <v>151</v>
      </c>
      <c r="EE6" s="2632" t="s">
        <v>238</v>
      </c>
      <c r="EF6" s="2632"/>
      <c r="EG6" s="2632"/>
      <c r="EH6" s="2632"/>
      <c r="EI6" s="2632"/>
      <c r="EJ6" s="2632"/>
      <c r="EK6" s="2632"/>
      <c r="EL6" s="2632"/>
      <c r="EM6" s="2632"/>
      <c r="EN6" s="2633"/>
      <c r="EO6" s="2633"/>
      <c r="EP6" s="1394"/>
      <c r="EQ6" s="2676" t="s">
        <v>151</v>
      </c>
      <c r="ER6" s="2632" t="s">
        <v>154</v>
      </c>
      <c r="ES6" s="2632"/>
      <c r="ET6" s="2632"/>
      <c r="EU6" s="2632"/>
      <c r="EV6" s="2632"/>
      <c r="EW6" s="2633"/>
      <c r="EX6" s="2673" t="s">
        <v>151</v>
      </c>
      <c r="EY6" s="2685"/>
      <c r="FA6" s="2620" t="s">
        <v>239</v>
      </c>
      <c r="FB6" s="2620" t="s">
        <v>240</v>
      </c>
      <c r="FC6" s="2620" t="s">
        <v>241</v>
      </c>
      <c r="FD6" s="2632" t="s">
        <v>7</v>
      </c>
      <c r="FE6" s="2633" t="s">
        <v>145</v>
      </c>
      <c r="FF6" s="2674"/>
      <c r="FG6" s="2634" t="s">
        <v>158</v>
      </c>
      <c r="FH6" s="2632"/>
      <c r="FI6" s="2632"/>
      <c r="FJ6" s="2632"/>
      <c r="FK6" s="2632"/>
      <c r="FL6" s="2633"/>
      <c r="FM6" s="2676" t="s">
        <v>151</v>
      </c>
      <c r="FN6" s="2632" t="s">
        <v>159</v>
      </c>
      <c r="FO6" s="2632"/>
      <c r="FP6" s="2632"/>
      <c r="FQ6" s="2632"/>
      <c r="FR6" s="2632"/>
      <c r="FS6" s="2633"/>
      <c r="FT6" s="2676" t="s">
        <v>151</v>
      </c>
      <c r="FU6" s="2632" t="s">
        <v>660</v>
      </c>
      <c r="FV6" s="2632"/>
      <c r="FW6" s="2632"/>
      <c r="FX6" s="2632"/>
      <c r="FY6" s="2632"/>
      <c r="FZ6" s="2632"/>
      <c r="GA6" s="2632"/>
      <c r="GB6" s="2632"/>
      <c r="GC6" s="2632"/>
      <c r="GD6" s="2633"/>
      <c r="GE6" s="2633"/>
      <c r="GF6" s="1394"/>
      <c r="GG6" s="2673" t="s">
        <v>151</v>
      </c>
      <c r="GH6" s="2674"/>
      <c r="GJ6" s="2632" t="s">
        <v>161</v>
      </c>
      <c r="GK6" s="2632"/>
      <c r="GL6" s="2633"/>
      <c r="GM6" s="2634" t="s">
        <v>7</v>
      </c>
      <c r="GN6" s="181" t="s">
        <v>162</v>
      </c>
      <c r="GO6" s="181" t="s">
        <v>163</v>
      </c>
      <c r="GP6" s="2633" t="s">
        <v>145</v>
      </c>
      <c r="GQ6" s="2667"/>
      <c r="GR6" s="2634" t="s">
        <v>130</v>
      </c>
      <c r="GS6" s="2632" t="s">
        <v>164</v>
      </c>
      <c r="GT6" s="2632" t="s">
        <v>244</v>
      </c>
      <c r="GU6" s="2632" t="s">
        <v>434</v>
      </c>
      <c r="GV6" s="2619" t="s">
        <v>7</v>
      </c>
      <c r="GW6" s="2667"/>
      <c r="GX6" s="2634" t="s">
        <v>35</v>
      </c>
      <c r="GY6" s="2634"/>
      <c r="GZ6" s="2632"/>
      <c r="HA6" s="2632"/>
      <c r="HB6" s="2632"/>
      <c r="HC6" s="2632"/>
      <c r="HD6" s="2632"/>
      <c r="HE6" s="2632"/>
      <c r="HF6" s="2632"/>
      <c r="HG6" s="2632"/>
      <c r="HH6" s="2632"/>
      <c r="HI6" s="2632"/>
      <c r="HJ6" s="2632"/>
      <c r="HK6" s="2633"/>
      <c r="HL6" s="2676" t="s">
        <v>151</v>
      </c>
      <c r="HM6" s="2619" t="s">
        <v>110</v>
      </c>
      <c r="HN6" s="2673"/>
      <c r="HO6" s="2673"/>
      <c r="HP6" s="2673"/>
      <c r="HQ6" s="2673"/>
      <c r="HR6" s="2673"/>
      <c r="HS6" s="2673"/>
      <c r="HT6" s="2673"/>
      <c r="HU6" s="2673"/>
      <c r="HV6" s="2673"/>
      <c r="HW6" s="2673"/>
      <c r="HX6" s="2673"/>
      <c r="HY6" s="2673"/>
      <c r="HZ6" s="2673"/>
      <c r="IA6" s="2711" t="s">
        <v>151</v>
      </c>
      <c r="IB6" s="2632" t="s">
        <v>245</v>
      </c>
      <c r="IC6" s="2632"/>
      <c r="ID6" s="2632"/>
      <c r="IE6" s="2632"/>
      <c r="IF6" s="2632"/>
      <c r="IG6" s="2632"/>
      <c r="IH6" s="2632"/>
      <c r="II6" s="2632"/>
      <c r="IJ6" s="2632"/>
      <c r="IK6" s="2632"/>
      <c r="IL6" s="2632"/>
      <c r="IM6" s="2632"/>
      <c r="IN6" s="2632"/>
      <c r="IO6" s="2633"/>
      <c r="IP6" s="2676" t="s">
        <v>151</v>
      </c>
      <c r="IQ6" s="2632" t="s">
        <v>246</v>
      </c>
      <c r="IR6" s="2632"/>
      <c r="IS6" s="2632"/>
      <c r="IT6" s="2632"/>
      <c r="IU6" s="2632"/>
      <c r="IV6" s="2632"/>
      <c r="IW6" s="2632"/>
      <c r="IX6" s="2632"/>
      <c r="IY6" s="2632"/>
      <c r="IZ6" s="2632"/>
      <c r="JA6" s="2632"/>
      <c r="JB6" s="2632"/>
      <c r="JC6" s="2632"/>
      <c r="JD6" s="2633"/>
      <c r="JE6" s="2673" t="s">
        <v>151</v>
      </c>
      <c r="JF6" s="2667"/>
      <c r="JH6" s="2632" t="s">
        <v>76</v>
      </c>
      <c r="JI6" s="2671" t="s">
        <v>77</v>
      </c>
      <c r="JJ6" s="2632" t="s">
        <v>247</v>
      </c>
      <c r="JK6" s="2632" t="s">
        <v>7</v>
      </c>
      <c r="JL6" s="2633" t="s">
        <v>145</v>
      </c>
      <c r="JM6" s="2669"/>
      <c r="JN6" s="2634" t="str">
        <f>JH6</f>
        <v>TCM.HCV.LS</v>
      </c>
      <c r="JO6" s="2632"/>
      <c r="JP6" s="2632"/>
      <c r="JQ6" s="2632"/>
      <c r="JR6" s="2632"/>
      <c r="JS6" s="2632"/>
      <c r="JT6" s="2632"/>
      <c r="JU6" s="2632"/>
      <c r="JV6" s="2634" t="str">
        <f>JI6</f>
        <v>TCM.HCV.HS</v>
      </c>
      <c r="JW6" s="2632"/>
      <c r="JX6" s="2632"/>
      <c r="JY6" s="2632"/>
      <c r="JZ6" s="2632"/>
      <c r="KA6" s="2632"/>
      <c r="KB6" s="2632"/>
      <c r="KC6" s="2632"/>
      <c r="KD6" s="2632" t="str">
        <f>JJ6</f>
        <v>LCV.MS.HA</v>
      </c>
      <c r="KE6" s="2632"/>
      <c r="KF6" s="2632"/>
      <c r="KG6" s="2632"/>
      <c r="KH6" s="2632"/>
      <c r="KI6" s="2632"/>
      <c r="KJ6" s="2632"/>
      <c r="KK6" s="2632"/>
      <c r="KL6" s="2633" t="s">
        <v>145</v>
      </c>
      <c r="KM6" s="2669"/>
      <c r="KN6" s="2634" t="s">
        <v>167</v>
      </c>
      <c r="KO6" s="2632"/>
      <c r="KP6" s="2632"/>
      <c r="KQ6" s="2632"/>
      <c r="KR6" s="2632"/>
      <c r="KS6" s="2634" t="s">
        <v>168</v>
      </c>
      <c r="KT6" s="2632"/>
      <c r="KU6" s="2632"/>
      <c r="KV6" s="2632"/>
      <c r="KW6" s="2632"/>
      <c r="KX6" s="2632" t="s">
        <v>247</v>
      </c>
      <c r="KY6" s="2632"/>
      <c r="KZ6" s="2632"/>
      <c r="LA6" s="2632"/>
      <c r="LB6" s="2632"/>
      <c r="LC6" s="2633" t="s">
        <v>145</v>
      </c>
      <c r="LD6" s="2669"/>
      <c r="LF6" s="2633" t="s">
        <v>170</v>
      </c>
      <c r="LG6" s="2635"/>
      <c r="LH6" s="2635"/>
      <c r="LI6" s="2634"/>
      <c r="LJ6" s="2619" t="s">
        <v>171</v>
      </c>
      <c r="LK6" s="2673"/>
      <c r="LL6" s="2673"/>
      <c r="LM6" s="2673"/>
      <c r="LN6" s="2690" t="s">
        <v>172</v>
      </c>
      <c r="LO6" s="2633" t="s">
        <v>145</v>
      </c>
      <c r="LP6" s="2688"/>
      <c r="LQ6" s="2634" t="s">
        <v>173</v>
      </c>
      <c r="LR6" s="2634"/>
      <c r="LS6" s="2632"/>
      <c r="LT6" s="2632"/>
      <c r="LU6" s="2632"/>
      <c r="LV6" s="2620" t="s">
        <v>151</v>
      </c>
      <c r="LW6" s="2632" t="s">
        <v>174</v>
      </c>
      <c r="LX6" s="2632"/>
      <c r="LY6" s="2632"/>
      <c r="LZ6" s="2632"/>
      <c r="MA6" s="2632"/>
      <c r="MB6" s="2632"/>
      <c r="MC6" s="2632" t="s">
        <v>175</v>
      </c>
      <c r="MD6" s="2632"/>
      <c r="ME6" s="2632"/>
      <c r="MF6" s="2632"/>
      <c r="MG6" s="2632"/>
      <c r="MH6" s="2620" t="s">
        <v>151</v>
      </c>
      <c r="MI6" s="2632" t="s">
        <v>176</v>
      </c>
      <c r="MJ6" s="2632"/>
      <c r="MK6" s="2632"/>
      <c r="ML6" s="2632"/>
      <c r="MM6" s="2632"/>
      <c r="MN6" s="2620" t="s">
        <v>151</v>
      </c>
      <c r="MO6" s="2632" t="s">
        <v>248</v>
      </c>
      <c r="MP6" s="2632"/>
      <c r="MQ6" s="2632"/>
      <c r="MR6" s="2632"/>
      <c r="MS6" s="2632"/>
      <c r="MT6" s="2619" t="s">
        <v>151</v>
      </c>
      <c r="MU6" s="2688"/>
      <c r="MW6" s="2632" t="s">
        <v>178</v>
      </c>
      <c r="MX6" s="2632" t="s">
        <v>126</v>
      </c>
      <c r="MY6" s="2632" t="s">
        <v>179</v>
      </c>
      <c r="MZ6" s="2633" t="s">
        <v>249</v>
      </c>
      <c r="NA6" s="2621"/>
      <c r="NB6" s="2634" t="s">
        <v>181</v>
      </c>
      <c r="NC6" s="2634"/>
      <c r="ND6" s="2632"/>
      <c r="NE6" s="2632" t="s">
        <v>7</v>
      </c>
      <c r="NF6" s="2632" t="s">
        <v>35</v>
      </c>
      <c r="NG6" s="2632"/>
      <c r="NH6" s="2632"/>
      <c r="NI6" s="2632"/>
      <c r="NJ6" s="2632"/>
      <c r="NK6" s="2632"/>
      <c r="NL6" s="2632"/>
      <c r="NM6" s="2632"/>
      <c r="NN6" s="2632"/>
      <c r="NO6" s="2632"/>
      <c r="NP6" s="2632"/>
      <c r="NQ6" s="181"/>
      <c r="NR6" s="2620" t="s">
        <v>151</v>
      </c>
      <c r="NS6" s="2632" t="s">
        <v>245</v>
      </c>
      <c r="NT6" s="2632"/>
      <c r="NU6" s="2632"/>
      <c r="NV6" s="2632"/>
      <c r="NW6" s="2632"/>
      <c r="NX6" s="2632"/>
      <c r="NY6" s="2632"/>
      <c r="NZ6" s="2632"/>
      <c r="OA6" s="2632"/>
      <c r="OB6" s="2632"/>
      <c r="OC6" s="2632"/>
      <c r="OD6" s="181"/>
      <c r="OE6" s="2620" t="s">
        <v>151</v>
      </c>
      <c r="OF6" s="2632" t="s">
        <v>246</v>
      </c>
      <c r="OG6" s="2632"/>
      <c r="OH6" s="2632"/>
      <c r="OI6" s="2632"/>
      <c r="OJ6" s="2632"/>
      <c r="OK6" s="2632"/>
      <c r="OL6" s="2632"/>
      <c r="OM6" s="2632"/>
      <c r="ON6" s="2632"/>
      <c r="OO6" s="2632"/>
      <c r="OP6" s="2632"/>
      <c r="OQ6" s="181"/>
      <c r="OR6" s="2620" t="s">
        <v>151</v>
      </c>
      <c r="OS6" s="2632" t="s">
        <v>250</v>
      </c>
      <c r="OT6" s="2632"/>
      <c r="OU6" s="2632"/>
      <c r="OV6" s="2632"/>
      <c r="OW6" s="2632"/>
      <c r="OX6" s="2632"/>
      <c r="OY6" s="2620" t="s">
        <v>151</v>
      </c>
      <c r="OZ6" s="2632" t="s">
        <v>251</v>
      </c>
      <c r="PA6" s="2632"/>
      <c r="PB6" s="2632"/>
      <c r="PC6" s="2632"/>
      <c r="PD6" s="2632"/>
      <c r="PE6" s="2632"/>
      <c r="PF6" s="2619" t="s">
        <v>151</v>
      </c>
      <c r="PG6" s="2621"/>
      <c r="PI6" s="2620" t="s">
        <v>184</v>
      </c>
      <c r="PJ6" s="2620" t="s">
        <v>252</v>
      </c>
      <c r="PK6" s="2703" t="s">
        <v>253</v>
      </c>
      <c r="PL6" s="2705" t="s">
        <v>186</v>
      </c>
      <c r="PM6" s="2619" t="s">
        <v>91</v>
      </c>
      <c r="PN6" s="2619" t="s">
        <v>254</v>
      </c>
      <c r="PO6" s="2619" t="s">
        <v>145</v>
      </c>
      <c r="PP6" s="2615"/>
      <c r="PR6" s="2619" t="s">
        <v>255</v>
      </c>
      <c r="PS6" s="2676"/>
      <c r="PT6" s="2619" t="s">
        <v>256</v>
      </c>
      <c r="PU6" s="2673"/>
      <c r="PV6" s="2673"/>
      <c r="PW6" s="2673"/>
      <c r="PX6" s="2676"/>
      <c r="PY6" s="2620" t="s">
        <v>184</v>
      </c>
      <c r="PZ6" s="2620" t="s">
        <v>189</v>
      </c>
      <c r="QA6" s="2620" t="s">
        <v>189</v>
      </c>
      <c r="QB6" s="2690" t="s">
        <v>257</v>
      </c>
      <c r="QC6" s="2690" t="s">
        <v>258</v>
      </c>
      <c r="QD6" s="2620" t="s">
        <v>259</v>
      </c>
      <c r="QE6" s="2716" t="s">
        <v>191</v>
      </c>
      <c r="QF6" s="2717"/>
      <c r="QG6" s="2711"/>
      <c r="QH6" s="1405"/>
      <c r="QI6" s="2619" t="s">
        <v>145</v>
      </c>
      <c r="QJ6" s="2615"/>
      <c r="QO6" s="105" t="s">
        <v>192</v>
      </c>
      <c r="QP6" s="105">
        <v>13000</v>
      </c>
      <c r="RH6" s="2718" t="s">
        <v>261</v>
      </c>
      <c r="RI6" s="2718"/>
      <c r="RJ6" s="2719"/>
      <c r="RK6" s="2719" t="s">
        <v>7</v>
      </c>
      <c r="RW6" s="1134"/>
    </row>
    <row r="7" spans="1:500" s="42" customFormat="1" ht="46.2" customHeight="1">
      <c r="B7" s="2627"/>
      <c r="C7" s="2632"/>
      <c r="D7" s="2632"/>
      <c r="E7" s="2632"/>
      <c r="F7" s="181"/>
      <c r="G7" s="181"/>
      <c r="H7" s="181" t="s">
        <v>193</v>
      </c>
      <c r="I7" s="181" t="s">
        <v>194</v>
      </c>
      <c r="J7" s="181" t="s">
        <v>193</v>
      </c>
      <c r="K7" s="181" t="s">
        <v>194</v>
      </c>
      <c r="L7" s="181" t="s">
        <v>193</v>
      </c>
      <c r="M7" s="182" t="s">
        <v>194</v>
      </c>
      <c r="N7" s="2629"/>
      <c r="O7" s="183" t="s">
        <v>3</v>
      </c>
      <c r="P7" s="181" t="s">
        <v>126</v>
      </c>
      <c r="Q7" s="181" t="s">
        <v>127</v>
      </c>
      <c r="R7" s="182" t="s">
        <v>145</v>
      </c>
      <c r="S7" s="181" t="s">
        <v>3</v>
      </c>
      <c r="T7" s="181" t="s">
        <v>126</v>
      </c>
      <c r="U7" s="181" t="s">
        <v>127</v>
      </c>
      <c r="V7" s="181" t="s">
        <v>145</v>
      </c>
      <c r="W7" s="183" t="s">
        <v>3</v>
      </c>
      <c r="X7" s="181" t="s">
        <v>126</v>
      </c>
      <c r="Y7" s="181" t="s">
        <v>127</v>
      </c>
      <c r="Z7" s="181" t="s">
        <v>145</v>
      </c>
      <c r="AA7" s="183" t="s">
        <v>3</v>
      </c>
      <c r="AB7" s="181" t="s">
        <v>126</v>
      </c>
      <c r="AC7" s="181" t="s">
        <v>127</v>
      </c>
      <c r="AD7" s="181" t="s">
        <v>145</v>
      </c>
      <c r="AE7" s="181" t="s">
        <v>3</v>
      </c>
      <c r="AF7" s="181" t="s">
        <v>126</v>
      </c>
      <c r="AG7" s="181" t="s">
        <v>127</v>
      </c>
      <c r="AH7" s="181" t="s">
        <v>145</v>
      </c>
      <c r="AI7" s="181" t="s">
        <v>3</v>
      </c>
      <c r="AJ7" s="181" t="s">
        <v>126</v>
      </c>
      <c r="AK7" s="181" t="s">
        <v>127</v>
      </c>
      <c r="AL7" s="182" t="s">
        <v>145</v>
      </c>
      <c r="AM7" s="2629"/>
      <c r="AN7" s="183" t="s">
        <v>3</v>
      </c>
      <c r="AO7" s="181" t="s">
        <v>126</v>
      </c>
      <c r="AP7" s="181" t="s">
        <v>127</v>
      </c>
      <c r="AQ7" s="181" t="s">
        <v>3</v>
      </c>
      <c r="AR7" s="181" t="s">
        <v>126</v>
      </c>
      <c r="AS7" s="181" t="s">
        <v>127</v>
      </c>
      <c r="AT7" s="181" t="s">
        <v>3</v>
      </c>
      <c r="AU7" s="181" t="s">
        <v>126</v>
      </c>
      <c r="AV7" s="181" t="s">
        <v>127</v>
      </c>
      <c r="AW7" s="181" t="s">
        <v>3</v>
      </c>
      <c r="AX7" s="181" t="s">
        <v>126</v>
      </c>
      <c r="AY7" s="181" t="s">
        <v>127</v>
      </c>
      <c r="AZ7" s="181" t="s">
        <v>3</v>
      </c>
      <c r="BA7" s="181" t="s">
        <v>126</v>
      </c>
      <c r="BB7" s="181" t="s">
        <v>127</v>
      </c>
      <c r="BC7" s="181" t="s">
        <v>3</v>
      </c>
      <c r="BD7" s="181" t="s">
        <v>126</v>
      </c>
      <c r="BE7" s="181" t="s">
        <v>127</v>
      </c>
      <c r="BF7" s="181" t="s">
        <v>3</v>
      </c>
      <c r="BG7" s="181" t="s">
        <v>126</v>
      </c>
      <c r="BH7" s="181" t="s">
        <v>127</v>
      </c>
      <c r="BI7" s="181" t="s">
        <v>3</v>
      </c>
      <c r="BJ7" s="181" t="s">
        <v>126</v>
      </c>
      <c r="BK7" s="181" t="s">
        <v>127</v>
      </c>
      <c r="BL7" s="181" t="s">
        <v>3</v>
      </c>
      <c r="BM7" s="181" t="s">
        <v>126</v>
      </c>
      <c r="BN7" s="181" t="s">
        <v>127</v>
      </c>
      <c r="BO7" s="181" t="s">
        <v>3</v>
      </c>
      <c r="BP7" s="181" t="s">
        <v>126</v>
      </c>
      <c r="BQ7" s="181" t="s">
        <v>127</v>
      </c>
      <c r="BR7" s="181" t="s">
        <v>3</v>
      </c>
      <c r="BS7" s="181" t="s">
        <v>126</v>
      </c>
      <c r="BT7" s="181" t="s">
        <v>127</v>
      </c>
      <c r="BU7" s="181" t="s">
        <v>3</v>
      </c>
      <c r="BV7" s="181" t="s">
        <v>126</v>
      </c>
      <c r="BW7" s="182" t="s">
        <v>127</v>
      </c>
      <c r="BX7" s="182" t="s">
        <v>3</v>
      </c>
      <c r="BY7" s="182" t="s">
        <v>126</v>
      </c>
      <c r="BZ7" s="182" t="s">
        <v>127</v>
      </c>
      <c r="CA7" s="181" t="s">
        <v>3</v>
      </c>
      <c r="CB7" s="181" t="s">
        <v>126</v>
      </c>
      <c r="CC7" s="182" t="s">
        <v>127</v>
      </c>
      <c r="CD7" s="181" t="s">
        <v>3</v>
      </c>
      <c r="CE7" s="181" t="s">
        <v>126</v>
      </c>
      <c r="CF7" s="182" t="s">
        <v>127</v>
      </c>
      <c r="CG7" s="148"/>
      <c r="CH7" s="2634"/>
      <c r="CI7" s="2632"/>
      <c r="CJ7" s="2632"/>
      <c r="CK7" s="2632"/>
      <c r="CL7" s="2632"/>
      <c r="CM7" s="2672"/>
      <c r="CN7" s="2633"/>
      <c r="CO7" s="2632"/>
      <c r="CQ7" s="2632"/>
      <c r="CR7" s="2632"/>
      <c r="CS7" s="2632"/>
      <c r="CT7" s="2632"/>
      <c r="CU7" s="2632"/>
      <c r="CV7" s="2632"/>
      <c r="CW7" s="2632"/>
      <c r="CX7" s="2632"/>
      <c r="CY7" s="2632"/>
      <c r="CZ7" s="2632"/>
      <c r="DA7" s="2632"/>
      <c r="DB7" s="2632"/>
      <c r="DC7" s="2633"/>
      <c r="DD7" s="2685"/>
      <c r="DE7" s="183" t="s">
        <v>146</v>
      </c>
      <c r="DF7" s="183" t="s">
        <v>230</v>
      </c>
      <c r="DG7" s="181" t="s">
        <v>147</v>
      </c>
      <c r="DH7" s="181" t="s">
        <v>231</v>
      </c>
      <c r="DI7" s="181" t="s">
        <v>148</v>
      </c>
      <c r="DJ7" s="181" t="s">
        <v>232</v>
      </c>
      <c r="DK7" s="181" t="s">
        <v>149</v>
      </c>
      <c r="DL7" s="181" t="s">
        <v>233</v>
      </c>
      <c r="DM7" s="181" t="s">
        <v>69</v>
      </c>
      <c r="DN7" s="181" t="s">
        <v>234</v>
      </c>
      <c r="DO7" s="181" t="s">
        <v>71</v>
      </c>
      <c r="DP7" s="181" t="s">
        <v>235</v>
      </c>
      <c r="DQ7" s="2620"/>
      <c r="DR7" s="183" t="s">
        <v>146</v>
      </c>
      <c r="DS7" s="183" t="s">
        <v>230</v>
      </c>
      <c r="DT7" s="181" t="s">
        <v>147</v>
      </c>
      <c r="DU7" s="181" t="s">
        <v>231</v>
      </c>
      <c r="DV7" s="181" t="s">
        <v>148</v>
      </c>
      <c r="DW7" s="181" t="s">
        <v>232</v>
      </c>
      <c r="DX7" s="181" t="s">
        <v>149</v>
      </c>
      <c r="DY7" s="181" t="s">
        <v>233</v>
      </c>
      <c r="DZ7" s="181" t="s">
        <v>69</v>
      </c>
      <c r="EA7" s="181" t="s">
        <v>234</v>
      </c>
      <c r="EB7" s="181" t="s">
        <v>71</v>
      </c>
      <c r="EC7" s="181" t="s">
        <v>235</v>
      </c>
      <c r="ED7" s="2620"/>
      <c r="EE7" s="183" t="s">
        <v>263</v>
      </c>
      <c r="EF7" s="181" t="s">
        <v>264</v>
      </c>
      <c r="EG7" s="181" t="s">
        <v>265</v>
      </c>
      <c r="EH7" s="181" t="s">
        <v>266</v>
      </c>
      <c r="EI7" s="181" t="s">
        <v>267</v>
      </c>
      <c r="EJ7" s="181" t="s">
        <v>268</v>
      </c>
      <c r="EK7" s="181" t="s">
        <v>269</v>
      </c>
      <c r="EL7" s="181" t="s">
        <v>270</v>
      </c>
      <c r="EM7" s="181" t="s">
        <v>271</v>
      </c>
      <c r="EN7" s="181" t="s">
        <v>272</v>
      </c>
      <c r="EO7" s="181" t="s">
        <v>273</v>
      </c>
      <c r="EP7" s="181" t="s">
        <v>274</v>
      </c>
      <c r="EQ7" s="2620"/>
      <c r="ER7" s="181" t="s">
        <v>146</v>
      </c>
      <c r="ES7" s="181" t="s">
        <v>147</v>
      </c>
      <c r="ET7" s="181" t="s">
        <v>148</v>
      </c>
      <c r="EU7" s="181" t="s">
        <v>149</v>
      </c>
      <c r="EV7" s="181" t="s">
        <v>69</v>
      </c>
      <c r="EW7" s="181" t="s">
        <v>71</v>
      </c>
      <c r="EX7" s="2619"/>
      <c r="EY7" s="2685"/>
      <c r="FA7" s="2620"/>
      <c r="FB7" s="2620"/>
      <c r="FC7" s="2620"/>
      <c r="FD7" s="2632"/>
      <c r="FE7" s="2633"/>
      <c r="FF7" s="2674"/>
      <c r="FG7" s="183" t="s">
        <v>146</v>
      </c>
      <c r="FH7" s="181" t="s">
        <v>147</v>
      </c>
      <c r="FI7" s="181" t="s">
        <v>148</v>
      </c>
      <c r="FJ7" s="181" t="s">
        <v>149</v>
      </c>
      <c r="FK7" s="181" t="s">
        <v>69</v>
      </c>
      <c r="FL7" s="181" t="s">
        <v>71</v>
      </c>
      <c r="FM7" s="2620"/>
      <c r="FN7" s="181" t="s">
        <v>146</v>
      </c>
      <c r="FO7" s="181" t="s">
        <v>147</v>
      </c>
      <c r="FP7" s="181" t="s">
        <v>148</v>
      </c>
      <c r="FQ7" s="181" t="s">
        <v>149</v>
      </c>
      <c r="FR7" s="181" t="s">
        <v>69</v>
      </c>
      <c r="FS7" s="181" t="s">
        <v>71</v>
      </c>
      <c r="FT7" s="2620"/>
      <c r="FU7" s="181" t="s">
        <v>275</v>
      </c>
      <c r="FV7" s="181" t="s">
        <v>230</v>
      </c>
      <c r="FW7" s="181" t="s">
        <v>147</v>
      </c>
      <c r="FX7" s="181" t="s">
        <v>231</v>
      </c>
      <c r="FY7" s="181" t="s">
        <v>148</v>
      </c>
      <c r="FZ7" s="181" t="s">
        <v>232</v>
      </c>
      <c r="GA7" s="181" t="s">
        <v>149</v>
      </c>
      <c r="GB7" s="181" t="s">
        <v>233</v>
      </c>
      <c r="GC7" s="181" t="s">
        <v>69</v>
      </c>
      <c r="GD7" s="181" t="s">
        <v>234</v>
      </c>
      <c r="GE7" s="181" t="s">
        <v>71</v>
      </c>
      <c r="GF7" s="182" t="s">
        <v>235</v>
      </c>
      <c r="GG7" s="2619"/>
      <c r="GH7" s="2674"/>
      <c r="GJ7" s="181" t="s">
        <v>276</v>
      </c>
      <c r="GK7" s="181" t="s">
        <v>81</v>
      </c>
      <c r="GL7" s="181" t="s">
        <v>37</v>
      </c>
      <c r="GM7" s="2632"/>
      <c r="GN7" s="181" t="s">
        <v>277</v>
      </c>
      <c r="GO7" s="181" t="s">
        <v>277</v>
      </c>
      <c r="GP7" s="2633"/>
      <c r="GQ7" s="2667"/>
      <c r="GR7" s="2634"/>
      <c r="GS7" s="2632"/>
      <c r="GT7" s="2632"/>
      <c r="GU7" s="2632"/>
      <c r="GV7" s="2619"/>
      <c r="GW7" s="2667"/>
      <c r="GX7" s="183" t="s">
        <v>263</v>
      </c>
      <c r="GY7" s="181" t="s">
        <v>264</v>
      </c>
      <c r="GZ7" s="181" t="s">
        <v>265</v>
      </c>
      <c r="HA7" s="181" t="s">
        <v>266</v>
      </c>
      <c r="HB7" s="181" t="s">
        <v>267</v>
      </c>
      <c r="HC7" s="181" t="s">
        <v>268</v>
      </c>
      <c r="HD7" s="181" t="s">
        <v>269</v>
      </c>
      <c r="HE7" s="181" t="s">
        <v>270</v>
      </c>
      <c r="HF7" s="181" t="s">
        <v>271</v>
      </c>
      <c r="HG7" s="181" t="s">
        <v>272</v>
      </c>
      <c r="HH7" s="181" t="s">
        <v>273</v>
      </c>
      <c r="HI7" s="181" t="s">
        <v>274</v>
      </c>
      <c r="HJ7" s="181" t="s">
        <v>179</v>
      </c>
      <c r="HK7" s="181" t="s">
        <v>278</v>
      </c>
      <c r="HL7" s="2620"/>
      <c r="HM7" s="1001" t="s">
        <v>275</v>
      </c>
      <c r="HN7" s="1001" t="s">
        <v>230</v>
      </c>
      <c r="HO7" s="1001" t="s">
        <v>147</v>
      </c>
      <c r="HP7" s="1001" t="s">
        <v>231</v>
      </c>
      <c r="HQ7" s="1001" t="s">
        <v>148</v>
      </c>
      <c r="HR7" s="1001" t="s">
        <v>232</v>
      </c>
      <c r="HS7" s="1001" t="s">
        <v>149</v>
      </c>
      <c r="HT7" s="1001" t="s">
        <v>233</v>
      </c>
      <c r="HU7" s="1001" t="s">
        <v>69</v>
      </c>
      <c r="HV7" s="1001" t="s">
        <v>234</v>
      </c>
      <c r="HW7" s="1001" t="s">
        <v>71</v>
      </c>
      <c r="HX7" s="1001" t="s">
        <v>235</v>
      </c>
      <c r="HY7" s="1001" t="s">
        <v>179</v>
      </c>
      <c r="HZ7" s="1001" t="s">
        <v>30</v>
      </c>
      <c r="IA7" s="2712"/>
      <c r="IB7" s="183" t="s">
        <v>275</v>
      </c>
      <c r="IC7" s="181" t="s">
        <v>230</v>
      </c>
      <c r="ID7" s="181" t="s">
        <v>147</v>
      </c>
      <c r="IE7" s="181" t="s">
        <v>231</v>
      </c>
      <c r="IF7" s="181" t="s">
        <v>148</v>
      </c>
      <c r="IG7" s="181" t="s">
        <v>232</v>
      </c>
      <c r="IH7" s="181" t="s">
        <v>149</v>
      </c>
      <c r="II7" s="181" t="s">
        <v>233</v>
      </c>
      <c r="IJ7" s="181" t="s">
        <v>69</v>
      </c>
      <c r="IK7" s="181" t="s">
        <v>234</v>
      </c>
      <c r="IL7" s="181" t="s">
        <v>71</v>
      </c>
      <c r="IM7" s="181" t="s">
        <v>235</v>
      </c>
      <c r="IN7" s="181" t="s">
        <v>179</v>
      </c>
      <c r="IO7" s="181" t="s">
        <v>30</v>
      </c>
      <c r="IP7" s="2620"/>
      <c r="IQ7" s="183" t="s">
        <v>275</v>
      </c>
      <c r="IR7" s="181" t="s">
        <v>230</v>
      </c>
      <c r="IS7" s="181" t="s">
        <v>147</v>
      </c>
      <c r="IT7" s="181" t="s">
        <v>231</v>
      </c>
      <c r="IU7" s="181" t="s">
        <v>148</v>
      </c>
      <c r="IV7" s="181" t="s">
        <v>232</v>
      </c>
      <c r="IW7" s="181" t="s">
        <v>149</v>
      </c>
      <c r="IX7" s="181" t="s">
        <v>233</v>
      </c>
      <c r="IY7" s="181" t="s">
        <v>69</v>
      </c>
      <c r="IZ7" s="181" t="s">
        <v>234</v>
      </c>
      <c r="JA7" s="181" t="s">
        <v>71</v>
      </c>
      <c r="JB7" s="181" t="s">
        <v>235</v>
      </c>
      <c r="JC7" s="181" t="s">
        <v>179</v>
      </c>
      <c r="JD7" s="181" t="s">
        <v>30</v>
      </c>
      <c r="JE7" s="2619"/>
      <c r="JF7" s="2667"/>
      <c r="JH7" s="2632"/>
      <c r="JI7" s="2672"/>
      <c r="JJ7" s="2632"/>
      <c r="JK7" s="2632"/>
      <c r="JL7" s="2633"/>
      <c r="JM7" s="2669"/>
      <c r="JN7" s="183" t="s">
        <v>146</v>
      </c>
      <c r="JO7" s="181" t="s">
        <v>147</v>
      </c>
      <c r="JP7" s="181" t="s">
        <v>148</v>
      </c>
      <c r="JQ7" s="181" t="s">
        <v>149</v>
      </c>
      <c r="JR7" s="181" t="s">
        <v>69</v>
      </c>
      <c r="JS7" s="181" t="s">
        <v>71</v>
      </c>
      <c r="JT7" s="181" t="s">
        <v>179</v>
      </c>
      <c r="JU7" s="181" t="s">
        <v>30</v>
      </c>
      <c r="JV7" s="183" t="s">
        <v>146</v>
      </c>
      <c r="JW7" s="181" t="s">
        <v>147</v>
      </c>
      <c r="JX7" s="181" t="s">
        <v>148</v>
      </c>
      <c r="JY7" s="181" t="s">
        <v>149</v>
      </c>
      <c r="JZ7" s="181" t="s">
        <v>69</v>
      </c>
      <c r="KA7" s="181" t="s">
        <v>71</v>
      </c>
      <c r="KB7" s="181" t="s">
        <v>179</v>
      </c>
      <c r="KC7" s="181" t="s">
        <v>30</v>
      </c>
      <c r="KD7" s="181" t="s">
        <v>146</v>
      </c>
      <c r="KE7" s="181" t="s">
        <v>147</v>
      </c>
      <c r="KF7" s="181" t="s">
        <v>148</v>
      </c>
      <c r="KG7" s="181" t="s">
        <v>149</v>
      </c>
      <c r="KH7" s="181" t="s">
        <v>69</v>
      </c>
      <c r="KI7" s="181" t="s">
        <v>71</v>
      </c>
      <c r="KJ7" s="181" t="s">
        <v>179</v>
      </c>
      <c r="KK7" s="181" t="s">
        <v>30</v>
      </c>
      <c r="KL7" s="2633"/>
      <c r="KM7" s="2669"/>
      <c r="KN7" s="183" t="s">
        <v>61</v>
      </c>
      <c r="KO7" s="181" t="s">
        <v>62</v>
      </c>
      <c r="KP7" s="181" t="s">
        <v>63</v>
      </c>
      <c r="KQ7" s="181" t="s">
        <v>196</v>
      </c>
      <c r="KR7" s="181" t="s">
        <v>197</v>
      </c>
      <c r="KS7" s="183" t="s">
        <v>61</v>
      </c>
      <c r="KT7" s="181" t="s">
        <v>62</v>
      </c>
      <c r="KU7" s="181" t="s">
        <v>63</v>
      </c>
      <c r="KV7" s="181" t="s">
        <v>196</v>
      </c>
      <c r="KW7" s="181" t="s">
        <v>197</v>
      </c>
      <c r="KX7" s="181" t="s">
        <v>61</v>
      </c>
      <c r="KY7" s="181" t="s">
        <v>62</v>
      </c>
      <c r="KZ7" s="181" t="s">
        <v>63</v>
      </c>
      <c r="LA7" s="181" t="s">
        <v>196</v>
      </c>
      <c r="LB7" s="181" t="s">
        <v>197</v>
      </c>
      <c r="LC7" s="2633"/>
      <c r="LD7" s="2669"/>
      <c r="LF7" s="184" t="s">
        <v>167</v>
      </c>
      <c r="LG7" s="184" t="s">
        <v>168</v>
      </c>
      <c r="LH7" s="184" t="s">
        <v>279</v>
      </c>
      <c r="LI7" s="184" t="s">
        <v>7</v>
      </c>
      <c r="LJ7" s="43" t="s">
        <v>198</v>
      </c>
      <c r="LK7" s="43" t="s">
        <v>199</v>
      </c>
      <c r="LL7" s="44" t="s">
        <v>200</v>
      </c>
      <c r="LM7" s="45" t="s">
        <v>201</v>
      </c>
      <c r="LN7" s="2691"/>
      <c r="LO7" s="2633"/>
      <c r="LP7" s="2688"/>
      <c r="LQ7" s="183" t="s">
        <v>167</v>
      </c>
      <c r="LR7" s="184" t="s">
        <v>168</v>
      </c>
      <c r="LS7" s="181" t="s">
        <v>169</v>
      </c>
      <c r="LT7" s="181" t="s">
        <v>202</v>
      </c>
      <c r="LU7" s="181" t="s">
        <v>280</v>
      </c>
      <c r="LV7" s="2620"/>
      <c r="LW7" s="181" t="s">
        <v>167</v>
      </c>
      <c r="LX7" s="184" t="s">
        <v>168</v>
      </c>
      <c r="LY7" s="181" t="s">
        <v>169</v>
      </c>
      <c r="LZ7" s="181" t="s">
        <v>202</v>
      </c>
      <c r="MA7" s="181" t="s">
        <v>280</v>
      </c>
      <c r="MB7" s="181" t="s">
        <v>151</v>
      </c>
      <c r="MC7" s="181" t="s">
        <v>167</v>
      </c>
      <c r="MD7" s="184" t="s">
        <v>168</v>
      </c>
      <c r="ME7" s="181" t="s">
        <v>169</v>
      </c>
      <c r="MF7" s="181" t="s">
        <v>202</v>
      </c>
      <c r="MG7" s="181" t="s">
        <v>203</v>
      </c>
      <c r="MH7" s="2620"/>
      <c r="MI7" s="181" t="s">
        <v>167</v>
      </c>
      <c r="MJ7" s="181" t="s">
        <v>168</v>
      </c>
      <c r="MK7" s="181" t="s">
        <v>169</v>
      </c>
      <c r="ML7" s="181" t="s">
        <v>202</v>
      </c>
      <c r="MM7" s="181" t="s">
        <v>203</v>
      </c>
      <c r="MN7" s="2620"/>
      <c r="MO7" s="181" t="s">
        <v>167</v>
      </c>
      <c r="MP7" s="184" t="s">
        <v>168</v>
      </c>
      <c r="MQ7" s="181" t="s">
        <v>169</v>
      </c>
      <c r="MR7" s="181" t="s">
        <v>202</v>
      </c>
      <c r="MS7" s="181" t="s">
        <v>280</v>
      </c>
      <c r="MT7" s="2619"/>
      <c r="MU7" s="2688"/>
      <c r="MW7" s="2632"/>
      <c r="MX7" s="2632"/>
      <c r="MY7" s="2632"/>
      <c r="MZ7" s="2633"/>
      <c r="NA7" s="2621"/>
      <c r="NB7" s="183" t="s">
        <v>167</v>
      </c>
      <c r="NC7" s="183" t="s">
        <v>168</v>
      </c>
      <c r="ND7" s="181" t="s">
        <v>169</v>
      </c>
      <c r="NE7" s="2632"/>
      <c r="NF7" s="183" t="s">
        <v>263</v>
      </c>
      <c r="NG7" s="181" t="s">
        <v>230</v>
      </c>
      <c r="NH7" s="181" t="s">
        <v>265</v>
      </c>
      <c r="NI7" s="181" t="s">
        <v>231</v>
      </c>
      <c r="NJ7" s="181" t="s">
        <v>267</v>
      </c>
      <c r="NK7" s="181" t="s">
        <v>232</v>
      </c>
      <c r="NL7" s="181" t="s">
        <v>269</v>
      </c>
      <c r="NM7" s="181" t="s">
        <v>233</v>
      </c>
      <c r="NN7" s="181" t="s">
        <v>69</v>
      </c>
      <c r="NO7" s="181" t="s">
        <v>272</v>
      </c>
      <c r="NP7" s="181" t="s">
        <v>146</v>
      </c>
      <c r="NQ7" s="181" t="s">
        <v>71</v>
      </c>
      <c r="NR7" s="2620"/>
      <c r="NS7" s="183" t="s">
        <v>275</v>
      </c>
      <c r="NT7" s="181" t="s">
        <v>230</v>
      </c>
      <c r="NU7" s="181" t="s">
        <v>147</v>
      </c>
      <c r="NV7" s="181" t="s">
        <v>231</v>
      </c>
      <c r="NW7" s="181" t="s">
        <v>148</v>
      </c>
      <c r="NX7" s="181" t="s">
        <v>232</v>
      </c>
      <c r="NY7" s="181" t="s">
        <v>149</v>
      </c>
      <c r="NZ7" s="181" t="s">
        <v>233</v>
      </c>
      <c r="OA7" s="181" t="s">
        <v>69</v>
      </c>
      <c r="OB7" s="181" t="s">
        <v>234</v>
      </c>
      <c r="OC7" s="181" t="s">
        <v>71</v>
      </c>
      <c r="OD7" s="181" t="s">
        <v>235</v>
      </c>
      <c r="OE7" s="2620"/>
      <c r="OF7" s="183" t="s">
        <v>275</v>
      </c>
      <c r="OG7" s="181" t="s">
        <v>230</v>
      </c>
      <c r="OH7" s="181" t="s">
        <v>147</v>
      </c>
      <c r="OI7" s="181" t="s">
        <v>231</v>
      </c>
      <c r="OJ7" s="181" t="s">
        <v>148</v>
      </c>
      <c r="OK7" s="181" t="s">
        <v>232</v>
      </c>
      <c r="OL7" s="181" t="s">
        <v>149</v>
      </c>
      <c r="OM7" s="181" t="s">
        <v>233</v>
      </c>
      <c r="ON7" s="181" t="s">
        <v>69</v>
      </c>
      <c r="OO7" s="181" t="s">
        <v>234</v>
      </c>
      <c r="OP7" s="181" t="s">
        <v>71</v>
      </c>
      <c r="OQ7" s="181" t="s">
        <v>235</v>
      </c>
      <c r="OR7" s="2620"/>
      <c r="OS7" s="181" t="s">
        <v>146</v>
      </c>
      <c r="OT7" s="181" t="s">
        <v>147</v>
      </c>
      <c r="OU7" s="181" t="s">
        <v>148</v>
      </c>
      <c r="OV7" s="181" t="s">
        <v>149</v>
      </c>
      <c r="OW7" s="181" t="s">
        <v>69</v>
      </c>
      <c r="OX7" s="181" t="s">
        <v>71</v>
      </c>
      <c r="OY7" s="2620"/>
      <c r="OZ7" s="181" t="s">
        <v>146</v>
      </c>
      <c r="PA7" s="181" t="s">
        <v>147</v>
      </c>
      <c r="PB7" s="181" t="s">
        <v>148</v>
      </c>
      <c r="PC7" s="181" t="s">
        <v>149</v>
      </c>
      <c r="PD7" s="181" t="s">
        <v>69</v>
      </c>
      <c r="PE7" s="181" t="s">
        <v>71</v>
      </c>
      <c r="PF7" s="2619"/>
      <c r="PG7" s="2621"/>
      <c r="PI7" s="2620"/>
      <c r="PJ7" s="2620"/>
      <c r="PK7" s="2704"/>
      <c r="PL7" s="2705"/>
      <c r="PM7" s="2619"/>
      <c r="PN7" s="2619"/>
      <c r="PO7" s="2619"/>
      <c r="PP7" s="2615"/>
      <c r="PR7" s="999" t="s">
        <v>243</v>
      </c>
      <c r="PS7" s="999" t="s">
        <v>72</v>
      </c>
      <c r="PT7" s="999" t="s">
        <v>35</v>
      </c>
      <c r="PU7" s="999" t="s">
        <v>81</v>
      </c>
      <c r="PV7" s="999" t="s">
        <v>282</v>
      </c>
      <c r="PW7" s="999" t="s">
        <v>283</v>
      </c>
      <c r="PX7" s="999" t="s">
        <v>284</v>
      </c>
      <c r="PY7" s="2620"/>
      <c r="PZ7" s="2620"/>
      <c r="QA7" s="2620"/>
      <c r="QB7" s="2691"/>
      <c r="QC7" s="2691"/>
      <c r="QD7" s="2620"/>
      <c r="QE7" s="999" t="s">
        <v>35</v>
      </c>
      <c r="QF7" s="999" t="s">
        <v>81</v>
      </c>
      <c r="QG7" s="999" t="s">
        <v>37</v>
      </c>
      <c r="QH7" s="1000"/>
      <c r="QI7" s="2619"/>
      <c r="QJ7" s="2615"/>
      <c r="QL7" s="181" t="s">
        <v>204</v>
      </c>
      <c r="QM7" s="181" t="s">
        <v>205</v>
      </c>
      <c r="QO7" s="181" t="s">
        <v>204</v>
      </c>
      <c r="QP7" s="181" t="s">
        <v>205</v>
      </c>
      <c r="QR7" s="89" t="s">
        <v>146</v>
      </c>
      <c r="QS7" s="89" t="s">
        <v>147</v>
      </c>
      <c r="QT7" s="89" t="s">
        <v>148</v>
      </c>
      <c r="QU7" s="89" t="s">
        <v>149</v>
      </c>
      <c r="QV7" s="89" t="s">
        <v>69</v>
      </c>
      <c r="QW7" s="89" t="s">
        <v>71</v>
      </c>
      <c r="QX7" s="89"/>
      <c r="QY7" s="89" t="s">
        <v>146</v>
      </c>
      <c r="QZ7" s="89" t="s">
        <v>147</v>
      </c>
      <c r="RA7" s="89" t="s">
        <v>148</v>
      </c>
      <c r="RB7" s="89" t="s">
        <v>149</v>
      </c>
      <c r="RC7" s="89" t="s">
        <v>69</v>
      </c>
      <c r="RD7" s="89" t="s">
        <v>71</v>
      </c>
      <c r="RH7" s="1004" t="s">
        <v>167</v>
      </c>
      <c r="RI7" s="1004" t="s">
        <v>168</v>
      </c>
      <c r="RJ7" s="1003" t="s">
        <v>169</v>
      </c>
      <c r="RK7" s="2719"/>
      <c r="RW7" s="1134"/>
    </row>
    <row r="8" spans="1:500" s="89" customFormat="1" ht="15" customHeight="1">
      <c r="C8" s="1395"/>
      <c r="D8" s="1395"/>
      <c r="E8" s="1395"/>
      <c r="F8" s="1395"/>
      <c r="G8" s="1395"/>
      <c r="H8" s="1395"/>
      <c r="I8" s="1395"/>
      <c r="J8" s="1395"/>
      <c r="K8" s="1395"/>
      <c r="L8" s="1395"/>
      <c r="M8" s="1395"/>
      <c r="N8" s="2629"/>
      <c r="O8" s="1395"/>
      <c r="P8" s="1395"/>
      <c r="Q8" s="1395"/>
      <c r="R8" s="1395"/>
      <c r="S8" s="1147"/>
      <c r="T8" s="1395"/>
      <c r="U8" s="1406"/>
      <c r="V8" s="1146"/>
      <c r="W8" s="1395"/>
      <c r="X8" s="1395"/>
      <c r="Y8" s="1395"/>
      <c r="Z8" s="1395"/>
      <c r="AA8" s="2720"/>
      <c r="AB8" s="2721"/>
      <c r="AC8" s="2721"/>
      <c r="AD8" s="2722"/>
      <c r="AE8" s="1395"/>
      <c r="AF8" s="1395"/>
      <c r="AG8" s="1395"/>
      <c r="AH8" s="1395"/>
      <c r="AI8" s="1395"/>
      <c r="AJ8" s="1395"/>
      <c r="AK8" s="1395"/>
      <c r="AL8" s="1395"/>
      <c r="AM8" s="2629"/>
      <c r="AN8" s="1395"/>
      <c r="AO8" s="1395"/>
      <c r="AP8" s="1395"/>
      <c r="AQ8" s="1395"/>
      <c r="AR8" s="1395"/>
      <c r="AS8" s="1395"/>
      <c r="AT8" s="1395"/>
      <c r="AU8" s="1395"/>
      <c r="AV8" s="1395"/>
      <c r="AW8" s="1395"/>
      <c r="AX8" s="1395"/>
      <c r="AY8" s="1395"/>
      <c r="AZ8" s="1395"/>
      <c r="BA8" s="1395"/>
      <c r="BB8" s="1395"/>
      <c r="BC8" s="1395"/>
      <c r="BD8" s="1395"/>
      <c r="BE8" s="1395"/>
      <c r="BF8" s="1395"/>
      <c r="BG8" s="1395"/>
      <c r="BH8" s="1395"/>
      <c r="BI8" s="1395"/>
      <c r="BJ8" s="1395"/>
      <c r="BK8" s="1395"/>
      <c r="BL8" s="1395"/>
      <c r="BM8" s="1395"/>
      <c r="BN8" s="1395"/>
      <c r="BO8" s="1395"/>
      <c r="BP8" s="1395"/>
      <c r="BQ8" s="1395"/>
      <c r="BR8" s="1395"/>
      <c r="BS8" s="1395"/>
      <c r="BT8" s="1395"/>
      <c r="BU8" s="1395"/>
      <c r="BV8" s="1395"/>
      <c r="BW8" s="1395"/>
      <c r="CG8" s="147"/>
      <c r="CH8" s="1395"/>
      <c r="CI8" s="1395"/>
      <c r="CJ8" s="1395"/>
      <c r="CK8" s="1395"/>
      <c r="CL8" s="1395"/>
      <c r="CN8" s="1395"/>
      <c r="CO8" s="323"/>
      <c r="CQ8" s="1395"/>
      <c r="CR8" s="1395"/>
      <c r="CS8" s="1395"/>
      <c r="CT8" s="1395"/>
      <c r="CU8" s="1395"/>
      <c r="CV8" s="1395"/>
      <c r="CW8" s="1395"/>
      <c r="CX8" s="1395"/>
      <c r="CY8" s="1395"/>
      <c r="CZ8" s="1395"/>
      <c r="DA8" s="1395"/>
      <c r="DB8" s="1395"/>
      <c r="DC8" s="1395"/>
      <c r="DD8" s="2685"/>
      <c r="DE8" s="1395"/>
      <c r="DF8" s="1395"/>
      <c r="DG8" s="1395"/>
      <c r="DH8" s="1395"/>
      <c r="DI8" s="1395"/>
      <c r="DJ8" s="1395"/>
      <c r="DK8" s="1395"/>
      <c r="DL8" s="1395"/>
      <c r="DM8" s="1395"/>
      <c r="DN8" s="1395"/>
      <c r="DO8" s="1395"/>
      <c r="DP8" s="1395"/>
      <c r="DQ8" s="1396"/>
      <c r="DR8" s="1395"/>
      <c r="DS8" s="1395"/>
      <c r="DT8" s="1395"/>
      <c r="DU8" s="1395"/>
      <c r="DV8" s="1395"/>
      <c r="DW8" s="1395"/>
      <c r="DX8" s="1395"/>
      <c r="DY8" s="1395"/>
      <c r="DZ8" s="1395"/>
      <c r="EA8" s="1395"/>
      <c r="EB8" s="1395"/>
      <c r="EC8" s="1395"/>
      <c r="ED8" s="1396"/>
      <c r="EE8" s="1395"/>
      <c r="EF8" s="1395"/>
      <c r="EG8" s="1395"/>
      <c r="EH8" s="1395"/>
      <c r="EI8" s="1395"/>
      <c r="EJ8" s="1395"/>
      <c r="EK8" s="1395"/>
      <c r="EL8" s="1395"/>
      <c r="EM8" s="1395"/>
      <c r="EN8" s="1395"/>
      <c r="EO8" s="1395"/>
      <c r="EP8" s="1395"/>
      <c r="EQ8" s="1396"/>
      <c r="ER8" s="1395"/>
      <c r="ES8" s="1395"/>
      <c r="ET8" s="1395"/>
      <c r="EU8" s="1395"/>
      <c r="EV8" s="1395"/>
      <c r="EW8" s="1395"/>
      <c r="EX8" s="1396"/>
      <c r="EY8" s="2685"/>
      <c r="FA8" s="1396"/>
      <c r="FB8" s="1396"/>
      <c r="FC8" s="1396"/>
      <c r="FD8" s="1395"/>
      <c r="FE8" s="1395"/>
      <c r="FF8" s="2674"/>
      <c r="FG8" s="1395"/>
      <c r="FH8" s="1395"/>
      <c r="FI8" s="1395"/>
      <c r="FJ8" s="1395"/>
      <c r="FK8" s="1395"/>
      <c r="FL8" s="1395"/>
      <c r="FM8" s="1396"/>
      <c r="FN8" s="1395"/>
      <c r="FO8" s="1395"/>
      <c r="FP8" s="1395"/>
      <c r="FQ8" s="1395"/>
      <c r="FR8" s="1395"/>
      <c r="FS8" s="1395"/>
      <c r="FT8" s="1396"/>
      <c r="FU8" s="1395"/>
      <c r="FV8" s="1395"/>
      <c r="FW8" s="1395"/>
      <c r="FX8" s="1395"/>
      <c r="FY8" s="1395"/>
      <c r="FZ8" s="1395"/>
      <c r="GA8" s="1395"/>
      <c r="GB8" s="1395"/>
      <c r="GC8" s="1395"/>
      <c r="GD8" s="1395"/>
      <c r="GE8" s="1395"/>
      <c r="GF8" s="1395"/>
      <c r="GG8" s="1396"/>
      <c r="GH8" s="2674"/>
      <c r="GJ8" s="1395"/>
      <c r="GK8" s="1395"/>
      <c r="GL8" s="1395"/>
      <c r="GM8" s="1395"/>
      <c r="GN8" s="1395"/>
      <c r="GO8" s="1395"/>
      <c r="GP8" s="1395"/>
      <c r="GQ8" s="2667"/>
      <c r="GR8" s="1395"/>
      <c r="GS8" s="1395"/>
      <c r="GT8" s="1395"/>
      <c r="GU8" s="1395"/>
      <c r="GV8" s="1396"/>
      <c r="GW8" s="2667"/>
      <c r="GX8" s="1395"/>
      <c r="GY8" s="1395"/>
      <c r="GZ8" s="1395"/>
      <c r="HA8" s="1395"/>
      <c r="HB8" s="1395"/>
      <c r="HC8" s="1395"/>
      <c r="HD8" s="1395"/>
      <c r="HE8" s="1395"/>
      <c r="HF8" s="1395"/>
      <c r="HG8" s="1395"/>
      <c r="HH8" s="1395"/>
      <c r="HI8" s="1395"/>
      <c r="HJ8" s="1395"/>
      <c r="HK8" s="1395"/>
      <c r="HL8" s="1396"/>
      <c r="HM8" s="1145"/>
      <c r="HN8" s="1407"/>
      <c r="HO8" s="1407"/>
      <c r="HP8" s="1407"/>
      <c r="HQ8" s="1407"/>
      <c r="HR8" s="1407"/>
      <c r="HS8" s="1407"/>
      <c r="HT8" s="1407"/>
      <c r="HU8" s="1407"/>
      <c r="HV8" s="1407"/>
      <c r="HW8" s="1407"/>
      <c r="HX8" s="1407"/>
      <c r="HY8" s="1407"/>
      <c r="HZ8" s="1407"/>
      <c r="IA8" s="1144"/>
      <c r="IB8" s="1395"/>
      <c r="IC8" s="1395"/>
      <c r="ID8" s="1395"/>
      <c r="IE8" s="1395"/>
      <c r="IF8" s="1395"/>
      <c r="IG8" s="1395"/>
      <c r="IH8" s="1395"/>
      <c r="II8" s="1395"/>
      <c r="IJ8" s="1395"/>
      <c r="IK8" s="1395"/>
      <c r="IL8" s="1395"/>
      <c r="IM8" s="1395"/>
      <c r="IN8" s="1395"/>
      <c r="IO8" s="1395"/>
      <c r="IP8" s="1396"/>
      <c r="IQ8" s="1395"/>
      <c r="IR8" s="1395"/>
      <c r="IS8" s="1395"/>
      <c r="IT8" s="1395"/>
      <c r="IU8" s="1395"/>
      <c r="IV8" s="1395"/>
      <c r="IW8" s="1395"/>
      <c r="IX8" s="1395"/>
      <c r="IY8" s="1395"/>
      <c r="IZ8" s="1395"/>
      <c r="JA8" s="1395"/>
      <c r="JB8" s="1395"/>
      <c r="JC8" s="1395"/>
      <c r="JD8" s="1395"/>
      <c r="JE8" s="1396"/>
      <c r="JF8" s="2667"/>
      <c r="JH8" s="1395"/>
      <c r="JI8" s="1395"/>
      <c r="JJ8" s="1395"/>
      <c r="JK8" s="1395"/>
      <c r="JL8" s="1395"/>
      <c r="JM8" s="2669"/>
      <c r="JN8" s="1395"/>
      <c r="JO8" s="1395"/>
      <c r="JP8" s="1395"/>
      <c r="JQ8" s="1395"/>
      <c r="JR8" s="1395"/>
      <c r="JS8" s="1395"/>
      <c r="JT8" s="1395"/>
      <c r="JU8" s="1395"/>
      <c r="JV8" s="1395"/>
      <c r="JW8" s="1395"/>
      <c r="JX8" s="1395"/>
      <c r="JY8" s="1395"/>
      <c r="JZ8" s="1395"/>
      <c r="KA8" s="1395"/>
      <c r="KB8" s="1395"/>
      <c r="KC8" s="1395"/>
      <c r="KE8" s="1395"/>
      <c r="KF8" s="1395"/>
      <c r="KG8" s="1395"/>
      <c r="KH8" s="1395"/>
      <c r="KI8" s="1395"/>
      <c r="KJ8" s="1395"/>
      <c r="KK8" s="1395"/>
      <c r="KL8" s="1395"/>
      <c r="KM8" s="2669"/>
      <c r="KN8" s="1395"/>
      <c r="KO8" s="1395"/>
      <c r="KP8" s="1395"/>
      <c r="KQ8" s="1395"/>
      <c r="KR8" s="1395"/>
      <c r="KS8" s="1395"/>
      <c r="KT8" s="1395"/>
      <c r="KU8" s="1395"/>
      <c r="KV8" s="1395"/>
      <c r="KW8" s="1395"/>
      <c r="KX8" s="1395"/>
      <c r="KY8" s="1395"/>
      <c r="KZ8" s="1395"/>
      <c r="LA8" s="1395"/>
      <c r="LB8" s="1395"/>
      <c r="LC8" s="1395"/>
      <c r="LD8" s="2669"/>
      <c r="LF8" s="1395"/>
      <c r="LG8" s="1395"/>
      <c r="LH8" s="1395"/>
      <c r="LI8" s="1395"/>
      <c r="LJ8" s="17"/>
      <c r="LK8" s="18"/>
      <c r="LL8" s="1397"/>
      <c r="LM8" s="17"/>
      <c r="LN8" s="17"/>
      <c r="LO8" s="1395"/>
      <c r="LP8" s="2688"/>
      <c r="LQ8" s="1395"/>
      <c r="LR8" s="1395"/>
      <c r="LS8" s="1395"/>
      <c r="LT8" s="1395"/>
      <c r="LU8" s="1395"/>
      <c r="LV8" s="1396"/>
      <c r="LW8" s="1395"/>
      <c r="LX8" s="1395"/>
      <c r="LY8" s="1395"/>
      <c r="LZ8" s="1395"/>
      <c r="MA8" s="1395"/>
      <c r="MB8" s="1395"/>
      <c r="MC8" s="1395"/>
      <c r="MD8" s="1395"/>
      <c r="ME8" s="1395"/>
      <c r="MF8" s="1395"/>
      <c r="MG8" s="1395"/>
      <c r="MH8" s="1396"/>
      <c r="MI8" s="1395"/>
      <c r="MJ8" s="1395"/>
      <c r="MK8" s="1395"/>
      <c r="ML8" s="1395"/>
      <c r="MM8" s="1395"/>
      <c r="MN8" s="1396"/>
      <c r="MO8" s="1395"/>
      <c r="MP8" s="1395"/>
      <c r="MQ8" s="1395"/>
      <c r="MR8" s="1395"/>
      <c r="MS8" s="1395"/>
      <c r="MT8" s="1396"/>
      <c r="MU8" s="2688"/>
      <c r="NA8" s="2621"/>
      <c r="NB8" s="303"/>
      <c r="NC8" s="303"/>
      <c r="ND8" s="303"/>
      <c r="NR8" s="298">
        <f t="shared" ref="NR8:NR40" si="0">SUM(NF8:NQ8)</f>
        <v>0</v>
      </c>
      <c r="NS8" s="105"/>
      <c r="NT8" s="105"/>
      <c r="NU8" s="105"/>
      <c r="NV8" s="105"/>
      <c r="NW8" s="105"/>
      <c r="NX8" s="105"/>
      <c r="NY8" s="105"/>
      <c r="NZ8" s="105"/>
      <c r="OA8" s="105"/>
      <c r="OB8" s="105"/>
      <c r="OC8" s="105"/>
      <c r="OD8" s="105"/>
      <c r="OE8" s="298">
        <f t="shared" ref="OE8:OE40" si="1">SUM(NS8:OD8)</f>
        <v>0</v>
      </c>
      <c r="OJ8" s="304"/>
      <c r="OK8" s="304"/>
      <c r="ON8" s="304"/>
      <c r="OO8" s="304"/>
      <c r="OR8" s="298">
        <f t="shared" ref="OR8:OR40" si="2">SUM(OF8:OQ8)</f>
        <v>0</v>
      </c>
      <c r="OY8" s="19"/>
      <c r="PF8" s="298">
        <f t="shared" ref="PF8:PF40" si="3">SUM(OZ8:PE8)</f>
        <v>0</v>
      </c>
      <c r="PG8" s="2621"/>
      <c r="PP8" s="2615"/>
      <c r="QJ8" s="2615"/>
      <c r="RM8" s="2713" t="s">
        <v>285</v>
      </c>
      <c r="RN8" s="2713"/>
      <c r="RO8" s="2713"/>
      <c r="RP8" s="2713"/>
      <c r="RQ8" s="2713"/>
      <c r="RR8" s="2713"/>
      <c r="RU8" s="2713" t="s">
        <v>286</v>
      </c>
      <c r="RV8" s="2713"/>
      <c r="RW8" s="2713"/>
      <c r="RX8" s="2713"/>
      <c r="RY8" s="2714" t="s">
        <v>287</v>
      </c>
      <c r="RZ8" s="2714"/>
      <c r="SA8" s="2714"/>
      <c r="SB8" s="2714"/>
      <c r="SD8" s="1143" t="s">
        <v>288</v>
      </c>
      <c r="SE8" s="1143"/>
      <c r="SF8" s="1143"/>
    </row>
    <row r="9" spans="1:500" s="89" customFormat="1" ht="15" customHeight="1">
      <c r="B9" s="89">
        <f>COUNTIF(MW10:QD40,"&lt;"&amp;0)</f>
        <v>0</v>
      </c>
      <c r="N9" s="2629"/>
      <c r="S9" s="300"/>
      <c r="U9" s="105"/>
      <c r="V9" s="301"/>
      <c r="AA9" s="2723"/>
      <c r="AB9" s="2724"/>
      <c r="AC9" s="2724"/>
      <c r="AD9" s="2725"/>
      <c r="AM9" s="2629"/>
      <c r="CG9" s="147"/>
      <c r="CO9" s="323"/>
      <c r="DD9" s="2685"/>
      <c r="DE9" s="105"/>
      <c r="DF9" s="105"/>
      <c r="DG9" s="105"/>
      <c r="DH9" s="105"/>
      <c r="DI9" s="105"/>
      <c r="DJ9" s="105"/>
      <c r="DK9" s="105"/>
      <c r="DL9" s="105"/>
      <c r="DM9" s="105"/>
      <c r="DN9" s="105"/>
      <c r="DO9" s="105"/>
      <c r="DP9" s="105"/>
      <c r="DQ9" s="1142"/>
      <c r="ED9" s="19"/>
      <c r="EQ9" s="19"/>
      <c r="EX9" s="19"/>
      <c r="EY9" s="2685"/>
      <c r="FA9" s="19"/>
      <c r="FB9" s="19"/>
      <c r="FC9" s="19"/>
      <c r="FF9" s="2674"/>
      <c r="FM9" s="19"/>
      <c r="FT9" s="19"/>
      <c r="GG9" s="19"/>
      <c r="GH9" s="2674"/>
      <c r="GQ9" s="2667"/>
      <c r="GV9" s="19"/>
      <c r="GW9" s="2667"/>
      <c r="HL9" s="19"/>
      <c r="HM9" s="1141"/>
      <c r="HN9" s="1140"/>
      <c r="HO9" s="1140"/>
      <c r="HP9" s="1140"/>
      <c r="HQ9" s="1140"/>
      <c r="HR9" s="1140"/>
      <c r="HS9" s="1140"/>
      <c r="HT9" s="1140"/>
      <c r="HU9" s="1140"/>
      <c r="HV9" s="1140"/>
      <c r="HW9" s="1140"/>
      <c r="HX9" s="1140"/>
      <c r="HY9" s="1140"/>
      <c r="HZ9" s="1140"/>
      <c r="IA9" s="1139"/>
      <c r="IP9" s="19"/>
      <c r="JE9" s="19"/>
      <c r="JF9" s="2667"/>
      <c r="JM9" s="2669"/>
      <c r="KM9" s="2669"/>
      <c r="LD9" s="2669"/>
      <c r="LJ9" s="17"/>
      <c r="LK9" s="18"/>
      <c r="LL9" s="180"/>
      <c r="LM9" s="17"/>
      <c r="LN9" s="17"/>
      <c r="LP9" s="2688"/>
      <c r="LV9" s="19"/>
      <c r="MH9" s="19"/>
      <c r="MN9" s="19"/>
      <c r="MT9" s="19"/>
      <c r="MU9" s="2688"/>
      <c r="NA9" s="2621"/>
      <c r="NB9" s="1138">
        <f>'January TCM'!NB42</f>
        <v>74553.67169719057</v>
      </c>
      <c r="NC9" s="1138">
        <f>'January TCM'!NC42</f>
        <v>23392.691747340945</v>
      </c>
      <c r="ND9" s="866">
        <v>0</v>
      </c>
      <c r="NE9" s="349">
        <f t="shared" ref="NE9:NE40" si="4">SUM(NB9:ND9)</f>
        <v>97946.363444531511</v>
      </c>
      <c r="NF9" s="349"/>
      <c r="NG9" s="349"/>
      <c r="NH9" s="349"/>
      <c r="NI9" s="349"/>
      <c r="NJ9" s="349">
        <v>0</v>
      </c>
      <c r="NK9" s="349"/>
      <c r="NL9" s="349">
        <v>0</v>
      </c>
      <c r="NM9" s="349"/>
      <c r="NN9" s="349">
        <f>'January TCM'!NN42</f>
        <v>36409.862027032752</v>
      </c>
      <c r="NO9" s="349"/>
      <c r="NP9" s="349">
        <f>'January TCM'!NP42</f>
        <v>8756.5482322711578</v>
      </c>
      <c r="NQ9" s="349">
        <f>'January TCM'!NQ42</f>
        <v>18590.8150132308</v>
      </c>
      <c r="NR9" s="362">
        <f>SUM(NF9:NQ9)</f>
        <v>63757.225272534713</v>
      </c>
      <c r="NS9" s="349"/>
      <c r="NT9" s="349"/>
      <c r="NU9" s="349"/>
      <c r="NV9" s="349"/>
      <c r="NW9" s="349"/>
      <c r="NX9" s="349"/>
      <c r="NY9" s="349">
        <f>'January TCM'!NY42</f>
        <v>5933.5346092523796</v>
      </c>
      <c r="NZ9" s="349"/>
      <c r="OA9" s="349">
        <f>'January TCM'!OA42</f>
        <v>6203.48570226225</v>
      </c>
      <c r="OB9" s="349"/>
      <c r="OC9" s="349">
        <f>'January TCM'!OC42</f>
        <v>1565.61197844705</v>
      </c>
      <c r="OD9" s="349"/>
      <c r="OE9" s="349">
        <f t="shared" si="1"/>
        <v>13702.632289961679</v>
      </c>
      <c r="OF9" s="349">
        <v>0</v>
      </c>
      <c r="OG9" s="349"/>
      <c r="OH9" s="349">
        <v>0</v>
      </c>
      <c r="OI9" s="349"/>
      <c r="OJ9" s="349">
        <v>0</v>
      </c>
      <c r="OK9" s="349"/>
      <c r="OL9" s="349">
        <v>0</v>
      </c>
      <c r="OM9" s="349"/>
      <c r="ON9" s="349">
        <f>'January TCM'!ON42</f>
        <v>70504.720253800202</v>
      </c>
      <c r="OO9" s="349"/>
      <c r="OP9" s="349">
        <f>'January TCM'!OP42</f>
        <v>9104.7591678050994</v>
      </c>
      <c r="OQ9" s="349"/>
      <c r="OR9" s="349">
        <f t="shared" si="2"/>
        <v>79609.479421605298</v>
      </c>
      <c r="OZ9" s="42"/>
      <c r="PA9" s="42"/>
      <c r="PB9" s="42"/>
      <c r="PC9" s="42"/>
      <c r="PD9" s="42"/>
      <c r="PE9" s="42"/>
      <c r="PF9" s="298">
        <f t="shared" si="3"/>
        <v>0</v>
      </c>
      <c r="PG9" s="2621"/>
      <c r="PM9" s="89">
        <f>'January TCM'!PM42</f>
        <v>1607.4897377964558</v>
      </c>
      <c r="PN9" s="89">
        <f>'January TCM'!PN42</f>
        <v>23336.863116668144</v>
      </c>
      <c r="PP9" s="2615"/>
      <c r="QE9" s="1137">
        <f>'January TCM'!QE42</f>
        <v>29749.381073161156</v>
      </c>
      <c r="QF9" s="1137">
        <f>'January TCM'!QF42</f>
        <v>410436.07557805313</v>
      </c>
      <c r="QG9" s="1137">
        <f>'January TCM'!QG42</f>
        <v>0</v>
      </c>
      <c r="QH9" s="1136">
        <v>5505.3678056100007</v>
      </c>
      <c r="QJ9" s="2615"/>
      <c r="QL9" s="105"/>
      <c r="QM9" s="105"/>
      <c r="RH9" s="42">
        <v>45424.161751083164</v>
      </c>
      <c r="RI9" s="42">
        <v>3925.5835498622801</v>
      </c>
      <c r="RJ9" s="42">
        <v>9178.5689913333827</v>
      </c>
      <c r="RK9" s="42">
        <f t="shared" ref="RK9:RK40" si="5">SUM(RH9:RJ9)</f>
        <v>58528.314292278832</v>
      </c>
      <c r="RM9" s="866" t="s">
        <v>81</v>
      </c>
      <c r="RN9" s="866" t="s">
        <v>289</v>
      </c>
      <c r="RO9" s="1135" t="s">
        <v>290</v>
      </c>
      <c r="RP9" s="1135" t="s">
        <v>37</v>
      </c>
      <c r="RQ9" s="42" t="s">
        <v>291</v>
      </c>
      <c r="RR9" s="42" t="s">
        <v>292</v>
      </c>
      <c r="RW9" s="1134" t="s">
        <v>293</v>
      </c>
      <c r="RY9" s="1133"/>
      <c r="RZ9" s="1133" t="s">
        <v>294</v>
      </c>
      <c r="SA9" s="1133"/>
      <c r="SB9" s="1133" t="s">
        <v>178</v>
      </c>
      <c r="SF9" s="89" t="s">
        <v>293</v>
      </c>
    </row>
    <row r="10" spans="1:500" s="1" customFormat="1" ht="15" customHeight="1">
      <c r="B10" s="471">
        <v>1</v>
      </c>
      <c r="C10" s="4">
        <f t="shared" ref="C10:C40" si="6">+O10+S10+W10+AE10+AI10+AA10</f>
        <v>126997</v>
      </c>
      <c r="D10" s="64">
        <f>P10+T10+X10+AB10</f>
        <v>6831.9000000000005</v>
      </c>
      <c r="E10" s="61">
        <f t="shared" ref="E10:E41" si="7">IFERROR(C10/D10,0)</f>
        <v>18.588825948857565</v>
      </c>
      <c r="F10" s="870"/>
      <c r="G10" s="870"/>
      <c r="H10" s="295">
        <v>30</v>
      </c>
      <c r="I10" s="299">
        <v>11</v>
      </c>
      <c r="J10" s="48"/>
      <c r="K10" s="50"/>
      <c r="L10" s="48">
        <v>1.83</v>
      </c>
      <c r="M10" s="60">
        <v>4.41</v>
      </c>
      <c r="N10" s="2629"/>
      <c r="O10" s="4">
        <f t="shared" ref="O10:O40" si="8">+SUM(AQ10,BC10,AW10)</f>
        <v>77742</v>
      </c>
      <c r="P10" s="1225">
        <f t="shared" ref="P10:P40" si="9">+SUM(AR10,AU10,AX10,BD10)</f>
        <v>4363.1000000000004</v>
      </c>
      <c r="Q10" s="63">
        <f t="shared" ref="Q10:Q43" si="10">IFERROR(O10/P10,0)</f>
        <v>17.818065137173111</v>
      </c>
      <c r="R10" s="32"/>
      <c r="S10" s="26">
        <f t="shared" ref="S10:S43" si="11">SUM(BF10,BI10,BL10,BX10)</f>
        <v>30259</v>
      </c>
      <c r="T10" s="27">
        <f t="shared" ref="T10:T40" si="12">+SUM(BY10,BJ10,BM10,BG10)</f>
        <v>1088.8</v>
      </c>
      <c r="U10" s="49">
        <f t="shared" ref="U10:U44" si="13">IFERROR(S10/T10,0)</f>
        <v>27.791146216017637</v>
      </c>
      <c r="V10" s="25"/>
      <c r="W10" s="26">
        <f t="shared" ref="W10:X40" si="14">BU10+CD10+BR10</f>
        <v>18996</v>
      </c>
      <c r="X10" s="5">
        <f t="shared" si="14"/>
        <v>1380</v>
      </c>
      <c r="Y10" s="49">
        <f t="shared" ref="Y10:Y43" si="15">IFERROR(W10/X10,0)</f>
        <v>13.765217391304347</v>
      </c>
      <c r="Z10" s="32"/>
      <c r="AA10" s="26">
        <f t="shared" ref="AA10:AA39" si="16">SUM(BO10)</f>
        <v>0</v>
      </c>
      <c r="AB10" s="27">
        <f t="shared" ref="AB10:AB41" si="17">BP10+CB10</f>
        <v>0</v>
      </c>
      <c r="AC10" s="53">
        <f t="shared" ref="AC10:AC41" si="18">IFERROR(AA10/AB10,0)</f>
        <v>0</v>
      </c>
      <c r="AD10" s="28"/>
      <c r="AE10" s="36"/>
      <c r="AF10" s="36"/>
      <c r="AG10" s="49">
        <f t="shared" ref="AG10:AG42" si="19">IFERROR(AE10/AF10,0)</f>
        <v>0</v>
      </c>
      <c r="AH10" s="25"/>
      <c r="AI10" s="23"/>
      <c r="AJ10" s="24"/>
      <c r="AK10" s="49">
        <f t="shared" ref="AK10:AK43" si="20">IFERROR(AI10/AJ10,0)</f>
        <v>0</v>
      </c>
      <c r="AL10" s="25"/>
      <c r="AM10" s="2629"/>
      <c r="AN10" s="8"/>
      <c r="AO10" s="3"/>
      <c r="AP10" s="60">
        <f t="shared" ref="AP10:AP41" si="21">IFERROR(AN10/AO10,0)</f>
        <v>0</v>
      </c>
      <c r="AQ10" s="35"/>
      <c r="AR10" s="49"/>
      <c r="AS10" s="60">
        <f t="shared" ref="AS10:AS42" si="22">IFERROR(AQ10/AR10,0)</f>
        <v>0</v>
      </c>
      <c r="AT10" s="35"/>
      <c r="AU10" s="24"/>
      <c r="AV10" s="60">
        <f t="shared" ref="AV10:AV41" si="23">IFERROR(AT10/AU10,0)</f>
        <v>0</v>
      </c>
      <c r="AW10" s="35">
        <v>48174</v>
      </c>
      <c r="AX10" s="24">
        <v>2710.64</v>
      </c>
      <c r="AY10" s="60">
        <f t="shared" ref="AY10:AY43" si="24">IFERROR(AW10/AX10,0)</f>
        <v>17.772186642268984</v>
      </c>
      <c r="AZ10" s="35"/>
      <c r="BA10" s="24"/>
      <c r="BB10" s="60">
        <f t="shared" ref="BB10:BB41" si="25">IFERROR(AZ10/BA10,0)</f>
        <v>0</v>
      </c>
      <c r="BC10" s="35">
        <v>29568</v>
      </c>
      <c r="BD10" s="24">
        <v>1652.46</v>
      </c>
      <c r="BE10" s="60">
        <f t="shared" ref="BE10:BE41" si="26">IFERROR(BC10/BD10,0)</f>
        <v>17.893322682546021</v>
      </c>
      <c r="BF10" s="35"/>
      <c r="BG10" s="49"/>
      <c r="BH10" s="60">
        <f t="shared" ref="BH10:BH42" si="27">IFERROR(BF10/BG10,0)</f>
        <v>0</v>
      </c>
      <c r="BI10" s="35">
        <v>0</v>
      </c>
      <c r="BJ10" s="49">
        <v>0</v>
      </c>
      <c r="BK10" s="60">
        <f t="shared" ref="BK10:BK37" si="28">IFERROR(BI10/BJ10,0)</f>
        <v>0</v>
      </c>
      <c r="BL10" s="52">
        <v>30259</v>
      </c>
      <c r="BM10" s="53">
        <v>1088.8</v>
      </c>
      <c r="BN10" s="60">
        <f t="shared" ref="BN10:BN41" si="29">IFERROR(BL10/BM10,0)</f>
        <v>27.791146216017637</v>
      </c>
      <c r="BO10" s="1132"/>
      <c r="BP10" s="49"/>
      <c r="BQ10" s="60">
        <f t="shared" ref="BQ10:BQ42" si="30">IFERROR(BO10/BP10,0)</f>
        <v>0</v>
      </c>
      <c r="BR10" s="35"/>
      <c r="BS10" s="49"/>
      <c r="BT10" s="60">
        <f t="shared" ref="BT10:BT41" si="31">IFERROR(BR10/BS10,0)</f>
        <v>0</v>
      </c>
      <c r="BU10" s="35">
        <v>18996</v>
      </c>
      <c r="BV10" s="24">
        <v>1380</v>
      </c>
      <c r="BW10" s="25">
        <f t="shared" ref="BW10:BW43" si="32">IFERROR(BU10/BV10,0)</f>
        <v>13.765217391304347</v>
      </c>
      <c r="BX10" s="26"/>
      <c r="BY10" s="24"/>
      <c r="BZ10" s="61">
        <f t="shared" ref="BZ10:BZ43" si="33">IFERROR(BX10/BY10,0)</f>
        <v>0</v>
      </c>
      <c r="CA10" s="35"/>
      <c r="CB10" s="24"/>
      <c r="CC10" s="60">
        <f t="shared" ref="CC10:CC43" si="34">IFERROR(CA10/CB10,0)</f>
        <v>0</v>
      </c>
      <c r="CD10" s="23"/>
      <c r="CE10" s="1345"/>
      <c r="CF10" s="25">
        <f t="shared" ref="CF10:CF41" si="35">IFERROR(CD10/CE10,0)</f>
        <v>0</v>
      </c>
      <c r="CG10" s="149"/>
      <c r="CH10" s="1131">
        <v>0</v>
      </c>
      <c r="CI10" s="3"/>
      <c r="CJ10" s="3"/>
      <c r="CK10" s="3">
        <v>12608.5</v>
      </c>
      <c r="CL10" s="3"/>
      <c r="CM10" s="3">
        <f>SUM(CH10:CL10)</f>
        <v>12608.5</v>
      </c>
      <c r="CN10" s="32"/>
      <c r="CO10" s="366"/>
      <c r="CQ10" s="2">
        <f t="shared" ref="CQ10:DB31" si="36">SUM(DE10,DR10,EE10)</f>
        <v>0</v>
      </c>
      <c r="CR10" s="8">
        <f t="shared" si="36"/>
        <v>0</v>
      </c>
      <c r="CS10" s="3">
        <f t="shared" si="36"/>
        <v>0</v>
      </c>
      <c r="CT10" s="3">
        <f t="shared" si="36"/>
        <v>0</v>
      </c>
      <c r="CU10" s="3">
        <f t="shared" si="36"/>
        <v>0</v>
      </c>
      <c r="CV10" s="3">
        <f t="shared" si="36"/>
        <v>0</v>
      </c>
      <c r="CW10" s="1408">
        <f t="shared" si="36"/>
        <v>0</v>
      </c>
      <c r="CX10" s="3">
        <f t="shared" si="36"/>
        <v>0</v>
      </c>
      <c r="CY10" s="3">
        <f t="shared" si="36"/>
        <v>6831.9000000000005</v>
      </c>
      <c r="CZ10" s="3">
        <f t="shared" si="36"/>
        <v>0</v>
      </c>
      <c r="DA10" s="1408">
        <f t="shared" si="36"/>
        <v>0</v>
      </c>
      <c r="DB10" s="11">
        <f t="shared" si="36"/>
        <v>0</v>
      </c>
      <c r="DC10" s="310">
        <f t="shared" ref="DC10:DC31" si="37">SUM(CQ10:DB10,PV10,PW10)</f>
        <v>6831.9000000000005</v>
      </c>
      <c r="DD10" s="2695"/>
      <c r="DE10" s="8"/>
      <c r="DF10" s="8"/>
      <c r="DG10" s="3"/>
      <c r="DH10" s="3"/>
      <c r="DI10" s="3"/>
      <c r="DJ10" s="3"/>
      <c r="DK10" s="3"/>
      <c r="DL10" s="3"/>
      <c r="DM10" s="3">
        <v>2710.64</v>
      </c>
      <c r="DN10" s="3"/>
      <c r="DO10" s="3"/>
      <c r="DP10" s="11"/>
      <c r="DQ10" s="25">
        <f t="shared" ref="DQ10:DQ40" si="38">SUM(DE10:DP10)</f>
        <v>2710.64</v>
      </c>
      <c r="DR10" s="35"/>
      <c r="DS10" s="35"/>
      <c r="DT10" s="24"/>
      <c r="DU10" s="24"/>
      <c r="DV10" s="3"/>
      <c r="DW10" s="3"/>
      <c r="DX10" s="3"/>
      <c r="DY10" s="3"/>
      <c r="DZ10" s="3">
        <v>2741.2600000000007</v>
      </c>
      <c r="EA10" s="49"/>
      <c r="EB10" s="24"/>
      <c r="EC10" s="32"/>
      <c r="ED10" s="28">
        <f t="shared" ref="ED10:ED40" si="39">SUM(DR10:EC10)</f>
        <v>2741.2600000000007</v>
      </c>
      <c r="EE10" s="24"/>
      <c r="EF10" s="35"/>
      <c r="EG10" s="3"/>
      <c r="EH10" s="24"/>
      <c r="EI10" s="24"/>
      <c r="EJ10" s="24"/>
      <c r="EK10" s="24"/>
      <c r="EL10" s="24"/>
      <c r="EM10" s="24">
        <v>1380</v>
      </c>
      <c r="EN10" s="24"/>
      <c r="EO10" s="24"/>
      <c r="EP10" s="32"/>
      <c r="EQ10" s="60">
        <f t="shared" ref="EQ10:EQ40" si="40">SUM(EE10:EO10)</f>
        <v>1380</v>
      </c>
      <c r="ER10" s="35"/>
      <c r="ES10" s="24"/>
      <c r="ET10" s="24"/>
      <c r="EU10" s="24"/>
      <c r="EV10" s="24"/>
      <c r="EW10" s="24"/>
      <c r="EX10" s="32">
        <f t="shared" ref="EX10:EX40" si="41">SUM(ER10:EW10)</f>
        <v>0</v>
      </c>
      <c r="EY10" s="2685"/>
      <c r="FA10" s="2">
        <f t="shared" ref="FA10:FA40" si="42">+FM10</f>
        <v>0</v>
      </c>
      <c r="FB10" s="3">
        <f t="shared" ref="FB10:FB40" si="43">+FT10</f>
        <v>0</v>
      </c>
      <c r="FC10" s="3">
        <f t="shared" ref="FC10:FC40" si="44">+GG10</f>
        <v>0</v>
      </c>
      <c r="FD10" s="11">
        <f t="shared" ref="FD10:FD40" si="45">SUM(FA10:FC10)</f>
        <v>0</v>
      </c>
      <c r="FE10" s="32"/>
      <c r="FF10" s="2674"/>
      <c r="FG10" s="8"/>
      <c r="FH10" s="3"/>
      <c r="FI10" s="3"/>
      <c r="FJ10" s="3"/>
      <c r="FK10" s="3"/>
      <c r="FL10" s="24"/>
      <c r="FM10" s="25">
        <f t="shared" ref="FM10:FM40" si="46">SUM(FG10:FL10)</f>
        <v>0</v>
      </c>
      <c r="FN10" s="35"/>
      <c r="FO10" s="24"/>
      <c r="FP10" s="24"/>
      <c r="FQ10" s="24"/>
      <c r="FR10" s="24"/>
      <c r="FS10" s="24"/>
      <c r="FT10" s="25">
        <f t="shared" ref="FT10:FT40" si="47">SUM(FN10:FS10)</f>
        <v>0</v>
      </c>
      <c r="FU10" s="35"/>
      <c r="FV10" s="35"/>
      <c r="FW10" s="24"/>
      <c r="FX10" s="24"/>
      <c r="FY10" s="24"/>
      <c r="FZ10" s="24"/>
      <c r="GA10" s="24"/>
      <c r="GB10" s="24"/>
      <c r="GC10" s="24"/>
      <c r="GD10" s="24"/>
      <c r="GE10" s="24"/>
      <c r="GF10" s="32"/>
      <c r="GG10" s="32">
        <f t="shared" ref="GG10:GG40" si="48">SUM(FU10:GE10)</f>
        <v>0</v>
      </c>
      <c r="GH10" s="2674"/>
      <c r="GJ10" s="2">
        <f t="shared" ref="GJ10:GJ40" si="49">HL10</f>
        <v>690</v>
      </c>
      <c r="GK10" s="63">
        <f t="shared" ref="GK10:GK40" si="50">+IP10</f>
        <v>2165.27</v>
      </c>
      <c r="GL10" s="49">
        <f t="shared" ref="GL10:GL40" si="51">+JE10</f>
        <v>2896.2299999999996</v>
      </c>
      <c r="GM10" s="49">
        <f t="shared" ref="GM10:GM40" si="52">SUM(GJ10:GL10)</f>
        <v>5751.5</v>
      </c>
      <c r="GN10" s="140"/>
      <c r="GO10" s="140"/>
      <c r="GP10" s="1130"/>
      <c r="GQ10" s="2667"/>
      <c r="GR10" s="1129">
        <v>2401.5</v>
      </c>
      <c r="GS10" s="24"/>
      <c r="GT10" s="24">
        <v>1224.1699999999998</v>
      </c>
      <c r="GU10" s="24">
        <v>2125.83</v>
      </c>
      <c r="GV10" s="50">
        <f t="shared" ref="GV10:GV40" si="53">SUM(GR10:GU10)</f>
        <v>5751.5</v>
      </c>
      <c r="GW10" s="2667"/>
      <c r="GX10" s="35"/>
      <c r="GY10" s="35"/>
      <c r="GZ10" s="24"/>
      <c r="HA10" s="24"/>
      <c r="HB10" s="24"/>
      <c r="HC10" s="24"/>
      <c r="HD10" s="24"/>
      <c r="HE10" s="24"/>
      <c r="HF10" s="24">
        <v>690</v>
      </c>
      <c r="HG10" s="24"/>
      <c r="HH10" s="24"/>
      <c r="HI10" s="24"/>
      <c r="HJ10" s="24"/>
      <c r="HK10" s="24"/>
      <c r="HL10" s="25">
        <f t="shared" ref="HL10:HL42" si="54">SUM(GX10:HK10)</f>
        <v>690</v>
      </c>
      <c r="HM10" s="35"/>
      <c r="HN10" s="24"/>
      <c r="HO10" s="24"/>
      <c r="HP10" s="24"/>
      <c r="HQ10" s="24"/>
      <c r="HR10" s="24"/>
      <c r="HS10" s="24"/>
      <c r="HT10" s="24"/>
      <c r="HU10" s="24"/>
      <c r="HV10" s="24"/>
      <c r="HW10" s="24"/>
      <c r="HX10" s="24"/>
      <c r="HY10" s="24"/>
      <c r="HZ10" s="24"/>
      <c r="IA10" s="32">
        <f t="shared" ref="IA10:IA42" si="55">SUM(HM10:HZ10)</f>
        <v>0</v>
      </c>
      <c r="IB10" s="48"/>
      <c r="IC10" s="1129"/>
      <c r="ID10" s="49"/>
      <c r="IE10" s="49"/>
      <c r="IF10" s="49"/>
      <c r="IG10" s="49"/>
      <c r="IH10" s="49"/>
      <c r="II10" s="49"/>
      <c r="IJ10" s="49">
        <v>2165.27</v>
      </c>
      <c r="IK10" s="49"/>
      <c r="IL10" s="49"/>
      <c r="IM10" s="49"/>
      <c r="IN10" s="49"/>
      <c r="IO10" s="49"/>
      <c r="IP10" s="61">
        <f t="shared" ref="IP10:IP40" si="56">SUM(IB10:IO10)</f>
        <v>2165.27</v>
      </c>
      <c r="IQ10" s="35"/>
      <c r="IR10" s="35"/>
      <c r="IS10" s="24"/>
      <c r="IT10" s="24"/>
      <c r="IU10" s="49"/>
      <c r="IV10" s="24"/>
      <c r="IW10" s="24"/>
      <c r="IX10" s="24"/>
      <c r="IY10" s="24">
        <v>2896.2299999999996</v>
      </c>
      <c r="IZ10" s="24"/>
      <c r="JA10" s="24"/>
      <c r="JB10" s="24"/>
      <c r="JC10" s="24"/>
      <c r="JD10" s="24"/>
      <c r="JE10" s="32">
        <f t="shared" ref="JE10:JE40" si="57">SUM(IQ10:JD10)</f>
        <v>2896.2299999999996</v>
      </c>
      <c r="JF10" s="2667"/>
      <c r="JH10" s="51">
        <v>5751.5</v>
      </c>
      <c r="JI10" s="1129"/>
      <c r="JJ10" s="49"/>
      <c r="JK10" s="53">
        <f t="shared" ref="JK10:JK40" si="58">+JH10+JJ10+JI10</f>
        <v>5751.5</v>
      </c>
      <c r="JL10" s="32"/>
      <c r="JM10" s="2669"/>
      <c r="JN10" s="66"/>
      <c r="JO10" s="67"/>
      <c r="JP10" s="67"/>
      <c r="JQ10" s="67"/>
      <c r="JR10" s="67">
        <v>1</v>
      </c>
      <c r="JS10" s="67"/>
      <c r="JT10" s="67"/>
      <c r="JU10" s="68"/>
      <c r="JV10" s="66"/>
      <c r="JW10" s="67"/>
      <c r="JX10" s="67"/>
      <c r="JY10" s="67"/>
      <c r="JZ10" s="67"/>
      <c r="KA10" s="67"/>
      <c r="KB10" s="67"/>
      <c r="KC10" s="68"/>
      <c r="KD10" s="66"/>
      <c r="KE10" s="67"/>
      <c r="KF10" s="67"/>
      <c r="KG10" s="67"/>
      <c r="KH10" s="67"/>
      <c r="KI10" s="67"/>
      <c r="KJ10" s="67"/>
      <c r="KK10" s="67"/>
      <c r="KL10" s="32"/>
      <c r="KM10" s="2669"/>
      <c r="KN10" s="35">
        <v>7178</v>
      </c>
      <c r="KO10" s="49">
        <v>0.75</v>
      </c>
      <c r="KP10" s="49">
        <v>2.52</v>
      </c>
      <c r="KQ10" s="49">
        <v>6.9599999999999991</v>
      </c>
      <c r="KR10" s="50">
        <v>12.998295999999998</v>
      </c>
      <c r="KS10" s="2">
        <v>0</v>
      </c>
      <c r="KT10" s="63">
        <v>0</v>
      </c>
      <c r="KU10" s="63">
        <v>0</v>
      </c>
      <c r="KV10" s="63">
        <v>0</v>
      </c>
      <c r="KW10" s="1029">
        <v>0</v>
      </c>
      <c r="KX10" s="35"/>
      <c r="KY10" s="49"/>
      <c r="KZ10" s="49"/>
      <c r="LA10" s="49"/>
      <c r="LB10" s="49"/>
      <c r="LC10" s="32"/>
      <c r="LD10" s="2669"/>
      <c r="LF10" s="998">
        <f t="shared" ref="LF10:LH40" si="59">SUM(LQ10,LW10,MI10,MO10+MC10)</f>
        <v>30208.27</v>
      </c>
      <c r="LG10" s="27">
        <f t="shared" si="59"/>
        <v>0</v>
      </c>
      <c r="LH10" s="27">
        <f t="shared" si="59"/>
        <v>0</v>
      </c>
      <c r="LI10" s="28">
        <f t="shared" ref="LI10:LI40" si="60">SUM(LF10:LH10)</f>
        <v>30208.27</v>
      </c>
      <c r="LJ10" s="35">
        <v>4</v>
      </c>
      <c r="LK10" s="24"/>
      <c r="LL10" s="24">
        <v>2</v>
      </c>
      <c r="LM10" s="32"/>
      <c r="LN10" s="1030">
        <v>4.96</v>
      </c>
      <c r="LO10" s="1128"/>
      <c r="LP10" s="2688"/>
      <c r="LQ10" s="35">
        <v>30208.27</v>
      </c>
      <c r="LR10" s="35"/>
      <c r="LS10" s="24"/>
      <c r="LT10" s="24"/>
      <c r="LU10" s="24"/>
      <c r="LV10" s="1117">
        <f t="shared" ref="LV10:LV40" si="61">SUM(LQ10:LU10)</f>
        <v>30208.27</v>
      </c>
      <c r="LW10" s="35"/>
      <c r="LX10" s="35"/>
      <c r="LY10" s="24"/>
      <c r="LZ10" s="24"/>
      <c r="MA10" s="417"/>
      <c r="MB10" s="28">
        <f t="shared" ref="MB10:MB40" si="62">SUM(LW10:MA10)</f>
        <v>0</v>
      </c>
      <c r="MC10" s="23"/>
      <c r="MD10" s="35"/>
      <c r="ME10" s="24"/>
      <c r="MF10" s="24"/>
      <c r="MG10" s="24"/>
      <c r="MH10" s="25"/>
      <c r="MI10" s="35"/>
      <c r="MJ10" s="35"/>
      <c r="MK10" s="24"/>
      <c r="ML10" s="24"/>
      <c r="MM10" s="24"/>
      <c r="MN10" s="25"/>
      <c r="MO10" s="35"/>
      <c r="MP10" s="35"/>
      <c r="MQ10" s="24"/>
      <c r="MR10" s="24"/>
      <c r="MS10" s="24"/>
      <c r="MT10" s="32">
        <f t="shared" ref="MT10:MT40" si="63">SUM(MO10:MS10)</f>
        <v>0</v>
      </c>
      <c r="MU10" s="2688"/>
      <c r="MW10" s="23">
        <f t="shared" ref="MW10:MW40" si="64">+NE10</f>
        <v>73489.593444531507</v>
      </c>
      <c r="MX10" s="24">
        <f t="shared" ref="MX10:MX40" si="65">+SUM(NR10,OE10,OR10,OY10,PF10)</f>
        <v>158149.73698410171</v>
      </c>
      <c r="MY10" s="24">
        <f t="shared" ref="MY10:MY40" si="66">+PN10</f>
        <v>23612.863116668144</v>
      </c>
      <c r="MZ10" s="333">
        <f t="shared" ref="MZ10:MZ40" si="67">+SUM(QE10,QF10,QG10)</f>
        <v>439984.75665121427</v>
      </c>
      <c r="NA10" s="2621"/>
      <c r="NB10" s="23">
        <f t="shared" ref="NB10:NB40" si="68">+NB9+JH10-LF10-LH10</f>
        <v>50096.901697190566</v>
      </c>
      <c r="NC10" s="63">
        <f t="shared" ref="NC10:NC40" si="69">+NC9+JI10-LG10</f>
        <v>23392.691747340945</v>
      </c>
      <c r="ND10" s="60">
        <f t="shared" ref="ND10:ND40" si="70">+ND9+JJ10</f>
        <v>0</v>
      </c>
      <c r="NE10" s="274">
        <f t="shared" si="4"/>
        <v>73489.593444531507</v>
      </c>
      <c r="NF10" s="23">
        <f t="shared" ref="NF10:NO25" si="71">+NF9+EE10-GX10</f>
        <v>0</v>
      </c>
      <c r="NG10" s="23">
        <f t="shared" si="71"/>
        <v>0</v>
      </c>
      <c r="NH10" s="24">
        <f t="shared" si="71"/>
        <v>0</v>
      </c>
      <c r="NI10" s="24">
        <f t="shared" si="71"/>
        <v>0</v>
      </c>
      <c r="NJ10" s="24">
        <f t="shared" si="71"/>
        <v>0</v>
      </c>
      <c r="NK10" s="24">
        <f t="shared" si="71"/>
        <v>0</v>
      </c>
      <c r="NL10" s="24">
        <f>+NL9+EK10-HD10</f>
        <v>0</v>
      </c>
      <c r="NM10" s="24">
        <f t="shared" si="71"/>
        <v>0</v>
      </c>
      <c r="NN10" s="24">
        <f t="shared" si="71"/>
        <v>37099.862027032752</v>
      </c>
      <c r="NO10" s="24">
        <f t="shared" si="71"/>
        <v>0</v>
      </c>
      <c r="NP10" s="24">
        <f>+NP9+EE10-HH10</f>
        <v>8756.5482322711578</v>
      </c>
      <c r="NQ10" s="24">
        <f>+NQ9+EO10-HH10</f>
        <v>18590.8150132308</v>
      </c>
      <c r="NR10" s="24">
        <f t="shared" si="0"/>
        <v>64447.225272534713</v>
      </c>
      <c r="NS10" s="27">
        <f t="shared" ref="NS10:OA25" si="72">+NS9+DE10-IB10</f>
        <v>0</v>
      </c>
      <c r="NT10" s="280">
        <f t="shared" si="72"/>
        <v>0</v>
      </c>
      <c r="NU10" s="1127">
        <f t="shared" si="72"/>
        <v>0</v>
      </c>
      <c r="NV10" s="280">
        <f t="shared" si="72"/>
        <v>0</v>
      </c>
      <c r="NW10" s="27">
        <f t="shared" si="72"/>
        <v>0</v>
      </c>
      <c r="NX10" s="27">
        <f t="shared" si="72"/>
        <v>0</v>
      </c>
      <c r="NY10" s="27">
        <f t="shared" si="72"/>
        <v>5933.5346092523796</v>
      </c>
      <c r="NZ10" s="27">
        <f t="shared" si="72"/>
        <v>0</v>
      </c>
      <c r="OA10" s="27">
        <f t="shared" si="72"/>
        <v>6748.8557022622499</v>
      </c>
      <c r="OB10" s="280"/>
      <c r="OC10" s="24">
        <f t="shared" ref="OC10:OD25" si="73">+OC9+DO10-IL10</f>
        <v>1565.61197844705</v>
      </c>
      <c r="OD10" s="24">
        <f t="shared" si="73"/>
        <v>0</v>
      </c>
      <c r="OE10" s="24">
        <f t="shared" si="1"/>
        <v>14248.00228996168</v>
      </c>
      <c r="OF10" s="24">
        <f t="shared" ref="OF10:OQ25" si="74">+OF9+DR10+FU10-IQ10</f>
        <v>0</v>
      </c>
      <c r="OG10" s="24">
        <f t="shared" si="74"/>
        <v>0</v>
      </c>
      <c r="OH10" s="24">
        <f t="shared" si="74"/>
        <v>0</v>
      </c>
      <c r="OI10" s="24">
        <f t="shared" si="74"/>
        <v>0</v>
      </c>
      <c r="OJ10" s="27">
        <f t="shared" si="74"/>
        <v>0</v>
      </c>
      <c r="OK10" s="24">
        <f t="shared" si="74"/>
        <v>0</v>
      </c>
      <c r="OL10" s="24">
        <f t="shared" si="74"/>
        <v>0</v>
      </c>
      <c r="OM10" s="24">
        <f t="shared" si="74"/>
        <v>0</v>
      </c>
      <c r="ON10" s="24">
        <f t="shared" si="74"/>
        <v>70349.750253800201</v>
      </c>
      <c r="OO10" s="24">
        <f t="shared" si="74"/>
        <v>0</v>
      </c>
      <c r="OP10" s="24">
        <f t="shared" si="74"/>
        <v>9104.7591678050994</v>
      </c>
      <c r="OQ10" s="24">
        <f t="shared" si="74"/>
        <v>0</v>
      </c>
      <c r="OR10" s="25">
        <f t="shared" si="2"/>
        <v>79454.509421605297</v>
      </c>
      <c r="OS10" s="35"/>
      <c r="OT10" s="24"/>
      <c r="OU10" s="24"/>
      <c r="OV10" s="24"/>
      <c r="OW10" s="24"/>
      <c r="OX10" s="24"/>
      <c r="OY10" s="25">
        <f t="shared" ref="OY10:OY40" si="75">SUM(OS10:OX10)</f>
        <v>0</v>
      </c>
      <c r="OZ10" s="35">
        <f t="shared" ref="OZ10:OZ40" si="76">+OZ9+ER10-FU10</f>
        <v>0</v>
      </c>
      <c r="PA10" s="24">
        <f t="shared" ref="PA10:PA40" si="77">+PA9+ES10-FW10</f>
        <v>0</v>
      </c>
      <c r="PB10" s="24">
        <f t="shared" ref="PB10:PB40" si="78">+PB9+ET10-FY10</f>
        <v>0</v>
      </c>
      <c r="PC10" s="24">
        <f t="shared" ref="PC10:PC40" si="79">+PC9+EU10-GA10</f>
        <v>0</v>
      </c>
      <c r="PD10" s="24">
        <f t="shared" ref="PD10:PD40" si="80">+PD9+EV10-GC10</f>
        <v>0</v>
      </c>
      <c r="PE10" s="24">
        <f t="shared" ref="PE10:PE40" si="81">+PE9+EW10-GE10</f>
        <v>0</v>
      </c>
      <c r="PF10" s="32">
        <f t="shared" si="3"/>
        <v>0</v>
      </c>
      <c r="PG10" s="2621"/>
      <c r="PI10" s="2">
        <v>200.7</v>
      </c>
      <c r="PJ10" s="3">
        <v>598.00000000000023</v>
      </c>
      <c r="PK10" s="3">
        <v>276.00000000000011</v>
      </c>
      <c r="PL10" s="3">
        <f>HJ10</f>
        <v>0</v>
      </c>
      <c r="PM10" s="3">
        <f t="shared" ref="PM10:PM40" si="82">PM9+PI10-PJ10</f>
        <v>1210.1897377964556</v>
      </c>
      <c r="PN10" s="11">
        <f>PN9+PK10-PL10</f>
        <v>23612.863116668144</v>
      </c>
      <c r="PO10" s="14"/>
      <c r="PP10" s="2615"/>
      <c r="PR10" s="2"/>
      <c r="PS10" s="8"/>
      <c r="PT10" s="8"/>
      <c r="PU10" s="8"/>
      <c r="PV10" s="8"/>
      <c r="PW10" s="8"/>
      <c r="PX10" s="8">
        <f t="shared" ref="PX10:PX40" si="83">SUM(PU10:PW10)</f>
        <v>0</v>
      </c>
      <c r="PY10" s="3">
        <f t="shared" ref="PY10:PY40" si="84">+PI10</f>
        <v>200.7</v>
      </c>
      <c r="PZ10" s="3"/>
      <c r="QA10" s="3"/>
      <c r="QB10" s="3"/>
      <c r="QC10" s="3"/>
      <c r="QD10" s="3"/>
      <c r="QE10" s="11">
        <f t="shared" ref="QE10:QE40" si="85">+QE9+PR10-HK10</f>
        <v>29749.381073161156</v>
      </c>
      <c r="QF10" s="420">
        <f t="shared" ref="QF10:QF40" si="86">+QF9+PU10+PV10-IO10-PY10</f>
        <v>410235.37557805312</v>
      </c>
      <c r="QG10" s="1106">
        <f t="shared" ref="QG10:QG40" si="87">+QG9+PX10-QD10</f>
        <v>0</v>
      </c>
      <c r="QH10" s="484">
        <f t="shared" ref="QH10:QH40" si="88">QH9-QC10</f>
        <v>5505.3678056100007</v>
      </c>
      <c r="QI10" s="11"/>
      <c r="QJ10" s="2615"/>
      <c r="QL10" s="139">
        <f t="shared" ref="QL10:QL40" si="89">IF(JH10=0,"",(IFERROR(IF(1-ABS(1-(JN10/JN$43))&lt;0,0,1-ABS(1-(JN10/JN$43))),0)*JN$43)+(IFERROR(IF(1-ABS(1-(JO10/JO$43))&lt;0,0,1-ABS(1-(JO10/JO$43))),0)*JO$43)+(IFERROR(IF(1-ABS(1-(JP10/JP$43))&lt;0,0,1-ABS(1-(JP10/JP$43))),0)*JP$43)+(IFERROR(IF(1-ABS(1-(JQ10/JQ$43))&lt;0,0,1-ABS(1-(JQ10/JQ$43))),0)*JQ$43)+(IFERROR(IF(1-ABS(1-(JR10/JR$43))&lt;0,0,1-ABS(1-(JR10/JR$43))),0)*JR$43)+(IFERROR(IF(1-ABS(1-(JS10/JS$43))&lt;0,0,1-ABS(1-(JS10/JS$43))),0)*JS$43)+(IFERROR(IF(1-ABS(1-(JT10/JT$43))&lt;0,0,1-ABS(1-(JT10/JT$43))),0)*JT$43)+(IFERROR(IF(1-ABS(1-(JU10/JU$43))&lt;0,0,1-ABS(1-(JU10/JU$43))),0)*JU$43))</f>
        <v>0</v>
      </c>
      <c r="QM10" s="139" t="str">
        <f t="shared" ref="QM10:QM40" si="90">IF(JJ10=0,"",(IFERROR(IF(1-ABS(1-(KD10/KD$43))&lt;0,0,1-ABS(1-(KD10/KD$43))),0)*KD$43)+(IFERROR(IF(1-ABS(1-(KE10/KE$43))&lt;0,0,1-ABS(1-(KE10/KE$43))),0)*KE$43)+(IFERROR(IF(1-ABS(1-(KF10/KF$43))&lt;0,0,1-ABS(1-(KF10/KF$43))),0)*KF$43)+(IFERROR(IF(1-ABS(1-(KG10/KG$43))&lt;0,0,1-ABS(1-(KG10/KG$43))),0)*KG$43)+(IFERROR(IF(1-ABS(1-(KH10/KH$43))&lt;0,0,1-ABS(1-(KH10/KH$43))),0)*KH$43)+(IFERROR(IF(1-ABS(1-(KI10/KI$43))&lt;0,0,1-ABS(1-(KI10/KI$43))),0)*KI$43)+(IFERROR(IF(1-ABS(1-(KJ10/KJ$43))&lt;0,0,1-ABS(1-(KJ10/KJ$43))),0)*KJ$43)+(IFERROR(IF(1-ABS(1-(KK10/KK$43))&lt;0,0,1-ABS(1-(KK10/KK$43))),0)*KK$43))</f>
        <v/>
      </c>
      <c r="QO10" s="139">
        <f t="shared" ref="QO10:QO40" si="91">IF(JK10&gt;0,SUMPRODUCT(QR10:QW10,$JN$43:$JS$43),"")</f>
        <v>0</v>
      </c>
      <c r="QP10" s="139">
        <f t="shared" ref="QP10:QP40" si="92">IF(JK10&gt;0,SUMPRODUCT(QY10:RD10,$KD$43:$KI$43),"")</f>
        <v>0</v>
      </c>
      <c r="QR10" s="1">
        <f t="shared" ref="QR10:QR40" si="93">IF(NS$43=0,0,IF(SUM(NS10,OF10)-NS$8-OF$8&gt;NS$43,1,(SUM(NS10,OF10)-NS$8-OF$8)/NS$43))</f>
        <v>0</v>
      </c>
      <c r="QS10" s="1">
        <f t="shared" ref="QS10:QS40" si="94">IF(NU$43=0,0,IF(SUM(NU10,OH10)-NU$8-OH$8&gt;NU$43,1,(SUM(NU10,OH10)-NU$8-OH$8)/NU$43))</f>
        <v>0</v>
      </c>
      <c r="QT10" s="1">
        <f t="shared" ref="QT10:QT40" si="95">IF(NW$43=0,0,IF(SUM(NW10,OJ10)-NW$8-OJ$8&gt;NW$43,1,(SUM(NW10,OJ10)-NW$8-OJ$8)/NW$43))</f>
        <v>0</v>
      </c>
      <c r="QU10" s="1">
        <f t="shared" ref="QU10:QU40" si="96">IF(NY$43=0,0,IF(SUM(NY10,OL10)-NY$8-OL$8&gt;NY$43,1,(SUM(NY10,OL10)-NY$8-OL$8)/NY$43))</f>
        <v>0</v>
      </c>
      <c r="QV10" s="1">
        <f t="shared" ref="QV10:QV40" si="97">IF(OA$43=0,0,IF(SUM(OA10,ON10)-OA$8-ON$8&gt;OA$43,1,(SUM(OA10,ON10)-OA$8-ON$8)/OA$43))</f>
        <v>0</v>
      </c>
      <c r="QW10" s="1">
        <f t="shared" ref="QW10:QW40" si="98">IF(OC$43=0,0,IF(SUM(OC10,OP10)-OC$8-OP$8&gt;OC$43,1,(SUM(OC10,OP10)-OC$8-OP$8)/OC$43))</f>
        <v>0</v>
      </c>
      <c r="QY10" s="1">
        <f t="shared" ref="QY10:QY40" si="99">+IF(NS$43=0,0,IF(SUM(NS10,OF10)-NS$8-OF$8&gt;NS$43,1,(SUM(NS10,OF10)-NS$8-OF$8)/NS$43))</f>
        <v>0</v>
      </c>
      <c r="QZ10" s="1">
        <f t="shared" ref="QZ10:QZ40" si="100">+IF(NU$43=0,0,IF(SUM(NU10,OH10)-NU$8-OH$8&gt;NU$43,1,(SUM(NU10,OH10)-NU$8-OH$8)/NU$43))</f>
        <v>0</v>
      </c>
      <c r="RA10" s="1">
        <f t="shared" ref="RA10:RA40" si="101">+IF(NW$43=0,0,IF(SUM(NW10,OJ10)-NW$8-OJ$8&gt;NW$43,1,(SUM(NW10,OJ10)-NW$8-OJ$8)/NW$43))</f>
        <v>0</v>
      </c>
      <c r="RB10" s="1">
        <f t="shared" ref="RB10:RB40" si="102">+IF(NY$43=0,0,IF(SUM(NY10,OL10)-NY$8-OL$8&gt;NY$43,1,(SUM(NY10,OL10)-NY$8-OL$8)/NY$43))</f>
        <v>0</v>
      </c>
      <c r="RC10" s="1">
        <f t="shared" ref="RC10:RC40" si="103">+IF(OA$43=0,0,IF(SUM(OA10,ON10)-OA$8-ON$8&gt;OA$43,1,(SUM(OA10,ON10)-OA$8-ON$8)/OA$43))</f>
        <v>0</v>
      </c>
      <c r="RD10" s="1">
        <f t="shared" ref="RD10:RD40" si="104">+IF(OC$43=0,0,IF(SUM(OC10,OP10)-OC$8-OP$8&gt;OC$43,1,(SUM(OC10,OP10)-OC$8-OP$8)/OC$43))</f>
        <v>0</v>
      </c>
      <c r="RG10" s="1">
        <v>1</v>
      </c>
      <c r="RH10" s="1">
        <f t="shared" ref="RH10:RJ17" si="105">+RH9+JH10-LF10</f>
        <v>20967.391751083163</v>
      </c>
      <c r="RI10" s="1">
        <f t="shared" si="105"/>
        <v>3925.5835498622801</v>
      </c>
      <c r="RJ10" s="1">
        <f t="shared" si="105"/>
        <v>9178.5689913333827</v>
      </c>
      <c r="RK10" s="89">
        <f t="shared" si="5"/>
        <v>34071.544292278828</v>
      </c>
      <c r="RL10" s="1033">
        <v>1</v>
      </c>
      <c r="RM10" s="1098">
        <f>BP10</f>
        <v>0</v>
      </c>
      <c r="RN10" s="1098">
        <f t="shared" ref="RN10:RO40" si="106">PV10</f>
        <v>0</v>
      </c>
      <c r="RO10" s="1097">
        <f t="shared" si="106"/>
        <v>0</v>
      </c>
      <c r="RP10" s="1097">
        <f t="shared" ref="RP10:RP40" si="107">BG10+AX10+BJ10+BM10+BY10+BD10-PW10</f>
        <v>5451.9</v>
      </c>
      <c r="RQ10" s="1094"/>
      <c r="RR10" s="1094" t="s">
        <v>740</v>
      </c>
      <c r="RU10" s="421">
        <v>1</v>
      </c>
      <c r="RV10" s="1095">
        <f t="shared" ref="RV10:RV40" si="108">GV10</f>
        <v>5751.5</v>
      </c>
      <c r="RW10" s="1094" t="s">
        <v>741</v>
      </c>
      <c r="RY10" s="1090"/>
      <c r="RZ10" s="1090">
        <f t="shared" ref="RZ10:RZ40" si="109">(DQ10+ED10)-(RM10+RP10)</f>
        <v>0</v>
      </c>
      <c r="SA10" s="1090"/>
      <c r="SB10" s="1090">
        <f t="shared" ref="SB10:SB40" si="110">JK10-RV10</f>
        <v>0</v>
      </c>
      <c r="SD10" s="1">
        <v>1</v>
      </c>
      <c r="SE10" s="1">
        <f t="shared" ref="SE10:SE40" si="111">PL10</f>
        <v>0</v>
      </c>
    </row>
    <row r="11" spans="1:500" s="1" customFormat="1">
      <c r="B11" s="471">
        <v>2</v>
      </c>
      <c r="C11" s="4">
        <f t="shared" si="6"/>
        <v>151275</v>
      </c>
      <c r="D11" s="64">
        <f t="shared" ref="D11:D39" si="112">P11+T11+X11+AB11</f>
        <v>6887.6399999999994</v>
      </c>
      <c r="E11" s="61">
        <f t="shared" si="7"/>
        <v>21.96325591929892</v>
      </c>
      <c r="F11" s="870"/>
      <c r="G11" s="870"/>
      <c r="H11" s="52"/>
      <c r="I11" s="61"/>
      <c r="J11" s="52"/>
      <c r="K11" s="54"/>
      <c r="L11" s="52"/>
      <c r="M11" s="61"/>
      <c r="N11" s="2629"/>
      <c r="O11" s="4">
        <f t="shared" si="8"/>
        <v>91896</v>
      </c>
      <c r="P11" s="1225">
        <f t="shared" si="9"/>
        <v>4188.0599999999995</v>
      </c>
      <c r="Q11" s="64">
        <f t="shared" si="10"/>
        <v>21.942379049010761</v>
      </c>
      <c r="R11" s="33"/>
      <c r="S11" s="26">
        <f t="shared" si="11"/>
        <v>34228</v>
      </c>
      <c r="T11" s="27">
        <f t="shared" si="12"/>
        <v>819.57999999999993</v>
      </c>
      <c r="U11" s="53">
        <f t="shared" si="13"/>
        <v>41.762854144805878</v>
      </c>
      <c r="V11" s="28"/>
      <c r="W11" s="26">
        <f t="shared" si="14"/>
        <v>25151</v>
      </c>
      <c r="X11" s="5">
        <f t="shared" si="14"/>
        <v>1880</v>
      </c>
      <c r="Y11" s="53">
        <f t="shared" si="15"/>
        <v>13.378191489361702</v>
      </c>
      <c r="Z11" s="33"/>
      <c r="AA11" s="26">
        <f t="shared" si="16"/>
        <v>0</v>
      </c>
      <c r="AB11" s="27">
        <f t="shared" si="17"/>
        <v>0</v>
      </c>
      <c r="AC11" s="53">
        <f t="shared" si="18"/>
        <v>0</v>
      </c>
      <c r="AD11" s="28"/>
      <c r="AE11" s="36"/>
      <c r="AF11" s="36"/>
      <c r="AG11" s="53">
        <f t="shared" si="19"/>
        <v>0</v>
      </c>
      <c r="AH11" s="28"/>
      <c r="AI11" s="26"/>
      <c r="AJ11" s="27"/>
      <c r="AK11" s="53">
        <f t="shared" si="20"/>
        <v>0</v>
      </c>
      <c r="AL11" s="28"/>
      <c r="AM11" s="2629"/>
      <c r="AN11" s="9"/>
      <c r="AO11" s="5"/>
      <c r="AP11" s="61">
        <f t="shared" si="21"/>
        <v>0</v>
      </c>
      <c r="AQ11" s="36"/>
      <c r="AR11" s="53"/>
      <c r="AS11" s="61">
        <f t="shared" si="22"/>
        <v>0</v>
      </c>
      <c r="AT11" s="36"/>
      <c r="AU11" s="27"/>
      <c r="AV11" s="61">
        <f t="shared" si="23"/>
        <v>0</v>
      </c>
      <c r="AW11" s="36">
        <v>53256</v>
      </c>
      <c r="AX11" s="27">
        <v>2433.3599999999997</v>
      </c>
      <c r="AY11" s="61">
        <f t="shared" si="24"/>
        <v>21.88578755301312</v>
      </c>
      <c r="AZ11" s="36"/>
      <c r="BA11" s="27"/>
      <c r="BB11" s="61">
        <f t="shared" si="25"/>
        <v>0</v>
      </c>
      <c r="BC11" s="36">
        <v>38640</v>
      </c>
      <c r="BD11" s="27">
        <v>1754.6999999999998</v>
      </c>
      <c r="BE11" s="61">
        <f t="shared" si="26"/>
        <v>22.020858266370322</v>
      </c>
      <c r="BF11" s="36"/>
      <c r="BG11" s="53"/>
      <c r="BH11" s="61">
        <f t="shared" si="27"/>
        <v>0</v>
      </c>
      <c r="BI11" s="36">
        <v>0</v>
      </c>
      <c r="BJ11" s="53">
        <v>0</v>
      </c>
      <c r="BK11" s="61">
        <f t="shared" si="28"/>
        <v>0</v>
      </c>
      <c r="BL11" s="52">
        <v>34228</v>
      </c>
      <c r="BM11" s="53">
        <v>819.57999999999993</v>
      </c>
      <c r="BN11" s="61">
        <f t="shared" si="29"/>
        <v>41.762854144805878</v>
      </c>
      <c r="BO11" s="1126"/>
      <c r="BP11" s="53"/>
      <c r="BQ11" s="61">
        <f t="shared" si="30"/>
        <v>0</v>
      </c>
      <c r="BR11" s="36"/>
      <c r="BS11" s="53"/>
      <c r="BT11" s="61">
        <f t="shared" si="31"/>
        <v>0</v>
      </c>
      <c r="BU11" s="36">
        <v>25151</v>
      </c>
      <c r="BV11" s="27">
        <v>1880</v>
      </c>
      <c r="BW11" s="28">
        <f t="shared" si="32"/>
        <v>13.378191489361702</v>
      </c>
      <c r="BX11" s="26"/>
      <c r="BY11" s="419"/>
      <c r="BZ11" s="61">
        <f t="shared" si="33"/>
        <v>0</v>
      </c>
      <c r="CA11" s="36"/>
      <c r="CB11" s="5"/>
      <c r="CC11" s="482">
        <f t="shared" si="34"/>
        <v>0</v>
      </c>
      <c r="CD11" s="4"/>
      <c r="CE11" s="27"/>
      <c r="CF11" s="28">
        <f t="shared" si="35"/>
        <v>0</v>
      </c>
      <c r="CG11" s="149"/>
      <c r="CH11" s="4">
        <v>0</v>
      </c>
      <c r="CI11" s="5"/>
      <c r="CJ11" s="5"/>
      <c r="CK11" s="5">
        <v>11977.5</v>
      </c>
      <c r="CL11" s="5"/>
      <c r="CM11" s="5">
        <f t="shared" ref="CM11:CM40" si="113">SUM(CH11:CL11)</f>
        <v>11977.5</v>
      </c>
      <c r="CN11" s="33"/>
      <c r="CO11" s="366"/>
      <c r="CQ11" s="4">
        <f t="shared" si="36"/>
        <v>0</v>
      </c>
      <c r="CR11" s="9">
        <f t="shared" si="36"/>
        <v>0</v>
      </c>
      <c r="CS11" s="5">
        <f t="shared" si="36"/>
        <v>0</v>
      </c>
      <c r="CT11" s="5">
        <f t="shared" si="36"/>
        <v>0</v>
      </c>
      <c r="CU11" s="5">
        <f t="shared" si="36"/>
        <v>0</v>
      </c>
      <c r="CV11" s="12">
        <f t="shared" si="36"/>
        <v>0</v>
      </c>
      <c r="CW11" s="486">
        <f t="shared" si="36"/>
        <v>0</v>
      </c>
      <c r="CX11" s="9">
        <f t="shared" si="36"/>
        <v>0</v>
      </c>
      <c r="CY11" s="5">
        <f t="shared" si="36"/>
        <v>6887.6399999999994</v>
      </c>
      <c r="CZ11" s="12">
        <f t="shared" si="36"/>
        <v>0</v>
      </c>
      <c r="DA11" s="486">
        <f t="shared" si="36"/>
        <v>0</v>
      </c>
      <c r="DB11" s="486">
        <f t="shared" si="36"/>
        <v>0</v>
      </c>
      <c r="DC11" s="310">
        <f t="shared" si="37"/>
        <v>6887.6399999999994</v>
      </c>
      <c r="DD11" s="2695"/>
      <c r="DE11" s="9"/>
      <c r="DF11" s="9"/>
      <c r="DG11" s="5"/>
      <c r="DH11" s="5"/>
      <c r="DI11" s="5"/>
      <c r="DJ11" s="5"/>
      <c r="DK11" s="5"/>
      <c r="DL11" s="5"/>
      <c r="DM11" s="5">
        <v>2433.3599999999997</v>
      </c>
      <c r="DN11" s="5"/>
      <c r="DO11" s="5"/>
      <c r="DP11" s="12"/>
      <c r="DQ11" s="28">
        <f t="shared" si="38"/>
        <v>2433.3599999999997</v>
      </c>
      <c r="DR11" s="36"/>
      <c r="DS11" s="36"/>
      <c r="DT11" s="27"/>
      <c r="DU11" s="27"/>
      <c r="DV11" s="5"/>
      <c r="DW11" s="5"/>
      <c r="DX11" s="64"/>
      <c r="DY11" s="5"/>
      <c r="DZ11" s="5">
        <v>2574.2800000000002</v>
      </c>
      <c r="EA11" s="53"/>
      <c r="EB11" s="27"/>
      <c r="EC11" s="33"/>
      <c r="ED11" s="28">
        <f t="shared" si="39"/>
        <v>2574.2800000000002</v>
      </c>
      <c r="EE11" s="9"/>
      <c r="EF11" s="9"/>
      <c r="EG11" s="5"/>
      <c r="EH11" s="5"/>
      <c r="EI11" s="27"/>
      <c r="EJ11" s="27"/>
      <c r="EK11" s="27"/>
      <c r="EL11" s="27"/>
      <c r="EM11" s="1448">
        <v>1880</v>
      </c>
      <c r="EN11" s="27"/>
      <c r="EO11" s="27"/>
      <c r="EP11" s="33"/>
      <c r="EQ11" s="28">
        <f t="shared" si="40"/>
        <v>1880</v>
      </c>
      <c r="ER11" s="36"/>
      <c r="ES11" s="27"/>
      <c r="ET11" s="27"/>
      <c r="EU11" s="27"/>
      <c r="EV11" s="27"/>
      <c r="EW11" s="27"/>
      <c r="EX11" s="33">
        <f t="shared" si="41"/>
        <v>0</v>
      </c>
      <c r="EY11" s="2685"/>
      <c r="FA11" s="4">
        <f t="shared" si="42"/>
        <v>0</v>
      </c>
      <c r="FB11" s="5">
        <f t="shared" si="43"/>
        <v>0</v>
      </c>
      <c r="FC11" s="5">
        <f t="shared" si="44"/>
        <v>0</v>
      </c>
      <c r="FD11" s="12">
        <f t="shared" si="45"/>
        <v>0</v>
      </c>
      <c r="FE11" s="33"/>
      <c r="FF11" s="2674"/>
      <c r="FG11" s="9"/>
      <c r="FH11" s="5"/>
      <c r="FI11" s="5"/>
      <c r="FJ11" s="5"/>
      <c r="FK11" s="5"/>
      <c r="FL11" s="27"/>
      <c r="FM11" s="28">
        <f t="shared" si="46"/>
        <v>0</v>
      </c>
      <c r="FN11" s="36"/>
      <c r="FO11" s="27"/>
      <c r="FP11" s="27"/>
      <c r="FQ11" s="27"/>
      <c r="FR11" s="27"/>
      <c r="FS11" s="27"/>
      <c r="FT11" s="28">
        <f t="shared" si="47"/>
        <v>0</v>
      </c>
      <c r="FU11" s="36"/>
      <c r="FV11" s="36"/>
      <c r="FW11" s="27"/>
      <c r="FX11" s="27"/>
      <c r="FY11" s="27"/>
      <c r="FZ11" s="27"/>
      <c r="GA11" s="27"/>
      <c r="GB11" s="27"/>
      <c r="GC11" s="27"/>
      <c r="GD11" s="27"/>
      <c r="GE11" s="27"/>
      <c r="GF11" s="33"/>
      <c r="GG11" s="33">
        <f t="shared" si="48"/>
        <v>0</v>
      </c>
      <c r="GH11" s="2674"/>
      <c r="GJ11" s="4">
        <f t="shared" si="49"/>
        <v>1912.6599999999999</v>
      </c>
      <c r="GK11" s="64">
        <f t="shared" si="50"/>
        <v>4072.96</v>
      </c>
      <c r="GL11" s="53">
        <f t="shared" si="51"/>
        <v>6826.5300000000007</v>
      </c>
      <c r="GM11" s="53">
        <f t="shared" si="52"/>
        <v>12812.150000000001</v>
      </c>
      <c r="GN11" s="141"/>
      <c r="GO11" s="141"/>
      <c r="GP11" s="33"/>
      <c r="GQ11" s="2667"/>
      <c r="GR11" s="152">
        <v>6113.85</v>
      </c>
      <c r="GS11" s="27">
        <v>37.35</v>
      </c>
      <c r="GT11" s="27">
        <v>3362.29</v>
      </c>
      <c r="GU11" s="27">
        <v>3298.66</v>
      </c>
      <c r="GV11" s="54">
        <f t="shared" si="53"/>
        <v>12812.150000000001</v>
      </c>
      <c r="GW11" s="2667"/>
      <c r="GX11" s="36"/>
      <c r="GY11" s="36"/>
      <c r="GZ11" s="27"/>
      <c r="HA11" s="27"/>
      <c r="HB11" s="27"/>
      <c r="HC11" s="27"/>
      <c r="HD11" s="27"/>
      <c r="HE11" s="27"/>
      <c r="HF11" s="27">
        <v>1875.31</v>
      </c>
      <c r="HG11" s="27"/>
      <c r="HH11" s="27"/>
      <c r="HI11" s="27"/>
      <c r="HJ11" s="27">
        <v>37.35</v>
      </c>
      <c r="HK11" s="27"/>
      <c r="HL11" s="28">
        <f t="shared" si="54"/>
        <v>1912.6599999999999</v>
      </c>
      <c r="HM11" s="36"/>
      <c r="HN11" s="27"/>
      <c r="HO11" s="27"/>
      <c r="HP11" s="27"/>
      <c r="HQ11" s="27"/>
      <c r="HR11" s="27"/>
      <c r="HS11" s="27"/>
      <c r="HT11" s="27"/>
      <c r="HU11" s="27"/>
      <c r="HV11" s="27"/>
      <c r="HW11" s="27"/>
      <c r="HX11" s="27"/>
      <c r="HY11" s="27"/>
      <c r="HZ11" s="27"/>
      <c r="IA11" s="33">
        <f t="shared" si="55"/>
        <v>0</v>
      </c>
      <c r="IB11" s="52"/>
      <c r="IC11" s="152"/>
      <c r="ID11" s="53"/>
      <c r="IE11" s="53"/>
      <c r="IF11" s="53"/>
      <c r="IG11" s="53"/>
      <c r="IH11" s="53"/>
      <c r="II11" s="53"/>
      <c r="IJ11" s="53">
        <v>4072.96</v>
      </c>
      <c r="IK11" s="53"/>
      <c r="IL11" s="53"/>
      <c r="IM11" s="53"/>
      <c r="IN11" s="53"/>
      <c r="IO11" s="53"/>
      <c r="IP11" s="61">
        <f t="shared" si="56"/>
        <v>4072.96</v>
      </c>
      <c r="IQ11" s="36"/>
      <c r="IR11" s="36"/>
      <c r="IS11" s="27"/>
      <c r="IT11" s="27"/>
      <c r="IU11" s="53"/>
      <c r="IV11" s="27"/>
      <c r="IW11" s="27"/>
      <c r="IX11" s="27"/>
      <c r="IY11" s="27">
        <v>6826.5300000000007</v>
      </c>
      <c r="IZ11" s="27"/>
      <c r="JA11" s="27"/>
      <c r="JB11" s="27"/>
      <c r="JC11" s="27"/>
      <c r="JD11" s="27"/>
      <c r="JE11" s="33">
        <f>SUM(IQ11:JD11)</f>
        <v>6826.5300000000007</v>
      </c>
      <c r="JF11" s="2667"/>
      <c r="JH11" s="1442">
        <v>12812.149999999996</v>
      </c>
      <c r="JI11" s="152"/>
      <c r="JJ11" s="53"/>
      <c r="JK11" s="53">
        <f t="shared" si="58"/>
        <v>12812.149999999996</v>
      </c>
      <c r="JL11" s="33"/>
      <c r="JM11" s="2669"/>
      <c r="JN11" s="69"/>
      <c r="JO11" s="70"/>
      <c r="JP11" s="70"/>
      <c r="JQ11" s="70"/>
      <c r="JR11" s="70">
        <v>1</v>
      </c>
      <c r="JS11" s="70"/>
      <c r="JT11" s="70"/>
      <c r="JU11" s="71"/>
      <c r="JV11" s="69"/>
      <c r="JW11" s="70"/>
      <c r="JX11" s="70"/>
      <c r="JY11" s="70"/>
      <c r="JZ11" s="70"/>
      <c r="KA11" s="70"/>
      <c r="KB11" s="70"/>
      <c r="KC11" s="71"/>
      <c r="KD11" s="69"/>
      <c r="KE11" s="70"/>
      <c r="KF11" s="70"/>
      <c r="KG11" s="70"/>
      <c r="KH11" s="70"/>
      <c r="KI11" s="70"/>
      <c r="KJ11" s="70"/>
      <c r="KK11" s="70"/>
      <c r="KL11" s="33"/>
      <c r="KM11" s="2669"/>
      <c r="KN11" s="36">
        <v>6967.024797762153</v>
      </c>
      <c r="KO11" s="53">
        <v>0.85749981099266648</v>
      </c>
      <c r="KP11" s="53">
        <v>2.8013041506010432</v>
      </c>
      <c r="KQ11" s="53">
        <v>6.9801784229228101</v>
      </c>
      <c r="KR11" s="54">
        <v>11.573400010886823</v>
      </c>
      <c r="KS11" s="4">
        <v>0</v>
      </c>
      <c r="KT11" s="64">
        <v>0</v>
      </c>
      <c r="KU11" s="64">
        <v>0</v>
      </c>
      <c r="KV11" s="64">
        <v>0</v>
      </c>
      <c r="KW11" s="482">
        <v>0</v>
      </c>
      <c r="KX11" s="36"/>
      <c r="KY11" s="53"/>
      <c r="KZ11" s="53"/>
      <c r="LA11" s="53"/>
      <c r="LB11" s="53"/>
      <c r="LC11" s="33"/>
      <c r="LD11" s="2669"/>
      <c r="LF11" s="998">
        <f t="shared" si="59"/>
        <v>4241.5230000000001</v>
      </c>
      <c r="LG11" s="27">
        <f t="shared" si="59"/>
        <v>3470.337</v>
      </c>
      <c r="LH11" s="27">
        <f t="shared" si="59"/>
        <v>0</v>
      </c>
      <c r="LI11" s="28">
        <f t="shared" si="60"/>
        <v>7711.8600000000006</v>
      </c>
      <c r="LJ11" s="36">
        <v>1</v>
      </c>
      <c r="LK11" s="27">
        <v>1</v>
      </c>
      <c r="LL11" s="27">
        <v>4</v>
      </c>
      <c r="LM11" s="33"/>
      <c r="LN11" s="1044">
        <v>4.8</v>
      </c>
      <c r="LO11" s="486"/>
      <c r="LP11" s="2688"/>
      <c r="LQ11" s="36">
        <v>4241.5230000000001</v>
      </c>
      <c r="LR11" s="36">
        <v>3470.337</v>
      </c>
      <c r="LS11" s="27"/>
      <c r="LT11" s="27"/>
      <c r="LU11" s="27"/>
      <c r="LV11" s="1117">
        <f t="shared" si="61"/>
        <v>7711.8600000000006</v>
      </c>
      <c r="LW11" s="36"/>
      <c r="LX11" s="36"/>
      <c r="LY11" s="27"/>
      <c r="LZ11" s="27"/>
      <c r="MA11" s="33"/>
      <c r="MB11" s="28">
        <f t="shared" si="62"/>
        <v>0</v>
      </c>
      <c r="MC11" s="26"/>
      <c r="MD11" s="36"/>
      <c r="ME11" s="27"/>
      <c r="MF11" s="27"/>
      <c r="MG11" s="27"/>
      <c r="MH11" s="28"/>
      <c r="MI11" s="36"/>
      <c r="MJ11" s="36"/>
      <c r="MK11" s="27"/>
      <c r="ML11" s="27"/>
      <c r="MM11" s="27"/>
      <c r="MN11" s="28"/>
      <c r="MO11" s="36"/>
      <c r="MP11" s="36"/>
      <c r="MQ11" s="27"/>
      <c r="MR11" s="27"/>
      <c r="MS11" s="27"/>
      <c r="MT11" s="33">
        <f t="shared" si="63"/>
        <v>0</v>
      </c>
      <c r="MU11" s="2688"/>
      <c r="MW11" s="26">
        <f t="shared" si="64"/>
        <v>78589.883444531501</v>
      </c>
      <c r="MX11" s="27">
        <f t="shared" si="65"/>
        <v>152262.57698410167</v>
      </c>
      <c r="MY11" s="27">
        <f t="shared" si="66"/>
        <v>24010.513116668146</v>
      </c>
      <c r="MZ11" s="28">
        <f t="shared" si="67"/>
        <v>439984.75665121427</v>
      </c>
      <c r="NA11" s="2621"/>
      <c r="NB11" s="23">
        <f t="shared" si="68"/>
        <v>58667.528697190559</v>
      </c>
      <c r="NC11" s="64">
        <f t="shared" si="69"/>
        <v>19922.354747340945</v>
      </c>
      <c r="ND11" s="60">
        <f t="shared" si="70"/>
        <v>0</v>
      </c>
      <c r="NE11" s="275">
        <f t="shared" si="4"/>
        <v>78589.883444531501</v>
      </c>
      <c r="NF11" s="26">
        <f t="shared" si="71"/>
        <v>0</v>
      </c>
      <c r="NG11" s="27">
        <f t="shared" si="71"/>
        <v>0</v>
      </c>
      <c r="NH11" s="27">
        <f t="shared" si="71"/>
        <v>0</v>
      </c>
      <c r="NI11" s="27">
        <f t="shared" si="71"/>
        <v>0</v>
      </c>
      <c r="NJ11" s="27">
        <f t="shared" si="71"/>
        <v>0</v>
      </c>
      <c r="NK11" s="33">
        <f t="shared" si="71"/>
        <v>0</v>
      </c>
      <c r="NL11" s="280">
        <f t="shared" si="71"/>
        <v>0</v>
      </c>
      <c r="NM11" s="36">
        <f t="shared" si="71"/>
        <v>0</v>
      </c>
      <c r="NN11" s="27">
        <f t="shared" si="71"/>
        <v>37104.552027032754</v>
      </c>
      <c r="NO11" s="27">
        <f t="shared" si="71"/>
        <v>0</v>
      </c>
      <c r="NP11" s="24">
        <f t="shared" ref="NP11:NP40" si="114">+NP10+EE11-GX11</f>
        <v>8756.5482322711578</v>
      </c>
      <c r="NQ11" s="24">
        <f t="shared" ref="NQ11:NQ40" si="115">+NQ10+EO11-HH11</f>
        <v>18590.8150132308</v>
      </c>
      <c r="NR11" s="27">
        <f t="shared" si="0"/>
        <v>64451.915272534716</v>
      </c>
      <c r="NS11" s="27">
        <f t="shared" si="72"/>
        <v>0</v>
      </c>
      <c r="NT11" s="27">
        <f t="shared" si="72"/>
        <v>0</v>
      </c>
      <c r="NU11" s="27">
        <f t="shared" si="72"/>
        <v>0</v>
      </c>
      <c r="NV11" s="27">
        <f t="shared" si="72"/>
        <v>0</v>
      </c>
      <c r="NW11" s="27">
        <f t="shared" si="72"/>
        <v>0</v>
      </c>
      <c r="NX11" s="27">
        <f t="shared" si="72"/>
        <v>0</v>
      </c>
      <c r="NY11" s="27">
        <f t="shared" si="72"/>
        <v>5933.5346092523796</v>
      </c>
      <c r="NZ11" s="27">
        <f t="shared" si="72"/>
        <v>0</v>
      </c>
      <c r="OA11" s="27">
        <f t="shared" si="72"/>
        <v>5109.2557022622486</v>
      </c>
      <c r="OB11" s="280"/>
      <c r="OC11" s="24">
        <f t="shared" si="73"/>
        <v>1565.61197844705</v>
      </c>
      <c r="OD11" s="27">
        <f t="shared" si="73"/>
        <v>0</v>
      </c>
      <c r="OE11" s="27">
        <f t="shared" si="1"/>
        <v>12608.402289961679</v>
      </c>
      <c r="OF11" s="27">
        <f t="shared" si="74"/>
        <v>0</v>
      </c>
      <c r="OG11" s="27">
        <f t="shared" si="74"/>
        <v>0</v>
      </c>
      <c r="OH11" s="27">
        <f t="shared" si="74"/>
        <v>0</v>
      </c>
      <c r="OI11" s="27">
        <f t="shared" si="74"/>
        <v>0</v>
      </c>
      <c r="OJ11" s="27">
        <f t="shared" si="74"/>
        <v>0</v>
      </c>
      <c r="OK11" s="27">
        <f t="shared" si="74"/>
        <v>0</v>
      </c>
      <c r="OL11" s="24">
        <f t="shared" si="74"/>
        <v>0</v>
      </c>
      <c r="OM11" s="27">
        <f t="shared" si="74"/>
        <v>0</v>
      </c>
      <c r="ON11" s="24">
        <f t="shared" si="74"/>
        <v>66097.500253800201</v>
      </c>
      <c r="OO11" s="27">
        <f t="shared" si="74"/>
        <v>0</v>
      </c>
      <c r="OP11" s="27">
        <f t="shared" si="74"/>
        <v>9104.7591678050994</v>
      </c>
      <c r="OQ11" s="27">
        <f t="shared" si="74"/>
        <v>0</v>
      </c>
      <c r="OR11" s="28">
        <f t="shared" si="2"/>
        <v>75202.259421605297</v>
      </c>
      <c r="OS11" s="36"/>
      <c r="OT11" s="27"/>
      <c r="OU11" s="27"/>
      <c r="OV11" s="27"/>
      <c r="OW11" s="27"/>
      <c r="OX11" s="27"/>
      <c r="OY11" s="28">
        <f t="shared" si="75"/>
        <v>0</v>
      </c>
      <c r="OZ11" s="36">
        <f t="shared" si="76"/>
        <v>0</v>
      </c>
      <c r="PA11" s="27">
        <f t="shared" si="77"/>
        <v>0</v>
      </c>
      <c r="PB11" s="27">
        <f t="shared" si="78"/>
        <v>0</v>
      </c>
      <c r="PC11" s="27">
        <f t="shared" si="79"/>
        <v>0</v>
      </c>
      <c r="PD11" s="27">
        <f t="shared" si="80"/>
        <v>0</v>
      </c>
      <c r="PE11" s="27">
        <f t="shared" si="81"/>
        <v>0</v>
      </c>
      <c r="PF11" s="33">
        <f t="shared" si="3"/>
        <v>0</v>
      </c>
      <c r="PG11" s="2621"/>
      <c r="PI11" s="2"/>
      <c r="PJ11" s="3">
        <v>942.50000000000011</v>
      </c>
      <c r="PK11" s="3">
        <v>435.00000000000006</v>
      </c>
      <c r="PL11" s="3">
        <f t="shared" ref="PL11:PL40" si="116">HJ11</f>
        <v>37.35</v>
      </c>
      <c r="PM11" s="3">
        <f t="shared" si="82"/>
        <v>267.68973779645546</v>
      </c>
      <c r="PN11" s="11">
        <f t="shared" ref="PN11:PN40" si="117">PN10+PK11-PL11</f>
        <v>24010.513116668146</v>
      </c>
      <c r="PO11" s="15"/>
      <c r="PP11" s="2615"/>
      <c r="PR11" s="4"/>
      <c r="PS11" s="9"/>
      <c r="PT11" s="9"/>
      <c r="PU11" s="9"/>
      <c r="PV11" s="9"/>
      <c r="PW11" s="9"/>
      <c r="PX11" s="8">
        <f t="shared" si="83"/>
        <v>0</v>
      </c>
      <c r="PY11" s="5">
        <f t="shared" si="84"/>
        <v>0</v>
      </c>
      <c r="PZ11" s="5"/>
      <c r="QA11" s="5"/>
      <c r="QB11" s="5"/>
      <c r="QC11" s="5"/>
      <c r="QD11" s="5"/>
      <c r="QE11" s="12">
        <f t="shared" si="85"/>
        <v>29749.381073161156</v>
      </c>
      <c r="QF11" s="420">
        <f t="shared" si="86"/>
        <v>410235.37557805312</v>
      </c>
      <c r="QG11" s="1106">
        <f t="shared" si="87"/>
        <v>0</v>
      </c>
      <c r="QH11" s="484">
        <f t="shared" si="88"/>
        <v>5505.3678056100007</v>
      </c>
      <c r="QI11" s="12"/>
      <c r="QJ11" s="2615"/>
      <c r="QL11" s="139">
        <f t="shared" si="89"/>
        <v>0</v>
      </c>
      <c r="QM11" s="139" t="str">
        <f t="shared" si="90"/>
        <v/>
      </c>
      <c r="QO11" s="139">
        <f t="shared" si="91"/>
        <v>0</v>
      </c>
      <c r="QP11" s="139">
        <f t="shared" si="92"/>
        <v>0</v>
      </c>
      <c r="QR11" s="1">
        <f t="shared" si="93"/>
        <v>0</v>
      </c>
      <c r="QS11" s="1">
        <f t="shared" si="94"/>
        <v>0</v>
      </c>
      <c r="QT11" s="1">
        <f t="shared" si="95"/>
        <v>0</v>
      </c>
      <c r="QU11" s="1">
        <f t="shared" si="96"/>
        <v>0</v>
      </c>
      <c r="QV11" s="1">
        <f t="shared" si="97"/>
        <v>0</v>
      </c>
      <c r="QW11" s="1">
        <f t="shared" si="98"/>
        <v>0</v>
      </c>
      <c r="QY11" s="1">
        <f t="shared" si="99"/>
        <v>0</v>
      </c>
      <c r="QZ11" s="1">
        <f t="shared" si="100"/>
        <v>0</v>
      </c>
      <c r="RA11" s="1">
        <f t="shared" si="101"/>
        <v>0</v>
      </c>
      <c r="RB11" s="1">
        <f t="shared" si="102"/>
        <v>0</v>
      </c>
      <c r="RC11" s="1">
        <f t="shared" si="103"/>
        <v>0</v>
      </c>
      <c r="RD11" s="1">
        <f t="shared" si="104"/>
        <v>0</v>
      </c>
      <c r="RG11" s="1">
        <v>2</v>
      </c>
      <c r="RH11" s="1">
        <f t="shared" si="105"/>
        <v>29538.01875108316</v>
      </c>
      <c r="RI11" s="1">
        <f t="shared" si="105"/>
        <v>455.24654986228006</v>
      </c>
      <c r="RJ11" s="1">
        <f t="shared" si="105"/>
        <v>9178.5689913333827</v>
      </c>
      <c r="RK11" s="89">
        <f t="shared" si="5"/>
        <v>39171.834292278822</v>
      </c>
      <c r="RL11" s="1033">
        <v>2</v>
      </c>
      <c r="RM11" s="1098">
        <f t="shared" ref="RM11:RM40" si="118">BP11</f>
        <v>0</v>
      </c>
      <c r="RN11" s="1098">
        <f t="shared" si="106"/>
        <v>0</v>
      </c>
      <c r="RO11" s="1097">
        <f t="shared" si="106"/>
        <v>0</v>
      </c>
      <c r="RP11" s="1097">
        <f t="shared" si="107"/>
        <v>5007.6399999999994</v>
      </c>
      <c r="RQ11" s="1094"/>
      <c r="RR11" s="1094" t="s">
        <v>742</v>
      </c>
      <c r="RU11" s="421">
        <v>2</v>
      </c>
      <c r="RV11" s="1095">
        <f t="shared" si="108"/>
        <v>12812.150000000001</v>
      </c>
      <c r="RW11" s="1096" t="s">
        <v>743</v>
      </c>
      <c r="RY11" s="1090"/>
      <c r="RZ11" s="1090">
        <f t="shared" si="109"/>
        <v>0</v>
      </c>
      <c r="SA11" s="1090"/>
      <c r="SB11" s="1090">
        <f t="shared" si="110"/>
        <v>0</v>
      </c>
      <c r="SD11" s="1">
        <v>2</v>
      </c>
      <c r="SE11" s="1">
        <f t="shared" si="111"/>
        <v>37.35</v>
      </c>
      <c r="SF11" s="1094" t="s">
        <v>744</v>
      </c>
    </row>
    <row r="12" spans="1:500" s="1" customFormat="1">
      <c r="A12" s="1">
        <v>1630.7189913362533</v>
      </c>
      <c r="B12" s="471">
        <v>3</v>
      </c>
      <c r="C12" s="4">
        <f t="shared" si="6"/>
        <v>174422</v>
      </c>
      <c r="D12" s="64">
        <f t="shared" si="112"/>
        <v>8036.2400000000007</v>
      </c>
      <c r="E12" s="61">
        <f t="shared" si="7"/>
        <v>21.704428936915768</v>
      </c>
      <c r="F12" s="870"/>
      <c r="G12" s="870"/>
      <c r="H12" s="52">
        <v>10</v>
      </c>
      <c r="I12" s="61">
        <v>5.3</v>
      </c>
      <c r="J12" s="52"/>
      <c r="K12" s="54"/>
      <c r="L12" s="52"/>
      <c r="M12" s="61"/>
      <c r="N12" s="2629"/>
      <c r="O12" s="4">
        <f t="shared" si="8"/>
        <v>110082</v>
      </c>
      <c r="P12" s="1225">
        <f t="shared" si="9"/>
        <v>5233.2000000000007</v>
      </c>
      <c r="Q12" s="64">
        <f t="shared" si="10"/>
        <v>21.035313001605132</v>
      </c>
      <c r="R12" s="33"/>
      <c r="S12" s="26">
        <f t="shared" si="11"/>
        <v>37146</v>
      </c>
      <c r="T12" s="27">
        <f t="shared" si="12"/>
        <v>1183.04</v>
      </c>
      <c r="U12" s="53">
        <f t="shared" si="13"/>
        <v>31.398769272383014</v>
      </c>
      <c r="V12" s="28"/>
      <c r="W12" s="26">
        <f t="shared" si="14"/>
        <v>27194</v>
      </c>
      <c r="X12" s="5">
        <f t="shared" si="14"/>
        <v>1620</v>
      </c>
      <c r="Y12" s="53">
        <f t="shared" si="15"/>
        <v>16.78641975308642</v>
      </c>
      <c r="Z12" s="33"/>
      <c r="AA12" s="26">
        <f t="shared" si="16"/>
        <v>0</v>
      </c>
      <c r="AB12" s="27">
        <f t="shared" si="17"/>
        <v>0</v>
      </c>
      <c r="AC12" s="53">
        <f t="shared" si="18"/>
        <v>0</v>
      </c>
      <c r="AD12" s="28"/>
      <c r="AE12" s="36"/>
      <c r="AF12" s="36"/>
      <c r="AG12" s="53">
        <f t="shared" si="19"/>
        <v>0</v>
      </c>
      <c r="AH12" s="28"/>
      <c r="AI12" s="23"/>
      <c r="AJ12" s="27"/>
      <c r="AK12" s="53">
        <f t="shared" si="20"/>
        <v>0</v>
      </c>
      <c r="AL12" s="28"/>
      <c r="AM12" s="2629"/>
      <c r="AN12" s="9"/>
      <c r="AO12" s="5"/>
      <c r="AP12" s="61">
        <f t="shared" si="21"/>
        <v>0</v>
      </c>
      <c r="AQ12" s="36"/>
      <c r="AR12" s="53"/>
      <c r="AS12" s="61">
        <f t="shared" si="22"/>
        <v>0</v>
      </c>
      <c r="AT12" s="36"/>
      <c r="AU12" s="27"/>
      <c r="AV12" s="61">
        <f t="shared" si="23"/>
        <v>0</v>
      </c>
      <c r="AW12" s="36">
        <v>68376</v>
      </c>
      <c r="AX12" s="27">
        <v>2970.3</v>
      </c>
      <c r="AY12" s="61">
        <f t="shared" si="24"/>
        <v>23.01989698010302</v>
      </c>
      <c r="AZ12" s="36"/>
      <c r="BA12" s="27"/>
      <c r="BB12" s="61">
        <f t="shared" si="25"/>
        <v>0</v>
      </c>
      <c r="BC12" s="36">
        <v>41706</v>
      </c>
      <c r="BD12" s="27">
        <v>2262.9</v>
      </c>
      <c r="BE12" s="61">
        <f t="shared" si="26"/>
        <v>18.430332758849264</v>
      </c>
      <c r="BF12" s="36"/>
      <c r="BG12" s="53"/>
      <c r="BH12" s="61">
        <f t="shared" si="27"/>
        <v>0</v>
      </c>
      <c r="BI12" s="36">
        <v>0</v>
      </c>
      <c r="BJ12" s="53">
        <v>0</v>
      </c>
      <c r="BK12" s="61">
        <f t="shared" si="28"/>
        <v>0</v>
      </c>
      <c r="BL12" s="52">
        <v>37146</v>
      </c>
      <c r="BM12" s="53">
        <v>1183.04</v>
      </c>
      <c r="BN12" s="61">
        <f t="shared" si="29"/>
        <v>31.398769272383014</v>
      </c>
      <c r="BO12" s="1125"/>
      <c r="BP12" s="53"/>
      <c r="BQ12" s="61">
        <f t="shared" si="30"/>
        <v>0</v>
      </c>
      <c r="BR12" s="36"/>
      <c r="BS12" s="53"/>
      <c r="BT12" s="61">
        <f t="shared" si="31"/>
        <v>0</v>
      </c>
      <c r="BU12" s="36">
        <v>27194</v>
      </c>
      <c r="BV12" s="27">
        <v>1620</v>
      </c>
      <c r="BW12" s="28">
        <f t="shared" si="32"/>
        <v>16.78641975308642</v>
      </c>
      <c r="BX12" s="26"/>
      <c r="BY12" s="27"/>
      <c r="BZ12" s="61">
        <f t="shared" si="33"/>
        <v>0</v>
      </c>
      <c r="CA12" s="36"/>
      <c r="CB12" s="5"/>
      <c r="CC12" s="482">
        <f t="shared" si="34"/>
        <v>0</v>
      </c>
      <c r="CD12" s="4"/>
      <c r="CE12" s="280"/>
      <c r="CF12" s="28">
        <f t="shared" si="35"/>
        <v>0</v>
      </c>
      <c r="CG12" s="150"/>
      <c r="CH12" s="4">
        <v>848</v>
      </c>
      <c r="CI12" s="5"/>
      <c r="CJ12" s="5"/>
      <c r="CK12" s="5">
        <v>13826.5</v>
      </c>
      <c r="CL12" s="5"/>
      <c r="CM12" s="5">
        <f t="shared" si="113"/>
        <v>14674.5</v>
      </c>
      <c r="CN12" s="33"/>
      <c r="CO12" s="366"/>
      <c r="CQ12" s="4">
        <f t="shared" si="36"/>
        <v>0</v>
      </c>
      <c r="CR12" s="9">
        <f t="shared" si="36"/>
        <v>0</v>
      </c>
      <c r="CS12" s="5">
        <f t="shared" si="36"/>
        <v>0</v>
      </c>
      <c r="CT12" s="5">
        <f t="shared" si="36"/>
        <v>0</v>
      </c>
      <c r="CU12" s="5">
        <f t="shared" si="36"/>
        <v>0</v>
      </c>
      <c r="CV12" s="5">
        <f t="shared" si="36"/>
        <v>0</v>
      </c>
      <c r="CW12" s="488">
        <f t="shared" si="36"/>
        <v>686.88000000000011</v>
      </c>
      <c r="CX12" s="5">
        <f t="shared" si="36"/>
        <v>0</v>
      </c>
      <c r="CY12" s="5">
        <f t="shared" si="36"/>
        <v>7349.3600000000006</v>
      </c>
      <c r="CZ12" s="5">
        <f t="shared" si="36"/>
        <v>0</v>
      </c>
      <c r="DA12" s="488">
        <f t="shared" si="36"/>
        <v>0</v>
      </c>
      <c r="DB12" s="12">
        <f t="shared" si="36"/>
        <v>0</v>
      </c>
      <c r="DC12" s="310">
        <f t="shared" si="37"/>
        <v>8036.2400000000007</v>
      </c>
      <c r="DD12" s="2695"/>
      <c r="DE12" s="9"/>
      <c r="DF12" s="9"/>
      <c r="DG12" s="5"/>
      <c r="DH12" s="5"/>
      <c r="DI12" s="5"/>
      <c r="DJ12" s="5"/>
      <c r="DK12" s="5">
        <v>686.88000000000011</v>
      </c>
      <c r="DL12" s="5"/>
      <c r="DM12" s="5">
        <v>2283.42</v>
      </c>
      <c r="DN12" s="5"/>
      <c r="DO12" s="5"/>
      <c r="DP12" s="12"/>
      <c r="DQ12" s="28">
        <f t="shared" si="38"/>
        <v>2970.3</v>
      </c>
      <c r="DR12" s="36"/>
      <c r="DS12" s="36"/>
      <c r="DT12" s="27"/>
      <c r="DU12" s="27"/>
      <c r="DV12" s="5"/>
      <c r="DW12" s="5"/>
      <c r="DX12" s="64"/>
      <c r="DY12" s="5"/>
      <c r="DZ12" s="5">
        <v>3445.94</v>
      </c>
      <c r="EA12" s="53"/>
      <c r="EB12" s="27"/>
      <c r="EC12" s="33"/>
      <c r="ED12" s="28">
        <f t="shared" si="39"/>
        <v>3445.94</v>
      </c>
      <c r="EE12" s="9"/>
      <c r="EF12" s="9"/>
      <c r="EG12" s="491"/>
      <c r="EH12" s="5"/>
      <c r="EI12" s="27"/>
      <c r="EJ12" s="27"/>
      <c r="EK12" s="27"/>
      <c r="EL12" s="27"/>
      <c r="EM12" s="27">
        <v>1620</v>
      </c>
      <c r="EN12" s="27"/>
      <c r="EO12" s="27"/>
      <c r="EP12" s="33"/>
      <c r="EQ12" s="28">
        <f t="shared" si="40"/>
        <v>1620</v>
      </c>
      <c r="ER12" s="36"/>
      <c r="ES12" s="27"/>
      <c r="ET12" s="27"/>
      <c r="EU12" s="27"/>
      <c r="EV12" s="27"/>
      <c r="EW12" s="27"/>
      <c r="EX12" s="33">
        <f t="shared" si="41"/>
        <v>0</v>
      </c>
      <c r="EY12" s="2685"/>
      <c r="FA12" s="4">
        <f t="shared" si="42"/>
        <v>0</v>
      </c>
      <c r="FB12" s="5">
        <f t="shared" si="43"/>
        <v>0</v>
      </c>
      <c r="FC12" s="5">
        <f t="shared" si="44"/>
        <v>0</v>
      </c>
      <c r="FD12" s="12">
        <f t="shared" si="45"/>
        <v>0</v>
      </c>
      <c r="FE12" s="33"/>
      <c r="FF12" s="2674"/>
      <c r="FG12" s="9"/>
      <c r="FH12" s="5"/>
      <c r="FI12" s="5"/>
      <c r="FJ12" s="5"/>
      <c r="FK12" s="5"/>
      <c r="FL12" s="27"/>
      <c r="FM12" s="28">
        <f t="shared" si="46"/>
        <v>0</v>
      </c>
      <c r="FN12" s="36"/>
      <c r="FO12" s="27"/>
      <c r="FP12" s="27"/>
      <c r="FQ12" s="27"/>
      <c r="FR12" s="27"/>
      <c r="FS12" s="27"/>
      <c r="FT12" s="28">
        <f t="shared" si="47"/>
        <v>0</v>
      </c>
      <c r="FU12" s="36"/>
      <c r="FV12" s="36"/>
      <c r="FW12" s="27"/>
      <c r="FX12" s="27"/>
      <c r="FY12" s="27"/>
      <c r="FZ12" s="27"/>
      <c r="GA12" s="27"/>
      <c r="GB12" s="27"/>
      <c r="GC12" s="27"/>
      <c r="GD12" s="27"/>
      <c r="GE12" s="27"/>
      <c r="GF12" s="33"/>
      <c r="GG12" s="33">
        <f t="shared" si="48"/>
        <v>0</v>
      </c>
      <c r="GH12" s="2674"/>
      <c r="GJ12" s="4">
        <f t="shared" si="49"/>
        <v>3047.65</v>
      </c>
      <c r="GK12" s="64">
        <f t="shared" si="50"/>
        <v>1946.11</v>
      </c>
      <c r="GL12" s="53">
        <f t="shared" si="51"/>
        <v>7301.1799999999985</v>
      </c>
      <c r="GM12" s="53">
        <f t="shared" si="52"/>
        <v>12294.939999999999</v>
      </c>
      <c r="GN12" s="141"/>
      <c r="GO12" s="141"/>
      <c r="GP12" s="33"/>
      <c r="GQ12" s="2667"/>
      <c r="GR12" s="152">
        <v>4875.1499999999996</v>
      </c>
      <c r="GS12" s="27">
        <v>553.84999999999991</v>
      </c>
      <c r="GT12" s="27">
        <v>3500.26</v>
      </c>
      <c r="GU12" s="27">
        <v>3365.6800000000003</v>
      </c>
      <c r="GV12" s="54">
        <f t="shared" si="53"/>
        <v>12294.94</v>
      </c>
      <c r="GW12" s="2667"/>
      <c r="GX12" s="36"/>
      <c r="GY12" s="36"/>
      <c r="GZ12" s="27"/>
      <c r="HA12" s="27"/>
      <c r="HB12" s="27"/>
      <c r="HC12" s="27"/>
      <c r="HD12" s="27"/>
      <c r="HE12" s="27"/>
      <c r="HF12" s="27">
        <v>2493.8000000000002</v>
      </c>
      <c r="HG12" s="27"/>
      <c r="HH12" s="27"/>
      <c r="HI12" s="27"/>
      <c r="HJ12" s="27">
        <v>553.85</v>
      </c>
      <c r="HK12" s="27"/>
      <c r="HL12" s="28">
        <f t="shared" si="54"/>
        <v>3047.65</v>
      </c>
      <c r="HM12" s="36"/>
      <c r="HN12" s="27"/>
      <c r="HO12" s="27"/>
      <c r="HP12" s="27"/>
      <c r="HQ12" s="27"/>
      <c r="HR12" s="27"/>
      <c r="HS12" s="27"/>
      <c r="HT12" s="27"/>
      <c r="HU12" s="27"/>
      <c r="HV12" s="27"/>
      <c r="HW12" s="27"/>
      <c r="HX12" s="27"/>
      <c r="HY12" s="27"/>
      <c r="HZ12" s="27"/>
      <c r="IA12" s="33">
        <f t="shared" si="55"/>
        <v>0</v>
      </c>
      <c r="IB12" s="52"/>
      <c r="IC12" s="152"/>
      <c r="ID12" s="53"/>
      <c r="IE12" s="53"/>
      <c r="IF12" s="53"/>
      <c r="IG12" s="53"/>
      <c r="IH12" s="53"/>
      <c r="II12" s="53"/>
      <c r="IJ12" s="53">
        <v>1946.11</v>
      </c>
      <c r="IK12" s="53"/>
      <c r="IL12" s="64"/>
      <c r="IM12" s="53"/>
      <c r="IN12" s="53"/>
      <c r="IO12" s="53"/>
      <c r="IP12" s="61">
        <f t="shared" si="56"/>
        <v>1946.11</v>
      </c>
      <c r="IQ12" s="36"/>
      <c r="IR12" s="36"/>
      <c r="IS12" s="27"/>
      <c r="IT12" s="27"/>
      <c r="IU12" s="53"/>
      <c r="IV12" s="27"/>
      <c r="IW12" s="27"/>
      <c r="IX12" s="27"/>
      <c r="IY12" s="27">
        <v>7301.1799999999985</v>
      </c>
      <c r="IZ12" s="27"/>
      <c r="JA12" s="5"/>
      <c r="JB12" s="27"/>
      <c r="JC12" s="27"/>
      <c r="JD12" s="27"/>
      <c r="JE12" s="33">
        <f t="shared" si="57"/>
        <v>7301.1799999999985</v>
      </c>
      <c r="JF12" s="2667"/>
      <c r="JH12" s="845">
        <v>12294.939999999999</v>
      </c>
      <c r="JI12" s="152"/>
      <c r="JJ12" s="53"/>
      <c r="JK12" s="53">
        <f t="shared" si="58"/>
        <v>12294.939999999999</v>
      </c>
      <c r="JL12" s="33"/>
      <c r="JM12" s="2669"/>
      <c r="JN12" s="69"/>
      <c r="JO12" s="70"/>
      <c r="JP12" s="70"/>
      <c r="JQ12" s="70"/>
      <c r="JR12" s="70">
        <v>1</v>
      </c>
      <c r="JS12" s="70"/>
      <c r="JT12" s="70"/>
      <c r="JU12" s="71"/>
      <c r="JV12" s="69"/>
      <c r="JW12" s="70"/>
      <c r="JX12" s="70"/>
      <c r="JY12" s="70"/>
      <c r="JZ12" s="70"/>
      <c r="KA12" s="70"/>
      <c r="KB12" s="70"/>
      <c r="KC12" s="71"/>
      <c r="KD12" s="69"/>
      <c r="KE12" s="70"/>
      <c r="KF12" s="70"/>
      <c r="KG12" s="70"/>
      <c r="KH12" s="70"/>
      <c r="KI12" s="70"/>
      <c r="KJ12" s="70"/>
      <c r="KK12" s="70"/>
      <c r="KL12" s="33"/>
      <c r="KM12" s="2669"/>
      <c r="KN12" s="36">
        <v>6972.0024579765304</v>
      </c>
      <c r="KO12" s="53">
        <v>0.55887250237868702</v>
      </c>
      <c r="KP12" s="53">
        <v>6.07145337773549</v>
      </c>
      <c r="KQ12" s="53">
        <v>6.292884554392641</v>
      </c>
      <c r="KR12" s="54">
        <v>10.612625234776406</v>
      </c>
      <c r="KS12" s="4">
        <v>0</v>
      </c>
      <c r="KT12" s="64">
        <v>0</v>
      </c>
      <c r="KU12" s="64">
        <v>0</v>
      </c>
      <c r="KV12" s="64">
        <v>0</v>
      </c>
      <c r="KW12" s="482">
        <v>0</v>
      </c>
      <c r="KX12" s="36"/>
      <c r="KY12" s="53"/>
      <c r="KZ12" s="53"/>
      <c r="LA12" s="53"/>
      <c r="LB12" s="53"/>
      <c r="LC12" s="33"/>
      <c r="LD12" s="2669"/>
      <c r="LF12" s="998">
        <f t="shared" si="59"/>
        <v>4109.0775000000003</v>
      </c>
      <c r="LG12" s="27">
        <f t="shared" si="59"/>
        <v>3361.9725000000003</v>
      </c>
      <c r="LH12" s="27">
        <f t="shared" si="59"/>
        <v>0</v>
      </c>
      <c r="LI12" s="28">
        <f t="shared" si="60"/>
        <v>7471.0500000000011</v>
      </c>
      <c r="LJ12" s="36">
        <v>1</v>
      </c>
      <c r="LK12" s="27"/>
      <c r="LL12" s="27">
        <v>5</v>
      </c>
      <c r="LM12" s="33"/>
      <c r="LN12" s="1041">
        <v>4.91</v>
      </c>
      <c r="LO12" s="486"/>
      <c r="LP12" s="2688"/>
      <c r="LQ12" s="36">
        <v>4109.0775000000003</v>
      </c>
      <c r="LR12" s="36">
        <v>3361.9725000000003</v>
      </c>
      <c r="LS12" s="27"/>
      <c r="LT12" s="27"/>
      <c r="LU12" s="27"/>
      <c r="LV12" s="1117">
        <f t="shared" si="61"/>
        <v>7471.0500000000011</v>
      </c>
      <c r="LW12" s="36"/>
      <c r="LX12" s="36"/>
      <c r="LY12" s="27"/>
      <c r="LZ12" s="27"/>
      <c r="MA12" s="33"/>
      <c r="MB12" s="28">
        <f t="shared" si="62"/>
        <v>0</v>
      </c>
      <c r="MC12" s="26"/>
      <c r="MD12" s="36"/>
      <c r="ME12" s="27"/>
      <c r="MF12" s="27"/>
      <c r="MG12" s="27"/>
      <c r="MH12" s="28"/>
      <c r="MI12" s="36"/>
      <c r="MJ12" s="36"/>
      <c r="MK12" s="27"/>
      <c r="ML12" s="27"/>
      <c r="MM12" s="27"/>
      <c r="MN12" s="28"/>
      <c r="MO12" s="36"/>
      <c r="MP12" s="36"/>
      <c r="MQ12" s="27"/>
      <c r="MR12" s="27"/>
      <c r="MS12" s="27"/>
      <c r="MT12" s="33">
        <f t="shared" si="63"/>
        <v>0</v>
      </c>
      <c r="MU12" s="2688"/>
      <c r="MW12" s="26">
        <f t="shared" si="64"/>
        <v>83413.773444531515</v>
      </c>
      <c r="MX12" s="27">
        <f t="shared" si="65"/>
        <v>148557.7269841017</v>
      </c>
      <c r="MY12" s="27">
        <f t="shared" si="66"/>
        <v>23801.663116668147</v>
      </c>
      <c r="MZ12" s="28">
        <f t="shared" si="67"/>
        <v>438633.69665121427</v>
      </c>
      <c r="NA12" s="2621"/>
      <c r="NB12" s="23">
        <f t="shared" si="68"/>
        <v>66853.391197190562</v>
      </c>
      <c r="NC12" s="64">
        <f t="shared" si="69"/>
        <v>16560.382247340945</v>
      </c>
      <c r="ND12" s="60">
        <f t="shared" si="70"/>
        <v>0</v>
      </c>
      <c r="NE12" s="275">
        <f t="shared" si="4"/>
        <v>83413.773444531515</v>
      </c>
      <c r="NF12" s="26">
        <f t="shared" si="71"/>
        <v>0</v>
      </c>
      <c r="NG12" s="27">
        <f t="shared" si="71"/>
        <v>0</v>
      </c>
      <c r="NH12" s="27">
        <f t="shared" si="71"/>
        <v>0</v>
      </c>
      <c r="NI12" s="27">
        <f t="shared" si="71"/>
        <v>0</v>
      </c>
      <c r="NJ12" s="27">
        <f t="shared" si="71"/>
        <v>0</v>
      </c>
      <c r="NK12" s="33">
        <f t="shared" si="71"/>
        <v>0</v>
      </c>
      <c r="NL12" s="27">
        <f t="shared" si="71"/>
        <v>0</v>
      </c>
      <c r="NM12" s="36">
        <f t="shared" si="71"/>
        <v>0</v>
      </c>
      <c r="NN12" s="27">
        <f t="shared" si="71"/>
        <v>36230.752027032751</v>
      </c>
      <c r="NO12" s="27">
        <f t="shared" si="71"/>
        <v>0</v>
      </c>
      <c r="NP12" s="24">
        <f t="shared" si="114"/>
        <v>8756.5482322711578</v>
      </c>
      <c r="NQ12" s="24">
        <f t="shared" si="115"/>
        <v>18590.8150132308</v>
      </c>
      <c r="NR12" s="27">
        <f t="shared" si="0"/>
        <v>63578.115272534713</v>
      </c>
      <c r="NS12" s="27">
        <f t="shared" si="72"/>
        <v>0</v>
      </c>
      <c r="NT12" s="27">
        <f t="shared" si="72"/>
        <v>0</v>
      </c>
      <c r="NU12" s="27">
        <f t="shared" si="72"/>
        <v>0</v>
      </c>
      <c r="NV12" s="27">
        <f t="shared" si="72"/>
        <v>0</v>
      </c>
      <c r="NW12" s="27">
        <f t="shared" si="72"/>
        <v>0</v>
      </c>
      <c r="NX12" s="27">
        <f t="shared" si="72"/>
        <v>0</v>
      </c>
      <c r="NY12" s="27">
        <f t="shared" si="72"/>
        <v>6620.4146092523797</v>
      </c>
      <c r="NZ12" s="27">
        <f t="shared" si="72"/>
        <v>0</v>
      </c>
      <c r="OA12" s="27">
        <f t="shared" si="72"/>
        <v>5446.565702262249</v>
      </c>
      <c r="OB12" s="280"/>
      <c r="OC12" s="24">
        <f t="shared" si="73"/>
        <v>1565.61197844705</v>
      </c>
      <c r="OD12" s="27">
        <f t="shared" si="73"/>
        <v>0</v>
      </c>
      <c r="OE12" s="28">
        <f t="shared" si="1"/>
        <v>13632.592289961678</v>
      </c>
      <c r="OF12" s="27">
        <f t="shared" si="74"/>
        <v>0</v>
      </c>
      <c r="OG12" s="27">
        <f t="shared" si="74"/>
        <v>0</v>
      </c>
      <c r="OH12" s="27">
        <f t="shared" si="74"/>
        <v>0</v>
      </c>
      <c r="OI12" s="27">
        <f t="shared" si="74"/>
        <v>0</v>
      </c>
      <c r="OJ12" s="27">
        <f t="shared" si="74"/>
        <v>0</v>
      </c>
      <c r="OK12" s="27">
        <f t="shared" si="74"/>
        <v>0</v>
      </c>
      <c r="OL12" s="24">
        <f t="shared" si="74"/>
        <v>0</v>
      </c>
      <c r="OM12" s="27">
        <f t="shared" si="74"/>
        <v>0</v>
      </c>
      <c r="ON12" s="24">
        <f t="shared" si="74"/>
        <v>62242.260253800203</v>
      </c>
      <c r="OO12" s="27">
        <f t="shared" si="74"/>
        <v>0</v>
      </c>
      <c r="OP12" s="27">
        <f t="shared" si="74"/>
        <v>9104.7591678050994</v>
      </c>
      <c r="OQ12" s="27">
        <f t="shared" si="74"/>
        <v>0</v>
      </c>
      <c r="OR12" s="28">
        <f t="shared" si="2"/>
        <v>71347.019421605306</v>
      </c>
      <c r="OS12" s="36"/>
      <c r="OT12" s="27"/>
      <c r="OU12" s="27"/>
      <c r="OV12" s="27"/>
      <c r="OW12" s="27"/>
      <c r="OX12" s="27"/>
      <c r="OY12" s="28">
        <f t="shared" si="75"/>
        <v>0</v>
      </c>
      <c r="OZ12" s="36">
        <f t="shared" si="76"/>
        <v>0</v>
      </c>
      <c r="PA12" s="27">
        <f t="shared" si="77"/>
        <v>0</v>
      </c>
      <c r="PB12" s="27">
        <f t="shared" si="78"/>
        <v>0</v>
      </c>
      <c r="PC12" s="27">
        <f t="shared" si="79"/>
        <v>0</v>
      </c>
      <c r="PD12" s="27">
        <f t="shared" si="80"/>
        <v>0</v>
      </c>
      <c r="PE12" s="27">
        <f t="shared" si="81"/>
        <v>0</v>
      </c>
      <c r="PF12" s="33">
        <f t="shared" si="3"/>
        <v>0</v>
      </c>
      <c r="PG12" s="2621"/>
      <c r="PI12" s="2">
        <v>1351.06</v>
      </c>
      <c r="PJ12" s="3">
        <v>747.5</v>
      </c>
      <c r="PK12" s="3">
        <v>345.00000000000006</v>
      </c>
      <c r="PL12" s="3">
        <f t="shared" si="116"/>
        <v>553.85</v>
      </c>
      <c r="PM12" s="3">
        <f t="shared" si="82"/>
        <v>871.24973779645552</v>
      </c>
      <c r="PN12" s="11">
        <f t="shared" si="117"/>
        <v>23801.663116668147</v>
      </c>
      <c r="PO12" s="15"/>
      <c r="PP12" s="2615"/>
      <c r="PR12" s="4"/>
      <c r="PS12" s="9"/>
      <c r="PT12" s="9"/>
      <c r="PU12" s="9"/>
      <c r="PV12" s="9"/>
      <c r="PW12" s="9"/>
      <c r="PX12" s="8">
        <f t="shared" si="83"/>
        <v>0</v>
      </c>
      <c r="PY12" s="5">
        <f t="shared" si="84"/>
        <v>1351.06</v>
      </c>
      <c r="PZ12" s="5"/>
      <c r="QA12" s="5"/>
      <c r="QB12" s="5"/>
      <c r="QC12" s="5"/>
      <c r="QD12" s="5"/>
      <c r="QE12" s="12">
        <f t="shared" si="85"/>
        <v>29749.381073161156</v>
      </c>
      <c r="QF12" s="420">
        <f t="shared" si="86"/>
        <v>408884.31557805312</v>
      </c>
      <c r="QG12" s="1106">
        <f t="shared" si="87"/>
        <v>0</v>
      </c>
      <c r="QH12" s="484">
        <f t="shared" si="88"/>
        <v>5505.3678056100007</v>
      </c>
      <c r="QI12" s="12"/>
      <c r="QJ12" s="2615"/>
      <c r="QL12" s="139">
        <f t="shared" si="89"/>
        <v>0</v>
      </c>
      <c r="QM12" s="139" t="str">
        <f t="shared" si="90"/>
        <v/>
      </c>
      <c r="QO12" s="139">
        <f t="shared" si="91"/>
        <v>0</v>
      </c>
      <c r="QP12" s="139">
        <f t="shared" si="92"/>
        <v>0</v>
      </c>
      <c r="QR12" s="1">
        <f t="shared" si="93"/>
        <v>0</v>
      </c>
      <c r="QS12" s="1">
        <f t="shared" si="94"/>
        <v>0</v>
      </c>
      <c r="QT12" s="1">
        <f t="shared" si="95"/>
        <v>0</v>
      </c>
      <c r="QU12" s="1">
        <f t="shared" si="96"/>
        <v>0</v>
      </c>
      <c r="QV12" s="1">
        <f t="shared" si="97"/>
        <v>0</v>
      </c>
      <c r="QW12" s="1">
        <f t="shared" si="98"/>
        <v>0</v>
      </c>
      <c r="QY12" s="1">
        <f t="shared" si="99"/>
        <v>0</v>
      </c>
      <c r="QZ12" s="1">
        <f t="shared" si="100"/>
        <v>0</v>
      </c>
      <c r="RA12" s="1">
        <f t="shared" si="101"/>
        <v>0</v>
      </c>
      <c r="RB12" s="1">
        <f t="shared" si="102"/>
        <v>0</v>
      </c>
      <c r="RC12" s="1">
        <f t="shared" si="103"/>
        <v>0</v>
      </c>
      <c r="RD12" s="1">
        <f t="shared" si="104"/>
        <v>0</v>
      </c>
      <c r="RG12" s="1">
        <v>3</v>
      </c>
      <c r="RH12" s="1">
        <f t="shared" si="105"/>
        <v>37723.881251083163</v>
      </c>
      <c r="RI12" s="1">
        <f t="shared" si="105"/>
        <v>-2906.7259501377202</v>
      </c>
      <c r="RJ12" s="1">
        <f t="shared" si="105"/>
        <v>9178.5689913333827</v>
      </c>
      <c r="RK12" s="89">
        <f t="shared" si="5"/>
        <v>43995.724292278828</v>
      </c>
      <c r="RL12" s="1033">
        <v>3</v>
      </c>
      <c r="RM12" s="1098">
        <f t="shared" si="118"/>
        <v>0</v>
      </c>
      <c r="RN12" s="1098">
        <f t="shared" si="106"/>
        <v>0</v>
      </c>
      <c r="RO12" s="1097">
        <f t="shared" si="106"/>
        <v>0</v>
      </c>
      <c r="RP12" s="1097">
        <f t="shared" si="107"/>
        <v>6416.24</v>
      </c>
      <c r="RQ12" s="1094"/>
      <c r="RR12" s="1094" t="s">
        <v>745</v>
      </c>
      <c r="RU12" s="421">
        <v>3</v>
      </c>
      <c r="RV12" s="1095">
        <f t="shared" si="108"/>
        <v>12294.94</v>
      </c>
      <c r="RW12" s="1094" t="s">
        <v>746</v>
      </c>
      <c r="RY12" s="1090"/>
      <c r="RZ12" s="1090">
        <f t="shared" si="109"/>
        <v>0</v>
      </c>
      <c r="SA12" s="1090"/>
      <c r="SB12" s="1090">
        <f t="shared" si="110"/>
        <v>0</v>
      </c>
      <c r="SD12" s="1">
        <v>3</v>
      </c>
      <c r="SE12" s="1">
        <f t="shared" si="111"/>
        <v>553.85</v>
      </c>
      <c r="SF12" s="1094" t="s">
        <v>747</v>
      </c>
    </row>
    <row r="13" spans="1:500" s="1" customFormat="1" ht="16.95" customHeight="1">
      <c r="B13" s="471">
        <v>4</v>
      </c>
      <c r="C13" s="4">
        <f t="shared" si="6"/>
        <v>110331</v>
      </c>
      <c r="D13" s="64">
        <f t="shared" si="112"/>
        <v>4706.1399999999994</v>
      </c>
      <c r="E13" s="61">
        <f t="shared" si="7"/>
        <v>23.444053938046896</v>
      </c>
      <c r="F13" s="870"/>
      <c r="G13" s="870"/>
      <c r="H13" s="52">
        <v>15</v>
      </c>
      <c r="I13" s="61">
        <v>5.12</v>
      </c>
      <c r="J13" s="52"/>
      <c r="K13" s="61"/>
      <c r="L13" s="52">
        <v>25.5</v>
      </c>
      <c r="M13" s="61">
        <v>5.99</v>
      </c>
      <c r="N13" s="2629"/>
      <c r="O13" s="4">
        <f t="shared" si="8"/>
        <v>69132</v>
      </c>
      <c r="P13" s="1225">
        <f t="shared" si="9"/>
        <v>3294.52</v>
      </c>
      <c r="Q13" s="64">
        <f t="shared" si="10"/>
        <v>20.983936961985357</v>
      </c>
      <c r="R13" s="33"/>
      <c r="S13" s="26">
        <f t="shared" si="11"/>
        <v>16312</v>
      </c>
      <c r="T13" s="27">
        <f t="shared" si="12"/>
        <v>411.62</v>
      </c>
      <c r="U13" s="53">
        <f t="shared" si="13"/>
        <v>39.628783829745885</v>
      </c>
      <c r="V13" s="28"/>
      <c r="W13" s="26">
        <f t="shared" si="14"/>
        <v>24887</v>
      </c>
      <c r="X13" s="5">
        <f t="shared" si="14"/>
        <v>1000</v>
      </c>
      <c r="Y13" s="53">
        <f t="shared" si="15"/>
        <v>24.887</v>
      </c>
      <c r="Z13" s="33"/>
      <c r="AA13" s="26">
        <f t="shared" si="16"/>
        <v>0</v>
      </c>
      <c r="AB13" s="27">
        <f t="shared" si="17"/>
        <v>0</v>
      </c>
      <c r="AC13" s="53">
        <f t="shared" si="18"/>
        <v>0</v>
      </c>
      <c r="AD13" s="28"/>
      <c r="AE13" s="36"/>
      <c r="AF13" s="36"/>
      <c r="AG13" s="53">
        <f t="shared" si="19"/>
        <v>0</v>
      </c>
      <c r="AH13" s="28"/>
      <c r="AI13" s="26"/>
      <c r="AJ13" s="27"/>
      <c r="AK13" s="53">
        <f t="shared" si="20"/>
        <v>0</v>
      </c>
      <c r="AL13" s="28"/>
      <c r="AM13" s="2629"/>
      <c r="AN13" s="9"/>
      <c r="AO13" s="5"/>
      <c r="AP13" s="61">
        <f t="shared" si="21"/>
        <v>0</v>
      </c>
      <c r="AQ13" s="36"/>
      <c r="AR13" s="53"/>
      <c r="AS13" s="61">
        <f t="shared" si="22"/>
        <v>0</v>
      </c>
      <c r="AT13" s="36"/>
      <c r="AU13" s="27"/>
      <c r="AV13" s="61">
        <f t="shared" si="23"/>
        <v>0</v>
      </c>
      <c r="AW13" s="36">
        <v>37926</v>
      </c>
      <c r="AX13" s="27">
        <v>1669.06</v>
      </c>
      <c r="AY13" s="61">
        <f t="shared" si="24"/>
        <v>22.722969815345166</v>
      </c>
      <c r="AZ13" s="36"/>
      <c r="BA13" s="27"/>
      <c r="BB13" s="61">
        <f t="shared" si="25"/>
        <v>0</v>
      </c>
      <c r="BC13" s="36">
        <v>31206</v>
      </c>
      <c r="BD13" s="27">
        <v>1625.46</v>
      </c>
      <c r="BE13" s="61">
        <f t="shared" si="26"/>
        <v>19.19825772396737</v>
      </c>
      <c r="BF13" s="36"/>
      <c r="BG13" s="53"/>
      <c r="BH13" s="61">
        <f t="shared" si="27"/>
        <v>0</v>
      </c>
      <c r="BI13" s="36">
        <v>0</v>
      </c>
      <c r="BJ13" s="53">
        <v>0</v>
      </c>
      <c r="BK13" s="61">
        <f t="shared" si="28"/>
        <v>0</v>
      </c>
      <c r="BL13" s="52">
        <v>16312</v>
      </c>
      <c r="BM13" s="53">
        <v>411.62</v>
      </c>
      <c r="BN13" s="61">
        <f t="shared" si="29"/>
        <v>39.628783829745885</v>
      </c>
      <c r="BO13" s="1125"/>
      <c r="BP13" s="53"/>
      <c r="BQ13" s="61">
        <f t="shared" si="30"/>
        <v>0</v>
      </c>
      <c r="BR13" s="36"/>
      <c r="BS13" s="53"/>
      <c r="BT13" s="61">
        <f t="shared" si="31"/>
        <v>0</v>
      </c>
      <c r="BU13" s="36">
        <v>24887</v>
      </c>
      <c r="BV13" s="5">
        <v>1000</v>
      </c>
      <c r="BW13" s="28">
        <f t="shared" si="32"/>
        <v>24.887</v>
      </c>
      <c r="BX13" s="26"/>
      <c r="BY13" s="27"/>
      <c r="BZ13" s="61">
        <f t="shared" si="33"/>
        <v>0</v>
      </c>
      <c r="CA13" s="36"/>
      <c r="CB13" s="5"/>
      <c r="CC13" s="482">
        <f t="shared" si="34"/>
        <v>0</v>
      </c>
      <c r="CD13" s="4"/>
      <c r="CE13" s="5"/>
      <c r="CF13" s="28">
        <f t="shared" si="35"/>
        <v>0</v>
      </c>
      <c r="CG13" s="150"/>
      <c r="CH13" s="4">
        <v>0</v>
      </c>
      <c r="CI13" s="5"/>
      <c r="CJ13" s="5"/>
      <c r="CK13" s="5">
        <v>7694</v>
      </c>
      <c r="CL13" s="5"/>
      <c r="CM13" s="5">
        <f t="shared" si="113"/>
        <v>7694</v>
      </c>
      <c r="CN13" s="33"/>
      <c r="CO13" s="366"/>
      <c r="CQ13" s="4">
        <f t="shared" si="36"/>
        <v>0</v>
      </c>
      <c r="CR13" s="9">
        <f t="shared" si="36"/>
        <v>0</v>
      </c>
      <c r="CS13" s="5">
        <f t="shared" si="36"/>
        <v>0</v>
      </c>
      <c r="CT13" s="5">
        <f t="shared" si="36"/>
        <v>0</v>
      </c>
      <c r="CU13" s="5">
        <f t="shared" si="36"/>
        <v>0</v>
      </c>
      <c r="CV13" s="5">
        <f t="shared" si="36"/>
        <v>0</v>
      </c>
      <c r="CW13" s="5">
        <f t="shared" si="36"/>
        <v>0</v>
      </c>
      <c r="CX13" s="5">
        <f t="shared" si="36"/>
        <v>0</v>
      </c>
      <c r="CY13" s="5">
        <f t="shared" si="36"/>
        <v>4086.1400000000003</v>
      </c>
      <c r="CZ13" s="5">
        <f t="shared" si="36"/>
        <v>0</v>
      </c>
      <c r="DA13" s="5">
        <f t="shared" si="36"/>
        <v>620</v>
      </c>
      <c r="DB13" s="12">
        <f t="shared" si="36"/>
        <v>0</v>
      </c>
      <c r="DC13" s="55">
        <f t="shared" si="37"/>
        <v>4706.1400000000003</v>
      </c>
      <c r="DD13" s="2695"/>
      <c r="DE13" s="9"/>
      <c r="DF13" s="9"/>
      <c r="DG13" s="5"/>
      <c r="DH13" s="5"/>
      <c r="DI13" s="5"/>
      <c r="DJ13" s="5"/>
      <c r="DK13" s="5"/>
      <c r="DL13" s="5"/>
      <c r="DM13" s="5">
        <v>1669.06</v>
      </c>
      <c r="DN13" s="5"/>
      <c r="DO13" s="5"/>
      <c r="DP13" s="12"/>
      <c r="DQ13" s="28">
        <f t="shared" si="38"/>
        <v>1669.06</v>
      </c>
      <c r="DR13" s="36"/>
      <c r="DS13" s="36"/>
      <c r="DT13" s="27"/>
      <c r="DU13" s="27"/>
      <c r="DV13" s="5"/>
      <c r="DW13" s="5"/>
      <c r="DX13" s="64"/>
      <c r="DY13" s="5"/>
      <c r="DZ13" s="5">
        <v>2037.0800000000002</v>
      </c>
      <c r="EA13" s="27"/>
      <c r="EB13" s="27"/>
      <c r="EC13" s="33"/>
      <c r="ED13" s="28">
        <f t="shared" si="39"/>
        <v>2037.0800000000002</v>
      </c>
      <c r="EE13" s="9"/>
      <c r="EF13" s="9"/>
      <c r="EG13" s="5"/>
      <c r="EH13" s="5"/>
      <c r="EI13" s="27"/>
      <c r="EJ13" s="27"/>
      <c r="EK13" s="27"/>
      <c r="EL13" s="27"/>
      <c r="EM13" s="27">
        <v>380</v>
      </c>
      <c r="EN13" s="27"/>
      <c r="EO13" s="27">
        <v>620</v>
      </c>
      <c r="EP13" s="33"/>
      <c r="EQ13" s="28">
        <f t="shared" si="40"/>
        <v>1000</v>
      </c>
      <c r="ER13" s="36"/>
      <c r="ES13" s="27"/>
      <c r="ET13" s="27"/>
      <c r="EU13" s="27"/>
      <c r="EV13" s="27"/>
      <c r="EW13" s="27"/>
      <c r="EX13" s="33">
        <f t="shared" si="41"/>
        <v>0</v>
      </c>
      <c r="EY13" s="2685"/>
      <c r="FA13" s="4">
        <f t="shared" si="42"/>
        <v>0</v>
      </c>
      <c r="FB13" s="5">
        <f t="shared" si="43"/>
        <v>0</v>
      </c>
      <c r="FC13" s="5">
        <f t="shared" si="44"/>
        <v>0</v>
      </c>
      <c r="FD13" s="12">
        <f t="shared" si="45"/>
        <v>0</v>
      </c>
      <c r="FE13" s="33"/>
      <c r="FF13" s="2674"/>
      <c r="FG13" s="9"/>
      <c r="FH13" s="5"/>
      <c r="FI13" s="5"/>
      <c r="FJ13" s="5"/>
      <c r="FK13" s="5"/>
      <c r="FL13" s="27"/>
      <c r="FM13" s="28">
        <f t="shared" si="46"/>
        <v>0</v>
      </c>
      <c r="FN13" s="36"/>
      <c r="FO13" s="27"/>
      <c r="FP13" s="27"/>
      <c r="FQ13" s="27"/>
      <c r="FR13" s="27"/>
      <c r="FS13" s="27"/>
      <c r="FT13" s="28">
        <f t="shared" si="47"/>
        <v>0</v>
      </c>
      <c r="FU13" s="36"/>
      <c r="FV13" s="36"/>
      <c r="FW13" s="27"/>
      <c r="FX13" s="27"/>
      <c r="FY13" s="27"/>
      <c r="FZ13" s="27"/>
      <c r="GA13" s="27"/>
      <c r="GB13" s="27"/>
      <c r="GC13" s="27"/>
      <c r="GD13" s="27"/>
      <c r="GE13" s="27"/>
      <c r="GF13" s="33"/>
      <c r="GG13" s="33">
        <f t="shared" si="48"/>
        <v>0</v>
      </c>
      <c r="GH13" s="2674"/>
      <c r="GJ13" s="4">
        <f t="shared" si="49"/>
        <v>2915.2</v>
      </c>
      <c r="GK13" s="64">
        <f t="shared" si="50"/>
        <v>3726.4199999999996</v>
      </c>
      <c r="GL13" s="53">
        <f t="shared" si="51"/>
        <v>5387.23</v>
      </c>
      <c r="GM13" s="53">
        <f t="shared" si="52"/>
        <v>12028.849999999999</v>
      </c>
      <c r="GN13" s="141"/>
      <c r="GO13" s="141"/>
      <c r="GP13" s="33"/>
      <c r="GQ13" s="2667"/>
      <c r="GR13" s="152">
        <v>4544.3100000000004</v>
      </c>
      <c r="GS13" s="27"/>
      <c r="GT13" s="27">
        <v>4385.2</v>
      </c>
      <c r="GU13" s="27">
        <v>3099.34</v>
      </c>
      <c r="GV13" s="54">
        <f t="shared" si="53"/>
        <v>12028.85</v>
      </c>
      <c r="GW13" s="2667"/>
      <c r="GX13" s="36"/>
      <c r="GY13" s="36"/>
      <c r="GZ13" s="27"/>
      <c r="HA13" s="27"/>
      <c r="HB13" s="27"/>
      <c r="HC13" s="27"/>
      <c r="HD13" s="27"/>
      <c r="HE13" s="27"/>
      <c r="HF13" s="27">
        <v>395.70000000000005</v>
      </c>
      <c r="HG13" s="27"/>
      <c r="HH13" s="27">
        <v>2519.5</v>
      </c>
      <c r="HI13" s="27"/>
      <c r="HJ13" s="27"/>
      <c r="HK13" s="27"/>
      <c r="HL13" s="28">
        <f t="shared" si="54"/>
        <v>2915.2</v>
      </c>
      <c r="HM13" s="36"/>
      <c r="HN13" s="27"/>
      <c r="HO13" s="27"/>
      <c r="HP13" s="27"/>
      <c r="HQ13" s="27"/>
      <c r="HR13" s="27"/>
      <c r="HS13" s="27"/>
      <c r="HT13" s="27"/>
      <c r="HU13" s="27"/>
      <c r="HV13" s="27"/>
      <c r="HW13" s="27"/>
      <c r="HX13" s="27"/>
      <c r="HY13" s="27"/>
      <c r="HZ13" s="27"/>
      <c r="IA13" s="33">
        <f t="shared" si="55"/>
        <v>0</v>
      </c>
      <c r="IB13" s="845"/>
      <c r="IC13" s="363"/>
      <c r="ID13" s="64"/>
      <c r="IE13" s="64"/>
      <c r="IF13" s="64"/>
      <c r="IG13" s="64"/>
      <c r="IH13" s="64">
        <v>1256.4099999999999</v>
      </c>
      <c r="II13" s="64"/>
      <c r="IJ13" s="64">
        <v>2470.0099999999998</v>
      </c>
      <c r="IK13" s="64"/>
      <c r="IL13" s="64"/>
      <c r="IM13" s="64"/>
      <c r="IN13" s="64"/>
      <c r="IO13" s="64"/>
      <c r="IP13" s="61">
        <f t="shared" si="56"/>
        <v>3726.4199999999996</v>
      </c>
      <c r="IQ13" s="36"/>
      <c r="IR13" s="36"/>
      <c r="IS13" s="27"/>
      <c r="IT13" s="27"/>
      <c r="IU13" s="53"/>
      <c r="IV13" s="27"/>
      <c r="IW13" s="27"/>
      <c r="IX13" s="27"/>
      <c r="IY13" s="27">
        <v>3617.02</v>
      </c>
      <c r="IZ13" s="27"/>
      <c r="JA13" s="27">
        <v>1770.21</v>
      </c>
      <c r="JB13" s="27"/>
      <c r="JC13" s="27"/>
      <c r="JD13" s="27"/>
      <c r="JE13" s="33">
        <f t="shared" si="57"/>
        <v>5387.23</v>
      </c>
      <c r="JF13" s="2667"/>
      <c r="JH13" s="845">
        <v>5091.72</v>
      </c>
      <c r="JI13" s="1484">
        <v>6937.1299999999992</v>
      </c>
      <c r="JJ13" s="53"/>
      <c r="JK13" s="53">
        <f t="shared" si="58"/>
        <v>12028.849999999999</v>
      </c>
      <c r="JL13" s="33"/>
      <c r="JM13" s="2669"/>
      <c r="JN13" s="69"/>
      <c r="JO13" s="70"/>
      <c r="JP13" s="70"/>
      <c r="JQ13" s="70"/>
      <c r="JR13" s="70">
        <v>0.78376394221196677</v>
      </c>
      <c r="JS13" s="70">
        <v>0.2162360577880332</v>
      </c>
      <c r="JT13" s="70"/>
      <c r="JU13" s="71"/>
      <c r="JV13" s="69"/>
      <c r="JW13" s="70"/>
      <c r="JX13" s="70"/>
      <c r="JY13" s="70">
        <v>0.18286598376284083</v>
      </c>
      <c r="JZ13" s="70">
        <v>0.1927820616942186</v>
      </c>
      <c r="KA13" s="70">
        <v>0.62435195454294057</v>
      </c>
      <c r="KB13" s="70"/>
      <c r="KC13" s="71"/>
      <c r="KD13" s="69"/>
      <c r="KE13" s="70"/>
      <c r="KF13" s="70"/>
      <c r="KG13" s="70"/>
      <c r="KH13" s="70"/>
      <c r="KI13" s="70"/>
      <c r="KJ13" s="70"/>
      <c r="KK13" s="70"/>
      <c r="KL13" s="33"/>
      <c r="KM13" s="2669"/>
      <c r="KN13" s="36">
        <v>7090.2209567198179</v>
      </c>
      <c r="KO13" s="53">
        <v>0.6413041002277905</v>
      </c>
      <c r="KP13" s="53">
        <v>3.0116799544419135</v>
      </c>
      <c r="KQ13" s="53">
        <v>5.8130239179954435</v>
      </c>
      <c r="KR13" s="54">
        <v>12.50796267312073</v>
      </c>
      <c r="KS13" s="4">
        <v>6695.7174638487204</v>
      </c>
      <c r="KT13" s="64">
        <v>1.9677085650723025</v>
      </c>
      <c r="KU13" s="64">
        <v>7.4156729699666295</v>
      </c>
      <c r="KV13" s="64">
        <v>6.6297219132369287</v>
      </c>
      <c r="KW13" s="482">
        <v>11.329783243604004</v>
      </c>
      <c r="KX13" s="36"/>
      <c r="KY13" s="53"/>
      <c r="KZ13" s="53"/>
      <c r="LA13" s="53"/>
      <c r="LB13" s="53"/>
      <c r="LC13" s="33"/>
      <c r="LD13" s="2669"/>
      <c r="LF13" s="998">
        <f t="shared" si="59"/>
        <v>9459.7469999999994</v>
      </c>
      <c r="LG13" s="27">
        <f t="shared" si="59"/>
        <v>7739.7885000000006</v>
      </c>
      <c r="LH13" s="27">
        <f t="shared" si="59"/>
        <v>0</v>
      </c>
      <c r="LI13" s="28">
        <f t="shared" si="60"/>
        <v>17199.535499999998</v>
      </c>
      <c r="LJ13" s="36">
        <v>2</v>
      </c>
      <c r="LK13" s="27"/>
      <c r="LL13" s="27">
        <v>7</v>
      </c>
      <c r="LM13" s="33"/>
      <c r="LN13" s="1041">
        <v>5.65</v>
      </c>
      <c r="LO13" s="486"/>
      <c r="LP13" s="2688"/>
      <c r="LQ13" s="21">
        <v>9459.7469999999994</v>
      </c>
      <c r="LR13" s="27">
        <v>7739.7885000000006</v>
      </c>
      <c r="LS13" s="27"/>
      <c r="LT13" s="27"/>
      <c r="LU13" s="27"/>
      <c r="LV13" s="1117">
        <f t="shared" si="61"/>
        <v>17199.535499999998</v>
      </c>
      <c r="LW13" s="36"/>
      <c r="LX13" s="36"/>
      <c r="LY13" s="27"/>
      <c r="LZ13" s="27"/>
      <c r="MA13" s="33"/>
      <c r="MB13" s="28">
        <f t="shared" si="62"/>
        <v>0</v>
      </c>
      <c r="MC13" s="26"/>
      <c r="MD13" s="36"/>
      <c r="ME13" s="27"/>
      <c r="MF13" s="27"/>
      <c r="MG13" s="27"/>
      <c r="MH13" s="28"/>
      <c r="MI13" s="36"/>
      <c r="MJ13" s="36"/>
      <c r="MK13" s="27"/>
      <c r="ML13" s="27"/>
      <c r="MM13" s="27"/>
      <c r="MN13" s="28"/>
      <c r="MO13" s="36"/>
      <c r="MP13" s="36"/>
      <c r="MQ13" s="27"/>
      <c r="MR13" s="27"/>
      <c r="MS13" s="27"/>
      <c r="MT13" s="33">
        <f t="shared" si="63"/>
        <v>0</v>
      </c>
      <c r="MU13" s="2688"/>
      <c r="MW13" s="26">
        <f t="shared" si="64"/>
        <v>78243.087944531508</v>
      </c>
      <c r="MX13" s="27">
        <f t="shared" si="65"/>
        <v>141235.01698410171</v>
      </c>
      <c r="MY13" s="27">
        <f t="shared" si="66"/>
        <v>23801.663116668147</v>
      </c>
      <c r="MZ13" s="28">
        <f t="shared" si="67"/>
        <v>438633.69665121427</v>
      </c>
      <c r="NA13" s="2621"/>
      <c r="NB13" s="23">
        <f t="shared" si="68"/>
        <v>62485.36419719056</v>
      </c>
      <c r="NC13" s="64">
        <f t="shared" si="69"/>
        <v>15757.723747340942</v>
      </c>
      <c r="ND13" s="60">
        <f t="shared" si="70"/>
        <v>0</v>
      </c>
      <c r="NE13" s="275">
        <f t="shared" si="4"/>
        <v>78243.087944531508</v>
      </c>
      <c r="NF13" s="26">
        <f t="shared" si="71"/>
        <v>0</v>
      </c>
      <c r="NG13" s="27">
        <f t="shared" si="71"/>
        <v>0</v>
      </c>
      <c r="NH13" s="27">
        <f t="shared" si="71"/>
        <v>0</v>
      </c>
      <c r="NI13" s="27">
        <f t="shared" si="71"/>
        <v>0</v>
      </c>
      <c r="NJ13" s="27">
        <f t="shared" si="71"/>
        <v>0</v>
      </c>
      <c r="NK13" s="33">
        <f t="shared" si="71"/>
        <v>0</v>
      </c>
      <c r="NL13" s="27">
        <f t="shared" si="71"/>
        <v>0</v>
      </c>
      <c r="NM13" s="36">
        <f t="shared" si="71"/>
        <v>0</v>
      </c>
      <c r="NN13" s="27">
        <f t="shared" si="71"/>
        <v>36215.052027032754</v>
      </c>
      <c r="NO13" s="27">
        <f t="shared" si="71"/>
        <v>0</v>
      </c>
      <c r="NP13" s="24">
        <f t="shared" si="114"/>
        <v>8756.5482322711578</v>
      </c>
      <c r="NQ13" s="24">
        <f t="shared" si="115"/>
        <v>16691.3150132308</v>
      </c>
      <c r="NR13" s="27">
        <f t="shared" si="0"/>
        <v>61662.915272534716</v>
      </c>
      <c r="NS13" s="27">
        <f t="shared" si="72"/>
        <v>0</v>
      </c>
      <c r="NT13" s="27">
        <f t="shared" si="72"/>
        <v>0</v>
      </c>
      <c r="NU13" s="27">
        <f t="shared" si="72"/>
        <v>0</v>
      </c>
      <c r="NV13" s="27">
        <f t="shared" si="72"/>
        <v>0</v>
      </c>
      <c r="NW13" s="27">
        <f t="shared" si="72"/>
        <v>0</v>
      </c>
      <c r="NX13" s="27">
        <f t="shared" si="72"/>
        <v>0</v>
      </c>
      <c r="NY13" s="27">
        <f t="shared" si="72"/>
        <v>5364.0046092523799</v>
      </c>
      <c r="NZ13" s="27">
        <f t="shared" si="72"/>
        <v>0</v>
      </c>
      <c r="OA13" s="27">
        <f t="shared" si="72"/>
        <v>4645.6157022622483</v>
      </c>
      <c r="OB13" s="280"/>
      <c r="OC13" s="24">
        <f t="shared" si="73"/>
        <v>1565.61197844705</v>
      </c>
      <c r="OD13" s="27">
        <f t="shared" si="73"/>
        <v>0</v>
      </c>
      <c r="OE13" s="28">
        <f t="shared" si="1"/>
        <v>11575.232289961677</v>
      </c>
      <c r="OF13" s="27">
        <f t="shared" si="74"/>
        <v>0</v>
      </c>
      <c r="OG13" s="27">
        <f t="shared" si="74"/>
        <v>0</v>
      </c>
      <c r="OH13" s="27">
        <f t="shared" si="74"/>
        <v>0</v>
      </c>
      <c r="OI13" s="27">
        <f t="shared" si="74"/>
        <v>0</v>
      </c>
      <c r="OJ13" s="27">
        <f t="shared" si="74"/>
        <v>0</v>
      </c>
      <c r="OK13" s="27">
        <f t="shared" si="74"/>
        <v>0</v>
      </c>
      <c r="OL13" s="24">
        <f t="shared" si="74"/>
        <v>0</v>
      </c>
      <c r="OM13" s="27">
        <f t="shared" si="74"/>
        <v>0</v>
      </c>
      <c r="ON13" s="24">
        <f t="shared" si="74"/>
        <v>60662.320253800208</v>
      </c>
      <c r="OO13" s="27">
        <f t="shared" si="74"/>
        <v>0</v>
      </c>
      <c r="OP13" s="27">
        <f t="shared" si="74"/>
        <v>7334.5491678050994</v>
      </c>
      <c r="OQ13" s="27">
        <f t="shared" si="74"/>
        <v>0</v>
      </c>
      <c r="OR13" s="28">
        <f t="shared" si="2"/>
        <v>67996.869421605312</v>
      </c>
      <c r="OS13" s="36"/>
      <c r="OT13" s="27"/>
      <c r="OU13" s="27"/>
      <c r="OV13" s="27"/>
      <c r="OW13" s="27"/>
      <c r="OX13" s="27"/>
      <c r="OY13" s="28">
        <f t="shared" si="75"/>
        <v>0</v>
      </c>
      <c r="OZ13" s="36">
        <f t="shared" si="76"/>
        <v>0</v>
      </c>
      <c r="PA13" s="27">
        <f t="shared" si="77"/>
        <v>0</v>
      </c>
      <c r="PB13" s="27">
        <f t="shared" si="78"/>
        <v>0</v>
      </c>
      <c r="PC13" s="27">
        <f t="shared" si="79"/>
        <v>0</v>
      </c>
      <c r="PD13" s="27">
        <f t="shared" si="80"/>
        <v>0</v>
      </c>
      <c r="PE13" s="27">
        <f t="shared" si="81"/>
        <v>0</v>
      </c>
      <c r="PF13" s="33">
        <f t="shared" si="3"/>
        <v>0</v>
      </c>
      <c r="PG13" s="2621"/>
      <c r="PI13" s="2"/>
      <c r="PJ13" s="3">
        <v>0</v>
      </c>
      <c r="PK13" s="3">
        <v>0</v>
      </c>
      <c r="PL13" s="3">
        <f t="shared" si="116"/>
        <v>0</v>
      </c>
      <c r="PM13" s="3">
        <f t="shared" si="82"/>
        <v>871.24973779645552</v>
      </c>
      <c r="PN13" s="11">
        <f t="shared" si="117"/>
        <v>23801.663116668147</v>
      </c>
      <c r="PO13" s="15"/>
      <c r="PP13" s="2615"/>
      <c r="PR13" s="4"/>
      <c r="PS13" s="9"/>
      <c r="PT13" s="9"/>
      <c r="PU13" s="9"/>
      <c r="PV13" s="9"/>
      <c r="PW13" s="9"/>
      <c r="PX13" s="8">
        <f t="shared" si="83"/>
        <v>0</v>
      </c>
      <c r="PY13" s="5">
        <f t="shared" si="84"/>
        <v>0</v>
      </c>
      <c r="PZ13" s="5"/>
      <c r="QA13" s="5"/>
      <c r="QB13" s="5"/>
      <c r="QC13" s="5"/>
      <c r="QD13" s="5"/>
      <c r="QE13" s="12">
        <f t="shared" si="85"/>
        <v>29749.381073161156</v>
      </c>
      <c r="QF13" s="420">
        <f t="shared" si="86"/>
        <v>408884.31557805312</v>
      </c>
      <c r="QG13" s="1106">
        <f t="shared" si="87"/>
        <v>0</v>
      </c>
      <c r="QH13" s="484">
        <f t="shared" si="88"/>
        <v>5505.3678056100007</v>
      </c>
      <c r="QI13" s="12"/>
      <c r="QJ13" s="2615"/>
      <c r="QL13" s="139">
        <f t="shared" si="89"/>
        <v>0</v>
      </c>
      <c r="QM13" s="139" t="str">
        <f t="shared" si="90"/>
        <v/>
      </c>
      <c r="QO13" s="139">
        <f t="shared" si="91"/>
        <v>0</v>
      </c>
      <c r="QP13" s="139">
        <f t="shared" si="92"/>
        <v>0</v>
      </c>
      <c r="QR13" s="1">
        <f t="shared" si="93"/>
        <v>0</v>
      </c>
      <c r="QS13" s="1">
        <f t="shared" si="94"/>
        <v>0</v>
      </c>
      <c r="QT13" s="1">
        <f t="shared" si="95"/>
        <v>0</v>
      </c>
      <c r="QU13" s="1">
        <f t="shared" si="96"/>
        <v>0</v>
      </c>
      <c r="QV13" s="1">
        <f t="shared" si="97"/>
        <v>0</v>
      </c>
      <c r="QW13" s="1">
        <f t="shared" si="98"/>
        <v>0</v>
      </c>
      <c r="QY13" s="1">
        <f t="shared" si="99"/>
        <v>0</v>
      </c>
      <c r="QZ13" s="1">
        <f t="shared" si="100"/>
        <v>0</v>
      </c>
      <c r="RA13" s="1">
        <f t="shared" si="101"/>
        <v>0</v>
      </c>
      <c r="RB13" s="1">
        <f t="shared" si="102"/>
        <v>0</v>
      </c>
      <c r="RC13" s="1">
        <f t="shared" si="103"/>
        <v>0</v>
      </c>
      <c r="RD13" s="1">
        <f t="shared" si="104"/>
        <v>0</v>
      </c>
      <c r="RG13" s="1">
        <v>4</v>
      </c>
      <c r="RH13" s="1">
        <f t="shared" si="105"/>
        <v>33355.854251083161</v>
      </c>
      <c r="RI13" s="1">
        <f t="shared" si="105"/>
        <v>-3709.3844501377216</v>
      </c>
      <c r="RJ13" s="1">
        <f t="shared" si="105"/>
        <v>9178.5689913333827</v>
      </c>
      <c r="RK13" s="89">
        <f t="shared" si="5"/>
        <v>38825.038792278821</v>
      </c>
      <c r="RL13" s="1033">
        <v>4</v>
      </c>
      <c r="RM13" s="1098">
        <f t="shared" si="118"/>
        <v>0</v>
      </c>
      <c r="RN13" s="1098">
        <f t="shared" si="106"/>
        <v>0</v>
      </c>
      <c r="RO13" s="1097">
        <f t="shared" si="106"/>
        <v>0</v>
      </c>
      <c r="RP13" s="1097">
        <f t="shared" si="107"/>
        <v>3706.14</v>
      </c>
      <c r="RQ13" s="1094"/>
      <c r="RR13" s="1094" t="s">
        <v>748</v>
      </c>
      <c r="RU13" s="421">
        <v>4</v>
      </c>
      <c r="RV13" s="1095">
        <f t="shared" si="108"/>
        <v>12028.85</v>
      </c>
      <c r="RW13" s="1094" t="s">
        <v>749</v>
      </c>
      <c r="RY13" s="1090"/>
      <c r="RZ13" s="1090">
        <f t="shared" si="109"/>
        <v>0</v>
      </c>
      <c r="SA13" s="1090"/>
      <c r="SB13" s="1090">
        <f t="shared" si="110"/>
        <v>0</v>
      </c>
      <c r="SD13" s="1">
        <v>4</v>
      </c>
      <c r="SE13" s="1">
        <f t="shared" si="111"/>
        <v>0</v>
      </c>
      <c r="SF13" s="1094"/>
    </row>
    <row r="14" spans="1:500" s="1" customFormat="1" ht="13.5" customHeight="1">
      <c r="B14" s="471">
        <v>5</v>
      </c>
      <c r="C14" s="4">
        <f t="shared" si="6"/>
        <v>150603</v>
      </c>
      <c r="D14" s="64">
        <f t="shared" si="112"/>
        <v>7519.0199999999995</v>
      </c>
      <c r="E14" s="61">
        <f t="shared" si="7"/>
        <v>20.029604921918018</v>
      </c>
      <c r="F14" s="870"/>
      <c r="G14" s="870"/>
      <c r="H14" s="52">
        <v>50</v>
      </c>
      <c r="I14" s="61">
        <v>10</v>
      </c>
      <c r="J14" s="52"/>
      <c r="K14" s="54"/>
      <c r="L14" s="52">
        <v>31.5</v>
      </c>
      <c r="M14" s="61">
        <v>2.72</v>
      </c>
      <c r="N14" s="2629"/>
      <c r="O14" s="4">
        <f t="shared" si="8"/>
        <v>94080</v>
      </c>
      <c r="P14" s="1225">
        <f t="shared" si="9"/>
        <v>5527.58</v>
      </c>
      <c r="Q14" s="64">
        <f t="shared" si="10"/>
        <v>17.020106448029697</v>
      </c>
      <c r="R14" s="33"/>
      <c r="S14" s="26">
        <f t="shared" si="11"/>
        <v>35206</v>
      </c>
      <c r="T14" s="27">
        <f t="shared" si="12"/>
        <v>671.43999999999983</v>
      </c>
      <c r="U14" s="53">
        <f t="shared" si="13"/>
        <v>52.433575598713226</v>
      </c>
      <c r="V14" s="28"/>
      <c r="W14" s="26">
        <f t="shared" si="14"/>
        <v>21317</v>
      </c>
      <c r="X14" s="5">
        <f t="shared" si="14"/>
        <v>1320</v>
      </c>
      <c r="Y14" s="53">
        <f t="shared" si="15"/>
        <v>16.149242424242424</v>
      </c>
      <c r="Z14" s="33"/>
      <c r="AA14" s="26">
        <f t="shared" si="16"/>
        <v>0</v>
      </c>
      <c r="AB14" s="27">
        <f t="shared" si="17"/>
        <v>0</v>
      </c>
      <c r="AC14" s="53">
        <f t="shared" si="18"/>
        <v>0</v>
      </c>
      <c r="AD14" s="28"/>
      <c r="AE14" s="36"/>
      <c r="AF14" s="36"/>
      <c r="AG14" s="53">
        <f t="shared" si="19"/>
        <v>0</v>
      </c>
      <c r="AH14" s="28"/>
      <c r="AI14" s="23"/>
      <c r="AJ14" s="27"/>
      <c r="AK14" s="53">
        <f t="shared" si="20"/>
        <v>0</v>
      </c>
      <c r="AL14" s="28"/>
      <c r="AM14" s="2629"/>
      <c r="AN14" s="9"/>
      <c r="AO14" s="5"/>
      <c r="AP14" s="61">
        <f t="shared" si="21"/>
        <v>0</v>
      </c>
      <c r="AQ14" s="36"/>
      <c r="AR14" s="53"/>
      <c r="AS14" s="61">
        <f t="shared" si="22"/>
        <v>0</v>
      </c>
      <c r="AT14" s="36"/>
      <c r="AU14" s="27"/>
      <c r="AV14" s="61">
        <f t="shared" si="23"/>
        <v>0</v>
      </c>
      <c r="AW14" s="36">
        <v>60690</v>
      </c>
      <c r="AX14" s="27">
        <v>3104.04</v>
      </c>
      <c r="AY14" s="61">
        <f t="shared" si="24"/>
        <v>19.551938763675725</v>
      </c>
      <c r="AZ14" s="36"/>
      <c r="BA14" s="27"/>
      <c r="BB14" s="61">
        <f t="shared" si="25"/>
        <v>0</v>
      </c>
      <c r="BC14" s="36">
        <v>33390</v>
      </c>
      <c r="BD14" s="27">
        <v>2423.54</v>
      </c>
      <c r="BE14" s="61">
        <f t="shared" si="26"/>
        <v>13.777366992085957</v>
      </c>
      <c r="BF14" s="36"/>
      <c r="BG14" s="53"/>
      <c r="BH14" s="61">
        <f t="shared" si="27"/>
        <v>0</v>
      </c>
      <c r="BI14" s="36">
        <v>0</v>
      </c>
      <c r="BJ14" s="53">
        <v>0</v>
      </c>
      <c r="BK14" s="61">
        <f t="shared" si="28"/>
        <v>0</v>
      </c>
      <c r="BL14" s="52">
        <v>35206</v>
      </c>
      <c r="BM14" s="53">
        <v>671.43999999999983</v>
      </c>
      <c r="BN14" s="61">
        <f t="shared" si="29"/>
        <v>52.433575598713226</v>
      </c>
      <c r="BO14" s="36"/>
      <c r="BP14" s="53"/>
      <c r="BQ14" s="61">
        <f t="shared" si="30"/>
        <v>0</v>
      </c>
      <c r="BR14" s="36"/>
      <c r="BS14" s="53"/>
      <c r="BT14" s="61">
        <f t="shared" si="31"/>
        <v>0</v>
      </c>
      <c r="BU14" s="36">
        <v>21317</v>
      </c>
      <c r="BV14" s="5">
        <v>1320</v>
      </c>
      <c r="BW14" s="28">
        <f t="shared" si="32"/>
        <v>16.149242424242424</v>
      </c>
      <c r="BX14" s="26"/>
      <c r="BY14" s="27"/>
      <c r="BZ14" s="61">
        <f t="shared" si="33"/>
        <v>0</v>
      </c>
      <c r="CA14" s="36"/>
      <c r="CB14" s="481"/>
      <c r="CC14" s="482">
        <f t="shared" si="34"/>
        <v>0</v>
      </c>
      <c r="CD14" s="4"/>
      <c r="CE14" s="5"/>
      <c r="CF14" s="28">
        <f t="shared" si="35"/>
        <v>0</v>
      </c>
      <c r="CG14" s="150"/>
      <c r="CH14" s="4">
        <v>800</v>
      </c>
      <c r="CI14" s="5"/>
      <c r="CJ14" s="5"/>
      <c r="CK14" s="5">
        <v>11475</v>
      </c>
      <c r="CL14" s="5"/>
      <c r="CM14" s="5">
        <f t="shared" si="113"/>
        <v>12275</v>
      </c>
      <c r="CN14" s="33"/>
      <c r="CO14" s="366"/>
      <c r="CQ14" s="4">
        <f t="shared" si="36"/>
        <v>0</v>
      </c>
      <c r="CR14" s="9">
        <f t="shared" si="36"/>
        <v>0</v>
      </c>
      <c r="CS14" s="5">
        <f t="shared" si="36"/>
        <v>0</v>
      </c>
      <c r="CT14" s="5">
        <f t="shared" si="36"/>
        <v>0</v>
      </c>
      <c r="CU14" s="5">
        <f t="shared" si="36"/>
        <v>0</v>
      </c>
      <c r="CV14" s="5">
        <f t="shared" si="36"/>
        <v>0</v>
      </c>
      <c r="CW14" s="5">
        <f t="shared" si="36"/>
        <v>0</v>
      </c>
      <c r="CX14" s="5">
        <f t="shared" si="36"/>
        <v>0</v>
      </c>
      <c r="CY14" s="5">
        <f t="shared" si="36"/>
        <v>6230.7199999999993</v>
      </c>
      <c r="CZ14" s="5">
        <f t="shared" si="36"/>
        <v>0</v>
      </c>
      <c r="DA14" s="5">
        <f>SUM(DO14,EB14,EO14)</f>
        <v>1220</v>
      </c>
      <c r="DB14" s="12">
        <f t="shared" si="36"/>
        <v>0</v>
      </c>
      <c r="DC14" s="310">
        <f t="shared" si="37"/>
        <v>7519.0199999999995</v>
      </c>
      <c r="DD14" s="2695"/>
      <c r="DE14" s="9"/>
      <c r="DF14" s="9"/>
      <c r="DG14" s="5"/>
      <c r="DH14" s="5"/>
      <c r="DI14" s="5"/>
      <c r="DJ14" s="5"/>
      <c r="DK14" s="5"/>
      <c r="DL14" s="5"/>
      <c r="DM14" s="5">
        <v>3035.74</v>
      </c>
      <c r="DN14" s="5"/>
      <c r="DO14" s="5"/>
      <c r="DP14" s="12"/>
      <c r="DQ14" s="28">
        <f t="shared" si="38"/>
        <v>3035.74</v>
      </c>
      <c r="DR14" s="36"/>
      <c r="DS14" s="36"/>
      <c r="DT14" s="27"/>
      <c r="DU14" s="27"/>
      <c r="DV14" s="5"/>
      <c r="DW14" s="5"/>
      <c r="DX14" s="5"/>
      <c r="DY14" s="5"/>
      <c r="DZ14" s="5">
        <v>3094.98</v>
      </c>
      <c r="EA14" s="53"/>
      <c r="EB14" s="27"/>
      <c r="EC14" s="33"/>
      <c r="ED14" s="28">
        <f t="shared" si="39"/>
        <v>3094.98</v>
      </c>
      <c r="EE14" s="9"/>
      <c r="EF14" s="9"/>
      <c r="EG14" s="5"/>
      <c r="EH14" s="5"/>
      <c r="EI14" s="27"/>
      <c r="EJ14" s="27"/>
      <c r="EK14" s="27"/>
      <c r="EL14" s="27"/>
      <c r="EM14" s="1448">
        <v>100</v>
      </c>
      <c r="EN14" s="1448"/>
      <c r="EO14" s="1448">
        <v>1220</v>
      </c>
      <c r="EP14" s="33"/>
      <c r="EQ14" s="28">
        <f t="shared" si="40"/>
        <v>1320</v>
      </c>
      <c r="ER14" s="36"/>
      <c r="ES14" s="27"/>
      <c r="ET14" s="27"/>
      <c r="EU14" s="27"/>
      <c r="EV14" s="27"/>
      <c r="EW14" s="27"/>
      <c r="EX14" s="33">
        <f t="shared" si="41"/>
        <v>0</v>
      </c>
      <c r="EY14" s="2685"/>
      <c r="FA14" s="4">
        <f t="shared" si="42"/>
        <v>0</v>
      </c>
      <c r="FB14" s="5">
        <f t="shared" si="43"/>
        <v>0</v>
      </c>
      <c r="FC14" s="5">
        <f t="shared" si="44"/>
        <v>0</v>
      </c>
      <c r="FD14" s="12">
        <f t="shared" si="45"/>
        <v>0</v>
      </c>
      <c r="FE14" s="33"/>
      <c r="FF14" s="2674"/>
      <c r="FG14" s="9"/>
      <c r="FH14" s="5"/>
      <c r="FI14" s="5"/>
      <c r="FJ14" s="5"/>
      <c r="FK14" s="5"/>
      <c r="FL14" s="27"/>
      <c r="FM14" s="28">
        <f t="shared" si="46"/>
        <v>0</v>
      </c>
      <c r="FN14" s="36"/>
      <c r="FO14" s="27"/>
      <c r="FP14" s="27"/>
      <c r="FQ14" s="27"/>
      <c r="FR14" s="27"/>
      <c r="FS14" s="27"/>
      <c r="FT14" s="28">
        <f t="shared" si="47"/>
        <v>0</v>
      </c>
      <c r="FU14" s="36"/>
      <c r="FV14" s="36"/>
      <c r="FW14" s="27"/>
      <c r="FX14" s="27"/>
      <c r="FY14" s="27"/>
      <c r="FZ14" s="27"/>
      <c r="GA14" s="27"/>
      <c r="GB14" s="27"/>
      <c r="GC14" s="27"/>
      <c r="GD14" s="27"/>
      <c r="GE14" s="27"/>
      <c r="GF14" s="33"/>
      <c r="GG14" s="33">
        <f t="shared" si="48"/>
        <v>0</v>
      </c>
      <c r="GH14" s="2674"/>
      <c r="GJ14" s="4">
        <f t="shared" si="49"/>
        <v>2415.4900000000002</v>
      </c>
      <c r="GK14" s="64">
        <f t="shared" si="50"/>
        <v>4404.8999999999996</v>
      </c>
      <c r="GL14" s="53">
        <f t="shared" si="51"/>
        <v>4935.9400000000005</v>
      </c>
      <c r="GM14" s="53">
        <f t="shared" si="52"/>
        <v>11756.33</v>
      </c>
      <c r="GN14" s="141"/>
      <c r="GO14" s="141"/>
      <c r="GP14" s="33"/>
      <c r="GQ14" s="2667"/>
      <c r="GR14" s="1124">
        <v>4947.0600000000004</v>
      </c>
      <c r="GS14" s="419"/>
      <c r="GT14" s="419">
        <v>3787.44</v>
      </c>
      <c r="GU14" s="27">
        <v>3021.83</v>
      </c>
      <c r="GV14" s="54">
        <f t="shared" si="53"/>
        <v>11756.33</v>
      </c>
      <c r="GW14" s="2667"/>
      <c r="GX14" s="9"/>
      <c r="GY14" s="9"/>
      <c r="GZ14" s="5"/>
      <c r="HA14" s="5"/>
      <c r="HB14" s="5"/>
      <c r="HC14" s="5"/>
      <c r="HD14" s="5"/>
      <c r="HE14" s="5"/>
      <c r="HF14" s="5">
        <v>304.55</v>
      </c>
      <c r="HG14" s="5"/>
      <c r="HH14" s="5">
        <v>2110.94</v>
      </c>
      <c r="HI14" s="5"/>
      <c r="HJ14" s="5"/>
      <c r="HK14" s="5"/>
      <c r="HL14" s="15">
        <f t="shared" si="54"/>
        <v>2415.4900000000002</v>
      </c>
      <c r="HM14" s="9"/>
      <c r="HN14" s="5"/>
      <c r="HO14" s="5"/>
      <c r="HP14" s="5"/>
      <c r="HQ14" s="5"/>
      <c r="HR14" s="5"/>
      <c r="HS14" s="5"/>
      <c r="HT14" s="5"/>
      <c r="HU14" s="5"/>
      <c r="HV14" s="5"/>
      <c r="HW14" s="5"/>
      <c r="HX14" s="5"/>
      <c r="HY14" s="5"/>
      <c r="HZ14" s="5"/>
      <c r="IA14" s="12">
        <f t="shared" si="55"/>
        <v>0</v>
      </c>
      <c r="IB14" s="845"/>
      <c r="IC14" s="363"/>
      <c r="ID14" s="64"/>
      <c r="IE14" s="64"/>
      <c r="IF14" s="64"/>
      <c r="IG14" s="64"/>
      <c r="IH14" s="64">
        <v>1488.4500000000003</v>
      </c>
      <c r="II14" s="64"/>
      <c r="IJ14" s="64">
        <v>2916.45</v>
      </c>
      <c r="IK14" s="64"/>
      <c r="IL14" s="64"/>
      <c r="IM14" s="64"/>
      <c r="IN14" s="64"/>
      <c r="IO14" s="64"/>
      <c r="IP14" s="61">
        <f t="shared" si="56"/>
        <v>4404.8999999999996</v>
      </c>
      <c r="IQ14" s="9"/>
      <c r="IR14" s="9"/>
      <c r="IS14" s="5"/>
      <c r="IT14" s="5"/>
      <c r="IU14" s="64"/>
      <c r="IV14" s="5"/>
      <c r="IW14" s="5"/>
      <c r="IX14" s="5"/>
      <c r="IY14" s="5">
        <v>3440.02</v>
      </c>
      <c r="IZ14" s="5"/>
      <c r="JA14" s="5">
        <v>1495.92</v>
      </c>
      <c r="JB14" s="5"/>
      <c r="JC14" s="5"/>
      <c r="JD14" s="5"/>
      <c r="JE14" s="12">
        <f t="shared" si="57"/>
        <v>4935.9400000000005</v>
      </c>
      <c r="JF14" s="2667"/>
      <c r="JH14" s="845">
        <v>5661.91</v>
      </c>
      <c r="JI14" s="152">
        <v>6094.420000000001</v>
      </c>
      <c r="JJ14" s="53"/>
      <c r="JK14" s="53">
        <f t="shared" si="58"/>
        <v>11756.330000000002</v>
      </c>
      <c r="JL14" s="33"/>
      <c r="JM14" s="2669"/>
      <c r="JN14" s="69"/>
      <c r="JO14" s="70"/>
      <c r="JP14" s="70"/>
      <c r="JQ14" s="70"/>
      <c r="JR14" s="70">
        <v>0.80890239281862963</v>
      </c>
      <c r="JS14" s="70">
        <v>0.19109760718137042</v>
      </c>
      <c r="JT14" s="70"/>
      <c r="JU14" s="71"/>
      <c r="JV14" s="69"/>
      <c r="JW14" s="70"/>
      <c r="JX14" s="70"/>
      <c r="JY14" s="70">
        <v>0.23085871994381751</v>
      </c>
      <c r="JZ14" s="70">
        <v>0.20321211862654692</v>
      </c>
      <c r="KA14" s="70">
        <v>0.56592916142963567</v>
      </c>
      <c r="KB14" s="70"/>
      <c r="KC14" s="71"/>
      <c r="KD14" s="69"/>
      <c r="KE14" s="70"/>
      <c r="KF14" s="70"/>
      <c r="KG14" s="70"/>
      <c r="KH14" s="70"/>
      <c r="KI14" s="70"/>
      <c r="KJ14" s="70"/>
      <c r="KK14" s="70"/>
      <c r="KL14" s="33"/>
      <c r="KM14" s="2669"/>
      <c r="KN14" s="36">
        <v>6823</v>
      </c>
      <c r="KO14" s="53">
        <v>0.75</v>
      </c>
      <c r="KP14" s="53">
        <v>4.3499999999999996</v>
      </c>
      <c r="KQ14" s="53">
        <v>7.3100000000000005</v>
      </c>
      <c r="KR14" s="54">
        <v>11.490319</v>
      </c>
      <c r="KS14" s="4">
        <v>6739.0834802115041</v>
      </c>
      <c r="KT14" s="64">
        <v>1.8095962185547185</v>
      </c>
      <c r="KU14" s="64">
        <v>9.2459381509373504</v>
      </c>
      <c r="KV14" s="64">
        <v>5.5102307322544464</v>
      </c>
      <c r="KW14" s="482">
        <v>11.001891259413554</v>
      </c>
      <c r="KX14" s="36"/>
      <c r="KY14" s="53"/>
      <c r="KZ14" s="53"/>
      <c r="LA14" s="53"/>
      <c r="LB14" s="53"/>
      <c r="LC14" s="33"/>
      <c r="LD14" s="2669"/>
      <c r="LF14" s="998">
        <f t="shared" si="59"/>
        <v>22535.79</v>
      </c>
      <c r="LG14" s="27">
        <f t="shared" si="59"/>
        <v>7601.48</v>
      </c>
      <c r="LH14" s="27">
        <f t="shared" si="59"/>
        <v>0</v>
      </c>
      <c r="LI14" s="28">
        <f t="shared" si="60"/>
        <v>30137.27</v>
      </c>
      <c r="LJ14" s="36">
        <v>4</v>
      </c>
      <c r="LK14" s="27">
        <v>1</v>
      </c>
      <c r="LL14" s="27">
        <v>4</v>
      </c>
      <c r="LM14" s="33"/>
      <c r="LN14" s="1041">
        <v>6.57</v>
      </c>
      <c r="LO14" s="486"/>
      <c r="LP14" s="2688"/>
      <c r="LQ14" s="21">
        <v>22535.79</v>
      </c>
      <c r="LR14" s="27"/>
      <c r="LS14" s="27"/>
      <c r="LT14" s="27"/>
      <c r="LU14" s="27"/>
      <c r="LV14" s="1117">
        <f t="shared" si="61"/>
        <v>22535.79</v>
      </c>
      <c r="LW14" s="36"/>
      <c r="LX14" s="36">
        <v>7601.48</v>
      </c>
      <c r="LY14" s="27"/>
      <c r="LZ14" s="27"/>
      <c r="MA14" s="33"/>
      <c r="MB14" s="28">
        <f t="shared" si="62"/>
        <v>7601.48</v>
      </c>
      <c r="MC14" s="26"/>
      <c r="MD14" s="36"/>
      <c r="ME14" s="27"/>
      <c r="MF14" s="27"/>
      <c r="MG14" s="27"/>
      <c r="MH14" s="28"/>
      <c r="MI14" s="36"/>
      <c r="MJ14" s="36"/>
      <c r="MK14" s="27"/>
      <c r="ML14" s="27"/>
      <c r="MM14" s="27"/>
      <c r="MN14" s="28"/>
      <c r="MO14" s="36"/>
      <c r="MP14" s="36"/>
      <c r="MQ14" s="27"/>
      <c r="MR14" s="27"/>
      <c r="MS14" s="27"/>
      <c r="MT14" s="33">
        <f t="shared" si="63"/>
        <v>0</v>
      </c>
      <c r="MU14" s="2688"/>
      <c r="MW14" s="26">
        <f t="shared" si="64"/>
        <v>59862.147944531505</v>
      </c>
      <c r="MX14" s="27">
        <f t="shared" si="65"/>
        <v>136929.40698410169</v>
      </c>
      <c r="MY14" s="27">
        <f t="shared" si="66"/>
        <v>23906.663116668147</v>
      </c>
      <c r="MZ14" s="28">
        <f t="shared" si="67"/>
        <v>438040.58665121422</v>
      </c>
      <c r="NA14" s="2621"/>
      <c r="NB14" s="23">
        <f t="shared" si="68"/>
        <v>45611.484197190563</v>
      </c>
      <c r="NC14" s="64">
        <f t="shared" si="69"/>
        <v>14250.663747340943</v>
      </c>
      <c r="ND14" s="60">
        <f t="shared" si="70"/>
        <v>0</v>
      </c>
      <c r="NE14" s="275">
        <f t="shared" si="4"/>
        <v>59862.147944531505</v>
      </c>
      <c r="NF14" s="26">
        <f t="shared" si="71"/>
        <v>0</v>
      </c>
      <c r="NG14" s="27">
        <f t="shared" si="71"/>
        <v>0</v>
      </c>
      <c r="NH14" s="27">
        <f t="shared" si="71"/>
        <v>0</v>
      </c>
      <c r="NI14" s="27">
        <f t="shared" si="71"/>
        <v>0</v>
      </c>
      <c r="NJ14" s="27">
        <f t="shared" si="71"/>
        <v>0</v>
      </c>
      <c r="NK14" s="33">
        <f t="shared" si="71"/>
        <v>0</v>
      </c>
      <c r="NL14" s="27">
        <f t="shared" si="71"/>
        <v>0</v>
      </c>
      <c r="NM14" s="36">
        <f t="shared" si="71"/>
        <v>0</v>
      </c>
      <c r="NN14" s="27">
        <f t="shared" si="71"/>
        <v>36010.502027032751</v>
      </c>
      <c r="NO14" s="27">
        <f t="shared" si="71"/>
        <v>0</v>
      </c>
      <c r="NP14" s="24">
        <f t="shared" si="114"/>
        <v>8756.5482322711578</v>
      </c>
      <c r="NQ14" s="24">
        <f t="shared" si="115"/>
        <v>15800.3750132308</v>
      </c>
      <c r="NR14" s="27">
        <f t="shared" si="0"/>
        <v>60567.425272534711</v>
      </c>
      <c r="NS14" s="27">
        <f t="shared" si="72"/>
        <v>0</v>
      </c>
      <c r="NT14" s="27">
        <f t="shared" si="72"/>
        <v>0</v>
      </c>
      <c r="NU14" s="27">
        <f t="shared" si="72"/>
        <v>0</v>
      </c>
      <c r="NV14" s="27">
        <f t="shared" si="72"/>
        <v>0</v>
      </c>
      <c r="NW14" s="27">
        <f t="shared" si="72"/>
        <v>0</v>
      </c>
      <c r="NX14" s="27">
        <f t="shared" si="72"/>
        <v>0</v>
      </c>
      <c r="NY14" s="27">
        <f t="shared" si="72"/>
        <v>3875.5546092523796</v>
      </c>
      <c r="NZ14" s="27">
        <f t="shared" si="72"/>
        <v>0</v>
      </c>
      <c r="OA14" s="27">
        <f t="shared" si="72"/>
        <v>4764.9057022622483</v>
      </c>
      <c r="OB14" s="280"/>
      <c r="OC14" s="24">
        <f t="shared" si="73"/>
        <v>1565.61197844705</v>
      </c>
      <c r="OD14" s="27">
        <f t="shared" si="73"/>
        <v>0</v>
      </c>
      <c r="OE14" s="28">
        <f t="shared" si="1"/>
        <v>10206.072289961678</v>
      </c>
      <c r="OF14" s="27">
        <f t="shared" si="74"/>
        <v>0</v>
      </c>
      <c r="OG14" s="27">
        <f t="shared" si="74"/>
        <v>0</v>
      </c>
      <c r="OH14" s="27">
        <f t="shared" si="74"/>
        <v>0</v>
      </c>
      <c r="OI14" s="27">
        <f t="shared" si="74"/>
        <v>0</v>
      </c>
      <c r="OJ14" s="27">
        <f t="shared" si="74"/>
        <v>0</v>
      </c>
      <c r="OK14" s="27">
        <f t="shared" si="74"/>
        <v>0</v>
      </c>
      <c r="OL14" s="24">
        <f t="shared" si="74"/>
        <v>0</v>
      </c>
      <c r="OM14" s="27">
        <f t="shared" si="74"/>
        <v>0</v>
      </c>
      <c r="ON14" s="24">
        <f t="shared" si="74"/>
        <v>60317.280253800214</v>
      </c>
      <c r="OO14" s="27">
        <f t="shared" si="74"/>
        <v>0</v>
      </c>
      <c r="OP14" s="27">
        <f t="shared" si="74"/>
        <v>5838.6291678050993</v>
      </c>
      <c r="OQ14" s="27">
        <f t="shared" si="74"/>
        <v>0</v>
      </c>
      <c r="OR14" s="28">
        <f t="shared" si="2"/>
        <v>66155.90942160532</v>
      </c>
      <c r="OS14" s="36"/>
      <c r="OT14" s="27"/>
      <c r="OU14" s="27"/>
      <c r="OV14" s="27"/>
      <c r="OW14" s="27"/>
      <c r="OX14" s="27"/>
      <c r="OY14" s="28">
        <f t="shared" si="75"/>
        <v>0</v>
      </c>
      <c r="OZ14" s="36">
        <f t="shared" si="76"/>
        <v>0</v>
      </c>
      <c r="PA14" s="27">
        <f t="shared" si="77"/>
        <v>0</v>
      </c>
      <c r="PB14" s="27">
        <f t="shared" si="78"/>
        <v>0</v>
      </c>
      <c r="PC14" s="27">
        <f t="shared" si="79"/>
        <v>0</v>
      </c>
      <c r="PD14" s="27">
        <f t="shared" si="80"/>
        <v>0</v>
      </c>
      <c r="PE14" s="27">
        <f t="shared" si="81"/>
        <v>0</v>
      </c>
      <c r="PF14" s="33">
        <f t="shared" si="3"/>
        <v>0</v>
      </c>
      <c r="PG14" s="2621"/>
      <c r="PI14" s="1446">
        <v>729.71</v>
      </c>
      <c r="PJ14" s="3">
        <v>227.50000000000006</v>
      </c>
      <c r="PK14" s="3">
        <v>105.00000000000003</v>
      </c>
      <c r="PL14" s="3">
        <f t="shared" si="116"/>
        <v>0</v>
      </c>
      <c r="PM14" s="3">
        <f t="shared" si="82"/>
        <v>1373.4597377964556</v>
      </c>
      <c r="PN14" s="11">
        <f t="shared" si="117"/>
        <v>23906.663116668147</v>
      </c>
      <c r="PO14" s="15"/>
      <c r="PP14" s="2615"/>
      <c r="PR14" s="4"/>
      <c r="PS14" s="9"/>
      <c r="PT14" s="9"/>
      <c r="PU14" s="9"/>
      <c r="PV14" s="9">
        <v>68.3</v>
      </c>
      <c r="PW14" s="9"/>
      <c r="PX14" s="8">
        <f t="shared" si="83"/>
        <v>68.3</v>
      </c>
      <c r="PY14" s="5">
        <f t="shared" si="84"/>
        <v>729.71</v>
      </c>
      <c r="PZ14" s="5"/>
      <c r="QA14" s="5"/>
      <c r="QB14" s="5"/>
      <c r="QC14" s="5"/>
      <c r="QD14" s="5"/>
      <c r="QE14" s="12">
        <f t="shared" si="85"/>
        <v>29749.381073161156</v>
      </c>
      <c r="QF14" s="420">
        <f t="shared" si="86"/>
        <v>408222.90557805309</v>
      </c>
      <c r="QG14" s="1106">
        <f t="shared" si="87"/>
        <v>68.3</v>
      </c>
      <c r="QH14" s="484">
        <f t="shared" si="88"/>
        <v>5505.3678056100007</v>
      </c>
      <c r="QI14" s="12"/>
      <c r="QJ14" s="2615"/>
      <c r="QL14" s="139">
        <f t="shared" si="89"/>
        <v>0</v>
      </c>
      <c r="QM14" s="139" t="str">
        <f t="shared" si="90"/>
        <v/>
      </c>
      <c r="QO14" s="139">
        <f t="shared" si="91"/>
        <v>0</v>
      </c>
      <c r="QP14" s="139">
        <f t="shared" si="92"/>
        <v>0</v>
      </c>
      <c r="QR14" s="1">
        <f t="shared" si="93"/>
        <v>0</v>
      </c>
      <c r="QS14" s="1">
        <f t="shared" si="94"/>
        <v>0</v>
      </c>
      <c r="QT14" s="1">
        <f t="shared" si="95"/>
        <v>0</v>
      </c>
      <c r="QU14" s="1">
        <f t="shared" si="96"/>
        <v>0</v>
      </c>
      <c r="QV14" s="1">
        <f t="shared" si="97"/>
        <v>0</v>
      </c>
      <c r="QW14" s="1">
        <f t="shared" si="98"/>
        <v>0</v>
      </c>
      <c r="QY14" s="1">
        <f t="shared" si="99"/>
        <v>0</v>
      </c>
      <c r="QZ14" s="1">
        <f t="shared" si="100"/>
        <v>0</v>
      </c>
      <c r="RA14" s="1">
        <f t="shared" si="101"/>
        <v>0</v>
      </c>
      <c r="RB14" s="1">
        <f t="shared" si="102"/>
        <v>0</v>
      </c>
      <c r="RC14" s="1">
        <f t="shared" si="103"/>
        <v>0</v>
      </c>
      <c r="RD14" s="1">
        <f t="shared" si="104"/>
        <v>0</v>
      </c>
      <c r="RG14" s="1">
        <v>5</v>
      </c>
      <c r="RH14" s="1">
        <f t="shared" si="105"/>
        <v>16481.974251083164</v>
      </c>
      <c r="RI14" s="1">
        <f t="shared" si="105"/>
        <v>-5216.4444501377202</v>
      </c>
      <c r="RJ14" s="1">
        <f t="shared" si="105"/>
        <v>9178.5689913333827</v>
      </c>
      <c r="RK14" s="89">
        <f t="shared" si="5"/>
        <v>20444.098792278826</v>
      </c>
      <c r="RL14" s="1033">
        <v>5</v>
      </c>
      <c r="RM14" s="1098">
        <f t="shared" si="118"/>
        <v>0</v>
      </c>
      <c r="RN14" s="1098">
        <f t="shared" si="106"/>
        <v>68.3</v>
      </c>
      <c r="RO14" s="1097">
        <f t="shared" si="106"/>
        <v>0</v>
      </c>
      <c r="RP14" s="1097">
        <f t="shared" si="107"/>
        <v>6199.0199999999995</v>
      </c>
      <c r="RQ14" s="1094"/>
      <c r="RR14" s="1123" t="s">
        <v>750</v>
      </c>
      <c r="RU14" s="421">
        <v>5</v>
      </c>
      <c r="RV14" s="1095">
        <f t="shared" si="108"/>
        <v>11756.33</v>
      </c>
      <c r="RW14" s="1094" t="s">
        <v>751</v>
      </c>
      <c r="RY14" s="1090"/>
      <c r="RZ14" s="1090">
        <f t="shared" si="109"/>
        <v>-68.300000000000182</v>
      </c>
      <c r="SA14" s="1090"/>
      <c r="SB14" s="1090">
        <f t="shared" si="110"/>
        <v>0</v>
      </c>
      <c r="SD14" s="1">
        <v>5</v>
      </c>
      <c r="SE14" s="1">
        <f t="shared" si="111"/>
        <v>0</v>
      </c>
      <c r="SF14" s="1094"/>
    </row>
    <row r="15" spans="1:500" s="1" customFormat="1">
      <c r="B15" s="471">
        <v>6</v>
      </c>
      <c r="C15" s="4">
        <f t="shared" si="6"/>
        <v>94098</v>
      </c>
      <c r="D15" s="53">
        <f t="shared" si="112"/>
        <v>4495.5200000000004</v>
      </c>
      <c r="E15" s="61">
        <f t="shared" si="7"/>
        <v>20.931505142897816</v>
      </c>
      <c r="F15" s="870"/>
      <c r="G15" s="870"/>
      <c r="H15" s="52">
        <v>53</v>
      </c>
      <c r="I15" s="61">
        <v>11.17</v>
      </c>
      <c r="J15" s="52"/>
      <c r="K15" s="54"/>
      <c r="L15" s="52">
        <v>6.67</v>
      </c>
      <c r="M15" s="61">
        <v>10.61</v>
      </c>
      <c r="N15" s="2629"/>
      <c r="O15" s="4">
        <f t="shared" si="8"/>
        <v>61866</v>
      </c>
      <c r="P15" s="1225">
        <f t="shared" si="9"/>
        <v>3066.94</v>
      </c>
      <c r="Q15" s="64">
        <f t="shared" si="10"/>
        <v>20.171897722159546</v>
      </c>
      <c r="R15" s="33"/>
      <c r="S15" s="26">
        <f t="shared" si="11"/>
        <v>14351</v>
      </c>
      <c r="T15" s="27">
        <f t="shared" si="12"/>
        <v>488.57999999999993</v>
      </c>
      <c r="U15" s="53">
        <f t="shared" si="13"/>
        <v>29.372876499242707</v>
      </c>
      <c r="V15" s="28"/>
      <c r="W15" s="26">
        <f t="shared" si="14"/>
        <v>17881</v>
      </c>
      <c r="X15" s="5">
        <f t="shared" si="14"/>
        <v>940</v>
      </c>
      <c r="Y15" s="53">
        <f t="shared" si="15"/>
        <v>19.022340425531915</v>
      </c>
      <c r="Z15" s="33"/>
      <c r="AA15" s="26">
        <f t="shared" si="16"/>
        <v>0</v>
      </c>
      <c r="AB15" s="27">
        <f t="shared" si="17"/>
        <v>0</v>
      </c>
      <c r="AC15" s="53">
        <f t="shared" si="18"/>
        <v>0</v>
      </c>
      <c r="AD15" s="28"/>
      <c r="AE15" s="36"/>
      <c r="AF15" s="36"/>
      <c r="AG15" s="53">
        <f t="shared" si="19"/>
        <v>0</v>
      </c>
      <c r="AH15" s="28"/>
      <c r="AI15" s="26"/>
      <c r="AJ15" s="27"/>
      <c r="AK15" s="53">
        <f t="shared" si="20"/>
        <v>0</v>
      </c>
      <c r="AL15" s="28"/>
      <c r="AM15" s="2629"/>
      <c r="AN15" s="9"/>
      <c r="AO15" s="5"/>
      <c r="AP15" s="61">
        <f t="shared" si="21"/>
        <v>0</v>
      </c>
      <c r="AQ15" s="36"/>
      <c r="AR15" s="53"/>
      <c r="AS15" s="61">
        <f t="shared" si="22"/>
        <v>0</v>
      </c>
      <c r="AT15" s="36"/>
      <c r="AU15" s="27"/>
      <c r="AV15" s="61">
        <f t="shared" si="23"/>
        <v>0</v>
      </c>
      <c r="AW15" s="36">
        <v>37968</v>
      </c>
      <c r="AX15" s="27">
        <v>2033.5800000000002</v>
      </c>
      <c r="AY15" s="61">
        <f t="shared" si="24"/>
        <v>18.670521936683091</v>
      </c>
      <c r="AZ15" s="36"/>
      <c r="BA15" s="27"/>
      <c r="BB15" s="61">
        <f t="shared" si="25"/>
        <v>0</v>
      </c>
      <c r="BC15" s="36">
        <v>23898</v>
      </c>
      <c r="BD15" s="27">
        <v>1033.3599999999999</v>
      </c>
      <c r="BE15" s="61">
        <f t="shared" si="26"/>
        <v>23.126499961291323</v>
      </c>
      <c r="BF15" s="36"/>
      <c r="BG15" s="53"/>
      <c r="BH15" s="61">
        <f t="shared" si="27"/>
        <v>0</v>
      </c>
      <c r="BI15" s="36">
        <v>0</v>
      </c>
      <c r="BJ15" s="53">
        <v>0</v>
      </c>
      <c r="BK15" s="61">
        <f t="shared" si="28"/>
        <v>0</v>
      </c>
      <c r="BL15" s="52">
        <v>14351</v>
      </c>
      <c r="BM15" s="53">
        <v>488.57999999999993</v>
      </c>
      <c r="BN15" s="61">
        <f t="shared" si="29"/>
        <v>29.372876499242707</v>
      </c>
      <c r="BO15" s="36"/>
      <c r="BP15" s="53"/>
      <c r="BQ15" s="61">
        <f t="shared" si="30"/>
        <v>0</v>
      </c>
      <c r="BR15" s="36"/>
      <c r="BS15" s="53"/>
      <c r="BT15" s="61">
        <f t="shared" si="31"/>
        <v>0</v>
      </c>
      <c r="BU15" s="36">
        <v>17881</v>
      </c>
      <c r="BV15" s="5">
        <v>940</v>
      </c>
      <c r="BW15" s="28">
        <f t="shared" si="32"/>
        <v>19.022340425531915</v>
      </c>
      <c r="BX15" s="26"/>
      <c r="BY15" s="27"/>
      <c r="BZ15" s="61">
        <f t="shared" si="33"/>
        <v>0</v>
      </c>
      <c r="CA15" s="36"/>
      <c r="CB15" s="481"/>
      <c r="CC15" s="482">
        <f t="shared" si="34"/>
        <v>0</v>
      </c>
      <c r="CD15" s="4"/>
      <c r="CE15" s="5"/>
      <c r="CF15" s="28">
        <f t="shared" si="35"/>
        <v>0</v>
      </c>
      <c r="CG15" s="149"/>
      <c r="CH15" s="4">
        <v>0</v>
      </c>
      <c r="CI15" s="5"/>
      <c r="CJ15" s="5"/>
      <c r="CK15" s="5">
        <v>7662.5</v>
      </c>
      <c r="CL15" s="5"/>
      <c r="CM15" s="5">
        <f t="shared" si="113"/>
        <v>7662.5</v>
      </c>
      <c r="CN15" s="33"/>
      <c r="CO15" s="366"/>
      <c r="CQ15" s="4">
        <f t="shared" si="36"/>
        <v>0</v>
      </c>
      <c r="CR15" s="9">
        <f t="shared" si="36"/>
        <v>0</v>
      </c>
      <c r="CS15" s="5">
        <f t="shared" si="36"/>
        <v>0</v>
      </c>
      <c r="CT15" s="5">
        <f t="shared" si="36"/>
        <v>0</v>
      </c>
      <c r="CU15" s="5">
        <f t="shared" si="36"/>
        <v>0</v>
      </c>
      <c r="CV15" s="5">
        <f t="shared" si="36"/>
        <v>0</v>
      </c>
      <c r="CW15" s="5">
        <f t="shared" si="36"/>
        <v>120.89999999999999</v>
      </c>
      <c r="CX15" s="5">
        <f t="shared" si="36"/>
        <v>0</v>
      </c>
      <c r="CY15" s="5">
        <f t="shared" si="36"/>
        <v>3594.94</v>
      </c>
      <c r="CZ15" s="5">
        <f t="shared" si="36"/>
        <v>0</v>
      </c>
      <c r="DA15" s="5">
        <f t="shared" si="36"/>
        <v>0</v>
      </c>
      <c r="DB15" s="12">
        <f t="shared" si="36"/>
        <v>0</v>
      </c>
      <c r="DC15" s="310">
        <f t="shared" si="37"/>
        <v>4495.5200000000004</v>
      </c>
      <c r="DD15" s="2695"/>
      <c r="DE15" s="9"/>
      <c r="DF15" s="9"/>
      <c r="DG15" s="5"/>
      <c r="DH15" s="5"/>
      <c r="DI15" s="5"/>
      <c r="DJ15" s="5"/>
      <c r="DK15" s="5">
        <v>120.89999999999999</v>
      </c>
      <c r="DL15" s="5"/>
      <c r="DM15" s="5">
        <v>1133</v>
      </c>
      <c r="DN15" s="5"/>
      <c r="DO15" s="5"/>
      <c r="DP15" s="12"/>
      <c r="DQ15" s="28">
        <f t="shared" si="38"/>
        <v>1253.9000000000001</v>
      </c>
      <c r="DR15" s="36"/>
      <c r="DS15" s="36"/>
      <c r="DT15" s="27"/>
      <c r="DU15" s="27"/>
      <c r="DV15" s="5"/>
      <c r="DW15" s="5"/>
      <c r="DX15" s="5"/>
      <c r="DY15" s="5"/>
      <c r="DZ15" s="5">
        <v>1521.94</v>
      </c>
      <c r="EA15" s="53"/>
      <c r="EB15" s="27"/>
      <c r="EC15" s="33"/>
      <c r="ED15" s="28">
        <f t="shared" si="39"/>
        <v>1521.94</v>
      </c>
      <c r="EE15" s="9"/>
      <c r="EF15" s="9"/>
      <c r="EG15" s="5"/>
      <c r="EH15" s="5"/>
      <c r="EI15" s="27"/>
      <c r="EJ15" s="27"/>
      <c r="EK15" s="27"/>
      <c r="EL15" s="27"/>
      <c r="EM15" s="27">
        <v>940</v>
      </c>
      <c r="EN15" s="27"/>
      <c r="EO15" s="27"/>
      <c r="EP15" s="33"/>
      <c r="EQ15" s="28">
        <f t="shared" si="40"/>
        <v>940</v>
      </c>
      <c r="ER15" s="36"/>
      <c r="ES15" s="27"/>
      <c r="ET15" s="27"/>
      <c r="EU15" s="27"/>
      <c r="EV15" s="27"/>
      <c r="EW15" s="27"/>
      <c r="EX15" s="33">
        <f t="shared" si="41"/>
        <v>0</v>
      </c>
      <c r="EY15" s="2685"/>
      <c r="FA15" s="4">
        <f t="shared" si="42"/>
        <v>0</v>
      </c>
      <c r="FB15" s="5">
        <f t="shared" si="43"/>
        <v>0</v>
      </c>
      <c r="FC15" s="5">
        <f t="shared" si="44"/>
        <v>0</v>
      </c>
      <c r="FD15" s="12">
        <f t="shared" si="45"/>
        <v>0</v>
      </c>
      <c r="FE15" s="33"/>
      <c r="FF15" s="2674"/>
      <c r="FG15" s="9"/>
      <c r="FH15" s="5"/>
      <c r="FI15" s="5"/>
      <c r="FJ15" s="5"/>
      <c r="FK15" s="5"/>
      <c r="FL15" s="27"/>
      <c r="FM15" s="28">
        <f t="shared" si="46"/>
        <v>0</v>
      </c>
      <c r="FN15" s="36"/>
      <c r="FO15" s="27"/>
      <c r="FP15" s="27"/>
      <c r="FQ15" s="27"/>
      <c r="FR15" s="27"/>
      <c r="FS15" s="27"/>
      <c r="FT15" s="28">
        <f t="shared" si="47"/>
        <v>0</v>
      </c>
      <c r="FU15" s="36"/>
      <c r="FV15" s="36"/>
      <c r="FW15" s="27"/>
      <c r="FX15" s="27"/>
      <c r="FY15" s="27"/>
      <c r="FZ15" s="27"/>
      <c r="GA15" s="27"/>
      <c r="GB15" s="27"/>
      <c r="GC15" s="27"/>
      <c r="GD15" s="27"/>
      <c r="GE15" s="27"/>
      <c r="GF15" s="33"/>
      <c r="GG15" s="33">
        <f t="shared" si="48"/>
        <v>0</v>
      </c>
      <c r="GH15" s="2674"/>
      <c r="GJ15" s="4">
        <f t="shared" si="49"/>
        <v>2822.3199999999997</v>
      </c>
      <c r="GK15" s="64">
        <f t="shared" si="50"/>
        <v>3882.9500000000003</v>
      </c>
      <c r="GL15" s="53">
        <f t="shared" si="51"/>
        <v>5586.24</v>
      </c>
      <c r="GM15" s="53">
        <f t="shared" si="52"/>
        <v>12291.51</v>
      </c>
      <c r="GN15" s="141"/>
      <c r="GO15" s="141"/>
      <c r="GP15" s="33"/>
      <c r="GQ15" s="2702"/>
      <c r="GR15" s="845">
        <v>5407.12</v>
      </c>
      <c r="GS15" s="5"/>
      <c r="GT15" s="5">
        <v>3629.77</v>
      </c>
      <c r="GU15" s="27">
        <v>3254.62</v>
      </c>
      <c r="GV15" s="54">
        <f t="shared" si="53"/>
        <v>12291.509999999998</v>
      </c>
      <c r="GW15" s="2667"/>
      <c r="GX15" s="9"/>
      <c r="GY15" s="9"/>
      <c r="GZ15" s="5"/>
      <c r="HA15" s="5"/>
      <c r="HB15" s="5"/>
      <c r="HC15" s="5"/>
      <c r="HD15" s="5"/>
      <c r="HE15" s="5"/>
      <c r="HF15" s="5">
        <v>1069.33</v>
      </c>
      <c r="HG15" s="5"/>
      <c r="HH15" s="5">
        <v>1752.99</v>
      </c>
      <c r="HI15" s="5"/>
      <c r="HJ15" s="5"/>
      <c r="HK15" s="5"/>
      <c r="HL15" s="15">
        <f t="shared" si="54"/>
        <v>2822.3199999999997</v>
      </c>
      <c r="HM15" s="9"/>
      <c r="HN15" s="5"/>
      <c r="HO15" s="5"/>
      <c r="HP15" s="5"/>
      <c r="HQ15" s="5"/>
      <c r="HR15" s="5"/>
      <c r="HS15" s="5"/>
      <c r="HT15" s="5"/>
      <c r="HU15" s="5"/>
      <c r="HV15" s="5"/>
      <c r="HW15" s="5"/>
      <c r="HX15" s="5"/>
      <c r="HY15" s="5"/>
      <c r="HZ15" s="5"/>
      <c r="IA15" s="12">
        <f t="shared" si="55"/>
        <v>0</v>
      </c>
      <c r="IB15" s="845"/>
      <c r="IC15" s="363"/>
      <c r="ID15" s="64"/>
      <c r="IE15" s="64"/>
      <c r="IF15" s="64"/>
      <c r="IG15" s="64"/>
      <c r="IH15" s="64">
        <v>1344.3200000000002</v>
      </c>
      <c r="II15" s="64"/>
      <c r="IJ15" s="64">
        <v>2538.63</v>
      </c>
      <c r="IK15" s="64"/>
      <c r="IL15" s="64"/>
      <c r="IM15" s="64"/>
      <c r="IN15" s="64"/>
      <c r="IO15" s="64"/>
      <c r="IP15" s="61">
        <f t="shared" si="56"/>
        <v>3882.9500000000003</v>
      </c>
      <c r="IQ15" s="9"/>
      <c r="IR15" s="9"/>
      <c r="IS15" s="5"/>
      <c r="IT15" s="5"/>
      <c r="IU15" s="64"/>
      <c r="IV15" s="5"/>
      <c r="IW15" s="5"/>
      <c r="IX15" s="5"/>
      <c r="IY15" s="5">
        <v>4458.8900000000003</v>
      </c>
      <c r="IZ15" s="5"/>
      <c r="JA15" s="5">
        <v>1127.3499999999999</v>
      </c>
      <c r="JB15" s="5"/>
      <c r="JC15" s="5"/>
      <c r="JD15" s="5"/>
      <c r="JE15" s="12">
        <f t="shared" si="57"/>
        <v>5586.24</v>
      </c>
      <c r="JF15" s="2667"/>
      <c r="JH15" s="845">
        <v>5908.3199999999988</v>
      </c>
      <c r="JI15" s="152">
        <v>6383.1900000000005</v>
      </c>
      <c r="JJ15" s="53"/>
      <c r="JK15" s="53">
        <f t="shared" si="58"/>
        <v>12291.509999999998</v>
      </c>
      <c r="JL15" s="33"/>
      <c r="JM15" s="2669"/>
      <c r="JN15" s="69"/>
      <c r="JO15" s="70"/>
      <c r="JP15" s="70"/>
      <c r="JQ15" s="70"/>
      <c r="JR15" s="70">
        <v>0.87738465554371226</v>
      </c>
      <c r="JS15" s="70">
        <v>0.12261534445628763</v>
      </c>
      <c r="JT15" s="70"/>
      <c r="JU15" s="71"/>
      <c r="JV15" s="69"/>
      <c r="JW15" s="70"/>
      <c r="JX15" s="70"/>
      <c r="JY15" s="70">
        <v>0.1721192695188456</v>
      </c>
      <c r="JZ15" s="70">
        <v>0.37664239980323311</v>
      </c>
      <c r="KA15" s="70">
        <v>0.45123833067792124</v>
      </c>
      <c r="KB15" s="70"/>
      <c r="KC15" s="71"/>
      <c r="KD15" s="69"/>
      <c r="KE15" s="70"/>
      <c r="KF15" s="70"/>
      <c r="KG15" s="70"/>
      <c r="KH15" s="70"/>
      <c r="KI15" s="70"/>
      <c r="KJ15" s="70"/>
      <c r="KK15" s="70"/>
      <c r="KL15" s="33"/>
      <c r="KM15" s="2669"/>
      <c r="KN15" s="36">
        <v>7061</v>
      </c>
      <c r="KO15" s="53">
        <v>0.62</v>
      </c>
      <c r="KP15" s="53">
        <v>3.17</v>
      </c>
      <c r="KQ15" s="53">
        <v>7.27</v>
      </c>
      <c r="KR15" s="54">
        <v>10.534096</v>
      </c>
      <c r="KS15" s="4">
        <v>7007.6344962996527</v>
      </c>
      <c r="KT15" s="64">
        <v>1.5218275185017369</v>
      </c>
      <c r="KU15" s="64">
        <v>3.2399984896541305</v>
      </c>
      <c r="KV15" s="64">
        <v>6.2347590998338616</v>
      </c>
      <c r="KW15" s="482">
        <v>10.982555723908774</v>
      </c>
      <c r="KX15" s="36"/>
      <c r="KY15" s="53"/>
      <c r="KZ15" s="53"/>
      <c r="LA15" s="53"/>
      <c r="LB15" s="53"/>
      <c r="LC15" s="33"/>
      <c r="LD15" s="2669"/>
      <c r="LF15" s="998">
        <f t="shared" si="59"/>
        <v>13626.578000000001</v>
      </c>
      <c r="LG15" s="27">
        <f t="shared" si="59"/>
        <v>9079.2620000000006</v>
      </c>
      <c r="LH15" s="27">
        <f t="shared" si="59"/>
        <v>0</v>
      </c>
      <c r="LI15" s="28">
        <f t="shared" si="60"/>
        <v>22705.840000000004</v>
      </c>
      <c r="LJ15" s="36">
        <v>3</v>
      </c>
      <c r="LK15" s="27">
        <v>1</v>
      </c>
      <c r="LL15" s="27">
        <v>6</v>
      </c>
      <c r="LM15" s="33"/>
      <c r="LN15" s="1041">
        <v>7.09</v>
      </c>
      <c r="LO15" s="486"/>
      <c r="LP15" s="2688"/>
      <c r="LQ15" s="1122">
        <v>13626.578000000001</v>
      </c>
      <c r="LR15" s="27">
        <v>1500.6620000000003</v>
      </c>
      <c r="LS15" s="27"/>
      <c r="LT15" s="27"/>
      <c r="LU15" s="27"/>
      <c r="LV15" s="1117">
        <f t="shared" si="61"/>
        <v>15127.240000000002</v>
      </c>
      <c r="LW15" s="36"/>
      <c r="LX15" s="36">
        <v>7578.6</v>
      </c>
      <c r="LY15" s="27"/>
      <c r="LZ15" s="27"/>
      <c r="MA15" s="33"/>
      <c r="MB15" s="28">
        <f t="shared" si="62"/>
        <v>7578.6</v>
      </c>
      <c r="MC15" s="26"/>
      <c r="MD15" s="36"/>
      <c r="ME15" s="27"/>
      <c r="MF15" s="27"/>
      <c r="MG15" s="27"/>
      <c r="MH15" s="28"/>
      <c r="MI15" s="36"/>
      <c r="MJ15" s="36"/>
      <c r="MK15" s="27"/>
      <c r="ML15" s="27"/>
      <c r="MM15" s="27"/>
      <c r="MN15" s="28"/>
      <c r="MO15" s="36"/>
      <c r="MP15" s="36"/>
      <c r="MQ15" s="27"/>
      <c r="MR15" s="27"/>
      <c r="MS15" s="27"/>
      <c r="MT15" s="33">
        <f t="shared" si="63"/>
        <v>0</v>
      </c>
      <c r="MU15" s="2688"/>
      <c r="MW15" s="26">
        <f t="shared" si="64"/>
        <v>49447.817944531504</v>
      </c>
      <c r="MX15" s="27">
        <f t="shared" si="65"/>
        <v>128353.73698410171</v>
      </c>
      <c r="MY15" s="27">
        <f t="shared" si="66"/>
        <v>24098.663116668147</v>
      </c>
      <c r="MZ15" s="28">
        <f t="shared" si="67"/>
        <v>438218.08665121422</v>
      </c>
      <c r="NA15" s="2621"/>
      <c r="NB15" s="23">
        <f t="shared" si="68"/>
        <v>37893.226197190561</v>
      </c>
      <c r="NC15" s="64">
        <f t="shared" si="69"/>
        <v>11554.591747340944</v>
      </c>
      <c r="ND15" s="60">
        <f t="shared" si="70"/>
        <v>0</v>
      </c>
      <c r="NE15" s="275">
        <f t="shared" si="4"/>
        <v>49447.817944531504</v>
      </c>
      <c r="NF15" s="26">
        <f t="shared" si="71"/>
        <v>0</v>
      </c>
      <c r="NG15" s="27">
        <f t="shared" si="71"/>
        <v>0</v>
      </c>
      <c r="NH15" s="27">
        <f t="shared" si="71"/>
        <v>0</v>
      </c>
      <c r="NI15" s="27">
        <f t="shared" si="71"/>
        <v>0</v>
      </c>
      <c r="NJ15" s="27">
        <f t="shared" si="71"/>
        <v>0</v>
      </c>
      <c r="NK15" s="33">
        <f t="shared" si="71"/>
        <v>0</v>
      </c>
      <c r="NL15" s="27">
        <f t="shared" si="71"/>
        <v>0</v>
      </c>
      <c r="NM15" s="36">
        <f t="shared" si="71"/>
        <v>0</v>
      </c>
      <c r="NN15" s="27">
        <f t="shared" si="71"/>
        <v>35881.17202703275</v>
      </c>
      <c r="NO15" s="27">
        <f t="shared" si="71"/>
        <v>0</v>
      </c>
      <c r="NP15" s="24">
        <f t="shared" si="114"/>
        <v>8756.5482322711578</v>
      </c>
      <c r="NQ15" s="24">
        <f t="shared" si="115"/>
        <v>14047.3850132308</v>
      </c>
      <c r="NR15" s="27">
        <f t="shared" si="0"/>
        <v>58685.105272534711</v>
      </c>
      <c r="NS15" s="27">
        <f t="shared" si="72"/>
        <v>0</v>
      </c>
      <c r="NT15" s="27">
        <f t="shared" si="72"/>
        <v>0</v>
      </c>
      <c r="NU15" s="27">
        <f t="shared" si="72"/>
        <v>0</v>
      </c>
      <c r="NV15" s="27">
        <f t="shared" si="72"/>
        <v>0</v>
      </c>
      <c r="NW15" s="27">
        <f t="shared" si="72"/>
        <v>0</v>
      </c>
      <c r="NX15" s="27">
        <f t="shared" si="72"/>
        <v>0</v>
      </c>
      <c r="NY15" s="27">
        <f t="shared" si="72"/>
        <v>2652.1346092523795</v>
      </c>
      <c r="NZ15" s="27">
        <f t="shared" si="72"/>
        <v>0</v>
      </c>
      <c r="OA15" s="27">
        <f t="shared" si="72"/>
        <v>3359.2757022622482</v>
      </c>
      <c r="OB15" s="280"/>
      <c r="OC15" s="24">
        <f t="shared" si="73"/>
        <v>1565.61197844705</v>
      </c>
      <c r="OD15" s="27">
        <f t="shared" si="73"/>
        <v>0</v>
      </c>
      <c r="OE15" s="28">
        <f t="shared" si="1"/>
        <v>7577.0222899616783</v>
      </c>
      <c r="OF15" s="27">
        <f t="shared" si="74"/>
        <v>0</v>
      </c>
      <c r="OG15" s="27">
        <f t="shared" si="74"/>
        <v>0</v>
      </c>
      <c r="OH15" s="27">
        <f t="shared" si="74"/>
        <v>0</v>
      </c>
      <c r="OI15" s="27">
        <f t="shared" si="74"/>
        <v>0</v>
      </c>
      <c r="OJ15" s="27">
        <f t="shared" si="74"/>
        <v>0</v>
      </c>
      <c r="OK15" s="27">
        <f t="shared" si="74"/>
        <v>0</v>
      </c>
      <c r="OL15" s="24">
        <v>0</v>
      </c>
      <c r="OM15" s="27">
        <f t="shared" si="74"/>
        <v>0</v>
      </c>
      <c r="ON15" s="24">
        <f t="shared" si="74"/>
        <v>57380.330253800217</v>
      </c>
      <c r="OO15" s="27">
        <f t="shared" si="74"/>
        <v>0</v>
      </c>
      <c r="OP15" s="27">
        <f t="shared" si="74"/>
        <v>4711.2791678050999</v>
      </c>
      <c r="OQ15" s="27">
        <f t="shared" si="74"/>
        <v>0</v>
      </c>
      <c r="OR15" s="28">
        <f t="shared" si="2"/>
        <v>62091.609421605317</v>
      </c>
      <c r="OS15" s="36"/>
      <c r="OT15" s="27"/>
      <c r="OU15" s="27"/>
      <c r="OV15" s="27"/>
      <c r="OW15" s="27"/>
      <c r="OX15" s="27"/>
      <c r="OY15" s="28">
        <f t="shared" si="75"/>
        <v>0</v>
      </c>
      <c r="OZ15" s="36">
        <f t="shared" si="76"/>
        <v>0</v>
      </c>
      <c r="PA15" s="27">
        <f t="shared" si="77"/>
        <v>0</v>
      </c>
      <c r="PB15" s="27">
        <f t="shared" si="78"/>
        <v>0</v>
      </c>
      <c r="PC15" s="27">
        <f t="shared" si="79"/>
        <v>0</v>
      </c>
      <c r="PD15" s="27">
        <f t="shared" si="80"/>
        <v>0</v>
      </c>
      <c r="PE15" s="27">
        <f t="shared" si="81"/>
        <v>0</v>
      </c>
      <c r="PF15" s="33">
        <f t="shared" si="3"/>
        <v>0</v>
      </c>
      <c r="PG15" s="2621"/>
      <c r="PI15" s="2">
        <v>1381.86</v>
      </c>
      <c r="PJ15" s="3">
        <v>416.00000000000011</v>
      </c>
      <c r="PK15" s="3">
        <v>192.00000000000006</v>
      </c>
      <c r="PL15" s="3">
        <f t="shared" si="116"/>
        <v>0</v>
      </c>
      <c r="PM15" s="3">
        <f t="shared" si="82"/>
        <v>2339.3197377964552</v>
      </c>
      <c r="PN15" s="11">
        <f t="shared" si="117"/>
        <v>24098.663116668147</v>
      </c>
      <c r="PO15" s="15"/>
      <c r="PP15" s="2615"/>
      <c r="PR15" s="4"/>
      <c r="PS15" s="9"/>
      <c r="PT15" s="9"/>
      <c r="PU15" s="9"/>
      <c r="PV15" s="9">
        <v>779.68000000000006</v>
      </c>
      <c r="PW15" s="9"/>
      <c r="PX15" s="8">
        <f t="shared" si="83"/>
        <v>779.68000000000006</v>
      </c>
      <c r="PY15" s="5">
        <f t="shared" si="84"/>
        <v>1381.86</v>
      </c>
      <c r="PZ15" s="5"/>
      <c r="QA15" s="5"/>
      <c r="QB15" s="5"/>
      <c r="QC15" s="5"/>
      <c r="QD15" s="5"/>
      <c r="QE15" s="12">
        <f t="shared" si="85"/>
        <v>29749.381073161156</v>
      </c>
      <c r="QF15" s="420">
        <f t="shared" si="86"/>
        <v>407620.7255780531</v>
      </c>
      <c r="QG15" s="1106">
        <f t="shared" si="87"/>
        <v>847.98</v>
      </c>
      <c r="QH15" s="484">
        <f t="shared" si="88"/>
        <v>5505.3678056100007</v>
      </c>
      <c r="QI15" s="12"/>
      <c r="QJ15" s="2615"/>
      <c r="QL15" s="139">
        <f t="shared" si="89"/>
        <v>0</v>
      </c>
      <c r="QM15" s="139" t="str">
        <f t="shared" si="90"/>
        <v/>
      </c>
      <c r="QO15" s="139">
        <f t="shared" si="91"/>
        <v>0</v>
      </c>
      <c r="QP15" s="139">
        <f t="shared" si="92"/>
        <v>0</v>
      </c>
      <c r="QR15" s="1">
        <f t="shared" si="93"/>
        <v>0</v>
      </c>
      <c r="QS15" s="1">
        <f t="shared" si="94"/>
        <v>0</v>
      </c>
      <c r="QT15" s="1">
        <f t="shared" si="95"/>
        <v>0</v>
      </c>
      <c r="QU15" s="1">
        <f t="shared" si="96"/>
        <v>0</v>
      </c>
      <c r="QV15" s="1">
        <f t="shared" si="97"/>
        <v>0</v>
      </c>
      <c r="QW15" s="1">
        <f t="shared" si="98"/>
        <v>0</v>
      </c>
      <c r="QY15" s="1">
        <f t="shared" si="99"/>
        <v>0</v>
      </c>
      <c r="QZ15" s="1">
        <f t="shared" si="100"/>
        <v>0</v>
      </c>
      <c r="RA15" s="1">
        <f t="shared" si="101"/>
        <v>0</v>
      </c>
      <c r="RB15" s="1">
        <f t="shared" si="102"/>
        <v>0</v>
      </c>
      <c r="RC15" s="1">
        <f t="shared" si="103"/>
        <v>0</v>
      </c>
      <c r="RD15" s="1">
        <f t="shared" si="104"/>
        <v>0</v>
      </c>
      <c r="RG15" s="1">
        <v>6</v>
      </c>
      <c r="RH15" s="1">
        <f t="shared" si="105"/>
        <v>8763.7162510831622</v>
      </c>
      <c r="RI15" s="1">
        <f t="shared" si="105"/>
        <v>-7912.5164501377203</v>
      </c>
      <c r="RJ15" s="1">
        <f t="shared" si="105"/>
        <v>9178.5689913333827</v>
      </c>
      <c r="RK15" s="89">
        <f t="shared" si="5"/>
        <v>10029.768792278825</v>
      </c>
      <c r="RL15" s="1033">
        <v>6</v>
      </c>
      <c r="RM15" s="1098">
        <f t="shared" si="118"/>
        <v>0</v>
      </c>
      <c r="RN15" s="1098">
        <f t="shared" si="106"/>
        <v>779.68000000000006</v>
      </c>
      <c r="RO15" s="1097">
        <f t="shared" si="106"/>
        <v>0</v>
      </c>
      <c r="RP15" s="1097">
        <f t="shared" si="107"/>
        <v>3555.5199999999995</v>
      </c>
      <c r="RQ15" s="1094"/>
      <c r="RR15" s="1094" t="s">
        <v>752</v>
      </c>
      <c r="RU15" s="421">
        <v>6</v>
      </c>
      <c r="RV15" s="1095">
        <f t="shared" si="108"/>
        <v>12291.509999999998</v>
      </c>
      <c r="RW15" s="1094" t="s">
        <v>753</v>
      </c>
      <c r="RY15" s="1090"/>
      <c r="RZ15" s="1090">
        <f t="shared" si="109"/>
        <v>-779.67999999999938</v>
      </c>
      <c r="SA15" s="1090"/>
      <c r="SB15" s="1090">
        <f t="shared" si="110"/>
        <v>0</v>
      </c>
      <c r="SD15" s="1">
        <v>6</v>
      </c>
      <c r="SE15" s="1">
        <f t="shared" si="111"/>
        <v>0</v>
      </c>
      <c r="SF15" s="1094"/>
    </row>
    <row r="16" spans="1:500" s="1" customFormat="1">
      <c r="B16" s="471">
        <v>7</v>
      </c>
      <c r="C16" s="4">
        <f t="shared" si="6"/>
        <v>137046</v>
      </c>
      <c r="D16" s="64">
        <f t="shared" si="112"/>
        <v>6830.94</v>
      </c>
      <c r="E16" s="61">
        <f t="shared" si="7"/>
        <v>20.062538977066115</v>
      </c>
      <c r="F16" s="870"/>
      <c r="G16" s="870"/>
      <c r="H16" s="52">
        <v>39</v>
      </c>
      <c r="I16" s="61">
        <v>9.5</v>
      </c>
      <c r="J16" s="52"/>
      <c r="K16" s="54"/>
      <c r="L16" s="52">
        <v>9.33</v>
      </c>
      <c r="M16" s="61">
        <v>4.37</v>
      </c>
      <c r="N16" s="2629"/>
      <c r="O16" s="4">
        <f t="shared" si="8"/>
        <v>93156</v>
      </c>
      <c r="P16" s="1225">
        <f t="shared" si="9"/>
        <v>5007.5</v>
      </c>
      <c r="Q16" s="64">
        <f t="shared" si="10"/>
        <v>18.603295057413881</v>
      </c>
      <c r="R16" s="33"/>
      <c r="S16" s="26">
        <f t="shared" si="11"/>
        <v>25838</v>
      </c>
      <c r="T16" s="27">
        <f t="shared" si="12"/>
        <v>823.43999999999994</v>
      </c>
      <c r="U16" s="53">
        <f t="shared" si="13"/>
        <v>31.378121053142916</v>
      </c>
      <c r="V16" s="15"/>
      <c r="W16" s="26">
        <f t="shared" si="14"/>
        <v>18052</v>
      </c>
      <c r="X16" s="5">
        <f t="shared" si="14"/>
        <v>1000</v>
      </c>
      <c r="Y16" s="53">
        <f t="shared" si="15"/>
        <v>18.052</v>
      </c>
      <c r="Z16" s="33"/>
      <c r="AA16" s="26">
        <f t="shared" si="16"/>
        <v>0</v>
      </c>
      <c r="AB16" s="27">
        <f t="shared" si="17"/>
        <v>0</v>
      </c>
      <c r="AC16" s="53">
        <f t="shared" si="18"/>
        <v>0</v>
      </c>
      <c r="AD16" s="28"/>
      <c r="AE16" s="36"/>
      <c r="AF16" s="36"/>
      <c r="AG16" s="53">
        <f t="shared" si="19"/>
        <v>0</v>
      </c>
      <c r="AH16" s="28"/>
      <c r="AI16" s="23"/>
      <c r="AJ16" s="27"/>
      <c r="AK16" s="53">
        <f t="shared" si="20"/>
        <v>0</v>
      </c>
      <c r="AL16" s="28"/>
      <c r="AM16" s="2629"/>
      <c r="AN16" s="9"/>
      <c r="AO16" s="5"/>
      <c r="AP16" s="61">
        <f t="shared" si="21"/>
        <v>0</v>
      </c>
      <c r="AQ16" s="36"/>
      <c r="AR16" s="53"/>
      <c r="AS16" s="61">
        <f t="shared" si="22"/>
        <v>0</v>
      </c>
      <c r="AT16" s="36">
        <v>0</v>
      </c>
      <c r="AU16" s="27"/>
      <c r="AV16" s="61">
        <f t="shared" si="23"/>
        <v>0</v>
      </c>
      <c r="AW16" s="36">
        <v>46578</v>
      </c>
      <c r="AX16" s="27">
        <v>2422.6199999999994</v>
      </c>
      <c r="AY16" s="61">
        <f t="shared" si="24"/>
        <v>19.226292196052214</v>
      </c>
      <c r="AZ16" s="36"/>
      <c r="BA16" s="27"/>
      <c r="BB16" s="61">
        <f t="shared" si="25"/>
        <v>0</v>
      </c>
      <c r="BC16" s="36">
        <v>46578</v>
      </c>
      <c r="BD16" s="27">
        <v>2584.88</v>
      </c>
      <c r="BE16" s="61">
        <f t="shared" si="26"/>
        <v>18.019405156138774</v>
      </c>
      <c r="BF16" s="36"/>
      <c r="BG16" s="53"/>
      <c r="BH16" s="61">
        <f t="shared" si="27"/>
        <v>0</v>
      </c>
      <c r="BI16" s="36">
        <v>0</v>
      </c>
      <c r="BJ16" s="53">
        <v>0</v>
      </c>
      <c r="BK16" s="61">
        <f t="shared" si="28"/>
        <v>0</v>
      </c>
      <c r="BL16" s="52">
        <v>25838</v>
      </c>
      <c r="BM16" s="53">
        <v>823.43999999999994</v>
      </c>
      <c r="BN16" s="61">
        <f t="shared" si="29"/>
        <v>31.378121053142916</v>
      </c>
      <c r="BO16" s="36"/>
      <c r="BP16" s="53"/>
      <c r="BQ16" s="61">
        <f t="shared" si="30"/>
        <v>0</v>
      </c>
      <c r="BR16" s="36"/>
      <c r="BS16" s="53"/>
      <c r="BT16" s="61">
        <f t="shared" si="31"/>
        <v>0</v>
      </c>
      <c r="BU16" s="36">
        <v>18052</v>
      </c>
      <c r="BV16" s="27">
        <v>1000</v>
      </c>
      <c r="BW16" s="28">
        <f t="shared" si="32"/>
        <v>18.052</v>
      </c>
      <c r="BX16" s="26"/>
      <c r="BY16" s="27"/>
      <c r="BZ16" s="61">
        <f t="shared" si="33"/>
        <v>0</v>
      </c>
      <c r="CA16" s="36"/>
      <c r="CB16" s="481"/>
      <c r="CC16" s="482">
        <f t="shared" si="34"/>
        <v>0</v>
      </c>
      <c r="CD16" s="4"/>
      <c r="CE16" s="5"/>
      <c r="CF16" s="28">
        <f t="shared" si="35"/>
        <v>0</v>
      </c>
      <c r="CG16" s="150"/>
      <c r="CH16" s="4">
        <v>0</v>
      </c>
      <c r="CI16" s="5"/>
      <c r="CJ16" s="5"/>
      <c r="CK16" s="5">
        <v>13887.5</v>
      </c>
      <c r="CL16" s="5"/>
      <c r="CM16" s="5">
        <f t="shared" si="113"/>
        <v>13887.5</v>
      </c>
      <c r="CN16" s="33"/>
      <c r="CO16" s="366"/>
      <c r="CQ16" s="4">
        <f t="shared" si="36"/>
        <v>0</v>
      </c>
      <c r="CR16" s="9">
        <f t="shared" si="36"/>
        <v>0</v>
      </c>
      <c r="CS16" s="5">
        <f t="shared" si="36"/>
        <v>0</v>
      </c>
      <c r="CT16" s="5">
        <f t="shared" si="36"/>
        <v>0</v>
      </c>
      <c r="CU16" s="5">
        <f t="shared" si="36"/>
        <v>0</v>
      </c>
      <c r="CV16" s="5">
        <f t="shared" si="36"/>
        <v>0</v>
      </c>
      <c r="CW16" s="5">
        <f t="shared" si="36"/>
        <v>956.72</v>
      </c>
      <c r="CX16" s="5">
        <f t="shared" si="36"/>
        <v>0</v>
      </c>
      <c r="CY16" s="5">
        <f t="shared" si="36"/>
        <v>4431.26</v>
      </c>
      <c r="CZ16" s="5">
        <f t="shared" si="36"/>
        <v>0</v>
      </c>
      <c r="DA16" s="5">
        <f t="shared" si="36"/>
        <v>1442.96</v>
      </c>
      <c r="DB16" s="12">
        <f t="shared" si="36"/>
        <v>0</v>
      </c>
      <c r="DC16" s="310">
        <f t="shared" si="37"/>
        <v>6830.9400000000005</v>
      </c>
      <c r="DD16" s="2695"/>
      <c r="DE16" s="9"/>
      <c r="DF16" s="9"/>
      <c r="DG16" s="5"/>
      <c r="DH16" s="5"/>
      <c r="DI16" s="5"/>
      <c r="DJ16" s="5"/>
      <c r="DK16" s="5">
        <v>956.72</v>
      </c>
      <c r="DL16" s="5"/>
      <c r="DM16" s="5">
        <v>1465.9</v>
      </c>
      <c r="DN16" s="5"/>
      <c r="DO16" s="5"/>
      <c r="DP16" s="12"/>
      <c r="DQ16" s="28">
        <f t="shared" si="38"/>
        <v>2422.62</v>
      </c>
      <c r="DR16" s="36"/>
      <c r="DS16" s="36"/>
      <c r="DT16" s="27"/>
      <c r="DU16" s="27"/>
      <c r="DV16" s="5"/>
      <c r="DW16" s="5"/>
      <c r="DX16" s="5"/>
      <c r="DY16" s="5"/>
      <c r="DZ16" s="5">
        <v>2965.36</v>
      </c>
      <c r="EA16" s="53"/>
      <c r="EB16" s="27">
        <v>442.96</v>
      </c>
      <c r="EC16" s="33"/>
      <c r="ED16" s="28">
        <f t="shared" si="39"/>
        <v>3408.32</v>
      </c>
      <c r="EE16" s="9"/>
      <c r="EF16" s="9"/>
      <c r="EG16" s="5"/>
      <c r="EH16" s="492"/>
      <c r="EI16" s="27"/>
      <c r="EJ16" s="27"/>
      <c r="EK16" s="27"/>
      <c r="EL16" s="27"/>
      <c r="EM16" s="27">
        <v>0</v>
      </c>
      <c r="EN16" s="27"/>
      <c r="EO16" s="1448">
        <v>1000</v>
      </c>
      <c r="EP16" s="33"/>
      <c r="EQ16" s="28">
        <f t="shared" si="40"/>
        <v>1000</v>
      </c>
      <c r="ER16" s="36"/>
      <c r="ES16" s="27"/>
      <c r="ET16" s="27"/>
      <c r="EU16" s="27"/>
      <c r="EV16" s="27"/>
      <c r="EW16" s="27"/>
      <c r="EX16" s="33">
        <f t="shared" si="41"/>
        <v>0</v>
      </c>
      <c r="EY16" s="2685"/>
      <c r="FA16" s="4">
        <f t="shared" si="42"/>
        <v>0</v>
      </c>
      <c r="FB16" s="5">
        <f t="shared" si="43"/>
        <v>0</v>
      </c>
      <c r="FC16" s="5">
        <f t="shared" si="44"/>
        <v>0</v>
      </c>
      <c r="FD16" s="12">
        <f t="shared" si="45"/>
        <v>0</v>
      </c>
      <c r="FE16" s="33"/>
      <c r="FF16" s="2674"/>
      <c r="FG16" s="9"/>
      <c r="FH16" s="5"/>
      <c r="FI16" s="5"/>
      <c r="FJ16" s="5"/>
      <c r="FK16" s="5"/>
      <c r="FL16" s="27"/>
      <c r="FM16" s="28">
        <f t="shared" si="46"/>
        <v>0</v>
      </c>
      <c r="FN16" s="36"/>
      <c r="FO16" s="27"/>
      <c r="FP16" s="27"/>
      <c r="FQ16" s="27"/>
      <c r="FR16" s="27"/>
      <c r="FS16" s="27"/>
      <c r="FT16" s="28">
        <f t="shared" si="47"/>
        <v>0</v>
      </c>
      <c r="FU16" s="36"/>
      <c r="FV16" s="36"/>
      <c r="FW16" s="27"/>
      <c r="FX16" s="27"/>
      <c r="FY16" s="27"/>
      <c r="FZ16" s="27"/>
      <c r="GA16" s="27"/>
      <c r="GB16" s="27"/>
      <c r="GC16" s="27"/>
      <c r="GD16" s="27"/>
      <c r="GE16" s="27"/>
      <c r="GF16" s="33"/>
      <c r="GG16" s="33">
        <f t="shared" si="48"/>
        <v>0</v>
      </c>
      <c r="GH16" s="2674"/>
      <c r="GJ16" s="4">
        <f t="shared" si="49"/>
        <v>807.75</v>
      </c>
      <c r="GK16" s="64">
        <f t="shared" si="50"/>
        <v>1522.3500000000001</v>
      </c>
      <c r="GL16" s="53">
        <f t="shared" si="51"/>
        <v>9324.4700000000012</v>
      </c>
      <c r="GM16" s="53">
        <f t="shared" si="52"/>
        <v>11654.570000000002</v>
      </c>
      <c r="GN16" s="141"/>
      <c r="GO16" s="141"/>
      <c r="GP16" s="33"/>
      <c r="GQ16" s="2667"/>
      <c r="GR16" s="1120">
        <v>5502.95</v>
      </c>
      <c r="GS16" s="280">
        <v>660.05</v>
      </c>
      <c r="GT16" s="280">
        <v>2592.25</v>
      </c>
      <c r="GU16" s="27">
        <v>2899.3199999999997</v>
      </c>
      <c r="GV16" s="54">
        <f t="shared" si="53"/>
        <v>11654.57</v>
      </c>
      <c r="GW16" s="2667"/>
      <c r="GX16" s="36"/>
      <c r="GY16" s="36"/>
      <c r="GZ16" s="27"/>
      <c r="HA16" s="27"/>
      <c r="HB16" s="27"/>
      <c r="HC16" s="27"/>
      <c r="HD16" s="27"/>
      <c r="HE16" s="27"/>
      <c r="HF16" s="27"/>
      <c r="HG16" s="27"/>
      <c r="HH16" s="27">
        <v>147.69999999999999</v>
      </c>
      <c r="HI16" s="27"/>
      <c r="HJ16" s="27">
        <v>660.05</v>
      </c>
      <c r="HK16" s="27"/>
      <c r="HL16" s="28">
        <f t="shared" si="54"/>
        <v>807.75</v>
      </c>
      <c r="HM16" s="36"/>
      <c r="HN16" s="27"/>
      <c r="HO16" s="27"/>
      <c r="HP16" s="27"/>
      <c r="HQ16" s="27"/>
      <c r="HR16" s="27"/>
      <c r="HS16" s="27"/>
      <c r="HT16" s="27"/>
      <c r="HU16" s="27"/>
      <c r="HV16" s="27"/>
      <c r="HW16" s="27"/>
      <c r="HX16" s="27"/>
      <c r="HY16" s="27"/>
      <c r="HZ16" s="27"/>
      <c r="IA16" s="33">
        <f t="shared" si="55"/>
        <v>0</v>
      </c>
      <c r="IB16" s="52"/>
      <c r="IC16" s="152"/>
      <c r="ID16" s="53"/>
      <c r="IE16" s="53"/>
      <c r="IF16" s="53"/>
      <c r="IG16" s="53"/>
      <c r="IH16" s="53">
        <v>73.400000000000006</v>
      </c>
      <c r="II16" s="53"/>
      <c r="IJ16" s="53">
        <v>1448.95</v>
      </c>
      <c r="IK16" s="53"/>
      <c r="IL16" s="53"/>
      <c r="IM16" s="53"/>
      <c r="IN16" s="53"/>
      <c r="IO16" s="53"/>
      <c r="IP16" s="61">
        <f t="shared" si="56"/>
        <v>1522.3500000000001</v>
      </c>
      <c r="IQ16" s="36"/>
      <c r="IR16" s="36"/>
      <c r="IS16" s="27"/>
      <c r="IT16" s="27"/>
      <c r="IU16" s="53"/>
      <c r="IV16" s="27"/>
      <c r="IW16" s="27"/>
      <c r="IX16" s="27"/>
      <c r="IY16" s="27">
        <v>7215.51</v>
      </c>
      <c r="IZ16" s="27"/>
      <c r="JA16" s="27">
        <v>2108.96</v>
      </c>
      <c r="JB16" s="27"/>
      <c r="JC16" s="27"/>
      <c r="JD16" s="27"/>
      <c r="JE16" s="54">
        <f t="shared" si="57"/>
        <v>9324.4700000000012</v>
      </c>
      <c r="JF16" s="2667"/>
      <c r="JH16" s="52">
        <v>5491.4800000000005</v>
      </c>
      <c r="JI16" s="152">
        <v>6163.0899999999992</v>
      </c>
      <c r="JJ16" s="53"/>
      <c r="JK16" s="53">
        <f t="shared" si="58"/>
        <v>11654.57</v>
      </c>
      <c r="JL16" s="33"/>
      <c r="JM16" s="2669"/>
      <c r="JN16" s="69"/>
      <c r="JO16" s="70"/>
      <c r="JP16" s="70"/>
      <c r="JQ16" s="70"/>
      <c r="JR16" s="850">
        <v>0.80424414902602881</v>
      </c>
      <c r="JS16" s="850">
        <v>0.19575585097397111</v>
      </c>
      <c r="JT16" s="850"/>
      <c r="JU16" s="851"/>
      <c r="JV16" s="849"/>
      <c r="JW16" s="850"/>
      <c r="JX16" s="850"/>
      <c r="JY16" s="850">
        <v>1.2316283502724181E-2</v>
      </c>
      <c r="JZ16" s="850">
        <v>0.60902343953191418</v>
      </c>
      <c r="KA16" s="70">
        <v>0.3786602769653617</v>
      </c>
      <c r="KB16" s="70"/>
      <c r="KC16" s="71"/>
      <c r="KD16" s="21"/>
      <c r="KE16" s="70"/>
      <c r="KF16" s="70"/>
      <c r="KG16" s="70"/>
      <c r="KH16" s="70"/>
      <c r="KI16" s="70"/>
      <c r="KJ16" s="70"/>
      <c r="KK16" s="70"/>
      <c r="KL16" s="33"/>
      <c r="KM16" s="2669"/>
      <c r="KN16" s="36">
        <v>7073</v>
      </c>
      <c r="KO16" s="53">
        <v>0.99</v>
      </c>
      <c r="KP16" s="53">
        <v>2.72</v>
      </c>
      <c r="KQ16" s="53">
        <v>7.14</v>
      </c>
      <c r="KR16" s="54">
        <v>9.9722299999999997</v>
      </c>
      <c r="KS16" s="4">
        <v>6937.8015364916773</v>
      </c>
      <c r="KT16" s="64">
        <v>1.0439948783610755</v>
      </c>
      <c r="KU16" s="64">
        <v>4.6654033290653016</v>
      </c>
      <c r="KV16" s="64">
        <v>6.8401536491677337</v>
      </c>
      <c r="KW16" s="482">
        <v>11.617203236875799</v>
      </c>
      <c r="KX16" s="36"/>
      <c r="KY16" s="53"/>
      <c r="KZ16" s="53"/>
      <c r="LA16" s="53"/>
      <c r="LB16" s="53"/>
      <c r="LC16" s="33"/>
      <c r="LD16" s="2669"/>
      <c r="LF16" s="1121">
        <f t="shared" si="59"/>
        <v>25451.526000000002</v>
      </c>
      <c r="LG16" s="280">
        <f t="shared" si="59"/>
        <v>4496.0940000000001</v>
      </c>
      <c r="LH16" s="280">
        <f t="shared" si="59"/>
        <v>0</v>
      </c>
      <c r="LI16" s="844">
        <f t="shared" si="60"/>
        <v>29947.620000000003</v>
      </c>
      <c r="LJ16" s="36">
        <v>4</v>
      </c>
      <c r="LK16" s="27"/>
      <c r="LL16" s="27">
        <v>4</v>
      </c>
      <c r="LM16" s="33"/>
      <c r="LN16" s="1041">
        <v>6.83</v>
      </c>
      <c r="LO16" s="486"/>
      <c r="LP16" s="2688"/>
      <c r="LQ16" s="867">
        <v>25451.526000000002</v>
      </c>
      <c r="LR16" s="27">
        <v>4496.0940000000001</v>
      </c>
      <c r="LS16" s="27"/>
      <c r="LT16" s="27"/>
      <c r="LU16" s="27"/>
      <c r="LV16" s="1117">
        <f t="shared" si="61"/>
        <v>29947.620000000003</v>
      </c>
      <c r="LW16" s="36"/>
      <c r="LX16" s="36"/>
      <c r="LY16" s="27"/>
      <c r="LZ16" s="27"/>
      <c r="MA16" s="33"/>
      <c r="MB16" s="28">
        <f t="shared" si="62"/>
        <v>0</v>
      </c>
      <c r="MC16" s="36"/>
      <c r="MD16" s="36"/>
      <c r="ME16" s="27"/>
      <c r="MF16" s="27"/>
      <c r="MG16" s="33"/>
      <c r="MH16" s="28"/>
      <c r="MI16" s="36"/>
      <c r="MJ16" s="36"/>
      <c r="MK16" s="27"/>
      <c r="ML16" s="27"/>
      <c r="MM16" s="27"/>
      <c r="MN16" s="28"/>
      <c r="MO16" s="36"/>
      <c r="MP16" s="36"/>
      <c r="MQ16" s="27"/>
      <c r="MR16" s="27"/>
      <c r="MS16" s="27"/>
      <c r="MT16" s="33">
        <f t="shared" si="63"/>
        <v>0</v>
      </c>
      <c r="MU16" s="2688"/>
      <c r="MW16" s="26">
        <f t="shared" si="64"/>
        <v>31154.767944531504</v>
      </c>
      <c r="MX16" s="27">
        <f t="shared" si="65"/>
        <v>124190.15698410172</v>
      </c>
      <c r="MY16" s="27">
        <f t="shared" si="66"/>
        <v>23570.613116668148</v>
      </c>
      <c r="MZ16" s="28">
        <f t="shared" si="67"/>
        <v>437546.06665121421</v>
      </c>
      <c r="NA16" s="2621"/>
      <c r="NB16" s="23">
        <f t="shared" si="68"/>
        <v>17933.180197190562</v>
      </c>
      <c r="NC16" s="64">
        <f t="shared" si="69"/>
        <v>13221.587747340942</v>
      </c>
      <c r="ND16" s="60">
        <f t="shared" si="70"/>
        <v>0</v>
      </c>
      <c r="NE16" s="275">
        <f t="shared" si="4"/>
        <v>31154.767944531504</v>
      </c>
      <c r="NF16" s="26">
        <f t="shared" si="71"/>
        <v>0</v>
      </c>
      <c r="NG16" s="27">
        <f t="shared" si="71"/>
        <v>0</v>
      </c>
      <c r="NH16" s="27">
        <f t="shared" si="71"/>
        <v>0</v>
      </c>
      <c r="NI16" s="27">
        <f t="shared" si="71"/>
        <v>0</v>
      </c>
      <c r="NJ16" s="27">
        <f t="shared" si="71"/>
        <v>0</v>
      </c>
      <c r="NK16" s="33">
        <f t="shared" si="71"/>
        <v>0</v>
      </c>
      <c r="NL16" s="27">
        <f t="shared" si="71"/>
        <v>0</v>
      </c>
      <c r="NM16" s="36">
        <f t="shared" si="71"/>
        <v>0</v>
      </c>
      <c r="NN16" s="27">
        <f t="shared" si="71"/>
        <v>35881.17202703275</v>
      </c>
      <c r="NO16" s="27">
        <f t="shared" si="71"/>
        <v>0</v>
      </c>
      <c r="NP16" s="24">
        <f t="shared" si="114"/>
        <v>8756.5482322711578</v>
      </c>
      <c r="NQ16" s="24">
        <f t="shared" si="115"/>
        <v>14899.685013230799</v>
      </c>
      <c r="NR16" s="27">
        <f t="shared" si="0"/>
        <v>59537.405272534714</v>
      </c>
      <c r="NS16" s="27">
        <f t="shared" si="72"/>
        <v>0</v>
      </c>
      <c r="NT16" s="27">
        <f t="shared" si="72"/>
        <v>0</v>
      </c>
      <c r="NU16" s="27">
        <f t="shared" si="72"/>
        <v>0</v>
      </c>
      <c r="NV16" s="27">
        <f t="shared" si="72"/>
        <v>0</v>
      </c>
      <c r="NW16" s="27">
        <f t="shared" si="72"/>
        <v>0</v>
      </c>
      <c r="NX16" s="27">
        <f t="shared" si="72"/>
        <v>0</v>
      </c>
      <c r="NY16" s="27">
        <f t="shared" si="72"/>
        <v>3535.4546092523792</v>
      </c>
      <c r="NZ16" s="27">
        <f t="shared" si="72"/>
        <v>0</v>
      </c>
      <c r="OA16" s="27">
        <f t="shared" si="72"/>
        <v>3376.225702262248</v>
      </c>
      <c r="OB16" s="280"/>
      <c r="OC16" s="24">
        <f t="shared" si="73"/>
        <v>1565.61197844705</v>
      </c>
      <c r="OD16" s="27">
        <f t="shared" si="73"/>
        <v>0</v>
      </c>
      <c r="OE16" s="28">
        <f t="shared" si="1"/>
        <v>8477.2922899616769</v>
      </c>
      <c r="OF16" s="27">
        <f t="shared" si="74"/>
        <v>0</v>
      </c>
      <c r="OG16" s="27">
        <f t="shared" si="74"/>
        <v>0</v>
      </c>
      <c r="OH16" s="27">
        <f t="shared" si="74"/>
        <v>0</v>
      </c>
      <c r="OI16" s="27">
        <f t="shared" si="74"/>
        <v>0</v>
      </c>
      <c r="OJ16" s="27">
        <f t="shared" si="74"/>
        <v>0</v>
      </c>
      <c r="OK16" s="27">
        <f t="shared" si="74"/>
        <v>0</v>
      </c>
      <c r="OL16" s="24">
        <v>0</v>
      </c>
      <c r="OM16" s="27">
        <f t="shared" si="74"/>
        <v>0</v>
      </c>
      <c r="ON16" s="24">
        <f t="shared" si="74"/>
        <v>53130.180253800216</v>
      </c>
      <c r="OO16" s="27">
        <f t="shared" si="74"/>
        <v>0</v>
      </c>
      <c r="OP16" s="27">
        <f t="shared" si="74"/>
        <v>3045.2791678050999</v>
      </c>
      <c r="OQ16" s="27">
        <f t="shared" si="74"/>
        <v>0</v>
      </c>
      <c r="OR16" s="28">
        <f t="shared" si="2"/>
        <v>56175.459421605316</v>
      </c>
      <c r="OS16" s="36"/>
      <c r="OT16" s="27"/>
      <c r="OU16" s="27"/>
      <c r="OV16" s="27"/>
      <c r="OW16" s="27"/>
      <c r="OX16" s="27"/>
      <c r="OY16" s="28">
        <f t="shared" si="75"/>
        <v>0</v>
      </c>
      <c r="OZ16" s="36">
        <f t="shared" si="76"/>
        <v>0</v>
      </c>
      <c r="PA16" s="27">
        <f t="shared" si="77"/>
        <v>0</v>
      </c>
      <c r="PB16" s="27">
        <f t="shared" si="78"/>
        <v>0</v>
      </c>
      <c r="PC16" s="27">
        <f t="shared" si="79"/>
        <v>0</v>
      </c>
      <c r="PD16" s="27">
        <f t="shared" si="80"/>
        <v>0</v>
      </c>
      <c r="PE16" s="27">
        <f t="shared" si="81"/>
        <v>0</v>
      </c>
      <c r="PF16" s="33">
        <f t="shared" si="3"/>
        <v>0</v>
      </c>
      <c r="PG16" s="2621"/>
      <c r="PI16" s="2">
        <v>672.02</v>
      </c>
      <c r="PJ16" s="3">
        <v>286.00000000000011</v>
      </c>
      <c r="PK16" s="3">
        <v>132</v>
      </c>
      <c r="PL16" s="3">
        <f t="shared" si="116"/>
        <v>660.05</v>
      </c>
      <c r="PM16" s="3">
        <f t="shared" si="82"/>
        <v>2725.3397377964552</v>
      </c>
      <c r="PN16" s="11">
        <f t="shared" si="117"/>
        <v>23570.613116668148</v>
      </c>
      <c r="PO16" s="15"/>
      <c r="PP16" s="2615"/>
      <c r="PR16" s="4"/>
      <c r="PS16" s="9"/>
      <c r="PT16" s="9"/>
      <c r="PU16" s="9"/>
      <c r="PV16" s="9"/>
      <c r="PW16" s="9"/>
      <c r="PX16" s="8">
        <f t="shared" si="83"/>
        <v>0</v>
      </c>
      <c r="PY16" s="5">
        <f t="shared" si="84"/>
        <v>672.02</v>
      </c>
      <c r="PZ16" s="5"/>
      <c r="QA16" s="5"/>
      <c r="QB16" s="5"/>
      <c r="QC16" s="5"/>
      <c r="QD16" s="5"/>
      <c r="QE16" s="12">
        <f t="shared" si="85"/>
        <v>29749.381073161156</v>
      </c>
      <c r="QF16" s="420">
        <f t="shared" si="86"/>
        <v>406948.70557805308</v>
      </c>
      <c r="QG16" s="1106">
        <f t="shared" si="87"/>
        <v>847.98</v>
      </c>
      <c r="QH16" s="484">
        <f t="shared" si="88"/>
        <v>5505.3678056100007</v>
      </c>
      <c r="QI16" s="12"/>
      <c r="QJ16" s="2615"/>
      <c r="QL16" s="139">
        <f t="shared" si="89"/>
        <v>0</v>
      </c>
      <c r="QM16" s="139" t="str">
        <f t="shared" si="90"/>
        <v/>
      </c>
      <c r="QO16" s="139">
        <f t="shared" si="91"/>
        <v>0</v>
      </c>
      <c r="QP16" s="139">
        <f t="shared" si="92"/>
        <v>0</v>
      </c>
      <c r="QR16" s="1">
        <f t="shared" si="93"/>
        <v>0</v>
      </c>
      <c r="QS16" s="1">
        <f t="shared" si="94"/>
        <v>0</v>
      </c>
      <c r="QT16" s="1">
        <f t="shared" si="95"/>
        <v>0</v>
      </c>
      <c r="QU16" s="1">
        <f t="shared" si="96"/>
        <v>0</v>
      </c>
      <c r="QV16" s="1">
        <f t="shared" si="97"/>
        <v>0</v>
      </c>
      <c r="QW16" s="1">
        <f t="shared" si="98"/>
        <v>0</v>
      </c>
      <c r="QY16" s="1">
        <f t="shared" si="99"/>
        <v>0</v>
      </c>
      <c r="QZ16" s="1">
        <f t="shared" si="100"/>
        <v>0</v>
      </c>
      <c r="RA16" s="1">
        <f t="shared" si="101"/>
        <v>0</v>
      </c>
      <c r="RB16" s="1">
        <f t="shared" si="102"/>
        <v>0</v>
      </c>
      <c r="RC16" s="1">
        <f t="shared" si="103"/>
        <v>0</v>
      </c>
      <c r="RD16" s="1">
        <f t="shared" si="104"/>
        <v>0</v>
      </c>
      <c r="RG16" s="1">
        <v>7</v>
      </c>
      <c r="RH16" s="1">
        <f t="shared" si="105"/>
        <v>-11196.32974891684</v>
      </c>
      <c r="RI16" s="1">
        <f t="shared" si="105"/>
        <v>-6245.5204501377211</v>
      </c>
      <c r="RJ16" s="1">
        <f t="shared" si="105"/>
        <v>9178.5689913333827</v>
      </c>
      <c r="RK16" s="89">
        <f t="shared" si="5"/>
        <v>-8263.2812077211802</v>
      </c>
      <c r="RL16" s="1033">
        <v>7</v>
      </c>
      <c r="RM16" s="1098">
        <f t="shared" si="118"/>
        <v>0</v>
      </c>
      <c r="RN16" s="1098">
        <f t="shared" si="106"/>
        <v>0</v>
      </c>
      <c r="RO16" s="1097">
        <f t="shared" si="106"/>
        <v>0</v>
      </c>
      <c r="RP16" s="1097">
        <f t="shared" si="107"/>
        <v>5830.94</v>
      </c>
      <c r="RQ16" s="1094"/>
      <c r="RR16" s="1094" t="s">
        <v>754</v>
      </c>
      <c r="RU16" s="421">
        <v>7</v>
      </c>
      <c r="RV16" s="1095">
        <f t="shared" si="108"/>
        <v>11654.57</v>
      </c>
      <c r="RW16" s="1094" t="s">
        <v>755</v>
      </c>
      <c r="RY16" s="1090"/>
      <c r="RZ16" s="1090">
        <f t="shared" si="109"/>
        <v>0</v>
      </c>
      <c r="SA16" s="1090"/>
      <c r="SB16" s="1090">
        <f t="shared" si="110"/>
        <v>0</v>
      </c>
      <c r="SD16" s="1">
        <v>7</v>
      </c>
      <c r="SE16" s="1">
        <f t="shared" si="111"/>
        <v>660.05</v>
      </c>
      <c r="SF16" s="1094" t="s">
        <v>756</v>
      </c>
    </row>
    <row r="17" spans="1:500" s="1" customFormat="1">
      <c r="B17" s="471">
        <v>8</v>
      </c>
      <c r="C17" s="4">
        <f t="shared" si="6"/>
        <v>147587</v>
      </c>
      <c r="D17" s="64">
        <f t="shared" si="112"/>
        <v>6143.1</v>
      </c>
      <c r="E17" s="61">
        <f t="shared" si="7"/>
        <v>24.024840878383877</v>
      </c>
      <c r="F17" s="870"/>
      <c r="G17" s="870"/>
      <c r="H17" s="52">
        <v>53</v>
      </c>
      <c r="I17" s="61">
        <v>11.17</v>
      </c>
      <c r="J17" s="52"/>
      <c r="K17" s="54"/>
      <c r="L17" s="52">
        <v>5.33</v>
      </c>
      <c r="M17" s="61">
        <v>3.86</v>
      </c>
      <c r="N17" s="2629"/>
      <c r="O17" s="4">
        <f t="shared" si="8"/>
        <v>85554</v>
      </c>
      <c r="P17" s="1225">
        <f t="shared" si="9"/>
        <v>3794.2000000000003</v>
      </c>
      <c r="Q17" s="64">
        <f t="shared" si="10"/>
        <v>22.5486268515102</v>
      </c>
      <c r="R17" s="33"/>
      <c r="S17" s="26">
        <f t="shared" si="11"/>
        <v>29278</v>
      </c>
      <c r="T17" s="27">
        <f t="shared" si="12"/>
        <v>788.90000000000009</v>
      </c>
      <c r="U17" s="53">
        <f t="shared" si="13"/>
        <v>37.11243503612625</v>
      </c>
      <c r="W17" s="26">
        <f t="shared" si="14"/>
        <v>32755</v>
      </c>
      <c r="X17" s="5">
        <f t="shared" si="14"/>
        <v>1560</v>
      </c>
      <c r="Y17" s="53">
        <f t="shared" si="15"/>
        <v>20.996794871794872</v>
      </c>
      <c r="Z17" s="33"/>
      <c r="AA17" s="26">
        <f t="shared" si="16"/>
        <v>0</v>
      </c>
      <c r="AB17" s="27">
        <f t="shared" si="17"/>
        <v>0</v>
      </c>
      <c r="AC17" s="53">
        <f t="shared" si="18"/>
        <v>0</v>
      </c>
      <c r="AD17" s="28"/>
      <c r="AE17" s="36"/>
      <c r="AF17" s="36"/>
      <c r="AG17" s="53">
        <f t="shared" si="19"/>
        <v>0</v>
      </c>
      <c r="AH17" s="28"/>
      <c r="AI17" s="26"/>
      <c r="AJ17" s="27"/>
      <c r="AK17" s="53">
        <f t="shared" si="20"/>
        <v>0</v>
      </c>
      <c r="AL17" s="28"/>
      <c r="AM17" s="2629"/>
      <c r="AN17" s="9"/>
      <c r="AO17" s="5"/>
      <c r="AP17" s="61">
        <f t="shared" si="21"/>
        <v>0</v>
      </c>
      <c r="AQ17" s="36"/>
      <c r="AR17" s="53"/>
      <c r="AS17" s="61">
        <f t="shared" si="22"/>
        <v>0</v>
      </c>
      <c r="AT17" s="36">
        <v>0</v>
      </c>
      <c r="AU17" s="27"/>
      <c r="AV17" s="61">
        <f t="shared" si="23"/>
        <v>0</v>
      </c>
      <c r="AW17" s="36">
        <v>52668</v>
      </c>
      <c r="AX17" s="27">
        <v>2224.44</v>
      </c>
      <c r="AY17" s="61">
        <f t="shared" si="24"/>
        <v>23.676970383557208</v>
      </c>
      <c r="AZ17" s="36"/>
      <c r="BA17" s="27"/>
      <c r="BB17" s="61">
        <f t="shared" si="25"/>
        <v>0</v>
      </c>
      <c r="BC17" s="36">
        <v>32886</v>
      </c>
      <c r="BD17" s="27">
        <v>1569.7600000000002</v>
      </c>
      <c r="BE17" s="61">
        <f t="shared" si="26"/>
        <v>20.949699317093057</v>
      </c>
      <c r="BF17" s="36"/>
      <c r="BG17" s="53"/>
      <c r="BH17" s="61">
        <f t="shared" si="27"/>
        <v>0</v>
      </c>
      <c r="BI17" s="36">
        <v>0</v>
      </c>
      <c r="BJ17" s="53">
        <v>0</v>
      </c>
      <c r="BK17" s="61">
        <f t="shared" si="28"/>
        <v>0</v>
      </c>
      <c r="BL17" s="52">
        <v>29278</v>
      </c>
      <c r="BM17" s="53">
        <v>788.90000000000009</v>
      </c>
      <c r="BN17" s="61">
        <f t="shared" si="29"/>
        <v>37.11243503612625</v>
      </c>
      <c r="BO17" s="36"/>
      <c r="BP17" s="53"/>
      <c r="BQ17" s="61">
        <f t="shared" si="30"/>
        <v>0</v>
      </c>
      <c r="BR17" s="36"/>
      <c r="BS17" s="53"/>
      <c r="BT17" s="61">
        <f t="shared" si="31"/>
        <v>0</v>
      </c>
      <c r="BU17" s="36">
        <v>32755</v>
      </c>
      <c r="BV17" s="27">
        <v>1560</v>
      </c>
      <c r="BW17" s="28">
        <f t="shared" si="32"/>
        <v>20.996794871794872</v>
      </c>
      <c r="BX17" s="26"/>
      <c r="BY17" s="27"/>
      <c r="BZ17" s="61">
        <f t="shared" si="33"/>
        <v>0</v>
      </c>
      <c r="CA17" s="36"/>
      <c r="CB17" s="481"/>
      <c r="CC17" s="482">
        <f t="shared" si="34"/>
        <v>0</v>
      </c>
      <c r="CD17" s="4"/>
      <c r="CE17" s="5"/>
      <c r="CF17" s="28">
        <f t="shared" si="35"/>
        <v>0</v>
      </c>
      <c r="CG17" s="150"/>
      <c r="CH17" s="4">
        <v>0</v>
      </c>
      <c r="CI17" s="5"/>
      <c r="CJ17" s="5"/>
      <c r="CK17" s="5">
        <v>11075</v>
      </c>
      <c r="CL17" s="5"/>
      <c r="CM17" s="5">
        <f t="shared" si="113"/>
        <v>11075</v>
      </c>
      <c r="CN17" s="33"/>
      <c r="CO17" s="366"/>
      <c r="CQ17" s="4">
        <f t="shared" si="36"/>
        <v>0</v>
      </c>
      <c r="CR17" s="9">
        <f t="shared" si="36"/>
        <v>0</v>
      </c>
      <c r="CS17" s="5">
        <f t="shared" si="36"/>
        <v>0</v>
      </c>
      <c r="CT17" s="5">
        <f t="shared" si="36"/>
        <v>0</v>
      </c>
      <c r="CU17" s="5">
        <f t="shared" si="36"/>
        <v>0</v>
      </c>
      <c r="CV17" s="5">
        <f t="shared" si="36"/>
        <v>0</v>
      </c>
      <c r="CW17" s="5">
        <f t="shared" si="36"/>
        <v>1193.4000000000001</v>
      </c>
      <c r="CX17" s="5">
        <f t="shared" si="36"/>
        <v>0</v>
      </c>
      <c r="CY17" s="5">
        <f t="shared" si="36"/>
        <v>1045.54</v>
      </c>
      <c r="CZ17" s="5">
        <f t="shared" si="36"/>
        <v>0</v>
      </c>
      <c r="DA17" s="5">
        <f t="shared" si="36"/>
        <v>3129.76</v>
      </c>
      <c r="DB17" s="12">
        <f t="shared" si="36"/>
        <v>0</v>
      </c>
      <c r="DC17" s="310">
        <f t="shared" si="37"/>
        <v>6143.1</v>
      </c>
      <c r="DD17" s="2695"/>
      <c r="DE17" s="9"/>
      <c r="DF17" s="9"/>
      <c r="DG17" s="5"/>
      <c r="DH17" s="5"/>
      <c r="DI17" s="5"/>
      <c r="DJ17" s="5"/>
      <c r="DK17" s="5">
        <v>1193.4000000000001</v>
      </c>
      <c r="DL17" s="5"/>
      <c r="DM17" s="5">
        <v>256.64</v>
      </c>
      <c r="DN17" s="5"/>
      <c r="DO17" s="5"/>
      <c r="DP17" s="12"/>
      <c r="DQ17" s="28">
        <f t="shared" si="38"/>
        <v>1450.04</v>
      </c>
      <c r="DR17" s="36"/>
      <c r="DS17" s="36"/>
      <c r="DT17" s="27"/>
      <c r="DU17" s="27"/>
      <c r="DV17" s="5"/>
      <c r="DW17" s="5"/>
      <c r="DX17" s="5"/>
      <c r="DY17" s="5"/>
      <c r="DZ17" s="5">
        <v>788.9</v>
      </c>
      <c r="EA17" s="53"/>
      <c r="EB17" s="27">
        <v>1569.76</v>
      </c>
      <c r="EC17" s="33"/>
      <c r="ED17" s="28">
        <f t="shared" si="39"/>
        <v>2358.66</v>
      </c>
      <c r="EE17" s="9"/>
      <c r="EF17" s="9"/>
      <c r="EG17" s="5"/>
      <c r="EH17" s="492"/>
      <c r="EI17" s="27"/>
      <c r="EJ17" s="27"/>
      <c r="EK17" s="27"/>
      <c r="EL17" s="27"/>
      <c r="EM17" s="27">
        <v>0</v>
      </c>
      <c r="EN17" s="27"/>
      <c r="EO17" s="27">
        <v>1560</v>
      </c>
      <c r="EP17" s="33"/>
      <c r="EQ17" s="28">
        <f t="shared" si="40"/>
        <v>1560</v>
      </c>
      <c r="ER17" s="36"/>
      <c r="ES17" s="27"/>
      <c r="ET17" s="27"/>
      <c r="EU17" s="27"/>
      <c r="EV17" s="27"/>
      <c r="EW17" s="27"/>
      <c r="EX17" s="33">
        <f t="shared" si="41"/>
        <v>0</v>
      </c>
      <c r="EY17" s="2685"/>
      <c r="FA17" s="4">
        <f t="shared" si="42"/>
        <v>0</v>
      </c>
      <c r="FB17" s="5">
        <f t="shared" si="43"/>
        <v>0</v>
      </c>
      <c r="FC17" s="5">
        <f t="shared" si="44"/>
        <v>0</v>
      </c>
      <c r="FD17" s="12">
        <f t="shared" si="45"/>
        <v>0</v>
      </c>
      <c r="FE17" s="33"/>
      <c r="FF17" s="2674"/>
      <c r="FG17" s="9"/>
      <c r="FH17" s="5"/>
      <c r="FI17" s="5"/>
      <c r="FJ17" s="5"/>
      <c r="FK17" s="5"/>
      <c r="FL17" s="27"/>
      <c r="FM17" s="28">
        <f t="shared" si="46"/>
        <v>0</v>
      </c>
      <c r="FN17" s="36"/>
      <c r="FO17" s="27"/>
      <c r="FP17" s="27"/>
      <c r="FQ17" s="27"/>
      <c r="FR17" s="27"/>
      <c r="FS17" s="27"/>
      <c r="FT17" s="28">
        <f t="shared" si="47"/>
        <v>0</v>
      </c>
      <c r="FU17" s="36"/>
      <c r="FV17" s="36"/>
      <c r="FW17" s="27"/>
      <c r="FX17" s="27"/>
      <c r="FY17" s="27"/>
      <c r="FZ17" s="27"/>
      <c r="GA17" s="27"/>
      <c r="GB17" s="27"/>
      <c r="GC17" s="27"/>
      <c r="GD17" s="27"/>
      <c r="GE17" s="27"/>
      <c r="GF17" s="33"/>
      <c r="GG17" s="33">
        <f t="shared" si="48"/>
        <v>0</v>
      </c>
      <c r="GH17" s="2674"/>
      <c r="GJ17" s="4">
        <f t="shared" si="49"/>
        <v>0</v>
      </c>
      <c r="GK17" s="64">
        <f t="shared" si="50"/>
        <v>1047</v>
      </c>
      <c r="GL17" s="53">
        <f t="shared" si="51"/>
        <v>8506.4100000000017</v>
      </c>
      <c r="GM17" s="53">
        <f t="shared" si="52"/>
        <v>9553.4100000000017</v>
      </c>
      <c r="GN17" s="141"/>
      <c r="GO17" s="141"/>
      <c r="GP17" s="33"/>
      <c r="GQ17" s="2667"/>
      <c r="GR17" s="1120">
        <v>4244.6500000000005</v>
      </c>
      <c r="GS17" s="280"/>
      <c r="GT17" s="27">
        <v>2850.9799999999996</v>
      </c>
      <c r="GU17" s="27">
        <v>2457.7799999999997</v>
      </c>
      <c r="GV17" s="54">
        <f t="shared" si="53"/>
        <v>9553.41</v>
      </c>
      <c r="GW17" s="2667"/>
      <c r="GX17" s="36"/>
      <c r="GY17" s="36"/>
      <c r="GZ17" s="27"/>
      <c r="HA17" s="27"/>
      <c r="HB17" s="27"/>
      <c r="HC17" s="27"/>
      <c r="HD17" s="27"/>
      <c r="HE17" s="27"/>
      <c r="HF17" s="27"/>
      <c r="HG17" s="27"/>
      <c r="HH17" s="27"/>
      <c r="HI17" s="27"/>
      <c r="HJ17" s="27"/>
      <c r="HK17" s="27"/>
      <c r="HL17" s="28">
        <f t="shared" si="54"/>
        <v>0</v>
      </c>
      <c r="HM17" s="36"/>
      <c r="HN17" s="27"/>
      <c r="HO17" s="27"/>
      <c r="HP17" s="27"/>
      <c r="HQ17" s="27"/>
      <c r="HR17" s="27"/>
      <c r="HS17" s="27"/>
      <c r="HT17" s="27"/>
      <c r="HU17" s="27"/>
      <c r="HV17" s="27"/>
      <c r="HW17" s="27"/>
      <c r="HX17" s="27"/>
      <c r="HY17" s="27"/>
      <c r="HZ17" s="27"/>
      <c r="IA17" s="33">
        <f t="shared" si="55"/>
        <v>0</v>
      </c>
      <c r="IB17" s="52"/>
      <c r="IC17" s="152"/>
      <c r="ID17" s="53"/>
      <c r="IE17" s="53"/>
      <c r="IF17" s="64"/>
      <c r="IG17" s="64"/>
      <c r="IH17" s="64"/>
      <c r="II17" s="64"/>
      <c r="IJ17" s="53">
        <v>1047</v>
      </c>
      <c r="IK17" s="53"/>
      <c r="IL17" s="53"/>
      <c r="IM17" s="53"/>
      <c r="IN17" s="53"/>
      <c r="IO17" s="53"/>
      <c r="IP17" s="61">
        <f t="shared" si="56"/>
        <v>1047</v>
      </c>
      <c r="IQ17" s="36"/>
      <c r="IR17" s="36"/>
      <c r="IS17" s="27"/>
      <c r="IT17" s="27"/>
      <c r="IU17" s="53"/>
      <c r="IV17" s="27"/>
      <c r="IW17" s="53"/>
      <c r="IX17" s="27"/>
      <c r="IY17" s="27">
        <v>8506.4100000000017</v>
      </c>
      <c r="IZ17" s="27"/>
      <c r="JA17" s="27"/>
      <c r="JB17" s="27"/>
      <c r="JC17" s="27"/>
      <c r="JD17" s="27"/>
      <c r="JE17" s="33">
        <f t="shared" si="57"/>
        <v>8506.4100000000017</v>
      </c>
      <c r="JF17" s="2667"/>
      <c r="JH17" s="52">
        <v>9553.4100000000017</v>
      </c>
      <c r="JI17" s="152"/>
      <c r="JJ17" s="53"/>
      <c r="JK17" s="53">
        <f t="shared" si="58"/>
        <v>9553.4100000000017</v>
      </c>
      <c r="JL17" s="33"/>
      <c r="JM17" s="2669"/>
      <c r="JN17" s="69"/>
      <c r="JO17" s="70"/>
      <c r="JP17" s="70"/>
      <c r="JQ17" s="70"/>
      <c r="JR17" s="70">
        <v>1</v>
      </c>
      <c r="JS17" s="70"/>
      <c r="JT17" s="70"/>
      <c r="JU17" s="71"/>
      <c r="JV17" s="69"/>
      <c r="JW17" s="70"/>
      <c r="JX17" s="70"/>
      <c r="JY17" s="70"/>
      <c r="JZ17" s="70"/>
      <c r="KA17" s="70"/>
      <c r="KB17" s="70"/>
      <c r="KC17" s="71"/>
      <c r="KD17" s="69"/>
      <c r="KE17" s="70"/>
      <c r="KF17" s="70"/>
      <c r="KG17" s="70"/>
      <c r="KH17" s="70"/>
      <c r="KI17" s="70"/>
      <c r="KJ17" s="70"/>
      <c r="KK17" s="70"/>
      <c r="KL17" s="33"/>
      <c r="KM17" s="2669"/>
      <c r="KN17" s="36">
        <v>7040.2581605419828</v>
      </c>
      <c r="KO17" s="53">
        <v>0.6164052555943339</v>
      </c>
      <c r="KP17" s="53">
        <v>3.6199106959556557</v>
      </c>
      <c r="KQ17" s="53">
        <v>6.728132826934921</v>
      </c>
      <c r="KR17" s="54">
        <v>11.167332995688771</v>
      </c>
      <c r="KS17" s="4">
        <v>0</v>
      </c>
      <c r="KT17" s="64">
        <v>0</v>
      </c>
      <c r="KU17" s="64">
        <v>0</v>
      </c>
      <c r="KV17" s="64">
        <v>0</v>
      </c>
      <c r="KW17" s="482">
        <v>0</v>
      </c>
      <c r="KX17" s="36"/>
      <c r="KY17" s="53"/>
      <c r="KZ17" s="53"/>
      <c r="LA17" s="53"/>
      <c r="LB17" s="53"/>
      <c r="LC17" s="33"/>
      <c r="LD17" s="2669"/>
      <c r="LF17" s="26">
        <f t="shared" si="59"/>
        <v>6068.2640000000001</v>
      </c>
      <c r="LG17" s="27">
        <f t="shared" si="59"/>
        <v>1517.066</v>
      </c>
      <c r="LH17" s="27">
        <f t="shared" si="59"/>
        <v>0</v>
      </c>
      <c r="LI17" s="28">
        <f t="shared" si="60"/>
        <v>7585.33</v>
      </c>
      <c r="LJ17" s="36">
        <v>1</v>
      </c>
      <c r="LK17" s="27"/>
      <c r="LL17" s="27">
        <v>3</v>
      </c>
      <c r="LM17" s="33"/>
      <c r="LN17" s="1041">
        <v>6.3</v>
      </c>
      <c r="LO17" s="486"/>
      <c r="LP17" s="2688"/>
      <c r="LQ17" s="21">
        <v>6068.2640000000001</v>
      </c>
      <c r="LR17" s="27">
        <v>1517.066</v>
      </c>
      <c r="LS17" s="27"/>
      <c r="LT17" s="27"/>
      <c r="LU17" s="27"/>
      <c r="LV17" s="1117">
        <f t="shared" si="61"/>
        <v>7585.33</v>
      </c>
      <c r="LW17" s="36"/>
      <c r="LX17" s="36"/>
      <c r="LY17" s="27"/>
      <c r="LZ17" s="27"/>
      <c r="MA17" s="33"/>
      <c r="MB17" s="28">
        <f t="shared" si="62"/>
        <v>0</v>
      </c>
      <c r="MC17" s="26"/>
      <c r="MD17" s="36"/>
      <c r="ME17" s="27"/>
      <c r="MF17" s="27"/>
      <c r="MG17" s="27"/>
      <c r="MH17" s="28"/>
      <c r="MI17" s="36"/>
      <c r="MJ17" s="36"/>
      <c r="MK17" s="27"/>
      <c r="ML17" s="27"/>
      <c r="MM17" s="27"/>
      <c r="MN17" s="28"/>
      <c r="MO17" s="36"/>
      <c r="MP17" s="36"/>
      <c r="MQ17" s="27"/>
      <c r="MR17" s="27"/>
      <c r="MS17" s="27"/>
      <c r="MT17" s="33">
        <f t="shared" si="63"/>
        <v>0</v>
      </c>
      <c r="MU17" s="2688"/>
      <c r="MW17" s="26">
        <f t="shared" si="64"/>
        <v>33122.847944531502</v>
      </c>
      <c r="MX17" s="27">
        <f t="shared" si="65"/>
        <v>120005.4469841017</v>
      </c>
      <c r="MY17" s="27">
        <f t="shared" si="66"/>
        <v>24083.613116668148</v>
      </c>
      <c r="MZ17" s="28">
        <f t="shared" si="67"/>
        <v>438489.24665121426</v>
      </c>
      <c r="NA17" s="2621"/>
      <c r="NB17" s="23">
        <f t="shared" si="68"/>
        <v>21418.326197190563</v>
      </c>
      <c r="NC17" s="64">
        <f t="shared" si="69"/>
        <v>11704.521747340941</v>
      </c>
      <c r="ND17" s="60">
        <f t="shared" si="70"/>
        <v>0</v>
      </c>
      <c r="NE17" s="275">
        <f t="shared" si="4"/>
        <v>33122.847944531502</v>
      </c>
      <c r="NF17" s="26">
        <f t="shared" si="71"/>
        <v>0</v>
      </c>
      <c r="NG17" s="27">
        <f t="shared" si="71"/>
        <v>0</v>
      </c>
      <c r="NH17" s="27">
        <f t="shared" si="71"/>
        <v>0</v>
      </c>
      <c r="NI17" s="27">
        <f t="shared" si="71"/>
        <v>0</v>
      </c>
      <c r="NJ17" s="27">
        <f t="shared" si="71"/>
        <v>0</v>
      </c>
      <c r="NK17" s="33">
        <f t="shared" si="71"/>
        <v>0</v>
      </c>
      <c r="NL17" s="27">
        <f t="shared" si="71"/>
        <v>0</v>
      </c>
      <c r="NM17" s="36">
        <f t="shared" si="71"/>
        <v>0</v>
      </c>
      <c r="NN17" s="27">
        <f t="shared" si="71"/>
        <v>35881.17202703275</v>
      </c>
      <c r="NO17" s="27">
        <f t="shared" si="71"/>
        <v>0</v>
      </c>
      <c r="NP17" s="24">
        <f t="shared" si="114"/>
        <v>8756.5482322711578</v>
      </c>
      <c r="NQ17" s="24">
        <f t="shared" si="115"/>
        <v>16459.685013230799</v>
      </c>
      <c r="NR17" s="27">
        <f t="shared" si="0"/>
        <v>61097.405272534714</v>
      </c>
      <c r="NS17" s="27">
        <f t="shared" si="72"/>
        <v>0</v>
      </c>
      <c r="NT17" s="27">
        <f t="shared" si="72"/>
        <v>0</v>
      </c>
      <c r="NU17" s="27">
        <f t="shared" si="72"/>
        <v>0</v>
      </c>
      <c r="NV17" s="27">
        <f t="shared" si="72"/>
        <v>0</v>
      </c>
      <c r="NW17" s="27">
        <f t="shared" si="72"/>
        <v>0</v>
      </c>
      <c r="NX17" s="27">
        <f t="shared" si="72"/>
        <v>0</v>
      </c>
      <c r="NY17" s="27">
        <f t="shared" si="72"/>
        <v>4728.8546092523793</v>
      </c>
      <c r="NZ17" s="27">
        <f t="shared" si="72"/>
        <v>0</v>
      </c>
      <c r="OA17" s="27">
        <f t="shared" si="72"/>
        <v>2585.8657022622479</v>
      </c>
      <c r="OB17" s="280"/>
      <c r="OC17" s="24">
        <f t="shared" si="73"/>
        <v>1565.61197844705</v>
      </c>
      <c r="OD17" s="27">
        <f t="shared" si="73"/>
        <v>0</v>
      </c>
      <c r="OE17" s="28">
        <f t="shared" si="1"/>
        <v>8880.3322899616778</v>
      </c>
      <c r="OF17" s="27">
        <f t="shared" si="74"/>
        <v>0</v>
      </c>
      <c r="OG17" s="27">
        <f t="shared" si="74"/>
        <v>0</v>
      </c>
      <c r="OH17" s="27">
        <f t="shared" si="74"/>
        <v>0</v>
      </c>
      <c r="OI17" s="27">
        <f t="shared" si="74"/>
        <v>0</v>
      </c>
      <c r="OJ17" s="27">
        <f t="shared" si="74"/>
        <v>0</v>
      </c>
      <c r="OK17" s="27">
        <f t="shared" si="74"/>
        <v>0</v>
      </c>
      <c r="OL17" s="24">
        <f t="shared" si="74"/>
        <v>0</v>
      </c>
      <c r="OM17" s="27">
        <f t="shared" si="74"/>
        <v>0</v>
      </c>
      <c r="ON17" s="24">
        <f t="shared" si="74"/>
        <v>45412.670253800214</v>
      </c>
      <c r="OO17" s="27">
        <f t="shared" si="74"/>
        <v>0</v>
      </c>
      <c r="OP17" s="27">
        <f t="shared" si="74"/>
        <v>4615.0391678051001</v>
      </c>
      <c r="OQ17" s="27">
        <f t="shared" si="74"/>
        <v>0</v>
      </c>
      <c r="OR17" s="28">
        <f t="shared" si="2"/>
        <v>50027.709421605316</v>
      </c>
      <c r="OS17" s="36"/>
      <c r="OT17" s="27"/>
      <c r="OU17" s="27"/>
      <c r="OV17" s="27"/>
      <c r="OW17" s="27"/>
      <c r="OX17" s="27"/>
      <c r="OY17" s="28">
        <f t="shared" si="75"/>
        <v>0</v>
      </c>
      <c r="OZ17" s="36">
        <f t="shared" si="76"/>
        <v>0</v>
      </c>
      <c r="PA17" s="27">
        <f t="shared" si="77"/>
        <v>0</v>
      </c>
      <c r="PB17" s="27">
        <f t="shared" si="78"/>
        <v>0</v>
      </c>
      <c r="PC17" s="27">
        <f t="shared" si="79"/>
        <v>0</v>
      </c>
      <c r="PD17" s="27">
        <f t="shared" si="80"/>
        <v>0</v>
      </c>
      <c r="PE17" s="27">
        <f t="shared" si="81"/>
        <v>0</v>
      </c>
      <c r="PF17" s="33">
        <f t="shared" si="3"/>
        <v>0</v>
      </c>
      <c r="PG17" s="2621"/>
      <c r="PI17" s="2">
        <v>605.62</v>
      </c>
      <c r="PJ17" s="3">
        <v>1111.5</v>
      </c>
      <c r="PK17" s="3">
        <v>513</v>
      </c>
      <c r="PL17" s="3">
        <f t="shared" si="116"/>
        <v>0</v>
      </c>
      <c r="PM17" s="3">
        <f t="shared" si="82"/>
        <v>2219.4597377964551</v>
      </c>
      <c r="PN17" s="11">
        <f t="shared" si="117"/>
        <v>24083.613116668148</v>
      </c>
      <c r="PO17" s="15"/>
      <c r="PP17" s="2615"/>
      <c r="PR17" s="4"/>
      <c r="PS17" s="9"/>
      <c r="PT17" s="9"/>
      <c r="PU17" s="9"/>
      <c r="PV17" s="9">
        <v>774.40000000000009</v>
      </c>
      <c r="PW17" s="9"/>
      <c r="PX17" s="8">
        <f t="shared" si="83"/>
        <v>774.40000000000009</v>
      </c>
      <c r="PY17" s="5">
        <f t="shared" si="84"/>
        <v>605.62</v>
      </c>
      <c r="PZ17" s="5"/>
      <c r="QA17" s="5"/>
      <c r="QB17" s="5"/>
      <c r="QC17" s="5"/>
      <c r="QD17" s="5"/>
      <c r="QE17" s="12">
        <f t="shared" si="85"/>
        <v>29749.381073161156</v>
      </c>
      <c r="QF17" s="420">
        <f t="shared" si="86"/>
        <v>407117.48557805311</v>
      </c>
      <c r="QG17" s="1106">
        <f t="shared" si="87"/>
        <v>1622.38</v>
      </c>
      <c r="QH17" s="484">
        <f t="shared" si="88"/>
        <v>5505.3678056100007</v>
      </c>
      <c r="QI17" s="12"/>
      <c r="QJ17" s="2615"/>
      <c r="QL17" s="139">
        <f t="shared" si="89"/>
        <v>0</v>
      </c>
      <c r="QM17" s="139" t="str">
        <f t="shared" si="90"/>
        <v/>
      </c>
      <c r="QO17" s="139">
        <f t="shared" si="91"/>
        <v>0</v>
      </c>
      <c r="QP17" s="139">
        <f t="shared" si="92"/>
        <v>0</v>
      </c>
      <c r="QR17" s="1">
        <f t="shared" si="93"/>
        <v>0</v>
      </c>
      <c r="QS17" s="1">
        <f t="shared" si="94"/>
        <v>0</v>
      </c>
      <c r="QT17" s="1">
        <f t="shared" si="95"/>
        <v>0</v>
      </c>
      <c r="QU17" s="1">
        <f t="shared" si="96"/>
        <v>0</v>
      </c>
      <c r="QV17" s="1">
        <f t="shared" si="97"/>
        <v>0</v>
      </c>
      <c r="QW17" s="1">
        <f t="shared" si="98"/>
        <v>0</v>
      </c>
      <c r="QY17" s="1">
        <f t="shared" si="99"/>
        <v>0</v>
      </c>
      <c r="QZ17" s="1">
        <f t="shared" si="100"/>
        <v>0</v>
      </c>
      <c r="RA17" s="1">
        <f t="shared" si="101"/>
        <v>0</v>
      </c>
      <c r="RB17" s="1">
        <f t="shared" si="102"/>
        <v>0</v>
      </c>
      <c r="RC17" s="1">
        <f t="shared" si="103"/>
        <v>0</v>
      </c>
      <c r="RD17" s="1">
        <f t="shared" si="104"/>
        <v>0</v>
      </c>
      <c r="RG17" s="1">
        <v>8</v>
      </c>
      <c r="RH17" s="1">
        <f t="shared" si="105"/>
        <v>-7711.1837489168383</v>
      </c>
      <c r="RI17" s="1">
        <f t="shared" si="105"/>
        <v>-7762.5864501377209</v>
      </c>
      <c r="RJ17" s="1">
        <f t="shared" si="105"/>
        <v>9178.5689913333827</v>
      </c>
      <c r="RK17" s="89">
        <f t="shared" si="5"/>
        <v>-6295.2012077211766</v>
      </c>
      <c r="RL17" s="1033">
        <v>8</v>
      </c>
      <c r="RM17" s="1098">
        <f t="shared" si="118"/>
        <v>0</v>
      </c>
      <c r="RN17" s="1098">
        <f t="shared" si="106"/>
        <v>774.40000000000009</v>
      </c>
      <c r="RO17" s="1097">
        <f t="shared" si="106"/>
        <v>0</v>
      </c>
      <c r="RP17" s="1097">
        <f t="shared" si="107"/>
        <v>4583.1000000000004</v>
      </c>
      <c r="RQ17" s="1096"/>
      <c r="RR17" s="1050" t="s">
        <v>757</v>
      </c>
      <c r="RS17" s="1048"/>
      <c r="RU17" s="421">
        <v>8</v>
      </c>
      <c r="RV17" s="1095">
        <f t="shared" si="108"/>
        <v>9553.41</v>
      </c>
      <c r="RW17" s="1119" t="s">
        <v>758</v>
      </c>
      <c r="RX17" s="1048"/>
      <c r="RY17" s="1090"/>
      <c r="RZ17" s="1090">
        <f t="shared" si="109"/>
        <v>-774.40000000000055</v>
      </c>
      <c r="SA17" s="1090"/>
      <c r="SB17" s="1090">
        <f t="shared" si="110"/>
        <v>0</v>
      </c>
      <c r="SD17" s="1">
        <v>8</v>
      </c>
      <c r="SE17" s="1">
        <f t="shared" si="111"/>
        <v>0</v>
      </c>
    </row>
    <row r="18" spans="1:500" s="1" customFormat="1">
      <c r="B18" s="471">
        <v>9</v>
      </c>
      <c r="C18" s="4">
        <f t="shared" si="6"/>
        <v>181850</v>
      </c>
      <c r="D18" s="64">
        <f t="shared" si="112"/>
        <v>9610.9399999999987</v>
      </c>
      <c r="E18" s="61">
        <f t="shared" si="7"/>
        <v>18.921146110578157</v>
      </c>
      <c r="F18" s="870"/>
      <c r="G18" s="870"/>
      <c r="H18" s="52"/>
      <c r="I18" s="61"/>
      <c r="J18" s="52"/>
      <c r="K18" s="54"/>
      <c r="L18" s="52"/>
      <c r="M18" s="61"/>
      <c r="N18" s="2629"/>
      <c r="O18" s="4">
        <f t="shared" si="8"/>
        <v>117726</v>
      </c>
      <c r="P18" s="1225">
        <f t="shared" si="9"/>
        <v>5711.58</v>
      </c>
      <c r="Q18" s="64">
        <f t="shared" si="10"/>
        <v>20.61180969188911</v>
      </c>
      <c r="R18" s="33"/>
      <c r="S18" s="26">
        <f t="shared" si="11"/>
        <v>34019</v>
      </c>
      <c r="T18" s="27">
        <f t="shared" si="12"/>
        <v>1879.3599999999997</v>
      </c>
      <c r="U18" s="53">
        <f t="shared" si="13"/>
        <v>18.101374936148478</v>
      </c>
      <c r="V18" s="15"/>
      <c r="W18" s="26">
        <f t="shared" si="14"/>
        <v>30105</v>
      </c>
      <c r="X18" s="5">
        <f t="shared" si="14"/>
        <v>2020</v>
      </c>
      <c r="Y18" s="53">
        <f t="shared" si="15"/>
        <v>14.903465346534654</v>
      </c>
      <c r="Z18" s="33"/>
      <c r="AA18" s="26">
        <f t="shared" si="16"/>
        <v>0</v>
      </c>
      <c r="AB18" s="27">
        <f t="shared" si="17"/>
        <v>0</v>
      </c>
      <c r="AC18" s="53">
        <f t="shared" si="18"/>
        <v>0</v>
      </c>
      <c r="AD18" s="28"/>
      <c r="AE18" s="36"/>
      <c r="AF18" s="36"/>
      <c r="AG18" s="53">
        <f t="shared" si="19"/>
        <v>0</v>
      </c>
      <c r="AH18" s="28"/>
      <c r="AI18" s="23"/>
      <c r="AJ18" s="27"/>
      <c r="AK18" s="53">
        <f t="shared" si="20"/>
        <v>0</v>
      </c>
      <c r="AL18" s="28"/>
      <c r="AM18" s="2629"/>
      <c r="AN18" s="9"/>
      <c r="AO18" s="5"/>
      <c r="AP18" s="61">
        <f t="shared" si="21"/>
        <v>0</v>
      </c>
      <c r="AQ18" s="36"/>
      <c r="AR18" s="53"/>
      <c r="AS18" s="61">
        <f t="shared" si="22"/>
        <v>0</v>
      </c>
      <c r="AT18" s="36">
        <v>0</v>
      </c>
      <c r="AU18" s="27"/>
      <c r="AV18" s="61">
        <f t="shared" si="23"/>
        <v>0</v>
      </c>
      <c r="AW18" s="36">
        <v>70224</v>
      </c>
      <c r="AX18" s="27">
        <v>3267.1600000000003</v>
      </c>
      <c r="AY18" s="61">
        <f t="shared" si="24"/>
        <v>21.493896840069048</v>
      </c>
      <c r="AZ18" s="36"/>
      <c r="BA18" s="27"/>
      <c r="BB18" s="61">
        <f t="shared" si="25"/>
        <v>0</v>
      </c>
      <c r="BC18" s="36">
        <v>47502</v>
      </c>
      <c r="BD18" s="27">
        <v>2444.42</v>
      </c>
      <c r="BE18" s="61">
        <f t="shared" si="26"/>
        <v>19.432830691943284</v>
      </c>
      <c r="BF18" s="36"/>
      <c r="BG18" s="53"/>
      <c r="BH18" s="61">
        <f t="shared" si="27"/>
        <v>0</v>
      </c>
      <c r="BI18" s="36">
        <v>0</v>
      </c>
      <c r="BJ18" s="53">
        <v>0</v>
      </c>
      <c r="BK18" s="61">
        <f t="shared" si="28"/>
        <v>0</v>
      </c>
      <c r="BL18" s="52">
        <v>34019</v>
      </c>
      <c r="BM18" s="53">
        <v>1879.3599999999997</v>
      </c>
      <c r="BN18" s="482">
        <f t="shared" si="29"/>
        <v>18.101374936148478</v>
      </c>
      <c r="BO18" s="9"/>
      <c r="BP18" s="64"/>
      <c r="BQ18" s="482">
        <f t="shared" si="30"/>
        <v>0</v>
      </c>
      <c r="BR18" s="9"/>
      <c r="BS18" s="53"/>
      <c r="BT18" s="482">
        <f t="shared" si="31"/>
        <v>0</v>
      </c>
      <c r="BU18" s="9">
        <v>30105</v>
      </c>
      <c r="BV18" s="27">
        <v>2020</v>
      </c>
      <c r="BW18" s="15">
        <f t="shared" si="32"/>
        <v>14.903465346534654</v>
      </c>
      <c r="BX18" s="26"/>
      <c r="BY18" s="27"/>
      <c r="BZ18" s="869">
        <f t="shared" si="33"/>
        <v>0</v>
      </c>
      <c r="CA18" s="9"/>
      <c r="CB18" s="481"/>
      <c r="CC18" s="482">
        <f t="shared" si="34"/>
        <v>0</v>
      </c>
      <c r="CD18" s="4"/>
      <c r="CE18" s="5"/>
      <c r="CF18" s="28">
        <f t="shared" si="35"/>
        <v>0</v>
      </c>
      <c r="CG18" s="150"/>
      <c r="CH18" s="4">
        <v>0</v>
      </c>
      <c r="CI18" s="5"/>
      <c r="CJ18" s="5"/>
      <c r="CK18" s="5">
        <v>15362.5</v>
      </c>
      <c r="CL18" s="5"/>
      <c r="CM18" s="5">
        <f t="shared" si="113"/>
        <v>15362.5</v>
      </c>
      <c r="CN18" s="33"/>
      <c r="CO18" s="366"/>
      <c r="CQ18" s="4">
        <f t="shared" si="36"/>
        <v>0</v>
      </c>
      <c r="CR18" s="9">
        <f t="shared" si="36"/>
        <v>0</v>
      </c>
      <c r="CS18" s="5">
        <f t="shared" si="36"/>
        <v>0</v>
      </c>
      <c r="CT18" s="5">
        <f t="shared" si="36"/>
        <v>0</v>
      </c>
      <c r="CU18" s="5">
        <f t="shared" si="36"/>
        <v>0</v>
      </c>
      <c r="CV18" s="5">
        <f t="shared" si="36"/>
        <v>0</v>
      </c>
      <c r="CW18" s="5">
        <f t="shared" si="36"/>
        <v>255.5</v>
      </c>
      <c r="CX18" s="5">
        <f t="shared" si="36"/>
        <v>0</v>
      </c>
      <c r="CY18" s="5">
        <f t="shared" si="36"/>
        <v>6956.38</v>
      </c>
      <c r="CZ18" s="5">
        <f t="shared" si="36"/>
        <v>0</v>
      </c>
      <c r="DA18" s="5">
        <f t="shared" si="36"/>
        <v>2399.06</v>
      </c>
      <c r="DB18" s="12">
        <f t="shared" si="36"/>
        <v>0</v>
      </c>
      <c r="DC18" s="310">
        <f t="shared" si="37"/>
        <v>9610.94</v>
      </c>
      <c r="DD18" s="2695"/>
      <c r="DE18" s="9"/>
      <c r="DF18" s="9"/>
      <c r="DG18" s="5"/>
      <c r="DH18" s="5"/>
      <c r="DI18" s="5"/>
      <c r="DJ18" s="5"/>
      <c r="DK18" s="5">
        <v>255.5</v>
      </c>
      <c r="DL18" s="5"/>
      <c r="DM18" s="5">
        <v>3011.6600000000003</v>
      </c>
      <c r="DN18" s="5"/>
      <c r="DO18" s="5"/>
      <c r="DP18" s="12"/>
      <c r="DQ18" s="28">
        <f t="shared" si="38"/>
        <v>3267.1600000000003</v>
      </c>
      <c r="DR18" s="36"/>
      <c r="DS18" s="36"/>
      <c r="DT18" s="27"/>
      <c r="DU18" s="27"/>
      <c r="DV18" s="5"/>
      <c r="DW18" s="5"/>
      <c r="DX18" s="5"/>
      <c r="DY18" s="5"/>
      <c r="DZ18" s="5">
        <v>2864.72</v>
      </c>
      <c r="EA18" s="53"/>
      <c r="EB18" s="27">
        <v>1459.06</v>
      </c>
      <c r="EC18" s="33"/>
      <c r="ED18" s="28">
        <f t="shared" si="39"/>
        <v>4323.78</v>
      </c>
      <c r="EE18" s="9"/>
      <c r="EF18" s="36"/>
      <c r="EG18" s="5"/>
      <c r="EH18" s="313"/>
      <c r="EI18" s="27"/>
      <c r="EJ18" s="27"/>
      <c r="EK18" s="27"/>
      <c r="EL18" s="27"/>
      <c r="EM18" s="1448">
        <v>1080</v>
      </c>
      <c r="EN18" s="27"/>
      <c r="EO18" s="27">
        <v>940</v>
      </c>
      <c r="EP18" s="33"/>
      <c r="EQ18" s="28">
        <f t="shared" si="40"/>
        <v>2020</v>
      </c>
      <c r="ER18" s="36"/>
      <c r="ES18" s="27"/>
      <c r="ET18" s="27"/>
      <c r="EU18" s="27"/>
      <c r="EV18" s="27"/>
      <c r="EW18" s="27"/>
      <c r="EX18" s="33">
        <f t="shared" si="41"/>
        <v>0</v>
      </c>
      <c r="EY18" s="2685"/>
      <c r="FA18" s="4">
        <f t="shared" si="42"/>
        <v>0</v>
      </c>
      <c r="FB18" s="5">
        <f t="shared" si="43"/>
        <v>0</v>
      </c>
      <c r="FC18" s="5">
        <f t="shared" si="44"/>
        <v>0</v>
      </c>
      <c r="FD18" s="12">
        <f t="shared" si="45"/>
        <v>0</v>
      </c>
      <c r="FE18" s="33"/>
      <c r="FF18" s="2674"/>
      <c r="FG18" s="9"/>
      <c r="FH18" s="5"/>
      <c r="FI18" s="5"/>
      <c r="FJ18" s="5"/>
      <c r="FK18" s="5"/>
      <c r="FL18" s="27"/>
      <c r="FM18" s="28">
        <f t="shared" si="46"/>
        <v>0</v>
      </c>
      <c r="FN18" s="36"/>
      <c r="FO18" s="27"/>
      <c r="FP18" s="27"/>
      <c r="FQ18" s="27"/>
      <c r="FR18" s="27"/>
      <c r="FS18" s="27"/>
      <c r="FT18" s="28">
        <f t="shared" si="47"/>
        <v>0</v>
      </c>
      <c r="FU18" s="36"/>
      <c r="FV18" s="36"/>
      <c r="FW18" s="27"/>
      <c r="FX18" s="27"/>
      <c r="FY18" s="27"/>
      <c r="FZ18" s="27"/>
      <c r="GA18" s="27"/>
      <c r="GB18" s="27"/>
      <c r="GC18" s="27"/>
      <c r="GD18" s="27"/>
      <c r="GE18" s="27"/>
      <c r="GF18" s="33"/>
      <c r="GG18" s="33">
        <f t="shared" si="48"/>
        <v>0</v>
      </c>
      <c r="GH18" s="2674"/>
      <c r="GJ18" s="4">
        <f t="shared" si="49"/>
        <v>2223</v>
      </c>
      <c r="GK18" s="64">
        <f t="shared" si="50"/>
        <v>2227.8900000000003</v>
      </c>
      <c r="GL18" s="53">
        <f t="shared" si="51"/>
        <v>7213.68</v>
      </c>
      <c r="GM18" s="53">
        <f t="shared" si="52"/>
        <v>11664.57</v>
      </c>
      <c r="GN18" s="141"/>
      <c r="GO18" s="141"/>
      <c r="GP18" s="33"/>
      <c r="GQ18" s="2667"/>
      <c r="GR18" s="363">
        <v>4477.2</v>
      </c>
      <c r="GS18" s="5"/>
      <c r="GT18" s="5">
        <v>3724.76</v>
      </c>
      <c r="GU18" s="27">
        <v>3462.61</v>
      </c>
      <c r="GV18" s="54">
        <f t="shared" si="53"/>
        <v>11664.57</v>
      </c>
      <c r="GW18" s="2667"/>
      <c r="GX18" s="36"/>
      <c r="GY18" s="36"/>
      <c r="GZ18" s="27"/>
      <c r="HA18" s="27"/>
      <c r="HB18" s="27"/>
      <c r="HC18" s="27"/>
      <c r="HD18" s="27"/>
      <c r="HE18" s="27"/>
      <c r="HF18" s="27">
        <v>845.28</v>
      </c>
      <c r="HG18" s="27"/>
      <c r="HH18" s="27">
        <v>1377.7200000000003</v>
      </c>
      <c r="HI18" s="27"/>
      <c r="HJ18" s="27"/>
      <c r="HK18" s="27"/>
      <c r="HL18" s="28">
        <f t="shared" si="54"/>
        <v>2223</v>
      </c>
      <c r="HM18" s="36"/>
      <c r="HN18" s="27"/>
      <c r="HO18" s="27"/>
      <c r="HP18" s="27"/>
      <c r="HQ18" s="27"/>
      <c r="HR18" s="27"/>
      <c r="HS18" s="27"/>
      <c r="HT18" s="27"/>
      <c r="HU18" s="27"/>
      <c r="HV18" s="27"/>
      <c r="HW18" s="27"/>
      <c r="HX18" s="27"/>
      <c r="HY18" s="27"/>
      <c r="HZ18" s="27"/>
      <c r="IA18" s="33">
        <f t="shared" si="55"/>
        <v>0</v>
      </c>
      <c r="IB18" s="52"/>
      <c r="IC18" s="152"/>
      <c r="ID18" s="53"/>
      <c r="IE18" s="53"/>
      <c r="IF18" s="53"/>
      <c r="IG18" s="53"/>
      <c r="IH18" s="53">
        <v>1485.42</v>
      </c>
      <c r="II18" s="53"/>
      <c r="IJ18" s="53">
        <v>742.47</v>
      </c>
      <c r="IK18" s="53"/>
      <c r="IL18" s="53"/>
      <c r="IM18" s="53"/>
      <c r="IN18" s="53"/>
      <c r="IO18" s="53"/>
      <c r="IP18" s="61">
        <f t="shared" si="56"/>
        <v>2227.8900000000003</v>
      </c>
      <c r="IQ18" s="36"/>
      <c r="IR18" s="36"/>
      <c r="IS18" s="27"/>
      <c r="IT18" s="27"/>
      <c r="IU18" s="53"/>
      <c r="IV18" s="27"/>
      <c r="IW18" s="53"/>
      <c r="IX18" s="27"/>
      <c r="IY18" s="27">
        <v>5767.84</v>
      </c>
      <c r="IZ18" s="27"/>
      <c r="JA18" s="27">
        <v>1445.84</v>
      </c>
      <c r="JB18" s="27"/>
      <c r="JC18" s="27"/>
      <c r="JD18" s="27"/>
      <c r="JE18" s="33">
        <f t="shared" si="57"/>
        <v>7213.68</v>
      </c>
      <c r="JF18" s="2667"/>
      <c r="JH18" s="52">
        <v>6130.56</v>
      </c>
      <c r="JI18" s="152">
        <v>5534.01</v>
      </c>
      <c r="JJ18" s="53"/>
      <c r="JK18" s="53">
        <f t="shared" si="58"/>
        <v>11664.57</v>
      </c>
      <c r="JL18" s="33"/>
      <c r="JM18" s="2669"/>
      <c r="JN18" s="69"/>
      <c r="JO18" s="70"/>
      <c r="JP18" s="70"/>
      <c r="JQ18" s="70"/>
      <c r="JR18" s="70">
        <v>0.82024247344322554</v>
      </c>
      <c r="JS18" s="70">
        <v>0.17975752655677452</v>
      </c>
      <c r="JT18" s="70"/>
      <c r="JU18" s="71"/>
      <c r="JV18" s="69"/>
      <c r="JW18" s="70"/>
      <c r="JX18" s="70"/>
      <c r="JY18" s="70">
        <v>0.25439419155368354</v>
      </c>
      <c r="JZ18" s="70">
        <v>0.26540971194486457</v>
      </c>
      <c r="KA18" s="70">
        <v>0.4801960965014519</v>
      </c>
      <c r="KB18" s="70"/>
      <c r="KC18" s="71"/>
      <c r="KD18" s="69"/>
      <c r="KE18" s="70"/>
      <c r="KF18" s="70"/>
      <c r="KG18" s="70"/>
      <c r="KH18" s="70"/>
      <c r="KI18" s="70"/>
      <c r="KJ18" s="70"/>
      <c r="KK18" s="70"/>
      <c r="KL18" s="33"/>
      <c r="KM18" s="2669"/>
      <c r="KN18" s="36">
        <v>6821.6939716876095</v>
      </c>
      <c r="KO18" s="53">
        <v>0.56818832511531736</v>
      </c>
      <c r="KP18" s="53">
        <v>5.6920884364561797</v>
      </c>
      <c r="KQ18" s="53">
        <v>7.0351073644027364</v>
      </c>
      <c r="KR18" s="54">
        <v>10.605365479879115</v>
      </c>
      <c r="KS18" s="4">
        <v>6804</v>
      </c>
      <c r="KT18" s="64">
        <v>1.4</v>
      </c>
      <c r="KU18" s="64">
        <v>6.03</v>
      </c>
      <c r="KV18" s="64">
        <v>6.95</v>
      </c>
      <c r="KW18" s="482">
        <v>10.44868</v>
      </c>
      <c r="KX18" s="36"/>
      <c r="KY18" s="53"/>
      <c r="KZ18" s="53"/>
      <c r="LA18" s="53"/>
      <c r="LB18" s="53"/>
      <c r="LC18" s="33"/>
      <c r="LD18" s="2669"/>
      <c r="LF18" s="26">
        <f t="shared" si="59"/>
        <v>3897.6959999999999</v>
      </c>
      <c r="LG18" s="27">
        <f t="shared" si="59"/>
        <v>974.42399999999998</v>
      </c>
      <c r="LH18" s="27">
        <f t="shared" si="59"/>
        <v>0</v>
      </c>
      <c r="LI18" s="28">
        <f t="shared" si="60"/>
        <v>4872.12</v>
      </c>
      <c r="LJ18" s="36">
        <v>1</v>
      </c>
      <c r="LK18" s="27">
        <v>1</v>
      </c>
      <c r="LL18" s="27">
        <v>5</v>
      </c>
      <c r="LM18" s="33"/>
      <c r="LN18" s="1041">
        <v>6.12</v>
      </c>
      <c r="LO18" s="486"/>
      <c r="LP18" s="2688"/>
      <c r="LQ18" s="21">
        <v>3897.6959999999999</v>
      </c>
      <c r="LR18" s="27">
        <v>974.42399999999998</v>
      </c>
      <c r="LS18" s="27"/>
      <c r="LT18" s="27"/>
      <c r="LU18" s="27"/>
      <c r="LV18" s="1117">
        <f t="shared" si="61"/>
        <v>4872.12</v>
      </c>
      <c r="LW18" s="36"/>
      <c r="LX18" s="36"/>
      <c r="LY18" s="27"/>
      <c r="LZ18" s="27"/>
      <c r="MA18" s="33"/>
      <c r="MB18" s="28">
        <f t="shared" si="62"/>
        <v>0</v>
      </c>
      <c r="MC18" s="26"/>
      <c r="MD18" s="36"/>
      <c r="ME18" s="27"/>
      <c r="MF18" s="27"/>
      <c r="MG18" s="27"/>
      <c r="MH18" s="28"/>
      <c r="MI18" s="36"/>
      <c r="MJ18" s="36"/>
      <c r="MK18" s="27"/>
      <c r="ML18" s="27"/>
      <c r="MM18" s="27"/>
      <c r="MN18" s="28"/>
      <c r="MO18" s="36"/>
      <c r="MP18" s="36"/>
      <c r="MQ18" s="27"/>
      <c r="MR18" s="27"/>
      <c r="MS18" s="27"/>
      <c r="MT18" s="33">
        <f t="shared" si="63"/>
        <v>0</v>
      </c>
      <c r="MU18" s="2688"/>
      <c r="MW18" s="26">
        <f t="shared" si="64"/>
        <v>39915.297944531507</v>
      </c>
      <c r="MX18" s="27">
        <f t="shared" si="65"/>
        <v>117951.81698410171</v>
      </c>
      <c r="MY18" s="27">
        <f t="shared" si="66"/>
        <v>24463.713116668147</v>
      </c>
      <c r="MZ18" s="28">
        <f t="shared" si="67"/>
        <v>437030.50665121427</v>
      </c>
      <c r="NA18" s="2621"/>
      <c r="NB18" s="23">
        <f t="shared" si="68"/>
        <v>23651.190197190565</v>
      </c>
      <c r="NC18" s="64">
        <f t="shared" si="69"/>
        <v>16264.107747340942</v>
      </c>
      <c r="ND18" s="60">
        <f t="shared" si="70"/>
        <v>0</v>
      </c>
      <c r="NE18" s="1110">
        <f t="shared" si="4"/>
        <v>39915.297944531507</v>
      </c>
      <c r="NF18" s="26">
        <f t="shared" si="71"/>
        <v>0</v>
      </c>
      <c r="NG18" s="27">
        <f t="shared" si="71"/>
        <v>0</v>
      </c>
      <c r="NH18" s="27">
        <f t="shared" si="71"/>
        <v>0</v>
      </c>
      <c r="NI18" s="27">
        <f t="shared" si="71"/>
        <v>0</v>
      </c>
      <c r="NJ18" s="27">
        <f t="shared" si="71"/>
        <v>0</v>
      </c>
      <c r="NK18" s="33">
        <f t="shared" si="71"/>
        <v>0</v>
      </c>
      <c r="NL18" s="27">
        <f t="shared" si="71"/>
        <v>0</v>
      </c>
      <c r="NM18" s="36">
        <f t="shared" si="71"/>
        <v>0</v>
      </c>
      <c r="NN18" s="27">
        <f t="shared" si="71"/>
        <v>36115.892027032751</v>
      </c>
      <c r="NO18" s="27">
        <f t="shared" si="71"/>
        <v>0</v>
      </c>
      <c r="NP18" s="24">
        <f t="shared" si="114"/>
        <v>8756.5482322711578</v>
      </c>
      <c r="NQ18" s="24">
        <f t="shared" si="115"/>
        <v>16021.965013230798</v>
      </c>
      <c r="NR18" s="27">
        <f t="shared" si="0"/>
        <v>60894.405272534714</v>
      </c>
      <c r="NS18" s="27">
        <f t="shared" si="72"/>
        <v>0</v>
      </c>
      <c r="NT18" s="27">
        <f t="shared" si="72"/>
        <v>0</v>
      </c>
      <c r="NU18" s="27">
        <f t="shared" si="72"/>
        <v>0</v>
      </c>
      <c r="NV18" s="27">
        <f t="shared" si="72"/>
        <v>0</v>
      </c>
      <c r="NW18" s="27">
        <f t="shared" si="72"/>
        <v>0</v>
      </c>
      <c r="NX18" s="27">
        <f t="shared" si="72"/>
        <v>0</v>
      </c>
      <c r="NY18" s="27">
        <f t="shared" si="72"/>
        <v>3498.9346092523792</v>
      </c>
      <c r="NZ18" s="27">
        <f t="shared" si="72"/>
        <v>0</v>
      </c>
      <c r="OA18" s="27">
        <f t="shared" si="72"/>
        <v>4855.0557022622479</v>
      </c>
      <c r="OB18" s="280"/>
      <c r="OC18" s="24">
        <f t="shared" si="73"/>
        <v>1565.61197844705</v>
      </c>
      <c r="OD18" s="27">
        <f t="shared" si="73"/>
        <v>0</v>
      </c>
      <c r="OE18" s="28">
        <f t="shared" si="1"/>
        <v>9919.6022899616764</v>
      </c>
      <c r="OF18" s="27">
        <f t="shared" si="74"/>
        <v>0</v>
      </c>
      <c r="OG18" s="27">
        <f t="shared" si="74"/>
        <v>0</v>
      </c>
      <c r="OH18" s="27">
        <f t="shared" si="74"/>
        <v>0</v>
      </c>
      <c r="OI18" s="27">
        <f t="shared" si="74"/>
        <v>0</v>
      </c>
      <c r="OJ18" s="27">
        <f t="shared" si="74"/>
        <v>0</v>
      </c>
      <c r="OK18" s="27">
        <f t="shared" si="74"/>
        <v>0</v>
      </c>
      <c r="OL18" s="24">
        <f t="shared" si="74"/>
        <v>0</v>
      </c>
      <c r="OM18" s="27">
        <f t="shared" si="74"/>
        <v>0</v>
      </c>
      <c r="ON18" s="24">
        <f t="shared" si="74"/>
        <v>42509.550253800218</v>
      </c>
      <c r="OO18" s="27">
        <f t="shared" si="74"/>
        <v>0</v>
      </c>
      <c r="OP18" s="27">
        <f t="shared" si="74"/>
        <v>4628.2591678050994</v>
      </c>
      <c r="OQ18" s="27">
        <f t="shared" si="74"/>
        <v>0</v>
      </c>
      <c r="OR18" s="28">
        <f t="shared" si="2"/>
        <v>47137.809421605314</v>
      </c>
      <c r="OS18" s="36"/>
      <c r="OT18" s="27"/>
      <c r="OU18" s="27"/>
      <c r="OV18" s="27"/>
      <c r="OW18" s="27"/>
      <c r="OX18" s="27"/>
      <c r="OY18" s="28">
        <f t="shared" si="75"/>
        <v>0</v>
      </c>
      <c r="OZ18" s="36">
        <f t="shared" si="76"/>
        <v>0</v>
      </c>
      <c r="PA18" s="27">
        <f t="shared" si="77"/>
        <v>0</v>
      </c>
      <c r="PB18" s="27">
        <f t="shared" si="78"/>
        <v>0</v>
      </c>
      <c r="PC18" s="27">
        <f t="shared" si="79"/>
        <v>0</v>
      </c>
      <c r="PD18" s="27">
        <f t="shared" si="80"/>
        <v>0</v>
      </c>
      <c r="PE18" s="27">
        <f t="shared" si="81"/>
        <v>0</v>
      </c>
      <c r="PF18" s="33">
        <f t="shared" si="3"/>
        <v>0</v>
      </c>
      <c r="PG18" s="2621"/>
      <c r="PI18" s="2">
        <v>1458.74</v>
      </c>
      <c r="PJ18" s="3">
        <v>823.55000000000007</v>
      </c>
      <c r="PK18" s="3">
        <v>380.1</v>
      </c>
      <c r="PL18" s="3">
        <f>HJ18</f>
        <v>0</v>
      </c>
      <c r="PM18" s="3">
        <f t="shared" si="82"/>
        <v>2854.6497377964552</v>
      </c>
      <c r="PN18" s="11">
        <f t="shared" si="117"/>
        <v>24463.713116668147</v>
      </c>
      <c r="PO18" s="15"/>
      <c r="PP18" s="2615"/>
      <c r="PR18" s="4"/>
      <c r="PS18" s="9"/>
      <c r="PT18" s="9"/>
      <c r="PU18" s="9"/>
      <c r="PV18" s="9"/>
      <c r="PW18" s="9"/>
      <c r="PX18" s="8">
        <f t="shared" si="83"/>
        <v>0</v>
      </c>
      <c r="PY18" s="5">
        <f t="shared" si="84"/>
        <v>1458.74</v>
      </c>
      <c r="PZ18" s="5"/>
      <c r="QA18" s="5"/>
      <c r="QB18" s="5"/>
      <c r="QC18" s="5"/>
      <c r="QD18" s="5"/>
      <c r="QE18" s="12">
        <f t="shared" si="85"/>
        <v>29749.381073161156</v>
      </c>
      <c r="QF18" s="420">
        <f t="shared" si="86"/>
        <v>405658.74557805312</v>
      </c>
      <c r="QG18" s="1106">
        <f t="shared" si="87"/>
        <v>1622.38</v>
      </c>
      <c r="QH18" s="484">
        <f t="shared" si="88"/>
        <v>5505.3678056100007</v>
      </c>
      <c r="QI18" s="12"/>
      <c r="QJ18" s="2615"/>
      <c r="QL18" s="139">
        <f t="shared" si="89"/>
        <v>0</v>
      </c>
      <c r="QM18" s="139" t="str">
        <f t="shared" si="90"/>
        <v/>
      </c>
      <c r="QO18" s="139">
        <f t="shared" si="91"/>
        <v>0</v>
      </c>
      <c r="QP18" s="139">
        <f t="shared" si="92"/>
        <v>0</v>
      </c>
      <c r="QR18" s="1">
        <f t="shared" si="93"/>
        <v>0</v>
      </c>
      <c r="QS18" s="1">
        <f t="shared" si="94"/>
        <v>0</v>
      </c>
      <c r="QT18" s="1">
        <f t="shared" si="95"/>
        <v>0</v>
      </c>
      <c r="QU18" s="1">
        <f t="shared" si="96"/>
        <v>0</v>
      </c>
      <c r="QV18" s="1">
        <f t="shared" si="97"/>
        <v>0</v>
      </c>
      <c r="QW18" s="1">
        <f t="shared" si="98"/>
        <v>0</v>
      </c>
      <c r="QY18" s="1">
        <f t="shared" si="99"/>
        <v>0</v>
      </c>
      <c r="QZ18" s="1">
        <f t="shared" si="100"/>
        <v>0</v>
      </c>
      <c r="RA18" s="1">
        <f t="shared" si="101"/>
        <v>0</v>
      </c>
      <c r="RB18" s="1">
        <f t="shared" si="102"/>
        <v>0</v>
      </c>
      <c r="RC18" s="1">
        <f t="shared" si="103"/>
        <v>0</v>
      </c>
      <c r="RD18" s="1">
        <f t="shared" si="104"/>
        <v>0</v>
      </c>
      <c r="RG18" s="1">
        <v>9</v>
      </c>
      <c r="RH18" s="421">
        <v>5984.4452097170979</v>
      </c>
      <c r="RI18" s="421">
        <v>5074.1017804837184</v>
      </c>
      <c r="RJ18" s="421">
        <v>13404.263703387322</v>
      </c>
      <c r="RK18" s="490">
        <f t="shared" si="5"/>
        <v>24462.810693588137</v>
      </c>
      <c r="RL18" s="1033">
        <v>9</v>
      </c>
      <c r="RM18" s="1098">
        <f t="shared" si="118"/>
        <v>0</v>
      </c>
      <c r="RN18" s="1098">
        <f t="shared" si="106"/>
        <v>0</v>
      </c>
      <c r="RO18" s="1097">
        <f t="shared" si="106"/>
        <v>0</v>
      </c>
      <c r="RP18" s="1097">
        <f t="shared" si="107"/>
        <v>7590.9400000000005</v>
      </c>
      <c r="RQ18" s="1046"/>
      <c r="RR18" s="1046" t="s">
        <v>759</v>
      </c>
      <c r="RU18" s="421">
        <v>9</v>
      </c>
      <c r="RV18" s="1095">
        <f t="shared" si="108"/>
        <v>11664.57</v>
      </c>
      <c r="RW18" s="1046" t="s">
        <v>760</v>
      </c>
      <c r="RY18" s="1090"/>
      <c r="RZ18" s="1090">
        <f t="shared" si="109"/>
        <v>0</v>
      </c>
      <c r="SA18" s="1090"/>
      <c r="SB18" s="1090">
        <f t="shared" si="110"/>
        <v>0</v>
      </c>
      <c r="SD18" s="1">
        <v>9</v>
      </c>
      <c r="SE18" s="1">
        <f t="shared" si="111"/>
        <v>0</v>
      </c>
      <c r="SF18" s="1094"/>
    </row>
    <row r="19" spans="1:500" s="1" customFormat="1">
      <c r="B19" s="471">
        <v>10</v>
      </c>
      <c r="C19" s="4">
        <f t="shared" si="6"/>
        <v>95036</v>
      </c>
      <c r="D19" s="64">
        <f t="shared" si="112"/>
        <v>4767.91</v>
      </c>
      <c r="E19" s="61">
        <f t="shared" si="7"/>
        <v>19.932423221075901</v>
      </c>
      <c r="F19" s="870"/>
      <c r="G19" s="870"/>
      <c r="H19" s="52">
        <v>53</v>
      </c>
      <c r="I19" s="61">
        <v>10.119999999999999</v>
      </c>
      <c r="J19" s="52"/>
      <c r="K19" s="54"/>
      <c r="L19" s="52">
        <v>29.5</v>
      </c>
      <c r="M19" s="61">
        <v>10.24</v>
      </c>
      <c r="N19" s="2629"/>
      <c r="O19" s="4">
        <f t="shared" si="8"/>
        <v>60648</v>
      </c>
      <c r="P19" s="1225">
        <f t="shared" si="9"/>
        <v>2769.07</v>
      </c>
      <c r="Q19" s="64">
        <f t="shared" si="10"/>
        <v>21.901938195856371</v>
      </c>
      <c r="R19" s="33"/>
      <c r="S19" s="26">
        <f t="shared" si="11"/>
        <v>16570</v>
      </c>
      <c r="T19" s="27">
        <f t="shared" si="12"/>
        <v>1058.8400000000001</v>
      </c>
      <c r="U19" s="53">
        <f t="shared" si="13"/>
        <v>15.649201012428694</v>
      </c>
      <c r="V19" s="15"/>
      <c r="W19" s="26">
        <f t="shared" si="14"/>
        <v>17818</v>
      </c>
      <c r="X19" s="5">
        <f t="shared" si="14"/>
        <v>940</v>
      </c>
      <c r="Y19" s="53">
        <f t="shared" si="15"/>
        <v>18.955319148936169</v>
      </c>
      <c r="Z19" s="33"/>
      <c r="AA19" s="26">
        <f t="shared" si="16"/>
        <v>0</v>
      </c>
      <c r="AB19" s="27">
        <f t="shared" si="17"/>
        <v>0</v>
      </c>
      <c r="AC19" s="53">
        <f t="shared" si="18"/>
        <v>0</v>
      </c>
      <c r="AD19" s="28"/>
      <c r="AE19" s="36"/>
      <c r="AF19" s="36"/>
      <c r="AG19" s="53">
        <f t="shared" si="19"/>
        <v>0</v>
      </c>
      <c r="AH19" s="28"/>
      <c r="AI19" s="26"/>
      <c r="AJ19" s="27"/>
      <c r="AK19" s="53">
        <f t="shared" si="20"/>
        <v>0</v>
      </c>
      <c r="AL19" s="28"/>
      <c r="AM19" s="2629"/>
      <c r="AN19" s="9"/>
      <c r="AO19" s="5"/>
      <c r="AP19" s="61">
        <f t="shared" si="21"/>
        <v>0</v>
      </c>
      <c r="AQ19" s="36"/>
      <c r="AR19" s="53"/>
      <c r="AS19" s="61">
        <f t="shared" si="22"/>
        <v>0</v>
      </c>
      <c r="AT19" s="36">
        <v>0</v>
      </c>
      <c r="AU19" s="27"/>
      <c r="AV19" s="61">
        <f t="shared" si="23"/>
        <v>0</v>
      </c>
      <c r="AW19" s="36">
        <v>34146</v>
      </c>
      <c r="AX19" s="27">
        <v>2048.61</v>
      </c>
      <c r="AY19" s="61">
        <f t="shared" si="24"/>
        <v>16.667887006311595</v>
      </c>
      <c r="AZ19" s="36"/>
      <c r="BA19" s="27"/>
      <c r="BB19" s="61">
        <f t="shared" si="25"/>
        <v>0</v>
      </c>
      <c r="BC19" s="36">
        <v>26502</v>
      </c>
      <c r="BD19" s="27">
        <v>720.45999999999992</v>
      </c>
      <c r="BE19" s="61">
        <f t="shared" si="26"/>
        <v>36.784831912944512</v>
      </c>
      <c r="BF19" s="36"/>
      <c r="BG19" s="53"/>
      <c r="BH19" s="61">
        <f t="shared" si="27"/>
        <v>0</v>
      </c>
      <c r="BI19" s="36">
        <v>0</v>
      </c>
      <c r="BJ19" s="53">
        <v>0</v>
      </c>
      <c r="BK19" s="61">
        <f t="shared" si="28"/>
        <v>0</v>
      </c>
      <c r="BL19" s="52">
        <v>16570</v>
      </c>
      <c r="BM19" s="53">
        <v>1058.8400000000001</v>
      </c>
      <c r="BN19" s="482">
        <f t="shared" si="29"/>
        <v>15.649201012428694</v>
      </c>
      <c r="BO19" s="9"/>
      <c r="BP19" s="64"/>
      <c r="BQ19" s="482">
        <f t="shared" si="30"/>
        <v>0</v>
      </c>
      <c r="BR19" s="9"/>
      <c r="BS19" s="53"/>
      <c r="BT19" s="482">
        <f t="shared" si="31"/>
        <v>0</v>
      </c>
      <c r="BU19" s="9">
        <v>17818</v>
      </c>
      <c r="BV19" s="27">
        <v>940</v>
      </c>
      <c r="BW19" s="15">
        <f t="shared" si="32"/>
        <v>18.955319148936169</v>
      </c>
      <c r="BX19" s="26"/>
      <c r="BY19" s="27"/>
      <c r="BZ19" s="482">
        <f t="shared" si="33"/>
        <v>0</v>
      </c>
      <c r="CA19" s="9"/>
      <c r="CB19" s="481"/>
      <c r="CC19" s="482">
        <f t="shared" si="34"/>
        <v>0</v>
      </c>
      <c r="CD19" s="4"/>
      <c r="CE19" s="5"/>
      <c r="CF19" s="28">
        <f t="shared" si="35"/>
        <v>0</v>
      </c>
      <c r="CG19" s="150"/>
      <c r="CH19" s="4">
        <v>0</v>
      </c>
      <c r="CI19" s="5"/>
      <c r="CJ19" s="5"/>
      <c r="CK19" s="5">
        <v>8350</v>
      </c>
      <c r="CL19" s="5"/>
      <c r="CM19" s="5">
        <f t="shared" si="113"/>
        <v>8350</v>
      </c>
      <c r="CN19" s="5"/>
      <c r="CO19" s="5"/>
      <c r="CQ19" s="4">
        <f t="shared" si="36"/>
        <v>0</v>
      </c>
      <c r="CR19" s="9">
        <f t="shared" si="36"/>
        <v>0</v>
      </c>
      <c r="CS19" s="5">
        <f t="shared" si="36"/>
        <v>0</v>
      </c>
      <c r="CT19" s="5">
        <f t="shared" si="36"/>
        <v>0</v>
      </c>
      <c r="CU19" s="5">
        <f t="shared" si="36"/>
        <v>0</v>
      </c>
      <c r="CV19" s="5">
        <f t="shared" si="36"/>
        <v>0</v>
      </c>
      <c r="CW19" s="5">
        <f t="shared" si="36"/>
        <v>0</v>
      </c>
      <c r="CX19" s="5">
        <f t="shared" si="36"/>
        <v>0</v>
      </c>
      <c r="CY19" s="5">
        <f t="shared" si="36"/>
        <v>4082.9900000000002</v>
      </c>
      <c r="CZ19" s="5">
        <f t="shared" si="36"/>
        <v>0</v>
      </c>
      <c r="DA19" s="5">
        <f t="shared" si="36"/>
        <v>684.92</v>
      </c>
      <c r="DB19" s="12">
        <f t="shared" si="36"/>
        <v>0</v>
      </c>
      <c r="DC19" s="310">
        <f t="shared" si="37"/>
        <v>4767.91</v>
      </c>
      <c r="DD19" s="2695"/>
      <c r="DE19" s="9"/>
      <c r="DF19" s="9"/>
      <c r="DG19" s="5"/>
      <c r="DH19" s="5"/>
      <c r="DI19" s="5"/>
      <c r="DJ19" s="5"/>
      <c r="DK19" s="5"/>
      <c r="DL19" s="5"/>
      <c r="DM19" s="5">
        <v>2048.61</v>
      </c>
      <c r="DN19" s="5"/>
      <c r="DO19" s="5"/>
      <c r="DP19" s="12"/>
      <c r="DQ19" s="28">
        <f t="shared" si="38"/>
        <v>2048.61</v>
      </c>
      <c r="DR19" s="36"/>
      <c r="DS19" s="36"/>
      <c r="DT19" s="27"/>
      <c r="DU19" s="27"/>
      <c r="DV19" s="5"/>
      <c r="DW19" s="5"/>
      <c r="DX19" s="5"/>
      <c r="DY19" s="5"/>
      <c r="DZ19" s="5">
        <v>1694.38</v>
      </c>
      <c r="EA19" s="27"/>
      <c r="EB19" s="27">
        <v>84.92</v>
      </c>
      <c r="EC19" s="33"/>
      <c r="ED19" s="28">
        <f t="shared" si="39"/>
        <v>1779.3000000000002</v>
      </c>
      <c r="EE19" s="9"/>
      <c r="EF19" s="36"/>
      <c r="EG19" s="5"/>
      <c r="EH19" s="313"/>
      <c r="EI19" s="27"/>
      <c r="EJ19" s="27"/>
      <c r="EK19" s="27"/>
      <c r="EL19" s="27"/>
      <c r="EM19" s="1448">
        <v>340</v>
      </c>
      <c r="EN19" s="27"/>
      <c r="EO19" s="27">
        <v>600</v>
      </c>
      <c r="EP19" s="33"/>
      <c r="EQ19" s="28">
        <f t="shared" si="40"/>
        <v>940</v>
      </c>
      <c r="ER19" s="36"/>
      <c r="ES19" s="27"/>
      <c r="ET19" s="27"/>
      <c r="EU19" s="27"/>
      <c r="EV19" s="27"/>
      <c r="EW19" s="27"/>
      <c r="EX19" s="33">
        <f t="shared" si="41"/>
        <v>0</v>
      </c>
      <c r="EY19" s="2685"/>
      <c r="FA19" s="4">
        <f t="shared" si="42"/>
        <v>0</v>
      </c>
      <c r="FB19" s="5">
        <f t="shared" si="43"/>
        <v>0</v>
      </c>
      <c r="FC19" s="5">
        <f t="shared" si="44"/>
        <v>0</v>
      </c>
      <c r="FD19" s="12">
        <f t="shared" si="45"/>
        <v>0</v>
      </c>
      <c r="FE19" s="33"/>
      <c r="FF19" s="2674"/>
      <c r="FG19" s="9"/>
      <c r="FH19" s="5"/>
      <c r="FI19" s="5"/>
      <c r="FJ19" s="5"/>
      <c r="FK19" s="5"/>
      <c r="FL19" s="27"/>
      <c r="FM19" s="28">
        <f t="shared" si="46"/>
        <v>0</v>
      </c>
      <c r="FN19" s="36"/>
      <c r="FO19" s="27"/>
      <c r="FP19" s="27"/>
      <c r="FQ19" s="27"/>
      <c r="FR19" s="27"/>
      <c r="FS19" s="27"/>
      <c r="FT19" s="28">
        <f t="shared" si="47"/>
        <v>0</v>
      </c>
      <c r="FU19" s="36"/>
      <c r="FV19" s="36"/>
      <c r="FW19" s="27"/>
      <c r="FX19" s="27"/>
      <c r="FY19" s="27"/>
      <c r="FZ19" s="27"/>
      <c r="GA19" s="27"/>
      <c r="GB19" s="27"/>
      <c r="GC19" s="27"/>
      <c r="GD19" s="27"/>
      <c r="GE19" s="27"/>
      <c r="GF19" s="33"/>
      <c r="GG19" s="33">
        <f t="shared" si="48"/>
        <v>0</v>
      </c>
      <c r="GH19" s="2674"/>
      <c r="GJ19" s="4">
        <f t="shared" si="49"/>
        <v>1290.05</v>
      </c>
      <c r="GK19" s="64">
        <f t="shared" si="50"/>
        <v>2260.9699999999998</v>
      </c>
      <c r="GL19" s="53">
        <f t="shared" si="51"/>
        <v>3893.46</v>
      </c>
      <c r="GM19" s="53">
        <f t="shared" si="52"/>
        <v>7444.48</v>
      </c>
      <c r="GN19" s="141"/>
      <c r="GO19" s="141"/>
      <c r="GP19" s="33"/>
      <c r="GQ19" s="2667"/>
      <c r="GR19" s="363">
        <v>3270.47</v>
      </c>
      <c r="GS19" s="5"/>
      <c r="GT19" s="5">
        <v>2195.0600000000004</v>
      </c>
      <c r="GU19" s="27">
        <v>1978.95</v>
      </c>
      <c r="GV19" s="54">
        <f t="shared" si="53"/>
        <v>7444.4800000000005</v>
      </c>
      <c r="GW19" s="2667"/>
      <c r="GX19" s="36"/>
      <c r="GY19" s="36"/>
      <c r="GZ19" s="27"/>
      <c r="HA19" s="27"/>
      <c r="HB19" s="27"/>
      <c r="HC19" s="27"/>
      <c r="HD19" s="27"/>
      <c r="HE19" s="27"/>
      <c r="HF19" s="27">
        <v>218.35</v>
      </c>
      <c r="HG19" s="27"/>
      <c r="HH19" s="27">
        <v>1071.7</v>
      </c>
      <c r="HI19" s="27"/>
      <c r="HJ19" s="27"/>
      <c r="HK19" s="27"/>
      <c r="HL19" s="28">
        <f t="shared" si="54"/>
        <v>1290.05</v>
      </c>
      <c r="HM19" s="36"/>
      <c r="HN19" s="27"/>
      <c r="HO19" s="27"/>
      <c r="HP19" s="27"/>
      <c r="HQ19" s="27"/>
      <c r="HR19" s="27"/>
      <c r="HS19" s="27"/>
      <c r="HT19" s="27"/>
      <c r="HU19" s="27"/>
      <c r="HV19" s="27"/>
      <c r="HW19" s="27"/>
      <c r="HX19" s="27"/>
      <c r="HY19" s="27"/>
      <c r="HZ19" s="27"/>
      <c r="IA19" s="33">
        <f t="shared" si="55"/>
        <v>0</v>
      </c>
      <c r="IB19" s="52"/>
      <c r="IC19" s="152"/>
      <c r="ID19" s="53"/>
      <c r="IE19" s="53"/>
      <c r="IF19" s="53"/>
      <c r="IG19" s="53"/>
      <c r="IH19" s="53">
        <v>1669.01</v>
      </c>
      <c r="II19" s="53"/>
      <c r="IJ19" s="53">
        <v>591.95999999999992</v>
      </c>
      <c r="IK19" s="53"/>
      <c r="IL19" s="53"/>
      <c r="IM19" s="53"/>
      <c r="IN19" s="53"/>
      <c r="IO19" s="53"/>
      <c r="IP19" s="61">
        <f t="shared" si="56"/>
        <v>2260.9699999999998</v>
      </c>
      <c r="IQ19" s="36"/>
      <c r="IR19" s="36"/>
      <c r="IS19" s="27"/>
      <c r="IT19" s="27"/>
      <c r="IU19" s="53"/>
      <c r="IV19" s="27"/>
      <c r="IW19" s="53"/>
      <c r="IX19" s="27"/>
      <c r="IY19" s="27">
        <v>2658.5000000000005</v>
      </c>
      <c r="IZ19" s="27"/>
      <c r="JA19" s="27">
        <v>1234.9599999999998</v>
      </c>
      <c r="JB19" s="27"/>
      <c r="JC19" s="27"/>
      <c r="JD19" s="27"/>
      <c r="JE19" s="33">
        <f t="shared" si="57"/>
        <v>3893.46</v>
      </c>
      <c r="JF19" s="2667"/>
      <c r="JH19" s="52">
        <v>1566.4599999999998</v>
      </c>
      <c r="JI19" s="152">
        <v>5878.0199999999986</v>
      </c>
      <c r="JJ19" s="53"/>
      <c r="JK19" s="53">
        <f t="shared" si="58"/>
        <v>7444.4799999999987</v>
      </c>
      <c r="JL19" s="33"/>
      <c r="JM19" s="2669"/>
      <c r="JN19" s="69"/>
      <c r="JO19" s="70"/>
      <c r="JP19" s="70"/>
      <c r="JQ19" s="70"/>
      <c r="JR19" s="70">
        <v>0.73745314928238415</v>
      </c>
      <c r="JS19" s="70">
        <v>0.2625468507176158</v>
      </c>
      <c r="JT19" s="70"/>
      <c r="JU19" s="71"/>
      <c r="JV19" s="69"/>
      <c r="JW19" s="70"/>
      <c r="JX19" s="70"/>
      <c r="JY19" s="70">
        <v>0.2839408508307219</v>
      </c>
      <c r="JZ19" s="70">
        <v>0.33516898547470064</v>
      </c>
      <c r="KA19" s="70">
        <v>0.3808901636945774</v>
      </c>
      <c r="KB19" s="70"/>
      <c r="KC19" s="71"/>
      <c r="KD19" s="69"/>
      <c r="KE19" s="70"/>
      <c r="KF19" s="70"/>
      <c r="KG19" s="70"/>
      <c r="KH19" s="70"/>
      <c r="KI19" s="70"/>
      <c r="KJ19" s="70"/>
      <c r="KK19" s="70"/>
      <c r="KL19" s="33"/>
      <c r="KM19" s="2669"/>
      <c r="KN19" s="36">
        <v>0</v>
      </c>
      <c r="KO19" s="53">
        <v>0</v>
      </c>
      <c r="KP19" s="53">
        <v>0</v>
      </c>
      <c r="KQ19" s="53">
        <v>0</v>
      </c>
      <c r="KR19" s="54">
        <v>0</v>
      </c>
      <c r="KS19" s="4">
        <v>6733</v>
      </c>
      <c r="KT19" s="64">
        <v>1.49</v>
      </c>
      <c r="KU19" s="64">
        <v>10.11</v>
      </c>
      <c r="KV19" s="64">
        <v>5.57</v>
      </c>
      <c r="KW19" s="482">
        <v>11.292458</v>
      </c>
      <c r="KX19" s="36"/>
      <c r="KY19" s="53"/>
      <c r="KZ19" s="53"/>
      <c r="LA19" s="53"/>
      <c r="LB19" s="53"/>
      <c r="LC19" s="33"/>
      <c r="LD19" s="2669"/>
      <c r="LF19" s="26">
        <f t="shared" si="59"/>
        <v>7500.27</v>
      </c>
      <c r="LG19" s="27">
        <f t="shared" si="59"/>
        <v>15343.57</v>
      </c>
      <c r="LH19" s="27">
        <f t="shared" si="59"/>
        <v>0</v>
      </c>
      <c r="LI19" s="28">
        <f t="shared" si="60"/>
        <v>22843.84</v>
      </c>
      <c r="LJ19" s="36">
        <v>3</v>
      </c>
      <c r="LK19" s="27"/>
      <c r="LL19" s="27">
        <v>3</v>
      </c>
      <c r="LM19" s="33"/>
      <c r="LN19" s="1041">
        <v>5.5</v>
      </c>
      <c r="LO19" s="486"/>
      <c r="LP19" s="2688"/>
      <c r="LQ19" s="36">
        <v>7500.27</v>
      </c>
      <c r="LR19" s="36"/>
      <c r="LS19" s="27"/>
      <c r="LT19" s="27"/>
      <c r="LU19" s="27"/>
      <c r="LV19" s="1117">
        <f t="shared" si="61"/>
        <v>7500.27</v>
      </c>
      <c r="LW19" s="36"/>
      <c r="LX19" s="36">
        <v>15343.57</v>
      </c>
      <c r="LY19" s="27"/>
      <c r="LZ19" s="27"/>
      <c r="MA19" s="33"/>
      <c r="MB19" s="28">
        <f t="shared" si="62"/>
        <v>15343.57</v>
      </c>
      <c r="MC19" s="26"/>
      <c r="MD19" s="36"/>
      <c r="ME19" s="27"/>
      <c r="MF19" s="27"/>
      <c r="MG19" s="27"/>
      <c r="MH19" s="28"/>
      <c r="MI19" s="36"/>
      <c r="MJ19" s="36"/>
      <c r="MK19" s="27"/>
      <c r="ML19" s="27"/>
      <c r="MM19" s="27"/>
      <c r="MN19" s="28"/>
      <c r="MO19" s="36"/>
      <c r="MP19" s="36"/>
      <c r="MQ19" s="27"/>
      <c r="MR19" s="27"/>
      <c r="MS19" s="27"/>
      <c r="MT19" s="33">
        <f t="shared" si="63"/>
        <v>0</v>
      </c>
      <c r="MU19" s="2688"/>
      <c r="MW19" s="26">
        <f t="shared" si="64"/>
        <v>37064.471216285499</v>
      </c>
      <c r="MX19" s="27">
        <f t="shared" si="65"/>
        <v>115275.24698410169</v>
      </c>
      <c r="MY19" s="27">
        <f t="shared" si="66"/>
        <v>24775.713116668147</v>
      </c>
      <c r="MZ19" s="28">
        <f t="shared" si="67"/>
        <v>437030.50665121427</v>
      </c>
      <c r="NA19" s="2621"/>
      <c r="NB19" s="23">
        <v>26378.466076933495</v>
      </c>
      <c r="NC19" s="64">
        <v>10686.005139352006</v>
      </c>
      <c r="ND19" s="60">
        <f t="shared" si="70"/>
        <v>0</v>
      </c>
      <c r="NE19" s="275">
        <f t="shared" si="4"/>
        <v>37064.471216285499</v>
      </c>
      <c r="NF19" s="26">
        <f t="shared" si="71"/>
        <v>0</v>
      </c>
      <c r="NG19" s="27">
        <f t="shared" si="71"/>
        <v>0</v>
      </c>
      <c r="NH19" s="27">
        <f t="shared" si="71"/>
        <v>0</v>
      </c>
      <c r="NI19" s="27">
        <f t="shared" si="71"/>
        <v>0</v>
      </c>
      <c r="NJ19" s="27">
        <f t="shared" si="71"/>
        <v>0</v>
      </c>
      <c r="NK19" s="33">
        <f t="shared" si="71"/>
        <v>0</v>
      </c>
      <c r="NL19" s="27">
        <f t="shared" si="71"/>
        <v>0</v>
      </c>
      <c r="NM19" s="36">
        <f t="shared" si="71"/>
        <v>0</v>
      </c>
      <c r="NN19" s="27">
        <f t="shared" si="71"/>
        <v>36237.542027032752</v>
      </c>
      <c r="NO19" s="27">
        <f t="shared" si="71"/>
        <v>0</v>
      </c>
      <c r="NP19" s="24">
        <f t="shared" si="114"/>
        <v>8756.5482322711578</v>
      </c>
      <c r="NQ19" s="24">
        <f t="shared" si="115"/>
        <v>15550.265013230797</v>
      </c>
      <c r="NR19" s="27">
        <f t="shared" si="0"/>
        <v>60544.355272534704</v>
      </c>
      <c r="NS19" s="27">
        <f t="shared" si="72"/>
        <v>0</v>
      </c>
      <c r="NT19" s="27">
        <f t="shared" si="72"/>
        <v>0</v>
      </c>
      <c r="NU19" s="27">
        <f t="shared" si="72"/>
        <v>0</v>
      </c>
      <c r="NV19" s="27">
        <f t="shared" si="72"/>
        <v>0</v>
      </c>
      <c r="NW19" s="27">
        <f t="shared" si="72"/>
        <v>0</v>
      </c>
      <c r="NX19" s="27">
        <f t="shared" si="72"/>
        <v>0</v>
      </c>
      <c r="NY19" s="27">
        <f t="shared" si="72"/>
        <v>1829.9246092523792</v>
      </c>
      <c r="NZ19" s="27">
        <f t="shared" si="72"/>
        <v>0</v>
      </c>
      <c r="OA19" s="27">
        <f t="shared" si="72"/>
        <v>6311.7057022622475</v>
      </c>
      <c r="OB19" s="280"/>
      <c r="OC19" s="24">
        <f t="shared" si="73"/>
        <v>1565.61197844705</v>
      </c>
      <c r="OD19" s="27">
        <f t="shared" si="73"/>
        <v>0</v>
      </c>
      <c r="OE19" s="28">
        <f t="shared" si="1"/>
        <v>9707.2422899616759</v>
      </c>
      <c r="OF19" s="27">
        <f t="shared" si="74"/>
        <v>0</v>
      </c>
      <c r="OG19" s="27">
        <f t="shared" si="74"/>
        <v>0</v>
      </c>
      <c r="OH19" s="27">
        <f t="shared" si="74"/>
        <v>0</v>
      </c>
      <c r="OI19" s="27">
        <f t="shared" si="74"/>
        <v>0</v>
      </c>
      <c r="OJ19" s="27">
        <f t="shared" si="74"/>
        <v>0</v>
      </c>
      <c r="OK19" s="27">
        <f t="shared" si="74"/>
        <v>0</v>
      </c>
      <c r="OL19" s="24">
        <f t="shared" si="74"/>
        <v>0</v>
      </c>
      <c r="OM19" s="27">
        <f t="shared" si="74"/>
        <v>0</v>
      </c>
      <c r="ON19" s="24">
        <f t="shared" si="74"/>
        <v>41545.430253800216</v>
      </c>
      <c r="OO19" s="27">
        <f t="shared" si="74"/>
        <v>0</v>
      </c>
      <c r="OP19" s="27">
        <f t="shared" si="74"/>
        <v>3478.2191678050995</v>
      </c>
      <c r="OQ19" s="27">
        <f t="shared" si="74"/>
        <v>0</v>
      </c>
      <c r="OR19" s="28">
        <f t="shared" si="2"/>
        <v>45023.649421605318</v>
      </c>
      <c r="OS19" s="36"/>
      <c r="OT19" s="27"/>
      <c r="OU19" s="27"/>
      <c r="OV19" s="27"/>
      <c r="OW19" s="27"/>
      <c r="OX19" s="27"/>
      <c r="OY19" s="28">
        <f t="shared" si="75"/>
        <v>0</v>
      </c>
      <c r="OZ19" s="36">
        <f t="shared" si="76"/>
        <v>0</v>
      </c>
      <c r="PA19" s="27">
        <f t="shared" si="77"/>
        <v>0</v>
      </c>
      <c r="PB19" s="27">
        <f t="shared" si="78"/>
        <v>0</v>
      </c>
      <c r="PC19" s="27">
        <f t="shared" si="79"/>
        <v>0</v>
      </c>
      <c r="PD19" s="27">
        <f t="shared" si="80"/>
        <v>0</v>
      </c>
      <c r="PE19" s="27">
        <f t="shared" si="81"/>
        <v>0</v>
      </c>
      <c r="PF19" s="33">
        <f t="shared" si="3"/>
        <v>0</v>
      </c>
      <c r="PG19" s="2621"/>
      <c r="PI19" s="2"/>
      <c r="PJ19" s="3">
        <v>676.00000000000011</v>
      </c>
      <c r="PK19" s="3">
        <v>312</v>
      </c>
      <c r="PL19" s="3">
        <f t="shared" si="116"/>
        <v>0</v>
      </c>
      <c r="PM19" s="3">
        <f t="shared" si="82"/>
        <v>2178.6497377964552</v>
      </c>
      <c r="PN19" s="11">
        <f t="shared" si="117"/>
        <v>24775.713116668147</v>
      </c>
      <c r="PO19" s="15"/>
      <c r="PP19" s="2615"/>
      <c r="PR19" s="4"/>
      <c r="PS19" s="9"/>
      <c r="PT19" s="9"/>
      <c r="PU19" s="9"/>
      <c r="PV19" s="9"/>
      <c r="PW19" s="9"/>
      <c r="PX19" s="8">
        <f t="shared" si="83"/>
        <v>0</v>
      </c>
      <c r="PY19" s="5">
        <f t="shared" si="84"/>
        <v>0</v>
      </c>
      <c r="PZ19" s="5"/>
      <c r="QA19" s="5"/>
      <c r="QB19" s="5"/>
      <c r="QC19" s="5"/>
      <c r="QD19" s="5"/>
      <c r="QE19" s="12">
        <f t="shared" si="85"/>
        <v>29749.381073161156</v>
      </c>
      <c r="QF19" s="420">
        <f t="shared" si="86"/>
        <v>405658.74557805312</v>
      </c>
      <c r="QG19" s="1106">
        <f t="shared" si="87"/>
        <v>1622.38</v>
      </c>
      <c r="QH19" s="484">
        <f t="shared" si="88"/>
        <v>5505.3678056100007</v>
      </c>
      <c r="QI19" s="12"/>
      <c r="QJ19" s="2615"/>
      <c r="QL19" s="139">
        <f t="shared" si="89"/>
        <v>0</v>
      </c>
      <c r="QM19" s="139" t="str">
        <f t="shared" si="90"/>
        <v/>
      </c>
      <c r="QO19" s="139">
        <f t="shared" si="91"/>
        <v>0</v>
      </c>
      <c r="QP19" s="139">
        <f t="shared" si="92"/>
        <v>0</v>
      </c>
      <c r="QR19" s="1">
        <f t="shared" si="93"/>
        <v>0</v>
      </c>
      <c r="QS19" s="1">
        <f t="shared" si="94"/>
        <v>0</v>
      </c>
      <c r="QT19" s="1">
        <f t="shared" si="95"/>
        <v>0</v>
      </c>
      <c r="QU19" s="1">
        <f t="shared" si="96"/>
        <v>0</v>
      </c>
      <c r="QV19" s="1">
        <f t="shared" si="97"/>
        <v>0</v>
      </c>
      <c r="QW19" s="1">
        <f t="shared" si="98"/>
        <v>0</v>
      </c>
      <c r="QY19" s="1">
        <f t="shared" si="99"/>
        <v>0</v>
      </c>
      <c r="QZ19" s="1">
        <f t="shared" si="100"/>
        <v>0</v>
      </c>
      <c r="RA19" s="1">
        <f t="shared" si="101"/>
        <v>0</v>
      </c>
      <c r="RB19" s="1">
        <f t="shared" si="102"/>
        <v>0</v>
      </c>
      <c r="RC19" s="1">
        <f t="shared" si="103"/>
        <v>0</v>
      </c>
      <c r="RD19" s="1">
        <f t="shared" si="104"/>
        <v>0</v>
      </c>
      <c r="RG19" s="1">
        <v>10</v>
      </c>
      <c r="RH19" s="1">
        <f t="shared" ref="RH19:RJ34" si="119">+RH18+JH19-LF19</f>
        <v>50.635209717097496</v>
      </c>
      <c r="RI19" s="1">
        <f t="shared" si="119"/>
        <v>-4391.4482195162818</v>
      </c>
      <c r="RJ19" s="1">
        <f t="shared" si="119"/>
        <v>13404.263703387322</v>
      </c>
      <c r="RK19" s="89">
        <f t="shared" si="5"/>
        <v>9063.4506935881363</v>
      </c>
      <c r="RL19" s="1033">
        <v>10</v>
      </c>
      <c r="RM19" s="1098">
        <f t="shared" si="118"/>
        <v>0</v>
      </c>
      <c r="RN19" s="1098">
        <f t="shared" si="106"/>
        <v>0</v>
      </c>
      <c r="RO19" s="1097">
        <f t="shared" si="106"/>
        <v>0</v>
      </c>
      <c r="RP19" s="1097">
        <f t="shared" si="107"/>
        <v>3827.9100000000003</v>
      </c>
      <c r="RQ19" s="1109"/>
      <c r="RR19" s="1050" t="s">
        <v>761</v>
      </c>
      <c r="RS19" s="1048"/>
      <c r="RU19" s="421">
        <v>10</v>
      </c>
      <c r="RV19" s="1095">
        <f t="shared" si="108"/>
        <v>7444.4800000000005</v>
      </c>
      <c r="RW19" s="1046" t="s">
        <v>762</v>
      </c>
      <c r="RY19" s="1090"/>
      <c r="RZ19" s="1090">
        <f t="shared" si="109"/>
        <v>0</v>
      </c>
      <c r="SA19" s="1090"/>
      <c r="SB19" s="1090">
        <f t="shared" si="110"/>
        <v>0</v>
      </c>
      <c r="SD19" s="1">
        <v>10</v>
      </c>
      <c r="SE19" s="1">
        <f t="shared" si="111"/>
        <v>0</v>
      </c>
    </row>
    <row r="20" spans="1:500" s="1" customFormat="1">
      <c r="B20" s="471">
        <v>11</v>
      </c>
      <c r="C20" s="4">
        <f t="shared" si="6"/>
        <v>178959</v>
      </c>
      <c r="D20" s="64">
        <f t="shared" si="112"/>
        <v>8088.7999999999993</v>
      </c>
      <c r="E20" s="61">
        <f t="shared" si="7"/>
        <v>22.124295321926617</v>
      </c>
      <c r="F20" s="870"/>
      <c r="G20" s="870"/>
      <c r="H20" s="52">
        <v>2</v>
      </c>
      <c r="I20" s="61">
        <v>1.42</v>
      </c>
      <c r="J20" s="52"/>
      <c r="K20" s="54"/>
      <c r="L20" s="52">
        <v>3</v>
      </c>
      <c r="M20" s="61">
        <v>0.06</v>
      </c>
      <c r="N20" s="2629"/>
      <c r="O20" s="4">
        <f t="shared" si="8"/>
        <v>108066</v>
      </c>
      <c r="P20" s="1225">
        <f t="shared" si="9"/>
        <v>4953.3599999999997</v>
      </c>
      <c r="Q20" s="64">
        <f t="shared" si="10"/>
        <v>21.816706235767239</v>
      </c>
      <c r="R20" s="33"/>
      <c r="S20" s="26">
        <f t="shared" si="11"/>
        <v>39753</v>
      </c>
      <c r="T20" s="27">
        <f t="shared" si="12"/>
        <v>1355.44</v>
      </c>
      <c r="U20" s="53">
        <f t="shared" si="13"/>
        <v>29.328483739597473</v>
      </c>
      <c r="V20" s="28"/>
      <c r="W20" s="26">
        <f t="shared" si="14"/>
        <v>31140</v>
      </c>
      <c r="X20" s="5">
        <f t="shared" si="14"/>
        <v>1780</v>
      </c>
      <c r="Y20" s="53">
        <f t="shared" si="15"/>
        <v>17.49438202247191</v>
      </c>
      <c r="Z20" s="33"/>
      <c r="AA20" s="26">
        <f t="shared" si="16"/>
        <v>0</v>
      </c>
      <c r="AB20" s="27">
        <f t="shared" si="17"/>
        <v>0</v>
      </c>
      <c r="AC20" s="53">
        <f t="shared" si="18"/>
        <v>0</v>
      </c>
      <c r="AD20" s="28"/>
      <c r="AE20" s="36"/>
      <c r="AF20" s="36"/>
      <c r="AG20" s="53">
        <f t="shared" si="19"/>
        <v>0</v>
      </c>
      <c r="AH20" s="28"/>
      <c r="AI20" s="23"/>
      <c r="AJ20" s="27"/>
      <c r="AK20" s="53">
        <f t="shared" si="20"/>
        <v>0</v>
      </c>
      <c r="AL20" s="28"/>
      <c r="AM20" s="2629"/>
      <c r="AN20" s="9"/>
      <c r="AO20" s="5"/>
      <c r="AP20" s="61">
        <f t="shared" si="21"/>
        <v>0</v>
      </c>
      <c r="AQ20" s="36"/>
      <c r="AR20" s="53"/>
      <c r="AS20" s="61">
        <f t="shared" si="22"/>
        <v>0</v>
      </c>
      <c r="AT20" s="36">
        <v>0</v>
      </c>
      <c r="AU20" s="27"/>
      <c r="AV20" s="61">
        <f t="shared" si="23"/>
        <v>0</v>
      </c>
      <c r="AW20" s="36">
        <v>63504</v>
      </c>
      <c r="AX20" s="27">
        <v>3604.66</v>
      </c>
      <c r="AY20" s="61">
        <f t="shared" si="24"/>
        <v>17.617195519133567</v>
      </c>
      <c r="AZ20" s="36"/>
      <c r="BA20" s="27"/>
      <c r="BB20" s="61">
        <f t="shared" si="25"/>
        <v>0</v>
      </c>
      <c r="BC20" s="36">
        <v>44562</v>
      </c>
      <c r="BD20" s="27">
        <v>1348.6999999999998</v>
      </c>
      <c r="BE20" s="61">
        <f t="shared" si="26"/>
        <v>33.040705864906954</v>
      </c>
      <c r="BF20" s="36"/>
      <c r="BG20" s="53"/>
      <c r="BH20" s="61">
        <f t="shared" si="27"/>
        <v>0</v>
      </c>
      <c r="BI20" s="36">
        <v>0</v>
      </c>
      <c r="BJ20" s="53">
        <v>0</v>
      </c>
      <c r="BK20" s="61">
        <f t="shared" si="28"/>
        <v>0</v>
      </c>
      <c r="BL20" s="52">
        <v>39753</v>
      </c>
      <c r="BM20" s="53">
        <v>1355.44</v>
      </c>
      <c r="BN20" s="482">
        <f t="shared" si="29"/>
        <v>29.328483739597473</v>
      </c>
      <c r="BO20" s="9"/>
      <c r="BP20" s="64"/>
      <c r="BQ20" s="482">
        <f t="shared" si="30"/>
        <v>0</v>
      </c>
      <c r="BR20" s="9"/>
      <c r="BS20" s="53"/>
      <c r="BT20" s="482">
        <f t="shared" si="31"/>
        <v>0</v>
      </c>
      <c r="BU20" s="9">
        <v>31140</v>
      </c>
      <c r="BV20" s="27">
        <v>1780</v>
      </c>
      <c r="BW20" s="15">
        <f t="shared" si="32"/>
        <v>17.49438202247191</v>
      </c>
      <c r="BX20" s="26"/>
      <c r="BY20" s="27"/>
      <c r="BZ20" s="482">
        <f t="shared" si="33"/>
        <v>0</v>
      </c>
      <c r="CA20" s="9"/>
      <c r="CB20" s="481"/>
      <c r="CC20" s="482">
        <f t="shared" si="34"/>
        <v>0</v>
      </c>
      <c r="CD20" s="4"/>
      <c r="CE20" s="5"/>
      <c r="CF20" s="28">
        <f t="shared" si="35"/>
        <v>0</v>
      </c>
      <c r="CG20" s="150"/>
      <c r="CH20" s="4">
        <v>0</v>
      </c>
      <c r="CI20" s="5"/>
      <c r="CJ20" s="5"/>
      <c r="CK20" s="5">
        <v>17412.5</v>
      </c>
      <c r="CL20" s="5"/>
      <c r="CM20" s="5">
        <f t="shared" si="113"/>
        <v>17412.5</v>
      </c>
      <c r="CN20" s="33"/>
      <c r="CO20" s="366"/>
      <c r="CQ20" s="4">
        <f t="shared" si="36"/>
        <v>0</v>
      </c>
      <c r="CR20" s="9">
        <f t="shared" si="36"/>
        <v>0</v>
      </c>
      <c r="CS20" s="5">
        <f t="shared" si="36"/>
        <v>0</v>
      </c>
      <c r="CT20" s="5">
        <f t="shared" si="36"/>
        <v>0</v>
      </c>
      <c r="CU20" s="5">
        <f t="shared" si="36"/>
        <v>0</v>
      </c>
      <c r="CV20" s="5">
        <f t="shared" si="36"/>
        <v>0</v>
      </c>
      <c r="CW20" s="5">
        <f t="shared" si="36"/>
        <v>1910.7399999999998</v>
      </c>
      <c r="CX20" s="5">
        <f t="shared" si="36"/>
        <v>0</v>
      </c>
      <c r="CY20" s="5">
        <f t="shared" si="36"/>
        <v>4809.7</v>
      </c>
      <c r="CZ20" s="5">
        <f t="shared" si="36"/>
        <v>0</v>
      </c>
      <c r="DA20" s="5">
        <f t="shared" si="36"/>
        <v>1368.36</v>
      </c>
      <c r="DB20" s="12">
        <f t="shared" si="36"/>
        <v>0</v>
      </c>
      <c r="DC20" s="310">
        <f t="shared" si="37"/>
        <v>8088.7999999999993</v>
      </c>
      <c r="DD20" s="2695"/>
      <c r="DE20" s="9"/>
      <c r="DF20" s="9"/>
      <c r="DG20" s="5"/>
      <c r="DH20" s="5"/>
      <c r="DI20" s="5"/>
      <c r="DJ20" s="5"/>
      <c r="DK20" s="5">
        <v>1910.7399999999998</v>
      </c>
      <c r="DL20" s="5"/>
      <c r="DM20" s="27">
        <v>1693.92</v>
      </c>
      <c r="DN20" s="27"/>
      <c r="DO20" s="27"/>
      <c r="DP20" s="12"/>
      <c r="DQ20" s="28">
        <f t="shared" si="38"/>
        <v>3604.66</v>
      </c>
      <c r="DR20" s="36"/>
      <c r="DS20" s="36"/>
      <c r="DT20" s="27"/>
      <c r="DU20" s="27"/>
      <c r="DV20" s="5"/>
      <c r="DW20" s="5"/>
      <c r="DX20" s="5"/>
      <c r="DY20" s="5"/>
      <c r="DZ20" s="5">
        <v>1675.7799999999997</v>
      </c>
      <c r="EA20" s="27"/>
      <c r="EB20" s="27">
        <v>1028.3599999999999</v>
      </c>
      <c r="EC20" s="33"/>
      <c r="ED20" s="28">
        <f t="shared" si="39"/>
        <v>2704.1399999999994</v>
      </c>
      <c r="EE20" s="9"/>
      <c r="EF20" s="416"/>
      <c r="EG20" s="5"/>
      <c r="EH20" s="313"/>
      <c r="EI20" s="27"/>
      <c r="EJ20" s="27"/>
      <c r="EK20" s="27"/>
      <c r="EL20" s="27"/>
      <c r="EM20" s="27">
        <v>1440</v>
      </c>
      <c r="EN20" s="27"/>
      <c r="EO20" s="27">
        <v>340</v>
      </c>
      <c r="EP20" s="33"/>
      <c r="EQ20" s="28">
        <f t="shared" si="40"/>
        <v>1780</v>
      </c>
      <c r="ER20" s="36"/>
      <c r="ES20" s="27"/>
      <c r="ET20" s="27"/>
      <c r="EU20" s="27"/>
      <c r="EV20" s="27"/>
      <c r="EW20" s="27"/>
      <c r="EX20" s="33">
        <f t="shared" si="41"/>
        <v>0</v>
      </c>
      <c r="EY20" s="2685"/>
      <c r="FA20" s="4">
        <f t="shared" si="42"/>
        <v>0</v>
      </c>
      <c r="FB20" s="5">
        <f t="shared" si="43"/>
        <v>0</v>
      </c>
      <c r="FC20" s="5">
        <f t="shared" si="44"/>
        <v>0</v>
      </c>
      <c r="FD20" s="12">
        <f t="shared" si="45"/>
        <v>0</v>
      </c>
      <c r="FE20" s="33"/>
      <c r="FF20" s="2674"/>
      <c r="FG20" s="9"/>
      <c r="FH20" s="5"/>
      <c r="FI20" s="5"/>
      <c r="FJ20" s="5"/>
      <c r="FK20" s="5"/>
      <c r="FL20" s="27"/>
      <c r="FM20" s="28">
        <f t="shared" si="46"/>
        <v>0</v>
      </c>
      <c r="FN20" s="36"/>
      <c r="FO20" s="27"/>
      <c r="FP20" s="27"/>
      <c r="FQ20" s="27"/>
      <c r="FR20" s="27"/>
      <c r="FS20" s="27"/>
      <c r="FT20" s="28">
        <f t="shared" si="47"/>
        <v>0</v>
      </c>
      <c r="FU20" s="36"/>
      <c r="FV20" s="36"/>
      <c r="FW20" s="27"/>
      <c r="FX20" s="27"/>
      <c r="FY20" s="27"/>
      <c r="FZ20" s="27"/>
      <c r="GA20" s="27"/>
      <c r="GB20" s="27"/>
      <c r="GC20" s="27"/>
      <c r="GD20" s="27"/>
      <c r="GE20" s="27"/>
      <c r="GF20" s="33"/>
      <c r="GG20" s="33">
        <f t="shared" si="48"/>
        <v>0</v>
      </c>
      <c r="GH20" s="2674"/>
      <c r="GJ20" s="4">
        <f t="shared" si="49"/>
        <v>1758.9</v>
      </c>
      <c r="GK20" s="64">
        <f t="shared" si="50"/>
        <v>1152.76</v>
      </c>
      <c r="GL20" s="53">
        <f t="shared" si="51"/>
        <v>5443.84</v>
      </c>
      <c r="GM20" s="53">
        <f t="shared" si="52"/>
        <v>8355.5</v>
      </c>
      <c r="GN20" s="141"/>
      <c r="GO20" s="141"/>
      <c r="GP20" s="33"/>
      <c r="GQ20" s="2667"/>
      <c r="GR20" s="363">
        <v>3454.84</v>
      </c>
      <c r="GS20" s="5">
        <v>485.15000000000003</v>
      </c>
      <c r="GT20" s="5">
        <v>2326.71</v>
      </c>
      <c r="GU20" s="27">
        <v>2088.8000000000002</v>
      </c>
      <c r="GV20" s="54">
        <f t="shared" si="53"/>
        <v>8355.5</v>
      </c>
      <c r="GW20" s="2667"/>
      <c r="GX20" s="36"/>
      <c r="GY20" s="36"/>
      <c r="GZ20" s="27"/>
      <c r="HA20" s="27"/>
      <c r="HB20" s="27"/>
      <c r="HC20" s="27"/>
      <c r="HD20" s="27"/>
      <c r="HE20" s="27"/>
      <c r="HF20" s="27">
        <v>1273.75</v>
      </c>
      <c r="HG20" s="27"/>
      <c r="HH20" s="27"/>
      <c r="HI20" s="27"/>
      <c r="HJ20" s="27">
        <v>485.15000000000003</v>
      </c>
      <c r="HK20" s="27"/>
      <c r="HL20" s="28">
        <f t="shared" si="54"/>
        <v>1758.9</v>
      </c>
      <c r="HM20" s="36"/>
      <c r="HN20" s="27"/>
      <c r="HO20" s="27"/>
      <c r="HP20" s="27"/>
      <c r="HQ20" s="27"/>
      <c r="HR20" s="27"/>
      <c r="HS20" s="27"/>
      <c r="HT20" s="27"/>
      <c r="HU20" s="27"/>
      <c r="HV20" s="27"/>
      <c r="HW20" s="27"/>
      <c r="HX20" s="27"/>
      <c r="HY20" s="27"/>
      <c r="HZ20" s="27"/>
      <c r="IA20" s="33">
        <f t="shared" si="55"/>
        <v>0</v>
      </c>
      <c r="IB20" s="52"/>
      <c r="IC20" s="152"/>
      <c r="ID20" s="53"/>
      <c r="IE20" s="53"/>
      <c r="IF20" s="53"/>
      <c r="IG20" s="53"/>
      <c r="IH20" s="53"/>
      <c r="II20" s="53"/>
      <c r="IJ20" s="53">
        <v>1152.76</v>
      </c>
      <c r="IK20" s="53"/>
      <c r="IL20" s="53"/>
      <c r="IM20" s="53"/>
      <c r="IN20" s="53"/>
      <c r="IO20" s="53"/>
      <c r="IP20" s="61">
        <f t="shared" si="56"/>
        <v>1152.76</v>
      </c>
      <c r="IQ20" s="36"/>
      <c r="IR20" s="36"/>
      <c r="IS20" s="27"/>
      <c r="IT20" s="27"/>
      <c r="IU20" s="53"/>
      <c r="IV20" s="27"/>
      <c r="IW20" s="27"/>
      <c r="IX20" s="27"/>
      <c r="IY20" s="27">
        <v>5443.84</v>
      </c>
      <c r="IZ20" s="27"/>
      <c r="JA20" s="27"/>
      <c r="JB20" s="27"/>
      <c r="JC20" s="27"/>
      <c r="JD20" s="27"/>
      <c r="JE20" s="33">
        <f t="shared" si="57"/>
        <v>5443.84</v>
      </c>
      <c r="JF20" s="2667"/>
      <c r="JH20" s="52">
        <v>8355.5</v>
      </c>
      <c r="JI20" s="152"/>
      <c r="JJ20" s="53"/>
      <c r="JK20" s="53">
        <f t="shared" si="58"/>
        <v>8355.5</v>
      </c>
      <c r="JL20" s="33"/>
      <c r="JM20" s="2669"/>
      <c r="JN20" s="69"/>
      <c r="JO20" s="70"/>
      <c r="JP20" s="70"/>
      <c r="JQ20" s="70"/>
      <c r="JR20" s="70">
        <v>1</v>
      </c>
      <c r="JS20" s="70"/>
      <c r="JT20" s="70"/>
      <c r="JU20" s="71"/>
      <c r="JV20" s="69"/>
      <c r="JW20" s="70"/>
      <c r="JX20" s="70"/>
      <c r="JY20" s="70"/>
      <c r="JZ20" s="70"/>
      <c r="KA20" s="70"/>
      <c r="KB20" s="70"/>
      <c r="KC20" s="71"/>
      <c r="KD20" s="69"/>
      <c r="KE20" s="70"/>
      <c r="KF20" s="70"/>
      <c r="KG20" s="70"/>
      <c r="KH20" s="70"/>
      <c r="KI20" s="70"/>
      <c r="KJ20" s="70"/>
      <c r="KK20" s="70"/>
      <c r="KL20" s="33"/>
      <c r="KM20" s="2669"/>
      <c r="KN20" s="36">
        <v>6978.8937249666224</v>
      </c>
      <c r="KO20" s="53">
        <v>0.44019092122830439</v>
      </c>
      <c r="KP20" s="53">
        <v>4.2666128170894524</v>
      </c>
      <c r="KQ20" s="53">
        <v>8.724325767690253</v>
      </c>
      <c r="KR20" s="54">
        <v>12.436116907877169</v>
      </c>
      <c r="KS20" s="4">
        <v>6884</v>
      </c>
      <c r="KT20" s="64">
        <v>1.4</v>
      </c>
      <c r="KU20" s="64">
        <v>4.5599999999999996</v>
      </c>
      <c r="KV20" s="64">
        <v>6.36</v>
      </c>
      <c r="KW20" s="482">
        <v>11.716208</v>
      </c>
      <c r="KX20" s="36"/>
      <c r="KY20" s="53"/>
      <c r="KZ20" s="53"/>
      <c r="LA20" s="53"/>
      <c r="LB20" s="53"/>
      <c r="LC20" s="33"/>
      <c r="LD20" s="2669"/>
      <c r="LF20" s="26">
        <f t="shared" si="59"/>
        <v>0</v>
      </c>
      <c r="LG20" s="27">
        <f t="shared" si="59"/>
        <v>0</v>
      </c>
      <c r="LH20" s="27">
        <f t="shared" si="59"/>
        <v>0</v>
      </c>
      <c r="LI20" s="28">
        <f t="shared" si="60"/>
        <v>0</v>
      </c>
      <c r="LJ20" s="36"/>
      <c r="LK20" s="27"/>
      <c r="LL20" s="27">
        <v>5</v>
      </c>
      <c r="LM20" s="33"/>
      <c r="LN20" s="1041">
        <v>5.04</v>
      </c>
      <c r="LO20" s="486" t="s">
        <v>680</v>
      </c>
      <c r="LP20" s="2688"/>
      <c r="LQ20" s="36"/>
      <c r="LR20" s="36"/>
      <c r="LS20" s="27"/>
      <c r="LT20" s="27"/>
      <c r="LU20" s="27"/>
      <c r="LV20" s="1117">
        <f t="shared" si="61"/>
        <v>0</v>
      </c>
      <c r="LW20" s="36"/>
      <c r="LX20" s="36"/>
      <c r="LY20" s="277"/>
      <c r="LZ20" s="27"/>
      <c r="MA20" s="33"/>
      <c r="MB20" s="28">
        <f t="shared" si="62"/>
        <v>0</v>
      </c>
      <c r="MC20" s="26"/>
      <c r="MD20" s="36"/>
      <c r="ME20" s="27"/>
      <c r="MF20" s="27"/>
      <c r="MG20" s="27"/>
      <c r="MH20" s="28"/>
      <c r="MI20" s="36"/>
      <c r="MJ20" s="36"/>
      <c r="MK20" s="27"/>
      <c r="ML20" s="27"/>
      <c r="MM20" s="27"/>
      <c r="MN20" s="28"/>
      <c r="MO20" s="36"/>
      <c r="MP20" s="36"/>
      <c r="MQ20" s="27"/>
      <c r="MR20" s="27"/>
      <c r="MS20" s="27"/>
      <c r="MT20" s="33">
        <f t="shared" si="63"/>
        <v>0</v>
      </c>
      <c r="MU20" s="2688"/>
      <c r="MW20" s="26">
        <f t="shared" si="64"/>
        <v>45419.971216285499</v>
      </c>
      <c r="MX20" s="27">
        <f t="shared" si="65"/>
        <v>115493.6969841017</v>
      </c>
      <c r="MY20" s="27">
        <f t="shared" si="66"/>
        <v>24493.063116668145</v>
      </c>
      <c r="MZ20" s="28">
        <f t="shared" si="67"/>
        <v>436603.92665121425</v>
      </c>
      <c r="NA20" s="2621"/>
      <c r="NB20" s="23">
        <f t="shared" si="68"/>
        <v>34733.966076933495</v>
      </c>
      <c r="NC20" s="64">
        <f t="shared" si="69"/>
        <v>10686.005139352006</v>
      </c>
      <c r="ND20" s="60">
        <f t="shared" si="70"/>
        <v>0</v>
      </c>
      <c r="NE20" s="275">
        <f t="shared" si="4"/>
        <v>45419.971216285499</v>
      </c>
      <c r="NF20" s="26">
        <f t="shared" si="71"/>
        <v>0</v>
      </c>
      <c r="NG20" s="27">
        <f t="shared" si="71"/>
        <v>0</v>
      </c>
      <c r="NH20" s="27">
        <f t="shared" si="71"/>
        <v>0</v>
      </c>
      <c r="NI20" s="27">
        <f t="shared" si="71"/>
        <v>0</v>
      </c>
      <c r="NJ20" s="27">
        <f t="shared" si="71"/>
        <v>0</v>
      </c>
      <c r="NK20" s="33">
        <f t="shared" si="71"/>
        <v>0</v>
      </c>
      <c r="NL20" s="27">
        <f t="shared" si="71"/>
        <v>0</v>
      </c>
      <c r="NM20" s="36">
        <f t="shared" si="71"/>
        <v>0</v>
      </c>
      <c r="NN20" s="27">
        <f t="shared" si="71"/>
        <v>36403.792027032752</v>
      </c>
      <c r="NO20" s="27">
        <f t="shared" si="71"/>
        <v>0</v>
      </c>
      <c r="NP20" s="24">
        <f t="shared" si="114"/>
        <v>8756.5482322711578</v>
      </c>
      <c r="NQ20" s="24">
        <f t="shared" si="115"/>
        <v>15890.265013230797</v>
      </c>
      <c r="NR20" s="27">
        <f t="shared" si="0"/>
        <v>61050.605272534704</v>
      </c>
      <c r="NS20" s="27">
        <f t="shared" si="72"/>
        <v>0</v>
      </c>
      <c r="NT20" s="27">
        <f t="shared" si="72"/>
        <v>0</v>
      </c>
      <c r="NU20" s="27">
        <f t="shared" si="72"/>
        <v>0</v>
      </c>
      <c r="NV20" s="27">
        <f t="shared" si="72"/>
        <v>0</v>
      </c>
      <c r="NW20" s="27">
        <f t="shared" si="72"/>
        <v>0</v>
      </c>
      <c r="NX20" s="27">
        <f t="shared" si="72"/>
        <v>0</v>
      </c>
      <c r="NY20" s="27">
        <f t="shared" si="72"/>
        <v>3740.6646092523788</v>
      </c>
      <c r="NZ20" s="27">
        <f t="shared" si="72"/>
        <v>0</v>
      </c>
      <c r="OA20" s="27">
        <f t="shared" si="72"/>
        <v>6852.8657022622474</v>
      </c>
      <c r="OB20" s="280"/>
      <c r="OC20" s="24">
        <f t="shared" si="73"/>
        <v>1565.61197844705</v>
      </c>
      <c r="OD20" s="27">
        <f t="shared" si="73"/>
        <v>0</v>
      </c>
      <c r="OE20" s="28">
        <f t="shared" si="1"/>
        <v>12159.142289961677</v>
      </c>
      <c r="OF20" s="27">
        <f t="shared" si="74"/>
        <v>0</v>
      </c>
      <c r="OG20" s="27">
        <f t="shared" si="74"/>
        <v>0</v>
      </c>
      <c r="OH20" s="27">
        <v>0</v>
      </c>
      <c r="OI20" s="27">
        <f t="shared" si="74"/>
        <v>0</v>
      </c>
      <c r="OJ20" s="27">
        <f t="shared" si="74"/>
        <v>0</v>
      </c>
      <c r="OK20" s="27">
        <f t="shared" si="74"/>
        <v>0</v>
      </c>
      <c r="OL20" s="24">
        <f t="shared" si="74"/>
        <v>0</v>
      </c>
      <c r="OM20" s="27">
        <f t="shared" si="74"/>
        <v>0</v>
      </c>
      <c r="ON20" s="24">
        <f t="shared" si="74"/>
        <v>37777.370253800211</v>
      </c>
      <c r="OO20" s="27">
        <f t="shared" si="74"/>
        <v>0</v>
      </c>
      <c r="OP20" s="27">
        <f t="shared" si="74"/>
        <v>4506.5791678050991</v>
      </c>
      <c r="OQ20" s="27">
        <f t="shared" si="74"/>
        <v>0</v>
      </c>
      <c r="OR20" s="28">
        <f t="shared" si="2"/>
        <v>42283.949421605314</v>
      </c>
      <c r="OS20" s="36"/>
      <c r="OT20" s="27"/>
      <c r="OU20" s="27"/>
      <c r="OV20" s="27"/>
      <c r="OW20" s="27"/>
      <c r="OX20" s="27"/>
      <c r="OY20" s="28">
        <f t="shared" si="75"/>
        <v>0</v>
      </c>
      <c r="OZ20" s="36">
        <f t="shared" si="76"/>
        <v>0</v>
      </c>
      <c r="PA20" s="27">
        <f t="shared" si="77"/>
        <v>0</v>
      </c>
      <c r="PB20" s="27">
        <f t="shared" si="78"/>
        <v>0</v>
      </c>
      <c r="PC20" s="27">
        <f t="shared" si="79"/>
        <v>0</v>
      </c>
      <c r="PD20" s="27">
        <f t="shared" si="80"/>
        <v>0</v>
      </c>
      <c r="PE20" s="27">
        <f t="shared" si="81"/>
        <v>0</v>
      </c>
      <c r="PF20" s="33">
        <f t="shared" si="3"/>
        <v>0</v>
      </c>
      <c r="PG20" s="2621"/>
      <c r="PI20" s="2">
        <v>426.58</v>
      </c>
      <c r="PJ20" s="3">
        <v>438.75000000000011</v>
      </c>
      <c r="PK20" s="3">
        <v>202.50000000000006</v>
      </c>
      <c r="PL20" s="3">
        <f t="shared" si="116"/>
        <v>485.15000000000003</v>
      </c>
      <c r="PM20" s="3">
        <f t="shared" si="82"/>
        <v>2166.4797377964551</v>
      </c>
      <c r="PN20" s="11">
        <f t="shared" si="117"/>
        <v>24493.063116668145</v>
      </c>
      <c r="PO20" s="15"/>
      <c r="PP20" s="2615"/>
      <c r="PR20" s="4"/>
      <c r="PS20" s="9"/>
      <c r="PT20" s="9"/>
      <c r="PU20" s="9"/>
      <c r="PV20" s="9"/>
      <c r="PW20" s="9"/>
      <c r="PX20" s="8">
        <f t="shared" si="83"/>
        <v>0</v>
      </c>
      <c r="PY20" s="5">
        <f t="shared" si="84"/>
        <v>426.58</v>
      </c>
      <c r="PZ20" s="5"/>
      <c r="QA20" s="5"/>
      <c r="QB20" s="5"/>
      <c r="QC20" s="5"/>
      <c r="QD20" s="5"/>
      <c r="QE20" s="12">
        <f t="shared" si="85"/>
        <v>29749.381073161156</v>
      </c>
      <c r="QF20" s="420">
        <f t="shared" si="86"/>
        <v>405232.1655780531</v>
      </c>
      <c r="QG20" s="1106">
        <f t="shared" si="87"/>
        <v>1622.38</v>
      </c>
      <c r="QH20" s="484">
        <f t="shared" si="88"/>
        <v>5505.3678056100007</v>
      </c>
      <c r="QI20" s="12"/>
      <c r="QJ20" s="2615"/>
      <c r="QL20" s="139">
        <f t="shared" si="89"/>
        <v>0</v>
      </c>
      <c r="QM20" s="139" t="str">
        <f t="shared" si="90"/>
        <v/>
      </c>
      <c r="QO20" s="139">
        <f t="shared" si="91"/>
        <v>0</v>
      </c>
      <c r="QP20" s="139">
        <f t="shared" si="92"/>
        <v>0</v>
      </c>
      <c r="QR20" s="1">
        <f t="shared" si="93"/>
        <v>0</v>
      </c>
      <c r="QS20" s="1">
        <f t="shared" si="94"/>
        <v>0</v>
      </c>
      <c r="QT20" s="1">
        <f t="shared" si="95"/>
        <v>0</v>
      </c>
      <c r="QU20" s="1">
        <f t="shared" si="96"/>
        <v>0</v>
      </c>
      <c r="QV20" s="1">
        <f t="shared" si="97"/>
        <v>0</v>
      </c>
      <c r="QW20" s="1">
        <f t="shared" si="98"/>
        <v>0</v>
      </c>
      <c r="QY20" s="1">
        <f t="shared" si="99"/>
        <v>0</v>
      </c>
      <c r="QZ20" s="1">
        <f t="shared" si="100"/>
        <v>0</v>
      </c>
      <c r="RA20" s="1">
        <f t="shared" si="101"/>
        <v>0</v>
      </c>
      <c r="RB20" s="1">
        <f t="shared" si="102"/>
        <v>0</v>
      </c>
      <c r="RC20" s="1">
        <f t="shared" si="103"/>
        <v>0</v>
      </c>
      <c r="RD20" s="1">
        <f t="shared" si="104"/>
        <v>0</v>
      </c>
      <c r="RG20" s="1">
        <v>11</v>
      </c>
      <c r="RH20" s="1">
        <f t="shared" si="119"/>
        <v>8406.1352097170966</v>
      </c>
      <c r="RI20" s="1">
        <f t="shared" si="119"/>
        <v>-4391.4482195162818</v>
      </c>
      <c r="RJ20" s="1">
        <f t="shared" si="119"/>
        <v>13404.263703387322</v>
      </c>
      <c r="RK20" s="89">
        <f t="shared" si="5"/>
        <v>17418.950693588136</v>
      </c>
      <c r="RL20" s="1033">
        <v>11</v>
      </c>
      <c r="RM20" s="1098">
        <f t="shared" si="118"/>
        <v>0</v>
      </c>
      <c r="RN20" s="1098">
        <f t="shared" si="106"/>
        <v>0</v>
      </c>
      <c r="RO20" s="1097">
        <f t="shared" si="106"/>
        <v>0</v>
      </c>
      <c r="RP20" s="1097">
        <f t="shared" si="107"/>
        <v>6308.8</v>
      </c>
      <c r="RQ20" s="1109"/>
      <c r="RR20" s="1046" t="s">
        <v>763</v>
      </c>
      <c r="RU20" s="421">
        <v>11</v>
      </c>
      <c r="RV20" s="1095">
        <f t="shared" si="108"/>
        <v>8355.5</v>
      </c>
      <c r="RW20" s="1046" t="s">
        <v>764</v>
      </c>
      <c r="RY20" s="1090"/>
      <c r="RZ20" s="1090">
        <f t="shared" si="109"/>
        <v>0</v>
      </c>
      <c r="SA20" s="1090"/>
      <c r="SB20" s="1090">
        <f t="shared" si="110"/>
        <v>0</v>
      </c>
      <c r="SD20" s="1">
        <v>11</v>
      </c>
      <c r="SE20" s="1">
        <f t="shared" si="111"/>
        <v>485.15000000000003</v>
      </c>
      <c r="SF20" s="1094" t="s">
        <v>765</v>
      </c>
    </row>
    <row r="21" spans="1:500" s="1" customFormat="1" ht="16.95" customHeight="1">
      <c r="B21" s="471">
        <v>12</v>
      </c>
      <c r="C21" s="26">
        <f t="shared" si="6"/>
        <v>136355</v>
      </c>
      <c r="D21" s="64">
        <f t="shared" si="112"/>
        <v>6725.57</v>
      </c>
      <c r="E21" s="61">
        <f t="shared" si="7"/>
        <v>20.274118030144656</v>
      </c>
      <c r="F21" s="870"/>
      <c r="G21" s="870"/>
      <c r="H21" s="52">
        <v>44</v>
      </c>
      <c r="I21" s="61">
        <v>14.17</v>
      </c>
      <c r="J21" s="52"/>
      <c r="K21" s="54"/>
      <c r="L21" s="52">
        <v>5.67</v>
      </c>
      <c r="M21" s="61">
        <v>4.97</v>
      </c>
      <c r="N21" s="2629"/>
      <c r="O21" s="4">
        <f t="shared" si="8"/>
        <v>90196</v>
      </c>
      <c r="P21" s="1225">
        <f t="shared" si="9"/>
        <v>4943.29</v>
      </c>
      <c r="Q21" s="64">
        <f t="shared" si="10"/>
        <v>18.246147808443364</v>
      </c>
      <c r="R21" s="33"/>
      <c r="S21" s="26">
        <f t="shared" si="11"/>
        <v>31915</v>
      </c>
      <c r="T21" s="27">
        <f t="shared" si="12"/>
        <v>982.28000000000009</v>
      </c>
      <c r="U21" s="53">
        <f t="shared" si="13"/>
        <v>32.490735839068286</v>
      </c>
      <c r="V21" s="28"/>
      <c r="W21" s="26">
        <f t="shared" si="14"/>
        <v>14244</v>
      </c>
      <c r="X21" s="5">
        <f t="shared" si="14"/>
        <v>800</v>
      </c>
      <c r="Y21" s="53">
        <f t="shared" si="15"/>
        <v>17.805</v>
      </c>
      <c r="Z21" s="33"/>
      <c r="AA21" s="26">
        <f t="shared" si="16"/>
        <v>0</v>
      </c>
      <c r="AB21" s="27">
        <f t="shared" si="17"/>
        <v>0</v>
      </c>
      <c r="AC21" s="53">
        <f t="shared" si="18"/>
        <v>0</v>
      </c>
      <c r="AD21" s="28"/>
      <c r="AE21" s="36"/>
      <c r="AF21" s="36"/>
      <c r="AG21" s="53">
        <f t="shared" si="19"/>
        <v>0</v>
      </c>
      <c r="AH21" s="28"/>
      <c r="AI21" s="26"/>
      <c r="AJ21" s="27"/>
      <c r="AK21" s="53">
        <f t="shared" si="20"/>
        <v>0</v>
      </c>
      <c r="AL21" s="28"/>
      <c r="AM21" s="2629"/>
      <c r="AN21" s="9"/>
      <c r="AO21" s="5"/>
      <c r="AP21" s="61">
        <f t="shared" si="21"/>
        <v>0</v>
      </c>
      <c r="AQ21" s="36"/>
      <c r="AR21" s="53"/>
      <c r="AS21" s="61">
        <f t="shared" si="22"/>
        <v>0</v>
      </c>
      <c r="AT21" s="36">
        <v>0</v>
      </c>
      <c r="AU21" s="27"/>
      <c r="AV21" s="61">
        <f t="shared" si="23"/>
        <v>0</v>
      </c>
      <c r="AW21" s="36">
        <v>61510</v>
      </c>
      <c r="AX21" s="27">
        <v>3083.11</v>
      </c>
      <c r="AY21" s="61">
        <f t="shared" si="24"/>
        <v>19.950634262157365</v>
      </c>
      <c r="AZ21" s="36"/>
      <c r="BA21" s="27"/>
      <c r="BB21" s="61">
        <f t="shared" si="25"/>
        <v>0</v>
      </c>
      <c r="BC21" s="36">
        <v>28686</v>
      </c>
      <c r="BD21" s="27">
        <v>1860.18</v>
      </c>
      <c r="BE21" s="61">
        <f t="shared" si="26"/>
        <v>15.421088281779182</v>
      </c>
      <c r="BF21" s="36"/>
      <c r="BG21" s="53"/>
      <c r="BH21" s="61">
        <f t="shared" si="27"/>
        <v>0</v>
      </c>
      <c r="BI21" s="36">
        <v>0</v>
      </c>
      <c r="BJ21" s="53">
        <v>0</v>
      </c>
      <c r="BK21" s="61">
        <f t="shared" si="28"/>
        <v>0</v>
      </c>
      <c r="BL21" s="52">
        <v>31915</v>
      </c>
      <c r="BM21" s="53">
        <v>982.28000000000009</v>
      </c>
      <c r="BN21" s="482">
        <f t="shared" si="29"/>
        <v>32.490735839068286</v>
      </c>
      <c r="BO21" s="9"/>
      <c r="BP21" s="64"/>
      <c r="BQ21" s="482">
        <f t="shared" si="30"/>
        <v>0</v>
      </c>
      <c r="BR21" s="9"/>
      <c r="BS21" s="53"/>
      <c r="BT21" s="482">
        <f t="shared" si="31"/>
        <v>0</v>
      </c>
      <c r="BU21" s="9">
        <v>14244</v>
      </c>
      <c r="BV21" s="27">
        <v>800</v>
      </c>
      <c r="BW21" s="15">
        <f t="shared" si="32"/>
        <v>17.805</v>
      </c>
      <c r="BX21" s="26"/>
      <c r="BY21" s="27"/>
      <c r="BZ21" s="482">
        <f t="shared" si="33"/>
        <v>0</v>
      </c>
      <c r="CA21" s="9"/>
      <c r="CB21" s="481"/>
      <c r="CC21" s="482">
        <f t="shared" si="34"/>
        <v>0</v>
      </c>
      <c r="CD21" s="4"/>
      <c r="CE21" s="5"/>
      <c r="CF21" s="28">
        <f t="shared" si="35"/>
        <v>0</v>
      </c>
      <c r="CG21" s="150"/>
      <c r="CH21" s="4">
        <v>528</v>
      </c>
      <c r="CI21" s="5"/>
      <c r="CJ21" s="5"/>
      <c r="CK21" s="5">
        <v>12387.5</v>
      </c>
      <c r="CL21" s="5"/>
      <c r="CM21" s="5">
        <f t="shared" si="113"/>
        <v>12915.5</v>
      </c>
      <c r="CN21" s="33"/>
      <c r="CO21" s="366"/>
      <c r="CQ21" s="4">
        <f t="shared" si="36"/>
        <v>0</v>
      </c>
      <c r="CR21" s="9">
        <f t="shared" si="36"/>
        <v>0</v>
      </c>
      <c r="CS21" s="5">
        <f t="shared" si="36"/>
        <v>0</v>
      </c>
      <c r="CT21" s="5">
        <f t="shared" si="36"/>
        <v>0</v>
      </c>
      <c r="CU21" s="5">
        <f t="shared" si="36"/>
        <v>0</v>
      </c>
      <c r="CV21" s="5">
        <f t="shared" si="36"/>
        <v>0</v>
      </c>
      <c r="CW21" s="5">
        <f t="shared" si="36"/>
        <v>3083.11</v>
      </c>
      <c r="CX21" s="5">
        <f t="shared" si="36"/>
        <v>0</v>
      </c>
      <c r="CY21" s="5">
        <f t="shared" si="36"/>
        <v>3108.02</v>
      </c>
      <c r="CZ21" s="5">
        <f t="shared" si="36"/>
        <v>0</v>
      </c>
      <c r="DA21" s="5">
        <f t="shared" si="36"/>
        <v>534.44000000000005</v>
      </c>
      <c r="DB21" s="12">
        <f t="shared" si="36"/>
        <v>0</v>
      </c>
      <c r="DC21" s="310">
        <f t="shared" si="37"/>
        <v>6725.57</v>
      </c>
      <c r="DD21" s="2695"/>
      <c r="DE21" s="9"/>
      <c r="DF21" s="9"/>
      <c r="DG21" s="5"/>
      <c r="DH21" s="5"/>
      <c r="DI21" s="5"/>
      <c r="DJ21" s="5"/>
      <c r="DK21" s="5">
        <v>3083.11</v>
      </c>
      <c r="DL21" s="5"/>
      <c r="DM21" s="5"/>
      <c r="DN21" s="5"/>
      <c r="DO21" s="5"/>
      <c r="DP21" s="12"/>
      <c r="DQ21" s="28">
        <f t="shared" si="38"/>
        <v>3083.11</v>
      </c>
      <c r="DR21" s="36"/>
      <c r="DS21" s="36"/>
      <c r="DT21" s="53"/>
      <c r="DU21" s="27"/>
      <c r="DV21" s="5"/>
      <c r="DW21" s="5"/>
      <c r="DX21" s="5"/>
      <c r="DY21" s="5"/>
      <c r="DZ21" s="5">
        <v>2308.02</v>
      </c>
      <c r="EA21" s="27"/>
      <c r="EB21" s="27">
        <v>534.44000000000005</v>
      </c>
      <c r="EC21" s="33"/>
      <c r="ED21" s="28">
        <f t="shared" si="39"/>
        <v>2842.46</v>
      </c>
      <c r="EE21" s="9"/>
      <c r="EF21" s="36"/>
      <c r="EG21" s="5"/>
      <c r="EH21" s="313"/>
      <c r="EI21" s="27"/>
      <c r="EJ21" s="27"/>
      <c r="EK21" s="27"/>
      <c r="EL21" s="27"/>
      <c r="EM21" s="27">
        <v>800</v>
      </c>
      <c r="EN21" s="27"/>
      <c r="EO21" s="27"/>
      <c r="EP21" s="33"/>
      <c r="EQ21" s="28">
        <f t="shared" si="40"/>
        <v>800</v>
      </c>
      <c r="ER21" s="36"/>
      <c r="ES21" s="27"/>
      <c r="ET21" s="27"/>
      <c r="EU21" s="27"/>
      <c r="EV21" s="27"/>
      <c r="EW21" s="27"/>
      <c r="EX21" s="33">
        <f t="shared" si="41"/>
        <v>0</v>
      </c>
      <c r="EY21" s="2685"/>
      <c r="FA21" s="4">
        <f t="shared" si="42"/>
        <v>0</v>
      </c>
      <c r="FB21" s="5">
        <f t="shared" si="43"/>
        <v>0</v>
      </c>
      <c r="FC21" s="5">
        <f t="shared" si="44"/>
        <v>0</v>
      </c>
      <c r="FD21" s="12">
        <f t="shared" si="45"/>
        <v>0</v>
      </c>
      <c r="FE21" s="33"/>
      <c r="FF21" s="2674"/>
      <c r="FG21" s="9"/>
      <c r="FH21" s="5"/>
      <c r="FI21" s="5"/>
      <c r="FJ21" s="5"/>
      <c r="FK21" s="5"/>
      <c r="FL21" s="27"/>
      <c r="FM21" s="28">
        <f t="shared" si="46"/>
        <v>0</v>
      </c>
      <c r="FN21" s="36"/>
      <c r="FO21" s="27"/>
      <c r="FP21" s="27"/>
      <c r="FQ21" s="27"/>
      <c r="FR21" s="27"/>
      <c r="FS21" s="27"/>
      <c r="FT21" s="28">
        <f t="shared" si="47"/>
        <v>0</v>
      </c>
      <c r="FU21" s="36"/>
      <c r="FV21" s="36"/>
      <c r="FW21" s="27"/>
      <c r="FX21" s="27"/>
      <c r="FY21" s="27"/>
      <c r="FZ21" s="27"/>
      <c r="GA21" s="27"/>
      <c r="GB21" s="27"/>
      <c r="GC21" s="27"/>
      <c r="GD21" s="27"/>
      <c r="GE21" s="27"/>
      <c r="GF21" s="33"/>
      <c r="GG21" s="33">
        <f t="shared" si="48"/>
        <v>0</v>
      </c>
      <c r="GH21" s="2674"/>
      <c r="GJ21" s="4">
        <f t="shared" si="49"/>
        <v>1291.8899999999999</v>
      </c>
      <c r="GK21" s="64">
        <f t="shared" si="50"/>
        <v>2844.64</v>
      </c>
      <c r="GL21" s="53">
        <f t="shared" si="51"/>
        <v>7528.5500000000011</v>
      </c>
      <c r="GM21" s="53">
        <f t="shared" si="52"/>
        <v>11665.080000000002</v>
      </c>
      <c r="GN21" s="141"/>
      <c r="GO21" s="141"/>
      <c r="GP21" s="33"/>
      <c r="GQ21" s="2667"/>
      <c r="GR21" s="363">
        <v>6115.72</v>
      </c>
      <c r="GS21" s="5"/>
      <c r="GT21" s="5">
        <v>2493.1099999999997</v>
      </c>
      <c r="GU21" s="27">
        <v>3056.25</v>
      </c>
      <c r="GV21" s="54">
        <f t="shared" si="53"/>
        <v>11665.08</v>
      </c>
      <c r="GW21" s="2667"/>
      <c r="GX21" s="36"/>
      <c r="GY21" s="36"/>
      <c r="GZ21" s="27"/>
      <c r="HA21" s="27"/>
      <c r="HB21" s="27"/>
      <c r="HC21" s="27"/>
      <c r="HD21" s="27"/>
      <c r="HE21" s="27"/>
      <c r="HF21" s="27">
        <v>1291.8899999999999</v>
      </c>
      <c r="HG21" s="27"/>
      <c r="HH21" s="27"/>
      <c r="HI21" s="27"/>
      <c r="HJ21" s="27"/>
      <c r="HK21" s="27"/>
      <c r="HL21" s="28">
        <f t="shared" si="54"/>
        <v>1291.8899999999999</v>
      </c>
      <c r="HM21" s="36"/>
      <c r="HN21" s="27"/>
      <c r="HO21" s="27"/>
      <c r="HP21" s="27"/>
      <c r="HQ21" s="27"/>
      <c r="HR21" s="27"/>
      <c r="HS21" s="27"/>
      <c r="HT21" s="27"/>
      <c r="HU21" s="27"/>
      <c r="HV21" s="27"/>
      <c r="HW21" s="27"/>
      <c r="HX21" s="27"/>
      <c r="HY21" s="27"/>
      <c r="HZ21" s="27"/>
      <c r="IA21" s="33">
        <f t="shared" si="55"/>
        <v>0</v>
      </c>
      <c r="IB21" s="52"/>
      <c r="IC21" s="152"/>
      <c r="ID21" s="53"/>
      <c r="IE21" s="53"/>
      <c r="IF21" s="53"/>
      <c r="IG21" s="53"/>
      <c r="IH21" s="53"/>
      <c r="II21" s="53"/>
      <c r="IJ21" s="53">
        <v>2844.64</v>
      </c>
      <c r="IK21" s="53"/>
      <c r="IL21" s="53"/>
      <c r="IM21" s="53"/>
      <c r="IN21" s="53"/>
      <c r="IO21" s="53"/>
      <c r="IP21" s="61">
        <f t="shared" si="56"/>
        <v>2844.64</v>
      </c>
      <c r="IQ21" s="36"/>
      <c r="IR21" s="36"/>
      <c r="IS21" s="27"/>
      <c r="IT21" s="27"/>
      <c r="IU21" s="53"/>
      <c r="IV21" s="27"/>
      <c r="IW21" s="27"/>
      <c r="IX21" s="27"/>
      <c r="IY21" s="27">
        <v>7528.5500000000011</v>
      </c>
      <c r="IZ21" s="27"/>
      <c r="JA21" s="27"/>
      <c r="JB21" s="27"/>
      <c r="JC21" s="27"/>
      <c r="JD21" s="27"/>
      <c r="JE21" s="33">
        <f t="shared" si="57"/>
        <v>7528.5500000000011</v>
      </c>
      <c r="JF21" s="2667"/>
      <c r="JH21" s="52">
        <v>11665.079999999998</v>
      </c>
      <c r="JI21" s="152"/>
      <c r="JJ21" s="53"/>
      <c r="JK21" s="53">
        <f t="shared" si="58"/>
        <v>11665.079999999998</v>
      </c>
      <c r="JL21" s="33"/>
      <c r="JM21" s="2669"/>
      <c r="JN21" s="69"/>
      <c r="JO21" s="70"/>
      <c r="JP21" s="70"/>
      <c r="JQ21" s="70"/>
      <c r="JR21" s="70">
        <v>1</v>
      </c>
      <c r="JS21" s="70"/>
      <c r="JT21" s="70"/>
      <c r="JU21" s="71"/>
      <c r="JV21" s="69"/>
      <c r="JW21" s="70"/>
      <c r="JX21" s="70"/>
      <c r="JY21" s="70"/>
      <c r="JZ21" s="70"/>
      <c r="KA21" s="70"/>
      <c r="KB21" s="70"/>
      <c r="KC21" s="71"/>
      <c r="KD21" s="69"/>
      <c r="KE21" s="70"/>
      <c r="KF21" s="70"/>
      <c r="KG21" s="70"/>
      <c r="KH21" s="70"/>
      <c r="KI21" s="70"/>
      <c r="KJ21" s="70"/>
      <c r="KK21" s="70"/>
      <c r="KL21" s="33"/>
      <c r="KM21" s="2669"/>
      <c r="KN21" s="36">
        <v>6961.513348397355</v>
      </c>
      <c r="KO21" s="53">
        <v>0.39419281948280194</v>
      </c>
      <c r="KP21" s="53">
        <v>3.4408720395012131</v>
      </c>
      <c r="KQ21" s="53">
        <v>7.2106820654448072</v>
      </c>
      <c r="KR21" s="54">
        <v>12.005598346974644</v>
      </c>
      <c r="KS21" s="4">
        <v>0</v>
      </c>
      <c r="KT21" s="64">
        <v>0</v>
      </c>
      <c r="KU21" s="64">
        <v>0</v>
      </c>
      <c r="KV21" s="64">
        <v>0</v>
      </c>
      <c r="KW21" s="482">
        <v>0</v>
      </c>
      <c r="KX21" s="36"/>
      <c r="KY21" s="53"/>
      <c r="KZ21" s="53"/>
      <c r="LA21" s="53"/>
      <c r="LB21" s="53"/>
      <c r="LC21" s="33"/>
      <c r="LD21" s="2669"/>
      <c r="LF21" s="26">
        <f t="shared" si="59"/>
        <v>0</v>
      </c>
      <c r="LG21" s="27">
        <f t="shared" si="59"/>
        <v>0</v>
      </c>
      <c r="LH21" s="27">
        <f t="shared" si="59"/>
        <v>0</v>
      </c>
      <c r="LI21" s="28">
        <f t="shared" si="60"/>
        <v>0</v>
      </c>
      <c r="LJ21" s="36"/>
      <c r="LK21" s="27"/>
      <c r="LL21" s="27">
        <v>1</v>
      </c>
      <c r="LM21" s="33"/>
      <c r="LN21" s="1041">
        <v>6.2</v>
      </c>
      <c r="LO21" s="486" t="s">
        <v>766</v>
      </c>
      <c r="LP21" s="2688"/>
      <c r="LQ21" s="36"/>
      <c r="LR21" s="36"/>
      <c r="LS21" s="27"/>
      <c r="LT21" s="27"/>
      <c r="LU21" s="27"/>
      <c r="LV21" s="1117">
        <f t="shared" si="61"/>
        <v>0</v>
      </c>
      <c r="LW21" s="36"/>
      <c r="LX21" s="36"/>
      <c r="LY21" s="27"/>
      <c r="LZ21" s="27"/>
      <c r="MA21" s="33"/>
      <c r="MB21" s="28">
        <f t="shared" si="62"/>
        <v>0</v>
      </c>
      <c r="MC21" s="26"/>
      <c r="MD21" s="36"/>
      <c r="ME21" s="27"/>
      <c r="MF21" s="27"/>
      <c r="MG21" s="27"/>
      <c r="MH21" s="28"/>
      <c r="MI21" s="36"/>
      <c r="MJ21" s="36"/>
      <c r="MK21" s="27"/>
      <c r="ML21" s="27"/>
      <c r="MM21" s="27"/>
      <c r="MN21" s="28"/>
      <c r="MO21" s="36"/>
      <c r="MP21" s="36"/>
      <c r="MQ21" s="27"/>
      <c r="MR21" s="27"/>
      <c r="MS21" s="27"/>
      <c r="MT21" s="33">
        <f t="shared" si="63"/>
        <v>0</v>
      </c>
      <c r="MU21" s="2688"/>
      <c r="MW21" s="26">
        <f t="shared" si="64"/>
        <v>57085.051216285494</v>
      </c>
      <c r="MX21" s="27">
        <f t="shared" si="65"/>
        <v>110554.18698410169</v>
      </c>
      <c r="MY21" s="27">
        <f t="shared" si="66"/>
        <v>24925.063116668145</v>
      </c>
      <c r="MZ21" s="28">
        <f t="shared" si="67"/>
        <v>436603.92665121425</v>
      </c>
      <c r="NA21" s="2621"/>
      <c r="NB21" s="23">
        <f t="shared" si="68"/>
        <v>46399.04607693349</v>
      </c>
      <c r="NC21" s="64">
        <f t="shared" si="69"/>
        <v>10686.005139352006</v>
      </c>
      <c r="ND21" s="60">
        <f t="shared" si="70"/>
        <v>0</v>
      </c>
      <c r="NE21" s="275">
        <f t="shared" si="4"/>
        <v>57085.051216285494</v>
      </c>
      <c r="NF21" s="26">
        <f t="shared" si="71"/>
        <v>0</v>
      </c>
      <c r="NG21" s="27">
        <f t="shared" si="71"/>
        <v>0</v>
      </c>
      <c r="NH21" s="27">
        <f t="shared" si="71"/>
        <v>0</v>
      </c>
      <c r="NI21" s="27">
        <f t="shared" si="71"/>
        <v>0</v>
      </c>
      <c r="NJ21" s="27">
        <f t="shared" si="71"/>
        <v>0</v>
      </c>
      <c r="NK21" s="33">
        <f t="shared" si="71"/>
        <v>0</v>
      </c>
      <c r="NL21" s="27">
        <f t="shared" si="71"/>
        <v>0</v>
      </c>
      <c r="NM21" s="36">
        <f t="shared" si="71"/>
        <v>0</v>
      </c>
      <c r="NN21" s="27">
        <f t="shared" si="71"/>
        <v>35911.902027032753</v>
      </c>
      <c r="NO21" s="27">
        <f t="shared" si="71"/>
        <v>0</v>
      </c>
      <c r="NP21" s="24">
        <f t="shared" si="114"/>
        <v>8756.5482322711578</v>
      </c>
      <c r="NQ21" s="24">
        <f t="shared" si="115"/>
        <v>15890.265013230797</v>
      </c>
      <c r="NR21" s="27">
        <f t="shared" si="0"/>
        <v>60558.715272534704</v>
      </c>
      <c r="NS21" s="27">
        <f t="shared" si="72"/>
        <v>0</v>
      </c>
      <c r="NT21" s="27">
        <f t="shared" si="72"/>
        <v>0</v>
      </c>
      <c r="NU21" s="27">
        <f t="shared" si="72"/>
        <v>0</v>
      </c>
      <c r="NV21" s="27">
        <f t="shared" si="72"/>
        <v>0</v>
      </c>
      <c r="NW21" s="27">
        <f t="shared" si="72"/>
        <v>0</v>
      </c>
      <c r="NX21" s="27">
        <f t="shared" si="72"/>
        <v>0</v>
      </c>
      <c r="NY21" s="27">
        <f t="shared" si="72"/>
        <v>6823.7746092523794</v>
      </c>
      <c r="NZ21" s="27">
        <f t="shared" si="72"/>
        <v>0</v>
      </c>
      <c r="OA21" s="27">
        <f t="shared" si="72"/>
        <v>4008.2257022622475</v>
      </c>
      <c r="OB21" s="280"/>
      <c r="OC21" s="24">
        <f t="shared" si="73"/>
        <v>1565.61197844705</v>
      </c>
      <c r="OD21" s="27">
        <f t="shared" si="73"/>
        <v>0</v>
      </c>
      <c r="OE21" s="28">
        <f t="shared" si="1"/>
        <v>12397.612289961677</v>
      </c>
      <c r="OF21" s="27">
        <f t="shared" si="74"/>
        <v>0</v>
      </c>
      <c r="OG21" s="27">
        <f t="shared" si="74"/>
        <v>0</v>
      </c>
      <c r="OH21" s="27">
        <f>+OH20+DT21+FW21-IS21</f>
        <v>0</v>
      </c>
      <c r="OI21" s="27">
        <f t="shared" si="74"/>
        <v>0</v>
      </c>
      <c r="OJ21" s="27">
        <f t="shared" si="74"/>
        <v>0</v>
      </c>
      <c r="OK21" s="27">
        <f t="shared" si="74"/>
        <v>0</v>
      </c>
      <c r="OL21" s="24">
        <f t="shared" si="74"/>
        <v>0</v>
      </c>
      <c r="OM21" s="27">
        <f t="shared" si="74"/>
        <v>0</v>
      </c>
      <c r="ON21" s="24">
        <f t="shared" si="74"/>
        <v>32556.840253800205</v>
      </c>
      <c r="OO21" s="27">
        <f t="shared" si="74"/>
        <v>0</v>
      </c>
      <c r="OP21" s="27">
        <f t="shared" si="74"/>
        <v>5041.0191678050996</v>
      </c>
      <c r="OQ21" s="27">
        <f t="shared" si="74"/>
        <v>0</v>
      </c>
      <c r="OR21" s="28">
        <f t="shared" si="2"/>
        <v>37597.859421605302</v>
      </c>
      <c r="OS21" s="36"/>
      <c r="OT21" s="27"/>
      <c r="OU21" s="27"/>
      <c r="OV21" s="27"/>
      <c r="OW21" s="27"/>
      <c r="OX21" s="27"/>
      <c r="OY21" s="28">
        <f t="shared" si="75"/>
        <v>0</v>
      </c>
      <c r="OZ21" s="36">
        <f t="shared" si="76"/>
        <v>0</v>
      </c>
      <c r="PA21" s="27">
        <f t="shared" si="77"/>
        <v>0</v>
      </c>
      <c r="PB21" s="27">
        <f t="shared" si="78"/>
        <v>0</v>
      </c>
      <c r="PC21" s="27">
        <f t="shared" si="79"/>
        <v>0</v>
      </c>
      <c r="PD21" s="27">
        <f t="shared" si="80"/>
        <v>0</v>
      </c>
      <c r="PE21" s="27">
        <f t="shared" si="81"/>
        <v>0</v>
      </c>
      <c r="PF21" s="33">
        <f t="shared" si="3"/>
        <v>0</v>
      </c>
      <c r="PG21" s="2621"/>
      <c r="PI21" s="2"/>
      <c r="PJ21" s="3">
        <v>936.00000000000011</v>
      </c>
      <c r="PK21" s="3">
        <v>432.00000000000006</v>
      </c>
      <c r="PL21" s="3">
        <f t="shared" si="116"/>
        <v>0</v>
      </c>
      <c r="PM21" s="3">
        <f t="shared" si="82"/>
        <v>1230.4797377964551</v>
      </c>
      <c r="PN21" s="11">
        <f t="shared" si="117"/>
        <v>24925.063116668145</v>
      </c>
      <c r="PO21" s="15"/>
      <c r="PP21" s="2615"/>
      <c r="PR21" s="4"/>
      <c r="PS21" s="9"/>
      <c r="PT21" s="9"/>
      <c r="PU21" s="9"/>
      <c r="PV21" s="9"/>
      <c r="PW21" s="9"/>
      <c r="PX21" s="8">
        <f t="shared" si="83"/>
        <v>0</v>
      </c>
      <c r="PY21" s="5">
        <f t="shared" si="84"/>
        <v>0</v>
      </c>
      <c r="PZ21" s="5"/>
      <c r="QA21" s="5"/>
      <c r="QB21" s="5"/>
      <c r="QC21" s="5"/>
      <c r="QD21" s="5"/>
      <c r="QE21" s="12">
        <f t="shared" si="85"/>
        <v>29749.381073161156</v>
      </c>
      <c r="QF21" s="420">
        <f t="shared" si="86"/>
        <v>405232.1655780531</v>
      </c>
      <c r="QG21" s="1106">
        <f t="shared" si="87"/>
        <v>1622.38</v>
      </c>
      <c r="QH21" s="484">
        <f t="shared" si="88"/>
        <v>5505.3678056100007</v>
      </c>
      <c r="QI21" s="12"/>
      <c r="QJ21" s="2615"/>
      <c r="QL21" s="139">
        <f t="shared" si="89"/>
        <v>0</v>
      </c>
      <c r="QM21" s="139" t="str">
        <f t="shared" si="90"/>
        <v/>
      </c>
      <c r="QO21" s="139">
        <f t="shared" si="91"/>
        <v>0</v>
      </c>
      <c r="QP21" s="139">
        <f t="shared" si="92"/>
        <v>0</v>
      </c>
      <c r="QR21" s="1">
        <f t="shared" si="93"/>
        <v>0</v>
      </c>
      <c r="QS21" s="1">
        <f t="shared" si="94"/>
        <v>0</v>
      </c>
      <c r="QT21" s="1">
        <f t="shared" si="95"/>
        <v>0</v>
      </c>
      <c r="QU21" s="1">
        <f t="shared" si="96"/>
        <v>0</v>
      </c>
      <c r="QV21" s="1">
        <f t="shared" si="97"/>
        <v>0</v>
      </c>
      <c r="QW21" s="1">
        <f t="shared" si="98"/>
        <v>0</v>
      </c>
      <c r="QY21" s="1">
        <f t="shared" si="99"/>
        <v>0</v>
      </c>
      <c r="QZ21" s="1">
        <f t="shared" si="100"/>
        <v>0</v>
      </c>
      <c r="RA21" s="1">
        <f t="shared" si="101"/>
        <v>0</v>
      </c>
      <c r="RB21" s="1">
        <f t="shared" si="102"/>
        <v>0</v>
      </c>
      <c r="RC21" s="1">
        <f t="shared" si="103"/>
        <v>0</v>
      </c>
      <c r="RD21" s="1">
        <f t="shared" si="104"/>
        <v>0</v>
      </c>
      <c r="RG21" s="1">
        <v>12</v>
      </c>
      <c r="RH21" s="1">
        <f t="shared" si="119"/>
        <v>20071.215209717095</v>
      </c>
      <c r="RI21" s="1">
        <f t="shared" si="119"/>
        <v>-4391.4482195162818</v>
      </c>
      <c r="RJ21" s="1">
        <f t="shared" si="119"/>
        <v>13404.263703387322</v>
      </c>
      <c r="RK21" s="89">
        <f t="shared" si="5"/>
        <v>29084.030693588134</v>
      </c>
      <c r="RL21" s="1033">
        <v>12</v>
      </c>
      <c r="RM21" s="1098">
        <f t="shared" si="118"/>
        <v>0</v>
      </c>
      <c r="RN21" s="1098">
        <f t="shared" si="106"/>
        <v>0</v>
      </c>
      <c r="RO21" s="1097">
        <f t="shared" si="106"/>
        <v>0</v>
      </c>
      <c r="RP21" s="1097">
        <f t="shared" si="107"/>
        <v>5925.5700000000006</v>
      </c>
      <c r="RQ21" s="1050"/>
      <c r="RR21" s="1046" t="s">
        <v>767</v>
      </c>
      <c r="RS21" s="1048"/>
      <c r="RU21" s="421">
        <v>12</v>
      </c>
      <c r="RV21" s="1095">
        <f t="shared" si="108"/>
        <v>11665.08</v>
      </c>
      <c r="RW21" s="1046" t="s">
        <v>768</v>
      </c>
      <c r="RY21" s="1090"/>
      <c r="RZ21" s="1090">
        <f t="shared" si="109"/>
        <v>0</v>
      </c>
      <c r="SA21" s="1090"/>
      <c r="SB21" s="1090">
        <f t="shared" si="110"/>
        <v>0</v>
      </c>
      <c r="SD21" s="1">
        <v>12</v>
      </c>
      <c r="SE21" s="1">
        <f t="shared" si="111"/>
        <v>0</v>
      </c>
    </row>
    <row r="22" spans="1:500" s="1" customFormat="1">
      <c r="B22" s="471">
        <v>13</v>
      </c>
      <c r="C22" s="4">
        <f t="shared" si="6"/>
        <v>74665</v>
      </c>
      <c r="D22" s="64">
        <f t="shared" si="112"/>
        <v>1560.04</v>
      </c>
      <c r="E22" s="61">
        <f t="shared" si="7"/>
        <v>47.860952283274791</v>
      </c>
      <c r="F22" s="870"/>
      <c r="G22" s="870"/>
      <c r="H22" s="52">
        <v>40</v>
      </c>
      <c r="I22" s="61">
        <v>6.15</v>
      </c>
      <c r="J22" s="52"/>
      <c r="K22" s="54"/>
      <c r="L22" s="52">
        <v>16.670000000000002</v>
      </c>
      <c r="M22" s="61">
        <v>6.99</v>
      </c>
      <c r="N22" s="2629"/>
      <c r="O22" s="4">
        <f t="shared" si="8"/>
        <v>41874</v>
      </c>
      <c r="P22" s="1225">
        <f t="shared" si="9"/>
        <v>856.62</v>
      </c>
      <c r="Q22" s="64">
        <f t="shared" si="10"/>
        <v>48.882818519296769</v>
      </c>
      <c r="R22" s="33"/>
      <c r="S22" s="26">
        <f t="shared" si="11"/>
        <v>25597</v>
      </c>
      <c r="T22" s="27">
        <f t="shared" si="12"/>
        <v>283.41999999999996</v>
      </c>
      <c r="U22" s="53">
        <f t="shared" si="13"/>
        <v>90.314727259896983</v>
      </c>
      <c r="V22" s="28"/>
      <c r="W22" s="26">
        <f t="shared" si="14"/>
        <v>7194</v>
      </c>
      <c r="X22" s="5">
        <f t="shared" si="14"/>
        <v>420</v>
      </c>
      <c r="Y22" s="53">
        <f t="shared" si="15"/>
        <v>17.12857142857143</v>
      </c>
      <c r="Z22" s="33"/>
      <c r="AA22" s="26">
        <f t="shared" si="16"/>
        <v>0</v>
      </c>
      <c r="AB22" s="27">
        <f t="shared" si="17"/>
        <v>0</v>
      </c>
      <c r="AC22" s="53">
        <f t="shared" si="18"/>
        <v>0</v>
      </c>
      <c r="AD22" s="28"/>
      <c r="AE22" s="36"/>
      <c r="AF22" s="36"/>
      <c r="AG22" s="53">
        <f t="shared" si="19"/>
        <v>0</v>
      </c>
      <c r="AH22" s="28"/>
      <c r="AI22" s="23"/>
      <c r="AJ22" s="27"/>
      <c r="AK22" s="53">
        <f t="shared" si="20"/>
        <v>0</v>
      </c>
      <c r="AL22" s="28"/>
      <c r="AM22" s="2629"/>
      <c r="AN22" s="9"/>
      <c r="AO22" s="64"/>
      <c r="AP22" s="61">
        <f t="shared" si="21"/>
        <v>0</v>
      </c>
      <c r="AQ22" s="36"/>
      <c r="AR22" s="53"/>
      <c r="AS22" s="61">
        <f t="shared" si="22"/>
        <v>0</v>
      </c>
      <c r="AT22" s="36">
        <v>0</v>
      </c>
      <c r="AU22" s="27"/>
      <c r="AV22" s="61">
        <f t="shared" si="23"/>
        <v>0</v>
      </c>
      <c r="AW22" s="36">
        <v>17850</v>
      </c>
      <c r="AX22" s="27"/>
      <c r="AY22" s="61">
        <f t="shared" si="24"/>
        <v>0</v>
      </c>
      <c r="AZ22" s="36"/>
      <c r="BA22" s="27"/>
      <c r="BB22" s="61">
        <f t="shared" si="25"/>
        <v>0</v>
      </c>
      <c r="BC22" s="36">
        <v>24024</v>
      </c>
      <c r="BD22" s="27">
        <v>856.62</v>
      </c>
      <c r="BE22" s="61">
        <f t="shared" si="26"/>
        <v>28.045107515584505</v>
      </c>
      <c r="BF22" s="36"/>
      <c r="BG22" s="53"/>
      <c r="BH22" s="61">
        <f t="shared" si="27"/>
        <v>0</v>
      </c>
      <c r="BI22" s="36">
        <v>0</v>
      </c>
      <c r="BJ22" s="53">
        <v>0</v>
      </c>
      <c r="BK22" s="61">
        <f t="shared" si="28"/>
        <v>0</v>
      </c>
      <c r="BL22" s="52">
        <v>25597</v>
      </c>
      <c r="BM22" s="53">
        <v>283.41999999999996</v>
      </c>
      <c r="BN22" s="482">
        <f t="shared" si="29"/>
        <v>90.314727259896983</v>
      </c>
      <c r="BO22" s="9"/>
      <c r="BP22" s="64"/>
      <c r="BQ22" s="482">
        <f t="shared" si="30"/>
        <v>0</v>
      </c>
      <c r="BR22" s="9"/>
      <c r="BS22" s="64"/>
      <c r="BT22" s="482">
        <f t="shared" si="31"/>
        <v>0</v>
      </c>
      <c r="BU22" s="9">
        <v>7194</v>
      </c>
      <c r="BV22" s="27">
        <v>420</v>
      </c>
      <c r="BW22" s="1118">
        <f t="shared" si="32"/>
        <v>17.12857142857143</v>
      </c>
      <c r="BX22" s="26"/>
      <c r="BY22" s="27"/>
      <c r="BZ22" s="482">
        <f t="shared" si="33"/>
        <v>0</v>
      </c>
      <c r="CA22" s="9"/>
      <c r="CB22" s="481"/>
      <c r="CC22" s="482">
        <f t="shared" si="34"/>
        <v>0</v>
      </c>
      <c r="CD22" s="4"/>
      <c r="CE22" s="5"/>
      <c r="CF22" s="28">
        <f t="shared" si="35"/>
        <v>0</v>
      </c>
      <c r="CG22" s="150"/>
      <c r="CH22" s="4">
        <v>1504</v>
      </c>
      <c r="CI22" s="5"/>
      <c r="CJ22" s="5"/>
      <c r="CK22" s="5">
        <v>7775</v>
      </c>
      <c r="CL22" s="5"/>
      <c r="CM22" s="5">
        <f t="shared" si="113"/>
        <v>9279</v>
      </c>
      <c r="CN22" s="33"/>
      <c r="CO22" s="366"/>
      <c r="CQ22" s="4">
        <f t="shared" si="36"/>
        <v>0</v>
      </c>
      <c r="CR22" s="9">
        <f t="shared" si="36"/>
        <v>0</v>
      </c>
      <c r="CS22" s="5">
        <f t="shared" si="36"/>
        <v>0</v>
      </c>
      <c r="CT22" s="5">
        <f t="shared" si="36"/>
        <v>0</v>
      </c>
      <c r="CU22" s="5">
        <f t="shared" si="36"/>
        <v>0</v>
      </c>
      <c r="CV22" s="5">
        <f t="shared" si="36"/>
        <v>0</v>
      </c>
      <c r="CW22" s="5">
        <f t="shared" si="36"/>
        <v>0</v>
      </c>
      <c r="CX22" s="5">
        <f t="shared" si="36"/>
        <v>0</v>
      </c>
      <c r="CY22" s="5">
        <f t="shared" si="36"/>
        <v>1560.04</v>
      </c>
      <c r="CZ22" s="5">
        <f t="shared" si="36"/>
        <v>0</v>
      </c>
      <c r="DA22" s="5">
        <f t="shared" si="36"/>
        <v>0</v>
      </c>
      <c r="DB22" s="12">
        <f t="shared" si="36"/>
        <v>0</v>
      </c>
      <c r="DC22" s="310">
        <f t="shared" si="37"/>
        <v>1560.04</v>
      </c>
      <c r="DD22" s="2695"/>
      <c r="DE22" s="9"/>
      <c r="DF22" s="9"/>
      <c r="DG22" s="5"/>
      <c r="DH22" s="5"/>
      <c r="DI22" s="5"/>
      <c r="DJ22" s="5"/>
      <c r="DK22" s="5"/>
      <c r="DL22" s="5"/>
      <c r="DM22" s="5"/>
      <c r="DN22" s="5"/>
      <c r="DO22" s="5"/>
      <c r="DP22" s="12"/>
      <c r="DQ22" s="28">
        <f t="shared" si="38"/>
        <v>0</v>
      </c>
      <c r="DR22" s="36"/>
      <c r="DS22" s="36"/>
      <c r="DT22" s="53"/>
      <c r="DU22" s="27"/>
      <c r="DV22" s="5"/>
      <c r="DW22" s="5"/>
      <c r="DX22" s="5"/>
      <c r="DY22" s="5"/>
      <c r="DZ22" s="5">
        <v>1140.04</v>
      </c>
      <c r="EA22" s="27"/>
      <c r="EB22" s="27"/>
      <c r="EC22" s="33"/>
      <c r="ED22" s="28">
        <f t="shared" si="39"/>
        <v>1140.04</v>
      </c>
      <c r="EE22" s="9"/>
      <c r="EF22" s="36"/>
      <c r="EG22" s="5"/>
      <c r="EH22" s="325"/>
      <c r="EI22" s="27"/>
      <c r="EJ22" s="27"/>
      <c r="EK22" s="27"/>
      <c r="EL22" s="27"/>
      <c r="EM22" s="27">
        <v>420</v>
      </c>
      <c r="EN22" s="27"/>
      <c r="EO22" s="27"/>
      <c r="EP22" s="33"/>
      <c r="EQ22" s="28">
        <f t="shared" si="40"/>
        <v>420</v>
      </c>
      <c r="ER22" s="36"/>
      <c r="ES22" s="27"/>
      <c r="ET22" s="27"/>
      <c r="EU22" s="27"/>
      <c r="EV22" s="27"/>
      <c r="EW22" s="27"/>
      <c r="EX22" s="33">
        <f t="shared" si="41"/>
        <v>0</v>
      </c>
      <c r="EY22" s="2685"/>
      <c r="FA22" s="4">
        <f t="shared" si="42"/>
        <v>0</v>
      </c>
      <c r="FB22" s="5">
        <f t="shared" si="43"/>
        <v>0</v>
      </c>
      <c r="FC22" s="5">
        <f t="shared" si="44"/>
        <v>0</v>
      </c>
      <c r="FD22" s="12">
        <f t="shared" si="45"/>
        <v>0</v>
      </c>
      <c r="FE22" s="33"/>
      <c r="FF22" s="2674"/>
      <c r="FG22" s="9"/>
      <c r="FH22" s="5"/>
      <c r="FI22" s="5"/>
      <c r="FJ22" s="5"/>
      <c r="FK22" s="5"/>
      <c r="FL22" s="27"/>
      <c r="FM22" s="28">
        <f t="shared" si="46"/>
        <v>0</v>
      </c>
      <c r="FN22" s="36"/>
      <c r="FO22" s="27"/>
      <c r="FP22" s="27"/>
      <c r="FQ22" s="27"/>
      <c r="FR22" s="27"/>
      <c r="FS22" s="27"/>
      <c r="FT22" s="28">
        <f t="shared" si="47"/>
        <v>0</v>
      </c>
      <c r="FU22" s="36"/>
      <c r="FV22" s="36"/>
      <c r="FW22" s="27"/>
      <c r="FX22" s="27"/>
      <c r="FY22" s="27"/>
      <c r="FZ22" s="27"/>
      <c r="GA22" s="27"/>
      <c r="GB22" s="27"/>
      <c r="GC22" s="27"/>
      <c r="GD22" s="27"/>
      <c r="GE22" s="27"/>
      <c r="GF22" s="33"/>
      <c r="GG22" s="33">
        <f t="shared" si="48"/>
        <v>0</v>
      </c>
      <c r="GH22" s="2674"/>
      <c r="GJ22" s="4">
        <f t="shared" si="49"/>
        <v>933.45999999999992</v>
      </c>
      <c r="GK22" s="64">
        <f t="shared" si="50"/>
        <v>1269.2599999999998</v>
      </c>
      <c r="GL22" s="53">
        <f t="shared" si="51"/>
        <v>9636.2199999999993</v>
      </c>
      <c r="GM22" s="53">
        <f t="shared" si="52"/>
        <v>11838.939999999999</v>
      </c>
      <c r="GN22" s="141"/>
      <c r="GO22" s="141"/>
      <c r="GP22" s="33"/>
      <c r="GQ22" s="2667"/>
      <c r="GR22" s="363">
        <v>5424.0000000000009</v>
      </c>
      <c r="GS22" s="5"/>
      <c r="GT22" s="5">
        <v>3392.4400000000005</v>
      </c>
      <c r="GU22" s="27">
        <v>3022.5</v>
      </c>
      <c r="GV22" s="54">
        <f t="shared" si="53"/>
        <v>11838.940000000002</v>
      </c>
      <c r="GW22" s="2667"/>
      <c r="GX22" s="36"/>
      <c r="GY22" s="36"/>
      <c r="GZ22" s="27"/>
      <c r="HA22" s="27"/>
      <c r="HB22" s="27"/>
      <c r="HC22" s="27"/>
      <c r="HD22" s="27"/>
      <c r="HE22" s="27"/>
      <c r="HF22" s="27">
        <v>933.45999999999992</v>
      </c>
      <c r="HG22" s="27"/>
      <c r="HH22" s="27"/>
      <c r="HI22" s="27"/>
      <c r="HJ22" s="27"/>
      <c r="HK22" s="27"/>
      <c r="HL22" s="28">
        <f t="shared" si="54"/>
        <v>933.45999999999992</v>
      </c>
      <c r="HM22" s="36"/>
      <c r="HN22" s="27"/>
      <c r="HO22" s="27"/>
      <c r="HP22" s="27"/>
      <c r="HQ22" s="27"/>
      <c r="HR22" s="27"/>
      <c r="HS22" s="27"/>
      <c r="HT22" s="27"/>
      <c r="HU22" s="27"/>
      <c r="HV22" s="27"/>
      <c r="HW22" s="27"/>
      <c r="HX22" s="27"/>
      <c r="HY22" s="27"/>
      <c r="HZ22" s="27"/>
      <c r="IA22" s="33">
        <f t="shared" si="55"/>
        <v>0</v>
      </c>
      <c r="IB22" s="363"/>
      <c r="IC22" s="363"/>
      <c r="ID22" s="64"/>
      <c r="IE22" s="64"/>
      <c r="IF22" s="64"/>
      <c r="IG22" s="64"/>
      <c r="IH22" s="64"/>
      <c r="II22" s="64"/>
      <c r="IJ22" s="64">
        <v>1269.2599999999998</v>
      </c>
      <c r="IK22" s="64"/>
      <c r="IL22" s="64"/>
      <c r="IM22" s="53"/>
      <c r="IN22" s="53"/>
      <c r="IO22" s="53"/>
      <c r="IP22" s="61">
        <f t="shared" si="56"/>
        <v>1269.2599999999998</v>
      </c>
      <c r="IQ22" s="36"/>
      <c r="IR22" s="36"/>
      <c r="IS22" s="53"/>
      <c r="IT22" s="27"/>
      <c r="IU22" s="53"/>
      <c r="IV22" s="27"/>
      <c r="IW22" s="27"/>
      <c r="IX22" s="27"/>
      <c r="IY22" s="27">
        <v>9636.2199999999993</v>
      </c>
      <c r="IZ22" s="27"/>
      <c r="JA22" s="27"/>
      <c r="JB22" s="27"/>
      <c r="JC22" s="27"/>
      <c r="JD22" s="27"/>
      <c r="JE22" s="33">
        <f t="shared" si="57"/>
        <v>9636.2199999999993</v>
      </c>
      <c r="JF22" s="2667"/>
      <c r="JH22" s="52">
        <v>11838.940000000002</v>
      </c>
      <c r="JI22" s="152"/>
      <c r="JJ22" s="53"/>
      <c r="JK22" s="53">
        <f t="shared" si="58"/>
        <v>11838.940000000002</v>
      </c>
      <c r="JL22" s="33"/>
      <c r="JM22" s="2669"/>
      <c r="JN22" s="69"/>
      <c r="JO22" s="70"/>
      <c r="JP22" s="70"/>
      <c r="JQ22" s="70"/>
      <c r="JR22" s="70">
        <v>1</v>
      </c>
      <c r="JS22" s="70"/>
      <c r="JT22" s="70"/>
      <c r="JU22" s="71"/>
      <c r="JV22" s="69"/>
      <c r="JW22" s="70"/>
      <c r="JX22" s="70"/>
      <c r="JY22" s="70"/>
      <c r="JZ22" s="70"/>
      <c r="KA22" s="70"/>
      <c r="KB22" s="70"/>
      <c r="KC22" s="71"/>
      <c r="KD22" s="69"/>
      <c r="KE22" s="70"/>
      <c r="KF22" s="70"/>
      <c r="KG22" s="70"/>
      <c r="KH22" s="70"/>
      <c r="KI22" s="70"/>
      <c r="KJ22" s="70"/>
      <c r="KK22" s="70"/>
      <c r="KL22" s="33"/>
      <c r="KM22" s="2669"/>
      <c r="KN22" s="36">
        <v>7087.7637950914186</v>
      </c>
      <c r="KO22" s="53">
        <v>0.44937077911381984</v>
      </c>
      <c r="KP22" s="53">
        <v>3.0442711250205896</v>
      </c>
      <c r="KQ22" s="53">
        <v>6.6227705485093074</v>
      </c>
      <c r="KR22" s="54">
        <v>11.471104046120903</v>
      </c>
      <c r="KS22" s="4">
        <v>0</v>
      </c>
      <c r="KT22" s="64">
        <v>0</v>
      </c>
      <c r="KU22" s="64">
        <v>0</v>
      </c>
      <c r="KV22" s="64">
        <v>0</v>
      </c>
      <c r="KW22" s="482">
        <v>0</v>
      </c>
      <c r="KX22" s="36"/>
      <c r="KY22" s="53"/>
      <c r="KZ22" s="53"/>
      <c r="LA22" s="53"/>
      <c r="LB22" s="53"/>
      <c r="LC22" s="33"/>
      <c r="LD22" s="2669"/>
      <c r="LF22" s="4">
        <f t="shared" si="59"/>
        <v>0</v>
      </c>
      <c r="LG22" s="27">
        <f t="shared" si="59"/>
        <v>0</v>
      </c>
      <c r="LH22" s="27">
        <f t="shared" si="59"/>
        <v>0</v>
      </c>
      <c r="LI22" s="28">
        <f t="shared" si="60"/>
        <v>0</v>
      </c>
      <c r="LJ22" s="36"/>
      <c r="LK22" s="27"/>
      <c r="LL22" s="27">
        <v>1</v>
      </c>
      <c r="LM22" s="33"/>
      <c r="LN22" s="1041">
        <v>4.9800000000000004</v>
      </c>
      <c r="LO22" s="486" t="s">
        <v>769</v>
      </c>
      <c r="LP22" s="2688"/>
      <c r="LQ22" s="36"/>
      <c r="LR22" s="36"/>
      <c r="LS22" s="27"/>
      <c r="LT22" s="27"/>
      <c r="LU22" s="27"/>
      <c r="LV22" s="1117">
        <f t="shared" si="61"/>
        <v>0</v>
      </c>
      <c r="LW22" s="36"/>
      <c r="LX22" s="36"/>
      <c r="LY22" s="27"/>
      <c r="LZ22" s="27"/>
      <c r="MA22" s="33"/>
      <c r="MB22" s="28">
        <f t="shared" si="62"/>
        <v>0</v>
      </c>
      <c r="MC22" s="26"/>
      <c r="MD22" s="36"/>
      <c r="ME22" s="27"/>
      <c r="MF22" s="27"/>
      <c r="MG22" s="27"/>
      <c r="MH22" s="28"/>
      <c r="MI22" s="36"/>
      <c r="MJ22" s="36"/>
      <c r="MK22" s="27"/>
      <c r="ML22" s="27"/>
      <c r="MM22" s="27"/>
      <c r="MN22" s="28"/>
      <c r="MO22" s="36"/>
      <c r="MP22" s="36"/>
      <c r="MQ22" s="27"/>
      <c r="MR22" s="27"/>
      <c r="MS22" s="27"/>
      <c r="MT22" s="33">
        <f t="shared" si="63"/>
        <v>0</v>
      </c>
      <c r="MU22" s="2688"/>
      <c r="MW22" s="26">
        <f t="shared" si="64"/>
        <v>68923.991216285503</v>
      </c>
      <c r="MX22" s="27">
        <f t="shared" si="65"/>
        <v>100275.28698410169</v>
      </c>
      <c r="MY22" s="27">
        <f t="shared" si="66"/>
        <v>25169.563116668145</v>
      </c>
      <c r="MZ22" s="28">
        <f t="shared" si="67"/>
        <v>436603.92665121425</v>
      </c>
      <c r="NA22" s="2621"/>
      <c r="NB22" s="23">
        <f t="shared" si="68"/>
        <v>58237.986076933492</v>
      </c>
      <c r="NC22" s="64">
        <f t="shared" si="69"/>
        <v>10686.005139352006</v>
      </c>
      <c r="ND22" s="60">
        <f t="shared" si="70"/>
        <v>0</v>
      </c>
      <c r="NE22" s="275">
        <f t="shared" si="4"/>
        <v>68923.991216285503</v>
      </c>
      <c r="NF22" s="26">
        <f t="shared" si="71"/>
        <v>0</v>
      </c>
      <c r="NG22" s="27">
        <f t="shared" si="71"/>
        <v>0</v>
      </c>
      <c r="NH22" s="27">
        <f t="shared" si="71"/>
        <v>0</v>
      </c>
      <c r="NI22" s="27">
        <f t="shared" si="71"/>
        <v>0</v>
      </c>
      <c r="NJ22" s="27">
        <f t="shared" si="71"/>
        <v>0</v>
      </c>
      <c r="NK22" s="33">
        <f t="shared" si="71"/>
        <v>0</v>
      </c>
      <c r="NL22" s="27">
        <f t="shared" si="71"/>
        <v>0</v>
      </c>
      <c r="NM22" s="36">
        <f t="shared" si="71"/>
        <v>0</v>
      </c>
      <c r="NN22" s="27">
        <f t="shared" si="71"/>
        <v>35398.442027032754</v>
      </c>
      <c r="NO22" s="27">
        <f t="shared" si="71"/>
        <v>0</v>
      </c>
      <c r="NP22" s="24">
        <f t="shared" si="114"/>
        <v>8756.5482322711578</v>
      </c>
      <c r="NQ22" s="24">
        <f t="shared" si="115"/>
        <v>15890.265013230797</v>
      </c>
      <c r="NR22" s="27">
        <f t="shared" si="0"/>
        <v>60045.255272534712</v>
      </c>
      <c r="NS22" s="27">
        <f t="shared" si="72"/>
        <v>0</v>
      </c>
      <c r="NT22" s="27">
        <f t="shared" si="72"/>
        <v>0</v>
      </c>
      <c r="NU22" s="27">
        <f t="shared" si="72"/>
        <v>0</v>
      </c>
      <c r="NV22" s="27">
        <f t="shared" si="72"/>
        <v>0</v>
      </c>
      <c r="NW22" s="27">
        <f t="shared" si="72"/>
        <v>0</v>
      </c>
      <c r="NX22" s="27">
        <f t="shared" si="72"/>
        <v>0</v>
      </c>
      <c r="NY22" s="27">
        <f t="shared" si="72"/>
        <v>6823.7746092523794</v>
      </c>
      <c r="NZ22" s="27">
        <f t="shared" si="72"/>
        <v>0</v>
      </c>
      <c r="OA22" s="27">
        <f t="shared" si="72"/>
        <v>2738.9657022622478</v>
      </c>
      <c r="OB22" s="280"/>
      <c r="OC22" s="24">
        <f t="shared" si="73"/>
        <v>1565.61197844705</v>
      </c>
      <c r="OD22" s="27">
        <f t="shared" si="73"/>
        <v>0</v>
      </c>
      <c r="OE22" s="28">
        <f t="shared" si="1"/>
        <v>11128.352289961676</v>
      </c>
      <c r="OF22" s="27">
        <f t="shared" si="74"/>
        <v>0</v>
      </c>
      <c r="OG22" s="27">
        <f t="shared" si="74"/>
        <v>0</v>
      </c>
      <c r="OH22" s="27">
        <v>0</v>
      </c>
      <c r="OI22" s="27">
        <f t="shared" si="74"/>
        <v>0</v>
      </c>
      <c r="OJ22" s="27">
        <f t="shared" si="74"/>
        <v>0</v>
      </c>
      <c r="OK22" s="27">
        <f t="shared" si="74"/>
        <v>0</v>
      </c>
      <c r="OL22" s="24">
        <f t="shared" si="74"/>
        <v>0</v>
      </c>
      <c r="OM22" s="27">
        <f t="shared" si="74"/>
        <v>0</v>
      </c>
      <c r="ON22" s="24">
        <f t="shared" si="74"/>
        <v>24060.660253800204</v>
      </c>
      <c r="OO22" s="27">
        <f t="shared" si="74"/>
        <v>0</v>
      </c>
      <c r="OP22" s="27">
        <f t="shared" si="74"/>
        <v>5041.0191678050996</v>
      </c>
      <c r="OQ22" s="27">
        <f t="shared" si="74"/>
        <v>0</v>
      </c>
      <c r="OR22" s="28">
        <f t="shared" si="2"/>
        <v>29101.679421605302</v>
      </c>
      <c r="OS22" s="36"/>
      <c r="OT22" s="27"/>
      <c r="OU22" s="27"/>
      <c r="OV22" s="27"/>
      <c r="OW22" s="27"/>
      <c r="OX22" s="27"/>
      <c r="OY22" s="28">
        <f t="shared" si="75"/>
        <v>0</v>
      </c>
      <c r="OZ22" s="36">
        <f t="shared" si="76"/>
        <v>0</v>
      </c>
      <c r="PA22" s="27">
        <f t="shared" si="77"/>
        <v>0</v>
      </c>
      <c r="PB22" s="27">
        <f t="shared" si="78"/>
        <v>0</v>
      </c>
      <c r="PC22" s="27">
        <f t="shared" si="79"/>
        <v>0</v>
      </c>
      <c r="PD22" s="27">
        <f t="shared" si="80"/>
        <v>0</v>
      </c>
      <c r="PE22" s="27">
        <f t="shared" si="81"/>
        <v>0</v>
      </c>
      <c r="PF22" s="33">
        <f t="shared" si="3"/>
        <v>0</v>
      </c>
      <c r="PG22" s="2621"/>
      <c r="PI22" s="2"/>
      <c r="PJ22" s="3">
        <v>529.75</v>
      </c>
      <c r="PK22" s="3">
        <v>244.5</v>
      </c>
      <c r="PL22" s="3">
        <f t="shared" si="116"/>
        <v>0</v>
      </c>
      <c r="PM22" s="3">
        <f t="shared" si="82"/>
        <v>700.72973779645508</v>
      </c>
      <c r="PN22" s="11">
        <f t="shared" si="117"/>
        <v>25169.563116668145</v>
      </c>
      <c r="PO22" s="15"/>
      <c r="PP22" s="2615"/>
      <c r="PR22" s="4"/>
      <c r="PS22" s="9"/>
      <c r="PT22" s="9"/>
      <c r="PU22" s="9"/>
      <c r="PV22" s="9"/>
      <c r="PW22" s="9"/>
      <c r="PX22" s="8">
        <f t="shared" si="83"/>
        <v>0</v>
      </c>
      <c r="PY22" s="5">
        <f t="shared" si="84"/>
        <v>0</v>
      </c>
      <c r="PZ22" s="5"/>
      <c r="QA22" s="5"/>
      <c r="QB22" s="5"/>
      <c r="QC22" s="5"/>
      <c r="QD22" s="5"/>
      <c r="QE22" s="12">
        <f t="shared" si="85"/>
        <v>29749.381073161156</v>
      </c>
      <c r="QF22" s="420">
        <f t="shared" si="86"/>
        <v>405232.1655780531</v>
      </c>
      <c r="QG22" s="1106">
        <f t="shared" si="87"/>
        <v>1622.38</v>
      </c>
      <c r="QH22" s="484">
        <f t="shared" si="88"/>
        <v>5505.3678056100007</v>
      </c>
      <c r="QI22" s="12"/>
      <c r="QJ22" s="2615"/>
      <c r="QL22" s="139">
        <f t="shared" si="89"/>
        <v>0</v>
      </c>
      <c r="QM22" s="139" t="str">
        <f t="shared" si="90"/>
        <v/>
      </c>
      <c r="QO22" s="139">
        <f t="shared" si="91"/>
        <v>0</v>
      </c>
      <c r="QP22" s="139">
        <f t="shared" si="92"/>
        <v>0</v>
      </c>
      <c r="QR22" s="1">
        <f t="shared" si="93"/>
        <v>0</v>
      </c>
      <c r="QS22" s="1">
        <f t="shared" si="94"/>
        <v>0</v>
      </c>
      <c r="QT22" s="1">
        <f t="shared" si="95"/>
        <v>0</v>
      </c>
      <c r="QU22" s="1">
        <f t="shared" si="96"/>
        <v>0</v>
      </c>
      <c r="QV22" s="1">
        <f t="shared" si="97"/>
        <v>0</v>
      </c>
      <c r="QW22" s="1">
        <f t="shared" si="98"/>
        <v>0</v>
      </c>
      <c r="QY22" s="1">
        <f t="shared" si="99"/>
        <v>0</v>
      </c>
      <c r="QZ22" s="1">
        <f t="shared" si="100"/>
        <v>0</v>
      </c>
      <c r="RA22" s="1">
        <f t="shared" si="101"/>
        <v>0</v>
      </c>
      <c r="RB22" s="1">
        <f t="shared" si="102"/>
        <v>0</v>
      </c>
      <c r="RC22" s="1">
        <f t="shared" si="103"/>
        <v>0</v>
      </c>
      <c r="RD22" s="1">
        <f t="shared" si="104"/>
        <v>0</v>
      </c>
      <c r="RG22" s="1">
        <v>13</v>
      </c>
      <c r="RH22" s="1">
        <f t="shared" si="119"/>
        <v>31910.155209717097</v>
      </c>
      <c r="RI22" s="1">
        <f t="shared" si="119"/>
        <v>-4391.4482195162818</v>
      </c>
      <c r="RJ22" s="1">
        <f t="shared" si="119"/>
        <v>13404.263703387322</v>
      </c>
      <c r="RK22" s="89">
        <f t="shared" si="5"/>
        <v>40922.97069358814</v>
      </c>
      <c r="RL22" s="1033">
        <v>13</v>
      </c>
      <c r="RM22" s="1098">
        <f t="shared" si="118"/>
        <v>0</v>
      </c>
      <c r="RN22" s="1098">
        <f t="shared" si="106"/>
        <v>0</v>
      </c>
      <c r="RO22" s="1097">
        <f t="shared" si="106"/>
        <v>0</v>
      </c>
      <c r="RP22" s="1097">
        <f t="shared" si="107"/>
        <v>1140.04</v>
      </c>
      <c r="RQ22" s="1050"/>
      <c r="RR22" s="1050" t="s">
        <v>770</v>
      </c>
      <c r="RS22" s="1048"/>
      <c r="RU22" s="421">
        <v>13</v>
      </c>
      <c r="RV22" s="1095">
        <f t="shared" si="108"/>
        <v>11838.940000000002</v>
      </c>
      <c r="RW22" s="1050" t="s">
        <v>771</v>
      </c>
      <c r="RX22" s="1048"/>
      <c r="RY22" s="1090"/>
      <c r="RZ22" s="1090">
        <f t="shared" si="109"/>
        <v>0</v>
      </c>
      <c r="SA22" s="1090"/>
      <c r="SB22" s="1090">
        <f t="shared" si="110"/>
        <v>0</v>
      </c>
      <c r="SD22" s="1">
        <v>13</v>
      </c>
      <c r="SE22" s="1">
        <f t="shared" si="111"/>
        <v>0</v>
      </c>
    </row>
    <row r="23" spans="1:500" s="1" customFormat="1">
      <c r="A23" s="1">
        <v>160</v>
      </c>
      <c r="B23" s="471">
        <v>14</v>
      </c>
      <c r="C23" s="4">
        <f t="shared" si="6"/>
        <v>174652</v>
      </c>
      <c r="D23" s="64">
        <f t="shared" si="112"/>
        <v>7410.26</v>
      </c>
      <c r="E23" s="61">
        <f t="shared" si="7"/>
        <v>23.568943599819708</v>
      </c>
      <c r="F23" s="870"/>
      <c r="G23" s="870"/>
      <c r="H23" s="52">
        <v>7</v>
      </c>
      <c r="I23" s="61">
        <v>3.2</v>
      </c>
      <c r="J23" s="52"/>
      <c r="K23" s="54"/>
      <c r="L23" s="52"/>
      <c r="M23" s="61"/>
      <c r="N23" s="2629"/>
      <c r="O23" s="4">
        <f t="shared" si="8"/>
        <v>113112</v>
      </c>
      <c r="P23" s="1225">
        <f t="shared" si="9"/>
        <v>4241.6400000000003</v>
      </c>
      <c r="Q23" s="64">
        <f t="shared" si="10"/>
        <v>26.667043879254248</v>
      </c>
      <c r="R23" s="33"/>
      <c r="S23" s="26">
        <f t="shared" si="11"/>
        <v>33593</v>
      </c>
      <c r="T23" s="27">
        <f t="shared" si="12"/>
        <v>1268.6199999999999</v>
      </c>
      <c r="U23" s="53">
        <f t="shared" si="13"/>
        <v>26.479954596333027</v>
      </c>
      <c r="V23" s="28"/>
      <c r="W23" s="26">
        <f t="shared" si="14"/>
        <v>27947</v>
      </c>
      <c r="X23" s="5">
        <f t="shared" si="14"/>
        <v>1900</v>
      </c>
      <c r="Y23" s="53">
        <f t="shared" si="15"/>
        <v>14.708947368421052</v>
      </c>
      <c r="Z23" s="33"/>
      <c r="AA23" s="26">
        <f t="shared" si="16"/>
        <v>0</v>
      </c>
      <c r="AB23" s="27">
        <f t="shared" si="17"/>
        <v>0</v>
      </c>
      <c r="AC23" s="53">
        <f t="shared" si="18"/>
        <v>0</v>
      </c>
      <c r="AD23" s="28"/>
      <c r="AE23" s="36"/>
      <c r="AF23" s="36"/>
      <c r="AG23" s="53">
        <f t="shared" si="19"/>
        <v>0</v>
      </c>
      <c r="AH23" s="28"/>
      <c r="AI23" s="26"/>
      <c r="AJ23" s="27"/>
      <c r="AK23" s="53">
        <f t="shared" si="20"/>
        <v>0</v>
      </c>
      <c r="AL23" s="28"/>
      <c r="AM23" s="2629"/>
      <c r="AN23" s="9"/>
      <c r="AO23" s="5"/>
      <c r="AP23" s="61">
        <f t="shared" si="21"/>
        <v>0</v>
      </c>
      <c r="AQ23" s="36"/>
      <c r="AR23" s="53"/>
      <c r="AS23" s="61">
        <f t="shared" si="22"/>
        <v>0</v>
      </c>
      <c r="AT23" s="36">
        <v>0</v>
      </c>
      <c r="AU23" s="27"/>
      <c r="AV23" s="61">
        <f t="shared" si="23"/>
        <v>0</v>
      </c>
      <c r="AW23" s="36">
        <v>64056</v>
      </c>
      <c r="AX23" s="27">
        <v>2711.76</v>
      </c>
      <c r="AY23" s="61">
        <f t="shared" si="24"/>
        <v>23.621559430038054</v>
      </c>
      <c r="AZ23" s="36"/>
      <c r="BA23" s="27"/>
      <c r="BB23" s="61">
        <f t="shared" si="25"/>
        <v>0</v>
      </c>
      <c r="BC23" s="36">
        <v>49056</v>
      </c>
      <c r="BD23" s="27">
        <v>1529.88</v>
      </c>
      <c r="BE23" s="61">
        <f t="shared" si="26"/>
        <v>32.065260020393751</v>
      </c>
      <c r="BF23" s="36"/>
      <c r="BG23" s="53"/>
      <c r="BH23" s="61">
        <f t="shared" si="27"/>
        <v>0</v>
      </c>
      <c r="BI23" s="36">
        <v>0</v>
      </c>
      <c r="BJ23" s="53">
        <v>0</v>
      </c>
      <c r="BK23" s="61">
        <f t="shared" si="28"/>
        <v>0</v>
      </c>
      <c r="BL23" s="52">
        <v>33593</v>
      </c>
      <c r="BM23" s="53">
        <v>1268.6199999999999</v>
      </c>
      <c r="BN23" s="482">
        <f t="shared" si="29"/>
        <v>26.479954596333027</v>
      </c>
      <c r="BO23" s="9"/>
      <c r="BP23" s="64"/>
      <c r="BQ23" s="482">
        <f t="shared" si="30"/>
        <v>0</v>
      </c>
      <c r="BR23" s="9"/>
      <c r="BS23" s="64"/>
      <c r="BT23" s="482">
        <f t="shared" si="31"/>
        <v>0</v>
      </c>
      <c r="BU23" s="9">
        <v>27947</v>
      </c>
      <c r="BV23" s="27">
        <v>1900</v>
      </c>
      <c r="BW23" s="15">
        <f t="shared" si="32"/>
        <v>14.708947368421052</v>
      </c>
      <c r="BX23" s="26"/>
      <c r="BY23" s="27"/>
      <c r="BZ23" s="482">
        <f t="shared" si="33"/>
        <v>0</v>
      </c>
      <c r="CA23" s="9"/>
      <c r="CB23" s="481"/>
      <c r="CC23" s="482">
        <f t="shared" si="34"/>
        <v>0</v>
      </c>
      <c r="CD23" s="4"/>
      <c r="CE23" s="5"/>
      <c r="CF23" s="28">
        <f t="shared" si="35"/>
        <v>0</v>
      </c>
      <c r="CG23" s="150"/>
      <c r="CH23" s="1108">
        <v>0</v>
      </c>
      <c r="CI23" s="5"/>
      <c r="CJ23" s="5"/>
      <c r="CK23" s="5">
        <v>13487.5</v>
      </c>
      <c r="CL23" s="5"/>
      <c r="CM23" s="5">
        <f t="shared" si="113"/>
        <v>13487.5</v>
      </c>
      <c r="CN23" s="33"/>
      <c r="CO23" s="366"/>
      <c r="CQ23" s="4">
        <f t="shared" si="36"/>
        <v>0</v>
      </c>
      <c r="CR23" s="9">
        <f t="shared" si="36"/>
        <v>0</v>
      </c>
      <c r="CS23" s="5">
        <f t="shared" si="36"/>
        <v>0</v>
      </c>
      <c r="CT23" s="5">
        <f t="shared" si="36"/>
        <v>0</v>
      </c>
      <c r="CU23" s="5">
        <f t="shared" si="36"/>
        <v>0</v>
      </c>
      <c r="CV23" s="5">
        <f t="shared" si="36"/>
        <v>0</v>
      </c>
      <c r="CW23" s="5">
        <f t="shared" si="36"/>
        <v>2711.76</v>
      </c>
      <c r="CX23" s="5">
        <f t="shared" si="36"/>
        <v>0</v>
      </c>
      <c r="CY23" s="5">
        <f t="shared" si="36"/>
        <v>4698.5</v>
      </c>
      <c r="CZ23" s="5">
        <f t="shared" si="36"/>
        <v>0</v>
      </c>
      <c r="DA23" s="5">
        <f t="shared" si="36"/>
        <v>0</v>
      </c>
      <c r="DB23" s="12">
        <f t="shared" si="36"/>
        <v>0</v>
      </c>
      <c r="DC23" s="310">
        <f t="shared" si="37"/>
        <v>7410.26</v>
      </c>
      <c r="DD23" s="2695"/>
      <c r="DE23" s="9"/>
      <c r="DF23" s="9"/>
      <c r="DG23" s="5"/>
      <c r="DH23" s="5"/>
      <c r="DI23" s="5"/>
      <c r="DJ23" s="5"/>
      <c r="DK23" s="5">
        <v>2711.76</v>
      </c>
      <c r="DL23" s="5"/>
      <c r="DM23" s="5"/>
      <c r="DN23" s="5"/>
      <c r="DO23" s="5"/>
      <c r="DP23" s="12"/>
      <c r="DQ23" s="28">
        <f t="shared" si="38"/>
        <v>2711.76</v>
      </c>
      <c r="DR23" s="36"/>
      <c r="DS23" s="9"/>
      <c r="DT23" s="5"/>
      <c r="DU23" s="5"/>
      <c r="DV23" s="5"/>
      <c r="DW23" s="5"/>
      <c r="DX23" s="5"/>
      <c r="DY23" s="5"/>
      <c r="DZ23" s="5">
        <v>2798.5</v>
      </c>
      <c r="EA23" s="27"/>
      <c r="EB23" s="27"/>
      <c r="EC23" s="33"/>
      <c r="ED23" s="28">
        <f t="shared" si="39"/>
        <v>2798.5</v>
      </c>
      <c r="EE23" s="9"/>
      <c r="EF23" s="36"/>
      <c r="EG23" s="5"/>
      <c r="EH23" s="27"/>
      <c r="EI23" s="27"/>
      <c r="EJ23" s="27"/>
      <c r="EK23" s="27"/>
      <c r="EL23" s="27"/>
      <c r="EM23" s="27">
        <v>1900</v>
      </c>
      <c r="EN23" s="27"/>
      <c r="EO23" s="27"/>
      <c r="EP23" s="33"/>
      <c r="EQ23" s="28">
        <f t="shared" si="40"/>
        <v>1900</v>
      </c>
      <c r="ER23" s="36"/>
      <c r="ES23" s="27"/>
      <c r="ET23" s="27"/>
      <c r="EU23" s="27"/>
      <c r="EV23" s="27"/>
      <c r="EW23" s="27"/>
      <c r="EX23" s="33">
        <f t="shared" si="41"/>
        <v>0</v>
      </c>
      <c r="EY23" s="2685"/>
      <c r="FA23" s="4">
        <f t="shared" si="42"/>
        <v>0</v>
      </c>
      <c r="FB23" s="5">
        <f t="shared" si="43"/>
        <v>0</v>
      </c>
      <c r="FC23" s="5">
        <f t="shared" si="44"/>
        <v>0</v>
      </c>
      <c r="FD23" s="12">
        <f t="shared" si="45"/>
        <v>0</v>
      </c>
      <c r="FE23" s="33"/>
      <c r="FF23" s="2674"/>
      <c r="FG23" s="9"/>
      <c r="FH23" s="5"/>
      <c r="FI23" s="5"/>
      <c r="FJ23" s="5"/>
      <c r="FK23" s="5"/>
      <c r="FL23" s="27"/>
      <c r="FM23" s="28">
        <f t="shared" si="46"/>
        <v>0</v>
      </c>
      <c r="FN23" s="36"/>
      <c r="FO23" s="27"/>
      <c r="FP23" s="27"/>
      <c r="FQ23" s="27"/>
      <c r="FR23" s="27"/>
      <c r="FS23" s="27"/>
      <c r="FT23" s="28">
        <f t="shared" si="47"/>
        <v>0</v>
      </c>
      <c r="FU23" s="36"/>
      <c r="FV23" s="36"/>
      <c r="FW23" s="27"/>
      <c r="FX23" s="27"/>
      <c r="FY23" s="27"/>
      <c r="FZ23" s="27"/>
      <c r="GA23" s="27"/>
      <c r="GB23" s="27"/>
      <c r="GC23" s="27"/>
      <c r="GD23" s="27"/>
      <c r="GE23" s="27"/>
      <c r="GF23" s="33"/>
      <c r="GG23" s="33">
        <f t="shared" si="48"/>
        <v>0</v>
      </c>
      <c r="GH23" s="2674"/>
      <c r="GJ23" s="4">
        <f t="shared" si="49"/>
        <v>2564.8599999999997</v>
      </c>
      <c r="GK23" s="64">
        <f t="shared" si="50"/>
        <v>3990.51</v>
      </c>
      <c r="GL23" s="53">
        <f t="shared" si="51"/>
        <v>7332.329999999999</v>
      </c>
      <c r="GM23" s="53">
        <f t="shared" si="52"/>
        <v>13887.699999999999</v>
      </c>
      <c r="GN23" s="141"/>
      <c r="GO23" s="141"/>
      <c r="GP23" s="33"/>
      <c r="GQ23" s="2667"/>
      <c r="GR23" s="363">
        <v>6251.45</v>
      </c>
      <c r="GS23" s="5"/>
      <c r="GT23" s="5">
        <v>3703.5499999999997</v>
      </c>
      <c r="GU23" s="27">
        <v>3932.7000000000003</v>
      </c>
      <c r="GV23" s="54">
        <f t="shared" si="53"/>
        <v>13887.7</v>
      </c>
      <c r="GW23" s="2667"/>
      <c r="GX23" s="36"/>
      <c r="GY23" s="36"/>
      <c r="GZ23" s="27"/>
      <c r="HA23" s="27"/>
      <c r="HB23" s="27"/>
      <c r="HC23" s="27"/>
      <c r="HD23" s="27"/>
      <c r="HE23" s="27"/>
      <c r="HF23" s="27">
        <v>1221.9000000000001</v>
      </c>
      <c r="HG23" s="27"/>
      <c r="HH23" s="27">
        <v>1342.9599999999998</v>
      </c>
      <c r="HI23" s="27"/>
      <c r="HJ23" s="27"/>
      <c r="HK23" s="27"/>
      <c r="HL23" s="28">
        <f t="shared" si="54"/>
        <v>2564.8599999999997</v>
      </c>
      <c r="HM23" s="36"/>
      <c r="HN23" s="27"/>
      <c r="HO23" s="27"/>
      <c r="HP23" s="27"/>
      <c r="HQ23" s="27"/>
      <c r="HR23" s="27"/>
      <c r="HS23" s="27"/>
      <c r="HT23" s="27"/>
      <c r="HU23" s="27"/>
      <c r="HV23" s="27"/>
      <c r="HW23" s="27"/>
      <c r="HX23" s="27"/>
      <c r="HY23" s="27"/>
      <c r="HZ23" s="27"/>
      <c r="IA23" s="33">
        <f t="shared" si="55"/>
        <v>0</v>
      </c>
      <c r="IB23" s="52"/>
      <c r="IC23" s="152"/>
      <c r="ID23" s="53"/>
      <c r="IE23" s="53"/>
      <c r="IF23" s="53"/>
      <c r="IG23" s="53"/>
      <c r="IH23" s="53">
        <v>3411.5600000000004</v>
      </c>
      <c r="II23" s="53"/>
      <c r="IJ23" s="53">
        <v>578.95000000000005</v>
      </c>
      <c r="IK23" s="53"/>
      <c r="IL23" s="53"/>
      <c r="IM23" s="53"/>
      <c r="IN23" s="53"/>
      <c r="IO23" s="53"/>
      <c r="IP23" s="61">
        <f t="shared" si="56"/>
        <v>3990.51</v>
      </c>
      <c r="IQ23" s="36"/>
      <c r="IR23" s="36"/>
      <c r="IS23" s="27"/>
      <c r="IT23" s="27"/>
      <c r="IU23" s="53"/>
      <c r="IV23" s="27"/>
      <c r="IW23" s="27"/>
      <c r="IX23" s="27"/>
      <c r="IY23" s="27">
        <v>7038.6299999999992</v>
      </c>
      <c r="IZ23" s="27"/>
      <c r="JA23" s="27">
        <v>293.7</v>
      </c>
      <c r="JB23" s="27"/>
      <c r="JC23" s="27"/>
      <c r="JD23" s="27"/>
      <c r="JE23" s="33">
        <f t="shared" si="57"/>
        <v>7332.329999999999</v>
      </c>
      <c r="JF23" s="2667"/>
      <c r="JH23" s="52">
        <v>6909.58</v>
      </c>
      <c r="JI23" s="152">
        <v>6978.1200000000008</v>
      </c>
      <c r="JJ23" s="53"/>
      <c r="JK23" s="53">
        <f t="shared" si="58"/>
        <v>13887.7</v>
      </c>
      <c r="JL23" s="33"/>
      <c r="JM23" s="2669"/>
      <c r="JN23" s="69"/>
      <c r="JO23" s="70"/>
      <c r="JP23" s="70"/>
      <c r="JQ23" s="70"/>
      <c r="JR23" s="70">
        <v>0.96736713803022834</v>
      </c>
      <c r="JS23" s="70">
        <v>3.2632861969771547E-2</v>
      </c>
      <c r="JT23" s="70"/>
      <c r="JU23" s="71"/>
      <c r="JV23" s="69"/>
      <c r="JW23" s="70"/>
      <c r="JX23" s="70"/>
      <c r="JY23" s="70">
        <v>0.47751543395642376</v>
      </c>
      <c r="JZ23" s="70">
        <v>0.2879428843298768</v>
      </c>
      <c r="KA23" s="70">
        <v>0.23454168171369935</v>
      </c>
      <c r="KB23" s="70"/>
      <c r="KC23" s="71"/>
      <c r="KD23" s="69"/>
      <c r="KE23" s="70"/>
      <c r="KF23" s="70"/>
      <c r="KG23" s="70"/>
      <c r="KH23" s="70"/>
      <c r="KI23" s="70"/>
      <c r="KJ23" s="70"/>
      <c r="KK23" s="70"/>
      <c r="KL23" s="33"/>
      <c r="KM23" s="2669"/>
      <c r="KN23" s="36">
        <v>6655.6337988030782</v>
      </c>
      <c r="KO23" s="53">
        <v>0.35725277856939303</v>
      </c>
      <c r="KP23" s="53">
        <v>3.0883699059561129</v>
      </c>
      <c r="KQ23" s="53">
        <v>7.8387546309489888</v>
      </c>
      <c r="KR23" s="54">
        <v>11.037269088629238</v>
      </c>
      <c r="KS23" s="4">
        <v>6722.4954917464283</v>
      </c>
      <c r="KT23" s="64">
        <v>1.4583853516437786</v>
      </c>
      <c r="KU23" s="64">
        <v>6.0653571923983911</v>
      </c>
      <c r="KV23" s="64">
        <v>6.1962935219864059</v>
      </c>
      <c r="KW23" s="482">
        <v>11.05957475710917</v>
      </c>
      <c r="KX23" s="36"/>
      <c r="KY23" s="53"/>
      <c r="KZ23" s="53"/>
      <c r="LA23" s="53"/>
      <c r="LB23" s="53"/>
      <c r="LC23" s="33"/>
      <c r="LD23" s="2669"/>
      <c r="LF23" s="4">
        <f t="shared" si="59"/>
        <v>8935.14</v>
      </c>
      <c r="LG23" s="27">
        <f t="shared" si="59"/>
        <v>0</v>
      </c>
      <c r="LH23" s="27">
        <f t="shared" si="59"/>
        <v>0</v>
      </c>
      <c r="LI23" s="28">
        <f t="shared" si="60"/>
        <v>8935.14</v>
      </c>
      <c r="LJ23" s="36">
        <v>1</v>
      </c>
      <c r="LK23" s="27"/>
      <c r="LL23" s="27">
        <v>5</v>
      </c>
      <c r="LM23" s="33"/>
      <c r="LN23" s="1041">
        <v>5.33</v>
      </c>
      <c r="LO23" s="486"/>
      <c r="LP23" s="2688"/>
      <c r="LQ23" s="36">
        <v>8935.14</v>
      </c>
      <c r="LR23" s="36"/>
      <c r="LS23" s="27"/>
      <c r="LT23" s="27"/>
      <c r="LU23" s="27"/>
      <c r="LV23" s="1117">
        <f t="shared" si="61"/>
        <v>8935.14</v>
      </c>
      <c r="LW23" s="36"/>
      <c r="LX23" s="36"/>
      <c r="LY23" s="27"/>
      <c r="LZ23" s="27"/>
      <c r="MA23" s="33"/>
      <c r="MB23" s="28">
        <f t="shared" si="62"/>
        <v>0</v>
      </c>
      <c r="MC23" s="26"/>
      <c r="MD23" s="36"/>
      <c r="ME23" s="27"/>
      <c r="MF23" s="27"/>
      <c r="MG23" s="27"/>
      <c r="MH23" s="28"/>
      <c r="MI23" s="36"/>
      <c r="MJ23" s="36"/>
      <c r="MK23" s="27"/>
      <c r="ML23" s="27"/>
      <c r="MM23" s="27"/>
      <c r="MN23" s="28"/>
      <c r="MO23" s="36"/>
      <c r="MP23" s="36"/>
      <c r="MQ23" s="27"/>
      <c r="MR23" s="27"/>
      <c r="MS23" s="27"/>
      <c r="MT23" s="33">
        <f t="shared" si="63"/>
        <v>0</v>
      </c>
      <c r="MU23" s="2688"/>
      <c r="MW23" s="26">
        <f t="shared" si="64"/>
        <v>73876.551216285501</v>
      </c>
      <c r="MX23" s="27">
        <f t="shared" si="65"/>
        <v>93797.846984101692</v>
      </c>
      <c r="MY23" s="27">
        <f t="shared" si="66"/>
        <v>25442.563116668145</v>
      </c>
      <c r="MZ23" s="28">
        <f t="shared" si="67"/>
        <v>436603.92665121425</v>
      </c>
      <c r="NA23" s="2621"/>
      <c r="NB23" s="23">
        <f t="shared" si="68"/>
        <v>56212.426076933494</v>
      </c>
      <c r="NC23" s="64">
        <f t="shared" si="69"/>
        <v>17664.125139352007</v>
      </c>
      <c r="ND23" s="60">
        <f t="shared" si="70"/>
        <v>0</v>
      </c>
      <c r="NE23" s="275">
        <f t="shared" si="4"/>
        <v>73876.551216285501</v>
      </c>
      <c r="NF23" s="26">
        <f t="shared" si="71"/>
        <v>0</v>
      </c>
      <c r="NG23" s="27">
        <f t="shared" si="71"/>
        <v>0</v>
      </c>
      <c r="NH23" s="27">
        <f t="shared" si="71"/>
        <v>0</v>
      </c>
      <c r="NI23" s="27">
        <f t="shared" si="71"/>
        <v>0</v>
      </c>
      <c r="NJ23" s="27">
        <f t="shared" si="71"/>
        <v>0</v>
      </c>
      <c r="NK23" s="33">
        <f t="shared" si="71"/>
        <v>0</v>
      </c>
      <c r="NL23" s="27">
        <f t="shared" si="71"/>
        <v>0</v>
      </c>
      <c r="NM23" s="36">
        <f t="shared" si="71"/>
        <v>0</v>
      </c>
      <c r="NN23" s="27">
        <f t="shared" si="71"/>
        <v>36076.542027032752</v>
      </c>
      <c r="NO23" s="27">
        <f t="shared" si="71"/>
        <v>0</v>
      </c>
      <c r="NP23" s="24">
        <f t="shared" si="114"/>
        <v>8756.5482322711578</v>
      </c>
      <c r="NQ23" s="24">
        <f t="shared" si="115"/>
        <v>14547.305013230798</v>
      </c>
      <c r="NR23" s="27">
        <f t="shared" si="0"/>
        <v>59380.395272534704</v>
      </c>
      <c r="NS23" s="27">
        <f t="shared" si="72"/>
        <v>0</v>
      </c>
      <c r="NT23" s="27">
        <f t="shared" si="72"/>
        <v>0</v>
      </c>
      <c r="NU23" s="27">
        <f t="shared" si="72"/>
        <v>0</v>
      </c>
      <c r="NV23" s="27">
        <f t="shared" si="72"/>
        <v>0</v>
      </c>
      <c r="NW23" s="27">
        <f t="shared" si="72"/>
        <v>0</v>
      </c>
      <c r="NX23" s="5">
        <f t="shared" si="72"/>
        <v>0</v>
      </c>
      <c r="NY23" s="27">
        <f t="shared" si="72"/>
        <v>6123.9746092523792</v>
      </c>
      <c r="NZ23" s="27">
        <f t="shared" si="72"/>
        <v>0</v>
      </c>
      <c r="OA23" s="27">
        <f t="shared" si="72"/>
        <v>2160.0157022622479</v>
      </c>
      <c r="OB23" s="280"/>
      <c r="OC23" s="24">
        <f t="shared" si="73"/>
        <v>1565.61197844705</v>
      </c>
      <c r="OD23" s="27">
        <f t="shared" si="73"/>
        <v>0</v>
      </c>
      <c r="OE23" s="28">
        <f t="shared" si="1"/>
        <v>9849.6022899616764</v>
      </c>
      <c r="OF23" s="27">
        <f t="shared" si="74"/>
        <v>0</v>
      </c>
      <c r="OG23" s="27">
        <f t="shared" si="74"/>
        <v>0</v>
      </c>
      <c r="OH23" s="27">
        <v>0</v>
      </c>
      <c r="OI23" s="27">
        <f t="shared" si="74"/>
        <v>0</v>
      </c>
      <c r="OJ23" s="27">
        <f t="shared" si="74"/>
        <v>0</v>
      </c>
      <c r="OK23" s="27">
        <f t="shared" si="74"/>
        <v>0</v>
      </c>
      <c r="OL23" s="24">
        <f t="shared" si="74"/>
        <v>0</v>
      </c>
      <c r="OM23" s="27">
        <f t="shared" si="74"/>
        <v>0</v>
      </c>
      <c r="ON23" s="24">
        <f t="shared" si="74"/>
        <v>19820.530253800207</v>
      </c>
      <c r="OO23" s="27">
        <f t="shared" si="74"/>
        <v>0</v>
      </c>
      <c r="OP23" s="27">
        <f t="shared" si="74"/>
        <v>4747.3191678050998</v>
      </c>
      <c r="OQ23" s="27">
        <f t="shared" si="74"/>
        <v>0</v>
      </c>
      <c r="OR23" s="28">
        <f t="shared" si="2"/>
        <v>24567.849421605308</v>
      </c>
      <c r="OS23" s="36"/>
      <c r="OT23" s="27"/>
      <c r="OU23" s="27"/>
      <c r="OV23" s="27"/>
      <c r="OW23" s="27"/>
      <c r="OX23" s="27"/>
      <c r="OY23" s="28">
        <f t="shared" si="75"/>
        <v>0</v>
      </c>
      <c r="OZ23" s="36">
        <f t="shared" si="76"/>
        <v>0</v>
      </c>
      <c r="PA23" s="27">
        <f t="shared" si="77"/>
        <v>0</v>
      </c>
      <c r="PB23" s="27">
        <f t="shared" si="78"/>
        <v>0</v>
      </c>
      <c r="PC23" s="27">
        <f t="shared" si="79"/>
        <v>0</v>
      </c>
      <c r="PD23" s="27">
        <f t="shared" si="80"/>
        <v>0</v>
      </c>
      <c r="PE23" s="27">
        <f t="shared" si="81"/>
        <v>0</v>
      </c>
      <c r="PF23" s="33">
        <f t="shared" si="3"/>
        <v>0</v>
      </c>
      <c r="PG23" s="2621"/>
      <c r="PI23" s="2"/>
      <c r="PJ23" s="3">
        <v>591.50000000000011</v>
      </c>
      <c r="PK23" s="3">
        <v>273.00000000000006</v>
      </c>
      <c r="PL23" s="3">
        <f t="shared" si="116"/>
        <v>0</v>
      </c>
      <c r="PM23" s="3">
        <f t="shared" si="82"/>
        <v>109.22973779645497</v>
      </c>
      <c r="PN23" s="11">
        <f t="shared" si="117"/>
        <v>25442.563116668145</v>
      </c>
      <c r="PO23" s="15"/>
      <c r="PP23" s="2615"/>
      <c r="PR23" s="4"/>
      <c r="PS23" s="9"/>
      <c r="PT23" s="9"/>
      <c r="PU23" s="9"/>
      <c r="PV23" s="9"/>
      <c r="PW23" s="9"/>
      <c r="PX23" s="8">
        <f t="shared" si="83"/>
        <v>0</v>
      </c>
      <c r="PY23" s="5">
        <f t="shared" si="84"/>
        <v>0</v>
      </c>
      <c r="PZ23" s="5"/>
      <c r="QA23" s="5"/>
      <c r="QB23" s="5"/>
      <c r="QC23" s="5"/>
      <c r="QD23" s="5"/>
      <c r="QE23" s="12">
        <f t="shared" si="85"/>
        <v>29749.381073161156</v>
      </c>
      <c r="QF23" s="420">
        <f t="shared" si="86"/>
        <v>405232.1655780531</v>
      </c>
      <c r="QG23" s="1106">
        <f t="shared" si="87"/>
        <v>1622.38</v>
      </c>
      <c r="QH23" s="484">
        <f t="shared" si="88"/>
        <v>5505.3678056100007</v>
      </c>
      <c r="QI23" s="12"/>
      <c r="QJ23" s="2615"/>
      <c r="QL23" s="139">
        <f t="shared" si="89"/>
        <v>0</v>
      </c>
      <c r="QM23" s="139" t="str">
        <f t="shared" si="90"/>
        <v/>
      </c>
      <c r="QO23" s="139">
        <f t="shared" si="91"/>
        <v>0</v>
      </c>
      <c r="QP23" s="139">
        <f t="shared" si="92"/>
        <v>0</v>
      </c>
      <c r="QR23" s="1">
        <f t="shared" si="93"/>
        <v>0</v>
      </c>
      <c r="QS23" s="1">
        <f t="shared" si="94"/>
        <v>0</v>
      </c>
      <c r="QT23" s="1">
        <f t="shared" si="95"/>
        <v>0</v>
      </c>
      <c r="QU23" s="1">
        <f t="shared" si="96"/>
        <v>0</v>
      </c>
      <c r="QV23" s="1">
        <f t="shared" si="97"/>
        <v>0</v>
      </c>
      <c r="QW23" s="1">
        <f t="shared" si="98"/>
        <v>0</v>
      </c>
      <c r="QY23" s="1">
        <f t="shared" si="99"/>
        <v>0</v>
      </c>
      <c r="QZ23" s="1">
        <f t="shared" si="100"/>
        <v>0</v>
      </c>
      <c r="RA23" s="1">
        <f t="shared" si="101"/>
        <v>0</v>
      </c>
      <c r="RB23" s="1">
        <f t="shared" si="102"/>
        <v>0</v>
      </c>
      <c r="RC23" s="1">
        <f t="shared" si="103"/>
        <v>0</v>
      </c>
      <c r="RD23" s="1">
        <f t="shared" si="104"/>
        <v>0</v>
      </c>
      <c r="RG23" s="1">
        <v>14</v>
      </c>
      <c r="RH23" s="1">
        <f t="shared" si="119"/>
        <v>29884.595209717096</v>
      </c>
      <c r="RI23" s="1">
        <f t="shared" si="119"/>
        <v>2586.671780483719</v>
      </c>
      <c r="RJ23" s="1">
        <f t="shared" si="119"/>
        <v>13404.263703387322</v>
      </c>
      <c r="RK23" s="89">
        <f t="shared" si="5"/>
        <v>45875.530693588138</v>
      </c>
      <c r="RL23" s="1033">
        <v>14</v>
      </c>
      <c r="RM23" s="1098">
        <f t="shared" si="118"/>
        <v>0</v>
      </c>
      <c r="RN23" s="1098">
        <f t="shared" si="106"/>
        <v>0</v>
      </c>
      <c r="RO23" s="1097">
        <f t="shared" si="106"/>
        <v>0</v>
      </c>
      <c r="RP23" s="1097">
        <f t="shared" si="107"/>
        <v>5510.26</v>
      </c>
      <c r="RQ23" s="1050"/>
      <c r="RR23" s="1116" t="s">
        <v>772</v>
      </c>
      <c r="RS23" s="1048"/>
      <c r="RU23" s="421">
        <v>14</v>
      </c>
      <c r="RV23" s="1095">
        <f t="shared" si="108"/>
        <v>13887.7</v>
      </c>
      <c r="RW23" s="1115" t="s">
        <v>773</v>
      </c>
      <c r="RX23" s="1114"/>
      <c r="RY23" s="1090"/>
      <c r="RZ23" s="1090">
        <f t="shared" si="109"/>
        <v>0</v>
      </c>
      <c r="SA23" s="1090"/>
      <c r="SB23" s="1090">
        <f t="shared" si="110"/>
        <v>0</v>
      </c>
      <c r="SD23" s="1">
        <v>14</v>
      </c>
      <c r="SE23" s="1">
        <f t="shared" si="111"/>
        <v>0</v>
      </c>
    </row>
    <row r="24" spans="1:500" s="1" customFormat="1">
      <c r="B24" s="471">
        <v>15</v>
      </c>
      <c r="C24" s="4">
        <f t="shared" si="6"/>
        <v>171418</v>
      </c>
      <c r="D24" s="64">
        <f t="shared" si="112"/>
        <v>8636.5600000000013</v>
      </c>
      <c r="E24" s="61">
        <f t="shared" si="7"/>
        <v>19.847948720323831</v>
      </c>
      <c r="F24" s="870"/>
      <c r="G24" s="870"/>
      <c r="H24" s="52"/>
      <c r="I24" s="61"/>
      <c r="J24" s="52"/>
      <c r="K24" s="54"/>
      <c r="L24" s="52">
        <v>1.5</v>
      </c>
      <c r="M24" s="61">
        <v>0.91</v>
      </c>
      <c r="N24" s="2629"/>
      <c r="O24" s="4">
        <f t="shared" si="8"/>
        <v>112512</v>
      </c>
      <c r="P24" s="1225">
        <f t="shared" si="9"/>
        <v>5477.72</v>
      </c>
      <c r="Q24" s="64">
        <f t="shared" si="10"/>
        <v>20.539932672717846</v>
      </c>
      <c r="R24" s="33"/>
      <c r="S24" s="26">
        <f t="shared" si="11"/>
        <v>26800</v>
      </c>
      <c r="T24" s="27">
        <f t="shared" si="12"/>
        <v>638.83999999999992</v>
      </c>
      <c r="U24" s="53">
        <f t="shared" si="13"/>
        <v>41.951036253208947</v>
      </c>
      <c r="V24" s="28"/>
      <c r="W24" s="26">
        <f t="shared" si="14"/>
        <v>32106</v>
      </c>
      <c r="X24" s="5">
        <f t="shared" si="14"/>
        <v>2520</v>
      </c>
      <c r="Y24" s="53">
        <f t="shared" si="15"/>
        <v>12.740476190476191</v>
      </c>
      <c r="Z24" s="33"/>
      <c r="AA24" s="26">
        <f t="shared" si="16"/>
        <v>0</v>
      </c>
      <c r="AB24" s="27">
        <f t="shared" si="17"/>
        <v>0</v>
      </c>
      <c r="AC24" s="53">
        <f t="shared" si="18"/>
        <v>0</v>
      </c>
      <c r="AD24" s="28"/>
      <c r="AE24" s="36"/>
      <c r="AF24" s="36"/>
      <c r="AG24" s="53">
        <f t="shared" si="19"/>
        <v>0</v>
      </c>
      <c r="AH24" s="28"/>
      <c r="AI24" s="23"/>
      <c r="AJ24" s="27"/>
      <c r="AK24" s="53">
        <f t="shared" si="20"/>
        <v>0</v>
      </c>
      <c r="AL24" s="28"/>
      <c r="AM24" s="2629"/>
      <c r="AN24" s="9"/>
      <c r="AO24" s="5"/>
      <c r="AP24" s="61">
        <f t="shared" si="21"/>
        <v>0</v>
      </c>
      <c r="AQ24" s="36"/>
      <c r="AR24" s="53"/>
      <c r="AS24" s="61">
        <f t="shared" si="22"/>
        <v>0</v>
      </c>
      <c r="AT24" s="36">
        <v>0</v>
      </c>
      <c r="AU24" s="27"/>
      <c r="AV24" s="61">
        <f t="shared" si="23"/>
        <v>0</v>
      </c>
      <c r="AW24" s="36">
        <v>75342</v>
      </c>
      <c r="AX24" s="27">
        <v>3457.92</v>
      </c>
      <c r="AY24" s="61">
        <f t="shared" si="24"/>
        <v>21.788242642976122</v>
      </c>
      <c r="AZ24" s="36"/>
      <c r="BA24" s="27"/>
      <c r="BB24" s="61">
        <f t="shared" si="25"/>
        <v>0</v>
      </c>
      <c r="BC24" s="36">
        <v>37170</v>
      </c>
      <c r="BD24" s="27">
        <v>2019.8</v>
      </c>
      <c r="BE24" s="61">
        <f t="shared" si="26"/>
        <v>18.402812159619764</v>
      </c>
      <c r="BF24" s="36"/>
      <c r="BG24" s="53"/>
      <c r="BH24" s="61">
        <f t="shared" si="27"/>
        <v>0</v>
      </c>
      <c r="BI24" s="36">
        <v>0</v>
      </c>
      <c r="BJ24" s="53">
        <v>0</v>
      </c>
      <c r="BK24" s="61">
        <f t="shared" si="28"/>
        <v>0</v>
      </c>
      <c r="BL24" s="52">
        <v>26800</v>
      </c>
      <c r="BM24" s="53">
        <v>638.83999999999992</v>
      </c>
      <c r="BN24" s="482">
        <f t="shared" si="29"/>
        <v>41.951036253208947</v>
      </c>
      <c r="BO24" s="9"/>
      <c r="BP24" s="64"/>
      <c r="BQ24" s="482">
        <f t="shared" si="30"/>
        <v>0</v>
      </c>
      <c r="BR24" s="9"/>
      <c r="BS24" s="64"/>
      <c r="BT24" s="482">
        <f t="shared" si="31"/>
        <v>0</v>
      </c>
      <c r="BU24" s="9">
        <v>32106</v>
      </c>
      <c r="BV24" s="27">
        <v>2520</v>
      </c>
      <c r="BW24" s="15">
        <f t="shared" si="32"/>
        <v>12.740476190476191</v>
      </c>
      <c r="BX24" s="26"/>
      <c r="BY24" s="27"/>
      <c r="BZ24" s="482">
        <f t="shared" si="33"/>
        <v>0</v>
      </c>
      <c r="CA24" s="9"/>
      <c r="CB24" s="481"/>
      <c r="CC24" s="482">
        <f t="shared" si="34"/>
        <v>0</v>
      </c>
      <c r="CD24" s="4"/>
      <c r="CE24" s="5"/>
      <c r="CF24" s="28">
        <f t="shared" si="35"/>
        <v>0</v>
      </c>
      <c r="CG24" s="150"/>
      <c r="CH24" s="1108">
        <v>432</v>
      </c>
      <c r="CI24" s="5"/>
      <c r="CJ24" s="5"/>
      <c r="CK24" s="5">
        <v>15150</v>
      </c>
      <c r="CL24" s="5"/>
      <c r="CM24" s="5">
        <f t="shared" si="113"/>
        <v>15582</v>
      </c>
      <c r="CN24" s="33"/>
      <c r="CO24" s="366"/>
      <c r="CQ24" s="4">
        <f t="shared" si="36"/>
        <v>0</v>
      </c>
      <c r="CR24" s="9">
        <f t="shared" si="36"/>
        <v>0</v>
      </c>
      <c r="CS24" s="5">
        <f t="shared" si="36"/>
        <v>0</v>
      </c>
      <c r="CT24" s="5">
        <f t="shared" si="36"/>
        <v>0</v>
      </c>
      <c r="CU24" s="5">
        <f t="shared" si="36"/>
        <v>0</v>
      </c>
      <c r="CV24" s="5">
        <f t="shared" si="36"/>
        <v>0</v>
      </c>
      <c r="CW24" s="5">
        <f t="shared" si="36"/>
        <v>3457.92</v>
      </c>
      <c r="CX24" s="5">
        <f t="shared" si="36"/>
        <v>0</v>
      </c>
      <c r="CY24" s="5">
        <f t="shared" si="36"/>
        <v>5178.6399999999994</v>
      </c>
      <c r="CZ24" s="5">
        <f t="shared" si="36"/>
        <v>0</v>
      </c>
      <c r="DA24" s="5">
        <f t="shared" si="36"/>
        <v>0</v>
      </c>
      <c r="DB24" s="12">
        <f t="shared" si="36"/>
        <v>0</v>
      </c>
      <c r="DC24" s="310">
        <f t="shared" si="37"/>
        <v>8636.56</v>
      </c>
      <c r="DD24" s="2695"/>
      <c r="DE24" s="9"/>
      <c r="DF24" s="9"/>
      <c r="DG24" s="5"/>
      <c r="DH24" s="5"/>
      <c r="DI24" s="5"/>
      <c r="DJ24" s="5"/>
      <c r="DK24" s="5">
        <v>3457.92</v>
      </c>
      <c r="DL24" s="5"/>
      <c r="DM24" s="5"/>
      <c r="DN24" s="5"/>
      <c r="DO24" s="5"/>
      <c r="DP24" s="12"/>
      <c r="DQ24" s="28">
        <f t="shared" si="38"/>
        <v>3457.92</v>
      </c>
      <c r="DR24" s="36"/>
      <c r="DS24" s="9"/>
      <c r="DT24" s="5"/>
      <c r="DU24" s="5"/>
      <c r="DV24" s="5"/>
      <c r="DW24" s="5"/>
      <c r="DX24" s="5"/>
      <c r="DY24" s="5"/>
      <c r="DZ24" s="5">
        <v>2658.64</v>
      </c>
      <c r="EA24" s="27"/>
      <c r="EB24" s="27"/>
      <c r="EC24" s="33"/>
      <c r="ED24" s="28">
        <f t="shared" si="39"/>
        <v>2658.64</v>
      </c>
      <c r="EE24" s="9"/>
      <c r="EF24" s="36"/>
      <c r="EG24" s="5"/>
      <c r="EH24" s="27"/>
      <c r="EI24" s="27"/>
      <c r="EJ24" s="27"/>
      <c r="EK24" s="27"/>
      <c r="EL24" s="27"/>
      <c r="EM24" s="27">
        <v>2520</v>
      </c>
      <c r="EN24" s="27"/>
      <c r="EO24" s="27"/>
      <c r="EP24" s="33"/>
      <c r="EQ24" s="28">
        <f t="shared" si="40"/>
        <v>2520</v>
      </c>
      <c r="ER24" s="36"/>
      <c r="ES24" s="27"/>
      <c r="ET24" s="27"/>
      <c r="EU24" s="27"/>
      <c r="EV24" s="27"/>
      <c r="EW24" s="27"/>
      <c r="EX24" s="33">
        <f t="shared" si="41"/>
        <v>0</v>
      </c>
      <c r="EY24" s="2685"/>
      <c r="FA24" s="4">
        <f t="shared" si="42"/>
        <v>0</v>
      </c>
      <c r="FB24" s="5">
        <f t="shared" si="43"/>
        <v>0</v>
      </c>
      <c r="FC24" s="5">
        <f t="shared" si="44"/>
        <v>0</v>
      </c>
      <c r="FD24" s="12">
        <f t="shared" si="45"/>
        <v>0</v>
      </c>
      <c r="FE24" s="33"/>
      <c r="FF24" s="2674"/>
      <c r="FG24" s="9"/>
      <c r="FH24" s="5"/>
      <c r="FI24" s="5"/>
      <c r="FJ24" s="5"/>
      <c r="FK24" s="5"/>
      <c r="FL24" s="27"/>
      <c r="FM24" s="28">
        <f t="shared" si="46"/>
        <v>0</v>
      </c>
      <c r="FN24" s="36"/>
      <c r="FO24" s="27"/>
      <c r="FP24" s="27"/>
      <c r="FQ24" s="27"/>
      <c r="FR24" s="27"/>
      <c r="FS24" s="27"/>
      <c r="FT24" s="28">
        <f t="shared" si="47"/>
        <v>0</v>
      </c>
      <c r="FU24" s="36"/>
      <c r="FV24" s="36"/>
      <c r="FW24" s="27"/>
      <c r="FX24" s="27"/>
      <c r="FY24" s="27"/>
      <c r="FZ24" s="27"/>
      <c r="GA24" s="27"/>
      <c r="GB24" s="27"/>
      <c r="GC24" s="27"/>
      <c r="GD24" s="27"/>
      <c r="GE24" s="27"/>
      <c r="GF24" s="33"/>
      <c r="GG24" s="33">
        <f t="shared" si="48"/>
        <v>0</v>
      </c>
      <c r="GH24" s="2674"/>
      <c r="GJ24" s="4">
        <f t="shared" si="49"/>
        <v>3686.4199999999996</v>
      </c>
      <c r="GK24" s="64">
        <f t="shared" si="50"/>
        <v>77.45</v>
      </c>
      <c r="GL24" s="53">
        <f t="shared" si="51"/>
        <v>8684.8599999999988</v>
      </c>
      <c r="GM24" s="53">
        <f t="shared" si="52"/>
        <v>12448.729999999998</v>
      </c>
      <c r="GN24" s="141"/>
      <c r="GO24" s="141"/>
      <c r="GP24" s="33"/>
      <c r="GQ24" s="2667"/>
      <c r="GR24" s="152">
        <v>4925.1500000000005</v>
      </c>
      <c r="GS24" s="27">
        <v>1149.02</v>
      </c>
      <c r="GT24" s="27">
        <v>3198.8</v>
      </c>
      <c r="GU24" s="27">
        <v>3175.76</v>
      </c>
      <c r="GV24" s="33">
        <f t="shared" si="53"/>
        <v>12448.730000000001</v>
      </c>
      <c r="GW24" s="2667"/>
      <c r="GX24" s="36"/>
      <c r="GY24" s="36"/>
      <c r="GZ24" s="27"/>
      <c r="HA24" s="27"/>
      <c r="HB24" s="27"/>
      <c r="HC24" s="27"/>
      <c r="HD24" s="27"/>
      <c r="HE24" s="27"/>
      <c r="HF24" s="27">
        <v>2537.3999999999996</v>
      </c>
      <c r="HG24" s="27"/>
      <c r="HH24" s="27"/>
      <c r="HI24" s="27"/>
      <c r="HJ24" s="27">
        <v>1149.02</v>
      </c>
      <c r="HK24" s="27"/>
      <c r="HL24" s="28">
        <f t="shared" si="54"/>
        <v>3686.4199999999996</v>
      </c>
      <c r="HM24" s="36"/>
      <c r="HN24" s="27"/>
      <c r="HO24" s="27"/>
      <c r="HP24" s="27"/>
      <c r="HQ24" s="27"/>
      <c r="HR24" s="27"/>
      <c r="HS24" s="27"/>
      <c r="HT24" s="27"/>
      <c r="HU24" s="27"/>
      <c r="HV24" s="27"/>
      <c r="HW24" s="27"/>
      <c r="HX24" s="27"/>
      <c r="HY24" s="27"/>
      <c r="HZ24" s="27"/>
      <c r="IA24" s="33">
        <f t="shared" si="55"/>
        <v>0</v>
      </c>
      <c r="IB24" s="52"/>
      <c r="IC24" s="152"/>
      <c r="ID24" s="53"/>
      <c r="IE24" s="53"/>
      <c r="IF24" s="53"/>
      <c r="IG24" s="53"/>
      <c r="IH24" s="53"/>
      <c r="II24" s="53"/>
      <c r="IJ24" s="53">
        <v>77.45</v>
      </c>
      <c r="IK24" s="53"/>
      <c r="IL24" s="53"/>
      <c r="IM24" s="53"/>
      <c r="IN24" s="53"/>
      <c r="IO24" s="53"/>
      <c r="IP24" s="61">
        <f t="shared" si="56"/>
        <v>77.45</v>
      </c>
      <c r="IQ24" s="36"/>
      <c r="IR24" s="36"/>
      <c r="IS24" s="53"/>
      <c r="IT24" s="27"/>
      <c r="IU24" s="53"/>
      <c r="IV24" s="27"/>
      <c r="IW24" s="27"/>
      <c r="IX24" s="27"/>
      <c r="IY24" s="27">
        <v>8684.8599999999988</v>
      </c>
      <c r="IZ24" s="27"/>
      <c r="JA24" s="27"/>
      <c r="JB24" s="27"/>
      <c r="JC24" s="27"/>
      <c r="JD24" s="27"/>
      <c r="JE24" s="33">
        <f t="shared" si="57"/>
        <v>8684.8599999999988</v>
      </c>
      <c r="JF24" s="2667"/>
      <c r="JH24" s="52">
        <v>12448.729999999998</v>
      </c>
      <c r="JI24" s="152"/>
      <c r="JJ24" s="53"/>
      <c r="JK24" s="53">
        <f t="shared" si="58"/>
        <v>12448.729999999998</v>
      </c>
      <c r="JL24" s="33"/>
      <c r="JM24" s="2669"/>
      <c r="JN24" s="69"/>
      <c r="JO24" s="70"/>
      <c r="JP24" s="70"/>
      <c r="JQ24" s="70"/>
      <c r="JR24" s="70">
        <v>1</v>
      </c>
      <c r="JS24" s="70"/>
      <c r="JT24" s="70"/>
      <c r="JU24" s="71"/>
      <c r="JV24" s="69"/>
      <c r="JW24" s="70"/>
      <c r="JX24" s="70"/>
      <c r="JY24" s="70"/>
      <c r="JZ24" s="70"/>
      <c r="KA24" s="70"/>
      <c r="KB24" s="70"/>
      <c r="KC24" s="71"/>
      <c r="KD24" s="69"/>
      <c r="KE24" s="70"/>
      <c r="KF24" s="70"/>
      <c r="KG24" s="70"/>
      <c r="KH24" s="70"/>
      <c r="KI24" s="70"/>
      <c r="KJ24" s="70"/>
      <c r="KK24" s="70"/>
      <c r="KL24" s="33"/>
      <c r="KM24" s="2669"/>
      <c r="KN24" s="36">
        <v>6960.4119398307739</v>
      </c>
      <c r="KO24" s="53">
        <v>0.45969602005640858</v>
      </c>
      <c r="KP24" s="53">
        <v>4.5553102475712937</v>
      </c>
      <c r="KQ24" s="53">
        <v>6.4606800376057656</v>
      </c>
      <c r="KR24" s="54">
        <v>10.79938918332811</v>
      </c>
      <c r="KS24" s="4">
        <v>0</v>
      </c>
      <c r="KT24" s="64">
        <v>0</v>
      </c>
      <c r="KU24" s="64">
        <v>0</v>
      </c>
      <c r="KV24" s="64">
        <v>0</v>
      </c>
      <c r="KW24" s="482">
        <v>0</v>
      </c>
      <c r="KX24" s="36"/>
      <c r="KY24" s="53"/>
      <c r="KZ24" s="53"/>
      <c r="LA24" s="53"/>
      <c r="LB24" s="53"/>
      <c r="LC24" s="33"/>
      <c r="LD24" s="2669"/>
      <c r="LF24" s="4">
        <f t="shared" si="59"/>
        <v>0</v>
      </c>
      <c r="LG24" s="27">
        <f t="shared" si="59"/>
        <v>0</v>
      </c>
      <c r="LH24" s="27">
        <f t="shared" si="59"/>
        <v>0</v>
      </c>
      <c r="LI24" s="28">
        <f t="shared" si="60"/>
        <v>0</v>
      </c>
      <c r="LJ24" s="36"/>
      <c r="LK24" s="27"/>
      <c r="LL24" s="27">
        <v>7</v>
      </c>
      <c r="LM24" s="33"/>
      <c r="LN24" s="1041">
        <v>6.28</v>
      </c>
      <c r="LO24" s="486" t="s">
        <v>680</v>
      </c>
      <c r="LP24" s="2688"/>
      <c r="LQ24" s="36"/>
      <c r="LR24" s="36"/>
      <c r="LS24" s="27"/>
      <c r="LT24" s="27"/>
      <c r="LU24" s="27"/>
      <c r="LV24" s="1107">
        <f t="shared" si="61"/>
        <v>0</v>
      </c>
      <c r="LW24" s="36"/>
      <c r="LX24" s="36"/>
      <c r="LY24" s="27"/>
      <c r="LZ24" s="27"/>
      <c r="MA24" s="33"/>
      <c r="MB24" s="28">
        <f t="shared" si="62"/>
        <v>0</v>
      </c>
      <c r="MC24" s="26"/>
      <c r="MD24" s="36"/>
      <c r="ME24" s="27"/>
      <c r="MF24" s="27"/>
      <c r="MG24" s="27"/>
      <c r="MH24" s="28"/>
      <c r="MI24" s="36"/>
      <c r="MJ24" s="36"/>
      <c r="MK24" s="27"/>
      <c r="ML24" s="27"/>
      <c r="MM24" s="27"/>
      <c r="MN24" s="28"/>
      <c r="MO24" s="36"/>
      <c r="MP24" s="36"/>
      <c r="MQ24" s="27"/>
      <c r="MR24" s="27"/>
      <c r="MS24" s="27"/>
      <c r="MT24" s="33">
        <f t="shared" si="63"/>
        <v>0</v>
      </c>
      <c r="MU24" s="2688"/>
      <c r="MW24" s="26">
        <f t="shared" si="64"/>
        <v>86325.281216285497</v>
      </c>
      <c r="MX24" s="27">
        <f t="shared" si="65"/>
        <v>91134.696984101698</v>
      </c>
      <c r="MY24" s="27">
        <f t="shared" si="66"/>
        <v>24578.543116668145</v>
      </c>
      <c r="MZ24" s="28">
        <f t="shared" si="67"/>
        <v>436039.30665121425</v>
      </c>
      <c r="NA24" s="2621"/>
      <c r="NB24" s="23">
        <f t="shared" si="68"/>
        <v>68661.15607693349</v>
      </c>
      <c r="NC24" s="64">
        <f t="shared" si="69"/>
        <v>17664.125139352007</v>
      </c>
      <c r="ND24" s="60">
        <f t="shared" si="70"/>
        <v>0</v>
      </c>
      <c r="NE24" s="275">
        <f t="shared" si="4"/>
        <v>86325.281216285497</v>
      </c>
      <c r="NF24" s="26">
        <f t="shared" si="71"/>
        <v>0</v>
      </c>
      <c r="NG24" s="27">
        <f t="shared" si="71"/>
        <v>0</v>
      </c>
      <c r="NH24" s="27">
        <f t="shared" si="71"/>
        <v>0</v>
      </c>
      <c r="NI24" s="27">
        <f t="shared" si="71"/>
        <v>0</v>
      </c>
      <c r="NJ24" s="27">
        <f t="shared" si="71"/>
        <v>0</v>
      </c>
      <c r="NK24" s="33">
        <f t="shared" si="71"/>
        <v>0</v>
      </c>
      <c r="NL24" s="27">
        <f t="shared" si="71"/>
        <v>0</v>
      </c>
      <c r="NM24" s="36">
        <f t="shared" si="71"/>
        <v>0</v>
      </c>
      <c r="NN24" s="27">
        <f t="shared" si="71"/>
        <v>36059.142027032751</v>
      </c>
      <c r="NO24" s="27">
        <f t="shared" si="71"/>
        <v>0</v>
      </c>
      <c r="NP24" s="24">
        <f t="shared" si="114"/>
        <v>8756.5482322711578</v>
      </c>
      <c r="NQ24" s="24">
        <f t="shared" si="115"/>
        <v>14547.305013230798</v>
      </c>
      <c r="NR24" s="27">
        <f t="shared" si="0"/>
        <v>59362.99527253471</v>
      </c>
      <c r="NS24" s="27">
        <f t="shared" si="72"/>
        <v>0</v>
      </c>
      <c r="NT24" s="27">
        <f t="shared" si="72"/>
        <v>0</v>
      </c>
      <c r="NU24" s="27">
        <f t="shared" si="72"/>
        <v>0</v>
      </c>
      <c r="NV24" s="27">
        <f t="shared" si="72"/>
        <v>0</v>
      </c>
      <c r="NW24" s="27">
        <f t="shared" si="72"/>
        <v>0</v>
      </c>
      <c r="NX24" s="5">
        <f t="shared" si="72"/>
        <v>0</v>
      </c>
      <c r="NY24" s="27">
        <f t="shared" si="72"/>
        <v>9581.8946092523802</v>
      </c>
      <c r="NZ24" s="27">
        <f t="shared" si="72"/>
        <v>0</v>
      </c>
      <c r="OA24" s="27">
        <f t="shared" si="72"/>
        <v>2082.5657022622481</v>
      </c>
      <c r="OB24" s="280"/>
      <c r="OC24" s="24">
        <f t="shared" si="73"/>
        <v>1565.61197844705</v>
      </c>
      <c r="OD24" s="27">
        <f t="shared" si="73"/>
        <v>0</v>
      </c>
      <c r="OE24" s="28">
        <f t="shared" si="1"/>
        <v>13230.072289961678</v>
      </c>
      <c r="OF24" s="27">
        <f t="shared" si="74"/>
        <v>0</v>
      </c>
      <c r="OG24" s="27">
        <f t="shared" si="74"/>
        <v>0</v>
      </c>
      <c r="OH24" s="27">
        <f t="shared" si="74"/>
        <v>0</v>
      </c>
      <c r="OI24" s="27">
        <f t="shared" si="74"/>
        <v>0</v>
      </c>
      <c r="OJ24" s="27">
        <f t="shared" si="74"/>
        <v>0</v>
      </c>
      <c r="OK24" s="27">
        <f t="shared" si="74"/>
        <v>0</v>
      </c>
      <c r="OL24" s="24">
        <f t="shared" si="74"/>
        <v>0</v>
      </c>
      <c r="OM24" s="27">
        <f t="shared" si="74"/>
        <v>0</v>
      </c>
      <c r="ON24" s="24">
        <f t="shared" si="74"/>
        <v>13794.310253800208</v>
      </c>
      <c r="OO24" s="27">
        <f t="shared" si="74"/>
        <v>0</v>
      </c>
      <c r="OP24" s="27">
        <f t="shared" si="74"/>
        <v>4747.3191678050998</v>
      </c>
      <c r="OQ24" s="27">
        <f t="shared" si="74"/>
        <v>0</v>
      </c>
      <c r="OR24" s="28">
        <f t="shared" si="2"/>
        <v>18541.629421605307</v>
      </c>
      <c r="OS24" s="36"/>
      <c r="OT24" s="27"/>
      <c r="OU24" s="27"/>
      <c r="OV24" s="27"/>
      <c r="OW24" s="27"/>
      <c r="OX24" s="27"/>
      <c r="OY24" s="28">
        <f t="shared" si="75"/>
        <v>0</v>
      </c>
      <c r="OZ24" s="36">
        <f t="shared" si="76"/>
        <v>0</v>
      </c>
      <c r="PA24" s="27">
        <f t="shared" si="77"/>
        <v>0</v>
      </c>
      <c r="PB24" s="27">
        <f t="shared" si="78"/>
        <v>0</v>
      </c>
      <c r="PC24" s="27">
        <f t="shared" si="79"/>
        <v>0</v>
      </c>
      <c r="PD24" s="27">
        <f t="shared" si="80"/>
        <v>0</v>
      </c>
      <c r="PE24" s="27">
        <f t="shared" si="81"/>
        <v>0</v>
      </c>
      <c r="PF24" s="33">
        <f t="shared" si="3"/>
        <v>0</v>
      </c>
      <c r="PG24" s="2621"/>
      <c r="PI24" s="2">
        <v>564.62</v>
      </c>
      <c r="PJ24" s="3">
        <v>617.50000000000011</v>
      </c>
      <c r="PK24" s="3">
        <v>285.00000000000006</v>
      </c>
      <c r="PL24" s="3">
        <f t="shared" si="116"/>
        <v>1149.02</v>
      </c>
      <c r="PM24" s="3">
        <f t="shared" si="82"/>
        <v>56.34973779645486</v>
      </c>
      <c r="PN24" s="11">
        <f t="shared" si="117"/>
        <v>24578.543116668145</v>
      </c>
      <c r="PO24" s="15"/>
      <c r="PP24" s="2615"/>
      <c r="PR24" s="4"/>
      <c r="PS24" s="9"/>
      <c r="PT24" s="9"/>
      <c r="PU24" s="9"/>
      <c r="PV24" s="1112"/>
      <c r="PW24" s="9"/>
      <c r="PX24" s="8">
        <f t="shared" si="83"/>
        <v>0</v>
      </c>
      <c r="PY24" s="5">
        <f t="shared" si="84"/>
        <v>564.62</v>
      </c>
      <c r="PZ24" s="5"/>
      <c r="QA24" s="5"/>
      <c r="QB24" s="5"/>
      <c r="QC24" s="5"/>
      <c r="QD24" s="5"/>
      <c r="QE24" s="12">
        <f t="shared" si="85"/>
        <v>29749.381073161156</v>
      </c>
      <c r="QF24" s="420">
        <f t="shared" si="86"/>
        <v>404667.5455780531</v>
      </c>
      <c r="QG24" s="1106">
        <f t="shared" si="87"/>
        <v>1622.38</v>
      </c>
      <c r="QH24" s="484">
        <f t="shared" si="88"/>
        <v>5505.3678056100007</v>
      </c>
      <c r="QI24" s="12"/>
      <c r="QJ24" s="2615"/>
      <c r="QL24" s="139">
        <f t="shared" si="89"/>
        <v>0</v>
      </c>
      <c r="QM24" s="139" t="str">
        <f t="shared" si="90"/>
        <v/>
      </c>
      <c r="QO24" s="139">
        <f t="shared" si="91"/>
        <v>0</v>
      </c>
      <c r="QP24" s="139">
        <f t="shared" si="92"/>
        <v>0</v>
      </c>
      <c r="QR24" s="1">
        <f t="shared" si="93"/>
        <v>0</v>
      </c>
      <c r="QS24" s="1">
        <f t="shared" si="94"/>
        <v>0</v>
      </c>
      <c r="QT24" s="1">
        <f t="shared" si="95"/>
        <v>0</v>
      </c>
      <c r="QU24" s="1">
        <f t="shared" si="96"/>
        <v>0</v>
      </c>
      <c r="QV24" s="1">
        <f t="shared" si="97"/>
        <v>0</v>
      </c>
      <c r="QW24" s="1">
        <f t="shared" si="98"/>
        <v>0</v>
      </c>
      <c r="QY24" s="1">
        <f t="shared" si="99"/>
        <v>0</v>
      </c>
      <c r="QZ24" s="1">
        <f t="shared" si="100"/>
        <v>0</v>
      </c>
      <c r="RA24" s="1">
        <f t="shared" si="101"/>
        <v>0</v>
      </c>
      <c r="RB24" s="1">
        <f t="shared" si="102"/>
        <v>0</v>
      </c>
      <c r="RC24" s="1">
        <f t="shared" si="103"/>
        <v>0</v>
      </c>
      <c r="RD24" s="1">
        <f t="shared" si="104"/>
        <v>0</v>
      </c>
      <c r="RG24" s="1">
        <v>15</v>
      </c>
      <c r="RH24" s="1">
        <f t="shared" si="119"/>
        <v>42333.325209717092</v>
      </c>
      <c r="RI24" s="1">
        <f t="shared" si="119"/>
        <v>2586.671780483719</v>
      </c>
      <c r="RJ24" s="1">
        <f t="shared" si="119"/>
        <v>13404.263703387322</v>
      </c>
      <c r="RK24" s="89">
        <f t="shared" si="5"/>
        <v>58324.260693588134</v>
      </c>
      <c r="RL24" s="1033">
        <v>15</v>
      </c>
      <c r="RM24" s="1098">
        <f t="shared" si="118"/>
        <v>0</v>
      </c>
      <c r="RN24" s="1098">
        <f t="shared" si="106"/>
        <v>0</v>
      </c>
      <c r="RO24" s="1097">
        <f t="shared" si="106"/>
        <v>0</v>
      </c>
      <c r="RP24" s="1097">
        <f t="shared" si="107"/>
        <v>6116.56</v>
      </c>
      <c r="RQ24" s="1050"/>
      <c r="RR24" s="1050" t="s">
        <v>774</v>
      </c>
      <c r="RS24" s="1048"/>
      <c r="RU24" s="421">
        <v>15</v>
      </c>
      <c r="RV24" s="1095">
        <f t="shared" si="108"/>
        <v>12448.730000000001</v>
      </c>
      <c r="RW24" s="1046" t="s">
        <v>775</v>
      </c>
      <c r="RY24" s="1090"/>
      <c r="RZ24" s="1090">
        <f t="shared" si="109"/>
        <v>0</v>
      </c>
      <c r="SA24" s="1090"/>
      <c r="SB24" s="1090">
        <f t="shared" si="110"/>
        <v>0</v>
      </c>
      <c r="SD24" s="1">
        <v>15</v>
      </c>
      <c r="SE24" s="1">
        <f t="shared" si="111"/>
        <v>1149.02</v>
      </c>
      <c r="SF24" s="1094" t="s">
        <v>776</v>
      </c>
    </row>
    <row r="25" spans="1:500" s="1" customFormat="1">
      <c r="B25" s="471">
        <v>16</v>
      </c>
      <c r="C25" s="4">
        <f t="shared" si="6"/>
        <v>173217</v>
      </c>
      <c r="D25" s="64">
        <f t="shared" si="112"/>
        <v>9311.44</v>
      </c>
      <c r="E25" s="61">
        <f t="shared" si="7"/>
        <v>18.602600671861708</v>
      </c>
      <c r="F25" s="870"/>
      <c r="G25" s="870"/>
      <c r="H25" s="52">
        <v>12</v>
      </c>
      <c r="I25" s="61">
        <v>3.5</v>
      </c>
      <c r="J25" s="52"/>
      <c r="K25" s="54"/>
      <c r="L25" s="52"/>
      <c r="M25" s="61"/>
      <c r="N25" s="2629"/>
      <c r="O25" s="4">
        <f t="shared" si="8"/>
        <v>118814</v>
      </c>
      <c r="P25" s="1225">
        <f t="shared" si="9"/>
        <v>5183.22</v>
      </c>
      <c r="Q25" s="64">
        <f t="shared" si="10"/>
        <v>22.9228163188134</v>
      </c>
      <c r="R25" s="33"/>
      <c r="S25" s="26">
        <f t="shared" si="11"/>
        <v>31345</v>
      </c>
      <c r="T25" s="27">
        <f t="shared" si="12"/>
        <v>1108.2199999999998</v>
      </c>
      <c r="U25" s="53">
        <f t="shared" si="13"/>
        <v>28.284095215751389</v>
      </c>
      <c r="V25" s="28"/>
      <c r="W25" s="26">
        <f t="shared" si="14"/>
        <v>23058</v>
      </c>
      <c r="X25" s="5">
        <f t="shared" si="14"/>
        <v>3020</v>
      </c>
      <c r="Y25" s="53">
        <f t="shared" si="15"/>
        <v>7.6350993377483443</v>
      </c>
      <c r="Z25" s="33"/>
      <c r="AA25" s="26">
        <f t="shared" si="16"/>
        <v>0</v>
      </c>
      <c r="AB25" s="27">
        <f t="shared" si="17"/>
        <v>0</v>
      </c>
      <c r="AC25" s="53">
        <f t="shared" si="18"/>
        <v>0</v>
      </c>
      <c r="AD25" s="28"/>
      <c r="AE25" s="36"/>
      <c r="AF25" s="36"/>
      <c r="AG25" s="53">
        <f t="shared" si="19"/>
        <v>0</v>
      </c>
      <c r="AH25" s="28"/>
      <c r="AI25" s="26"/>
      <c r="AJ25" s="27"/>
      <c r="AK25" s="53">
        <f t="shared" si="20"/>
        <v>0</v>
      </c>
      <c r="AL25" s="28"/>
      <c r="AM25" s="2629"/>
      <c r="AN25" s="9"/>
      <c r="AO25" s="5"/>
      <c r="AP25" s="61">
        <f t="shared" si="21"/>
        <v>0</v>
      </c>
      <c r="AQ25" s="36"/>
      <c r="AR25" s="53"/>
      <c r="AS25" s="61">
        <f t="shared" si="22"/>
        <v>0</v>
      </c>
      <c r="AT25" s="36">
        <v>0</v>
      </c>
      <c r="AU25" s="27"/>
      <c r="AV25" s="61">
        <f t="shared" si="23"/>
        <v>0</v>
      </c>
      <c r="AW25" s="36">
        <v>74588</v>
      </c>
      <c r="AX25" s="27">
        <v>3309.9</v>
      </c>
      <c r="AY25" s="61">
        <f t="shared" si="24"/>
        <v>22.534819783075015</v>
      </c>
      <c r="AZ25" s="36"/>
      <c r="BA25" s="27"/>
      <c r="BB25" s="61">
        <f t="shared" si="25"/>
        <v>0</v>
      </c>
      <c r="BC25" s="36">
        <v>44226</v>
      </c>
      <c r="BD25" s="27">
        <v>1873.32</v>
      </c>
      <c r="BE25" s="61">
        <f t="shared" si="26"/>
        <v>23.608353084363589</v>
      </c>
      <c r="BF25" s="36"/>
      <c r="BG25" s="53"/>
      <c r="BH25" s="61">
        <f t="shared" si="27"/>
        <v>0</v>
      </c>
      <c r="BI25" s="36">
        <v>0</v>
      </c>
      <c r="BJ25" s="53">
        <v>0</v>
      </c>
      <c r="BK25" s="61">
        <f t="shared" si="28"/>
        <v>0</v>
      </c>
      <c r="BL25" s="52">
        <v>31345</v>
      </c>
      <c r="BM25" s="53">
        <v>1108.2199999999998</v>
      </c>
      <c r="BN25" s="482">
        <f t="shared" si="29"/>
        <v>28.284095215751389</v>
      </c>
      <c r="BO25" s="9"/>
      <c r="BP25" s="64"/>
      <c r="BQ25" s="482">
        <f t="shared" si="30"/>
        <v>0</v>
      </c>
      <c r="BR25" s="9"/>
      <c r="BS25" s="64"/>
      <c r="BT25" s="482">
        <f t="shared" si="31"/>
        <v>0</v>
      </c>
      <c r="BU25" s="9">
        <v>23058</v>
      </c>
      <c r="BV25" s="27">
        <v>3020</v>
      </c>
      <c r="BW25" s="15">
        <f t="shared" si="32"/>
        <v>7.6350993377483443</v>
      </c>
      <c r="BX25" s="26"/>
      <c r="BY25" s="5"/>
      <c r="BZ25" s="482">
        <f t="shared" si="33"/>
        <v>0</v>
      </c>
      <c r="CA25" s="9"/>
      <c r="CB25" s="481"/>
      <c r="CC25" s="482">
        <f t="shared" si="34"/>
        <v>0</v>
      </c>
      <c r="CD25" s="4"/>
      <c r="CE25" s="5"/>
      <c r="CF25" s="28">
        <f t="shared" si="35"/>
        <v>0</v>
      </c>
      <c r="CG25" s="150"/>
      <c r="CH25" s="1108">
        <v>0</v>
      </c>
      <c r="CI25" s="5"/>
      <c r="CJ25" s="5"/>
      <c r="CK25" s="5">
        <v>15275</v>
      </c>
      <c r="CL25" s="5"/>
      <c r="CM25" s="5">
        <f t="shared" si="113"/>
        <v>15275</v>
      </c>
      <c r="CN25" s="33"/>
      <c r="CO25" s="366"/>
      <c r="CQ25" s="4">
        <f t="shared" si="36"/>
        <v>0</v>
      </c>
      <c r="CR25" s="9">
        <f t="shared" si="36"/>
        <v>0</v>
      </c>
      <c r="CS25" s="5">
        <f t="shared" si="36"/>
        <v>0</v>
      </c>
      <c r="CT25" s="5">
        <f t="shared" si="36"/>
        <v>0</v>
      </c>
      <c r="CU25" s="5">
        <f t="shared" si="36"/>
        <v>0</v>
      </c>
      <c r="CV25" s="5">
        <f t="shared" si="36"/>
        <v>0</v>
      </c>
      <c r="CW25" s="5">
        <f t="shared" si="36"/>
        <v>3309.8999999999996</v>
      </c>
      <c r="CX25" s="5">
        <f t="shared" si="36"/>
        <v>0</v>
      </c>
      <c r="CY25" s="5">
        <f t="shared" si="36"/>
        <v>6001.54</v>
      </c>
      <c r="CZ25" s="5">
        <f t="shared" si="36"/>
        <v>0</v>
      </c>
      <c r="DA25" s="5">
        <f t="shared" si="36"/>
        <v>0</v>
      </c>
      <c r="DB25" s="12">
        <f t="shared" si="36"/>
        <v>0</v>
      </c>
      <c r="DC25" s="310">
        <f t="shared" si="37"/>
        <v>9311.4399999999987</v>
      </c>
      <c r="DD25" s="2695"/>
      <c r="DE25" s="9"/>
      <c r="DF25" s="9"/>
      <c r="DG25" s="5"/>
      <c r="DH25" s="5"/>
      <c r="DI25" s="5"/>
      <c r="DJ25" s="5"/>
      <c r="DK25" s="5">
        <v>3309.8999999999996</v>
      </c>
      <c r="DL25" s="5"/>
      <c r="DM25" s="5"/>
      <c r="DN25" s="5"/>
      <c r="DO25" s="5"/>
      <c r="DP25" s="12"/>
      <c r="DQ25" s="28">
        <f t="shared" si="38"/>
        <v>3309.8999999999996</v>
      </c>
      <c r="DR25" s="36"/>
      <c r="DS25" s="9"/>
      <c r="DT25" s="5"/>
      <c r="DU25" s="5"/>
      <c r="DV25" s="5"/>
      <c r="DW25" s="5"/>
      <c r="DX25" s="5"/>
      <c r="DY25" s="5"/>
      <c r="DZ25" s="5">
        <v>2981.54</v>
      </c>
      <c r="EA25" s="27"/>
      <c r="EB25" s="27"/>
      <c r="EC25" s="33"/>
      <c r="ED25" s="28">
        <f t="shared" si="39"/>
        <v>2981.54</v>
      </c>
      <c r="EE25" s="9"/>
      <c r="EF25" s="36"/>
      <c r="EG25" s="5"/>
      <c r="EH25" s="27"/>
      <c r="EI25" s="27"/>
      <c r="EJ25" s="27"/>
      <c r="EK25" s="27"/>
      <c r="EL25" s="27"/>
      <c r="EM25" s="27">
        <v>3020</v>
      </c>
      <c r="EN25" s="27"/>
      <c r="EO25" s="27"/>
      <c r="EP25" s="33"/>
      <c r="EQ25" s="28">
        <f t="shared" si="40"/>
        <v>3020</v>
      </c>
      <c r="ER25" s="36"/>
      <c r="ES25" s="27"/>
      <c r="ET25" s="27"/>
      <c r="EU25" s="27"/>
      <c r="EV25" s="27"/>
      <c r="EW25" s="27"/>
      <c r="EX25" s="33">
        <f t="shared" si="41"/>
        <v>0</v>
      </c>
      <c r="EY25" s="2685"/>
      <c r="FA25" s="4">
        <f t="shared" si="42"/>
        <v>0</v>
      </c>
      <c r="FB25" s="5">
        <f t="shared" si="43"/>
        <v>0</v>
      </c>
      <c r="FC25" s="5">
        <f t="shared" si="44"/>
        <v>0</v>
      </c>
      <c r="FD25" s="12">
        <f t="shared" si="45"/>
        <v>0</v>
      </c>
      <c r="FE25" s="33"/>
      <c r="FF25" s="2674"/>
      <c r="FG25" s="9"/>
      <c r="FH25" s="5"/>
      <c r="FI25" s="5"/>
      <c r="FJ25" s="5"/>
      <c r="FK25" s="5"/>
      <c r="FL25" s="27"/>
      <c r="FM25" s="28">
        <f t="shared" si="46"/>
        <v>0</v>
      </c>
      <c r="FN25" s="36"/>
      <c r="FO25" s="27"/>
      <c r="FP25" s="27"/>
      <c r="FQ25" s="27"/>
      <c r="FR25" s="27"/>
      <c r="FS25" s="27"/>
      <c r="FT25" s="28">
        <f t="shared" si="47"/>
        <v>0</v>
      </c>
      <c r="FU25" s="36"/>
      <c r="FV25" s="36"/>
      <c r="FW25" s="27"/>
      <c r="FX25" s="27"/>
      <c r="FY25" s="27"/>
      <c r="FZ25" s="27"/>
      <c r="GA25" s="27"/>
      <c r="GB25" s="27"/>
      <c r="GC25" s="27"/>
      <c r="GD25" s="27"/>
      <c r="GE25" s="27"/>
      <c r="GF25" s="33"/>
      <c r="GG25" s="33">
        <f t="shared" si="48"/>
        <v>0</v>
      </c>
      <c r="GH25" s="2674"/>
      <c r="GJ25" s="4">
        <f t="shared" si="49"/>
        <v>4298.95</v>
      </c>
      <c r="GK25" s="64">
        <f t="shared" si="50"/>
        <v>0</v>
      </c>
      <c r="GL25" s="53">
        <f t="shared" si="51"/>
        <v>9610.4</v>
      </c>
      <c r="GM25" s="53">
        <f t="shared" si="52"/>
        <v>13909.349999999999</v>
      </c>
      <c r="GN25" s="141"/>
      <c r="GO25" s="141"/>
      <c r="GP25" s="33"/>
      <c r="GQ25" s="2667"/>
      <c r="GR25" s="152">
        <v>5986.85</v>
      </c>
      <c r="GS25" s="27">
        <v>785.85000000000014</v>
      </c>
      <c r="GT25" s="27">
        <v>3464.63</v>
      </c>
      <c r="GU25" s="27">
        <v>3672.0199999999995</v>
      </c>
      <c r="GV25" s="33">
        <f t="shared" si="53"/>
        <v>13909.350000000002</v>
      </c>
      <c r="GW25" s="2667"/>
      <c r="GX25" s="26"/>
      <c r="GY25" s="27"/>
      <c r="GZ25" s="64"/>
      <c r="HA25" s="27"/>
      <c r="HB25" s="27"/>
      <c r="HC25" s="27"/>
      <c r="HD25" s="27"/>
      <c r="HE25" s="27"/>
      <c r="HF25" s="27">
        <v>3513.0999999999995</v>
      </c>
      <c r="HG25" s="27"/>
      <c r="HH25" s="27"/>
      <c r="HI25" s="27"/>
      <c r="HJ25" s="27">
        <v>785.85000000000014</v>
      </c>
      <c r="HK25" s="27"/>
      <c r="HL25" s="28">
        <f t="shared" si="54"/>
        <v>4298.95</v>
      </c>
      <c r="HM25" s="36"/>
      <c r="HN25" s="27"/>
      <c r="HO25" s="27"/>
      <c r="HP25" s="27"/>
      <c r="HQ25" s="27"/>
      <c r="HR25" s="27"/>
      <c r="HS25" s="27"/>
      <c r="HT25" s="27"/>
      <c r="HU25" s="27"/>
      <c r="HV25" s="27"/>
      <c r="HW25" s="27"/>
      <c r="HX25" s="27"/>
      <c r="HY25" s="27"/>
      <c r="HZ25" s="27"/>
      <c r="IA25" s="33">
        <f t="shared" si="55"/>
        <v>0</v>
      </c>
      <c r="IB25" s="52"/>
      <c r="IC25" s="152"/>
      <c r="ID25" s="53"/>
      <c r="IE25" s="53"/>
      <c r="IF25" s="53"/>
      <c r="IG25" s="53"/>
      <c r="IH25" s="53"/>
      <c r="II25" s="53"/>
      <c r="IJ25" s="53"/>
      <c r="IK25" s="53"/>
      <c r="IL25" s="53"/>
      <c r="IM25" s="53"/>
      <c r="IN25" s="53"/>
      <c r="IO25" s="53"/>
      <c r="IP25" s="61">
        <f t="shared" si="56"/>
        <v>0</v>
      </c>
      <c r="IQ25" s="36"/>
      <c r="IR25" s="36"/>
      <c r="IS25" s="27"/>
      <c r="IT25" s="27"/>
      <c r="IU25" s="53"/>
      <c r="IV25" s="27"/>
      <c r="IW25" s="27"/>
      <c r="IX25" s="27"/>
      <c r="IY25" s="27">
        <v>9610.4</v>
      </c>
      <c r="IZ25" s="27"/>
      <c r="JA25" s="27"/>
      <c r="JB25" s="27"/>
      <c r="JC25" s="27"/>
      <c r="JD25" s="27"/>
      <c r="JE25" s="33">
        <f t="shared" si="57"/>
        <v>9610.4</v>
      </c>
      <c r="JF25" s="2667"/>
      <c r="JH25" s="52">
        <v>13909.350000000002</v>
      </c>
      <c r="JI25" s="152"/>
      <c r="JJ25" s="53"/>
      <c r="JK25" s="53">
        <f t="shared" si="58"/>
        <v>13909.350000000002</v>
      </c>
      <c r="JL25" s="33"/>
      <c r="JM25" s="2669"/>
      <c r="JN25" s="69"/>
      <c r="JO25" s="70"/>
      <c r="JP25" s="70"/>
      <c r="JQ25" s="70"/>
      <c r="JR25" s="70">
        <v>1</v>
      </c>
      <c r="JS25" s="70"/>
      <c r="JT25" s="70"/>
      <c r="JU25" s="71"/>
      <c r="JV25" s="69"/>
      <c r="JW25" s="70"/>
      <c r="JX25" s="70"/>
      <c r="JY25" s="70"/>
      <c r="JZ25" s="70"/>
      <c r="KA25" s="70"/>
      <c r="KB25" s="70"/>
      <c r="KC25" s="71"/>
      <c r="KD25" s="69"/>
      <c r="KE25" s="70"/>
      <c r="KF25" s="70"/>
      <c r="KG25" s="70"/>
      <c r="KH25" s="70"/>
      <c r="KI25" s="70"/>
      <c r="KJ25" s="70"/>
      <c r="KK25" s="70"/>
      <c r="KL25" s="33"/>
      <c r="KM25" s="2669"/>
      <c r="KN25" s="36">
        <v>7003.9467100148422</v>
      </c>
      <c r="KO25" s="53">
        <v>0.420585907131246</v>
      </c>
      <c r="KP25" s="53">
        <v>5.5006770796522719</v>
      </c>
      <c r="KQ25" s="53">
        <v>5.8578959643791091</v>
      </c>
      <c r="KR25" s="54">
        <v>10.632614848257829</v>
      </c>
      <c r="KS25" s="4">
        <v>0</v>
      </c>
      <c r="KT25" s="64">
        <v>0</v>
      </c>
      <c r="KU25" s="64">
        <v>0</v>
      </c>
      <c r="KV25" s="64">
        <v>0</v>
      </c>
      <c r="KW25" s="482">
        <v>0</v>
      </c>
      <c r="KX25" s="36"/>
      <c r="KY25" s="53"/>
      <c r="KZ25" s="53"/>
      <c r="LA25" s="53"/>
      <c r="LB25" s="53"/>
      <c r="LC25" s="33"/>
      <c r="LD25" s="2669"/>
      <c r="LF25" s="4">
        <f t="shared" si="59"/>
        <v>14481.98</v>
      </c>
      <c r="LG25" s="27">
        <f t="shared" si="59"/>
        <v>0</v>
      </c>
      <c r="LH25" s="27">
        <f t="shared" si="59"/>
        <v>0</v>
      </c>
      <c r="LI25" s="28">
        <f t="shared" si="60"/>
        <v>14481.98</v>
      </c>
      <c r="LJ25" s="36">
        <v>2</v>
      </c>
      <c r="LK25" s="27">
        <v>1</v>
      </c>
      <c r="LL25" s="27">
        <v>4</v>
      </c>
      <c r="LM25" s="33"/>
      <c r="LN25" s="1041">
        <v>6.77</v>
      </c>
      <c r="LO25" s="486"/>
      <c r="LP25" s="2688"/>
      <c r="LQ25" s="36">
        <v>14481.98</v>
      </c>
      <c r="LR25" s="36"/>
      <c r="LS25" s="27"/>
      <c r="LT25" s="27"/>
      <c r="LU25" s="27"/>
      <c r="LV25" s="1107">
        <f t="shared" si="61"/>
        <v>14481.98</v>
      </c>
      <c r="LW25" s="36"/>
      <c r="LX25" s="36"/>
      <c r="LY25" s="27"/>
      <c r="LZ25" s="27"/>
      <c r="MA25" s="33"/>
      <c r="MB25" s="28">
        <f t="shared" si="62"/>
        <v>0</v>
      </c>
      <c r="MC25" s="26"/>
      <c r="MD25" s="36"/>
      <c r="ME25" s="27"/>
      <c r="MF25" s="27"/>
      <c r="MG25" s="27"/>
      <c r="MH25" s="28"/>
      <c r="MI25" s="36"/>
      <c r="MJ25" s="36"/>
      <c r="MK25" s="27"/>
      <c r="ML25" s="27"/>
      <c r="MM25" s="27"/>
      <c r="MN25" s="28"/>
      <c r="MO25" s="36"/>
      <c r="MP25" s="36"/>
      <c r="MQ25" s="27"/>
      <c r="MR25" s="27"/>
      <c r="MS25" s="27"/>
      <c r="MT25" s="33">
        <f t="shared" si="63"/>
        <v>0</v>
      </c>
      <c r="MU25" s="2688"/>
      <c r="MW25" s="26">
        <f t="shared" si="64"/>
        <v>85752.651216285507</v>
      </c>
      <c r="MX25" s="27">
        <f t="shared" si="65"/>
        <v>87322.636984101686</v>
      </c>
      <c r="MY25" s="27">
        <f t="shared" si="66"/>
        <v>23937.693116668146</v>
      </c>
      <c r="MZ25" s="28">
        <f t="shared" si="67"/>
        <v>436039.30665121425</v>
      </c>
      <c r="NA25" s="2621"/>
      <c r="NB25" s="23">
        <f t="shared" si="68"/>
        <v>68088.5260769335</v>
      </c>
      <c r="NC25" s="64">
        <f t="shared" si="69"/>
        <v>17664.125139352007</v>
      </c>
      <c r="ND25" s="60">
        <f t="shared" si="70"/>
        <v>0</v>
      </c>
      <c r="NE25" s="275">
        <f t="shared" si="4"/>
        <v>85752.651216285507</v>
      </c>
      <c r="NF25" s="26">
        <f t="shared" si="71"/>
        <v>0</v>
      </c>
      <c r="NG25" s="27">
        <f t="shared" si="71"/>
        <v>0</v>
      </c>
      <c r="NH25" s="27">
        <f t="shared" si="71"/>
        <v>0</v>
      </c>
      <c r="NI25" s="27">
        <f t="shared" si="71"/>
        <v>0</v>
      </c>
      <c r="NJ25" s="27">
        <f t="shared" si="71"/>
        <v>0</v>
      </c>
      <c r="NK25" s="33">
        <f t="shared" si="71"/>
        <v>0</v>
      </c>
      <c r="NL25" s="27">
        <f t="shared" si="71"/>
        <v>0</v>
      </c>
      <c r="NM25" s="36">
        <f t="shared" si="71"/>
        <v>0</v>
      </c>
      <c r="NN25" s="27">
        <f t="shared" si="71"/>
        <v>35566.042027032752</v>
      </c>
      <c r="NO25" s="27">
        <f t="shared" si="71"/>
        <v>0</v>
      </c>
      <c r="NP25" s="24">
        <f t="shared" si="114"/>
        <v>8756.5482322711578</v>
      </c>
      <c r="NQ25" s="24">
        <f t="shared" si="115"/>
        <v>14547.305013230798</v>
      </c>
      <c r="NR25" s="27">
        <f t="shared" si="0"/>
        <v>58869.895272534704</v>
      </c>
      <c r="NS25" s="27">
        <f t="shared" si="72"/>
        <v>0</v>
      </c>
      <c r="NT25" s="27">
        <f t="shared" si="72"/>
        <v>0</v>
      </c>
      <c r="NU25" s="27">
        <f t="shared" si="72"/>
        <v>0</v>
      </c>
      <c r="NV25" s="27">
        <f t="shared" si="72"/>
        <v>0</v>
      </c>
      <c r="NW25" s="27">
        <f t="shared" si="72"/>
        <v>0</v>
      </c>
      <c r="NX25" s="5">
        <f t="shared" si="72"/>
        <v>0</v>
      </c>
      <c r="NY25" s="27">
        <f t="shared" si="72"/>
        <v>12891.79460925238</v>
      </c>
      <c r="NZ25" s="27">
        <f t="shared" si="72"/>
        <v>0</v>
      </c>
      <c r="OA25" s="27">
        <f>+OA24+DM25-IJ25</f>
        <v>2082.5657022622481</v>
      </c>
      <c r="OB25" s="280"/>
      <c r="OC25" s="24">
        <f t="shared" si="73"/>
        <v>1565.61197844705</v>
      </c>
      <c r="OD25" s="27">
        <f t="shared" si="73"/>
        <v>0</v>
      </c>
      <c r="OE25" s="28">
        <f t="shared" si="1"/>
        <v>16539.972289961679</v>
      </c>
      <c r="OF25" s="27">
        <f t="shared" si="74"/>
        <v>0</v>
      </c>
      <c r="OG25" s="27">
        <f t="shared" si="74"/>
        <v>0</v>
      </c>
      <c r="OH25" s="27">
        <f t="shared" si="74"/>
        <v>0</v>
      </c>
      <c r="OI25" s="27">
        <f t="shared" si="74"/>
        <v>0</v>
      </c>
      <c r="OJ25" s="27">
        <f t="shared" si="74"/>
        <v>0</v>
      </c>
      <c r="OK25" s="27">
        <f t="shared" si="74"/>
        <v>0</v>
      </c>
      <c r="OL25" s="24">
        <f t="shared" si="74"/>
        <v>0</v>
      </c>
      <c r="OM25" s="27">
        <f t="shared" si="74"/>
        <v>0</v>
      </c>
      <c r="ON25" s="24">
        <f t="shared" si="74"/>
        <v>7165.4502538002071</v>
      </c>
      <c r="OO25" s="27">
        <f t="shared" si="74"/>
        <v>0</v>
      </c>
      <c r="OP25" s="27">
        <f t="shared" si="74"/>
        <v>4747.3191678050998</v>
      </c>
      <c r="OQ25" s="27">
        <f t="shared" si="74"/>
        <v>0</v>
      </c>
      <c r="OR25" s="28">
        <f t="shared" si="2"/>
        <v>11912.769421605306</v>
      </c>
      <c r="OS25" s="36"/>
      <c r="OT25" s="27"/>
      <c r="OU25" s="27"/>
      <c r="OV25" s="27"/>
      <c r="OW25" s="27"/>
      <c r="OX25" s="27"/>
      <c r="OY25" s="28">
        <f t="shared" si="75"/>
        <v>0</v>
      </c>
      <c r="OZ25" s="36">
        <f t="shared" si="76"/>
        <v>0</v>
      </c>
      <c r="PA25" s="27">
        <f t="shared" si="77"/>
        <v>0</v>
      </c>
      <c r="PB25" s="27">
        <f t="shared" si="78"/>
        <v>0</v>
      </c>
      <c r="PC25" s="27">
        <f t="shared" si="79"/>
        <v>0</v>
      </c>
      <c r="PD25" s="27">
        <f t="shared" si="80"/>
        <v>0</v>
      </c>
      <c r="PE25" s="27">
        <f t="shared" si="81"/>
        <v>0</v>
      </c>
      <c r="PF25" s="33">
        <f t="shared" si="3"/>
        <v>0</v>
      </c>
      <c r="PG25" s="2621"/>
      <c r="PI25" s="2"/>
      <c r="PJ25" s="3">
        <v>362.5</v>
      </c>
      <c r="PK25" s="3">
        <v>145</v>
      </c>
      <c r="PL25" s="3">
        <f t="shared" si="116"/>
        <v>785.85000000000014</v>
      </c>
      <c r="PM25" s="3">
        <v>0</v>
      </c>
      <c r="PN25" s="11">
        <f t="shared" si="117"/>
        <v>23937.693116668146</v>
      </c>
      <c r="PO25" s="15"/>
      <c r="PP25" s="2615"/>
      <c r="PR25" s="4"/>
      <c r="PS25" s="9"/>
      <c r="PT25" s="9"/>
      <c r="PU25" s="486"/>
      <c r="PV25" s="64"/>
      <c r="PW25" s="9"/>
      <c r="PX25" s="8">
        <f t="shared" si="83"/>
        <v>0</v>
      </c>
      <c r="PY25" s="5">
        <f t="shared" si="84"/>
        <v>0</v>
      </c>
      <c r="PZ25" s="5"/>
      <c r="QA25" s="5"/>
      <c r="QB25" s="5"/>
      <c r="QC25" s="5"/>
      <c r="QD25" s="5"/>
      <c r="QE25" s="12">
        <f t="shared" si="85"/>
        <v>29749.381073161156</v>
      </c>
      <c r="QF25" s="420">
        <f t="shared" si="86"/>
        <v>404667.5455780531</v>
      </c>
      <c r="QG25" s="1106">
        <f t="shared" si="87"/>
        <v>1622.38</v>
      </c>
      <c r="QH25" s="484">
        <f t="shared" si="88"/>
        <v>5505.3678056100007</v>
      </c>
      <c r="QI25" s="12"/>
      <c r="QJ25" s="2615"/>
      <c r="QL25" s="139">
        <f t="shared" si="89"/>
        <v>0</v>
      </c>
      <c r="QM25" s="139" t="str">
        <f t="shared" si="90"/>
        <v/>
      </c>
      <c r="QO25" s="139">
        <f t="shared" si="91"/>
        <v>0</v>
      </c>
      <c r="QP25" s="139">
        <f t="shared" si="92"/>
        <v>0</v>
      </c>
      <c r="QR25" s="1">
        <f t="shared" si="93"/>
        <v>0</v>
      </c>
      <c r="QS25" s="1">
        <f t="shared" si="94"/>
        <v>0</v>
      </c>
      <c r="QT25" s="1">
        <f t="shared" si="95"/>
        <v>0</v>
      </c>
      <c r="QU25" s="1">
        <f t="shared" si="96"/>
        <v>0</v>
      </c>
      <c r="QV25" s="1">
        <f t="shared" si="97"/>
        <v>0</v>
      </c>
      <c r="QW25" s="1">
        <f t="shared" si="98"/>
        <v>0</v>
      </c>
      <c r="QY25" s="1">
        <f t="shared" si="99"/>
        <v>0</v>
      </c>
      <c r="QZ25" s="1">
        <f t="shared" si="100"/>
        <v>0</v>
      </c>
      <c r="RA25" s="1">
        <f t="shared" si="101"/>
        <v>0</v>
      </c>
      <c r="RB25" s="1">
        <f t="shared" si="102"/>
        <v>0</v>
      </c>
      <c r="RC25" s="1">
        <f t="shared" si="103"/>
        <v>0</v>
      </c>
      <c r="RD25" s="1">
        <f t="shared" si="104"/>
        <v>0</v>
      </c>
      <c r="RG25" s="1">
        <v>16</v>
      </c>
      <c r="RH25" s="1">
        <f t="shared" si="119"/>
        <v>41760.695209717102</v>
      </c>
      <c r="RI25" s="1">
        <f t="shared" si="119"/>
        <v>2586.671780483719</v>
      </c>
      <c r="RJ25" s="1">
        <f t="shared" si="119"/>
        <v>13404.263703387322</v>
      </c>
      <c r="RK25" s="89">
        <f t="shared" si="5"/>
        <v>57751.630693588144</v>
      </c>
      <c r="RL25" s="1033">
        <v>16</v>
      </c>
      <c r="RM25" s="1098">
        <f t="shared" si="118"/>
        <v>0</v>
      </c>
      <c r="RN25" s="1098">
        <f t="shared" si="106"/>
        <v>0</v>
      </c>
      <c r="RO25" s="1097">
        <f t="shared" si="106"/>
        <v>0</v>
      </c>
      <c r="RP25" s="1097">
        <f t="shared" si="107"/>
        <v>6291.44</v>
      </c>
      <c r="RQ25" s="1046"/>
      <c r="RR25" s="1046" t="s">
        <v>777</v>
      </c>
      <c r="RS25" s="1048"/>
      <c r="RU25" s="421">
        <v>16</v>
      </c>
      <c r="RV25" s="1095">
        <f t="shared" si="108"/>
        <v>13909.350000000002</v>
      </c>
      <c r="RW25" s="1050" t="s">
        <v>778</v>
      </c>
      <c r="RX25" s="1048"/>
      <c r="RY25" s="1090"/>
      <c r="RZ25" s="1090">
        <f t="shared" si="109"/>
        <v>0</v>
      </c>
      <c r="SA25" s="1090"/>
      <c r="SB25" s="1090">
        <f t="shared" si="110"/>
        <v>0</v>
      </c>
      <c r="SD25" s="1">
        <v>16</v>
      </c>
      <c r="SE25" s="1">
        <f t="shared" si="111"/>
        <v>785.85000000000014</v>
      </c>
      <c r="SF25" s="1094" t="s">
        <v>779</v>
      </c>
    </row>
    <row r="26" spans="1:500" s="1" customFormat="1" ht="13.95" customHeight="1">
      <c r="B26" s="471">
        <v>17</v>
      </c>
      <c r="C26" s="4">
        <f t="shared" si="6"/>
        <v>132939</v>
      </c>
      <c r="D26" s="64">
        <f t="shared" si="112"/>
        <v>6947.2400000000007</v>
      </c>
      <c r="E26" s="61">
        <f t="shared" si="7"/>
        <v>19.135512807964023</v>
      </c>
      <c r="F26" s="870"/>
      <c r="G26" s="870"/>
      <c r="H26" s="52">
        <v>18</v>
      </c>
      <c r="I26" s="61">
        <v>3.65</v>
      </c>
      <c r="J26" s="52"/>
      <c r="K26" s="54"/>
      <c r="L26" s="52">
        <v>11</v>
      </c>
      <c r="M26" s="61">
        <v>4.42</v>
      </c>
      <c r="N26" s="2629"/>
      <c r="O26" s="4">
        <f t="shared" si="8"/>
        <v>87932</v>
      </c>
      <c r="P26" s="1225">
        <f t="shared" si="9"/>
        <v>3608.5600000000004</v>
      </c>
      <c r="Q26" s="64">
        <f t="shared" si="10"/>
        <v>24.367614782627971</v>
      </c>
      <c r="R26" s="33"/>
      <c r="S26" s="26">
        <f t="shared" si="11"/>
        <v>28711</v>
      </c>
      <c r="T26" s="27">
        <f t="shared" si="12"/>
        <v>1098.68</v>
      </c>
      <c r="U26" s="53">
        <f t="shared" si="13"/>
        <v>26.132267812283828</v>
      </c>
      <c r="V26" s="28"/>
      <c r="W26" s="26">
        <f t="shared" si="14"/>
        <v>16296</v>
      </c>
      <c r="X26" s="5">
        <f t="shared" si="14"/>
        <v>2240</v>
      </c>
      <c r="Y26" s="53">
        <f t="shared" si="15"/>
        <v>7.2750000000000004</v>
      </c>
      <c r="Z26" s="33"/>
      <c r="AA26" s="26">
        <f t="shared" si="16"/>
        <v>0</v>
      </c>
      <c r="AB26" s="27">
        <f t="shared" si="17"/>
        <v>0</v>
      </c>
      <c r="AC26" s="53">
        <f t="shared" si="18"/>
        <v>0</v>
      </c>
      <c r="AD26" s="28"/>
      <c r="AE26" s="36"/>
      <c r="AF26" s="36"/>
      <c r="AG26" s="53">
        <f t="shared" si="19"/>
        <v>0</v>
      </c>
      <c r="AH26" s="28"/>
      <c r="AI26" s="23"/>
      <c r="AJ26" s="27"/>
      <c r="AK26" s="53">
        <f t="shared" si="20"/>
        <v>0</v>
      </c>
      <c r="AL26" s="28"/>
      <c r="AM26" s="2629"/>
      <c r="AN26" s="9"/>
      <c r="AO26" s="5"/>
      <c r="AP26" s="61">
        <f t="shared" si="21"/>
        <v>0</v>
      </c>
      <c r="AQ26" s="36"/>
      <c r="AR26" s="53"/>
      <c r="AS26" s="61">
        <f t="shared" si="22"/>
        <v>0</v>
      </c>
      <c r="AT26" s="36">
        <v>0</v>
      </c>
      <c r="AU26" s="27"/>
      <c r="AV26" s="61">
        <f t="shared" si="23"/>
        <v>0</v>
      </c>
      <c r="AW26" s="36">
        <v>50384</v>
      </c>
      <c r="AX26" s="27">
        <v>2380.86</v>
      </c>
      <c r="AY26" s="61">
        <f t="shared" si="24"/>
        <v>21.162101089522274</v>
      </c>
      <c r="AZ26" s="36"/>
      <c r="BA26" s="27"/>
      <c r="BB26" s="61">
        <f t="shared" si="25"/>
        <v>0</v>
      </c>
      <c r="BC26" s="36">
        <v>37548</v>
      </c>
      <c r="BD26" s="27">
        <v>1227.7</v>
      </c>
      <c r="BE26" s="61">
        <f t="shared" si="26"/>
        <v>30.584018897124704</v>
      </c>
      <c r="BF26" s="36"/>
      <c r="BG26" s="53"/>
      <c r="BH26" s="61">
        <f t="shared" si="27"/>
        <v>0</v>
      </c>
      <c r="BI26" s="36">
        <v>0</v>
      </c>
      <c r="BJ26" s="53">
        <v>0</v>
      </c>
      <c r="BK26" s="61">
        <f t="shared" si="28"/>
        <v>0</v>
      </c>
      <c r="BL26" s="52">
        <v>28711</v>
      </c>
      <c r="BM26" s="53">
        <v>1098.68</v>
      </c>
      <c r="BN26" s="482">
        <f t="shared" si="29"/>
        <v>26.132267812283828</v>
      </c>
      <c r="BO26" s="9"/>
      <c r="BP26" s="64"/>
      <c r="BQ26" s="482">
        <f t="shared" si="30"/>
        <v>0</v>
      </c>
      <c r="BR26" s="9"/>
      <c r="BS26" s="64"/>
      <c r="BT26" s="482">
        <f t="shared" si="31"/>
        <v>0</v>
      </c>
      <c r="BU26" s="9">
        <v>16296</v>
      </c>
      <c r="BV26" s="27">
        <v>2240</v>
      </c>
      <c r="BW26" s="15">
        <f t="shared" si="32"/>
        <v>7.2750000000000004</v>
      </c>
      <c r="BX26" s="26"/>
      <c r="BY26" s="5"/>
      <c r="BZ26" s="482">
        <f t="shared" si="33"/>
        <v>0</v>
      </c>
      <c r="CA26" s="9"/>
      <c r="CB26" s="5"/>
      <c r="CC26" s="483">
        <f t="shared" si="34"/>
        <v>0</v>
      </c>
      <c r="CD26" s="4"/>
      <c r="CE26" s="5"/>
      <c r="CF26" s="28">
        <f t="shared" si="35"/>
        <v>0</v>
      </c>
      <c r="CG26" s="150"/>
      <c r="CH26" s="1108">
        <v>0</v>
      </c>
      <c r="CI26" s="5"/>
      <c r="CJ26" s="5"/>
      <c r="CK26" s="5">
        <v>11933</v>
      </c>
      <c r="CL26" s="5"/>
      <c r="CM26" s="5">
        <f t="shared" si="113"/>
        <v>11933</v>
      </c>
      <c r="CN26" s="33"/>
      <c r="CO26" s="366"/>
      <c r="CQ26" s="4">
        <f t="shared" si="36"/>
        <v>0</v>
      </c>
      <c r="CR26" s="9">
        <f t="shared" si="36"/>
        <v>0</v>
      </c>
      <c r="CS26" s="5">
        <f t="shared" si="36"/>
        <v>0</v>
      </c>
      <c r="CT26" s="5">
        <f t="shared" si="36"/>
        <v>0</v>
      </c>
      <c r="CU26" s="5">
        <f t="shared" si="36"/>
        <v>0</v>
      </c>
      <c r="CV26" s="5">
        <f t="shared" si="36"/>
        <v>0</v>
      </c>
      <c r="CW26" s="5">
        <f t="shared" si="36"/>
        <v>2380.86</v>
      </c>
      <c r="CX26" s="5">
        <f t="shared" si="36"/>
        <v>0</v>
      </c>
      <c r="CY26" s="5">
        <f t="shared" si="36"/>
        <v>3949.76</v>
      </c>
      <c r="CZ26" s="5">
        <f t="shared" si="36"/>
        <v>0</v>
      </c>
      <c r="DA26" s="5">
        <f t="shared" si="36"/>
        <v>616.62</v>
      </c>
      <c r="DB26" s="12">
        <f t="shared" si="36"/>
        <v>0</v>
      </c>
      <c r="DC26" s="310">
        <f t="shared" si="37"/>
        <v>6947.2400000000007</v>
      </c>
      <c r="DD26" s="2695"/>
      <c r="DE26" s="9"/>
      <c r="DF26" s="9"/>
      <c r="DG26" s="5"/>
      <c r="DH26" s="5"/>
      <c r="DI26" s="5"/>
      <c r="DJ26" s="5"/>
      <c r="DK26" s="5">
        <v>2380.86</v>
      </c>
      <c r="DL26" s="5"/>
      <c r="DM26" s="5"/>
      <c r="DN26" s="5"/>
      <c r="DO26" s="487"/>
      <c r="DP26" s="12"/>
      <c r="DQ26" s="28">
        <f t="shared" si="38"/>
        <v>2380.86</v>
      </c>
      <c r="DR26" s="36"/>
      <c r="DS26" s="9"/>
      <c r="DT26" s="5"/>
      <c r="DU26" s="5"/>
      <c r="DV26" s="5"/>
      <c r="DW26" s="5"/>
      <c r="DX26" s="5"/>
      <c r="DY26" s="5"/>
      <c r="DZ26" s="5">
        <v>1709.76</v>
      </c>
      <c r="EA26" s="27"/>
      <c r="EB26" s="27">
        <v>616.62</v>
      </c>
      <c r="EC26" s="33"/>
      <c r="ED26" s="28">
        <f t="shared" si="39"/>
        <v>2326.38</v>
      </c>
      <c r="EE26" s="9"/>
      <c r="EF26" s="36"/>
      <c r="EG26" s="5"/>
      <c r="EH26" s="27"/>
      <c r="EI26" s="27"/>
      <c r="EJ26" s="27"/>
      <c r="EK26" s="27"/>
      <c r="EL26" s="27"/>
      <c r="EM26" s="27">
        <v>2240</v>
      </c>
      <c r="EN26" s="27"/>
      <c r="EO26" s="27"/>
      <c r="EP26" s="33"/>
      <c r="EQ26" s="28">
        <f t="shared" si="40"/>
        <v>2240</v>
      </c>
      <c r="ER26" s="36"/>
      <c r="ES26" s="27"/>
      <c r="ET26" s="27"/>
      <c r="EU26" s="27"/>
      <c r="EV26" s="27"/>
      <c r="EW26" s="27"/>
      <c r="EX26" s="33">
        <f t="shared" si="41"/>
        <v>0</v>
      </c>
      <c r="EY26" s="2685"/>
      <c r="FA26" s="4">
        <f t="shared" si="42"/>
        <v>0</v>
      </c>
      <c r="FB26" s="5">
        <f t="shared" si="43"/>
        <v>0</v>
      </c>
      <c r="FC26" s="5">
        <f t="shared" si="44"/>
        <v>0</v>
      </c>
      <c r="FD26" s="12">
        <f t="shared" si="45"/>
        <v>0</v>
      </c>
      <c r="FE26" s="33"/>
      <c r="FF26" s="2674"/>
      <c r="FG26" s="9"/>
      <c r="FH26" s="5"/>
      <c r="FI26" s="5"/>
      <c r="FJ26" s="5"/>
      <c r="FK26" s="5"/>
      <c r="FL26" s="27"/>
      <c r="FM26" s="28">
        <f t="shared" si="46"/>
        <v>0</v>
      </c>
      <c r="FN26" s="36"/>
      <c r="FO26" s="27"/>
      <c r="FP26" s="27"/>
      <c r="FQ26" s="27"/>
      <c r="FR26" s="27"/>
      <c r="FS26" s="27"/>
      <c r="FT26" s="28">
        <f t="shared" si="47"/>
        <v>0</v>
      </c>
      <c r="FU26" s="36"/>
      <c r="FV26" s="36"/>
      <c r="FW26" s="27"/>
      <c r="FX26" s="27"/>
      <c r="FY26" s="27"/>
      <c r="FZ26" s="27"/>
      <c r="GA26" s="27"/>
      <c r="GB26" s="27"/>
      <c r="GC26" s="27"/>
      <c r="GD26" s="27"/>
      <c r="GE26" s="27"/>
      <c r="GF26" s="33"/>
      <c r="GG26" s="33">
        <f t="shared" si="48"/>
        <v>0</v>
      </c>
      <c r="GH26" s="2674"/>
      <c r="GJ26" s="4">
        <f t="shared" si="49"/>
        <v>1353.4</v>
      </c>
      <c r="GK26" s="64">
        <f t="shared" si="50"/>
        <v>0</v>
      </c>
      <c r="GL26" s="53">
        <f t="shared" si="51"/>
        <v>4445.4699999999993</v>
      </c>
      <c r="GM26" s="53">
        <f t="shared" si="52"/>
        <v>5798.869999999999</v>
      </c>
      <c r="GN26" s="141"/>
      <c r="GO26" s="141"/>
      <c r="GP26" s="33"/>
      <c r="GQ26" s="2667"/>
      <c r="GR26" s="152">
        <v>2451.4499999999998</v>
      </c>
      <c r="GS26" s="27"/>
      <c r="GT26" s="27">
        <v>1422.3</v>
      </c>
      <c r="GU26" s="27">
        <v>1925.12</v>
      </c>
      <c r="GV26" s="33">
        <f t="shared" si="53"/>
        <v>5798.87</v>
      </c>
      <c r="GW26" s="2667"/>
      <c r="GX26" s="36"/>
      <c r="GY26" s="36"/>
      <c r="GZ26" s="27"/>
      <c r="HA26" s="27"/>
      <c r="HB26" s="27"/>
      <c r="HC26" s="27"/>
      <c r="HD26" s="27"/>
      <c r="HE26" s="27"/>
      <c r="HF26" s="27">
        <v>1353.4</v>
      </c>
      <c r="HG26" s="27"/>
      <c r="HH26" s="27"/>
      <c r="HI26" s="27"/>
      <c r="HJ26" s="27"/>
      <c r="HK26" s="27"/>
      <c r="HL26" s="28">
        <f t="shared" si="54"/>
        <v>1353.4</v>
      </c>
      <c r="HM26" s="36"/>
      <c r="HN26" s="27"/>
      <c r="HO26" s="27"/>
      <c r="HP26" s="27"/>
      <c r="HQ26" s="27"/>
      <c r="HR26" s="27"/>
      <c r="HS26" s="27"/>
      <c r="HT26" s="27"/>
      <c r="HU26" s="27"/>
      <c r="HV26" s="27"/>
      <c r="HW26" s="27"/>
      <c r="HX26" s="27"/>
      <c r="HY26" s="27"/>
      <c r="HZ26" s="27"/>
      <c r="IA26" s="33">
        <f t="shared" si="55"/>
        <v>0</v>
      </c>
      <c r="IB26" s="52"/>
      <c r="IC26" s="152"/>
      <c r="ID26" s="53"/>
      <c r="IE26" s="53"/>
      <c r="IF26" s="53"/>
      <c r="IG26" s="53"/>
      <c r="IH26" s="53"/>
      <c r="II26" s="53"/>
      <c r="IJ26" s="53"/>
      <c r="IK26" s="53"/>
      <c r="IL26" s="64"/>
      <c r="IM26" s="64"/>
      <c r="IN26" s="53"/>
      <c r="IO26" s="53"/>
      <c r="IP26" s="61">
        <f t="shared" si="56"/>
        <v>0</v>
      </c>
      <c r="IQ26" s="36"/>
      <c r="IR26" s="36"/>
      <c r="IS26" s="53"/>
      <c r="IT26" s="27"/>
      <c r="IU26" s="53"/>
      <c r="IV26" s="27"/>
      <c r="IW26" s="27"/>
      <c r="IX26" s="27"/>
      <c r="IY26" s="27">
        <v>4445.4699999999993</v>
      </c>
      <c r="IZ26" s="27"/>
      <c r="JA26" s="27"/>
      <c r="JB26" s="27"/>
      <c r="JC26" s="27"/>
      <c r="JD26" s="27"/>
      <c r="JE26" s="33">
        <f t="shared" si="57"/>
        <v>4445.4699999999993</v>
      </c>
      <c r="JF26" s="2667"/>
      <c r="JH26" s="52">
        <v>5798.87</v>
      </c>
      <c r="JI26" s="152"/>
      <c r="JJ26" s="53"/>
      <c r="JK26" s="53">
        <f t="shared" si="58"/>
        <v>5798.87</v>
      </c>
      <c r="JL26" s="33"/>
      <c r="JM26" s="2669"/>
      <c r="JN26" s="152"/>
      <c r="JO26" s="53"/>
      <c r="JP26" s="70"/>
      <c r="JQ26" s="70"/>
      <c r="JR26" s="70">
        <v>1</v>
      </c>
      <c r="JS26" s="70"/>
      <c r="JT26" s="53"/>
      <c r="JU26" s="61"/>
      <c r="JV26" s="69"/>
      <c r="JW26" s="70"/>
      <c r="JX26" s="70"/>
      <c r="JY26" s="70"/>
      <c r="JZ26" s="70"/>
      <c r="KA26" s="70"/>
      <c r="KB26" s="70"/>
      <c r="KC26" s="71"/>
      <c r="KD26" s="69"/>
      <c r="KE26" s="70"/>
      <c r="KF26" s="70"/>
      <c r="KG26" s="70"/>
      <c r="KH26" s="70"/>
      <c r="KI26" s="70"/>
      <c r="KJ26" s="70"/>
      <c r="KK26" s="70"/>
      <c r="KL26" s="33"/>
      <c r="KM26" s="2669"/>
      <c r="KN26" s="36">
        <v>6925</v>
      </c>
      <c r="KO26" s="53">
        <v>0.31</v>
      </c>
      <c r="KP26" s="53">
        <v>4.33</v>
      </c>
      <c r="KQ26" s="53">
        <v>6.69</v>
      </c>
      <c r="KR26" s="54">
        <v>10.403738000000001</v>
      </c>
      <c r="KS26" s="4">
        <v>0</v>
      </c>
      <c r="KT26" s="64">
        <v>0</v>
      </c>
      <c r="KU26" s="64">
        <v>0</v>
      </c>
      <c r="KV26" s="64">
        <v>0</v>
      </c>
      <c r="KW26" s="482">
        <v>0</v>
      </c>
      <c r="KX26" s="36"/>
      <c r="KY26" s="53"/>
      <c r="KZ26" s="53"/>
      <c r="LA26" s="53"/>
      <c r="LB26" s="53"/>
      <c r="LC26" s="33"/>
      <c r="LD26" s="2669"/>
      <c r="LF26" s="853">
        <f t="shared" si="59"/>
        <v>23055.764000000003</v>
      </c>
      <c r="LG26" s="27">
        <f t="shared" si="59"/>
        <v>4585.1260000000011</v>
      </c>
      <c r="LH26" s="27">
        <f t="shared" si="59"/>
        <v>0</v>
      </c>
      <c r="LI26" s="28">
        <f t="shared" si="60"/>
        <v>27640.890000000003</v>
      </c>
      <c r="LJ26" s="36">
        <v>4</v>
      </c>
      <c r="LK26" s="27"/>
      <c r="LL26" s="27"/>
      <c r="LM26" s="33"/>
      <c r="LN26" s="1041">
        <v>6.47</v>
      </c>
      <c r="LO26" s="486"/>
      <c r="LP26" s="2688"/>
      <c r="LQ26" s="36">
        <v>23055.764000000003</v>
      </c>
      <c r="LR26" s="36">
        <v>4585.1260000000011</v>
      </c>
      <c r="LS26" s="27"/>
      <c r="LT26" s="27"/>
      <c r="LU26" s="27"/>
      <c r="LV26" s="1107">
        <f t="shared" si="61"/>
        <v>27640.890000000003</v>
      </c>
      <c r="LW26" s="36"/>
      <c r="LX26" s="36"/>
      <c r="LY26" s="27"/>
      <c r="LZ26" s="27"/>
      <c r="MA26" s="33"/>
      <c r="MB26" s="28">
        <f t="shared" si="62"/>
        <v>0</v>
      </c>
      <c r="MC26" s="26"/>
      <c r="MD26" s="36"/>
      <c r="ME26" s="27"/>
      <c r="MF26" s="27"/>
      <c r="MG26" s="27"/>
      <c r="MH26" s="28"/>
      <c r="MI26" s="36"/>
      <c r="MJ26" s="36"/>
      <c r="MK26" s="27"/>
      <c r="ML26" s="27"/>
      <c r="MM26" s="27"/>
      <c r="MN26" s="28"/>
      <c r="MO26" s="36"/>
      <c r="MP26" s="36"/>
      <c r="MQ26" s="27"/>
      <c r="MR26" s="27"/>
      <c r="MS26" s="27"/>
      <c r="MT26" s="33">
        <f t="shared" si="63"/>
        <v>0</v>
      </c>
      <c r="MU26" s="2688"/>
      <c r="MW26" s="26">
        <f t="shared" si="64"/>
        <v>63910.631216285503</v>
      </c>
      <c r="MX26" s="27">
        <f t="shared" si="65"/>
        <v>86388.441281839448</v>
      </c>
      <c r="MY26" s="27">
        <f t="shared" si="66"/>
        <v>23937.693116668146</v>
      </c>
      <c r="MZ26" s="28">
        <f t="shared" si="67"/>
        <v>436039.30665121425</v>
      </c>
      <c r="NA26" s="2621"/>
      <c r="NB26" s="23">
        <f t="shared" si="68"/>
        <v>50831.632076933492</v>
      </c>
      <c r="NC26" s="64">
        <f t="shared" si="69"/>
        <v>13078.999139352007</v>
      </c>
      <c r="ND26" s="60">
        <f t="shared" si="70"/>
        <v>0</v>
      </c>
      <c r="NE26" s="275">
        <f t="shared" si="4"/>
        <v>63910.631216285503</v>
      </c>
      <c r="NF26" s="26">
        <f t="shared" ref="NF26:NO40" si="120">+NF25+EE26-GX26</f>
        <v>0</v>
      </c>
      <c r="NG26" s="27">
        <f t="shared" si="120"/>
        <v>0</v>
      </c>
      <c r="NH26" s="27">
        <f t="shared" si="120"/>
        <v>0</v>
      </c>
      <c r="NI26" s="27">
        <f t="shared" si="120"/>
        <v>0</v>
      </c>
      <c r="NJ26" s="27">
        <f t="shared" si="120"/>
        <v>0</v>
      </c>
      <c r="NK26" s="33">
        <f t="shared" si="120"/>
        <v>0</v>
      </c>
      <c r="NL26" s="27">
        <f t="shared" si="120"/>
        <v>0</v>
      </c>
      <c r="NM26" s="36">
        <f t="shared" si="120"/>
        <v>0</v>
      </c>
      <c r="NN26" s="27">
        <f t="shared" si="120"/>
        <v>36452.642027032751</v>
      </c>
      <c r="NO26" s="27">
        <f t="shared" si="120"/>
        <v>0</v>
      </c>
      <c r="NP26" s="24">
        <f t="shared" si="114"/>
        <v>8756.5482322711578</v>
      </c>
      <c r="NQ26" s="24">
        <f t="shared" si="115"/>
        <v>14547.305013230798</v>
      </c>
      <c r="NR26" s="27">
        <f t="shared" si="0"/>
        <v>59756.49527253471</v>
      </c>
      <c r="NS26" s="27">
        <f t="shared" ref="NS26:OA40" si="121">+NS25+DE26-IB26</f>
        <v>0</v>
      </c>
      <c r="NT26" s="27">
        <f t="shared" si="121"/>
        <v>0</v>
      </c>
      <c r="NU26" s="27">
        <f t="shared" si="121"/>
        <v>0</v>
      </c>
      <c r="NV26" s="27">
        <f t="shared" si="121"/>
        <v>0</v>
      </c>
      <c r="NW26" s="27">
        <f t="shared" si="121"/>
        <v>0</v>
      </c>
      <c r="NX26" s="5">
        <f t="shared" si="121"/>
        <v>0</v>
      </c>
      <c r="NY26" s="27">
        <f t="shared" si="121"/>
        <v>15272.65460925238</v>
      </c>
      <c r="NZ26" s="27">
        <f t="shared" si="121"/>
        <v>0</v>
      </c>
      <c r="OA26" s="27">
        <v>0</v>
      </c>
      <c r="OB26" s="280"/>
      <c r="OC26" s="24">
        <f t="shared" ref="OC26:OD40" si="122">+OC25+DO26-IL26</f>
        <v>1565.61197844705</v>
      </c>
      <c r="OD26" s="27">
        <f t="shared" si="122"/>
        <v>0</v>
      </c>
      <c r="OE26" s="28">
        <f t="shared" si="1"/>
        <v>16838.266587699429</v>
      </c>
      <c r="OF26" s="27">
        <f t="shared" ref="OF26:OQ40" si="123">+OF25+DR26+FU26-IQ26</f>
        <v>0</v>
      </c>
      <c r="OG26" s="27">
        <f t="shared" si="123"/>
        <v>0</v>
      </c>
      <c r="OH26" s="27">
        <f t="shared" si="123"/>
        <v>0</v>
      </c>
      <c r="OI26" s="27">
        <f t="shared" si="123"/>
        <v>0</v>
      </c>
      <c r="OJ26" s="27">
        <f t="shared" si="123"/>
        <v>0</v>
      </c>
      <c r="OK26" s="27">
        <f t="shared" si="123"/>
        <v>0</v>
      </c>
      <c r="OL26" s="24">
        <f t="shared" si="123"/>
        <v>0</v>
      </c>
      <c r="OM26" s="27">
        <f t="shared" si="123"/>
        <v>0</v>
      </c>
      <c r="ON26" s="24">
        <f t="shared" si="123"/>
        <v>4429.7402538002079</v>
      </c>
      <c r="OO26" s="27">
        <f t="shared" si="123"/>
        <v>0</v>
      </c>
      <c r="OP26" s="27">
        <f t="shared" si="123"/>
        <v>5363.9391678050997</v>
      </c>
      <c r="OQ26" s="27">
        <f t="shared" si="123"/>
        <v>0</v>
      </c>
      <c r="OR26" s="28">
        <f t="shared" si="2"/>
        <v>9793.6794216053077</v>
      </c>
      <c r="OS26" s="36"/>
      <c r="OT26" s="27"/>
      <c r="OU26" s="27"/>
      <c r="OV26" s="27"/>
      <c r="OW26" s="27"/>
      <c r="OX26" s="27"/>
      <c r="OY26" s="28">
        <f t="shared" si="75"/>
        <v>0</v>
      </c>
      <c r="OZ26" s="36">
        <f t="shared" si="76"/>
        <v>0</v>
      </c>
      <c r="PA26" s="27">
        <f t="shared" si="77"/>
        <v>0</v>
      </c>
      <c r="PB26" s="27">
        <f t="shared" si="78"/>
        <v>0</v>
      </c>
      <c r="PC26" s="27">
        <f t="shared" si="79"/>
        <v>0</v>
      </c>
      <c r="PD26" s="27">
        <f t="shared" si="80"/>
        <v>0</v>
      </c>
      <c r="PE26" s="27">
        <f t="shared" si="81"/>
        <v>0</v>
      </c>
      <c r="PF26" s="33">
        <f t="shared" si="3"/>
        <v>0</v>
      </c>
      <c r="PG26" s="2621"/>
      <c r="PI26" s="2"/>
      <c r="PJ26" s="3"/>
      <c r="PK26" s="3"/>
      <c r="PL26" s="3">
        <f t="shared" si="116"/>
        <v>0</v>
      </c>
      <c r="PM26" s="3">
        <f t="shared" si="82"/>
        <v>0</v>
      </c>
      <c r="PN26" s="11">
        <f t="shared" si="117"/>
        <v>23937.693116668146</v>
      </c>
      <c r="PO26" s="15"/>
      <c r="PP26" s="2615"/>
      <c r="PR26" s="4"/>
      <c r="PS26" s="9"/>
      <c r="PT26" s="9"/>
      <c r="PU26" s="9"/>
      <c r="PV26" s="1108"/>
      <c r="PW26" s="9"/>
      <c r="PX26" s="8">
        <f t="shared" si="83"/>
        <v>0</v>
      </c>
      <c r="PY26" s="5">
        <f t="shared" si="84"/>
        <v>0</v>
      </c>
      <c r="PZ26" s="5"/>
      <c r="QA26" s="5"/>
      <c r="QB26" s="5"/>
      <c r="QC26" s="5"/>
      <c r="QD26" s="5"/>
      <c r="QE26" s="12">
        <f t="shared" si="85"/>
        <v>29749.381073161156</v>
      </c>
      <c r="QF26" s="420">
        <f t="shared" si="86"/>
        <v>404667.5455780531</v>
      </c>
      <c r="QG26" s="1106">
        <f t="shared" si="87"/>
        <v>1622.38</v>
      </c>
      <c r="QH26" s="484">
        <f t="shared" si="88"/>
        <v>5505.3678056100007</v>
      </c>
      <c r="QI26" s="12"/>
      <c r="QJ26" s="2615"/>
      <c r="QL26" s="139">
        <f t="shared" si="89"/>
        <v>0</v>
      </c>
      <c r="QM26" s="139" t="str">
        <f t="shared" si="90"/>
        <v/>
      </c>
      <c r="QO26" s="139">
        <f t="shared" si="91"/>
        <v>0</v>
      </c>
      <c r="QP26" s="139">
        <f t="shared" si="92"/>
        <v>0</v>
      </c>
      <c r="QR26" s="1">
        <f t="shared" si="93"/>
        <v>0</v>
      </c>
      <c r="QS26" s="1">
        <f t="shared" si="94"/>
        <v>0</v>
      </c>
      <c r="QT26" s="1">
        <f t="shared" si="95"/>
        <v>0</v>
      </c>
      <c r="QU26" s="1">
        <f t="shared" si="96"/>
        <v>0</v>
      </c>
      <c r="QV26" s="1">
        <f t="shared" si="97"/>
        <v>0</v>
      </c>
      <c r="QW26" s="1">
        <f t="shared" si="98"/>
        <v>0</v>
      </c>
      <c r="QY26" s="1">
        <f t="shared" si="99"/>
        <v>0</v>
      </c>
      <c r="QZ26" s="1">
        <f t="shared" si="100"/>
        <v>0</v>
      </c>
      <c r="RA26" s="1">
        <f t="shared" si="101"/>
        <v>0</v>
      </c>
      <c r="RB26" s="1">
        <f t="shared" si="102"/>
        <v>0</v>
      </c>
      <c r="RC26" s="1">
        <f t="shared" si="103"/>
        <v>0</v>
      </c>
      <c r="RD26" s="1">
        <f t="shared" si="104"/>
        <v>0</v>
      </c>
      <c r="RG26" s="1">
        <v>17</v>
      </c>
      <c r="RH26" s="1">
        <f t="shared" si="119"/>
        <v>24503.801209717101</v>
      </c>
      <c r="RI26" s="1">
        <f t="shared" si="119"/>
        <v>-1998.4542195162821</v>
      </c>
      <c r="RJ26" s="1">
        <f t="shared" si="119"/>
        <v>13404.263703387322</v>
      </c>
      <c r="RK26" s="89">
        <f t="shared" si="5"/>
        <v>35909.61069358814</v>
      </c>
      <c r="RL26" s="1033">
        <v>17</v>
      </c>
      <c r="RM26" s="1098">
        <f t="shared" si="118"/>
        <v>0</v>
      </c>
      <c r="RN26" s="1098">
        <f t="shared" si="106"/>
        <v>0</v>
      </c>
      <c r="RO26" s="1097">
        <f t="shared" si="106"/>
        <v>0</v>
      </c>
      <c r="RP26" s="1097">
        <f t="shared" si="107"/>
        <v>4707.24</v>
      </c>
      <c r="RQ26" s="1050"/>
      <c r="RR26" s="1046" t="s">
        <v>780</v>
      </c>
      <c r="RS26" s="1048"/>
      <c r="RU26" s="421">
        <v>17</v>
      </c>
      <c r="RV26" s="1095">
        <f t="shared" si="108"/>
        <v>5798.87</v>
      </c>
      <c r="RW26" s="1046" t="s">
        <v>781</v>
      </c>
      <c r="RY26" s="1090"/>
      <c r="RZ26" s="1090">
        <f t="shared" si="109"/>
        <v>0</v>
      </c>
      <c r="SA26" s="1090"/>
      <c r="SB26" s="1090">
        <f t="shared" si="110"/>
        <v>0</v>
      </c>
      <c r="SD26" s="1">
        <v>17</v>
      </c>
      <c r="SE26" s="1">
        <f t="shared" si="111"/>
        <v>0</v>
      </c>
    </row>
    <row r="27" spans="1:500" s="1" customFormat="1" ht="15.6" customHeight="1">
      <c r="B27" s="471">
        <v>18</v>
      </c>
      <c r="C27" s="4">
        <f t="shared" si="6"/>
        <v>125932</v>
      </c>
      <c r="D27" s="64">
        <f t="shared" si="112"/>
        <v>6013.64</v>
      </c>
      <c r="E27" s="482">
        <f t="shared" si="7"/>
        <v>20.941060655443291</v>
      </c>
      <c r="F27" s="1113"/>
      <c r="G27" s="1113"/>
      <c r="H27" s="845">
        <v>23</v>
      </c>
      <c r="I27" s="482">
        <v>2.67</v>
      </c>
      <c r="J27" s="845"/>
      <c r="K27" s="846"/>
      <c r="L27" s="845">
        <v>12.33</v>
      </c>
      <c r="M27" s="482">
        <v>3.85</v>
      </c>
      <c r="N27" s="2629"/>
      <c r="O27" s="4">
        <f t="shared" si="8"/>
        <v>85502</v>
      </c>
      <c r="P27" s="1225">
        <f t="shared" si="9"/>
        <v>3292.58</v>
      </c>
      <c r="Q27" s="64">
        <f t="shared" si="10"/>
        <v>25.9680858172011</v>
      </c>
      <c r="R27" s="12"/>
      <c r="S27" s="4">
        <f t="shared" si="11"/>
        <v>23933</v>
      </c>
      <c r="T27" s="5">
        <f t="shared" si="12"/>
        <v>881.06000000000006</v>
      </c>
      <c r="U27" s="64">
        <f t="shared" si="13"/>
        <v>27.163870792000544</v>
      </c>
      <c r="V27" s="15"/>
      <c r="W27" s="26">
        <f t="shared" si="14"/>
        <v>16497</v>
      </c>
      <c r="X27" s="5">
        <f t="shared" si="14"/>
        <v>1840</v>
      </c>
      <c r="Y27" s="64">
        <f t="shared" si="15"/>
        <v>8.9657608695652176</v>
      </c>
      <c r="Z27" s="12"/>
      <c r="AA27" s="26">
        <f t="shared" si="16"/>
        <v>0</v>
      </c>
      <c r="AB27" s="27">
        <f t="shared" si="17"/>
        <v>0</v>
      </c>
      <c r="AC27" s="64">
        <f t="shared" si="18"/>
        <v>0</v>
      </c>
      <c r="AD27" s="15"/>
      <c r="AE27" s="9"/>
      <c r="AF27" s="9"/>
      <c r="AG27" s="64">
        <f t="shared" si="19"/>
        <v>0</v>
      </c>
      <c r="AH27" s="15"/>
      <c r="AI27" s="4"/>
      <c r="AJ27" s="5"/>
      <c r="AK27" s="64">
        <f t="shared" si="20"/>
        <v>0</v>
      </c>
      <c r="AL27" s="15"/>
      <c r="AM27" s="2629"/>
      <c r="AN27" s="9"/>
      <c r="AO27" s="5"/>
      <c r="AP27" s="482">
        <f t="shared" si="21"/>
        <v>0</v>
      </c>
      <c r="AQ27" s="9"/>
      <c r="AR27" s="64"/>
      <c r="AS27" s="482">
        <f t="shared" si="22"/>
        <v>0</v>
      </c>
      <c r="AT27" s="9">
        <v>0</v>
      </c>
      <c r="AU27" s="5"/>
      <c r="AV27" s="482">
        <f t="shared" si="23"/>
        <v>0</v>
      </c>
      <c r="AW27" s="9">
        <v>37916</v>
      </c>
      <c r="AX27" s="5">
        <v>1830.46</v>
      </c>
      <c r="AY27" s="482">
        <f t="shared" si="24"/>
        <v>20.71391890563028</v>
      </c>
      <c r="AZ27" s="9"/>
      <c r="BA27" s="5"/>
      <c r="BB27" s="482">
        <f t="shared" si="25"/>
        <v>0</v>
      </c>
      <c r="BC27" s="9">
        <v>47586</v>
      </c>
      <c r="BD27" s="27">
        <v>1462.1200000000001</v>
      </c>
      <c r="BE27" s="482">
        <f t="shared" si="26"/>
        <v>32.545892266024673</v>
      </c>
      <c r="BF27" s="36"/>
      <c r="BG27" s="53"/>
      <c r="BH27" s="482">
        <f t="shared" si="27"/>
        <v>0</v>
      </c>
      <c r="BI27" s="36">
        <v>0</v>
      </c>
      <c r="BJ27" s="53">
        <v>0</v>
      </c>
      <c r="BK27" s="482">
        <f t="shared" si="28"/>
        <v>0</v>
      </c>
      <c r="BL27" s="845">
        <v>23933</v>
      </c>
      <c r="BM27" s="1034">
        <v>881.06000000000006</v>
      </c>
      <c r="BN27" s="482">
        <f t="shared" si="29"/>
        <v>27.163870792000544</v>
      </c>
      <c r="BO27" s="9"/>
      <c r="BP27" s="64"/>
      <c r="BQ27" s="482">
        <f t="shared" si="30"/>
        <v>0</v>
      </c>
      <c r="BR27" s="9"/>
      <c r="BS27" s="64"/>
      <c r="BT27" s="482">
        <f t="shared" si="31"/>
        <v>0</v>
      </c>
      <c r="BU27" s="9">
        <v>16497</v>
      </c>
      <c r="BV27" s="27">
        <v>1840</v>
      </c>
      <c r="BW27" s="15">
        <f t="shared" si="32"/>
        <v>8.9657608695652176</v>
      </c>
      <c r="BX27" s="26"/>
      <c r="BY27" s="5"/>
      <c r="BZ27" s="482">
        <f t="shared" si="33"/>
        <v>0</v>
      </c>
      <c r="CA27" s="9"/>
      <c r="CB27" s="5"/>
      <c r="CC27" s="482">
        <f t="shared" si="34"/>
        <v>0</v>
      </c>
      <c r="CD27" s="4"/>
      <c r="CE27" s="5"/>
      <c r="CF27" s="15">
        <f t="shared" si="35"/>
        <v>0</v>
      </c>
      <c r="CG27" s="150"/>
      <c r="CH27" s="1108">
        <v>784</v>
      </c>
      <c r="CI27" s="5"/>
      <c r="CJ27" s="5"/>
      <c r="CK27" s="5">
        <v>11250</v>
      </c>
      <c r="CL27" s="5"/>
      <c r="CM27" s="5">
        <f t="shared" si="113"/>
        <v>12034</v>
      </c>
      <c r="CN27" s="12"/>
      <c r="CO27" s="366"/>
      <c r="CQ27" s="4">
        <f t="shared" si="36"/>
        <v>0</v>
      </c>
      <c r="CR27" s="9">
        <f t="shared" si="36"/>
        <v>0</v>
      </c>
      <c r="CS27" s="5">
        <f t="shared" si="36"/>
        <v>0</v>
      </c>
      <c r="CT27" s="5">
        <f t="shared" si="36"/>
        <v>0</v>
      </c>
      <c r="CU27" s="5">
        <f t="shared" si="36"/>
        <v>0</v>
      </c>
      <c r="CV27" s="5">
        <f t="shared" si="36"/>
        <v>0</v>
      </c>
      <c r="CW27" s="5">
        <f t="shared" si="36"/>
        <v>0</v>
      </c>
      <c r="CX27" s="5">
        <f t="shared" si="36"/>
        <v>0</v>
      </c>
      <c r="CY27" s="5">
        <f t="shared" si="36"/>
        <v>5371.96</v>
      </c>
      <c r="CZ27" s="5">
        <f t="shared" si="36"/>
        <v>0</v>
      </c>
      <c r="DA27" s="5">
        <f t="shared" si="36"/>
        <v>641.68000000000006</v>
      </c>
      <c r="DB27" s="12">
        <f t="shared" si="36"/>
        <v>0</v>
      </c>
      <c r="DC27" s="847">
        <f t="shared" si="37"/>
        <v>6013.64</v>
      </c>
      <c r="DD27" s="2695"/>
      <c r="DE27" s="9"/>
      <c r="DF27" s="9"/>
      <c r="DG27" s="5"/>
      <c r="DH27" s="5"/>
      <c r="DI27" s="5"/>
      <c r="DJ27" s="5"/>
      <c r="DK27" s="5"/>
      <c r="DL27" s="5"/>
      <c r="DM27" s="5">
        <v>1830.46</v>
      </c>
      <c r="DN27" s="12"/>
      <c r="DO27" s="5"/>
      <c r="DP27" s="486"/>
      <c r="DQ27" s="15">
        <f t="shared" si="38"/>
        <v>1830.46</v>
      </c>
      <c r="DR27" s="9"/>
      <c r="DS27" s="9"/>
      <c r="DT27" s="5"/>
      <c r="DU27" s="5"/>
      <c r="DV27" s="5"/>
      <c r="DW27" s="5"/>
      <c r="DX27" s="5"/>
      <c r="DY27" s="5"/>
      <c r="DZ27" s="5">
        <v>1701.5</v>
      </c>
      <c r="EA27" s="5"/>
      <c r="EB27" s="5">
        <v>641.68000000000006</v>
      </c>
      <c r="EC27" s="12"/>
      <c r="ED27" s="15">
        <f t="shared" si="39"/>
        <v>2343.1800000000003</v>
      </c>
      <c r="EE27" s="9"/>
      <c r="EF27" s="9"/>
      <c r="EG27" s="5"/>
      <c r="EH27" s="5"/>
      <c r="EI27" s="5"/>
      <c r="EJ27" s="5"/>
      <c r="EK27" s="5"/>
      <c r="EL27" s="5"/>
      <c r="EM27" s="5">
        <v>1840</v>
      </c>
      <c r="EN27" s="5"/>
      <c r="EO27" s="5"/>
      <c r="EP27" s="12"/>
      <c r="EQ27" s="15">
        <f t="shared" si="40"/>
        <v>1840</v>
      </c>
      <c r="ER27" s="9"/>
      <c r="ES27" s="5"/>
      <c r="ET27" s="5"/>
      <c r="EU27" s="5"/>
      <c r="EV27" s="5"/>
      <c r="EW27" s="5"/>
      <c r="EX27" s="12">
        <f t="shared" si="41"/>
        <v>0</v>
      </c>
      <c r="EY27" s="2685"/>
      <c r="FA27" s="4">
        <f t="shared" si="42"/>
        <v>0</v>
      </c>
      <c r="FB27" s="5">
        <f t="shared" si="43"/>
        <v>0</v>
      </c>
      <c r="FC27" s="5">
        <f t="shared" si="44"/>
        <v>0</v>
      </c>
      <c r="FD27" s="12">
        <f t="shared" si="45"/>
        <v>0</v>
      </c>
      <c r="FE27" s="12"/>
      <c r="FF27" s="2674"/>
      <c r="FG27" s="9"/>
      <c r="FH27" s="5"/>
      <c r="FI27" s="5"/>
      <c r="FJ27" s="5"/>
      <c r="FK27" s="5"/>
      <c r="FL27" s="5"/>
      <c r="FM27" s="15">
        <f t="shared" si="46"/>
        <v>0</v>
      </c>
      <c r="FN27" s="9"/>
      <c r="FO27" s="5"/>
      <c r="FP27" s="5"/>
      <c r="FQ27" s="5"/>
      <c r="FR27" s="5"/>
      <c r="FS27" s="5"/>
      <c r="FT27" s="15">
        <f t="shared" si="47"/>
        <v>0</v>
      </c>
      <c r="FU27" s="9"/>
      <c r="FV27" s="9"/>
      <c r="FW27" s="5"/>
      <c r="FX27" s="5"/>
      <c r="FY27" s="5"/>
      <c r="FZ27" s="5"/>
      <c r="GA27" s="5"/>
      <c r="GB27" s="5"/>
      <c r="GC27" s="5"/>
      <c r="GD27" s="5"/>
      <c r="GE27" s="5"/>
      <c r="GF27" s="12"/>
      <c r="GG27" s="12">
        <f t="shared" si="48"/>
        <v>0</v>
      </c>
      <c r="GH27" s="2674"/>
      <c r="GJ27" s="4">
        <f t="shared" si="49"/>
        <v>2743.5</v>
      </c>
      <c r="GK27" s="64">
        <f t="shared" si="50"/>
        <v>2837.7100000000005</v>
      </c>
      <c r="GL27" s="64">
        <f t="shared" si="51"/>
        <v>5595.07</v>
      </c>
      <c r="GM27" s="64">
        <f t="shared" si="52"/>
        <v>11176.28</v>
      </c>
      <c r="GN27" s="848"/>
      <c r="GO27" s="848"/>
      <c r="GP27" s="12"/>
      <c r="GQ27" s="2667"/>
      <c r="GR27" s="1112">
        <v>4510.0199999999995</v>
      </c>
      <c r="GS27" s="5">
        <v>307.39999999999998</v>
      </c>
      <c r="GT27" s="5">
        <v>2646.24</v>
      </c>
      <c r="GU27" s="5">
        <v>3712.62</v>
      </c>
      <c r="GV27" s="12">
        <f t="shared" si="53"/>
        <v>11176.279999999999</v>
      </c>
      <c r="GW27" s="2667"/>
      <c r="GX27" s="9"/>
      <c r="GY27" s="9"/>
      <c r="GZ27" s="5"/>
      <c r="HA27" s="5"/>
      <c r="HB27" s="5"/>
      <c r="HC27" s="5"/>
      <c r="HD27" s="5"/>
      <c r="HE27" s="5"/>
      <c r="HF27" s="5">
        <v>1829.6999999999998</v>
      </c>
      <c r="HG27" s="5"/>
      <c r="HH27" s="5">
        <v>606.4</v>
      </c>
      <c r="HI27" s="5"/>
      <c r="HJ27" s="5">
        <v>307.39999999999998</v>
      </c>
      <c r="HK27" s="5"/>
      <c r="HL27" s="15">
        <f t="shared" si="54"/>
        <v>2743.5</v>
      </c>
      <c r="HM27" s="9"/>
      <c r="HN27" s="5"/>
      <c r="HO27" s="5"/>
      <c r="HP27" s="5"/>
      <c r="HQ27" s="5"/>
      <c r="HR27" s="5"/>
      <c r="HS27" s="5"/>
      <c r="HT27" s="5"/>
      <c r="HU27" s="5"/>
      <c r="HV27" s="5"/>
      <c r="HW27" s="5"/>
      <c r="HX27" s="5"/>
      <c r="HY27" s="5"/>
      <c r="HZ27" s="5"/>
      <c r="IA27" s="12">
        <f t="shared" si="55"/>
        <v>0</v>
      </c>
      <c r="IB27" s="845"/>
      <c r="IC27" s="363"/>
      <c r="ID27" s="64"/>
      <c r="IE27" s="64"/>
      <c r="IF27" s="64"/>
      <c r="IG27" s="64"/>
      <c r="IH27" s="64">
        <v>2244.3500000000004</v>
      </c>
      <c r="II27" s="64"/>
      <c r="IJ27" s="64">
        <v>593.36000000000013</v>
      </c>
      <c r="IK27" s="64"/>
      <c r="IL27" s="64"/>
      <c r="IM27" s="64"/>
      <c r="IN27" s="64"/>
      <c r="IO27" s="64"/>
      <c r="IP27" s="61">
        <f t="shared" si="56"/>
        <v>2837.7100000000005</v>
      </c>
      <c r="IQ27" s="9"/>
      <c r="IR27" s="9"/>
      <c r="IS27" s="64"/>
      <c r="IT27" s="5"/>
      <c r="IU27" s="64"/>
      <c r="IV27" s="5"/>
      <c r="IW27" s="5"/>
      <c r="IX27" s="5"/>
      <c r="IY27" s="5">
        <v>4834.21</v>
      </c>
      <c r="IZ27" s="5"/>
      <c r="JA27" s="5">
        <v>760.86</v>
      </c>
      <c r="JB27" s="5"/>
      <c r="JC27" s="5"/>
      <c r="JD27" s="5"/>
      <c r="JE27" s="12">
        <f t="shared" si="57"/>
        <v>5595.07</v>
      </c>
      <c r="JF27" s="2667"/>
      <c r="JH27" s="52">
        <v>5608.65</v>
      </c>
      <c r="JI27" s="152">
        <v>5567.63</v>
      </c>
      <c r="JJ27" s="64"/>
      <c r="JK27" s="64">
        <f t="shared" si="58"/>
        <v>11176.279999999999</v>
      </c>
      <c r="JL27" s="12"/>
      <c r="JM27" s="2669"/>
      <c r="JN27" s="849"/>
      <c r="JO27" s="850"/>
      <c r="JP27" s="850"/>
      <c r="JQ27" s="850"/>
      <c r="JR27" s="850">
        <v>0.90510755001477905</v>
      </c>
      <c r="JS27" s="850">
        <v>9.4892449985221006E-2</v>
      </c>
      <c r="JT27" s="850"/>
      <c r="JU27" s="851"/>
      <c r="JV27" s="849"/>
      <c r="JW27" s="850"/>
      <c r="JX27" s="850"/>
      <c r="JY27" s="850">
        <v>0.39875632814534728</v>
      </c>
      <c r="JZ27" s="850">
        <v>0.34131967613583436</v>
      </c>
      <c r="KA27" s="850">
        <v>0.25992399571881836</v>
      </c>
      <c r="KB27" s="850"/>
      <c r="KC27" s="851"/>
      <c r="KD27" s="849"/>
      <c r="KE27" s="850"/>
      <c r="KF27" s="850"/>
      <c r="KG27" s="850"/>
      <c r="KH27" s="850"/>
      <c r="KI27" s="850"/>
      <c r="KJ27" s="850"/>
      <c r="KK27" s="850"/>
      <c r="KL27" s="12"/>
      <c r="KM27" s="2669"/>
      <c r="KN27" s="9">
        <v>7037</v>
      </c>
      <c r="KO27" s="64">
        <v>0.4</v>
      </c>
      <c r="KP27" s="64">
        <v>3.29</v>
      </c>
      <c r="KQ27" s="64">
        <v>7.69</v>
      </c>
      <c r="KR27" s="846">
        <v>12.877821999999998</v>
      </c>
      <c r="KS27" s="4">
        <v>6923.8764503852226</v>
      </c>
      <c r="KT27" s="64">
        <v>1.7609171075837744</v>
      </c>
      <c r="KU27" s="64">
        <v>5.2565664160401004</v>
      </c>
      <c r="KV27" s="64">
        <v>6.3930520746310222</v>
      </c>
      <c r="KW27" s="482">
        <v>10.536780012067206</v>
      </c>
      <c r="KX27" s="9"/>
      <c r="KY27" s="64"/>
      <c r="KZ27" s="64"/>
      <c r="LA27" s="64"/>
      <c r="LB27" s="64"/>
      <c r="LC27" s="12"/>
      <c r="LD27" s="2669"/>
      <c r="LF27" s="4">
        <f t="shared" si="59"/>
        <v>7530.0960000000014</v>
      </c>
      <c r="LG27" s="5">
        <f t="shared" si="59"/>
        <v>1882.5240000000003</v>
      </c>
      <c r="LH27" s="5">
        <f t="shared" si="59"/>
        <v>0</v>
      </c>
      <c r="LI27" s="15">
        <f t="shared" si="60"/>
        <v>9412.6200000000026</v>
      </c>
      <c r="LJ27" s="9">
        <v>1</v>
      </c>
      <c r="LK27" s="5"/>
      <c r="LL27" s="5">
        <v>1</v>
      </c>
      <c r="LM27" s="12"/>
      <c r="LN27" s="1111">
        <v>6.31</v>
      </c>
      <c r="LO27" s="486"/>
      <c r="LP27" s="2688"/>
      <c r="LQ27" s="9">
        <v>7530.0960000000014</v>
      </c>
      <c r="LR27" s="9">
        <v>1882.5240000000003</v>
      </c>
      <c r="LS27" s="5"/>
      <c r="LT27" s="5"/>
      <c r="LU27" s="5"/>
      <c r="LV27" s="1107">
        <f t="shared" si="61"/>
        <v>9412.6200000000026</v>
      </c>
      <c r="LW27" s="9"/>
      <c r="LX27" s="9"/>
      <c r="LY27" s="5"/>
      <c r="LZ27" s="5"/>
      <c r="MA27" s="12"/>
      <c r="MB27" s="28">
        <f t="shared" si="62"/>
        <v>0</v>
      </c>
      <c r="MC27" s="4"/>
      <c r="MD27" s="9"/>
      <c r="ME27" s="5"/>
      <c r="MF27" s="5"/>
      <c r="MG27" s="5"/>
      <c r="MH27" s="15"/>
      <c r="MI27" s="9"/>
      <c r="MJ27" s="9"/>
      <c r="MK27" s="5"/>
      <c r="ML27" s="5"/>
      <c r="MM27" s="5"/>
      <c r="MN27" s="15"/>
      <c r="MO27" s="9"/>
      <c r="MP27" s="9"/>
      <c r="MQ27" s="5"/>
      <c r="MR27" s="5"/>
      <c r="MS27" s="5"/>
      <c r="MT27" s="12">
        <f t="shared" si="63"/>
        <v>0</v>
      </c>
      <c r="MU27" s="2688"/>
      <c r="MW27" s="4">
        <f t="shared" si="64"/>
        <v>65674.291216285492</v>
      </c>
      <c r="MX27" s="5">
        <f t="shared" si="65"/>
        <v>81533.201281839458</v>
      </c>
      <c r="MY27" s="5">
        <f t="shared" si="66"/>
        <v>23630.293116668145</v>
      </c>
      <c r="MZ27" s="15">
        <f t="shared" si="67"/>
        <v>436039.30665121425</v>
      </c>
      <c r="NA27" s="2621"/>
      <c r="NB27" s="23">
        <f t="shared" si="68"/>
        <v>48910.186076933489</v>
      </c>
      <c r="NC27" s="64">
        <f t="shared" si="69"/>
        <v>16764.105139352007</v>
      </c>
      <c r="ND27" s="60">
        <f t="shared" si="70"/>
        <v>0</v>
      </c>
      <c r="NE27" s="1042">
        <f t="shared" si="4"/>
        <v>65674.291216285492</v>
      </c>
      <c r="NF27" s="4">
        <f t="shared" si="120"/>
        <v>0</v>
      </c>
      <c r="NG27" s="5">
        <f t="shared" si="120"/>
        <v>0</v>
      </c>
      <c r="NH27" s="5">
        <f t="shared" si="120"/>
        <v>0</v>
      </c>
      <c r="NI27" s="5">
        <f t="shared" si="120"/>
        <v>0</v>
      </c>
      <c r="NJ27" s="5">
        <f t="shared" si="120"/>
        <v>0</v>
      </c>
      <c r="NK27" s="12">
        <f t="shared" si="120"/>
        <v>0</v>
      </c>
      <c r="NL27" s="27">
        <f t="shared" si="120"/>
        <v>0</v>
      </c>
      <c r="NM27" s="9">
        <f t="shared" si="120"/>
        <v>0</v>
      </c>
      <c r="NN27" s="27">
        <f t="shared" si="120"/>
        <v>36462.942027032754</v>
      </c>
      <c r="NO27" s="5">
        <f t="shared" si="120"/>
        <v>0</v>
      </c>
      <c r="NP27" s="24">
        <f t="shared" si="114"/>
        <v>8756.5482322711578</v>
      </c>
      <c r="NQ27" s="24">
        <f t="shared" si="115"/>
        <v>13940.905013230798</v>
      </c>
      <c r="NR27" s="5">
        <f t="shared" si="0"/>
        <v>59160.395272534712</v>
      </c>
      <c r="NS27" s="27">
        <f t="shared" si="121"/>
        <v>0</v>
      </c>
      <c r="NT27" s="5">
        <f t="shared" si="121"/>
        <v>0</v>
      </c>
      <c r="NU27" s="5">
        <f t="shared" si="121"/>
        <v>0</v>
      </c>
      <c r="NV27" s="5">
        <f t="shared" si="121"/>
        <v>0</v>
      </c>
      <c r="NW27" s="5">
        <f t="shared" si="121"/>
        <v>0</v>
      </c>
      <c r="NX27" s="5">
        <f t="shared" si="121"/>
        <v>0</v>
      </c>
      <c r="NY27" s="27">
        <f t="shared" si="121"/>
        <v>13028.30460925238</v>
      </c>
      <c r="NZ27" s="5">
        <f t="shared" si="121"/>
        <v>0</v>
      </c>
      <c r="OA27" s="27">
        <f t="shared" si="121"/>
        <v>1237.0999999999999</v>
      </c>
      <c r="OB27" s="5"/>
      <c r="OC27" s="24">
        <f t="shared" si="122"/>
        <v>1565.61197844705</v>
      </c>
      <c r="OD27" s="5">
        <f t="shared" si="122"/>
        <v>0</v>
      </c>
      <c r="OE27" s="5">
        <f t="shared" si="1"/>
        <v>15831.016587699431</v>
      </c>
      <c r="OF27" s="5">
        <f t="shared" si="123"/>
        <v>0</v>
      </c>
      <c r="OG27" s="5">
        <f t="shared" si="123"/>
        <v>0</v>
      </c>
      <c r="OH27" s="5">
        <f t="shared" si="123"/>
        <v>0</v>
      </c>
      <c r="OI27" s="5">
        <f t="shared" si="123"/>
        <v>0</v>
      </c>
      <c r="OJ27" s="27">
        <f t="shared" si="123"/>
        <v>0</v>
      </c>
      <c r="OK27" s="5">
        <f t="shared" si="123"/>
        <v>0</v>
      </c>
      <c r="OL27" s="24">
        <f t="shared" si="123"/>
        <v>0</v>
      </c>
      <c r="OM27" s="5">
        <f t="shared" si="123"/>
        <v>0</v>
      </c>
      <c r="ON27" s="24">
        <f t="shared" si="123"/>
        <v>1297.0302538002079</v>
      </c>
      <c r="OO27" s="5">
        <f t="shared" si="123"/>
        <v>0</v>
      </c>
      <c r="OP27" s="5">
        <f t="shared" si="123"/>
        <v>5244.7591678051003</v>
      </c>
      <c r="OQ27" s="5">
        <f t="shared" si="123"/>
        <v>0</v>
      </c>
      <c r="OR27" s="15">
        <f t="shared" si="2"/>
        <v>6541.7894216053082</v>
      </c>
      <c r="OS27" s="9"/>
      <c r="OT27" s="5"/>
      <c r="OU27" s="5"/>
      <c r="OV27" s="5"/>
      <c r="OW27" s="5"/>
      <c r="OX27" s="5"/>
      <c r="OY27" s="15">
        <f t="shared" si="75"/>
        <v>0</v>
      </c>
      <c r="OZ27" s="9">
        <f t="shared" si="76"/>
        <v>0</v>
      </c>
      <c r="PA27" s="5">
        <f t="shared" si="77"/>
        <v>0</v>
      </c>
      <c r="PB27" s="5">
        <f t="shared" si="78"/>
        <v>0</v>
      </c>
      <c r="PC27" s="5">
        <f t="shared" si="79"/>
        <v>0</v>
      </c>
      <c r="PD27" s="5">
        <f t="shared" si="80"/>
        <v>0</v>
      </c>
      <c r="PE27" s="5">
        <f t="shared" si="81"/>
        <v>0</v>
      </c>
      <c r="PF27" s="12">
        <f t="shared" si="3"/>
        <v>0</v>
      </c>
      <c r="PG27" s="2621"/>
      <c r="PI27" s="2"/>
      <c r="PJ27" s="3"/>
      <c r="PK27" s="3"/>
      <c r="PL27" s="3">
        <f t="shared" si="116"/>
        <v>307.39999999999998</v>
      </c>
      <c r="PM27" s="3">
        <f t="shared" si="82"/>
        <v>0</v>
      </c>
      <c r="PN27" s="11">
        <f t="shared" si="117"/>
        <v>23630.293116668145</v>
      </c>
      <c r="PO27" s="15"/>
      <c r="PP27" s="2615"/>
      <c r="PR27" s="4"/>
      <c r="PS27" s="9"/>
      <c r="PT27" s="9"/>
      <c r="PU27" s="9"/>
      <c r="PV27" s="9"/>
      <c r="PW27" s="9"/>
      <c r="PX27" s="8">
        <f t="shared" si="83"/>
        <v>0</v>
      </c>
      <c r="PY27" s="5">
        <f t="shared" si="84"/>
        <v>0</v>
      </c>
      <c r="PZ27" s="5"/>
      <c r="QA27" s="5"/>
      <c r="QB27" s="5"/>
      <c r="QC27" s="5"/>
      <c r="QD27" s="5"/>
      <c r="QE27" s="12">
        <f t="shared" si="85"/>
        <v>29749.381073161156</v>
      </c>
      <c r="QF27" s="420">
        <f t="shared" si="86"/>
        <v>404667.5455780531</v>
      </c>
      <c r="QG27" s="1106">
        <f t="shared" si="87"/>
        <v>1622.38</v>
      </c>
      <c r="QH27" s="484">
        <f t="shared" si="88"/>
        <v>5505.3678056100007</v>
      </c>
      <c r="QI27" s="12"/>
      <c r="QJ27" s="2615"/>
      <c r="QL27" s="139">
        <f t="shared" si="89"/>
        <v>0</v>
      </c>
      <c r="QM27" s="139" t="str">
        <f t="shared" si="90"/>
        <v/>
      </c>
      <c r="QO27" s="139">
        <f t="shared" si="91"/>
        <v>0</v>
      </c>
      <c r="QP27" s="139">
        <f t="shared" si="92"/>
        <v>0</v>
      </c>
      <c r="QR27" s="1">
        <f t="shared" si="93"/>
        <v>0</v>
      </c>
      <c r="QS27" s="1">
        <f t="shared" si="94"/>
        <v>0</v>
      </c>
      <c r="QT27" s="1">
        <f t="shared" si="95"/>
        <v>0</v>
      </c>
      <c r="QU27" s="1">
        <f t="shared" si="96"/>
        <v>0</v>
      </c>
      <c r="QV27" s="1">
        <f t="shared" si="97"/>
        <v>0</v>
      </c>
      <c r="QW27" s="1">
        <f t="shared" si="98"/>
        <v>0</v>
      </c>
      <c r="QY27" s="1">
        <f t="shared" si="99"/>
        <v>0</v>
      </c>
      <c r="QZ27" s="1">
        <f t="shared" si="100"/>
        <v>0</v>
      </c>
      <c r="RA27" s="1">
        <f t="shared" si="101"/>
        <v>0</v>
      </c>
      <c r="RB27" s="1">
        <f t="shared" si="102"/>
        <v>0</v>
      </c>
      <c r="RC27" s="1">
        <f t="shared" si="103"/>
        <v>0</v>
      </c>
      <c r="RD27" s="1">
        <f t="shared" si="104"/>
        <v>0</v>
      </c>
      <c r="RG27" s="1">
        <v>18</v>
      </c>
      <c r="RH27" s="1">
        <f t="shared" si="119"/>
        <v>22582.355209717101</v>
      </c>
      <c r="RI27" s="1">
        <f t="shared" si="119"/>
        <v>1686.6517804837176</v>
      </c>
      <c r="RJ27" s="1">
        <f t="shared" si="119"/>
        <v>13404.263703387322</v>
      </c>
      <c r="RK27" s="89">
        <f t="shared" si="5"/>
        <v>37673.270693588143</v>
      </c>
      <c r="RL27" s="1033">
        <v>18</v>
      </c>
      <c r="RM27" s="1098">
        <f t="shared" si="118"/>
        <v>0</v>
      </c>
      <c r="RN27" s="1098">
        <f t="shared" si="106"/>
        <v>0</v>
      </c>
      <c r="RO27" s="1097">
        <f t="shared" si="106"/>
        <v>0</v>
      </c>
      <c r="RP27" s="1097">
        <f t="shared" si="107"/>
        <v>4173.6400000000003</v>
      </c>
      <c r="RQ27" s="1050"/>
      <c r="RR27" s="1050" t="s">
        <v>782</v>
      </c>
      <c r="RS27" s="1048"/>
      <c r="RU27" s="421">
        <v>18</v>
      </c>
      <c r="RV27" s="1095">
        <f t="shared" si="108"/>
        <v>11176.279999999999</v>
      </c>
      <c r="RW27" s="1046" t="s">
        <v>783</v>
      </c>
      <c r="RX27" s="1048"/>
      <c r="RY27" s="1090"/>
      <c r="RZ27" s="1090">
        <f t="shared" si="109"/>
        <v>0</v>
      </c>
      <c r="SA27" s="1090"/>
      <c r="SB27" s="1090">
        <f t="shared" si="110"/>
        <v>0</v>
      </c>
      <c r="SD27" s="1">
        <v>18</v>
      </c>
      <c r="SE27" s="1">
        <f t="shared" si="111"/>
        <v>307.39999999999998</v>
      </c>
      <c r="SF27" s="1094" t="s">
        <v>784</v>
      </c>
    </row>
    <row r="28" spans="1:500" s="1" customFormat="1">
      <c r="B28" s="471">
        <v>19</v>
      </c>
      <c r="C28" s="4">
        <f t="shared" si="6"/>
        <v>153131</v>
      </c>
      <c r="D28" s="64">
        <f t="shared" si="112"/>
        <v>8503.5800000000017</v>
      </c>
      <c r="E28" s="61">
        <f t="shared" si="7"/>
        <v>18.007827291564254</v>
      </c>
      <c r="F28" s="870"/>
      <c r="G28" s="870"/>
      <c r="H28" s="52">
        <v>5</v>
      </c>
      <c r="I28" s="61">
        <v>2.37</v>
      </c>
      <c r="J28" s="52"/>
      <c r="K28" s="54"/>
      <c r="L28" s="52"/>
      <c r="M28" s="61"/>
      <c r="N28" s="2629"/>
      <c r="O28" s="4">
        <f t="shared" si="8"/>
        <v>90006</v>
      </c>
      <c r="P28" s="1225">
        <f t="shared" si="9"/>
        <v>4358.2000000000007</v>
      </c>
      <c r="Q28" s="64">
        <f t="shared" si="10"/>
        <v>20.652104079665914</v>
      </c>
      <c r="R28" s="33"/>
      <c r="S28" s="26">
        <f t="shared" si="11"/>
        <v>32672</v>
      </c>
      <c r="T28" s="27">
        <f t="shared" si="12"/>
        <v>1265.3799999999999</v>
      </c>
      <c r="U28" s="53">
        <f t="shared" si="13"/>
        <v>25.819911805149445</v>
      </c>
      <c r="V28" s="28"/>
      <c r="W28" s="26">
        <f t="shared" si="14"/>
        <v>30453</v>
      </c>
      <c r="X28" s="5">
        <f t="shared" si="14"/>
        <v>2880</v>
      </c>
      <c r="Y28" s="53">
        <f t="shared" si="15"/>
        <v>10.573958333333334</v>
      </c>
      <c r="Z28" s="33"/>
      <c r="AA28" s="26">
        <f t="shared" si="16"/>
        <v>0</v>
      </c>
      <c r="AB28" s="27">
        <f t="shared" si="17"/>
        <v>0</v>
      </c>
      <c r="AC28" s="53">
        <f t="shared" si="18"/>
        <v>0</v>
      </c>
      <c r="AD28" s="28"/>
      <c r="AE28" s="36"/>
      <c r="AF28" s="36"/>
      <c r="AG28" s="53">
        <f t="shared" si="19"/>
        <v>0</v>
      </c>
      <c r="AH28" s="28"/>
      <c r="AI28" s="23"/>
      <c r="AJ28" s="27"/>
      <c r="AK28" s="53">
        <f t="shared" si="20"/>
        <v>0</v>
      </c>
      <c r="AL28" s="28"/>
      <c r="AM28" s="2629"/>
      <c r="AN28" s="9"/>
      <c r="AO28" s="5"/>
      <c r="AP28" s="61">
        <f t="shared" si="21"/>
        <v>0</v>
      </c>
      <c r="AQ28" s="36"/>
      <c r="AR28" s="53"/>
      <c r="AS28" s="61">
        <f t="shared" si="22"/>
        <v>0</v>
      </c>
      <c r="AT28" s="36">
        <v>0</v>
      </c>
      <c r="AU28" s="27"/>
      <c r="AV28" s="61">
        <f t="shared" si="23"/>
        <v>0</v>
      </c>
      <c r="AW28" s="36">
        <v>49266</v>
      </c>
      <c r="AX28" s="27">
        <v>2199.52</v>
      </c>
      <c r="AY28" s="61">
        <f t="shared" si="24"/>
        <v>22.398523314177638</v>
      </c>
      <c r="AZ28" s="36"/>
      <c r="BA28" s="27"/>
      <c r="BB28" s="61">
        <f t="shared" si="25"/>
        <v>0</v>
      </c>
      <c r="BC28" s="36">
        <v>40740</v>
      </c>
      <c r="BD28" s="5">
        <v>2158.6800000000003</v>
      </c>
      <c r="BE28" s="61">
        <f t="shared" si="26"/>
        <v>18.872644393796207</v>
      </c>
      <c r="BF28" s="36"/>
      <c r="BG28" s="53"/>
      <c r="BH28" s="61">
        <f t="shared" si="27"/>
        <v>0</v>
      </c>
      <c r="BI28" s="36">
        <v>0</v>
      </c>
      <c r="BJ28" s="53">
        <v>0</v>
      </c>
      <c r="BK28" s="61">
        <f t="shared" si="28"/>
        <v>0</v>
      </c>
      <c r="BL28" s="52">
        <v>32672</v>
      </c>
      <c r="BM28" s="53">
        <v>1265.3799999999999</v>
      </c>
      <c r="BN28" s="482">
        <f t="shared" si="29"/>
        <v>25.819911805149445</v>
      </c>
      <c r="BO28" s="9"/>
      <c r="BP28" s="64"/>
      <c r="BQ28" s="482">
        <f t="shared" si="30"/>
        <v>0</v>
      </c>
      <c r="BR28" s="9"/>
      <c r="BS28" s="64"/>
      <c r="BT28" s="482">
        <f t="shared" si="31"/>
        <v>0</v>
      </c>
      <c r="BU28" s="9">
        <v>30453</v>
      </c>
      <c r="BV28" s="27">
        <v>2880</v>
      </c>
      <c r="BW28" s="15">
        <f t="shared" si="32"/>
        <v>10.573958333333334</v>
      </c>
      <c r="BX28" s="26"/>
      <c r="BY28" s="5"/>
      <c r="BZ28" s="482">
        <f t="shared" si="33"/>
        <v>0</v>
      </c>
      <c r="CA28" s="9"/>
      <c r="CB28" s="5"/>
      <c r="CC28" s="482">
        <f t="shared" si="34"/>
        <v>0</v>
      </c>
      <c r="CD28" s="4"/>
      <c r="CE28" s="5"/>
      <c r="CF28" s="28">
        <f t="shared" si="35"/>
        <v>0</v>
      </c>
      <c r="CG28" s="150"/>
      <c r="CH28" s="1108">
        <v>0</v>
      </c>
      <c r="CI28" s="5"/>
      <c r="CJ28" s="5"/>
      <c r="CK28" s="5">
        <v>11898</v>
      </c>
      <c r="CL28" s="5"/>
      <c r="CM28" s="5">
        <f t="shared" si="113"/>
        <v>11898</v>
      </c>
      <c r="CN28" s="33"/>
      <c r="CO28" s="366"/>
      <c r="CQ28" s="4">
        <f t="shared" si="36"/>
        <v>0</v>
      </c>
      <c r="CR28" s="9">
        <f t="shared" si="36"/>
        <v>0</v>
      </c>
      <c r="CS28" s="5">
        <f t="shared" si="36"/>
        <v>0</v>
      </c>
      <c r="CT28" s="5">
        <f t="shared" si="36"/>
        <v>0</v>
      </c>
      <c r="CU28" s="5">
        <f t="shared" si="36"/>
        <v>0</v>
      </c>
      <c r="CV28" s="5">
        <f t="shared" si="36"/>
        <v>0</v>
      </c>
      <c r="CW28" s="5">
        <f t="shared" si="36"/>
        <v>0</v>
      </c>
      <c r="CX28" s="5">
        <f t="shared" si="36"/>
        <v>0</v>
      </c>
      <c r="CY28" s="5">
        <f t="shared" si="36"/>
        <v>8260.7200000000012</v>
      </c>
      <c r="CZ28" s="5">
        <f t="shared" si="36"/>
        <v>0</v>
      </c>
      <c r="DA28" s="5">
        <f t="shared" si="36"/>
        <v>242.86</v>
      </c>
      <c r="DB28" s="12">
        <f t="shared" si="36"/>
        <v>0</v>
      </c>
      <c r="DC28" s="310">
        <f t="shared" si="37"/>
        <v>8503.5800000000017</v>
      </c>
      <c r="DD28" s="2695"/>
      <c r="DE28" s="9"/>
      <c r="DF28" s="9"/>
      <c r="DG28" s="5"/>
      <c r="DH28" s="5"/>
      <c r="DI28" s="5"/>
      <c r="DJ28" s="5"/>
      <c r="DK28" s="5"/>
      <c r="DL28" s="5"/>
      <c r="DM28" s="5">
        <v>2199.52</v>
      </c>
      <c r="DN28" s="5"/>
      <c r="DO28" s="488"/>
      <c r="DP28" s="324"/>
      <c r="DQ28" s="28">
        <f t="shared" si="38"/>
        <v>2199.52</v>
      </c>
      <c r="DR28" s="36"/>
      <c r="DS28" s="9"/>
      <c r="DT28" s="5"/>
      <c r="DU28" s="5"/>
      <c r="DV28" s="5"/>
      <c r="DW28" s="5"/>
      <c r="DX28" s="27"/>
      <c r="DY28" s="27"/>
      <c r="DZ28" s="27">
        <v>3301.2000000000003</v>
      </c>
      <c r="EA28" s="27"/>
      <c r="EB28" s="27">
        <v>122.86</v>
      </c>
      <c r="EC28" s="33"/>
      <c r="ED28" s="28">
        <f t="shared" si="39"/>
        <v>3424.0600000000004</v>
      </c>
      <c r="EE28" s="856"/>
      <c r="EF28" s="36"/>
      <c r="EG28" s="27"/>
      <c r="EH28" s="27"/>
      <c r="EI28" s="27"/>
      <c r="EJ28" s="27"/>
      <c r="EK28" s="27"/>
      <c r="EL28" s="27"/>
      <c r="EM28" s="27">
        <v>2760</v>
      </c>
      <c r="EN28" s="27"/>
      <c r="EO28" s="27">
        <v>120</v>
      </c>
      <c r="EP28" s="33"/>
      <c r="EQ28" s="28">
        <f t="shared" si="40"/>
        <v>2880</v>
      </c>
      <c r="ER28" s="36"/>
      <c r="ES28" s="27"/>
      <c r="ET28" s="27"/>
      <c r="EU28" s="27"/>
      <c r="EV28" s="27"/>
      <c r="EW28" s="27"/>
      <c r="EX28" s="33">
        <f t="shared" si="41"/>
        <v>0</v>
      </c>
      <c r="EY28" s="2685"/>
      <c r="FA28" s="4">
        <f t="shared" si="42"/>
        <v>0</v>
      </c>
      <c r="FB28" s="5">
        <f t="shared" si="43"/>
        <v>0</v>
      </c>
      <c r="FC28" s="5">
        <f t="shared" si="44"/>
        <v>0</v>
      </c>
      <c r="FD28" s="12">
        <f t="shared" si="45"/>
        <v>0</v>
      </c>
      <c r="FE28" s="33"/>
      <c r="FF28" s="2674"/>
      <c r="FG28" s="9"/>
      <c r="FH28" s="5"/>
      <c r="FI28" s="5"/>
      <c r="FJ28" s="5"/>
      <c r="FK28" s="5"/>
      <c r="FL28" s="27"/>
      <c r="FM28" s="28">
        <f t="shared" si="46"/>
        <v>0</v>
      </c>
      <c r="FN28" s="36"/>
      <c r="FO28" s="27"/>
      <c r="FP28" s="27"/>
      <c r="FQ28" s="27"/>
      <c r="FR28" s="27"/>
      <c r="FS28" s="27"/>
      <c r="FT28" s="28">
        <f t="shared" si="47"/>
        <v>0</v>
      </c>
      <c r="FU28" s="36"/>
      <c r="FV28" s="36"/>
      <c r="FW28" s="27"/>
      <c r="FX28" s="27"/>
      <c r="FY28" s="27"/>
      <c r="FZ28" s="27"/>
      <c r="GA28" s="27"/>
      <c r="GB28" s="27"/>
      <c r="GC28" s="27"/>
      <c r="GD28" s="27"/>
      <c r="GE28" s="27"/>
      <c r="GF28" s="33"/>
      <c r="GG28" s="33">
        <f t="shared" si="48"/>
        <v>0</v>
      </c>
      <c r="GH28" s="2674"/>
      <c r="GJ28" s="4">
        <f t="shared" si="49"/>
        <v>1751.6</v>
      </c>
      <c r="GK28" s="5">
        <f t="shared" si="50"/>
        <v>9498.7599999999984</v>
      </c>
      <c r="GL28" s="27">
        <f t="shared" si="51"/>
        <v>2027.6</v>
      </c>
      <c r="GM28" s="27">
        <f t="shared" si="52"/>
        <v>13277.96</v>
      </c>
      <c r="GN28" s="141"/>
      <c r="GO28" s="141"/>
      <c r="GP28" s="33"/>
      <c r="GQ28" s="2667"/>
      <c r="GR28" s="845">
        <v>6743</v>
      </c>
      <c r="GS28" s="36"/>
      <c r="GT28" s="27">
        <v>2355.1800000000003</v>
      </c>
      <c r="GU28" s="27">
        <v>4179.78</v>
      </c>
      <c r="GV28" s="33">
        <f t="shared" si="53"/>
        <v>13277.96</v>
      </c>
      <c r="GW28" s="2667"/>
      <c r="GX28" s="36"/>
      <c r="GY28" s="36"/>
      <c r="GZ28" s="27"/>
      <c r="HA28" s="27"/>
      <c r="HB28" s="27"/>
      <c r="HC28" s="27"/>
      <c r="HD28" s="27"/>
      <c r="HE28" s="27"/>
      <c r="HF28" s="27"/>
      <c r="HG28" s="27"/>
      <c r="HH28" s="27">
        <v>1751.6</v>
      </c>
      <c r="HI28" s="27"/>
      <c r="HJ28" s="27"/>
      <c r="HK28" s="27"/>
      <c r="HL28" s="28">
        <f t="shared" si="54"/>
        <v>1751.6</v>
      </c>
      <c r="HM28" s="36"/>
      <c r="HN28" s="27"/>
      <c r="HO28" s="27"/>
      <c r="HP28" s="27"/>
      <c r="HQ28" s="27"/>
      <c r="HR28" s="27"/>
      <c r="HS28" s="27"/>
      <c r="HT28" s="27"/>
      <c r="HU28" s="27"/>
      <c r="HV28" s="27"/>
      <c r="HW28" s="27"/>
      <c r="HX28" s="27"/>
      <c r="HY28" s="27"/>
      <c r="HZ28" s="27"/>
      <c r="IA28" s="33">
        <f t="shared" si="55"/>
        <v>0</v>
      </c>
      <c r="IB28" s="52"/>
      <c r="IC28" s="152"/>
      <c r="ID28" s="53"/>
      <c r="IE28" s="53"/>
      <c r="IF28" s="53"/>
      <c r="IG28" s="53"/>
      <c r="IH28" s="53">
        <v>9498.7599999999984</v>
      </c>
      <c r="II28" s="53"/>
      <c r="IJ28" s="53"/>
      <c r="IK28" s="53"/>
      <c r="IL28" s="53"/>
      <c r="IM28" s="53"/>
      <c r="IN28" s="53"/>
      <c r="IO28" s="53"/>
      <c r="IP28" s="61">
        <f t="shared" si="56"/>
        <v>9498.7599999999984</v>
      </c>
      <c r="IQ28" s="36"/>
      <c r="IR28" s="36"/>
      <c r="IS28" s="27"/>
      <c r="IT28" s="27"/>
      <c r="IU28" s="53"/>
      <c r="IV28" s="27"/>
      <c r="IW28" s="27"/>
      <c r="IX28" s="27"/>
      <c r="IY28" s="27">
        <v>437.36</v>
      </c>
      <c r="IZ28" s="27"/>
      <c r="JA28" s="27">
        <v>1590.2399999999998</v>
      </c>
      <c r="JB28" s="27"/>
      <c r="JC28" s="27"/>
      <c r="JD28" s="27"/>
      <c r="JE28" s="33">
        <f t="shared" si="57"/>
        <v>2027.6</v>
      </c>
      <c r="JF28" s="2667"/>
      <c r="JH28" s="52"/>
      <c r="JI28" s="152">
        <v>13277.959999999997</v>
      </c>
      <c r="JJ28" s="53"/>
      <c r="JK28" s="53">
        <f t="shared" si="58"/>
        <v>13277.959999999997</v>
      </c>
      <c r="JL28" s="33"/>
      <c r="JM28" s="2669"/>
      <c r="JN28" s="69"/>
      <c r="JO28" s="70"/>
      <c r="JP28" s="70"/>
      <c r="JQ28" s="70"/>
      <c r="JR28" s="70">
        <v>0.21570329453541134</v>
      </c>
      <c r="JS28" s="70">
        <v>0.78429670546458863</v>
      </c>
      <c r="JT28" s="70"/>
      <c r="JU28" s="71"/>
      <c r="JV28" s="69"/>
      <c r="JW28" s="70"/>
      <c r="JX28" s="70"/>
      <c r="JY28" s="70">
        <v>0.71537796468734649</v>
      </c>
      <c r="JZ28" s="70">
        <v>3.293879481486614E-2</v>
      </c>
      <c r="KA28" s="70">
        <v>0.25168324049778729</v>
      </c>
      <c r="KB28" s="70"/>
      <c r="KC28" s="71"/>
      <c r="KD28" s="69"/>
      <c r="KE28" s="70"/>
      <c r="KF28" s="70"/>
      <c r="KG28" s="70"/>
      <c r="KH28" s="70"/>
      <c r="KI28" s="70"/>
      <c r="KJ28" s="70"/>
      <c r="KK28" s="70"/>
      <c r="KL28" s="33"/>
      <c r="KM28" s="2669"/>
      <c r="KN28" s="36">
        <v>0</v>
      </c>
      <c r="KO28" s="53">
        <v>0</v>
      </c>
      <c r="KP28" s="53">
        <v>0</v>
      </c>
      <c r="KQ28" s="53">
        <v>0</v>
      </c>
      <c r="KR28" s="54">
        <v>0</v>
      </c>
      <c r="KS28" s="4">
        <v>6899.3207284537757</v>
      </c>
      <c r="KT28" s="64">
        <v>2.2194629393341838</v>
      </c>
      <c r="KU28" s="64">
        <v>4.7376464447279902</v>
      </c>
      <c r="KV28" s="64">
        <v>7.2629033754784835</v>
      </c>
      <c r="KW28" s="482">
        <v>10.420544149866602</v>
      </c>
      <c r="KX28" s="36"/>
      <c r="KY28" s="53"/>
      <c r="KZ28" s="53"/>
      <c r="LA28" s="53"/>
      <c r="LB28" s="53"/>
      <c r="LC28" s="33"/>
      <c r="LD28" s="2669"/>
      <c r="LF28" s="4">
        <f t="shared" si="59"/>
        <v>0</v>
      </c>
      <c r="LG28" s="27">
        <f t="shared" si="59"/>
        <v>0</v>
      </c>
      <c r="LH28" s="27">
        <f t="shared" si="59"/>
        <v>0</v>
      </c>
      <c r="LI28" s="28">
        <f t="shared" si="60"/>
        <v>0</v>
      </c>
      <c r="LJ28" s="36"/>
      <c r="LK28" s="27"/>
      <c r="LL28" s="27">
        <v>4</v>
      </c>
      <c r="LM28" s="33"/>
      <c r="LN28" s="1041">
        <v>6.15</v>
      </c>
      <c r="LO28" s="486" t="s">
        <v>680</v>
      </c>
      <c r="LP28" s="2688"/>
      <c r="LQ28" s="1036"/>
      <c r="LR28" s="36"/>
      <c r="LS28" s="27"/>
      <c r="LT28" s="27"/>
      <c r="LU28" s="27"/>
      <c r="LV28" s="1107">
        <f t="shared" si="61"/>
        <v>0</v>
      </c>
      <c r="LW28" s="36"/>
      <c r="LX28" s="36"/>
      <c r="LY28" s="27"/>
      <c r="LZ28" s="27"/>
      <c r="MA28" s="33"/>
      <c r="MB28" s="28">
        <f t="shared" si="62"/>
        <v>0</v>
      </c>
      <c r="MC28" s="26"/>
      <c r="MD28" s="36"/>
      <c r="ME28" s="27"/>
      <c r="MF28" s="27"/>
      <c r="MG28" s="27"/>
      <c r="MH28" s="28"/>
      <c r="MI28" s="36"/>
      <c r="MJ28" s="36"/>
      <c r="MK28" s="27"/>
      <c r="ML28" s="27"/>
      <c r="MM28" s="27"/>
      <c r="MN28" s="28"/>
      <c r="MO28" s="36"/>
      <c r="MP28" s="36"/>
      <c r="MQ28" s="27"/>
      <c r="MR28" s="27"/>
      <c r="MS28" s="27"/>
      <c r="MT28" s="33">
        <f t="shared" si="63"/>
        <v>0</v>
      </c>
      <c r="MU28" s="2688"/>
      <c r="MW28" s="26">
        <f t="shared" si="64"/>
        <v>70681.153785492221</v>
      </c>
      <c r="MX28" s="27">
        <f t="shared" si="65"/>
        <v>76758.821281839439</v>
      </c>
      <c r="MY28" s="27">
        <f t="shared" si="66"/>
        <v>23630.293116668145</v>
      </c>
      <c r="MZ28" s="28">
        <f t="shared" si="67"/>
        <v>436039.30665121425</v>
      </c>
      <c r="NA28" s="2621"/>
      <c r="NB28" s="23">
        <v>41943.984254802424</v>
      </c>
      <c r="NC28" s="64">
        <v>28737.169530689793</v>
      </c>
      <c r="ND28" s="60">
        <f t="shared" si="70"/>
        <v>0</v>
      </c>
      <c r="NE28" s="1110">
        <f t="shared" si="4"/>
        <v>70681.153785492221</v>
      </c>
      <c r="NF28" s="26">
        <f t="shared" si="120"/>
        <v>0</v>
      </c>
      <c r="NG28" s="27">
        <f t="shared" si="120"/>
        <v>0</v>
      </c>
      <c r="NH28" s="27">
        <f t="shared" si="120"/>
        <v>0</v>
      </c>
      <c r="NI28" s="27">
        <f t="shared" si="120"/>
        <v>0</v>
      </c>
      <c r="NJ28" s="27">
        <f t="shared" si="120"/>
        <v>0</v>
      </c>
      <c r="NK28" s="33">
        <f t="shared" si="120"/>
        <v>0</v>
      </c>
      <c r="NL28" s="27">
        <f t="shared" si="120"/>
        <v>0</v>
      </c>
      <c r="NM28" s="36">
        <f t="shared" si="120"/>
        <v>0</v>
      </c>
      <c r="NN28" s="27">
        <f t="shared" si="120"/>
        <v>39222.942027032754</v>
      </c>
      <c r="NO28" s="27">
        <f t="shared" si="120"/>
        <v>0</v>
      </c>
      <c r="NP28" s="24">
        <f t="shared" si="114"/>
        <v>8756.5482322711578</v>
      </c>
      <c r="NQ28" s="24">
        <f t="shared" si="115"/>
        <v>12309.305013230798</v>
      </c>
      <c r="NR28" s="27">
        <f t="shared" si="0"/>
        <v>60288.795272534713</v>
      </c>
      <c r="NS28" s="27">
        <f t="shared" si="121"/>
        <v>0</v>
      </c>
      <c r="NT28" s="27">
        <f t="shared" si="121"/>
        <v>0</v>
      </c>
      <c r="NU28" s="27">
        <f t="shared" si="121"/>
        <v>0</v>
      </c>
      <c r="NV28" s="27">
        <f t="shared" si="121"/>
        <v>0</v>
      </c>
      <c r="NW28" s="27">
        <f t="shared" si="121"/>
        <v>0</v>
      </c>
      <c r="NX28" s="5">
        <f t="shared" si="121"/>
        <v>0</v>
      </c>
      <c r="NY28" s="27">
        <f t="shared" si="121"/>
        <v>3529.5446092523816</v>
      </c>
      <c r="NZ28" s="27">
        <f t="shared" si="121"/>
        <v>0</v>
      </c>
      <c r="OA28" s="27">
        <f t="shared" si="121"/>
        <v>3436.62</v>
      </c>
      <c r="OB28" s="27"/>
      <c r="OC28" s="24">
        <f t="shared" si="122"/>
        <v>1565.61197844705</v>
      </c>
      <c r="OD28" s="27">
        <f t="shared" si="122"/>
        <v>0</v>
      </c>
      <c r="OE28" s="28">
        <f t="shared" si="1"/>
        <v>8531.7765876994308</v>
      </c>
      <c r="OF28" s="27">
        <f t="shared" si="123"/>
        <v>0</v>
      </c>
      <c r="OG28" s="27">
        <f t="shared" si="123"/>
        <v>0</v>
      </c>
      <c r="OH28" s="27">
        <f t="shared" si="123"/>
        <v>0</v>
      </c>
      <c r="OI28" s="27">
        <f t="shared" si="123"/>
        <v>0</v>
      </c>
      <c r="OJ28" s="27">
        <f t="shared" si="123"/>
        <v>0</v>
      </c>
      <c r="OK28" s="27">
        <f t="shared" si="123"/>
        <v>0</v>
      </c>
      <c r="OL28" s="24">
        <f t="shared" si="123"/>
        <v>0</v>
      </c>
      <c r="OM28" s="27">
        <f t="shared" si="123"/>
        <v>0</v>
      </c>
      <c r="ON28" s="24">
        <f t="shared" si="123"/>
        <v>4160.870253800208</v>
      </c>
      <c r="OO28" s="27">
        <f t="shared" si="123"/>
        <v>0</v>
      </c>
      <c r="OP28" s="27">
        <f t="shared" si="123"/>
        <v>3777.3791678051002</v>
      </c>
      <c r="OQ28" s="27">
        <f t="shared" si="123"/>
        <v>0</v>
      </c>
      <c r="OR28" s="28">
        <f t="shared" si="2"/>
        <v>7938.2494216053083</v>
      </c>
      <c r="OS28" s="36"/>
      <c r="OT28" s="27"/>
      <c r="OU28" s="27"/>
      <c r="OV28" s="27"/>
      <c r="OW28" s="27"/>
      <c r="OX28" s="27"/>
      <c r="OY28" s="28">
        <f t="shared" si="75"/>
        <v>0</v>
      </c>
      <c r="OZ28" s="36">
        <f t="shared" si="76"/>
        <v>0</v>
      </c>
      <c r="PA28" s="27">
        <f t="shared" si="77"/>
        <v>0</v>
      </c>
      <c r="PB28" s="27">
        <f t="shared" si="78"/>
        <v>0</v>
      </c>
      <c r="PC28" s="27">
        <f t="shared" si="79"/>
        <v>0</v>
      </c>
      <c r="PD28" s="27">
        <f t="shared" si="80"/>
        <v>0</v>
      </c>
      <c r="PE28" s="27">
        <f t="shared" si="81"/>
        <v>0</v>
      </c>
      <c r="PF28" s="33">
        <f t="shared" si="3"/>
        <v>0</v>
      </c>
      <c r="PG28" s="2621"/>
      <c r="PI28" s="2"/>
      <c r="PJ28" s="3"/>
      <c r="PK28" s="3"/>
      <c r="PL28" s="3">
        <f t="shared" si="116"/>
        <v>0</v>
      </c>
      <c r="PM28" s="3">
        <f t="shared" si="82"/>
        <v>0</v>
      </c>
      <c r="PN28" s="11">
        <f t="shared" si="117"/>
        <v>23630.293116668145</v>
      </c>
      <c r="PO28" s="15"/>
      <c r="PP28" s="2615"/>
      <c r="PR28" s="4"/>
      <c r="PS28" s="9"/>
      <c r="PT28" s="9"/>
      <c r="PU28" s="9"/>
      <c r="PV28" s="9"/>
      <c r="PW28" s="9"/>
      <c r="PX28" s="8">
        <f t="shared" si="83"/>
        <v>0</v>
      </c>
      <c r="PY28" s="5">
        <f t="shared" si="84"/>
        <v>0</v>
      </c>
      <c r="PZ28" s="5"/>
      <c r="QA28" s="5"/>
      <c r="QB28" s="5"/>
      <c r="QC28" s="5"/>
      <c r="QD28" s="5"/>
      <c r="QE28" s="12">
        <f t="shared" si="85"/>
        <v>29749.381073161156</v>
      </c>
      <c r="QF28" s="420">
        <f t="shared" si="86"/>
        <v>404667.5455780531</v>
      </c>
      <c r="QG28" s="1106">
        <f t="shared" si="87"/>
        <v>1622.38</v>
      </c>
      <c r="QH28" s="484">
        <f t="shared" si="88"/>
        <v>5505.3678056100007</v>
      </c>
      <c r="QI28" s="12"/>
      <c r="QJ28" s="2615"/>
      <c r="QL28" s="139" t="str">
        <f t="shared" si="89"/>
        <v/>
      </c>
      <c r="QM28" s="139" t="str">
        <f t="shared" si="90"/>
        <v/>
      </c>
      <c r="QO28" s="139">
        <f t="shared" si="91"/>
        <v>0</v>
      </c>
      <c r="QP28" s="139">
        <f t="shared" si="92"/>
        <v>0</v>
      </c>
      <c r="QR28" s="1">
        <f t="shared" si="93"/>
        <v>0</v>
      </c>
      <c r="QS28" s="1">
        <f t="shared" si="94"/>
        <v>0</v>
      </c>
      <c r="QT28" s="1">
        <f t="shared" si="95"/>
        <v>0</v>
      </c>
      <c r="QU28" s="1">
        <f t="shared" si="96"/>
        <v>0</v>
      </c>
      <c r="QV28" s="1">
        <f t="shared" si="97"/>
        <v>0</v>
      </c>
      <c r="QW28" s="1">
        <f t="shared" si="98"/>
        <v>0</v>
      </c>
      <c r="QY28" s="1">
        <f t="shared" si="99"/>
        <v>0</v>
      </c>
      <c r="QZ28" s="1">
        <f t="shared" si="100"/>
        <v>0</v>
      </c>
      <c r="RA28" s="1">
        <f t="shared" si="101"/>
        <v>0</v>
      </c>
      <c r="RB28" s="1">
        <f t="shared" si="102"/>
        <v>0</v>
      </c>
      <c r="RC28" s="1">
        <f t="shared" si="103"/>
        <v>0</v>
      </c>
      <c r="RD28" s="1">
        <f t="shared" si="104"/>
        <v>0</v>
      </c>
      <c r="RG28" s="1">
        <v>19</v>
      </c>
      <c r="RH28" s="1">
        <f t="shared" si="119"/>
        <v>22582.355209717101</v>
      </c>
      <c r="RI28" s="1">
        <f t="shared" si="119"/>
        <v>14964.611780483716</v>
      </c>
      <c r="RJ28" s="1">
        <f t="shared" si="119"/>
        <v>13404.263703387322</v>
      </c>
      <c r="RK28" s="89">
        <f t="shared" si="5"/>
        <v>50951.230693588135</v>
      </c>
      <c r="RL28" s="1033">
        <v>19</v>
      </c>
      <c r="RM28" s="1098">
        <f t="shared" si="118"/>
        <v>0</v>
      </c>
      <c r="RN28" s="1098">
        <f t="shared" si="106"/>
        <v>0</v>
      </c>
      <c r="RO28" s="1097">
        <f t="shared" si="106"/>
        <v>0</v>
      </c>
      <c r="RP28" s="1097">
        <f t="shared" si="107"/>
        <v>5623.58</v>
      </c>
      <c r="RQ28" s="1050"/>
      <c r="RR28" s="1046" t="s">
        <v>785</v>
      </c>
      <c r="RS28" s="1048"/>
      <c r="RU28" s="421">
        <v>19</v>
      </c>
      <c r="RV28" s="1095">
        <f t="shared" si="108"/>
        <v>13277.96</v>
      </c>
      <c r="RW28" s="1046" t="s">
        <v>786</v>
      </c>
      <c r="RX28" s="1048"/>
      <c r="RY28" s="1090"/>
      <c r="RZ28" s="1090">
        <f t="shared" si="109"/>
        <v>0</v>
      </c>
      <c r="SA28" s="1090"/>
      <c r="SB28" s="1090">
        <f t="shared" si="110"/>
        <v>0</v>
      </c>
      <c r="SD28" s="1">
        <v>19</v>
      </c>
      <c r="SE28" s="1">
        <f t="shared" si="111"/>
        <v>0</v>
      </c>
      <c r="SF28" s="1096"/>
    </row>
    <row r="29" spans="1:500" s="1" customFormat="1">
      <c r="B29" s="471">
        <v>20</v>
      </c>
      <c r="C29" s="4">
        <f t="shared" si="6"/>
        <v>122190</v>
      </c>
      <c r="D29" s="64">
        <f t="shared" si="112"/>
        <v>4986.2700000000004</v>
      </c>
      <c r="E29" s="482">
        <f t="shared" si="7"/>
        <v>24.50529153054287</v>
      </c>
      <c r="F29" s="870"/>
      <c r="G29" s="870"/>
      <c r="H29" s="845">
        <v>76</v>
      </c>
      <c r="I29" s="482">
        <v>4.7</v>
      </c>
      <c r="J29" s="845"/>
      <c r="K29" s="846"/>
      <c r="L29" s="845">
        <v>33.67</v>
      </c>
      <c r="M29" s="482">
        <v>6.17</v>
      </c>
      <c r="N29" s="2629"/>
      <c r="O29" s="4">
        <f t="shared" si="8"/>
        <v>72114</v>
      </c>
      <c r="P29" s="1225">
        <f t="shared" si="9"/>
        <v>2678.01</v>
      </c>
      <c r="Q29" s="64">
        <f t="shared" si="10"/>
        <v>26.928204151590172</v>
      </c>
      <c r="R29" s="12"/>
      <c r="S29" s="26">
        <f t="shared" si="11"/>
        <v>22713</v>
      </c>
      <c r="T29" s="27">
        <f t="shared" si="12"/>
        <v>1408.26</v>
      </c>
      <c r="U29" s="64">
        <f t="shared" si="13"/>
        <v>16.128413787226791</v>
      </c>
      <c r="V29" s="15"/>
      <c r="W29" s="26">
        <f t="shared" si="14"/>
        <v>27363</v>
      </c>
      <c r="X29" s="5">
        <f t="shared" si="14"/>
        <v>900</v>
      </c>
      <c r="Y29" s="64">
        <f t="shared" si="15"/>
        <v>30.403333333333332</v>
      </c>
      <c r="Z29" s="12"/>
      <c r="AA29" s="26">
        <f t="shared" si="16"/>
        <v>0</v>
      </c>
      <c r="AB29" s="27">
        <f t="shared" si="17"/>
        <v>0</v>
      </c>
      <c r="AC29" s="64">
        <f t="shared" si="18"/>
        <v>0</v>
      </c>
      <c r="AD29" s="15"/>
      <c r="AE29" s="9"/>
      <c r="AF29" s="9"/>
      <c r="AG29" s="64">
        <f t="shared" si="19"/>
        <v>0</v>
      </c>
      <c r="AH29" s="15"/>
      <c r="AI29" s="4"/>
      <c r="AJ29" s="5"/>
      <c r="AK29" s="64">
        <f t="shared" si="20"/>
        <v>0</v>
      </c>
      <c r="AL29" s="15"/>
      <c r="AM29" s="2629"/>
      <c r="AN29" s="9"/>
      <c r="AO29" s="5"/>
      <c r="AP29" s="482">
        <f t="shared" si="21"/>
        <v>0</v>
      </c>
      <c r="AQ29" s="9"/>
      <c r="AR29" s="64"/>
      <c r="AS29" s="482">
        <f t="shared" si="22"/>
        <v>0</v>
      </c>
      <c r="AT29" s="9">
        <v>0</v>
      </c>
      <c r="AU29" s="5"/>
      <c r="AV29" s="482">
        <f t="shared" si="23"/>
        <v>0</v>
      </c>
      <c r="AW29" s="9">
        <v>40194</v>
      </c>
      <c r="AX29" s="5">
        <v>2425.65</v>
      </c>
      <c r="AY29" s="482">
        <f t="shared" si="24"/>
        <v>16.57040380928823</v>
      </c>
      <c r="AZ29" s="9"/>
      <c r="BA29" s="5"/>
      <c r="BB29" s="482">
        <f t="shared" si="25"/>
        <v>0</v>
      </c>
      <c r="BC29" s="9">
        <v>31920</v>
      </c>
      <c r="BD29" s="5">
        <v>252.35999999999999</v>
      </c>
      <c r="BE29" s="482">
        <f t="shared" si="26"/>
        <v>126.48597242035189</v>
      </c>
      <c r="BF29" s="36"/>
      <c r="BG29" s="53"/>
      <c r="BH29" s="482">
        <f t="shared" si="27"/>
        <v>0</v>
      </c>
      <c r="BI29" s="9">
        <v>0</v>
      </c>
      <c r="BJ29" s="53">
        <v>0</v>
      </c>
      <c r="BK29" s="482">
        <f t="shared" si="28"/>
        <v>0</v>
      </c>
      <c r="BL29" s="52">
        <v>22713</v>
      </c>
      <c r="BM29" s="53">
        <v>1408.26</v>
      </c>
      <c r="BN29" s="482">
        <f t="shared" si="29"/>
        <v>16.128413787226791</v>
      </c>
      <c r="BO29" s="9"/>
      <c r="BP29" s="64"/>
      <c r="BQ29" s="482">
        <f t="shared" si="30"/>
        <v>0</v>
      </c>
      <c r="BR29" s="9"/>
      <c r="BS29" s="64"/>
      <c r="BT29" s="482">
        <f t="shared" si="31"/>
        <v>0</v>
      </c>
      <c r="BU29" s="9">
        <v>27363</v>
      </c>
      <c r="BV29" s="27">
        <v>900</v>
      </c>
      <c r="BW29" s="15">
        <f t="shared" si="32"/>
        <v>30.403333333333332</v>
      </c>
      <c r="BX29" s="26"/>
      <c r="BY29" s="5"/>
      <c r="BZ29" s="482">
        <f t="shared" si="33"/>
        <v>0</v>
      </c>
      <c r="CA29" s="9"/>
      <c r="CB29" s="5"/>
      <c r="CC29" s="482">
        <f t="shared" si="34"/>
        <v>0</v>
      </c>
      <c r="CD29" s="4"/>
      <c r="CE29" s="494"/>
      <c r="CF29" s="15">
        <f t="shared" si="35"/>
        <v>0</v>
      </c>
      <c r="CG29" s="150"/>
      <c r="CH29" s="1108">
        <v>1040</v>
      </c>
      <c r="CI29" s="5"/>
      <c r="CJ29" s="5"/>
      <c r="CK29" s="5">
        <v>7734.5</v>
      </c>
      <c r="CL29" s="5"/>
      <c r="CM29" s="5">
        <f t="shared" si="113"/>
        <v>8774.5</v>
      </c>
      <c r="CN29" s="12"/>
      <c r="CO29" s="366"/>
      <c r="CQ29" s="4">
        <f t="shared" si="36"/>
        <v>0</v>
      </c>
      <c r="CR29" s="9">
        <f t="shared" si="36"/>
        <v>0</v>
      </c>
      <c r="CS29" s="5">
        <f t="shared" si="36"/>
        <v>0</v>
      </c>
      <c r="CT29" s="5">
        <f t="shared" si="36"/>
        <v>0</v>
      </c>
      <c r="CU29" s="5">
        <f t="shared" si="36"/>
        <v>0</v>
      </c>
      <c r="CV29" s="5">
        <f t="shared" si="36"/>
        <v>0</v>
      </c>
      <c r="CW29" s="5">
        <f t="shared" si="36"/>
        <v>34.520000000000003</v>
      </c>
      <c r="CX29" s="5">
        <f t="shared" si="36"/>
        <v>0</v>
      </c>
      <c r="CY29" s="5">
        <f t="shared" si="36"/>
        <v>4917.43</v>
      </c>
      <c r="CZ29" s="5">
        <f t="shared" si="36"/>
        <v>0</v>
      </c>
      <c r="DA29" s="5">
        <f t="shared" si="36"/>
        <v>34.32</v>
      </c>
      <c r="DB29" s="12">
        <f t="shared" si="36"/>
        <v>0</v>
      </c>
      <c r="DC29" s="847">
        <f t="shared" si="37"/>
        <v>4986.2700000000004</v>
      </c>
      <c r="DD29" s="2695"/>
      <c r="DE29" s="9"/>
      <c r="DF29" s="9"/>
      <c r="DG29" s="5"/>
      <c r="DH29" s="5"/>
      <c r="DI29" s="5"/>
      <c r="DJ29" s="5"/>
      <c r="DK29" s="5">
        <v>34.520000000000003</v>
      </c>
      <c r="DL29" s="5"/>
      <c r="DM29" s="5">
        <v>2391.13</v>
      </c>
      <c r="DN29" s="5"/>
      <c r="DO29" s="5"/>
      <c r="DP29" s="12"/>
      <c r="DQ29" s="15">
        <f t="shared" si="38"/>
        <v>2425.65</v>
      </c>
      <c r="DR29" s="9"/>
      <c r="DS29" s="9"/>
      <c r="DT29" s="5"/>
      <c r="DU29" s="5"/>
      <c r="DV29" s="5"/>
      <c r="DW29" s="5"/>
      <c r="DX29" s="5"/>
      <c r="DY29" s="5"/>
      <c r="DZ29" s="5">
        <v>1626.3</v>
      </c>
      <c r="EA29" s="5"/>
      <c r="EB29" s="5">
        <v>34.32</v>
      </c>
      <c r="EC29" s="12"/>
      <c r="ED29" s="15">
        <f t="shared" si="39"/>
        <v>1660.62</v>
      </c>
      <c r="EE29" s="9"/>
      <c r="EF29" s="9"/>
      <c r="EG29" s="5"/>
      <c r="EH29" s="5"/>
      <c r="EI29" s="5"/>
      <c r="EJ29" s="5"/>
      <c r="EK29" s="5"/>
      <c r="EL29" s="5"/>
      <c r="EM29" s="5">
        <v>900</v>
      </c>
      <c r="EN29" s="5"/>
      <c r="EO29" s="5"/>
      <c r="EP29" s="12"/>
      <c r="EQ29" s="15">
        <f t="shared" si="40"/>
        <v>900</v>
      </c>
      <c r="ER29" s="9"/>
      <c r="ES29" s="5"/>
      <c r="ET29" s="5"/>
      <c r="EU29" s="5"/>
      <c r="EV29" s="5"/>
      <c r="EW29" s="5"/>
      <c r="EX29" s="12">
        <f t="shared" si="41"/>
        <v>0</v>
      </c>
      <c r="EY29" s="2685"/>
      <c r="FA29" s="4">
        <f t="shared" si="42"/>
        <v>0</v>
      </c>
      <c r="FB29" s="5">
        <f t="shared" si="43"/>
        <v>0</v>
      </c>
      <c r="FC29" s="5">
        <f t="shared" si="44"/>
        <v>0</v>
      </c>
      <c r="FD29" s="12">
        <f t="shared" si="45"/>
        <v>0</v>
      </c>
      <c r="FE29" s="12"/>
      <c r="FF29" s="2674"/>
      <c r="FG29" s="9"/>
      <c r="FH29" s="5"/>
      <c r="FI29" s="5"/>
      <c r="FJ29" s="5"/>
      <c r="FK29" s="5"/>
      <c r="FL29" s="5"/>
      <c r="FM29" s="15">
        <f t="shared" si="46"/>
        <v>0</v>
      </c>
      <c r="FN29" s="9"/>
      <c r="FO29" s="5"/>
      <c r="FP29" s="5"/>
      <c r="FQ29" s="5"/>
      <c r="FR29" s="5"/>
      <c r="FS29" s="5"/>
      <c r="FT29" s="15">
        <f t="shared" si="47"/>
        <v>0</v>
      </c>
      <c r="FU29" s="9"/>
      <c r="FV29" s="9"/>
      <c r="FW29" s="5"/>
      <c r="FX29" s="5"/>
      <c r="FY29" s="5"/>
      <c r="FZ29" s="5"/>
      <c r="GA29" s="5"/>
      <c r="GB29" s="5"/>
      <c r="GC29" s="5"/>
      <c r="GD29" s="5"/>
      <c r="GE29" s="5"/>
      <c r="GF29" s="12"/>
      <c r="GG29" s="12">
        <f t="shared" si="48"/>
        <v>0</v>
      </c>
      <c r="GH29" s="2674"/>
      <c r="GJ29" s="4">
        <f t="shared" si="49"/>
        <v>77.790000000000006</v>
      </c>
      <c r="GK29" s="64">
        <f t="shared" si="50"/>
        <v>1192.97</v>
      </c>
      <c r="GL29" s="64">
        <f t="shared" si="51"/>
        <v>2530.34</v>
      </c>
      <c r="GM29" s="64">
        <f t="shared" si="52"/>
        <v>3801.1000000000004</v>
      </c>
      <c r="GN29" s="848"/>
      <c r="GO29" s="848"/>
      <c r="GP29" s="12"/>
      <c r="GQ29" s="2667"/>
      <c r="GR29" s="1017">
        <v>1733.68</v>
      </c>
      <c r="GS29" s="5"/>
      <c r="GT29" s="5">
        <v>767.55</v>
      </c>
      <c r="GU29" s="5">
        <v>1299.8699999999999</v>
      </c>
      <c r="GV29" s="12">
        <f t="shared" si="53"/>
        <v>3801.1</v>
      </c>
      <c r="GW29" s="2667"/>
      <c r="GX29" s="9"/>
      <c r="GY29" s="9"/>
      <c r="GZ29" s="5"/>
      <c r="HA29" s="5"/>
      <c r="HB29" s="5"/>
      <c r="HC29" s="5"/>
      <c r="HD29" s="5"/>
      <c r="HE29" s="5"/>
      <c r="HF29" s="5"/>
      <c r="HG29" s="5"/>
      <c r="HH29" s="5">
        <v>77.790000000000006</v>
      </c>
      <c r="HI29" s="5"/>
      <c r="HJ29" s="5"/>
      <c r="HK29" s="5"/>
      <c r="HL29" s="15">
        <f t="shared" si="54"/>
        <v>77.790000000000006</v>
      </c>
      <c r="HM29" s="9"/>
      <c r="HN29" s="5"/>
      <c r="HO29" s="5"/>
      <c r="HP29" s="5"/>
      <c r="HQ29" s="5"/>
      <c r="HR29" s="5"/>
      <c r="HS29" s="5"/>
      <c r="HT29" s="5"/>
      <c r="HU29" s="5"/>
      <c r="HV29" s="5"/>
      <c r="HW29" s="5"/>
      <c r="HX29" s="5"/>
      <c r="HY29" s="5"/>
      <c r="HZ29" s="5"/>
      <c r="IA29" s="12">
        <f t="shared" si="55"/>
        <v>0</v>
      </c>
      <c r="IB29" s="845"/>
      <c r="IC29" s="363"/>
      <c r="ID29" s="64"/>
      <c r="IE29" s="64"/>
      <c r="IF29" s="64"/>
      <c r="IG29" s="64"/>
      <c r="IH29" s="64">
        <v>904.52</v>
      </c>
      <c r="II29" s="64"/>
      <c r="IJ29" s="64">
        <v>288.45</v>
      </c>
      <c r="IK29" s="64"/>
      <c r="IL29" s="64"/>
      <c r="IM29" s="64"/>
      <c r="IN29" s="64"/>
      <c r="IO29" s="64"/>
      <c r="IP29" s="61">
        <f t="shared" si="56"/>
        <v>1192.97</v>
      </c>
      <c r="IQ29" s="9"/>
      <c r="IR29" s="9"/>
      <c r="IS29" s="5"/>
      <c r="IT29" s="5"/>
      <c r="IU29" s="64"/>
      <c r="IV29" s="5"/>
      <c r="IW29" s="5"/>
      <c r="IX29" s="5"/>
      <c r="IY29" s="5">
        <v>1332.72</v>
      </c>
      <c r="IZ29" s="5"/>
      <c r="JA29" s="5">
        <v>1197.6199999999999</v>
      </c>
      <c r="JB29" s="5"/>
      <c r="JC29" s="5"/>
      <c r="JD29" s="5"/>
      <c r="JE29" s="12">
        <f t="shared" si="57"/>
        <v>2530.34</v>
      </c>
      <c r="JF29" s="2667"/>
      <c r="JH29" s="52"/>
      <c r="JI29" s="152">
        <v>3801.1</v>
      </c>
      <c r="JJ29" s="64"/>
      <c r="JK29" s="64">
        <f t="shared" si="58"/>
        <v>3801.1</v>
      </c>
      <c r="JL29" s="12"/>
      <c r="JM29" s="2669"/>
      <c r="JN29" s="849"/>
      <c r="JO29" s="850"/>
      <c r="JP29" s="850"/>
      <c r="JQ29" s="850"/>
      <c r="JR29" s="850"/>
      <c r="JS29" s="850"/>
      <c r="JT29" s="850"/>
      <c r="JU29" s="851"/>
      <c r="JV29" s="849"/>
      <c r="JW29" s="850"/>
      <c r="JX29" s="850"/>
      <c r="JY29" s="850"/>
      <c r="JZ29" s="850"/>
      <c r="KA29" s="850"/>
      <c r="KB29" s="850"/>
      <c r="KC29" s="851"/>
      <c r="KD29" s="849"/>
      <c r="KE29" s="850"/>
      <c r="KF29" s="850"/>
      <c r="KG29" s="850"/>
      <c r="KH29" s="850"/>
      <c r="KI29" s="850"/>
      <c r="KJ29" s="850"/>
      <c r="KK29" s="850"/>
      <c r="KL29" s="12"/>
      <c r="KM29" s="2669"/>
      <c r="KN29" s="9">
        <v>0</v>
      </c>
      <c r="KO29" s="64">
        <v>0</v>
      </c>
      <c r="KP29" s="64">
        <v>0</v>
      </c>
      <c r="KQ29" s="64">
        <v>0</v>
      </c>
      <c r="KR29" s="846">
        <v>0</v>
      </c>
      <c r="KS29" s="4">
        <v>6645</v>
      </c>
      <c r="KT29" s="64">
        <v>1.02</v>
      </c>
      <c r="KU29" s="64">
        <v>6.04</v>
      </c>
      <c r="KV29" s="64">
        <v>8.24</v>
      </c>
      <c r="KW29" s="482">
        <v>11.543360000000002</v>
      </c>
      <c r="KX29" s="9"/>
      <c r="KY29" s="64"/>
      <c r="KZ29" s="64"/>
      <c r="LA29" s="64"/>
      <c r="LB29" s="64"/>
      <c r="LC29" s="12"/>
      <c r="LD29" s="2669"/>
      <c r="LF29" s="4">
        <f t="shared" si="59"/>
        <v>0</v>
      </c>
      <c r="LG29" s="5">
        <f t="shared" si="59"/>
        <v>0</v>
      </c>
      <c r="LH29" s="5">
        <f t="shared" si="59"/>
        <v>0</v>
      </c>
      <c r="LI29" s="15">
        <f t="shared" si="60"/>
        <v>0</v>
      </c>
      <c r="LJ29" s="9"/>
      <c r="LK29" s="5"/>
      <c r="LL29" s="5"/>
      <c r="LM29" s="12"/>
      <c r="LN29" s="1111">
        <v>5.85</v>
      </c>
      <c r="LO29" s="486"/>
      <c r="LP29" s="2688"/>
      <c r="LQ29" s="9"/>
      <c r="LR29" s="9"/>
      <c r="LS29" s="5"/>
      <c r="LT29" s="5"/>
      <c r="LU29" s="5"/>
      <c r="LV29" s="1107">
        <f t="shared" si="61"/>
        <v>0</v>
      </c>
      <c r="LW29" s="9"/>
      <c r="LX29" s="9"/>
      <c r="LY29" s="5"/>
      <c r="LZ29" s="5"/>
      <c r="MA29" s="12"/>
      <c r="MB29" s="28">
        <f t="shared" si="62"/>
        <v>0</v>
      </c>
      <c r="MC29" s="4"/>
      <c r="MD29" s="9"/>
      <c r="ME29" s="5"/>
      <c r="MF29" s="5"/>
      <c r="MG29" s="5"/>
      <c r="MH29" s="15"/>
      <c r="MI29" s="9"/>
      <c r="MJ29" s="9"/>
      <c r="MK29" s="5"/>
      <c r="ML29" s="5"/>
      <c r="MM29" s="5"/>
      <c r="MN29" s="15"/>
      <c r="MO29" s="9"/>
      <c r="MP29" s="9"/>
      <c r="MQ29" s="5"/>
      <c r="MR29" s="5"/>
      <c r="MS29" s="5"/>
      <c r="MT29" s="12">
        <f t="shared" si="63"/>
        <v>0</v>
      </c>
      <c r="MU29" s="2688"/>
      <c r="MW29" s="4">
        <f t="shared" si="64"/>
        <v>74482.253785492212</v>
      </c>
      <c r="MX29" s="5">
        <f t="shared" si="65"/>
        <v>77943.991281839466</v>
      </c>
      <c r="MY29" s="5">
        <f t="shared" si="66"/>
        <v>23630.293116668145</v>
      </c>
      <c r="MZ29" s="15">
        <f t="shared" si="67"/>
        <v>435886.66665121424</v>
      </c>
      <c r="NA29" s="2621"/>
      <c r="NB29" s="23">
        <f t="shared" si="68"/>
        <v>41943.984254802424</v>
      </c>
      <c r="NC29" s="64">
        <f t="shared" si="69"/>
        <v>32538.269530689791</v>
      </c>
      <c r="ND29" s="60">
        <f t="shared" si="70"/>
        <v>0</v>
      </c>
      <c r="NE29" s="1042">
        <f t="shared" si="4"/>
        <v>74482.253785492212</v>
      </c>
      <c r="NF29" s="4">
        <f t="shared" si="120"/>
        <v>0</v>
      </c>
      <c r="NG29" s="5">
        <f t="shared" si="120"/>
        <v>0</v>
      </c>
      <c r="NH29" s="27">
        <f t="shared" si="120"/>
        <v>0</v>
      </c>
      <c r="NI29" s="5">
        <f t="shared" si="120"/>
        <v>0</v>
      </c>
      <c r="NJ29" s="5">
        <f t="shared" si="120"/>
        <v>0</v>
      </c>
      <c r="NK29" s="12">
        <f t="shared" si="120"/>
        <v>0</v>
      </c>
      <c r="NL29" s="27">
        <f t="shared" si="120"/>
        <v>0</v>
      </c>
      <c r="NM29" s="9">
        <f t="shared" si="120"/>
        <v>0</v>
      </c>
      <c r="NN29" s="27">
        <f t="shared" si="120"/>
        <v>40122.942027032754</v>
      </c>
      <c r="NO29" s="5">
        <f t="shared" si="120"/>
        <v>0</v>
      </c>
      <c r="NP29" s="24">
        <f t="shared" si="114"/>
        <v>8756.5482322711578</v>
      </c>
      <c r="NQ29" s="24">
        <f t="shared" si="115"/>
        <v>12231.515013230797</v>
      </c>
      <c r="NR29" s="5">
        <f t="shared" si="0"/>
        <v>61111.005272534712</v>
      </c>
      <c r="NS29" s="27">
        <f t="shared" si="121"/>
        <v>0</v>
      </c>
      <c r="NT29" s="5">
        <f t="shared" si="121"/>
        <v>0</v>
      </c>
      <c r="NU29" s="27">
        <f t="shared" si="121"/>
        <v>0</v>
      </c>
      <c r="NV29" s="5">
        <f t="shared" si="121"/>
        <v>0</v>
      </c>
      <c r="NW29" s="5">
        <f t="shared" si="121"/>
        <v>0</v>
      </c>
      <c r="NX29" s="5">
        <f t="shared" si="121"/>
        <v>0</v>
      </c>
      <c r="NY29" s="27">
        <f t="shared" si="121"/>
        <v>2659.5446092523816</v>
      </c>
      <c r="NZ29" s="5">
        <f t="shared" si="121"/>
        <v>0</v>
      </c>
      <c r="OA29" s="27">
        <f t="shared" si="121"/>
        <v>5539.3</v>
      </c>
      <c r="OB29" s="27"/>
      <c r="OC29" s="24">
        <f t="shared" si="122"/>
        <v>1565.61197844705</v>
      </c>
      <c r="OD29" s="5">
        <f t="shared" si="122"/>
        <v>0</v>
      </c>
      <c r="OE29" s="15">
        <f t="shared" si="1"/>
        <v>9764.4565876994311</v>
      </c>
      <c r="OF29" s="27">
        <f t="shared" si="123"/>
        <v>0</v>
      </c>
      <c r="OG29" s="5">
        <f t="shared" si="123"/>
        <v>0</v>
      </c>
      <c r="OH29" s="5">
        <f t="shared" si="123"/>
        <v>0</v>
      </c>
      <c r="OI29" s="5">
        <f t="shared" si="123"/>
        <v>0</v>
      </c>
      <c r="OJ29" s="27">
        <f t="shared" si="123"/>
        <v>0</v>
      </c>
      <c r="OK29" s="5">
        <f t="shared" si="123"/>
        <v>0</v>
      </c>
      <c r="OL29" s="24">
        <f t="shared" si="123"/>
        <v>0</v>
      </c>
      <c r="OM29" s="5">
        <f t="shared" si="123"/>
        <v>0</v>
      </c>
      <c r="ON29" s="24">
        <f t="shared" si="123"/>
        <v>4454.450253800208</v>
      </c>
      <c r="OO29" s="5">
        <f t="shared" si="123"/>
        <v>0</v>
      </c>
      <c r="OP29" s="5">
        <f t="shared" si="123"/>
        <v>2614.0791678051005</v>
      </c>
      <c r="OQ29" s="5">
        <f t="shared" si="123"/>
        <v>0</v>
      </c>
      <c r="OR29" s="15">
        <f t="shared" si="2"/>
        <v>7068.529421605308</v>
      </c>
      <c r="OS29" s="9"/>
      <c r="OT29" s="5"/>
      <c r="OU29" s="5"/>
      <c r="OV29" s="5"/>
      <c r="OW29" s="5"/>
      <c r="OX29" s="5"/>
      <c r="OY29" s="15">
        <f t="shared" si="75"/>
        <v>0</v>
      </c>
      <c r="OZ29" s="9">
        <f t="shared" si="76"/>
        <v>0</v>
      </c>
      <c r="PA29" s="5">
        <f t="shared" si="77"/>
        <v>0</v>
      </c>
      <c r="PB29" s="5">
        <f t="shared" si="78"/>
        <v>0</v>
      </c>
      <c r="PC29" s="5">
        <f t="shared" si="79"/>
        <v>0</v>
      </c>
      <c r="PD29" s="5">
        <f t="shared" si="80"/>
        <v>0</v>
      </c>
      <c r="PE29" s="5">
        <f t="shared" si="81"/>
        <v>0</v>
      </c>
      <c r="PF29" s="12">
        <f t="shared" si="3"/>
        <v>0</v>
      </c>
      <c r="PG29" s="2621"/>
      <c r="PI29" s="2">
        <v>152.63999999999999</v>
      </c>
      <c r="PJ29" s="3"/>
      <c r="PK29" s="3"/>
      <c r="PL29" s="3">
        <f t="shared" si="116"/>
        <v>0</v>
      </c>
      <c r="PM29" s="3">
        <f t="shared" si="82"/>
        <v>152.63999999999999</v>
      </c>
      <c r="PN29" s="11">
        <f t="shared" si="117"/>
        <v>23630.293116668145</v>
      </c>
      <c r="PO29" s="15"/>
      <c r="PP29" s="2615"/>
      <c r="PR29" s="4"/>
      <c r="PS29" s="9"/>
      <c r="PT29" s="9"/>
      <c r="PU29" s="9"/>
      <c r="PV29" s="9"/>
      <c r="PW29" s="9"/>
      <c r="PX29" s="8">
        <f t="shared" si="83"/>
        <v>0</v>
      </c>
      <c r="PY29" s="5">
        <f t="shared" si="84"/>
        <v>152.63999999999999</v>
      </c>
      <c r="PZ29" s="5"/>
      <c r="QA29" s="5"/>
      <c r="QB29" s="5"/>
      <c r="QC29" s="5"/>
      <c r="QD29" s="5"/>
      <c r="QE29" s="12">
        <f t="shared" si="85"/>
        <v>29749.381073161156</v>
      </c>
      <c r="QF29" s="420">
        <f t="shared" si="86"/>
        <v>404514.90557805309</v>
      </c>
      <c r="QG29" s="1106">
        <f t="shared" si="87"/>
        <v>1622.38</v>
      </c>
      <c r="QH29" s="484">
        <f t="shared" si="88"/>
        <v>5505.3678056100007</v>
      </c>
      <c r="QI29" s="12"/>
      <c r="QJ29" s="2615"/>
      <c r="QL29" s="139" t="str">
        <f t="shared" si="89"/>
        <v/>
      </c>
      <c r="QM29" s="139" t="str">
        <f t="shared" si="90"/>
        <v/>
      </c>
      <c r="QO29" s="139">
        <f t="shared" si="91"/>
        <v>0</v>
      </c>
      <c r="QP29" s="139">
        <f t="shared" si="92"/>
        <v>0</v>
      </c>
      <c r="QR29" s="1">
        <f t="shared" si="93"/>
        <v>0</v>
      </c>
      <c r="QS29" s="1">
        <f t="shared" si="94"/>
        <v>0</v>
      </c>
      <c r="QT29" s="1">
        <f t="shared" si="95"/>
        <v>0</v>
      </c>
      <c r="QU29" s="1">
        <f t="shared" si="96"/>
        <v>0</v>
      </c>
      <c r="QV29" s="1">
        <f t="shared" si="97"/>
        <v>0</v>
      </c>
      <c r="QW29" s="1">
        <f t="shared" si="98"/>
        <v>0</v>
      </c>
      <c r="QY29" s="1">
        <f t="shared" si="99"/>
        <v>0</v>
      </c>
      <c r="QZ29" s="1">
        <f t="shared" si="100"/>
        <v>0</v>
      </c>
      <c r="RA29" s="1">
        <f t="shared" si="101"/>
        <v>0</v>
      </c>
      <c r="RB29" s="1">
        <f t="shared" si="102"/>
        <v>0</v>
      </c>
      <c r="RC29" s="1">
        <f t="shared" si="103"/>
        <v>0</v>
      </c>
      <c r="RD29" s="1">
        <f t="shared" si="104"/>
        <v>0</v>
      </c>
      <c r="RG29" s="1">
        <v>20</v>
      </c>
      <c r="RH29" s="1">
        <f t="shared" si="119"/>
        <v>22582.355209717101</v>
      </c>
      <c r="RI29" s="1">
        <f t="shared" si="119"/>
        <v>18765.711780483714</v>
      </c>
      <c r="RJ29" s="1">
        <f t="shared" si="119"/>
        <v>13404.263703387322</v>
      </c>
      <c r="RK29" s="89">
        <f t="shared" si="5"/>
        <v>54752.330693588141</v>
      </c>
      <c r="RL29" s="1033">
        <v>20</v>
      </c>
      <c r="RM29" s="1098">
        <f t="shared" si="118"/>
        <v>0</v>
      </c>
      <c r="RN29" s="1098">
        <f t="shared" si="106"/>
        <v>0</v>
      </c>
      <c r="RO29" s="1097">
        <f t="shared" si="106"/>
        <v>0</v>
      </c>
      <c r="RP29" s="1097">
        <f t="shared" si="107"/>
        <v>4086.27</v>
      </c>
      <c r="RQ29" s="1109"/>
      <c r="RR29" s="1046" t="s">
        <v>787</v>
      </c>
      <c r="RU29" s="421">
        <v>20</v>
      </c>
      <c r="RV29" s="1095">
        <f t="shared" si="108"/>
        <v>3801.1</v>
      </c>
      <c r="RW29" s="1050" t="s">
        <v>788</v>
      </c>
      <c r="RX29" s="1048"/>
      <c r="RY29" s="1090"/>
      <c r="RZ29" s="1090">
        <f t="shared" si="109"/>
        <v>0</v>
      </c>
      <c r="SA29" s="1090"/>
      <c r="SB29" s="1090">
        <f t="shared" si="110"/>
        <v>0</v>
      </c>
      <c r="SD29" s="1">
        <v>20</v>
      </c>
      <c r="SE29" s="1">
        <f t="shared" si="111"/>
        <v>0</v>
      </c>
      <c r="SF29" s="1094"/>
    </row>
    <row r="30" spans="1:500" s="1" customFormat="1">
      <c r="B30" s="471">
        <v>21</v>
      </c>
      <c r="C30" s="4">
        <f t="shared" si="6"/>
        <v>93406</v>
      </c>
      <c r="D30" s="64">
        <f t="shared" si="112"/>
        <v>2889.04</v>
      </c>
      <c r="E30" s="61">
        <f t="shared" si="7"/>
        <v>32.331154985739211</v>
      </c>
      <c r="F30" s="870"/>
      <c r="G30" s="870"/>
      <c r="H30" s="52">
        <v>34</v>
      </c>
      <c r="I30" s="61">
        <v>10.33</v>
      </c>
      <c r="J30" s="52"/>
      <c r="K30" s="54"/>
      <c r="L30" s="52">
        <v>2.67</v>
      </c>
      <c r="M30" s="61">
        <v>11.25</v>
      </c>
      <c r="N30" s="2629"/>
      <c r="O30" s="4">
        <f t="shared" si="8"/>
        <v>58800</v>
      </c>
      <c r="P30" s="1225">
        <f t="shared" si="9"/>
        <v>1934.1399999999999</v>
      </c>
      <c r="Q30" s="64">
        <f t="shared" si="10"/>
        <v>30.401108503003922</v>
      </c>
      <c r="R30" s="33"/>
      <c r="S30" s="26">
        <f t="shared" si="11"/>
        <v>15159</v>
      </c>
      <c r="T30" s="27">
        <f t="shared" si="12"/>
        <v>494.9</v>
      </c>
      <c r="U30" s="53">
        <f t="shared" si="13"/>
        <v>30.630430389977775</v>
      </c>
      <c r="V30" s="28"/>
      <c r="W30" s="26">
        <f t="shared" si="14"/>
        <v>19447</v>
      </c>
      <c r="X30" s="5">
        <f t="shared" si="14"/>
        <v>460</v>
      </c>
      <c r="Y30" s="53">
        <f t="shared" si="15"/>
        <v>42.276086956521738</v>
      </c>
      <c r="Z30" s="33"/>
      <c r="AA30" s="26">
        <f t="shared" si="16"/>
        <v>0</v>
      </c>
      <c r="AB30" s="27">
        <f t="shared" si="17"/>
        <v>0</v>
      </c>
      <c r="AC30" s="53">
        <f t="shared" si="18"/>
        <v>0</v>
      </c>
      <c r="AD30" s="28"/>
      <c r="AE30" s="36"/>
      <c r="AF30" s="36"/>
      <c r="AG30" s="53">
        <f t="shared" si="19"/>
        <v>0</v>
      </c>
      <c r="AH30" s="28"/>
      <c r="AI30" s="23"/>
      <c r="AJ30" s="27"/>
      <c r="AK30" s="53">
        <f t="shared" si="20"/>
        <v>0</v>
      </c>
      <c r="AL30" s="28"/>
      <c r="AM30" s="2629"/>
      <c r="AN30" s="9"/>
      <c r="AO30" s="5"/>
      <c r="AP30" s="61">
        <f t="shared" si="21"/>
        <v>0</v>
      </c>
      <c r="AQ30" s="36"/>
      <c r="AR30" s="53"/>
      <c r="AS30" s="61">
        <f t="shared" si="22"/>
        <v>0</v>
      </c>
      <c r="AT30" s="36">
        <v>0</v>
      </c>
      <c r="AU30" s="27"/>
      <c r="AV30" s="61">
        <f t="shared" si="23"/>
        <v>0</v>
      </c>
      <c r="AW30" s="36">
        <v>27426</v>
      </c>
      <c r="AX30" s="27">
        <v>1300.26</v>
      </c>
      <c r="AY30" s="61">
        <f t="shared" si="24"/>
        <v>21.092704536015873</v>
      </c>
      <c r="AZ30" s="36"/>
      <c r="BA30" s="27"/>
      <c r="BB30" s="61">
        <f t="shared" si="25"/>
        <v>0</v>
      </c>
      <c r="BC30" s="36">
        <v>31374</v>
      </c>
      <c r="BD30" s="27">
        <v>633.88</v>
      </c>
      <c r="BE30" s="61">
        <f t="shared" si="26"/>
        <v>49.495172587871522</v>
      </c>
      <c r="BF30" s="36"/>
      <c r="BG30" s="53"/>
      <c r="BH30" s="61">
        <f t="shared" si="27"/>
        <v>0</v>
      </c>
      <c r="BI30" s="36">
        <v>0</v>
      </c>
      <c r="BJ30" s="53">
        <v>0</v>
      </c>
      <c r="BK30" s="61">
        <f t="shared" si="28"/>
        <v>0</v>
      </c>
      <c r="BL30" s="52">
        <v>15159</v>
      </c>
      <c r="BM30" s="53">
        <v>494.9</v>
      </c>
      <c r="BN30" s="482">
        <f t="shared" si="29"/>
        <v>30.630430389977775</v>
      </c>
      <c r="BO30" s="9"/>
      <c r="BP30" s="64"/>
      <c r="BQ30" s="482">
        <f t="shared" si="30"/>
        <v>0</v>
      </c>
      <c r="BR30" s="9"/>
      <c r="BS30" s="64"/>
      <c r="BT30" s="482">
        <f t="shared" si="31"/>
        <v>0</v>
      </c>
      <c r="BU30" s="9">
        <v>19447</v>
      </c>
      <c r="BV30" s="27">
        <v>460</v>
      </c>
      <c r="BW30" s="15">
        <f t="shared" si="32"/>
        <v>42.276086956521738</v>
      </c>
      <c r="BX30" s="4"/>
      <c r="BY30" s="5"/>
      <c r="BZ30" s="482">
        <f t="shared" si="33"/>
        <v>0</v>
      </c>
      <c r="CA30" s="9"/>
      <c r="CB30" s="5"/>
      <c r="CC30" s="482">
        <f t="shared" si="34"/>
        <v>0</v>
      </c>
      <c r="CD30" s="4"/>
      <c r="CE30" s="5"/>
      <c r="CF30" s="28">
        <f t="shared" si="35"/>
        <v>0</v>
      </c>
      <c r="CG30" s="150"/>
      <c r="CH30" s="1108">
        <v>1376</v>
      </c>
      <c r="CI30" s="5"/>
      <c r="CJ30" s="5"/>
      <c r="CK30" s="5">
        <v>5166.5</v>
      </c>
      <c r="CL30" s="5"/>
      <c r="CM30" s="5">
        <f t="shared" si="113"/>
        <v>6542.5</v>
      </c>
      <c r="CN30" s="33"/>
      <c r="CO30" s="366"/>
      <c r="CQ30" s="4">
        <f t="shared" si="36"/>
        <v>0</v>
      </c>
      <c r="CR30" s="9">
        <f t="shared" si="36"/>
        <v>0</v>
      </c>
      <c r="CS30" s="5">
        <f t="shared" si="36"/>
        <v>0</v>
      </c>
      <c r="CT30" s="5">
        <f t="shared" si="36"/>
        <v>0</v>
      </c>
      <c r="CU30" s="5">
        <f t="shared" si="36"/>
        <v>0</v>
      </c>
      <c r="CV30" s="5">
        <f t="shared" si="36"/>
        <v>0</v>
      </c>
      <c r="CW30" s="5">
        <f t="shared" si="36"/>
        <v>604.91999999999996</v>
      </c>
      <c r="CX30" s="5">
        <f t="shared" si="36"/>
        <v>0</v>
      </c>
      <c r="CY30" s="5">
        <f t="shared" si="36"/>
        <v>1219.2</v>
      </c>
      <c r="CZ30" s="5">
        <f t="shared" si="36"/>
        <v>0</v>
      </c>
      <c r="DA30" s="5">
        <f t="shared" si="36"/>
        <v>1064.92</v>
      </c>
      <c r="DB30" s="12">
        <f t="shared" si="36"/>
        <v>0</v>
      </c>
      <c r="DC30" s="310">
        <f t="shared" si="37"/>
        <v>2889.04</v>
      </c>
      <c r="DD30" s="2695"/>
      <c r="DE30" s="9"/>
      <c r="DF30" s="9"/>
      <c r="DG30" s="5"/>
      <c r="DH30" s="5"/>
      <c r="DI30" s="5"/>
      <c r="DJ30" s="5"/>
      <c r="DK30" s="5">
        <v>604.91999999999996</v>
      </c>
      <c r="DL30" s="5"/>
      <c r="DM30" s="5">
        <v>695.34</v>
      </c>
      <c r="DN30" s="5"/>
      <c r="DO30" s="5"/>
      <c r="DP30" s="12"/>
      <c r="DQ30" s="28">
        <f t="shared" si="38"/>
        <v>1300.26</v>
      </c>
      <c r="DR30" s="36"/>
      <c r="DS30" s="9"/>
      <c r="DT30" s="5"/>
      <c r="DU30" s="5"/>
      <c r="DV30" s="5"/>
      <c r="DW30" s="5"/>
      <c r="DX30" s="27"/>
      <c r="DY30" s="27"/>
      <c r="DZ30" s="27">
        <v>523.86</v>
      </c>
      <c r="EA30" s="27"/>
      <c r="EB30" s="27">
        <v>604.91999999999996</v>
      </c>
      <c r="EC30" s="33"/>
      <c r="ED30" s="28">
        <f t="shared" si="39"/>
        <v>1128.78</v>
      </c>
      <c r="EE30" s="9"/>
      <c r="EF30" s="36"/>
      <c r="EG30" s="27"/>
      <c r="EH30" s="27"/>
      <c r="EI30" s="27"/>
      <c r="EJ30" s="27"/>
      <c r="EK30" s="27"/>
      <c r="EL30" s="27"/>
      <c r="EM30" s="27"/>
      <c r="EN30" s="27"/>
      <c r="EO30" s="27">
        <v>460</v>
      </c>
      <c r="EP30" s="33"/>
      <c r="EQ30" s="28">
        <f t="shared" si="40"/>
        <v>460</v>
      </c>
      <c r="ER30" s="36"/>
      <c r="ES30" s="27"/>
      <c r="ET30" s="27"/>
      <c r="EU30" s="27"/>
      <c r="EV30" s="27"/>
      <c r="EW30" s="27"/>
      <c r="EX30" s="33">
        <f t="shared" si="41"/>
        <v>0</v>
      </c>
      <c r="EY30" s="2685"/>
      <c r="FA30" s="4">
        <f t="shared" si="42"/>
        <v>0</v>
      </c>
      <c r="FB30" s="5">
        <f t="shared" si="43"/>
        <v>0</v>
      </c>
      <c r="FC30" s="5">
        <f t="shared" si="44"/>
        <v>0</v>
      </c>
      <c r="FD30" s="12">
        <f t="shared" si="45"/>
        <v>0</v>
      </c>
      <c r="FE30" s="33"/>
      <c r="FF30" s="2674"/>
      <c r="FG30" s="9"/>
      <c r="FH30" s="5"/>
      <c r="FI30" s="5"/>
      <c r="FJ30" s="5"/>
      <c r="FK30" s="5"/>
      <c r="FL30" s="27"/>
      <c r="FM30" s="28">
        <f t="shared" si="46"/>
        <v>0</v>
      </c>
      <c r="FN30" s="36"/>
      <c r="FO30" s="27"/>
      <c r="FP30" s="27"/>
      <c r="FQ30" s="27"/>
      <c r="FR30" s="27"/>
      <c r="FS30" s="27"/>
      <c r="FT30" s="28">
        <f t="shared" si="47"/>
        <v>0</v>
      </c>
      <c r="FU30" s="36"/>
      <c r="FV30" s="36"/>
      <c r="FW30" s="27"/>
      <c r="FX30" s="27"/>
      <c r="FY30" s="27"/>
      <c r="FZ30" s="27"/>
      <c r="GA30" s="27"/>
      <c r="GB30" s="27"/>
      <c r="GC30" s="27"/>
      <c r="GD30" s="27"/>
      <c r="GE30" s="27"/>
      <c r="GF30" s="33"/>
      <c r="GG30" s="33">
        <f t="shared" si="48"/>
        <v>0</v>
      </c>
      <c r="GH30" s="2674"/>
      <c r="GJ30" s="4">
        <f t="shared" si="49"/>
        <v>1761.8700000000001</v>
      </c>
      <c r="GK30" s="64">
        <f t="shared" si="50"/>
        <v>2956.4300000000003</v>
      </c>
      <c r="GL30" s="53">
        <f t="shared" si="51"/>
        <v>2462.58</v>
      </c>
      <c r="GM30" s="53">
        <f t="shared" si="52"/>
        <v>7180.88</v>
      </c>
      <c r="GN30" s="141"/>
      <c r="GO30" s="141"/>
      <c r="GP30" s="33"/>
      <c r="GQ30" s="2667"/>
      <c r="GR30" s="152">
        <v>3497.5400000000004</v>
      </c>
      <c r="GS30" s="27"/>
      <c r="GT30" s="27">
        <v>1636.9600000000003</v>
      </c>
      <c r="GU30" s="27">
        <v>2046.38</v>
      </c>
      <c r="GV30" s="33">
        <f t="shared" si="53"/>
        <v>7180.880000000001</v>
      </c>
      <c r="GW30" s="2667"/>
      <c r="GX30" s="36"/>
      <c r="GY30" s="36"/>
      <c r="GZ30" s="27"/>
      <c r="HA30" s="27"/>
      <c r="HB30" s="27"/>
      <c r="HC30" s="27"/>
      <c r="HD30" s="27"/>
      <c r="HE30" s="27"/>
      <c r="HF30" s="27">
        <v>1761.8700000000001</v>
      </c>
      <c r="HG30" s="27"/>
      <c r="HH30" s="27"/>
      <c r="HI30" s="27"/>
      <c r="HJ30" s="27"/>
      <c r="HK30" s="27"/>
      <c r="HL30" s="28">
        <f t="shared" si="54"/>
        <v>1761.8700000000001</v>
      </c>
      <c r="HM30" s="36"/>
      <c r="HN30" s="27"/>
      <c r="HO30" s="27"/>
      <c r="HP30" s="27"/>
      <c r="HQ30" s="27"/>
      <c r="HR30" s="27"/>
      <c r="HS30" s="27"/>
      <c r="HT30" s="27"/>
      <c r="HU30" s="27"/>
      <c r="HV30" s="27"/>
      <c r="HW30" s="27"/>
      <c r="HX30" s="27"/>
      <c r="HY30" s="27"/>
      <c r="HZ30" s="27"/>
      <c r="IA30" s="33">
        <f t="shared" si="55"/>
        <v>0</v>
      </c>
      <c r="IB30" s="52"/>
      <c r="IC30" s="152"/>
      <c r="ID30" s="53"/>
      <c r="IE30" s="53"/>
      <c r="IF30" s="53"/>
      <c r="IG30" s="53"/>
      <c r="IH30" s="53"/>
      <c r="II30" s="53"/>
      <c r="IJ30" s="53">
        <v>2956.4300000000003</v>
      </c>
      <c r="IK30" s="53"/>
      <c r="IL30" s="53"/>
      <c r="IM30" s="53"/>
      <c r="IN30" s="53"/>
      <c r="IO30" s="53"/>
      <c r="IP30" s="61">
        <f t="shared" si="56"/>
        <v>2956.4300000000003</v>
      </c>
      <c r="IQ30" s="36"/>
      <c r="IR30" s="36"/>
      <c r="IS30" s="27"/>
      <c r="IT30" s="27"/>
      <c r="IU30" s="53"/>
      <c r="IV30" s="27"/>
      <c r="IW30" s="27"/>
      <c r="IX30" s="27"/>
      <c r="IY30" s="27">
        <v>2462.58</v>
      </c>
      <c r="IZ30" s="27"/>
      <c r="JA30" s="27"/>
      <c r="JB30" s="27"/>
      <c r="JC30" s="27"/>
      <c r="JD30" s="27"/>
      <c r="JE30" s="33">
        <f t="shared" si="57"/>
        <v>2462.58</v>
      </c>
      <c r="JF30" s="2667"/>
      <c r="JH30" s="52">
        <v>7180.88</v>
      </c>
      <c r="JI30" s="152"/>
      <c r="JJ30" s="53"/>
      <c r="JK30" s="53">
        <f t="shared" si="58"/>
        <v>7180.88</v>
      </c>
      <c r="JL30" s="33"/>
      <c r="JM30" s="2669"/>
      <c r="JN30" s="69"/>
      <c r="JO30" s="70"/>
      <c r="JP30" s="70"/>
      <c r="JQ30" s="70"/>
      <c r="JR30" s="70">
        <v>1</v>
      </c>
      <c r="JS30" s="70"/>
      <c r="JT30" s="70"/>
      <c r="JU30" s="71"/>
      <c r="JV30" s="69"/>
      <c r="JW30" s="70"/>
      <c r="JX30" s="70"/>
      <c r="JY30" s="70"/>
      <c r="JZ30" s="70"/>
      <c r="KA30" s="70"/>
      <c r="KB30" s="70"/>
      <c r="KC30" s="71"/>
      <c r="KD30" s="69"/>
      <c r="KE30" s="70"/>
      <c r="KF30" s="70"/>
      <c r="KG30" s="70"/>
      <c r="KH30" s="70"/>
      <c r="KI30" s="70"/>
      <c r="KJ30" s="70"/>
      <c r="KK30" s="70"/>
      <c r="KL30" s="33"/>
      <c r="KM30" s="2669"/>
      <c r="KN30" s="9">
        <v>6943.2171581769435</v>
      </c>
      <c r="KO30" s="64">
        <v>0.65</v>
      </c>
      <c r="KP30" s="64">
        <v>3.1159785522788206</v>
      </c>
      <c r="KQ30" s="64">
        <v>8.9335924932975885</v>
      </c>
      <c r="KR30" s="846">
        <v>11.542048868632707</v>
      </c>
      <c r="KS30" s="4">
        <v>0</v>
      </c>
      <c r="KT30" s="64">
        <v>0</v>
      </c>
      <c r="KU30" s="64">
        <v>0</v>
      </c>
      <c r="KV30" s="64">
        <v>0</v>
      </c>
      <c r="KW30" s="482">
        <v>0</v>
      </c>
      <c r="KX30" s="36"/>
      <c r="KY30" s="53"/>
      <c r="KZ30" s="53"/>
      <c r="LA30" s="53"/>
      <c r="LB30" s="53"/>
      <c r="LC30" s="33"/>
      <c r="LD30" s="2669"/>
      <c r="LF30" s="4">
        <f t="shared" si="59"/>
        <v>0</v>
      </c>
      <c r="LG30" s="27">
        <f t="shared" si="59"/>
        <v>0</v>
      </c>
      <c r="LH30" s="27">
        <f t="shared" si="59"/>
        <v>0</v>
      </c>
      <c r="LI30" s="28">
        <f t="shared" si="60"/>
        <v>0</v>
      </c>
      <c r="LJ30" s="36"/>
      <c r="LK30" s="27"/>
      <c r="LL30" s="27">
        <v>6</v>
      </c>
      <c r="LM30" s="33"/>
      <c r="LN30" s="1041">
        <v>6.69</v>
      </c>
      <c r="LO30" s="486"/>
      <c r="LP30" s="2688"/>
      <c r="LQ30" s="36"/>
      <c r="LR30" s="36"/>
      <c r="LS30" s="27"/>
      <c r="LT30" s="27"/>
      <c r="LU30" s="27"/>
      <c r="LV30" s="1107">
        <f t="shared" si="61"/>
        <v>0</v>
      </c>
      <c r="LW30" s="36"/>
      <c r="LX30" s="36"/>
      <c r="LY30" s="27"/>
      <c r="LZ30" s="27"/>
      <c r="MA30" s="33"/>
      <c r="MB30" s="28">
        <f t="shared" si="62"/>
        <v>0</v>
      </c>
      <c r="MC30" s="26"/>
      <c r="MD30" s="36"/>
      <c r="ME30" s="27"/>
      <c r="MF30" s="27"/>
      <c r="MG30" s="27"/>
      <c r="MH30" s="28"/>
      <c r="MI30" s="36"/>
      <c r="MJ30" s="36"/>
      <c r="MK30" s="27"/>
      <c r="ML30" s="27"/>
      <c r="MM30" s="27"/>
      <c r="MN30" s="28"/>
      <c r="MO30" s="36"/>
      <c r="MP30" s="36"/>
      <c r="MQ30" s="27"/>
      <c r="MR30" s="27"/>
      <c r="MS30" s="27"/>
      <c r="MT30" s="33">
        <f t="shared" si="63"/>
        <v>0</v>
      </c>
      <c r="MU30" s="2688"/>
      <c r="MW30" s="26">
        <f t="shared" si="64"/>
        <v>81663.133785492217</v>
      </c>
      <c r="MX30" s="27">
        <f t="shared" si="65"/>
        <v>73652.15128183944</v>
      </c>
      <c r="MY30" s="27">
        <f t="shared" si="66"/>
        <v>23630.293116668145</v>
      </c>
      <c r="MZ30" s="28">
        <f t="shared" si="67"/>
        <v>435886.66665121424</v>
      </c>
      <c r="NA30" s="2621"/>
      <c r="NB30" s="23">
        <f t="shared" si="68"/>
        <v>49124.864254802422</v>
      </c>
      <c r="NC30" s="64">
        <f t="shared" si="69"/>
        <v>32538.269530689791</v>
      </c>
      <c r="ND30" s="60">
        <f t="shared" si="70"/>
        <v>0</v>
      </c>
      <c r="NE30" s="275">
        <f t="shared" si="4"/>
        <v>81663.133785492217</v>
      </c>
      <c r="NF30" s="26">
        <f t="shared" si="120"/>
        <v>0</v>
      </c>
      <c r="NG30" s="27">
        <f t="shared" si="120"/>
        <v>0</v>
      </c>
      <c r="NH30" s="27">
        <f t="shared" si="120"/>
        <v>0</v>
      </c>
      <c r="NI30" s="27">
        <v>0</v>
      </c>
      <c r="NJ30" s="27">
        <f t="shared" si="120"/>
        <v>0</v>
      </c>
      <c r="NK30" s="33">
        <f t="shared" si="120"/>
        <v>0</v>
      </c>
      <c r="NL30" s="27">
        <f t="shared" si="120"/>
        <v>0</v>
      </c>
      <c r="NM30" s="36">
        <f t="shared" si="120"/>
        <v>0</v>
      </c>
      <c r="NN30" s="27">
        <f t="shared" si="120"/>
        <v>38361.072027032751</v>
      </c>
      <c r="NO30" s="27">
        <f t="shared" si="120"/>
        <v>0</v>
      </c>
      <c r="NP30" s="24">
        <f t="shared" si="114"/>
        <v>8756.5482322711578</v>
      </c>
      <c r="NQ30" s="24">
        <f t="shared" si="115"/>
        <v>12691.515013230797</v>
      </c>
      <c r="NR30" s="27">
        <f t="shared" si="0"/>
        <v>59809.135272534702</v>
      </c>
      <c r="NS30" s="27">
        <f t="shared" si="121"/>
        <v>0</v>
      </c>
      <c r="NT30" s="27">
        <f t="shared" si="121"/>
        <v>0</v>
      </c>
      <c r="NU30" s="27">
        <f t="shared" si="121"/>
        <v>0</v>
      </c>
      <c r="NV30" s="27">
        <f t="shared" si="121"/>
        <v>0</v>
      </c>
      <c r="NW30" s="27">
        <f t="shared" si="121"/>
        <v>0</v>
      </c>
      <c r="NX30" s="5">
        <f t="shared" si="121"/>
        <v>0</v>
      </c>
      <c r="NY30" s="27">
        <f t="shared" si="121"/>
        <v>3264.4646092523817</v>
      </c>
      <c r="NZ30" s="27">
        <f t="shared" si="121"/>
        <v>0</v>
      </c>
      <c r="OA30" s="27">
        <f t="shared" si="121"/>
        <v>3278.21</v>
      </c>
      <c r="OB30" s="27"/>
      <c r="OC30" s="24">
        <f t="shared" si="122"/>
        <v>1565.61197844705</v>
      </c>
      <c r="OD30" s="27">
        <f t="shared" si="122"/>
        <v>0</v>
      </c>
      <c r="OE30" s="28">
        <f t="shared" si="1"/>
        <v>8108.2865876994319</v>
      </c>
      <c r="OF30" s="27">
        <f t="shared" si="123"/>
        <v>0</v>
      </c>
      <c r="OG30" s="27">
        <f t="shared" si="123"/>
        <v>0</v>
      </c>
      <c r="OH30" s="27">
        <f t="shared" si="123"/>
        <v>0</v>
      </c>
      <c r="OI30" s="27">
        <f t="shared" si="123"/>
        <v>0</v>
      </c>
      <c r="OJ30" s="27">
        <f t="shared" si="123"/>
        <v>0</v>
      </c>
      <c r="OK30" s="27">
        <f t="shared" si="123"/>
        <v>0</v>
      </c>
      <c r="OL30" s="24">
        <f t="shared" si="123"/>
        <v>0</v>
      </c>
      <c r="OM30" s="53">
        <f t="shared" si="123"/>
        <v>0</v>
      </c>
      <c r="ON30" s="24">
        <f t="shared" si="123"/>
        <v>2515.7302538002077</v>
      </c>
      <c r="OO30" s="27">
        <f t="shared" si="123"/>
        <v>0</v>
      </c>
      <c r="OP30" s="27">
        <f t="shared" si="123"/>
        <v>3218.9991678051006</v>
      </c>
      <c r="OQ30" s="27">
        <f t="shared" si="123"/>
        <v>0</v>
      </c>
      <c r="OR30" s="28">
        <f t="shared" si="2"/>
        <v>5734.7294216053087</v>
      </c>
      <c r="OS30" s="36"/>
      <c r="OT30" s="27"/>
      <c r="OU30" s="27"/>
      <c r="OV30" s="27"/>
      <c r="OW30" s="27"/>
      <c r="OX30" s="27"/>
      <c r="OY30" s="28">
        <f t="shared" si="75"/>
        <v>0</v>
      </c>
      <c r="OZ30" s="36">
        <f t="shared" si="76"/>
        <v>0</v>
      </c>
      <c r="PA30" s="27">
        <f t="shared" si="77"/>
        <v>0</v>
      </c>
      <c r="PB30" s="27">
        <f t="shared" si="78"/>
        <v>0</v>
      </c>
      <c r="PC30" s="27">
        <f t="shared" si="79"/>
        <v>0</v>
      </c>
      <c r="PD30" s="27">
        <f t="shared" si="80"/>
        <v>0</v>
      </c>
      <c r="PE30" s="27">
        <f t="shared" si="81"/>
        <v>0</v>
      </c>
      <c r="PF30" s="33">
        <f t="shared" si="3"/>
        <v>0</v>
      </c>
      <c r="PG30" s="2621"/>
      <c r="PI30" s="2"/>
      <c r="PJ30" s="3"/>
      <c r="PK30" s="3"/>
      <c r="PL30" s="3">
        <f t="shared" si="116"/>
        <v>0</v>
      </c>
      <c r="PM30" s="3">
        <f t="shared" si="82"/>
        <v>152.63999999999999</v>
      </c>
      <c r="PN30" s="11">
        <f t="shared" si="117"/>
        <v>23630.293116668145</v>
      </c>
      <c r="PO30" s="15"/>
      <c r="PP30" s="2615"/>
      <c r="PR30" s="4"/>
      <c r="PS30" s="9"/>
      <c r="PT30" s="9"/>
      <c r="PU30" s="9"/>
      <c r="PV30" s="9"/>
      <c r="PW30" s="9"/>
      <c r="PX30" s="8">
        <f t="shared" si="83"/>
        <v>0</v>
      </c>
      <c r="PY30" s="5">
        <f t="shared" si="84"/>
        <v>0</v>
      </c>
      <c r="PZ30" s="5"/>
      <c r="QA30" s="5"/>
      <c r="QB30" s="5"/>
      <c r="QC30" s="5"/>
      <c r="QD30" s="5"/>
      <c r="QE30" s="12">
        <f t="shared" si="85"/>
        <v>29749.381073161156</v>
      </c>
      <c r="QF30" s="420">
        <f t="shared" si="86"/>
        <v>404514.90557805309</v>
      </c>
      <c r="QG30" s="1106">
        <f t="shared" si="87"/>
        <v>1622.38</v>
      </c>
      <c r="QH30" s="484">
        <f t="shared" si="88"/>
        <v>5505.3678056100007</v>
      </c>
      <c r="QI30" s="12"/>
      <c r="QJ30" s="2615"/>
      <c r="QL30" s="139">
        <f t="shared" si="89"/>
        <v>0</v>
      </c>
      <c r="QM30" s="139" t="str">
        <f t="shared" si="90"/>
        <v/>
      </c>
      <c r="QO30" s="139">
        <f t="shared" si="91"/>
        <v>0</v>
      </c>
      <c r="QP30" s="139">
        <f t="shared" si="92"/>
        <v>0</v>
      </c>
      <c r="QR30" s="1">
        <f t="shared" si="93"/>
        <v>0</v>
      </c>
      <c r="QS30" s="1">
        <f t="shared" si="94"/>
        <v>0</v>
      </c>
      <c r="QT30" s="1">
        <f t="shared" si="95"/>
        <v>0</v>
      </c>
      <c r="QU30" s="1">
        <f t="shared" si="96"/>
        <v>0</v>
      </c>
      <c r="QV30" s="1">
        <f t="shared" si="97"/>
        <v>0</v>
      </c>
      <c r="QW30" s="1">
        <f t="shared" si="98"/>
        <v>0</v>
      </c>
      <c r="QY30" s="1">
        <f t="shared" si="99"/>
        <v>0</v>
      </c>
      <c r="QZ30" s="1">
        <f t="shared" si="100"/>
        <v>0</v>
      </c>
      <c r="RA30" s="1">
        <f t="shared" si="101"/>
        <v>0</v>
      </c>
      <c r="RB30" s="1">
        <f t="shared" si="102"/>
        <v>0</v>
      </c>
      <c r="RC30" s="1">
        <f t="shared" si="103"/>
        <v>0</v>
      </c>
      <c r="RD30" s="1">
        <f t="shared" si="104"/>
        <v>0</v>
      </c>
      <c r="RG30" s="1">
        <v>21</v>
      </c>
      <c r="RH30" s="1">
        <f t="shared" si="119"/>
        <v>29763.235209717102</v>
      </c>
      <c r="RI30" s="1">
        <f t="shared" si="119"/>
        <v>18765.711780483714</v>
      </c>
      <c r="RJ30" s="1">
        <f t="shared" si="119"/>
        <v>13404.263703387322</v>
      </c>
      <c r="RK30" s="89">
        <f t="shared" si="5"/>
        <v>61933.210693588131</v>
      </c>
      <c r="RL30" s="1033">
        <v>21</v>
      </c>
      <c r="RM30" s="1098">
        <f t="shared" si="118"/>
        <v>0</v>
      </c>
      <c r="RN30" s="1098">
        <f t="shared" si="106"/>
        <v>0</v>
      </c>
      <c r="RO30" s="1097">
        <f t="shared" si="106"/>
        <v>0</v>
      </c>
      <c r="RP30" s="1097">
        <f t="shared" si="107"/>
        <v>2429.04</v>
      </c>
      <c r="RQ30" s="1109"/>
      <c r="RR30" s="1050" t="s">
        <v>789</v>
      </c>
      <c r="RS30" s="1048"/>
      <c r="RU30" s="421">
        <v>21</v>
      </c>
      <c r="RV30" s="1095">
        <f t="shared" si="108"/>
        <v>7180.880000000001</v>
      </c>
      <c r="RW30" s="1050" t="s">
        <v>790</v>
      </c>
      <c r="RY30" s="1090"/>
      <c r="RZ30" s="1090">
        <f t="shared" si="109"/>
        <v>0</v>
      </c>
      <c r="SA30" s="1090"/>
      <c r="SB30" s="1090">
        <f t="shared" si="110"/>
        <v>0</v>
      </c>
      <c r="SD30" s="1">
        <v>21</v>
      </c>
      <c r="SE30" s="1">
        <f t="shared" si="111"/>
        <v>0</v>
      </c>
    </row>
    <row r="31" spans="1:500" s="1" customFormat="1">
      <c r="B31" s="471">
        <v>22</v>
      </c>
      <c r="C31" s="4">
        <f t="shared" si="6"/>
        <v>146768</v>
      </c>
      <c r="D31" s="64">
        <f t="shared" si="112"/>
        <v>7018.2599999999993</v>
      </c>
      <c r="E31" s="61">
        <f t="shared" si="7"/>
        <v>20.912305899182989</v>
      </c>
      <c r="F31" s="870"/>
      <c r="G31" s="870"/>
      <c r="H31" s="52">
        <v>21</v>
      </c>
      <c r="I31" s="61">
        <v>4.5</v>
      </c>
      <c r="J31" s="52"/>
      <c r="K31" s="54"/>
      <c r="L31" s="52">
        <v>48.33</v>
      </c>
      <c r="M31" s="61">
        <v>3.71</v>
      </c>
      <c r="N31" s="2629"/>
      <c r="O31" s="4">
        <f t="shared" si="8"/>
        <v>89880</v>
      </c>
      <c r="P31" s="1225">
        <f t="shared" si="9"/>
        <v>4166.4999999999991</v>
      </c>
      <c r="Q31" s="64">
        <f t="shared" si="10"/>
        <v>21.572062882515304</v>
      </c>
      <c r="R31" s="33"/>
      <c r="S31" s="26">
        <f t="shared" si="11"/>
        <v>28752</v>
      </c>
      <c r="T31" s="27">
        <f t="shared" si="12"/>
        <v>1591.76</v>
      </c>
      <c r="U31" s="53">
        <f t="shared" si="13"/>
        <v>18.063024576569333</v>
      </c>
      <c r="V31" s="28"/>
      <c r="W31" s="26">
        <f t="shared" si="14"/>
        <v>28136</v>
      </c>
      <c r="X31" s="5">
        <f t="shared" si="14"/>
        <v>1260</v>
      </c>
      <c r="Y31" s="53">
        <f t="shared" si="15"/>
        <v>22.330158730158729</v>
      </c>
      <c r="Z31" s="33"/>
      <c r="AA31" s="26">
        <f t="shared" si="16"/>
        <v>0</v>
      </c>
      <c r="AB31" s="27">
        <f t="shared" si="17"/>
        <v>0</v>
      </c>
      <c r="AC31" s="53">
        <f t="shared" si="18"/>
        <v>0</v>
      </c>
      <c r="AD31" s="28"/>
      <c r="AE31" s="36"/>
      <c r="AF31" s="36"/>
      <c r="AG31" s="53">
        <f t="shared" si="19"/>
        <v>0</v>
      </c>
      <c r="AH31" s="28"/>
      <c r="AI31" s="26"/>
      <c r="AJ31" s="27"/>
      <c r="AK31" s="53">
        <f t="shared" si="20"/>
        <v>0</v>
      </c>
      <c r="AL31" s="28"/>
      <c r="AM31" s="2629"/>
      <c r="AN31" s="9"/>
      <c r="AO31" s="5"/>
      <c r="AP31" s="61">
        <f t="shared" si="21"/>
        <v>0</v>
      </c>
      <c r="AQ31" s="36"/>
      <c r="AR31" s="53"/>
      <c r="AS31" s="61">
        <f t="shared" si="22"/>
        <v>0</v>
      </c>
      <c r="AT31" s="36">
        <v>0</v>
      </c>
      <c r="AU31" s="27"/>
      <c r="AV31" s="61">
        <f t="shared" si="23"/>
        <v>0</v>
      </c>
      <c r="AW31" s="36">
        <v>50316</v>
      </c>
      <c r="AX31" s="27">
        <v>3776.1799999999989</v>
      </c>
      <c r="AY31" s="61">
        <f t="shared" si="24"/>
        <v>13.324576688611247</v>
      </c>
      <c r="AZ31" s="36"/>
      <c r="BA31" s="27"/>
      <c r="BB31" s="61">
        <f t="shared" si="25"/>
        <v>0</v>
      </c>
      <c r="BC31" s="36">
        <v>39564</v>
      </c>
      <c r="BD31" s="27">
        <v>390.32</v>
      </c>
      <c r="BE31" s="61">
        <f t="shared" si="26"/>
        <v>101.36298421807747</v>
      </c>
      <c r="BF31" s="36"/>
      <c r="BG31" s="53"/>
      <c r="BH31" s="61">
        <f t="shared" si="27"/>
        <v>0</v>
      </c>
      <c r="BI31" s="36">
        <v>0</v>
      </c>
      <c r="BJ31" s="53">
        <v>0</v>
      </c>
      <c r="BK31" s="61">
        <f t="shared" si="28"/>
        <v>0</v>
      </c>
      <c r="BL31" s="52">
        <v>28752</v>
      </c>
      <c r="BM31" s="53">
        <v>1591.76</v>
      </c>
      <c r="BN31" s="482">
        <f t="shared" si="29"/>
        <v>18.063024576569333</v>
      </c>
      <c r="BO31" s="9"/>
      <c r="BP31" s="64"/>
      <c r="BQ31" s="482">
        <f t="shared" si="30"/>
        <v>0</v>
      </c>
      <c r="BR31" s="9"/>
      <c r="BS31" s="64"/>
      <c r="BT31" s="482">
        <f t="shared" si="31"/>
        <v>0</v>
      </c>
      <c r="BU31" s="9">
        <v>28136</v>
      </c>
      <c r="BV31" s="27">
        <v>1260</v>
      </c>
      <c r="BW31" s="15">
        <f t="shared" si="32"/>
        <v>22.330158730158729</v>
      </c>
      <c r="BX31" s="4"/>
      <c r="BY31" s="5"/>
      <c r="BZ31" s="482">
        <f t="shared" si="33"/>
        <v>0</v>
      </c>
      <c r="CA31" s="9"/>
      <c r="CB31" s="5"/>
      <c r="CC31" s="482">
        <f t="shared" si="34"/>
        <v>0</v>
      </c>
      <c r="CD31" s="4"/>
      <c r="CE31" s="5"/>
      <c r="CF31" s="28">
        <f t="shared" si="35"/>
        <v>0</v>
      </c>
      <c r="CG31" s="150"/>
      <c r="CH31" s="1108">
        <v>1296</v>
      </c>
      <c r="CI31" s="5"/>
      <c r="CJ31" s="5"/>
      <c r="CK31" s="5">
        <v>9663.5</v>
      </c>
      <c r="CL31" s="5"/>
      <c r="CM31" s="5">
        <f t="shared" si="113"/>
        <v>10959.5</v>
      </c>
      <c r="CN31" s="33"/>
      <c r="CO31" s="366"/>
      <c r="CQ31" s="4">
        <f t="shared" si="36"/>
        <v>0</v>
      </c>
      <c r="CR31" s="9">
        <f t="shared" si="36"/>
        <v>0</v>
      </c>
      <c r="CS31" s="5">
        <f t="shared" si="36"/>
        <v>0</v>
      </c>
      <c r="CT31" s="5">
        <f t="shared" si="36"/>
        <v>0</v>
      </c>
      <c r="CU31" s="5">
        <f t="shared" ref="CU31:DB40" si="124">SUM(DI31,DV31,EI31)</f>
        <v>0</v>
      </c>
      <c r="CV31" s="5">
        <f t="shared" si="124"/>
        <v>0</v>
      </c>
      <c r="CW31" s="5">
        <f t="shared" si="124"/>
        <v>2326.6799999999994</v>
      </c>
      <c r="CX31" s="5">
        <f t="shared" si="124"/>
        <v>0</v>
      </c>
      <c r="CY31" s="5">
        <f t="shared" si="124"/>
        <v>3821.2599999999993</v>
      </c>
      <c r="CZ31" s="5">
        <f t="shared" si="124"/>
        <v>0</v>
      </c>
      <c r="DA31" s="5">
        <f t="shared" si="124"/>
        <v>870.31999999999994</v>
      </c>
      <c r="DB31" s="12">
        <f t="shared" si="124"/>
        <v>0</v>
      </c>
      <c r="DC31" s="310">
        <f t="shared" si="37"/>
        <v>7018.2599999999984</v>
      </c>
      <c r="DD31" s="2695"/>
      <c r="DE31" s="9"/>
      <c r="DF31" s="9"/>
      <c r="DG31" s="5"/>
      <c r="DH31" s="5"/>
      <c r="DI31" s="5"/>
      <c r="DJ31" s="5"/>
      <c r="DK31" s="5">
        <v>2326.6799999999994</v>
      </c>
      <c r="DL31" s="5"/>
      <c r="DM31" s="487">
        <v>1449.4999999999995</v>
      </c>
      <c r="DN31" s="5"/>
      <c r="DO31" s="5"/>
      <c r="DP31" s="12"/>
      <c r="DQ31" s="28">
        <f t="shared" si="38"/>
        <v>3776.1799999999989</v>
      </c>
      <c r="DR31" s="36"/>
      <c r="DS31" s="9"/>
      <c r="DT31" s="5"/>
      <c r="DU31" s="5"/>
      <c r="DV31" s="5"/>
      <c r="DW31" s="5"/>
      <c r="DX31" s="27"/>
      <c r="DY31" s="27"/>
      <c r="DZ31" s="27">
        <v>1591.76</v>
      </c>
      <c r="EA31" s="27"/>
      <c r="EB31" s="27">
        <v>390.32</v>
      </c>
      <c r="EC31" s="33"/>
      <c r="ED31" s="28">
        <f t="shared" si="39"/>
        <v>1982.08</v>
      </c>
      <c r="EE31" s="9"/>
      <c r="EF31" s="36"/>
      <c r="EG31"/>
      <c r="EH31" s="27"/>
      <c r="EI31" s="27"/>
      <c r="EJ31" s="27"/>
      <c r="EK31" s="27"/>
      <c r="EL31" s="27"/>
      <c r="EM31" s="27">
        <v>780</v>
      </c>
      <c r="EN31" s="27"/>
      <c r="EO31" s="27">
        <v>480</v>
      </c>
      <c r="EP31" s="33"/>
      <c r="EQ31" s="28">
        <f t="shared" si="40"/>
        <v>1260</v>
      </c>
      <c r="ER31" s="36"/>
      <c r="ES31" s="27"/>
      <c r="ET31" s="27"/>
      <c r="EU31" s="27"/>
      <c r="EV31" s="27"/>
      <c r="EW31" s="27"/>
      <c r="EX31" s="33">
        <f t="shared" si="41"/>
        <v>0</v>
      </c>
      <c r="EY31" s="2685"/>
      <c r="FA31" s="4">
        <f t="shared" si="42"/>
        <v>0</v>
      </c>
      <c r="FB31" s="5">
        <f t="shared" si="43"/>
        <v>0</v>
      </c>
      <c r="FC31" s="5">
        <f t="shared" si="44"/>
        <v>0</v>
      </c>
      <c r="FD31" s="12">
        <f t="shared" si="45"/>
        <v>0</v>
      </c>
      <c r="FE31" s="33"/>
      <c r="FF31" s="2674"/>
      <c r="FG31" s="9"/>
      <c r="FH31" s="5"/>
      <c r="FI31" s="5"/>
      <c r="FJ31" s="5"/>
      <c r="FK31" s="5"/>
      <c r="FL31" s="27"/>
      <c r="FM31" s="28">
        <f t="shared" si="46"/>
        <v>0</v>
      </c>
      <c r="FN31" s="36"/>
      <c r="FO31" s="27"/>
      <c r="FP31" s="27"/>
      <c r="FQ31" s="27"/>
      <c r="FR31" s="27"/>
      <c r="FS31" s="27"/>
      <c r="FT31" s="28">
        <f t="shared" si="47"/>
        <v>0</v>
      </c>
      <c r="FU31" s="36"/>
      <c r="FV31" s="36"/>
      <c r="FW31" s="27"/>
      <c r="FX31" s="27"/>
      <c r="FY31" s="27"/>
      <c r="FZ31" s="27"/>
      <c r="GA31" s="27"/>
      <c r="GB31" s="27"/>
      <c r="GC31" s="27"/>
      <c r="GD31" s="27"/>
      <c r="GE31" s="27"/>
      <c r="GF31" s="33"/>
      <c r="GG31" s="33">
        <f t="shared" si="48"/>
        <v>0</v>
      </c>
      <c r="GH31" s="2674"/>
      <c r="GJ31" s="4">
        <f t="shared" si="49"/>
        <v>662.82999999999993</v>
      </c>
      <c r="GK31" s="64">
        <f t="shared" si="50"/>
        <v>2777.84</v>
      </c>
      <c r="GL31" s="53">
        <f t="shared" si="51"/>
        <v>3716.9799999999996</v>
      </c>
      <c r="GM31" s="53">
        <f t="shared" si="52"/>
        <v>7157.65</v>
      </c>
      <c r="GN31" s="141"/>
      <c r="GO31" s="141"/>
      <c r="GP31" s="33"/>
      <c r="GQ31" s="2667"/>
      <c r="GR31" s="152">
        <v>3583.55</v>
      </c>
      <c r="GS31" s="27"/>
      <c r="GT31" s="27">
        <v>1813.83</v>
      </c>
      <c r="GU31" s="27">
        <v>1760.2699999999998</v>
      </c>
      <c r="GV31" s="33">
        <f t="shared" si="53"/>
        <v>7157.65</v>
      </c>
      <c r="GW31" s="2667"/>
      <c r="GX31" s="36"/>
      <c r="GY31" s="36"/>
      <c r="GZ31" s="27"/>
      <c r="HA31" s="27"/>
      <c r="HB31" s="27"/>
      <c r="HC31" s="27"/>
      <c r="HD31" s="27"/>
      <c r="HE31" s="27"/>
      <c r="HF31" s="27">
        <v>662.82999999999993</v>
      </c>
      <c r="HG31" s="27"/>
      <c r="HH31" s="27"/>
      <c r="HI31" s="27"/>
      <c r="HJ31" s="27"/>
      <c r="HK31" s="27"/>
      <c r="HL31" s="28">
        <f t="shared" si="54"/>
        <v>662.82999999999993</v>
      </c>
      <c r="HM31" s="36"/>
      <c r="HN31" s="27"/>
      <c r="HO31" s="27"/>
      <c r="HP31" s="27"/>
      <c r="HQ31" s="27"/>
      <c r="HR31" s="27"/>
      <c r="HS31" s="27"/>
      <c r="HT31" s="27"/>
      <c r="HU31" s="27"/>
      <c r="HV31" s="27"/>
      <c r="HW31" s="27"/>
      <c r="HX31" s="27"/>
      <c r="HY31" s="27"/>
      <c r="HZ31" s="27"/>
      <c r="IA31" s="33">
        <f t="shared" si="55"/>
        <v>0</v>
      </c>
      <c r="IB31" s="52"/>
      <c r="IC31" s="152"/>
      <c r="ID31" s="53"/>
      <c r="IE31" s="53"/>
      <c r="IF31" s="53"/>
      <c r="IG31" s="53"/>
      <c r="IH31" s="53"/>
      <c r="II31" s="53"/>
      <c r="IJ31" s="53">
        <v>2777.84</v>
      </c>
      <c r="IK31" s="53"/>
      <c r="IL31" s="53"/>
      <c r="IM31" s="53"/>
      <c r="IN31" s="53"/>
      <c r="IO31" s="53"/>
      <c r="IP31" s="61">
        <f t="shared" si="56"/>
        <v>2777.84</v>
      </c>
      <c r="IQ31" s="36"/>
      <c r="IR31" s="36"/>
      <c r="IS31" s="27"/>
      <c r="IT31" s="27"/>
      <c r="IU31" s="53"/>
      <c r="IV31" s="27"/>
      <c r="IW31" s="27"/>
      <c r="IX31" s="27"/>
      <c r="IY31" s="27">
        <v>3716.9799999999996</v>
      </c>
      <c r="IZ31" s="27"/>
      <c r="JA31" s="27"/>
      <c r="JB31" s="27"/>
      <c r="JC31" s="27"/>
      <c r="JD31" s="27"/>
      <c r="JE31" s="33">
        <f t="shared" si="57"/>
        <v>3716.9799999999996</v>
      </c>
      <c r="JF31" s="2667"/>
      <c r="JH31" s="52">
        <v>7157.65</v>
      </c>
      <c r="JI31" s="152"/>
      <c r="JJ31" s="53"/>
      <c r="JK31" s="53">
        <f t="shared" si="58"/>
        <v>7157.65</v>
      </c>
      <c r="JL31" s="33"/>
      <c r="JM31" s="2669"/>
      <c r="JN31" s="69"/>
      <c r="JO31" s="70"/>
      <c r="JP31" s="70"/>
      <c r="JQ31" s="70"/>
      <c r="JR31" s="70">
        <v>1</v>
      </c>
      <c r="JS31" s="70"/>
      <c r="JT31" s="70"/>
      <c r="JU31" s="71"/>
      <c r="JV31" s="69"/>
      <c r="JW31" s="70"/>
      <c r="JX31" s="70"/>
      <c r="JY31" s="70"/>
      <c r="JZ31" s="70"/>
      <c r="KA31" s="70"/>
      <c r="KB31" s="70"/>
      <c r="KC31" s="71"/>
      <c r="KD31" s="69"/>
      <c r="KE31" s="70"/>
      <c r="KF31" s="70"/>
      <c r="KG31" s="70"/>
      <c r="KH31" s="70"/>
      <c r="KI31" s="70"/>
      <c r="KJ31" s="70"/>
      <c r="KK31" s="70"/>
      <c r="KL31" s="33"/>
      <c r="KM31" s="2669"/>
      <c r="KN31" s="9">
        <v>6842.1686157193362</v>
      </c>
      <c r="KO31" s="64">
        <v>0.49240685341310847</v>
      </c>
      <c r="KP31" s="64">
        <v>4.9634267065542561</v>
      </c>
      <c r="KQ31" s="64">
        <v>6.3584117487081864</v>
      </c>
      <c r="KR31" s="846">
        <v>10.964101657873265</v>
      </c>
      <c r="KS31" s="4">
        <v>0</v>
      </c>
      <c r="KT31" s="64">
        <v>0</v>
      </c>
      <c r="KU31" s="64">
        <v>0</v>
      </c>
      <c r="KV31" s="64">
        <v>0</v>
      </c>
      <c r="KW31" s="482">
        <v>0</v>
      </c>
      <c r="KX31" s="36"/>
      <c r="KY31" s="53"/>
      <c r="KZ31" s="53"/>
      <c r="LA31" s="53"/>
      <c r="LB31" s="53"/>
      <c r="LC31" s="33"/>
      <c r="LD31" s="2669"/>
      <c r="LF31" s="4">
        <f t="shared" si="59"/>
        <v>0</v>
      </c>
      <c r="LG31" s="5">
        <f t="shared" si="59"/>
        <v>0</v>
      </c>
      <c r="LH31" s="27">
        <f t="shared" si="59"/>
        <v>0</v>
      </c>
      <c r="LI31" s="28">
        <f t="shared" si="60"/>
        <v>0</v>
      </c>
      <c r="LJ31" s="36"/>
      <c r="LK31" s="27"/>
      <c r="LL31" s="27">
        <v>5</v>
      </c>
      <c r="LM31" s="33"/>
      <c r="LN31" s="1041">
        <v>5.77</v>
      </c>
      <c r="LO31" s="486"/>
      <c r="LP31" s="2688"/>
      <c r="LQ31" s="36"/>
      <c r="LR31" s="36"/>
      <c r="LS31" s="27"/>
      <c r="LT31" s="27"/>
      <c r="LU31" s="27"/>
      <c r="LV31" s="1107">
        <f t="shared" si="61"/>
        <v>0</v>
      </c>
      <c r="LW31" s="36"/>
      <c r="LX31" s="36"/>
      <c r="LY31" s="27"/>
      <c r="LZ31" s="27"/>
      <c r="MA31" s="33"/>
      <c r="MB31" s="28">
        <f t="shared" si="62"/>
        <v>0</v>
      </c>
      <c r="MC31" s="26"/>
      <c r="MD31" s="36"/>
      <c r="ME31" s="27"/>
      <c r="MF31" s="27"/>
      <c r="MG31" s="27"/>
      <c r="MH31" s="28"/>
      <c r="MI31" s="36"/>
      <c r="MJ31" s="36"/>
      <c r="MK31" s="27"/>
      <c r="ML31" s="27"/>
      <c r="MM31" s="27"/>
      <c r="MN31" s="28"/>
      <c r="MO31" s="36"/>
      <c r="MP31" s="36"/>
      <c r="MQ31" s="27"/>
      <c r="MR31" s="27"/>
      <c r="MS31" s="27"/>
      <c r="MT31" s="33">
        <f t="shared" si="63"/>
        <v>0</v>
      </c>
      <c r="MU31" s="2688"/>
      <c r="MW31" s="26">
        <f t="shared" si="64"/>
        <v>88820.783785492211</v>
      </c>
      <c r="MX31" s="27">
        <f t="shared" si="65"/>
        <v>73512.761281839426</v>
      </c>
      <c r="MY31" s="27">
        <f t="shared" si="66"/>
        <v>23630.293116668145</v>
      </c>
      <c r="MZ31" s="28">
        <f t="shared" si="67"/>
        <v>435886.66665121424</v>
      </c>
      <c r="NA31" s="2621"/>
      <c r="NB31" s="23">
        <f t="shared" si="68"/>
        <v>56282.514254802423</v>
      </c>
      <c r="NC31" s="64">
        <f t="shared" si="69"/>
        <v>32538.269530689791</v>
      </c>
      <c r="ND31" s="60">
        <f t="shared" si="70"/>
        <v>0</v>
      </c>
      <c r="NE31" s="1110">
        <f t="shared" si="4"/>
        <v>88820.783785492211</v>
      </c>
      <c r="NF31" s="26">
        <f t="shared" si="120"/>
        <v>0</v>
      </c>
      <c r="NG31" s="27">
        <f t="shared" si="120"/>
        <v>0</v>
      </c>
      <c r="NH31" s="27">
        <f t="shared" si="120"/>
        <v>0</v>
      </c>
      <c r="NI31" s="27">
        <f t="shared" si="120"/>
        <v>0</v>
      </c>
      <c r="NJ31" s="27">
        <f t="shared" si="120"/>
        <v>0</v>
      </c>
      <c r="NK31" s="33">
        <f t="shared" si="120"/>
        <v>0</v>
      </c>
      <c r="NL31" s="27">
        <f t="shared" si="120"/>
        <v>0</v>
      </c>
      <c r="NM31" s="36">
        <f t="shared" si="120"/>
        <v>0</v>
      </c>
      <c r="NN31" s="27">
        <f t="shared" si="120"/>
        <v>38478.242027032749</v>
      </c>
      <c r="NO31" s="27">
        <f t="shared" si="120"/>
        <v>0</v>
      </c>
      <c r="NP31" s="24">
        <f t="shared" si="114"/>
        <v>8756.5482322711578</v>
      </c>
      <c r="NQ31" s="24">
        <f t="shared" si="115"/>
        <v>13171.515013230797</v>
      </c>
      <c r="NR31" s="27">
        <f t="shared" si="0"/>
        <v>60406.305272534701</v>
      </c>
      <c r="NS31" s="27">
        <f t="shared" si="121"/>
        <v>0</v>
      </c>
      <c r="NT31" s="27">
        <f t="shared" si="121"/>
        <v>0</v>
      </c>
      <c r="NU31" s="27">
        <f t="shared" si="121"/>
        <v>0</v>
      </c>
      <c r="NV31" s="27">
        <f t="shared" si="121"/>
        <v>0</v>
      </c>
      <c r="NW31" s="27">
        <f t="shared" si="121"/>
        <v>0</v>
      </c>
      <c r="NX31" s="5">
        <f t="shared" si="121"/>
        <v>0</v>
      </c>
      <c r="NY31" s="27">
        <f t="shared" si="121"/>
        <v>5591.1446092523811</v>
      </c>
      <c r="NZ31" s="27">
        <f t="shared" si="121"/>
        <v>0</v>
      </c>
      <c r="OA31" s="27">
        <f t="shared" si="121"/>
        <v>1949.869999999999</v>
      </c>
      <c r="OB31" s="27"/>
      <c r="OC31" s="24">
        <f t="shared" si="122"/>
        <v>1565.61197844705</v>
      </c>
      <c r="OD31" s="27">
        <f t="shared" si="122"/>
        <v>0</v>
      </c>
      <c r="OE31" s="28">
        <f t="shared" si="1"/>
        <v>9106.6265876994294</v>
      </c>
      <c r="OF31" s="27">
        <f t="shared" si="123"/>
        <v>0</v>
      </c>
      <c r="OG31" s="27">
        <f t="shared" si="123"/>
        <v>0</v>
      </c>
      <c r="OH31" s="27">
        <f t="shared" si="123"/>
        <v>0</v>
      </c>
      <c r="OI31" s="27">
        <f t="shared" si="123"/>
        <v>0</v>
      </c>
      <c r="OJ31" s="27">
        <f t="shared" si="123"/>
        <v>0</v>
      </c>
      <c r="OK31" s="27">
        <f t="shared" si="123"/>
        <v>0</v>
      </c>
      <c r="OL31" s="24">
        <f t="shared" si="123"/>
        <v>0</v>
      </c>
      <c r="OM31" s="27">
        <f t="shared" si="123"/>
        <v>0</v>
      </c>
      <c r="ON31" s="24">
        <f t="shared" si="123"/>
        <v>390.51025380020837</v>
      </c>
      <c r="OO31" s="27">
        <f t="shared" si="123"/>
        <v>0</v>
      </c>
      <c r="OP31" s="27">
        <f t="shared" si="123"/>
        <v>3609.3191678051007</v>
      </c>
      <c r="OQ31" s="27">
        <f t="shared" si="123"/>
        <v>0</v>
      </c>
      <c r="OR31" s="28">
        <f t="shared" si="2"/>
        <v>3999.8294216053091</v>
      </c>
      <c r="OS31" s="36"/>
      <c r="OT31" s="27"/>
      <c r="OU31" s="27"/>
      <c r="OV31" s="27"/>
      <c r="OW31" s="27"/>
      <c r="OX31" s="27"/>
      <c r="OY31" s="28">
        <f t="shared" si="75"/>
        <v>0</v>
      </c>
      <c r="OZ31" s="36">
        <f t="shared" si="76"/>
        <v>0</v>
      </c>
      <c r="PA31" s="27">
        <f t="shared" si="77"/>
        <v>0</v>
      </c>
      <c r="PB31" s="27">
        <f t="shared" si="78"/>
        <v>0</v>
      </c>
      <c r="PC31" s="27">
        <f t="shared" si="79"/>
        <v>0</v>
      </c>
      <c r="PD31" s="27">
        <f t="shared" si="80"/>
        <v>0</v>
      </c>
      <c r="PE31" s="27">
        <f t="shared" si="81"/>
        <v>0</v>
      </c>
      <c r="PF31" s="33">
        <f t="shared" si="3"/>
        <v>0</v>
      </c>
      <c r="PG31" s="2621"/>
      <c r="PI31" s="2"/>
      <c r="PJ31" s="3"/>
      <c r="PK31" s="3"/>
      <c r="PL31" s="3">
        <f t="shared" si="116"/>
        <v>0</v>
      </c>
      <c r="PM31" s="3">
        <f t="shared" si="82"/>
        <v>152.63999999999999</v>
      </c>
      <c r="PN31" s="11">
        <f t="shared" si="117"/>
        <v>23630.293116668145</v>
      </c>
      <c r="PO31" s="15"/>
      <c r="PP31" s="2615"/>
      <c r="PR31" s="4"/>
      <c r="PS31" s="9"/>
      <c r="PT31" s="9"/>
      <c r="PU31" s="9"/>
      <c r="PV31" s="9"/>
      <c r="PW31" s="9"/>
      <c r="PX31" s="8">
        <f t="shared" si="83"/>
        <v>0</v>
      </c>
      <c r="PY31" s="5">
        <f t="shared" si="84"/>
        <v>0</v>
      </c>
      <c r="PZ31" s="5"/>
      <c r="QA31" s="5"/>
      <c r="QB31" s="5"/>
      <c r="QC31" s="5"/>
      <c r="QD31" s="5"/>
      <c r="QE31" s="12">
        <f t="shared" si="85"/>
        <v>29749.381073161156</v>
      </c>
      <c r="QF31" s="420">
        <f t="shared" si="86"/>
        <v>404514.90557805309</v>
      </c>
      <c r="QG31" s="1106">
        <f t="shared" si="87"/>
        <v>1622.38</v>
      </c>
      <c r="QH31" s="484">
        <f t="shared" si="88"/>
        <v>5505.3678056100007</v>
      </c>
      <c r="QI31" s="12"/>
      <c r="QJ31" s="2615"/>
      <c r="QL31" s="139">
        <f t="shared" si="89"/>
        <v>0</v>
      </c>
      <c r="QM31" s="139" t="str">
        <f t="shared" si="90"/>
        <v/>
      </c>
      <c r="QO31" s="139">
        <f t="shared" si="91"/>
        <v>0</v>
      </c>
      <c r="QP31" s="139">
        <f t="shared" si="92"/>
        <v>0</v>
      </c>
      <c r="QR31" s="1">
        <f t="shared" si="93"/>
        <v>0</v>
      </c>
      <c r="QS31" s="1">
        <f t="shared" si="94"/>
        <v>0</v>
      </c>
      <c r="QT31" s="1">
        <f t="shared" si="95"/>
        <v>0</v>
      </c>
      <c r="QU31" s="1">
        <f t="shared" si="96"/>
        <v>0</v>
      </c>
      <c r="QV31" s="1">
        <f t="shared" si="97"/>
        <v>0</v>
      </c>
      <c r="QW31" s="1">
        <f t="shared" si="98"/>
        <v>0</v>
      </c>
      <c r="QY31" s="1">
        <f t="shared" si="99"/>
        <v>0</v>
      </c>
      <c r="QZ31" s="1">
        <f t="shared" si="100"/>
        <v>0</v>
      </c>
      <c r="RA31" s="1">
        <f t="shared" si="101"/>
        <v>0</v>
      </c>
      <c r="RB31" s="1">
        <f t="shared" si="102"/>
        <v>0</v>
      </c>
      <c r="RC31" s="1">
        <f t="shared" si="103"/>
        <v>0</v>
      </c>
      <c r="RD31" s="1">
        <f t="shared" si="104"/>
        <v>0</v>
      </c>
      <c r="RG31" s="1">
        <v>22</v>
      </c>
      <c r="RH31" s="1">
        <f t="shared" si="119"/>
        <v>36920.885209717104</v>
      </c>
      <c r="RI31" s="1">
        <f t="shared" si="119"/>
        <v>18765.711780483714</v>
      </c>
      <c r="RJ31" s="1">
        <f t="shared" si="119"/>
        <v>13404.263703387322</v>
      </c>
      <c r="RK31" s="89">
        <f t="shared" si="5"/>
        <v>69090.86069358814</v>
      </c>
      <c r="RL31" s="1033">
        <v>22</v>
      </c>
      <c r="RM31" s="1098">
        <f t="shared" si="118"/>
        <v>0</v>
      </c>
      <c r="RN31" s="1098">
        <f t="shared" si="106"/>
        <v>0</v>
      </c>
      <c r="RO31" s="1097">
        <f t="shared" si="106"/>
        <v>0</v>
      </c>
      <c r="RP31" s="1097">
        <f t="shared" si="107"/>
        <v>5758.2599999999984</v>
      </c>
      <c r="RQ31" s="1109"/>
      <c r="RR31" s="1109" t="s">
        <v>791</v>
      </c>
      <c r="RS31" s="1048"/>
      <c r="RU31" s="421">
        <v>22</v>
      </c>
      <c r="RV31" s="1095">
        <f t="shared" si="108"/>
        <v>7157.65</v>
      </c>
      <c r="RW31" s="1046" t="s">
        <v>792</v>
      </c>
      <c r="RY31" s="1090"/>
      <c r="RZ31" s="1090">
        <f t="shared" si="109"/>
        <v>0</v>
      </c>
      <c r="SA31" s="1090"/>
      <c r="SB31" s="1090">
        <f t="shared" si="110"/>
        <v>0</v>
      </c>
      <c r="SD31" s="1">
        <v>22</v>
      </c>
      <c r="SE31" s="1">
        <f t="shared" si="111"/>
        <v>0</v>
      </c>
    </row>
    <row r="32" spans="1:500" s="1" customFormat="1">
      <c r="B32" s="471">
        <v>23</v>
      </c>
      <c r="C32" s="4">
        <f t="shared" si="6"/>
        <v>48947</v>
      </c>
      <c r="D32" s="64">
        <f t="shared" si="112"/>
        <v>832.16</v>
      </c>
      <c r="E32" s="61">
        <f t="shared" si="7"/>
        <v>58.819217458181122</v>
      </c>
      <c r="F32" s="870"/>
      <c r="G32" s="870"/>
      <c r="H32" s="52">
        <v>58</v>
      </c>
      <c r="I32" s="61">
        <v>16</v>
      </c>
      <c r="J32" s="52"/>
      <c r="K32" s="54"/>
      <c r="L32" s="52">
        <v>14</v>
      </c>
      <c r="M32" s="61">
        <v>15.57</v>
      </c>
      <c r="N32" s="2629"/>
      <c r="O32" s="4">
        <f t="shared" si="8"/>
        <v>25620</v>
      </c>
      <c r="P32" s="1225">
        <f t="shared" si="9"/>
        <v>34.26</v>
      </c>
      <c r="Q32" s="64">
        <f t="shared" si="10"/>
        <v>747.81085814360779</v>
      </c>
      <c r="R32" s="33"/>
      <c r="S32" s="26">
        <f t="shared" si="11"/>
        <v>12402</v>
      </c>
      <c r="T32" s="27">
        <f t="shared" si="12"/>
        <v>317.89999999999998</v>
      </c>
      <c r="U32" s="53">
        <f t="shared" si="13"/>
        <v>39.012268008807801</v>
      </c>
      <c r="V32" s="28"/>
      <c r="W32" s="26">
        <f t="shared" si="14"/>
        <v>10925</v>
      </c>
      <c r="X32" s="5">
        <f t="shared" si="14"/>
        <v>480</v>
      </c>
      <c r="Y32" s="53">
        <f t="shared" si="15"/>
        <v>22.760416666666668</v>
      </c>
      <c r="Z32" s="33"/>
      <c r="AA32" s="26">
        <f t="shared" si="16"/>
        <v>0</v>
      </c>
      <c r="AB32" s="27">
        <f t="shared" si="17"/>
        <v>0</v>
      </c>
      <c r="AC32" s="53">
        <f t="shared" si="18"/>
        <v>0</v>
      </c>
      <c r="AD32" s="28"/>
      <c r="AE32" s="36"/>
      <c r="AF32" s="36"/>
      <c r="AG32" s="53">
        <f t="shared" si="19"/>
        <v>0</v>
      </c>
      <c r="AH32" s="28"/>
      <c r="AI32" s="23"/>
      <c r="AJ32" s="27"/>
      <c r="AK32" s="53">
        <f t="shared" si="20"/>
        <v>0</v>
      </c>
      <c r="AL32" s="28"/>
      <c r="AM32" s="2629"/>
      <c r="AN32" s="9"/>
      <c r="AO32" s="5"/>
      <c r="AP32" s="61">
        <f t="shared" si="21"/>
        <v>0</v>
      </c>
      <c r="AQ32" s="36"/>
      <c r="AR32" s="53"/>
      <c r="AS32" s="61">
        <f t="shared" si="22"/>
        <v>0</v>
      </c>
      <c r="AT32" s="36">
        <v>0</v>
      </c>
      <c r="AU32" s="27"/>
      <c r="AV32" s="61">
        <f t="shared" si="23"/>
        <v>0</v>
      </c>
      <c r="AW32" s="36">
        <v>7770</v>
      </c>
      <c r="AX32" s="27">
        <v>34.26</v>
      </c>
      <c r="AY32" s="61">
        <f t="shared" si="24"/>
        <v>226.7950963222417</v>
      </c>
      <c r="AZ32" s="36"/>
      <c r="BA32" s="27"/>
      <c r="BB32" s="61">
        <f t="shared" si="25"/>
        <v>0</v>
      </c>
      <c r="BC32" s="36">
        <v>17850</v>
      </c>
      <c r="BD32" s="27">
        <v>0</v>
      </c>
      <c r="BE32" s="61">
        <f t="shared" si="26"/>
        <v>0</v>
      </c>
      <c r="BF32" s="36"/>
      <c r="BG32" s="53"/>
      <c r="BH32" s="61">
        <f t="shared" si="27"/>
        <v>0</v>
      </c>
      <c r="BI32" s="36">
        <v>0</v>
      </c>
      <c r="BJ32" s="53">
        <v>0</v>
      </c>
      <c r="BK32" s="61">
        <f t="shared" si="28"/>
        <v>0</v>
      </c>
      <c r="BL32" s="52">
        <v>12402</v>
      </c>
      <c r="BM32" s="53">
        <v>317.89999999999998</v>
      </c>
      <c r="BN32" s="482">
        <f t="shared" si="29"/>
        <v>39.012268008807801</v>
      </c>
      <c r="BO32" s="9"/>
      <c r="BP32" s="64"/>
      <c r="BQ32" s="482">
        <f t="shared" si="30"/>
        <v>0</v>
      </c>
      <c r="BR32" s="9"/>
      <c r="BS32" s="64"/>
      <c r="BT32" s="482">
        <f t="shared" si="31"/>
        <v>0</v>
      </c>
      <c r="BU32" s="9">
        <v>10925</v>
      </c>
      <c r="BV32" s="5">
        <v>480</v>
      </c>
      <c r="BW32" s="15">
        <f t="shared" si="32"/>
        <v>22.760416666666668</v>
      </c>
      <c r="BX32" s="4"/>
      <c r="BY32" s="5"/>
      <c r="BZ32" s="482">
        <f t="shared" si="33"/>
        <v>0</v>
      </c>
      <c r="CA32" s="9"/>
      <c r="CB32" s="5"/>
      <c r="CC32" s="482">
        <f t="shared" si="34"/>
        <v>0</v>
      </c>
      <c r="CD32" s="4"/>
      <c r="CE32" s="5"/>
      <c r="CF32" s="28">
        <f t="shared" si="35"/>
        <v>0</v>
      </c>
      <c r="CG32" s="150"/>
      <c r="CH32" s="1108">
        <v>1536</v>
      </c>
      <c r="CI32" s="5"/>
      <c r="CJ32" s="5"/>
      <c r="CK32" s="5">
        <v>4387.5</v>
      </c>
      <c r="CL32" s="5"/>
      <c r="CM32" s="5">
        <f t="shared" si="113"/>
        <v>5923.5</v>
      </c>
      <c r="CN32" s="33"/>
      <c r="CO32" s="368"/>
      <c r="CQ32" s="4">
        <f t="shared" ref="CQ32:CT40" si="125">SUM(DE32,DR32,EE32)</f>
        <v>0</v>
      </c>
      <c r="CR32" s="9">
        <f t="shared" si="125"/>
        <v>0</v>
      </c>
      <c r="CS32" s="5">
        <f t="shared" si="125"/>
        <v>0</v>
      </c>
      <c r="CT32" s="5">
        <f t="shared" si="125"/>
        <v>0</v>
      </c>
      <c r="CU32" s="5">
        <f t="shared" si="124"/>
        <v>0</v>
      </c>
      <c r="CV32" s="5">
        <f t="shared" si="124"/>
        <v>0</v>
      </c>
      <c r="CW32" s="5">
        <f t="shared" si="124"/>
        <v>34.26</v>
      </c>
      <c r="CX32" s="5">
        <f t="shared" si="124"/>
        <v>0</v>
      </c>
      <c r="CY32" s="5">
        <f t="shared" si="124"/>
        <v>317.89999999999998</v>
      </c>
      <c r="CZ32" s="5">
        <f t="shared" si="124"/>
        <v>0</v>
      </c>
      <c r="DA32" s="5">
        <f t="shared" si="124"/>
        <v>480</v>
      </c>
      <c r="DB32" s="12">
        <f t="shared" si="124"/>
        <v>0</v>
      </c>
      <c r="DC32" s="310">
        <f>SUM(CQ32:DB32,PV32,PW32,)</f>
        <v>832.16</v>
      </c>
      <c r="DD32" s="2695"/>
      <c r="DE32" s="9"/>
      <c r="DF32" s="9"/>
      <c r="DG32" s="5"/>
      <c r="DH32" s="5"/>
      <c r="DI32" s="5"/>
      <c r="DJ32" s="5"/>
      <c r="DK32" s="5">
        <v>34.26</v>
      </c>
      <c r="DL32" s="12"/>
      <c r="DM32" s="487"/>
      <c r="DN32" s="9"/>
      <c r="DO32" s="5"/>
      <c r="DP32" s="12"/>
      <c r="DQ32" s="28">
        <f t="shared" si="38"/>
        <v>34.26</v>
      </c>
      <c r="DR32" s="36"/>
      <c r="DS32" s="9"/>
      <c r="DT32" s="5"/>
      <c r="DU32" s="5"/>
      <c r="DV32" s="5"/>
      <c r="DW32" s="5"/>
      <c r="DX32" s="27"/>
      <c r="DY32" s="27"/>
      <c r="DZ32" s="27">
        <v>317.89999999999998</v>
      </c>
      <c r="EA32" s="27"/>
      <c r="EB32" s="27"/>
      <c r="EC32" s="33"/>
      <c r="ED32" s="28">
        <f t="shared" si="39"/>
        <v>317.89999999999998</v>
      </c>
      <c r="EE32" s="9"/>
      <c r="EF32" s="36"/>
      <c r="EG32" s="27"/>
      <c r="EH32" s="27"/>
      <c r="EI32" s="27"/>
      <c r="EJ32" s="27"/>
      <c r="EK32" s="27"/>
      <c r="EL32" s="27"/>
      <c r="EM32" s="27"/>
      <c r="EN32" s="27"/>
      <c r="EO32" s="5">
        <v>480</v>
      </c>
      <c r="EP32" s="33"/>
      <c r="EQ32" s="28">
        <f t="shared" si="40"/>
        <v>480</v>
      </c>
      <c r="ER32" s="36"/>
      <c r="ES32" s="27"/>
      <c r="ET32" s="27"/>
      <c r="EU32" s="27"/>
      <c r="EV32" s="27"/>
      <c r="EW32" s="27"/>
      <c r="EX32" s="33">
        <f t="shared" si="41"/>
        <v>0</v>
      </c>
      <c r="EY32" s="2685"/>
      <c r="FA32" s="4">
        <f t="shared" si="42"/>
        <v>0</v>
      </c>
      <c r="FB32" s="5">
        <f t="shared" si="43"/>
        <v>0</v>
      </c>
      <c r="FC32" s="5">
        <f t="shared" si="44"/>
        <v>0</v>
      </c>
      <c r="FD32" s="12">
        <f t="shared" si="45"/>
        <v>0</v>
      </c>
      <c r="FE32" s="33"/>
      <c r="FF32" s="2674"/>
      <c r="FG32" s="9"/>
      <c r="FH32" s="5"/>
      <c r="FI32" s="5"/>
      <c r="FJ32" s="5"/>
      <c r="FK32" s="5"/>
      <c r="FL32" s="27"/>
      <c r="FM32" s="28">
        <f t="shared" si="46"/>
        <v>0</v>
      </c>
      <c r="FN32" s="36"/>
      <c r="FO32" s="27"/>
      <c r="FP32" s="27"/>
      <c r="FQ32" s="27"/>
      <c r="FR32" s="27"/>
      <c r="FS32" s="27"/>
      <c r="FT32" s="28">
        <f t="shared" si="47"/>
        <v>0</v>
      </c>
      <c r="FU32" s="36"/>
      <c r="FV32" s="36"/>
      <c r="FW32" s="27"/>
      <c r="FX32" s="27"/>
      <c r="FY32" s="27"/>
      <c r="FZ32" s="27"/>
      <c r="GA32" s="27"/>
      <c r="GB32" s="27"/>
      <c r="GC32" s="27"/>
      <c r="GD32" s="27"/>
      <c r="GE32" s="27"/>
      <c r="GF32" s="33"/>
      <c r="GG32" s="33">
        <f t="shared" si="48"/>
        <v>0</v>
      </c>
      <c r="GH32" s="2674"/>
      <c r="GJ32" s="4">
        <f t="shared" si="49"/>
        <v>0</v>
      </c>
      <c r="GK32" s="64">
        <f t="shared" si="50"/>
        <v>0</v>
      </c>
      <c r="GL32" s="53">
        <f t="shared" si="51"/>
        <v>0</v>
      </c>
      <c r="GM32" s="53">
        <f t="shared" si="52"/>
        <v>0</v>
      </c>
      <c r="GN32" s="141"/>
      <c r="GO32" s="141"/>
      <c r="GP32" s="33" t="s">
        <v>793</v>
      </c>
      <c r="GQ32" s="2667"/>
      <c r="GR32" s="152"/>
      <c r="GS32" s="27"/>
      <c r="GT32" s="27"/>
      <c r="GU32" s="27"/>
      <c r="GV32" s="33">
        <f t="shared" si="53"/>
        <v>0</v>
      </c>
      <c r="GW32" s="2667"/>
      <c r="GX32" s="36"/>
      <c r="GY32" s="36"/>
      <c r="GZ32" s="27"/>
      <c r="HA32" s="27"/>
      <c r="HB32" s="27"/>
      <c r="HC32" s="27"/>
      <c r="HD32" s="27"/>
      <c r="HE32" s="27"/>
      <c r="HF32" s="27"/>
      <c r="HG32" s="27"/>
      <c r="HH32" s="27"/>
      <c r="HI32" s="27"/>
      <c r="HJ32" s="27"/>
      <c r="HK32" s="27"/>
      <c r="HL32" s="28">
        <f t="shared" si="54"/>
        <v>0</v>
      </c>
      <c r="HM32" s="36"/>
      <c r="HN32" s="27"/>
      <c r="HO32" s="27"/>
      <c r="HP32" s="27"/>
      <c r="HQ32" s="27"/>
      <c r="HR32" s="27"/>
      <c r="HS32" s="27"/>
      <c r="HT32" s="27"/>
      <c r="HU32" s="27"/>
      <c r="HV32" s="27"/>
      <c r="HW32" s="27"/>
      <c r="HX32" s="27"/>
      <c r="HY32" s="27"/>
      <c r="HZ32" s="27"/>
      <c r="IA32" s="33">
        <f t="shared" si="55"/>
        <v>0</v>
      </c>
      <c r="IB32" s="52"/>
      <c r="IC32" s="152"/>
      <c r="ID32" s="53"/>
      <c r="IE32" s="53"/>
      <c r="IF32" s="53"/>
      <c r="IG32" s="53"/>
      <c r="IH32" s="53"/>
      <c r="II32" s="53"/>
      <c r="IJ32" s="53"/>
      <c r="IK32" s="53"/>
      <c r="IL32" s="53"/>
      <c r="IM32" s="53"/>
      <c r="IN32" s="53"/>
      <c r="IO32" s="53"/>
      <c r="IP32" s="61">
        <f t="shared" si="56"/>
        <v>0</v>
      </c>
      <c r="IQ32" s="36"/>
      <c r="IR32" s="36"/>
      <c r="IS32" s="27"/>
      <c r="IT32" s="27"/>
      <c r="IU32" s="53"/>
      <c r="IV32" s="27"/>
      <c r="IW32" s="27"/>
      <c r="IX32" s="27"/>
      <c r="IY32" s="27"/>
      <c r="IZ32" s="27"/>
      <c r="JA32" s="27"/>
      <c r="JB32" s="27"/>
      <c r="JC32" s="27"/>
      <c r="JD32" s="27"/>
      <c r="JE32" s="33">
        <f t="shared" si="57"/>
        <v>0</v>
      </c>
      <c r="JF32" s="2667"/>
      <c r="JH32" s="52"/>
      <c r="JI32" s="152"/>
      <c r="JJ32" s="53"/>
      <c r="JK32" s="53">
        <f t="shared" si="58"/>
        <v>0</v>
      </c>
      <c r="JL32" s="33"/>
      <c r="JM32" s="2669"/>
      <c r="JN32" s="69"/>
      <c r="JO32" s="70"/>
      <c r="JP32" s="70"/>
      <c r="JQ32" s="70"/>
      <c r="JR32" s="70"/>
      <c r="JS32" s="70"/>
      <c r="JT32" s="70"/>
      <c r="JU32" s="71"/>
      <c r="JV32" s="69"/>
      <c r="JW32" s="70"/>
      <c r="JX32" s="70"/>
      <c r="JY32" s="70"/>
      <c r="JZ32" s="70"/>
      <c r="KA32" s="70"/>
      <c r="KB32" s="70"/>
      <c r="KC32" s="71"/>
      <c r="KD32" s="69"/>
      <c r="KE32" s="70"/>
      <c r="KF32" s="70"/>
      <c r="KG32" s="70"/>
      <c r="KH32" s="70"/>
      <c r="KI32" s="70"/>
      <c r="KJ32" s="70"/>
      <c r="KK32" s="70"/>
      <c r="KL32" s="33"/>
      <c r="KM32" s="2669"/>
      <c r="KN32" s="36">
        <v>0</v>
      </c>
      <c r="KO32" s="53">
        <v>0</v>
      </c>
      <c r="KP32" s="53">
        <v>0</v>
      </c>
      <c r="KQ32" s="53">
        <v>0</v>
      </c>
      <c r="KR32" s="54">
        <v>0</v>
      </c>
      <c r="KS32" s="4">
        <v>0</v>
      </c>
      <c r="KT32" s="64">
        <v>0</v>
      </c>
      <c r="KU32" s="64">
        <v>0</v>
      </c>
      <c r="KV32" s="64">
        <v>0</v>
      </c>
      <c r="KW32" s="482">
        <v>0</v>
      </c>
      <c r="KX32" s="36"/>
      <c r="KY32" s="53"/>
      <c r="KZ32" s="53"/>
      <c r="LA32" s="53"/>
      <c r="LB32" s="53"/>
      <c r="LC32" s="33"/>
      <c r="LD32" s="2669"/>
      <c r="LF32" s="4">
        <f t="shared" si="59"/>
        <v>0</v>
      </c>
      <c r="LG32" s="5">
        <f t="shared" si="59"/>
        <v>0</v>
      </c>
      <c r="LH32" s="27">
        <f t="shared" si="59"/>
        <v>0</v>
      </c>
      <c r="LI32" s="28">
        <f t="shared" si="60"/>
        <v>0</v>
      </c>
      <c r="LJ32" s="36"/>
      <c r="LK32" s="27"/>
      <c r="LL32" s="27">
        <v>4</v>
      </c>
      <c r="LM32" s="33"/>
      <c r="LN32" s="1041">
        <v>6.3</v>
      </c>
      <c r="LO32" s="486" t="s">
        <v>794</v>
      </c>
      <c r="LP32" s="2688"/>
      <c r="LQ32" s="36"/>
      <c r="LR32" s="36"/>
      <c r="LS32" s="27"/>
      <c r="LT32" s="27"/>
      <c r="LU32" s="27"/>
      <c r="LV32" s="1107">
        <f t="shared" si="61"/>
        <v>0</v>
      </c>
      <c r="LW32" s="36"/>
      <c r="LX32" s="36"/>
      <c r="LY32" s="27"/>
      <c r="LZ32" s="27"/>
      <c r="MA32" s="33"/>
      <c r="MB32" s="28">
        <f t="shared" si="62"/>
        <v>0</v>
      </c>
      <c r="MC32" s="26"/>
      <c r="MD32" s="36"/>
      <c r="ME32" s="27"/>
      <c r="MF32" s="27"/>
      <c r="MG32" s="27"/>
      <c r="MH32" s="28"/>
      <c r="MI32" s="36"/>
      <c r="MJ32" s="36"/>
      <c r="MK32" s="27"/>
      <c r="ML32" s="27"/>
      <c r="MM32" s="27"/>
      <c r="MN32" s="28"/>
      <c r="MO32" s="36"/>
      <c r="MP32" s="36"/>
      <c r="MQ32" s="27"/>
      <c r="MR32" s="27"/>
      <c r="MS32" s="27"/>
      <c r="MT32" s="33">
        <f t="shared" si="63"/>
        <v>0</v>
      </c>
      <c r="MU32" s="2688"/>
      <c r="MW32" s="26">
        <f t="shared" si="64"/>
        <v>88820.783785492211</v>
      </c>
      <c r="MX32" s="27">
        <f t="shared" si="65"/>
        <v>74344.921281839444</v>
      </c>
      <c r="MY32" s="27">
        <f t="shared" si="66"/>
        <v>23630.293116668145</v>
      </c>
      <c r="MZ32" s="28">
        <f t="shared" si="67"/>
        <v>435886.66665121424</v>
      </c>
      <c r="NA32" s="2621"/>
      <c r="NB32" s="23">
        <f t="shared" si="68"/>
        <v>56282.514254802423</v>
      </c>
      <c r="NC32" s="64">
        <f t="shared" si="69"/>
        <v>32538.269530689791</v>
      </c>
      <c r="ND32" s="60">
        <f t="shared" si="70"/>
        <v>0</v>
      </c>
      <c r="NE32" s="275">
        <f t="shared" si="4"/>
        <v>88820.783785492211</v>
      </c>
      <c r="NF32" s="26">
        <f t="shared" si="120"/>
        <v>0</v>
      </c>
      <c r="NG32" s="27">
        <f t="shared" si="120"/>
        <v>0</v>
      </c>
      <c r="NH32" s="27">
        <f t="shared" si="120"/>
        <v>0</v>
      </c>
      <c r="NI32" s="27">
        <f t="shared" si="120"/>
        <v>0</v>
      </c>
      <c r="NJ32" s="27">
        <f t="shared" si="120"/>
        <v>0</v>
      </c>
      <c r="NK32" s="33">
        <f t="shared" si="120"/>
        <v>0</v>
      </c>
      <c r="NL32" s="27">
        <f t="shared" si="120"/>
        <v>0</v>
      </c>
      <c r="NM32" s="36">
        <f t="shared" si="120"/>
        <v>0</v>
      </c>
      <c r="NN32" s="27">
        <f t="shared" si="120"/>
        <v>38478.242027032749</v>
      </c>
      <c r="NO32" s="27">
        <f t="shared" si="120"/>
        <v>0</v>
      </c>
      <c r="NP32" s="24">
        <f t="shared" si="114"/>
        <v>8756.5482322711578</v>
      </c>
      <c r="NQ32" s="24">
        <f t="shared" si="115"/>
        <v>13651.515013230797</v>
      </c>
      <c r="NR32" s="27">
        <f t="shared" si="0"/>
        <v>60886.305272534701</v>
      </c>
      <c r="NS32" s="27">
        <f t="shared" si="121"/>
        <v>0</v>
      </c>
      <c r="NT32" s="27">
        <f t="shared" si="121"/>
        <v>0</v>
      </c>
      <c r="NU32" s="27">
        <f t="shared" si="121"/>
        <v>0</v>
      </c>
      <c r="NV32" s="27">
        <f t="shared" si="121"/>
        <v>0</v>
      </c>
      <c r="NW32" s="27">
        <f t="shared" si="121"/>
        <v>0</v>
      </c>
      <c r="NX32" s="5">
        <f t="shared" si="121"/>
        <v>0</v>
      </c>
      <c r="NY32" s="27">
        <f t="shared" si="121"/>
        <v>5625.4046092523813</v>
      </c>
      <c r="NZ32" s="27">
        <f t="shared" si="121"/>
        <v>0</v>
      </c>
      <c r="OA32" s="27">
        <f t="shared" si="121"/>
        <v>1949.869999999999</v>
      </c>
      <c r="OB32" s="27"/>
      <c r="OC32" s="24">
        <f t="shared" si="122"/>
        <v>1565.61197844705</v>
      </c>
      <c r="OD32" s="27">
        <f t="shared" si="122"/>
        <v>0</v>
      </c>
      <c r="OE32" s="28">
        <f t="shared" si="1"/>
        <v>9140.8865876994296</v>
      </c>
      <c r="OF32" s="27">
        <f t="shared" si="123"/>
        <v>0</v>
      </c>
      <c r="OG32" s="27">
        <f t="shared" si="123"/>
        <v>0</v>
      </c>
      <c r="OH32" s="27">
        <f t="shared" si="123"/>
        <v>0</v>
      </c>
      <c r="OI32" s="27">
        <f t="shared" si="123"/>
        <v>0</v>
      </c>
      <c r="OJ32" s="27">
        <f t="shared" si="123"/>
        <v>0</v>
      </c>
      <c r="OK32" s="27">
        <f t="shared" si="123"/>
        <v>0</v>
      </c>
      <c r="OL32" s="24">
        <f t="shared" si="123"/>
        <v>0</v>
      </c>
      <c r="OM32" s="27">
        <f t="shared" si="123"/>
        <v>0</v>
      </c>
      <c r="ON32" s="24">
        <f t="shared" si="123"/>
        <v>708.41025380020835</v>
      </c>
      <c r="OO32" s="27">
        <f t="shared" si="123"/>
        <v>0</v>
      </c>
      <c r="OP32" s="27">
        <f t="shared" si="123"/>
        <v>3609.3191678051007</v>
      </c>
      <c r="OQ32" s="27">
        <f t="shared" si="123"/>
        <v>0</v>
      </c>
      <c r="OR32" s="28">
        <f t="shared" si="2"/>
        <v>4317.7294216053087</v>
      </c>
      <c r="OS32" s="36"/>
      <c r="OT32" s="27"/>
      <c r="OU32" s="27"/>
      <c r="OV32" s="27"/>
      <c r="OW32" s="27"/>
      <c r="OX32" s="27"/>
      <c r="OY32" s="28">
        <f t="shared" si="75"/>
        <v>0</v>
      </c>
      <c r="OZ32" s="36">
        <f t="shared" si="76"/>
        <v>0</v>
      </c>
      <c r="PA32" s="27">
        <f t="shared" si="77"/>
        <v>0</v>
      </c>
      <c r="PB32" s="27">
        <f t="shared" si="78"/>
        <v>0</v>
      </c>
      <c r="PC32" s="27">
        <f t="shared" si="79"/>
        <v>0</v>
      </c>
      <c r="PD32" s="27">
        <f t="shared" si="80"/>
        <v>0</v>
      </c>
      <c r="PE32" s="27">
        <f t="shared" si="81"/>
        <v>0</v>
      </c>
      <c r="PF32" s="33">
        <f t="shared" si="3"/>
        <v>0</v>
      </c>
      <c r="PG32" s="2621"/>
      <c r="PI32" s="2"/>
      <c r="PJ32" s="3"/>
      <c r="PK32" s="3"/>
      <c r="PL32" s="3">
        <f t="shared" si="116"/>
        <v>0</v>
      </c>
      <c r="PM32" s="3">
        <f t="shared" si="82"/>
        <v>152.63999999999999</v>
      </c>
      <c r="PN32" s="11">
        <f t="shared" si="117"/>
        <v>23630.293116668145</v>
      </c>
      <c r="PO32" s="15"/>
      <c r="PP32" s="2615"/>
      <c r="PR32" s="4"/>
      <c r="PS32" s="9"/>
      <c r="PT32" s="9"/>
      <c r="PU32" s="9"/>
      <c r="PV32" s="9"/>
      <c r="PW32" s="9"/>
      <c r="PX32" s="8">
        <f t="shared" si="83"/>
        <v>0</v>
      </c>
      <c r="PY32" s="5">
        <f t="shared" si="84"/>
        <v>0</v>
      </c>
      <c r="PZ32" s="5"/>
      <c r="QA32" s="5"/>
      <c r="QB32" s="5"/>
      <c r="QC32" s="5"/>
      <c r="QD32" s="5"/>
      <c r="QE32" s="12">
        <f t="shared" si="85"/>
        <v>29749.381073161156</v>
      </c>
      <c r="QF32" s="420">
        <f t="shared" si="86"/>
        <v>404514.90557805309</v>
      </c>
      <c r="QG32" s="1106">
        <f t="shared" si="87"/>
        <v>1622.38</v>
      </c>
      <c r="QH32" s="484">
        <f t="shared" si="88"/>
        <v>5505.3678056100007</v>
      </c>
      <c r="QI32" s="12"/>
      <c r="QJ32" s="2615"/>
      <c r="QL32" s="139" t="str">
        <f t="shared" si="89"/>
        <v/>
      </c>
      <c r="QM32" s="139" t="str">
        <f t="shared" si="90"/>
        <v/>
      </c>
      <c r="QO32" s="139" t="str">
        <f t="shared" si="91"/>
        <v/>
      </c>
      <c r="QP32" s="139" t="str">
        <f t="shared" si="92"/>
        <v/>
      </c>
      <c r="QR32" s="1">
        <f t="shared" si="93"/>
        <v>0</v>
      </c>
      <c r="QS32" s="1">
        <f t="shared" si="94"/>
        <v>0</v>
      </c>
      <c r="QT32" s="1">
        <f t="shared" si="95"/>
        <v>0</v>
      </c>
      <c r="QU32" s="1">
        <f t="shared" si="96"/>
        <v>0</v>
      </c>
      <c r="QV32" s="1">
        <f t="shared" si="97"/>
        <v>0</v>
      </c>
      <c r="QW32" s="1">
        <f t="shared" si="98"/>
        <v>0</v>
      </c>
      <c r="QY32" s="1">
        <f t="shared" si="99"/>
        <v>0</v>
      </c>
      <c r="QZ32" s="1">
        <f t="shared" si="100"/>
        <v>0</v>
      </c>
      <c r="RA32" s="1">
        <f t="shared" si="101"/>
        <v>0</v>
      </c>
      <c r="RB32" s="1">
        <f t="shared" si="102"/>
        <v>0</v>
      </c>
      <c r="RC32" s="1">
        <f t="shared" si="103"/>
        <v>0</v>
      </c>
      <c r="RD32" s="1">
        <f t="shared" si="104"/>
        <v>0</v>
      </c>
      <c r="RG32" s="1">
        <v>23</v>
      </c>
      <c r="RH32" s="1">
        <f t="shared" si="119"/>
        <v>36920.885209717104</v>
      </c>
      <c r="RI32" s="1">
        <f t="shared" si="119"/>
        <v>18765.711780483714</v>
      </c>
      <c r="RJ32" s="1">
        <f t="shared" si="119"/>
        <v>13404.263703387322</v>
      </c>
      <c r="RK32" s="89">
        <f t="shared" si="5"/>
        <v>69090.86069358814</v>
      </c>
      <c r="RL32" s="1033">
        <v>23</v>
      </c>
      <c r="RM32" s="1098">
        <f t="shared" si="118"/>
        <v>0</v>
      </c>
      <c r="RN32" s="1098">
        <f t="shared" si="106"/>
        <v>0</v>
      </c>
      <c r="RO32" s="1097">
        <f t="shared" si="106"/>
        <v>0</v>
      </c>
      <c r="RP32" s="1097">
        <f t="shared" si="107"/>
        <v>352.15999999999997</v>
      </c>
      <c r="RQ32" s="1094"/>
      <c r="RR32" s="1094" t="s">
        <v>795</v>
      </c>
      <c r="RU32" s="421">
        <v>23</v>
      </c>
      <c r="RV32" s="1095">
        <f t="shared" si="108"/>
        <v>0</v>
      </c>
      <c r="RW32" s="1094"/>
      <c r="RY32" s="1090"/>
      <c r="RZ32" s="1090">
        <f t="shared" si="109"/>
        <v>0</v>
      </c>
      <c r="SA32" s="1090"/>
      <c r="SB32" s="1090">
        <f t="shared" si="110"/>
        <v>0</v>
      </c>
      <c r="SD32" s="1">
        <v>23</v>
      </c>
      <c r="SE32" s="1">
        <f t="shared" si="111"/>
        <v>0</v>
      </c>
    </row>
    <row r="33" spans="1:500" s="1" customFormat="1">
      <c r="B33" s="471">
        <v>24</v>
      </c>
      <c r="C33" s="4">
        <f t="shared" si="6"/>
        <v>89859</v>
      </c>
      <c r="D33" s="64">
        <f t="shared" si="112"/>
        <v>2663.85</v>
      </c>
      <c r="E33" s="61">
        <f t="shared" si="7"/>
        <v>33.732755222703979</v>
      </c>
      <c r="F33" s="870"/>
      <c r="G33" s="870"/>
      <c r="H33" s="52">
        <v>34</v>
      </c>
      <c r="I33" s="61">
        <v>10.35</v>
      </c>
      <c r="J33" s="52"/>
      <c r="K33" s="54"/>
      <c r="L33" s="52">
        <v>4.67</v>
      </c>
      <c r="M33" s="61">
        <v>7.86</v>
      </c>
      <c r="N33" s="2629"/>
      <c r="O33" s="4">
        <f t="shared" si="8"/>
        <v>44940</v>
      </c>
      <c r="P33" s="1225">
        <f t="shared" si="9"/>
        <v>123.68</v>
      </c>
      <c r="Q33" s="64">
        <f t="shared" si="10"/>
        <v>363.35705045278138</v>
      </c>
      <c r="R33" s="33"/>
      <c r="S33" s="26">
        <f t="shared" si="11"/>
        <v>26586</v>
      </c>
      <c r="T33" s="27">
        <f t="shared" si="12"/>
        <v>2040.17</v>
      </c>
      <c r="U33" s="53">
        <f t="shared" si="13"/>
        <v>13.031267002259614</v>
      </c>
      <c r="V33" s="28"/>
      <c r="W33" s="26">
        <f t="shared" si="14"/>
        <v>18333</v>
      </c>
      <c r="X33" s="5">
        <f t="shared" si="14"/>
        <v>500</v>
      </c>
      <c r="Y33" s="53">
        <f t="shared" si="15"/>
        <v>36.665999999999997</v>
      </c>
      <c r="Z33" s="33"/>
      <c r="AA33" s="26">
        <f t="shared" si="16"/>
        <v>0</v>
      </c>
      <c r="AB33" s="27">
        <f t="shared" si="17"/>
        <v>0</v>
      </c>
      <c r="AC33" s="53">
        <f t="shared" si="18"/>
        <v>0</v>
      </c>
      <c r="AD33" s="28"/>
      <c r="AE33" s="36"/>
      <c r="AF33" s="36"/>
      <c r="AG33" s="53">
        <f t="shared" si="19"/>
        <v>0</v>
      </c>
      <c r="AH33" s="28"/>
      <c r="AI33" s="26"/>
      <c r="AJ33" s="27"/>
      <c r="AK33" s="53">
        <f t="shared" si="20"/>
        <v>0</v>
      </c>
      <c r="AL33" s="28"/>
      <c r="AM33" s="2629"/>
      <c r="AN33" s="9"/>
      <c r="AO33" s="5"/>
      <c r="AP33" s="61">
        <f t="shared" si="21"/>
        <v>0</v>
      </c>
      <c r="AQ33" s="36"/>
      <c r="AR33" s="53"/>
      <c r="AS33" s="61">
        <f t="shared" si="22"/>
        <v>0</v>
      </c>
      <c r="AT33" s="36">
        <v>0</v>
      </c>
      <c r="AU33" s="27"/>
      <c r="AV33" s="61">
        <f t="shared" si="23"/>
        <v>0</v>
      </c>
      <c r="AW33" s="36">
        <v>16506</v>
      </c>
      <c r="AX33" s="27">
        <v>97.04</v>
      </c>
      <c r="AY33" s="61">
        <f t="shared" si="24"/>
        <v>170.09480626545752</v>
      </c>
      <c r="AZ33" s="36"/>
      <c r="BA33" s="27"/>
      <c r="BB33" s="61">
        <f t="shared" si="25"/>
        <v>0</v>
      </c>
      <c r="BC33" s="36">
        <v>28434</v>
      </c>
      <c r="BD33" s="27">
        <v>26.64</v>
      </c>
      <c r="BE33" s="61">
        <f t="shared" si="26"/>
        <v>1067.3423423423424</v>
      </c>
      <c r="BF33" s="36"/>
      <c r="BG33" s="53"/>
      <c r="BH33" s="61">
        <f t="shared" si="27"/>
        <v>0</v>
      </c>
      <c r="BI33" s="36">
        <v>0</v>
      </c>
      <c r="BJ33" s="53">
        <v>0</v>
      </c>
      <c r="BK33" s="61">
        <f t="shared" si="28"/>
        <v>0</v>
      </c>
      <c r="BL33" s="52">
        <v>26586</v>
      </c>
      <c r="BM33" s="53">
        <v>2040.17</v>
      </c>
      <c r="BN33" s="482">
        <f t="shared" si="29"/>
        <v>13.031267002259614</v>
      </c>
      <c r="BO33" s="9"/>
      <c r="BP33" s="64"/>
      <c r="BQ33" s="482">
        <f t="shared" si="30"/>
        <v>0</v>
      </c>
      <c r="BR33" s="9"/>
      <c r="BS33" s="64"/>
      <c r="BT33" s="482">
        <f t="shared" si="31"/>
        <v>0</v>
      </c>
      <c r="BU33" s="9">
        <v>18333</v>
      </c>
      <c r="BV33" s="5">
        <v>500</v>
      </c>
      <c r="BW33" s="15">
        <f t="shared" si="32"/>
        <v>36.665999999999997</v>
      </c>
      <c r="BX33" s="4"/>
      <c r="BY33" s="5"/>
      <c r="BZ33" s="482">
        <f t="shared" si="33"/>
        <v>0</v>
      </c>
      <c r="CA33" s="9"/>
      <c r="CB33" s="5"/>
      <c r="CC33" s="482">
        <f t="shared" si="34"/>
        <v>0</v>
      </c>
      <c r="CD33" s="4"/>
      <c r="CE33" s="5"/>
      <c r="CF33" s="28">
        <f t="shared" si="35"/>
        <v>0</v>
      </c>
      <c r="CG33" s="150"/>
      <c r="CH33" s="1108">
        <v>288</v>
      </c>
      <c r="CI33" s="5"/>
      <c r="CJ33" s="5"/>
      <c r="CK33" s="5">
        <v>9500</v>
      </c>
      <c r="CL33" s="5"/>
      <c r="CM33" s="5">
        <f t="shared" si="113"/>
        <v>9788</v>
      </c>
      <c r="CN33" s="33"/>
      <c r="CO33" s="366"/>
      <c r="CQ33" s="4">
        <f t="shared" si="125"/>
        <v>0</v>
      </c>
      <c r="CR33" s="9">
        <f t="shared" si="125"/>
        <v>0</v>
      </c>
      <c r="CS33" s="5">
        <f t="shared" si="125"/>
        <v>0</v>
      </c>
      <c r="CT33" s="5">
        <f t="shared" si="125"/>
        <v>0</v>
      </c>
      <c r="CU33" s="5">
        <f t="shared" si="124"/>
        <v>0</v>
      </c>
      <c r="CV33" s="5">
        <f t="shared" si="124"/>
        <v>0</v>
      </c>
      <c r="CW33" s="5">
        <f t="shared" si="124"/>
        <v>97.04</v>
      </c>
      <c r="CX33" s="5">
        <f t="shared" si="124"/>
        <v>0</v>
      </c>
      <c r="CY33" s="5">
        <f t="shared" si="124"/>
        <v>2040.17</v>
      </c>
      <c r="CZ33" s="5">
        <f t="shared" si="124"/>
        <v>0</v>
      </c>
      <c r="DA33" s="5">
        <f t="shared" si="124"/>
        <v>526.64</v>
      </c>
      <c r="DB33" s="12">
        <f t="shared" si="124"/>
        <v>0</v>
      </c>
      <c r="DC33" s="310">
        <f>SUM(CQ33:DB33,PV33)</f>
        <v>2663.85</v>
      </c>
      <c r="DD33" s="2695"/>
      <c r="DE33" s="9"/>
      <c r="DF33" s="9"/>
      <c r="DG33" s="5"/>
      <c r="DH33" s="5"/>
      <c r="DI33" s="5"/>
      <c r="DJ33" s="5"/>
      <c r="DK33" s="5">
        <v>97.04</v>
      </c>
      <c r="DL33" s="5"/>
      <c r="DM33" s="487"/>
      <c r="DN33" s="5"/>
      <c r="DO33" s="5"/>
      <c r="DP33" s="12"/>
      <c r="DQ33" s="28">
        <f t="shared" si="38"/>
        <v>97.04</v>
      </c>
      <c r="DR33" s="36"/>
      <c r="DS33" s="9"/>
      <c r="DT33" s="5"/>
      <c r="DU33" s="5"/>
      <c r="DV33" s="5"/>
      <c r="DW33" s="5"/>
      <c r="DX33" s="27"/>
      <c r="DY33" s="27"/>
      <c r="DZ33" s="27">
        <v>2040.17</v>
      </c>
      <c r="EA33" s="27"/>
      <c r="EB33" s="27">
        <v>26.64</v>
      </c>
      <c r="EC33" s="33"/>
      <c r="ED33" s="28">
        <f t="shared" si="39"/>
        <v>2066.81</v>
      </c>
      <c r="EE33" s="9"/>
      <c r="EF33" s="36"/>
      <c r="EG33" s="27"/>
      <c r="EH33" s="27"/>
      <c r="EI33" s="27"/>
      <c r="EJ33" s="27"/>
      <c r="EK33" s="27"/>
      <c r="EL33" s="27"/>
      <c r="EM33" s="27"/>
      <c r="EN33" s="27"/>
      <c r="EO33" s="27">
        <v>500</v>
      </c>
      <c r="EP33" s="33"/>
      <c r="EQ33" s="28">
        <f t="shared" si="40"/>
        <v>500</v>
      </c>
      <c r="ER33" s="36"/>
      <c r="ES33" s="27"/>
      <c r="ET33" s="27"/>
      <c r="EU33" s="27"/>
      <c r="EV33" s="27"/>
      <c r="EW33" s="27"/>
      <c r="EX33" s="33">
        <f t="shared" si="41"/>
        <v>0</v>
      </c>
      <c r="EY33" s="2685"/>
      <c r="FA33" s="4">
        <f t="shared" si="42"/>
        <v>0</v>
      </c>
      <c r="FB33" s="5">
        <f t="shared" si="43"/>
        <v>0</v>
      </c>
      <c r="FC33" s="5">
        <f t="shared" si="44"/>
        <v>0</v>
      </c>
      <c r="FD33" s="12">
        <f t="shared" si="45"/>
        <v>0</v>
      </c>
      <c r="FE33" s="33"/>
      <c r="FF33" s="2674"/>
      <c r="FG33" s="9"/>
      <c r="FH33" s="5"/>
      <c r="FI33" s="5"/>
      <c r="FJ33" s="5"/>
      <c r="FK33" s="5"/>
      <c r="FL33" s="27"/>
      <c r="FM33" s="28">
        <f t="shared" si="46"/>
        <v>0</v>
      </c>
      <c r="FN33" s="36"/>
      <c r="FO33" s="27"/>
      <c r="FP33" s="27"/>
      <c r="FQ33" s="27"/>
      <c r="FR33" s="27"/>
      <c r="FS33" s="27"/>
      <c r="FT33" s="28">
        <f t="shared" si="47"/>
        <v>0</v>
      </c>
      <c r="FU33" s="36"/>
      <c r="FV33" s="36"/>
      <c r="FW33" s="27"/>
      <c r="FX33" s="27"/>
      <c r="FY33" s="27"/>
      <c r="FZ33" s="27"/>
      <c r="GA33" s="27"/>
      <c r="GB33" s="27"/>
      <c r="GC33" s="27"/>
      <c r="GD33" s="27"/>
      <c r="GE33" s="27"/>
      <c r="GF33" s="33"/>
      <c r="GG33" s="33">
        <f t="shared" si="48"/>
        <v>0</v>
      </c>
      <c r="GH33" s="2674"/>
      <c r="GJ33" s="4">
        <f t="shared" si="49"/>
        <v>0</v>
      </c>
      <c r="GK33" s="64">
        <f t="shared" si="50"/>
        <v>0</v>
      </c>
      <c r="GL33" s="53">
        <f t="shared" si="51"/>
        <v>0</v>
      </c>
      <c r="GM33" s="53">
        <f t="shared" si="52"/>
        <v>0</v>
      </c>
      <c r="GN33" s="141"/>
      <c r="GO33" s="141"/>
      <c r="GP33" s="33" t="s">
        <v>793</v>
      </c>
      <c r="GQ33" s="2667"/>
      <c r="GR33" s="152"/>
      <c r="GS33" s="27"/>
      <c r="GT33" s="27"/>
      <c r="GU33" s="27"/>
      <c r="GV33" s="33">
        <f t="shared" si="53"/>
        <v>0</v>
      </c>
      <c r="GW33" s="2667"/>
      <c r="GX33" s="36"/>
      <c r="GY33" s="152"/>
      <c r="GZ33" s="27"/>
      <c r="HA33" s="53"/>
      <c r="HB33" s="27"/>
      <c r="HC33" s="27"/>
      <c r="HD33" s="27"/>
      <c r="HE33" s="27"/>
      <c r="HF33" s="27"/>
      <c r="HG33" s="27"/>
      <c r="HH33" s="27"/>
      <c r="HI33" s="27"/>
      <c r="HJ33" s="27"/>
      <c r="HK33" s="27"/>
      <c r="HL33" s="28">
        <f t="shared" si="54"/>
        <v>0</v>
      </c>
      <c r="HM33" s="36"/>
      <c r="HN33" s="27"/>
      <c r="HO33" s="27"/>
      <c r="HP33" s="27"/>
      <c r="HQ33" s="27"/>
      <c r="HR33" s="27"/>
      <c r="HS33" s="27"/>
      <c r="HT33" s="27"/>
      <c r="HU33" s="27"/>
      <c r="HV33" s="27"/>
      <c r="HW33" s="27"/>
      <c r="HX33" s="27"/>
      <c r="HY33" s="27"/>
      <c r="HZ33" s="27"/>
      <c r="IA33" s="33">
        <f t="shared" si="55"/>
        <v>0</v>
      </c>
      <c r="IB33" s="52"/>
      <c r="IC33" s="152"/>
      <c r="ID33" s="53"/>
      <c r="IE33" s="53"/>
      <c r="IF33" s="53"/>
      <c r="IG33" s="53"/>
      <c r="IH33" s="53"/>
      <c r="II33" s="53"/>
      <c r="IJ33" s="53"/>
      <c r="IK33" s="53"/>
      <c r="IL33" s="53"/>
      <c r="IM33" s="53"/>
      <c r="IN33" s="53"/>
      <c r="IO33" s="53"/>
      <c r="IP33" s="61">
        <f t="shared" si="56"/>
        <v>0</v>
      </c>
      <c r="IQ33" s="152"/>
      <c r="IR33" s="152"/>
      <c r="IS33" s="53"/>
      <c r="IT33" s="53"/>
      <c r="IU33" s="53"/>
      <c r="IV33" s="27"/>
      <c r="IW33" s="27"/>
      <c r="IX33" s="27"/>
      <c r="IY33" s="27"/>
      <c r="IZ33" s="27"/>
      <c r="JA33" s="27"/>
      <c r="JB33" s="27"/>
      <c r="JC33" s="27"/>
      <c r="JD33" s="27"/>
      <c r="JE33" s="33">
        <f t="shared" si="57"/>
        <v>0</v>
      </c>
      <c r="JF33" s="2667"/>
      <c r="JH33" s="52"/>
      <c r="JI33" s="152"/>
      <c r="JJ33" s="53"/>
      <c r="JK33" s="53">
        <f t="shared" si="58"/>
        <v>0</v>
      </c>
      <c r="JL33" s="33"/>
      <c r="JM33" s="2669"/>
      <c r="JN33" s="69"/>
      <c r="JO33" s="70"/>
      <c r="JP33" s="70"/>
      <c r="JQ33" s="70"/>
      <c r="JR33" s="70"/>
      <c r="JS33" s="70"/>
      <c r="JT33" s="70"/>
      <c r="JU33" s="71"/>
      <c r="JV33" s="69"/>
      <c r="JW33" s="70"/>
      <c r="JX33" s="70"/>
      <c r="JY33" s="70"/>
      <c r="JZ33" s="70"/>
      <c r="KA33" s="70"/>
      <c r="KB33" s="70"/>
      <c r="KC33" s="71"/>
      <c r="KD33" s="69"/>
      <c r="KE33" s="70"/>
      <c r="KF33" s="70"/>
      <c r="KG33" s="70"/>
      <c r="KH33" s="70"/>
      <c r="KI33" s="70"/>
      <c r="KJ33" s="70"/>
      <c r="KK33" s="70"/>
      <c r="KL33" s="33"/>
      <c r="KM33" s="2669"/>
      <c r="KN33" s="36">
        <v>0</v>
      </c>
      <c r="KO33" s="53">
        <v>0</v>
      </c>
      <c r="KP33" s="53">
        <v>0</v>
      </c>
      <c r="KQ33" s="53">
        <v>0</v>
      </c>
      <c r="KR33" s="54">
        <v>0</v>
      </c>
      <c r="KS33" s="4">
        <v>0</v>
      </c>
      <c r="KT33" s="64">
        <v>0</v>
      </c>
      <c r="KU33" s="64">
        <v>0</v>
      </c>
      <c r="KV33" s="64">
        <v>0</v>
      </c>
      <c r="KW33" s="482">
        <v>0</v>
      </c>
      <c r="KX33" s="36"/>
      <c r="KY33" s="53"/>
      <c r="KZ33" s="53"/>
      <c r="LA33" s="53"/>
      <c r="LB33" s="53"/>
      <c r="LC33" s="33"/>
      <c r="LD33" s="2669"/>
      <c r="LF33" s="26">
        <f t="shared" si="59"/>
        <v>0</v>
      </c>
      <c r="LG33" s="27">
        <f t="shared" si="59"/>
        <v>0</v>
      </c>
      <c r="LH33" s="27">
        <f t="shared" si="59"/>
        <v>0</v>
      </c>
      <c r="LI33" s="28">
        <f t="shared" si="60"/>
        <v>0</v>
      </c>
      <c r="LJ33" s="36"/>
      <c r="LK33" s="27"/>
      <c r="LL33" s="27">
        <v>4</v>
      </c>
      <c r="LM33" s="33"/>
      <c r="LN33" s="1041">
        <v>6.42</v>
      </c>
      <c r="LO33" s="486" t="s">
        <v>796</v>
      </c>
      <c r="LP33" s="2688"/>
      <c r="LQ33" s="36"/>
      <c r="LR33" s="36"/>
      <c r="LS33" s="27"/>
      <c r="LT33" s="27"/>
      <c r="LU33" s="27"/>
      <c r="LV33" s="1107">
        <f t="shared" si="61"/>
        <v>0</v>
      </c>
      <c r="LW33" s="36"/>
      <c r="LX33" s="36"/>
      <c r="LY33" s="27"/>
      <c r="LZ33" s="27"/>
      <c r="MA33" s="33"/>
      <c r="MB33" s="28">
        <f t="shared" si="62"/>
        <v>0</v>
      </c>
      <c r="MC33" s="26"/>
      <c r="MD33" s="36"/>
      <c r="ME33" s="27"/>
      <c r="MF33" s="27"/>
      <c r="MG33" s="27"/>
      <c r="MH33" s="28"/>
      <c r="MI33" s="36"/>
      <c r="MJ33" s="152"/>
      <c r="MK33" s="27"/>
      <c r="ML33" s="27"/>
      <c r="MM33" s="27"/>
      <c r="MN33" s="28"/>
      <c r="MO33" s="36"/>
      <c r="MP33" s="36"/>
      <c r="MQ33" s="27"/>
      <c r="MR33" s="27"/>
      <c r="MS33" s="27"/>
      <c r="MT33" s="33">
        <f t="shared" si="63"/>
        <v>0</v>
      </c>
      <c r="MU33" s="2688"/>
      <c r="MW33" s="26">
        <f t="shared" si="64"/>
        <v>88820.783785492211</v>
      </c>
      <c r="MX33" s="27">
        <f t="shared" si="65"/>
        <v>77008.771281839436</v>
      </c>
      <c r="MY33" s="27">
        <f t="shared" si="66"/>
        <v>23630.293116668145</v>
      </c>
      <c r="MZ33" s="28">
        <f t="shared" si="67"/>
        <v>435886.66665121424</v>
      </c>
      <c r="NA33" s="2621"/>
      <c r="NB33" s="23">
        <f t="shared" si="68"/>
        <v>56282.514254802423</v>
      </c>
      <c r="NC33" s="64">
        <f t="shared" si="69"/>
        <v>32538.269530689791</v>
      </c>
      <c r="ND33" s="60">
        <f t="shared" si="70"/>
        <v>0</v>
      </c>
      <c r="NE33" s="275">
        <f t="shared" si="4"/>
        <v>88820.783785492211</v>
      </c>
      <c r="NF33" s="26">
        <f t="shared" si="120"/>
        <v>0</v>
      </c>
      <c r="NG33" s="27">
        <f t="shared" si="120"/>
        <v>0</v>
      </c>
      <c r="NH33" s="27">
        <f t="shared" si="120"/>
        <v>0</v>
      </c>
      <c r="NI33" s="27">
        <f t="shared" si="120"/>
        <v>0</v>
      </c>
      <c r="NJ33" s="27">
        <f t="shared" si="120"/>
        <v>0</v>
      </c>
      <c r="NK33" s="33">
        <f t="shared" si="120"/>
        <v>0</v>
      </c>
      <c r="NL33" s="27">
        <f t="shared" si="120"/>
        <v>0</v>
      </c>
      <c r="NM33" s="36">
        <f t="shared" si="120"/>
        <v>0</v>
      </c>
      <c r="NN33" s="27">
        <f t="shared" si="120"/>
        <v>38478.242027032749</v>
      </c>
      <c r="NO33" s="27">
        <f t="shared" si="120"/>
        <v>0</v>
      </c>
      <c r="NP33" s="24">
        <f t="shared" si="114"/>
        <v>8756.5482322711578</v>
      </c>
      <c r="NQ33" s="24">
        <f t="shared" si="115"/>
        <v>14151.515013230797</v>
      </c>
      <c r="NR33" s="27">
        <f t="shared" si="0"/>
        <v>61386.305272534701</v>
      </c>
      <c r="NS33" s="27">
        <f t="shared" si="121"/>
        <v>0</v>
      </c>
      <c r="NT33" s="27">
        <f t="shared" si="121"/>
        <v>0</v>
      </c>
      <c r="NU33" s="27">
        <f t="shared" si="121"/>
        <v>0</v>
      </c>
      <c r="NV33" s="27">
        <f t="shared" si="121"/>
        <v>0</v>
      </c>
      <c r="NW33" s="27">
        <f t="shared" si="121"/>
        <v>0</v>
      </c>
      <c r="NX33" s="5">
        <f t="shared" si="121"/>
        <v>0</v>
      </c>
      <c r="NY33" s="27">
        <f t="shared" si="121"/>
        <v>5722.4446092523813</v>
      </c>
      <c r="NZ33" s="27">
        <f t="shared" si="121"/>
        <v>0</v>
      </c>
      <c r="OA33" s="27">
        <f t="shared" si="121"/>
        <v>1949.869999999999</v>
      </c>
      <c r="OB33" s="27"/>
      <c r="OC33" s="24">
        <f t="shared" si="122"/>
        <v>1565.61197844705</v>
      </c>
      <c r="OD33" s="27">
        <f t="shared" si="122"/>
        <v>0</v>
      </c>
      <c r="OE33" s="28">
        <f t="shared" si="1"/>
        <v>9237.9265876994305</v>
      </c>
      <c r="OF33" s="27">
        <f t="shared" si="123"/>
        <v>0</v>
      </c>
      <c r="OG33" s="27">
        <f t="shared" si="123"/>
        <v>0</v>
      </c>
      <c r="OH33" s="27">
        <f t="shared" si="123"/>
        <v>0</v>
      </c>
      <c r="OI33" s="27">
        <f t="shared" si="123"/>
        <v>0</v>
      </c>
      <c r="OJ33" s="27">
        <f t="shared" si="123"/>
        <v>0</v>
      </c>
      <c r="OK33" s="27">
        <f t="shared" si="123"/>
        <v>0</v>
      </c>
      <c r="OL33" s="24">
        <f t="shared" si="123"/>
        <v>0</v>
      </c>
      <c r="OM33" s="27">
        <f t="shared" si="123"/>
        <v>0</v>
      </c>
      <c r="ON33" s="24">
        <f t="shared" si="123"/>
        <v>2748.5802538002085</v>
      </c>
      <c r="OO33" s="27">
        <f t="shared" si="123"/>
        <v>0</v>
      </c>
      <c r="OP33" s="27">
        <f t="shared" si="123"/>
        <v>3635.9591678051006</v>
      </c>
      <c r="OQ33" s="27">
        <f t="shared" si="123"/>
        <v>0</v>
      </c>
      <c r="OR33" s="28">
        <f t="shared" si="2"/>
        <v>6384.5394216053091</v>
      </c>
      <c r="OS33" s="36"/>
      <c r="OT33" s="27"/>
      <c r="OU33" s="27"/>
      <c r="OV33" s="27"/>
      <c r="OW33" s="27"/>
      <c r="OX33" s="27"/>
      <c r="OY33" s="28">
        <f t="shared" si="75"/>
        <v>0</v>
      </c>
      <c r="OZ33" s="36">
        <f t="shared" si="76"/>
        <v>0</v>
      </c>
      <c r="PA33" s="27">
        <f t="shared" si="77"/>
        <v>0</v>
      </c>
      <c r="PB33" s="27">
        <f t="shared" si="78"/>
        <v>0</v>
      </c>
      <c r="PC33" s="27">
        <f t="shared" si="79"/>
        <v>0</v>
      </c>
      <c r="PD33" s="27">
        <f t="shared" si="80"/>
        <v>0</v>
      </c>
      <c r="PE33" s="27">
        <f t="shared" si="81"/>
        <v>0</v>
      </c>
      <c r="PF33" s="33">
        <f t="shared" si="3"/>
        <v>0</v>
      </c>
      <c r="PG33" s="2621"/>
      <c r="PI33" s="2"/>
      <c r="PJ33" s="3"/>
      <c r="PK33" s="3"/>
      <c r="PL33" s="3">
        <f t="shared" si="116"/>
        <v>0</v>
      </c>
      <c r="PM33" s="3">
        <f t="shared" si="82"/>
        <v>152.63999999999999</v>
      </c>
      <c r="PN33" s="11">
        <f t="shared" si="117"/>
        <v>23630.293116668145</v>
      </c>
      <c r="PO33" s="15"/>
      <c r="PP33" s="2615"/>
      <c r="PR33" s="4"/>
      <c r="PS33" s="9"/>
      <c r="PT33" s="9"/>
      <c r="PU33" s="9"/>
      <c r="PV33" s="9"/>
      <c r="PW33" s="9"/>
      <c r="PX33" s="8">
        <f t="shared" si="83"/>
        <v>0</v>
      </c>
      <c r="PY33" s="5">
        <f t="shared" si="84"/>
        <v>0</v>
      </c>
      <c r="PZ33" s="5"/>
      <c r="QA33" s="5"/>
      <c r="QB33" s="5"/>
      <c r="QC33" s="5"/>
      <c r="QD33" s="5"/>
      <c r="QE33" s="12">
        <f t="shared" si="85"/>
        <v>29749.381073161156</v>
      </c>
      <c r="QF33" s="420">
        <f t="shared" si="86"/>
        <v>404514.90557805309</v>
      </c>
      <c r="QG33" s="1106">
        <f t="shared" si="87"/>
        <v>1622.38</v>
      </c>
      <c r="QH33" s="484">
        <f t="shared" si="88"/>
        <v>5505.3678056100007</v>
      </c>
      <c r="QI33" s="12"/>
      <c r="QJ33" s="2615"/>
      <c r="QL33" s="139" t="str">
        <f t="shared" si="89"/>
        <v/>
      </c>
      <c r="QM33" s="139" t="str">
        <f t="shared" si="90"/>
        <v/>
      </c>
      <c r="QO33" s="139" t="str">
        <f t="shared" si="91"/>
        <v/>
      </c>
      <c r="QP33" s="139" t="str">
        <f t="shared" si="92"/>
        <v/>
      </c>
      <c r="QR33" s="1">
        <f t="shared" si="93"/>
        <v>0</v>
      </c>
      <c r="QS33" s="1">
        <f t="shared" si="94"/>
        <v>0</v>
      </c>
      <c r="QT33" s="1">
        <f t="shared" si="95"/>
        <v>0</v>
      </c>
      <c r="QU33" s="1">
        <f t="shared" si="96"/>
        <v>0</v>
      </c>
      <c r="QV33" s="1">
        <f t="shared" si="97"/>
        <v>0</v>
      </c>
      <c r="QW33" s="1">
        <f t="shared" si="98"/>
        <v>0</v>
      </c>
      <c r="QY33" s="1">
        <f t="shared" si="99"/>
        <v>0</v>
      </c>
      <c r="QZ33" s="1">
        <f t="shared" si="100"/>
        <v>0</v>
      </c>
      <c r="RA33" s="1">
        <f t="shared" si="101"/>
        <v>0</v>
      </c>
      <c r="RB33" s="1">
        <f t="shared" si="102"/>
        <v>0</v>
      </c>
      <c r="RC33" s="1">
        <f t="shared" si="103"/>
        <v>0</v>
      </c>
      <c r="RD33" s="1">
        <f t="shared" si="104"/>
        <v>0</v>
      </c>
      <c r="RG33" s="1">
        <v>24</v>
      </c>
      <c r="RH33" s="1">
        <f t="shared" si="119"/>
        <v>36920.885209717104</v>
      </c>
      <c r="RI33" s="1">
        <f t="shared" si="119"/>
        <v>18765.711780483714</v>
      </c>
      <c r="RJ33" s="1">
        <f t="shared" si="119"/>
        <v>13404.263703387322</v>
      </c>
      <c r="RK33" s="89">
        <f t="shared" si="5"/>
        <v>69090.86069358814</v>
      </c>
      <c r="RL33" s="1033">
        <v>24</v>
      </c>
      <c r="RM33" s="1098">
        <f t="shared" si="118"/>
        <v>0</v>
      </c>
      <c r="RN33" s="1098">
        <f t="shared" si="106"/>
        <v>0</v>
      </c>
      <c r="RO33" s="1097">
        <f t="shared" si="106"/>
        <v>0</v>
      </c>
      <c r="RP33" s="1097">
        <f t="shared" si="107"/>
        <v>2163.85</v>
      </c>
      <c r="RQ33" s="1046"/>
      <c r="RR33" s="1046" t="s">
        <v>797</v>
      </c>
      <c r="RS33" s="1048"/>
      <c r="RU33" s="421">
        <v>24</v>
      </c>
      <c r="RV33" s="1095">
        <f t="shared" si="108"/>
        <v>0</v>
      </c>
      <c r="RW33" s="1046"/>
      <c r="RX33" s="1048"/>
      <c r="RY33" s="1090"/>
      <c r="RZ33" s="1090">
        <f t="shared" si="109"/>
        <v>0</v>
      </c>
      <c r="SA33" s="1090"/>
      <c r="SB33" s="1090">
        <f t="shared" si="110"/>
        <v>0</v>
      </c>
      <c r="SD33" s="1">
        <v>24</v>
      </c>
      <c r="SE33" s="1">
        <f t="shared" si="111"/>
        <v>0</v>
      </c>
      <c r="SF33" s="1094"/>
    </row>
    <row r="34" spans="1:500" s="1" customFormat="1">
      <c r="B34" s="471">
        <v>25</v>
      </c>
      <c r="C34" s="4">
        <f t="shared" si="6"/>
        <v>166072</v>
      </c>
      <c r="D34" s="64">
        <f t="shared" si="112"/>
        <v>8113.2800000000007</v>
      </c>
      <c r="E34" s="61">
        <f t="shared" si="7"/>
        <v>20.469156740553757</v>
      </c>
      <c r="F34" s="870"/>
      <c r="G34" s="870"/>
      <c r="H34" s="52">
        <v>4</v>
      </c>
      <c r="I34" s="61">
        <v>1.47</v>
      </c>
      <c r="J34" s="52"/>
      <c r="K34" s="54"/>
      <c r="L34" s="52"/>
      <c r="M34" s="61"/>
      <c r="N34" s="2629"/>
      <c r="O34" s="4">
        <f t="shared" si="8"/>
        <v>104454</v>
      </c>
      <c r="P34" s="1225">
        <f t="shared" si="9"/>
        <v>4395.8</v>
      </c>
      <c r="Q34" s="64">
        <f t="shared" si="10"/>
        <v>23.762227580872651</v>
      </c>
      <c r="R34" s="33"/>
      <c r="S34" s="26">
        <f t="shared" si="11"/>
        <v>30109</v>
      </c>
      <c r="T34" s="27">
        <f t="shared" si="12"/>
        <v>3097.48</v>
      </c>
      <c r="U34" s="53">
        <f t="shared" si="13"/>
        <v>9.7204824567067423</v>
      </c>
      <c r="V34" s="28"/>
      <c r="W34" s="26">
        <f t="shared" si="14"/>
        <v>31509</v>
      </c>
      <c r="X34" s="5">
        <f t="shared" si="14"/>
        <v>620</v>
      </c>
      <c r="Y34" s="53">
        <f t="shared" si="15"/>
        <v>50.820967741935483</v>
      </c>
      <c r="Z34" s="33"/>
      <c r="AA34" s="26">
        <f t="shared" si="16"/>
        <v>0</v>
      </c>
      <c r="AB34" s="27">
        <f t="shared" si="17"/>
        <v>0</v>
      </c>
      <c r="AC34" s="53">
        <f t="shared" si="18"/>
        <v>0</v>
      </c>
      <c r="AD34" s="28"/>
      <c r="AE34" s="36"/>
      <c r="AF34" s="36"/>
      <c r="AG34" s="53">
        <f t="shared" si="19"/>
        <v>0</v>
      </c>
      <c r="AH34" s="28"/>
      <c r="AI34" s="23"/>
      <c r="AJ34" s="27"/>
      <c r="AK34" s="53">
        <f t="shared" si="20"/>
        <v>0</v>
      </c>
      <c r="AL34" s="28"/>
      <c r="AM34" s="2629"/>
      <c r="AN34" s="9"/>
      <c r="AO34" s="5"/>
      <c r="AP34" s="61">
        <f t="shared" si="21"/>
        <v>0</v>
      </c>
      <c r="AQ34" s="36"/>
      <c r="AR34" s="53"/>
      <c r="AS34" s="61">
        <f t="shared" si="22"/>
        <v>0</v>
      </c>
      <c r="AT34" s="36">
        <v>0</v>
      </c>
      <c r="AU34" s="27"/>
      <c r="AV34" s="61">
        <f t="shared" si="23"/>
        <v>0</v>
      </c>
      <c r="AW34" s="36">
        <v>55734</v>
      </c>
      <c r="AX34" s="27">
        <v>4074.08</v>
      </c>
      <c r="AY34" s="61">
        <f t="shared" si="24"/>
        <v>13.680143737972745</v>
      </c>
      <c r="AZ34" s="36"/>
      <c r="BA34" s="27"/>
      <c r="BB34" s="61">
        <f t="shared" si="25"/>
        <v>0</v>
      </c>
      <c r="BC34" s="36">
        <v>48720</v>
      </c>
      <c r="BD34" s="27">
        <v>321.72000000000003</v>
      </c>
      <c r="BE34" s="61">
        <f t="shared" si="26"/>
        <v>151.43603133159269</v>
      </c>
      <c r="BF34" s="36"/>
      <c r="BG34" s="53"/>
      <c r="BH34" s="61">
        <f t="shared" si="27"/>
        <v>0</v>
      </c>
      <c r="BI34" s="36">
        <v>0</v>
      </c>
      <c r="BJ34" s="53">
        <v>0</v>
      </c>
      <c r="BK34" s="61">
        <f t="shared" si="28"/>
        <v>0</v>
      </c>
      <c r="BL34" s="52">
        <v>30109</v>
      </c>
      <c r="BM34" s="53">
        <v>3097.48</v>
      </c>
      <c r="BN34" s="482">
        <f t="shared" si="29"/>
        <v>9.7204824567067423</v>
      </c>
      <c r="BO34" s="9"/>
      <c r="BP34" s="64"/>
      <c r="BQ34" s="482">
        <f t="shared" si="30"/>
        <v>0</v>
      </c>
      <c r="BR34" s="9"/>
      <c r="BS34" s="64"/>
      <c r="BT34" s="482">
        <f t="shared" si="31"/>
        <v>0</v>
      </c>
      <c r="BU34" s="9">
        <v>31509</v>
      </c>
      <c r="BV34" s="5">
        <v>620</v>
      </c>
      <c r="BW34" s="15">
        <f t="shared" si="32"/>
        <v>50.820967741935483</v>
      </c>
      <c r="BX34" s="4"/>
      <c r="BY34" s="5"/>
      <c r="BZ34" s="482">
        <f t="shared" si="33"/>
        <v>0</v>
      </c>
      <c r="CA34" s="9"/>
      <c r="CB34" s="5"/>
      <c r="CC34" s="482">
        <f t="shared" si="34"/>
        <v>0</v>
      </c>
      <c r="CD34" s="4"/>
      <c r="CE34" s="5"/>
      <c r="CF34" s="28">
        <f t="shared" si="35"/>
        <v>0</v>
      </c>
      <c r="CG34" s="150"/>
      <c r="CH34" s="1108">
        <v>368</v>
      </c>
      <c r="CI34" s="5"/>
      <c r="CJ34" s="5"/>
      <c r="CK34" s="5">
        <v>10650</v>
      </c>
      <c r="CL34" s="5"/>
      <c r="CM34" s="5">
        <f t="shared" si="113"/>
        <v>11018</v>
      </c>
      <c r="CN34" s="33"/>
      <c r="CO34" s="366"/>
      <c r="CQ34" s="4">
        <f t="shared" si="125"/>
        <v>0</v>
      </c>
      <c r="CR34" s="9">
        <f t="shared" si="125"/>
        <v>0</v>
      </c>
      <c r="CS34" s="5">
        <f t="shared" si="125"/>
        <v>0</v>
      </c>
      <c r="CT34" s="5">
        <f t="shared" si="125"/>
        <v>0</v>
      </c>
      <c r="CU34" s="5">
        <f t="shared" si="124"/>
        <v>0</v>
      </c>
      <c r="CV34" s="5">
        <f t="shared" si="124"/>
        <v>0</v>
      </c>
      <c r="CW34" s="5">
        <f t="shared" si="124"/>
        <v>239.72000000000003</v>
      </c>
      <c r="CX34" s="5">
        <f t="shared" si="124"/>
        <v>0</v>
      </c>
      <c r="CY34" s="5">
        <f t="shared" si="124"/>
        <v>6931.84</v>
      </c>
      <c r="CZ34" s="5">
        <f t="shared" si="124"/>
        <v>0</v>
      </c>
      <c r="DA34" s="5">
        <f t="shared" si="124"/>
        <v>941.72</v>
      </c>
      <c r="DB34" s="12">
        <f t="shared" si="124"/>
        <v>0</v>
      </c>
      <c r="DC34" s="310">
        <f>SUM(CQ34:DB34,PV34)</f>
        <v>8113.2800000000007</v>
      </c>
      <c r="DD34" s="2695"/>
      <c r="DE34" s="9"/>
      <c r="DF34" s="9"/>
      <c r="DG34" s="5"/>
      <c r="DH34" s="5"/>
      <c r="DI34" s="5"/>
      <c r="DJ34" s="5"/>
      <c r="DK34" s="5">
        <v>239.72000000000003</v>
      </c>
      <c r="DL34" s="5"/>
      <c r="DM34" s="487">
        <v>3834.3599999999997</v>
      </c>
      <c r="DN34" s="5"/>
      <c r="DO34" s="5"/>
      <c r="DP34" s="12"/>
      <c r="DQ34" s="28">
        <f t="shared" si="38"/>
        <v>4074.08</v>
      </c>
      <c r="DR34" s="36"/>
      <c r="DS34" s="36"/>
      <c r="DT34" s="27"/>
      <c r="DU34" s="27"/>
      <c r="DV34" s="27"/>
      <c r="DW34" s="27"/>
      <c r="DX34" s="27"/>
      <c r="DY34" s="27"/>
      <c r="DZ34" s="27">
        <v>3097.4800000000005</v>
      </c>
      <c r="EA34" s="27"/>
      <c r="EB34" s="27">
        <v>321.72000000000003</v>
      </c>
      <c r="EC34" s="33"/>
      <c r="ED34" s="28">
        <f t="shared" si="39"/>
        <v>3419.2000000000007</v>
      </c>
      <c r="EE34" s="9"/>
      <c r="EF34" s="36"/>
      <c r="EG34" s="27"/>
      <c r="EH34" s="27"/>
      <c r="EI34" s="27"/>
      <c r="EJ34" s="27"/>
      <c r="EK34" s="27"/>
      <c r="EL34" s="27"/>
      <c r="EM34" s="27"/>
      <c r="EN34" s="27"/>
      <c r="EO34" s="27">
        <v>620</v>
      </c>
      <c r="EP34" s="33"/>
      <c r="EQ34" s="28">
        <f t="shared" si="40"/>
        <v>620</v>
      </c>
      <c r="ER34" s="36"/>
      <c r="ES34" s="27"/>
      <c r="ET34" s="27"/>
      <c r="EU34" s="27"/>
      <c r="EV34" s="27"/>
      <c r="EW34" s="27"/>
      <c r="EX34" s="33">
        <f t="shared" si="41"/>
        <v>0</v>
      </c>
      <c r="EY34" s="2685"/>
      <c r="FA34" s="4">
        <f t="shared" si="42"/>
        <v>0</v>
      </c>
      <c r="FB34" s="5">
        <f t="shared" si="43"/>
        <v>0</v>
      </c>
      <c r="FC34" s="5">
        <f t="shared" si="44"/>
        <v>0</v>
      </c>
      <c r="FD34" s="12">
        <f t="shared" si="45"/>
        <v>0</v>
      </c>
      <c r="FE34" s="33"/>
      <c r="FF34" s="2674"/>
      <c r="FG34" s="9"/>
      <c r="FH34" s="5"/>
      <c r="FI34" s="5"/>
      <c r="FJ34" s="5"/>
      <c r="FK34" s="5"/>
      <c r="FL34" s="27"/>
      <c r="FM34" s="28">
        <f t="shared" si="46"/>
        <v>0</v>
      </c>
      <c r="FN34" s="36"/>
      <c r="FO34" s="27"/>
      <c r="FP34" s="27"/>
      <c r="FQ34" s="27"/>
      <c r="FR34" s="27"/>
      <c r="FS34" s="27"/>
      <c r="FT34" s="28">
        <f t="shared" si="47"/>
        <v>0</v>
      </c>
      <c r="FU34" s="36"/>
      <c r="FV34" s="36"/>
      <c r="FW34" s="27"/>
      <c r="FX34" s="27"/>
      <c r="FY34" s="27"/>
      <c r="FZ34" s="27"/>
      <c r="GA34" s="27"/>
      <c r="GB34" s="27"/>
      <c r="GC34" s="27"/>
      <c r="GD34" s="27"/>
      <c r="GE34" s="27"/>
      <c r="GF34" s="33"/>
      <c r="GG34" s="33">
        <f t="shared" si="48"/>
        <v>0</v>
      </c>
      <c r="GH34" s="2674"/>
      <c r="GJ34" s="4">
        <f t="shared" si="49"/>
        <v>2015.2999999999997</v>
      </c>
      <c r="GK34" s="64">
        <f t="shared" si="50"/>
        <v>2450.2800000000002</v>
      </c>
      <c r="GL34" s="53">
        <f t="shared" si="51"/>
        <v>4039.59</v>
      </c>
      <c r="GM34" s="53">
        <f t="shared" si="52"/>
        <v>8505.17</v>
      </c>
      <c r="GN34" s="141"/>
      <c r="GO34" s="141"/>
      <c r="GP34" s="33"/>
      <c r="GQ34" s="2667"/>
      <c r="GR34" s="152">
        <v>3993.63</v>
      </c>
      <c r="GS34" s="27"/>
      <c r="GT34" s="27">
        <v>2277.96</v>
      </c>
      <c r="GU34" s="27">
        <v>2233.58</v>
      </c>
      <c r="GV34" s="33">
        <f t="shared" si="53"/>
        <v>8505.17</v>
      </c>
      <c r="GW34" s="2667"/>
      <c r="GX34" s="36"/>
      <c r="GY34" s="36"/>
      <c r="GZ34" s="27"/>
      <c r="HA34" s="27"/>
      <c r="HB34" s="27"/>
      <c r="HC34" s="27"/>
      <c r="HD34" s="27"/>
      <c r="HE34" s="27"/>
      <c r="HF34" s="27"/>
      <c r="HG34" s="27"/>
      <c r="HH34" s="27">
        <v>2015.2999999999997</v>
      </c>
      <c r="HI34" s="27"/>
      <c r="HJ34" s="27"/>
      <c r="HK34" s="27"/>
      <c r="HL34" s="28">
        <f t="shared" si="54"/>
        <v>2015.2999999999997</v>
      </c>
      <c r="HM34" s="36"/>
      <c r="HN34" s="27"/>
      <c r="HO34" s="27"/>
      <c r="HP34" s="27"/>
      <c r="HQ34" s="27"/>
      <c r="HR34" s="27"/>
      <c r="HS34" s="27"/>
      <c r="HT34" s="27"/>
      <c r="HU34" s="27"/>
      <c r="HV34" s="27"/>
      <c r="HW34" s="27"/>
      <c r="HX34" s="27"/>
      <c r="HY34" s="27"/>
      <c r="HZ34" s="27"/>
      <c r="IA34" s="33">
        <f t="shared" si="55"/>
        <v>0</v>
      </c>
      <c r="IB34" s="52"/>
      <c r="IC34" s="152"/>
      <c r="ID34" s="53"/>
      <c r="IE34" s="53"/>
      <c r="IF34" s="53"/>
      <c r="IG34" s="53"/>
      <c r="IH34" s="53">
        <v>2450.2800000000002</v>
      </c>
      <c r="II34" s="53"/>
      <c r="IJ34" s="53"/>
      <c r="IK34" s="53"/>
      <c r="IL34" s="53"/>
      <c r="IM34" s="53"/>
      <c r="IN34" s="53"/>
      <c r="IO34" s="53"/>
      <c r="IP34" s="61">
        <f t="shared" si="56"/>
        <v>2450.2800000000002</v>
      </c>
      <c r="IQ34" s="36"/>
      <c r="IR34" s="36"/>
      <c r="IS34" s="27"/>
      <c r="IT34" s="27"/>
      <c r="IU34" s="53"/>
      <c r="IV34" s="27"/>
      <c r="IW34" s="27"/>
      <c r="IX34" s="27"/>
      <c r="IY34" s="27">
        <v>1986.61</v>
      </c>
      <c r="IZ34" s="27"/>
      <c r="JA34" s="27">
        <v>2052.98</v>
      </c>
      <c r="JB34" s="27"/>
      <c r="JC34" s="27"/>
      <c r="JD34" s="27"/>
      <c r="JE34" s="33">
        <f t="shared" si="57"/>
        <v>4039.59</v>
      </c>
      <c r="JF34" s="2667"/>
      <c r="JH34" s="52"/>
      <c r="JI34" s="152">
        <v>8505.1699999999983</v>
      </c>
      <c r="JJ34" s="53"/>
      <c r="JK34" s="53">
        <f t="shared" si="58"/>
        <v>8505.1699999999983</v>
      </c>
      <c r="JL34" s="33"/>
      <c r="JM34" s="2669"/>
      <c r="JN34" s="69"/>
      <c r="JO34" s="70"/>
      <c r="JP34" s="70"/>
      <c r="JQ34" s="70"/>
      <c r="JR34" s="70">
        <v>0.49178505739443851</v>
      </c>
      <c r="JS34" s="70">
        <v>0.50821494260556144</v>
      </c>
      <c r="JT34" s="70"/>
      <c r="JU34" s="71"/>
      <c r="JV34" s="69"/>
      <c r="JW34" s="70"/>
      <c r="JX34" s="70"/>
      <c r="JY34" s="70">
        <v>0.28809300695929652</v>
      </c>
      <c r="JZ34" s="70">
        <v>0.23357675390380203</v>
      </c>
      <c r="KA34" s="70">
        <v>0.47833023913690143</v>
      </c>
      <c r="KB34" s="70"/>
      <c r="KC34" s="71"/>
      <c r="KD34" s="69"/>
      <c r="KE34" s="70"/>
      <c r="KF34" s="70"/>
      <c r="KG34" s="70"/>
      <c r="KH34" s="70"/>
      <c r="KI34" s="70"/>
      <c r="KJ34" s="70"/>
      <c r="KK34" s="70"/>
      <c r="KL34" s="33"/>
      <c r="KM34" s="2669"/>
      <c r="KN34" s="36">
        <v>0</v>
      </c>
      <c r="KO34" s="53">
        <v>0</v>
      </c>
      <c r="KP34" s="53">
        <v>0</v>
      </c>
      <c r="KQ34" s="53">
        <v>0</v>
      </c>
      <c r="KR34" s="54">
        <v>0</v>
      </c>
      <c r="KS34" s="4">
        <v>6502.4489143612918</v>
      </c>
      <c r="KT34" s="64">
        <v>1.3544891436129176</v>
      </c>
      <c r="KU34" s="64">
        <v>7.1333142290311908</v>
      </c>
      <c r="KV34" s="64">
        <v>8.0406833461919973</v>
      </c>
      <c r="KW34" s="482">
        <v>12.296422103383666</v>
      </c>
      <c r="KX34" s="36"/>
      <c r="KY34" s="53"/>
      <c r="KZ34" s="53"/>
      <c r="LA34" s="53"/>
      <c r="LB34" s="53"/>
      <c r="LC34" s="33"/>
      <c r="LD34" s="2669"/>
      <c r="LF34" s="26">
        <f t="shared" si="59"/>
        <v>4347.6080000000002</v>
      </c>
      <c r="LG34" s="27">
        <f t="shared" si="59"/>
        <v>17390.432000000001</v>
      </c>
      <c r="LH34" s="27">
        <f t="shared" si="59"/>
        <v>0</v>
      </c>
      <c r="LI34" s="28">
        <f t="shared" si="60"/>
        <v>21738.04</v>
      </c>
      <c r="LJ34" s="36">
        <v>3</v>
      </c>
      <c r="LK34" s="27"/>
      <c r="LL34" s="27">
        <v>2</v>
      </c>
      <c r="LM34" s="33"/>
      <c r="LN34" s="1041">
        <v>6.41</v>
      </c>
      <c r="LO34" s="486"/>
      <c r="LP34" s="2688"/>
      <c r="LQ34" s="36"/>
      <c r="LR34" s="36"/>
      <c r="LS34" s="27"/>
      <c r="LT34" s="27"/>
      <c r="LU34" s="27"/>
      <c r="LV34" s="1107">
        <f t="shared" si="61"/>
        <v>0</v>
      </c>
      <c r="LW34" s="36">
        <v>4347.6080000000002</v>
      </c>
      <c r="LX34" s="36">
        <v>17390.432000000001</v>
      </c>
      <c r="LY34" s="27"/>
      <c r="LZ34" s="27"/>
      <c r="MA34" s="33"/>
      <c r="MB34" s="28">
        <f t="shared" si="62"/>
        <v>21738.04</v>
      </c>
      <c r="MC34" s="26"/>
      <c r="MD34" s="36"/>
      <c r="ME34" s="27"/>
      <c r="MF34" s="27"/>
      <c r="MG34" s="27"/>
      <c r="MH34" s="28"/>
      <c r="MI34" s="36"/>
      <c r="MJ34" s="36"/>
      <c r="MK34" s="27"/>
      <c r="ML34" s="27"/>
      <c r="MM34" s="27"/>
      <c r="MN34" s="28"/>
      <c r="MO34" s="36"/>
      <c r="MP34" s="36"/>
      <c r="MQ34" s="27"/>
      <c r="MR34" s="27"/>
      <c r="MS34" s="27"/>
      <c r="MT34" s="33">
        <f t="shared" si="63"/>
        <v>0</v>
      </c>
      <c r="MU34" s="2688"/>
      <c r="MW34" s="26">
        <f t="shared" si="64"/>
        <v>75587.913785492216</v>
      </c>
      <c r="MX34" s="27">
        <f t="shared" si="65"/>
        <v>76616.881281839451</v>
      </c>
      <c r="MY34" s="27">
        <f t="shared" si="66"/>
        <v>23630.293116668145</v>
      </c>
      <c r="MZ34" s="28">
        <f t="shared" si="67"/>
        <v>435886.66665121424</v>
      </c>
      <c r="NA34" s="2621"/>
      <c r="NB34" s="23">
        <f t="shared" si="68"/>
        <v>51934.906254802423</v>
      </c>
      <c r="NC34" s="64">
        <f t="shared" si="69"/>
        <v>23653.007530689792</v>
      </c>
      <c r="ND34" s="60">
        <f t="shared" si="70"/>
        <v>0</v>
      </c>
      <c r="NE34" s="275">
        <f t="shared" si="4"/>
        <v>75587.913785492216</v>
      </c>
      <c r="NF34" s="26">
        <f t="shared" si="120"/>
        <v>0</v>
      </c>
      <c r="NG34" s="27">
        <f t="shared" si="120"/>
        <v>0</v>
      </c>
      <c r="NH34" s="27">
        <f t="shared" si="120"/>
        <v>0</v>
      </c>
      <c r="NI34" s="27">
        <f t="shared" si="120"/>
        <v>0</v>
      </c>
      <c r="NJ34" s="27">
        <f t="shared" si="120"/>
        <v>0</v>
      </c>
      <c r="NK34" s="33">
        <f t="shared" si="120"/>
        <v>0</v>
      </c>
      <c r="NL34" s="27">
        <f t="shared" si="120"/>
        <v>0</v>
      </c>
      <c r="NM34" s="36">
        <f t="shared" si="120"/>
        <v>0</v>
      </c>
      <c r="NN34" s="27">
        <f t="shared" si="120"/>
        <v>38478.242027032749</v>
      </c>
      <c r="NO34" s="27">
        <f t="shared" si="120"/>
        <v>0</v>
      </c>
      <c r="NP34" s="24">
        <f t="shared" si="114"/>
        <v>8756.5482322711578</v>
      </c>
      <c r="NQ34" s="24">
        <f t="shared" si="115"/>
        <v>12756.215013230798</v>
      </c>
      <c r="NR34" s="27">
        <f t="shared" si="0"/>
        <v>59991.005272534705</v>
      </c>
      <c r="NS34" s="27">
        <f t="shared" si="121"/>
        <v>0</v>
      </c>
      <c r="NT34" s="27">
        <f t="shared" si="121"/>
        <v>0</v>
      </c>
      <c r="NU34" s="27">
        <f t="shared" si="121"/>
        <v>0</v>
      </c>
      <c r="NV34" s="27">
        <f t="shared" si="121"/>
        <v>0</v>
      </c>
      <c r="NW34" s="27">
        <f t="shared" si="121"/>
        <v>0</v>
      </c>
      <c r="NX34" s="5">
        <f t="shared" si="121"/>
        <v>0</v>
      </c>
      <c r="NY34" s="27">
        <f t="shared" si="121"/>
        <v>3511.8846092523813</v>
      </c>
      <c r="NZ34" s="27">
        <f t="shared" si="121"/>
        <v>0</v>
      </c>
      <c r="OA34" s="27">
        <f t="shared" si="121"/>
        <v>5784.2299999999987</v>
      </c>
      <c r="OB34" s="27"/>
      <c r="OC34" s="24">
        <f t="shared" si="122"/>
        <v>1565.61197844705</v>
      </c>
      <c r="OD34" s="27">
        <f t="shared" si="122"/>
        <v>0</v>
      </c>
      <c r="OE34" s="28">
        <f t="shared" si="1"/>
        <v>10861.72658769943</v>
      </c>
      <c r="OF34" s="27">
        <f t="shared" si="123"/>
        <v>0</v>
      </c>
      <c r="OG34" s="27">
        <f t="shared" si="123"/>
        <v>0</v>
      </c>
      <c r="OH34" s="27">
        <f t="shared" si="123"/>
        <v>0</v>
      </c>
      <c r="OI34" s="27">
        <f t="shared" si="123"/>
        <v>0</v>
      </c>
      <c r="OJ34" s="27">
        <f t="shared" si="123"/>
        <v>0</v>
      </c>
      <c r="OK34" s="27">
        <f t="shared" si="123"/>
        <v>0</v>
      </c>
      <c r="OL34" s="24">
        <f t="shared" si="123"/>
        <v>0</v>
      </c>
      <c r="OM34" s="27">
        <f t="shared" si="123"/>
        <v>0</v>
      </c>
      <c r="ON34" s="24">
        <f t="shared" si="123"/>
        <v>3859.4502538002098</v>
      </c>
      <c r="OO34" s="27">
        <f t="shared" si="123"/>
        <v>0</v>
      </c>
      <c r="OP34" s="27">
        <f t="shared" si="123"/>
        <v>1904.6991678051004</v>
      </c>
      <c r="OQ34" s="27">
        <f t="shared" si="123"/>
        <v>0</v>
      </c>
      <c r="OR34" s="28">
        <f t="shared" si="2"/>
        <v>5764.1494216053106</v>
      </c>
      <c r="OS34" s="36"/>
      <c r="OT34" s="27"/>
      <c r="OU34" s="27"/>
      <c r="OV34" s="27"/>
      <c r="OW34" s="27"/>
      <c r="OX34" s="27"/>
      <c r="OY34" s="28">
        <f t="shared" si="75"/>
        <v>0</v>
      </c>
      <c r="OZ34" s="36">
        <f t="shared" si="76"/>
        <v>0</v>
      </c>
      <c r="PA34" s="27">
        <f t="shared" si="77"/>
        <v>0</v>
      </c>
      <c r="PB34" s="27">
        <f t="shared" si="78"/>
        <v>0</v>
      </c>
      <c r="PC34" s="27">
        <f t="shared" si="79"/>
        <v>0</v>
      </c>
      <c r="PD34" s="27">
        <f t="shared" si="80"/>
        <v>0</v>
      </c>
      <c r="PE34" s="27">
        <f t="shared" si="81"/>
        <v>0</v>
      </c>
      <c r="PF34" s="33">
        <f t="shared" si="3"/>
        <v>0</v>
      </c>
      <c r="PG34" s="2621"/>
      <c r="PI34" s="2"/>
      <c r="PJ34" s="3"/>
      <c r="PK34" s="3"/>
      <c r="PL34" s="3">
        <f t="shared" si="116"/>
        <v>0</v>
      </c>
      <c r="PM34" s="3">
        <f t="shared" si="82"/>
        <v>152.63999999999999</v>
      </c>
      <c r="PN34" s="11">
        <f t="shared" si="117"/>
        <v>23630.293116668145</v>
      </c>
      <c r="PO34" s="15"/>
      <c r="PP34" s="2615"/>
      <c r="PR34" s="4"/>
      <c r="PS34" s="9"/>
      <c r="PT34" s="9"/>
      <c r="PU34" s="9"/>
      <c r="PV34" s="9"/>
      <c r="PW34" s="9"/>
      <c r="PX34" s="8">
        <f t="shared" si="83"/>
        <v>0</v>
      </c>
      <c r="PY34" s="5">
        <f t="shared" si="84"/>
        <v>0</v>
      </c>
      <c r="PZ34" s="5"/>
      <c r="QA34" s="5"/>
      <c r="QB34" s="5"/>
      <c r="QC34" s="5"/>
      <c r="QD34" s="5"/>
      <c r="QE34" s="12">
        <f t="shared" si="85"/>
        <v>29749.381073161156</v>
      </c>
      <c r="QF34" s="420">
        <f t="shared" si="86"/>
        <v>404514.90557805309</v>
      </c>
      <c r="QG34" s="1106">
        <f t="shared" si="87"/>
        <v>1622.38</v>
      </c>
      <c r="QH34" s="484">
        <f t="shared" si="88"/>
        <v>5505.3678056100007</v>
      </c>
      <c r="QI34" s="12"/>
      <c r="QJ34" s="2615"/>
      <c r="QL34" s="139" t="str">
        <f t="shared" si="89"/>
        <v/>
      </c>
      <c r="QM34" s="139" t="str">
        <f t="shared" si="90"/>
        <v/>
      </c>
      <c r="QO34" s="139">
        <f t="shared" si="91"/>
        <v>0</v>
      </c>
      <c r="QP34" s="139">
        <f t="shared" si="92"/>
        <v>0</v>
      </c>
      <c r="QR34" s="1">
        <f t="shared" si="93"/>
        <v>0</v>
      </c>
      <c r="QS34" s="1">
        <f t="shared" si="94"/>
        <v>0</v>
      </c>
      <c r="QT34" s="1">
        <f t="shared" si="95"/>
        <v>0</v>
      </c>
      <c r="QU34" s="1">
        <f t="shared" si="96"/>
        <v>0</v>
      </c>
      <c r="QV34" s="1">
        <f t="shared" si="97"/>
        <v>0</v>
      </c>
      <c r="QW34" s="1">
        <f t="shared" si="98"/>
        <v>0</v>
      </c>
      <c r="QY34" s="1">
        <f t="shared" si="99"/>
        <v>0</v>
      </c>
      <c r="QZ34" s="1">
        <f t="shared" si="100"/>
        <v>0</v>
      </c>
      <c r="RA34" s="1">
        <f t="shared" si="101"/>
        <v>0</v>
      </c>
      <c r="RB34" s="1">
        <f t="shared" si="102"/>
        <v>0</v>
      </c>
      <c r="RC34" s="1">
        <f t="shared" si="103"/>
        <v>0</v>
      </c>
      <c r="RD34" s="1">
        <f t="shared" si="104"/>
        <v>0</v>
      </c>
      <c r="RG34" s="1">
        <v>25</v>
      </c>
      <c r="RH34" s="1">
        <f t="shared" si="119"/>
        <v>32573.277209717104</v>
      </c>
      <c r="RI34" s="1">
        <f t="shared" si="119"/>
        <v>9880.4497804837119</v>
      </c>
      <c r="RJ34" s="1">
        <f t="shared" si="119"/>
        <v>13404.263703387322</v>
      </c>
      <c r="RK34" s="89">
        <f t="shared" si="5"/>
        <v>55857.99069358813</v>
      </c>
      <c r="RL34" s="1033">
        <v>25</v>
      </c>
      <c r="RM34" s="1098">
        <f t="shared" si="118"/>
        <v>0</v>
      </c>
      <c r="RN34" s="1098">
        <f t="shared" si="106"/>
        <v>0</v>
      </c>
      <c r="RO34" s="1097">
        <f t="shared" si="106"/>
        <v>0</v>
      </c>
      <c r="RP34" s="1097">
        <f t="shared" si="107"/>
        <v>7493.28</v>
      </c>
      <c r="RQ34" s="1094"/>
      <c r="RR34" s="1094" t="s">
        <v>798</v>
      </c>
      <c r="RU34" s="421">
        <v>25</v>
      </c>
      <c r="RV34" s="1095">
        <f t="shared" si="108"/>
        <v>8505.17</v>
      </c>
      <c r="RW34" s="1046" t="s">
        <v>799</v>
      </c>
      <c r="RY34" s="1090"/>
      <c r="RZ34" s="1090">
        <f t="shared" si="109"/>
        <v>0</v>
      </c>
      <c r="SA34" s="1090"/>
      <c r="SB34" s="1090">
        <f t="shared" si="110"/>
        <v>0</v>
      </c>
      <c r="SD34" s="1">
        <v>25</v>
      </c>
      <c r="SE34" s="1">
        <f t="shared" si="111"/>
        <v>0</v>
      </c>
      <c r="SF34" s="1094"/>
    </row>
    <row r="35" spans="1:500" s="1" customFormat="1">
      <c r="B35" s="471">
        <v>26</v>
      </c>
      <c r="C35" s="4">
        <f t="shared" si="6"/>
        <v>173791</v>
      </c>
      <c r="D35" s="64">
        <f t="shared" si="112"/>
        <v>9018.619999999999</v>
      </c>
      <c r="E35" s="61">
        <f t="shared" si="7"/>
        <v>19.270243119235538</v>
      </c>
      <c r="F35" s="870"/>
      <c r="G35" s="870"/>
      <c r="H35" s="52">
        <v>7</v>
      </c>
      <c r="I35" s="61">
        <v>2.83</v>
      </c>
      <c r="J35" s="52"/>
      <c r="K35" s="54"/>
      <c r="L35" s="52"/>
      <c r="M35" s="61"/>
      <c r="N35" s="2629"/>
      <c r="O35" s="4">
        <f t="shared" si="8"/>
        <v>103630</v>
      </c>
      <c r="P35" s="1225">
        <f t="shared" si="9"/>
        <v>4651.0999999999995</v>
      </c>
      <c r="Q35" s="64">
        <f t="shared" si="10"/>
        <v>22.28075079013567</v>
      </c>
      <c r="R35" s="33"/>
      <c r="S35" s="26">
        <f t="shared" si="11"/>
        <v>40075</v>
      </c>
      <c r="T35" s="27">
        <f t="shared" si="12"/>
        <v>1827.52</v>
      </c>
      <c r="U35" s="53">
        <f t="shared" si="13"/>
        <v>21.928624584135878</v>
      </c>
      <c r="V35" s="28"/>
      <c r="W35" s="26">
        <f t="shared" si="14"/>
        <v>30086</v>
      </c>
      <c r="X35" s="5">
        <f t="shared" si="14"/>
        <v>2540</v>
      </c>
      <c r="Y35" s="53">
        <f t="shared" si="15"/>
        <v>11.84488188976378</v>
      </c>
      <c r="Z35" s="33"/>
      <c r="AA35" s="26">
        <f t="shared" si="16"/>
        <v>0</v>
      </c>
      <c r="AB35" s="27">
        <f t="shared" si="17"/>
        <v>0</v>
      </c>
      <c r="AC35" s="53">
        <f t="shared" si="18"/>
        <v>0</v>
      </c>
      <c r="AD35" s="28"/>
      <c r="AE35" s="36"/>
      <c r="AF35" s="36"/>
      <c r="AG35" s="53">
        <f t="shared" si="19"/>
        <v>0</v>
      </c>
      <c r="AH35" s="28"/>
      <c r="AI35" s="26"/>
      <c r="AJ35" s="27"/>
      <c r="AK35" s="53">
        <f t="shared" si="20"/>
        <v>0</v>
      </c>
      <c r="AL35" s="28"/>
      <c r="AM35" s="2629"/>
      <c r="AN35" s="9"/>
      <c r="AO35" s="5"/>
      <c r="AP35" s="61">
        <f t="shared" si="21"/>
        <v>0</v>
      </c>
      <c r="AQ35" s="36"/>
      <c r="AR35" s="53"/>
      <c r="AS35" s="61">
        <f t="shared" si="22"/>
        <v>0</v>
      </c>
      <c r="AT35" s="36">
        <v>0</v>
      </c>
      <c r="AU35" s="27"/>
      <c r="AV35" s="61">
        <f t="shared" si="23"/>
        <v>0</v>
      </c>
      <c r="AW35" s="36">
        <v>54406</v>
      </c>
      <c r="AX35" s="27">
        <v>4033.3999999999996</v>
      </c>
      <c r="AY35" s="61">
        <f t="shared" si="24"/>
        <v>13.488867952595825</v>
      </c>
      <c r="AZ35" s="36"/>
      <c r="BA35" s="27"/>
      <c r="BB35" s="61">
        <f t="shared" si="25"/>
        <v>0</v>
      </c>
      <c r="BC35" s="36">
        <v>49224</v>
      </c>
      <c r="BD35" s="27">
        <v>617.70000000000005</v>
      </c>
      <c r="BE35" s="61">
        <f t="shared" si="26"/>
        <v>79.689169499757156</v>
      </c>
      <c r="BF35" s="36"/>
      <c r="BG35" s="53"/>
      <c r="BH35" s="61">
        <f t="shared" si="27"/>
        <v>0</v>
      </c>
      <c r="BI35" s="36">
        <v>0</v>
      </c>
      <c r="BJ35" s="53">
        <v>0</v>
      </c>
      <c r="BK35" s="61">
        <f t="shared" si="28"/>
        <v>0</v>
      </c>
      <c r="BL35" s="52">
        <v>40075</v>
      </c>
      <c r="BM35" s="53">
        <v>1827.52</v>
      </c>
      <c r="BN35" s="61">
        <f t="shared" si="29"/>
        <v>21.928624584135878</v>
      </c>
      <c r="BO35" s="9"/>
      <c r="BP35" s="64"/>
      <c r="BQ35" s="61">
        <f t="shared" si="30"/>
        <v>0</v>
      </c>
      <c r="BR35" s="36"/>
      <c r="BS35" s="53"/>
      <c r="BT35" s="61">
        <f t="shared" si="31"/>
        <v>0</v>
      </c>
      <c r="BU35" s="36">
        <v>30086</v>
      </c>
      <c r="BV35" s="5">
        <v>2540</v>
      </c>
      <c r="BW35" s="28">
        <f t="shared" si="32"/>
        <v>11.84488188976378</v>
      </c>
      <c r="BX35" s="4"/>
      <c r="BY35" s="5"/>
      <c r="BZ35" s="61">
        <f t="shared" si="33"/>
        <v>0</v>
      </c>
      <c r="CA35" s="36"/>
      <c r="CB35" s="5"/>
      <c r="CC35" s="61">
        <f t="shared" si="34"/>
        <v>0</v>
      </c>
      <c r="CD35" s="26"/>
      <c r="CE35" s="5"/>
      <c r="CF35" s="28">
        <f t="shared" si="35"/>
        <v>0</v>
      </c>
      <c r="CG35" s="150"/>
      <c r="CH35" s="1108">
        <v>608</v>
      </c>
      <c r="CI35" s="5"/>
      <c r="CJ35" s="5"/>
      <c r="CK35" s="5">
        <v>8437.5</v>
      </c>
      <c r="CL35" s="5"/>
      <c r="CM35" s="5">
        <f t="shared" si="113"/>
        <v>9045.5</v>
      </c>
      <c r="CN35" s="33"/>
      <c r="CO35" s="366"/>
      <c r="CQ35" s="4">
        <f t="shared" si="125"/>
        <v>0</v>
      </c>
      <c r="CR35" s="9">
        <f t="shared" si="125"/>
        <v>0</v>
      </c>
      <c r="CS35" s="5">
        <f t="shared" si="125"/>
        <v>0</v>
      </c>
      <c r="CT35" s="5">
        <f t="shared" si="125"/>
        <v>0</v>
      </c>
      <c r="CU35" s="5">
        <f t="shared" si="124"/>
        <v>0</v>
      </c>
      <c r="CV35" s="5">
        <f t="shared" si="124"/>
        <v>0</v>
      </c>
      <c r="CW35" s="5">
        <f t="shared" si="124"/>
        <v>2449.14</v>
      </c>
      <c r="CX35" s="5">
        <f t="shared" si="124"/>
        <v>0</v>
      </c>
      <c r="CY35" s="5">
        <f t="shared" si="124"/>
        <v>4991.78</v>
      </c>
      <c r="CZ35" s="5">
        <f t="shared" si="124"/>
        <v>0</v>
      </c>
      <c r="DA35" s="5">
        <f t="shared" si="124"/>
        <v>1577.7</v>
      </c>
      <c r="DB35" s="12">
        <f t="shared" si="124"/>
        <v>0</v>
      </c>
      <c r="DC35" s="310">
        <f>SUM(CQ35:DB35,PV35)</f>
        <v>9018.6200000000008</v>
      </c>
      <c r="DD35" s="2695"/>
      <c r="DE35" s="9"/>
      <c r="DF35" s="9"/>
      <c r="DG35" s="5"/>
      <c r="DH35" s="5"/>
      <c r="DI35" s="5"/>
      <c r="DJ35" s="5"/>
      <c r="DK35" s="5">
        <v>2449.14</v>
      </c>
      <c r="DL35" s="5"/>
      <c r="DM35" s="5">
        <v>1584.26</v>
      </c>
      <c r="DN35" s="5"/>
      <c r="DO35" s="5"/>
      <c r="DP35" s="12"/>
      <c r="DQ35" s="28">
        <f t="shared" si="38"/>
        <v>4033.3999999999996</v>
      </c>
      <c r="DR35" s="36"/>
      <c r="DS35" s="36"/>
      <c r="DT35" s="27"/>
      <c r="DU35" s="27"/>
      <c r="DV35" s="27"/>
      <c r="DW35" s="27"/>
      <c r="DX35" s="27"/>
      <c r="DY35" s="27"/>
      <c r="DZ35" s="27">
        <v>1827.52</v>
      </c>
      <c r="EA35" s="27"/>
      <c r="EB35" s="27">
        <v>617.70000000000005</v>
      </c>
      <c r="EC35" s="33"/>
      <c r="ED35" s="28">
        <f t="shared" si="39"/>
        <v>2445.2200000000003</v>
      </c>
      <c r="EE35" s="9"/>
      <c r="EF35" s="36"/>
      <c r="EG35" s="27"/>
      <c r="EH35" s="27"/>
      <c r="EI35" s="27"/>
      <c r="EJ35" s="27"/>
      <c r="EK35" s="27"/>
      <c r="EL35" s="27"/>
      <c r="EM35" s="27">
        <v>1580</v>
      </c>
      <c r="EN35" s="27"/>
      <c r="EO35" s="27">
        <v>960</v>
      </c>
      <c r="EP35" s="33"/>
      <c r="EQ35" s="28">
        <f t="shared" si="40"/>
        <v>2540</v>
      </c>
      <c r="ER35" s="36"/>
      <c r="ES35" s="27"/>
      <c r="ET35" s="27"/>
      <c r="EU35" s="27"/>
      <c r="EV35" s="27"/>
      <c r="EW35" s="27"/>
      <c r="EX35" s="33">
        <f t="shared" si="41"/>
        <v>0</v>
      </c>
      <c r="EY35" s="2685"/>
      <c r="FA35" s="4">
        <f t="shared" si="42"/>
        <v>0</v>
      </c>
      <c r="FB35" s="5">
        <f t="shared" si="43"/>
        <v>0</v>
      </c>
      <c r="FC35" s="5">
        <f t="shared" si="44"/>
        <v>0</v>
      </c>
      <c r="FD35" s="12">
        <f t="shared" si="45"/>
        <v>0</v>
      </c>
      <c r="FE35" s="33"/>
      <c r="FF35" s="2674"/>
      <c r="FG35" s="9"/>
      <c r="FH35" s="5"/>
      <c r="FI35" s="5"/>
      <c r="FJ35" s="5"/>
      <c r="FK35" s="5"/>
      <c r="FL35" s="27"/>
      <c r="FM35" s="28">
        <f t="shared" si="46"/>
        <v>0</v>
      </c>
      <c r="FN35" s="36"/>
      <c r="FO35" s="27"/>
      <c r="FP35" s="27"/>
      <c r="FQ35" s="27"/>
      <c r="FR35" s="27"/>
      <c r="FS35" s="27"/>
      <c r="FT35" s="28">
        <f t="shared" si="47"/>
        <v>0</v>
      </c>
      <c r="FU35" s="36"/>
      <c r="FV35" s="36"/>
      <c r="FW35" s="27"/>
      <c r="FX35" s="27"/>
      <c r="FY35" s="27"/>
      <c r="FZ35" s="27"/>
      <c r="GA35" s="27"/>
      <c r="GB35" s="27"/>
      <c r="GC35" s="27"/>
      <c r="GD35" s="27"/>
      <c r="GE35" s="27"/>
      <c r="GF35" s="33"/>
      <c r="GG35" s="33">
        <f t="shared" si="48"/>
        <v>0</v>
      </c>
      <c r="GH35" s="2674"/>
      <c r="GJ35" s="4">
        <f t="shared" si="49"/>
        <v>1205.05</v>
      </c>
      <c r="GK35" s="64">
        <f t="shared" si="50"/>
        <v>1776.07</v>
      </c>
      <c r="GL35" s="53">
        <f t="shared" si="51"/>
        <v>4897.26</v>
      </c>
      <c r="GM35" s="53">
        <f t="shared" si="52"/>
        <v>7878.38</v>
      </c>
      <c r="GN35" s="141"/>
      <c r="GO35" s="141"/>
      <c r="GP35" s="33"/>
      <c r="GQ35" s="2667"/>
      <c r="GR35" s="152">
        <v>3590.35</v>
      </c>
      <c r="GS35" s="27"/>
      <c r="GT35" s="27">
        <v>1952.0900000000001</v>
      </c>
      <c r="GU35" s="27">
        <v>2335.94</v>
      </c>
      <c r="GV35" s="33">
        <f t="shared" si="53"/>
        <v>7878.380000000001</v>
      </c>
      <c r="GW35" s="2667"/>
      <c r="GX35" s="36"/>
      <c r="GY35" s="36"/>
      <c r="GZ35" s="27"/>
      <c r="HA35" s="27"/>
      <c r="HB35" s="27"/>
      <c r="HC35" s="27"/>
      <c r="HD35" s="27"/>
      <c r="HE35" s="27"/>
      <c r="HF35" s="27">
        <v>1205.05</v>
      </c>
      <c r="HG35" s="27"/>
      <c r="HH35" s="27"/>
      <c r="HI35" s="27"/>
      <c r="HJ35" s="27"/>
      <c r="HK35" s="27"/>
      <c r="HL35" s="28">
        <f t="shared" si="54"/>
        <v>1205.05</v>
      </c>
      <c r="HM35" s="36"/>
      <c r="HN35" s="27"/>
      <c r="HO35" s="27"/>
      <c r="HP35" s="27"/>
      <c r="HQ35" s="27"/>
      <c r="HR35" s="27"/>
      <c r="HS35" s="27"/>
      <c r="HT35" s="27"/>
      <c r="HU35" s="27"/>
      <c r="HV35" s="27"/>
      <c r="HW35" s="27"/>
      <c r="HX35" s="27"/>
      <c r="HY35" s="27"/>
      <c r="HZ35" s="27"/>
      <c r="IA35" s="33">
        <f t="shared" si="55"/>
        <v>0</v>
      </c>
      <c r="IB35" s="52"/>
      <c r="IC35" s="152"/>
      <c r="ID35" s="53"/>
      <c r="IE35" s="53"/>
      <c r="IF35" s="53"/>
      <c r="IG35" s="53"/>
      <c r="IH35" s="53"/>
      <c r="II35" s="53"/>
      <c r="IJ35" s="53">
        <v>1776.07</v>
      </c>
      <c r="IK35" s="53"/>
      <c r="IL35" s="53"/>
      <c r="IM35" s="53"/>
      <c r="IN35" s="53"/>
      <c r="IO35" s="53"/>
      <c r="IP35" s="61">
        <f t="shared" si="56"/>
        <v>1776.07</v>
      </c>
      <c r="IQ35" s="36"/>
      <c r="IR35" s="36"/>
      <c r="IS35" s="27"/>
      <c r="IT35" s="27"/>
      <c r="IU35" s="53"/>
      <c r="IV35" s="27"/>
      <c r="IW35" s="27"/>
      <c r="IX35" s="27"/>
      <c r="IY35" s="27">
        <v>4897.26</v>
      </c>
      <c r="IZ35" s="27"/>
      <c r="JA35" s="27"/>
      <c r="JB35" s="27"/>
      <c r="JC35" s="27"/>
      <c r="JD35" s="27"/>
      <c r="JE35" s="33">
        <f t="shared" si="57"/>
        <v>4897.26</v>
      </c>
      <c r="JF35" s="2667"/>
      <c r="JH35" s="52">
        <v>7878.3799999999992</v>
      </c>
      <c r="JI35" s="152"/>
      <c r="JJ35" s="53"/>
      <c r="JK35" s="53">
        <f t="shared" si="58"/>
        <v>7878.3799999999992</v>
      </c>
      <c r="JL35" s="33"/>
      <c r="JM35" s="2669"/>
      <c r="JN35" s="69"/>
      <c r="JO35" s="70"/>
      <c r="JP35" s="70"/>
      <c r="JQ35" s="70"/>
      <c r="JR35" s="70">
        <v>1</v>
      </c>
      <c r="JS35" s="70"/>
      <c r="JT35" s="70"/>
      <c r="JU35" s="71"/>
      <c r="JV35" s="69"/>
      <c r="JW35" s="70"/>
      <c r="JX35" s="70"/>
      <c r="JY35" s="70"/>
      <c r="JZ35" s="70"/>
      <c r="KA35" s="70"/>
      <c r="KB35" s="70"/>
      <c r="KC35" s="71"/>
      <c r="KD35" s="69"/>
      <c r="KE35" s="70"/>
      <c r="KF35" s="70"/>
      <c r="KG35" s="70"/>
      <c r="KH35" s="70"/>
      <c r="KI35" s="70"/>
      <c r="KJ35" s="70"/>
      <c r="KK35" s="70"/>
      <c r="KL35" s="33"/>
      <c r="KM35" s="2669"/>
      <c r="KN35" s="36">
        <v>7123.8999129677977</v>
      </c>
      <c r="KO35" s="53">
        <v>0.50864975755315178</v>
      </c>
      <c r="KP35" s="53">
        <v>3.6654009697873926</v>
      </c>
      <c r="KQ35" s="53">
        <v>7.8299452940445109</v>
      </c>
      <c r="KR35" s="54">
        <v>11.423437336814622</v>
      </c>
      <c r="KS35" s="4">
        <v>0</v>
      </c>
      <c r="KT35" s="64">
        <v>0</v>
      </c>
      <c r="KU35" s="64">
        <v>0</v>
      </c>
      <c r="KV35" s="64">
        <v>0</v>
      </c>
      <c r="KW35" s="482">
        <v>0</v>
      </c>
      <c r="KX35" s="36"/>
      <c r="KY35" s="53"/>
      <c r="KZ35" s="53"/>
      <c r="LA35" s="53"/>
      <c r="LB35" s="53"/>
      <c r="LC35" s="33"/>
      <c r="LD35" s="2669"/>
      <c r="LF35" s="26">
        <f t="shared" si="59"/>
        <v>1482.9580000000001</v>
      </c>
      <c r="LG35" s="27">
        <f t="shared" si="59"/>
        <v>5931.8320000000003</v>
      </c>
      <c r="LH35" s="27">
        <f t="shared" si="59"/>
        <v>0</v>
      </c>
      <c r="LI35" s="28">
        <f t="shared" si="60"/>
        <v>7414.7900000000009</v>
      </c>
      <c r="LJ35" s="36">
        <v>1</v>
      </c>
      <c r="LK35" s="27"/>
      <c r="LL35" s="27">
        <v>4</v>
      </c>
      <c r="LM35" s="33"/>
      <c r="LN35" s="1041">
        <v>6.65</v>
      </c>
      <c r="LO35" s="1052"/>
      <c r="LP35" s="2688"/>
      <c r="LQ35" s="36"/>
      <c r="LR35" s="36"/>
      <c r="LS35" s="27"/>
      <c r="LT35" s="27"/>
      <c r="LU35" s="27"/>
      <c r="LV35" s="1107">
        <f t="shared" si="61"/>
        <v>0</v>
      </c>
      <c r="LW35" s="36">
        <v>1482.9580000000001</v>
      </c>
      <c r="LX35" s="36">
        <v>5931.8320000000003</v>
      </c>
      <c r="LY35" s="27"/>
      <c r="LZ35" s="27"/>
      <c r="MA35" s="33"/>
      <c r="MB35" s="28">
        <f t="shared" si="62"/>
        <v>7414.7900000000009</v>
      </c>
      <c r="MC35" s="26"/>
      <c r="MD35" s="36"/>
      <c r="ME35" s="27"/>
      <c r="MF35" s="27"/>
      <c r="MG35" s="27"/>
      <c r="MH35" s="28"/>
      <c r="MI35" s="36"/>
      <c r="MJ35" s="36"/>
      <c r="MK35" s="27"/>
      <c r="ML35" s="27"/>
      <c r="MM35" s="27"/>
      <c r="MN35" s="28"/>
      <c r="MO35" s="36"/>
      <c r="MP35" s="36"/>
      <c r="MQ35" s="27"/>
      <c r="MR35" s="27"/>
      <c r="MS35" s="27"/>
      <c r="MT35" s="33">
        <f t="shared" si="63"/>
        <v>0</v>
      </c>
      <c r="MU35" s="2688"/>
      <c r="MW35" s="26">
        <f t="shared" si="64"/>
        <v>76051.503785492212</v>
      </c>
      <c r="MX35" s="27">
        <f t="shared" si="65"/>
        <v>77757.121281839442</v>
      </c>
      <c r="MY35" s="27">
        <f t="shared" si="66"/>
        <v>23630.293116668145</v>
      </c>
      <c r="MZ35" s="28">
        <f t="shared" si="67"/>
        <v>435886.66665121424</v>
      </c>
      <c r="NA35" s="2621"/>
      <c r="NB35" s="23">
        <f t="shared" si="68"/>
        <v>58330.328254802422</v>
      </c>
      <c r="NC35" s="64">
        <f t="shared" si="69"/>
        <v>17721.17553068979</v>
      </c>
      <c r="ND35" s="60">
        <f t="shared" si="70"/>
        <v>0</v>
      </c>
      <c r="NE35" s="275">
        <f t="shared" si="4"/>
        <v>76051.503785492212</v>
      </c>
      <c r="NF35" s="26">
        <f t="shared" si="120"/>
        <v>0</v>
      </c>
      <c r="NG35" s="27">
        <f t="shared" si="120"/>
        <v>0</v>
      </c>
      <c r="NH35" s="27">
        <f t="shared" si="120"/>
        <v>0</v>
      </c>
      <c r="NI35" s="27">
        <f t="shared" si="120"/>
        <v>0</v>
      </c>
      <c r="NJ35" s="27">
        <f t="shared" si="120"/>
        <v>0</v>
      </c>
      <c r="NK35" s="33">
        <f t="shared" si="120"/>
        <v>0</v>
      </c>
      <c r="NL35" s="27">
        <f t="shared" si="120"/>
        <v>0</v>
      </c>
      <c r="NM35" s="36">
        <f t="shared" si="120"/>
        <v>0</v>
      </c>
      <c r="NN35" s="27">
        <f t="shared" si="120"/>
        <v>38853.192027032746</v>
      </c>
      <c r="NO35" s="27">
        <f t="shared" si="120"/>
        <v>0</v>
      </c>
      <c r="NP35" s="24">
        <f t="shared" si="114"/>
        <v>8756.5482322711578</v>
      </c>
      <c r="NQ35" s="24">
        <f t="shared" si="115"/>
        <v>13716.215013230798</v>
      </c>
      <c r="NR35" s="27">
        <f t="shared" si="0"/>
        <v>61325.955272534702</v>
      </c>
      <c r="NS35" s="27">
        <f t="shared" si="121"/>
        <v>0</v>
      </c>
      <c r="NT35" s="27">
        <f t="shared" si="121"/>
        <v>0</v>
      </c>
      <c r="NU35" s="27">
        <f t="shared" si="121"/>
        <v>0</v>
      </c>
      <c r="NV35" s="27">
        <f t="shared" si="121"/>
        <v>0</v>
      </c>
      <c r="NW35" s="27">
        <f t="shared" si="121"/>
        <v>0</v>
      </c>
      <c r="NX35" s="5">
        <f t="shared" si="121"/>
        <v>0</v>
      </c>
      <c r="NY35" s="27">
        <f t="shared" si="121"/>
        <v>5961.0246092523812</v>
      </c>
      <c r="NZ35" s="27">
        <f t="shared" si="121"/>
        <v>0</v>
      </c>
      <c r="OA35" s="27">
        <f t="shared" si="121"/>
        <v>5592.4199999999992</v>
      </c>
      <c r="OB35" s="27"/>
      <c r="OC35" s="24">
        <f t="shared" si="122"/>
        <v>1565.61197844705</v>
      </c>
      <c r="OD35" s="27">
        <f t="shared" si="122"/>
        <v>0</v>
      </c>
      <c r="OE35" s="28">
        <f t="shared" si="1"/>
        <v>13119.05658769943</v>
      </c>
      <c r="OF35" s="27">
        <f t="shared" si="123"/>
        <v>0</v>
      </c>
      <c r="OG35" s="27">
        <f t="shared" si="123"/>
        <v>0</v>
      </c>
      <c r="OH35" s="27">
        <f t="shared" si="123"/>
        <v>0</v>
      </c>
      <c r="OI35" s="27">
        <f t="shared" si="123"/>
        <v>0</v>
      </c>
      <c r="OJ35" s="27">
        <f t="shared" si="123"/>
        <v>0</v>
      </c>
      <c r="OK35" s="27">
        <f t="shared" si="123"/>
        <v>0</v>
      </c>
      <c r="OL35" s="24">
        <f t="shared" si="123"/>
        <v>0</v>
      </c>
      <c r="OM35" s="27">
        <f t="shared" si="123"/>
        <v>0</v>
      </c>
      <c r="ON35" s="24">
        <f t="shared" si="123"/>
        <v>789.7102538002091</v>
      </c>
      <c r="OO35" s="27">
        <f t="shared" si="123"/>
        <v>0</v>
      </c>
      <c r="OP35" s="27">
        <f t="shared" si="123"/>
        <v>2522.3991678051007</v>
      </c>
      <c r="OQ35" s="27">
        <f t="shared" si="123"/>
        <v>0</v>
      </c>
      <c r="OR35" s="28">
        <f t="shared" si="2"/>
        <v>3312.1094216053098</v>
      </c>
      <c r="OS35" s="36"/>
      <c r="OT35" s="27"/>
      <c r="OU35" s="27"/>
      <c r="OV35" s="27"/>
      <c r="OW35" s="27"/>
      <c r="OX35" s="27"/>
      <c r="OY35" s="28">
        <f t="shared" si="75"/>
        <v>0</v>
      </c>
      <c r="OZ35" s="36">
        <f t="shared" si="76"/>
        <v>0</v>
      </c>
      <c r="PA35" s="27">
        <f t="shared" si="77"/>
        <v>0</v>
      </c>
      <c r="PB35" s="27">
        <f t="shared" si="78"/>
        <v>0</v>
      </c>
      <c r="PC35" s="27">
        <f t="shared" si="79"/>
        <v>0</v>
      </c>
      <c r="PD35" s="27">
        <f t="shared" si="80"/>
        <v>0</v>
      </c>
      <c r="PE35" s="27">
        <f t="shared" si="81"/>
        <v>0</v>
      </c>
      <c r="PF35" s="33">
        <f t="shared" si="3"/>
        <v>0</v>
      </c>
      <c r="PG35" s="2621"/>
      <c r="PI35" s="2"/>
      <c r="PJ35" s="3"/>
      <c r="PK35" s="3"/>
      <c r="PL35" s="3">
        <f t="shared" si="116"/>
        <v>0</v>
      </c>
      <c r="PM35" s="3">
        <f t="shared" si="82"/>
        <v>152.63999999999999</v>
      </c>
      <c r="PN35" s="11">
        <f t="shared" si="117"/>
        <v>23630.293116668145</v>
      </c>
      <c r="PO35" s="15"/>
      <c r="PP35" s="2615"/>
      <c r="PR35" s="4"/>
      <c r="PS35" s="9"/>
      <c r="PT35" s="9"/>
      <c r="PU35" s="9"/>
      <c r="PV35" s="9"/>
      <c r="PW35" s="9"/>
      <c r="PX35" s="8">
        <f t="shared" si="83"/>
        <v>0</v>
      </c>
      <c r="PY35" s="5">
        <f t="shared" si="84"/>
        <v>0</v>
      </c>
      <c r="PZ35" s="5"/>
      <c r="QA35" s="5"/>
      <c r="QB35" s="5"/>
      <c r="QC35" s="5"/>
      <c r="QD35" s="5"/>
      <c r="QE35" s="12">
        <f t="shared" si="85"/>
        <v>29749.381073161156</v>
      </c>
      <c r="QF35" s="420">
        <f t="shared" si="86"/>
        <v>404514.90557805309</v>
      </c>
      <c r="QG35" s="1106">
        <f t="shared" si="87"/>
        <v>1622.38</v>
      </c>
      <c r="QH35" s="484">
        <f t="shared" si="88"/>
        <v>5505.3678056100007</v>
      </c>
      <c r="QI35" s="12"/>
      <c r="QJ35" s="2615"/>
      <c r="QL35" s="139">
        <f t="shared" si="89"/>
        <v>0</v>
      </c>
      <c r="QM35" s="139" t="str">
        <f t="shared" si="90"/>
        <v/>
      </c>
      <c r="QO35" s="139">
        <f t="shared" si="91"/>
        <v>0</v>
      </c>
      <c r="QP35" s="139">
        <f t="shared" si="92"/>
        <v>0</v>
      </c>
      <c r="QR35" s="1">
        <f t="shared" si="93"/>
        <v>0</v>
      </c>
      <c r="QS35" s="1">
        <f t="shared" si="94"/>
        <v>0</v>
      </c>
      <c r="QT35" s="1">
        <f t="shared" si="95"/>
        <v>0</v>
      </c>
      <c r="QU35" s="1">
        <f t="shared" si="96"/>
        <v>0</v>
      </c>
      <c r="QV35" s="1">
        <f t="shared" si="97"/>
        <v>0</v>
      </c>
      <c r="QW35" s="1">
        <f t="shared" si="98"/>
        <v>0</v>
      </c>
      <c r="QY35" s="1">
        <f t="shared" si="99"/>
        <v>0</v>
      </c>
      <c r="QZ35" s="1">
        <f t="shared" si="100"/>
        <v>0</v>
      </c>
      <c r="RA35" s="1">
        <f t="shared" si="101"/>
        <v>0</v>
      </c>
      <c r="RB35" s="1">
        <f t="shared" si="102"/>
        <v>0</v>
      </c>
      <c r="RC35" s="1">
        <f t="shared" si="103"/>
        <v>0</v>
      </c>
      <c r="RD35" s="1">
        <f t="shared" si="104"/>
        <v>0</v>
      </c>
      <c r="RG35" s="1">
        <v>26</v>
      </c>
      <c r="RH35" s="1">
        <f t="shared" ref="RH35:RJ40" si="126">+RH34+JH35-LF35</f>
        <v>38968.699209717102</v>
      </c>
      <c r="RI35" s="1">
        <f t="shared" si="126"/>
        <v>3948.6177804837116</v>
      </c>
      <c r="RJ35" s="1">
        <f t="shared" si="126"/>
        <v>13404.263703387322</v>
      </c>
      <c r="RK35" s="89">
        <f t="shared" si="5"/>
        <v>56321.580693588141</v>
      </c>
      <c r="RL35" s="1033">
        <v>26</v>
      </c>
      <c r="RM35" s="1098">
        <f t="shared" si="118"/>
        <v>0</v>
      </c>
      <c r="RN35" s="1098">
        <f t="shared" si="106"/>
        <v>0</v>
      </c>
      <c r="RO35" s="1097">
        <f t="shared" si="106"/>
        <v>0</v>
      </c>
      <c r="RP35" s="1097">
        <f t="shared" si="107"/>
        <v>6478.62</v>
      </c>
      <c r="RQ35" s="1050"/>
      <c r="RR35" s="1050" t="s">
        <v>800</v>
      </c>
      <c r="RS35" s="1048"/>
      <c r="RU35" s="421">
        <v>26</v>
      </c>
      <c r="RV35" s="1095">
        <f t="shared" si="108"/>
        <v>7878.380000000001</v>
      </c>
      <c r="RW35" s="1050" t="s">
        <v>801</v>
      </c>
      <c r="RX35" s="1048"/>
      <c r="RY35" s="1090"/>
      <c r="RZ35" s="1090">
        <f t="shared" si="109"/>
        <v>0</v>
      </c>
      <c r="SA35" s="1090"/>
      <c r="SB35" s="1090">
        <f t="shared" si="110"/>
        <v>0</v>
      </c>
      <c r="SD35" s="1">
        <v>26</v>
      </c>
      <c r="SE35" s="1">
        <f t="shared" si="111"/>
        <v>0</v>
      </c>
      <c r="SF35" s="1094"/>
    </row>
    <row r="36" spans="1:500" s="1" customFormat="1">
      <c r="B36" s="471">
        <v>27</v>
      </c>
      <c r="C36" s="4">
        <f t="shared" si="6"/>
        <v>113961</v>
      </c>
      <c r="D36" s="64">
        <f t="shared" si="112"/>
        <v>6144.46</v>
      </c>
      <c r="E36" s="61">
        <f t="shared" si="7"/>
        <v>18.546951237374806</v>
      </c>
      <c r="F36" s="870"/>
      <c r="G36" s="870"/>
      <c r="H36" s="52">
        <v>15</v>
      </c>
      <c r="I36" s="61">
        <v>3.3</v>
      </c>
      <c r="J36" s="52"/>
      <c r="K36" s="54"/>
      <c r="L36" s="52">
        <v>7.67</v>
      </c>
      <c r="M36" s="61">
        <v>6.24</v>
      </c>
      <c r="N36" s="2629"/>
      <c r="O36" s="4">
        <f t="shared" si="8"/>
        <v>64638</v>
      </c>
      <c r="P36" s="5">
        <f t="shared" si="9"/>
        <v>3228.04</v>
      </c>
      <c r="Q36" s="64">
        <f t="shared" si="10"/>
        <v>20.023915440948688</v>
      </c>
      <c r="R36" s="33"/>
      <c r="S36" s="26">
        <f t="shared" si="11"/>
        <v>24693</v>
      </c>
      <c r="T36" s="27">
        <f t="shared" si="12"/>
        <v>1156.42</v>
      </c>
      <c r="U36" s="53">
        <f t="shared" si="13"/>
        <v>21.352968644610087</v>
      </c>
      <c r="V36" s="28"/>
      <c r="W36" s="26">
        <f t="shared" si="14"/>
        <v>24630</v>
      </c>
      <c r="X36" s="5">
        <f t="shared" si="14"/>
        <v>1760</v>
      </c>
      <c r="Y36" s="53">
        <f t="shared" si="15"/>
        <v>13.994318181818182</v>
      </c>
      <c r="Z36" s="33"/>
      <c r="AA36" s="26">
        <f t="shared" si="16"/>
        <v>0</v>
      </c>
      <c r="AB36" s="27">
        <f t="shared" si="17"/>
        <v>0</v>
      </c>
      <c r="AC36" s="53">
        <f t="shared" si="18"/>
        <v>0</v>
      </c>
      <c r="AD36" s="28"/>
      <c r="AE36" s="36"/>
      <c r="AF36" s="36"/>
      <c r="AG36" s="53">
        <f t="shared" si="19"/>
        <v>0</v>
      </c>
      <c r="AH36" s="28"/>
      <c r="AI36" s="23"/>
      <c r="AJ36" s="27"/>
      <c r="AK36" s="53">
        <f t="shared" si="20"/>
        <v>0</v>
      </c>
      <c r="AL36" s="28"/>
      <c r="AM36" s="2629"/>
      <c r="AN36" s="9"/>
      <c r="AO36" s="5"/>
      <c r="AP36" s="61">
        <f t="shared" si="21"/>
        <v>0</v>
      </c>
      <c r="AQ36" s="36"/>
      <c r="AR36" s="53"/>
      <c r="AS36" s="61">
        <f t="shared" si="22"/>
        <v>0</v>
      </c>
      <c r="AT36" s="36"/>
      <c r="AU36" s="27"/>
      <c r="AV36" s="61">
        <f t="shared" si="23"/>
        <v>0</v>
      </c>
      <c r="AW36" s="36">
        <v>33852</v>
      </c>
      <c r="AX36" s="27">
        <v>2094.2199999999998</v>
      </c>
      <c r="AY36" s="61">
        <f t="shared" si="24"/>
        <v>16.164490836683825</v>
      </c>
      <c r="AZ36" s="36"/>
      <c r="BA36" s="27"/>
      <c r="BB36" s="61">
        <f t="shared" si="25"/>
        <v>0</v>
      </c>
      <c r="BC36" s="36">
        <v>30786</v>
      </c>
      <c r="BD36" s="27">
        <v>1133.82</v>
      </c>
      <c r="BE36" s="61">
        <f t="shared" si="26"/>
        <v>27.152458062126264</v>
      </c>
      <c r="BF36" s="36"/>
      <c r="BG36" s="53"/>
      <c r="BH36" s="61">
        <f t="shared" si="27"/>
        <v>0</v>
      </c>
      <c r="BI36" s="36">
        <v>0</v>
      </c>
      <c r="BJ36" s="53">
        <v>0</v>
      </c>
      <c r="BK36" s="61">
        <f t="shared" si="28"/>
        <v>0</v>
      </c>
      <c r="BL36" s="52">
        <v>24693</v>
      </c>
      <c r="BM36" s="53">
        <v>1156.42</v>
      </c>
      <c r="BN36" s="61">
        <f t="shared" si="29"/>
        <v>21.352968644610087</v>
      </c>
      <c r="BO36" s="9"/>
      <c r="BP36" s="64"/>
      <c r="BQ36" s="61">
        <f t="shared" si="30"/>
        <v>0</v>
      </c>
      <c r="BR36" s="36"/>
      <c r="BS36" s="53"/>
      <c r="BT36" s="61">
        <f t="shared" si="31"/>
        <v>0</v>
      </c>
      <c r="BU36" s="9">
        <v>24630</v>
      </c>
      <c r="BV36" s="5">
        <v>1760</v>
      </c>
      <c r="BW36" s="28">
        <f t="shared" si="32"/>
        <v>13.994318181818182</v>
      </c>
      <c r="BX36" s="4"/>
      <c r="BY36" s="5"/>
      <c r="BZ36" s="61">
        <f t="shared" si="33"/>
        <v>0</v>
      </c>
      <c r="CA36" s="36"/>
      <c r="CB36" s="5"/>
      <c r="CC36" s="61">
        <f t="shared" si="34"/>
        <v>0</v>
      </c>
      <c r="CD36" s="26"/>
      <c r="CE36" s="5"/>
      <c r="CF36" s="28">
        <f t="shared" si="35"/>
        <v>0</v>
      </c>
      <c r="CG36" s="150"/>
      <c r="CH36" s="1108">
        <v>0</v>
      </c>
      <c r="CI36" s="5"/>
      <c r="CJ36" s="5"/>
      <c r="CK36" s="5">
        <v>7300</v>
      </c>
      <c r="CL36" s="5"/>
      <c r="CM36" s="5">
        <f t="shared" si="113"/>
        <v>7300</v>
      </c>
      <c r="CN36" s="33"/>
      <c r="CO36" s="366"/>
      <c r="CQ36" s="4">
        <f t="shared" si="125"/>
        <v>0</v>
      </c>
      <c r="CR36" s="9">
        <f t="shared" si="125"/>
        <v>0</v>
      </c>
      <c r="CS36" s="5">
        <f t="shared" si="125"/>
        <v>0</v>
      </c>
      <c r="CT36" s="5">
        <f t="shared" si="125"/>
        <v>0</v>
      </c>
      <c r="CU36" s="5">
        <f t="shared" si="124"/>
        <v>0</v>
      </c>
      <c r="CV36" s="5">
        <f t="shared" si="124"/>
        <v>0</v>
      </c>
      <c r="CW36" s="5">
        <f t="shared" si="124"/>
        <v>0</v>
      </c>
      <c r="CX36" s="5">
        <f t="shared" si="124"/>
        <v>0</v>
      </c>
      <c r="CY36" s="5">
        <f t="shared" si="124"/>
        <v>5724.4599999999991</v>
      </c>
      <c r="CZ36" s="5">
        <f t="shared" si="124"/>
        <v>0</v>
      </c>
      <c r="DA36" s="5">
        <f t="shared" si="124"/>
        <v>420</v>
      </c>
      <c r="DB36" s="12">
        <f t="shared" si="124"/>
        <v>0</v>
      </c>
      <c r="DC36" s="310">
        <f>SUM(CQ36:DB36,PV36)</f>
        <v>6144.4599999999991</v>
      </c>
      <c r="DD36" s="2695"/>
      <c r="DE36" s="9"/>
      <c r="DF36" s="9"/>
      <c r="DG36" s="5"/>
      <c r="DH36" s="5"/>
      <c r="DI36" s="5"/>
      <c r="DJ36" s="5"/>
      <c r="DK36" s="5"/>
      <c r="DL36" s="5"/>
      <c r="DM36" s="5">
        <v>2094.2199999999998</v>
      </c>
      <c r="DN36" s="5"/>
      <c r="DO36" s="5"/>
      <c r="DP36" s="12"/>
      <c r="DQ36" s="28">
        <f t="shared" si="38"/>
        <v>2094.2199999999998</v>
      </c>
      <c r="DR36" s="36"/>
      <c r="DS36" s="36"/>
      <c r="DT36" s="27"/>
      <c r="DU36" s="27"/>
      <c r="DV36" s="27"/>
      <c r="DW36" s="27"/>
      <c r="DX36" s="27"/>
      <c r="DY36" s="27"/>
      <c r="DZ36" s="27">
        <v>2290.2399999999998</v>
      </c>
      <c r="EA36" s="27"/>
      <c r="EB36" s="27"/>
      <c r="EC36" s="33"/>
      <c r="ED36" s="28">
        <f t="shared" si="39"/>
        <v>2290.2399999999998</v>
      </c>
      <c r="EE36" s="9"/>
      <c r="EF36" s="36"/>
      <c r="EG36" s="27"/>
      <c r="EH36" s="27"/>
      <c r="EI36" s="27"/>
      <c r="EJ36" s="27"/>
      <c r="EK36" s="27"/>
      <c r="EL36" s="27"/>
      <c r="EM36" s="27">
        <v>1340</v>
      </c>
      <c r="EN36" s="27"/>
      <c r="EO36" s="27">
        <v>420</v>
      </c>
      <c r="EP36" s="33"/>
      <c r="EQ36" s="28">
        <f t="shared" si="40"/>
        <v>1760</v>
      </c>
      <c r="ER36" s="36"/>
      <c r="ES36" s="27"/>
      <c r="ET36" s="27"/>
      <c r="EU36" s="27"/>
      <c r="EV36" s="27"/>
      <c r="EW36" s="27"/>
      <c r="EX36" s="33">
        <f t="shared" si="41"/>
        <v>0</v>
      </c>
      <c r="EY36" s="2685"/>
      <c r="FA36" s="4">
        <f t="shared" si="42"/>
        <v>0</v>
      </c>
      <c r="FB36" s="5">
        <f t="shared" si="43"/>
        <v>0</v>
      </c>
      <c r="FC36" s="5">
        <f t="shared" si="44"/>
        <v>0</v>
      </c>
      <c r="FD36" s="12">
        <f t="shared" si="45"/>
        <v>0</v>
      </c>
      <c r="FE36" s="33"/>
      <c r="FF36" s="2674"/>
      <c r="FG36" s="9"/>
      <c r="FH36" s="5"/>
      <c r="FI36" s="5"/>
      <c r="FJ36" s="5"/>
      <c r="FK36" s="5"/>
      <c r="FL36" s="27"/>
      <c r="FM36" s="28">
        <f t="shared" si="46"/>
        <v>0</v>
      </c>
      <c r="FN36" s="36"/>
      <c r="FO36" s="27"/>
      <c r="FP36" s="27"/>
      <c r="FQ36" s="27"/>
      <c r="FR36" s="27"/>
      <c r="FS36" s="27"/>
      <c r="FT36" s="28">
        <f t="shared" si="47"/>
        <v>0</v>
      </c>
      <c r="FU36" s="36"/>
      <c r="FV36" s="36"/>
      <c r="FW36" s="27"/>
      <c r="FX36" s="27"/>
      <c r="FY36" s="27"/>
      <c r="FZ36" s="27"/>
      <c r="GA36" s="27"/>
      <c r="GB36" s="27"/>
      <c r="GC36" s="27"/>
      <c r="GD36" s="27"/>
      <c r="GE36" s="27"/>
      <c r="GF36" s="33"/>
      <c r="GG36" s="33">
        <f t="shared" si="48"/>
        <v>0</v>
      </c>
      <c r="GH36" s="2674"/>
      <c r="GJ36" s="4">
        <f t="shared" si="49"/>
        <v>1850.3</v>
      </c>
      <c r="GK36" s="64">
        <f t="shared" si="50"/>
        <v>1742.05</v>
      </c>
      <c r="GL36" s="53">
        <f t="shared" si="51"/>
        <v>3490.29</v>
      </c>
      <c r="GM36" s="53">
        <f t="shared" si="52"/>
        <v>7082.6399999999994</v>
      </c>
      <c r="GN36" s="141"/>
      <c r="GO36" s="141"/>
      <c r="GP36" s="33"/>
      <c r="GQ36" s="2667"/>
      <c r="GR36" s="152">
        <v>3102.4500000000003</v>
      </c>
      <c r="GS36" s="27"/>
      <c r="GT36" s="27">
        <v>1722.82</v>
      </c>
      <c r="GU36" s="27">
        <v>2257.37</v>
      </c>
      <c r="GV36" s="33">
        <f t="shared" si="53"/>
        <v>7082.64</v>
      </c>
      <c r="GW36" s="2667"/>
      <c r="GX36" s="36"/>
      <c r="GY36" s="36"/>
      <c r="GZ36" s="27"/>
      <c r="HA36" s="27"/>
      <c r="HB36" s="27"/>
      <c r="HC36" s="27"/>
      <c r="HD36" s="27"/>
      <c r="HE36" s="27"/>
      <c r="HF36" s="27">
        <v>1850.3</v>
      </c>
      <c r="HG36" s="27"/>
      <c r="HH36" s="27"/>
      <c r="HI36" s="27"/>
      <c r="HJ36" s="27"/>
      <c r="HK36" s="27"/>
      <c r="HL36" s="28">
        <f t="shared" si="54"/>
        <v>1850.3</v>
      </c>
      <c r="HM36" s="36"/>
      <c r="HN36" s="27"/>
      <c r="HO36" s="27"/>
      <c r="HP36" s="27"/>
      <c r="HQ36" s="27"/>
      <c r="HR36" s="27"/>
      <c r="HS36" s="27"/>
      <c r="HT36" s="27"/>
      <c r="HU36" s="27"/>
      <c r="HV36" s="27"/>
      <c r="HW36" s="27"/>
      <c r="HX36" s="27"/>
      <c r="HY36" s="27"/>
      <c r="HZ36" s="27"/>
      <c r="IA36" s="33">
        <f t="shared" si="55"/>
        <v>0</v>
      </c>
      <c r="IB36" s="52"/>
      <c r="IC36" s="152"/>
      <c r="ID36" s="53"/>
      <c r="IE36" s="53"/>
      <c r="IF36" s="53"/>
      <c r="IG36" s="53"/>
      <c r="IH36" s="53"/>
      <c r="II36" s="53"/>
      <c r="IJ36" s="53">
        <v>1742.05</v>
      </c>
      <c r="IK36" s="53"/>
      <c r="IL36" s="53"/>
      <c r="IM36" s="53"/>
      <c r="IN36" s="53"/>
      <c r="IO36" s="53"/>
      <c r="IP36" s="61">
        <f t="shared" si="56"/>
        <v>1742.05</v>
      </c>
      <c r="IQ36" s="36"/>
      <c r="IR36" s="36"/>
      <c r="IS36" s="27"/>
      <c r="IT36" s="27"/>
      <c r="IU36" s="53"/>
      <c r="IV36" s="27"/>
      <c r="IW36" s="27"/>
      <c r="IX36" s="27"/>
      <c r="IY36" s="27">
        <v>3490.29</v>
      </c>
      <c r="IZ36" s="27"/>
      <c r="JA36" s="27"/>
      <c r="JB36" s="27"/>
      <c r="JC36" s="27"/>
      <c r="JD36" s="27"/>
      <c r="JE36" s="33">
        <f t="shared" si="57"/>
        <v>3490.29</v>
      </c>
      <c r="JF36" s="2667"/>
      <c r="JH36" s="52">
        <v>7082.6400000000012</v>
      </c>
      <c r="JI36" s="152"/>
      <c r="JJ36" s="53"/>
      <c r="JK36" s="53">
        <f t="shared" si="58"/>
        <v>7082.6400000000012</v>
      </c>
      <c r="JL36" s="33"/>
      <c r="JM36" s="2669"/>
      <c r="JN36" s="69"/>
      <c r="JO36" s="70"/>
      <c r="JP36" s="70"/>
      <c r="JQ36" s="70"/>
      <c r="JR36" s="70">
        <v>1</v>
      </c>
      <c r="JS36" s="70"/>
      <c r="JT36" s="70"/>
      <c r="JU36" s="71"/>
      <c r="JV36" s="69"/>
      <c r="JW36" s="70"/>
      <c r="JX36" s="70"/>
      <c r="JY36" s="70"/>
      <c r="JZ36" s="70"/>
      <c r="KA36" s="70"/>
      <c r="KB36" s="70"/>
      <c r="KC36" s="71"/>
      <c r="KD36" s="69"/>
      <c r="KE36" s="70"/>
      <c r="KF36" s="70"/>
      <c r="KG36" s="70"/>
      <c r="KH36" s="70"/>
      <c r="KI36" s="70"/>
      <c r="KJ36" s="70"/>
      <c r="KK36" s="70"/>
      <c r="KL36" s="33"/>
      <c r="KM36" s="2669"/>
      <c r="KN36" s="36">
        <v>6983.7695059859643</v>
      </c>
      <c r="KO36" s="53">
        <v>0.54431539837622123</v>
      </c>
      <c r="KP36" s="53">
        <v>5.0832062749415172</v>
      </c>
      <c r="KQ36" s="53">
        <v>6.6667937250584828</v>
      </c>
      <c r="KR36" s="54">
        <v>12.193865570937113</v>
      </c>
      <c r="KS36" s="4">
        <v>0</v>
      </c>
      <c r="KT36" s="64">
        <v>0</v>
      </c>
      <c r="KU36" s="64">
        <v>0</v>
      </c>
      <c r="KV36" s="64">
        <v>0</v>
      </c>
      <c r="KW36" s="482">
        <v>0</v>
      </c>
      <c r="KX36" s="36"/>
      <c r="KY36" s="53"/>
      <c r="KZ36" s="53"/>
      <c r="LA36" s="53"/>
      <c r="LB36" s="53"/>
      <c r="LC36" s="33"/>
      <c r="LD36" s="2669"/>
      <c r="LF36" s="26">
        <f t="shared" si="59"/>
        <v>1515.0720000000001</v>
      </c>
      <c r="LG36" s="27">
        <f t="shared" si="59"/>
        <v>6060.2880000000005</v>
      </c>
      <c r="LH36" s="27">
        <f t="shared" si="59"/>
        <v>0</v>
      </c>
      <c r="LI36" s="28">
        <f t="shared" si="60"/>
        <v>7575.3600000000006</v>
      </c>
      <c r="LJ36" s="36">
        <v>1</v>
      </c>
      <c r="LK36" s="27"/>
      <c r="LL36" s="27">
        <v>4</v>
      </c>
      <c r="LM36" s="33"/>
      <c r="LN36" s="1041">
        <v>6.65</v>
      </c>
      <c r="LO36" s="857"/>
      <c r="LP36" s="2688"/>
      <c r="LQ36" s="36"/>
      <c r="LR36" s="36"/>
      <c r="LS36" s="27"/>
      <c r="LT36" s="27"/>
      <c r="LU36" s="27"/>
      <c r="LV36" s="1107">
        <f t="shared" si="61"/>
        <v>0</v>
      </c>
      <c r="LW36" s="36">
        <v>1515.0720000000001</v>
      </c>
      <c r="LX36" s="36">
        <v>6060.2880000000005</v>
      </c>
      <c r="LY36" s="27"/>
      <c r="LZ36" s="27"/>
      <c r="MA36" s="33"/>
      <c r="MB36" s="28">
        <f t="shared" si="62"/>
        <v>7575.3600000000006</v>
      </c>
      <c r="MC36" s="26"/>
      <c r="MD36" s="36"/>
      <c r="ME36" s="27"/>
      <c r="MF36" s="27"/>
      <c r="MG36" s="27"/>
      <c r="MH36" s="28"/>
      <c r="MI36" s="36"/>
      <c r="MJ36" s="36"/>
      <c r="MK36" s="27"/>
      <c r="ML36" s="27"/>
      <c r="MM36" s="27"/>
      <c r="MN36" s="28"/>
      <c r="MO36" s="36"/>
      <c r="MP36" s="36"/>
      <c r="MQ36" s="27"/>
      <c r="MR36" s="27"/>
      <c r="MS36" s="27"/>
      <c r="MT36" s="33">
        <f t="shared" si="63"/>
        <v>0</v>
      </c>
      <c r="MU36" s="2688"/>
      <c r="MW36" s="26">
        <f t="shared" si="64"/>
        <v>75558.783785492211</v>
      </c>
      <c r="MX36" s="27">
        <f t="shared" si="65"/>
        <v>77229.28102803923</v>
      </c>
      <c r="MY36" s="27">
        <f t="shared" si="66"/>
        <v>23630.293116668145</v>
      </c>
      <c r="MZ36" s="28">
        <f t="shared" si="67"/>
        <v>435886.66665121424</v>
      </c>
      <c r="NA36" s="2621"/>
      <c r="NB36" s="23">
        <f t="shared" si="68"/>
        <v>63897.896254802421</v>
      </c>
      <c r="NC36" s="64">
        <f t="shared" si="69"/>
        <v>11660.88753068979</v>
      </c>
      <c r="ND36" s="60">
        <f t="shared" si="70"/>
        <v>0</v>
      </c>
      <c r="NE36" s="275">
        <f t="shared" si="4"/>
        <v>75558.783785492211</v>
      </c>
      <c r="NF36" s="26">
        <v>0</v>
      </c>
      <c r="NG36" s="27">
        <v>0</v>
      </c>
      <c r="NH36" s="27">
        <v>0</v>
      </c>
      <c r="NI36" s="27">
        <v>0</v>
      </c>
      <c r="NJ36" s="27">
        <v>0</v>
      </c>
      <c r="NK36" s="33">
        <v>0</v>
      </c>
      <c r="NL36" s="27">
        <v>0</v>
      </c>
      <c r="NM36" s="36">
        <v>0</v>
      </c>
      <c r="NN36" s="27">
        <f t="shared" si="120"/>
        <v>38342.892027032743</v>
      </c>
      <c r="NO36" s="27">
        <v>0</v>
      </c>
      <c r="NP36" s="24">
        <f t="shared" si="114"/>
        <v>8756.5482322711578</v>
      </c>
      <c r="NQ36" s="24">
        <f t="shared" si="115"/>
        <v>14136.215013230798</v>
      </c>
      <c r="NR36" s="27">
        <f t="shared" si="0"/>
        <v>61235.655272534699</v>
      </c>
      <c r="NS36" s="27">
        <f t="shared" si="121"/>
        <v>0</v>
      </c>
      <c r="NT36" s="27">
        <f t="shared" si="121"/>
        <v>0</v>
      </c>
      <c r="NU36" s="27">
        <f t="shared" si="121"/>
        <v>0</v>
      </c>
      <c r="NV36" s="27">
        <f t="shared" si="121"/>
        <v>0</v>
      </c>
      <c r="NW36" s="27">
        <f t="shared" si="121"/>
        <v>0</v>
      </c>
      <c r="NX36" s="5">
        <f t="shared" si="121"/>
        <v>0</v>
      </c>
      <c r="NY36" s="27">
        <f t="shared" si="121"/>
        <v>5961.0246092523812</v>
      </c>
      <c r="NZ36" s="27">
        <f t="shared" si="121"/>
        <v>0</v>
      </c>
      <c r="OA36" s="27">
        <f t="shared" si="121"/>
        <v>5944.5899999999992</v>
      </c>
      <c r="OB36" s="27"/>
      <c r="OC36" s="24">
        <f t="shared" si="122"/>
        <v>1565.61197844705</v>
      </c>
      <c r="OD36" s="27">
        <f t="shared" si="122"/>
        <v>0</v>
      </c>
      <c r="OE36" s="28">
        <f t="shared" si="1"/>
        <v>13471.226587699432</v>
      </c>
      <c r="OF36" s="27">
        <f t="shared" si="123"/>
        <v>0</v>
      </c>
      <c r="OG36" s="27">
        <f t="shared" si="123"/>
        <v>0</v>
      </c>
      <c r="OH36" s="27">
        <f t="shared" si="123"/>
        <v>0</v>
      </c>
      <c r="OI36" s="27">
        <f t="shared" si="123"/>
        <v>0</v>
      </c>
      <c r="OJ36" s="27">
        <f t="shared" si="123"/>
        <v>0</v>
      </c>
      <c r="OK36" s="27">
        <f t="shared" si="123"/>
        <v>0</v>
      </c>
      <c r="OL36" s="24">
        <f t="shared" si="123"/>
        <v>0</v>
      </c>
      <c r="OM36" s="27">
        <f t="shared" si="123"/>
        <v>0</v>
      </c>
      <c r="ON36" s="24">
        <v>0</v>
      </c>
      <c r="OO36" s="27">
        <f t="shared" si="123"/>
        <v>0</v>
      </c>
      <c r="OP36" s="27">
        <f t="shared" si="123"/>
        <v>2522.3991678051007</v>
      </c>
      <c r="OQ36" s="27">
        <f t="shared" si="123"/>
        <v>0</v>
      </c>
      <c r="OR36" s="28">
        <f t="shared" si="2"/>
        <v>2522.3991678051007</v>
      </c>
      <c r="OS36" s="36"/>
      <c r="OT36" s="27"/>
      <c r="OU36" s="27"/>
      <c r="OV36" s="27"/>
      <c r="OW36" s="27"/>
      <c r="OX36" s="27"/>
      <c r="OY36" s="28">
        <f t="shared" si="75"/>
        <v>0</v>
      </c>
      <c r="OZ36" s="36">
        <f t="shared" si="76"/>
        <v>0</v>
      </c>
      <c r="PA36" s="27">
        <f t="shared" si="77"/>
        <v>0</v>
      </c>
      <c r="PB36" s="27">
        <f t="shared" si="78"/>
        <v>0</v>
      </c>
      <c r="PC36" s="27">
        <f t="shared" si="79"/>
        <v>0</v>
      </c>
      <c r="PD36" s="27">
        <f t="shared" si="80"/>
        <v>0</v>
      </c>
      <c r="PE36" s="27">
        <f t="shared" si="81"/>
        <v>0</v>
      </c>
      <c r="PF36" s="33">
        <f t="shared" si="3"/>
        <v>0</v>
      </c>
      <c r="PG36" s="2621"/>
      <c r="PI36" s="2"/>
      <c r="PJ36" s="3"/>
      <c r="PK36" s="3"/>
      <c r="PL36" s="3">
        <f t="shared" si="116"/>
        <v>0</v>
      </c>
      <c r="PM36" s="3">
        <f t="shared" si="82"/>
        <v>152.63999999999999</v>
      </c>
      <c r="PN36" s="11">
        <f t="shared" si="117"/>
        <v>23630.293116668145</v>
      </c>
      <c r="PO36" s="15"/>
      <c r="PP36" s="2615"/>
      <c r="PR36" s="4"/>
      <c r="PS36" s="9"/>
      <c r="PT36" s="9"/>
      <c r="PU36" s="9"/>
      <c r="PV36" s="9"/>
      <c r="PW36" s="9"/>
      <c r="PX36" s="8">
        <f t="shared" si="83"/>
        <v>0</v>
      </c>
      <c r="PY36" s="5">
        <f t="shared" si="84"/>
        <v>0</v>
      </c>
      <c r="PZ36" s="5"/>
      <c r="QA36" s="5"/>
      <c r="QB36" s="5"/>
      <c r="QC36" s="5"/>
      <c r="QD36" s="5"/>
      <c r="QE36" s="12">
        <f t="shared" si="85"/>
        <v>29749.381073161156</v>
      </c>
      <c r="QF36" s="420">
        <f t="shared" si="86"/>
        <v>404514.90557805309</v>
      </c>
      <c r="QG36" s="1106">
        <f t="shared" si="87"/>
        <v>1622.38</v>
      </c>
      <c r="QH36" s="484">
        <f t="shared" si="88"/>
        <v>5505.3678056100007</v>
      </c>
      <c r="QI36" s="12"/>
      <c r="QJ36" s="2615"/>
      <c r="QL36" s="139">
        <f t="shared" si="89"/>
        <v>0</v>
      </c>
      <c r="QM36" s="139" t="str">
        <f t="shared" si="90"/>
        <v/>
      </c>
      <c r="QO36" s="139">
        <f t="shared" si="91"/>
        <v>0</v>
      </c>
      <c r="QP36" s="139">
        <f t="shared" si="92"/>
        <v>0</v>
      </c>
      <c r="QR36" s="1">
        <f t="shared" si="93"/>
        <v>0</v>
      </c>
      <c r="QS36" s="1">
        <f t="shared" si="94"/>
        <v>0</v>
      </c>
      <c r="QT36" s="1">
        <f t="shared" si="95"/>
        <v>0</v>
      </c>
      <c r="QU36" s="1">
        <f t="shared" si="96"/>
        <v>0</v>
      </c>
      <c r="QV36" s="1">
        <f t="shared" si="97"/>
        <v>0</v>
      </c>
      <c r="QW36" s="1">
        <f t="shared" si="98"/>
        <v>0</v>
      </c>
      <c r="QY36" s="1">
        <f t="shared" si="99"/>
        <v>0</v>
      </c>
      <c r="QZ36" s="1">
        <f t="shared" si="100"/>
        <v>0</v>
      </c>
      <c r="RA36" s="1">
        <f t="shared" si="101"/>
        <v>0</v>
      </c>
      <c r="RB36" s="1">
        <f t="shared" si="102"/>
        <v>0</v>
      </c>
      <c r="RC36" s="1">
        <f t="shared" si="103"/>
        <v>0</v>
      </c>
      <c r="RD36" s="1">
        <f t="shared" si="104"/>
        <v>0</v>
      </c>
      <c r="RG36" s="1">
        <v>27</v>
      </c>
      <c r="RH36" s="1">
        <f t="shared" si="126"/>
        <v>44536.267209717102</v>
      </c>
      <c r="RI36" s="1">
        <f t="shared" si="126"/>
        <v>-2111.6702195162889</v>
      </c>
      <c r="RJ36" s="1">
        <f t="shared" si="126"/>
        <v>13404.263703387322</v>
      </c>
      <c r="RK36" s="89">
        <f t="shared" si="5"/>
        <v>55828.86069358814</v>
      </c>
      <c r="RL36" s="1033">
        <v>27</v>
      </c>
      <c r="RM36" s="1098">
        <f t="shared" si="118"/>
        <v>0</v>
      </c>
      <c r="RN36" s="1098">
        <f t="shared" si="106"/>
        <v>0</v>
      </c>
      <c r="RO36" s="1097">
        <f t="shared" si="106"/>
        <v>0</v>
      </c>
      <c r="RP36" s="1097">
        <f t="shared" si="107"/>
        <v>4384.46</v>
      </c>
      <c r="RQ36" s="1050"/>
      <c r="RR36" s="1050" t="s">
        <v>802</v>
      </c>
      <c r="RU36" s="421">
        <v>27</v>
      </c>
      <c r="RV36" s="1095">
        <f t="shared" si="108"/>
        <v>7082.64</v>
      </c>
      <c r="RW36" s="1046" t="s">
        <v>803</v>
      </c>
      <c r="RY36" s="1090"/>
      <c r="RZ36" s="1090">
        <f t="shared" si="109"/>
        <v>0</v>
      </c>
      <c r="SA36" s="1090"/>
      <c r="SB36" s="1090">
        <f t="shared" si="110"/>
        <v>0</v>
      </c>
      <c r="SD36" s="1">
        <v>27</v>
      </c>
      <c r="SE36" s="1">
        <f t="shared" si="111"/>
        <v>0</v>
      </c>
      <c r="SF36" s="1094"/>
    </row>
    <row r="37" spans="1:500" s="1" customFormat="1">
      <c r="B37" s="471">
        <v>28</v>
      </c>
      <c r="C37" s="4">
        <f t="shared" si="6"/>
        <v>117781</v>
      </c>
      <c r="D37" s="64">
        <f t="shared" si="112"/>
        <v>8970.42</v>
      </c>
      <c r="E37" s="61">
        <f t="shared" si="7"/>
        <v>13.129931485928195</v>
      </c>
      <c r="F37" s="870"/>
      <c r="G37" s="870"/>
      <c r="H37" s="52">
        <v>35</v>
      </c>
      <c r="I37" s="61">
        <v>7.75</v>
      </c>
      <c r="J37" s="52"/>
      <c r="K37" s="54"/>
      <c r="L37" s="52">
        <v>8.67</v>
      </c>
      <c r="M37" s="61">
        <v>6.97</v>
      </c>
      <c r="N37" s="2629"/>
      <c r="O37" s="4">
        <f t="shared" si="8"/>
        <v>70434</v>
      </c>
      <c r="P37" s="5">
        <f t="shared" si="9"/>
        <v>5027.8</v>
      </c>
      <c r="Q37" s="64">
        <f t="shared" si="10"/>
        <v>14.008910457854329</v>
      </c>
      <c r="R37" s="33"/>
      <c r="S37" s="26">
        <f t="shared" si="11"/>
        <v>25547</v>
      </c>
      <c r="T37" s="27">
        <f t="shared" si="12"/>
        <v>1582.6200000000001</v>
      </c>
      <c r="U37" s="53">
        <f t="shared" si="13"/>
        <v>16.14221986326471</v>
      </c>
      <c r="V37" s="28"/>
      <c r="W37" s="26">
        <f t="shared" si="14"/>
        <v>21800</v>
      </c>
      <c r="X37" s="5">
        <f t="shared" si="14"/>
        <v>2360</v>
      </c>
      <c r="Y37" s="53">
        <f t="shared" si="15"/>
        <v>9.2372881355932197</v>
      </c>
      <c r="Z37" s="33"/>
      <c r="AA37" s="26">
        <f t="shared" si="16"/>
        <v>0</v>
      </c>
      <c r="AB37" s="27">
        <f t="shared" si="17"/>
        <v>0</v>
      </c>
      <c r="AC37" s="53">
        <f t="shared" si="18"/>
        <v>0</v>
      </c>
      <c r="AD37" s="28"/>
      <c r="AE37" s="36"/>
      <c r="AF37" s="36"/>
      <c r="AG37" s="53">
        <f t="shared" si="19"/>
        <v>0</v>
      </c>
      <c r="AH37" s="28"/>
      <c r="AI37" s="26"/>
      <c r="AJ37" s="27"/>
      <c r="AK37" s="53">
        <f t="shared" si="20"/>
        <v>0</v>
      </c>
      <c r="AL37" s="28"/>
      <c r="AM37" s="2629"/>
      <c r="AN37" s="9"/>
      <c r="AO37" s="5"/>
      <c r="AP37" s="61">
        <f t="shared" si="21"/>
        <v>0</v>
      </c>
      <c r="AQ37" s="36"/>
      <c r="AR37" s="53"/>
      <c r="AS37" s="61">
        <f t="shared" si="22"/>
        <v>0</v>
      </c>
      <c r="AT37" s="36"/>
      <c r="AU37" s="27"/>
      <c r="AV37" s="61">
        <f t="shared" si="23"/>
        <v>0</v>
      </c>
      <c r="AW37" s="36">
        <v>44520</v>
      </c>
      <c r="AX37" s="27">
        <v>2883.88</v>
      </c>
      <c r="AY37" s="61">
        <f t="shared" si="24"/>
        <v>15.437535542394274</v>
      </c>
      <c r="AZ37" s="36"/>
      <c r="BA37" s="27"/>
      <c r="BB37" s="61">
        <f t="shared" si="25"/>
        <v>0</v>
      </c>
      <c r="BC37" s="36">
        <v>25914</v>
      </c>
      <c r="BD37" s="27">
        <v>2143.92</v>
      </c>
      <c r="BE37" s="61">
        <f t="shared" si="26"/>
        <v>12.087204746445762</v>
      </c>
      <c r="BF37" s="36"/>
      <c r="BG37" s="53"/>
      <c r="BH37" s="61">
        <f t="shared" si="27"/>
        <v>0</v>
      </c>
      <c r="BI37" s="36">
        <v>0</v>
      </c>
      <c r="BJ37" s="53">
        <v>0</v>
      </c>
      <c r="BK37" s="61">
        <f t="shared" si="28"/>
        <v>0</v>
      </c>
      <c r="BL37" s="52">
        <v>25547</v>
      </c>
      <c r="BM37" s="53">
        <v>1582.6200000000001</v>
      </c>
      <c r="BN37" s="61">
        <f t="shared" si="29"/>
        <v>16.14221986326471</v>
      </c>
      <c r="BO37" s="9"/>
      <c r="BP37" s="64"/>
      <c r="BQ37" s="61">
        <f t="shared" si="30"/>
        <v>0</v>
      </c>
      <c r="BR37" s="36"/>
      <c r="BS37" s="53"/>
      <c r="BT37" s="61">
        <f t="shared" si="31"/>
        <v>0</v>
      </c>
      <c r="BU37" s="36">
        <v>21800</v>
      </c>
      <c r="BV37" s="5">
        <v>2360</v>
      </c>
      <c r="BW37" s="28">
        <f t="shared" si="32"/>
        <v>9.2372881355932197</v>
      </c>
      <c r="BX37" s="26"/>
      <c r="BY37" s="5"/>
      <c r="BZ37" s="61">
        <f t="shared" si="33"/>
        <v>0</v>
      </c>
      <c r="CA37" s="36"/>
      <c r="CB37" s="5"/>
      <c r="CC37" s="61">
        <f t="shared" si="34"/>
        <v>0</v>
      </c>
      <c r="CD37" s="26"/>
      <c r="CE37" s="5"/>
      <c r="CF37" s="28">
        <f t="shared" si="35"/>
        <v>0</v>
      </c>
      <c r="CG37" s="150"/>
      <c r="CH37" s="1108">
        <v>928</v>
      </c>
      <c r="CI37" s="5"/>
      <c r="CJ37" s="5"/>
      <c r="CK37" s="5">
        <v>8650</v>
      </c>
      <c r="CL37" s="5"/>
      <c r="CM37" s="5">
        <f t="shared" si="113"/>
        <v>9578</v>
      </c>
      <c r="CN37" s="33"/>
      <c r="CO37" s="366"/>
      <c r="CQ37" s="4">
        <f t="shared" si="125"/>
        <v>0</v>
      </c>
      <c r="CR37" s="9">
        <f t="shared" si="125"/>
        <v>0</v>
      </c>
      <c r="CS37" s="5">
        <f t="shared" si="125"/>
        <v>0</v>
      </c>
      <c r="CT37" s="5">
        <f t="shared" si="125"/>
        <v>0</v>
      </c>
      <c r="CU37" s="5">
        <f t="shared" si="124"/>
        <v>0</v>
      </c>
      <c r="CV37" s="5">
        <f t="shared" si="124"/>
        <v>0</v>
      </c>
      <c r="CW37" s="5">
        <f t="shared" si="124"/>
        <v>0</v>
      </c>
      <c r="CX37" s="5">
        <f t="shared" si="124"/>
        <v>0</v>
      </c>
      <c r="CY37" s="5">
        <f t="shared" si="124"/>
        <v>7850.42</v>
      </c>
      <c r="CZ37" s="5">
        <f t="shared" si="124"/>
        <v>0</v>
      </c>
      <c r="DA37" s="5">
        <f t="shared" si="124"/>
        <v>1120</v>
      </c>
      <c r="DB37" s="12">
        <f t="shared" si="124"/>
        <v>0</v>
      </c>
      <c r="DC37" s="310">
        <f>SUM(CQ37:DB37,PV37,PW37)</f>
        <v>8970.42</v>
      </c>
      <c r="DD37" s="2695"/>
      <c r="DE37" s="9"/>
      <c r="DF37" s="9"/>
      <c r="DG37" s="5"/>
      <c r="DH37" s="5"/>
      <c r="DI37" s="5"/>
      <c r="DJ37" s="5"/>
      <c r="DK37" s="5"/>
      <c r="DL37" s="5"/>
      <c r="DM37" s="5">
        <v>2883.88</v>
      </c>
      <c r="DN37" s="5"/>
      <c r="DO37" s="5"/>
      <c r="DP37" s="12"/>
      <c r="DQ37" s="61">
        <f t="shared" si="38"/>
        <v>2883.88</v>
      </c>
      <c r="DR37" s="36"/>
      <c r="DS37" s="36"/>
      <c r="DT37" s="27"/>
      <c r="DU37" s="27"/>
      <c r="DV37" s="27"/>
      <c r="DW37" s="27"/>
      <c r="DX37" s="27"/>
      <c r="DY37" s="27"/>
      <c r="DZ37" s="27">
        <v>3726.54</v>
      </c>
      <c r="EA37" s="27"/>
      <c r="EB37" s="27"/>
      <c r="EC37" s="33"/>
      <c r="ED37" s="61">
        <f t="shared" si="39"/>
        <v>3726.54</v>
      </c>
      <c r="EE37" s="9"/>
      <c r="EF37" s="36"/>
      <c r="EG37" s="27"/>
      <c r="EH37" s="27"/>
      <c r="EI37" s="27"/>
      <c r="EJ37" s="27"/>
      <c r="EK37" s="27"/>
      <c r="EL37" s="27"/>
      <c r="EM37" s="27">
        <v>1240</v>
      </c>
      <c r="EN37" s="27"/>
      <c r="EO37" s="27">
        <v>1120</v>
      </c>
      <c r="EP37" s="33"/>
      <c r="EQ37" s="28">
        <f t="shared" si="40"/>
        <v>2360</v>
      </c>
      <c r="ER37" s="36"/>
      <c r="ES37" s="27"/>
      <c r="ET37" s="27"/>
      <c r="EU37" s="27"/>
      <c r="EV37" s="27"/>
      <c r="EW37" s="27"/>
      <c r="EX37" s="33">
        <f t="shared" si="41"/>
        <v>0</v>
      </c>
      <c r="EY37" s="2685"/>
      <c r="FA37" s="4">
        <f t="shared" si="42"/>
        <v>0</v>
      </c>
      <c r="FB37" s="5">
        <f t="shared" si="43"/>
        <v>0</v>
      </c>
      <c r="FC37" s="5">
        <f t="shared" si="44"/>
        <v>0</v>
      </c>
      <c r="FD37" s="12">
        <f t="shared" si="45"/>
        <v>0</v>
      </c>
      <c r="FE37" s="33"/>
      <c r="FF37" s="2674"/>
      <c r="FG37" s="9"/>
      <c r="FH37" s="5"/>
      <c r="FI37" s="5"/>
      <c r="FJ37" s="5"/>
      <c r="FK37" s="5"/>
      <c r="FL37" s="27"/>
      <c r="FM37" s="28">
        <f t="shared" si="46"/>
        <v>0</v>
      </c>
      <c r="FN37" s="36"/>
      <c r="FO37" s="27"/>
      <c r="FP37" s="27"/>
      <c r="FQ37" s="27"/>
      <c r="FR37" s="27"/>
      <c r="FS37" s="27"/>
      <c r="FT37" s="28">
        <f t="shared" si="47"/>
        <v>0</v>
      </c>
      <c r="FU37" s="36"/>
      <c r="FV37" s="36"/>
      <c r="FW37" s="27"/>
      <c r="FX37" s="27"/>
      <c r="FY37" s="27"/>
      <c r="FZ37" s="27"/>
      <c r="GA37" s="27"/>
      <c r="GB37" s="27"/>
      <c r="GC37" s="27"/>
      <c r="GD37" s="27"/>
      <c r="GE37" s="27"/>
      <c r="GF37" s="33"/>
      <c r="GG37" s="33">
        <f t="shared" si="48"/>
        <v>0</v>
      </c>
      <c r="GH37" s="2674"/>
      <c r="GJ37" s="4">
        <f t="shared" si="49"/>
        <v>1616.11</v>
      </c>
      <c r="GK37" s="64">
        <f t="shared" si="50"/>
        <v>4862.68</v>
      </c>
      <c r="GL37" s="53">
        <f t="shared" si="51"/>
        <v>4623.3999999999996</v>
      </c>
      <c r="GM37" s="53">
        <f t="shared" si="52"/>
        <v>11102.189999999999</v>
      </c>
      <c r="GN37" s="141"/>
      <c r="GO37" s="141"/>
      <c r="GP37" s="33"/>
      <c r="GQ37" s="2667"/>
      <c r="GR37" s="152">
        <v>5421.07</v>
      </c>
      <c r="GS37" s="27"/>
      <c r="GT37" s="27">
        <v>3040.78</v>
      </c>
      <c r="GU37" s="27">
        <v>2640.3399999999997</v>
      </c>
      <c r="GV37" s="33">
        <f t="shared" si="53"/>
        <v>11102.19</v>
      </c>
      <c r="GW37" s="2667"/>
      <c r="GX37" s="36"/>
      <c r="GY37" s="36"/>
      <c r="GZ37" s="27"/>
      <c r="HA37" s="27"/>
      <c r="HB37" s="27"/>
      <c r="HC37" s="27"/>
      <c r="HD37" s="27"/>
      <c r="HE37" s="27"/>
      <c r="HF37" s="27">
        <v>1204.81</v>
      </c>
      <c r="HG37" s="27"/>
      <c r="HH37" s="27">
        <v>411.3</v>
      </c>
      <c r="HI37" s="27"/>
      <c r="HJ37" s="27"/>
      <c r="HK37" s="27"/>
      <c r="HL37" s="28">
        <f t="shared" si="54"/>
        <v>1616.11</v>
      </c>
      <c r="HM37" s="36"/>
      <c r="HN37" s="27"/>
      <c r="HO37" s="27"/>
      <c r="HP37" s="27"/>
      <c r="HQ37" s="27"/>
      <c r="HR37" s="27"/>
      <c r="HS37" s="27"/>
      <c r="HT37" s="27"/>
      <c r="HU37" s="27"/>
      <c r="HV37" s="27"/>
      <c r="HW37" s="27"/>
      <c r="HX37" s="27"/>
      <c r="HY37" s="27"/>
      <c r="HZ37" s="27"/>
      <c r="IA37" s="33">
        <f t="shared" si="55"/>
        <v>0</v>
      </c>
      <c r="IB37" s="52"/>
      <c r="IC37" s="152"/>
      <c r="ID37" s="53"/>
      <c r="IE37" s="53"/>
      <c r="IF37" s="53"/>
      <c r="IG37" s="53"/>
      <c r="IH37" s="53">
        <v>744.33999999999992</v>
      </c>
      <c r="II37" s="53"/>
      <c r="IJ37" s="53">
        <v>4118.34</v>
      </c>
      <c r="IK37" s="53"/>
      <c r="IL37" s="53"/>
      <c r="IM37" s="53"/>
      <c r="IN37" s="53"/>
      <c r="IO37" s="53"/>
      <c r="IP37" s="61">
        <f t="shared" si="56"/>
        <v>4862.68</v>
      </c>
      <c r="IQ37" s="36"/>
      <c r="IR37" s="36"/>
      <c r="IS37" s="27"/>
      <c r="IT37" s="27"/>
      <c r="IU37" s="53"/>
      <c r="IV37" s="27"/>
      <c r="IW37" s="27"/>
      <c r="IX37" s="27"/>
      <c r="IY37" s="27">
        <v>2952</v>
      </c>
      <c r="IZ37" s="27"/>
      <c r="JA37" s="27">
        <v>1671.3999999999999</v>
      </c>
      <c r="JB37" s="27"/>
      <c r="JC37" s="27"/>
      <c r="JD37" s="27"/>
      <c r="JE37" s="33">
        <f t="shared" si="57"/>
        <v>4623.3999999999996</v>
      </c>
      <c r="JF37" s="2667"/>
      <c r="JH37" s="52">
        <v>6449.63</v>
      </c>
      <c r="JI37" s="152">
        <v>4652.5600000000004</v>
      </c>
      <c r="JJ37" s="53"/>
      <c r="JK37" s="53">
        <f t="shared" si="58"/>
        <v>11102.19</v>
      </c>
      <c r="JL37" s="33"/>
      <c r="JM37" s="2669"/>
      <c r="JN37" s="69"/>
      <c r="JO37" s="70"/>
      <c r="JP37" s="70"/>
      <c r="JQ37" s="70"/>
      <c r="JR37" s="70">
        <v>0.83196183601349216</v>
      </c>
      <c r="JS37" s="70">
        <v>0.16803816398650789</v>
      </c>
      <c r="JT37" s="70"/>
      <c r="JU37" s="71"/>
      <c r="JV37" s="69"/>
      <c r="JW37" s="70"/>
      <c r="JX37" s="70"/>
      <c r="JY37" s="70">
        <v>0.15998504049383566</v>
      </c>
      <c r="JZ37" s="70">
        <v>0.39236893237271525</v>
      </c>
      <c r="KA37" s="53">
        <v>0.44764602713344914</v>
      </c>
      <c r="KB37" s="70"/>
      <c r="KC37" s="71"/>
      <c r="KD37" s="69"/>
      <c r="KE37" s="70"/>
      <c r="KF37" s="70"/>
      <c r="KG37" s="70"/>
      <c r="KH37" s="70"/>
      <c r="KI37" s="70"/>
      <c r="KJ37" s="70"/>
      <c r="KK37" s="70"/>
      <c r="KL37" s="33"/>
      <c r="KM37" s="2669"/>
      <c r="KN37" s="36">
        <v>6922.5865787896946</v>
      </c>
      <c r="KO37" s="53">
        <v>1.1370281605751948</v>
      </c>
      <c r="KP37" s="53">
        <v>4.8252666267225885</v>
      </c>
      <c r="KQ37" s="53">
        <v>7.1080287597363689</v>
      </c>
      <c r="KR37" s="54">
        <v>10.853942588376272</v>
      </c>
      <c r="KS37" s="4">
        <v>6944</v>
      </c>
      <c r="KT37" s="64">
        <v>1.4</v>
      </c>
      <c r="KU37" s="64">
        <v>2.84</v>
      </c>
      <c r="KV37" s="64">
        <v>7.04</v>
      </c>
      <c r="KW37" s="482">
        <v>11.260383999999998</v>
      </c>
      <c r="KX37" s="36"/>
      <c r="KY37" s="53"/>
      <c r="KZ37" s="53"/>
      <c r="LA37" s="53"/>
      <c r="LB37" s="53"/>
      <c r="LC37" s="33"/>
      <c r="LD37" s="2669"/>
      <c r="LF37" s="26">
        <f t="shared" si="59"/>
        <v>0</v>
      </c>
      <c r="LG37" s="27">
        <f t="shared" si="59"/>
        <v>0</v>
      </c>
      <c r="LH37" s="27">
        <f t="shared" si="59"/>
        <v>0</v>
      </c>
      <c r="LI37" s="28">
        <f t="shared" si="60"/>
        <v>0</v>
      </c>
      <c r="LJ37" s="36"/>
      <c r="LK37" s="27"/>
      <c r="LL37" s="27">
        <v>5</v>
      </c>
      <c r="LM37" s="33"/>
      <c r="LN37" s="1041">
        <v>6.6</v>
      </c>
      <c r="LO37" s="486" t="s">
        <v>804</v>
      </c>
      <c r="LP37" s="2688"/>
      <c r="LQ37" s="26"/>
      <c r="LR37" s="36"/>
      <c r="LS37" s="27"/>
      <c r="LT37" s="27"/>
      <c r="LU37" s="27"/>
      <c r="LV37" s="1107">
        <f t="shared" si="61"/>
        <v>0</v>
      </c>
      <c r="LW37" s="36"/>
      <c r="LX37" s="36"/>
      <c r="LY37" s="27"/>
      <c r="LZ37" s="27"/>
      <c r="MA37" s="33"/>
      <c r="MB37" s="28">
        <f t="shared" si="62"/>
        <v>0</v>
      </c>
      <c r="MC37" s="26"/>
      <c r="MD37" s="36"/>
      <c r="ME37" s="27"/>
      <c r="MF37" s="27"/>
      <c r="MG37" s="27"/>
      <c r="MH37" s="28"/>
      <c r="MI37" s="36"/>
      <c r="MJ37" s="36"/>
      <c r="MK37" s="27"/>
      <c r="ML37" s="27"/>
      <c r="MM37" s="27"/>
      <c r="MN37" s="28"/>
      <c r="MO37" s="36"/>
      <c r="MP37" s="36"/>
      <c r="MQ37" s="27"/>
      <c r="MR37" s="27"/>
      <c r="MS37" s="27"/>
      <c r="MT37" s="33">
        <f t="shared" si="63"/>
        <v>0</v>
      </c>
      <c r="MU37" s="2688"/>
      <c r="MW37" s="26">
        <f t="shared" si="64"/>
        <v>86660.973785492213</v>
      </c>
      <c r="MX37" s="27">
        <f t="shared" si="65"/>
        <v>75097.511028039225</v>
      </c>
      <c r="MY37" s="27">
        <f t="shared" si="66"/>
        <v>23630.293116668145</v>
      </c>
      <c r="MZ37" s="28">
        <f t="shared" si="67"/>
        <v>435886.66665121424</v>
      </c>
      <c r="NA37" s="2621"/>
      <c r="NB37" s="23">
        <f t="shared" si="68"/>
        <v>70347.526254802418</v>
      </c>
      <c r="NC37" s="64">
        <f t="shared" si="69"/>
        <v>16313.447530689791</v>
      </c>
      <c r="ND37" s="60">
        <f t="shared" si="70"/>
        <v>0</v>
      </c>
      <c r="NE37" s="275">
        <f t="shared" si="4"/>
        <v>86660.973785492213</v>
      </c>
      <c r="NF37" s="26">
        <f t="shared" si="120"/>
        <v>0</v>
      </c>
      <c r="NG37" s="27">
        <f t="shared" si="120"/>
        <v>0</v>
      </c>
      <c r="NH37" s="27">
        <f t="shared" si="120"/>
        <v>0</v>
      </c>
      <c r="NI37" s="27">
        <f t="shared" si="120"/>
        <v>0</v>
      </c>
      <c r="NJ37" s="27">
        <f t="shared" si="120"/>
        <v>0</v>
      </c>
      <c r="NK37" s="33">
        <f t="shared" si="120"/>
        <v>0</v>
      </c>
      <c r="NL37" s="27">
        <f t="shared" si="120"/>
        <v>0</v>
      </c>
      <c r="NM37" s="152">
        <f t="shared" si="120"/>
        <v>0</v>
      </c>
      <c r="NN37" s="27">
        <f t="shared" si="120"/>
        <v>38378.082027032746</v>
      </c>
      <c r="NO37" s="27">
        <f t="shared" si="120"/>
        <v>0</v>
      </c>
      <c r="NP37" s="24">
        <f t="shared" si="114"/>
        <v>8756.5482322711578</v>
      </c>
      <c r="NQ37" s="24">
        <f t="shared" si="115"/>
        <v>14844.915013230799</v>
      </c>
      <c r="NR37" s="27">
        <f t="shared" si="0"/>
        <v>61979.545272534699</v>
      </c>
      <c r="NS37" s="27">
        <f t="shared" si="121"/>
        <v>0</v>
      </c>
      <c r="NT37" s="27">
        <f t="shared" si="121"/>
        <v>0</v>
      </c>
      <c r="NU37" s="27">
        <f t="shared" si="121"/>
        <v>0</v>
      </c>
      <c r="NV37" s="27">
        <f t="shared" si="121"/>
        <v>0</v>
      </c>
      <c r="NW37" s="27">
        <f t="shared" si="121"/>
        <v>0</v>
      </c>
      <c r="NX37" s="5">
        <f t="shared" si="121"/>
        <v>0</v>
      </c>
      <c r="NY37" s="27">
        <f t="shared" si="121"/>
        <v>5216.6846092523811</v>
      </c>
      <c r="NZ37" s="27">
        <f t="shared" si="121"/>
        <v>0</v>
      </c>
      <c r="OA37" s="27">
        <f t="shared" si="121"/>
        <v>4710.1299999999992</v>
      </c>
      <c r="OB37" s="27"/>
      <c r="OC37" s="24">
        <f t="shared" si="122"/>
        <v>1565.61197844705</v>
      </c>
      <c r="OD37" s="27">
        <f t="shared" si="122"/>
        <v>0</v>
      </c>
      <c r="OE37" s="28">
        <f t="shared" si="1"/>
        <v>11492.42658769943</v>
      </c>
      <c r="OF37" s="27">
        <f t="shared" si="123"/>
        <v>0</v>
      </c>
      <c r="OG37" s="27">
        <f t="shared" si="123"/>
        <v>0</v>
      </c>
      <c r="OH37" s="27">
        <f t="shared" si="123"/>
        <v>0</v>
      </c>
      <c r="OI37" s="27">
        <f t="shared" si="123"/>
        <v>0</v>
      </c>
      <c r="OJ37" s="27">
        <f t="shared" si="123"/>
        <v>0</v>
      </c>
      <c r="OK37" s="27">
        <f t="shared" si="123"/>
        <v>0</v>
      </c>
      <c r="OL37" s="24">
        <f t="shared" si="123"/>
        <v>0</v>
      </c>
      <c r="OM37" s="27">
        <f t="shared" si="123"/>
        <v>0</v>
      </c>
      <c r="ON37" s="24">
        <f t="shared" si="123"/>
        <v>774.54</v>
      </c>
      <c r="OO37" s="27">
        <f t="shared" si="123"/>
        <v>0</v>
      </c>
      <c r="OP37" s="27">
        <f t="shared" si="123"/>
        <v>850.9991678051008</v>
      </c>
      <c r="OQ37" s="27">
        <f t="shared" si="123"/>
        <v>0</v>
      </c>
      <c r="OR37" s="28">
        <f t="shared" si="2"/>
        <v>1625.5391678051008</v>
      </c>
      <c r="OS37" s="36"/>
      <c r="OT37" s="27"/>
      <c r="OU37" s="27"/>
      <c r="OV37" s="27"/>
      <c r="OW37" s="27"/>
      <c r="OX37" s="27"/>
      <c r="OY37" s="28">
        <f t="shared" si="75"/>
        <v>0</v>
      </c>
      <c r="OZ37" s="36">
        <f t="shared" si="76"/>
        <v>0</v>
      </c>
      <c r="PA37" s="27">
        <f t="shared" si="77"/>
        <v>0</v>
      </c>
      <c r="PB37" s="27">
        <f t="shared" si="78"/>
        <v>0</v>
      </c>
      <c r="PC37" s="27">
        <f t="shared" si="79"/>
        <v>0</v>
      </c>
      <c r="PD37" s="27">
        <f t="shared" si="80"/>
        <v>0</v>
      </c>
      <c r="PE37" s="27">
        <f t="shared" si="81"/>
        <v>0</v>
      </c>
      <c r="PF37" s="33">
        <f t="shared" si="3"/>
        <v>0</v>
      </c>
      <c r="PG37" s="2621"/>
      <c r="PI37" s="2"/>
      <c r="PJ37" s="3"/>
      <c r="PK37" s="3"/>
      <c r="PL37" s="3">
        <f t="shared" si="116"/>
        <v>0</v>
      </c>
      <c r="PM37" s="3">
        <f t="shared" si="82"/>
        <v>152.63999999999999</v>
      </c>
      <c r="PN37" s="11">
        <f t="shared" si="117"/>
        <v>23630.293116668145</v>
      </c>
      <c r="PO37" s="15"/>
      <c r="PP37" s="2615"/>
      <c r="PR37" s="4"/>
      <c r="PS37" s="9"/>
      <c r="PT37" s="9"/>
      <c r="PU37" s="9"/>
      <c r="PV37" s="9"/>
      <c r="PW37" s="9"/>
      <c r="PX37" s="8">
        <f t="shared" si="83"/>
        <v>0</v>
      </c>
      <c r="PY37" s="5">
        <f t="shared" si="84"/>
        <v>0</v>
      </c>
      <c r="PZ37" s="5"/>
      <c r="QA37" s="5"/>
      <c r="QB37" s="5"/>
      <c r="QC37" s="5"/>
      <c r="QD37" s="5"/>
      <c r="QE37" s="12">
        <f t="shared" si="85"/>
        <v>29749.381073161156</v>
      </c>
      <c r="QF37" s="420">
        <f t="shared" si="86"/>
        <v>404514.90557805309</v>
      </c>
      <c r="QG37" s="1106">
        <f t="shared" si="87"/>
        <v>1622.38</v>
      </c>
      <c r="QH37" s="484">
        <f t="shared" si="88"/>
        <v>5505.3678056100007</v>
      </c>
      <c r="QI37" s="12"/>
      <c r="QJ37" s="2615"/>
      <c r="QL37" s="139">
        <f t="shared" si="89"/>
        <v>0</v>
      </c>
      <c r="QM37" s="139" t="str">
        <f t="shared" si="90"/>
        <v/>
      </c>
      <c r="QO37" s="139">
        <f t="shared" si="91"/>
        <v>0</v>
      </c>
      <c r="QP37" s="139">
        <f t="shared" si="92"/>
        <v>0</v>
      </c>
      <c r="QR37" s="1">
        <f t="shared" si="93"/>
        <v>0</v>
      </c>
      <c r="QS37" s="1">
        <f t="shared" si="94"/>
        <v>0</v>
      </c>
      <c r="QT37" s="1">
        <f t="shared" si="95"/>
        <v>0</v>
      </c>
      <c r="QU37" s="1">
        <f t="shared" si="96"/>
        <v>0</v>
      </c>
      <c r="QV37" s="1">
        <f t="shared" si="97"/>
        <v>0</v>
      </c>
      <c r="QW37" s="1">
        <f t="shared" si="98"/>
        <v>0</v>
      </c>
      <c r="QY37" s="1">
        <f t="shared" si="99"/>
        <v>0</v>
      </c>
      <c r="QZ37" s="1">
        <f t="shared" si="100"/>
        <v>0</v>
      </c>
      <c r="RA37" s="1">
        <f t="shared" si="101"/>
        <v>0</v>
      </c>
      <c r="RB37" s="1">
        <f t="shared" si="102"/>
        <v>0</v>
      </c>
      <c r="RC37" s="1">
        <f t="shared" si="103"/>
        <v>0</v>
      </c>
      <c r="RD37" s="1">
        <f t="shared" si="104"/>
        <v>0</v>
      </c>
      <c r="RG37" s="1">
        <v>28</v>
      </c>
      <c r="RH37" s="1">
        <f t="shared" si="126"/>
        <v>50985.897209717099</v>
      </c>
      <c r="RI37" s="1">
        <f t="shared" si="126"/>
        <v>2540.8897804837115</v>
      </c>
      <c r="RJ37" s="1">
        <f t="shared" si="126"/>
        <v>13404.263703387322</v>
      </c>
      <c r="RK37" s="89">
        <f t="shared" si="5"/>
        <v>66931.050693588128</v>
      </c>
      <c r="RL37" s="1033">
        <v>28</v>
      </c>
      <c r="RM37" s="1098">
        <f t="shared" si="118"/>
        <v>0</v>
      </c>
      <c r="RN37" s="1098">
        <f t="shared" si="106"/>
        <v>0</v>
      </c>
      <c r="RO37" s="1097">
        <f t="shared" si="106"/>
        <v>0</v>
      </c>
      <c r="RP37" s="1097">
        <f t="shared" si="107"/>
        <v>6610.42</v>
      </c>
      <c r="RQ37" s="1046"/>
      <c r="RR37" s="1046" t="s">
        <v>805</v>
      </c>
      <c r="RU37" s="421">
        <v>28</v>
      </c>
      <c r="RV37" s="1095">
        <f t="shared" si="108"/>
        <v>11102.19</v>
      </c>
      <c r="RW37" s="1050" t="s">
        <v>806</v>
      </c>
      <c r="RX37" s="1048"/>
      <c r="RY37" s="1090"/>
      <c r="RZ37" s="1090">
        <f t="shared" si="109"/>
        <v>0</v>
      </c>
      <c r="SA37" s="1090"/>
      <c r="SB37" s="1090">
        <f t="shared" si="110"/>
        <v>0</v>
      </c>
      <c r="SD37" s="1">
        <v>28</v>
      </c>
      <c r="SE37" s="1">
        <f t="shared" si="111"/>
        <v>0</v>
      </c>
    </row>
    <row r="38" spans="1:500" s="1" customFormat="1">
      <c r="B38" s="471">
        <v>29</v>
      </c>
      <c r="C38" s="4">
        <f t="shared" si="6"/>
        <v>0</v>
      </c>
      <c r="D38" s="64">
        <f t="shared" si="112"/>
        <v>0</v>
      </c>
      <c r="E38" s="61">
        <f t="shared" si="7"/>
        <v>0</v>
      </c>
      <c r="F38" s="870"/>
      <c r="G38" s="870"/>
      <c r="H38" s="52"/>
      <c r="I38" s="61"/>
      <c r="J38" s="52"/>
      <c r="K38" s="54"/>
      <c r="L38" s="52"/>
      <c r="M38" s="61"/>
      <c r="N38" s="2629"/>
      <c r="O38" s="4">
        <f t="shared" si="8"/>
        <v>0</v>
      </c>
      <c r="P38" s="5">
        <f t="shared" si="9"/>
        <v>0</v>
      </c>
      <c r="Q38" s="64">
        <f t="shared" si="10"/>
        <v>0</v>
      </c>
      <c r="R38" s="33"/>
      <c r="S38" s="26">
        <f t="shared" si="11"/>
        <v>0</v>
      </c>
      <c r="T38" s="27">
        <f t="shared" si="12"/>
        <v>0</v>
      </c>
      <c r="U38" s="53">
        <f t="shared" si="13"/>
        <v>0</v>
      </c>
      <c r="V38" s="28"/>
      <c r="W38" s="26">
        <f t="shared" si="14"/>
        <v>0</v>
      </c>
      <c r="X38" s="5">
        <f t="shared" si="14"/>
        <v>0</v>
      </c>
      <c r="Y38" s="53">
        <f t="shared" si="15"/>
        <v>0</v>
      </c>
      <c r="Z38" s="33"/>
      <c r="AA38" s="26">
        <f t="shared" si="16"/>
        <v>0</v>
      </c>
      <c r="AB38" s="27">
        <f t="shared" si="17"/>
        <v>0</v>
      </c>
      <c r="AC38" s="53">
        <f t="shared" si="18"/>
        <v>0</v>
      </c>
      <c r="AD38" s="28"/>
      <c r="AE38" s="36"/>
      <c r="AF38" s="36"/>
      <c r="AG38" s="53">
        <f t="shared" si="19"/>
        <v>0</v>
      </c>
      <c r="AH38" s="28"/>
      <c r="AI38" s="23"/>
      <c r="AJ38" s="27"/>
      <c r="AK38" s="53">
        <f t="shared" si="20"/>
        <v>0</v>
      </c>
      <c r="AL38" s="28"/>
      <c r="AM38" s="2629"/>
      <c r="AN38" s="9"/>
      <c r="AO38" s="5"/>
      <c r="AP38" s="61">
        <f t="shared" si="21"/>
        <v>0</v>
      </c>
      <c r="AQ38" s="36"/>
      <c r="AR38" s="53"/>
      <c r="AS38" s="61">
        <f t="shared" si="22"/>
        <v>0</v>
      </c>
      <c r="AT38" s="36"/>
      <c r="AU38" s="27"/>
      <c r="AV38" s="61">
        <f t="shared" si="23"/>
        <v>0</v>
      </c>
      <c r="AW38" s="36"/>
      <c r="AX38" s="27"/>
      <c r="AY38" s="61">
        <f t="shared" si="24"/>
        <v>0</v>
      </c>
      <c r="AZ38" s="36"/>
      <c r="BA38" s="27"/>
      <c r="BB38" s="61">
        <f t="shared" si="25"/>
        <v>0</v>
      </c>
      <c r="BC38" s="36"/>
      <c r="BD38" s="27"/>
      <c r="BE38" s="61">
        <f t="shared" si="26"/>
        <v>0</v>
      </c>
      <c r="BF38" s="36"/>
      <c r="BG38" s="53"/>
      <c r="BH38" s="61">
        <f t="shared" si="27"/>
        <v>0</v>
      </c>
      <c r="BI38" s="36">
        <v>0</v>
      </c>
      <c r="BJ38" s="53">
        <v>0</v>
      </c>
      <c r="BK38" s="61" t="s">
        <v>731</v>
      </c>
      <c r="BL38" s="52"/>
      <c r="BM38" s="53"/>
      <c r="BN38" s="61">
        <f t="shared" si="29"/>
        <v>0</v>
      </c>
      <c r="BO38" s="36"/>
      <c r="BP38" s="53"/>
      <c r="BQ38" s="61">
        <f t="shared" si="30"/>
        <v>0</v>
      </c>
      <c r="BR38" s="36"/>
      <c r="BS38" s="27"/>
      <c r="BT38" s="61">
        <f t="shared" si="31"/>
        <v>0</v>
      </c>
      <c r="BU38" s="36"/>
      <c r="BV38" s="5"/>
      <c r="BW38" s="28">
        <f t="shared" si="32"/>
        <v>0</v>
      </c>
      <c r="BX38" s="26"/>
      <c r="BY38" s="5"/>
      <c r="BZ38" s="61">
        <f t="shared" si="33"/>
        <v>0</v>
      </c>
      <c r="CA38" s="36"/>
      <c r="CB38" s="5"/>
      <c r="CC38" s="61">
        <f t="shared" si="34"/>
        <v>0</v>
      </c>
      <c r="CD38" s="26"/>
      <c r="CE38" s="5"/>
      <c r="CF38" s="28">
        <f t="shared" si="35"/>
        <v>0</v>
      </c>
      <c r="CG38" s="150"/>
      <c r="CH38" s="9">
        <v>0</v>
      </c>
      <c r="CI38" s="5"/>
      <c r="CJ38" s="5"/>
      <c r="CK38" s="5"/>
      <c r="CL38" s="5"/>
      <c r="CM38" s="5">
        <f t="shared" si="113"/>
        <v>0</v>
      </c>
      <c r="CN38" s="33"/>
      <c r="CO38" s="366"/>
      <c r="CQ38" s="4">
        <f t="shared" si="125"/>
        <v>0</v>
      </c>
      <c r="CR38" s="9">
        <f t="shared" si="125"/>
        <v>0</v>
      </c>
      <c r="CS38" s="5">
        <f t="shared" si="125"/>
        <v>0</v>
      </c>
      <c r="CT38" s="5">
        <f t="shared" si="125"/>
        <v>0</v>
      </c>
      <c r="CU38" s="5">
        <f t="shared" si="124"/>
        <v>0</v>
      </c>
      <c r="CV38" s="5">
        <f t="shared" si="124"/>
        <v>0</v>
      </c>
      <c r="CW38" s="5">
        <f t="shared" si="124"/>
        <v>0</v>
      </c>
      <c r="CX38" s="5">
        <f t="shared" si="124"/>
        <v>0</v>
      </c>
      <c r="CY38" s="5">
        <f t="shared" si="124"/>
        <v>0</v>
      </c>
      <c r="CZ38" s="5">
        <f t="shared" si="124"/>
        <v>0</v>
      </c>
      <c r="DA38" s="5">
        <f t="shared" si="124"/>
        <v>0</v>
      </c>
      <c r="DB38" s="12">
        <f t="shared" si="124"/>
        <v>0</v>
      </c>
      <c r="DC38" s="310">
        <f>SUM(CQ38:DB38,PV38)</f>
        <v>0</v>
      </c>
      <c r="DD38" s="2695"/>
      <c r="DE38" s="9"/>
      <c r="DF38" s="9"/>
      <c r="DG38" s="5"/>
      <c r="DH38" s="5"/>
      <c r="DI38" s="5"/>
      <c r="DJ38" s="5"/>
      <c r="DK38" s="5"/>
      <c r="DL38" s="5"/>
      <c r="DM38" s="5"/>
      <c r="DN38" s="5"/>
      <c r="DO38" s="5"/>
      <c r="DP38" s="12"/>
      <c r="DQ38" s="61">
        <f t="shared" si="38"/>
        <v>0</v>
      </c>
      <c r="DR38" s="36"/>
      <c r="DS38" s="36"/>
      <c r="DT38" s="27"/>
      <c r="DU38" s="27"/>
      <c r="DV38" s="27"/>
      <c r="DW38" s="27"/>
      <c r="DX38" s="27"/>
      <c r="DY38" s="27"/>
      <c r="DZ38" s="27"/>
      <c r="EA38" s="27"/>
      <c r="EB38" s="27"/>
      <c r="EC38" s="33"/>
      <c r="ED38" s="61">
        <f t="shared" si="39"/>
        <v>0</v>
      </c>
      <c r="EE38" s="36"/>
      <c r="EF38" s="36"/>
      <c r="EG38" s="27"/>
      <c r="EH38" s="27"/>
      <c r="EI38" s="27"/>
      <c r="EJ38" s="27"/>
      <c r="EK38" s="27"/>
      <c r="EL38" s="27"/>
      <c r="EM38" s="27"/>
      <c r="EN38" s="27"/>
      <c r="EO38" s="27"/>
      <c r="EP38" s="33"/>
      <c r="EQ38" s="28">
        <f t="shared" si="40"/>
        <v>0</v>
      </c>
      <c r="ER38" s="36"/>
      <c r="ES38" s="27"/>
      <c r="ET38" s="27"/>
      <c r="EU38" s="27"/>
      <c r="EV38" s="27"/>
      <c r="EW38" s="27"/>
      <c r="EX38" s="33">
        <f t="shared" si="41"/>
        <v>0</v>
      </c>
      <c r="EY38" s="2685"/>
      <c r="FA38" s="4">
        <f t="shared" si="42"/>
        <v>0</v>
      </c>
      <c r="FB38" s="5">
        <f t="shared" si="43"/>
        <v>0</v>
      </c>
      <c r="FC38" s="5">
        <f t="shared" si="44"/>
        <v>0</v>
      </c>
      <c r="FD38" s="12">
        <f t="shared" si="45"/>
        <v>0</v>
      </c>
      <c r="FE38" s="33"/>
      <c r="FF38" s="2674"/>
      <c r="FG38" s="9"/>
      <c r="FH38" s="5"/>
      <c r="FI38" s="5"/>
      <c r="FJ38" s="5"/>
      <c r="FK38" s="5"/>
      <c r="FL38" s="27"/>
      <c r="FM38" s="28">
        <f t="shared" si="46"/>
        <v>0</v>
      </c>
      <c r="FN38" s="36"/>
      <c r="FO38" s="27"/>
      <c r="FP38" s="27"/>
      <c r="FQ38" s="27"/>
      <c r="FR38" s="27"/>
      <c r="FS38" s="27"/>
      <c r="FT38" s="28">
        <f t="shared" si="47"/>
        <v>0</v>
      </c>
      <c r="FU38" s="36"/>
      <c r="FV38" s="36"/>
      <c r="FW38" s="27"/>
      <c r="FX38" s="27"/>
      <c r="FY38" s="27"/>
      <c r="FZ38" s="27"/>
      <c r="GA38" s="27"/>
      <c r="GB38" s="27"/>
      <c r="GC38" s="27"/>
      <c r="GD38" s="27"/>
      <c r="GE38" s="27"/>
      <c r="GF38" s="33"/>
      <c r="GG38" s="33">
        <f t="shared" si="48"/>
        <v>0</v>
      </c>
      <c r="GH38" s="2674"/>
      <c r="GJ38" s="4">
        <f t="shared" si="49"/>
        <v>0</v>
      </c>
      <c r="GK38" s="64">
        <f t="shared" si="50"/>
        <v>0</v>
      </c>
      <c r="GL38" s="53">
        <f t="shared" si="51"/>
        <v>0</v>
      </c>
      <c r="GM38" s="53">
        <f t="shared" si="52"/>
        <v>0</v>
      </c>
      <c r="GN38" s="141"/>
      <c r="GO38" s="141"/>
      <c r="GP38" s="33"/>
      <c r="GQ38" s="2667"/>
      <c r="GR38" s="152"/>
      <c r="GS38" s="27"/>
      <c r="GT38" s="27"/>
      <c r="GU38" s="27"/>
      <c r="GV38" s="33">
        <f t="shared" si="53"/>
        <v>0</v>
      </c>
      <c r="GW38" s="2667"/>
      <c r="GX38" s="36"/>
      <c r="GY38" s="36"/>
      <c r="GZ38" s="27"/>
      <c r="HA38" s="27"/>
      <c r="HB38" s="27"/>
      <c r="HC38" s="27"/>
      <c r="HD38" s="27"/>
      <c r="HE38" s="27"/>
      <c r="HF38" s="27"/>
      <c r="HG38" s="27"/>
      <c r="HH38" s="27"/>
      <c r="HI38" s="27"/>
      <c r="HJ38" s="27"/>
      <c r="HK38" s="27"/>
      <c r="HL38" s="28">
        <f t="shared" si="54"/>
        <v>0</v>
      </c>
      <c r="HM38" s="36"/>
      <c r="HN38" s="27"/>
      <c r="HO38" s="27"/>
      <c r="HP38" s="27"/>
      <c r="HQ38" s="27"/>
      <c r="HR38" s="27"/>
      <c r="HS38" s="27"/>
      <c r="HT38" s="27"/>
      <c r="HU38" s="27"/>
      <c r="HV38" s="27"/>
      <c r="HW38" s="27"/>
      <c r="HX38" s="27"/>
      <c r="HY38" s="27"/>
      <c r="HZ38" s="27"/>
      <c r="IA38" s="33">
        <f t="shared" si="55"/>
        <v>0</v>
      </c>
      <c r="IB38" s="52"/>
      <c r="IC38" s="152"/>
      <c r="ID38" s="53"/>
      <c r="IE38" s="53"/>
      <c r="IF38" s="53"/>
      <c r="IG38" s="53"/>
      <c r="IH38" s="53"/>
      <c r="II38" s="53"/>
      <c r="IJ38" s="53"/>
      <c r="IK38" s="53"/>
      <c r="IL38" s="53"/>
      <c r="IM38" s="53"/>
      <c r="IN38" s="53"/>
      <c r="IO38" s="53"/>
      <c r="IP38" s="61">
        <f t="shared" si="56"/>
        <v>0</v>
      </c>
      <c r="IQ38" s="36"/>
      <c r="IR38" s="36"/>
      <c r="IS38" s="27"/>
      <c r="IT38" s="27"/>
      <c r="IU38" s="53"/>
      <c r="IV38" s="53"/>
      <c r="IW38" s="53"/>
      <c r="IX38" s="53"/>
      <c r="IY38" s="27"/>
      <c r="IZ38" s="53"/>
      <c r="JA38" s="27"/>
      <c r="JB38" s="27"/>
      <c r="JC38" s="27"/>
      <c r="JD38" s="27"/>
      <c r="JE38" s="33">
        <f t="shared" si="57"/>
        <v>0</v>
      </c>
      <c r="JF38" s="2667"/>
      <c r="JH38" s="52"/>
      <c r="JI38" s="152"/>
      <c r="JJ38" s="27"/>
      <c r="JK38" s="53">
        <f t="shared" si="58"/>
        <v>0</v>
      </c>
      <c r="JL38" s="33"/>
      <c r="JM38" s="2669"/>
      <c r="JN38" s="69"/>
      <c r="JO38" s="70"/>
      <c r="JP38" s="70"/>
      <c r="JQ38" s="70"/>
      <c r="JR38" s="70"/>
      <c r="JS38" s="70"/>
      <c r="JT38" s="70"/>
      <c r="JU38" s="71"/>
      <c r="JV38" s="69"/>
      <c r="JW38" s="70"/>
      <c r="JX38" s="70"/>
      <c r="JY38" s="70"/>
      <c r="JZ38" s="70"/>
      <c r="KA38" s="70"/>
      <c r="KB38" s="70"/>
      <c r="KC38" s="71"/>
      <c r="KD38" s="69"/>
      <c r="KE38" s="70"/>
      <c r="KF38" s="70"/>
      <c r="KG38" s="70"/>
      <c r="KH38" s="70"/>
      <c r="KI38" s="70"/>
      <c r="KJ38" s="70"/>
      <c r="KK38" s="70"/>
      <c r="KL38" s="33"/>
      <c r="KM38" s="2669"/>
      <c r="KN38" s="36"/>
      <c r="KO38" s="53"/>
      <c r="KP38" s="53"/>
      <c r="KQ38" s="53"/>
      <c r="KR38" s="54"/>
      <c r="KS38" s="4"/>
      <c r="KT38" s="64"/>
      <c r="KU38" s="64"/>
      <c r="KV38" s="64"/>
      <c r="KW38" s="482"/>
      <c r="KX38" s="36"/>
      <c r="KY38" s="53"/>
      <c r="KZ38" s="53"/>
      <c r="LA38" s="53"/>
      <c r="LB38" s="53"/>
      <c r="LC38" s="33"/>
      <c r="LD38" s="2669"/>
      <c r="LF38" s="26">
        <f t="shared" si="59"/>
        <v>0</v>
      </c>
      <c r="LG38" s="27">
        <f t="shared" si="59"/>
        <v>0</v>
      </c>
      <c r="LH38" s="27">
        <f t="shared" si="59"/>
        <v>0</v>
      </c>
      <c r="LI38" s="28">
        <f t="shared" si="60"/>
        <v>0</v>
      </c>
      <c r="LJ38" s="36"/>
      <c r="LK38" s="27"/>
      <c r="LL38" s="27"/>
      <c r="LM38" s="33"/>
      <c r="LN38" s="1041"/>
      <c r="LO38" s="486"/>
      <c r="LP38" s="2688"/>
      <c r="LQ38" s="26"/>
      <c r="LR38" s="36"/>
      <c r="LS38" s="27"/>
      <c r="LT38" s="27"/>
      <c r="LU38" s="27"/>
      <c r="LV38" s="1107">
        <f t="shared" si="61"/>
        <v>0</v>
      </c>
      <c r="LW38" s="36"/>
      <c r="LX38" s="36"/>
      <c r="LY38" s="27"/>
      <c r="LZ38" s="27"/>
      <c r="MA38" s="33"/>
      <c r="MB38" s="28">
        <f t="shared" si="62"/>
        <v>0</v>
      </c>
      <c r="MC38" s="26"/>
      <c r="MD38" s="36"/>
      <c r="ME38" s="27"/>
      <c r="MF38" s="27"/>
      <c r="MG38" s="27"/>
      <c r="MH38" s="28"/>
      <c r="MI38" s="36"/>
      <c r="MJ38" s="36"/>
      <c r="MK38" s="27"/>
      <c r="ML38" s="27"/>
      <c r="MM38" s="27"/>
      <c r="MN38" s="28"/>
      <c r="MO38" s="36"/>
      <c r="MP38" s="36"/>
      <c r="MQ38" s="27"/>
      <c r="MR38" s="27"/>
      <c r="MS38" s="27"/>
      <c r="MT38" s="33">
        <f t="shared" si="63"/>
        <v>0</v>
      </c>
      <c r="MU38" s="2688"/>
      <c r="MW38" s="26">
        <f t="shared" si="64"/>
        <v>86660.973785492213</v>
      </c>
      <c r="MX38" s="27">
        <f t="shared" si="65"/>
        <v>75097.511028039225</v>
      </c>
      <c r="MY38" s="27">
        <f t="shared" si="66"/>
        <v>23630.293116668145</v>
      </c>
      <c r="MZ38" s="28">
        <f t="shared" si="67"/>
        <v>435886.66665121424</v>
      </c>
      <c r="NA38" s="2621"/>
      <c r="NB38" s="23">
        <f t="shared" si="68"/>
        <v>70347.526254802418</v>
      </c>
      <c r="NC38" s="64">
        <f t="shared" si="69"/>
        <v>16313.447530689791</v>
      </c>
      <c r="ND38" s="60">
        <f t="shared" si="70"/>
        <v>0</v>
      </c>
      <c r="NE38" s="275">
        <f t="shared" si="4"/>
        <v>86660.973785492213</v>
      </c>
      <c r="NF38" s="26">
        <f t="shared" si="120"/>
        <v>0</v>
      </c>
      <c r="NG38" s="27">
        <f t="shared" si="120"/>
        <v>0</v>
      </c>
      <c r="NH38" s="27">
        <f t="shared" si="120"/>
        <v>0</v>
      </c>
      <c r="NI38" s="27">
        <f t="shared" si="120"/>
        <v>0</v>
      </c>
      <c r="NJ38" s="27">
        <f t="shared" si="120"/>
        <v>0</v>
      </c>
      <c r="NK38" s="33">
        <f t="shared" si="120"/>
        <v>0</v>
      </c>
      <c r="NL38" s="27">
        <f t="shared" si="120"/>
        <v>0</v>
      </c>
      <c r="NM38" s="152">
        <f t="shared" si="120"/>
        <v>0</v>
      </c>
      <c r="NN38" s="27">
        <f t="shared" si="120"/>
        <v>38378.082027032746</v>
      </c>
      <c r="NO38" s="27">
        <f t="shared" si="120"/>
        <v>0</v>
      </c>
      <c r="NP38" s="24">
        <f t="shared" si="114"/>
        <v>8756.5482322711578</v>
      </c>
      <c r="NQ38" s="24">
        <f t="shared" si="115"/>
        <v>14844.915013230799</v>
      </c>
      <c r="NR38" s="27">
        <f t="shared" si="0"/>
        <v>61979.545272534699</v>
      </c>
      <c r="NS38" s="27">
        <f t="shared" si="121"/>
        <v>0</v>
      </c>
      <c r="NT38" s="27">
        <f t="shared" si="121"/>
        <v>0</v>
      </c>
      <c r="NU38" s="27">
        <f t="shared" si="121"/>
        <v>0</v>
      </c>
      <c r="NV38" s="27">
        <f t="shared" si="121"/>
        <v>0</v>
      </c>
      <c r="NW38" s="5">
        <f t="shared" si="121"/>
        <v>0</v>
      </c>
      <c r="NX38" s="5">
        <f t="shared" si="121"/>
        <v>0</v>
      </c>
      <c r="NY38" s="27">
        <f t="shared" si="121"/>
        <v>5216.6846092523811</v>
      </c>
      <c r="NZ38" s="27">
        <f t="shared" si="121"/>
        <v>0</v>
      </c>
      <c r="OA38" s="27">
        <f t="shared" si="121"/>
        <v>4710.1299999999992</v>
      </c>
      <c r="OB38" s="27"/>
      <c r="OC38" s="24">
        <f t="shared" si="122"/>
        <v>1565.61197844705</v>
      </c>
      <c r="OD38" s="27">
        <f t="shared" si="122"/>
        <v>0</v>
      </c>
      <c r="OE38" s="28">
        <f t="shared" si="1"/>
        <v>11492.42658769943</v>
      </c>
      <c r="OF38" s="27">
        <f t="shared" si="123"/>
        <v>0</v>
      </c>
      <c r="OG38" s="27">
        <f t="shared" si="123"/>
        <v>0</v>
      </c>
      <c r="OH38" s="27">
        <f t="shared" si="123"/>
        <v>0</v>
      </c>
      <c r="OI38" s="27">
        <f t="shared" si="123"/>
        <v>0</v>
      </c>
      <c r="OJ38" s="27">
        <f t="shared" si="123"/>
        <v>0</v>
      </c>
      <c r="OK38" s="27">
        <f t="shared" si="123"/>
        <v>0</v>
      </c>
      <c r="OL38" s="24">
        <f t="shared" si="123"/>
        <v>0</v>
      </c>
      <c r="OM38" s="27">
        <f t="shared" si="123"/>
        <v>0</v>
      </c>
      <c r="ON38" s="24">
        <f t="shared" si="123"/>
        <v>774.54</v>
      </c>
      <c r="OO38" s="27">
        <f t="shared" si="123"/>
        <v>0</v>
      </c>
      <c r="OP38" s="27">
        <f t="shared" si="123"/>
        <v>850.9991678051008</v>
      </c>
      <c r="OQ38" s="27">
        <f t="shared" si="123"/>
        <v>0</v>
      </c>
      <c r="OR38" s="28">
        <f t="shared" si="2"/>
        <v>1625.5391678051008</v>
      </c>
      <c r="OS38" s="36"/>
      <c r="OT38" s="27"/>
      <c r="OU38" s="27"/>
      <c r="OV38" s="27"/>
      <c r="OW38" s="27"/>
      <c r="OX38" s="27"/>
      <c r="OY38" s="28">
        <f t="shared" si="75"/>
        <v>0</v>
      </c>
      <c r="OZ38" s="36">
        <f t="shared" si="76"/>
        <v>0</v>
      </c>
      <c r="PA38" s="27">
        <f t="shared" si="77"/>
        <v>0</v>
      </c>
      <c r="PB38" s="27">
        <f t="shared" si="78"/>
        <v>0</v>
      </c>
      <c r="PC38" s="27">
        <f t="shared" si="79"/>
        <v>0</v>
      </c>
      <c r="PD38" s="27">
        <f t="shared" si="80"/>
        <v>0</v>
      </c>
      <c r="PE38" s="27">
        <f t="shared" si="81"/>
        <v>0</v>
      </c>
      <c r="PF38" s="33">
        <f t="shared" si="3"/>
        <v>0</v>
      </c>
      <c r="PG38" s="2621"/>
      <c r="PI38" s="2"/>
      <c r="PJ38" s="3"/>
      <c r="PK38" s="3"/>
      <c r="PL38" s="3">
        <f t="shared" si="116"/>
        <v>0</v>
      </c>
      <c r="PM38" s="3">
        <f t="shared" si="82"/>
        <v>152.63999999999999</v>
      </c>
      <c r="PN38" s="11">
        <f t="shared" si="117"/>
        <v>23630.293116668145</v>
      </c>
      <c r="PO38" s="15"/>
      <c r="PP38" s="2615"/>
      <c r="PR38" s="4"/>
      <c r="PS38" s="9"/>
      <c r="PT38" s="9"/>
      <c r="PU38" s="9"/>
      <c r="PV38" s="9"/>
      <c r="PW38" s="9"/>
      <c r="PX38" s="8">
        <f t="shared" si="83"/>
        <v>0</v>
      </c>
      <c r="PY38" s="5">
        <f t="shared" si="84"/>
        <v>0</v>
      </c>
      <c r="PZ38" s="5"/>
      <c r="QA38" s="5"/>
      <c r="QB38" s="5"/>
      <c r="QC38" s="5"/>
      <c r="QD38" s="5"/>
      <c r="QE38" s="12">
        <f t="shared" si="85"/>
        <v>29749.381073161156</v>
      </c>
      <c r="QF38" s="420">
        <f t="shared" si="86"/>
        <v>404514.90557805309</v>
      </c>
      <c r="QG38" s="1106">
        <f t="shared" si="87"/>
        <v>1622.38</v>
      </c>
      <c r="QH38" s="484">
        <f t="shared" si="88"/>
        <v>5505.3678056100007</v>
      </c>
      <c r="QI38" s="12"/>
      <c r="QJ38" s="2615"/>
      <c r="QL38" s="139" t="str">
        <f t="shared" si="89"/>
        <v/>
      </c>
      <c r="QM38" s="139" t="str">
        <f t="shared" si="90"/>
        <v/>
      </c>
      <c r="QO38" s="139" t="str">
        <f t="shared" si="91"/>
        <v/>
      </c>
      <c r="QP38" s="139" t="str">
        <f t="shared" si="92"/>
        <v/>
      </c>
      <c r="QR38" s="1">
        <f t="shared" si="93"/>
        <v>0</v>
      </c>
      <c r="QS38" s="1">
        <f t="shared" si="94"/>
        <v>0</v>
      </c>
      <c r="QT38" s="1">
        <f t="shared" si="95"/>
        <v>0</v>
      </c>
      <c r="QU38" s="1">
        <f t="shared" si="96"/>
        <v>0</v>
      </c>
      <c r="QV38" s="1">
        <f t="shared" si="97"/>
        <v>0</v>
      </c>
      <c r="QW38" s="1">
        <f t="shared" si="98"/>
        <v>0</v>
      </c>
      <c r="QY38" s="1">
        <f t="shared" si="99"/>
        <v>0</v>
      </c>
      <c r="QZ38" s="1">
        <f t="shared" si="100"/>
        <v>0</v>
      </c>
      <c r="RA38" s="1">
        <f t="shared" si="101"/>
        <v>0</v>
      </c>
      <c r="RB38" s="1">
        <f t="shared" si="102"/>
        <v>0</v>
      </c>
      <c r="RC38" s="1">
        <f t="shared" si="103"/>
        <v>0</v>
      </c>
      <c r="RD38" s="1">
        <f t="shared" si="104"/>
        <v>0</v>
      </c>
      <c r="RG38" s="1">
        <v>29</v>
      </c>
      <c r="RH38" s="1">
        <f t="shared" si="126"/>
        <v>50985.897209717099</v>
      </c>
      <c r="RI38" s="1">
        <f t="shared" si="126"/>
        <v>2540.8897804837115</v>
      </c>
      <c r="RJ38" s="1">
        <f t="shared" si="126"/>
        <v>13404.263703387322</v>
      </c>
      <c r="RK38" s="89">
        <f t="shared" si="5"/>
        <v>66931.050693588128</v>
      </c>
      <c r="RL38" s="1033">
        <v>29</v>
      </c>
      <c r="RM38" s="1098">
        <f t="shared" si="118"/>
        <v>0</v>
      </c>
      <c r="RN38" s="1098">
        <f t="shared" si="106"/>
        <v>0</v>
      </c>
      <c r="RO38" s="1097">
        <f t="shared" si="106"/>
        <v>0</v>
      </c>
      <c r="RP38" s="1097">
        <f t="shared" si="107"/>
        <v>0</v>
      </c>
      <c r="RQ38" s="1094"/>
      <c r="RR38" s="1094"/>
      <c r="RU38" s="421">
        <v>29</v>
      </c>
      <c r="RV38" s="1095">
        <f t="shared" si="108"/>
        <v>0</v>
      </c>
      <c r="RW38" s="1096"/>
      <c r="RY38" s="1090"/>
      <c r="RZ38" s="1090">
        <f t="shared" si="109"/>
        <v>0</v>
      </c>
      <c r="SA38" s="1090"/>
      <c r="SB38" s="1090">
        <f t="shared" si="110"/>
        <v>0</v>
      </c>
      <c r="SD38" s="1">
        <v>29</v>
      </c>
      <c r="SE38" s="1">
        <f t="shared" si="111"/>
        <v>0</v>
      </c>
    </row>
    <row r="39" spans="1:500" s="1" customFormat="1">
      <c r="B39" s="471">
        <v>30</v>
      </c>
      <c r="C39" s="4">
        <f t="shared" si="6"/>
        <v>0</v>
      </c>
      <c r="D39" s="64">
        <f t="shared" si="112"/>
        <v>0</v>
      </c>
      <c r="E39" s="61">
        <f t="shared" si="7"/>
        <v>0</v>
      </c>
      <c r="F39" s="870"/>
      <c r="G39" s="870"/>
      <c r="H39" s="52"/>
      <c r="I39" s="61"/>
      <c r="J39" s="52"/>
      <c r="K39" s="54"/>
      <c r="L39" s="52"/>
      <c r="M39" s="61"/>
      <c r="N39" s="2629"/>
      <c r="O39" s="4">
        <f t="shared" si="8"/>
        <v>0</v>
      </c>
      <c r="P39" s="5">
        <f t="shared" si="9"/>
        <v>0</v>
      </c>
      <c r="Q39" s="64">
        <f t="shared" si="10"/>
        <v>0</v>
      </c>
      <c r="R39" s="33"/>
      <c r="S39" s="26">
        <f t="shared" si="11"/>
        <v>0</v>
      </c>
      <c r="T39" s="27">
        <f t="shared" si="12"/>
        <v>0</v>
      </c>
      <c r="U39" s="53">
        <f t="shared" si="13"/>
        <v>0</v>
      </c>
      <c r="V39" s="28"/>
      <c r="W39" s="26">
        <f t="shared" si="14"/>
        <v>0</v>
      </c>
      <c r="X39" s="5">
        <f t="shared" si="14"/>
        <v>0</v>
      </c>
      <c r="Y39" s="53">
        <f t="shared" si="15"/>
        <v>0</v>
      </c>
      <c r="Z39" s="33"/>
      <c r="AA39" s="26">
        <f t="shared" si="16"/>
        <v>0</v>
      </c>
      <c r="AB39" s="27">
        <f t="shared" si="17"/>
        <v>0</v>
      </c>
      <c r="AC39" s="53">
        <f t="shared" si="18"/>
        <v>0</v>
      </c>
      <c r="AD39" s="28"/>
      <c r="AE39" s="36"/>
      <c r="AF39" s="36"/>
      <c r="AG39" s="53">
        <f t="shared" si="19"/>
        <v>0</v>
      </c>
      <c r="AH39" s="28"/>
      <c r="AI39" s="26"/>
      <c r="AJ39" s="27"/>
      <c r="AK39" s="53">
        <f t="shared" si="20"/>
        <v>0</v>
      </c>
      <c r="AL39" s="28"/>
      <c r="AM39" s="2629"/>
      <c r="AN39" s="9"/>
      <c r="AO39" s="5"/>
      <c r="AP39" s="61">
        <f t="shared" si="21"/>
        <v>0</v>
      </c>
      <c r="AQ39" s="36"/>
      <c r="AR39" s="53"/>
      <c r="AS39" s="61">
        <f t="shared" si="22"/>
        <v>0</v>
      </c>
      <c r="AT39" s="36"/>
      <c r="AU39" s="27"/>
      <c r="AV39" s="61">
        <f t="shared" si="23"/>
        <v>0</v>
      </c>
      <c r="AW39" s="36"/>
      <c r="AX39" s="27"/>
      <c r="AY39" s="61">
        <f t="shared" si="24"/>
        <v>0</v>
      </c>
      <c r="AZ39" s="36"/>
      <c r="BA39" s="27"/>
      <c r="BB39" s="61">
        <f t="shared" si="25"/>
        <v>0</v>
      </c>
      <c r="BC39" s="36"/>
      <c r="BD39" s="27"/>
      <c r="BE39" s="61">
        <f t="shared" si="26"/>
        <v>0</v>
      </c>
      <c r="BF39" s="36"/>
      <c r="BG39" s="53"/>
      <c r="BH39" s="61">
        <f t="shared" si="27"/>
        <v>0</v>
      </c>
      <c r="BI39" s="36"/>
      <c r="BJ39" s="53"/>
      <c r="BK39" s="61">
        <f>IFERROR(BI39/BJ39,0)</f>
        <v>0</v>
      </c>
      <c r="BL39" s="52"/>
      <c r="BM39" s="53"/>
      <c r="BN39" s="61">
        <f t="shared" si="29"/>
        <v>0</v>
      </c>
      <c r="BO39" s="36"/>
      <c r="BP39" s="53"/>
      <c r="BQ39" s="61">
        <f t="shared" si="30"/>
        <v>0</v>
      </c>
      <c r="BR39" s="36"/>
      <c r="BS39" s="27"/>
      <c r="BT39" s="61">
        <f t="shared" si="31"/>
        <v>0</v>
      </c>
      <c r="BU39" s="36"/>
      <c r="BV39" s="27"/>
      <c r="BW39" s="28">
        <f t="shared" si="32"/>
        <v>0</v>
      </c>
      <c r="BX39" s="26"/>
      <c r="BY39" s="5"/>
      <c r="BZ39" s="61">
        <f t="shared" si="33"/>
        <v>0</v>
      </c>
      <c r="CA39" s="36"/>
      <c r="CB39" s="5"/>
      <c r="CC39" s="61">
        <f t="shared" si="34"/>
        <v>0</v>
      </c>
      <c r="CD39" s="26"/>
      <c r="CE39" s="27"/>
      <c r="CF39" s="28">
        <f t="shared" si="35"/>
        <v>0</v>
      </c>
      <c r="CG39" s="150"/>
      <c r="CH39" s="9">
        <v>1584</v>
      </c>
      <c r="CI39" s="5"/>
      <c r="CJ39" s="5"/>
      <c r="CK39" s="5"/>
      <c r="CL39" s="5"/>
      <c r="CM39" s="5">
        <f t="shared" si="113"/>
        <v>1584</v>
      </c>
      <c r="CN39" s="33"/>
      <c r="CO39" s="366"/>
      <c r="CQ39" s="4">
        <f t="shared" si="125"/>
        <v>0</v>
      </c>
      <c r="CR39" s="9">
        <f t="shared" si="125"/>
        <v>0</v>
      </c>
      <c r="CS39" s="5">
        <f t="shared" si="125"/>
        <v>0</v>
      </c>
      <c r="CT39" s="5">
        <f t="shared" si="125"/>
        <v>0</v>
      </c>
      <c r="CU39" s="5">
        <f t="shared" si="124"/>
        <v>0</v>
      </c>
      <c r="CV39" s="5">
        <f t="shared" si="124"/>
        <v>0</v>
      </c>
      <c r="CW39" s="5">
        <f t="shared" si="124"/>
        <v>0</v>
      </c>
      <c r="CX39" s="5">
        <f t="shared" si="124"/>
        <v>0</v>
      </c>
      <c r="CY39" s="5">
        <f t="shared" si="124"/>
        <v>0</v>
      </c>
      <c r="CZ39" s="5">
        <f t="shared" si="124"/>
        <v>0</v>
      </c>
      <c r="DA39" s="5">
        <f t="shared" si="124"/>
        <v>0</v>
      </c>
      <c r="DB39" s="12">
        <f t="shared" si="124"/>
        <v>0</v>
      </c>
      <c r="DC39" s="310">
        <f>SUM(CQ39:DB39,PV39)</f>
        <v>0</v>
      </c>
      <c r="DD39" s="2695"/>
      <c r="DE39" s="9"/>
      <c r="DF39" s="9"/>
      <c r="DG39" s="5"/>
      <c r="DH39" s="5"/>
      <c r="DI39" s="5"/>
      <c r="DJ39" s="5"/>
      <c r="DK39" s="5"/>
      <c r="DL39" s="5"/>
      <c r="DM39" s="5"/>
      <c r="DN39" s="5"/>
      <c r="DO39" s="5"/>
      <c r="DP39" s="12"/>
      <c r="DQ39" s="61">
        <f t="shared" si="38"/>
        <v>0</v>
      </c>
      <c r="DR39" s="36"/>
      <c r="DS39" s="36"/>
      <c r="DT39" s="27"/>
      <c r="DU39" s="27"/>
      <c r="DV39" s="27"/>
      <c r="DW39" s="27"/>
      <c r="DX39" s="27"/>
      <c r="DY39" s="27"/>
      <c r="DZ39" s="27"/>
      <c r="EA39" s="27"/>
      <c r="EB39" s="27"/>
      <c r="EC39" s="33"/>
      <c r="ED39" s="61">
        <f t="shared" si="39"/>
        <v>0</v>
      </c>
      <c r="EE39" s="36"/>
      <c r="EF39" s="36"/>
      <c r="EG39" s="27"/>
      <c r="EH39" s="27"/>
      <c r="EI39" s="27"/>
      <c r="EJ39" s="27"/>
      <c r="EK39" s="27"/>
      <c r="EL39" s="27"/>
      <c r="EM39" s="27"/>
      <c r="EN39" s="27"/>
      <c r="EO39" s="27"/>
      <c r="EP39" s="33"/>
      <c r="EQ39" s="28">
        <f t="shared" si="40"/>
        <v>0</v>
      </c>
      <c r="ER39" s="36"/>
      <c r="ES39" s="27"/>
      <c r="ET39" s="27"/>
      <c r="EU39" s="27"/>
      <c r="EV39" s="27"/>
      <c r="EW39" s="27"/>
      <c r="EX39" s="33">
        <f t="shared" si="41"/>
        <v>0</v>
      </c>
      <c r="EY39" s="2685"/>
      <c r="FA39" s="4">
        <f t="shared" si="42"/>
        <v>0</v>
      </c>
      <c r="FB39" s="5">
        <f t="shared" si="43"/>
        <v>0</v>
      </c>
      <c r="FC39" s="5">
        <f t="shared" si="44"/>
        <v>0</v>
      </c>
      <c r="FD39" s="12">
        <f t="shared" si="45"/>
        <v>0</v>
      </c>
      <c r="FE39" s="33"/>
      <c r="FF39" s="2674"/>
      <c r="FG39" s="9"/>
      <c r="FH39" s="5"/>
      <c r="FI39" s="5"/>
      <c r="FJ39" s="5"/>
      <c r="FK39" s="5"/>
      <c r="FL39" s="27"/>
      <c r="FM39" s="28">
        <f t="shared" si="46"/>
        <v>0</v>
      </c>
      <c r="FN39" s="36"/>
      <c r="FO39" s="27"/>
      <c r="FP39" s="27"/>
      <c r="FQ39" s="27"/>
      <c r="FR39" s="27"/>
      <c r="FS39" s="27"/>
      <c r="FT39" s="28">
        <f t="shared" si="47"/>
        <v>0</v>
      </c>
      <c r="FU39" s="36"/>
      <c r="FV39" s="36"/>
      <c r="FW39" s="27"/>
      <c r="FX39" s="27"/>
      <c r="FY39" s="27"/>
      <c r="FZ39" s="27"/>
      <c r="GA39" s="27"/>
      <c r="GB39" s="27"/>
      <c r="GC39" s="27"/>
      <c r="GD39" s="27"/>
      <c r="GE39" s="27"/>
      <c r="GF39" s="33"/>
      <c r="GG39" s="33">
        <f t="shared" si="48"/>
        <v>0</v>
      </c>
      <c r="GH39" s="2674"/>
      <c r="GJ39" s="4">
        <f t="shared" si="49"/>
        <v>0</v>
      </c>
      <c r="GK39" s="5">
        <f t="shared" si="50"/>
        <v>0</v>
      </c>
      <c r="GL39" s="27">
        <f t="shared" si="51"/>
        <v>0</v>
      </c>
      <c r="GM39" s="27">
        <f t="shared" si="52"/>
        <v>0</v>
      </c>
      <c r="GN39" s="141"/>
      <c r="GO39" s="141"/>
      <c r="GP39" s="33"/>
      <c r="GQ39" s="2667"/>
      <c r="GR39" s="152"/>
      <c r="GS39" s="27"/>
      <c r="GT39" s="27"/>
      <c r="GU39" s="27"/>
      <c r="GV39" s="33">
        <f t="shared" si="53"/>
        <v>0</v>
      </c>
      <c r="GW39" s="2667"/>
      <c r="GX39" s="36"/>
      <c r="GY39" s="36"/>
      <c r="GZ39" s="27"/>
      <c r="HA39" s="27"/>
      <c r="HB39" s="27"/>
      <c r="HC39" s="27"/>
      <c r="HD39" s="27"/>
      <c r="HE39" s="27"/>
      <c r="HF39" s="27"/>
      <c r="HG39" s="27"/>
      <c r="HH39" s="27"/>
      <c r="HI39" s="27"/>
      <c r="HJ39" s="27"/>
      <c r="HK39" s="27"/>
      <c r="HL39" s="28">
        <f t="shared" si="54"/>
        <v>0</v>
      </c>
      <c r="HM39" s="36"/>
      <c r="HN39" s="27"/>
      <c r="HO39" s="27"/>
      <c r="HP39" s="27"/>
      <c r="HQ39" s="27"/>
      <c r="HR39" s="27"/>
      <c r="HS39" s="27"/>
      <c r="HT39" s="27"/>
      <c r="HU39" s="27"/>
      <c r="HV39" s="27"/>
      <c r="HW39" s="27"/>
      <c r="HX39" s="27"/>
      <c r="HY39" s="27"/>
      <c r="HZ39" s="27"/>
      <c r="IA39" s="33">
        <f t="shared" si="55"/>
        <v>0</v>
      </c>
      <c r="IB39" s="52"/>
      <c r="IC39" s="152"/>
      <c r="ID39" s="53"/>
      <c r="IE39" s="53"/>
      <c r="IF39" s="53"/>
      <c r="IG39" s="53"/>
      <c r="IH39" s="53"/>
      <c r="II39" s="53"/>
      <c r="IJ39" s="53"/>
      <c r="IK39" s="53"/>
      <c r="IL39" s="53"/>
      <c r="IM39" s="27"/>
      <c r="IN39" s="27"/>
      <c r="IO39" s="27"/>
      <c r="IP39" s="61">
        <f t="shared" si="56"/>
        <v>0</v>
      </c>
      <c r="IQ39" s="36"/>
      <c r="IR39" s="36"/>
      <c r="IS39" s="27"/>
      <c r="IT39" s="27"/>
      <c r="IU39" s="53"/>
      <c r="IV39" s="27"/>
      <c r="IW39" s="27"/>
      <c r="IX39" s="27"/>
      <c r="IY39" s="27"/>
      <c r="IZ39" s="27"/>
      <c r="JA39" s="27"/>
      <c r="JB39" s="27"/>
      <c r="JC39" s="27"/>
      <c r="JD39" s="27"/>
      <c r="JE39" s="33">
        <f t="shared" si="57"/>
        <v>0</v>
      </c>
      <c r="JF39" s="2667"/>
      <c r="JH39" s="52"/>
      <c r="JI39" s="152"/>
      <c r="JJ39" s="27"/>
      <c r="JK39" s="53">
        <f t="shared" si="58"/>
        <v>0</v>
      </c>
      <c r="JL39" s="33"/>
      <c r="JM39" s="2669"/>
      <c r="JN39" s="69"/>
      <c r="JO39" s="70"/>
      <c r="JP39" s="70"/>
      <c r="JQ39" s="70"/>
      <c r="JR39" s="70"/>
      <c r="JS39" s="70"/>
      <c r="JT39" s="70"/>
      <c r="JU39" s="71"/>
      <c r="JV39" s="69"/>
      <c r="JW39" s="70"/>
      <c r="JX39" s="70"/>
      <c r="JY39" s="70"/>
      <c r="JZ39" s="70"/>
      <c r="KA39" s="70"/>
      <c r="KB39" s="70"/>
      <c r="KC39" s="71"/>
      <c r="KD39" s="69"/>
      <c r="KE39" s="70"/>
      <c r="KF39" s="70"/>
      <c r="KG39" s="70"/>
      <c r="KH39" s="70"/>
      <c r="KI39" s="70"/>
      <c r="KJ39" s="70"/>
      <c r="KK39" s="70"/>
      <c r="KL39" s="33"/>
      <c r="KM39" s="2669"/>
      <c r="KN39" s="36"/>
      <c r="KO39" s="53"/>
      <c r="KP39" s="53"/>
      <c r="KQ39" s="53"/>
      <c r="KR39" s="54"/>
      <c r="KS39" s="845"/>
      <c r="KT39" s="64"/>
      <c r="KU39" s="64"/>
      <c r="KV39" s="64"/>
      <c r="KW39" s="482"/>
      <c r="KX39" s="36"/>
      <c r="KY39" s="53"/>
      <c r="KZ39" s="53"/>
      <c r="LA39" s="53"/>
      <c r="LB39" s="53"/>
      <c r="LC39" s="33"/>
      <c r="LD39" s="2669"/>
      <c r="LF39" s="26">
        <f t="shared" si="59"/>
        <v>0</v>
      </c>
      <c r="LG39" s="27">
        <f t="shared" si="59"/>
        <v>0</v>
      </c>
      <c r="LH39" s="27">
        <f t="shared" si="59"/>
        <v>0</v>
      </c>
      <c r="LI39" s="28">
        <f t="shared" si="60"/>
        <v>0</v>
      </c>
      <c r="LJ39" s="36"/>
      <c r="LK39" s="27"/>
      <c r="LL39" s="27"/>
      <c r="LM39" s="33"/>
      <c r="LN39" s="1041"/>
      <c r="LO39" s="21"/>
      <c r="LP39" s="2688"/>
      <c r="LQ39" s="26"/>
      <c r="LR39" s="36"/>
      <c r="LS39" s="27"/>
      <c r="LT39" s="27"/>
      <c r="LU39" s="27"/>
      <c r="LV39" s="1107">
        <f t="shared" si="61"/>
        <v>0</v>
      </c>
      <c r="LW39" s="36"/>
      <c r="LX39" s="36"/>
      <c r="LY39" s="27"/>
      <c r="LZ39" s="27"/>
      <c r="MA39" s="33"/>
      <c r="MB39" s="28">
        <f t="shared" si="62"/>
        <v>0</v>
      </c>
      <c r="MC39" s="26"/>
      <c r="MD39" s="36"/>
      <c r="ME39" s="27"/>
      <c r="MF39" s="27"/>
      <c r="MG39" s="27"/>
      <c r="MH39" s="28"/>
      <c r="MI39" s="36"/>
      <c r="MJ39" s="36"/>
      <c r="MK39" s="27"/>
      <c r="ML39" s="27"/>
      <c r="MM39" s="27"/>
      <c r="MN39" s="28"/>
      <c r="MO39" s="36"/>
      <c r="MP39" s="36"/>
      <c r="MQ39" s="27"/>
      <c r="MR39" s="27"/>
      <c r="MS39" s="27"/>
      <c r="MT39" s="33">
        <f t="shared" si="63"/>
        <v>0</v>
      </c>
      <c r="MU39" s="2688"/>
      <c r="MW39" s="26">
        <f t="shared" si="64"/>
        <v>86660.973785492213</v>
      </c>
      <c r="MX39" s="27">
        <f t="shared" si="65"/>
        <v>75097.511028039225</v>
      </c>
      <c r="MY39" s="27">
        <f t="shared" si="66"/>
        <v>23630.293116668145</v>
      </c>
      <c r="MZ39" s="28">
        <f t="shared" si="67"/>
        <v>435886.66665121424</v>
      </c>
      <c r="NA39" s="2621"/>
      <c r="NB39" s="23">
        <f t="shared" si="68"/>
        <v>70347.526254802418</v>
      </c>
      <c r="NC39" s="64">
        <f t="shared" si="69"/>
        <v>16313.447530689791</v>
      </c>
      <c r="ND39" s="60">
        <f t="shared" si="70"/>
        <v>0</v>
      </c>
      <c r="NE39" s="275">
        <f t="shared" si="4"/>
        <v>86660.973785492213</v>
      </c>
      <c r="NF39" s="26">
        <f t="shared" si="120"/>
        <v>0</v>
      </c>
      <c r="NG39" s="27">
        <f t="shared" si="120"/>
        <v>0</v>
      </c>
      <c r="NH39" s="27">
        <f t="shared" si="120"/>
        <v>0</v>
      </c>
      <c r="NI39" s="27">
        <f t="shared" si="120"/>
        <v>0</v>
      </c>
      <c r="NJ39" s="27">
        <f t="shared" si="120"/>
        <v>0</v>
      </c>
      <c r="NK39" s="33">
        <f t="shared" si="120"/>
        <v>0</v>
      </c>
      <c r="NL39" s="27">
        <f t="shared" si="120"/>
        <v>0</v>
      </c>
      <c r="NM39" s="152">
        <f t="shared" si="120"/>
        <v>0</v>
      </c>
      <c r="NN39" s="27">
        <f t="shared" si="120"/>
        <v>38378.082027032746</v>
      </c>
      <c r="NO39" s="27">
        <f t="shared" si="120"/>
        <v>0</v>
      </c>
      <c r="NP39" s="24">
        <f t="shared" si="114"/>
        <v>8756.5482322711578</v>
      </c>
      <c r="NQ39" s="24">
        <f t="shared" si="115"/>
        <v>14844.915013230799</v>
      </c>
      <c r="NR39" s="27">
        <f t="shared" si="0"/>
        <v>61979.545272534699</v>
      </c>
      <c r="NS39" s="27">
        <f t="shared" si="121"/>
        <v>0</v>
      </c>
      <c r="NT39" s="27">
        <f t="shared" si="121"/>
        <v>0</v>
      </c>
      <c r="NU39" s="27">
        <f t="shared" si="121"/>
        <v>0</v>
      </c>
      <c r="NV39" s="27">
        <f t="shared" si="121"/>
        <v>0</v>
      </c>
      <c r="NW39" s="5">
        <f t="shared" si="121"/>
        <v>0</v>
      </c>
      <c r="NX39" s="5">
        <f t="shared" si="121"/>
        <v>0</v>
      </c>
      <c r="NY39" s="27">
        <f t="shared" si="121"/>
        <v>5216.6846092523811</v>
      </c>
      <c r="NZ39" s="27">
        <f t="shared" si="121"/>
        <v>0</v>
      </c>
      <c r="OA39" s="27">
        <f t="shared" si="121"/>
        <v>4710.1299999999992</v>
      </c>
      <c r="OB39" s="27"/>
      <c r="OC39" s="24">
        <f t="shared" si="122"/>
        <v>1565.61197844705</v>
      </c>
      <c r="OD39" s="27">
        <f t="shared" si="122"/>
        <v>0</v>
      </c>
      <c r="OE39" s="28">
        <f t="shared" si="1"/>
        <v>11492.42658769943</v>
      </c>
      <c r="OF39" s="27">
        <f t="shared" si="123"/>
        <v>0</v>
      </c>
      <c r="OG39" s="27">
        <f t="shared" si="123"/>
        <v>0</v>
      </c>
      <c r="OH39" s="27">
        <f t="shared" si="123"/>
        <v>0</v>
      </c>
      <c r="OI39" s="27">
        <f t="shared" si="123"/>
        <v>0</v>
      </c>
      <c r="OJ39" s="27">
        <f t="shared" si="123"/>
        <v>0</v>
      </c>
      <c r="OK39" s="27">
        <f t="shared" si="123"/>
        <v>0</v>
      </c>
      <c r="OL39" s="24">
        <f t="shared" si="123"/>
        <v>0</v>
      </c>
      <c r="OM39" s="27">
        <f t="shared" si="123"/>
        <v>0</v>
      </c>
      <c r="ON39" s="24">
        <f t="shared" si="123"/>
        <v>774.54</v>
      </c>
      <c r="OO39" s="27">
        <f t="shared" si="123"/>
        <v>0</v>
      </c>
      <c r="OP39" s="27">
        <f t="shared" si="123"/>
        <v>850.9991678051008</v>
      </c>
      <c r="OQ39" s="27">
        <f t="shared" si="123"/>
        <v>0</v>
      </c>
      <c r="OR39" s="28">
        <f t="shared" si="2"/>
        <v>1625.5391678051008</v>
      </c>
      <c r="OS39" s="36"/>
      <c r="OT39" s="27"/>
      <c r="OU39" s="27"/>
      <c r="OV39" s="27"/>
      <c r="OW39" s="27"/>
      <c r="OX39" s="27"/>
      <c r="OY39" s="28">
        <f t="shared" si="75"/>
        <v>0</v>
      </c>
      <c r="OZ39" s="36">
        <f t="shared" si="76"/>
        <v>0</v>
      </c>
      <c r="PA39" s="27">
        <f t="shared" si="77"/>
        <v>0</v>
      </c>
      <c r="PB39" s="27">
        <f t="shared" si="78"/>
        <v>0</v>
      </c>
      <c r="PC39" s="27">
        <f t="shared" si="79"/>
        <v>0</v>
      </c>
      <c r="PD39" s="27">
        <f t="shared" si="80"/>
        <v>0</v>
      </c>
      <c r="PE39" s="27">
        <f t="shared" si="81"/>
        <v>0</v>
      </c>
      <c r="PF39" s="33">
        <f t="shared" si="3"/>
        <v>0</v>
      </c>
      <c r="PG39" s="2621"/>
      <c r="PI39" s="2"/>
      <c r="PJ39" s="3"/>
      <c r="PK39" s="3"/>
      <c r="PL39" s="3">
        <f t="shared" si="116"/>
        <v>0</v>
      </c>
      <c r="PM39" s="3">
        <f t="shared" si="82"/>
        <v>152.63999999999999</v>
      </c>
      <c r="PN39" s="11">
        <f t="shared" si="117"/>
        <v>23630.293116668145</v>
      </c>
      <c r="PO39" s="15"/>
      <c r="PP39" s="2615"/>
      <c r="PR39" s="4"/>
      <c r="PS39" s="9"/>
      <c r="PT39" s="9"/>
      <c r="PU39" s="9"/>
      <c r="PV39" s="9"/>
      <c r="PW39" s="9"/>
      <c r="PX39" s="8">
        <f t="shared" si="83"/>
        <v>0</v>
      </c>
      <c r="PY39" s="5">
        <f t="shared" si="84"/>
        <v>0</v>
      </c>
      <c r="PZ39" s="5"/>
      <c r="QA39" s="5"/>
      <c r="QB39" s="5"/>
      <c r="QC39" s="5"/>
      <c r="QD39" s="5"/>
      <c r="QE39" s="12">
        <f t="shared" si="85"/>
        <v>29749.381073161156</v>
      </c>
      <c r="QF39" s="420">
        <f t="shared" si="86"/>
        <v>404514.90557805309</v>
      </c>
      <c r="QG39" s="1106">
        <f t="shared" si="87"/>
        <v>1622.38</v>
      </c>
      <c r="QH39" s="484">
        <f t="shared" si="88"/>
        <v>5505.3678056100007</v>
      </c>
      <c r="QI39" s="12"/>
      <c r="QJ39" s="2615"/>
      <c r="QL39" s="139" t="str">
        <f t="shared" si="89"/>
        <v/>
      </c>
      <c r="QM39" s="139" t="str">
        <f t="shared" si="90"/>
        <v/>
      </c>
      <c r="QO39" s="139" t="str">
        <f t="shared" si="91"/>
        <v/>
      </c>
      <c r="QP39" s="139" t="str">
        <f t="shared" si="92"/>
        <v/>
      </c>
      <c r="QR39" s="1">
        <f t="shared" si="93"/>
        <v>0</v>
      </c>
      <c r="QS39" s="1">
        <f t="shared" si="94"/>
        <v>0</v>
      </c>
      <c r="QT39" s="1">
        <f t="shared" si="95"/>
        <v>0</v>
      </c>
      <c r="QU39" s="1">
        <f t="shared" si="96"/>
        <v>0</v>
      </c>
      <c r="QV39" s="1">
        <f t="shared" si="97"/>
        <v>0</v>
      </c>
      <c r="QW39" s="1">
        <f t="shared" si="98"/>
        <v>0</v>
      </c>
      <c r="QY39" s="1">
        <f t="shared" si="99"/>
        <v>0</v>
      </c>
      <c r="QZ39" s="1">
        <f t="shared" si="100"/>
        <v>0</v>
      </c>
      <c r="RA39" s="1">
        <f t="shared" si="101"/>
        <v>0</v>
      </c>
      <c r="RB39" s="1">
        <f t="shared" si="102"/>
        <v>0</v>
      </c>
      <c r="RC39" s="1">
        <f t="shared" si="103"/>
        <v>0</v>
      </c>
      <c r="RD39" s="1">
        <f t="shared" si="104"/>
        <v>0</v>
      </c>
      <c r="RG39" s="1">
        <v>30</v>
      </c>
      <c r="RH39" s="1">
        <f t="shared" si="126"/>
        <v>50985.897209717099</v>
      </c>
      <c r="RI39" s="1">
        <f t="shared" si="126"/>
        <v>2540.8897804837115</v>
      </c>
      <c r="RJ39" s="1">
        <f t="shared" si="126"/>
        <v>13404.263703387322</v>
      </c>
      <c r="RK39" s="89">
        <f t="shared" si="5"/>
        <v>66931.050693588128</v>
      </c>
      <c r="RL39" s="1033">
        <v>30</v>
      </c>
      <c r="RM39" s="1098">
        <f t="shared" si="118"/>
        <v>0</v>
      </c>
      <c r="RN39" s="1098">
        <f t="shared" si="106"/>
        <v>0</v>
      </c>
      <c r="RO39" s="1097">
        <f t="shared" si="106"/>
        <v>0</v>
      </c>
      <c r="RP39" s="1097">
        <f t="shared" si="107"/>
        <v>0</v>
      </c>
      <c r="RQ39" s="1094"/>
      <c r="RR39" s="1094"/>
      <c r="RU39" s="421">
        <v>30</v>
      </c>
      <c r="RV39" s="1095">
        <f t="shared" si="108"/>
        <v>0</v>
      </c>
      <c r="RW39" s="1096"/>
      <c r="RY39" s="1090"/>
      <c r="RZ39" s="1090">
        <f t="shared" si="109"/>
        <v>0</v>
      </c>
      <c r="SA39" s="1090"/>
      <c r="SB39" s="1090">
        <f t="shared" si="110"/>
        <v>0</v>
      </c>
      <c r="SD39" s="1">
        <v>30</v>
      </c>
      <c r="SE39" s="1">
        <f t="shared" si="111"/>
        <v>0</v>
      </c>
    </row>
    <row r="40" spans="1:500" s="1" customFormat="1">
      <c r="B40" s="1105">
        <v>31</v>
      </c>
      <c r="C40" s="6">
        <f t="shared" si="6"/>
        <v>0</v>
      </c>
      <c r="D40" s="7">
        <f>P40+T40+X40+AB40</f>
        <v>0</v>
      </c>
      <c r="E40" s="62">
        <f t="shared" si="7"/>
        <v>0</v>
      </c>
      <c r="F40" s="1444"/>
      <c r="G40" s="1445"/>
      <c r="H40" s="56"/>
      <c r="I40" s="62"/>
      <c r="J40" s="56"/>
      <c r="K40" s="58"/>
      <c r="L40" s="56"/>
      <c r="M40" s="62"/>
      <c r="N40" s="2630"/>
      <c r="O40" s="6">
        <f t="shared" si="8"/>
        <v>0</v>
      </c>
      <c r="P40" s="5">
        <f t="shared" si="9"/>
        <v>0</v>
      </c>
      <c r="Q40" s="65">
        <f t="shared" si="10"/>
        <v>0</v>
      </c>
      <c r="R40" s="34"/>
      <c r="S40" s="29">
        <f t="shared" si="11"/>
        <v>0</v>
      </c>
      <c r="T40" s="30">
        <f t="shared" si="12"/>
        <v>0</v>
      </c>
      <c r="U40" s="57">
        <f t="shared" si="13"/>
        <v>0</v>
      </c>
      <c r="V40" s="31"/>
      <c r="W40" s="29">
        <f t="shared" si="14"/>
        <v>0</v>
      </c>
      <c r="X40" s="7">
        <f t="shared" si="14"/>
        <v>0</v>
      </c>
      <c r="Y40" s="57">
        <f t="shared" si="15"/>
        <v>0</v>
      </c>
      <c r="Z40" s="34"/>
      <c r="AA40" s="29">
        <f>SUM(BO40,BR40)</f>
        <v>0</v>
      </c>
      <c r="AB40" s="30">
        <f t="shared" si="17"/>
        <v>0</v>
      </c>
      <c r="AC40" s="57">
        <f t="shared" si="18"/>
        <v>0</v>
      </c>
      <c r="AD40" s="31"/>
      <c r="AE40" s="36"/>
      <c r="AF40" s="36"/>
      <c r="AG40" s="57">
        <f t="shared" si="19"/>
        <v>0</v>
      </c>
      <c r="AH40" s="31"/>
      <c r="AI40" s="23"/>
      <c r="AJ40" s="30"/>
      <c r="AK40" s="57">
        <f t="shared" si="20"/>
        <v>0</v>
      </c>
      <c r="AL40" s="31"/>
      <c r="AM40" s="2630"/>
      <c r="AN40" s="10"/>
      <c r="AO40" s="7"/>
      <c r="AP40" s="62">
        <f t="shared" si="21"/>
        <v>0</v>
      </c>
      <c r="AQ40" s="37"/>
      <c r="AR40" s="57"/>
      <c r="AS40" s="62">
        <f t="shared" si="22"/>
        <v>0</v>
      </c>
      <c r="AT40" s="37"/>
      <c r="AU40" s="30"/>
      <c r="AV40" s="62">
        <f t="shared" si="23"/>
        <v>0</v>
      </c>
      <c r="AW40" s="37"/>
      <c r="AX40" s="27"/>
      <c r="AY40" s="62">
        <f t="shared" si="24"/>
        <v>0</v>
      </c>
      <c r="AZ40" s="37"/>
      <c r="BA40" s="30"/>
      <c r="BB40" s="62">
        <f t="shared" si="25"/>
        <v>0</v>
      </c>
      <c r="BC40" s="37"/>
      <c r="BD40" s="30"/>
      <c r="BE40" s="62">
        <f t="shared" si="26"/>
        <v>0</v>
      </c>
      <c r="BF40" s="37"/>
      <c r="BG40" s="57"/>
      <c r="BH40" s="62">
        <f t="shared" si="27"/>
        <v>0</v>
      </c>
      <c r="BI40" s="37"/>
      <c r="BJ40" s="30"/>
      <c r="BK40" s="62">
        <f>IFERROR(BI40/BJ40,0)</f>
        <v>0</v>
      </c>
      <c r="BL40" s="1104"/>
      <c r="BM40" s="57"/>
      <c r="BN40" s="62">
        <f t="shared" si="29"/>
        <v>0</v>
      </c>
      <c r="BO40" s="37"/>
      <c r="BP40" s="57"/>
      <c r="BQ40" s="62">
        <f t="shared" si="30"/>
        <v>0</v>
      </c>
      <c r="BR40" s="37"/>
      <c r="BS40" s="30"/>
      <c r="BT40" s="62">
        <f t="shared" si="31"/>
        <v>0</v>
      </c>
      <c r="BU40" s="37"/>
      <c r="BV40" s="30"/>
      <c r="BW40" s="31">
        <f t="shared" si="32"/>
        <v>0</v>
      </c>
      <c r="BX40" s="29"/>
      <c r="BY40" s="7"/>
      <c r="BZ40" s="62">
        <f t="shared" si="33"/>
        <v>0</v>
      </c>
      <c r="CA40" s="37"/>
      <c r="CB40" s="30"/>
      <c r="CC40" s="62">
        <f t="shared" si="34"/>
        <v>0</v>
      </c>
      <c r="CD40" s="29"/>
      <c r="CE40" s="30"/>
      <c r="CF40" s="31">
        <f t="shared" si="35"/>
        <v>0</v>
      </c>
      <c r="CG40" s="151"/>
      <c r="CH40" s="10"/>
      <c r="CI40" s="7"/>
      <c r="CJ40" s="7"/>
      <c r="CK40" s="7"/>
      <c r="CL40" s="7"/>
      <c r="CM40" s="7">
        <f t="shared" si="113"/>
        <v>0</v>
      </c>
      <c r="CN40" s="34"/>
      <c r="CO40" s="367"/>
      <c r="CQ40" s="6">
        <f t="shared" si="125"/>
        <v>0</v>
      </c>
      <c r="CR40" s="10">
        <f t="shared" si="125"/>
        <v>0</v>
      </c>
      <c r="CS40" s="7">
        <f t="shared" si="125"/>
        <v>0</v>
      </c>
      <c r="CT40" s="7">
        <f t="shared" si="125"/>
        <v>0</v>
      </c>
      <c r="CU40" s="7">
        <f t="shared" si="124"/>
        <v>0</v>
      </c>
      <c r="CV40" s="7">
        <f t="shared" si="124"/>
        <v>0</v>
      </c>
      <c r="CW40" s="7">
        <f t="shared" si="124"/>
        <v>0</v>
      </c>
      <c r="CX40" s="7">
        <f t="shared" si="124"/>
        <v>0</v>
      </c>
      <c r="CY40" s="7">
        <f t="shared" si="124"/>
        <v>0</v>
      </c>
      <c r="CZ40" s="7">
        <f t="shared" si="124"/>
        <v>0</v>
      </c>
      <c r="DA40" s="7">
        <f t="shared" si="124"/>
        <v>0</v>
      </c>
      <c r="DB40" s="13">
        <f t="shared" si="124"/>
        <v>0</v>
      </c>
      <c r="DC40" s="310">
        <f>SUM(CQ40:DB40,PV40)</f>
        <v>0</v>
      </c>
      <c r="DD40" s="2696"/>
      <c r="DE40" s="10"/>
      <c r="DF40" s="10"/>
      <c r="DG40" s="7"/>
      <c r="DH40" s="7"/>
      <c r="DI40" s="7"/>
      <c r="DJ40" s="7"/>
      <c r="DK40" s="7"/>
      <c r="DL40" s="7"/>
      <c r="DM40" s="7"/>
      <c r="DN40" s="7"/>
      <c r="DO40" s="7"/>
      <c r="DP40" s="13"/>
      <c r="DQ40" s="31">
        <f t="shared" si="38"/>
        <v>0</v>
      </c>
      <c r="DR40" s="37"/>
      <c r="DS40" s="37"/>
      <c r="DT40" s="30"/>
      <c r="DU40" s="30"/>
      <c r="DV40" s="30"/>
      <c r="DW40" s="30"/>
      <c r="DX40" s="30"/>
      <c r="DY40" s="30"/>
      <c r="DZ40" s="30"/>
      <c r="EA40" s="30"/>
      <c r="EB40" s="30"/>
      <c r="EC40" s="34"/>
      <c r="ED40" s="61">
        <f t="shared" si="39"/>
        <v>0</v>
      </c>
      <c r="EE40" s="37"/>
      <c r="EF40" s="37"/>
      <c r="EG40" s="30"/>
      <c r="EH40" s="30"/>
      <c r="EI40" s="30"/>
      <c r="EJ40" s="30"/>
      <c r="EK40" s="30"/>
      <c r="EL40" s="30"/>
      <c r="EM40" s="30"/>
      <c r="EN40" s="30"/>
      <c r="EO40" s="30"/>
      <c r="EP40" s="34"/>
      <c r="EQ40" s="31">
        <f t="shared" si="40"/>
        <v>0</v>
      </c>
      <c r="ER40" s="37"/>
      <c r="ES40" s="30"/>
      <c r="ET40" s="30"/>
      <c r="EU40" s="30"/>
      <c r="EV40" s="30"/>
      <c r="EW40" s="30"/>
      <c r="EX40" s="34">
        <f t="shared" si="41"/>
        <v>0</v>
      </c>
      <c r="EY40" s="2686"/>
      <c r="FA40" s="6">
        <f t="shared" si="42"/>
        <v>0</v>
      </c>
      <c r="FB40" s="7">
        <f t="shared" si="43"/>
        <v>0</v>
      </c>
      <c r="FC40" s="7">
        <f t="shared" si="44"/>
        <v>0</v>
      </c>
      <c r="FD40" s="13">
        <f t="shared" si="45"/>
        <v>0</v>
      </c>
      <c r="FE40" s="34"/>
      <c r="FF40" s="2675"/>
      <c r="FG40" s="10"/>
      <c r="FH40" s="7"/>
      <c r="FI40" s="7"/>
      <c r="FJ40" s="7"/>
      <c r="FK40" s="7"/>
      <c r="FL40" s="30"/>
      <c r="FM40" s="31">
        <f t="shared" si="46"/>
        <v>0</v>
      </c>
      <c r="FN40" s="37"/>
      <c r="FO40" s="30"/>
      <c r="FP40" s="30"/>
      <c r="FQ40" s="30"/>
      <c r="FR40" s="30"/>
      <c r="FS40" s="30"/>
      <c r="FT40" s="31">
        <f t="shared" si="47"/>
        <v>0</v>
      </c>
      <c r="FU40" s="37"/>
      <c r="FV40" s="37"/>
      <c r="FW40" s="30"/>
      <c r="FX40" s="30"/>
      <c r="FY40" s="30"/>
      <c r="FZ40" s="30"/>
      <c r="GA40" s="30"/>
      <c r="GB40" s="30"/>
      <c r="GC40" s="30"/>
      <c r="GD40" s="30"/>
      <c r="GE40" s="30"/>
      <c r="GF40" s="34"/>
      <c r="GG40" s="34">
        <f t="shared" si="48"/>
        <v>0</v>
      </c>
      <c r="GH40" s="2675"/>
      <c r="GJ40" s="6">
        <f t="shared" si="49"/>
        <v>0</v>
      </c>
      <c r="GK40" s="7">
        <f t="shared" si="50"/>
        <v>0</v>
      </c>
      <c r="GL40" s="30">
        <f t="shared" si="51"/>
        <v>0</v>
      </c>
      <c r="GM40" s="30">
        <f t="shared" si="52"/>
        <v>0</v>
      </c>
      <c r="GN40" s="279"/>
      <c r="GO40" s="279"/>
      <c r="GP40" s="34"/>
      <c r="GQ40" s="2668"/>
      <c r="GR40" s="1104"/>
      <c r="GS40" s="30"/>
      <c r="GT40" s="30"/>
      <c r="GU40" s="30"/>
      <c r="GV40" s="31">
        <f t="shared" si="53"/>
        <v>0</v>
      </c>
      <c r="GW40" s="2668"/>
      <c r="GX40" s="37"/>
      <c r="GY40" s="37"/>
      <c r="GZ40" s="30"/>
      <c r="HA40" s="30"/>
      <c r="HB40" s="30"/>
      <c r="HC40" s="30"/>
      <c r="HD40" s="30"/>
      <c r="HE40" s="30"/>
      <c r="HF40" s="30"/>
      <c r="HG40" s="30"/>
      <c r="HH40" s="30"/>
      <c r="HI40" s="30"/>
      <c r="HJ40" s="30"/>
      <c r="HK40" s="30"/>
      <c r="HL40" s="31">
        <f t="shared" si="54"/>
        <v>0</v>
      </c>
      <c r="HM40" s="37"/>
      <c r="HN40" s="30"/>
      <c r="HO40" s="30"/>
      <c r="HP40" s="30"/>
      <c r="HQ40" s="30"/>
      <c r="HR40" s="30"/>
      <c r="HS40" s="30"/>
      <c r="HT40" s="30"/>
      <c r="HU40" s="30"/>
      <c r="HV40" s="30"/>
      <c r="HW40" s="30"/>
      <c r="HX40" s="30"/>
      <c r="HY40" s="30"/>
      <c r="HZ40" s="30"/>
      <c r="IA40" s="34">
        <f t="shared" si="55"/>
        <v>0</v>
      </c>
      <c r="IB40" s="56"/>
      <c r="IC40" s="1104"/>
      <c r="ID40" s="57"/>
      <c r="IE40" s="57"/>
      <c r="IF40" s="57"/>
      <c r="IG40" s="57"/>
      <c r="IH40" s="57"/>
      <c r="II40" s="57"/>
      <c r="IJ40" s="57"/>
      <c r="IK40" s="57"/>
      <c r="IL40" s="57"/>
      <c r="IM40" s="30"/>
      <c r="IN40" s="30"/>
      <c r="IO40" s="30"/>
      <c r="IP40" s="62">
        <f t="shared" si="56"/>
        <v>0</v>
      </c>
      <c r="IQ40" s="37"/>
      <c r="IR40" s="37"/>
      <c r="IS40" s="30"/>
      <c r="IT40" s="30"/>
      <c r="IU40" s="57"/>
      <c r="IV40" s="30"/>
      <c r="IW40" s="30"/>
      <c r="IX40" s="30"/>
      <c r="IY40" s="30"/>
      <c r="IZ40" s="30"/>
      <c r="JA40" s="30"/>
      <c r="JB40" s="30"/>
      <c r="JC40" s="30"/>
      <c r="JD40" s="30"/>
      <c r="JE40" s="854">
        <f t="shared" si="57"/>
        <v>0</v>
      </c>
      <c r="JF40" s="2668"/>
      <c r="JH40" s="52"/>
      <c r="JI40" s="57"/>
      <c r="JJ40" s="30"/>
      <c r="JK40" s="57">
        <f t="shared" si="58"/>
        <v>0</v>
      </c>
      <c r="JL40" s="31"/>
      <c r="JM40" s="2670"/>
      <c r="JN40" s="74"/>
      <c r="JO40" s="75"/>
      <c r="JP40" s="75"/>
      <c r="JQ40" s="75"/>
      <c r="JR40" s="75"/>
      <c r="JS40" s="75"/>
      <c r="JT40" s="75"/>
      <c r="JU40" s="76"/>
      <c r="JV40" s="74"/>
      <c r="JW40" s="75"/>
      <c r="JX40" s="75"/>
      <c r="JY40" s="75"/>
      <c r="JZ40" s="75"/>
      <c r="KA40" s="75"/>
      <c r="KB40" s="75"/>
      <c r="KC40" s="76"/>
      <c r="KD40" s="77"/>
      <c r="KE40" s="75"/>
      <c r="KF40" s="75"/>
      <c r="KG40" s="75"/>
      <c r="KH40" s="75"/>
      <c r="KI40" s="75"/>
      <c r="KJ40" s="75"/>
      <c r="KK40" s="75"/>
      <c r="KL40" s="31"/>
      <c r="KM40" s="2670"/>
      <c r="KN40" s="29"/>
      <c r="KO40" s="57"/>
      <c r="KP40" s="57"/>
      <c r="KQ40" s="57"/>
      <c r="KR40" s="58"/>
      <c r="KS40" s="1063"/>
      <c r="KT40" s="65"/>
      <c r="KU40" s="65"/>
      <c r="KV40" s="65"/>
      <c r="KW40" s="1064"/>
      <c r="KX40" s="37"/>
      <c r="KY40" s="57"/>
      <c r="KZ40" s="57"/>
      <c r="LA40" s="57"/>
      <c r="LB40" s="57"/>
      <c r="LC40" s="31"/>
      <c r="LD40" s="2670"/>
      <c r="LF40" s="29">
        <f t="shared" si="59"/>
        <v>0</v>
      </c>
      <c r="LG40" s="30">
        <f t="shared" si="59"/>
        <v>0</v>
      </c>
      <c r="LH40" s="30">
        <f t="shared" si="59"/>
        <v>0</v>
      </c>
      <c r="LI40" s="31">
        <f t="shared" si="60"/>
        <v>0</v>
      </c>
      <c r="LJ40" s="37"/>
      <c r="LK40" s="30"/>
      <c r="LL40" s="30"/>
      <c r="LM40" s="34"/>
      <c r="LN40" s="1103"/>
      <c r="LO40" s="332"/>
      <c r="LP40" s="2689"/>
      <c r="LQ40" s="29"/>
      <c r="LR40" s="37"/>
      <c r="LS40" s="30"/>
      <c r="LT40" s="30"/>
      <c r="LU40" s="30"/>
      <c r="LV40" s="1102">
        <f t="shared" si="61"/>
        <v>0</v>
      </c>
      <c r="LW40" s="37"/>
      <c r="LX40" s="37"/>
      <c r="LY40" s="30"/>
      <c r="LZ40" s="30"/>
      <c r="MA40" s="34"/>
      <c r="MB40" s="31">
        <f t="shared" si="62"/>
        <v>0</v>
      </c>
      <c r="MC40" s="29"/>
      <c r="MD40" s="37"/>
      <c r="ME40" s="30"/>
      <c r="MF40" s="30"/>
      <c r="MG40" s="30"/>
      <c r="MH40" s="31"/>
      <c r="MI40" s="37"/>
      <c r="MJ40" s="37"/>
      <c r="MK40" s="30"/>
      <c r="ML40" s="30"/>
      <c r="MM40" s="30"/>
      <c r="MN40" s="31"/>
      <c r="MO40" s="37"/>
      <c r="MP40" s="37"/>
      <c r="MQ40" s="30"/>
      <c r="MR40" s="30"/>
      <c r="MS40" s="30"/>
      <c r="MT40" s="34">
        <f t="shared" si="63"/>
        <v>0</v>
      </c>
      <c r="MU40" s="2689"/>
      <c r="MW40" s="29">
        <f t="shared" si="64"/>
        <v>86660.973785492213</v>
      </c>
      <c r="MX40" s="30">
        <f t="shared" si="65"/>
        <v>75097.511028039225</v>
      </c>
      <c r="MY40" s="30">
        <f t="shared" si="66"/>
        <v>23630.293116668145</v>
      </c>
      <c r="MZ40" s="31">
        <f t="shared" si="67"/>
        <v>435886.66665121424</v>
      </c>
      <c r="NA40" s="2622"/>
      <c r="NB40" s="23">
        <f t="shared" si="68"/>
        <v>70347.526254802418</v>
      </c>
      <c r="NC40" s="64">
        <f t="shared" si="69"/>
        <v>16313.447530689791</v>
      </c>
      <c r="ND40" s="60">
        <f t="shared" si="70"/>
        <v>0</v>
      </c>
      <c r="NE40" s="276">
        <f t="shared" si="4"/>
        <v>86660.973785492213</v>
      </c>
      <c r="NF40" s="26">
        <f t="shared" si="120"/>
        <v>0</v>
      </c>
      <c r="NG40" s="30">
        <f t="shared" si="120"/>
        <v>0</v>
      </c>
      <c r="NH40" s="30">
        <f t="shared" si="120"/>
        <v>0</v>
      </c>
      <c r="NI40" s="30">
        <f t="shared" si="120"/>
        <v>0</v>
      </c>
      <c r="NJ40" s="30">
        <f t="shared" si="120"/>
        <v>0</v>
      </c>
      <c r="NK40" s="34">
        <f t="shared" si="120"/>
        <v>0</v>
      </c>
      <c r="NL40" s="1233">
        <f t="shared" si="120"/>
        <v>0</v>
      </c>
      <c r="NM40" s="57">
        <f t="shared" si="120"/>
        <v>0</v>
      </c>
      <c r="NN40" s="27">
        <f t="shared" si="120"/>
        <v>38378.082027032746</v>
      </c>
      <c r="NO40" s="30">
        <f t="shared" si="120"/>
        <v>0</v>
      </c>
      <c r="NP40" s="24">
        <f t="shared" si="114"/>
        <v>8756.5482322711578</v>
      </c>
      <c r="NQ40" s="24">
        <f t="shared" si="115"/>
        <v>14844.915013230799</v>
      </c>
      <c r="NR40" s="30">
        <f t="shared" si="0"/>
        <v>61979.545272534699</v>
      </c>
      <c r="NS40" s="30">
        <f t="shared" si="121"/>
        <v>0</v>
      </c>
      <c r="NT40" s="30">
        <f t="shared" si="121"/>
        <v>0</v>
      </c>
      <c r="NU40" s="30">
        <f t="shared" si="121"/>
        <v>0</v>
      </c>
      <c r="NV40" s="30">
        <f t="shared" si="121"/>
        <v>0</v>
      </c>
      <c r="NW40" s="7">
        <f t="shared" si="121"/>
        <v>0</v>
      </c>
      <c r="NX40" s="7">
        <f t="shared" si="121"/>
        <v>0</v>
      </c>
      <c r="NY40" s="30">
        <f t="shared" si="121"/>
        <v>5216.6846092523811</v>
      </c>
      <c r="NZ40" s="30">
        <f t="shared" si="121"/>
        <v>0</v>
      </c>
      <c r="OA40" s="30">
        <f t="shared" si="121"/>
        <v>4710.1299999999992</v>
      </c>
      <c r="OB40" s="30"/>
      <c r="OC40" s="30">
        <f t="shared" si="122"/>
        <v>1565.61197844705</v>
      </c>
      <c r="OD40" s="30">
        <f t="shared" si="122"/>
        <v>0</v>
      </c>
      <c r="OE40" s="30">
        <f t="shared" si="1"/>
        <v>11492.42658769943</v>
      </c>
      <c r="OF40" s="30">
        <f t="shared" si="123"/>
        <v>0</v>
      </c>
      <c r="OG40" s="30">
        <f t="shared" si="123"/>
        <v>0</v>
      </c>
      <c r="OH40" s="30">
        <f t="shared" si="123"/>
        <v>0</v>
      </c>
      <c r="OI40" s="30">
        <f t="shared" si="123"/>
        <v>0</v>
      </c>
      <c r="OJ40" s="27">
        <f t="shared" si="123"/>
        <v>0</v>
      </c>
      <c r="OK40" s="30">
        <f t="shared" si="123"/>
        <v>0</v>
      </c>
      <c r="OL40" s="24">
        <f t="shared" si="123"/>
        <v>0</v>
      </c>
      <c r="OM40" s="30">
        <f t="shared" si="123"/>
        <v>0</v>
      </c>
      <c r="ON40" s="24">
        <f t="shared" si="123"/>
        <v>774.54</v>
      </c>
      <c r="OO40" s="30">
        <f t="shared" si="123"/>
        <v>0</v>
      </c>
      <c r="OP40" s="30">
        <f t="shared" si="123"/>
        <v>850.9991678051008</v>
      </c>
      <c r="OQ40" s="30">
        <f t="shared" si="123"/>
        <v>0</v>
      </c>
      <c r="OR40" s="31">
        <f t="shared" si="2"/>
        <v>1625.5391678051008</v>
      </c>
      <c r="OS40" s="37"/>
      <c r="OT40" s="30"/>
      <c r="OU40" s="30"/>
      <c r="OV40" s="30"/>
      <c r="OW40" s="30"/>
      <c r="OX40" s="30"/>
      <c r="OY40" s="31">
        <f t="shared" si="75"/>
        <v>0</v>
      </c>
      <c r="OZ40" s="37">
        <f t="shared" si="76"/>
        <v>0</v>
      </c>
      <c r="PA40" s="30">
        <f t="shared" si="77"/>
        <v>0</v>
      </c>
      <c r="PB40" s="30">
        <f t="shared" si="78"/>
        <v>0</v>
      </c>
      <c r="PC40" s="30">
        <f t="shared" si="79"/>
        <v>0</v>
      </c>
      <c r="PD40" s="30">
        <f t="shared" si="80"/>
        <v>0</v>
      </c>
      <c r="PE40" s="30">
        <f t="shared" si="81"/>
        <v>0</v>
      </c>
      <c r="PF40" s="34">
        <f t="shared" si="3"/>
        <v>0</v>
      </c>
      <c r="PG40" s="2622"/>
      <c r="PI40" s="2"/>
      <c r="PJ40" s="3"/>
      <c r="PK40" s="3"/>
      <c r="PL40" s="3">
        <f t="shared" si="116"/>
        <v>0</v>
      </c>
      <c r="PM40" s="3">
        <f t="shared" si="82"/>
        <v>152.63999999999999</v>
      </c>
      <c r="PN40" s="11">
        <f t="shared" si="117"/>
        <v>23630.293116668145</v>
      </c>
      <c r="PO40" s="16"/>
      <c r="PP40" s="2616"/>
      <c r="PR40" s="6"/>
      <c r="PS40" s="10"/>
      <c r="PT40" s="10"/>
      <c r="PU40" s="10"/>
      <c r="PV40" s="10"/>
      <c r="PW40" s="10"/>
      <c r="PX40" s="1101">
        <f t="shared" si="83"/>
        <v>0</v>
      </c>
      <c r="PY40" s="7">
        <f t="shared" si="84"/>
        <v>0</v>
      </c>
      <c r="PZ40" s="7"/>
      <c r="QA40" s="7"/>
      <c r="QB40" s="7"/>
      <c r="QC40" s="7"/>
      <c r="QD40" s="7"/>
      <c r="QE40" s="13">
        <f t="shared" si="85"/>
        <v>29749.381073161156</v>
      </c>
      <c r="QF40" s="1100">
        <f t="shared" si="86"/>
        <v>404514.90557805309</v>
      </c>
      <c r="QG40" s="1099">
        <f t="shared" si="87"/>
        <v>1622.38</v>
      </c>
      <c r="QH40" s="484">
        <f t="shared" si="88"/>
        <v>5505.3678056100007</v>
      </c>
      <c r="QI40" s="13"/>
      <c r="QJ40" s="2616"/>
      <c r="QL40" s="139" t="str">
        <f t="shared" si="89"/>
        <v/>
      </c>
      <c r="QM40" s="139" t="str">
        <f t="shared" si="90"/>
        <v/>
      </c>
      <c r="QO40" s="139" t="str">
        <f t="shared" si="91"/>
        <v/>
      </c>
      <c r="QP40" s="139" t="str">
        <f t="shared" si="92"/>
        <v/>
      </c>
      <c r="QR40" s="1">
        <f t="shared" si="93"/>
        <v>0</v>
      </c>
      <c r="QS40" s="1">
        <f t="shared" si="94"/>
        <v>0</v>
      </c>
      <c r="QT40" s="1">
        <f t="shared" si="95"/>
        <v>0</v>
      </c>
      <c r="QU40" s="1">
        <f t="shared" si="96"/>
        <v>0</v>
      </c>
      <c r="QV40" s="1">
        <f t="shared" si="97"/>
        <v>0</v>
      </c>
      <c r="QW40" s="1">
        <f t="shared" si="98"/>
        <v>0</v>
      </c>
      <c r="QY40" s="1">
        <f t="shared" si="99"/>
        <v>0</v>
      </c>
      <c r="QZ40" s="1">
        <f t="shared" si="100"/>
        <v>0</v>
      </c>
      <c r="RA40" s="1">
        <f t="shared" si="101"/>
        <v>0</v>
      </c>
      <c r="RB40" s="1">
        <f t="shared" si="102"/>
        <v>0</v>
      </c>
      <c r="RC40" s="1">
        <f t="shared" si="103"/>
        <v>0</v>
      </c>
      <c r="RD40" s="1">
        <f t="shared" si="104"/>
        <v>0</v>
      </c>
      <c r="RG40" s="1">
        <v>31</v>
      </c>
      <c r="RH40" s="1">
        <f t="shared" si="126"/>
        <v>50985.897209717099</v>
      </c>
      <c r="RI40" s="1">
        <f t="shared" si="126"/>
        <v>2540.8897804837115</v>
      </c>
      <c r="RJ40" s="1">
        <f t="shared" si="126"/>
        <v>13404.263703387322</v>
      </c>
      <c r="RK40" s="89">
        <f t="shared" si="5"/>
        <v>66931.050693588128</v>
      </c>
      <c r="RL40" s="1033">
        <v>31</v>
      </c>
      <c r="RM40" s="1098">
        <f t="shared" si="118"/>
        <v>0</v>
      </c>
      <c r="RN40" s="1098">
        <f t="shared" si="106"/>
        <v>0</v>
      </c>
      <c r="RO40" s="1097">
        <f t="shared" si="106"/>
        <v>0</v>
      </c>
      <c r="RP40" s="1097">
        <f t="shared" si="107"/>
        <v>0</v>
      </c>
      <c r="RQ40" s="1094"/>
      <c r="RR40" s="1096"/>
      <c r="RU40" s="421">
        <v>31</v>
      </c>
      <c r="RV40" s="1095">
        <f t="shared" si="108"/>
        <v>0</v>
      </c>
      <c r="RW40" s="1094"/>
      <c r="RY40" s="1090"/>
      <c r="RZ40" s="1090">
        <f t="shared" si="109"/>
        <v>0</v>
      </c>
      <c r="SA40" s="1090"/>
      <c r="SB40" s="1090">
        <f t="shared" si="110"/>
        <v>0</v>
      </c>
      <c r="SD40" s="1">
        <v>31</v>
      </c>
      <c r="SE40" s="1">
        <f t="shared" si="111"/>
        <v>0</v>
      </c>
      <c r="SF40" s="1094"/>
    </row>
    <row r="41" spans="1:500" s="38" customFormat="1" ht="13.95" customHeight="1">
      <c r="A41" s="307" t="s">
        <v>206</v>
      </c>
      <c r="B41" s="307"/>
      <c r="C41" s="72">
        <f>SUM(C10:C40)</f>
        <v>3763288</v>
      </c>
      <c r="D41" s="72">
        <f>SUM(D10:D40)</f>
        <v>179662.84000000003</v>
      </c>
      <c r="E41" s="38">
        <f t="shared" si="7"/>
        <v>20.946390472286865</v>
      </c>
      <c r="H41" s="38">
        <f t="shared" ref="H41:P41" si="127">SUM(H10:H40)</f>
        <v>738</v>
      </c>
      <c r="I41" s="38">
        <f t="shared" si="127"/>
        <v>171.74000000000004</v>
      </c>
      <c r="J41" s="38">
        <f t="shared" si="127"/>
        <v>0</v>
      </c>
      <c r="K41" s="38">
        <f t="shared" si="127"/>
        <v>0</v>
      </c>
      <c r="L41" s="38">
        <f t="shared" si="127"/>
        <v>279.51000000000005</v>
      </c>
      <c r="M41" s="38">
        <f t="shared" si="127"/>
        <v>121.16999999999999</v>
      </c>
      <c r="N41" s="72">
        <f t="shared" si="127"/>
        <v>0</v>
      </c>
      <c r="O41" s="72">
        <f t="shared" si="127"/>
        <v>2344406</v>
      </c>
      <c r="P41" s="38">
        <f t="shared" si="127"/>
        <v>106110.26999999999</v>
      </c>
      <c r="Q41" s="38">
        <f t="shared" si="10"/>
        <v>22.094053667001322</v>
      </c>
      <c r="R41" s="72">
        <f>SUM(R10:R40)</f>
        <v>0</v>
      </c>
      <c r="S41" s="1409">
        <f t="shared" si="11"/>
        <v>773562</v>
      </c>
      <c r="T41" s="1410">
        <f>SUM(T10:T40)</f>
        <v>31612.569999999996</v>
      </c>
      <c r="U41" s="1410">
        <f t="shared" si="13"/>
        <v>24.470076301926735</v>
      </c>
      <c r="V41" s="72">
        <f>SUM(V10:V40)</f>
        <v>0</v>
      </c>
      <c r="W41" s="72">
        <f>SUM(W10:W40)</f>
        <v>645320</v>
      </c>
      <c r="X41" s="72">
        <f>SUM(X10:X40)</f>
        <v>41940</v>
      </c>
      <c r="Y41" s="38">
        <f t="shared" si="15"/>
        <v>15.386742966142108</v>
      </c>
      <c r="Z41" s="72">
        <f>SUM(Z10:Z40)</f>
        <v>0</v>
      </c>
      <c r="AA41" s="72">
        <f>SUM(AA10:AA40)</f>
        <v>0</v>
      </c>
      <c r="AB41" s="72">
        <f t="shared" si="17"/>
        <v>0</v>
      </c>
      <c r="AC41" s="38">
        <f t="shared" si="18"/>
        <v>0</v>
      </c>
      <c r="AD41" s="72"/>
      <c r="AE41" s="72">
        <f>SUM(AE10:AE40)</f>
        <v>0</v>
      </c>
      <c r="AF41" s="38">
        <f>SUM(AF10:AF40)</f>
        <v>0</v>
      </c>
      <c r="AG41" s="38">
        <f t="shared" si="19"/>
        <v>0</v>
      </c>
      <c r="AH41" s="72">
        <f>SUM(AH10:AH40)</f>
        <v>0</v>
      </c>
      <c r="AI41" s="72">
        <f>SUM(AI10:AI40)</f>
        <v>0</v>
      </c>
      <c r="AJ41" s="72">
        <f>SUM(AJ10:AJ40)</f>
        <v>0</v>
      </c>
      <c r="AK41" s="38">
        <f t="shared" si="20"/>
        <v>0</v>
      </c>
      <c r="AL41" s="72">
        <f>SUM(AL10:AL40)</f>
        <v>0</v>
      </c>
      <c r="AM41" s="72">
        <f>SUM(AM10:AM40)</f>
        <v>0</v>
      </c>
      <c r="AN41" s="72">
        <f>SUM(AN10:AN40)</f>
        <v>0</v>
      </c>
      <c r="AO41" s="72">
        <f>SUM(AO10:AO40)</f>
        <v>0</v>
      </c>
      <c r="AP41" s="38">
        <f t="shared" si="21"/>
        <v>0</v>
      </c>
      <c r="AQ41" s="72">
        <f>SUM(AQ10:AQ40)</f>
        <v>0</v>
      </c>
      <c r="AR41" s="38">
        <f>SUM(AR10:AR40)</f>
        <v>0</v>
      </c>
      <c r="AS41" s="38">
        <f t="shared" si="22"/>
        <v>0</v>
      </c>
      <c r="AT41" s="72">
        <f>SUM(AT10:AT40)</f>
        <v>0</v>
      </c>
      <c r="AU41" s="72">
        <f>SUM(AU10:AU40)</f>
        <v>0</v>
      </c>
      <c r="AV41" s="38">
        <f t="shared" si="23"/>
        <v>0</v>
      </c>
      <c r="AW41" s="72">
        <f>SUM(AW10:AW40)</f>
        <v>1335146</v>
      </c>
      <c r="AX41" s="38">
        <f>SUM(AX10:AX40)</f>
        <v>68180.970000000016</v>
      </c>
      <c r="AY41" s="38">
        <f t="shared" si="24"/>
        <v>19.582384938201962</v>
      </c>
      <c r="AZ41" s="72">
        <f>SUM(AZ10:AZ40)</f>
        <v>0</v>
      </c>
      <c r="BA41" s="72">
        <f>SUM(BA10:BA40)</f>
        <v>0</v>
      </c>
      <c r="BB41" s="38">
        <f t="shared" si="25"/>
        <v>0</v>
      </c>
      <c r="BC41" s="72">
        <f>SUM(BC10:BC40)</f>
        <v>1009260</v>
      </c>
      <c r="BD41" s="38">
        <f>SUM(BD10:BD40)</f>
        <v>37929.299999999996</v>
      </c>
      <c r="BE41" s="38">
        <f t="shared" si="26"/>
        <v>26.608980392467039</v>
      </c>
      <c r="BF41" s="72">
        <f>SUM(BF10:BF40)</f>
        <v>0</v>
      </c>
      <c r="BG41" s="38">
        <f>SUM(BG10:BG40)</f>
        <v>0</v>
      </c>
      <c r="BH41" s="38">
        <f t="shared" si="27"/>
        <v>0</v>
      </c>
      <c r="BI41" s="72">
        <f>SUM(BI10:BI40)</f>
        <v>0</v>
      </c>
      <c r="BJ41" s="38">
        <f>SUM(BJ10:BJ40)</f>
        <v>0</v>
      </c>
      <c r="BK41" s="38">
        <f>IFERROR(BI41/BJ41,0)</f>
        <v>0</v>
      </c>
      <c r="BL41" s="72">
        <f>SUM(BL10:BL40)</f>
        <v>773562</v>
      </c>
      <c r="BM41" s="38">
        <f>SUM(BM10:BM40)</f>
        <v>31612.569999999996</v>
      </c>
      <c r="BN41" s="38">
        <f t="shared" si="29"/>
        <v>24.470076301926735</v>
      </c>
      <c r="BO41" s="72">
        <f>SUM(BO10:BO40)</f>
        <v>0</v>
      </c>
      <c r="BP41" s="38">
        <f>SUM(BP10:BP40)</f>
        <v>0</v>
      </c>
      <c r="BQ41" s="38">
        <f t="shared" si="30"/>
        <v>0</v>
      </c>
      <c r="BR41" s="72">
        <f>SUM(BR10:BR40)</f>
        <v>0</v>
      </c>
      <c r="BS41" s="38">
        <f>SUM(BS10:BS40)</f>
        <v>0</v>
      </c>
      <c r="BT41" s="38">
        <f t="shared" si="31"/>
        <v>0</v>
      </c>
      <c r="BU41" s="72">
        <f>SUM(BU10:BU40)</f>
        <v>645320</v>
      </c>
      <c r="BV41" s="72">
        <f>SUM(BV10:BV40)</f>
        <v>41940</v>
      </c>
      <c r="BW41" s="38">
        <f t="shared" si="32"/>
        <v>15.386742966142108</v>
      </c>
      <c r="BX41" s="72">
        <f>SUM(BX10:BX40)</f>
        <v>0</v>
      </c>
      <c r="BY41" s="38">
        <f>SUM(BY10:BY40)</f>
        <v>0</v>
      </c>
      <c r="BZ41" s="38">
        <f t="shared" si="33"/>
        <v>0</v>
      </c>
      <c r="CA41" s="72">
        <f>SUM(CA10:CA40)</f>
        <v>0</v>
      </c>
      <c r="CB41" s="72">
        <f>SUM(CB10:CB40)</f>
        <v>0</v>
      </c>
      <c r="CC41" s="38">
        <f t="shared" si="34"/>
        <v>0</v>
      </c>
      <c r="CD41" s="72">
        <f>SUM(CD10:CD40)</f>
        <v>0</v>
      </c>
      <c r="CE41" s="278">
        <f>SUM(CE10:CE40)</f>
        <v>0</v>
      </c>
      <c r="CF41" s="38">
        <f t="shared" si="35"/>
        <v>0</v>
      </c>
      <c r="CG41" s="72">
        <f t="shared" ref="CG41:CQ41" si="128">SUM(CG10:CG40)</f>
        <v>0</v>
      </c>
      <c r="CH41" s="72">
        <f t="shared" si="128"/>
        <v>13920</v>
      </c>
      <c r="CI41" s="72">
        <f t="shared" si="128"/>
        <v>0</v>
      </c>
      <c r="CJ41" s="72">
        <f>SUM(CJ10:CJ40)</f>
        <v>0</v>
      </c>
      <c r="CK41" s="364">
        <f t="shared" si="128"/>
        <v>301977</v>
      </c>
      <c r="CL41" s="364">
        <f t="shared" si="128"/>
        <v>0</v>
      </c>
      <c r="CM41" s="364">
        <f t="shared" si="128"/>
        <v>315897</v>
      </c>
      <c r="CN41" s="72">
        <f t="shared" si="128"/>
        <v>0</v>
      </c>
      <c r="CO41" s="72">
        <f t="shared" si="128"/>
        <v>0</v>
      </c>
      <c r="CP41" s="72">
        <f t="shared" si="128"/>
        <v>0</v>
      </c>
      <c r="CQ41" s="72">
        <f t="shared" si="128"/>
        <v>0</v>
      </c>
      <c r="CR41" s="72"/>
      <c r="CS41" s="72">
        <f>SUM(CS10:CS40)</f>
        <v>0</v>
      </c>
      <c r="CT41" s="72"/>
      <c r="CU41" s="72">
        <f>SUM(CU10:CU40)</f>
        <v>0</v>
      </c>
      <c r="CV41" s="72"/>
      <c r="CW41" s="72">
        <f>SUM(CW10:CW40)</f>
        <v>25853.97</v>
      </c>
      <c r="CX41" s="72"/>
      <c r="CY41" s="72">
        <f>SUM(CY10:CY40)</f>
        <v>132250.21</v>
      </c>
      <c r="CZ41" s="72"/>
      <c r="DA41" s="72">
        <f>SUM(DA10:DA40)</f>
        <v>19936.280000000002</v>
      </c>
      <c r="DB41" s="72"/>
      <c r="DC41" s="38">
        <f>SUM(DC10:DC40)</f>
        <v>179662.84000000003</v>
      </c>
      <c r="DD41" s="72">
        <f>SUM(DD10:DD40)</f>
        <v>0</v>
      </c>
      <c r="DE41" s="72">
        <f>SUM(DE10:DE40)</f>
        <v>0</v>
      </c>
      <c r="DF41" s="72"/>
      <c r="DG41" s="38">
        <f>SUM(DG10:DG40)</f>
        <v>0</v>
      </c>
      <c r="DH41" s="72"/>
      <c r="DI41" s="72">
        <f>SUM(DI10:DI40)</f>
        <v>0</v>
      </c>
      <c r="DJ41" s="72"/>
      <c r="DK41" s="38">
        <f>SUM(DK10:DK40)</f>
        <v>25853.97</v>
      </c>
      <c r="DL41" s="72"/>
      <c r="DM41" s="72">
        <f t="shared" ref="DM41:DR41" si="129">SUM(DM10:DM40)</f>
        <v>40704.619999999995</v>
      </c>
      <c r="DN41" s="72">
        <f t="shared" si="129"/>
        <v>0</v>
      </c>
      <c r="DO41" s="38">
        <f t="shared" si="129"/>
        <v>0</v>
      </c>
      <c r="DP41" s="72">
        <f t="shared" si="129"/>
        <v>0</v>
      </c>
      <c r="DQ41" s="72">
        <f t="shared" si="129"/>
        <v>66558.590000000011</v>
      </c>
      <c r="DR41" s="72">
        <f t="shared" si="129"/>
        <v>0</v>
      </c>
      <c r="DS41" s="72"/>
      <c r="DT41" s="72">
        <f>SUM(DT10:DT40)</f>
        <v>0</v>
      </c>
      <c r="DU41" s="72"/>
      <c r="DV41" s="72">
        <f>SUM(DV10:DV40)</f>
        <v>0</v>
      </c>
      <c r="DW41" s="72"/>
      <c r="DX41" s="72">
        <f>SUM(DX10:DX40)</f>
        <v>0</v>
      </c>
      <c r="DY41" s="72"/>
      <c r="DZ41" s="38">
        <f>SUM(DZ10:DZ40)</f>
        <v>61045.590000000011</v>
      </c>
      <c r="EB41" s="38">
        <f>SUM(EB10:EB40)</f>
        <v>8496.2800000000007</v>
      </c>
      <c r="EC41" s="72"/>
      <c r="ED41" s="38">
        <f t="shared" ref="ED41:EI41" si="130">SUM(ED10:ED40)</f>
        <v>69541.87</v>
      </c>
      <c r="EE41" s="72">
        <f t="shared" si="130"/>
        <v>0</v>
      </c>
      <c r="EF41" s="72">
        <f t="shared" si="130"/>
        <v>0</v>
      </c>
      <c r="EG41" s="72">
        <f t="shared" si="130"/>
        <v>0</v>
      </c>
      <c r="EH41" s="72">
        <f t="shared" si="130"/>
        <v>0</v>
      </c>
      <c r="EI41" s="72">
        <f t="shared" si="130"/>
        <v>0</v>
      </c>
      <c r="EJ41" s="72"/>
      <c r="EK41" s="72">
        <f>SUM(EK10:EK40)</f>
        <v>0</v>
      </c>
      <c r="EL41" s="278">
        <f>SUM(EL10:EL40)</f>
        <v>0</v>
      </c>
      <c r="EM41" s="72">
        <f>SUM(EM10:EM40)</f>
        <v>30500</v>
      </c>
      <c r="EN41" s="72"/>
      <c r="EO41" s="72">
        <f>SUM(EO10:EO40)</f>
        <v>11440</v>
      </c>
      <c r="EP41" s="72"/>
      <c r="EQ41" s="38">
        <f t="shared" ref="EQ41:FU41" si="131">SUM(EQ10:EQ40)</f>
        <v>41940</v>
      </c>
      <c r="ER41" s="72">
        <f t="shared" si="131"/>
        <v>0</v>
      </c>
      <c r="ES41" s="72">
        <f t="shared" si="131"/>
        <v>0</v>
      </c>
      <c r="ET41" s="72">
        <f t="shared" si="131"/>
        <v>0</v>
      </c>
      <c r="EU41" s="72">
        <f t="shared" si="131"/>
        <v>0</v>
      </c>
      <c r="EV41" s="72">
        <f t="shared" si="131"/>
        <v>0</v>
      </c>
      <c r="EW41" s="72">
        <f t="shared" si="131"/>
        <v>0</v>
      </c>
      <c r="EX41" s="72">
        <f t="shared" si="131"/>
        <v>0</v>
      </c>
      <c r="EY41" s="72">
        <f t="shared" si="131"/>
        <v>0</v>
      </c>
      <c r="EZ41" s="72">
        <f t="shared" si="131"/>
        <v>0</v>
      </c>
      <c r="FA41" s="72">
        <f t="shared" si="131"/>
        <v>0</v>
      </c>
      <c r="FB41" s="72">
        <f t="shared" si="131"/>
        <v>0</v>
      </c>
      <c r="FC41" s="72">
        <f t="shared" si="131"/>
        <v>0</v>
      </c>
      <c r="FD41" s="72">
        <f t="shared" si="131"/>
        <v>0</v>
      </c>
      <c r="FE41" s="72">
        <f t="shared" si="131"/>
        <v>0</v>
      </c>
      <c r="FF41" s="72">
        <f t="shared" si="131"/>
        <v>0</v>
      </c>
      <c r="FG41" s="72">
        <f t="shared" si="131"/>
        <v>0</v>
      </c>
      <c r="FH41" s="72">
        <f t="shared" si="131"/>
        <v>0</v>
      </c>
      <c r="FI41" s="72">
        <f t="shared" si="131"/>
        <v>0</v>
      </c>
      <c r="FJ41" s="72">
        <f t="shared" si="131"/>
        <v>0</v>
      </c>
      <c r="FK41" s="72">
        <f t="shared" si="131"/>
        <v>0</v>
      </c>
      <c r="FL41" s="72">
        <f t="shared" si="131"/>
        <v>0</v>
      </c>
      <c r="FM41" s="72">
        <f t="shared" si="131"/>
        <v>0</v>
      </c>
      <c r="FN41" s="72">
        <f t="shared" si="131"/>
        <v>0</v>
      </c>
      <c r="FO41" s="72">
        <f t="shared" si="131"/>
        <v>0</v>
      </c>
      <c r="FP41" s="72">
        <f t="shared" si="131"/>
        <v>0</v>
      </c>
      <c r="FQ41" s="72">
        <f t="shared" si="131"/>
        <v>0</v>
      </c>
      <c r="FR41" s="72">
        <f t="shared" si="131"/>
        <v>0</v>
      </c>
      <c r="FS41" s="72">
        <f t="shared" si="131"/>
        <v>0</v>
      </c>
      <c r="FT41" s="72">
        <f t="shared" si="131"/>
        <v>0</v>
      </c>
      <c r="FU41" s="72">
        <f t="shared" si="131"/>
        <v>0</v>
      </c>
      <c r="FV41" s="72"/>
      <c r="FW41" s="72">
        <f>SUM(FW10:FW40)</f>
        <v>0</v>
      </c>
      <c r="FX41" s="72"/>
      <c r="FY41" s="72">
        <f>SUM(FY10:FY40)</f>
        <v>0</v>
      </c>
      <c r="FZ41" s="72"/>
      <c r="GA41" s="72">
        <f>SUM(GA10:GA40)</f>
        <v>0</v>
      </c>
      <c r="GB41" s="72"/>
      <c r="GC41" s="72">
        <f>SUM(GC10:GC40)</f>
        <v>0</v>
      </c>
      <c r="GE41" s="72">
        <f>SUM(GE10:GE40)</f>
        <v>0</v>
      </c>
      <c r="GF41" s="72"/>
      <c r="GG41" s="72">
        <f t="shared" ref="GG41:HK41" si="132">SUM(GG10:GG40)</f>
        <v>0</v>
      </c>
      <c r="GH41" s="72">
        <f t="shared" si="132"/>
        <v>0</v>
      </c>
      <c r="GI41" s="72">
        <f t="shared" si="132"/>
        <v>0</v>
      </c>
      <c r="GJ41" s="38">
        <f t="shared" si="132"/>
        <v>47696.350000000013</v>
      </c>
      <c r="GK41" s="38">
        <f t="shared" si="132"/>
        <v>66686.23</v>
      </c>
      <c r="GL41" s="38">
        <f t="shared" si="132"/>
        <v>147936.15000000002</v>
      </c>
      <c r="GM41" s="38">
        <f t="shared" si="132"/>
        <v>262318.73000000004</v>
      </c>
      <c r="GN41" s="72">
        <f t="shared" si="132"/>
        <v>0</v>
      </c>
      <c r="GO41" s="72">
        <f t="shared" si="132"/>
        <v>0</v>
      </c>
      <c r="GP41" s="72">
        <f t="shared" si="132"/>
        <v>0</v>
      </c>
      <c r="GQ41" s="72">
        <f t="shared" si="132"/>
        <v>0</v>
      </c>
      <c r="GR41" s="38">
        <f t="shared" si="132"/>
        <v>116569.01000000001</v>
      </c>
      <c r="GS41" s="38">
        <f t="shared" si="132"/>
        <v>3978.6700000000005</v>
      </c>
      <c r="GT41" s="38">
        <f t="shared" si="132"/>
        <v>69467.130000000019</v>
      </c>
      <c r="GU41" s="72">
        <f t="shared" si="132"/>
        <v>72303.919999999984</v>
      </c>
      <c r="GV41" s="38">
        <f t="shared" si="132"/>
        <v>262318.73000000004</v>
      </c>
      <c r="GW41" s="72">
        <f t="shared" si="132"/>
        <v>0</v>
      </c>
      <c r="GX41" s="38">
        <f t="shared" si="132"/>
        <v>0</v>
      </c>
      <c r="GY41" s="72">
        <f t="shared" si="132"/>
        <v>0</v>
      </c>
      <c r="GZ41" s="72">
        <f t="shared" si="132"/>
        <v>0</v>
      </c>
      <c r="HA41" s="72">
        <f t="shared" si="132"/>
        <v>0</v>
      </c>
      <c r="HB41" s="72">
        <f t="shared" si="132"/>
        <v>0</v>
      </c>
      <c r="HC41" s="72">
        <f t="shared" si="132"/>
        <v>0</v>
      </c>
      <c r="HD41" s="72">
        <f t="shared" si="132"/>
        <v>0</v>
      </c>
      <c r="HE41" s="72">
        <f t="shared" si="132"/>
        <v>0</v>
      </c>
      <c r="HF41" s="38">
        <f t="shared" si="132"/>
        <v>28531.779999999995</v>
      </c>
      <c r="HG41" s="72">
        <f t="shared" si="132"/>
        <v>0</v>
      </c>
      <c r="HH41" s="38">
        <f t="shared" si="132"/>
        <v>15185.9</v>
      </c>
      <c r="HI41" s="72">
        <f t="shared" si="132"/>
        <v>0</v>
      </c>
      <c r="HJ41" s="38">
        <f t="shared" si="132"/>
        <v>3978.6700000000005</v>
      </c>
      <c r="HK41" s="72">
        <f t="shared" si="132"/>
        <v>0</v>
      </c>
      <c r="HL41" s="38">
        <f t="shared" si="54"/>
        <v>47696.349999999991</v>
      </c>
      <c r="HM41" s="38">
        <f t="shared" ref="HM41:HZ41" si="133">SUM(HM10:HM40)</f>
        <v>0</v>
      </c>
      <c r="HN41" s="38">
        <f t="shared" si="133"/>
        <v>0</v>
      </c>
      <c r="HO41" s="38">
        <f t="shared" si="133"/>
        <v>0</v>
      </c>
      <c r="HP41" s="38">
        <f t="shared" si="133"/>
        <v>0</v>
      </c>
      <c r="HQ41" s="38">
        <f t="shared" si="133"/>
        <v>0</v>
      </c>
      <c r="HR41" s="38">
        <f t="shared" si="133"/>
        <v>0</v>
      </c>
      <c r="HS41" s="38">
        <f t="shared" si="133"/>
        <v>0</v>
      </c>
      <c r="HT41" s="38">
        <f t="shared" si="133"/>
        <v>0</v>
      </c>
      <c r="HU41" s="38">
        <f t="shared" si="133"/>
        <v>0</v>
      </c>
      <c r="HV41" s="38">
        <f t="shared" si="133"/>
        <v>0</v>
      </c>
      <c r="HW41" s="38">
        <f t="shared" si="133"/>
        <v>0</v>
      </c>
      <c r="HX41" s="38">
        <f t="shared" si="133"/>
        <v>0</v>
      </c>
      <c r="HY41" s="38">
        <f t="shared" si="133"/>
        <v>0</v>
      </c>
      <c r="HZ41" s="38">
        <f t="shared" si="133"/>
        <v>0</v>
      </c>
      <c r="IA41" s="38">
        <f t="shared" si="55"/>
        <v>0</v>
      </c>
      <c r="IB41" s="38">
        <f t="shared" ref="IB41:JM41" si="134">SUM(IB10:IB40)</f>
        <v>0</v>
      </c>
      <c r="IC41" s="38">
        <f t="shared" si="134"/>
        <v>0</v>
      </c>
      <c r="ID41" s="38">
        <f t="shared" si="134"/>
        <v>0</v>
      </c>
      <c r="IE41" s="38">
        <f t="shared" si="134"/>
        <v>0</v>
      </c>
      <c r="IF41" s="38">
        <f t="shared" si="134"/>
        <v>0</v>
      </c>
      <c r="IG41" s="38">
        <f t="shared" si="134"/>
        <v>0</v>
      </c>
      <c r="IH41" s="38">
        <f t="shared" si="134"/>
        <v>26570.82</v>
      </c>
      <c r="II41" s="38">
        <f t="shared" si="134"/>
        <v>0</v>
      </c>
      <c r="IJ41" s="38">
        <f t="shared" si="134"/>
        <v>40115.410000000003</v>
      </c>
      <c r="IK41" s="38">
        <f t="shared" si="134"/>
        <v>0</v>
      </c>
      <c r="IL41" s="38">
        <f t="shared" si="134"/>
        <v>0</v>
      </c>
      <c r="IM41" s="72">
        <f t="shared" si="134"/>
        <v>0</v>
      </c>
      <c r="IN41" s="72">
        <f t="shared" si="134"/>
        <v>0</v>
      </c>
      <c r="IO41" s="72">
        <f t="shared" si="134"/>
        <v>0</v>
      </c>
      <c r="IP41" s="38">
        <f t="shared" si="134"/>
        <v>66686.23</v>
      </c>
      <c r="IQ41" s="72">
        <f t="shared" si="134"/>
        <v>0</v>
      </c>
      <c r="IR41" s="72">
        <f t="shared" si="134"/>
        <v>0</v>
      </c>
      <c r="IS41" s="72">
        <f t="shared" si="134"/>
        <v>0</v>
      </c>
      <c r="IT41" s="72">
        <f t="shared" si="134"/>
        <v>0</v>
      </c>
      <c r="IU41" s="38">
        <f t="shared" si="134"/>
        <v>0</v>
      </c>
      <c r="IV41" s="72">
        <f t="shared" si="134"/>
        <v>0</v>
      </c>
      <c r="IW41" s="72">
        <f t="shared" si="134"/>
        <v>0</v>
      </c>
      <c r="IX41" s="72">
        <f t="shared" si="134"/>
        <v>0</v>
      </c>
      <c r="IY41" s="38">
        <f t="shared" si="134"/>
        <v>131186.10999999999</v>
      </c>
      <c r="IZ41" s="72">
        <f t="shared" si="134"/>
        <v>0</v>
      </c>
      <c r="JA41" s="38">
        <f t="shared" si="134"/>
        <v>16750.04</v>
      </c>
      <c r="JB41" s="72">
        <f t="shared" si="134"/>
        <v>0</v>
      </c>
      <c r="JC41" s="72">
        <f t="shared" si="134"/>
        <v>0</v>
      </c>
      <c r="JD41" s="72">
        <f t="shared" si="134"/>
        <v>0</v>
      </c>
      <c r="JE41" s="38">
        <f t="shared" si="134"/>
        <v>147936.15000000002</v>
      </c>
      <c r="JF41" s="72">
        <f t="shared" si="134"/>
        <v>0</v>
      </c>
      <c r="JG41" s="72">
        <f t="shared" si="134"/>
        <v>0</v>
      </c>
      <c r="JH41" s="38">
        <f>SUM(JH10:JH40)</f>
        <v>182546.33000000002</v>
      </c>
      <c r="JI41" s="38">
        <f t="shared" si="134"/>
        <v>79772.399999999994</v>
      </c>
      <c r="JJ41" s="72">
        <f t="shared" si="134"/>
        <v>0</v>
      </c>
      <c r="JK41" s="38">
        <f t="shared" si="134"/>
        <v>262318.73000000004</v>
      </c>
      <c r="JL41" s="72">
        <f t="shared" si="134"/>
        <v>0</v>
      </c>
      <c r="JM41" s="72">
        <f t="shared" si="134"/>
        <v>0</v>
      </c>
      <c r="JN41" s="38">
        <f t="shared" ref="JN41:JU41" si="135">IFERROR(SUM(JN10:JN40)/SUM($JN$10:$JU$40),"")</f>
        <v>0</v>
      </c>
      <c r="JO41" s="38">
        <f t="shared" si="135"/>
        <v>0</v>
      </c>
      <c r="JP41" s="38">
        <f t="shared" si="135"/>
        <v>0</v>
      </c>
      <c r="JQ41" s="38">
        <f t="shared" si="135"/>
        <v>0</v>
      </c>
      <c r="JR41" s="38">
        <f t="shared" si="135"/>
        <v>0.88975662553257184</v>
      </c>
      <c r="JS41" s="305">
        <f t="shared" si="135"/>
        <v>0.11024337446742813</v>
      </c>
      <c r="JT41" s="38">
        <f t="shared" si="135"/>
        <v>0</v>
      </c>
      <c r="JU41" s="38">
        <f t="shared" si="135"/>
        <v>0</v>
      </c>
      <c r="JV41" s="38">
        <f t="shared" ref="JV41:KK41" si="136">IFERROR(SUM(JV10:JV40)/SUM($JV$10:$KC$40),"")</f>
        <v>0</v>
      </c>
      <c r="JW41" s="38">
        <f t="shared" si="136"/>
        <v>0</v>
      </c>
      <c r="JX41" s="38">
        <f t="shared" si="136"/>
        <v>0</v>
      </c>
      <c r="JY41" s="38">
        <f t="shared" si="136"/>
        <v>0.28874755212317121</v>
      </c>
      <c r="JZ41" s="38">
        <f t="shared" si="136"/>
        <v>0.29730779623932474</v>
      </c>
      <c r="KA41" s="38">
        <f t="shared" si="136"/>
        <v>0.41394465163750394</v>
      </c>
      <c r="KB41" s="38">
        <f t="shared" si="136"/>
        <v>0</v>
      </c>
      <c r="KC41" s="38">
        <f t="shared" si="136"/>
        <v>0</v>
      </c>
      <c r="KD41" s="38">
        <f t="shared" si="136"/>
        <v>0</v>
      </c>
      <c r="KE41" s="38">
        <f t="shared" si="136"/>
        <v>0</v>
      </c>
      <c r="KF41" s="38">
        <f t="shared" si="136"/>
        <v>0</v>
      </c>
      <c r="KG41" s="38">
        <f t="shared" si="136"/>
        <v>0</v>
      </c>
      <c r="KH41" s="38">
        <f t="shared" si="136"/>
        <v>0</v>
      </c>
      <c r="KI41" s="38">
        <f t="shared" si="136"/>
        <v>0</v>
      </c>
      <c r="KJ41" s="38">
        <f t="shared" si="136"/>
        <v>0</v>
      </c>
      <c r="KK41" s="38">
        <f t="shared" si="136"/>
        <v>0</v>
      </c>
      <c r="KL41" s="72">
        <f>SUM(KL10:KL40)</f>
        <v>0</v>
      </c>
      <c r="KM41" s="72">
        <f>SUM(KM10:KM40)</f>
        <v>0</v>
      </c>
      <c r="KN41" s="72">
        <f>IFERROR(SUMPRODUCT((KN10:KN40&lt;&gt;"")*KN10:KN40,$JH$10:$JH$40)/SUMIFS($JH$10:$JH$40,KN10:KN40,"&gt;"&amp;0),0)</f>
        <v>6977.6796518456449</v>
      </c>
      <c r="KO41" s="38">
        <f>IFERROR(SUMPRODUCT((KO10:KO40&lt;&gt;"")*KO10:KO40,$JH$10:$JH$40)/SUMIFS($JH$10:$JH$40,KO10:KO40,"&gt;"&amp;0),0)</f>
        <v>0.57034838226776974</v>
      </c>
      <c r="KP41" s="38">
        <f>IFERROR(SUMPRODUCT((KP10:KP40&lt;&gt;"")*KP10:KP40,$JH$10:$JH$40)/SUMIFS($JH$10:$JH$40,KP10:KP40,"&gt;"&amp;0),0)</f>
        <v>4.0446061678960357</v>
      </c>
      <c r="KQ41" s="38">
        <f>IFERROR(SUMPRODUCT((KQ10:KQ40&lt;&gt;"")*KQ10:KQ40,$JH$10:$JH$40)/SUMIFS($JH$10:$JH$40,KQ10:KQ40,"&gt;"&amp;0),0)</f>
        <v>6.9908870824138702</v>
      </c>
      <c r="KR41" s="38">
        <f>IFERROR(SUMPRODUCT((KR10:KR40&lt;&gt;"")*KR10:KR40,$JH$10:$JH$40)/SUMIFS($JH$10:$JH$40,KR10:KR40,"&gt;"&amp;0),0)</f>
        <v>11.325067295260697</v>
      </c>
      <c r="KS41" s="72">
        <f>IFERROR(SUMPRODUCT((KS10:KS40&lt;&gt;"")*KS10:KS40,$JI$10:$JI$40)/SUMIFS($JI$10:$JI$40,KS10:KS40,"&gt;"&amp;0),0)</f>
        <v>6796.5652877473058</v>
      </c>
      <c r="KT41" s="38">
        <f>IFERROR(SUMPRODUCT((KT10:KT40&lt;&gt;"")*KT10:KT40,$JI$10:$JI$40)/SUMIFS($JI$10:$JI$40,KT10:KT40,"&gt;"&amp;0),0)</f>
        <v>1.6132726527252643</v>
      </c>
      <c r="KU41" s="38">
        <f>IFERROR(SUMPRODUCT((KU10:KU40&lt;&gt;"")*KU10:KU40,$JI$10:$JI$40)/SUMIFS($JI$10:$JI$40,KU10:KU40,"&gt;"&amp;0),0)</f>
        <v>6.0342105622171403</v>
      </c>
      <c r="KV41" s="38">
        <f>IFERROR(SUMPRODUCT((KV10:KV40&lt;&gt;"")*KV10:KV40,$JI$10:$JI$40)/SUMIFS($JI$10:$JI$40,KV10:KV40,"&gt;"&amp;0),0)</f>
        <v>6.7750326240689622</v>
      </c>
      <c r="KW41" s="38">
        <f>IFERROR(SUMPRODUCT((KW10:KW40&lt;&gt;"")*KW10:KW40,$JI$10:$JI$40)/SUMIFS($JI$10:$JI$40,KW10:KW40,"&gt;"&amp;0),0)</f>
        <v>11.114145580090542</v>
      </c>
      <c r="KX41" s="72">
        <f>IFERROR(SUMPRODUCT((KX10:KX40&lt;&gt;"")*KX10:KX40,$JJ$10:$JJ$40)/SUMIFS($JJ$10:$JJ$40,KX10:KX40,"&gt;"&amp;0),0)</f>
        <v>0</v>
      </c>
      <c r="KY41" s="38">
        <f>IFERROR(SUMPRODUCT((KY10:KY40&lt;&gt;"")*KY10:KY40,$JJ$10:$JJ$40)/SUMIFS($JJ$10:$JJ$40,KY10:KY40,"&gt;"&amp;0),0)</f>
        <v>0</v>
      </c>
      <c r="KZ41" s="38">
        <f>IFERROR(SUMPRODUCT((KZ10:KZ40&lt;&gt;"")*KZ10:KZ40,$JJ$10:$JJ$40)/SUMIFS($JJ$10:$JJ$40,KZ10:KZ40,"&gt;"&amp;0),0)</f>
        <v>0</v>
      </c>
      <c r="LA41" s="38">
        <f>IFERROR(SUMPRODUCT((LA10:LA40&lt;&gt;"")*LA10:LA40,$JJ$10:$JJ$40)/SUMIFS($JJ$10:$JJ$40,LA10:LA40,"&gt;"&amp;0),0)</f>
        <v>0</v>
      </c>
      <c r="LB41" s="38">
        <f>IFERROR(SUMPRODUCT((LB10:LB40&lt;&gt;"")*LB10:LB40,$JJ$10:$JJ$40)/SUMIFS($JJ$10:$JJ$40,LB10:LB40,"&gt;"&amp;0),0)</f>
        <v>0</v>
      </c>
      <c r="LC41" s="72"/>
      <c r="LD41" s="72">
        <f t="shared" ref="LD41:LM41" si="137">SUM(LD10:LD40)</f>
        <v>0</v>
      </c>
      <c r="LE41" s="72">
        <f t="shared" si="137"/>
        <v>0</v>
      </c>
      <c r="LF41" s="38">
        <f t="shared" si="137"/>
        <v>188447.35950000002</v>
      </c>
      <c r="LG41" s="38">
        <f t="shared" si="137"/>
        <v>89434.195999999996</v>
      </c>
      <c r="LH41" s="278">
        <f t="shared" si="137"/>
        <v>0</v>
      </c>
      <c r="LI41" s="278">
        <f t="shared" si="137"/>
        <v>277881.55549999996</v>
      </c>
      <c r="LJ41" s="72">
        <f t="shared" si="137"/>
        <v>37</v>
      </c>
      <c r="LK41" s="72">
        <f t="shared" si="137"/>
        <v>5</v>
      </c>
      <c r="LL41" s="72">
        <f t="shared" si="137"/>
        <v>105</v>
      </c>
      <c r="LM41" s="72">
        <f t="shared" si="137"/>
        <v>0</v>
      </c>
      <c r="LN41" s="72">
        <f>AVERAGE(LN10:LN40)</f>
        <v>6.0571428571428569</v>
      </c>
      <c r="LO41" s="72">
        <f t="shared" ref="LO41:MI41" si="138">SUM(LO10:LO40)</f>
        <v>0</v>
      </c>
      <c r="LP41" s="72">
        <f t="shared" si="138"/>
        <v>0</v>
      </c>
      <c r="LQ41" s="38">
        <f t="shared" si="138"/>
        <v>181101.72150000001</v>
      </c>
      <c r="LR41" s="72">
        <f t="shared" si="138"/>
        <v>29527.994000000002</v>
      </c>
      <c r="LS41" s="72">
        <f t="shared" si="138"/>
        <v>0</v>
      </c>
      <c r="LT41" s="72">
        <f t="shared" si="138"/>
        <v>0</v>
      </c>
      <c r="LU41" s="72">
        <f t="shared" si="138"/>
        <v>0</v>
      </c>
      <c r="LV41" s="72">
        <f t="shared" si="138"/>
        <v>210629.71550000002</v>
      </c>
      <c r="LW41" s="72">
        <f t="shared" si="138"/>
        <v>7345.6380000000008</v>
      </c>
      <c r="LX41" s="72">
        <f t="shared" si="138"/>
        <v>59906.202000000005</v>
      </c>
      <c r="LY41" s="72">
        <f t="shared" si="138"/>
        <v>0</v>
      </c>
      <c r="LZ41" s="72">
        <f t="shared" si="138"/>
        <v>0</v>
      </c>
      <c r="MA41" s="72">
        <f t="shared" si="138"/>
        <v>0</v>
      </c>
      <c r="MB41" s="72">
        <f t="shared" si="138"/>
        <v>67251.839999999997</v>
      </c>
      <c r="MC41" s="72">
        <f t="shared" si="138"/>
        <v>0</v>
      </c>
      <c r="MD41" s="72">
        <f t="shared" si="138"/>
        <v>0</v>
      </c>
      <c r="ME41" s="72">
        <f t="shared" si="138"/>
        <v>0</v>
      </c>
      <c r="MF41" s="72">
        <f t="shared" si="138"/>
        <v>0</v>
      </c>
      <c r="MG41" s="72">
        <f t="shared" si="138"/>
        <v>0</v>
      </c>
      <c r="MH41" s="72">
        <f t="shared" si="138"/>
        <v>0</v>
      </c>
      <c r="MI41" s="72">
        <f t="shared" si="138"/>
        <v>0</v>
      </c>
      <c r="MJ41" s="72"/>
      <c r="MK41" s="72">
        <f>SUM(MK10:MK40)</f>
        <v>0</v>
      </c>
      <c r="ML41" s="72">
        <f>SUM(ML10:ML40)</f>
        <v>0</v>
      </c>
      <c r="MM41" s="72">
        <f>SUM(MM10:MM40)</f>
        <v>0</v>
      </c>
      <c r="MN41" s="72">
        <f>SUM(MN10:MN40)</f>
        <v>0</v>
      </c>
      <c r="MO41" s="72">
        <f>SUM(MO10:MO40)</f>
        <v>0</v>
      </c>
      <c r="MP41" s="72"/>
      <c r="MQ41" s="72">
        <f t="shared" ref="MQ41:MV41" si="139">SUM(MQ10:MQ40)</f>
        <v>0</v>
      </c>
      <c r="MR41" s="72">
        <f t="shared" si="139"/>
        <v>0</v>
      </c>
      <c r="MS41" s="72">
        <f t="shared" si="139"/>
        <v>0</v>
      </c>
      <c r="MT41" s="72">
        <f t="shared" si="139"/>
        <v>0</v>
      </c>
      <c r="MU41" s="72">
        <f t="shared" si="139"/>
        <v>0</v>
      </c>
      <c r="MV41" s="72">
        <f t="shared" si="139"/>
        <v>0</v>
      </c>
      <c r="MW41" s="72">
        <f>+MW40</f>
        <v>86660.973785492213</v>
      </c>
      <c r="MX41" s="72">
        <f>+MX40</f>
        <v>75097.511028039225</v>
      </c>
      <c r="MY41" s="72">
        <f>+MY40</f>
        <v>23630.293116668145</v>
      </c>
      <c r="MZ41" s="72">
        <f>+MZ40</f>
        <v>435886.66665121424</v>
      </c>
      <c r="NA41" s="72">
        <f>+NA40</f>
        <v>0</v>
      </c>
      <c r="NB41" s="1093">
        <f t="shared" ref="NB41:ND42" si="140">NB40</f>
        <v>70347.526254802418</v>
      </c>
      <c r="NC41" s="1092">
        <f t="shared" si="140"/>
        <v>16313.447530689791</v>
      </c>
      <c r="ND41" s="72">
        <f t="shared" si="140"/>
        <v>0</v>
      </c>
      <c r="NE41" s="72">
        <f t="shared" ref="NE41:PF42" si="141">+NE40</f>
        <v>86660.973785492213</v>
      </c>
      <c r="NF41" s="72">
        <f t="shared" si="141"/>
        <v>0</v>
      </c>
      <c r="NG41" s="72">
        <f t="shared" si="141"/>
        <v>0</v>
      </c>
      <c r="NH41" s="72">
        <f t="shared" si="141"/>
        <v>0</v>
      </c>
      <c r="NI41" s="72">
        <f t="shared" si="141"/>
        <v>0</v>
      </c>
      <c r="NJ41" s="72">
        <f t="shared" si="141"/>
        <v>0</v>
      </c>
      <c r="NK41" s="72">
        <f t="shared" si="141"/>
        <v>0</v>
      </c>
      <c r="NL41" s="72">
        <f t="shared" si="141"/>
        <v>0</v>
      </c>
      <c r="NM41" s="278">
        <f t="shared" si="141"/>
        <v>0</v>
      </c>
      <c r="NN41" s="72">
        <f t="shared" si="141"/>
        <v>38378.082027032746</v>
      </c>
      <c r="NO41" s="72">
        <f t="shared" si="141"/>
        <v>0</v>
      </c>
      <c r="NP41" s="72">
        <f t="shared" si="141"/>
        <v>8756.5482322711578</v>
      </c>
      <c r="NQ41" s="72">
        <f t="shared" si="141"/>
        <v>14844.915013230799</v>
      </c>
      <c r="NR41" s="72">
        <f t="shared" si="141"/>
        <v>61979.545272534699</v>
      </c>
      <c r="NS41" s="72">
        <f t="shared" si="141"/>
        <v>0</v>
      </c>
      <c r="NT41" s="72">
        <f t="shared" si="141"/>
        <v>0</v>
      </c>
      <c r="NU41" s="72">
        <f t="shared" si="141"/>
        <v>0</v>
      </c>
      <c r="NV41" s="72">
        <f t="shared" si="141"/>
        <v>0</v>
      </c>
      <c r="NW41" s="72">
        <f t="shared" si="141"/>
        <v>0</v>
      </c>
      <c r="NX41" s="72">
        <f t="shared" si="141"/>
        <v>0</v>
      </c>
      <c r="NY41" s="72">
        <f t="shared" si="141"/>
        <v>5216.6846092523811</v>
      </c>
      <c r="NZ41" s="72">
        <f t="shared" si="141"/>
        <v>0</v>
      </c>
      <c r="OA41" s="72">
        <f t="shared" si="141"/>
        <v>4710.1299999999992</v>
      </c>
      <c r="OB41" s="72">
        <f t="shared" si="141"/>
        <v>0</v>
      </c>
      <c r="OC41" s="72">
        <f t="shared" si="141"/>
        <v>1565.61197844705</v>
      </c>
      <c r="OD41" s="72">
        <f t="shared" si="141"/>
        <v>0</v>
      </c>
      <c r="OE41" s="72">
        <f t="shared" si="141"/>
        <v>11492.42658769943</v>
      </c>
      <c r="OF41" s="72">
        <f t="shared" si="141"/>
        <v>0</v>
      </c>
      <c r="OG41" s="72">
        <f t="shared" si="141"/>
        <v>0</v>
      </c>
      <c r="OH41" s="72">
        <f t="shared" si="141"/>
        <v>0</v>
      </c>
      <c r="OI41" s="72">
        <f t="shared" si="141"/>
        <v>0</v>
      </c>
      <c r="OJ41" s="72">
        <f t="shared" si="141"/>
        <v>0</v>
      </c>
      <c r="OK41" s="72">
        <f t="shared" si="141"/>
        <v>0</v>
      </c>
      <c r="OL41" s="72">
        <f t="shared" si="141"/>
        <v>0</v>
      </c>
      <c r="OM41" s="72">
        <f t="shared" si="141"/>
        <v>0</v>
      </c>
      <c r="ON41" s="72">
        <f t="shared" si="141"/>
        <v>774.54</v>
      </c>
      <c r="OO41" s="72">
        <f t="shared" si="141"/>
        <v>0</v>
      </c>
      <c r="OP41" s="72">
        <f t="shared" si="141"/>
        <v>850.9991678051008</v>
      </c>
      <c r="OQ41" s="72">
        <f t="shared" si="141"/>
        <v>0</v>
      </c>
      <c r="OR41" s="72">
        <f t="shared" si="141"/>
        <v>1625.5391678051008</v>
      </c>
      <c r="OS41" s="72">
        <f t="shared" si="141"/>
        <v>0</v>
      </c>
      <c r="OT41" s="72">
        <f t="shared" si="141"/>
        <v>0</v>
      </c>
      <c r="OU41" s="72">
        <f t="shared" si="141"/>
        <v>0</v>
      </c>
      <c r="OV41" s="72">
        <f t="shared" si="141"/>
        <v>0</v>
      </c>
      <c r="OW41" s="72">
        <f t="shared" si="141"/>
        <v>0</v>
      </c>
      <c r="OX41" s="72">
        <f t="shared" si="141"/>
        <v>0</v>
      </c>
      <c r="OY41" s="72">
        <f t="shared" si="141"/>
        <v>0</v>
      </c>
      <c r="OZ41" s="72">
        <f t="shared" si="141"/>
        <v>0</v>
      </c>
      <c r="PA41" s="72">
        <f t="shared" si="141"/>
        <v>0</v>
      </c>
      <c r="PB41" s="72">
        <f t="shared" si="141"/>
        <v>0</v>
      </c>
      <c r="PC41" s="72">
        <f t="shared" si="141"/>
        <v>0</v>
      </c>
      <c r="PD41" s="72">
        <f t="shared" si="141"/>
        <v>0</v>
      </c>
      <c r="PE41" s="72">
        <f t="shared" si="141"/>
        <v>0</v>
      </c>
      <c r="PF41" s="72">
        <f t="shared" si="141"/>
        <v>0</v>
      </c>
      <c r="PG41" s="72">
        <f t="shared" ref="PG41:PL41" si="142">SUM(PG10:PG40)</f>
        <v>0</v>
      </c>
      <c r="PH41" s="72">
        <f t="shared" si="142"/>
        <v>0</v>
      </c>
      <c r="PI41" s="38">
        <f t="shared" si="142"/>
        <v>7543.55</v>
      </c>
      <c r="PJ41" s="72">
        <f t="shared" si="142"/>
        <v>9304.5500000000011</v>
      </c>
      <c r="PK41" s="72">
        <f t="shared" si="142"/>
        <v>4272.1000000000004</v>
      </c>
      <c r="PL41" s="72">
        <f t="shared" si="142"/>
        <v>3978.6700000000005</v>
      </c>
      <c r="PM41" s="364">
        <f>PM40</f>
        <v>152.63999999999999</v>
      </c>
      <c r="PN41" s="364">
        <f>+PN40</f>
        <v>23630.293116668145</v>
      </c>
      <c r="PO41" s="72">
        <f>SUM(PO10:PO40)</f>
        <v>0</v>
      </c>
      <c r="PP41" s="72">
        <f>SUM(PP10:PP40)</f>
        <v>0</v>
      </c>
      <c r="PQ41" s="72">
        <f>SUM(PQ10:PQ40)</f>
        <v>0</v>
      </c>
      <c r="PR41" s="72">
        <f>SUM(PR10:PR40)</f>
        <v>0</v>
      </c>
      <c r="PS41" s="72">
        <f>SUM(PS10:PS40)</f>
        <v>0</v>
      </c>
      <c r="PT41" s="72"/>
      <c r="PU41" s="72">
        <f>SUM(PU10:PU40)</f>
        <v>0</v>
      </c>
      <c r="PV41" s="38">
        <f>SUM(PV10:PV40)</f>
        <v>1622.38</v>
      </c>
      <c r="PW41" s="72">
        <f>SUM(PW10:PW40)</f>
        <v>0</v>
      </c>
      <c r="PX41" s="72">
        <f>SUM(PX10:PX40)</f>
        <v>1622.38</v>
      </c>
      <c r="PY41" s="72">
        <f>SUM(PY10:PY40)</f>
        <v>7543.55</v>
      </c>
      <c r="PZ41" s="72">
        <f>+PZ40</f>
        <v>0</v>
      </c>
      <c r="QA41" s="72"/>
      <c r="QB41" s="72"/>
      <c r="QC41" s="72"/>
      <c r="QD41" s="72"/>
      <c r="QE41" s="72">
        <f>+QE40</f>
        <v>29749.381073161156</v>
      </c>
      <c r="QF41" s="72">
        <f>+QF40</f>
        <v>404514.90557805309</v>
      </c>
      <c r="QG41" s="72">
        <f>+QG40</f>
        <v>1622.38</v>
      </c>
      <c r="QH41" s="72">
        <f>+QH40</f>
        <v>5505.3678056100007</v>
      </c>
      <c r="RP41" s="1091"/>
      <c r="RW41" s="72"/>
      <c r="RY41" s="1089"/>
      <c r="RZ41" s="1090"/>
      <c r="SA41" s="1089"/>
      <c r="SB41" s="1089"/>
    </row>
    <row r="42" spans="1:500" s="38" customFormat="1">
      <c r="A42" s="307" t="s">
        <v>207</v>
      </c>
      <c r="B42" s="307"/>
      <c r="C42" s="412">
        <f>SUM(O42,S42,W42,AA42)</f>
        <v>3631277.0373</v>
      </c>
      <c r="D42" s="412">
        <f>SUM(P42,T42,X42,AB42)</f>
        <v>178201.88132144915</v>
      </c>
      <c r="E42" s="38">
        <f>E41</f>
        <v>20.946390472286865</v>
      </c>
      <c r="F42" s="72"/>
      <c r="G42" s="72"/>
      <c r="H42" s="307">
        <f t="shared" ref="H42:P42" si="143">H41</f>
        <v>738</v>
      </c>
      <c r="I42" s="364">
        <f t="shared" si="143"/>
        <v>171.74000000000004</v>
      </c>
      <c r="J42" s="307">
        <f t="shared" si="143"/>
        <v>0</v>
      </c>
      <c r="K42" s="364">
        <f t="shared" si="143"/>
        <v>0</v>
      </c>
      <c r="L42" s="307">
        <f t="shared" si="143"/>
        <v>279.51000000000005</v>
      </c>
      <c r="M42" s="364">
        <f t="shared" si="143"/>
        <v>121.16999999999999</v>
      </c>
      <c r="N42" s="72">
        <f t="shared" si="143"/>
        <v>0</v>
      </c>
      <c r="O42" s="364">
        <f>AW42+BC42</f>
        <v>2283844.1870999997</v>
      </c>
      <c r="P42" s="364">
        <f t="shared" si="143"/>
        <v>106110.26999999999</v>
      </c>
      <c r="Q42" s="307">
        <f t="shared" si="10"/>
        <v>21.523309544872518</v>
      </c>
      <c r="R42" s="72">
        <f>R41</f>
        <v>0</v>
      </c>
      <c r="S42" s="364">
        <f t="shared" si="11"/>
        <v>749986.08409999998</v>
      </c>
      <c r="T42" s="364">
        <f>SUM(BG42,BM42,BJ42,BY42)</f>
        <v>31612.569999999996</v>
      </c>
      <c r="U42" s="38">
        <f t="shared" si="13"/>
        <v>23.724299672566961</v>
      </c>
      <c r="V42" s="72">
        <f>V41</f>
        <v>0</v>
      </c>
      <c r="W42" s="412">
        <f>BU42</f>
        <v>597446.76609999989</v>
      </c>
      <c r="X42" s="412">
        <f>BV42</f>
        <v>40479.041321449149</v>
      </c>
      <c r="Y42" s="38">
        <f t="shared" si="15"/>
        <v>14.759409971090967</v>
      </c>
      <c r="Z42" s="72">
        <f>Z41</f>
        <v>0</v>
      </c>
      <c r="AA42" s="364">
        <f>AA41</f>
        <v>0</v>
      </c>
      <c r="AB42" s="364">
        <f>AB41</f>
        <v>0</v>
      </c>
      <c r="AC42" s="38">
        <f>AC41</f>
        <v>0</v>
      </c>
      <c r="AD42" s="72"/>
      <c r="AE42" s="412">
        <f>AE41</f>
        <v>0</v>
      </c>
      <c r="AF42" s="412">
        <f>AF41</f>
        <v>0</v>
      </c>
      <c r="AG42" s="38">
        <f t="shared" si="19"/>
        <v>0</v>
      </c>
      <c r="AH42" s="72">
        <f>AH41</f>
        <v>0</v>
      </c>
      <c r="AI42" s="412"/>
      <c r="AJ42" s="412"/>
      <c r="AK42" s="38">
        <f t="shared" si="20"/>
        <v>0</v>
      </c>
      <c r="AL42" s="72">
        <f t="shared" ref="AL42:AR42" si="144">AL41</f>
        <v>0</v>
      </c>
      <c r="AM42" s="72">
        <f t="shared" si="144"/>
        <v>0</v>
      </c>
      <c r="AN42" s="72">
        <f t="shared" si="144"/>
        <v>0</v>
      </c>
      <c r="AO42" s="72">
        <f t="shared" si="144"/>
        <v>0</v>
      </c>
      <c r="AP42" s="72">
        <f t="shared" si="144"/>
        <v>0</v>
      </c>
      <c r="AQ42" s="364">
        <f t="shared" si="144"/>
        <v>0</v>
      </c>
      <c r="AR42" s="1088">
        <f t="shared" si="144"/>
        <v>0</v>
      </c>
      <c r="AS42" s="38">
        <f t="shared" si="22"/>
        <v>0</v>
      </c>
      <c r="AT42" s="364">
        <f>AT41</f>
        <v>0</v>
      </c>
      <c r="AU42" s="364">
        <f>AU41</f>
        <v>0</v>
      </c>
      <c r="AV42" s="72">
        <f>AV41</f>
        <v>0</v>
      </c>
      <c r="AW42" s="1701">
        <v>1309117.0292999998</v>
      </c>
      <c r="AX42" s="364">
        <f>AX41</f>
        <v>68180.970000000016</v>
      </c>
      <c r="AY42" s="38">
        <f t="shared" si="24"/>
        <v>19.200621952137077</v>
      </c>
      <c r="AZ42" s="72">
        <f t="shared" ref="AZ42:BG42" si="145">AZ41</f>
        <v>0</v>
      </c>
      <c r="BA42" s="72">
        <f t="shared" si="145"/>
        <v>0</v>
      </c>
      <c r="BB42" s="72">
        <f t="shared" si="145"/>
        <v>0</v>
      </c>
      <c r="BC42" s="1701">
        <v>974727.15780000004</v>
      </c>
      <c r="BD42" s="364">
        <f t="shared" si="145"/>
        <v>37929.299999999996</v>
      </c>
      <c r="BE42" s="72">
        <f t="shared" si="145"/>
        <v>26.608980392467039</v>
      </c>
      <c r="BF42" s="364">
        <f t="shared" si="145"/>
        <v>0</v>
      </c>
      <c r="BG42" s="364">
        <f t="shared" si="145"/>
        <v>0</v>
      </c>
      <c r="BH42" s="307">
        <f t="shared" si="27"/>
        <v>0</v>
      </c>
      <c r="BI42" s="364">
        <f>BI41</f>
        <v>0</v>
      </c>
      <c r="BJ42" s="38">
        <f>BJ41</f>
        <v>0</v>
      </c>
      <c r="BK42" s="38">
        <f>IFERROR(BI42/BJ42,0)</f>
        <v>0</v>
      </c>
      <c r="BL42" s="1471">
        <v>749986.08409999998</v>
      </c>
      <c r="BM42" s="364">
        <f>BM41</f>
        <v>31612.569999999996</v>
      </c>
      <c r="BN42" s="72">
        <f>BN41</f>
        <v>24.470076301926735</v>
      </c>
      <c r="BO42" s="364">
        <f>BO41</f>
        <v>0</v>
      </c>
      <c r="BP42" s="307">
        <f>BP41</f>
        <v>0</v>
      </c>
      <c r="BQ42" s="38">
        <f t="shared" si="30"/>
        <v>0</v>
      </c>
      <c r="BR42" s="364">
        <f>BR41</f>
        <v>0</v>
      </c>
      <c r="BS42" s="307">
        <f>BS41</f>
        <v>0</v>
      </c>
      <c r="BT42" s="38">
        <f>BT41</f>
        <v>0</v>
      </c>
      <c r="BU42" s="1471">
        <v>597446.76609999989</v>
      </c>
      <c r="BV42" s="1471">
        <v>40479.041321449149</v>
      </c>
      <c r="BW42" s="38">
        <f t="shared" si="32"/>
        <v>14.759409971090967</v>
      </c>
      <c r="BX42" s="364">
        <f>BX41</f>
        <v>0</v>
      </c>
      <c r="BY42" s="72">
        <f>BY41</f>
        <v>0</v>
      </c>
      <c r="BZ42" s="38">
        <f t="shared" si="33"/>
        <v>0</v>
      </c>
      <c r="CA42" s="364"/>
      <c r="CB42" s="364">
        <f>CB41</f>
        <v>0</v>
      </c>
      <c r="CC42" s="38">
        <f t="shared" si="34"/>
        <v>0</v>
      </c>
      <c r="CD42" s="364">
        <f>CD41</f>
        <v>0</v>
      </c>
      <c r="CE42" s="364">
        <f>CE41</f>
        <v>0</v>
      </c>
      <c r="CF42" s="38">
        <f>CF41</f>
        <v>0</v>
      </c>
      <c r="CG42" s="72">
        <f>+CG41</f>
        <v>0</v>
      </c>
      <c r="CH42" s="1701">
        <v>3039.9477999999999</v>
      </c>
      <c r="CI42" s="72">
        <f t="shared" ref="CI42:CN42" si="146">+CI41</f>
        <v>0</v>
      </c>
      <c r="CJ42" s="72">
        <f t="shared" si="146"/>
        <v>0</v>
      </c>
      <c r="CK42" s="1471">
        <v>269912.49739999999</v>
      </c>
      <c r="CL42" s="364">
        <f t="shared" si="146"/>
        <v>0</v>
      </c>
      <c r="CM42" s="364">
        <f t="shared" si="146"/>
        <v>315897</v>
      </c>
      <c r="CN42" s="72">
        <f t="shared" si="146"/>
        <v>0</v>
      </c>
      <c r="CO42" s="364"/>
      <c r="CP42" s="72">
        <f>+CP41</f>
        <v>0</v>
      </c>
      <c r="CQ42" s="72">
        <f>+CQ41</f>
        <v>0</v>
      </c>
      <c r="CR42" s="72"/>
      <c r="CS42" s="72">
        <f>+CS41</f>
        <v>0</v>
      </c>
      <c r="CT42" s="72"/>
      <c r="CU42" s="72">
        <f>+CU41</f>
        <v>0</v>
      </c>
      <c r="CV42" s="72"/>
      <c r="CW42" s="72">
        <f>+CW41</f>
        <v>25853.97</v>
      </c>
      <c r="CX42" s="72"/>
      <c r="CY42" s="72">
        <f>+CY41</f>
        <v>132250.21</v>
      </c>
      <c r="CZ42" s="72"/>
      <c r="DA42" s="72">
        <f>+DA41</f>
        <v>19936.280000000002</v>
      </c>
      <c r="DB42" s="72"/>
      <c r="DC42" s="72">
        <f>+DC41</f>
        <v>179662.84000000003</v>
      </c>
      <c r="DD42" s="72">
        <f>+DD41</f>
        <v>0</v>
      </c>
      <c r="DE42" s="72">
        <f>+DE41</f>
        <v>0</v>
      </c>
      <c r="DF42" s="72"/>
      <c r="DG42" s="72">
        <f>+DG41</f>
        <v>0</v>
      </c>
      <c r="DH42" s="72"/>
      <c r="DI42" s="72">
        <f>+DI41</f>
        <v>0</v>
      </c>
      <c r="DJ42" s="72"/>
      <c r="DK42" s="72">
        <f>+DK41</f>
        <v>25853.97</v>
      </c>
      <c r="DL42" s="72"/>
      <c r="DM42" s="38">
        <f t="shared" ref="DM42:DR42" si="147">+DM41</f>
        <v>40704.619999999995</v>
      </c>
      <c r="DN42" s="72">
        <f t="shared" si="147"/>
        <v>0</v>
      </c>
      <c r="DO42" s="72">
        <f t="shared" si="147"/>
        <v>0</v>
      </c>
      <c r="DP42" s="72">
        <f t="shared" si="147"/>
        <v>0</v>
      </c>
      <c r="DQ42" s="38">
        <f t="shared" si="147"/>
        <v>66558.590000000011</v>
      </c>
      <c r="DR42" s="38">
        <f t="shared" si="147"/>
        <v>0</v>
      </c>
      <c r="DS42" s="72"/>
      <c r="DT42" s="72">
        <f>+DT41</f>
        <v>0</v>
      </c>
      <c r="DU42" s="72"/>
      <c r="DV42" s="38">
        <f>+DV41</f>
        <v>0</v>
      </c>
      <c r="DW42" s="72"/>
      <c r="DX42" s="38">
        <f>+DX41</f>
        <v>0</v>
      </c>
      <c r="DY42" s="72"/>
      <c r="DZ42" s="72">
        <f>+DZ41</f>
        <v>61045.590000000011</v>
      </c>
      <c r="EA42" s="72"/>
      <c r="EB42" s="72">
        <f>+EB41</f>
        <v>8496.2800000000007</v>
      </c>
      <c r="EC42" s="72"/>
      <c r="ED42" s="72">
        <f>+ED41</f>
        <v>69541.87</v>
      </c>
      <c r="EE42" s="72">
        <f>+EE41</f>
        <v>0</v>
      </c>
      <c r="EF42" s="72">
        <f>+EF41</f>
        <v>0</v>
      </c>
      <c r="EG42" s="72">
        <f>+EG41</f>
        <v>0</v>
      </c>
      <c r="EH42" s="72"/>
      <c r="EI42" s="72">
        <f>+EI41</f>
        <v>0</v>
      </c>
      <c r="EJ42" s="72"/>
      <c r="EK42" s="72">
        <f>+EK41</f>
        <v>0</v>
      </c>
      <c r="EL42" s="72">
        <f>+EL41</f>
        <v>0</v>
      </c>
      <c r="EM42" s="72">
        <f>+EM41</f>
        <v>30500</v>
      </c>
      <c r="EN42" s="72"/>
      <c r="EO42" s="72">
        <f>+EO41</f>
        <v>11440</v>
      </c>
      <c r="EP42" s="72"/>
      <c r="EQ42" s="72">
        <f t="shared" ref="EQ42:FU42" si="148">+EQ41</f>
        <v>41940</v>
      </c>
      <c r="ER42" s="72">
        <f t="shared" si="148"/>
        <v>0</v>
      </c>
      <c r="ES42" s="72">
        <f t="shared" si="148"/>
        <v>0</v>
      </c>
      <c r="ET42" s="72">
        <f t="shared" si="148"/>
        <v>0</v>
      </c>
      <c r="EU42" s="72">
        <f t="shared" si="148"/>
        <v>0</v>
      </c>
      <c r="EV42" s="72">
        <f t="shared" si="148"/>
        <v>0</v>
      </c>
      <c r="EW42" s="72">
        <f t="shared" si="148"/>
        <v>0</v>
      </c>
      <c r="EX42" s="72">
        <f t="shared" si="148"/>
        <v>0</v>
      </c>
      <c r="EY42" s="72">
        <f t="shared" si="148"/>
        <v>0</v>
      </c>
      <c r="EZ42" s="72">
        <f t="shared" si="148"/>
        <v>0</v>
      </c>
      <c r="FA42" s="72">
        <f t="shared" si="148"/>
        <v>0</v>
      </c>
      <c r="FB42" s="72">
        <f t="shared" si="148"/>
        <v>0</v>
      </c>
      <c r="FC42" s="72">
        <f t="shared" si="148"/>
        <v>0</v>
      </c>
      <c r="FD42" s="72">
        <f t="shared" si="148"/>
        <v>0</v>
      </c>
      <c r="FE42" s="72">
        <f t="shared" si="148"/>
        <v>0</v>
      </c>
      <c r="FF42" s="72">
        <f t="shared" si="148"/>
        <v>0</v>
      </c>
      <c r="FG42" s="72">
        <f t="shared" si="148"/>
        <v>0</v>
      </c>
      <c r="FH42" s="72">
        <f t="shared" si="148"/>
        <v>0</v>
      </c>
      <c r="FI42" s="72">
        <f t="shared" si="148"/>
        <v>0</v>
      </c>
      <c r="FJ42" s="72">
        <f t="shared" si="148"/>
        <v>0</v>
      </c>
      <c r="FK42" s="72">
        <f t="shared" si="148"/>
        <v>0</v>
      </c>
      <c r="FL42" s="72">
        <f t="shared" si="148"/>
        <v>0</v>
      </c>
      <c r="FM42" s="72">
        <f t="shared" si="148"/>
        <v>0</v>
      </c>
      <c r="FN42" s="72">
        <f t="shared" si="148"/>
        <v>0</v>
      </c>
      <c r="FO42" s="72">
        <f t="shared" si="148"/>
        <v>0</v>
      </c>
      <c r="FP42" s="72">
        <f t="shared" si="148"/>
        <v>0</v>
      </c>
      <c r="FQ42" s="72">
        <f t="shared" si="148"/>
        <v>0</v>
      </c>
      <c r="FR42" s="72">
        <f t="shared" si="148"/>
        <v>0</v>
      </c>
      <c r="FS42" s="72">
        <f t="shared" si="148"/>
        <v>0</v>
      </c>
      <c r="FT42" s="72">
        <f t="shared" si="148"/>
        <v>0</v>
      </c>
      <c r="FU42" s="72">
        <f t="shared" si="148"/>
        <v>0</v>
      </c>
      <c r="FV42" s="72"/>
      <c r="FW42" s="72">
        <f>+FW41</f>
        <v>0</v>
      </c>
      <c r="FX42" s="72"/>
      <c r="FY42" s="72">
        <f>+FY41</f>
        <v>0</v>
      </c>
      <c r="FZ42" s="72"/>
      <c r="GA42" s="72">
        <f>+GA41</f>
        <v>0</v>
      </c>
      <c r="GB42" s="72"/>
      <c r="GC42" s="72">
        <f>+GC41</f>
        <v>0</v>
      </c>
      <c r="GD42" s="72"/>
      <c r="GE42" s="72">
        <f>+GE41</f>
        <v>0</v>
      </c>
      <c r="GF42" s="72"/>
      <c r="GG42" s="72">
        <f t="shared" ref="GG42:HK42" si="149">+GG41</f>
        <v>0</v>
      </c>
      <c r="GH42" s="72">
        <f t="shared" si="149"/>
        <v>0</v>
      </c>
      <c r="GI42" s="72">
        <f t="shared" si="149"/>
        <v>0</v>
      </c>
      <c r="GJ42" s="72">
        <f t="shared" si="149"/>
        <v>47696.350000000013</v>
      </c>
      <c r="GK42" s="72">
        <f t="shared" si="149"/>
        <v>66686.23</v>
      </c>
      <c r="GL42" s="72">
        <f t="shared" si="149"/>
        <v>147936.15000000002</v>
      </c>
      <c r="GM42" s="72">
        <f t="shared" si="149"/>
        <v>262318.73000000004</v>
      </c>
      <c r="GN42" s="72">
        <f t="shared" si="149"/>
        <v>0</v>
      </c>
      <c r="GO42" s="72">
        <f t="shared" si="149"/>
        <v>0</v>
      </c>
      <c r="GP42" s="72">
        <f t="shared" si="149"/>
        <v>0</v>
      </c>
      <c r="GQ42" s="72">
        <f t="shared" si="149"/>
        <v>0</v>
      </c>
      <c r="GR42" s="72">
        <f t="shared" si="149"/>
        <v>116569.01000000001</v>
      </c>
      <c r="GS42" s="72">
        <f t="shared" si="149"/>
        <v>3978.6700000000005</v>
      </c>
      <c r="GT42" s="72">
        <f t="shared" si="149"/>
        <v>69467.130000000019</v>
      </c>
      <c r="GU42" s="72">
        <f t="shared" si="149"/>
        <v>72303.919999999984</v>
      </c>
      <c r="GV42" s="72">
        <f t="shared" si="149"/>
        <v>262318.73000000004</v>
      </c>
      <c r="GW42" s="72">
        <f t="shared" si="149"/>
        <v>0</v>
      </c>
      <c r="GX42" s="72">
        <f t="shared" si="149"/>
        <v>0</v>
      </c>
      <c r="GY42" s="72">
        <f t="shared" si="149"/>
        <v>0</v>
      </c>
      <c r="GZ42" s="72">
        <f t="shared" si="149"/>
        <v>0</v>
      </c>
      <c r="HA42" s="72">
        <f t="shared" si="149"/>
        <v>0</v>
      </c>
      <c r="HB42" s="72">
        <f t="shared" si="149"/>
        <v>0</v>
      </c>
      <c r="HC42" s="72">
        <f t="shared" si="149"/>
        <v>0</v>
      </c>
      <c r="HD42" s="72">
        <f t="shared" si="149"/>
        <v>0</v>
      </c>
      <c r="HE42" s="72">
        <f t="shared" si="149"/>
        <v>0</v>
      </c>
      <c r="HF42" s="72">
        <f t="shared" si="149"/>
        <v>28531.779999999995</v>
      </c>
      <c r="HG42" s="72">
        <f t="shared" si="149"/>
        <v>0</v>
      </c>
      <c r="HH42" s="72">
        <f t="shared" si="149"/>
        <v>15185.9</v>
      </c>
      <c r="HI42" s="72">
        <f t="shared" si="149"/>
        <v>0</v>
      </c>
      <c r="HJ42" s="72">
        <f t="shared" si="149"/>
        <v>3978.6700000000005</v>
      </c>
      <c r="HK42" s="72">
        <f t="shared" si="149"/>
        <v>0</v>
      </c>
      <c r="HL42" s="72">
        <f t="shared" si="54"/>
        <v>47696.349999999991</v>
      </c>
      <c r="HM42" s="72">
        <f t="shared" ref="HM42:HZ42" si="150">+HM41</f>
        <v>0</v>
      </c>
      <c r="HN42" s="72">
        <f t="shared" si="150"/>
        <v>0</v>
      </c>
      <c r="HO42" s="72">
        <f t="shared" si="150"/>
        <v>0</v>
      </c>
      <c r="HP42" s="72">
        <f t="shared" si="150"/>
        <v>0</v>
      </c>
      <c r="HQ42" s="72">
        <f t="shared" si="150"/>
        <v>0</v>
      </c>
      <c r="HR42" s="72">
        <f t="shared" si="150"/>
        <v>0</v>
      </c>
      <c r="HS42" s="72">
        <f t="shared" si="150"/>
        <v>0</v>
      </c>
      <c r="HT42" s="72">
        <f t="shared" si="150"/>
        <v>0</v>
      </c>
      <c r="HU42" s="72">
        <f t="shared" si="150"/>
        <v>0</v>
      </c>
      <c r="HV42" s="72">
        <f t="shared" si="150"/>
        <v>0</v>
      </c>
      <c r="HW42" s="72">
        <f t="shared" si="150"/>
        <v>0</v>
      </c>
      <c r="HX42" s="72">
        <f t="shared" si="150"/>
        <v>0</v>
      </c>
      <c r="HY42" s="72">
        <f t="shared" si="150"/>
        <v>0</v>
      </c>
      <c r="HZ42" s="72">
        <f t="shared" si="150"/>
        <v>0</v>
      </c>
      <c r="IA42" s="72">
        <f t="shared" si="55"/>
        <v>0</v>
      </c>
      <c r="IB42" s="72">
        <f t="shared" ref="IB42:IO42" si="151">+IB41</f>
        <v>0</v>
      </c>
      <c r="IC42" s="72">
        <f t="shared" si="151"/>
        <v>0</v>
      </c>
      <c r="ID42" s="72">
        <f t="shared" si="151"/>
        <v>0</v>
      </c>
      <c r="IE42" s="72">
        <f t="shared" si="151"/>
        <v>0</v>
      </c>
      <c r="IF42" s="72">
        <f t="shared" si="151"/>
        <v>0</v>
      </c>
      <c r="IG42" s="72">
        <f t="shared" si="151"/>
        <v>0</v>
      </c>
      <c r="IH42" s="72">
        <f t="shared" si="151"/>
        <v>26570.82</v>
      </c>
      <c r="II42" s="72">
        <f t="shared" si="151"/>
        <v>0</v>
      </c>
      <c r="IJ42" s="38">
        <f t="shared" si="151"/>
        <v>40115.410000000003</v>
      </c>
      <c r="IK42" s="72">
        <f t="shared" si="151"/>
        <v>0</v>
      </c>
      <c r="IL42" s="72">
        <f t="shared" si="151"/>
        <v>0</v>
      </c>
      <c r="IM42" s="38">
        <f t="shared" si="151"/>
        <v>0</v>
      </c>
      <c r="IN42" s="72">
        <f t="shared" si="151"/>
        <v>0</v>
      </c>
      <c r="IO42" s="72">
        <f t="shared" si="151"/>
        <v>0</v>
      </c>
      <c r="IP42" s="421">
        <f>SUM(IB42:IO42)</f>
        <v>66686.23000000001</v>
      </c>
      <c r="IQ42" s="72">
        <f t="shared" ref="IQ42:JD42" si="152">+IQ41</f>
        <v>0</v>
      </c>
      <c r="IR42" s="72">
        <f t="shared" si="152"/>
        <v>0</v>
      </c>
      <c r="IS42" s="38">
        <f t="shared" si="152"/>
        <v>0</v>
      </c>
      <c r="IT42" s="72">
        <f t="shared" si="152"/>
        <v>0</v>
      </c>
      <c r="IU42" s="38">
        <f t="shared" si="152"/>
        <v>0</v>
      </c>
      <c r="IV42" s="72">
        <f t="shared" si="152"/>
        <v>0</v>
      </c>
      <c r="IW42" s="72">
        <f t="shared" si="152"/>
        <v>0</v>
      </c>
      <c r="IX42" s="72">
        <f t="shared" si="152"/>
        <v>0</v>
      </c>
      <c r="IY42" s="72">
        <f t="shared" si="152"/>
        <v>131186.10999999999</v>
      </c>
      <c r="IZ42" s="72">
        <f t="shared" si="152"/>
        <v>0</v>
      </c>
      <c r="JA42" s="72">
        <f t="shared" si="152"/>
        <v>16750.04</v>
      </c>
      <c r="JB42" s="72">
        <f t="shared" si="152"/>
        <v>0</v>
      </c>
      <c r="JC42" s="72">
        <f t="shared" si="152"/>
        <v>0</v>
      </c>
      <c r="JD42" s="72">
        <f t="shared" si="152"/>
        <v>0</v>
      </c>
      <c r="JE42" s="421">
        <f>SUM(IQ42:JD42)</f>
        <v>147936.15</v>
      </c>
      <c r="JF42" s="72">
        <f t="shared" ref="JF42:KM42" si="153">+JF41</f>
        <v>0</v>
      </c>
      <c r="JG42" s="72">
        <f t="shared" si="153"/>
        <v>0</v>
      </c>
      <c r="JH42" s="72">
        <f t="shared" si="153"/>
        <v>182546.33000000002</v>
      </c>
      <c r="JI42" s="72">
        <f t="shared" si="153"/>
        <v>79772.399999999994</v>
      </c>
      <c r="JJ42" s="38">
        <f t="shared" si="153"/>
        <v>0</v>
      </c>
      <c r="JK42" s="72">
        <f t="shared" si="153"/>
        <v>262318.73000000004</v>
      </c>
      <c r="JL42" s="72">
        <f t="shared" si="153"/>
        <v>0</v>
      </c>
      <c r="JM42" s="72">
        <f t="shared" si="153"/>
        <v>0</v>
      </c>
      <c r="JN42" s="38">
        <f t="shared" si="153"/>
        <v>0</v>
      </c>
      <c r="JO42" s="38">
        <f t="shared" si="153"/>
        <v>0</v>
      </c>
      <c r="JP42" s="38">
        <f t="shared" si="153"/>
        <v>0</v>
      </c>
      <c r="JQ42" s="38">
        <f t="shared" si="153"/>
        <v>0</v>
      </c>
      <c r="JR42" s="38">
        <f t="shared" si="153"/>
        <v>0.88975662553257184</v>
      </c>
      <c r="JS42" s="1087">
        <f t="shared" si="153"/>
        <v>0.11024337446742813</v>
      </c>
      <c r="JT42" s="38">
        <f t="shared" si="153"/>
        <v>0</v>
      </c>
      <c r="JU42" s="38">
        <f t="shared" si="153"/>
        <v>0</v>
      </c>
      <c r="JV42" s="38">
        <f t="shared" si="153"/>
        <v>0</v>
      </c>
      <c r="JW42" s="38">
        <f t="shared" si="153"/>
        <v>0</v>
      </c>
      <c r="JX42" s="38">
        <f t="shared" si="153"/>
        <v>0</v>
      </c>
      <c r="JY42" s="38">
        <f t="shared" si="153"/>
        <v>0.28874755212317121</v>
      </c>
      <c r="JZ42" s="38">
        <f t="shared" si="153"/>
        <v>0.29730779623932474</v>
      </c>
      <c r="KA42" s="38">
        <f t="shared" si="153"/>
        <v>0.41394465163750394</v>
      </c>
      <c r="KB42" s="38">
        <f t="shared" si="153"/>
        <v>0</v>
      </c>
      <c r="KC42" s="38">
        <f t="shared" si="153"/>
        <v>0</v>
      </c>
      <c r="KD42" s="38">
        <f t="shared" si="153"/>
        <v>0</v>
      </c>
      <c r="KE42" s="38">
        <f t="shared" si="153"/>
        <v>0</v>
      </c>
      <c r="KF42" s="38">
        <f t="shared" si="153"/>
        <v>0</v>
      </c>
      <c r="KG42" s="38">
        <f t="shared" si="153"/>
        <v>0</v>
      </c>
      <c r="KH42" s="38">
        <f t="shared" si="153"/>
        <v>0</v>
      </c>
      <c r="KI42" s="38">
        <f t="shared" si="153"/>
        <v>0</v>
      </c>
      <c r="KJ42" s="38">
        <f t="shared" si="153"/>
        <v>0</v>
      </c>
      <c r="KK42" s="38">
        <f t="shared" si="153"/>
        <v>0</v>
      </c>
      <c r="KL42" s="72">
        <f t="shared" si="153"/>
        <v>0</v>
      </c>
      <c r="KM42" s="72">
        <f t="shared" si="153"/>
        <v>0</v>
      </c>
      <c r="KN42" s="72">
        <f t="shared" ref="KN42:LB42" si="154">KN41</f>
        <v>6977.6796518456449</v>
      </c>
      <c r="KO42" s="38">
        <f t="shared" si="154"/>
        <v>0.57034838226776974</v>
      </c>
      <c r="KP42" s="38">
        <f t="shared" si="154"/>
        <v>4.0446061678960357</v>
      </c>
      <c r="KQ42" s="38">
        <f t="shared" si="154"/>
        <v>6.9908870824138702</v>
      </c>
      <c r="KR42" s="38">
        <f t="shared" si="154"/>
        <v>11.325067295260697</v>
      </c>
      <c r="KS42" s="72">
        <f t="shared" si="154"/>
        <v>6796.5652877473058</v>
      </c>
      <c r="KT42" s="38">
        <f t="shared" si="154"/>
        <v>1.6132726527252643</v>
      </c>
      <c r="KU42" s="38">
        <f t="shared" si="154"/>
        <v>6.0342105622171403</v>
      </c>
      <c r="KV42" s="38">
        <f t="shared" si="154"/>
        <v>6.7750326240689622</v>
      </c>
      <c r="KW42" s="38">
        <f t="shared" si="154"/>
        <v>11.114145580090542</v>
      </c>
      <c r="KX42" s="72">
        <f t="shared" si="154"/>
        <v>0</v>
      </c>
      <c r="KY42" s="38">
        <f t="shared" si="154"/>
        <v>0</v>
      </c>
      <c r="KZ42" s="38">
        <f t="shared" si="154"/>
        <v>0</v>
      </c>
      <c r="LA42" s="38">
        <f t="shared" si="154"/>
        <v>0</v>
      </c>
      <c r="LB42" s="38">
        <f t="shared" si="154"/>
        <v>0</v>
      </c>
      <c r="LC42" s="72"/>
      <c r="LD42" s="72">
        <f t="shared" ref="LD42:MI42" si="155">+LD41</f>
        <v>0</v>
      </c>
      <c r="LE42" s="72">
        <f t="shared" si="155"/>
        <v>0</v>
      </c>
      <c r="LF42" s="278">
        <f t="shared" si="155"/>
        <v>188447.35950000002</v>
      </c>
      <c r="LG42" s="278">
        <f t="shared" si="155"/>
        <v>89434.195999999996</v>
      </c>
      <c r="LH42" s="72">
        <f t="shared" si="155"/>
        <v>0</v>
      </c>
      <c r="LI42" s="72">
        <f t="shared" si="155"/>
        <v>277881.55549999996</v>
      </c>
      <c r="LJ42" s="72">
        <f t="shared" si="155"/>
        <v>37</v>
      </c>
      <c r="LK42" s="72">
        <f t="shared" si="155"/>
        <v>5</v>
      </c>
      <c r="LL42" s="72">
        <f t="shared" si="155"/>
        <v>105</v>
      </c>
      <c r="LM42" s="72">
        <f t="shared" si="155"/>
        <v>0</v>
      </c>
      <c r="LN42" s="72">
        <f t="shared" si="155"/>
        <v>6.0571428571428569</v>
      </c>
      <c r="LO42" s="72">
        <f t="shared" si="155"/>
        <v>0</v>
      </c>
      <c r="LP42" s="72">
        <f t="shared" si="155"/>
        <v>0</v>
      </c>
      <c r="LQ42" s="72">
        <f t="shared" si="155"/>
        <v>181101.72150000001</v>
      </c>
      <c r="LR42" s="72">
        <f t="shared" si="155"/>
        <v>29527.994000000002</v>
      </c>
      <c r="LS42" s="72">
        <f t="shared" si="155"/>
        <v>0</v>
      </c>
      <c r="LT42" s="72">
        <f t="shared" si="155"/>
        <v>0</v>
      </c>
      <c r="LU42" s="72">
        <f t="shared" si="155"/>
        <v>0</v>
      </c>
      <c r="LV42" s="72">
        <f t="shared" si="155"/>
        <v>210629.71550000002</v>
      </c>
      <c r="LW42" s="72">
        <f t="shared" si="155"/>
        <v>7345.6380000000008</v>
      </c>
      <c r="LX42" s="72">
        <f t="shared" si="155"/>
        <v>59906.202000000005</v>
      </c>
      <c r="LY42" s="72">
        <f t="shared" si="155"/>
        <v>0</v>
      </c>
      <c r="LZ42" s="72">
        <f t="shared" si="155"/>
        <v>0</v>
      </c>
      <c r="MA42" s="72">
        <f t="shared" si="155"/>
        <v>0</v>
      </c>
      <c r="MB42" s="72">
        <f t="shared" si="155"/>
        <v>67251.839999999997</v>
      </c>
      <c r="MC42" s="72">
        <f t="shared" si="155"/>
        <v>0</v>
      </c>
      <c r="MD42" s="72">
        <f t="shared" si="155"/>
        <v>0</v>
      </c>
      <c r="ME42" s="72">
        <f t="shared" si="155"/>
        <v>0</v>
      </c>
      <c r="MF42" s="72">
        <f t="shared" si="155"/>
        <v>0</v>
      </c>
      <c r="MG42" s="72">
        <f t="shared" si="155"/>
        <v>0</v>
      </c>
      <c r="MH42" s="72">
        <f t="shared" si="155"/>
        <v>0</v>
      </c>
      <c r="MI42" s="72">
        <f t="shared" si="155"/>
        <v>0</v>
      </c>
      <c r="MJ42" s="72"/>
      <c r="MK42" s="72">
        <f>+MK41</f>
        <v>0</v>
      </c>
      <c r="ML42" s="72">
        <f>+ML41</f>
        <v>0</v>
      </c>
      <c r="MM42" s="72">
        <f>+MM41</f>
        <v>0</v>
      </c>
      <c r="MN42" s="72">
        <f>+MN41</f>
        <v>0</v>
      </c>
      <c r="MO42" s="72">
        <f>+MO41</f>
        <v>0</v>
      </c>
      <c r="MP42" s="72"/>
      <c r="MQ42" s="72">
        <f t="shared" ref="MQ42:MV42" si="156">+MQ41</f>
        <v>0</v>
      </c>
      <c r="MR42" s="72">
        <f t="shared" si="156"/>
        <v>0</v>
      </c>
      <c r="MS42" s="72">
        <f t="shared" si="156"/>
        <v>0</v>
      </c>
      <c r="MT42" s="72">
        <f t="shared" si="156"/>
        <v>0</v>
      </c>
      <c r="MU42" s="72">
        <f t="shared" si="156"/>
        <v>0</v>
      </c>
      <c r="MV42" s="72">
        <f t="shared" si="156"/>
        <v>0</v>
      </c>
      <c r="MW42" s="364">
        <f>MW41</f>
        <v>86660.973785492213</v>
      </c>
      <c r="MX42" s="364">
        <f>MX41</f>
        <v>75097.511028039225</v>
      </c>
      <c r="MY42" s="364">
        <f>+MY41</f>
        <v>23630.293116668145</v>
      </c>
      <c r="MZ42" s="364">
        <f>MZ41</f>
        <v>435886.66665121424</v>
      </c>
      <c r="NA42" s="72">
        <f>+NA41</f>
        <v>0</v>
      </c>
      <c r="NB42" s="1713">
        <v>70988.012137467857</v>
      </c>
      <c r="NC42" s="1713">
        <v>18168.164507545538</v>
      </c>
      <c r="ND42" s="364">
        <f t="shared" si="140"/>
        <v>0</v>
      </c>
      <c r="NE42" s="364">
        <f>SUM(NB42:NC42)</f>
        <v>89156.176645013387</v>
      </c>
      <c r="NF42" s="412">
        <f>NF41</f>
        <v>0</v>
      </c>
      <c r="NG42" s="364">
        <f t="shared" ref="NG42:NO42" si="157">NG41</f>
        <v>0</v>
      </c>
      <c r="NH42" s="364">
        <f t="shared" si="157"/>
        <v>0</v>
      </c>
      <c r="NI42" s="364">
        <f t="shared" si="157"/>
        <v>0</v>
      </c>
      <c r="NJ42" s="364">
        <f>NJ41</f>
        <v>0</v>
      </c>
      <c r="NK42" s="72">
        <f t="shared" si="157"/>
        <v>0</v>
      </c>
      <c r="NL42" s="364">
        <f>NL41</f>
        <v>0</v>
      </c>
      <c r="NM42" s="364">
        <f t="shared" si="157"/>
        <v>0</v>
      </c>
      <c r="NN42" s="1712">
        <v>30682.296062569316</v>
      </c>
      <c r="NO42" s="1712">
        <f t="shared" si="157"/>
        <v>0</v>
      </c>
      <c r="NP42" s="1471">
        <v>8756.5482322711578</v>
      </c>
      <c r="NQ42" s="1712">
        <v>5528.0541180334076</v>
      </c>
      <c r="NR42" s="364">
        <f>SUM(NF42:NQ42)</f>
        <v>44966.898412873881</v>
      </c>
      <c r="NS42" s="364">
        <f t="shared" ref="NS42:OQ42" si="158">NS41</f>
        <v>0</v>
      </c>
      <c r="NT42" s="364">
        <f t="shared" si="158"/>
        <v>0</v>
      </c>
      <c r="NU42" s="364">
        <f t="shared" si="158"/>
        <v>0</v>
      </c>
      <c r="NV42" s="364">
        <f t="shared" si="158"/>
        <v>0</v>
      </c>
      <c r="NW42" s="364">
        <f>NW41</f>
        <v>0</v>
      </c>
      <c r="NX42" s="364">
        <f t="shared" si="158"/>
        <v>0</v>
      </c>
      <c r="NY42" s="1471">
        <v>2206.063602292912</v>
      </c>
      <c r="NZ42" s="1471">
        <f t="shared" si="158"/>
        <v>0</v>
      </c>
      <c r="OA42" s="1471">
        <v>3383.6080667828401</v>
      </c>
      <c r="OB42" s="1471">
        <f t="shared" si="158"/>
        <v>0</v>
      </c>
      <c r="OC42" s="1471">
        <v>349.54339982995594</v>
      </c>
      <c r="OD42" s="364">
        <f t="shared" si="158"/>
        <v>0</v>
      </c>
      <c r="OE42" s="364">
        <f>SUM(NY42:OC42)</f>
        <v>5939.215068905708</v>
      </c>
      <c r="OF42" s="364">
        <v>0</v>
      </c>
      <c r="OG42" s="364">
        <f t="shared" si="158"/>
        <v>0</v>
      </c>
      <c r="OH42" s="364">
        <f t="shared" si="158"/>
        <v>0</v>
      </c>
      <c r="OI42" s="364">
        <f t="shared" si="158"/>
        <v>0</v>
      </c>
      <c r="OJ42" s="364">
        <v>0</v>
      </c>
      <c r="OK42" s="364">
        <f t="shared" si="158"/>
        <v>0</v>
      </c>
      <c r="OL42" s="364">
        <v>0</v>
      </c>
      <c r="OM42" s="364">
        <f t="shared" si="158"/>
        <v>0</v>
      </c>
      <c r="ON42" s="1471">
        <v>8679.0235991110094</v>
      </c>
      <c r="OO42" s="1471">
        <f t="shared" si="158"/>
        <v>0</v>
      </c>
      <c r="OP42" s="1471">
        <v>2676.985167932914</v>
      </c>
      <c r="OQ42" s="364">
        <f t="shared" si="158"/>
        <v>0</v>
      </c>
      <c r="OR42" s="364">
        <f>SUM(ON42:OP42)</f>
        <v>11356.008767043924</v>
      </c>
      <c r="OS42" s="72">
        <f t="shared" si="141"/>
        <v>0</v>
      </c>
      <c r="OT42" s="72">
        <f t="shared" si="141"/>
        <v>0</v>
      </c>
      <c r="OU42" s="72">
        <f t="shared" si="141"/>
        <v>0</v>
      </c>
      <c r="OV42" s="72">
        <f t="shared" si="141"/>
        <v>0</v>
      </c>
      <c r="OW42" s="72">
        <f t="shared" si="141"/>
        <v>0</v>
      </c>
      <c r="OX42" s="72">
        <f t="shared" si="141"/>
        <v>0</v>
      </c>
      <c r="OY42" s="72">
        <f t="shared" si="141"/>
        <v>0</v>
      </c>
      <c r="OZ42" s="72">
        <f t="shared" si="141"/>
        <v>0</v>
      </c>
      <c r="PA42" s="72">
        <f t="shared" si="141"/>
        <v>0</v>
      </c>
      <c r="PB42" s="72">
        <f t="shared" si="141"/>
        <v>0</v>
      </c>
      <c r="PC42" s="72">
        <f t="shared" si="141"/>
        <v>0</v>
      </c>
      <c r="PD42" s="72">
        <f t="shared" si="141"/>
        <v>0</v>
      </c>
      <c r="PE42" s="72">
        <f t="shared" si="141"/>
        <v>0</v>
      </c>
      <c r="PF42" s="72">
        <f t="shared" si="141"/>
        <v>0</v>
      </c>
      <c r="PG42" s="72">
        <f t="shared" ref="PG42:PK42" si="159">+PG41</f>
        <v>0</v>
      </c>
      <c r="PH42" s="72">
        <f t="shared" si="159"/>
        <v>0</v>
      </c>
      <c r="PI42" s="72">
        <f t="shared" si="159"/>
        <v>7543.55</v>
      </c>
      <c r="PJ42" s="72">
        <f t="shared" si="159"/>
        <v>9304.5500000000011</v>
      </c>
      <c r="PK42" s="72">
        <f t="shared" si="159"/>
        <v>4272.1000000000004</v>
      </c>
      <c r="PL42" s="72">
        <f>+PL41</f>
        <v>3978.6700000000005</v>
      </c>
      <c r="PM42" s="1471">
        <v>499.35538769389285</v>
      </c>
      <c r="PN42" s="1471">
        <v>19695.395201279462</v>
      </c>
      <c r="PO42" s="72">
        <f>+PO41</f>
        <v>0</v>
      </c>
      <c r="PP42" s="72">
        <f>+PP41</f>
        <v>0</v>
      </c>
      <c r="PQ42" s="72">
        <f>+PQ41</f>
        <v>0</v>
      </c>
      <c r="PR42" s="72">
        <f>+PR41</f>
        <v>0</v>
      </c>
      <c r="PS42" s="72"/>
      <c r="PT42" s="72"/>
      <c r="PU42" s="72">
        <f>+PU41</f>
        <v>0</v>
      </c>
      <c r="PV42" s="72">
        <f>+PV41</f>
        <v>1622.38</v>
      </c>
      <c r="PW42" s="72">
        <f>+PW41</f>
        <v>0</v>
      </c>
      <c r="PX42" s="72"/>
      <c r="PY42" s="72">
        <f>+PY41</f>
        <v>7543.55</v>
      </c>
      <c r="PZ42" s="72"/>
      <c r="QA42" s="72"/>
      <c r="QB42" s="72"/>
      <c r="QC42" s="72"/>
      <c r="QD42" s="72"/>
      <c r="QE42" s="1471">
        <v>29562.488999999998</v>
      </c>
      <c r="QF42" s="1471">
        <v>406502.85955851001</v>
      </c>
      <c r="QG42" s="1714">
        <v>0</v>
      </c>
      <c r="QH42" s="876">
        <f>QH41</f>
        <v>5505.3678056100007</v>
      </c>
      <c r="RW42" s="72"/>
    </row>
    <row r="43" spans="1:500" s="311" customFormat="1">
      <c r="A43" s="312" t="s">
        <v>12</v>
      </c>
      <c r="B43" s="312"/>
      <c r="C43" s="337">
        <f>SUM(O43,S43,W43)</f>
        <v>4335000</v>
      </c>
      <c r="D43" s="337">
        <f>SUM(P43,T43,X43)</f>
        <v>235000</v>
      </c>
      <c r="E43" s="1084">
        <f>IFERROR(C43/D43,0)</f>
        <v>18.446808510638299</v>
      </c>
      <c r="F43" s="309"/>
      <c r="G43" s="309"/>
      <c r="H43" s="308"/>
      <c r="I43" s="308"/>
      <c r="J43" s="308"/>
      <c r="K43" s="308"/>
      <c r="L43" s="308"/>
      <c r="M43" s="308"/>
      <c r="N43" s="308"/>
      <c r="O43" s="337">
        <f>SUM(AQ43,AW43,BC43)</f>
        <v>2735000</v>
      </c>
      <c r="P43" s="337">
        <f>SUM(AR43,AX43,BD43)</f>
        <v>135000</v>
      </c>
      <c r="Q43" s="1084">
        <f t="shared" si="10"/>
        <v>20.25925925925926</v>
      </c>
      <c r="R43" s="308"/>
      <c r="S43" s="1085">
        <f t="shared" si="11"/>
        <v>900000</v>
      </c>
      <c r="T43" s="1085">
        <f>SUM(BG43,BJ43,BM43,BY43)</f>
        <v>40000</v>
      </c>
      <c r="U43" s="1083">
        <f t="shared" si="13"/>
        <v>22.5</v>
      </c>
      <c r="V43" s="308"/>
      <c r="W43" s="337">
        <f>SUM(BR43,BU43,CD43)</f>
        <v>700000</v>
      </c>
      <c r="X43" s="337">
        <f>BV43</f>
        <v>60000</v>
      </c>
      <c r="Y43" s="1084">
        <f t="shared" si="15"/>
        <v>11.666666666666666</v>
      </c>
      <c r="Z43" s="308"/>
      <c r="AA43" s="337"/>
      <c r="AB43" s="1085">
        <f>BS43</f>
        <v>0</v>
      </c>
      <c r="AC43" s="1084">
        <f>AC42</f>
        <v>0</v>
      </c>
      <c r="AD43" s="337"/>
      <c r="AE43" s="308"/>
      <c r="AF43" s="308"/>
      <c r="AG43" s="309"/>
      <c r="AH43" s="308"/>
      <c r="AI43" s="308">
        <f>BR43</f>
        <v>0</v>
      </c>
      <c r="AJ43" s="308">
        <f>BS43</f>
        <v>0</v>
      </c>
      <c r="AK43" s="309">
        <f t="shared" si="20"/>
        <v>0</v>
      </c>
      <c r="AL43" s="308"/>
      <c r="AM43" s="308"/>
      <c r="AN43" s="308"/>
      <c r="AO43" s="308"/>
      <c r="AP43" s="308">
        <f>IFERROR(AN43/AO43,0)</f>
        <v>0</v>
      </c>
      <c r="AQ43" s="337"/>
      <c r="AR43" s="337"/>
      <c r="AS43" s="309"/>
      <c r="AT43" s="337"/>
      <c r="AU43" s="337"/>
      <c r="AV43" s="309"/>
      <c r="AW43" s="337">
        <v>1485000</v>
      </c>
      <c r="AX43" s="337">
        <v>80000</v>
      </c>
      <c r="AY43" s="1084">
        <f t="shared" si="24"/>
        <v>18.5625</v>
      </c>
      <c r="AZ43" s="337"/>
      <c r="BA43" s="337"/>
      <c r="BB43" s="1084"/>
      <c r="BC43" s="337">
        <v>1250000</v>
      </c>
      <c r="BD43" s="337">
        <v>55000</v>
      </c>
      <c r="BE43" s="1084">
        <f>IFERROR(BC43/BD43,0)</f>
        <v>22.727272727272727</v>
      </c>
      <c r="BF43" s="337"/>
      <c r="BG43" s="337"/>
      <c r="BH43" s="309"/>
      <c r="BI43" s="337"/>
      <c r="BJ43" s="308">
        <v>0</v>
      </c>
      <c r="BK43" s="309">
        <f>IFERROR(BI43/BJ43,0)</f>
        <v>0</v>
      </c>
      <c r="BL43" s="337">
        <v>900000</v>
      </c>
      <c r="BM43" s="337">
        <v>40000</v>
      </c>
      <c r="BN43" s="1084">
        <f>IFERROR(BL43/BM43,0)</f>
        <v>22.5</v>
      </c>
      <c r="BO43" s="309">
        <v>0</v>
      </c>
      <c r="BP43" s="337">
        <v>0</v>
      </c>
      <c r="BQ43" s="309">
        <f>IFERROR(BP43/#REF!,0)</f>
        <v>0</v>
      </c>
      <c r="BR43" s="337"/>
      <c r="BS43" s="337"/>
      <c r="BT43" s="309">
        <f>IFERROR(BR43/BS43,0)</f>
        <v>0</v>
      </c>
      <c r="BU43" s="337">
        <v>700000</v>
      </c>
      <c r="BV43" s="337">
        <v>60000</v>
      </c>
      <c r="BW43" s="1084">
        <f t="shared" si="32"/>
        <v>11.666666666666666</v>
      </c>
      <c r="BX43" s="337"/>
      <c r="BY43" s="337"/>
      <c r="BZ43" s="1083">
        <f t="shared" si="33"/>
        <v>0</v>
      </c>
      <c r="CA43" s="337"/>
      <c r="CB43" s="337"/>
      <c r="CC43" s="78">
        <f t="shared" si="34"/>
        <v>0</v>
      </c>
      <c r="CD43" s="337"/>
      <c r="CE43" s="308"/>
      <c r="CF43" s="309">
        <f>IFERROR(CD43/CE43,0)</f>
        <v>0</v>
      </c>
      <c r="CG43" s="308"/>
      <c r="CH43" s="337">
        <v>155000</v>
      </c>
      <c r="CI43" s="337">
        <v>100000</v>
      </c>
      <c r="CJ43" s="308"/>
      <c r="CK43" s="337">
        <v>545000</v>
      </c>
      <c r="CL43" s="337"/>
      <c r="CM43" s="337">
        <f>SUM(CH43:CK43)</f>
        <v>800000</v>
      </c>
      <c r="CN43" s="308"/>
      <c r="CO43" s="308"/>
      <c r="CP43" s="308"/>
      <c r="CQ43" s="308"/>
      <c r="CR43" s="308"/>
      <c r="CS43" s="308"/>
      <c r="CT43" s="308"/>
      <c r="CU43" s="308"/>
      <c r="CV43" s="308"/>
      <c r="CW43" s="308"/>
      <c r="CX43" s="308"/>
      <c r="CY43" s="308"/>
      <c r="CZ43" s="308"/>
      <c r="DA43" s="308"/>
      <c r="DB43" s="308"/>
      <c r="DC43" s="308"/>
      <c r="DD43" s="308"/>
      <c r="DE43" s="308"/>
      <c r="DF43" s="308"/>
      <c r="DG43" s="308"/>
      <c r="DH43" s="308"/>
      <c r="DI43" s="308"/>
      <c r="DJ43" s="308"/>
      <c r="DK43" s="308"/>
      <c r="DL43" s="308"/>
      <c r="DM43" s="308"/>
      <c r="DN43" s="308"/>
      <c r="DO43" s="308"/>
      <c r="DP43" s="308"/>
      <c r="DQ43" s="308"/>
      <c r="DR43" s="308"/>
      <c r="DS43" s="308"/>
      <c r="DT43" s="308"/>
      <c r="DU43" s="308"/>
      <c r="DV43" s="308"/>
      <c r="DW43" s="308"/>
      <c r="DX43" s="308"/>
      <c r="DY43" s="308"/>
      <c r="DZ43" s="308"/>
      <c r="EA43" s="308"/>
      <c r="EB43" s="308"/>
      <c r="EC43" s="308"/>
      <c r="ED43" s="308"/>
      <c r="EE43" s="308"/>
      <c r="EF43" s="308"/>
      <c r="EG43" s="308"/>
      <c r="EH43" s="308"/>
      <c r="EI43" s="308"/>
      <c r="EJ43" s="308"/>
      <c r="EK43" s="308"/>
      <c r="EL43" s="308"/>
      <c r="EM43" s="308"/>
      <c r="EN43" s="308"/>
      <c r="EO43" s="308"/>
      <c r="EP43" s="308"/>
      <c r="EQ43" s="308"/>
      <c r="ER43" s="308"/>
      <c r="ES43" s="308"/>
      <c r="ET43" s="308"/>
      <c r="EU43" s="308"/>
      <c r="EV43" s="308"/>
      <c r="EW43" s="308"/>
      <c r="EX43" s="308"/>
      <c r="EY43" s="308"/>
      <c r="EZ43" s="308"/>
      <c r="FA43" s="308"/>
      <c r="FB43" s="308"/>
      <c r="FC43" s="308"/>
      <c r="FD43" s="308"/>
      <c r="FE43" s="308"/>
      <c r="FF43" s="308"/>
      <c r="FG43" s="308"/>
      <c r="FH43" s="308"/>
      <c r="FI43" s="308"/>
      <c r="FJ43" s="308"/>
      <c r="FK43" s="308"/>
      <c r="FL43" s="308"/>
      <c r="FM43" s="308"/>
      <c r="FN43" s="308"/>
      <c r="FO43" s="308"/>
      <c r="FP43" s="308"/>
      <c r="FQ43" s="308"/>
      <c r="FR43" s="308"/>
      <c r="FS43" s="308"/>
      <c r="FT43" s="308"/>
      <c r="FU43" s="308"/>
      <c r="FV43" s="308"/>
      <c r="FW43" s="308"/>
      <c r="FX43" s="308"/>
      <c r="FY43" s="308"/>
      <c r="FZ43" s="308"/>
      <c r="GA43" s="308"/>
      <c r="GB43" s="308"/>
      <c r="GC43" s="308"/>
      <c r="GD43" s="308"/>
      <c r="GE43" s="308"/>
      <c r="GF43" s="308"/>
      <c r="GG43" s="308"/>
      <c r="GH43" s="308"/>
      <c r="GI43" s="308"/>
      <c r="GJ43" s="337">
        <v>70000</v>
      </c>
      <c r="GK43" s="337">
        <v>70000</v>
      </c>
      <c r="GL43" s="337">
        <v>140000</v>
      </c>
      <c r="GM43" s="337">
        <f>GK43+GL43+GJ43</f>
        <v>280000</v>
      </c>
      <c r="GN43" s="308">
        <v>0</v>
      </c>
      <c r="GO43" s="308">
        <v>0</v>
      </c>
      <c r="GP43" s="308"/>
      <c r="GQ43" s="308"/>
      <c r="GR43" s="308"/>
      <c r="GS43" s="308"/>
      <c r="GT43" s="308"/>
      <c r="GU43" s="308"/>
      <c r="GV43" s="308">
        <f>SUM(GR43:GT43)</f>
        <v>0</v>
      </c>
      <c r="GW43" s="308"/>
      <c r="GX43" s="308"/>
      <c r="GY43" s="308"/>
      <c r="GZ43" s="308"/>
      <c r="HA43" s="308"/>
      <c r="HB43" s="308"/>
      <c r="HC43" s="308"/>
      <c r="HD43" s="308"/>
      <c r="HE43" s="308"/>
      <c r="HF43" s="308"/>
      <c r="HG43" s="308"/>
      <c r="HH43" s="308"/>
      <c r="HI43" s="308"/>
      <c r="HJ43" s="308"/>
      <c r="HK43" s="308"/>
      <c r="HL43" s="308"/>
      <c r="HM43" s="308"/>
      <c r="HN43" s="308"/>
      <c r="HO43" s="308"/>
      <c r="HP43" s="308"/>
      <c r="HQ43" s="308"/>
      <c r="HR43" s="308"/>
      <c r="HS43" s="308"/>
      <c r="HT43" s="308"/>
      <c r="HU43" s="308"/>
      <c r="HV43" s="308"/>
      <c r="HW43" s="308"/>
      <c r="HX43" s="308"/>
      <c r="HY43" s="308"/>
      <c r="HZ43" s="308"/>
      <c r="IA43" s="308"/>
      <c r="IB43" s="308"/>
      <c r="IC43" s="308"/>
      <c r="ID43" s="308"/>
      <c r="IE43" s="308"/>
      <c r="IF43" s="308"/>
      <c r="IG43" s="308"/>
      <c r="IH43" s="308"/>
      <c r="II43" s="308"/>
      <c r="IJ43" s="308"/>
      <c r="IK43" s="308"/>
      <c r="IL43" s="308"/>
      <c r="IM43" s="308"/>
      <c r="IN43" s="308"/>
      <c r="IO43" s="308"/>
      <c r="IP43" s="478">
        <f>SUM(IB43:IO43)</f>
        <v>0</v>
      </c>
      <c r="IQ43" s="308"/>
      <c r="IR43" s="308"/>
      <c r="IS43" s="308"/>
      <c r="IT43" s="308"/>
      <c r="IU43" s="308"/>
      <c r="IV43" s="308"/>
      <c r="IW43" s="308"/>
      <c r="IX43" s="308"/>
      <c r="IY43" s="308"/>
      <c r="IZ43" s="308"/>
      <c r="JA43" s="308"/>
      <c r="JB43" s="308"/>
      <c r="JC43" s="308"/>
      <c r="JD43" s="308"/>
      <c r="JE43" s="308">
        <f>SUM(IQ43:JD43)</f>
        <v>0</v>
      </c>
      <c r="JF43" s="308"/>
      <c r="JG43" s="308"/>
      <c r="JH43" s="337">
        <v>200000</v>
      </c>
      <c r="JI43" s="337">
        <v>80000</v>
      </c>
      <c r="JJ43" s="337"/>
      <c r="JK43" s="337">
        <f>SUM(JH43:JJ43)</f>
        <v>280000</v>
      </c>
      <c r="JL43" s="308"/>
      <c r="JM43" s="308"/>
      <c r="JN43" s="309"/>
      <c r="JO43" s="309"/>
      <c r="JP43" s="309"/>
      <c r="JQ43" s="309"/>
      <c r="JR43" s="309"/>
      <c r="JS43" s="309"/>
      <c r="JT43" s="309"/>
      <c r="JU43" s="309"/>
      <c r="JV43" s="309"/>
      <c r="JW43" s="309"/>
      <c r="JX43" s="309"/>
      <c r="JY43" s="309"/>
      <c r="JZ43" s="309"/>
      <c r="KA43" s="309"/>
      <c r="KB43" s="309"/>
      <c r="KC43" s="309"/>
      <c r="KD43" s="309">
        <v>0</v>
      </c>
      <c r="KE43" s="309">
        <v>0</v>
      </c>
      <c r="KF43" s="309">
        <v>0</v>
      </c>
      <c r="KG43" s="309">
        <v>0</v>
      </c>
      <c r="KH43" s="309">
        <v>0</v>
      </c>
      <c r="KI43" s="309">
        <v>0</v>
      </c>
      <c r="KJ43" s="309">
        <v>0</v>
      </c>
      <c r="KK43" s="309">
        <v>0</v>
      </c>
      <c r="KL43" s="308"/>
      <c r="KM43" s="308"/>
      <c r="KN43" s="337">
        <v>6919</v>
      </c>
      <c r="KO43" s="1084">
        <v>0.68</v>
      </c>
      <c r="KP43" s="1084">
        <v>4.13</v>
      </c>
      <c r="KQ43" s="1084">
        <v>6.44</v>
      </c>
      <c r="KR43" s="1084">
        <v>11.98</v>
      </c>
      <c r="KS43" s="337">
        <v>6877</v>
      </c>
      <c r="KT43" s="1084">
        <v>1.65</v>
      </c>
      <c r="KU43" s="1084">
        <v>5.0999999999999996</v>
      </c>
      <c r="KV43" s="1084">
        <v>6.14</v>
      </c>
      <c r="KW43" s="1084">
        <v>11.85</v>
      </c>
      <c r="KX43" s="308"/>
      <c r="KY43" s="309"/>
      <c r="KZ43" s="309"/>
      <c r="LA43" s="309"/>
      <c r="LB43" s="309"/>
      <c r="LC43" s="308">
        <v>13.25</v>
      </c>
      <c r="LD43" s="308"/>
      <c r="LE43" s="308"/>
      <c r="LF43" s="337">
        <v>220000</v>
      </c>
      <c r="LG43" s="337">
        <v>90000</v>
      </c>
      <c r="LH43" s="337"/>
      <c r="LI43" s="337">
        <f>SUM(LF43:LH43)</f>
        <v>310000</v>
      </c>
      <c r="LJ43" s="308"/>
      <c r="LK43" s="308"/>
      <c r="LL43" s="308"/>
      <c r="LM43" s="308"/>
      <c r="LN43" s="308"/>
      <c r="LO43" s="308"/>
      <c r="LP43" s="308"/>
      <c r="LQ43" s="308"/>
      <c r="LR43" s="308"/>
      <c r="LS43" s="308"/>
      <c r="LT43" s="308"/>
      <c r="LU43" s="308"/>
      <c r="LV43" s="308"/>
      <c r="LW43" s="308"/>
      <c r="LX43" s="308"/>
      <c r="LY43" s="308"/>
      <c r="LZ43" s="308"/>
      <c r="MA43" s="308"/>
      <c r="MB43" s="308"/>
      <c r="MC43" s="308"/>
      <c r="MD43" s="308"/>
      <c r="MF43" s="308"/>
      <c r="MG43" s="308"/>
      <c r="MH43" s="308"/>
      <c r="MI43" s="308"/>
      <c r="MJ43" s="308"/>
      <c r="MK43" s="308"/>
      <c r="ML43" s="308"/>
      <c r="MM43" s="308"/>
      <c r="MN43" s="308"/>
      <c r="MO43" s="308"/>
      <c r="MP43" s="308"/>
      <c r="MQ43" s="308"/>
      <c r="MR43" s="308"/>
      <c r="MS43" s="308"/>
      <c r="MT43" s="308"/>
      <c r="MU43" s="308"/>
      <c r="MV43" s="308"/>
      <c r="MW43" s="308"/>
      <c r="MX43" s="308"/>
      <c r="MY43" s="308"/>
      <c r="MZ43" s="308"/>
      <c r="NA43" s="308"/>
      <c r="NB43" s="308"/>
      <c r="NC43" s="308"/>
      <c r="ND43" s="308"/>
      <c r="NE43" s="308"/>
      <c r="NF43" s="308"/>
      <c r="NG43" s="308"/>
      <c r="NH43" s="308"/>
      <c r="NI43" s="308"/>
      <c r="NJ43" s="308"/>
      <c r="NK43" s="308"/>
      <c r="NL43" s="308"/>
      <c r="NM43" s="308"/>
      <c r="NN43" s="308"/>
      <c r="NO43" s="308"/>
      <c r="NP43" s="308"/>
      <c r="NQ43" s="308"/>
      <c r="NR43" s="308"/>
      <c r="NS43" s="308"/>
      <c r="NT43" s="308"/>
      <c r="NU43" s="308"/>
      <c r="NV43" s="308"/>
      <c r="NW43" s="308"/>
      <c r="NX43" s="308"/>
      <c r="NY43" s="308"/>
      <c r="NZ43" s="308"/>
      <c r="OA43" s="308"/>
      <c r="OB43" s="308"/>
      <c r="OC43" s="308"/>
      <c r="OD43" s="308"/>
      <c r="OE43" s="308"/>
      <c r="OF43" s="308"/>
      <c r="OG43" s="308"/>
      <c r="OH43" s="308"/>
      <c r="OI43" s="308"/>
      <c r="OJ43" s="308"/>
      <c r="OK43" s="308"/>
      <c r="OL43" s="308"/>
      <c r="OM43" s="308"/>
      <c r="ON43" s="308"/>
      <c r="OO43" s="308"/>
      <c r="OP43" s="308"/>
      <c r="OQ43" s="308"/>
      <c r="OR43" s="308"/>
      <c r="OS43" s="308"/>
      <c r="OT43" s="308"/>
      <c r="OU43" s="308"/>
      <c r="OV43" s="308"/>
      <c r="OW43" s="308"/>
      <c r="OX43" s="308"/>
      <c r="OY43" s="308"/>
      <c r="OZ43" s="308"/>
      <c r="PA43" s="308"/>
      <c r="PB43" s="308"/>
      <c r="PC43" s="308"/>
      <c r="PD43" s="308"/>
      <c r="PE43" s="308"/>
      <c r="PF43" s="308"/>
      <c r="PG43" s="308"/>
      <c r="PH43" s="308"/>
      <c r="PI43" s="308"/>
      <c r="PJ43" s="308"/>
      <c r="PK43" s="308"/>
      <c r="PL43" s="308"/>
      <c r="PM43" s="308"/>
      <c r="PN43" s="308"/>
      <c r="PO43" s="308"/>
      <c r="PP43" s="308"/>
      <c r="PQ43" s="308"/>
      <c r="PR43" s="308"/>
      <c r="PS43" s="308"/>
      <c r="PT43" s="308"/>
      <c r="PU43" s="308"/>
      <c r="PV43" s="308"/>
      <c r="PW43" s="308"/>
      <c r="PX43" s="308"/>
      <c r="PY43" s="308"/>
      <c r="PZ43" s="308"/>
      <c r="QA43" s="308"/>
      <c r="QB43" s="308"/>
      <c r="QC43" s="308"/>
      <c r="QD43" s="308"/>
      <c r="QE43" s="308"/>
      <c r="RW43" s="1073"/>
    </row>
    <row r="44" spans="1:500">
      <c r="A44" t="s">
        <v>208</v>
      </c>
      <c r="C44" s="38">
        <f>IFERROR(C42/C43,"")</f>
        <v>0.83766482982698964</v>
      </c>
      <c r="D44" s="38">
        <f>IFERROR(D42/D43,"")</f>
        <v>0.75830587796361337</v>
      </c>
      <c r="E44" s="38">
        <f>IFERROR(E42/E43,"")</f>
        <v>1.1355021363292763</v>
      </c>
      <c r="F44" s="38"/>
      <c r="G44" s="38"/>
      <c r="H44" s="38"/>
      <c r="I44" s="38"/>
      <c r="J44" s="38" t="str">
        <f t="shared" ref="J44:T44" si="160">IFERROR(J42/J43,"")</f>
        <v/>
      </c>
      <c r="K44" s="38" t="str">
        <f t="shared" si="160"/>
        <v/>
      </c>
      <c r="L44" s="38" t="str">
        <f t="shared" si="160"/>
        <v/>
      </c>
      <c r="M44" s="38" t="str">
        <f t="shared" si="160"/>
        <v/>
      </c>
      <c r="N44" s="38" t="str">
        <f t="shared" si="160"/>
        <v/>
      </c>
      <c r="O44" s="38">
        <f t="shared" si="160"/>
        <v>0.83504357846435096</v>
      </c>
      <c r="P44" s="38">
        <f t="shared" si="160"/>
        <v>0.78600199999999987</v>
      </c>
      <c r="Q44" s="38">
        <f t="shared" si="160"/>
        <v>1.0623937069681133</v>
      </c>
      <c r="R44" s="38" t="str">
        <f t="shared" si="160"/>
        <v/>
      </c>
      <c r="S44" s="1082">
        <f t="shared" si="160"/>
        <v>0.83331787122222223</v>
      </c>
      <c r="T44" s="38">
        <f t="shared" si="160"/>
        <v>0.79031424999999988</v>
      </c>
      <c r="U44" s="1081">
        <f t="shared" si="13"/>
        <v>1.0544133187807538</v>
      </c>
      <c r="V44" s="38" t="str">
        <f t="shared" ref="V44:AA44" si="161">IFERROR(V42/V43,"")</f>
        <v/>
      </c>
      <c r="W44" s="38">
        <f t="shared" si="161"/>
        <v>0.85349538014285697</v>
      </c>
      <c r="X44" s="38">
        <f t="shared" si="161"/>
        <v>0.67465068869081912</v>
      </c>
      <c r="Y44" s="38">
        <f t="shared" si="161"/>
        <v>1.2650922832363687</v>
      </c>
      <c r="Z44" s="38" t="str">
        <f t="shared" si="161"/>
        <v/>
      </c>
      <c r="AA44" s="38" t="str">
        <f t="shared" si="161"/>
        <v/>
      </c>
      <c r="AB44" s="72" t="str">
        <f>BP44</f>
        <v/>
      </c>
      <c r="AC44" s="38" t="str">
        <f>IFERROR(AC42/AC43,"")</f>
        <v/>
      </c>
      <c r="AD44" s="38"/>
      <c r="AE44" s="38" t="str">
        <f t="shared" ref="AE44:BN44" si="162">IFERROR(AE42/AE43,"")</f>
        <v/>
      </c>
      <c r="AF44" s="38" t="str">
        <f t="shared" si="162"/>
        <v/>
      </c>
      <c r="AG44" s="38" t="str">
        <f t="shared" si="162"/>
        <v/>
      </c>
      <c r="AH44" s="38" t="str">
        <f t="shared" si="162"/>
        <v/>
      </c>
      <c r="AI44" s="38" t="str">
        <f t="shared" si="162"/>
        <v/>
      </c>
      <c r="AJ44" s="38" t="str">
        <f t="shared" si="162"/>
        <v/>
      </c>
      <c r="AK44" s="38" t="str">
        <f t="shared" si="162"/>
        <v/>
      </c>
      <c r="AL44" s="38" t="str">
        <f t="shared" si="162"/>
        <v/>
      </c>
      <c r="AM44" s="38" t="str">
        <f t="shared" si="162"/>
        <v/>
      </c>
      <c r="AN44" s="38" t="str">
        <f t="shared" si="162"/>
        <v/>
      </c>
      <c r="AO44" s="38" t="str">
        <f t="shared" si="162"/>
        <v/>
      </c>
      <c r="AP44" s="38" t="str">
        <f t="shared" si="162"/>
        <v/>
      </c>
      <c r="AQ44" s="38" t="str">
        <f t="shared" si="162"/>
        <v/>
      </c>
      <c r="AR44" s="38" t="str">
        <f t="shared" si="162"/>
        <v/>
      </c>
      <c r="AS44" s="38" t="str">
        <f t="shared" si="162"/>
        <v/>
      </c>
      <c r="AT44" s="38" t="str">
        <f t="shared" si="162"/>
        <v/>
      </c>
      <c r="AU44" s="38" t="str">
        <f t="shared" si="162"/>
        <v/>
      </c>
      <c r="AV44" s="38" t="str">
        <f t="shared" si="162"/>
        <v/>
      </c>
      <c r="AW44" s="38">
        <f t="shared" si="162"/>
        <v>0.881560289090909</v>
      </c>
      <c r="AX44" s="38">
        <f t="shared" si="162"/>
        <v>0.8522621250000002</v>
      </c>
      <c r="AY44" s="38">
        <f t="shared" si="162"/>
        <v>1.0343769401824687</v>
      </c>
      <c r="AZ44" s="38" t="str">
        <f t="shared" si="162"/>
        <v/>
      </c>
      <c r="BA44" s="38" t="str">
        <f t="shared" si="162"/>
        <v/>
      </c>
      <c r="BB44" s="38" t="str">
        <f t="shared" si="162"/>
        <v/>
      </c>
      <c r="BC44" s="38">
        <f t="shared" si="162"/>
        <v>0.77978172624000008</v>
      </c>
      <c r="BD44" s="38">
        <f t="shared" si="162"/>
        <v>0.68962363636363633</v>
      </c>
      <c r="BE44" s="38">
        <f t="shared" si="162"/>
        <v>1.1707951372685497</v>
      </c>
      <c r="BF44" s="38" t="str">
        <f t="shared" si="162"/>
        <v/>
      </c>
      <c r="BG44" s="38" t="str">
        <f t="shared" si="162"/>
        <v/>
      </c>
      <c r="BH44" s="38" t="str">
        <f t="shared" si="162"/>
        <v/>
      </c>
      <c r="BI44" s="38" t="str">
        <f t="shared" si="162"/>
        <v/>
      </c>
      <c r="BJ44" s="38" t="str">
        <f t="shared" si="162"/>
        <v/>
      </c>
      <c r="BK44" s="38" t="str">
        <f t="shared" si="162"/>
        <v/>
      </c>
      <c r="BL44" s="38">
        <f t="shared" si="162"/>
        <v>0.83331787122222223</v>
      </c>
      <c r="BM44" s="38">
        <f t="shared" si="162"/>
        <v>0.79031424999999988</v>
      </c>
      <c r="BN44" s="38">
        <f t="shared" si="162"/>
        <v>1.0875589467522992</v>
      </c>
      <c r="BO44" s="38" t="str">
        <f>IFERROR(BO42/BP43,"")</f>
        <v/>
      </c>
      <c r="BP44" s="38" t="str">
        <f>IFERROR(BP42/#REF!,"")</f>
        <v/>
      </c>
      <c r="BQ44" s="38" t="str">
        <f>IFERROR(BQ42/BQ43,"")</f>
        <v/>
      </c>
      <c r="BR44" s="38" t="str">
        <f>IFERROR(BR42/BR43,"")</f>
        <v/>
      </c>
      <c r="BS44" s="38" t="str">
        <f>IFERROR(BS42/BS43,"")</f>
        <v/>
      </c>
      <c r="BT44" s="38" t="str">
        <f>IFERROR(BT42/BT43,"")</f>
        <v/>
      </c>
      <c r="BU44" s="38">
        <f t="shared" ref="BU44:BW44" si="163">IFERROR(BU42/BU43,"")</f>
        <v>0.85349538014285697</v>
      </c>
      <c r="BV44" s="38">
        <f t="shared" si="163"/>
        <v>0.67465068869081912</v>
      </c>
      <c r="BW44" s="38">
        <f t="shared" si="163"/>
        <v>1.2650922832363687</v>
      </c>
      <c r="BX44" s="38" t="str">
        <f t="shared" ref="BX44:CQ44" si="164">IFERROR(BX42/BX43,"")</f>
        <v/>
      </c>
      <c r="BY44" s="38" t="str">
        <f t="shared" si="164"/>
        <v/>
      </c>
      <c r="BZ44" s="38" t="str">
        <f t="shared" si="164"/>
        <v/>
      </c>
      <c r="CA44" s="38" t="str">
        <f t="shared" si="164"/>
        <v/>
      </c>
      <c r="CB44" s="38" t="str">
        <f t="shared" si="164"/>
        <v/>
      </c>
      <c r="CC44" s="38" t="str">
        <f t="shared" si="164"/>
        <v/>
      </c>
      <c r="CD44" s="38" t="str">
        <f t="shared" si="164"/>
        <v/>
      </c>
      <c r="CE44" s="38" t="str">
        <f t="shared" si="164"/>
        <v/>
      </c>
      <c r="CF44" s="38" t="str">
        <f t="shared" si="164"/>
        <v/>
      </c>
      <c r="CG44" s="38" t="str">
        <f t="shared" si="164"/>
        <v/>
      </c>
      <c r="CH44" s="38">
        <f t="shared" si="164"/>
        <v>1.9612566451612901E-2</v>
      </c>
      <c r="CI44" s="38">
        <f t="shared" si="164"/>
        <v>0</v>
      </c>
      <c r="CJ44" s="38" t="str">
        <f t="shared" si="164"/>
        <v/>
      </c>
      <c r="CK44" s="38">
        <f t="shared" si="164"/>
        <v>0.49525228880733946</v>
      </c>
      <c r="CL44" s="38" t="str">
        <f t="shared" si="164"/>
        <v/>
      </c>
      <c r="CM44" s="38">
        <f t="shared" si="164"/>
        <v>0.39487125000000001</v>
      </c>
      <c r="CN44" s="38" t="str">
        <f t="shared" si="164"/>
        <v/>
      </c>
      <c r="CO44" s="38" t="str">
        <f t="shared" si="164"/>
        <v/>
      </c>
      <c r="CP44" s="38" t="str">
        <f t="shared" si="164"/>
        <v/>
      </c>
      <c r="CQ44" s="38" t="str">
        <f t="shared" si="164"/>
        <v/>
      </c>
      <c r="CR44" s="38"/>
      <c r="CS44" s="38" t="str">
        <f>IFERROR(CS42/CS43,"")</f>
        <v/>
      </c>
      <c r="CT44" s="38"/>
      <c r="CU44" s="38" t="str">
        <f>IFERROR(CU42/CU43,"")</f>
        <v/>
      </c>
      <c r="CV44" s="38"/>
      <c r="CW44" s="38" t="str">
        <f>IFERROR(CW42/CW43,"")</f>
        <v/>
      </c>
      <c r="CX44" s="38"/>
      <c r="CY44" s="38" t="str">
        <f>IFERROR(CY42/CY43,"")</f>
        <v/>
      </c>
      <c r="CZ44" s="38"/>
      <c r="DA44" s="38" t="str">
        <f>IFERROR(DA42/DA43,"")</f>
        <v/>
      </c>
      <c r="DB44" s="38"/>
      <c r="DC44" s="38" t="str">
        <f>IFERROR(DC42/DC43,"")</f>
        <v/>
      </c>
      <c r="DD44" s="38" t="str">
        <f>IFERROR(DD42/DD43,"")</f>
        <v/>
      </c>
      <c r="DE44" s="38" t="str">
        <f>IFERROR(DE42/DE43,"")</f>
        <v/>
      </c>
      <c r="DF44" s="38"/>
      <c r="DG44" s="38" t="str">
        <f>IFERROR(DG42/DG43,"")</f>
        <v/>
      </c>
      <c r="DH44" s="38"/>
      <c r="DI44" s="38" t="str">
        <f>IFERROR(DI42/DI43,"")</f>
        <v/>
      </c>
      <c r="DJ44" s="38"/>
      <c r="DK44" s="38" t="str">
        <f>IFERROR(DK42/DK43,"")</f>
        <v/>
      </c>
      <c r="DL44" s="38"/>
      <c r="DM44" s="38" t="str">
        <f>IFERROR(DM42/DM43,"")</f>
        <v/>
      </c>
      <c r="DN44" s="38"/>
      <c r="DO44" s="38" t="str">
        <f>IFERROR(DO42/DO43,"")</f>
        <v/>
      </c>
      <c r="DP44" s="38"/>
      <c r="DQ44" s="38" t="str">
        <f>IFERROR(DQ42/DQ43,"")</f>
        <v/>
      </c>
      <c r="DR44" s="38" t="str">
        <f>IFERROR(DR42/DR43,"")</f>
        <v/>
      </c>
      <c r="DS44" s="38"/>
      <c r="DT44" s="38" t="str">
        <f>IFERROR(DT42/DT43,"")</f>
        <v/>
      </c>
      <c r="DU44" s="38"/>
      <c r="DV44" s="38" t="str">
        <f>IFERROR(DV42/DV43,"")</f>
        <v/>
      </c>
      <c r="DW44" s="38"/>
      <c r="DX44" s="38" t="str">
        <f>IFERROR(DX42/DX43,"")</f>
        <v/>
      </c>
      <c r="DY44" s="38"/>
      <c r="DZ44" s="38" t="str">
        <f>IFERROR(DZ42/DZ43,"")</f>
        <v/>
      </c>
      <c r="EA44" s="38"/>
      <c r="EB44" s="38" t="str">
        <f>IFERROR(EB42/EB43,"")</f>
        <v/>
      </c>
      <c r="EC44" s="38"/>
      <c r="ED44" s="38" t="str">
        <f>IFERROR(ED42/ED43,"")</f>
        <v/>
      </c>
      <c r="EE44" s="38" t="str">
        <f>IFERROR(EE42/EE43,"")</f>
        <v/>
      </c>
      <c r="EF44" s="38"/>
      <c r="EG44" s="38"/>
      <c r="EH44" s="38"/>
      <c r="EI44" s="38" t="str">
        <f>IFERROR(EI42/EI43,"")</f>
        <v/>
      </c>
      <c r="EJ44" s="38"/>
      <c r="EK44" s="38" t="str">
        <f>IFERROR(EK42/EK43,"")</f>
        <v/>
      </c>
      <c r="EL44" s="38"/>
      <c r="EM44" s="38" t="str">
        <f>IFERROR(EM42/EM43,"")</f>
        <v/>
      </c>
      <c r="EN44" s="38"/>
      <c r="EO44" s="38" t="str">
        <f>IFERROR(EO42/EO43,"")</f>
        <v/>
      </c>
      <c r="EP44" s="38"/>
      <c r="EQ44" s="38" t="str">
        <f t="shared" ref="EQ44:FU44" si="165">IFERROR(EQ42/EQ43,"")</f>
        <v/>
      </c>
      <c r="ER44" s="38" t="str">
        <f t="shared" si="165"/>
        <v/>
      </c>
      <c r="ES44" s="38" t="str">
        <f t="shared" si="165"/>
        <v/>
      </c>
      <c r="ET44" s="38" t="str">
        <f t="shared" si="165"/>
        <v/>
      </c>
      <c r="EU44" s="38" t="str">
        <f t="shared" si="165"/>
        <v/>
      </c>
      <c r="EV44" s="38" t="str">
        <f t="shared" si="165"/>
        <v/>
      </c>
      <c r="EW44" s="38" t="str">
        <f t="shared" si="165"/>
        <v/>
      </c>
      <c r="EX44" s="38" t="str">
        <f t="shared" si="165"/>
        <v/>
      </c>
      <c r="EY44" s="38" t="str">
        <f t="shared" si="165"/>
        <v/>
      </c>
      <c r="EZ44" s="38" t="str">
        <f t="shared" si="165"/>
        <v/>
      </c>
      <c r="FA44" s="38" t="str">
        <f t="shared" si="165"/>
        <v/>
      </c>
      <c r="FB44" s="38" t="str">
        <f t="shared" si="165"/>
        <v/>
      </c>
      <c r="FC44" s="38" t="str">
        <f t="shared" si="165"/>
        <v/>
      </c>
      <c r="FD44" s="38" t="str">
        <f t="shared" si="165"/>
        <v/>
      </c>
      <c r="FE44" s="38" t="str">
        <f t="shared" si="165"/>
        <v/>
      </c>
      <c r="FF44" s="38" t="str">
        <f t="shared" si="165"/>
        <v/>
      </c>
      <c r="FG44" s="38" t="str">
        <f t="shared" si="165"/>
        <v/>
      </c>
      <c r="FH44" s="38" t="str">
        <f t="shared" si="165"/>
        <v/>
      </c>
      <c r="FI44" s="38" t="str">
        <f t="shared" si="165"/>
        <v/>
      </c>
      <c r="FJ44" s="38" t="str">
        <f t="shared" si="165"/>
        <v/>
      </c>
      <c r="FK44" s="38" t="str">
        <f t="shared" si="165"/>
        <v/>
      </c>
      <c r="FL44" s="38" t="str">
        <f t="shared" si="165"/>
        <v/>
      </c>
      <c r="FM44" s="38" t="str">
        <f t="shared" si="165"/>
        <v/>
      </c>
      <c r="FN44" s="38" t="str">
        <f t="shared" si="165"/>
        <v/>
      </c>
      <c r="FO44" s="38" t="str">
        <f t="shared" si="165"/>
        <v/>
      </c>
      <c r="FP44" s="38" t="str">
        <f t="shared" si="165"/>
        <v/>
      </c>
      <c r="FQ44" s="38" t="str">
        <f t="shared" si="165"/>
        <v/>
      </c>
      <c r="FR44" s="38" t="str">
        <f t="shared" si="165"/>
        <v/>
      </c>
      <c r="FS44" s="38" t="str">
        <f t="shared" si="165"/>
        <v/>
      </c>
      <c r="FT44" s="38" t="str">
        <f t="shared" si="165"/>
        <v/>
      </c>
      <c r="FU44" s="38" t="str">
        <f t="shared" si="165"/>
        <v/>
      </c>
      <c r="FV44" s="38"/>
      <c r="FW44" s="38" t="str">
        <f>IFERROR(FW42/FW43,"")</f>
        <v/>
      </c>
      <c r="FX44" s="38"/>
      <c r="FY44" s="38" t="str">
        <f>IFERROR(FY42/FY43,"")</f>
        <v/>
      </c>
      <c r="FZ44" s="38"/>
      <c r="GA44" s="38" t="str">
        <f>IFERROR(GA42/GA43,"")</f>
        <v/>
      </c>
      <c r="GB44" s="38"/>
      <c r="GC44" s="38" t="str">
        <f>IFERROR(GC42/GC43,"")</f>
        <v/>
      </c>
      <c r="GD44" s="38"/>
      <c r="GE44" s="38" t="str">
        <f>IFERROR(GE42/GE43,"")</f>
        <v/>
      </c>
      <c r="GF44" s="38"/>
      <c r="GG44" s="38" t="str">
        <f t="shared" ref="GG44:GW44" si="166">IFERROR(GG42/GG43,"")</f>
        <v/>
      </c>
      <c r="GH44" s="38" t="str">
        <f t="shared" si="166"/>
        <v/>
      </c>
      <c r="GI44" s="38" t="str">
        <f t="shared" si="166"/>
        <v/>
      </c>
      <c r="GJ44" s="38">
        <f t="shared" si="166"/>
        <v>0.68137642857142877</v>
      </c>
      <c r="GK44" s="38">
        <f t="shared" si="166"/>
        <v>0.95266042857142852</v>
      </c>
      <c r="GL44" s="38">
        <f t="shared" si="166"/>
        <v>1.0566867857142859</v>
      </c>
      <c r="GM44" s="38">
        <f t="shared" si="166"/>
        <v>0.93685260714285723</v>
      </c>
      <c r="GN44" s="38" t="str">
        <f t="shared" si="166"/>
        <v/>
      </c>
      <c r="GO44" s="38" t="str">
        <f t="shared" si="166"/>
        <v/>
      </c>
      <c r="GP44" s="38" t="str">
        <f t="shared" si="166"/>
        <v/>
      </c>
      <c r="GQ44" s="38" t="str">
        <f t="shared" si="166"/>
        <v/>
      </c>
      <c r="GR44" s="38" t="str">
        <f t="shared" si="166"/>
        <v/>
      </c>
      <c r="GS44" s="38" t="str">
        <f t="shared" si="166"/>
        <v/>
      </c>
      <c r="GT44" s="38" t="str">
        <f t="shared" si="166"/>
        <v/>
      </c>
      <c r="GU44" s="38" t="str">
        <f t="shared" si="166"/>
        <v/>
      </c>
      <c r="GV44" s="38" t="str">
        <f t="shared" si="166"/>
        <v/>
      </c>
      <c r="GW44" s="38" t="str">
        <f t="shared" si="166"/>
        <v/>
      </c>
      <c r="GX44" s="72"/>
      <c r="GY44" s="38"/>
      <c r="GZ44" s="38" t="str">
        <f>IFERROR(GZ42/GZ43,"")</f>
        <v/>
      </c>
      <c r="HA44" s="38"/>
      <c r="HB44" s="38" t="str">
        <f>IFERROR(HB42/HB43,"")</f>
        <v/>
      </c>
      <c r="HC44" s="38"/>
      <c r="HD44" s="38" t="str">
        <f>IFERROR(HD42/HD43,"")</f>
        <v/>
      </c>
      <c r="HE44" s="38"/>
      <c r="HF44" s="38" t="str">
        <f>IFERROR(HF42/HF43,"")</f>
        <v/>
      </c>
      <c r="HG44" s="38"/>
      <c r="HH44" s="38" t="str">
        <f>IFERROR(HH42/HH43,"")</f>
        <v/>
      </c>
      <c r="HI44" s="38"/>
      <c r="HJ44" s="38" t="str">
        <f>IFERROR(HJ42/HJ43,"")</f>
        <v/>
      </c>
      <c r="HK44" s="38" t="str">
        <f>IFERROR(HK42/HK43,"")</f>
        <v/>
      </c>
      <c r="HL44" s="38" t="str">
        <f>IFERROR(HL42/HL43,"")</f>
        <v/>
      </c>
      <c r="HM44" s="38"/>
      <c r="HN44" s="38"/>
      <c r="HO44" s="38"/>
      <c r="HP44" s="38"/>
      <c r="HQ44" s="38"/>
      <c r="HR44" s="38"/>
      <c r="HS44" s="38"/>
      <c r="HT44" s="38"/>
      <c r="HU44" s="38"/>
      <c r="HV44" s="38"/>
      <c r="HW44" s="38"/>
      <c r="HX44" s="38"/>
      <c r="HY44" s="38"/>
      <c r="HZ44" s="38"/>
      <c r="IA44" s="38"/>
      <c r="IB44" s="38" t="str">
        <f>IFERROR(IB42/IB43,"")</f>
        <v/>
      </c>
      <c r="IC44" s="38"/>
      <c r="ID44" s="38" t="str">
        <f>IFERROR(ID42/ID43,"")</f>
        <v/>
      </c>
      <c r="IE44" s="38"/>
      <c r="IF44" s="38" t="str">
        <f>IFERROR(IF42/IF43,"")</f>
        <v/>
      </c>
      <c r="IG44" s="38"/>
      <c r="IH44" s="38" t="str">
        <f>IFERROR(IH42/IH43,"")</f>
        <v/>
      </c>
      <c r="II44" s="38"/>
      <c r="IJ44" s="38" t="str">
        <f>IFERROR(IJ42/IJ43,"")</f>
        <v/>
      </c>
      <c r="IK44" s="38"/>
      <c r="IL44" s="38" t="str">
        <f>IFERROR(IL42/IL43,"")</f>
        <v/>
      </c>
      <c r="IM44" s="38"/>
      <c r="IN44" s="38" t="str">
        <f>IFERROR(IN42/IN43,"")</f>
        <v/>
      </c>
      <c r="IO44" s="38" t="str">
        <f>IFERROR(IO42/IO43,"")</f>
        <v/>
      </c>
      <c r="IP44" s="38" t="str">
        <f>IFERROR(IP42/IP43,"")</f>
        <v/>
      </c>
      <c r="IQ44" s="38"/>
      <c r="IR44" s="38"/>
      <c r="IS44" s="38" t="str">
        <f>IFERROR(IS42/IS43,"")</f>
        <v/>
      </c>
      <c r="IT44" s="38"/>
      <c r="IU44" s="38" t="str">
        <f>IFERROR(IU42/IU43,"")</f>
        <v/>
      </c>
      <c r="IV44" s="38"/>
      <c r="IW44" s="38" t="str">
        <f>IFERROR(IW42/IW43,"")</f>
        <v/>
      </c>
      <c r="IX44" s="38"/>
      <c r="IY44" s="38" t="str">
        <f>IFERROR(IY42/IY43,"")</f>
        <v/>
      </c>
      <c r="IZ44" s="38"/>
      <c r="JA44" s="38" t="str">
        <f>IFERROR(JA42/JA43,"")</f>
        <v/>
      </c>
      <c r="JB44" s="38"/>
      <c r="JC44" s="38" t="str">
        <f t="shared" ref="JC44:JM44" si="167">IFERROR(JC42/JC43,"")</f>
        <v/>
      </c>
      <c r="JD44" s="38" t="str">
        <f t="shared" si="167"/>
        <v/>
      </c>
      <c r="JE44" s="38" t="str">
        <f t="shared" si="167"/>
        <v/>
      </c>
      <c r="JF44" s="38" t="str">
        <f t="shared" si="167"/>
        <v/>
      </c>
      <c r="JG44" s="38" t="str">
        <f t="shared" si="167"/>
        <v/>
      </c>
      <c r="JH44" s="38">
        <f t="shared" si="167"/>
        <v>0.91273165000000012</v>
      </c>
      <c r="JI44" s="38">
        <f t="shared" si="167"/>
        <v>0.9971549999999999</v>
      </c>
      <c r="JJ44" s="38" t="str">
        <f t="shared" si="167"/>
        <v/>
      </c>
      <c r="JK44" s="38">
        <f t="shared" si="167"/>
        <v>0.93685260714285723</v>
      </c>
      <c r="JL44" s="38" t="str">
        <f t="shared" si="167"/>
        <v/>
      </c>
      <c r="JM44" s="38" t="str">
        <f t="shared" si="167"/>
        <v/>
      </c>
      <c r="JN44" s="38">
        <f t="shared" ref="JN44:KK44" si="168">IFERROR(IF(1-ABS(1-(JN42/JN43))&lt;0,0,1-ABS(1-(JN42/JN43))),0)</f>
        <v>0</v>
      </c>
      <c r="JO44" s="38">
        <f t="shared" si="168"/>
        <v>0</v>
      </c>
      <c r="JP44" s="38">
        <f t="shared" si="168"/>
        <v>0</v>
      </c>
      <c r="JQ44" s="38">
        <f t="shared" si="168"/>
        <v>0</v>
      </c>
      <c r="JR44" s="38">
        <f t="shared" si="168"/>
        <v>0</v>
      </c>
      <c r="JS44" s="38">
        <f t="shared" si="168"/>
        <v>0</v>
      </c>
      <c r="JT44" s="38">
        <f t="shared" si="168"/>
        <v>0</v>
      </c>
      <c r="JU44" s="38">
        <f t="shared" si="168"/>
        <v>0</v>
      </c>
      <c r="JV44" s="38">
        <f t="shared" si="168"/>
        <v>0</v>
      </c>
      <c r="JW44" s="38">
        <f t="shared" si="168"/>
        <v>0</v>
      </c>
      <c r="JX44" s="38">
        <f t="shared" si="168"/>
        <v>0</v>
      </c>
      <c r="JY44" s="38">
        <f t="shared" si="168"/>
        <v>0</v>
      </c>
      <c r="JZ44" s="38">
        <f t="shared" si="168"/>
        <v>0</v>
      </c>
      <c r="KA44" s="38">
        <f t="shared" si="168"/>
        <v>0</v>
      </c>
      <c r="KB44" s="38">
        <f t="shared" si="168"/>
        <v>0</v>
      </c>
      <c r="KC44" s="38">
        <f t="shared" si="168"/>
        <v>0</v>
      </c>
      <c r="KD44" s="38">
        <f t="shared" si="168"/>
        <v>0</v>
      </c>
      <c r="KE44" s="38">
        <f t="shared" si="168"/>
        <v>0</v>
      </c>
      <c r="KF44" s="38">
        <f t="shared" si="168"/>
        <v>0</v>
      </c>
      <c r="KG44" s="38">
        <f t="shared" si="168"/>
        <v>0</v>
      </c>
      <c r="KH44" s="38">
        <f t="shared" si="168"/>
        <v>0</v>
      </c>
      <c r="KI44" s="38">
        <f t="shared" si="168"/>
        <v>0</v>
      </c>
      <c r="KJ44" s="38">
        <f t="shared" si="168"/>
        <v>0</v>
      </c>
      <c r="KK44" s="38">
        <f t="shared" si="168"/>
        <v>0</v>
      </c>
      <c r="KL44" s="38" t="str">
        <f t="shared" ref="KL44:LE44" si="169">IFERROR(KL42/KL43,"")</f>
        <v/>
      </c>
      <c r="KM44" s="38" t="str">
        <f t="shared" si="169"/>
        <v/>
      </c>
      <c r="KN44" s="38">
        <f t="shared" si="169"/>
        <v>1.0084809440447529</v>
      </c>
      <c r="KO44" s="38">
        <f t="shared" si="169"/>
        <v>0.83874762098201427</v>
      </c>
      <c r="KP44" s="38">
        <f t="shared" si="169"/>
        <v>0.97932352733560191</v>
      </c>
      <c r="KQ44" s="38">
        <f t="shared" si="169"/>
        <v>1.085541472424514</v>
      </c>
      <c r="KR44" s="38">
        <f t="shared" si="169"/>
        <v>0.94533115987151051</v>
      </c>
      <c r="KS44" s="38">
        <f t="shared" si="169"/>
        <v>0.98830380801909345</v>
      </c>
      <c r="KT44" s="38">
        <f t="shared" si="169"/>
        <v>0.97774100165167543</v>
      </c>
      <c r="KU44" s="38">
        <f t="shared" si="169"/>
        <v>1.1831785416112039</v>
      </c>
      <c r="KV44" s="38">
        <f t="shared" si="169"/>
        <v>1.1034255088060199</v>
      </c>
      <c r="KW44" s="38">
        <f t="shared" si="169"/>
        <v>0.93790258059835796</v>
      </c>
      <c r="KX44" s="38" t="str">
        <f t="shared" si="169"/>
        <v/>
      </c>
      <c r="KY44" s="38" t="str">
        <f t="shared" si="169"/>
        <v/>
      </c>
      <c r="KZ44" s="38" t="str">
        <f t="shared" si="169"/>
        <v/>
      </c>
      <c r="LA44" s="38" t="str">
        <f t="shared" si="169"/>
        <v/>
      </c>
      <c r="LB44" s="38" t="str">
        <f t="shared" si="169"/>
        <v/>
      </c>
      <c r="LC44" s="38">
        <f t="shared" si="169"/>
        <v>0</v>
      </c>
      <c r="LD44" s="38" t="str">
        <f t="shared" si="169"/>
        <v/>
      </c>
      <c r="LE44" s="38" t="str">
        <f t="shared" si="169"/>
        <v/>
      </c>
      <c r="LF44" s="38"/>
      <c r="LG44" s="38"/>
      <c r="LH44" s="38"/>
      <c r="LI44" s="38"/>
      <c r="LJ44" s="38"/>
      <c r="LK44" s="38"/>
      <c r="LL44" s="38" t="str">
        <f t="shared" ref="LL44:LQ44" si="170">IFERROR(LL42/LL43,"")</f>
        <v/>
      </c>
      <c r="LM44" s="38" t="str">
        <f t="shared" si="170"/>
        <v/>
      </c>
      <c r="LN44" s="38" t="str">
        <f t="shared" si="170"/>
        <v/>
      </c>
      <c r="LO44" s="38" t="str">
        <f t="shared" si="170"/>
        <v/>
      </c>
      <c r="LP44" s="38" t="str">
        <f t="shared" si="170"/>
        <v/>
      </c>
      <c r="LQ44" s="38" t="str">
        <f t="shared" si="170"/>
        <v/>
      </c>
      <c r="LR44" s="38"/>
      <c r="LS44" s="38" t="str">
        <f>IFERROR(LS42/LS43,"")</f>
        <v/>
      </c>
      <c r="LT44" s="38" t="str">
        <f>IFERROR(LT42/LT43,"")</f>
        <v/>
      </c>
      <c r="LU44" s="38" t="str">
        <f>IFERROR(LU42/LU43,"")</f>
        <v/>
      </c>
      <c r="LV44" s="38" t="str">
        <f>IFERROR(LV42/LV43,"")</f>
        <v/>
      </c>
      <c r="LW44" s="38" t="str">
        <f>IFERROR(LW42/LW43,"")</f>
        <v/>
      </c>
      <c r="LX44" s="38"/>
      <c r="LY44" s="38" t="str">
        <f>IFERROR(LY42/LY43,"")</f>
        <v/>
      </c>
      <c r="LZ44" s="38" t="str">
        <f>IFERROR(LZ42/LZ43,"")</f>
        <v/>
      </c>
      <c r="MA44" s="38"/>
      <c r="MB44" s="38" t="str">
        <f>IFERROR(MB42/MB43,"")</f>
        <v/>
      </c>
      <c r="MC44" s="38" t="str">
        <f>IFERROR(MC42/MC43,"")</f>
        <v/>
      </c>
      <c r="MD44" s="38"/>
      <c r="ME44" s="38"/>
      <c r="MF44" s="38" t="str">
        <f>IFERROR(MF42/MF43,"")</f>
        <v/>
      </c>
      <c r="MG44" s="38" t="str">
        <f>IFERROR(MG42/MG43,"")</f>
        <v/>
      </c>
      <c r="MH44" s="38" t="str">
        <f>IFERROR(MH42/MH43,"")</f>
        <v/>
      </c>
      <c r="MI44" s="38" t="str">
        <f>IFERROR(MI42/MI43,"")</f>
        <v/>
      </c>
      <c r="MJ44" s="38"/>
      <c r="MK44" s="38" t="str">
        <f>IFERROR(MK42/MK43,"")</f>
        <v/>
      </c>
      <c r="ML44" s="38" t="str">
        <f>IFERROR(ML42/ML43,"")</f>
        <v/>
      </c>
      <c r="MM44" s="38" t="str">
        <f>IFERROR(MM42/MM43,"")</f>
        <v/>
      </c>
      <c r="MN44" s="38" t="str">
        <f>IFERROR(MN42/MN43,"")</f>
        <v/>
      </c>
      <c r="MO44" s="38" t="str">
        <f>IFERROR(MO42/MO43,"")</f>
        <v/>
      </c>
      <c r="MP44" s="38"/>
      <c r="MQ44" s="38" t="str">
        <f t="shared" ref="MQ44:NB44" si="171">IFERROR(MQ42/MQ43,"")</f>
        <v/>
      </c>
      <c r="MR44" s="38" t="str">
        <f t="shared" si="171"/>
        <v/>
      </c>
      <c r="MS44" s="38" t="str">
        <f t="shared" si="171"/>
        <v/>
      </c>
      <c r="MT44" s="38" t="str">
        <f t="shared" si="171"/>
        <v/>
      </c>
      <c r="MU44" s="38" t="str">
        <f t="shared" si="171"/>
        <v/>
      </c>
      <c r="MV44" s="38" t="str">
        <f t="shared" si="171"/>
        <v/>
      </c>
      <c r="MW44" s="38" t="str">
        <f t="shared" si="171"/>
        <v/>
      </c>
      <c r="MX44" s="38" t="str">
        <f t="shared" si="171"/>
        <v/>
      </c>
      <c r="MY44" s="38" t="str">
        <f t="shared" si="171"/>
        <v/>
      </c>
      <c r="MZ44" s="38" t="str">
        <f t="shared" si="171"/>
        <v/>
      </c>
      <c r="NA44" s="38" t="str">
        <f t="shared" si="171"/>
        <v/>
      </c>
      <c r="NB44" s="38" t="str">
        <f t="shared" si="171"/>
        <v/>
      </c>
      <c r="NC44" s="38"/>
      <c r="ND44" s="38" t="str">
        <f>IFERROR(ND42/ND43,"")</f>
        <v/>
      </c>
      <c r="NE44" s="38" t="str">
        <f>IFERROR(NE42/NE43,"")</f>
        <v/>
      </c>
      <c r="NF44" s="38" t="str">
        <f>IFERROR(NF42/NF43,"")</f>
        <v/>
      </c>
      <c r="NG44" s="38"/>
      <c r="NH44" s="38" t="str">
        <f>IFERROR(NH42/NH43,"")</f>
        <v/>
      </c>
      <c r="NI44" s="38"/>
      <c r="NJ44" s="38" t="str">
        <f>IFERROR(NJ42/NJ43,"")</f>
        <v/>
      </c>
      <c r="NK44" s="38"/>
      <c r="NL44" s="38" t="str">
        <f>IFERROR(NL42/NL43,"")</f>
        <v/>
      </c>
      <c r="NM44" s="38"/>
      <c r="NN44" s="38" t="str">
        <f>IFERROR(NN42/NN43,"")</f>
        <v/>
      </c>
      <c r="NO44" s="38"/>
      <c r="NP44" s="38" t="str">
        <f>IFERROR(NP42/NP43,"")</f>
        <v/>
      </c>
      <c r="NQ44" s="38"/>
      <c r="NR44" s="38" t="str">
        <f>IFERROR(NR42/NR43,"")</f>
        <v/>
      </c>
      <c r="NS44" s="38" t="str">
        <f>IFERROR(NS42/NS43,"")</f>
        <v/>
      </c>
      <c r="NT44" s="38"/>
      <c r="NU44" s="38" t="str">
        <f>IFERROR(NU42/NU43,"")</f>
        <v/>
      </c>
      <c r="NV44" s="38"/>
      <c r="NW44" s="38" t="str">
        <f>IFERROR(NW42/NW43,"")</f>
        <v/>
      </c>
      <c r="NX44" s="38"/>
      <c r="NY44" s="38" t="str">
        <f>IFERROR(NY42/NY43,"")</f>
        <v/>
      </c>
      <c r="NZ44" s="38"/>
      <c r="OA44" s="38" t="str">
        <f>IFERROR(OA42/OA43,"")</f>
        <v/>
      </c>
      <c r="OB44" s="38"/>
      <c r="OC44" s="38" t="str">
        <f>IFERROR(OC42/OC43,"")</f>
        <v/>
      </c>
      <c r="OD44" s="38"/>
      <c r="OE44" s="38" t="str">
        <f>IFERROR(OE42/OE43,"")</f>
        <v/>
      </c>
      <c r="OF44" s="38" t="str">
        <f>IFERROR(OF42/OF43,"")</f>
        <v/>
      </c>
      <c r="OG44" s="38"/>
      <c r="OH44" s="38" t="str">
        <f>IFERROR(OH42/OH43,"")</f>
        <v/>
      </c>
      <c r="OI44" s="38"/>
      <c r="OJ44" s="38" t="str">
        <f>IFERROR(OJ42/OJ43,"")</f>
        <v/>
      </c>
      <c r="OK44" s="38"/>
      <c r="OL44" s="38" t="str">
        <f>IFERROR(OL42/OL43,"")</f>
        <v/>
      </c>
      <c r="OM44" s="38"/>
      <c r="ON44" s="38" t="str">
        <f>IFERROR(ON42/ON43,"")</f>
        <v/>
      </c>
      <c r="OO44" s="38"/>
      <c r="OP44" s="38" t="str">
        <f>IFERROR(OP42/OP43,"")</f>
        <v/>
      </c>
      <c r="OQ44" s="38"/>
      <c r="OR44" s="38" t="str">
        <f t="shared" ref="OR44:PJ44" si="172">IFERROR(OR42/OR43,"")</f>
        <v/>
      </c>
      <c r="OS44" s="38" t="str">
        <f t="shared" si="172"/>
        <v/>
      </c>
      <c r="OT44" s="38" t="str">
        <f t="shared" si="172"/>
        <v/>
      </c>
      <c r="OU44" s="38" t="str">
        <f t="shared" si="172"/>
        <v/>
      </c>
      <c r="OV44" s="38" t="str">
        <f t="shared" si="172"/>
        <v/>
      </c>
      <c r="OW44" s="38" t="str">
        <f t="shared" si="172"/>
        <v/>
      </c>
      <c r="OX44" s="38" t="str">
        <f t="shared" si="172"/>
        <v/>
      </c>
      <c r="OY44" s="38" t="str">
        <f t="shared" si="172"/>
        <v/>
      </c>
      <c r="OZ44" s="38" t="str">
        <f t="shared" si="172"/>
        <v/>
      </c>
      <c r="PA44" s="38" t="str">
        <f t="shared" si="172"/>
        <v/>
      </c>
      <c r="PB44" s="38" t="str">
        <f t="shared" si="172"/>
        <v/>
      </c>
      <c r="PC44" s="38" t="str">
        <f t="shared" si="172"/>
        <v/>
      </c>
      <c r="PD44" s="38" t="str">
        <f t="shared" si="172"/>
        <v/>
      </c>
      <c r="PE44" s="38" t="str">
        <f t="shared" si="172"/>
        <v/>
      </c>
      <c r="PF44" s="38" t="str">
        <f t="shared" si="172"/>
        <v/>
      </c>
      <c r="PG44" s="38" t="str">
        <f t="shared" si="172"/>
        <v/>
      </c>
      <c r="PH44" s="38" t="str">
        <f t="shared" si="172"/>
        <v/>
      </c>
      <c r="PI44" s="38" t="str">
        <f t="shared" si="172"/>
        <v/>
      </c>
      <c r="PJ44" s="38" t="str">
        <f t="shared" si="172"/>
        <v/>
      </c>
      <c r="PK44" s="38"/>
      <c r="PL44" s="38"/>
      <c r="PM44" s="38" t="str">
        <f t="shared" ref="PM44:PR44" si="173">IFERROR(PM42/PM43,"")</f>
        <v/>
      </c>
      <c r="PN44" s="38" t="str">
        <f t="shared" si="173"/>
        <v/>
      </c>
      <c r="PO44" s="38" t="str">
        <f t="shared" si="173"/>
        <v/>
      </c>
      <c r="PP44" s="38" t="str">
        <f t="shared" si="173"/>
        <v/>
      </c>
      <c r="PQ44" s="38" t="str">
        <f t="shared" si="173"/>
        <v/>
      </c>
      <c r="PR44" s="38" t="str">
        <f t="shared" si="173"/>
        <v/>
      </c>
      <c r="PS44" s="38"/>
      <c r="PT44" s="38"/>
      <c r="PU44" s="38" t="str">
        <f>IFERROR(PU42/PU43,"")</f>
        <v/>
      </c>
      <c r="PV44" s="38"/>
      <c r="PW44" s="38" t="str">
        <f>IFERROR(PW42/PW43,"")</f>
        <v/>
      </c>
      <c r="PX44" s="38"/>
      <c r="PY44" s="38" t="str">
        <f>IFERROR(PY42/PY43,"")</f>
        <v/>
      </c>
      <c r="PZ44" s="38" t="str">
        <f>IFERROR(PZ42/PZ43,"")</f>
        <v/>
      </c>
      <c r="QA44" s="38"/>
      <c r="QB44" s="38"/>
      <c r="QC44" s="38"/>
      <c r="QD44" s="38"/>
      <c r="QE44" s="38" t="str">
        <f>IFERROR(QE42/QE43,"")</f>
        <v/>
      </c>
      <c r="RW44" s="1"/>
    </row>
    <row r="45" spans="1:500">
      <c r="D45" s="1"/>
      <c r="O45" t="e">
        <f ca="1">IF(VALUE(MONTH(DATEVALUE(MID(CELL("filename",A1),FIND("]",CELL("filename",A1))+1,255)&amp;"1")))&lt;&gt;MONTH(TODAY()),O43/(DAY(EOMONTH(DATE(YEAR(TODAY()),VALUE(MONTH(DATEVALUE(MID(CELL("filename",A1),FIND("]",CELL("filename",A1))+1,255)&amp;"1"))),1),0))),(O43-O42)/('[1]Summary TCM'!$AB$140-DAY(TODAY()-1)))</f>
        <v>#VALUE!</v>
      </c>
      <c r="P45" t="e">
        <f ca="1">IF(VALUE(MONTH(DATEVALUE(MID(CELL("filename",B1),FIND("]",CELL("filename",B1))+1,255)&amp;"1")))&lt;&gt;MONTH(TODAY()),P43/(DAY(EOMONTH(DATE(YEAR(TODAY()),VALUE(MONTH(DATEVALUE(MID(CELL("filename",B1),FIND("]",CELL("filename",B1))+1,255)&amp;"1"))),1),0))),(P43-P42)/('[1]Summary TCM'!$AB$140-DAY(TODAY()-1)))</f>
        <v>#VALUE!</v>
      </c>
      <c r="Q45" t="e">
        <f ca="1">IF(VALUE(MONTH(DATEVALUE(MID(CELL("filename",C1),FIND("]",CELL("filename",C1))+1,255)&amp;"1")))&lt;&gt;MONTH(TODAY()),Q43/(DAY(EOMONTH(DATE(YEAR(TODAY()),VALUE(MONTH(DATEVALUE(MID(CELL("filename",C1),FIND("]",CELL("filename",C1))+1,255)&amp;"1"))),1),0))),(Q43-Q42)/('[1]Summary TCM'!$AB$140-DAY(TODAY()-1)))</f>
        <v>#VALUE!</v>
      </c>
      <c r="R45" t="e">
        <f ca="1">IF(VALUE(MONTH(DATEVALUE(MID(CELL("filename",D1),FIND("]",CELL("filename",D1))+1,255)&amp;"1")))&lt;&gt;MONTH(TODAY()),R43/(DAY(EOMONTH(DATE(YEAR(TODAY()),VALUE(MONTH(DATEVALUE(MID(CELL("filename",D1),FIND("]",CELL("filename",D1))+1,255)&amp;"1"))),1),0))),(R43-R42)/('[1]Summary TCM'!$AB$140-DAY(TODAY()-1)))</f>
        <v>#VALUE!</v>
      </c>
      <c r="S45" s="72" t="e">
        <f ca="1">SUM(BF45,BI45,BL45,BX45)</f>
        <v>#VALUE!</v>
      </c>
      <c r="T45" t="e">
        <f ca="1">IF(VALUE(MONTH(DATEVALUE(MID(CELL("filename",H1),FIND("]",CELL("filename",H1))+1,255)&amp;"1")))&lt;&gt;MONTH(TODAY()),T43/(DAY(EOMONTH(DATE(YEAR(TODAY()),VALUE(MONTH(DATEVALUE(MID(CELL("filename",H1),FIND("]",CELL("filename",H1))+1,255)&amp;"1"))),1),0))),(T43-T42)/('[1]Summary TCM'!$AB$140-DAY(TODAY()-1)))</f>
        <v>#VALUE!</v>
      </c>
      <c r="U45" t="e">
        <f ca="1">IF(VALUE(MONTH(DATEVALUE(MID(CELL("filename",I1),FIND("]",CELL("filename",I1))+1,255)&amp;"1")))&lt;&gt;MONTH(TODAY()),U43/(DAY(EOMONTH(DATE(YEAR(TODAY()),VALUE(MONTH(DATEVALUE(MID(CELL("filename",I1),FIND("]",CELL("filename",I1))+1,255)&amp;"1"))),1),0))),(U43-U42)/('[1]Summary TCM'!$AB$140-DAY(TODAY()-1)))</f>
        <v>#VALUE!</v>
      </c>
      <c r="V45" t="e">
        <f ca="1">IF(VALUE(MONTH(DATEVALUE(MID(CELL("filename",L1),FIND("]",CELL("filename",L1))+1,255)&amp;"1")))&lt;&gt;MONTH(TODAY()),V43/(DAY(EOMONTH(DATE(YEAR(TODAY()),VALUE(MONTH(DATEVALUE(MID(CELL("filename",L1),FIND("]",CELL("filename",L1))+1,255)&amp;"1"))),1),0))),(V43-V42)/('[1]Summary TCM'!$AB$140-DAY(TODAY()-1)))</f>
        <v>#VALUE!</v>
      </c>
      <c r="W45" t="e">
        <f ca="1">IF(VALUE(MONTH(DATEVALUE(MID(CELL("filename",M1),FIND("]",CELL("filename",M1))+1,255)&amp;"1")))&lt;&gt;MONTH(TODAY()),W43/(DAY(EOMONTH(DATE(YEAR(TODAY()),VALUE(MONTH(DATEVALUE(MID(CELL("filename",M1),FIND("]",CELL("filename",M1))+1,255)&amp;"1"))),1),0))),(W43-W42)/('[1]Summary TCM'!$AB$140-DAY(TODAY()-1)))</f>
        <v>#VALUE!</v>
      </c>
      <c r="X45" t="e">
        <f ca="1">IF(VALUE(MONTH(DATEVALUE(MID(CELL("filename",N1),FIND("]",CELL("filename",N1))+1,255)&amp;"1")))&lt;&gt;MONTH(TODAY()),X43/(DAY(EOMONTH(DATE(YEAR(TODAY()),VALUE(MONTH(DATEVALUE(MID(CELL("filename",N1),FIND("]",CELL("filename",N1))+1,255)&amp;"1"))),1),0))),(X43-X42)/('[1]Summary TCM'!$AB$140-DAY(TODAY()-1)))</f>
        <v>#VALUE!</v>
      </c>
      <c r="Y45" t="e">
        <f ca="1">IF(VALUE(MONTH(DATEVALUE(MID(CELL("filename",O1),FIND("]",CELL("filename",O1))+1,255)&amp;"1")))&lt;&gt;MONTH(TODAY()),Y43/(DAY(EOMONTH(DATE(YEAR(TODAY()),VALUE(MONTH(DATEVALUE(MID(CELL("filename",O1),FIND("]",CELL("filename",O1))+1,255)&amp;"1"))),1),0))),(Y43-Y42)/('[1]Summary TCM'!$AB$140-DAY(TODAY()-1)))</f>
        <v>#VALUE!</v>
      </c>
      <c r="Z45" t="e">
        <f ca="1">IF(VALUE(MONTH(DATEVALUE(MID(CELL("filename",P1),FIND("]",CELL("filename",P1))+1,255)&amp;"1")))&lt;&gt;MONTH(TODAY()),Z43/(DAY(EOMONTH(DATE(YEAR(TODAY()),VALUE(MONTH(DATEVALUE(MID(CELL("filename",P1),FIND("]",CELL("filename",P1))+1,255)&amp;"1"))),1),0))),(Z43-Z42)/('[1]Summary TCM'!$AB$140-DAY(TODAY()-1)))</f>
        <v>#VALUE!</v>
      </c>
      <c r="AE45" t="e">
        <f ca="1">IF(VALUE(MONTH(DATEVALUE(MID(CELL("filename",Q1),FIND("]",CELL("filename",Q1))+1,255)&amp;"1")))&lt;&gt;MONTH(TODAY()),AE43/(DAY(EOMONTH(DATE(YEAR(TODAY()),VALUE(MONTH(DATEVALUE(MID(CELL("filename",Q1),FIND("]",CELL("filename",Q1))+1,255)&amp;"1"))),1),0))),(AE43-AE42)/('[1]Summary TCM'!$AB$140-DAY(TODAY()-1)))</f>
        <v>#VALUE!</v>
      </c>
      <c r="AF45" t="e">
        <f ca="1">IF(VALUE(MONTH(DATEVALUE(MID(CELL("filename",R1),FIND("]",CELL("filename",R1))+1,255)&amp;"1")))&lt;&gt;MONTH(TODAY()),AF43/(DAY(EOMONTH(DATE(YEAR(TODAY()),VALUE(MONTH(DATEVALUE(MID(CELL("filename",R1),FIND("]",CELL("filename",R1))+1,255)&amp;"1"))),1),0))),(AF43-AF42)/('[1]Summary TCM'!$AB$140-DAY(TODAY()-1)))</f>
        <v>#VALUE!</v>
      </c>
      <c r="AG45" t="e">
        <f ca="1">IF(VALUE(MONTH(DATEVALUE(MID(CELL("filename",S1),FIND("]",CELL("filename",S1))+1,255)&amp;"1")))&lt;&gt;MONTH(TODAY()),AG43/(DAY(EOMONTH(DATE(YEAR(TODAY()),VALUE(MONTH(DATEVALUE(MID(CELL("filename",S1),FIND("]",CELL("filename",S1))+1,255)&amp;"1"))),1),0))),(AG43-AG42)/('[1]Summary TCM'!$AB$140-DAY(TODAY()-1)))</f>
        <v>#VALUE!</v>
      </c>
      <c r="AH45" t="e">
        <f ca="1">IF(VALUE(MONTH(DATEVALUE(MID(CELL("filename",T1),FIND("]",CELL("filename",T1))+1,255)&amp;"1")))&lt;&gt;MONTH(TODAY()),AH43/(DAY(EOMONTH(DATE(YEAR(TODAY()),VALUE(MONTH(DATEVALUE(MID(CELL("filename",T1),FIND("]",CELL("filename",T1))+1,255)&amp;"1"))),1),0))),(AH43-AH42)/('[1]Summary TCM'!$AB$140-DAY(TODAY()-1)))</f>
        <v>#VALUE!</v>
      </c>
      <c r="AI45" t="e">
        <f ca="1">IF(VALUE(MONTH(DATEVALUE(MID(CELL("filename",U1),FIND("]",CELL("filename",U1))+1,255)&amp;"1")))&lt;&gt;MONTH(TODAY()),AI43/(DAY(EOMONTH(DATE(YEAR(TODAY()),VALUE(MONTH(DATEVALUE(MID(CELL("filename",U1),FIND("]",CELL("filename",U1))+1,255)&amp;"1"))),1),0))),(AI43-AI42)/('[1]Summary TCM'!$AB$140-DAY(TODAY()-1)))</f>
        <v>#VALUE!</v>
      </c>
      <c r="AJ45" t="e">
        <f ca="1">IF(VALUE(MONTH(DATEVALUE(MID(CELL("filename",V1),FIND("]",CELL("filename",V1))+1,255)&amp;"1")))&lt;&gt;MONTH(TODAY()),AJ43/(DAY(EOMONTH(DATE(YEAR(TODAY()),VALUE(MONTH(DATEVALUE(MID(CELL("filename",V1),FIND("]",CELL("filename",V1))+1,255)&amp;"1"))),1),0))),(AJ43-AJ42)/('[1]Summary TCM'!$AB$140-DAY(TODAY()-1)))</f>
        <v>#VALUE!</v>
      </c>
      <c r="AK45" t="e">
        <f ca="1">IF(VALUE(MONTH(DATEVALUE(MID(CELL("filename",W1),FIND("]",CELL("filename",W1))+1,255)&amp;"1")))&lt;&gt;MONTH(TODAY()),AK43/(DAY(EOMONTH(DATE(YEAR(TODAY()),VALUE(MONTH(DATEVALUE(MID(CELL("filename",W1),FIND("]",CELL("filename",W1))+1,255)&amp;"1"))),1),0))),(AK43-AK42)/('[1]Summary TCM'!$AB$140-DAY(TODAY()-1)))</f>
        <v>#VALUE!</v>
      </c>
      <c r="AL45" t="e">
        <f ca="1">IF(VALUE(MONTH(DATEVALUE(MID(CELL("filename",X1),FIND("]",CELL("filename",X1))+1,255)&amp;"1")))&lt;&gt;MONTH(TODAY()),AL43/(DAY(EOMONTH(DATE(YEAR(TODAY()),VALUE(MONTH(DATEVALUE(MID(CELL("filename",X1),FIND("]",CELL("filename",X1))+1,255)&amp;"1"))),1),0))),(AL43-AL42)/('[1]Summary TCM'!$AB$140-DAY(TODAY()-1)))</f>
        <v>#VALUE!</v>
      </c>
      <c r="AN45" t="e">
        <f ca="1">IF(VALUE(MONTH(DATEVALUE(MID(CELL("filename",Z1),FIND("]",CELL("filename",Z1))+1,255)&amp;"1")))&lt;&gt;MONTH(TODAY()),AN43/(DAY(EOMONTH(DATE(YEAR(TODAY()),VALUE(MONTH(DATEVALUE(MID(CELL("filename",Z1),FIND("]",CELL("filename",Z1))+1,255)&amp;"1"))),1),0))),(AN43-AN42)/('[1]Summary TCM'!$AB$140-DAY(TODAY()-1)))</f>
        <v>#VALUE!</v>
      </c>
      <c r="AO45" t="e">
        <f ca="1">IF(VALUE(MONTH(DATEVALUE(MID(CELL("filename",AE1),FIND("]",CELL("filename",AE1))+1,255)&amp;"1")))&lt;&gt;MONTH(TODAY()),AO43/(DAY(EOMONTH(DATE(YEAR(TODAY()),VALUE(MONTH(DATEVALUE(MID(CELL("filename",AE1),FIND("]",CELL("filename",AE1))+1,255)&amp;"1"))),1),0))),(AO43-AO42)/('[1]Summary TCM'!$AB$140-DAY(TODAY()-1)))</f>
        <v>#VALUE!</v>
      </c>
      <c r="AP45" t="e">
        <f ca="1">IF(VALUE(MONTH(DATEVALUE(MID(CELL("filename",AF1),FIND("]",CELL("filename",AF1))+1,255)&amp;"1")))&lt;&gt;MONTH(TODAY()),AP43/(DAY(EOMONTH(DATE(YEAR(TODAY()),VALUE(MONTH(DATEVALUE(MID(CELL("filename",AF1),FIND("]",CELL("filename",AF1))+1,255)&amp;"1"))),1),0))),(AP43-AP42)/('[1]Summary TCM'!$AB$140-DAY(TODAY()-1)))</f>
        <v>#VALUE!</v>
      </c>
      <c r="AQ45" t="e">
        <f ca="1">IF(VALUE(MONTH(DATEVALUE(MID(CELL("filename",AG1),FIND("]",CELL("filename",AG1))+1,255)&amp;"1")))&lt;&gt;MONTH(TODAY()),AQ43/(DAY(EOMONTH(DATE(YEAR(TODAY()),VALUE(MONTH(DATEVALUE(MID(CELL("filename",AG1),FIND("]",CELL("filename",AG1))+1,255)&amp;"1"))),1),0))),(AQ43-AQ42)/('[1]Summary TCM'!$AB$140-DAY(TODAY()-1)))</f>
        <v>#VALUE!</v>
      </c>
      <c r="AR45" t="e">
        <f ca="1">IF(VALUE(MONTH(DATEVALUE(MID(CELL("filename",AH1),FIND("]",CELL("filename",AH1))+1,255)&amp;"1")))&lt;&gt;MONTH(TODAY()),AR43/(DAY(EOMONTH(DATE(YEAR(TODAY()),VALUE(MONTH(DATEVALUE(MID(CELL("filename",AH1),FIND("]",CELL("filename",AH1))+1,255)&amp;"1"))),1),0))),(AR43-AR42)/('[1]Summary TCM'!$AB$140-DAY(TODAY()-1)))</f>
        <v>#VALUE!</v>
      </c>
      <c r="AS45" t="e">
        <f ca="1">IF(VALUE(MONTH(DATEVALUE(MID(CELL("filename",AI1),FIND("]",CELL("filename",AI1))+1,255)&amp;"1")))&lt;&gt;MONTH(TODAY()),AS43/(DAY(EOMONTH(DATE(YEAR(TODAY()),VALUE(MONTH(DATEVALUE(MID(CELL("filename",AI1),FIND("]",CELL("filename",AI1))+1,255)&amp;"1"))),1),0))),(AS43-AS42)/('[1]Summary TCM'!$AB$140-DAY(TODAY()-1)))</f>
        <v>#VALUE!</v>
      </c>
      <c r="AT45" t="e">
        <f ca="1">IF(VALUE(MONTH(DATEVALUE(MID(CELL("filename",AJ1),FIND("]",CELL("filename",AJ1))+1,255)&amp;"1")))&lt;&gt;MONTH(TODAY()),AT43/(DAY(EOMONTH(DATE(YEAR(TODAY()),VALUE(MONTH(DATEVALUE(MID(CELL("filename",AJ1),FIND("]",CELL("filename",AJ1))+1,255)&amp;"1"))),1),0))),(AT43-AT42)/('[1]Summary TCM'!$AB$140-DAY(TODAY()-1)))</f>
        <v>#VALUE!</v>
      </c>
      <c r="AU45" t="e">
        <f ca="1">IF(VALUE(MONTH(DATEVALUE(MID(CELL("filename",AK1),FIND("]",CELL("filename",AK1))+1,255)&amp;"1")))&lt;&gt;MONTH(TODAY()),AU43/(DAY(EOMONTH(DATE(YEAR(TODAY()),VALUE(MONTH(DATEVALUE(MID(CELL("filename",AK1),FIND("]",CELL("filename",AK1))+1,255)&amp;"1"))),1),0))),(AU43-AU42)/('[1]Summary TCM'!$AB$140-DAY(TODAY()-1)))</f>
        <v>#VALUE!</v>
      </c>
      <c r="AV45" t="e">
        <f ca="1">IF(VALUE(MONTH(DATEVALUE(MID(CELL("filename",AL1),FIND("]",CELL("filename",AL1))+1,255)&amp;"1")))&lt;&gt;MONTH(TODAY()),AV43/(DAY(EOMONTH(DATE(YEAR(TODAY()),VALUE(MONTH(DATEVALUE(MID(CELL("filename",AL1),FIND("]",CELL("filename",AL1))+1,255)&amp;"1"))),1),0))),(AV43-AV42)/('[1]Summary TCM'!$AB$140-DAY(TODAY()-1)))</f>
        <v>#VALUE!</v>
      </c>
      <c r="AW45" t="e">
        <f ca="1">IF(VALUE(MONTH(DATEVALUE(MID(CELL("filename",AM1),FIND("]",CELL("filename",AM1))+1,255)&amp;"1")))&lt;&gt;MONTH(TODAY()),AW43/(DAY(EOMONTH(DATE(YEAR(TODAY()),VALUE(MONTH(DATEVALUE(MID(CELL("filename",AM1),FIND("]",CELL("filename",AM1))+1,255)&amp;"1"))),1),0))),(AW43-AW42)/('[1]Summary TCM'!$AB$140-DAY(TODAY()-1)))</f>
        <v>#VALUE!</v>
      </c>
      <c r="AX45" t="e">
        <f ca="1">IF(VALUE(MONTH(DATEVALUE(MID(CELL("filename",AN1),FIND("]",CELL("filename",AN1))+1,255)&amp;"1")))&lt;&gt;MONTH(TODAY()),AX43/(DAY(EOMONTH(DATE(YEAR(TODAY()),VALUE(MONTH(DATEVALUE(MID(CELL("filename",AN1),FIND("]",CELL("filename",AN1))+1,255)&amp;"1"))),1),0))),(AX43-AX42)/('[1]Summary TCM'!$AB$140-DAY(TODAY()-1)))</f>
        <v>#VALUE!</v>
      </c>
      <c r="AY45" t="e">
        <f ca="1">IF(VALUE(MONTH(DATEVALUE(MID(CELL("filename",AO1),FIND("]",CELL("filename",AO1))+1,255)&amp;"1")))&lt;&gt;MONTH(TODAY()),AY43/(DAY(EOMONTH(DATE(YEAR(TODAY()),VALUE(MONTH(DATEVALUE(MID(CELL("filename",AO1),FIND("]",CELL("filename",AO1))+1,255)&amp;"1"))),1),0))),(AY43-AY42)/('[1]Summary TCM'!$AB$140-DAY(TODAY()-1)))</f>
        <v>#VALUE!</v>
      </c>
      <c r="AZ45" t="e">
        <f ca="1">IF(VALUE(MONTH(DATEVALUE(MID(CELL("filename",AP1),FIND("]",CELL("filename",AP1))+1,255)&amp;"1")))&lt;&gt;MONTH(TODAY()),AZ43/(DAY(EOMONTH(DATE(YEAR(TODAY()),VALUE(MONTH(DATEVALUE(MID(CELL("filename",AP1),FIND("]",CELL("filename",AP1))+1,255)&amp;"1"))),1),0))),(AZ43-AZ42)/('[1]Summary TCM'!$AB$140-DAY(TODAY()-1)))</f>
        <v>#VALUE!</v>
      </c>
      <c r="BA45" t="e">
        <f ca="1">IF(VALUE(MONTH(DATEVALUE(MID(CELL("filename",AQ1),FIND("]",CELL("filename",AQ1))+1,255)&amp;"1")))&lt;&gt;MONTH(TODAY()),BA43/(DAY(EOMONTH(DATE(YEAR(TODAY()),VALUE(MONTH(DATEVALUE(MID(CELL("filename",AQ1),FIND("]",CELL("filename",AQ1))+1,255)&amp;"1"))),1),0))),(BA43-BA42)/('[1]Summary TCM'!$AB$140-DAY(TODAY()-1)))</f>
        <v>#VALUE!</v>
      </c>
      <c r="BB45" t="e">
        <f ca="1">IF(VALUE(MONTH(DATEVALUE(MID(CELL("filename",AR1),FIND("]",CELL("filename",AR1))+1,255)&amp;"1")))&lt;&gt;MONTH(TODAY()),BB43/(DAY(EOMONTH(DATE(YEAR(TODAY()),VALUE(MONTH(DATEVALUE(MID(CELL("filename",AR1),FIND("]",CELL("filename",AR1))+1,255)&amp;"1"))),1),0))),(BB43-BB42)/('[1]Summary TCM'!$AB$140-DAY(TODAY()-1)))</f>
        <v>#VALUE!</v>
      </c>
      <c r="BC45" t="e">
        <f ca="1">IF(VALUE(MONTH(DATEVALUE(MID(CELL("filename",AS1),FIND("]",CELL("filename",AS1))+1,255)&amp;"1")))&lt;&gt;MONTH(TODAY()),BC43/(DAY(EOMONTH(DATE(YEAR(TODAY()),VALUE(MONTH(DATEVALUE(MID(CELL("filename",AS1),FIND("]",CELL("filename",AS1))+1,255)&amp;"1"))),1),0))),(BC43-BC42)/('[1]Summary TCM'!$AB$140-DAY(TODAY()-1)))</f>
        <v>#VALUE!</v>
      </c>
      <c r="BD45" t="e">
        <f ca="1">IF(VALUE(MONTH(DATEVALUE(MID(CELL("filename",AT1),FIND("]",CELL("filename",AT1))+1,255)&amp;"1")))&lt;&gt;MONTH(TODAY()),BD43/(DAY(EOMONTH(DATE(YEAR(TODAY()),VALUE(MONTH(DATEVALUE(MID(CELL("filename",AT1),FIND("]",CELL("filename",AT1))+1,255)&amp;"1"))),1),0))),(BD43-BD42)/('[1]Summary TCM'!$AB$140-DAY(TODAY()-1)))</f>
        <v>#VALUE!</v>
      </c>
      <c r="BE45" t="e">
        <f ca="1">IF(VALUE(MONTH(DATEVALUE(MID(CELL("filename",AU1),FIND("]",CELL("filename",AU1))+1,255)&amp;"1")))&lt;&gt;MONTH(TODAY()),BE43/(DAY(EOMONTH(DATE(YEAR(TODAY()),VALUE(MONTH(DATEVALUE(MID(CELL("filename",AU1),FIND("]",CELL("filename",AU1))+1,255)&amp;"1"))),1),0))),(BE43-BE42)/('[1]Summary TCM'!$AB$140-DAY(TODAY()-1)))</f>
        <v>#VALUE!</v>
      </c>
      <c r="BF45" t="e">
        <f ca="1">IF(VALUE(MONTH(DATEVALUE(MID(CELL("filename",AV1),FIND("]",CELL("filename",AV1))+1,255)&amp;"1")))&lt;&gt;MONTH(TODAY()),BF43/(DAY(EOMONTH(DATE(YEAR(TODAY()),VALUE(MONTH(DATEVALUE(MID(CELL("filename",AV1),FIND("]",CELL("filename",AV1))+1,255)&amp;"1"))),1),0))),(BF43-BF42)/('[1]Summary TCM'!$AB$140-DAY(TODAY()-1)))</f>
        <v>#VALUE!</v>
      </c>
      <c r="BG45" t="e">
        <f ca="1">IF(VALUE(MONTH(DATEVALUE(MID(CELL("filename",AW1),FIND("]",CELL("filename",AW1))+1,255)&amp;"1")))&lt;&gt;MONTH(TODAY()),BG43/(DAY(EOMONTH(DATE(YEAR(TODAY()),VALUE(MONTH(DATEVALUE(MID(CELL("filename",AW1),FIND("]",CELL("filename",AW1))+1,255)&amp;"1"))),1),0))),(BG43-BG42)/('[1]Summary TCM'!$AB$140-DAY(TODAY()-1)))</f>
        <v>#VALUE!</v>
      </c>
      <c r="BH45" t="e">
        <f ca="1">IF(VALUE(MONTH(DATEVALUE(MID(CELL("filename",AX1),FIND("]",CELL("filename",AX1))+1,255)&amp;"1")))&lt;&gt;MONTH(TODAY()),BH43/(DAY(EOMONTH(DATE(YEAR(TODAY()),VALUE(MONTH(DATEVALUE(MID(CELL("filename",AX1),FIND("]",CELL("filename",AX1))+1,255)&amp;"1"))),1),0))),(BH43-BH42)/('[1]Summary TCM'!$AB$140-DAY(TODAY()-1)))</f>
        <v>#VALUE!</v>
      </c>
      <c r="BI45" t="e">
        <f ca="1">IF(VALUE(MONTH(DATEVALUE(MID(CELL("filename",AY1),FIND("]",CELL("filename",AY1))+1,255)&amp;"1")))&lt;&gt;MONTH(TODAY()),BI43/(DAY(EOMONTH(DATE(YEAR(TODAY()),VALUE(MONTH(DATEVALUE(MID(CELL("filename",AY1),FIND("]",CELL("filename",AY1))+1,255)&amp;"1"))),1),0))),(BI43-BI42)/('[1]Summary TCM'!$AB$140-DAY(TODAY()-1)))</f>
        <v>#VALUE!</v>
      </c>
      <c r="BJ45" t="e">
        <f ca="1">IF(VALUE(MONTH(DATEVALUE(MID(CELL("filename",AZ1),FIND("]",CELL("filename",AZ1))+1,255)&amp;"1")))&lt;&gt;MONTH(TODAY()),BJ43/(DAY(EOMONTH(DATE(YEAR(TODAY()),VALUE(MONTH(DATEVALUE(MID(CELL("filename",AZ1),FIND("]",CELL("filename",AZ1))+1,255)&amp;"1"))),1),0))),(BJ43-BJ42)/('[1]Summary TCM'!$AB$140-DAY(TODAY()-1)))</f>
        <v>#VALUE!</v>
      </c>
      <c r="BK45" t="e">
        <f ca="1">IF(VALUE(MONTH(DATEVALUE(MID(CELL("filename",BA1),FIND("]",CELL("filename",BA1))+1,255)&amp;"1")))&lt;&gt;MONTH(TODAY()),BK43/(DAY(EOMONTH(DATE(YEAR(TODAY()),VALUE(MONTH(DATEVALUE(MID(CELL("filename",BA1),FIND("]",CELL("filename",BA1))+1,255)&amp;"1"))),1),0))),(BK43-BK42)/('[1]Summary TCM'!$AB$140-DAY(TODAY()-1)))</f>
        <v>#VALUE!</v>
      </c>
      <c r="BL45" t="e">
        <f ca="1">IF(VALUE(MONTH(DATEVALUE(MID(CELL("filename",BB1),FIND("]",CELL("filename",BB1))+1,255)&amp;"1")))&lt;&gt;MONTH(TODAY()),BL43/(DAY(EOMONTH(DATE(YEAR(TODAY()),VALUE(MONTH(DATEVALUE(MID(CELL("filename",BB1),FIND("]",CELL("filename",BB1))+1,255)&amp;"1"))),1),0))),(BL43-BL42)/('[1]Summary TCM'!$AB$140-DAY(TODAY()-1)))</f>
        <v>#VALUE!</v>
      </c>
      <c r="BM45" t="e">
        <f ca="1">IF(VALUE(MONTH(DATEVALUE(MID(CELL("filename",BC1),FIND("]",CELL("filename",BC1))+1,255)&amp;"1")))&lt;&gt;MONTH(TODAY()),BM43/(DAY(EOMONTH(DATE(YEAR(TODAY()),VALUE(MONTH(DATEVALUE(MID(CELL("filename",BC1),FIND("]",CELL("filename",BC1))+1,255)&amp;"1"))),1),0))),(BM43-BM42)/('[1]Summary TCM'!$AB$140-DAY(TODAY()-1)))</f>
        <v>#VALUE!</v>
      </c>
      <c r="BN45" t="e">
        <f ca="1">IF(VALUE(MONTH(DATEVALUE(MID(CELL("filename",BD1),FIND("]",CELL("filename",BD1))+1,255)&amp;"1")))&lt;&gt;MONTH(TODAY()),BN43/(DAY(EOMONTH(DATE(YEAR(TODAY()),VALUE(MONTH(DATEVALUE(MID(CELL("filename",BD1),FIND("]",CELL("filename",BD1))+1,255)&amp;"1"))),1),0))),(BN43-BN42)/('[1]Summary TCM'!$AB$140-DAY(TODAY()-1)))</f>
        <v>#VALUE!</v>
      </c>
      <c r="BO45" t="e">
        <f ca="1">IF(VALUE(MONTH(DATEVALUE(MID(CELL("filename",BE1),FIND("]",CELL("filename",BE1))+1,255)&amp;"1")))&lt;&gt;MONTH(TODAY()),BP43/(DAY(EOMONTH(DATE(YEAR(TODAY()),VALUE(MONTH(DATEVALUE(MID(CELL("filename",BE1),FIND("]",CELL("filename",BE1))+1,255)&amp;"1"))),1),0))),(BP43-BO42)/('[1]Summary TCM'!$AB$140-DAY(TODAY()-1)))</f>
        <v>#VALUE!</v>
      </c>
      <c r="BP45" t="e">
        <f ca="1">IF(VALUE(MONTH(DATEVALUE(MID(CELL("filename",BF1),FIND("]",CELL("filename",BF1))+1,255)&amp;"1")))&lt;&gt;MONTH(TODAY()),#REF!/(DAY(EOMONTH(DATE(YEAR(TODAY()),VALUE(MONTH(DATEVALUE(MID(CELL("filename",BF1),FIND("]",CELL("filename",BF1))+1,255)&amp;"1"))),1),0))),(#REF!-BP42)/('[1]Summary TCM'!$AB$140-DAY(TODAY()-1)))</f>
        <v>#VALUE!</v>
      </c>
      <c r="BQ45" t="e">
        <f ca="1">IF(VALUE(MONTH(DATEVALUE(MID(CELL("filename",BG1),FIND("]",CELL("filename",BG1))+1,255)&amp;"1")))&lt;&gt;MONTH(TODAY()),BQ43/(DAY(EOMONTH(DATE(YEAR(TODAY()),VALUE(MONTH(DATEVALUE(MID(CELL("filename",BG1),FIND("]",CELL("filename",BG1))+1,255)&amp;"1"))),1),0))),(BQ43-BQ42)/('[1]Summary TCM'!$AB$140-DAY(TODAY()-1)))</f>
        <v>#VALUE!</v>
      </c>
      <c r="BR45" t="e">
        <f ca="1">IF(VALUE(MONTH(DATEVALUE(MID(CELL("filename",BE1),FIND("]",CELL("filename",BE1))+1,255)&amp;"1")))&lt;&gt;MONTH(TODAY()),BR43/(DAY(EOMONTH(DATE(YEAR(TODAY()),VALUE(MONTH(DATEVALUE(MID(CELL("filename",BE1),FIND("]",CELL("filename",BE1))+1,255)&amp;"1"))),1),0))),(BR43-BR42)/('[1]Summary TCM'!$AB$140-DAY(TODAY()-1)))</f>
        <v>#VALUE!</v>
      </c>
      <c r="BS45" t="e">
        <f ca="1">IF(VALUE(MONTH(DATEVALUE(MID(CELL("filename",BF1),FIND("]",CELL("filename",BF1))+1,255)&amp;"1")))&lt;&gt;MONTH(TODAY()),BS43/(DAY(EOMONTH(DATE(YEAR(TODAY()),VALUE(MONTH(DATEVALUE(MID(CELL("filename",BF1),FIND("]",CELL("filename",BF1))+1,255)&amp;"1"))),1),0))),(BS43-BS42)/('[1]Summary TCM'!$AB$140-DAY(TODAY()-1)))</f>
        <v>#VALUE!</v>
      </c>
      <c r="BT45" t="e">
        <f ca="1">IF(VALUE(MONTH(DATEVALUE(MID(CELL("filename",BG1),FIND("]",CELL("filename",BG1))+1,255)&amp;"1")))&lt;&gt;MONTH(TODAY()),BT43/(DAY(EOMONTH(DATE(YEAR(TODAY()),VALUE(MONTH(DATEVALUE(MID(CELL("filename",BG1),FIND("]",CELL("filename",BG1))+1,255)&amp;"1"))),1),0))),(BT43-BT42)/('[1]Summary TCM'!$AB$140-DAY(TODAY()-1)))</f>
        <v>#VALUE!</v>
      </c>
      <c r="BU45" t="e">
        <f ca="1">IF(VALUE(MONTH(DATEVALUE(MID(CELL("filename",BH1),FIND("]",CELL("filename",BH1))+1,255)&amp;"1")))&lt;&gt;MONTH(TODAY()),BU43/(DAY(EOMONTH(DATE(YEAR(TODAY()),VALUE(MONTH(DATEVALUE(MID(CELL("filename",BH1),FIND("]",CELL("filename",BH1))+1,255)&amp;"1"))),1),0))),(BU43-BU42)/('[1]Summary TCM'!$AB$140-DAY(TODAY()-1)))</f>
        <v>#VALUE!</v>
      </c>
      <c r="BV45" t="e">
        <f ca="1">IF(VALUE(MONTH(DATEVALUE(MID(CELL("filename",BI1),FIND("]",CELL("filename",BI1))+1,255)&amp;"1")))&lt;&gt;MONTH(TODAY()),BV43/(DAY(EOMONTH(DATE(YEAR(TODAY()),VALUE(MONTH(DATEVALUE(MID(CELL("filename",BI1),FIND("]",CELL("filename",BI1))+1,255)&amp;"1"))),1),0))),(BV43-BV42)/('[1]Summary TCM'!$AB$140-DAY(TODAY()-1)))</f>
        <v>#VALUE!</v>
      </c>
      <c r="BW45" t="e">
        <f ca="1">IF(VALUE(MONTH(DATEVALUE(MID(CELL("filename",BJ1),FIND("]",CELL("filename",BJ1))+1,255)&amp;"1")))&lt;&gt;MONTH(TODAY()),BW43/(DAY(EOMONTH(DATE(YEAR(TODAY()),VALUE(MONTH(DATEVALUE(MID(CELL("filename",BJ1),FIND("]",CELL("filename",BJ1))+1,255)&amp;"1"))),1),0))),(BW43-BW42)/('[1]Summary TCM'!$AB$140-DAY(TODAY()-1)))</f>
        <v>#VALUE!</v>
      </c>
      <c r="CD45" t="e">
        <f ca="1">IF(VALUE(MONTH(DATEVALUE(MID(CELL("filename",BK1),FIND("]",CELL("filename",BK1))+1,255)&amp;"1")))&lt;&gt;MONTH(TODAY()),CD43/(DAY(EOMONTH(DATE(YEAR(TODAY()),VALUE(MONTH(DATEVALUE(MID(CELL("filename",BK1),FIND("]",CELL("filename",BK1))+1,255)&amp;"1"))),1),0))),(CD43-CD42)/('[1]Summary TCM'!$AB$140-DAY(TODAY()-1)))</f>
        <v>#VALUE!</v>
      </c>
      <c r="CE45" t="e">
        <f ca="1">IF(VALUE(MONTH(DATEVALUE(MID(CELL("filename",BL1),FIND("]",CELL("filename",BL1))+1,255)&amp;"1")))&lt;&gt;MONTH(TODAY()),CE43/(DAY(EOMONTH(DATE(YEAR(TODAY()),VALUE(MONTH(DATEVALUE(MID(CELL("filename",BL1),FIND("]",CELL("filename",BL1))+1,255)&amp;"1"))),1),0))),(CE43-CE42)/('[1]Summary TCM'!$AB$140-DAY(TODAY()-1)))</f>
        <v>#VALUE!</v>
      </c>
      <c r="CF45" t="e">
        <f ca="1">IF(VALUE(MONTH(DATEVALUE(MID(CELL("filename",BM1),FIND("]",CELL("filename",BM1))+1,255)&amp;"1")))&lt;&gt;MONTH(TODAY()),CF43/(DAY(EOMONTH(DATE(YEAR(TODAY()),VALUE(MONTH(DATEVALUE(MID(CELL("filename",BM1),FIND("]",CELL("filename",BM1))+1,255)&amp;"1"))),1),0))),(CF43-CF42)/('[1]Summary TCM'!$AB$140-DAY(TODAY()-1)))</f>
        <v>#VALUE!</v>
      </c>
      <c r="DK45" s="281"/>
      <c r="JN45">
        <f>SUMPRODUCT(JN43:JU43,JN44:JU44)</f>
        <v>0</v>
      </c>
      <c r="JV45">
        <f>SUMPRODUCT(JV43:KC43,JV44:KC44)</f>
        <v>0</v>
      </c>
      <c r="KD45">
        <f>SUMPRODUCT(KD43:KK43,KD44:KK44)</f>
        <v>0</v>
      </c>
      <c r="LW45" s="314"/>
      <c r="LY45" s="314"/>
      <c r="MA45" s="1"/>
      <c r="OC45" s="95"/>
      <c r="QL45" s="1"/>
      <c r="QM45" s="1"/>
      <c r="QO45" s="1"/>
      <c r="QP45" s="1"/>
      <c r="RW45" s="1"/>
    </row>
    <row r="46" spans="1:500">
      <c r="D46" s="1"/>
      <c r="E46" s="1"/>
      <c r="F46" s="1"/>
      <c r="G46" s="1"/>
      <c r="H46" s="95"/>
      <c r="I46" s="1">
        <f>AVERAGE(I42+K42+M42)</f>
        <v>292.91000000000003</v>
      </c>
      <c r="AB46" s="887"/>
      <c r="DK46" s="1"/>
      <c r="GP46" s="887">
        <f>GK41+GL41</f>
        <v>214622.38</v>
      </c>
      <c r="IL46">
        <v>3280.2499999999986</v>
      </c>
      <c r="JK46" s="95"/>
      <c r="JL46" s="1"/>
      <c r="LJ46" s="330"/>
      <c r="LR46" s="314"/>
      <c r="MK46">
        <v>150634.23206750001</v>
      </c>
      <c r="NW46" s="1"/>
      <c r="NX46" s="1"/>
      <c r="OC46" s="95"/>
      <c r="RW46" s="1"/>
    </row>
    <row r="47" spans="1:500">
      <c r="C47" s="1">
        <f>C43-C42</f>
        <v>703722.96270000003</v>
      </c>
      <c r="D47" s="887">
        <f>D43-D41</f>
        <v>55337.159999999974</v>
      </c>
      <c r="E47" s="1"/>
      <c r="F47" s="1"/>
      <c r="G47" s="1"/>
      <c r="H47" s="887">
        <f>D43/28</f>
        <v>8392.8571428571431</v>
      </c>
      <c r="I47" s="1"/>
      <c r="P47" s="887"/>
      <c r="T47" s="887"/>
      <c r="AB47" s="887"/>
      <c r="AQ47" s="95"/>
      <c r="AR47" s="95"/>
      <c r="AS47" s="95"/>
      <c r="AT47" s="95"/>
      <c r="AU47" s="95"/>
      <c r="AV47" s="95"/>
      <c r="AW47" s="95"/>
      <c r="AX47" s="95"/>
      <c r="AY47" s="95"/>
      <c r="AZ47" s="95"/>
      <c r="BA47" s="95"/>
      <c r="BB47" s="95"/>
      <c r="BC47" s="95"/>
      <c r="BD47" s="95"/>
      <c r="BE47" s="95"/>
      <c r="BF47" s="95"/>
      <c r="BG47" s="95"/>
      <c r="BH47" s="95"/>
      <c r="BI47" s="95"/>
      <c r="BJ47" s="95"/>
      <c r="BK47" s="95"/>
      <c r="BL47" s="95"/>
      <c r="BM47" s="95"/>
      <c r="BN47" s="95"/>
      <c r="BO47" s="95">
        <f ca="1">BO47</f>
        <v>0</v>
      </c>
      <c r="BP47" s="95"/>
      <c r="BQ47" s="95"/>
      <c r="BR47" s="95"/>
      <c r="BS47" s="95"/>
      <c r="BT47" s="95"/>
      <c r="BU47" s="95"/>
      <c r="BV47" s="95"/>
      <c r="BW47" s="95"/>
      <c r="BX47" s="95"/>
      <c r="BY47" s="95"/>
      <c r="BZ47" s="95"/>
      <c r="CA47" s="95"/>
      <c r="CB47" s="95"/>
      <c r="CC47" s="95"/>
      <c r="DW47" s="1">
        <f>DV28+DR28</f>
        <v>0</v>
      </c>
      <c r="GM47" s="887"/>
      <c r="GP47" s="887"/>
      <c r="JH47" s="887">
        <f>JH43-JH41</f>
        <v>17453.669999999984</v>
      </c>
      <c r="JI47" s="887">
        <f>JI43-JI41</f>
        <v>227.60000000000582</v>
      </c>
      <c r="JK47" s="887">
        <f>11000*3</f>
        <v>33000</v>
      </c>
      <c r="JL47" s="887"/>
      <c r="LG47">
        <v>4151.3280000000004</v>
      </c>
      <c r="LH47" s="329">
        <f>LG41-4496.575</f>
        <v>84937.620999999999</v>
      </c>
      <c r="LJ47" s="1447">
        <v>271265.18600000005</v>
      </c>
      <c r="LK47" s="314">
        <f>LJ47-LF41</f>
        <v>82817.826500000025</v>
      </c>
      <c r="LL47" s="314"/>
      <c r="LO47" s="314"/>
      <c r="LP47" s="314">
        <v>5222.3980000000001</v>
      </c>
      <c r="LR47" s="314"/>
      <c r="MK47">
        <v>119136.80000000002</v>
      </c>
      <c r="RW47" s="1"/>
    </row>
    <row r="48" spans="1:500">
      <c r="D48" s="887"/>
      <c r="E48" s="1"/>
      <c r="F48" s="1"/>
      <c r="G48" s="1"/>
      <c r="I48" s="95"/>
      <c r="O48" s="887"/>
      <c r="P48" s="887"/>
      <c r="S48" s="887"/>
      <c r="T48" s="887"/>
      <c r="AB48" s="887"/>
      <c r="AC48" s="1"/>
      <c r="AD48" s="1"/>
      <c r="AE48" s="1"/>
      <c r="AQ48" s="887"/>
      <c r="AR48" s="887"/>
      <c r="AW48" s="1">
        <f>AW43-AW42</f>
        <v>175882.97070000018</v>
      </c>
      <c r="BC48">
        <f>BC43-BC42</f>
        <v>275272.84219999996</v>
      </c>
      <c r="BG48" s="887"/>
      <c r="BL48">
        <f>BL43-BL42</f>
        <v>150013.91590000002</v>
      </c>
      <c r="BM48" s="887">
        <f>BM43/31</f>
        <v>1290.3225806451612</v>
      </c>
      <c r="BO48" s="887"/>
      <c r="BP48" s="887"/>
      <c r="BR48" s="1080">
        <f>BR43-BR42</f>
        <v>0</v>
      </c>
      <c r="BS48" s="95"/>
      <c r="BU48">
        <f>BU43-BU42</f>
        <v>102553.23390000011</v>
      </c>
      <c r="BV48" s="1">
        <f>BV43-BV41</f>
        <v>18060</v>
      </c>
      <c r="BX48">
        <f>BX43-BX42</f>
        <v>0</v>
      </c>
      <c r="CD48" s="1080">
        <f>CD43-CD42</f>
        <v>0</v>
      </c>
      <c r="CG48" s="887"/>
      <c r="IL48" s="1">
        <f>IL39-IL46</f>
        <v>-3280.2499999999986</v>
      </c>
      <c r="JH48" s="887">
        <f>JH47/10</f>
        <v>1745.3669999999984</v>
      </c>
      <c r="JI48" s="887">
        <f>JI47/10</f>
        <v>22.760000000000581</v>
      </c>
      <c r="JJ48" s="887"/>
      <c r="JK48">
        <f>JK41+JK47</f>
        <v>295318.73000000004</v>
      </c>
      <c r="JL48" s="887">
        <f>JK43-JK41</f>
        <v>17681.26999999996</v>
      </c>
      <c r="JN48" s="2715">
        <f>JL48/10</f>
        <v>1768.1269999999961</v>
      </c>
      <c r="JO48" s="2715"/>
      <c r="LF48" s="328"/>
      <c r="LG48" s="328"/>
      <c r="LH48" s="331"/>
      <c r="LK48" s="328"/>
      <c r="LL48" s="314"/>
      <c r="LP48" s="314">
        <v>7444.732</v>
      </c>
      <c r="LR48" s="314"/>
      <c r="MK48">
        <v>44765.296399999999</v>
      </c>
      <c r="RW48" s="1"/>
    </row>
    <row r="49" spans="2:491" ht="25.2" customHeight="1">
      <c r="D49" s="887"/>
      <c r="O49" s="1">
        <f>O43-O42</f>
        <v>451155.81290000025</v>
      </c>
      <c r="P49" s="887">
        <f>P43-P41</f>
        <v>28889.73000000001</v>
      </c>
      <c r="S49" s="887">
        <f>S43-S42</f>
        <v>150013.91590000002</v>
      </c>
      <c r="T49" s="887">
        <f>T43-T41</f>
        <v>8387.4300000000039</v>
      </c>
      <c r="X49" s="887">
        <f>X43-X42</f>
        <v>19520.958678550851</v>
      </c>
      <c r="Z49" s="1"/>
      <c r="AA49" s="887">
        <f>P41+T41+AB41</f>
        <v>137722.84</v>
      </c>
      <c r="AB49" s="887"/>
      <c r="AD49" s="1"/>
      <c r="AE49" s="1"/>
      <c r="BG49" s="887"/>
      <c r="BV49" s="887">
        <f>BV43/31</f>
        <v>1935.483870967742</v>
      </c>
      <c r="BY49" s="887"/>
      <c r="DS49" s="1"/>
      <c r="EL49" s="1"/>
      <c r="GX49" s="887">
        <f>GV38-GM38</f>
        <v>0</v>
      </c>
      <c r="JH49" s="887"/>
      <c r="JK49" s="887"/>
      <c r="JL49" s="887"/>
      <c r="JP49">
        <f>11000*10</f>
        <v>110000</v>
      </c>
      <c r="LF49" s="306"/>
      <c r="LG49" s="887">
        <f>LG41+LG47</f>
        <v>93585.52399999999</v>
      </c>
      <c r="LH49" s="887">
        <f>LG41-LX10</f>
        <v>89434.195999999996</v>
      </c>
      <c r="LI49" s="327"/>
      <c r="LL49" s="314"/>
      <c r="LP49" s="314">
        <v>7339.2969999999996</v>
      </c>
      <c r="MK49">
        <f>MK46+MK47-MK48</f>
        <v>225005.73566750006</v>
      </c>
      <c r="OA49" s="1"/>
      <c r="RW49" s="1"/>
    </row>
    <row r="50" spans="2:491" hidden="1">
      <c r="M50" s="92"/>
      <c r="P50" s="887">
        <f>P49/3</f>
        <v>9629.9100000000035</v>
      </c>
      <c r="T50" s="887">
        <f>T49/12</f>
        <v>698.95250000000033</v>
      </c>
      <c r="U50" s="887"/>
      <c r="W50">
        <f>'Summary TCM'!AV29+'Summary TCM'!AV99</f>
        <v>920000</v>
      </c>
      <c r="X50" s="887">
        <f>'Summary TCM'!AV46+'Summary TCM'!AV113</f>
        <v>90000</v>
      </c>
      <c r="AB50" s="887"/>
      <c r="AD50" s="887"/>
      <c r="AX50" s="887"/>
      <c r="BD50" s="887"/>
      <c r="BM50" s="887"/>
      <c r="BP50" s="887"/>
      <c r="BV50" s="887"/>
      <c r="GM50" s="1079"/>
      <c r="GR50" s="887">
        <f>GR43/31</f>
        <v>0</v>
      </c>
      <c r="JH50" s="887"/>
      <c r="JK50" s="95"/>
      <c r="JL50" s="887"/>
      <c r="JN50" s="95"/>
      <c r="JP50" s="887">
        <f>JK41+JP49</f>
        <v>372318.73000000004</v>
      </c>
      <c r="LG50" s="887"/>
      <c r="LH50" s="95"/>
      <c r="LK50" s="314"/>
      <c r="LL50" s="314"/>
      <c r="LX50" s="1078"/>
      <c r="RW50" s="1"/>
    </row>
    <row r="51" spans="2:491" ht="22.95" hidden="1" customHeight="1">
      <c r="M51" s="39"/>
      <c r="O51" s="1"/>
      <c r="AB51" s="887"/>
      <c r="JK51" s="485">
        <v>137362.99999999991</v>
      </c>
      <c r="LJ51" s="95"/>
      <c r="RW51" s="1"/>
    </row>
    <row r="52" spans="2:491" s="145" customFormat="1" hidden="1">
      <c r="M52" s="982"/>
      <c r="O52" s="1077">
        <f>'Summary TCM'!AV21/28</f>
        <v>86607.142857142855</v>
      </c>
      <c r="P52" s="1077">
        <f>'Summary TCM'!AV38/28</f>
        <v>6250</v>
      </c>
      <c r="S52" s="1077">
        <f>'Summary TCM'!AV25/28</f>
        <v>30714.285714285714</v>
      </c>
      <c r="T52" s="1077">
        <f>'Summary TCM'!AV42/28</f>
        <v>1607.1428571428571</v>
      </c>
      <c r="W52" s="1077">
        <f>W50/28</f>
        <v>32857.142857142855</v>
      </c>
      <c r="X52" s="1077">
        <f>X50/28</f>
        <v>3214.2857142857142</v>
      </c>
      <c r="AB52" s="489">
        <f>P43-P41</f>
        <v>28889.73000000001</v>
      </c>
      <c r="AW52" s="145">
        <f>114433+880303+87096</f>
        <v>1081832</v>
      </c>
      <c r="AX52" s="145">
        <f>14516+24194+16935</f>
        <v>55645</v>
      </c>
      <c r="BC52" s="145">
        <f>10391+32968</f>
        <v>43359</v>
      </c>
      <c r="JL52" s="432"/>
      <c r="RW52" s="459"/>
    </row>
    <row r="53" spans="2:491" s="145" customFormat="1" hidden="1">
      <c r="B53" s="145">
        <v>1</v>
      </c>
      <c r="C53" s="459">
        <f t="shared" ref="C53:D83" si="174">SUM(O53,W53,S53)</f>
        <v>150178.57142857142</v>
      </c>
      <c r="D53" s="459">
        <f t="shared" si="174"/>
        <v>11071.428571428571</v>
      </c>
      <c r="M53" s="982"/>
      <c r="N53" s="145">
        <v>1</v>
      </c>
      <c r="O53" s="459">
        <f>O52</f>
        <v>86607.142857142855</v>
      </c>
      <c r="P53" s="986">
        <f>P52</f>
        <v>6250</v>
      </c>
      <c r="R53" s="145">
        <v>1</v>
      </c>
      <c r="S53" s="459">
        <f>S52</f>
        <v>30714.285714285714</v>
      </c>
      <c r="T53" s="459">
        <f>T52</f>
        <v>1607.1428571428571</v>
      </c>
      <c r="V53" s="145">
        <v>1</v>
      </c>
      <c r="W53" s="459">
        <f>W52</f>
        <v>32857.142857142855</v>
      </c>
      <c r="X53" s="145">
        <f>X52</f>
        <v>3214.2857142857142</v>
      </c>
      <c r="Z53" s="145">
        <v>1</v>
      </c>
      <c r="AB53" s="145">
        <v>30</v>
      </c>
      <c r="BF53" s="145">
        <v>121506</v>
      </c>
      <c r="RW53" s="459"/>
    </row>
    <row r="54" spans="2:491" s="145" customFormat="1" hidden="1">
      <c r="B54" s="145">
        <v>2</v>
      </c>
      <c r="C54" s="459">
        <f t="shared" si="174"/>
        <v>300357.14285714284</v>
      </c>
      <c r="D54" s="459">
        <f t="shared" si="174"/>
        <v>22142.857142857141</v>
      </c>
      <c r="M54" s="982"/>
      <c r="N54" s="145">
        <v>2</v>
      </c>
      <c r="O54" s="459">
        <f t="shared" ref="O54:O83" si="175">O53+($O$52)</f>
        <v>173214.28571428571</v>
      </c>
      <c r="P54" s="986">
        <f t="shared" ref="P54:P83" si="176">P53+($P$52)</f>
        <v>12500</v>
      </c>
      <c r="R54" s="145">
        <v>2</v>
      </c>
      <c r="S54" s="459">
        <f t="shared" ref="S54:S83" si="177">S53+($S$52)</f>
        <v>61428.571428571428</v>
      </c>
      <c r="T54" s="459">
        <f t="shared" ref="T54:T83" si="178">T53+$T$52</f>
        <v>3214.2857142857142</v>
      </c>
      <c r="V54" s="145">
        <v>2</v>
      </c>
      <c r="W54" s="459">
        <f t="shared" ref="W54:W83" si="179">W53+($W$52)</f>
        <v>65714.28571428571</v>
      </c>
      <c r="X54" s="459">
        <f t="shared" ref="X54:X83" si="180">X53+$X$52</f>
        <v>6428.5714285714284</v>
      </c>
      <c r="Z54" s="145">
        <v>2</v>
      </c>
      <c r="AB54" s="489">
        <f>AB52/AB53</f>
        <v>962.99100000000033</v>
      </c>
      <c r="BF54" s="145">
        <v>896260</v>
      </c>
      <c r="JH54" s="145">
        <v>95000</v>
      </c>
      <c r="JI54" s="145">
        <v>165000</v>
      </c>
      <c r="JJ54" s="145">
        <f>SUM(JH54:JI54)</f>
        <v>260000</v>
      </c>
      <c r="RW54" s="459"/>
    </row>
    <row r="55" spans="2:491" s="145" customFormat="1" hidden="1">
      <c r="B55" s="145">
        <v>3</v>
      </c>
      <c r="C55" s="459">
        <f t="shared" si="174"/>
        <v>450535.71428571432</v>
      </c>
      <c r="D55" s="459">
        <f t="shared" si="174"/>
        <v>33214.285714285717</v>
      </c>
      <c r="M55" s="982"/>
      <c r="N55" s="145">
        <v>3</v>
      </c>
      <c r="O55" s="459">
        <f t="shared" si="175"/>
        <v>259821.42857142858</v>
      </c>
      <c r="P55" s="986">
        <f t="shared" si="176"/>
        <v>18750</v>
      </c>
      <c r="R55" s="145">
        <v>3</v>
      </c>
      <c r="S55" s="459">
        <f t="shared" si="177"/>
        <v>92142.857142857145</v>
      </c>
      <c r="T55" s="459">
        <f t="shared" si="178"/>
        <v>4821.4285714285716</v>
      </c>
      <c r="V55" s="145">
        <v>3</v>
      </c>
      <c r="W55" s="459">
        <f t="shared" si="179"/>
        <v>98571.428571428565</v>
      </c>
      <c r="X55" s="459">
        <f t="shared" si="180"/>
        <v>9642.8571428571431</v>
      </c>
      <c r="Z55" s="145">
        <v>3</v>
      </c>
      <c r="BF55" s="145">
        <v>24906</v>
      </c>
      <c r="RW55" s="459"/>
    </row>
    <row r="56" spans="2:491" s="145" customFormat="1" hidden="1">
      <c r="B56" s="145">
        <v>4</v>
      </c>
      <c r="C56" s="459">
        <f t="shared" si="174"/>
        <v>600714.28571428568</v>
      </c>
      <c r="D56" s="459">
        <f t="shared" si="174"/>
        <v>44285.714285714283</v>
      </c>
      <c r="M56" s="982"/>
      <c r="N56" s="145">
        <v>4</v>
      </c>
      <c r="O56" s="459">
        <f t="shared" si="175"/>
        <v>346428.57142857142</v>
      </c>
      <c r="P56" s="986">
        <f t="shared" si="176"/>
        <v>25000</v>
      </c>
      <c r="R56" s="145">
        <v>4</v>
      </c>
      <c r="S56" s="459">
        <f t="shared" si="177"/>
        <v>122857.14285714286</v>
      </c>
      <c r="T56" s="459">
        <f t="shared" si="178"/>
        <v>6428.5714285714284</v>
      </c>
      <c r="V56" s="145">
        <v>4</v>
      </c>
      <c r="W56" s="459">
        <f t="shared" si="179"/>
        <v>131428.57142857142</v>
      </c>
      <c r="X56" s="459">
        <f t="shared" si="180"/>
        <v>12857.142857142857</v>
      </c>
      <c r="Z56" s="145">
        <v>4</v>
      </c>
      <c r="RW56" s="459"/>
    </row>
    <row r="57" spans="2:491" s="145" customFormat="1" hidden="1">
      <c r="B57" s="145">
        <v>5</v>
      </c>
      <c r="C57" s="459">
        <f t="shared" si="174"/>
        <v>750892.85714285704</v>
      </c>
      <c r="D57" s="459">
        <f t="shared" si="174"/>
        <v>55357.142857142855</v>
      </c>
      <c r="M57" s="982"/>
      <c r="N57" s="145">
        <v>5</v>
      </c>
      <c r="O57" s="459">
        <f t="shared" si="175"/>
        <v>433035.71428571426</v>
      </c>
      <c r="P57" s="986">
        <f t="shared" si="176"/>
        <v>31250</v>
      </c>
      <c r="R57" s="145">
        <v>5</v>
      </c>
      <c r="S57" s="459">
        <f t="shared" si="177"/>
        <v>153571.42857142858</v>
      </c>
      <c r="T57" s="459">
        <f t="shared" si="178"/>
        <v>8035.7142857142853</v>
      </c>
      <c r="V57" s="145">
        <v>5</v>
      </c>
      <c r="W57" s="459">
        <f t="shared" si="179"/>
        <v>164285.71428571426</v>
      </c>
      <c r="X57" s="459">
        <f t="shared" si="180"/>
        <v>16071.428571428571</v>
      </c>
      <c r="Z57" s="145">
        <v>5</v>
      </c>
      <c r="BF57" s="1005">
        <f>SUM(BF53:BF56)</f>
        <v>1042672</v>
      </c>
      <c r="RW57" s="459"/>
    </row>
    <row r="58" spans="2:491" s="145" customFormat="1" hidden="1">
      <c r="B58" s="145">
        <v>6</v>
      </c>
      <c r="C58" s="459">
        <f t="shared" si="174"/>
        <v>901071.42857142852</v>
      </c>
      <c r="D58" s="459">
        <f t="shared" si="174"/>
        <v>66428.571428571435</v>
      </c>
      <c r="M58" s="982"/>
      <c r="N58" s="145">
        <v>6</v>
      </c>
      <c r="O58" s="459">
        <f t="shared" si="175"/>
        <v>519642.8571428571</v>
      </c>
      <c r="P58" s="986">
        <f t="shared" si="176"/>
        <v>37500</v>
      </c>
      <c r="R58" s="145">
        <v>6</v>
      </c>
      <c r="S58" s="459">
        <f t="shared" si="177"/>
        <v>184285.71428571429</v>
      </c>
      <c r="T58" s="459">
        <f t="shared" si="178"/>
        <v>9642.8571428571431</v>
      </c>
      <c r="V58" s="145">
        <v>6</v>
      </c>
      <c r="W58" s="459">
        <f t="shared" si="179"/>
        <v>197142.8571428571</v>
      </c>
      <c r="X58" s="459">
        <f t="shared" si="180"/>
        <v>19285.714285714286</v>
      </c>
      <c r="Z58" s="145">
        <v>6</v>
      </c>
      <c r="BF58" s="145">
        <f>1038834-1017766</f>
        <v>21068</v>
      </c>
      <c r="RW58" s="459"/>
    </row>
    <row r="59" spans="2:491" s="145" customFormat="1" hidden="1">
      <c r="B59" s="145">
        <v>7</v>
      </c>
      <c r="C59" s="459">
        <f t="shared" si="174"/>
        <v>1051250</v>
      </c>
      <c r="D59" s="459">
        <f t="shared" si="174"/>
        <v>77500</v>
      </c>
      <c r="M59" s="982"/>
      <c r="N59" s="145">
        <v>7</v>
      </c>
      <c r="O59" s="459">
        <f t="shared" si="175"/>
        <v>606250</v>
      </c>
      <c r="P59" s="986">
        <f t="shared" si="176"/>
        <v>43750</v>
      </c>
      <c r="R59" s="145">
        <v>7</v>
      </c>
      <c r="S59" s="459">
        <f t="shared" si="177"/>
        <v>215000</v>
      </c>
      <c r="T59" s="459">
        <f t="shared" si="178"/>
        <v>11250</v>
      </c>
      <c r="V59" s="145">
        <v>7</v>
      </c>
      <c r="W59" s="459">
        <f t="shared" si="179"/>
        <v>229999.99999999994</v>
      </c>
      <c r="X59" s="459">
        <f t="shared" si="180"/>
        <v>22500</v>
      </c>
      <c r="Z59" s="145">
        <v>7</v>
      </c>
      <c r="BF59" s="145">
        <f>BF57-1038834</f>
        <v>3838</v>
      </c>
      <c r="RW59" s="459"/>
    </row>
    <row r="60" spans="2:491" s="145" customFormat="1" hidden="1">
      <c r="B60" s="145">
        <v>8</v>
      </c>
      <c r="C60" s="459">
        <f t="shared" si="174"/>
        <v>1201428.5714285714</v>
      </c>
      <c r="D60" s="459">
        <f t="shared" si="174"/>
        <v>88571.428571428565</v>
      </c>
      <c r="M60" s="982"/>
      <c r="N60" s="145">
        <v>8</v>
      </c>
      <c r="O60" s="459">
        <f t="shared" si="175"/>
        <v>692857.14285714284</v>
      </c>
      <c r="P60" s="986">
        <f t="shared" si="176"/>
        <v>50000</v>
      </c>
      <c r="R60" s="145">
        <v>8</v>
      </c>
      <c r="S60" s="459">
        <f t="shared" si="177"/>
        <v>245714.28571428571</v>
      </c>
      <c r="T60" s="459">
        <f t="shared" si="178"/>
        <v>12857.142857142857</v>
      </c>
      <c r="V60" s="145">
        <v>8</v>
      </c>
      <c r="W60" s="459">
        <f t="shared" si="179"/>
        <v>262857.14285714278</v>
      </c>
      <c r="X60" s="459">
        <f t="shared" si="180"/>
        <v>25714.285714285714</v>
      </c>
      <c r="Z60" s="145">
        <v>8</v>
      </c>
      <c r="AP60" s="145">
        <v>37911.700000000004</v>
      </c>
      <c r="RW60" s="459"/>
    </row>
    <row r="61" spans="2:491" s="145" customFormat="1" hidden="1">
      <c r="B61" s="145">
        <v>9</v>
      </c>
      <c r="C61" s="459">
        <f t="shared" si="174"/>
        <v>1351607.1428571427</v>
      </c>
      <c r="D61" s="459">
        <f t="shared" si="174"/>
        <v>99642.85714285713</v>
      </c>
      <c r="M61" s="982"/>
      <c r="N61" s="145">
        <v>9</v>
      </c>
      <c r="O61" s="459">
        <f t="shared" si="175"/>
        <v>779464.28571428568</v>
      </c>
      <c r="P61" s="986">
        <f t="shared" si="176"/>
        <v>56250</v>
      </c>
      <c r="R61" s="145">
        <v>9</v>
      </c>
      <c r="S61" s="459">
        <f t="shared" si="177"/>
        <v>276428.57142857142</v>
      </c>
      <c r="T61" s="459">
        <f t="shared" si="178"/>
        <v>14464.285714285714</v>
      </c>
      <c r="V61" s="145">
        <v>9</v>
      </c>
      <c r="W61" s="459">
        <f t="shared" si="179"/>
        <v>295714.28571428562</v>
      </c>
      <c r="X61" s="459">
        <f t="shared" si="180"/>
        <v>28928.571428571428</v>
      </c>
      <c r="Z61" s="145">
        <v>9</v>
      </c>
      <c r="RW61" s="459"/>
    </row>
    <row r="62" spans="2:491" s="145" customFormat="1" hidden="1">
      <c r="B62" s="145">
        <v>10</v>
      </c>
      <c r="C62" s="459">
        <f t="shared" si="174"/>
        <v>1501785.7142857141</v>
      </c>
      <c r="D62" s="459">
        <f t="shared" si="174"/>
        <v>110714.28571428571</v>
      </c>
      <c r="M62" s="982"/>
      <c r="N62" s="145">
        <v>10</v>
      </c>
      <c r="O62" s="459">
        <f t="shared" si="175"/>
        <v>866071.42857142852</v>
      </c>
      <c r="P62" s="986">
        <f t="shared" si="176"/>
        <v>62500</v>
      </c>
      <c r="R62" s="145">
        <v>10</v>
      </c>
      <c r="S62" s="459">
        <f t="shared" si="177"/>
        <v>307142.85714285716</v>
      </c>
      <c r="T62" s="459">
        <f t="shared" si="178"/>
        <v>16071.428571428571</v>
      </c>
      <c r="V62" s="145">
        <v>10</v>
      </c>
      <c r="W62" s="459">
        <f t="shared" si="179"/>
        <v>328571.42857142846</v>
      </c>
      <c r="X62" s="459">
        <f t="shared" si="180"/>
        <v>32142.857142857141</v>
      </c>
      <c r="Z62" s="145">
        <v>10</v>
      </c>
      <c r="RW62" s="459"/>
    </row>
    <row r="63" spans="2:491" s="145" customFormat="1" hidden="1">
      <c r="B63" s="145">
        <v>11</v>
      </c>
      <c r="C63" s="459">
        <f t="shared" si="174"/>
        <v>1651964.2857142857</v>
      </c>
      <c r="D63" s="459">
        <f t="shared" si="174"/>
        <v>121785.71428571429</v>
      </c>
      <c r="M63" s="982"/>
      <c r="N63" s="145">
        <v>11</v>
      </c>
      <c r="O63" s="459">
        <f t="shared" si="175"/>
        <v>952678.57142857136</v>
      </c>
      <c r="P63" s="986">
        <f t="shared" si="176"/>
        <v>68750</v>
      </c>
      <c r="R63" s="145">
        <v>11</v>
      </c>
      <c r="S63" s="459">
        <f t="shared" si="177"/>
        <v>337857.1428571429</v>
      </c>
      <c r="T63" s="459">
        <f t="shared" si="178"/>
        <v>17678.571428571428</v>
      </c>
      <c r="V63" s="145">
        <v>11</v>
      </c>
      <c r="W63" s="459">
        <f t="shared" si="179"/>
        <v>361428.5714285713</v>
      </c>
      <c r="X63" s="459">
        <f t="shared" si="180"/>
        <v>35357.142857142855</v>
      </c>
      <c r="Z63" s="145">
        <v>11</v>
      </c>
      <c r="RW63" s="459"/>
    </row>
    <row r="64" spans="2:491" s="145" customFormat="1" hidden="1">
      <c r="B64" s="145">
        <v>12</v>
      </c>
      <c r="C64" s="459">
        <f t="shared" si="174"/>
        <v>1802142.857142857</v>
      </c>
      <c r="D64" s="459">
        <f t="shared" si="174"/>
        <v>132857.14285714287</v>
      </c>
      <c r="M64" s="982"/>
      <c r="N64" s="145">
        <v>12</v>
      </c>
      <c r="O64" s="459">
        <f t="shared" si="175"/>
        <v>1039285.7142857142</v>
      </c>
      <c r="P64" s="986">
        <f t="shared" si="176"/>
        <v>75000</v>
      </c>
      <c r="R64" s="145">
        <v>12</v>
      </c>
      <c r="S64" s="459">
        <f t="shared" si="177"/>
        <v>368571.42857142864</v>
      </c>
      <c r="T64" s="459">
        <f t="shared" si="178"/>
        <v>19285.714285714286</v>
      </c>
      <c r="V64" s="145">
        <v>12</v>
      </c>
      <c r="W64" s="459">
        <f t="shared" si="179"/>
        <v>394285.71428571414</v>
      </c>
      <c r="X64" s="459">
        <f t="shared" si="180"/>
        <v>38571.428571428572</v>
      </c>
      <c r="Z64" s="145">
        <v>12</v>
      </c>
      <c r="RW64" s="459"/>
    </row>
    <row r="65" spans="2:491" s="145" customFormat="1" hidden="1">
      <c r="B65" s="145">
        <v>13</v>
      </c>
      <c r="C65" s="459">
        <f t="shared" si="174"/>
        <v>1952321.4285714284</v>
      </c>
      <c r="D65" s="459">
        <f t="shared" si="174"/>
        <v>143928.57142857142</v>
      </c>
      <c r="M65" s="982"/>
      <c r="N65" s="145">
        <v>13</v>
      </c>
      <c r="O65" s="459">
        <f t="shared" si="175"/>
        <v>1125892.857142857</v>
      </c>
      <c r="P65" s="986">
        <f t="shared" si="176"/>
        <v>81250</v>
      </c>
      <c r="R65" s="145">
        <v>13</v>
      </c>
      <c r="S65" s="459">
        <f t="shared" si="177"/>
        <v>399285.71428571438</v>
      </c>
      <c r="T65" s="459">
        <f t="shared" si="178"/>
        <v>20892.857142857145</v>
      </c>
      <c r="V65" s="145">
        <v>13</v>
      </c>
      <c r="W65" s="459">
        <f t="shared" si="179"/>
        <v>427142.85714285698</v>
      </c>
      <c r="X65" s="459">
        <f t="shared" si="180"/>
        <v>41785.71428571429</v>
      </c>
      <c r="Z65" s="145">
        <v>13</v>
      </c>
      <c r="RW65" s="459"/>
    </row>
    <row r="66" spans="2:491" s="145" customFormat="1" hidden="1">
      <c r="B66" s="145">
        <v>14</v>
      </c>
      <c r="C66" s="459">
        <f t="shared" si="174"/>
        <v>2102500</v>
      </c>
      <c r="D66" s="459">
        <f t="shared" si="174"/>
        <v>155000</v>
      </c>
      <c r="M66" s="982"/>
      <c r="N66" s="145">
        <v>14</v>
      </c>
      <c r="O66" s="459">
        <f t="shared" si="175"/>
        <v>1212500</v>
      </c>
      <c r="P66" s="986">
        <f t="shared" si="176"/>
        <v>87500</v>
      </c>
      <c r="R66" s="145">
        <v>14</v>
      </c>
      <c r="S66" s="459">
        <f t="shared" si="177"/>
        <v>430000.00000000012</v>
      </c>
      <c r="T66" s="459">
        <f t="shared" si="178"/>
        <v>22500.000000000004</v>
      </c>
      <c r="V66" s="145">
        <v>14</v>
      </c>
      <c r="W66" s="459">
        <f t="shared" si="179"/>
        <v>459999.99999999983</v>
      </c>
      <c r="X66" s="459">
        <f t="shared" si="180"/>
        <v>45000.000000000007</v>
      </c>
      <c r="Z66" s="145">
        <v>14</v>
      </c>
      <c r="RW66" s="459"/>
    </row>
    <row r="67" spans="2:491" s="145" customFormat="1" hidden="1">
      <c r="B67" s="145">
        <v>15</v>
      </c>
      <c r="C67" s="459">
        <f t="shared" si="174"/>
        <v>2252678.5714285714</v>
      </c>
      <c r="D67" s="459">
        <f t="shared" si="174"/>
        <v>166071.42857142861</v>
      </c>
      <c r="M67" s="982"/>
      <c r="N67" s="145">
        <v>15</v>
      </c>
      <c r="O67" s="459">
        <f t="shared" si="175"/>
        <v>1299107.142857143</v>
      </c>
      <c r="P67" s="986">
        <f t="shared" si="176"/>
        <v>93750</v>
      </c>
      <c r="R67" s="145">
        <v>15</v>
      </c>
      <c r="S67" s="459">
        <f t="shared" si="177"/>
        <v>460714.28571428586</v>
      </c>
      <c r="T67" s="459">
        <f t="shared" si="178"/>
        <v>24107.142857142862</v>
      </c>
      <c r="V67" s="145">
        <v>15</v>
      </c>
      <c r="W67" s="459">
        <f t="shared" si="179"/>
        <v>492857.14285714267</v>
      </c>
      <c r="X67" s="459">
        <f t="shared" si="180"/>
        <v>48214.285714285725</v>
      </c>
      <c r="Z67" s="145">
        <v>15</v>
      </c>
      <c r="RW67" s="459"/>
    </row>
    <row r="68" spans="2:491" s="145" customFormat="1" hidden="1">
      <c r="B68" s="145">
        <v>16</v>
      </c>
      <c r="C68" s="459">
        <f t="shared" si="174"/>
        <v>2402857.1428571427</v>
      </c>
      <c r="D68" s="459">
        <f t="shared" si="174"/>
        <v>177142.85714285716</v>
      </c>
      <c r="M68" s="982"/>
      <c r="N68" s="145">
        <v>16</v>
      </c>
      <c r="O68" s="459">
        <f t="shared" si="175"/>
        <v>1385714.2857142859</v>
      </c>
      <c r="P68" s="986">
        <f t="shared" si="176"/>
        <v>100000</v>
      </c>
      <c r="R68" s="145">
        <v>16</v>
      </c>
      <c r="S68" s="459">
        <f t="shared" si="177"/>
        <v>491428.57142857159</v>
      </c>
      <c r="T68" s="459">
        <f t="shared" si="178"/>
        <v>25714.285714285721</v>
      </c>
      <c r="V68" s="145">
        <v>16</v>
      </c>
      <c r="W68" s="459">
        <f t="shared" si="179"/>
        <v>525714.28571428556</v>
      </c>
      <c r="X68" s="459">
        <f t="shared" si="180"/>
        <v>51428.571428571442</v>
      </c>
      <c r="Z68" s="145">
        <v>16</v>
      </c>
      <c r="RW68" s="459"/>
    </row>
    <row r="69" spans="2:491" s="145" customFormat="1" hidden="1">
      <c r="B69" s="145">
        <v>17</v>
      </c>
      <c r="C69" s="459">
        <f t="shared" si="174"/>
        <v>2553035.7142857146</v>
      </c>
      <c r="D69" s="459">
        <f t="shared" si="174"/>
        <v>188214.28571428574</v>
      </c>
      <c r="N69" s="145">
        <v>17</v>
      </c>
      <c r="O69" s="459">
        <f t="shared" si="175"/>
        <v>1472321.4285714289</v>
      </c>
      <c r="P69" s="986">
        <f t="shared" si="176"/>
        <v>106250</v>
      </c>
      <c r="R69" s="145">
        <v>17</v>
      </c>
      <c r="S69" s="459">
        <f t="shared" si="177"/>
        <v>522142.85714285733</v>
      </c>
      <c r="T69" s="459">
        <f t="shared" si="178"/>
        <v>27321.42857142858</v>
      </c>
      <c r="V69" s="145">
        <v>17</v>
      </c>
      <c r="W69" s="459">
        <f t="shared" si="179"/>
        <v>558571.42857142841</v>
      </c>
      <c r="X69" s="459">
        <f t="shared" si="180"/>
        <v>54642.857142857159</v>
      </c>
      <c r="Z69" s="145">
        <v>17</v>
      </c>
      <c r="RW69" s="459"/>
    </row>
    <row r="70" spans="2:491" s="145" customFormat="1" hidden="1">
      <c r="B70" s="145">
        <v>18</v>
      </c>
      <c r="C70" s="459">
        <f t="shared" si="174"/>
        <v>2703214.2857142864</v>
      </c>
      <c r="D70" s="459">
        <f t="shared" si="174"/>
        <v>199285.71428571432</v>
      </c>
      <c r="N70" s="145">
        <v>18</v>
      </c>
      <c r="O70" s="459">
        <f t="shared" si="175"/>
        <v>1558928.5714285718</v>
      </c>
      <c r="P70" s="986">
        <f t="shared" si="176"/>
        <v>112500</v>
      </c>
      <c r="R70" s="145">
        <v>18</v>
      </c>
      <c r="S70" s="459">
        <f t="shared" si="177"/>
        <v>552857.14285714307</v>
      </c>
      <c r="T70" s="459">
        <f t="shared" si="178"/>
        <v>28928.571428571438</v>
      </c>
      <c r="V70" s="145">
        <v>18</v>
      </c>
      <c r="W70" s="459">
        <f t="shared" si="179"/>
        <v>591428.57142857125</v>
      </c>
      <c r="X70" s="459">
        <f t="shared" si="180"/>
        <v>57857.142857142877</v>
      </c>
      <c r="Z70" s="145">
        <v>18</v>
      </c>
      <c r="RW70" s="459"/>
    </row>
    <row r="71" spans="2:491" s="145" customFormat="1" hidden="1">
      <c r="B71" s="145">
        <v>19</v>
      </c>
      <c r="C71" s="459">
        <f t="shared" si="174"/>
        <v>2853392.8571428577</v>
      </c>
      <c r="D71" s="459">
        <f t="shared" si="174"/>
        <v>210357.14285714287</v>
      </c>
      <c r="N71" s="145">
        <v>19</v>
      </c>
      <c r="O71" s="459">
        <f t="shared" si="175"/>
        <v>1645535.7142857148</v>
      </c>
      <c r="P71" s="986">
        <f t="shared" si="176"/>
        <v>118750</v>
      </c>
      <c r="R71" s="145">
        <v>19</v>
      </c>
      <c r="S71" s="459">
        <f t="shared" si="177"/>
        <v>583571.42857142875</v>
      </c>
      <c r="T71" s="459">
        <f t="shared" si="178"/>
        <v>30535.714285714297</v>
      </c>
      <c r="V71" s="145">
        <v>19</v>
      </c>
      <c r="W71" s="459">
        <f t="shared" si="179"/>
        <v>624285.71428571409</v>
      </c>
      <c r="X71" s="459">
        <f t="shared" si="180"/>
        <v>61071.428571428594</v>
      </c>
      <c r="Z71" s="145">
        <v>19</v>
      </c>
      <c r="RW71" s="459"/>
    </row>
    <row r="72" spans="2:491" s="145" customFormat="1" hidden="1">
      <c r="B72" s="145">
        <v>20</v>
      </c>
      <c r="C72" s="459">
        <f t="shared" si="174"/>
        <v>3003571.4285714291</v>
      </c>
      <c r="D72" s="459">
        <f t="shared" si="174"/>
        <v>221428.57142857148</v>
      </c>
      <c r="N72" s="145">
        <v>20</v>
      </c>
      <c r="O72" s="459">
        <f t="shared" si="175"/>
        <v>1732142.8571428577</v>
      </c>
      <c r="P72" s="986">
        <f t="shared" si="176"/>
        <v>125000</v>
      </c>
      <c r="R72" s="145">
        <v>20</v>
      </c>
      <c r="S72" s="459">
        <f t="shared" si="177"/>
        <v>614285.71428571444</v>
      </c>
      <c r="T72" s="459">
        <f t="shared" si="178"/>
        <v>32142.857142857156</v>
      </c>
      <c r="V72" s="145">
        <v>20</v>
      </c>
      <c r="W72" s="459">
        <f t="shared" si="179"/>
        <v>657142.85714285693</v>
      </c>
      <c r="X72" s="459">
        <f t="shared" si="180"/>
        <v>64285.714285714312</v>
      </c>
      <c r="Z72" s="145">
        <v>20</v>
      </c>
      <c r="RW72" s="459"/>
    </row>
    <row r="73" spans="2:491" s="145" customFormat="1" hidden="1">
      <c r="B73" s="145">
        <v>21</v>
      </c>
      <c r="C73" s="459">
        <f t="shared" si="174"/>
        <v>3153750.0000000005</v>
      </c>
      <c r="D73" s="459">
        <f t="shared" si="174"/>
        <v>232500.00000000006</v>
      </c>
      <c r="N73" s="145">
        <v>21</v>
      </c>
      <c r="O73" s="459">
        <f t="shared" si="175"/>
        <v>1818750.0000000007</v>
      </c>
      <c r="P73" s="986">
        <f t="shared" si="176"/>
        <v>131250</v>
      </c>
      <c r="R73" s="145">
        <v>21</v>
      </c>
      <c r="S73" s="459">
        <f t="shared" si="177"/>
        <v>645000.00000000012</v>
      </c>
      <c r="T73" s="459">
        <f t="shared" si="178"/>
        <v>33750.000000000015</v>
      </c>
      <c r="V73" s="145">
        <v>21</v>
      </c>
      <c r="W73" s="459">
        <f t="shared" si="179"/>
        <v>689999.99999999977</v>
      </c>
      <c r="X73" s="459">
        <f t="shared" si="180"/>
        <v>67500.000000000029</v>
      </c>
      <c r="Z73" s="145">
        <v>21</v>
      </c>
      <c r="RW73" s="459"/>
    </row>
    <row r="74" spans="2:491" s="145" customFormat="1" hidden="1">
      <c r="B74" s="145">
        <v>22</v>
      </c>
      <c r="C74" s="459">
        <f t="shared" si="174"/>
        <v>3303928.5714285723</v>
      </c>
      <c r="D74" s="459">
        <f t="shared" si="174"/>
        <v>243571.42857142861</v>
      </c>
      <c r="N74" s="145">
        <v>22</v>
      </c>
      <c r="O74" s="459">
        <f t="shared" si="175"/>
        <v>1905357.1428571437</v>
      </c>
      <c r="P74" s="986">
        <f t="shared" si="176"/>
        <v>137500</v>
      </c>
      <c r="R74" s="145">
        <v>22</v>
      </c>
      <c r="S74" s="459">
        <f t="shared" si="177"/>
        <v>675714.2857142858</v>
      </c>
      <c r="T74" s="459">
        <f t="shared" si="178"/>
        <v>35357.14285714287</v>
      </c>
      <c r="V74" s="145">
        <v>22</v>
      </c>
      <c r="W74" s="459">
        <f t="shared" si="179"/>
        <v>722857.14285714261</v>
      </c>
      <c r="X74" s="459">
        <f t="shared" si="180"/>
        <v>70714.285714285739</v>
      </c>
      <c r="Z74" s="145">
        <v>22</v>
      </c>
      <c r="RW74" s="459"/>
    </row>
    <row r="75" spans="2:491" s="145" customFormat="1" hidden="1">
      <c r="B75" s="145">
        <v>23</v>
      </c>
      <c r="C75" s="459">
        <f t="shared" si="174"/>
        <v>3454107.1428571432</v>
      </c>
      <c r="D75" s="459">
        <f t="shared" si="174"/>
        <v>254642.85714285716</v>
      </c>
      <c r="N75" s="145">
        <v>23</v>
      </c>
      <c r="O75" s="459">
        <f t="shared" si="175"/>
        <v>1991964.2857142866</v>
      </c>
      <c r="P75" s="986">
        <f t="shared" si="176"/>
        <v>143750</v>
      </c>
      <c r="R75" s="145">
        <v>23</v>
      </c>
      <c r="S75" s="459">
        <f t="shared" si="177"/>
        <v>706428.57142857148</v>
      </c>
      <c r="T75" s="459">
        <f t="shared" si="178"/>
        <v>36964.285714285725</v>
      </c>
      <c r="V75" s="145">
        <v>23</v>
      </c>
      <c r="W75" s="459">
        <f t="shared" si="179"/>
        <v>755714.28571428545</v>
      </c>
      <c r="X75" s="459">
        <f t="shared" si="180"/>
        <v>73928.571428571449</v>
      </c>
      <c r="Y75" s="459"/>
      <c r="Z75" s="145">
        <v>23</v>
      </c>
      <c r="RW75" s="459"/>
    </row>
    <row r="76" spans="2:491" s="145" customFormat="1" hidden="1">
      <c r="B76" s="145">
        <v>24</v>
      </c>
      <c r="C76" s="459">
        <f t="shared" si="174"/>
        <v>3604285.714285715</v>
      </c>
      <c r="D76" s="459">
        <f t="shared" si="174"/>
        <v>265714.28571428574</v>
      </c>
      <c r="N76" s="145">
        <v>24</v>
      </c>
      <c r="O76" s="459">
        <f t="shared" si="175"/>
        <v>2078571.4285714296</v>
      </c>
      <c r="P76" s="986">
        <f t="shared" si="176"/>
        <v>150000</v>
      </c>
      <c r="R76" s="145">
        <v>24</v>
      </c>
      <c r="S76" s="459">
        <f t="shared" si="177"/>
        <v>737142.85714285716</v>
      </c>
      <c r="T76" s="459">
        <f t="shared" si="178"/>
        <v>38571.42857142858</v>
      </c>
      <c r="V76" s="145">
        <v>24</v>
      </c>
      <c r="W76" s="459">
        <f t="shared" si="179"/>
        <v>788571.42857142829</v>
      </c>
      <c r="X76" s="459">
        <f t="shared" si="180"/>
        <v>77142.857142857159</v>
      </c>
      <c r="Z76" s="145">
        <v>24</v>
      </c>
      <c r="RW76" s="459"/>
    </row>
    <row r="77" spans="2:491" s="145" customFormat="1" hidden="1">
      <c r="B77" s="145">
        <v>25</v>
      </c>
      <c r="C77" s="459">
        <f t="shared" si="174"/>
        <v>3754464.2857142864</v>
      </c>
      <c r="D77" s="459">
        <f t="shared" si="174"/>
        <v>276785.71428571432</v>
      </c>
      <c r="N77" s="145">
        <v>25</v>
      </c>
      <c r="O77" s="459">
        <f t="shared" si="175"/>
        <v>2165178.5714285723</v>
      </c>
      <c r="P77" s="986">
        <f t="shared" si="176"/>
        <v>156250</v>
      </c>
      <c r="R77" s="145">
        <v>25</v>
      </c>
      <c r="S77" s="459">
        <f t="shared" si="177"/>
        <v>767857.14285714284</v>
      </c>
      <c r="T77" s="459">
        <f t="shared" si="178"/>
        <v>40178.571428571435</v>
      </c>
      <c r="V77" s="145">
        <v>25</v>
      </c>
      <c r="W77" s="459">
        <f t="shared" si="179"/>
        <v>821428.57142857113</v>
      </c>
      <c r="X77" s="459">
        <f t="shared" si="180"/>
        <v>80357.14285714287</v>
      </c>
      <c r="Z77" s="145">
        <v>25</v>
      </c>
      <c r="RW77" s="459"/>
    </row>
    <row r="78" spans="2:491" s="145" customFormat="1" hidden="1">
      <c r="B78" s="145">
        <v>26</v>
      </c>
      <c r="C78" s="459">
        <f t="shared" si="174"/>
        <v>3904642.8571428577</v>
      </c>
      <c r="D78" s="459">
        <f t="shared" si="174"/>
        <v>287857.14285714284</v>
      </c>
      <c r="N78" s="145">
        <v>26</v>
      </c>
      <c r="O78" s="459">
        <f t="shared" si="175"/>
        <v>2251785.714285715</v>
      </c>
      <c r="P78" s="986">
        <f t="shared" si="176"/>
        <v>162500</v>
      </c>
      <c r="R78" s="145">
        <v>26</v>
      </c>
      <c r="S78" s="459">
        <f t="shared" si="177"/>
        <v>798571.42857142852</v>
      </c>
      <c r="T78" s="459">
        <f t="shared" si="178"/>
        <v>41785.71428571429</v>
      </c>
      <c r="V78" s="145">
        <v>26</v>
      </c>
      <c r="W78" s="459">
        <f t="shared" si="179"/>
        <v>854285.71428571397</v>
      </c>
      <c r="X78" s="459">
        <f t="shared" si="180"/>
        <v>83571.42857142858</v>
      </c>
      <c r="Z78" s="145">
        <v>26</v>
      </c>
      <c r="RW78" s="459"/>
    </row>
    <row r="79" spans="2:491" s="145" customFormat="1" hidden="1">
      <c r="B79" s="145">
        <v>27</v>
      </c>
      <c r="C79" s="459">
        <f t="shared" si="174"/>
        <v>4054821.4285714286</v>
      </c>
      <c r="D79" s="459">
        <f t="shared" si="174"/>
        <v>298928.57142857142</v>
      </c>
      <c r="N79" s="145">
        <v>27</v>
      </c>
      <c r="O79" s="459">
        <f t="shared" si="175"/>
        <v>2338392.8571428577</v>
      </c>
      <c r="P79" s="986">
        <f t="shared" si="176"/>
        <v>168750</v>
      </c>
      <c r="R79" s="145">
        <v>27</v>
      </c>
      <c r="S79" s="459">
        <f t="shared" si="177"/>
        <v>829285.7142857142</v>
      </c>
      <c r="T79" s="459">
        <f t="shared" si="178"/>
        <v>43392.857142857145</v>
      </c>
      <c r="V79" s="145">
        <v>27</v>
      </c>
      <c r="W79" s="459">
        <f t="shared" si="179"/>
        <v>887142.85714285681</v>
      </c>
      <c r="X79" s="459">
        <f t="shared" si="180"/>
        <v>86785.71428571429</v>
      </c>
      <c r="Z79" s="145">
        <v>27</v>
      </c>
      <c r="RW79" s="459"/>
    </row>
    <row r="80" spans="2:491" s="145" customFormat="1" hidden="1">
      <c r="B80" s="145">
        <v>28</v>
      </c>
      <c r="C80" s="459">
        <f t="shared" si="174"/>
        <v>4205000</v>
      </c>
      <c r="D80" s="459">
        <f t="shared" si="174"/>
        <v>310000</v>
      </c>
      <c r="N80" s="145">
        <v>28</v>
      </c>
      <c r="O80" s="459">
        <f t="shared" si="175"/>
        <v>2425000.0000000005</v>
      </c>
      <c r="P80" s="986">
        <f t="shared" si="176"/>
        <v>175000</v>
      </c>
      <c r="R80" s="145">
        <v>28</v>
      </c>
      <c r="S80" s="459">
        <f t="shared" si="177"/>
        <v>859999.99999999988</v>
      </c>
      <c r="T80" s="459">
        <f t="shared" si="178"/>
        <v>45000</v>
      </c>
      <c r="V80" s="145">
        <v>28</v>
      </c>
      <c r="W80" s="459">
        <f t="shared" si="179"/>
        <v>919999.99999999965</v>
      </c>
      <c r="X80" s="459">
        <f t="shared" si="180"/>
        <v>90000</v>
      </c>
      <c r="Z80" s="145">
        <v>28</v>
      </c>
      <c r="RW80" s="459"/>
    </row>
    <row r="81" spans="2:491" s="145" customFormat="1" hidden="1">
      <c r="B81" s="145">
        <v>29</v>
      </c>
      <c r="C81" s="459">
        <f t="shared" si="174"/>
        <v>4355178.5714285709</v>
      </c>
      <c r="D81" s="459">
        <f t="shared" si="174"/>
        <v>321071.42857142852</v>
      </c>
      <c r="N81" s="145">
        <v>29</v>
      </c>
      <c r="O81" s="459">
        <f t="shared" si="175"/>
        <v>2511607.1428571432</v>
      </c>
      <c r="P81" s="986">
        <f t="shared" si="176"/>
        <v>181250</v>
      </c>
      <c r="R81" s="145">
        <v>29</v>
      </c>
      <c r="S81" s="459">
        <f t="shared" si="177"/>
        <v>890714.28571428556</v>
      </c>
      <c r="T81" s="459">
        <f t="shared" si="178"/>
        <v>46607.142857142855</v>
      </c>
      <c r="V81" s="145">
        <v>29</v>
      </c>
      <c r="W81" s="459">
        <f t="shared" si="179"/>
        <v>952857.14285714249</v>
      </c>
      <c r="X81" s="459">
        <f t="shared" si="180"/>
        <v>93214.28571428571</v>
      </c>
      <c r="Z81" s="145">
        <v>29</v>
      </c>
      <c r="RW81" s="459"/>
    </row>
    <row r="82" spans="2:491" s="145" customFormat="1" hidden="1">
      <c r="B82" s="145">
        <v>30</v>
      </c>
      <c r="C82" s="459">
        <f t="shared" si="174"/>
        <v>4505357.1428571427</v>
      </c>
      <c r="D82" s="459">
        <f t="shared" si="174"/>
        <v>332142.85714285716</v>
      </c>
      <c r="N82" s="145">
        <v>30</v>
      </c>
      <c r="O82" s="459">
        <f t="shared" si="175"/>
        <v>2598214.2857142859</v>
      </c>
      <c r="P82" s="986">
        <f t="shared" si="176"/>
        <v>187500</v>
      </c>
      <c r="R82" s="145">
        <v>30</v>
      </c>
      <c r="S82" s="459">
        <f t="shared" si="177"/>
        <v>921428.57142857125</v>
      </c>
      <c r="T82" s="459">
        <f t="shared" si="178"/>
        <v>48214.28571428571</v>
      </c>
      <c r="V82" s="145">
        <v>30</v>
      </c>
      <c r="W82" s="459">
        <f t="shared" si="179"/>
        <v>985714.28571428533</v>
      </c>
      <c r="X82" s="459">
        <f t="shared" si="180"/>
        <v>96428.57142857142</v>
      </c>
      <c r="RW82" s="459"/>
    </row>
    <row r="83" spans="2:491" s="145" customFormat="1" hidden="1">
      <c r="B83" s="145">
        <v>31</v>
      </c>
      <c r="C83" s="459">
        <f t="shared" si="174"/>
        <v>4655535.7142857136</v>
      </c>
      <c r="D83" s="459">
        <f t="shared" si="174"/>
        <v>343214.28571428574</v>
      </c>
      <c r="N83" s="145">
        <v>31</v>
      </c>
      <c r="O83" s="459">
        <f t="shared" si="175"/>
        <v>2684821.4285714286</v>
      </c>
      <c r="P83" s="986">
        <f t="shared" si="176"/>
        <v>193750</v>
      </c>
      <c r="Q83" s="982"/>
      <c r="R83" s="145">
        <v>31</v>
      </c>
      <c r="S83" s="459">
        <f t="shared" si="177"/>
        <v>952142.85714285693</v>
      </c>
      <c r="T83" s="459">
        <f t="shared" si="178"/>
        <v>49821.428571428565</v>
      </c>
      <c r="U83" s="982"/>
      <c r="V83" s="145">
        <v>31</v>
      </c>
      <c r="W83" s="459">
        <f t="shared" si="179"/>
        <v>1018571.4285714282</v>
      </c>
      <c r="X83" s="459">
        <f t="shared" si="180"/>
        <v>99642.85714285713</v>
      </c>
      <c r="RW83" s="459"/>
    </row>
    <row r="84" spans="2:491" s="145" customFormat="1" hidden="1">
      <c r="RW84" s="459"/>
    </row>
    <row r="85" spans="2:491" s="145" customFormat="1" hidden="1">
      <c r="RW85" s="459"/>
    </row>
    <row r="86" spans="2:491" s="145" customFormat="1" hidden="1">
      <c r="RW86" s="459"/>
    </row>
    <row r="87" spans="2:491" s="145" customFormat="1" hidden="1">
      <c r="RW87" s="459"/>
    </row>
    <row r="88" spans="2:491" s="145" customFormat="1" hidden="1">
      <c r="W88" s="459"/>
      <c r="X88" s="459"/>
      <c r="RW88" s="459"/>
    </row>
    <row r="89" spans="2:491" s="145" customFormat="1" hidden="1">
      <c r="O89" s="489"/>
      <c r="P89" s="489"/>
      <c r="S89" s="489"/>
      <c r="T89" s="489"/>
      <c r="W89" s="489"/>
      <c r="X89" s="489"/>
      <c r="RW89" s="459"/>
    </row>
    <row r="90" spans="2:491" s="145" customFormat="1" hidden="1">
      <c r="W90" s="489"/>
      <c r="RW90" s="459"/>
    </row>
    <row r="91" spans="2:491" s="145" customFormat="1" hidden="1">
      <c r="RW91" s="459"/>
    </row>
    <row r="92" spans="2:491" s="145" customFormat="1" hidden="1">
      <c r="RW92" s="459"/>
    </row>
    <row r="93" spans="2:491" s="145" customFormat="1" hidden="1">
      <c r="RW93" s="459"/>
    </row>
    <row r="94" spans="2:491" s="145" customFormat="1" hidden="1">
      <c r="M94" s="982"/>
      <c r="O94" s="1076">
        <f>O43/28</f>
        <v>97678.571428571435</v>
      </c>
      <c r="P94" s="1076">
        <f>P43/28</f>
        <v>4821.4285714285716</v>
      </c>
      <c r="Q94" s="459"/>
      <c r="R94" s="459"/>
      <c r="S94" s="983">
        <f>S43/28</f>
        <v>32142.857142857141</v>
      </c>
      <c r="T94" s="983">
        <f>T43/28</f>
        <v>1428.5714285714287</v>
      </c>
      <c r="U94" s="984"/>
      <c r="V94" s="984"/>
      <c r="W94" s="1076">
        <f>W43/28</f>
        <v>25000</v>
      </c>
      <c r="X94" s="983">
        <f>X43/28</f>
        <v>2142.8571428571427</v>
      </c>
      <c r="Y94" s="985"/>
      <c r="Z94" s="985"/>
      <c r="AB94" s="459">
        <f>P94*31</f>
        <v>149464.28571428571</v>
      </c>
      <c r="JL94" s="432"/>
      <c r="RW94" s="459"/>
    </row>
    <row r="95" spans="2:491" s="145" customFormat="1" hidden="1">
      <c r="B95" s="145">
        <v>1</v>
      </c>
      <c r="C95" s="459">
        <f t="shared" ref="C95:D125" si="181">SUM(O95,W95,S95)</f>
        <v>154821.42857142858</v>
      </c>
      <c r="D95" s="459">
        <f t="shared" si="181"/>
        <v>8392.8571428571431</v>
      </c>
      <c r="M95" s="982"/>
      <c r="N95" s="145">
        <v>1</v>
      </c>
      <c r="O95" s="459">
        <f>O94</f>
        <v>97678.571428571435</v>
      </c>
      <c r="P95" s="459">
        <f>P94</f>
        <v>4821.4285714285716</v>
      </c>
      <c r="R95" s="145">
        <v>1</v>
      </c>
      <c r="S95" s="459">
        <f>S94</f>
        <v>32142.857142857141</v>
      </c>
      <c r="T95" s="145">
        <f>T94</f>
        <v>1428.5714285714287</v>
      </c>
      <c r="V95" s="145">
        <v>1</v>
      </c>
      <c r="W95" s="459">
        <f>W94</f>
        <v>25000</v>
      </c>
      <c r="X95" s="459">
        <f>X94</f>
        <v>2142.8571428571427</v>
      </c>
      <c r="Z95" s="145">
        <v>1</v>
      </c>
      <c r="RW95" s="459"/>
    </row>
    <row r="96" spans="2:491" s="145" customFormat="1" hidden="1">
      <c r="B96" s="145">
        <v>2</v>
      </c>
      <c r="C96" s="459">
        <f t="shared" si="181"/>
        <v>309642.85714285716</v>
      </c>
      <c r="D96" s="459">
        <f t="shared" si="181"/>
        <v>16785.714285714286</v>
      </c>
      <c r="M96" s="982"/>
      <c r="N96" s="145">
        <v>2</v>
      </c>
      <c r="O96" s="459">
        <f t="shared" ref="O96:O125" si="182">O95+($O$94)</f>
        <v>195357.14285714287</v>
      </c>
      <c r="P96" s="459">
        <f t="shared" ref="P96:P125" si="183">P95+($P$94)</f>
        <v>9642.8571428571431</v>
      </c>
      <c r="R96" s="145">
        <v>2</v>
      </c>
      <c r="S96" s="459">
        <f t="shared" ref="S96:S125" si="184">S95+($S$94)</f>
        <v>64285.714285714283</v>
      </c>
      <c r="T96" s="489">
        <f t="shared" ref="T96:T125" si="185">T95+($T$94)</f>
        <v>2857.1428571428573</v>
      </c>
      <c r="V96" s="145">
        <v>2</v>
      </c>
      <c r="W96" s="459">
        <f t="shared" ref="W96:W125" si="186">W95+($W$94)</f>
        <v>50000</v>
      </c>
      <c r="X96" s="459">
        <f t="shared" ref="X96:X125" si="187">X95+$X$94</f>
        <v>4285.7142857142853</v>
      </c>
      <c r="Z96" s="145">
        <v>2</v>
      </c>
      <c r="RW96" s="459"/>
    </row>
    <row r="97" spans="2:491" s="145" customFormat="1" hidden="1">
      <c r="B97" s="145">
        <v>3</v>
      </c>
      <c r="C97" s="459">
        <f t="shared" si="181"/>
        <v>464464.28571428574</v>
      </c>
      <c r="D97" s="459">
        <f t="shared" si="181"/>
        <v>25178.571428571428</v>
      </c>
      <c r="M97" s="982"/>
      <c r="N97" s="145">
        <v>3</v>
      </c>
      <c r="O97" s="459">
        <f t="shared" si="182"/>
        <v>293035.71428571432</v>
      </c>
      <c r="P97" s="459">
        <f t="shared" si="183"/>
        <v>14464.285714285714</v>
      </c>
      <c r="R97" s="145">
        <v>3</v>
      </c>
      <c r="S97" s="459">
        <f t="shared" si="184"/>
        <v>96428.57142857142</v>
      </c>
      <c r="T97" s="489">
        <f t="shared" si="185"/>
        <v>4285.7142857142862</v>
      </c>
      <c r="V97" s="145">
        <v>3</v>
      </c>
      <c r="W97" s="459">
        <f t="shared" si="186"/>
        <v>75000</v>
      </c>
      <c r="X97" s="459">
        <f t="shared" si="187"/>
        <v>6428.5714285714275</v>
      </c>
      <c r="Z97" s="145">
        <v>3</v>
      </c>
      <c r="RW97" s="459"/>
    </row>
    <row r="98" spans="2:491" s="145" customFormat="1" hidden="1">
      <c r="B98" s="145">
        <v>4</v>
      </c>
      <c r="C98" s="459">
        <f t="shared" si="181"/>
        <v>619285.71428571432</v>
      </c>
      <c r="D98" s="459">
        <f t="shared" si="181"/>
        <v>33571.428571428572</v>
      </c>
      <c r="M98" s="982"/>
      <c r="N98" s="145">
        <v>4</v>
      </c>
      <c r="O98" s="459">
        <f t="shared" si="182"/>
        <v>390714.28571428574</v>
      </c>
      <c r="P98" s="459">
        <f t="shared" si="183"/>
        <v>19285.714285714286</v>
      </c>
      <c r="R98" s="145">
        <v>4</v>
      </c>
      <c r="S98" s="459">
        <f t="shared" si="184"/>
        <v>128571.42857142857</v>
      </c>
      <c r="T98" s="489">
        <f t="shared" si="185"/>
        <v>5714.2857142857147</v>
      </c>
      <c r="V98" s="145">
        <v>4</v>
      </c>
      <c r="W98" s="459">
        <f t="shared" si="186"/>
        <v>100000</v>
      </c>
      <c r="X98" s="459">
        <f t="shared" si="187"/>
        <v>8571.4285714285706</v>
      </c>
      <c r="Z98" s="145">
        <v>4</v>
      </c>
      <c r="RW98" s="459"/>
    </row>
    <row r="99" spans="2:491" s="145" customFormat="1" hidden="1">
      <c r="B99" s="145">
        <v>5</v>
      </c>
      <c r="C99" s="459">
        <f t="shared" si="181"/>
        <v>774107.14285714284</v>
      </c>
      <c r="D99" s="459">
        <f t="shared" si="181"/>
        <v>41964.285714285717</v>
      </c>
      <c r="M99" s="982"/>
      <c r="N99" s="145">
        <v>5</v>
      </c>
      <c r="O99" s="459">
        <f t="shared" si="182"/>
        <v>488392.85714285716</v>
      </c>
      <c r="P99" s="459">
        <f t="shared" si="183"/>
        <v>24107.142857142859</v>
      </c>
      <c r="R99" s="145">
        <v>5</v>
      </c>
      <c r="S99" s="459">
        <f t="shared" si="184"/>
        <v>160714.28571428571</v>
      </c>
      <c r="T99" s="489">
        <f t="shared" si="185"/>
        <v>7142.8571428571431</v>
      </c>
      <c r="V99" s="145">
        <v>5</v>
      </c>
      <c r="W99" s="459">
        <f t="shared" si="186"/>
        <v>125000</v>
      </c>
      <c r="X99" s="459">
        <f t="shared" si="187"/>
        <v>10714.285714285714</v>
      </c>
      <c r="Z99" s="145">
        <v>5</v>
      </c>
      <c r="RW99" s="459"/>
    </row>
    <row r="100" spans="2:491" s="145" customFormat="1" hidden="1">
      <c r="B100" s="145">
        <v>6</v>
      </c>
      <c r="C100" s="459">
        <f t="shared" si="181"/>
        <v>928928.57142857148</v>
      </c>
      <c r="D100" s="459">
        <f t="shared" si="181"/>
        <v>50357.142857142862</v>
      </c>
      <c r="M100" s="982"/>
      <c r="N100" s="145">
        <v>6</v>
      </c>
      <c r="O100" s="459">
        <f t="shared" si="182"/>
        <v>586071.42857142864</v>
      </c>
      <c r="P100" s="459">
        <f t="shared" si="183"/>
        <v>28928.571428571431</v>
      </c>
      <c r="R100" s="145">
        <v>6</v>
      </c>
      <c r="S100" s="459">
        <f t="shared" si="184"/>
        <v>192857.14285714284</v>
      </c>
      <c r="T100" s="489">
        <f t="shared" si="185"/>
        <v>8571.4285714285725</v>
      </c>
      <c r="V100" s="145">
        <v>6</v>
      </c>
      <c r="W100" s="459">
        <f t="shared" si="186"/>
        <v>150000</v>
      </c>
      <c r="X100" s="459">
        <f t="shared" si="187"/>
        <v>12857.142857142857</v>
      </c>
      <c r="Z100" s="145">
        <v>6</v>
      </c>
      <c r="RW100" s="459"/>
    </row>
    <row r="101" spans="2:491" s="145" customFormat="1" hidden="1">
      <c r="B101" s="145">
        <v>7</v>
      </c>
      <c r="C101" s="459">
        <f t="shared" si="181"/>
        <v>1083750</v>
      </c>
      <c r="D101" s="459">
        <f t="shared" si="181"/>
        <v>58750</v>
      </c>
      <c r="M101" s="982"/>
      <c r="N101" s="145">
        <v>7</v>
      </c>
      <c r="O101" s="459">
        <f t="shared" si="182"/>
        <v>683750.00000000012</v>
      </c>
      <c r="P101" s="459">
        <f t="shared" si="183"/>
        <v>33750</v>
      </c>
      <c r="R101" s="145">
        <v>7</v>
      </c>
      <c r="S101" s="459">
        <f t="shared" si="184"/>
        <v>224999.99999999997</v>
      </c>
      <c r="T101" s="489">
        <f t="shared" si="185"/>
        <v>10000.000000000002</v>
      </c>
      <c r="V101" s="145">
        <v>7</v>
      </c>
      <c r="W101" s="459">
        <f t="shared" si="186"/>
        <v>175000</v>
      </c>
      <c r="X101" s="459">
        <f t="shared" si="187"/>
        <v>15000</v>
      </c>
      <c r="Z101" s="145">
        <v>7</v>
      </c>
      <c r="RW101" s="459"/>
    </row>
    <row r="102" spans="2:491" s="145" customFormat="1" hidden="1">
      <c r="B102" s="145">
        <v>8</v>
      </c>
      <c r="C102" s="459">
        <f t="shared" si="181"/>
        <v>1238571.4285714286</v>
      </c>
      <c r="D102" s="459">
        <f t="shared" si="181"/>
        <v>67142.857142857145</v>
      </c>
      <c r="M102" s="982"/>
      <c r="N102" s="145">
        <v>8</v>
      </c>
      <c r="O102" s="459">
        <f t="shared" si="182"/>
        <v>781428.57142857159</v>
      </c>
      <c r="P102" s="459">
        <f t="shared" si="183"/>
        <v>38571.428571428572</v>
      </c>
      <c r="R102" s="145">
        <v>8</v>
      </c>
      <c r="S102" s="459">
        <f t="shared" si="184"/>
        <v>257142.8571428571</v>
      </c>
      <c r="T102" s="489">
        <f t="shared" si="185"/>
        <v>11428.571428571431</v>
      </c>
      <c r="V102" s="145">
        <v>8</v>
      </c>
      <c r="W102" s="459">
        <f t="shared" si="186"/>
        <v>200000</v>
      </c>
      <c r="X102" s="459">
        <f t="shared" si="187"/>
        <v>17142.857142857141</v>
      </c>
      <c r="Z102" s="145">
        <v>8</v>
      </c>
      <c r="AP102" s="145">
        <v>37911.700000000004</v>
      </c>
      <c r="RW102" s="459"/>
    </row>
    <row r="103" spans="2:491" s="145" customFormat="1" hidden="1">
      <c r="B103" s="145">
        <v>9</v>
      </c>
      <c r="C103" s="459">
        <f t="shared" si="181"/>
        <v>1393392.8571428575</v>
      </c>
      <c r="D103" s="459">
        <f t="shared" si="181"/>
        <v>75535.71428571429</v>
      </c>
      <c r="M103" s="982"/>
      <c r="N103" s="145">
        <v>9</v>
      </c>
      <c r="O103" s="459">
        <f t="shared" si="182"/>
        <v>879107.14285714307</v>
      </c>
      <c r="P103" s="459">
        <f t="shared" si="183"/>
        <v>43392.857142857145</v>
      </c>
      <c r="R103" s="145">
        <v>9</v>
      </c>
      <c r="S103" s="459">
        <f t="shared" si="184"/>
        <v>289285.71428571426</v>
      </c>
      <c r="T103" s="489">
        <f t="shared" si="185"/>
        <v>12857.142857142861</v>
      </c>
      <c r="V103" s="145">
        <v>9</v>
      </c>
      <c r="W103" s="459">
        <f t="shared" si="186"/>
        <v>225000</v>
      </c>
      <c r="X103" s="459">
        <f t="shared" si="187"/>
        <v>19285.714285714283</v>
      </c>
      <c r="Z103" s="145">
        <v>9</v>
      </c>
      <c r="RW103" s="459"/>
    </row>
    <row r="104" spans="2:491" s="145" customFormat="1" hidden="1">
      <c r="B104" s="145">
        <v>10</v>
      </c>
      <c r="C104" s="459">
        <f t="shared" si="181"/>
        <v>1548214.2857142859</v>
      </c>
      <c r="D104" s="459">
        <f t="shared" si="181"/>
        <v>83928.571428571435</v>
      </c>
      <c r="M104" s="982"/>
      <c r="N104" s="145">
        <v>10</v>
      </c>
      <c r="O104" s="459">
        <f t="shared" si="182"/>
        <v>976785.71428571455</v>
      </c>
      <c r="P104" s="459">
        <f t="shared" si="183"/>
        <v>48214.285714285717</v>
      </c>
      <c r="R104" s="145">
        <v>10</v>
      </c>
      <c r="S104" s="459">
        <f t="shared" si="184"/>
        <v>321428.57142857142</v>
      </c>
      <c r="T104" s="489">
        <f t="shared" si="185"/>
        <v>14285.71428571429</v>
      </c>
      <c r="V104" s="145">
        <v>10</v>
      </c>
      <c r="W104" s="459">
        <f t="shared" si="186"/>
        <v>250000</v>
      </c>
      <c r="X104" s="459">
        <f t="shared" si="187"/>
        <v>21428.571428571424</v>
      </c>
      <c r="Z104" s="145">
        <v>10</v>
      </c>
      <c r="RW104" s="459"/>
    </row>
    <row r="105" spans="2:491" s="145" customFormat="1" hidden="1">
      <c r="B105" s="145">
        <v>11</v>
      </c>
      <c r="C105" s="459">
        <f t="shared" si="181"/>
        <v>1703035.7142857146</v>
      </c>
      <c r="D105" s="459">
        <f t="shared" si="181"/>
        <v>92321.42857142858</v>
      </c>
      <c r="M105" s="982"/>
      <c r="N105" s="145">
        <v>11</v>
      </c>
      <c r="O105" s="459">
        <f t="shared" si="182"/>
        <v>1074464.2857142859</v>
      </c>
      <c r="P105" s="459">
        <f t="shared" si="183"/>
        <v>53035.71428571429</v>
      </c>
      <c r="R105" s="145">
        <v>11</v>
      </c>
      <c r="S105" s="459">
        <f t="shared" si="184"/>
        <v>353571.42857142858</v>
      </c>
      <c r="T105" s="489">
        <f t="shared" si="185"/>
        <v>15714.285714285719</v>
      </c>
      <c r="V105" s="145">
        <v>11</v>
      </c>
      <c r="W105" s="459">
        <f t="shared" si="186"/>
        <v>275000</v>
      </c>
      <c r="X105" s="459">
        <f t="shared" si="187"/>
        <v>23571.428571428565</v>
      </c>
      <c r="Z105" s="145">
        <v>11</v>
      </c>
      <c r="RW105" s="459"/>
    </row>
    <row r="106" spans="2:491" s="145" customFormat="1" hidden="1">
      <c r="B106" s="145">
        <v>12</v>
      </c>
      <c r="C106" s="459">
        <f t="shared" si="181"/>
        <v>1857857.142857143</v>
      </c>
      <c r="D106" s="459">
        <f t="shared" si="181"/>
        <v>100714.28571428571</v>
      </c>
      <c r="M106" s="982"/>
      <c r="N106" s="145">
        <v>12</v>
      </c>
      <c r="O106" s="459">
        <f t="shared" si="182"/>
        <v>1172142.8571428573</v>
      </c>
      <c r="P106" s="459">
        <f t="shared" si="183"/>
        <v>57857.142857142862</v>
      </c>
      <c r="R106" s="145">
        <v>12</v>
      </c>
      <c r="S106" s="459">
        <f t="shared" si="184"/>
        <v>385714.28571428574</v>
      </c>
      <c r="T106" s="489">
        <f t="shared" si="185"/>
        <v>17142.857142857149</v>
      </c>
      <c r="V106" s="145">
        <v>12</v>
      </c>
      <c r="W106" s="459">
        <f t="shared" si="186"/>
        <v>300000</v>
      </c>
      <c r="X106" s="459">
        <f t="shared" si="187"/>
        <v>25714.285714285706</v>
      </c>
      <c r="Z106" s="145">
        <v>12</v>
      </c>
      <c r="RW106" s="459"/>
    </row>
    <row r="107" spans="2:491" s="145" customFormat="1" hidden="1">
      <c r="B107" s="145">
        <v>13</v>
      </c>
      <c r="C107" s="459">
        <f t="shared" si="181"/>
        <v>2012678.5714285716</v>
      </c>
      <c r="D107" s="459">
        <f t="shared" si="181"/>
        <v>109107.14285714287</v>
      </c>
      <c r="M107" s="982"/>
      <c r="N107" s="145">
        <v>13</v>
      </c>
      <c r="O107" s="459">
        <f t="shared" si="182"/>
        <v>1269821.4285714286</v>
      </c>
      <c r="P107" s="459">
        <f t="shared" si="183"/>
        <v>62678.571428571435</v>
      </c>
      <c r="R107" s="145">
        <v>13</v>
      </c>
      <c r="S107" s="459">
        <f t="shared" si="184"/>
        <v>417857.1428571429</v>
      </c>
      <c r="T107" s="489">
        <f t="shared" si="185"/>
        <v>18571.428571428576</v>
      </c>
      <c r="V107" s="145">
        <v>13</v>
      </c>
      <c r="W107" s="459">
        <f t="shared" si="186"/>
        <v>325000</v>
      </c>
      <c r="X107" s="459">
        <f t="shared" si="187"/>
        <v>27857.142857142848</v>
      </c>
      <c r="Z107" s="145">
        <v>13</v>
      </c>
      <c r="RW107" s="459"/>
    </row>
    <row r="108" spans="2:491" s="145" customFormat="1" hidden="1">
      <c r="B108" s="145">
        <v>14</v>
      </c>
      <c r="C108" s="459">
        <f t="shared" si="181"/>
        <v>2167500</v>
      </c>
      <c r="D108" s="459">
        <f t="shared" si="181"/>
        <v>117499.99999999999</v>
      </c>
      <c r="M108" s="982"/>
      <c r="N108" s="145">
        <v>14</v>
      </c>
      <c r="O108" s="459">
        <f t="shared" si="182"/>
        <v>1367500</v>
      </c>
      <c r="P108" s="459">
        <f t="shared" si="183"/>
        <v>67500</v>
      </c>
      <c r="R108" s="145">
        <v>14</v>
      </c>
      <c r="S108" s="459">
        <f t="shared" si="184"/>
        <v>450000.00000000006</v>
      </c>
      <c r="T108" s="489">
        <f t="shared" si="185"/>
        <v>20000.000000000004</v>
      </c>
      <c r="V108" s="145">
        <v>14</v>
      </c>
      <c r="W108" s="459">
        <f t="shared" si="186"/>
        <v>350000</v>
      </c>
      <c r="X108" s="459">
        <f t="shared" si="187"/>
        <v>29999.999999999989</v>
      </c>
      <c r="Z108" s="145">
        <v>14</v>
      </c>
      <c r="RW108" s="459"/>
    </row>
    <row r="109" spans="2:491" s="145" customFormat="1" hidden="1">
      <c r="B109" s="145">
        <v>15</v>
      </c>
      <c r="C109" s="459">
        <f t="shared" si="181"/>
        <v>2322321.4285714286</v>
      </c>
      <c r="D109" s="459">
        <f t="shared" si="181"/>
        <v>125892.85714285713</v>
      </c>
      <c r="M109" s="982"/>
      <c r="N109" s="145">
        <v>15</v>
      </c>
      <c r="O109" s="459">
        <f t="shared" si="182"/>
        <v>1465178.5714285714</v>
      </c>
      <c r="P109" s="459">
        <f t="shared" si="183"/>
        <v>72321.428571428565</v>
      </c>
      <c r="R109" s="145">
        <v>15</v>
      </c>
      <c r="S109" s="459">
        <f t="shared" si="184"/>
        <v>482142.85714285722</v>
      </c>
      <c r="T109" s="489">
        <f t="shared" si="185"/>
        <v>21428.571428571431</v>
      </c>
      <c r="V109" s="145">
        <v>15</v>
      </c>
      <c r="W109" s="459">
        <f t="shared" si="186"/>
        <v>375000</v>
      </c>
      <c r="X109" s="459">
        <f t="shared" si="187"/>
        <v>32142.85714285713</v>
      </c>
      <c r="Z109" s="145">
        <v>15</v>
      </c>
      <c r="RW109" s="459"/>
    </row>
    <row r="110" spans="2:491" s="145" customFormat="1" hidden="1">
      <c r="B110" s="145">
        <v>16</v>
      </c>
      <c r="C110" s="459">
        <f t="shared" si="181"/>
        <v>2477142.8571428573</v>
      </c>
      <c r="D110" s="459">
        <f t="shared" si="181"/>
        <v>134285.71428571426</v>
      </c>
      <c r="M110" s="982"/>
      <c r="N110" s="145">
        <v>16</v>
      </c>
      <c r="O110" s="459">
        <f t="shared" si="182"/>
        <v>1562857.1428571427</v>
      </c>
      <c r="P110" s="459">
        <f t="shared" si="183"/>
        <v>77142.85714285713</v>
      </c>
      <c r="R110" s="145">
        <v>16</v>
      </c>
      <c r="S110" s="459">
        <f t="shared" si="184"/>
        <v>514285.71428571438</v>
      </c>
      <c r="T110" s="489">
        <f t="shared" si="185"/>
        <v>22857.142857142859</v>
      </c>
      <c r="V110" s="145">
        <v>16</v>
      </c>
      <c r="W110" s="459">
        <f t="shared" si="186"/>
        <v>400000</v>
      </c>
      <c r="X110" s="459">
        <f t="shared" si="187"/>
        <v>34285.714285714275</v>
      </c>
      <c r="Z110" s="145">
        <v>16</v>
      </c>
      <c r="RW110" s="459"/>
    </row>
    <row r="111" spans="2:491" s="145" customFormat="1" hidden="1">
      <c r="B111" s="145">
        <v>17</v>
      </c>
      <c r="C111" s="459">
        <f t="shared" si="181"/>
        <v>2631964.2857142854</v>
      </c>
      <c r="D111" s="459">
        <f t="shared" si="181"/>
        <v>142678.57142857139</v>
      </c>
      <c r="N111" s="145">
        <v>17</v>
      </c>
      <c r="O111" s="459">
        <f t="shared" si="182"/>
        <v>1660535.7142857141</v>
      </c>
      <c r="P111" s="459">
        <f t="shared" si="183"/>
        <v>81964.285714285696</v>
      </c>
      <c r="R111" s="145">
        <v>17</v>
      </c>
      <c r="S111" s="459">
        <f t="shared" si="184"/>
        <v>546428.57142857148</v>
      </c>
      <c r="T111" s="489">
        <f t="shared" si="185"/>
        <v>24285.714285714286</v>
      </c>
      <c r="V111" s="145">
        <v>17</v>
      </c>
      <c r="W111" s="459">
        <f t="shared" si="186"/>
        <v>425000</v>
      </c>
      <c r="X111" s="459">
        <f t="shared" si="187"/>
        <v>36428.57142857142</v>
      </c>
      <c r="Z111" s="145">
        <v>17</v>
      </c>
      <c r="RW111" s="459"/>
    </row>
    <row r="112" spans="2:491" s="145" customFormat="1" hidden="1">
      <c r="B112" s="145">
        <v>18</v>
      </c>
      <c r="C112" s="459">
        <f t="shared" si="181"/>
        <v>2786785.7142857141</v>
      </c>
      <c r="D112" s="459">
        <f t="shared" si="181"/>
        <v>151071.42857142855</v>
      </c>
      <c r="N112" s="145">
        <v>18</v>
      </c>
      <c r="O112" s="459">
        <f t="shared" si="182"/>
        <v>1758214.2857142854</v>
      </c>
      <c r="P112" s="459">
        <f t="shared" si="183"/>
        <v>86785.714285714261</v>
      </c>
      <c r="R112" s="145">
        <v>18</v>
      </c>
      <c r="S112" s="459">
        <f t="shared" si="184"/>
        <v>578571.42857142864</v>
      </c>
      <c r="T112" s="489">
        <f t="shared" si="185"/>
        <v>25714.285714285714</v>
      </c>
      <c r="V112" s="145">
        <v>18</v>
      </c>
      <c r="W112" s="459">
        <f t="shared" si="186"/>
        <v>450000</v>
      </c>
      <c r="X112" s="459">
        <f t="shared" si="187"/>
        <v>38571.428571428565</v>
      </c>
      <c r="Z112" s="145">
        <v>18</v>
      </c>
      <c r="RW112" s="459"/>
    </row>
    <row r="113" spans="2:491" s="145" customFormat="1" hidden="1">
      <c r="B113" s="145">
        <v>19</v>
      </c>
      <c r="C113" s="459">
        <f t="shared" si="181"/>
        <v>2941607.1428571427</v>
      </c>
      <c r="D113" s="459">
        <f t="shared" si="181"/>
        <v>159464.28571428565</v>
      </c>
      <c r="N113" s="145">
        <v>19</v>
      </c>
      <c r="O113" s="459">
        <f t="shared" si="182"/>
        <v>1855892.8571428568</v>
      </c>
      <c r="P113" s="459">
        <f t="shared" si="183"/>
        <v>91607.142857142826</v>
      </c>
      <c r="R113" s="145">
        <v>19</v>
      </c>
      <c r="S113" s="459">
        <f t="shared" si="184"/>
        <v>610714.2857142858</v>
      </c>
      <c r="T113" s="489">
        <f t="shared" si="185"/>
        <v>27142.857142857141</v>
      </c>
      <c r="V113" s="145">
        <v>19</v>
      </c>
      <c r="W113" s="459">
        <f t="shared" si="186"/>
        <v>475000</v>
      </c>
      <c r="X113" s="459">
        <f t="shared" si="187"/>
        <v>40714.28571428571</v>
      </c>
      <c r="Z113" s="145">
        <v>19</v>
      </c>
      <c r="RW113" s="459"/>
    </row>
    <row r="114" spans="2:491" s="145" customFormat="1" hidden="1">
      <c r="B114" s="145">
        <v>20</v>
      </c>
      <c r="C114" s="459">
        <f t="shared" si="181"/>
        <v>3096428.5714285709</v>
      </c>
      <c r="D114" s="459">
        <f t="shared" si="181"/>
        <v>167857.14285714284</v>
      </c>
      <c r="N114" s="145">
        <v>20</v>
      </c>
      <c r="O114" s="459">
        <f t="shared" si="182"/>
        <v>1953571.4285714282</v>
      </c>
      <c r="P114" s="459">
        <f t="shared" si="183"/>
        <v>96428.571428571391</v>
      </c>
      <c r="R114" s="145">
        <v>20</v>
      </c>
      <c r="S114" s="459">
        <f t="shared" si="184"/>
        <v>642857.14285714296</v>
      </c>
      <c r="T114" s="489">
        <f t="shared" si="185"/>
        <v>28571.428571428569</v>
      </c>
      <c r="V114" s="145">
        <v>20</v>
      </c>
      <c r="W114" s="459">
        <f t="shared" si="186"/>
        <v>500000</v>
      </c>
      <c r="X114" s="459">
        <f t="shared" si="187"/>
        <v>42857.142857142855</v>
      </c>
      <c r="Z114" s="145">
        <v>20</v>
      </c>
      <c r="RW114" s="459"/>
    </row>
    <row r="115" spans="2:491" s="145" customFormat="1" hidden="1">
      <c r="B115" s="145">
        <v>21</v>
      </c>
      <c r="C115" s="459">
        <f t="shared" si="181"/>
        <v>3251249.9999999995</v>
      </c>
      <c r="D115" s="459">
        <f t="shared" si="181"/>
        <v>176249.99999999994</v>
      </c>
      <c r="N115" s="145">
        <v>21</v>
      </c>
      <c r="O115" s="459">
        <f t="shared" si="182"/>
        <v>2051249.9999999995</v>
      </c>
      <c r="P115" s="459">
        <f t="shared" si="183"/>
        <v>101249.99999999996</v>
      </c>
      <c r="R115" s="145">
        <v>21</v>
      </c>
      <c r="S115" s="459">
        <f t="shared" si="184"/>
        <v>675000.00000000012</v>
      </c>
      <c r="T115" s="489">
        <f t="shared" si="185"/>
        <v>29999.999999999996</v>
      </c>
      <c r="V115" s="145">
        <v>21</v>
      </c>
      <c r="W115" s="459">
        <f t="shared" si="186"/>
        <v>525000</v>
      </c>
      <c r="X115" s="459">
        <f t="shared" si="187"/>
        <v>45000</v>
      </c>
      <c r="Z115" s="145">
        <v>21</v>
      </c>
      <c r="RW115" s="459"/>
    </row>
    <row r="116" spans="2:491" s="145" customFormat="1" hidden="1">
      <c r="B116" s="145">
        <v>22</v>
      </c>
      <c r="C116" s="459">
        <f t="shared" si="181"/>
        <v>3406071.4285714282</v>
      </c>
      <c r="D116" s="459">
        <f t="shared" si="181"/>
        <v>184642.8571428571</v>
      </c>
      <c r="N116" s="145">
        <v>22</v>
      </c>
      <c r="O116" s="459">
        <f t="shared" si="182"/>
        <v>2148928.5714285709</v>
      </c>
      <c r="P116" s="459">
        <f t="shared" si="183"/>
        <v>106071.42857142852</v>
      </c>
      <c r="R116" s="145">
        <v>22</v>
      </c>
      <c r="S116" s="459">
        <f t="shared" si="184"/>
        <v>707142.85714285728</v>
      </c>
      <c r="T116" s="489">
        <f t="shared" si="185"/>
        <v>31428.571428571424</v>
      </c>
      <c r="V116" s="145">
        <v>22</v>
      </c>
      <c r="W116" s="459">
        <f t="shared" si="186"/>
        <v>550000</v>
      </c>
      <c r="X116" s="459">
        <f t="shared" si="187"/>
        <v>47142.857142857145</v>
      </c>
      <c r="Z116" s="145">
        <v>22</v>
      </c>
      <c r="RW116" s="459"/>
    </row>
    <row r="117" spans="2:491" s="145" customFormat="1" hidden="1">
      <c r="B117" s="145">
        <v>23</v>
      </c>
      <c r="C117" s="459">
        <f t="shared" si="181"/>
        <v>3560892.8571428568</v>
      </c>
      <c r="D117" s="459">
        <f t="shared" si="181"/>
        <v>193035.7142857142</v>
      </c>
      <c r="N117" s="145">
        <v>23</v>
      </c>
      <c r="O117" s="459">
        <f t="shared" si="182"/>
        <v>2246607.1428571423</v>
      </c>
      <c r="P117" s="459">
        <f t="shared" si="183"/>
        <v>110892.85714285709</v>
      </c>
      <c r="R117" s="145">
        <v>23</v>
      </c>
      <c r="S117" s="459">
        <f t="shared" si="184"/>
        <v>739285.71428571444</v>
      </c>
      <c r="T117" s="489">
        <f t="shared" si="185"/>
        <v>32857.142857142855</v>
      </c>
      <c r="V117" s="145">
        <v>23</v>
      </c>
      <c r="W117" s="459">
        <f t="shared" si="186"/>
        <v>575000</v>
      </c>
      <c r="X117" s="459">
        <f t="shared" si="187"/>
        <v>49285.71428571429</v>
      </c>
      <c r="Y117" s="459"/>
      <c r="Z117" s="145">
        <v>23</v>
      </c>
      <c r="RW117" s="459"/>
    </row>
    <row r="118" spans="2:491" s="145" customFormat="1" hidden="1">
      <c r="B118" s="145">
        <v>24</v>
      </c>
      <c r="C118" s="459">
        <f t="shared" si="181"/>
        <v>3715714.2857142854</v>
      </c>
      <c r="D118" s="459">
        <f t="shared" si="181"/>
        <v>201428.57142857139</v>
      </c>
      <c r="N118" s="145">
        <v>24</v>
      </c>
      <c r="O118" s="459">
        <f t="shared" si="182"/>
        <v>2344285.7142857136</v>
      </c>
      <c r="P118" s="459">
        <f t="shared" si="183"/>
        <v>115714.28571428565</v>
      </c>
      <c r="R118" s="145">
        <v>24</v>
      </c>
      <c r="S118" s="459">
        <f t="shared" si="184"/>
        <v>771428.57142857159</v>
      </c>
      <c r="T118" s="489">
        <f t="shared" si="185"/>
        <v>34285.714285714283</v>
      </c>
      <c r="V118" s="145">
        <v>24</v>
      </c>
      <c r="W118" s="459">
        <f t="shared" si="186"/>
        <v>600000</v>
      </c>
      <c r="X118" s="459">
        <f t="shared" si="187"/>
        <v>51428.571428571435</v>
      </c>
      <c r="Z118" s="145">
        <v>24</v>
      </c>
      <c r="RW118" s="459"/>
    </row>
    <row r="119" spans="2:491" s="145" customFormat="1" hidden="1">
      <c r="B119" s="145">
        <v>25</v>
      </c>
      <c r="C119" s="459">
        <f t="shared" si="181"/>
        <v>3870535.7142857136</v>
      </c>
      <c r="D119" s="459">
        <f t="shared" si="181"/>
        <v>209821.42857142849</v>
      </c>
      <c r="N119" s="145">
        <v>25</v>
      </c>
      <c r="O119" s="459">
        <f t="shared" si="182"/>
        <v>2441964.285714285</v>
      </c>
      <c r="P119" s="459">
        <f t="shared" si="183"/>
        <v>120535.71428571422</v>
      </c>
      <c r="R119" s="145">
        <v>25</v>
      </c>
      <c r="S119" s="459">
        <f t="shared" si="184"/>
        <v>803571.42857142875</v>
      </c>
      <c r="T119" s="489">
        <f t="shared" si="185"/>
        <v>35714.28571428571</v>
      </c>
      <c r="V119" s="145">
        <v>25</v>
      </c>
      <c r="W119" s="459">
        <f t="shared" si="186"/>
        <v>625000</v>
      </c>
      <c r="X119" s="459">
        <f t="shared" si="187"/>
        <v>53571.42857142858</v>
      </c>
      <c r="Z119" s="145">
        <v>25</v>
      </c>
      <c r="RW119" s="459"/>
    </row>
    <row r="120" spans="2:491" s="145" customFormat="1" hidden="1">
      <c r="B120" s="145">
        <v>26</v>
      </c>
      <c r="C120" s="459">
        <f t="shared" si="181"/>
        <v>4025357.1428571423</v>
      </c>
      <c r="D120" s="459">
        <f t="shared" si="181"/>
        <v>218214.28571428565</v>
      </c>
      <c r="N120" s="145">
        <v>26</v>
      </c>
      <c r="O120" s="459">
        <f t="shared" si="182"/>
        <v>2539642.8571428563</v>
      </c>
      <c r="P120" s="459">
        <f t="shared" si="183"/>
        <v>125357.14285714278</v>
      </c>
      <c r="R120" s="145">
        <v>26</v>
      </c>
      <c r="S120" s="459">
        <f t="shared" si="184"/>
        <v>835714.28571428591</v>
      </c>
      <c r="T120" s="489">
        <f t="shared" si="185"/>
        <v>37142.857142857138</v>
      </c>
      <c r="V120" s="145">
        <v>26</v>
      </c>
      <c r="W120" s="459">
        <f t="shared" si="186"/>
        <v>650000</v>
      </c>
      <c r="X120" s="459">
        <f t="shared" si="187"/>
        <v>55714.285714285725</v>
      </c>
      <c r="Z120" s="145">
        <v>26</v>
      </c>
      <c r="RW120" s="459"/>
    </row>
    <row r="121" spans="2:491" s="145" customFormat="1" hidden="1">
      <c r="B121" s="145">
        <v>27</v>
      </c>
      <c r="C121" s="459">
        <f t="shared" si="181"/>
        <v>4180178.5714285709</v>
      </c>
      <c r="D121" s="459">
        <f t="shared" si="181"/>
        <v>226607.14285714278</v>
      </c>
      <c r="N121" s="145">
        <v>27</v>
      </c>
      <c r="O121" s="459">
        <f t="shared" si="182"/>
        <v>2637321.4285714277</v>
      </c>
      <c r="P121" s="459">
        <f t="shared" si="183"/>
        <v>130178.57142857135</v>
      </c>
      <c r="R121" s="145">
        <v>27</v>
      </c>
      <c r="S121" s="459">
        <f t="shared" si="184"/>
        <v>867857.14285714307</v>
      </c>
      <c r="T121" s="489">
        <f t="shared" si="185"/>
        <v>38571.428571428565</v>
      </c>
      <c r="V121" s="145">
        <v>27</v>
      </c>
      <c r="W121" s="459">
        <f t="shared" si="186"/>
        <v>675000</v>
      </c>
      <c r="X121" s="459">
        <f t="shared" si="187"/>
        <v>57857.14285714287</v>
      </c>
      <c r="Z121" s="145">
        <v>27</v>
      </c>
      <c r="RW121" s="459"/>
    </row>
    <row r="122" spans="2:491" s="145" customFormat="1" hidden="1">
      <c r="B122" s="145">
        <v>28</v>
      </c>
      <c r="C122" s="459">
        <f t="shared" si="181"/>
        <v>4334999.9999999991</v>
      </c>
      <c r="D122" s="459">
        <f t="shared" si="181"/>
        <v>234999.99999999994</v>
      </c>
      <c r="N122" s="145">
        <v>28</v>
      </c>
      <c r="O122" s="459">
        <f t="shared" si="182"/>
        <v>2734999.9999999991</v>
      </c>
      <c r="P122" s="459">
        <f t="shared" si="183"/>
        <v>134999.99999999991</v>
      </c>
      <c r="R122" s="145">
        <v>28</v>
      </c>
      <c r="S122" s="459">
        <f t="shared" si="184"/>
        <v>900000.00000000023</v>
      </c>
      <c r="T122" s="489">
        <f t="shared" si="185"/>
        <v>39999.999999999993</v>
      </c>
      <c r="V122" s="145">
        <v>28</v>
      </c>
      <c r="W122" s="459">
        <f t="shared" si="186"/>
        <v>700000</v>
      </c>
      <c r="X122" s="459">
        <f t="shared" si="187"/>
        <v>60000.000000000015</v>
      </c>
      <c r="Z122" s="145">
        <v>28</v>
      </c>
      <c r="RW122" s="459"/>
    </row>
    <row r="123" spans="2:491" s="145" customFormat="1" hidden="1">
      <c r="B123" s="145">
        <v>29</v>
      </c>
      <c r="C123" s="459">
        <f t="shared" si="181"/>
        <v>4489821.4285714282</v>
      </c>
      <c r="D123" s="459">
        <f t="shared" si="181"/>
        <v>243392.85714285707</v>
      </c>
      <c r="N123" s="145">
        <v>29</v>
      </c>
      <c r="O123" s="459">
        <f t="shared" si="182"/>
        <v>2832678.5714285704</v>
      </c>
      <c r="P123" s="459">
        <f t="shared" si="183"/>
        <v>139821.42857142849</v>
      </c>
      <c r="R123" s="145">
        <v>29</v>
      </c>
      <c r="S123" s="459">
        <f t="shared" si="184"/>
        <v>932142.85714285739</v>
      </c>
      <c r="T123" s="489">
        <f t="shared" si="185"/>
        <v>41428.57142857142</v>
      </c>
      <c r="V123" s="145">
        <v>29</v>
      </c>
      <c r="W123" s="459">
        <f t="shared" si="186"/>
        <v>725000</v>
      </c>
      <c r="X123" s="459">
        <f t="shared" si="187"/>
        <v>62142.857142857159</v>
      </c>
      <c r="Z123" s="145">
        <v>29</v>
      </c>
      <c r="RW123" s="459"/>
    </row>
    <row r="124" spans="2:491" s="145" customFormat="1" hidden="1">
      <c r="B124" s="145">
        <v>30</v>
      </c>
      <c r="C124" s="459">
        <f t="shared" si="181"/>
        <v>4644642.8571428563</v>
      </c>
      <c r="D124" s="459">
        <f t="shared" si="181"/>
        <v>251785.7142857142</v>
      </c>
      <c r="N124" s="145">
        <v>30</v>
      </c>
      <c r="O124" s="459">
        <f t="shared" si="182"/>
        <v>2930357.1428571418</v>
      </c>
      <c r="P124" s="459">
        <f t="shared" si="183"/>
        <v>144642.85714285707</v>
      </c>
      <c r="R124" s="145">
        <v>30</v>
      </c>
      <c r="S124" s="459">
        <f t="shared" si="184"/>
        <v>964285.71428571455</v>
      </c>
      <c r="T124" s="489">
        <f t="shared" si="185"/>
        <v>42857.142857142848</v>
      </c>
      <c r="V124" s="145">
        <v>30</v>
      </c>
      <c r="W124" s="459">
        <f t="shared" si="186"/>
        <v>750000</v>
      </c>
      <c r="X124" s="459">
        <f t="shared" si="187"/>
        <v>64285.714285714304</v>
      </c>
      <c r="Z124" s="145">
        <v>29</v>
      </c>
      <c r="RW124" s="459"/>
    </row>
    <row r="125" spans="2:491" hidden="1">
      <c r="B125" s="145">
        <v>31</v>
      </c>
      <c r="C125" s="459">
        <f t="shared" si="181"/>
        <v>4799464.2857142845</v>
      </c>
      <c r="D125" s="459">
        <f t="shared" si="181"/>
        <v>260178.57142857136</v>
      </c>
      <c r="N125" s="145">
        <v>31</v>
      </c>
      <c r="O125" s="459">
        <f t="shared" si="182"/>
        <v>3028035.7142857132</v>
      </c>
      <c r="P125" s="459">
        <f t="shared" si="183"/>
        <v>149464.28571428565</v>
      </c>
      <c r="Q125" s="985"/>
      <c r="R125" s="145">
        <v>31</v>
      </c>
      <c r="S125" s="459">
        <f t="shared" si="184"/>
        <v>996428.57142857171</v>
      </c>
      <c r="T125" s="489">
        <f t="shared" si="185"/>
        <v>44285.714285714275</v>
      </c>
      <c r="U125" s="985"/>
      <c r="V125" s="145">
        <v>31</v>
      </c>
      <c r="W125" s="459">
        <f t="shared" si="186"/>
        <v>775000</v>
      </c>
      <c r="X125" s="459">
        <f t="shared" si="187"/>
        <v>66428.571428571449</v>
      </c>
      <c r="Y125" s="145"/>
      <c r="Z125" s="145">
        <v>29</v>
      </c>
      <c r="RW125" s="1"/>
    </row>
    <row r="126" spans="2:491" hidden="1">
      <c r="RW126" s="1"/>
    </row>
    <row r="127" spans="2:491" hidden="1">
      <c r="RW127" s="1"/>
    </row>
    <row r="128" spans="2:491" hidden="1">
      <c r="RW128" s="1"/>
    </row>
    <row r="129" spans="2:491" hidden="1">
      <c r="RW129" s="1"/>
    </row>
    <row r="130" spans="2:491" hidden="1">
      <c r="RW130" s="1"/>
    </row>
    <row r="131" spans="2:491" hidden="1">
      <c r="P131" s="887"/>
      <c r="RW131" s="1"/>
    </row>
    <row r="132" spans="2:491" hidden="1">
      <c r="P132" s="887"/>
      <c r="RW132" s="1"/>
    </row>
    <row r="133" spans="2:491" hidden="1">
      <c r="RW133" s="1"/>
    </row>
    <row r="134" spans="2:491" ht="23.4" hidden="1">
      <c r="C134" s="1075" t="s">
        <v>739</v>
      </c>
      <c r="RW134" s="1"/>
    </row>
    <row r="135" spans="2:491" hidden="1">
      <c r="O135" s="479">
        <f>'Summary TIS'!Y3/28</f>
        <v>28647.205714285432</v>
      </c>
      <c r="P135" s="479">
        <f>'Summary TIS'!Y8/28</f>
        <v>1035.7142857142858</v>
      </c>
      <c r="RW135" s="1"/>
    </row>
    <row r="136" spans="2:491" hidden="1">
      <c r="B136">
        <v>1</v>
      </c>
      <c r="C136">
        <f t="shared" ref="C136:D166" si="188">SUM(O136,W136,S136)</f>
        <v>28647.205714285432</v>
      </c>
      <c r="D136">
        <f t="shared" si="188"/>
        <v>1035.7142857142858</v>
      </c>
      <c r="N136">
        <v>1</v>
      </c>
      <c r="O136">
        <f>O135</f>
        <v>28647.205714285432</v>
      </c>
      <c r="P136">
        <f>P135</f>
        <v>1035.7142857142858</v>
      </c>
      <c r="RW136" s="1"/>
    </row>
    <row r="137" spans="2:491" hidden="1">
      <c r="B137">
        <v>2</v>
      </c>
      <c r="C137">
        <f t="shared" si="188"/>
        <v>57294.411428570864</v>
      </c>
      <c r="D137">
        <f t="shared" si="188"/>
        <v>4458.5253456221199</v>
      </c>
      <c r="N137">
        <v>2</v>
      </c>
      <c r="O137">
        <f t="shared" ref="O137:O166" si="189">O136+($O$135)</f>
        <v>57294.411428570864</v>
      </c>
      <c r="P137">
        <f t="shared" ref="P137:P166" si="190">P136+($P$135)</f>
        <v>2071.4285714285716</v>
      </c>
      <c r="T137">
        <f>74000/31</f>
        <v>2387.0967741935483</v>
      </c>
      <c r="RW137" s="1"/>
    </row>
    <row r="138" spans="2:491" hidden="1">
      <c r="B138">
        <v>3</v>
      </c>
      <c r="C138">
        <f t="shared" si="188"/>
        <v>85941.617142856296</v>
      </c>
      <c r="D138">
        <f t="shared" si="188"/>
        <v>3107.1428571428573</v>
      </c>
      <c r="N138">
        <v>3</v>
      </c>
      <c r="O138">
        <f t="shared" si="189"/>
        <v>85941.617142856296</v>
      </c>
      <c r="P138">
        <f t="shared" si="190"/>
        <v>3107.1428571428573</v>
      </c>
      <c r="RW138" s="1"/>
    </row>
    <row r="139" spans="2:491" hidden="1">
      <c r="B139">
        <v>4</v>
      </c>
      <c r="C139">
        <f t="shared" si="188"/>
        <v>114588.82285714173</v>
      </c>
      <c r="D139">
        <f t="shared" si="188"/>
        <v>4142.8571428571431</v>
      </c>
      <c r="N139">
        <v>4</v>
      </c>
      <c r="O139">
        <f t="shared" si="189"/>
        <v>114588.82285714173</v>
      </c>
      <c r="P139">
        <f t="shared" si="190"/>
        <v>4142.8571428571431</v>
      </c>
      <c r="RW139" s="1"/>
    </row>
    <row r="140" spans="2:491" hidden="1">
      <c r="B140">
        <v>5</v>
      </c>
      <c r="C140">
        <f t="shared" si="188"/>
        <v>143236.02857142716</v>
      </c>
      <c r="D140">
        <f t="shared" si="188"/>
        <v>5178.5714285714294</v>
      </c>
      <c r="N140">
        <v>5</v>
      </c>
      <c r="O140">
        <f t="shared" si="189"/>
        <v>143236.02857142716</v>
      </c>
      <c r="P140">
        <f t="shared" si="190"/>
        <v>5178.5714285714294</v>
      </c>
      <c r="RW140" s="1"/>
    </row>
    <row r="141" spans="2:491" hidden="1">
      <c r="B141">
        <v>6</v>
      </c>
      <c r="C141">
        <f t="shared" si="188"/>
        <v>171883.23428571259</v>
      </c>
      <c r="D141">
        <f t="shared" si="188"/>
        <v>6214.2857142857156</v>
      </c>
      <c r="N141">
        <v>6</v>
      </c>
      <c r="O141">
        <f t="shared" si="189"/>
        <v>171883.23428571259</v>
      </c>
      <c r="P141">
        <f t="shared" si="190"/>
        <v>6214.2857142857156</v>
      </c>
      <c r="RW141" s="1"/>
    </row>
    <row r="142" spans="2:491" hidden="1">
      <c r="B142">
        <v>7</v>
      </c>
      <c r="C142">
        <f t="shared" si="188"/>
        <v>200530.43999999802</v>
      </c>
      <c r="D142">
        <f t="shared" si="188"/>
        <v>7250.0000000000018</v>
      </c>
      <c r="N142">
        <v>7</v>
      </c>
      <c r="O142">
        <f t="shared" si="189"/>
        <v>200530.43999999802</v>
      </c>
      <c r="P142">
        <f t="shared" si="190"/>
        <v>7250.0000000000018</v>
      </c>
      <c r="RW142" s="1"/>
    </row>
    <row r="143" spans="2:491" hidden="1">
      <c r="B143">
        <v>8</v>
      </c>
      <c r="C143">
        <f t="shared" si="188"/>
        <v>229177.64571428346</v>
      </c>
      <c r="D143">
        <f t="shared" si="188"/>
        <v>8285.7142857142881</v>
      </c>
      <c r="N143">
        <v>8</v>
      </c>
      <c r="O143">
        <f t="shared" si="189"/>
        <v>229177.64571428346</v>
      </c>
      <c r="P143">
        <f t="shared" si="190"/>
        <v>8285.7142857142881</v>
      </c>
      <c r="RW143" s="1"/>
    </row>
    <row r="144" spans="2:491" hidden="1">
      <c r="B144">
        <v>9</v>
      </c>
      <c r="C144">
        <f t="shared" si="188"/>
        <v>257824.85142856889</v>
      </c>
      <c r="D144">
        <f t="shared" si="188"/>
        <v>9321.4285714285743</v>
      </c>
      <c r="N144">
        <v>9</v>
      </c>
      <c r="O144">
        <f t="shared" si="189"/>
        <v>257824.85142856889</v>
      </c>
      <c r="P144">
        <f t="shared" si="190"/>
        <v>9321.4285714285743</v>
      </c>
      <c r="RW144" s="1"/>
    </row>
    <row r="145" spans="2:491" hidden="1">
      <c r="B145">
        <v>10</v>
      </c>
      <c r="C145">
        <f t="shared" si="188"/>
        <v>286472.05714285432</v>
      </c>
      <c r="D145">
        <f t="shared" si="188"/>
        <v>10357.142857142861</v>
      </c>
      <c r="N145">
        <v>10</v>
      </c>
      <c r="O145">
        <f t="shared" si="189"/>
        <v>286472.05714285432</v>
      </c>
      <c r="P145">
        <f t="shared" si="190"/>
        <v>10357.142857142861</v>
      </c>
      <c r="RW145" s="1"/>
    </row>
    <row r="146" spans="2:491" hidden="1">
      <c r="B146">
        <v>11</v>
      </c>
      <c r="C146">
        <f t="shared" si="188"/>
        <v>315119.26285713975</v>
      </c>
      <c r="D146">
        <f t="shared" si="188"/>
        <v>11392.857142857147</v>
      </c>
      <c r="N146">
        <v>11</v>
      </c>
      <c r="O146">
        <f t="shared" si="189"/>
        <v>315119.26285713975</v>
      </c>
      <c r="P146">
        <f t="shared" si="190"/>
        <v>11392.857142857147</v>
      </c>
      <c r="RW146" s="1"/>
    </row>
    <row r="147" spans="2:491" hidden="1">
      <c r="B147">
        <v>12</v>
      </c>
      <c r="C147">
        <f t="shared" si="188"/>
        <v>343766.46857142518</v>
      </c>
      <c r="D147">
        <f t="shared" si="188"/>
        <v>12428.571428571433</v>
      </c>
      <c r="N147">
        <v>12</v>
      </c>
      <c r="O147">
        <f t="shared" si="189"/>
        <v>343766.46857142518</v>
      </c>
      <c r="P147">
        <f t="shared" si="190"/>
        <v>12428.571428571433</v>
      </c>
      <c r="RW147" s="1"/>
    </row>
    <row r="148" spans="2:491" hidden="1">
      <c r="B148">
        <v>13</v>
      </c>
      <c r="C148">
        <f t="shared" si="188"/>
        <v>372413.67428571061</v>
      </c>
      <c r="D148">
        <f t="shared" si="188"/>
        <v>13464.285714285719</v>
      </c>
      <c r="N148">
        <v>13</v>
      </c>
      <c r="O148">
        <f t="shared" si="189"/>
        <v>372413.67428571061</v>
      </c>
      <c r="P148">
        <f t="shared" si="190"/>
        <v>13464.285714285719</v>
      </c>
      <c r="RW148" s="1"/>
    </row>
    <row r="149" spans="2:491" hidden="1">
      <c r="B149">
        <v>14</v>
      </c>
      <c r="C149">
        <f t="shared" si="188"/>
        <v>401060.87999999605</v>
      </c>
      <c r="D149">
        <f t="shared" si="188"/>
        <v>14500.000000000005</v>
      </c>
      <c r="N149">
        <v>14</v>
      </c>
      <c r="O149">
        <f t="shared" si="189"/>
        <v>401060.87999999605</v>
      </c>
      <c r="P149">
        <f t="shared" si="190"/>
        <v>14500.000000000005</v>
      </c>
      <c r="RW149" s="1"/>
    </row>
    <row r="150" spans="2:491" hidden="1">
      <c r="B150">
        <v>15</v>
      </c>
      <c r="C150">
        <f t="shared" si="188"/>
        <v>429708.08571428148</v>
      </c>
      <c r="D150">
        <f t="shared" si="188"/>
        <v>15535.714285714292</v>
      </c>
      <c r="N150">
        <v>15</v>
      </c>
      <c r="O150">
        <f t="shared" si="189"/>
        <v>429708.08571428148</v>
      </c>
      <c r="P150">
        <f t="shared" si="190"/>
        <v>15535.714285714292</v>
      </c>
      <c r="RW150" s="1"/>
    </row>
    <row r="151" spans="2:491" hidden="1">
      <c r="B151">
        <v>16</v>
      </c>
      <c r="C151">
        <f t="shared" si="188"/>
        <v>458355.29142856691</v>
      </c>
      <c r="D151">
        <f t="shared" si="188"/>
        <v>16571.428571428576</v>
      </c>
      <c r="N151">
        <v>16</v>
      </c>
      <c r="O151">
        <f t="shared" si="189"/>
        <v>458355.29142856691</v>
      </c>
      <c r="P151">
        <f t="shared" si="190"/>
        <v>16571.428571428576</v>
      </c>
      <c r="RW151" s="1"/>
    </row>
    <row r="152" spans="2:491" hidden="1">
      <c r="B152">
        <v>17</v>
      </c>
      <c r="C152">
        <f t="shared" si="188"/>
        <v>487002.49714285234</v>
      </c>
      <c r="D152">
        <f t="shared" si="188"/>
        <v>17607.142857142862</v>
      </c>
      <c r="N152">
        <v>17</v>
      </c>
      <c r="O152">
        <f t="shared" si="189"/>
        <v>487002.49714285234</v>
      </c>
      <c r="P152">
        <f t="shared" si="190"/>
        <v>17607.142857142862</v>
      </c>
      <c r="RW152" s="1"/>
    </row>
    <row r="153" spans="2:491" hidden="1">
      <c r="B153">
        <v>18</v>
      </c>
      <c r="C153">
        <f t="shared" si="188"/>
        <v>515649.70285713777</v>
      </c>
      <c r="D153">
        <f t="shared" si="188"/>
        <v>18642.857142857149</v>
      </c>
      <c r="N153">
        <v>18</v>
      </c>
      <c r="O153">
        <f t="shared" si="189"/>
        <v>515649.70285713777</v>
      </c>
      <c r="P153">
        <f t="shared" si="190"/>
        <v>18642.857142857149</v>
      </c>
      <c r="RW153" s="1"/>
    </row>
    <row r="154" spans="2:491" hidden="1">
      <c r="B154">
        <v>19</v>
      </c>
      <c r="C154">
        <f t="shared" si="188"/>
        <v>544296.90857142326</v>
      </c>
      <c r="D154">
        <f t="shared" si="188"/>
        <v>19678.571428571435</v>
      </c>
      <c r="N154">
        <v>19</v>
      </c>
      <c r="O154">
        <f t="shared" si="189"/>
        <v>544296.90857142326</v>
      </c>
      <c r="P154">
        <f t="shared" si="190"/>
        <v>19678.571428571435</v>
      </c>
      <c r="RW154" s="1"/>
    </row>
    <row r="155" spans="2:491" hidden="1">
      <c r="B155">
        <v>20</v>
      </c>
      <c r="C155">
        <f t="shared" si="188"/>
        <v>572944.11428570864</v>
      </c>
      <c r="D155">
        <f t="shared" si="188"/>
        <v>20714.285714285721</v>
      </c>
      <c r="N155">
        <v>20</v>
      </c>
      <c r="O155">
        <f t="shared" si="189"/>
        <v>572944.11428570864</v>
      </c>
      <c r="P155">
        <f t="shared" si="190"/>
        <v>20714.285714285721</v>
      </c>
      <c r="RW155" s="1"/>
    </row>
    <row r="156" spans="2:491" hidden="1">
      <c r="B156">
        <v>21</v>
      </c>
      <c r="C156">
        <f t="shared" si="188"/>
        <v>601591.31999999401</v>
      </c>
      <c r="D156">
        <f t="shared" si="188"/>
        <v>21750.000000000007</v>
      </c>
      <c r="N156">
        <v>21</v>
      </c>
      <c r="O156">
        <f t="shared" si="189"/>
        <v>601591.31999999401</v>
      </c>
      <c r="P156">
        <f t="shared" si="190"/>
        <v>21750.000000000007</v>
      </c>
      <c r="RW156" s="1"/>
    </row>
    <row r="157" spans="2:491" hidden="1">
      <c r="B157">
        <v>22</v>
      </c>
      <c r="C157">
        <f t="shared" si="188"/>
        <v>630238.52571427939</v>
      </c>
      <c r="D157">
        <f t="shared" si="188"/>
        <v>22785.714285714294</v>
      </c>
      <c r="N157">
        <v>22</v>
      </c>
      <c r="O157">
        <f t="shared" si="189"/>
        <v>630238.52571427939</v>
      </c>
      <c r="P157">
        <f t="shared" si="190"/>
        <v>22785.714285714294</v>
      </c>
      <c r="RW157" s="1"/>
    </row>
    <row r="158" spans="2:491" hidden="1">
      <c r="B158">
        <v>23</v>
      </c>
      <c r="C158">
        <f t="shared" si="188"/>
        <v>658885.73142856476</v>
      </c>
      <c r="D158">
        <f t="shared" si="188"/>
        <v>23821.42857142858</v>
      </c>
      <c r="N158">
        <v>23</v>
      </c>
      <c r="O158">
        <f t="shared" si="189"/>
        <v>658885.73142856476</v>
      </c>
      <c r="P158">
        <f t="shared" si="190"/>
        <v>23821.42857142858</v>
      </c>
      <c r="RW158" s="1"/>
    </row>
    <row r="159" spans="2:491" hidden="1">
      <c r="B159">
        <v>24</v>
      </c>
      <c r="C159">
        <f t="shared" si="188"/>
        <v>687532.93714285013</v>
      </c>
      <c r="D159">
        <f t="shared" si="188"/>
        <v>24857.142857142866</v>
      </c>
      <c r="N159">
        <v>24</v>
      </c>
      <c r="O159">
        <f t="shared" si="189"/>
        <v>687532.93714285013</v>
      </c>
      <c r="P159">
        <f t="shared" si="190"/>
        <v>24857.142857142866</v>
      </c>
      <c r="RW159" s="1"/>
    </row>
    <row r="160" spans="2:491" hidden="1">
      <c r="B160">
        <v>25</v>
      </c>
      <c r="C160">
        <f t="shared" si="188"/>
        <v>716180.14285713551</v>
      </c>
      <c r="D160">
        <f t="shared" si="188"/>
        <v>25892.857142857152</v>
      </c>
      <c r="N160">
        <v>25</v>
      </c>
      <c r="O160">
        <f t="shared" si="189"/>
        <v>716180.14285713551</v>
      </c>
      <c r="P160">
        <f t="shared" si="190"/>
        <v>25892.857142857152</v>
      </c>
      <c r="RW160" s="1"/>
    </row>
    <row r="161" spans="2:491" hidden="1">
      <c r="B161">
        <v>26</v>
      </c>
      <c r="C161">
        <f t="shared" si="188"/>
        <v>744827.34857142088</v>
      </c>
      <c r="D161">
        <f t="shared" si="188"/>
        <v>26928.571428571438</v>
      </c>
      <c r="N161">
        <v>26</v>
      </c>
      <c r="O161">
        <f t="shared" si="189"/>
        <v>744827.34857142088</v>
      </c>
      <c r="P161">
        <f t="shared" si="190"/>
        <v>26928.571428571438</v>
      </c>
      <c r="RW161" s="1"/>
    </row>
    <row r="162" spans="2:491" hidden="1">
      <c r="B162">
        <v>27</v>
      </c>
      <c r="C162">
        <f t="shared" si="188"/>
        <v>773474.55428570625</v>
      </c>
      <c r="D162">
        <f t="shared" si="188"/>
        <v>27964.285714285725</v>
      </c>
      <c r="N162">
        <v>27</v>
      </c>
      <c r="O162">
        <f t="shared" si="189"/>
        <v>773474.55428570625</v>
      </c>
      <c r="P162">
        <f t="shared" si="190"/>
        <v>27964.285714285725</v>
      </c>
      <c r="RW162" s="1"/>
    </row>
    <row r="163" spans="2:491" hidden="1">
      <c r="B163">
        <v>28</v>
      </c>
      <c r="C163">
        <f t="shared" si="188"/>
        <v>802121.75999999163</v>
      </c>
      <c r="D163">
        <f t="shared" si="188"/>
        <v>29000.000000000011</v>
      </c>
      <c r="N163">
        <v>28</v>
      </c>
      <c r="O163">
        <f t="shared" si="189"/>
        <v>802121.75999999163</v>
      </c>
      <c r="P163">
        <f t="shared" si="190"/>
        <v>29000.000000000011</v>
      </c>
      <c r="RW163" s="1"/>
    </row>
    <row r="164" spans="2:491" hidden="1">
      <c r="B164">
        <v>29</v>
      </c>
      <c r="C164">
        <f t="shared" si="188"/>
        <v>830768.965714277</v>
      </c>
      <c r="D164">
        <f t="shared" si="188"/>
        <v>30035.714285714297</v>
      </c>
      <c r="N164">
        <v>29</v>
      </c>
      <c r="O164">
        <f t="shared" si="189"/>
        <v>830768.965714277</v>
      </c>
      <c r="P164">
        <f t="shared" si="190"/>
        <v>30035.714285714297</v>
      </c>
      <c r="RW164" s="1"/>
    </row>
    <row r="165" spans="2:491" hidden="1">
      <c r="B165">
        <v>30</v>
      </c>
      <c r="C165">
        <f t="shared" si="188"/>
        <v>859416.17142856237</v>
      </c>
      <c r="D165">
        <f t="shared" si="188"/>
        <v>31071.428571428583</v>
      </c>
      <c r="N165">
        <v>30</v>
      </c>
      <c r="O165">
        <f t="shared" si="189"/>
        <v>859416.17142856237</v>
      </c>
      <c r="P165">
        <f t="shared" si="190"/>
        <v>31071.428571428583</v>
      </c>
      <c r="RW165" s="1"/>
    </row>
    <row r="166" spans="2:491" hidden="1">
      <c r="B166">
        <v>31</v>
      </c>
      <c r="C166">
        <f t="shared" si="188"/>
        <v>888063.37714284775</v>
      </c>
      <c r="D166">
        <f t="shared" si="188"/>
        <v>32107.14285714287</v>
      </c>
      <c r="N166">
        <v>31</v>
      </c>
      <c r="O166">
        <f t="shared" si="189"/>
        <v>888063.37714284775</v>
      </c>
      <c r="P166">
        <f t="shared" si="190"/>
        <v>32107.14285714287</v>
      </c>
      <c r="RW166" s="1"/>
    </row>
    <row r="167" spans="2:491" hidden="1">
      <c r="RW167" s="1"/>
    </row>
    <row r="168" spans="2:491" hidden="1"/>
    <row r="169" spans="2:491" hidden="1"/>
    <row r="170" spans="2:491" hidden="1"/>
    <row r="171" spans="2:491" hidden="1"/>
    <row r="172" spans="2:491" hidden="1"/>
    <row r="173" spans="2:491" hidden="1"/>
    <row r="174" spans="2:491" hidden="1"/>
    <row r="175" spans="2:491" hidden="1"/>
    <row r="176" spans="2:491" hidden="1"/>
    <row r="177" spans="2:491" hidden="1">
      <c r="O177" s="479">
        <f>'February TIS'!C45/28</f>
        <v>28647.205714285432</v>
      </c>
      <c r="P177" s="479">
        <f>'February TIS'!D45/28</f>
        <v>1035.7142857142858</v>
      </c>
      <c r="Q177" s="887">
        <f>P177/31</f>
        <v>33.410138248847929</v>
      </c>
      <c r="RW177" s="1"/>
    </row>
    <row r="178" spans="2:491" hidden="1">
      <c r="B178">
        <v>1</v>
      </c>
      <c r="C178">
        <f t="shared" ref="C178:D208" si="191">SUM(O178,W178,S178)</f>
        <v>28647.205714285432</v>
      </c>
      <c r="D178">
        <f t="shared" si="191"/>
        <v>1035.7142857142858</v>
      </c>
      <c r="N178">
        <v>1</v>
      </c>
      <c r="O178">
        <f>O177</f>
        <v>28647.205714285432</v>
      </c>
      <c r="P178">
        <f>P177</f>
        <v>1035.7142857142858</v>
      </c>
      <c r="RW178" s="1"/>
    </row>
    <row r="179" spans="2:491" hidden="1">
      <c r="B179">
        <v>2</v>
      </c>
      <c r="C179">
        <f t="shared" si="191"/>
        <v>57294.411428570864</v>
      </c>
      <c r="D179">
        <f t="shared" si="191"/>
        <v>2071.4285714285716</v>
      </c>
      <c r="N179">
        <v>2</v>
      </c>
      <c r="O179">
        <f t="shared" ref="O179:O208" si="192">O178+($O$177)</f>
        <v>57294.411428570864</v>
      </c>
      <c r="P179">
        <f t="shared" ref="P179:P208" si="193">P178+($P$177)</f>
        <v>2071.4285714285716</v>
      </c>
      <c r="RW179" s="1"/>
    </row>
    <row r="180" spans="2:491" hidden="1">
      <c r="B180">
        <v>3</v>
      </c>
      <c r="C180">
        <f t="shared" si="191"/>
        <v>85941.617142856296</v>
      </c>
      <c r="D180">
        <f t="shared" si="191"/>
        <v>3107.1428571428573</v>
      </c>
      <c r="N180">
        <v>3</v>
      </c>
      <c r="O180">
        <f t="shared" si="192"/>
        <v>85941.617142856296</v>
      </c>
      <c r="P180">
        <f t="shared" si="193"/>
        <v>3107.1428571428573</v>
      </c>
      <c r="RW180" s="1"/>
    </row>
    <row r="181" spans="2:491" hidden="1">
      <c r="B181">
        <v>4</v>
      </c>
      <c r="C181">
        <f t="shared" si="191"/>
        <v>114588.82285714173</v>
      </c>
      <c r="D181">
        <f t="shared" si="191"/>
        <v>4142.8571428571431</v>
      </c>
      <c r="N181">
        <v>4</v>
      </c>
      <c r="O181">
        <f t="shared" si="192"/>
        <v>114588.82285714173</v>
      </c>
      <c r="P181">
        <f t="shared" si="193"/>
        <v>4142.8571428571431</v>
      </c>
      <c r="RW181" s="1"/>
    </row>
    <row r="182" spans="2:491" hidden="1">
      <c r="B182">
        <v>5</v>
      </c>
      <c r="C182">
        <f t="shared" si="191"/>
        <v>143236.02857142716</v>
      </c>
      <c r="D182">
        <f t="shared" si="191"/>
        <v>5178.5714285714294</v>
      </c>
      <c r="N182">
        <v>5</v>
      </c>
      <c r="O182">
        <f t="shared" si="192"/>
        <v>143236.02857142716</v>
      </c>
      <c r="P182">
        <f t="shared" si="193"/>
        <v>5178.5714285714294</v>
      </c>
      <c r="RW182" s="1"/>
    </row>
    <row r="183" spans="2:491" hidden="1">
      <c r="B183">
        <v>6</v>
      </c>
      <c r="C183">
        <f t="shared" si="191"/>
        <v>171883.23428571259</v>
      </c>
      <c r="D183">
        <f t="shared" si="191"/>
        <v>6214.2857142857156</v>
      </c>
      <c r="N183">
        <v>6</v>
      </c>
      <c r="O183">
        <f t="shared" si="192"/>
        <v>171883.23428571259</v>
      </c>
      <c r="P183">
        <f t="shared" si="193"/>
        <v>6214.2857142857156</v>
      </c>
      <c r="RW183" s="1"/>
    </row>
    <row r="184" spans="2:491" hidden="1">
      <c r="B184">
        <v>7</v>
      </c>
      <c r="C184">
        <f t="shared" si="191"/>
        <v>200530.43999999802</v>
      </c>
      <c r="D184">
        <f t="shared" si="191"/>
        <v>7250.0000000000018</v>
      </c>
      <c r="N184">
        <v>7</v>
      </c>
      <c r="O184">
        <f t="shared" si="192"/>
        <v>200530.43999999802</v>
      </c>
      <c r="P184">
        <f t="shared" si="193"/>
        <v>7250.0000000000018</v>
      </c>
      <c r="RW184" s="1"/>
    </row>
    <row r="185" spans="2:491" hidden="1">
      <c r="B185">
        <v>8</v>
      </c>
      <c r="C185">
        <f t="shared" si="191"/>
        <v>229177.64571428346</v>
      </c>
      <c r="D185">
        <f t="shared" si="191"/>
        <v>8285.7142857142881</v>
      </c>
      <c r="N185">
        <v>8</v>
      </c>
      <c r="O185">
        <f t="shared" si="192"/>
        <v>229177.64571428346</v>
      </c>
      <c r="P185">
        <f t="shared" si="193"/>
        <v>8285.7142857142881</v>
      </c>
      <c r="RW185" s="1"/>
    </row>
    <row r="186" spans="2:491" hidden="1">
      <c r="B186">
        <v>9</v>
      </c>
      <c r="C186">
        <f t="shared" si="191"/>
        <v>257824.85142856889</v>
      </c>
      <c r="D186">
        <f t="shared" si="191"/>
        <v>9321.4285714285743</v>
      </c>
      <c r="N186">
        <v>9</v>
      </c>
      <c r="O186">
        <f t="shared" si="192"/>
        <v>257824.85142856889</v>
      </c>
      <c r="P186">
        <f t="shared" si="193"/>
        <v>9321.4285714285743</v>
      </c>
      <c r="RW186" s="1"/>
    </row>
    <row r="187" spans="2:491" hidden="1">
      <c r="B187">
        <v>10</v>
      </c>
      <c r="C187">
        <f t="shared" si="191"/>
        <v>286472.05714285432</v>
      </c>
      <c r="D187">
        <f t="shared" si="191"/>
        <v>10357.142857142861</v>
      </c>
      <c r="N187">
        <v>10</v>
      </c>
      <c r="O187">
        <f t="shared" si="192"/>
        <v>286472.05714285432</v>
      </c>
      <c r="P187">
        <f t="shared" si="193"/>
        <v>10357.142857142861</v>
      </c>
      <c r="RW187" s="1"/>
    </row>
    <row r="188" spans="2:491" hidden="1">
      <c r="B188">
        <v>11</v>
      </c>
      <c r="C188">
        <f t="shared" si="191"/>
        <v>315119.26285713975</v>
      </c>
      <c r="D188">
        <f t="shared" si="191"/>
        <v>11392.857142857147</v>
      </c>
      <c r="N188">
        <v>11</v>
      </c>
      <c r="O188">
        <f t="shared" si="192"/>
        <v>315119.26285713975</v>
      </c>
      <c r="P188">
        <f t="shared" si="193"/>
        <v>11392.857142857147</v>
      </c>
      <c r="RW188" s="1"/>
    </row>
    <row r="189" spans="2:491" hidden="1">
      <c r="B189">
        <v>12</v>
      </c>
      <c r="C189">
        <f t="shared" si="191"/>
        <v>343766.46857142518</v>
      </c>
      <c r="D189">
        <f t="shared" si="191"/>
        <v>12428.571428571433</v>
      </c>
      <c r="N189">
        <v>12</v>
      </c>
      <c r="O189">
        <f t="shared" si="192"/>
        <v>343766.46857142518</v>
      </c>
      <c r="P189">
        <f t="shared" si="193"/>
        <v>12428.571428571433</v>
      </c>
      <c r="RW189" s="1"/>
    </row>
    <row r="190" spans="2:491" hidden="1">
      <c r="B190">
        <v>13</v>
      </c>
      <c r="C190">
        <f t="shared" si="191"/>
        <v>372413.67428571061</v>
      </c>
      <c r="D190">
        <f t="shared" si="191"/>
        <v>13464.285714285719</v>
      </c>
      <c r="N190">
        <v>13</v>
      </c>
      <c r="O190">
        <f t="shared" si="192"/>
        <v>372413.67428571061</v>
      </c>
      <c r="P190">
        <f t="shared" si="193"/>
        <v>13464.285714285719</v>
      </c>
      <c r="RW190" s="1"/>
    </row>
    <row r="191" spans="2:491" hidden="1">
      <c r="B191">
        <v>14</v>
      </c>
      <c r="C191">
        <f t="shared" si="191"/>
        <v>401060.87999999605</v>
      </c>
      <c r="D191">
        <f t="shared" si="191"/>
        <v>14500.000000000005</v>
      </c>
      <c r="N191">
        <v>14</v>
      </c>
      <c r="O191">
        <f t="shared" si="192"/>
        <v>401060.87999999605</v>
      </c>
      <c r="P191">
        <f t="shared" si="193"/>
        <v>14500.000000000005</v>
      </c>
      <c r="RW191" s="1"/>
    </row>
    <row r="192" spans="2:491" hidden="1">
      <c r="B192">
        <v>15</v>
      </c>
      <c r="C192">
        <f t="shared" si="191"/>
        <v>429708.08571428148</v>
      </c>
      <c r="D192">
        <f t="shared" si="191"/>
        <v>15535.714285714292</v>
      </c>
      <c r="N192">
        <v>15</v>
      </c>
      <c r="O192">
        <f t="shared" si="192"/>
        <v>429708.08571428148</v>
      </c>
      <c r="P192">
        <f t="shared" si="193"/>
        <v>15535.714285714292</v>
      </c>
      <c r="RW192" s="1"/>
    </row>
    <row r="193" spans="2:491" hidden="1">
      <c r="B193">
        <v>16</v>
      </c>
      <c r="C193">
        <f t="shared" si="191"/>
        <v>458355.29142856691</v>
      </c>
      <c r="D193">
        <f t="shared" si="191"/>
        <v>16571.428571428576</v>
      </c>
      <c r="N193">
        <v>16</v>
      </c>
      <c r="O193">
        <f t="shared" si="192"/>
        <v>458355.29142856691</v>
      </c>
      <c r="P193">
        <f t="shared" si="193"/>
        <v>16571.428571428576</v>
      </c>
      <c r="RW193" s="1"/>
    </row>
    <row r="194" spans="2:491" hidden="1">
      <c r="B194">
        <v>17</v>
      </c>
      <c r="C194">
        <f t="shared" si="191"/>
        <v>487002.49714285234</v>
      </c>
      <c r="D194">
        <f t="shared" si="191"/>
        <v>17607.142857142862</v>
      </c>
      <c r="N194">
        <v>17</v>
      </c>
      <c r="O194">
        <f t="shared" si="192"/>
        <v>487002.49714285234</v>
      </c>
      <c r="P194">
        <f t="shared" si="193"/>
        <v>17607.142857142862</v>
      </c>
      <c r="RW194" s="1"/>
    </row>
    <row r="195" spans="2:491" hidden="1">
      <c r="B195">
        <v>18</v>
      </c>
      <c r="C195">
        <f t="shared" si="191"/>
        <v>515649.70285713777</v>
      </c>
      <c r="D195">
        <f t="shared" si="191"/>
        <v>18642.857142857149</v>
      </c>
      <c r="N195">
        <v>18</v>
      </c>
      <c r="O195">
        <f t="shared" si="192"/>
        <v>515649.70285713777</v>
      </c>
      <c r="P195">
        <f t="shared" si="193"/>
        <v>18642.857142857149</v>
      </c>
      <c r="RW195" s="1"/>
    </row>
    <row r="196" spans="2:491" hidden="1">
      <c r="B196">
        <v>19</v>
      </c>
      <c r="C196">
        <f t="shared" si="191"/>
        <v>544296.90857142326</v>
      </c>
      <c r="D196">
        <f t="shared" si="191"/>
        <v>19678.571428571435</v>
      </c>
      <c r="N196">
        <v>19</v>
      </c>
      <c r="O196">
        <f t="shared" si="192"/>
        <v>544296.90857142326</v>
      </c>
      <c r="P196">
        <f t="shared" si="193"/>
        <v>19678.571428571435</v>
      </c>
      <c r="RW196" s="1"/>
    </row>
    <row r="197" spans="2:491" hidden="1">
      <c r="B197">
        <v>20</v>
      </c>
      <c r="C197">
        <f t="shared" si="191"/>
        <v>572944.11428570864</v>
      </c>
      <c r="D197">
        <f t="shared" si="191"/>
        <v>20714.285714285721</v>
      </c>
      <c r="N197">
        <v>20</v>
      </c>
      <c r="O197">
        <f t="shared" si="192"/>
        <v>572944.11428570864</v>
      </c>
      <c r="P197">
        <f t="shared" si="193"/>
        <v>20714.285714285721</v>
      </c>
      <c r="RW197" s="1"/>
    </row>
    <row r="198" spans="2:491" hidden="1">
      <c r="B198">
        <v>21</v>
      </c>
      <c r="C198">
        <f t="shared" si="191"/>
        <v>601591.31999999401</v>
      </c>
      <c r="D198">
        <f t="shared" si="191"/>
        <v>21750.000000000007</v>
      </c>
      <c r="N198">
        <v>21</v>
      </c>
      <c r="O198">
        <f t="shared" si="192"/>
        <v>601591.31999999401</v>
      </c>
      <c r="P198">
        <f t="shared" si="193"/>
        <v>21750.000000000007</v>
      </c>
      <c r="RW198" s="1"/>
    </row>
    <row r="199" spans="2:491" hidden="1">
      <c r="B199">
        <v>22</v>
      </c>
      <c r="C199">
        <f t="shared" si="191"/>
        <v>630238.52571427939</v>
      </c>
      <c r="D199">
        <f t="shared" si="191"/>
        <v>22785.714285714294</v>
      </c>
      <c r="N199">
        <v>22</v>
      </c>
      <c r="O199">
        <f t="shared" si="192"/>
        <v>630238.52571427939</v>
      </c>
      <c r="P199">
        <f t="shared" si="193"/>
        <v>22785.714285714294</v>
      </c>
      <c r="RW199" s="1"/>
    </row>
    <row r="200" spans="2:491" hidden="1">
      <c r="B200">
        <v>23</v>
      </c>
      <c r="C200">
        <f t="shared" si="191"/>
        <v>658885.73142856476</v>
      </c>
      <c r="D200">
        <f t="shared" si="191"/>
        <v>23821.42857142858</v>
      </c>
      <c r="N200">
        <v>23</v>
      </c>
      <c r="O200">
        <f t="shared" si="192"/>
        <v>658885.73142856476</v>
      </c>
      <c r="P200">
        <f t="shared" si="193"/>
        <v>23821.42857142858</v>
      </c>
      <c r="RW200" s="1"/>
    </row>
    <row r="201" spans="2:491" hidden="1">
      <c r="B201">
        <v>24</v>
      </c>
      <c r="C201">
        <f t="shared" si="191"/>
        <v>687532.93714285013</v>
      </c>
      <c r="D201">
        <f t="shared" si="191"/>
        <v>24857.142857142866</v>
      </c>
      <c r="N201">
        <v>24</v>
      </c>
      <c r="O201">
        <f t="shared" si="192"/>
        <v>687532.93714285013</v>
      </c>
      <c r="P201">
        <f t="shared" si="193"/>
        <v>24857.142857142866</v>
      </c>
      <c r="RW201" s="1"/>
    </row>
    <row r="202" spans="2:491" hidden="1">
      <c r="B202">
        <v>25</v>
      </c>
      <c r="C202">
        <f t="shared" si="191"/>
        <v>716180.14285713551</v>
      </c>
      <c r="D202">
        <f t="shared" si="191"/>
        <v>25892.857142857152</v>
      </c>
      <c r="N202">
        <v>25</v>
      </c>
      <c r="O202">
        <f t="shared" si="192"/>
        <v>716180.14285713551</v>
      </c>
      <c r="P202">
        <f t="shared" si="193"/>
        <v>25892.857142857152</v>
      </c>
      <c r="RW202" s="1"/>
    </row>
    <row r="203" spans="2:491" hidden="1">
      <c r="B203">
        <v>26</v>
      </c>
      <c r="C203">
        <f t="shared" si="191"/>
        <v>744827.34857142088</v>
      </c>
      <c r="D203">
        <f t="shared" si="191"/>
        <v>26928.571428571438</v>
      </c>
      <c r="N203">
        <v>26</v>
      </c>
      <c r="O203">
        <f t="shared" si="192"/>
        <v>744827.34857142088</v>
      </c>
      <c r="P203">
        <f t="shared" si="193"/>
        <v>26928.571428571438</v>
      </c>
      <c r="RW203" s="1"/>
    </row>
    <row r="204" spans="2:491" hidden="1">
      <c r="B204">
        <v>27</v>
      </c>
      <c r="C204">
        <f t="shared" si="191"/>
        <v>773474.55428570625</v>
      </c>
      <c r="D204">
        <f t="shared" si="191"/>
        <v>27964.285714285725</v>
      </c>
      <c r="N204">
        <v>27</v>
      </c>
      <c r="O204">
        <f t="shared" si="192"/>
        <v>773474.55428570625</v>
      </c>
      <c r="P204">
        <f t="shared" si="193"/>
        <v>27964.285714285725</v>
      </c>
      <c r="RW204" s="1"/>
    </row>
    <row r="205" spans="2:491" hidden="1">
      <c r="B205">
        <v>28</v>
      </c>
      <c r="C205">
        <f t="shared" si="191"/>
        <v>802121.75999999163</v>
      </c>
      <c r="D205">
        <f t="shared" si="191"/>
        <v>29000.000000000011</v>
      </c>
      <c r="N205">
        <v>28</v>
      </c>
      <c r="O205">
        <f t="shared" si="192"/>
        <v>802121.75999999163</v>
      </c>
      <c r="P205">
        <f t="shared" si="193"/>
        <v>29000.000000000011</v>
      </c>
      <c r="RW205" s="1"/>
    </row>
    <row r="206" spans="2:491" hidden="1">
      <c r="B206">
        <v>29</v>
      </c>
      <c r="C206">
        <f t="shared" si="191"/>
        <v>830768.965714277</v>
      </c>
      <c r="D206">
        <f t="shared" si="191"/>
        <v>30035.714285714297</v>
      </c>
      <c r="N206">
        <v>29</v>
      </c>
      <c r="O206">
        <f t="shared" si="192"/>
        <v>830768.965714277</v>
      </c>
      <c r="P206">
        <f t="shared" si="193"/>
        <v>30035.714285714297</v>
      </c>
      <c r="RW206" s="1"/>
    </row>
    <row r="207" spans="2:491" hidden="1">
      <c r="B207">
        <v>30</v>
      </c>
      <c r="C207">
        <f t="shared" si="191"/>
        <v>859416.17142856237</v>
      </c>
      <c r="D207">
        <f t="shared" si="191"/>
        <v>31071.428571428583</v>
      </c>
      <c r="N207">
        <v>30</v>
      </c>
      <c r="O207">
        <f t="shared" si="192"/>
        <v>859416.17142856237</v>
      </c>
      <c r="P207">
        <f t="shared" si="193"/>
        <v>31071.428571428583</v>
      </c>
      <c r="RW207" s="1"/>
    </row>
    <row r="208" spans="2:491" hidden="1">
      <c r="B208">
        <v>31</v>
      </c>
      <c r="C208">
        <f t="shared" si="191"/>
        <v>888063.37714284775</v>
      </c>
      <c r="D208">
        <f t="shared" si="191"/>
        <v>32107.14285714287</v>
      </c>
      <c r="N208">
        <v>31</v>
      </c>
      <c r="O208">
        <f t="shared" si="192"/>
        <v>888063.37714284775</v>
      </c>
      <c r="P208">
        <f t="shared" si="193"/>
        <v>32107.14285714287</v>
      </c>
      <c r="RW208" s="1"/>
    </row>
    <row r="209" spans="16:491">
      <c r="RW209" s="1"/>
    </row>
    <row r="210" spans="16:491">
      <c r="AA210" s="1"/>
      <c r="AB210" s="887">
        <f>(AB43+X43)/30</f>
        <v>2000</v>
      </c>
      <c r="BM210" s="887">
        <f>BM43/30</f>
        <v>1333.3333333333333</v>
      </c>
      <c r="BP210" s="887" t="e">
        <f>#REF!/30</f>
        <v>#REF!</v>
      </c>
      <c r="BV210" s="887">
        <f>BV43/30</f>
        <v>2000</v>
      </c>
      <c r="NR210" s="1">
        <f>NQ9+NP210-C210</f>
        <v>18590.8150132308</v>
      </c>
      <c r="RW210" s="1"/>
    </row>
    <row r="211" spans="16:491">
      <c r="P211" s="887">
        <f>P43/31</f>
        <v>4354.8387096774195</v>
      </c>
      <c r="BY211" s="887">
        <f>BY43/30</f>
        <v>0</v>
      </c>
      <c r="JK211" s="887"/>
      <c r="LX211" s="1074"/>
      <c r="RW211" s="1"/>
    </row>
    <row r="212" spans="16:491">
      <c r="AB212" s="887">
        <f>X41+AB41</f>
        <v>41940</v>
      </c>
      <c r="RW212" s="1"/>
    </row>
    <row r="213" spans="16:491">
      <c r="GR213" s="887"/>
      <c r="RW213" s="1"/>
    </row>
    <row r="214" spans="16:491">
      <c r="P214">
        <f>1600*7</f>
        <v>11200</v>
      </c>
    </row>
    <row r="217" spans="16:491">
      <c r="RQ217">
        <v>2412020236</v>
      </c>
    </row>
    <row r="219" spans="16:491">
      <c r="IZ219" s="1">
        <f>NQ40+EO41-HH41</f>
        <v>11099.015013230799</v>
      </c>
    </row>
    <row r="224" spans="16:491">
      <c r="JH224" s="887">
        <f>JH43/31</f>
        <v>6451.6129032258068</v>
      </c>
    </row>
    <row r="228" spans="20:20">
      <c r="T228" s="887">
        <f>P41+T41+AB41</f>
        <v>137722.84</v>
      </c>
    </row>
    <row r="300" spans="28:271">
      <c r="AB300" s="1">
        <f>AB43-AB41</f>
        <v>0</v>
      </c>
      <c r="JK300" s="887"/>
    </row>
    <row r="301" spans="28:271">
      <c r="JI301" s="1">
        <f>JH41+JI41</f>
        <v>262318.73</v>
      </c>
    </row>
  </sheetData>
  <mergeCells count="202">
    <mergeCell ref="B4:B7"/>
    <mergeCell ref="C4:CO4"/>
    <mergeCell ref="CQ4:EY4"/>
    <mergeCell ref="FA4:GH4"/>
    <mergeCell ref="GJ4:JF4"/>
    <mergeCell ref="JH4:LD4"/>
    <mergeCell ref="CQ5:DC5"/>
    <mergeCell ref="DD5:DD40"/>
    <mergeCell ref="DE5:EX5"/>
    <mergeCell ref="EY5:EY40"/>
    <mergeCell ref="JH5:JL5"/>
    <mergeCell ref="JM5:JM40"/>
    <mergeCell ref="GS6:GS7"/>
    <mergeCell ref="GT6:GT7"/>
    <mergeCell ref="GU6:GU7"/>
    <mergeCell ref="GV6:GV7"/>
    <mergeCell ref="AQ6:AS6"/>
    <mergeCell ref="AT6:AV6"/>
    <mergeCell ref="AW6:AY6"/>
    <mergeCell ref="AZ6:BB6"/>
    <mergeCell ref="BC6:BE6"/>
    <mergeCell ref="BF6:BH6"/>
    <mergeCell ref="S6:V6"/>
    <mergeCell ref="W6:Z6"/>
    <mergeCell ref="LF4:MU4"/>
    <mergeCell ref="MW4:PG4"/>
    <mergeCell ref="PI4:PP4"/>
    <mergeCell ref="PR4:QJ4"/>
    <mergeCell ref="C5:M5"/>
    <mergeCell ref="N5:N40"/>
    <mergeCell ref="O5:AL5"/>
    <mergeCell ref="AM5:AM40"/>
    <mergeCell ref="AN5:CF5"/>
    <mergeCell ref="CH5:CN5"/>
    <mergeCell ref="FA5:FE5"/>
    <mergeCell ref="FF5:FF40"/>
    <mergeCell ref="FG5:GG5"/>
    <mergeCell ref="GH5:GH40"/>
    <mergeCell ref="GJ5:GP5"/>
    <mergeCell ref="GQ5:GQ40"/>
    <mergeCell ref="FG6:FL6"/>
    <mergeCell ref="FM6:FM7"/>
    <mergeCell ref="FN6:FS6"/>
    <mergeCell ref="FT6:FT7"/>
    <mergeCell ref="GR5:GV5"/>
    <mergeCell ref="GW5:GW40"/>
    <mergeCell ref="GX5:JE5"/>
    <mergeCell ref="JF5:JF40"/>
    <mergeCell ref="NB5:PF5"/>
    <mergeCell ref="PG5:PG40"/>
    <mergeCell ref="MC6:MG6"/>
    <mergeCell ref="MH6:MH7"/>
    <mergeCell ref="MI6:MM6"/>
    <mergeCell ref="MN6:MN7"/>
    <mergeCell ref="JN5:KL5"/>
    <mergeCell ref="KM5:KM40"/>
    <mergeCell ref="KN5:LC5"/>
    <mergeCell ref="LD5:LD40"/>
    <mergeCell ref="LF5:LO5"/>
    <mergeCell ref="LP5:LP40"/>
    <mergeCell ref="KS6:KW6"/>
    <mergeCell ref="KX6:LB6"/>
    <mergeCell ref="LC6:LC7"/>
    <mergeCell ref="LF6:LI6"/>
    <mergeCell ref="LJ6:LM6"/>
    <mergeCell ref="LN6:LN7"/>
    <mergeCell ref="LO6:LO7"/>
    <mergeCell ref="LQ6:LU6"/>
    <mergeCell ref="LV6:LV7"/>
    <mergeCell ref="LW6:MB6"/>
    <mergeCell ref="QR5:QW5"/>
    <mergeCell ref="QY5:RD5"/>
    <mergeCell ref="C6:C7"/>
    <mergeCell ref="D6:D7"/>
    <mergeCell ref="E6:E7"/>
    <mergeCell ref="F6:G6"/>
    <mergeCell ref="H6:I6"/>
    <mergeCell ref="J6:K6"/>
    <mergeCell ref="L6:M6"/>
    <mergeCell ref="O6:R6"/>
    <mergeCell ref="PI5:PO5"/>
    <mergeCell ref="PP5:PP40"/>
    <mergeCell ref="PR5:QI5"/>
    <mergeCell ref="QJ5:QJ40"/>
    <mergeCell ref="QL5:QM5"/>
    <mergeCell ref="QO5:QP5"/>
    <mergeCell ref="PI6:PI7"/>
    <mergeCell ref="PJ6:PJ7"/>
    <mergeCell ref="PK6:PK7"/>
    <mergeCell ref="PL6:PL7"/>
    <mergeCell ref="LQ5:MT5"/>
    <mergeCell ref="MU5:MU40"/>
    <mergeCell ref="MW5:MZ5"/>
    <mergeCell ref="NA5:NA40"/>
    <mergeCell ref="AA6:AD6"/>
    <mergeCell ref="AE6:AH6"/>
    <mergeCell ref="AI6:AL6"/>
    <mergeCell ref="AN6:AP6"/>
    <mergeCell ref="CA6:CC6"/>
    <mergeCell ref="CD6:CF6"/>
    <mergeCell ref="CH6:CH7"/>
    <mergeCell ref="CI6:CI7"/>
    <mergeCell ref="CJ6:CJ7"/>
    <mergeCell ref="CK6:CK7"/>
    <mergeCell ref="BI6:BK6"/>
    <mergeCell ref="BL6:BN6"/>
    <mergeCell ref="BO6:BQ6"/>
    <mergeCell ref="BR6:BT6"/>
    <mergeCell ref="BU6:BW6"/>
    <mergeCell ref="BX6:BZ6"/>
    <mergeCell ref="CS6:CS7"/>
    <mergeCell ref="CT6:CT7"/>
    <mergeCell ref="CU6:CU7"/>
    <mergeCell ref="CV6:CV7"/>
    <mergeCell ref="CW6:CW7"/>
    <mergeCell ref="CX6:CX7"/>
    <mergeCell ref="CL6:CL7"/>
    <mergeCell ref="CM6:CM7"/>
    <mergeCell ref="CN6:CN7"/>
    <mergeCell ref="CO6:CO7"/>
    <mergeCell ref="CQ6:CQ7"/>
    <mergeCell ref="CR6:CR7"/>
    <mergeCell ref="DQ6:DQ7"/>
    <mergeCell ref="DR6:EB6"/>
    <mergeCell ref="ED6:ED7"/>
    <mergeCell ref="EE6:EO6"/>
    <mergeCell ref="EQ6:EQ7"/>
    <mergeCell ref="ER6:EW6"/>
    <mergeCell ref="CY6:CY7"/>
    <mergeCell ref="CZ6:CZ7"/>
    <mergeCell ref="DA6:DA7"/>
    <mergeCell ref="DB6:DB7"/>
    <mergeCell ref="DC6:DC7"/>
    <mergeCell ref="DE6:DO6"/>
    <mergeCell ref="FU6:GE6"/>
    <mergeCell ref="GG6:GG7"/>
    <mergeCell ref="GJ6:GL6"/>
    <mergeCell ref="GM6:GM7"/>
    <mergeCell ref="GP6:GP7"/>
    <mergeCell ref="GR6:GR7"/>
    <mergeCell ref="EX6:EX7"/>
    <mergeCell ref="FA6:FA7"/>
    <mergeCell ref="FB6:FB7"/>
    <mergeCell ref="FC6:FC7"/>
    <mergeCell ref="FD6:FD7"/>
    <mergeCell ref="FE6:FE7"/>
    <mergeCell ref="IQ6:JD6"/>
    <mergeCell ref="JE6:JE7"/>
    <mergeCell ref="JH6:JH7"/>
    <mergeCell ref="JI6:JI7"/>
    <mergeCell ref="JJ6:JJ7"/>
    <mergeCell ref="JK6:JK7"/>
    <mergeCell ref="GX6:HK6"/>
    <mergeCell ref="HL6:HL7"/>
    <mergeCell ref="HM6:HZ6"/>
    <mergeCell ref="IA6:IA7"/>
    <mergeCell ref="IB6:IO6"/>
    <mergeCell ref="IP6:IP7"/>
    <mergeCell ref="JL6:JL7"/>
    <mergeCell ref="JN6:JU6"/>
    <mergeCell ref="JV6:KC6"/>
    <mergeCell ref="KD6:KK6"/>
    <mergeCell ref="KL6:KL7"/>
    <mergeCell ref="KN6:KR6"/>
    <mergeCell ref="OZ6:PE6"/>
    <mergeCell ref="PF6:PF7"/>
    <mergeCell ref="NB6:ND6"/>
    <mergeCell ref="NE6:NE7"/>
    <mergeCell ref="NF6:NP6"/>
    <mergeCell ref="NR6:NR7"/>
    <mergeCell ref="NS6:OC6"/>
    <mergeCell ref="OE6:OE7"/>
    <mergeCell ref="MO6:MS6"/>
    <mergeCell ref="MT6:MT7"/>
    <mergeCell ref="MW6:MW7"/>
    <mergeCell ref="MX6:MX7"/>
    <mergeCell ref="MY6:MY7"/>
    <mergeCell ref="MZ6:MZ7"/>
    <mergeCell ref="RY8:SB8"/>
    <mergeCell ref="JN48:JO48"/>
    <mergeCell ref="QI6:QI7"/>
    <mergeCell ref="RH6:RJ6"/>
    <mergeCell ref="RK6:RK7"/>
    <mergeCell ref="AA8:AD9"/>
    <mergeCell ref="RM8:RR8"/>
    <mergeCell ref="RU8:RX8"/>
    <mergeCell ref="PZ6:PZ7"/>
    <mergeCell ref="QA6:QA7"/>
    <mergeCell ref="QB6:QB7"/>
    <mergeCell ref="QC6:QC7"/>
    <mergeCell ref="QD6:QD7"/>
    <mergeCell ref="QE6:QG6"/>
    <mergeCell ref="PM6:PM7"/>
    <mergeCell ref="PN6:PN7"/>
    <mergeCell ref="PO6:PO7"/>
    <mergeCell ref="PR6:PS6"/>
    <mergeCell ref="PT6:PX6"/>
    <mergeCell ref="PY6:PY7"/>
    <mergeCell ref="OF6:OP6"/>
    <mergeCell ref="OR6:OR7"/>
    <mergeCell ref="OS6:OX6"/>
    <mergeCell ref="OY6:OY7"/>
  </mergeCells>
  <conditionalFormatting sqref="B10:B40">
    <cfRule type="expression" dxfId="270" priority="16" stopIfTrue="1">
      <formula>SUMIFS($AQ10:$CF10,$AQ$7:$CF$7,"ROM")&lt;&gt;SUM($DQ10,$ED10,$EQ10,$PX10)</formula>
    </cfRule>
    <cfRule type="expression" dxfId="269" priority="17" stopIfTrue="1">
      <formula>OR(SUM(GR10:GU10)&lt;&gt;SUM(HL10,IP10,JE10),SUM(HL10,IP10,JE10)&lt;&gt;SUM(JH10:JJ10))</formula>
    </cfRule>
    <cfRule type="expression" dxfId="268" priority="18">
      <formula>OR(SUM(#REF!)&lt;&gt;SUM(P1048567,AE1048567,AT1048567),SUM(P1048567,AE1048567,AT1048567)&lt;&gt;SUM(AW1048567:AY1048567))</formula>
    </cfRule>
  </conditionalFormatting>
  <conditionalFormatting sqref="C10:CC10 CE10:JJ10 JM10:QI10 BN11:CC11 CE11:CL11 CN11:JG11 JI11:JJ11 U11:W15 NE11:NK18 X11:Z23 JM11:LU32 C11:R40 T11:T40 AA11:AA40 AC11:BM40 CM11:CM40 LV11:NA40 NL11:QI40 NB11:ND42 AB11:AB44 S11:S45 BZ12:CC18 CE12:CG18 BY12:BY19 BN12:BX29 CH12:CL37 U16:U17 W16:W17 U18:W23 BZ19:CG19 NF19:NK20 NE19:NE25 BY20:CG29 NG21:NK24 NF21:NF25 V24:Z40 U24:U44 NG25:NG31 NH25:NK33 NE26:NF31 BN30:CG37 NE32:NG33 JM33:KR33 KX33:LU34 KS33:KW35 JS34:KR35 JM34:JR36 NE34:NK40 KX35:LN35 LP35:LU36 JS36:LN36 JM37:LU40 BN38:CL40 T43">
    <cfRule type="expression" dxfId="267" priority="15">
      <formula>$B10=DAY(TODAY()-1)</formula>
    </cfRule>
  </conditionalFormatting>
  <conditionalFormatting sqref="O10:R40">
    <cfRule type="expression" dxfId="266" priority="13">
      <formula>OR(AND(O10&lt;(O$45-(10%*O$45)),O$7="OB"),AND(O10&lt;(O$45-(10%*O$45)),O$7="ROM"))</formula>
    </cfRule>
  </conditionalFormatting>
  <conditionalFormatting sqref="S10:T10 T11:T40 S11:S45 T43">
    <cfRule type="expression" dxfId="265" priority="12">
      <formula>OR(AND(S10&lt;(S$45-(10%*S$45)),S$7="OB"),AND(S10&lt;(S$45-(10%*S$45)),S$7="ROM"))</formula>
    </cfRule>
  </conditionalFormatting>
  <conditionalFormatting sqref="V16">
    <cfRule type="expression" dxfId="264" priority="19">
      <formula>$B16=DAY(TODAY()-1)</formula>
    </cfRule>
  </conditionalFormatting>
  <conditionalFormatting sqref="W10:X40">
    <cfRule type="expression" dxfId="263" priority="9">
      <formula>OR(AND(W10&lt;(W$45-(10%*W$45)),W$7="OB"),AND(W10&lt;(W$45-(10%*W$45)),W$7="ROM"))</formula>
    </cfRule>
  </conditionalFormatting>
  <conditionalFormatting sqref="Y10:AD10 AG10:BK10 BN10:BZ10 U10:V16 BN11:BY11 AK11:BK33 Y11:AA40 AC11:AD40 AG11:AJ40 BZ11:BZ40 AB11:AB44 BN12:BW12 BX12:BY29 BN13:BR15 BS13:BW21 BO16:BR16 U17 BN17:BR21 U18:V23 BN22:BW29 V24:V40 U24:U44 BN30:BY40 O40">
    <cfRule type="expression" dxfId="262" priority="14">
      <formula>OR(AND(O10&lt;(O$45-(10%*O$45)),O$7="OB"),AND(O10&lt;(O$45-(10%*O$45)),O$7="ROM"))</formula>
    </cfRule>
  </conditionalFormatting>
  <conditionalFormatting sqref="AE10:AF40">
    <cfRule type="expression" dxfId="261" priority="10">
      <formula>OR(AND(AE10&lt;(AE$45-(10%*AE$45)),AE$7="OB"),AND(AE10&lt;(AE$45-(10%*AE$45)),AE$7="ROM"))</formula>
    </cfRule>
  </conditionalFormatting>
  <conditionalFormatting sqref="BL10:BM33 AK34:BM40">
    <cfRule type="expression" dxfId="260" priority="11">
      <formula>OR(AND(AK10&lt;(AK$45-(10%*AK$45)),AK$7="OB"),AND(AK10&lt;(AK$45-(10%*AK$45)),AK$7="ROM"))</formula>
    </cfRule>
  </conditionalFormatting>
  <conditionalFormatting sqref="CA10:CF40">
    <cfRule type="expression" dxfId="259" priority="6">
      <formula>OR(AND(CA10&lt;(CA$45-(10%*CA$45)),CA$7="OB"),AND(CA10&lt;(CA$45-(10%*CA$45)),CA$7="ROM"))</formula>
    </cfRule>
  </conditionalFormatting>
  <conditionalFormatting sqref="CD10:CD18">
    <cfRule type="expression" dxfId="258" priority="7">
      <formula>$B10=DAY(TODAY()-1)</formula>
    </cfRule>
  </conditionalFormatting>
  <conditionalFormatting sqref="CN12:JJ40">
    <cfRule type="expression" dxfId="257" priority="3">
      <formula>$B12=DAY(TODAY()-1)</formula>
    </cfRule>
  </conditionalFormatting>
  <conditionalFormatting sqref="ED1">
    <cfRule type="expression" dxfId="256" priority="2">
      <formula>$B1=DAY(TODAY()-1)</formula>
    </cfRule>
  </conditionalFormatting>
  <conditionalFormatting sqref="EE10">
    <cfRule type="expression" dxfId="255" priority="5">
      <formula>OR(AND(EE10&lt;(EE$45-(10%*EE$45)),EE$7="OB"),AND(EE10&lt;(EE$45-(10%*EE$45)),EE$7="ROM"))</formula>
    </cfRule>
  </conditionalFormatting>
  <conditionalFormatting sqref="EG21">
    <cfRule type="expression" dxfId="254" priority="8">
      <formula>OR(AND(EG21&lt;(EG$45-(10%*EG$45)),EG$7="OB"),AND(EG21&lt;(EG$45-(10%*EG$45)),EG$7="ROM"))</formula>
    </cfRule>
  </conditionalFormatting>
  <conditionalFormatting sqref="JK10:JL40">
    <cfRule type="expression" dxfId="253" priority="4">
      <formula>$B10=DAY(TODAY()-1)</formula>
    </cfRule>
  </conditionalFormatting>
  <conditionalFormatting sqref="OI1">
    <cfRule type="expression" dxfId="252" priority="1">
      <formula>$B1=DAY(TODAY()-1)</formula>
    </cfRule>
  </conditionalFormatting>
  <pageMargins left="0.7" right="0.7" top="0.75" bottom="0.75" header="0.3" footer="0.3"/>
  <pageSetup orientation="portrait"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
  <sheetViews>
    <sheetView workbookViewId="0"/>
  </sheetViews>
  <sheetFormatPr defaultRowHeight="14.4"/>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theme="9" tint="0.39997558519241921"/>
  </sheetPr>
  <dimension ref="B2:SZ141"/>
  <sheetViews>
    <sheetView showGridLines="0" zoomScale="70" zoomScaleNormal="70" workbookViewId="0">
      <pane xSplit="2" ySplit="1" topLeftCell="U2" activePane="bottomRight" state="frozen"/>
      <selection pane="topRight" activeCell="H17" sqref="H17"/>
      <selection pane="bottomLeft" activeCell="H17" sqref="H17"/>
      <selection pane="bottomRight" activeCell="AE13" sqref="AE13"/>
    </sheetView>
  </sheetViews>
  <sheetFormatPr defaultColWidth="8.6640625" defaultRowHeight="14.4"/>
  <cols>
    <col min="1" max="1" width="2.33203125" customWidth="1"/>
    <col min="2" max="2" width="7.33203125" customWidth="1"/>
    <col min="3" max="3" width="15.33203125" customWidth="1"/>
    <col min="4" max="4" width="13" customWidth="1"/>
    <col min="5" max="7" width="10.44140625" customWidth="1"/>
    <col min="8" max="8" width="13.6640625" customWidth="1"/>
    <col min="9" max="9" width="10.44140625" customWidth="1"/>
    <col min="10" max="10" width="12.33203125" hidden="1" customWidth="1"/>
    <col min="11" max="11" width="8.6640625" hidden="1" customWidth="1"/>
    <col min="12" max="12" width="14.6640625" hidden="1" customWidth="1"/>
    <col min="13" max="13" width="8.6640625" hidden="1" customWidth="1"/>
    <col min="14" max="14" width="5" customWidth="1"/>
    <col min="15" max="15" width="14.6640625" customWidth="1"/>
    <col min="16" max="16" width="12.109375" customWidth="1"/>
    <col min="17" max="17" width="12.6640625" bestFit="1" customWidth="1"/>
    <col min="18" max="18" width="11.5546875" bestFit="1" customWidth="1"/>
    <col min="19" max="19" width="11.6640625" hidden="1" customWidth="1"/>
    <col min="20" max="20" width="22.33203125" hidden="1" customWidth="1"/>
    <col min="21" max="23" width="17.44140625" customWidth="1"/>
    <col min="24" max="24" width="11.6640625" customWidth="1"/>
    <col min="25" max="25" width="1.33203125" customWidth="1"/>
    <col min="26" max="28" width="11.33203125" customWidth="1"/>
    <col min="29" max="31" width="12.33203125" customWidth="1"/>
    <col min="32" max="32" width="12.109375" customWidth="1"/>
    <col min="33" max="34" width="12.109375" hidden="1" customWidth="1"/>
    <col min="35" max="36" width="17.5546875" customWidth="1"/>
    <col min="37" max="37" width="12" customWidth="1"/>
    <col min="38" max="39" width="18.44140625" customWidth="1"/>
    <col min="40" max="40" width="18.44140625" hidden="1" customWidth="1"/>
    <col min="41" max="41" width="18.44140625" customWidth="1"/>
    <col min="42" max="42" width="12.109375" hidden="1" customWidth="1"/>
    <col min="43" max="43" width="1.33203125" customWidth="1"/>
    <col min="44" max="44" width="15" customWidth="1"/>
    <col min="45" max="45" width="15" hidden="1" customWidth="1"/>
    <col min="46" max="46" width="8" customWidth="1"/>
    <col min="47" max="51" width="8.44140625" customWidth="1"/>
    <col min="52" max="52" width="2.44140625" customWidth="1"/>
    <col min="53" max="55" width="17.88671875" hidden="1" customWidth="1"/>
    <col min="56" max="56" width="0.5546875" customWidth="1"/>
    <col min="57" max="57" width="13.88671875" customWidth="1"/>
    <col min="58" max="62" width="6.6640625" customWidth="1"/>
    <col min="63" max="63" width="19.44140625" customWidth="1"/>
    <col min="64" max="64" width="2.5546875" customWidth="1"/>
    <col min="65" max="65" width="19" customWidth="1"/>
    <col min="66" max="82" width="30.5546875" hidden="1" customWidth="1"/>
    <col min="83" max="83" width="1.6640625" customWidth="1"/>
    <col min="84" max="84" width="9.33203125" customWidth="1"/>
    <col min="85" max="85" width="8.6640625" customWidth="1"/>
    <col min="86" max="86" width="14.109375" customWidth="1"/>
    <col min="87" max="87" width="19.44140625" customWidth="1"/>
    <col min="88" max="88" width="5.44140625" customWidth="1"/>
    <col min="89" max="89" width="6.6640625" customWidth="1"/>
    <col min="90" max="90" width="12.6640625" customWidth="1"/>
    <col min="91" max="91" width="20" customWidth="1"/>
    <col min="92" max="92" width="8.6640625" customWidth="1"/>
    <col min="93" max="93" width="10.33203125" customWidth="1"/>
    <col min="94" max="94" width="9.33203125" customWidth="1"/>
    <col min="95" max="96" width="8.6640625" customWidth="1"/>
    <col min="97" max="97" width="1.33203125" customWidth="1"/>
    <col min="98" max="98" width="12" customWidth="1"/>
    <col min="99" max="99" width="8.6640625" customWidth="1"/>
    <col min="100" max="100" width="3.33203125" customWidth="1"/>
    <col min="101" max="101" width="14.5546875" bestFit="1" customWidth="1"/>
    <col min="102" max="102" width="16.33203125" customWidth="1"/>
    <col min="103" max="103" width="12.33203125" customWidth="1"/>
    <col min="104" max="104" width="14.6640625" hidden="1" customWidth="1"/>
    <col min="105" max="105" width="11.44140625" hidden="1" customWidth="1"/>
    <col min="106" max="106" width="11.6640625" hidden="1" customWidth="1"/>
    <col min="107" max="107" width="14.5546875" customWidth="1"/>
    <col min="108" max="108" width="16.33203125" customWidth="1"/>
    <col min="109" max="109" width="8.6640625" customWidth="1"/>
    <col min="110" max="110" width="8.5546875" hidden="1" customWidth="1"/>
    <col min="111" max="111" width="8.6640625" hidden="1" customWidth="1"/>
    <col min="112" max="112" width="9.33203125" hidden="1" customWidth="1"/>
    <col min="113" max="114" width="8.6640625" hidden="1" customWidth="1"/>
    <col min="115" max="115" width="8.33203125" hidden="1" customWidth="1"/>
    <col min="116" max="116" width="13.6640625" customWidth="1"/>
    <col min="117" max="117" width="15.33203125" customWidth="1"/>
    <col min="118" max="118" width="9.33203125" customWidth="1"/>
    <col min="119" max="119" width="11.6640625" customWidth="1"/>
    <col min="120" max="120" width="11.33203125" customWidth="1"/>
    <col min="121" max="121" width="8.6640625" customWidth="1"/>
    <col min="122" max="122" width="17.33203125" hidden="1" customWidth="1"/>
    <col min="123" max="123" width="18.33203125" hidden="1" customWidth="1"/>
    <col min="124" max="124" width="8.6640625" hidden="1" customWidth="1"/>
    <col min="125" max="125" width="16.44140625" customWidth="1"/>
    <col min="126" max="126" width="13.5546875" customWidth="1"/>
    <col min="127" max="127" width="10.6640625" customWidth="1"/>
    <col min="128" max="128" width="14.6640625" customWidth="1"/>
    <col min="129" max="129" width="14" customWidth="1"/>
    <col min="130" max="130" width="8.6640625" customWidth="1"/>
    <col min="131" max="131" width="13.33203125" customWidth="1"/>
    <col min="132" max="132" width="12.6640625" customWidth="1"/>
    <col min="133" max="133" width="9.33203125" customWidth="1"/>
    <col min="134" max="134" width="13.5546875" hidden="1" customWidth="1"/>
    <col min="135" max="135" width="12.33203125" hidden="1" customWidth="1"/>
    <col min="136" max="136" width="9.33203125" hidden="1" customWidth="1"/>
    <col min="137" max="137" width="12.6640625" hidden="1" customWidth="1"/>
    <col min="138" max="138" width="11.33203125" hidden="1" customWidth="1"/>
    <col min="139" max="139" width="9.33203125" hidden="1" customWidth="1"/>
    <col min="140" max="140" width="13.44140625" hidden="1" customWidth="1"/>
    <col min="141" max="141" width="13" hidden="1" customWidth="1"/>
    <col min="142" max="142" width="9.33203125" hidden="1" customWidth="1"/>
    <col min="143" max="143" width="7.6640625" customWidth="1"/>
    <col min="144" max="146" width="10.6640625" customWidth="1"/>
    <col min="150" max="150" width="0" hidden="1" customWidth="1"/>
    <col min="151" max="151" width="18.33203125" customWidth="1"/>
    <col min="152" max="152" width="6.6640625" customWidth="1"/>
    <col min="154" max="154" width="11.6640625" bestFit="1" customWidth="1"/>
    <col min="156" max="156" width="11.6640625" bestFit="1" customWidth="1"/>
    <col min="158" max="158" width="11.6640625" bestFit="1" customWidth="1"/>
    <col min="160" max="160" width="11.6640625" bestFit="1" customWidth="1"/>
    <col min="162" max="162" width="11.6640625" bestFit="1" customWidth="1"/>
    <col min="164" max="164" width="11.6640625" bestFit="1" customWidth="1"/>
    <col min="165" max="165" width="13.33203125" bestFit="1" customWidth="1"/>
    <col min="166" max="166" width="7.6640625" customWidth="1"/>
    <col min="168" max="168" width="11.6640625" bestFit="1" customWidth="1"/>
    <col min="169" max="169" width="11.6640625" customWidth="1"/>
    <col min="170" max="170" width="11.6640625" bestFit="1" customWidth="1"/>
    <col min="171" max="171" width="12.5546875" bestFit="1" customWidth="1"/>
    <col min="172" max="172" width="11.6640625" bestFit="1" customWidth="1"/>
    <col min="174" max="174" width="11.6640625" bestFit="1" customWidth="1"/>
    <col min="175" max="175" width="12.6640625" bestFit="1" customWidth="1"/>
    <col min="176" max="176" width="11.6640625" bestFit="1" customWidth="1"/>
    <col min="177" max="177" width="10.6640625" bestFit="1" customWidth="1"/>
    <col min="178" max="178" width="11.6640625" bestFit="1" customWidth="1"/>
    <col min="179" max="179" width="13.6640625" bestFit="1" customWidth="1"/>
    <col min="180" max="180" width="11.33203125" customWidth="1"/>
    <col min="181" max="181" width="16.6640625" customWidth="1"/>
    <col min="182" max="182" width="9.6640625" customWidth="1"/>
    <col min="183" max="183" width="11.6640625" bestFit="1" customWidth="1"/>
    <col min="184" max="184" width="10.33203125" bestFit="1" customWidth="1"/>
    <col min="185" max="185" width="11.6640625" bestFit="1" customWidth="1"/>
    <col min="186" max="186" width="10.33203125" customWidth="1"/>
    <col min="187" max="187" width="11.6640625" bestFit="1" customWidth="1"/>
    <col min="188" max="188" width="12.33203125" customWidth="1"/>
    <col min="189" max="189" width="10.33203125" customWidth="1"/>
    <col min="190" max="190" width="9.33203125" customWidth="1"/>
    <col min="191" max="191" width="11.6640625" bestFit="1" customWidth="1"/>
    <col min="192" max="192" width="14.6640625" customWidth="1"/>
    <col min="193" max="193" width="12.6640625" bestFit="1" customWidth="1"/>
    <col min="194" max="194" width="12.33203125" hidden="1" customWidth="1"/>
    <col min="195" max="195" width="12.6640625" bestFit="1" customWidth="1"/>
    <col min="196" max="196" width="12.33203125" hidden="1" customWidth="1"/>
    <col min="197" max="197" width="12.6640625" bestFit="1" customWidth="1"/>
    <col min="198" max="198" width="12.33203125" hidden="1" customWidth="1"/>
    <col min="199" max="199" width="12.6640625" bestFit="1" customWidth="1"/>
    <col min="200" max="200" width="12.33203125" hidden="1" customWidth="1"/>
    <col min="201" max="201" width="12.6640625" bestFit="1" customWidth="1"/>
    <col min="202" max="202" width="12.33203125" hidden="1" customWidth="1"/>
    <col min="203" max="203" width="12.6640625" bestFit="1" customWidth="1"/>
    <col min="204" max="204" width="11.6640625" hidden="1" customWidth="1"/>
    <col min="205" max="205" width="12.6640625" customWidth="1"/>
    <col min="206" max="212" width="8.6640625" hidden="1" customWidth="1"/>
    <col min="213" max="213" width="1.33203125" customWidth="1"/>
    <col min="214" max="214" width="6.6640625" customWidth="1"/>
    <col min="217" max="217" width="9.33203125" bestFit="1" customWidth="1"/>
    <col min="220" max="220" width="1.33203125" customWidth="1"/>
    <col min="221" max="234" width="8.6640625" hidden="1" customWidth="1"/>
    <col min="235" max="235" width="7.33203125" bestFit="1" customWidth="1"/>
    <col min="236" max="236" width="11.6640625" bestFit="1" customWidth="1"/>
    <col min="237" max="237" width="6.6640625" bestFit="1" customWidth="1"/>
    <col min="238" max="238" width="11.6640625" bestFit="1" customWidth="1"/>
    <col min="239" max="239" width="6.6640625" bestFit="1" customWidth="1"/>
    <col min="240" max="240" width="11.6640625" bestFit="1" customWidth="1"/>
    <col min="241" max="241" width="6.6640625" bestFit="1" customWidth="1"/>
    <col min="242" max="242" width="11.6640625" bestFit="1" customWidth="1"/>
    <col min="243" max="243" width="10.33203125" bestFit="1" customWidth="1"/>
    <col min="244" max="244" width="11.6640625" bestFit="1" customWidth="1"/>
    <col min="245" max="245" width="6.6640625" bestFit="1" customWidth="1"/>
    <col min="246" max="246" width="11.6640625" bestFit="1" customWidth="1"/>
    <col min="248" max="248" width="1.33203125" customWidth="1"/>
    <col min="249" max="249" width="6.6640625" customWidth="1"/>
    <col min="250" max="250" width="13" customWidth="1"/>
    <col min="251" max="251" width="13.44140625" customWidth="1"/>
    <col min="252" max="252" width="12" customWidth="1"/>
    <col min="253" max="253" width="12.6640625" customWidth="1"/>
    <col min="254" max="254" width="10.33203125" hidden="1" customWidth="1"/>
    <col min="255" max="255" width="0" hidden="1" customWidth="1"/>
    <col min="256" max="256" width="37.44140625" customWidth="1"/>
    <col min="257" max="257" width="1.33203125" customWidth="1"/>
    <col min="258" max="258" width="13.33203125" bestFit="1" customWidth="1"/>
    <col min="259" max="259" width="12.33203125" bestFit="1" customWidth="1"/>
    <col min="260" max="260" width="13.33203125" customWidth="1"/>
    <col min="261" max="261" width="12.33203125" hidden="1" customWidth="1"/>
    <col min="262" max="262" width="12.33203125" bestFit="1" customWidth="1"/>
    <col min="263" max="263" width="1.33203125" customWidth="1"/>
    <col min="264" max="264" width="13.5546875" hidden="1" customWidth="1"/>
    <col min="265" max="265" width="12.33203125" hidden="1" customWidth="1"/>
    <col min="266" max="266" width="13.33203125" hidden="1" customWidth="1"/>
    <col min="267" max="267" width="13" hidden="1" customWidth="1"/>
    <col min="268" max="268" width="12.6640625" hidden="1" customWidth="1"/>
    <col min="269" max="269" width="14.44140625" hidden="1" customWidth="1"/>
    <col min="270" max="270" width="12" hidden="1" customWidth="1"/>
    <col min="271" max="272" width="11.6640625" hidden="1" customWidth="1"/>
    <col min="273" max="273" width="13" hidden="1" customWidth="1"/>
    <col min="274" max="274" width="10.33203125" hidden="1" customWidth="1"/>
    <col min="275" max="275" width="11.6640625" hidden="1" customWidth="1"/>
    <col min="276" max="276" width="0" hidden="1" customWidth="1"/>
    <col min="277" max="277" width="10.33203125" hidden="1" customWidth="1"/>
    <col min="278" max="278" width="10.44140625" hidden="1" customWidth="1"/>
    <col min="279" max="279" width="11.33203125" customWidth="1"/>
    <col min="280" max="280" width="11.6640625" bestFit="1" customWidth="1"/>
    <col min="281" max="281" width="10.33203125" bestFit="1" customWidth="1"/>
    <col min="282" max="282" width="11.6640625" bestFit="1" customWidth="1"/>
    <col min="283" max="283" width="12.33203125" bestFit="1" customWidth="1"/>
    <col min="284" max="284" width="11.6640625" bestFit="1" customWidth="1"/>
    <col min="285" max="285" width="10.44140625" bestFit="1" customWidth="1"/>
    <col min="286" max="286" width="11.6640625" bestFit="1" customWidth="1"/>
    <col min="287" max="287" width="12.33203125" bestFit="1" customWidth="1"/>
    <col min="288" max="288" width="11.6640625" bestFit="1" customWidth="1"/>
    <col min="289" max="289" width="12" customWidth="1"/>
    <col min="290" max="290" width="12.33203125" bestFit="1" customWidth="1"/>
    <col min="293" max="293" width="11.6640625" bestFit="1" customWidth="1"/>
    <col min="294" max="294" width="7.33203125" bestFit="1" customWidth="1"/>
    <col min="295" max="295" width="11.6640625" bestFit="1" customWidth="1"/>
    <col min="296" max="296" width="9.44140625" customWidth="1"/>
    <col min="297" max="297" width="11.6640625" bestFit="1" customWidth="1"/>
    <col min="298" max="299" width="12" bestFit="1" customWidth="1"/>
    <col min="300" max="300" width="8.5546875" customWidth="1"/>
    <col min="301" max="301" width="11.6640625" bestFit="1" customWidth="1"/>
    <col min="302" max="302" width="10.44140625" bestFit="1" customWidth="1"/>
    <col min="303" max="303" width="12" bestFit="1" customWidth="1"/>
    <col min="304" max="304" width="9.5546875" customWidth="1"/>
    <col min="305" max="305" width="11.6640625" bestFit="1" customWidth="1"/>
    <col min="308" max="308" width="13" customWidth="1"/>
    <col min="309" max="309" width="1.33203125" customWidth="1"/>
    <col min="310" max="310" width="6.6640625" customWidth="1"/>
    <col min="311" max="311" width="21.33203125" customWidth="1"/>
    <col min="312" max="312" width="16" customWidth="1"/>
    <col min="313" max="313" width="15.5546875" bestFit="1" customWidth="1"/>
    <col min="314" max="314" width="13.33203125" bestFit="1" customWidth="1"/>
    <col min="315" max="315" width="13" bestFit="1" customWidth="1"/>
    <col min="316" max="316" width="3.6640625" customWidth="1"/>
    <col min="317" max="317" width="12.5546875" bestFit="1" customWidth="1"/>
    <col min="321" max="321" width="11.5546875" customWidth="1"/>
    <col min="325" max="332" width="8.6640625" customWidth="1"/>
    <col min="339" max="339" width="8.6640625" customWidth="1"/>
    <col min="340" max="340" width="6.33203125" customWidth="1"/>
    <col min="342" max="342" width="1.33203125" customWidth="1"/>
    <col min="348" max="348" width="12.33203125" customWidth="1"/>
    <col min="349" max="352" width="8.6640625" customWidth="1"/>
    <col min="358" max="358" width="0" hidden="1" customWidth="1"/>
    <col min="359" max="359" width="1.33203125" customWidth="1"/>
    <col min="360" max="360" width="6.6640625" customWidth="1"/>
    <col min="361" max="361" width="16.33203125" customWidth="1"/>
    <col min="362" max="362" width="13.33203125" customWidth="1"/>
    <col min="363" max="363" width="25.33203125" customWidth="1"/>
    <col min="364" max="364" width="14.33203125" bestFit="1" customWidth="1"/>
    <col min="365" max="365" width="14.44140625" customWidth="1"/>
    <col min="366" max="366" width="13.44140625" bestFit="1" customWidth="1"/>
    <col min="368" max="368" width="0" hidden="1" customWidth="1"/>
    <col min="370" max="370" width="49.33203125" customWidth="1"/>
    <col min="371" max="371" width="1.33203125" customWidth="1"/>
    <col min="372" max="372" width="15.33203125" customWidth="1"/>
    <col min="373" max="373" width="10.33203125" bestFit="1" customWidth="1"/>
    <col min="374" max="374" width="13.6640625" bestFit="1" customWidth="1"/>
    <col min="375" max="375" width="9.44140625" customWidth="1"/>
    <col min="376" max="376" width="9.6640625" customWidth="1"/>
    <col min="377" max="377" width="12.33203125" customWidth="1"/>
    <col min="378" max="378" width="10.44140625" bestFit="1" customWidth="1"/>
    <col min="379" max="379" width="9" customWidth="1"/>
    <col min="380" max="380" width="13.6640625" bestFit="1" customWidth="1"/>
    <col min="381" max="381" width="12" bestFit="1" customWidth="1"/>
    <col min="382" max="382" width="13" bestFit="1" customWidth="1"/>
    <col min="383" max="383" width="9.6640625" bestFit="1" customWidth="1"/>
    <col min="384" max="384" width="9.33203125" bestFit="1" customWidth="1"/>
    <col min="385" max="385" width="12.6640625" customWidth="1"/>
    <col min="386" max="386" width="13.6640625" bestFit="1" customWidth="1"/>
    <col min="387" max="387" width="9.44140625" bestFit="1" customWidth="1"/>
    <col min="388" max="388" width="9.6640625" bestFit="1" customWidth="1"/>
    <col min="389" max="389" width="13.5546875" bestFit="1" customWidth="1"/>
    <col min="390" max="390" width="7.6640625" customWidth="1"/>
    <col min="391" max="391" width="9.33203125" customWidth="1"/>
    <col min="392" max="392" width="15.5546875" customWidth="1"/>
    <col min="393" max="393" width="9.44140625" customWidth="1"/>
    <col min="394" max="394" width="9.6640625" customWidth="1"/>
    <col min="395" max="395" width="13.5546875" customWidth="1"/>
    <col min="396" max="397" width="9.33203125" customWidth="1"/>
    <col min="398" max="398" width="15.5546875" customWidth="1"/>
    <col min="399" max="399" width="9.44140625" customWidth="1"/>
    <col min="400" max="400" width="9.6640625" customWidth="1"/>
    <col min="401" max="401" width="8.6640625" customWidth="1"/>
    <col min="402" max="402" width="1.33203125" customWidth="1"/>
    <col min="403" max="403" width="6.6640625" customWidth="1"/>
    <col min="404" max="404" width="13" customWidth="1"/>
    <col min="405" max="405" width="12.33203125" customWidth="1"/>
    <col min="407" max="407" width="12" customWidth="1"/>
    <col min="408" max="408" width="1.33203125" customWidth="1"/>
    <col min="409" max="409" width="17.33203125" customWidth="1"/>
    <col min="410" max="411" width="17.6640625" customWidth="1"/>
    <col min="412" max="412" width="15.33203125" customWidth="1"/>
    <col min="413" max="413" width="13.6640625" customWidth="1"/>
    <col min="414" max="414" width="14.44140625" customWidth="1"/>
    <col min="415" max="415" width="12.33203125" bestFit="1" customWidth="1"/>
    <col min="416" max="416" width="11.6640625" bestFit="1" customWidth="1"/>
    <col min="417" max="417" width="12" bestFit="1" customWidth="1"/>
    <col min="418" max="418" width="11.6640625" bestFit="1" customWidth="1"/>
    <col min="419" max="419" width="13.33203125" customWidth="1"/>
    <col min="420" max="420" width="13.44140625" customWidth="1"/>
    <col min="421" max="421" width="10.33203125" customWidth="1"/>
    <col min="422" max="422" width="11.6640625" bestFit="1" customWidth="1"/>
    <col min="423" max="423" width="6.6640625" bestFit="1" customWidth="1"/>
    <col min="424" max="424" width="11.6640625" bestFit="1" customWidth="1"/>
    <col min="425" max="425" width="11.5546875" bestFit="1" customWidth="1"/>
    <col min="426" max="426" width="12.33203125" customWidth="1"/>
    <col min="427" max="427" width="11.6640625" bestFit="1" customWidth="1"/>
    <col min="428" max="428" width="11.33203125" customWidth="1"/>
    <col min="429" max="429" width="11.6640625" bestFit="1" customWidth="1"/>
    <col min="430" max="430" width="10.33203125" customWidth="1"/>
    <col min="431" max="431" width="11.6640625" bestFit="1" customWidth="1"/>
    <col min="432" max="432" width="12.33203125" customWidth="1"/>
    <col min="433" max="433" width="11.6640625" bestFit="1" customWidth="1"/>
    <col min="434" max="434" width="13.44140625" customWidth="1"/>
    <col min="435" max="435" width="14.6640625" customWidth="1"/>
    <col min="436" max="436" width="11.33203125" bestFit="1" customWidth="1"/>
    <col min="437" max="437" width="12.6640625" bestFit="1" customWidth="1"/>
    <col min="438" max="438" width="12.33203125" customWidth="1"/>
    <col min="439" max="439" width="10" customWidth="1"/>
    <col min="440" max="440" width="11.6640625" bestFit="1" customWidth="1"/>
    <col min="441" max="441" width="9.6640625" customWidth="1"/>
    <col min="442" max="442" width="11.6640625" bestFit="1" customWidth="1"/>
    <col min="443" max="443" width="11" customWidth="1"/>
    <col min="444" max="444" width="11.6640625" bestFit="1" customWidth="1"/>
    <col min="445" max="445" width="9.6640625" customWidth="1"/>
    <col min="446" max="446" width="11.6640625" bestFit="1" customWidth="1"/>
    <col min="447" max="447" width="9.33203125" bestFit="1" customWidth="1"/>
    <col min="448" max="448" width="11.6640625" bestFit="1" customWidth="1"/>
    <col min="449" max="449" width="8.33203125" customWidth="1"/>
    <col min="450" max="450" width="11.6640625" bestFit="1" customWidth="1"/>
    <col min="451" max="451" width="13.6640625" customWidth="1"/>
    <col min="452" max="452" width="9.33203125" hidden="1" customWidth="1"/>
    <col min="453" max="453" width="9.5546875" hidden="1" customWidth="1"/>
    <col min="454" max="457" width="9.33203125" hidden="1" customWidth="1"/>
    <col min="458" max="458" width="9.5546875" hidden="1" customWidth="1"/>
    <col min="459" max="462" width="8.6640625" hidden="1" customWidth="1"/>
    <col min="463" max="463" width="13.44140625" hidden="1" customWidth="1"/>
    <col min="464" max="464" width="8.6640625" hidden="1" customWidth="1"/>
    <col min="465" max="465" width="9.33203125" hidden="1" customWidth="1"/>
    <col min="466" max="466" width="1.33203125" customWidth="1"/>
    <col min="467" max="467" width="6.6640625" customWidth="1"/>
    <col min="473" max="473" width="1.33203125" customWidth="1"/>
    <col min="474" max="474" width="6.6640625" customWidth="1"/>
    <col min="475" max="476" width="14" customWidth="1"/>
    <col min="478" max="479" width="12.33203125" customWidth="1"/>
    <col min="480" max="481" width="14" customWidth="1"/>
    <col min="482" max="482" width="10.6640625" customWidth="1"/>
    <col min="483" max="483" width="12" bestFit="1" customWidth="1"/>
    <col min="484" max="487" width="12" customWidth="1"/>
    <col min="488" max="488" width="12.6640625" customWidth="1"/>
    <col min="489" max="489" width="11.5546875" customWidth="1"/>
    <col min="490" max="491" width="14.33203125" customWidth="1"/>
    <col min="501" max="516" width="0" hidden="1" customWidth="1"/>
    <col min="517" max="517" width="12.33203125" hidden="1" customWidth="1"/>
    <col min="518" max="520" width="8.6640625" hidden="1" customWidth="1"/>
    <col min="521" max="521" width="8.6640625" customWidth="1"/>
  </cols>
  <sheetData>
    <row r="2" spans="2:91">
      <c r="O2" s="887"/>
      <c r="P2" s="887"/>
      <c r="Q2" s="887"/>
      <c r="R2" s="887"/>
    </row>
    <row r="6" spans="2:91">
      <c r="G6" s="431">
        <f>+ROUND('January TIS'!H43,0)</f>
        <v>328</v>
      </c>
      <c r="AL6" s="987">
        <f>AL11+AM11</f>
        <v>130241.67390200001</v>
      </c>
    </row>
    <row r="7" spans="2:91" ht="27.6" customHeight="1">
      <c r="G7" s="98" t="e">
        <f>+ROUND('January TIS'!H44,0/mm)</f>
        <v>#NAME?</v>
      </c>
      <c r="AC7" s="1006"/>
      <c r="AD7" s="1006"/>
      <c r="AE7" s="1006"/>
    </row>
    <row r="8" spans="2:91" ht="14.7" customHeight="1">
      <c r="B8" s="2625" t="s">
        <v>103</v>
      </c>
      <c r="C8" s="993"/>
      <c r="D8" s="993"/>
      <c r="E8" s="993"/>
      <c r="F8" s="993"/>
      <c r="G8" s="993"/>
      <c r="H8" s="993"/>
      <c r="I8" s="993"/>
      <c r="J8" s="993"/>
      <c r="K8" s="993"/>
      <c r="L8" s="993"/>
      <c r="M8" s="993"/>
      <c r="N8" s="993"/>
      <c r="O8" s="2727" t="s">
        <v>18</v>
      </c>
      <c r="P8" s="2727"/>
      <c r="Q8" s="2727"/>
      <c r="R8" s="2727"/>
      <c r="S8" s="2727"/>
      <c r="T8" s="2728"/>
      <c r="U8" s="1221"/>
      <c r="V8" s="1221"/>
      <c r="W8" s="1221"/>
      <c r="X8" s="1222"/>
      <c r="Z8" s="2729"/>
      <c r="AA8" s="2729"/>
      <c r="AB8" s="2730"/>
      <c r="AC8" s="2731" t="s">
        <v>126</v>
      </c>
      <c r="AD8" s="2732"/>
      <c r="AE8" s="2732"/>
      <c r="AF8" s="2733"/>
      <c r="AG8" s="1269"/>
      <c r="AH8" s="1269"/>
      <c r="AI8" s="1269"/>
      <c r="AJ8" s="1269"/>
      <c r="AK8" s="1269"/>
      <c r="AL8" s="1269"/>
      <c r="AM8" s="1269"/>
      <c r="AN8" s="466"/>
      <c r="AO8" s="1007"/>
      <c r="AP8" s="1269"/>
      <c r="AR8" s="2734" t="s">
        <v>107</v>
      </c>
      <c r="AS8" s="2735"/>
      <c r="AT8" s="2735"/>
      <c r="AU8" s="2735"/>
      <c r="AV8" s="2735"/>
      <c r="AW8" s="2735"/>
      <c r="AX8" s="2736"/>
      <c r="AY8" s="41"/>
      <c r="BE8" s="2753" t="s">
        <v>108</v>
      </c>
      <c r="BF8" s="2754"/>
      <c r="BG8" s="2754"/>
      <c r="BH8" s="2754"/>
      <c r="BI8" s="2754"/>
      <c r="BJ8" s="2754"/>
      <c r="BK8" s="2755"/>
      <c r="BL8" s="42"/>
      <c r="BM8" s="2671" t="s">
        <v>181</v>
      </c>
      <c r="BN8" s="42"/>
      <c r="BO8" s="42"/>
      <c r="BP8" s="42"/>
      <c r="BQ8" s="42"/>
      <c r="BR8" s="42"/>
      <c r="BS8" s="42"/>
      <c r="BT8" s="42"/>
      <c r="BU8" s="42"/>
      <c r="BV8" s="42"/>
      <c r="BW8" s="42"/>
      <c r="BX8" s="42"/>
      <c r="BY8" s="42"/>
      <c r="BZ8" s="42"/>
      <c r="CA8" s="42"/>
      <c r="CB8" s="42"/>
      <c r="CC8" s="42"/>
      <c r="CD8" s="42"/>
      <c r="CE8" s="42"/>
    </row>
    <row r="9" spans="2:91" ht="14.4" customHeight="1">
      <c r="B9" s="2626"/>
      <c r="C9" s="2624" t="s">
        <v>111</v>
      </c>
      <c r="D9" s="2628"/>
      <c r="E9" s="2628"/>
      <c r="F9" s="2628"/>
      <c r="G9" s="2628"/>
      <c r="H9" s="2628"/>
      <c r="I9" s="2628"/>
      <c r="J9" s="2628"/>
      <c r="K9" s="2628"/>
      <c r="L9" s="2628"/>
      <c r="M9" s="2628"/>
      <c r="N9" s="993"/>
      <c r="O9" s="2740" t="s">
        <v>3</v>
      </c>
      <c r="P9" s="2742"/>
      <c r="Q9" s="2742"/>
      <c r="R9" s="2740"/>
      <c r="S9" s="2671" t="s">
        <v>127</v>
      </c>
      <c r="T9" s="2671" t="s">
        <v>145</v>
      </c>
      <c r="U9" s="42"/>
      <c r="V9" s="42"/>
      <c r="W9" s="42"/>
      <c r="X9" s="2671" t="s">
        <v>375</v>
      </c>
      <c r="Y9" s="42"/>
      <c r="Z9" s="2743" t="s">
        <v>376</v>
      </c>
      <c r="AA9" s="2744"/>
      <c r="AB9" s="2745"/>
      <c r="AC9" s="2749" t="s">
        <v>377</v>
      </c>
      <c r="AD9" s="2750"/>
      <c r="AE9" s="2750"/>
      <c r="AF9" s="2751"/>
      <c r="AG9" s="1270"/>
      <c r="AH9" s="1270"/>
      <c r="AI9" s="2752"/>
      <c r="AJ9" s="2752"/>
      <c r="AK9" s="2752"/>
      <c r="AL9" s="2752"/>
      <c r="AM9" s="1270"/>
      <c r="AN9" s="1007"/>
      <c r="AO9" s="1359" t="s">
        <v>378</v>
      </c>
      <c r="AP9" s="1270"/>
      <c r="AQ9" s="1007"/>
      <c r="AR9" s="2632" t="s">
        <v>77</v>
      </c>
      <c r="AS9" s="2671" t="s">
        <v>167</v>
      </c>
      <c r="AT9" s="2624" t="s">
        <v>379</v>
      </c>
      <c r="AU9" s="2628"/>
      <c r="AV9" s="2628"/>
      <c r="AW9" s="2628"/>
      <c r="AX9" s="2631"/>
      <c r="AY9" s="41"/>
      <c r="AZ9" s="1007"/>
      <c r="BA9" s="1007"/>
      <c r="BB9" s="1007"/>
      <c r="BC9" s="1007"/>
      <c r="BD9" s="1007"/>
      <c r="BE9" s="182" t="s">
        <v>170</v>
      </c>
      <c r="BF9" s="2619" t="s">
        <v>171</v>
      </c>
      <c r="BG9" s="2673"/>
      <c r="BH9" s="2673"/>
      <c r="BI9" s="2676"/>
      <c r="BJ9" s="2690" t="s">
        <v>172</v>
      </c>
      <c r="BK9" s="2671" t="s">
        <v>145</v>
      </c>
      <c r="BL9" s="42"/>
      <c r="BM9" s="2672"/>
      <c r="BN9" s="42"/>
      <c r="BO9" s="42"/>
      <c r="BP9" s="42"/>
      <c r="BQ9" s="42"/>
      <c r="BR9" s="42"/>
      <c r="BS9" s="42"/>
      <c r="BT9" s="42"/>
      <c r="BU9" s="42"/>
      <c r="BV9" s="42"/>
      <c r="BW9" s="42"/>
      <c r="BX9" s="42"/>
      <c r="BY9" s="42"/>
      <c r="BZ9" s="42"/>
      <c r="CA9" s="42"/>
      <c r="CB9" s="42"/>
      <c r="CC9" s="42"/>
      <c r="CD9" s="42"/>
      <c r="CE9" s="42"/>
      <c r="CF9" s="1046" t="s">
        <v>296</v>
      </c>
    </row>
    <row r="10" spans="2:91" ht="34.200000000000003" customHeight="1">
      <c r="B10" s="2626"/>
      <c r="C10" s="2632" t="s">
        <v>3</v>
      </c>
      <c r="D10" s="2632" t="s">
        <v>126</v>
      </c>
      <c r="E10" s="2632" t="s">
        <v>127</v>
      </c>
      <c r="F10" s="2632" t="s">
        <v>212</v>
      </c>
      <c r="G10" s="2632"/>
      <c r="H10" s="2632" t="s">
        <v>128</v>
      </c>
      <c r="I10" s="2632"/>
      <c r="J10" s="2633"/>
      <c r="K10" s="2634"/>
      <c r="L10" s="2633"/>
      <c r="M10" s="2635"/>
      <c r="N10" s="993"/>
      <c r="O10" s="2741"/>
      <c r="P10" s="2681"/>
      <c r="Q10" s="2681"/>
      <c r="R10" s="2682"/>
      <c r="S10" s="2737"/>
      <c r="T10" s="2737"/>
      <c r="U10" s="2738" t="s">
        <v>380</v>
      </c>
      <c r="V10" s="2739"/>
      <c r="W10" s="2739"/>
      <c r="X10" s="2737"/>
      <c r="Y10" s="42"/>
      <c r="Z10" s="2746"/>
      <c r="AA10" s="2747"/>
      <c r="AB10" s="2748"/>
      <c r="AC10" s="1008" t="s">
        <v>147</v>
      </c>
      <c r="AD10" s="1008" t="s">
        <v>69</v>
      </c>
      <c r="AE10" s="1008" t="s">
        <v>71</v>
      </c>
      <c r="AF10" s="1009"/>
      <c r="AG10" s="1413"/>
      <c r="AH10" s="1413"/>
      <c r="AI10" s="1308" t="s">
        <v>381</v>
      </c>
      <c r="AJ10" s="1308" t="s">
        <v>382</v>
      </c>
      <c r="AK10" s="1322" t="s">
        <v>7</v>
      </c>
      <c r="AL10" s="1308" t="s">
        <v>383</v>
      </c>
      <c r="AM10" s="1308" t="s">
        <v>384</v>
      </c>
      <c r="AN10" s="1007"/>
      <c r="AO10" s="1360" t="s">
        <v>385</v>
      </c>
      <c r="AP10" s="1413"/>
      <c r="AQ10" s="1007"/>
      <c r="AR10" s="2632"/>
      <c r="AS10" s="2737"/>
      <c r="AT10" s="2632" t="s">
        <v>168</v>
      </c>
      <c r="AU10" s="2632"/>
      <c r="AV10" s="2632"/>
      <c r="AW10" s="2632"/>
      <c r="AX10" s="2632"/>
      <c r="AY10" s="42"/>
      <c r="AZ10" s="1007"/>
      <c r="BA10" s="1007"/>
      <c r="BB10" s="1007"/>
      <c r="BC10" s="1007"/>
      <c r="BD10" s="1007"/>
      <c r="BE10" s="184" t="s">
        <v>168</v>
      </c>
      <c r="BF10" s="43" t="s">
        <v>198</v>
      </c>
      <c r="BG10" s="43" t="s">
        <v>199</v>
      </c>
      <c r="BH10" s="44" t="s">
        <v>200</v>
      </c>
      <c r="BI10" s="45" t="s">
        <v>201</v>
      </c>
      <c r="BJ10" s="2691"/>
      <c r="BK10" s="2672"/>
      <c r="BL10" s="42"/>
      <c r="BM10" s="181" t="s">
        <v>377</v>
      </c>
      <c r="BN10" s="42"/>
      <c r="BO10" s="42"/>
      <c r="BP10" s="42"/>
      <c r="BQ10" s="42"/>
      <c r="BR10" s="42"/>
      <c r="BS10" s="42"/>
      <c r="BT10" s="42"/>
      <c r="BU10" s="42"/>
      <c r="BV10" s="42"/>
      <c r="BW10" s="42"/>
      <c r="BX10" s="42"/>
      <c r="BY10" s="42"/>
      <c r="BZ10" s="42"/>
      <c r="CA10" s="42"/>
      <c r="CB10" s="42"/>
      <c r="CC10" s="42"/>
      <c r="CD10" s="42"/>
      <c r="CE10" s="42"/>
    </row>
    <row r="11" spans="2:91" ht="15" thickBot="1">
      <c r="B11" s="2726"/>
      <c r="C11" s="2632"/>
      <c r="D11" s="2632"/>
      <c r="E11" s="2632"/>
      <c r="F11" s="181"/>
      <c r="G11" s="181"/>
      <c r="H11" s="181" t="s">
        <v>193</v>
      </c>
      <c r="I11" s="181" t="s">
        <v>194</v>
      </c>
      <c r="J11" s="181"/>
      <c r="K11" s="181"/>
      <c r="L11" s="181"/>
      <c r="M11" s="182"/>
      <c r="N11" s="993"/>
      <c r="O11" s="2682"/>
      <c r="P11" s="1002" t="s">
        <v>69</v>
      </c>
      <c r="Q11" s="184" t="s">
        <v>71</v>
      </c>
      <c r="R11" s="184" t="s">
        <v>284</v>
      </c>
      <c r="S11" s="2672"/>
      <c r="T11" s="2672"/>
      <c r="U11" s="1411" t="s">
        <v>386</v>
      </c>
      <c r="V11" s="1010" t="s">
        <v>387</v>
      </c>
      <c r="W11" s="1010" t="s">
        <v>807</v>
      </c>
      <c r="X11" s="2672"/>
      <c r="Y11" s="42"/>
      <c r="Z11" s="888" t="s">
        <v>69</v>
      </c>
      <c r="AA11" s="184" t="s">
        <v>71</v>
      </c>
      <c r="AB11" s="184" t="s">
        <v>284</v>
      </c>
      <c r="AC11" s="1011">
        <f>'[1]September TIS'!AB44</f>
        <v>0</v>
      </c>
      <c r="AD11" s="1011">
        <v>698.78337598565588</v>
      </c>
      <c r="AE11" s="1011">
        <v>101864.20371875628</v>
      </c>
      <c r="AF11" s="1012">
        <f>SUM(AC11:AE11)</f>
        <v>102562.98709474194</v>
      </c>
      <c r="AG11" s="1007"/>
      <c r="AH11" s="1007"/>
      <c r="AI11" s="1309"/>
      <c r="AJ11" s="1318">
        <v>0</v>
      </c>
      <c r="AK11" s="1318"/>
      <c r="AL11" s="1319">
        <v>18547.898364999997</v>
      </c>
      <c r="AM11" s="1319">
        <v>111693.77553700001</v>
      </c>
      <c r="AN11" s="1007"/>
      <c r="AO11" s="999"/>
      <c r="AP11" s="1007"/>
      <c r="AQ11" s="1013"/>
      <c r="AR11" s="2632"/>
      <c r="AS11" s="2672"/>
      <c r="AT11" s="181" t="s">
        <v>61</v>
      </c>
      <c r="AU11" s="181" t="s">
        <v>62</v>
      </c>
      <c r="AV11" s="181" t="s">
        <v>63</v>
      </c>
      <c r="AW11" s="181" t="s">
        <v>196</v>
      </c>
      <c r="AX11" s="181" t="s">
        <v>197</v>
      </c>
      <c r="AY11" s="42"/>
      <c r="AZ11" s="1013"/>
      <c r="BA11" s="1013"/>
      <c r="BB11" s="1013"/>
      <c r="BC11" s="1013"/>
      <c r="BD11" s="1013"/>
      <c r="BE11" s="1395"/>
      <c r="BF11" s="17"/>
      <c r="BG11" s="18"/>
      <c r="BH11" s="1397"/>
      <c r="BI11" s="17"/>
      <c r="BJ11" s="17"/>
      <c r="BK11" s="1014"/>
      <c r="BL11" s="89"/>
      <c r="BM11" s="1228">
        <v>5650.4984476168074</v>
      </c>
      <c r="BN11" s="89"/>
      <c r="BO11" s="89"/>
      <c r="BP11" s="89"/>
      <c r="BQ11" s="89"/>
      <c r="BR11" s="89"/>
      <c r="BS11" s="89"/>
      <c r="BT11" s="89"/>
      <c r="BU11" s="89"/>
      <c r="BV11" s="89"/>
      <c r="BW11" s="89"/>
      <c r="BX11" s="89"/>
      <c r="BY11" s="89"/>
      <c r="BZ11" s="89"/>
      <c r="CA11" s="89"/>
      <c r="CB11" s="89"/>
      <c r="CC11" s="89"/>
      <c r="CD11" s="89"/>
      <c r="CE11" s="89"/>
      <c r="CG11" s="1006"/>
      <c r="CH11" s="1015" t="s">
        <v>285</v>
      </c>
      <c r="CI11" s="1015" t="s">
        <v>293</v>
      </c>
      <c r="CK11" s="1006"/>
      <c r="CL11" s="1015" t="s">
        <v>286</v>
      </c>
      <c r="CM11" s="1015" t="s">
        <v>293</v>
      </c>
    </row>
    <row r="12" spans="2:91">
      <c r="B12" s="988">
        <v>1</v>
      </c>
      <c r="C12" s="488">
        <f>O12</f>
        <v>0</v>
      </c>
      <c r="D12" s="488">
        <f>Q12+P12</f>
        <v>0</v>
      </c>
      <c r="E12" s="1016">
        <f t="shared" ref="E12:E42" si="0">S12</f>
        <v>0</v>
      </c>
      <c r="F12" s="1017"/>
      <c r="G12" s="494"/>
      <c r="H12" s="1018"/>
      <c r="I12" s="1019"/>
      <c r="N12" s="993"/>
      <c r="O12" s="26">
        <v>0</v>
      </c>
      <c r="P12" s="1020"/>
      <c r="Q12" s="1021">
        <f t="shared" ref="Q12" si="1">W12+V12+U12</f>
        <v>0</v>
      </c>
      <c r="R12" s="1227">
        <f t="shared" ref="R12:R42" si="2">SUM(P12:Q12)</f>
        <v>0</v>
      </c>
      <c r="S12" s="27">
        <f t="shared" ref="S12:S42" si="3">IFERROR(O12/R12,0)</f>
        <v>0</v>
      </c>
      <c r="T12" s="33"/>
      <c r="U12" s="1463"/>
      <c r="V12" s="1023"/>
      <c r="W12" s="1023"/>
      <c r="X12" s="1024"/>
      <c r="Y12" s="1"/>
      <c r="Z12" s="1025"/>
      <c r="AA12" s="1025"/>
      <c r="AB12" s="1025">
        <f>SUM(Z12:AA12)</f>
        <v>0</v>
      </c>
      <c r="AC12" s="1026"/>
      <c r="AD12" s="1026">
        <f>AD11+P12-Z12</f>
        <v>698.78337598565588</v>
      </c>
      <c r="AE12" s="1026">
        <f>AE11+Q12+AO12-AA12</f>
        <v>101864.20371875628</v>
      </c>
      <c r="AF12" s="1027">
        <f>SUM(AC12:AE12)</f>
        <v>102562.98709474194</v>
      </c>
      <c r="AG12" s="1414"/>
      <c r="AH12" s="1414"/>
      <c r="AI12" s="1310"/>
      <c r="AJ12" s="1310"/>
      <c r="AK12" s="1320">
        <f t="shared" ref="AK12:AK42" si="4">AI12+AJ12</f>
        <v>0</v>
      </c>
      <c r="AL12" s="1312">
        <f>AL11+AI12-AN12</f>
        <v>18547.898364999997</v>
      </c>
      <c r="AM12" s="1312">
        <f>AM11+AJ12-AO12</f>
        <v>111693.77553700001</v>
      </c>
      <c r="AN12" s="1007"/>
      <c r="AO12" s="999"/>
      <c r="AP12" s="1414"/>
      <c r="AQ12" s="987"/>
      <c r="AR12" s="1028">
        <f>AB12</f>
        <v>0</v>
      </c>
      <c r="AS12" s="171"/>
      <c r="AT12" s="2">
        <v>0</v>
      </c>
      <c r="AU12" s="63">
        <v>0</v>
      </c>
      <c r="AV12" s="63">
        <v>0</v>
      </c>
      <c r="AW12" s="63">
        <v>0</v>
      </c>
      <c r="AX12" s="1029">
        <v>0</v>
      </c>
      <c r="AZ12" s="987"/>
      <c r="BA12" s="987"/>
      <c r="BB12" s="987"/>
      <c r="BC12" s="987"/>
      <c r="BD12" s="987"/>
      <c r="BE12" s="1028"/>
      <c r="BF12" s="1028"/>
      <c r="BG12" s="1028"/>
      <c r="BH12" s="1028"/>
      <c r="BI12" s="1028"/>
      <c r="BJ12" s="1030">
        <f>'January TCM'!LN10</f>
        <v>7.7</v>
      </c>
      <c r="BK12" s="1031" t="s">
        <v>334</v>
      </c>
      <c r="BL12" s="1"/>
      <c r="BM12" s="1032">
        <f t="shared" ref="BM12:BM42" si="5">+BM11+AB12-BE12</f>
        <v>5650.4984476168074</v>
      </c>
      <c r="BN12" s="1"/>
      <c r="BO12" s="1"/>
      <c r="BP12" s="1"/>
      <c r="BQ12" s="1"/>
      <c r="BR12" s="1"/>
      <c r="BS12" s="1"/>
      <c r="BT12" s="1"/>
      <c r="BU12" s="1"/>
      <c r="BV12" s="1"/>
      <c r="BW12" s="1"/>
      <c r="BX12" s="1"/>
      <c r="BY12" s="1"/>
      <c r="BZ12" s="1"/>
      <c r="CA12" s="1"/>
      <c r="CB12" s="1"/>
      <c r="CC12" s="1"/>
      <c r="CD12" s="1"/>
      <c r="CE12" s="1"/>
      <c r="CG12" s="1033">
        <v>1</v>
      </c>
      <c r="CH12" s="1">
        <f t="shared" ref="CH12:CH42" si="6">D12</f>
        <v>0</v>
      </c>
      <c r="CK12" s="412">
        <v>1</v>
      </c>
      <c r="CL12" s="1">
        <f t="shared" ref="CL12:CL42" si="7">AB12</f>
        <v>0</v>
      </c>
    </row>
    <row r="13" spans="2:91">
      <c r="B13" s="989">
        <v>2</v>
      </c>
      <c r="C13" s="5">
        <f>O13</f>
        <v>24737</v>
      </c>
      <c r="D13" s="488">
        <f t="shared" ref="D13:D42" si="8">Q13+P13</f>
        <v>2464.8400000000006</v>
      </c>
      <c r="E13" s="15">
        <f t="shared" si="0"/>
        <v>10.035945538047091</v>
      </c>
      <c r="F13" s="363"/>
      <c r="G13" s="64"/>
      <c r="H13" s="1034">
        <v>8</v>
      </c>
      <c r="I13" s="1035">
        <v>4</v>
      </c>
      <c r="N13" s="993"/>
      <c r="O13" s="26">
        <v>24737</v>
      </c>
      <c r="P13" s="1036"/>
      <c r="Q13" s="1234">
        <f>W13+V13+U13</f>
        <v>2464.8400000000006</v>
      </c>
      <c r="R13" s="1227">
        <f t="shared" si="2"/>
        <v>2464.8400000000006</v>
      </c>
      <c r="S13" s="27">
        <f t="shared" si="3"/>
        <v>10.035945538047091</v>
      </c>
      <c r="T13" s="33"/>
      <c r="U13" s="1465">
        <v>2464.8400000000006</v>
      </c>
      <c r="V13" s="1464"/>
      <c r="W13" s="1037"/>
      <c r="X13" s="1038"/>
      <c r="Y13" s="1"/>
      <c r="Z13" s="847"/>
      <c r="AA13" s="847"/>
      <c r="AB13" s="1025">
        <f t="shared" ref="AB13:AB20" si="9">SUM(Z13:AA13)</f>
        <v>0</v>
      </c>
      <c r="AC13" s="1039"/>
      <c r="AD13" s="1026">
        <f t="shared" ref="AD13:AD28" si="10">AD12+P13-Z13</f>
        <v>698.78337598565588</v>
      </c>
      <c r="AE13" s="1026">
        <f t="shared" ref="AE13:AE42" si="11">AE12+Q13+AO13-AA13</f>
        <v>104329.04371875628</v>
      </c>
      <c r="AF13" s="1040">
        <f>SUM(AC13:AE13)</f>
        <v>105027.82709474194</v>
      </c>
      <c r="AG13" s="1414"/>
      <c r="AH13" s="1414"/>
      <c r="AI13" s="1310"/>
      <c r="AJ13" s="1310"/>
      <c r="AK13" s="1320">
        <f t="shared" si="4"/>
        <v>0</v>
      </c>
      <c r="AL13" s="1312">
        <f t="shared" ref="AL13:AM28" si="12">AL12+AI13-AN13</f>
        <v>18547.898364999997</v>
      </c>
      <c r="AM13" s="1312">
        <f t="shared" si="12"/>
        <v>111693.77553700001</v>
      </c>
      <c r="AN13" s="1007"/>
      <c r="AO13" s="999"/>
      <c r="AP13" s="1414"/>
      <c r="AQ13" s="987"/>
      <c r="AR13" s="310">
        <f t="shared" ref="AR13:AR42" si="13">AB13</f>
        <v>0</v>
      </c>
      <c r="AS13" s="998"/>
      <c r="AT13" s="4"/>
      <c r="AU13" s="64"/>
      <c r="AV13" s="64"/>
      <c r="AW13" s="64"/>
      <c r="AX13" s="482"/>
      <c r="AZ13" s="987"/>
      <c r="BA13" s="987"/>
      <c r="BB13" s="987"/>
      <c r="BC13" s="987"/>
      <c r="BD13" s="987"/>
      <c r="BE13" s="310"/>
      <c r="BF13" s="310"/>
      <c r="BG13" s="310"/>
      <c r="BH13" s="310"/>
      <c r="BI13" s="310"/>
      <c r="BJ13" s="1041">
        <f>'January TCM'!LN11</f>
        <v>7.7</v>
      </c>
      <c r="BK13" s="1042"/>
      <c r="BL13" s="1"/>
      <c r="BM13" s="1032">
        <f t="shared" si="5"/>
        <v>5650.4984476168074</v>
      </c>
      <c r="BN13" s="1"/>
      <c r="BO13" s="1"/>
      <c r="BP13" s="1"/>
      <c r="BQ13" s="1"/>
      <c r="BR13" s="1"/>
      <c r="BS13" s="1"/>
      <c r="BT13" s="1"/>
      <c r="BU13" s="1"/>
      <c r="BV13" s="1"/>
      <c r="BW13" s="1"/>
      <c r="BX13" s="1"/>
      <c r="BY13" s="1"/>
      <c r="BZ13" s="1"/>
      <c r="CA13" s="1"/>
      <c r="CB13" s="1"/>
      <c r="CC13" s="1"/>
      <c r="CD13" s="1"/>
      <c r="CE13" s="1"/>
      <c r="CG13" s="1033">
        <v>2</v>
      </c>
      <c r="CH13" s="1">
        <f t="shared" si="6"/>
        <v>2464.8400000000006</v>
      </c>
      <c r="CI13" s="1046">
        <v>2601020023</v>
      </c>
      <c r="CK13" s="412">
        <v>2</v>
      </c>
      <c r="CL13" s="1">
        <f t="shared" si="7"/>
        <v>0</v>
      </c>
    </row>
    <row r="14" spans="2:91">
      <c r="B14" s="989">
        <v>3</v>
      </c>
      <c r="C14" s="5">
        <f t="shared" ref="C14:C42" si="14">O14</f>
        <v>13523</v>
      </c>
      <c r="D14" s="488">
        <f t="shared" si="8"/>
        <v>440.46</v>
      </c>
      <c r="E14" s="15">
        <f t="shared" si="0"/>
        <v>30.701993370567134</v>
      </c>
      <c r="F14" s="363"/>
      <c r="G14" s="64"/>
      <c r="H14" s="1034">
        <v>17.5</v>
      </c>
      <c r="I14" s="1035">
        <v>16.57</v>
      </c>
      <c r="N14" s="993"/>
      <c r="O14" s="26">
        <v>13523</v>
      </c>
      <c r="P14" s="1036"/>
      <c r="Q14" s="1234">
        <f t="shared" ref="Q14:Q42" si="15">W14+V14+U14</f>
        <v>440.46</v>
      </c>
      <c r="R14" s="1227">
        <f t="shared" si="2"/>
        <v>440.46</v>
      </c>
      <c r="S14" s="27">
        <f t="shared" si="3"/>
        <v>30.701993370567134</v>
      </c>
      <c r="T14" s="33"/>
      <c r="U14" s="1465">
        <v>440.46</v>
      </c>
      <c r="V14" s="1464"/>
      <c r="W14" s="1037"/>
      <c r="X14" s="1038"/>
      <c r="Y14" s="1"/>
      <c r="Z14" s="847"/>
      <c r="AA14" s="847"/>
      <c r="AB14" s="1025">
        <f t="shared" si="9"/>
        <v>0</v>
      </c>
      <c r="AC14" s="1039"/>
      <c r="AD14" s="1026">
        <f t="shared" si="10"/>
        <v>698.78337598565588</v>
      </c>
      <c r="AE14" s="1026">
        <f t="shared" si="11"/>
        <v>105735.54371875628</v>
      </c>
      <c r="AF14" s="1040">
        <f t="shared" ref="AF14:AF42" si="16">SUM(AC14:AE14)</f>
        <v>106434.32709474194</v>
      </c>
      <c r="AG14" s="1414"/>
      <c r="AH14" s="1414"/>
      <c r="AI14" s="1310"/>
      <c r="AJ14" s="1310"/>
      <c r="AK14" s="1320">
        <f t="shared" si="4"/>
        <v>0</v>
      </c>
      <c r="AL14" s="1312">
        <f t="shared" si="12"/>
        <v>18547.898364999997</v>
      </c>
      <c r="AM14" s="1312">
        <f t="shared" si="12"/>
        <v>110727.73553700002</v>
      </c>
      <c r="AN14" s="1007"/>
      <c r="AO14" s="999">
        <v>966.04</v>
      </c>
      <c r="AP14" s="1414"/>
      <c r="AQ14" s="987"/>
      <c r="AR14" s="310">
        <f t="shared" si="13"/>
        <v>0</v>
      </c>
      <c r="AS14" s="1043"/>
      <c r="AT14" s="4"/>
      <c r="AU14" s="64"/>
      <c r="AV14" s="64"/>
      <c r="AW14" s="64"/>
      <c r="AX14" s="482"/>
      <c r="AZ14" s="987"/>
      <c r="BA14" s="987"/>
      <c r="BB14" s="987"/>
      <c r="BC14" s="987"/>
      <c r="BD14" s="987"/>
      <c r="BE14" s="310"/>
      <c r="BF14" s="310"/>
      <c r="BG14" s="310"/>
      <c r="BH14" s="310"/>
      <c r="BI14" s="310"/>
      <c r="BJ14" s="1041">
        <f>'January TCM'!LN12</f>
        <v>7.6</v>
      </c>
      <c r="BK14" s="1042"/>
      <c r="BL14" s="1"/>
      <c r="BM14" s="1032">
        <f t="shared" si="5"/>
        <v>5650.4984476168074</v>
      </c>
      <c r="BN14" s="1"/>
      <c r="BO14" s="1"/>
      <c r="BP14" s="1"/>
      <c r="BQ14" s="1"/>
      <c r="BR14" s="1"/>
      <c r="BS14" s="1"/>
      <c r="BT14" s="1"/>
      <c r="BU14" s="1"/>
      <c r="BV14" s="1"/>
      <c r="BW14" s="1"/>
      <c r="BX14" s="1"/>
      <c r="BY14" s="1"/>
      <c r="BZ14" s="1"/>
      <c r="CA14" s="1"/>
      <c r="CB14" s="1"/>
      <c r="CC14" s="1"/>
      <c r="CD14" s="1"/>
      <c r="CE14" s="1"/>
      <c r="CG14" s="1033">
        <v>3</v>
      </c>
      <c r="CH14" s="1">
        <f t="shared" si="6"/>
        <v>440.46</v>
      </c>
      <c r="CI14">
        <v>2601030272</v>
      </c>
      <c r="CK14" s="412">
        <v>3</v>
      </c>
      <c r="CL14" s="1">
        <f t="shared" si="7"/>
        <v>0</v>
      </c>
    </row>
    <row r="15" spans="2:91">
      <c r="B15" s="989">
        <v>4</v>
      </c>
      <c r="C15" s="5">
        <f t="shared" si="14"/>
        <v>31866</v>
      </c>
      <c r="D15" s="488">
        <f t="shared" si="8"/>
        <v>642.86</v>
      </c>
      <c r="E15" s="15">
        <f t="shared" si="0"/>
        <v>49.569113026164324</v>
      </c>
      <c r="F15" s="363"/>
      <c r="G15" s="64"/>
      <c r="H15" s="1034">
        <v>4</v>
      </c>
      <c r="I15" s="1035">
        <v>4</v>
      </c>
      <c r="N15" s="993"/>
      <c r="O15" s="26">
        <v>31866</v>
      </c>
      <c r="P15" s="1036"/>
      <c r="Q15" s="1234">
        <f t="shared" si="15"/>
        <v>642.86</v>
      </c>
      <c r="R15" s="1227">
        <f t="shared" si="2"/>
        <v>642.86</v>
      </c>
      <c r="S15" s="27">
        <f t="shared" si="3"/>
        <v>49.569113026164324</v>
      </c>
      <c r="T15" s="33"/>
      <c r="U15" s="1466">
        <v>642.86</v>
      </c>
      <c r="V15" s="1464"/>
      <c r="W15" s="1037"/>
      <c r="X15" s="1038"/>
      <c r="Y15" s="1"/>
      <c r="Z15" s="847"/>
      <c r="AA15" s="847"/>
      <c r="AB15" s="1025">
        <f t="shared" si="9"/>
        <v>0</v>
      </c>
      <c r="AC15" s="1039"/>
      <c r="AD15" s="1026">
        <f t="shared" si="10"/>
        <v>698.78337598565588</v>
      </c>
      <c r="AE15" s="1026">
        <f t="shared" si="11"/>
        <v>106378.40371875628</v>
      </c>
      <c r="AF15" s="1040">
        <f t="shared" si="16"/>
        <v>107077.18709474194</v>
      </c>
      <c r="AG15" s="1414"/>
      <c r="AH15" s="1414"/>
      <c r="AI15" s="1310"/>
      <c r="AJ15" s="1310"/>
      <c r="AK15" s="1320">
        <f t="shared" si="4"/>
        <v>0</v>
      </c>
      <c r="AL15" s="1312">
        <f t="shared" si="12"/>
        <v>18547.898364999997</v>
      </c>
      <c r="AM15" s="1312">
        <f t="shared" si="12"/>
        <v>110727.73553700002</v>
      </c>
      <c r="AN15" s="1007"/>
      <c r="AO15" s="999"/>
      <c r="AP15" s="1414"/>
      <c r="AQ15" s="987"/>
      <c r="AR15" s="310">
        <f t="shared" si="13"/>
        <v>0</v>
      </c>
      <c r="AS15" s="998"/>
      <c r="AT15" s="4"/>
      <c r="AU15" s="64"/>
      <c r="AV15" s="64"/>
      <c r="AW15" s="64"/>
      <c r="AX15" s="482"/>
      <c r="AZ15" s="987"/>
      <c r="BA15" s="987"/>
      <c r="BB15" s="987"/>
      <c r="BC15" s="987"/>
      <c r="BD15" s="987"/>
      <c r="BE15" s="310"/>
      <c r="BF15" s="310"/>
      <c r="BG15" s="310"/>
      <c r="BH15" s="310"/>
      <c r="BI15" s="310"/>
      <c r="BJ15" s="1044">
        <f>'January TCM'!LN13</f>
        <v>7.51</v>
      </c>
      <c r="BK15" s="1042"/>
      <c r="BL15" s="1"/>
      <c r="BM15" s="1032">
        <f t="shared" si="5"/>
        <v>5650.4984476168074</v>
      </c>
      <c r="BN15" s="1"/>
      <c r="BO15" s="1"/>
      <c r="BP15" s="1"/>
      <c r="BQ15" s="1"/>
      <c r="BR15" s="1"/>
      <c r="BS15" s="1"/>
      <c r="BT15" s="1"/>
      <c r="BU15" s="1"/>
      <c r="BV15" s="1"/>
      <c r="BW15" s="1"/>
      <c r="BX15" s="1"/>
      <c r="BY15" s="1"/>
      <c r="BZ15" s="1"/>
      <c r="CA15" s="1"/>
      <c r="CB15" s="1"/>
      <c r="CC15" s="1"/>
      <c r="CD15" s="1"/>
      <c r="CE15" s="1"/>
      <c r="CG15" s="1033">
        <v>4</v>
      </c>
      <c r="CH15" s="1">
        <f t="shared" si="6"/>
        <v>642.86</v>
      </c>
      <c r="CI15">
        <v>2601040409</v>
      </c>
      <c r="CK15" s="412">
        <v>4</v>
      </c>
      <c r="CL15" s="1">
        <f t="shared" si="7"/>
        <v>0</v>
      </c>
    </row>
    <row r="16" spans="2:91" ht="13.5" customHeight="1">
      <c r="B16" s="989">
        <v>5</v>
      </c>
      <c r="C16" s="5">
        <f t="shared" si="14"/>
        <v>10326</v>
      </c>
      <c r="D16" s="488">
        <f t="shared" si="8"/>
        <v>256.12</v>
      </c>
      <c r="E16" s="15">
        <f t="shared" si="0"/>
        <v>40.317038888021237</v>
      </c>
      <c r="F16" s="363"/>
      <c r="G16" s="64"/>
      <c r="H16" s="1034">
        <v>19</v>
      </c>
      <c r="I16" s="1035">
        <v>15</v>
      </c>
      <c r="N16" s="993"/>
      <c r="O16" s="26">
        <v>10326</v>
      </c>
      <c r="P16" s="36"/>
      <c r="Q16" s="1234">
        <f t="shared" si="15"/>
        <v>256.12</v>
      </c>
      <c r="R16" s="1227">
        <f t="shared" si="2"/>
        <v>256.12</v>
      </c>
      <c r="S16" s="27">
        <f t="shared" si="3"/>
        <v>40.317038888021237</v>
      </c>
      <c r="T16" s="33"/>
      <c r="U16" s="1465">
        <v>256.12</v>
      </c>
      <c r="V16" s="1464"/>
      <c r="W16" s="1037"/>
      <c r="X16" s="1038"/>
      <c r="Y16" s="1"/>
      <c r="Z16" s="847"/>
      <c r="AA16" s="847"/>
      <c r="AB16" s="1025">
        <f t="shared" si="9"/>
        <v>0</v>
      </c>
      <c r="AC16" s="1039"/>
      <c r="AD16" s="1026">
        <f t="shared" si="10"/>
        <v>698.78337598565588</v>
      </c>
      <c r="AE16" s="1026">
        <f t="shared" si="11"/>
        <v>106634.52371875627</v>
      </c>
      <c r="AF16" s="1040">
        <f t="shared" si="16"/>
        <v>107333.30709474193</v>
      </c>
      <c r="AG16" s="1414"/>
      <c r="AH16" s="1414"/>
      <c r="AI16" s="1310"/>
      <c r="AJ16" s="1310"/>
      <c r="AK16" s="1320">
        <f t="shared" si="4"/>
        <v>0</v>
      </c>
      <c r="AL16" s="1312">
        <f t="shared" si="12"/>
        <v>18547.898364999997</v>
      </c>
      <c r="AM16" s="1312">
        <f t="shared" si="12"/>
        <v>110727.73553700002</v>
      </c>
      <c r="AN16" s="1007"/>
      <c r="AO16" s="999"/>
      <c r="AP16" s="1414"/>
      <c r="AQ16" s="987"/>
      <c r="AR16" s="310">
        <f t="shared" si="13"/>
        <v>0</v>
      </c>
      <c r="AS16" s="998"/>
      <c r="AT16" s="4"/>
      <c r="AU16" s="64"/>
      <c r="AV16" s="64"/>
      <c r="AW16" s="64"/>
      <c r="AX16" s="482"/>
      <c r="AZ16" s="987"/>
      <c r="BA16" s="987"/>
      <c r="BB16" s="987"/>
      <c r="BC16" s="987"/>
      <c r="BD16" s="987"/>
      <c r="BE16" s="310"/>
      <c r="BF16" s="310"/>
      <c r="BG16" s="310"/>
      <c r="BH16" s="310"/>
      <c r="BI16" s="310"/>
      <c r="BJ16" s="1041">
        <f>'January TCM'!LN14</f>
        <v>7.4</v>
      </c>
      <c r="BK16" s="1042"/>
      <c r="BL16" s="1"/>
      <c r="BM16" s="1032">
        <f t="shared" si="5"/>
        <v>5650.4984476168074</v>
      </c>
      <c r="BN16" s="1"/>
      <c r="BO16" s="1"/>
      <c r="BP16" s="1"/>
      <c r="BQ16" s="1"/>
      <c r="BR16" s="1"/>
      <c r="BS16" s="1"/>
      <c r="BT16" s="1"/>
      <c r="BU16" s="1"/>
      <c r="BV16" s="1"/>
      <c r="BW16" s="1"/>
      <c r="BX16" s="1"/>
      <c r="BY16" s="1"/>
      <c r="BZ16" s="1"/>
      <c r="CA16" s="1"/>
      <c r="CB16" s="1"/>
      <c r="CC16" s="1"/>
      <c r="CD16" s="1"/>
      <c r="CE16" s="1"/>
      <c r="CG16" s="1033">
        <v>5</v>
      </c>
      <c r="CH16" s="1">
        <f t="shared" si="6"/>
        <v>256.12</v>
      </c>
      <c r="CI16" s="1045">
        <v>2601050581</v>
      </c>
      <c r="CK16" s="412">
        <v>5</v>
      </c>
      <c r="CL16" s="1">
        <f t="shared" si="7"/>
        <v>0</v>
      </c>
      <c r="CM16" s="1046"/>
    </row>
    <row r="17" spans="2:90">
      <c r="B17" s="989">
        <v>6</v>
      </c>
      <c r="C17" s="5">
        <f t="shared" si="14"/>
        <v>14913</v>
      </c>
      <c r="D17" s="488">
        <f t="shared" si="8"/>
        <v>735.34</v>
      </c>
      <c r="E17" s="15">
        <f t="shared" si="0"/>
        <v>20.280414502135066</v>
      </c>
      <c r="F17" s="363"/>
      <c r="G17" s="64"/>
      <c r="H17" s="1034">
        <v>6</v>
      </c>
      <c r="I17" s="1035">
        <v>6.27</v>
      </c>
      <c r="N17" s="993"/>
      <c r="O17" s="26">
        <v>14913</v>
      </c>
      <c r="P17" s="36"/>
      <c r="Q17" s="1234">
        <f t="shared" si="15"/>
        <v>735.34</v>
      </c>
      <c r="R17" s="1227">
        <f t="shared" si="2"/>
        <v>735.34</v>
      </c>
      <c r="S17" s="27">
        <f t="shared" si="3"/>
        <v>20.280414502135066</v>
      </c>
      <c r="T17" s="33"/>
      <c r="U17" s="1465">
        <v>735.34</v>
      </c>
      <c r="V17" s="1464"/>
      <c r="W17" s="1037"/>
      <c r="X17" s="1038"/>
      <c r="Y17" s="1"/>
      <c r="Z17" s="847"/>
      <c r="AA17" s="847"/>
      <c r="AB17" s="1025">
        <f t="shared" si="9"/>
        <v>0</v>
      </c>
      <c r="AC17" s="1039"/>
      <c r="AD17" s="1026">
        <f t="shared" si="10"/>
        <v>698.78337598565588</v>
      </c>
      <c r="AE17" s="1026">
        <f t="shared" si="11"/>
        <v>107369.86371875627</v>
      </c>
      <c r="AF17" s="1040">
        <f t="shared" si="16"/>
        <v>108068.64709474193</v>
      </c>
      <c r="AG17" s="1414"/>
      <c r="AH17" s="1414"/>
      <c r="AI17" s="1310"/>
      <c r="AJ17" s="1310"/>
      <c r="AK17" s="1320">
        <f t="shared" si="4"/>
        <v>0</v>
      </c>
      <c r="AL17" s="1312">
        <f t="shared" si="12"/>
        <v>18547.898364999997</v>
      </c>
      <c r="AM17" s="1312">
        <f t="shared" si="12"/>
        <v>110727.73553700002</v>
      </c>
      <c r="AN17" s="1007"/>
      <c r="AO17" s="999"/>
      <c r="AP17" s="1414"/>
      <c r="AQ17" s="987"/>
      <c r="AR17" s="310">
        <f t="shared" si="13"/>
        <v>0</v>
      </c>
      <c r="AS17" s="998"/>
      <c r="AT17" s="4"/>
      <c r="AU17" s="64"/>
      <c r="AV17" s="64"/>
      <c r="AW17" s="64"/>
      <c r="AX17" s="482"/>
      <c r="AZ17" s="987"/>
      <c r="BA17" s="987"/>
      <c r="BB17" s="987"/>
      <c r="BC17" s="987"/>
      <c r="BD17" s="987"/>
      <c r="BE17" s="310"/>
      <c r="BF17" s="310"/>
      <c r="BG17" s="310"/>
      <c r="BH17" s="310"/>
      <c r="BI17" s="310"/>
      <c r="BJ17" s="1041">
        <f>'January TCM'!LN15</f>
        <v>7.11</v>
      </c>
      <c r="BK17" s="1042"/>
      <c r="BL17" s="1"/>
      <c r="BM17" s="1032">
        <f t="shared" si="5"/>
        <v>5650.4984476168074</v>
      </c>
      <c r="BN17" s="1"/>
      <c r="BO17" s="1"/>
      <c r="BP17" s="1"/>
      <c r="BQ17" s="1"/>
      <c r="BR17" s="1"/>
      <c r="BS17" s="1"/>
      <c r="BT17" s="1"/>
      <c r="BU17" s="1"/>
      <c r="BV17" s="1"/>
      <c r="BW17" s="1"/>
      <c r="BX17" s="1"/>
      <c r="BY17" s="1"/>
      <c r="BZ17" s="1"/>
      <c r="CA17" s="1"/>
      <c r="CB17" s="1"/>
      <c r="CC17" s="1"/>
      <c r="CD17" s="1"/>
      <c r="CE17" s="1"/>
      <c r="CG17" s="1033">
        <v>6</v>
      </c>
      <c r="CH17" s="1">
        <f t="shared" si="6"/>
        <v>735.34</v>
      </c>
      <c r="CI17" s="1226">
        <v>2601060635</v>
      </c>
      <c r="CK17" s="412">
        <v>6</v>
      </c>
      <c r="CL17" s="1">
        <f t="shared" si="7"/>
        <v>0</v>
      </c>
    </row>
    <row r="18" spans="2:90">
      <c r="B18" s="989">
        <v>7</v>
      </c>
      <c r="C18" s="5">
        <f t="shared" si="14"/>
        <v>15893</v>
      </c>
      <c r="D18" s="488">
        <f t="shared" si="8"/>
        <v>584.36</v>
      </c>
      <c r="E18" s="15">
        <f t="shared" si="0"/>
        <v>27.197275651995344</v>
      </c>
      <c r="F18" s="363"/>
      <c r="G18" s="64"/>
      <c r="H18" s="1034">
        <v>36</v>
      </c>
      <c r="I18" s="1035">
        <v>14.63</v>
      </c>
      <c r="N18" s="993"/>
      <c r="O18" s="26">
        <v>15893</v>
      </c>
      <c r="P18" s="36"/>
      <c r="Q18" s="1234">
        <f t="shared" si="15"/>
        <v>584.36</v>
      </c>
      <c r="R18" s="1227">
        <f t="shared" si="2"/>
        <v>584.36</v>
      </c>
      <c r="S18" s="27">
        <f t="shared" si="3"/>
        <v>27.197275651995344</v>
      </c>
      <c r="T18" s="33"/>
      <c r="U18" s="1465">
        <v>584.36</v>
      </c>
      <c r="V18" s="1464"/>
      <c r="W18" s="1037"/>
      <c r="X18" s="1038"/>
      <c r="Y18" s="1"/>
      <c r="Z18" s="847"/>
      <c r="AA18" s="847"/>
      <c r="AB18" s="1025">
        <f t="shared" si="9"/>
        <v>0</v>
      </c>
      <c r="AC18" s="1039"/>
      <c r="AD18" s="1026">
        <f t="shared" si="10"/>
        <v>698.78337598565588</v>
      </c>
      <c r="AE18" s="1026">
        <f t="shared" si="11"/>
        <v>107954.22371875627</v>
      </c>
      <c r="AF18" s="1040">
        <f t="shared" si="16"/>
        <v>108653.00709474193</v>
      </c>
      <c r="AG18" s="1414"/>
      <c r="AH18" s="1414"/>
      <c r="AI18" s="1310"/>
      <c r="AJ18" s="1310"/>
      <c r="AK18" s="1320">
        <f t="shared" si="4"/>
        <v>0</v>
      </c>
      <c r="AL18" s="1312">
        <f t="shared" si="12"/>
        <v>18547.898364999997</v>
      </c>
      <c r="AM18" s="1312">
        <f t="shared" si="12"/>
        <v>110727.73553700002</v>
      </c>
      <c r="AN18" s="1007"/>
      <c r="AO18" s="1361"/>
      <c r="AP18" s="1414"/>
      <c r="AQ18" s="987"/>
      <c r="AR18" s="310">
        <f t="shared" si="13"/>
        <v>0</v>
      </c>
      <c r="AS18" s="998"/>
      <c r="AT18" s="4"/>
      <c r="AU18" s="64"/>
      <c r="AV18" s="64"/>
      <c r="AW18" s="64"/>
      <c r="AX18" s="482"/>
      <c r="AZ18" s="987"/>
      <c r="BA18" s="987"/>
      <c r="BB18" s="987"/>
      <c r="BC18" s="987"/>
      <c r="BD18" s="987"/>
      <c r="BE18" s="1047"/>
      <c r="BF18" s="310"/>
      <c r="BG18" s="310"/>
      <c r="BH18" s="310"/>
      <c r="BI18" s="310"/>
      <c r="BJ18" s="1041">
        <f>'January TCM'!LN16</f>
        <v>6.88</v>
      </c>
      <c r="BK18" s="1042"/>
      <c r="BL18" s="1"/>
      <c r="BM18" s="1032">
        <f t="shared" si="5"/>
        <v>5650.4984476168074</v>
      </c>
      <c r="BN18" s="1"/>
      <c r="BO18" s="1"/>
      <c r="BP18" s="1"/>
      <c r="BQ18" s="1"/>
      <c r="BR18" s="1"/>
      <c r="BS18" s="1"/>
      <c r="BT18" s="1"/>
      <c r="BU18" s="1"/>
      <c r="BV18" s="1"/>
      <c r="BW18" s="1"/>
      <c r="BX18" s="1"/>
      <c r="BY18" s="1"/>
      <c r="BZ18" s="1"/>
      <c r="CA18" s="1"/>
      <c r="CB18" s="1"/>
      <c r="CC18" s="1"/>
      <c r="CD18" s="1"/>
      <c r="CE18" s="1"/>
      <c r="CG18" s="1033">
        <v>7</v>
      </c>
      <c r="CH18" s="1">
        <f t="shared" si="6"/>
        <v>584.36</v>
      </c>
      <c r="CI18">
        <v>2601070788</v>
      </c>
      <c r="CK18" s="412">
        <v>7</v>
      </c>
      <c r="CL18" s="1">
        <f t="shared" si="7"/>
        <v>0</v>
      </c>
    </row>
    <row r="19" spans="2:90">
      <c r="B19" s="989">
        <v>8</v>
      </c>
      <c r="C19" s="5">
        <f t="shared" si="14"/>
        <v>11118</v>
      </c>
      <c r="D19" s="488">
        <f t="shared" si="8"/>
        <v>359.98</v>
      </c>
      <c r="E19" s="15">
        <f t="shared" si="0"/>
        <v>30.885049169398297</v>
      </c>
      <c r="F19" s="363"/>
      <c r="G19" s="64"/>
      <c r="H19" s="1034">
        <v>22</v>
      </c>
      <c r="I19" s="1035">
        <v>9.7799999999999994</v>
      </c>
      <c r="N19" s="993"/>
      <c r="O19" s="26">
        <v>11118</v>
      </c>
      <c r="P19" s="36"/>
      <c r="Q19" s="1234">
        <f>W19+V19+U19</f>
        <v>359.98</v>
      </c>
      <c r="R19" s="1227">
        <f t="shared" si="2"/>
        <v>359.98</v>
      </c>
      <c r="S19" s="27">
        <f t="shared" si="3"/>
        <v>30.885049169398297</v>
      </c>
      <c r="T19" s="33"/>
      <c r="U19" s="1465">
        <v>359.98</v>
      </c>
      <c r="V19" s="1464"/>
      <c r="W19" s="1037"/>
      <c r="X19" s="1038"/>
      <c r="Y19" s="1"/>
      <c r="Z19" s="847"/>
      <c r="AA19" s="847"/>
      <c r="AB19" s="1025">
        <f t="shared" si="9"/>
        <v>0</v>
      </c>
      <c r="AC19" s="1039"/>
      <c r="AD19" s="1026">
        <f t="shared" si="10"/>
        <v>698.78337598565588</v>
      </c>
      <c r="AE19" s="1026">
        <f t="shared" si="11"/>
        <v>108314.20371875627</v>
      </c>
      <c r="AF19" s="1040">
        <f t="shared" si="16"/>
        <v>109012.98709474193</v>
      </c>
      <c r="AG19" s="1414"/>
      <c r="AH19" s="1414"/>
      <c r="AI19" s="1310"/>
      <c r="AJ19" s="1310"/>
      <c r="AK19" s="1320">
        <f t="shared" si="4"/>
        <v>0</v>
      </c>
      <c r="AL19" s="1312">
        <f t="shared" si="12"/>
        <v>18547.898364999997</v>
      </c>
      <c r="AM19" s="1312">
        <f t="shared" si="12"/>
        <v>110727.73553700002</v>
      </c>
      <c r="AN19" s="1007"/>
      <c r="AO19" s="999"/>
      <c r="AP19" s="1414"/>
      <c r="AQ19" s="987"/>
      <c r="AR19" s="310">
        <f t="shared" si="13"/>
        <v>0</v>
      </c>
      <c r="AS19" s="998"/>
      <c r="AT19" s="4"/>
      <c r="AU19" s="64"/>
      <c r="AV19" s="64"/>
      <c r="AW19" s="64"/>
      <c r="AX19" s="482"/>
      <c r="AZ19" s="987"/>
      <c r="BA19" s="987"/>
      <c r="BB19" s="987"/>
      <c r="BC19" s="987"/>
      <c r="BD19" s="987"/>
      <c r="BE19" s="310"/>
      <c r="BF19" s="310"/>
      <c r="BG19" s="310"/>
      <c r="BH19" s="310"/>
      <c r="BI19" s="310"/>
      <c r="BJ19" s="1041">
        <f>'January TCM'!LN17</f>
        <v>6.76</v>
      </c>
      <c r="BK19" s="1042"/>
      <c r="BL19" s="1"/>
      <c r="BM19" s="1032">
        <f t="shared" si="5"/>
        <v>5650.4984476168074</v>
      </c>
      <c r="BN19" s="1"/>
      <c r="BO19" s="1"/>
      <c r="BP19" s="1"/>
      <c r="BQ19" s="1"/>
      <c r="BR19" s="1"/>
      <c r="BS19" s="1"/>
      <c r="BT19" s="1"/>
      <c r="BU19" s="1"/>
      <c r="BV19" s="1"/>
      <c r="BW19" s="1"/>
      <c r="BX19" s="1"/>
      <c r="BY19" s="1"/>
      <c r="BZ19" s="1"/>
      <c r="CA19" s="1"/>
      <c r="CB19" s="1"/>
      <c r="CC19" s="1"/>
      <c r="CD19" s="1"/>
      <c r="CE19" s="1"/>
      <c r="CG19" s="1033">
        <v>8</v>
      </c>
      <c r="CH19" s="1">
        <f t="shared" si="6"/>
        <v>359.98</v>
      </c>
      <c r="CI19">
        <v>2601080881</v>
      </c>
      <c r="CK19" s="412">
        <v>8</v>
      </c>
      <c r="CL19" s="1">
        <f t="shared" si="7"/>
        <v>0</v>
      </c>
    </row>
    <row r="20" spans="2:90">
      <c r="B20" s="989">
        <v>9</v>
      </c>
      <c r="C20" s="5">
        <f t="shared" si="14"/>
        <v>19334</v>
      </c>
      <c r="D20" s="488">
        <f t="shared" si="8"/>
        <v>297.94</v>
      </c>
      <c r="E20" s="15">
        <f t="shared" si="0"/>
        <v>64.892260186614749</v>
      </c>
      <c r="F20" s="363"/>
      <c r="G20" s="64"/>
      <c r="H20" s="1034">
        <v>8</v>
      </c>
      <c r="I20" s="1034">
        <v>6.8</v>
      </c>
      <c r="N20" s="993"/>
      <c r="O20" s="26">
        <v>19334</v>
      </c>
      <c r="P20" s="36"/>
      <c r="Q20" s="1234">
        <f t="shared" si="15"/>
        <v>297.94</v>
      </c>
      <c r="R20" s="1227">
        <f t="shared" si="2"/>
        <v>297.94</v>
      </c>
      <c r="S20" s="27">
        <f t="shared" si="3"/>
        <v>64.892260186614749</v>
      </c>
      <c r="T20" s="33"/>
      <c r="U20" s="1465">
        <v>297.94</v>
      </c>
      <c r="V20" s="1464"/>
      <c r="W20" s="1037"/>
      <c r="X20" s="1038"/>
      <c r="Y20" s="1"/>
      <c r="Z20" s="847"/>
      <c r="AA20" s="847"/>
      <c r="AB20" s="1025">
        <f t="shared" si="9"/>
        <v>0</v>
      </c>
      <c r="AC20" s="1039"/>
      <c r="AD20" s="1026">
        <f t="shared" si="10"/>
        <v>698.78337598565588</v>
      </c>
      <c r="AE20" s="1026">
        <f t="shared" si="11"/>
        <v>108612.14371875627</v>
      </c>
      <c r="AF20" s="1040">
        <f t="shared" si="16"/>
        <v>109310.92709474193</v>
      </c>
      <c r="AG20" s="1414"/>
      <c r="AH20" s="1414"/>
      <c r="AI20" s="1310"/>
      <c r="AJ20" s="1310"/>
      <c r="AK20" s="1320">
        <f t="shared" si="4"/>
        <v>0</v>
      </c>
      <c r="AL20" s="1312">
        <f t="shared" si="12"/>
        <v>18547.898364999997</v>
      </c>
      <c r="AM20" s="1312">
        <f t="shared" si="12"/>
        <v>110727.73553700002</v>
      </c>
      <c r="AN20" s="1007"/>
      <c r="AO20" s="999"/>
      <c r="AP20" s="1414"/>
      <c r="AQ20" s="987"/>
      <c r="AR20" s="310">
        <f t="shared" si="13"/>
        <v>0</v>
      </c>
      <c r="AS20" s="998"/>
      <c r="AT20" s="4"/>
      <c r="AU20" s="64"/>
      <c r="AV20" s="64"/>
      <c r="AW20" s="64"/>
      <c r="AX20" s="482"/>
      <c r="AZ20" s="987"/>
      <c r="BA20" s="987"/>
      <c r="BB20" s="987"/>
      <c r="BC20" s="987"/>
      <c r="BD20" s="987"/>
      <c r="BE20" s="310"/>
      <c r="BF20" s="310"/>
      <c r="BG20" s="310"/>
      <c r="BH20" s="310"/>
      <c r="BI20" s="310"/>
      <c r="BJ20" s="1041">
        <f>'January TCM'!LN18</f>
        <v>7.11</v>
      </c>
      <c r="BK20" s="1042"/>
      <c r="BL20" s="1"/>
      <c r="BM20" s="1032">
        <f t="shared" si="5"/>
        <v>5650.4984476168074</v>
      </c>
      <c r="BN20" s="1"/>
      <c r="BO20" s="1"/>
      <c r="BP20" s="1"/>
      <c r="BQ20" s="1"/>
      <c r="BR20" s="1"/>
      <c r="BS20" s="1"/>
      <c r="BT20" s="1"/>
      <c r="BU20" s="1"/>
      <c r="BV20" s="1"/>
      <c r="BW20" s="1"/>
      <c r="BX20" s="1"/>
      <c r="BY20" s="1"/>
      <c r="BZ20" s="1"/>
      <c r="CA20" s="1"/>
      <c r="CB20" s="1"/>
      <c r="CC20" s="1"/>
      <c r="CD20" s="1"/>
      <c r="CE20" s="1"/>
      <c r="CG20" s="1033">
        <v>9</v>
      </c>
      <c r="CH20" s="1">
        <f t="shared" si="6"/>
        <v>297.94</v>
      </c>
      <c r="CI20" s="1046">
        <v>2601090998</v>
      </c>
      <c r="CK20" s="412">
        <v>9</v>
      </c>
      <c r="CL20" s="1">
        <f t="shared" si="7"/>
        <v>0</v>
      </c>
    </row>
    <row r="21" spans="2:90">
      <c r="B21" s="989">
        <v>10</v>
      </c>
      <c r="C21" s="5">
        <f t="shared" si="14"/>
        <v>18232</v>
      </c>
      <c r="D21" s="488">
        <f t="shared" si="8"/>
        <v>65.94</v>
      </c>
      <c r="E21" s="15">
        <f t="shared" si="0"/>
        <v>276.49378222626632</v>
      </c>
      <c r="F21" s="363"/>
      <c r="G21" s="64"/>
      <c r="H21" s="1034">
        <v>25</v>
      </c>
      <c r="I21" s="1034">
        <v>11</v>
      </c>
      <c r="N21" s="993"/>
      <c r="O21" s="26">
        <v>18232</v>
      </c>
      <c r="P21" s="36"/>
      <c r="Q21" s="1234">
        <f>W21+V21+U21</f>
        <v>65.94</v>
      </c>
      <c r="R21" s="1227">
        <f t="shared" si="2"/>
        <v>65.94</v>
      </c>
      <c r="S21" s="27">
        <f t="shared" si="3"/>
        <v>276.49378222626632</v>
      </c>
      <c r="T21" s="33"/>
      <c r="U21" s="1465">
        <v>65.94</v>
      </c>
      <c r="V21" s="95"/>
      <c r="W21" s="1037"/>
      <c r="X21" s="1038"/>
      <c r="Y21" s="1"/>
      <c r="Z21" s="847"/>
      <c r="AA21" s="847"/>
      <c r="AB21" s="1025">
        <f t="shared" ref="AB21:AB42" si="17">SUM(Z21:AA21)</f>
        <v>0</v>
      </c>
      <c r="AC21" s="1039"/>
      <c r="AD21" s="1026">
        <f t="shared" si="10"/>
        <v>698.78337598565588</v>
      </c>
      <c r="AE21" s="1026">
        <f t="shared" si="11"/>
        <v>108678.08371875627</v>
      </c>
      <c r="AF21" s="1040">
        <f t="shared" si="16"/>
        <v>109376.86709474193</v>
      </c>
      <c r="AG21" s="1414"/>
      <c r="AH21" s="1414"/>
      <c r="AI21" s="1310"/>
      <c r="AJ21" s="1310"/>
      <c r="AK21" s="1320">
        <f t="shared" si="4"/>
        <v>0</v>
      </c>
      <c r="AL21" s="1312">
        <f t="shared" si="12"/>
        <v>18547.898364999997</v>
      </c>
      <c r="AM21" s="1312">
        <f t="shared" si="12"/>
        <v>110727.73553700002</v>
      </c>
      <c r="AN21" s="1007"/>
      <c r="AO21" s="999"/>
      <c r="AP21" s="1414"/>
      <c r="AQ21" s="987"/>
      <c r="AR21" s="310">
        <f t="shared" si="13"/>
        <v>0</v>
      </c>
      <c r="AS21" s="998"/>
      <c r="AT21" s="4">
        <v>0</v>
      </c>
      <c r="AU21" s="64">
        <v>0</v>
      </c>
      <c r="AV21" s="64">
        <v>0</v>
      </c>
      <c r="AW21" s="64">
        <v>0</v>
      </c>
      <c r="AX21" s="482">
        <v>0</v>
      </c>
      <c r="AZ21" s="987"/>
      <c r="BA21" s="987"/>
      <c r="BB21" s="987"/>
      <c r="BC21" s="987"/>
      <c r="BD21" s="987"/>
      <c r="BE21" s="310"/>
      <c r="BF21" s="310"/>
      <c r="BG21" s="310"/>
      <c r="BH21" s="310"/>
      <c r="BI21" s="310"/>
      <c r="BJ21" s="1041">
        <f>'January TCM'!LN19</f>
        <v>7.5</v>
      </c>
      <c r="BK21" s="1042"/>
      <c r="BL21" s="1"/>
      <c r="BM21" s="1032">
        <f t="shared" si="5"/>
        <v>5650.4984476168074</v>
      </c>
      <c r="BN21" s="1"/>
      <c r="BO21" s="1"/>
      <c r="BP21" s="1"/>
      <c r="BQ21" s="1"/>
      <c r="BR21" s="1"/>
      <c r="BS21" s="1"/>
      <c r="BT21" s="1"/>
      <c r="BU21" s="1"/>
      <c r="BV21" s="1"/>
      <c r="BW21" s="1"/>
      <c r="BX21" s="1"/>
      <c r="BY21" s="1"/>
      <c r="BZ21" s="1"/>
      <c r="CA21" s="1"/>
      <c r="CB21" s="1"/>
      <c r="CC21" s="1"/>
      <c r="CD21" s="1"/>
      <c r="CE21" s="1"/>
      <c r="CG21" s="1033">
        <v>10</v>
      </c>
      <c r="CH21" s="1">
        <f t="shared" si="6"/>
        <v>65.94</v>
      </c>
      <c r="CI21">
        <v>2601101095</v>
      </c>
      <c r="CK21" s="412">
        <v>10</v>
      </c>
      <c r="CL21" s="1">
        <f t="shared" si="7"/>
        <v>0</v>
      </c>
    </row>
    <row r="22" spans="2:90">
      <c r="B22" s="989">
        <v>11</v>
      </c>
      <c r="C22" s="5">
        <f t="shared" si="14"/>
        <v>19530</v>
      </c>
      <c r="D22" s="488">
        <f t="shared" si="8"/>
        <v>145.34</v>
      </c>
      <c r="E22" s="15">
        <f t="shared" si="0"/>
        <v>134.37456997385442</v>
      </c>
      <c r="F22" s="363"/>
      <c r="G22" s="64"/>
      <c r="H22" s="1034">
        <v>15</v>
      </c>
      <c r="I22" s="1034">
        <v>9</v>
      </c>
      <c r="N22" s="993"/>
      <c r="O22" s="26">
        <v>19530</v>
      </c>
      <c r="P22" s="36"/>
      <c r="Q22" s="1234">
        <f t="shared" si="15"/>
        <v>145.34</v>
      </c>
      <c r="R22" s="1227">
        <f t="shared" si="2"/>
        <v>145.34</v>
      </c>
      <c r="S22" s="27">
        <f t="shared" si="3"/>
        <v>134.37456997385442</v>
      </c>
      <c r="T22" s="33"/>
      <c r="U22" s="1465">
        <v>145.34</v>
      </c>
      <c r="V22" s="1464"/>
      <c r="W22" s="1037"/>
      <c r="X22" s="1038"/>
      <c r="Y22" s="1"/>
      <c r="Z22" s="847"/>
      <c r="AA22" s="847"/>
      <c r="AB22" s="1025">
        <f t="shared" si="17"/>
        <v>0</v>
      </c>
      <c r="AC22" s="1039"/>
      <c r="AD22" s="1026">
        <f t="shared" si="10"/>
        <v>698.78337598565588</v>
      </c>
      <c r="AE22" s="1026">
        <f t="shared" si="11"/>
        <v>108823.42371875627</v>
      </c>
      <c r="AF22" s="1040">
        <f t="shared" si="16"/>
        <v>109522.20709474193</v>
      </c>
      <c r="AG22" s="1414"/>
      <c r="AH22" s="1414"/>
      <c r="AI22" s="1310"/>
      <c r="AJ22" s="1310"/>
      <c r="AK22" s="1320">
        <f t="shared" si="4"/>
        <v>0</v>
      </c>
      <c r="AL22" s="1312">
        <f t="shared" si="12"/>
        <v>18547.898364999997</v>
      </c>
      <c r="AM22" s="1312">
        <f t="shared" si="12"/>
        <v>110727.73553700002</v>
      </c>
      <c r="AN22" s="1007"/>
      <c r="AO22" s="999"/>
      <c r="AP22" s="1414"/>
      <c r="AQ22" s="987"/>
      <c r="AR22" s="310">
        <f t="shared" si="13"/>
        <v>0</v>
      </c>
      <c r="AS22" s="998"/>
      <c r="AT22" s="4">
        <v>0</v>
      </c>
      <c r="AU22" s="64">
        <v>0</v>
      </c>
      <c r="AV22" s="64">
        <v>0</v>
      </c>
      <c r="AW22" s="64">
        <v>0</v>
      </c>
      <c r="AX22" s="482">
        <v>0</v>
      </c>
      <c r="AZ22" s="987"/>
      <c r="BA22" s="987"/>
      <c r="BB22" s="987"/>
      <c r="BC22" s="987"/>
      <c r="BD22" s="987"/>
      <c r="BE22" s="310"/>
      <c r="BF22" s="310"/>
      <c r="BG22" s="310"/>
      <c r="BH22" s="310"/>
      <c r="BI22" s="310"/>
      <c r="BJ22" s="1041">
        <f>'January TCM'!LN20</f>
        <v>7.79</v>
      </c>
      <c r="BK22" s="1042"/>
      <c r="BL22" s="1"/>
      <c r="BM22" s="1032">
        <v>5069.7877862210898</v>
      </c>
      <c r="BN22" s="1"/>
      <c r="BO22" s="1"/>
      <c r="BP22" s="1"/>
      <c r="BQ22" s="1"/>
      <c r="BR22" s="1"/>
      <c r="BS22" s="1"/>
      <c r="BT22" s="1"/>
      <c r="BU22" s="1"/>
      <c r="BV22" s="1"/>
      <c r="BW22" s="1"/>
      <c r="BX22" s="1"/>
      <c r="BY22" s="1"/>
      <c r="BZ22" s="1"/>
      <c r="CA22" s="1"/>
      <c r="CB22" s="1"/>
      <c r="CC22" s="1"/>
      <c r="CD22" s="1"/>
      <c r="CE22" s="1"/>
      <c r="CG22" s="1033">
        <v>11</v>
      </c>
      <c r="CH22" s="1">
        <f t="shared" si="6"/>
        <v>145.34</v>
      </c>
      <c r="CI22">
        <v>2601111179</v>
      </c>
      <c r="CK22" s="412">
        <v>11</v>
      </c>
      <c r="CL22" s="1">
        <f t="shared" si="7"/>
        <v>0</v>
      </c>
    </row>
    <row r="23" spans="2:90">
      <c r="B23" s="989">
        <v>12</v>
      </c>
      <c r="C23" s="5">
        <f t="shared" si="14"/>
        <v>29962</v>
      </c>
      <c r="D23" s="488">
        <f t="shared" si="8"/>
        <v>0</v>
      </c>
      <c r="E23" s="15">
        <f t="shared" si="0"/>
        <v>0</v>
      </c>
      <c r="F23" s="363"/>
      <c r="G23" s="64"/>
      <c r="H23" s="1034"/>
      <c r="I23" s="1034"/>
      <c r="N23" s="993"/>
      <c r="O23" s="26">
        <v>29962</v>
      </c>
      <c r="P23" s="36"/>
      <c r="Q23" s="1234">
        <f t="shared" si="15"/>
        <v>0</v>
      </c>
      <c r="R23" s="1022">
        <f t="shared" si="2"/>
        <v>0</v>
      </c>
      <c r="S23" s="27">
        <f t="shared" si="3"/>
        <v>0</v>
      </c>
      <c r="U23" s="1467"/>
      <c r="V23" s="1468"/>
      <c r="W23" s="1037"/>
      <c r="X23" s="1038"/>
      <c r="Y23" s="1"/>
      <c r="Z23" s="847"/>
      <c r="AA23" s="847"/>
      <c r="AB23" s="1025">
        <f t="shared" si="17"/>
        <v>0</v>
      </c>
      <c r="AC23" s="1039"/>
      <c r="AD23" s="1026">
        <f t="shared" si="10"/>
        <v>698.78337598565588</v>
      </c>
      <c r="AE23" s="1026">
        <f t="shared" si="11"/>
        <v>108823.42371875627</v>
      </c>
      <c r="AF23" s="1040">
        <f t="shared" si="16"/>
        <v>109522.20709474193</v>
      </c>
      <c r="AG23" s="1414"/>
      <c r="AH23" s="1414"/>
      <c r="AI23" s="1310"/>
      <c r="AJ23" s="1310"/>
      <c r="AK23" s="1320">
        <f t="shared" si="4"/>
        <v>0</v>
      </c>
      <c r="AL23" s="1312">
        <f t="shared" si="12"/>
        <v>18547.898364999997</v>
      </c>
      <c r="AM23" s="1312">
        <f t="shared" si="12"/>
        <v>110727.73553700002</v>
      </c>
      <c r="AN23" s="1007"/>
      <c r="AO23" s="999"/>
      <c r="AP23" s="1414"/>
      <c r="AQ23" s="987"/>
      <c r="AR23" s="310">
        <f t="shared" si="13"/>
        <v>0</v>
      </c>
      <c r="AS23" s="998"/>
      <c r="AT23" s="4">
        <v>0</v>
      </c>
      <c r="AU23" s="64">
        <v>0</v>
      </c>
      <c r="AV23" s="64">
        <v>0</v>
      </c>
      <c r="AW23" s="64">
        <v>0</v>
      </c>
      <c r="AX23" s="482">
        <v>0</v>
      </c>
      <c r="AZ23" s="987"/>
      <c r="BA23" s="987"/>
      <c r="BB23" s="987"/>
      <c r="BC23" s="987"/>
      <c r="BD23" s="987"/>
      <c r="BE23" s="310"/>
      <c r="BF23" s="310"/>
      <c r="BG23" s="310"/>
      <c r="BH23" s="310"/>
      <c r="BI23" s="310"/>
      <c r="BJ23" s="1041">
        <f>'January TCM'!LN21</f>
        <v>8</v>
      </c>
      <c r="BK23" s="1042"/>
      <c r="BL23" s="1"/>
      <c r="BM23" s="1032">
        <f t="shared" si="5"/>
        <v>5069.7877862210898</v>
      </c>
      <c r="BN23" s="1"/>
      <c r="BO23" s="1"/>
      <c r="BP23" s="1"/>
      <c r="BQ23" s="1"/>
      <c r="BR23" s="1"/>
      <c r="BS23" s="1"/>
      <c r="BT23" s="1"/>
      <c r="BU23" s="1"/>
      <c r="BV23" s="1"/>
      <c r="BW23" s="1"/>
      <c r="BX23" s="1"/>
      <c r="BY23" s="1"/>
      <c r="BZ23" s="1"/>
      <c r="CA23" s="1"/>
      <c r="CB23" s="1"/>
      <c r="CC23" s="1"/>
      <c r="CD23" s="1"/>
      <c r="CE23" s="1"/>
      <c r="CG23" s="1033">
        <v>12</v>
      </c>
      <c r="CH23" s="1">
        <f t="shared" si="6"/>
        <v>0</v>
      </c>
      <c r="CJ23" s="1048"/>
      <c r="CK23" s="412">
        <v>12</v>
      </c>
      <c r="CL23" s="1">
        <f t="shared" si="7"/>
        <v>0</v>
      </c>
    </row>
    <row r="24" spans="2:90">
      <c r="B24" s="989">
        <v>13</v>
      </c>
      <c r="C24" s="5">
        <f t="shared" si="14"/>
        <v>24312</v>
      </c>
      <c r="D24" s="488">
        <f t="shared" si="8"/>
        <v>0</v>
      </c>
      <c r="E24" s="15">
        <f t="shared" si="0"/>
        <v>0</v>
      </c>
      <c r="F24" s="363"/>
      <c r="G24" s="64"/>
      <c r="H24" s="1034">
        <v>38</v>
      </c>
      <c r="I24" s="1034">
        <v>6.15</v>
      </c>
      <c r="N24" s="993"/>
      <c r="O24" s="26">
        <v>24312</v>
      </c>
      <c r="P24" s="36"/>
      <c r="Q24" s="1234">
        <f t="shared" si="15"/>
        <v>0</v>
      </c>
      <c r="R24" s="1022">
        <f t="shared" si="2"/>
        <v>0</v>
      </c>
      <c r="S24" s="27">
        <f t="shared" si="3"/>
        <v>0</v>
      </c>
      <c r="T24" s="33"/>
      <c r="U24" s="1465"/>
      <c r="V24" s="1464"/>
      <c r="W24" s="1037"/>
      <c r="X24" s="1038"/>
      <c r="Y24" s="1"/>
      <c r="Z24" s="847"/>
      <c r="AA24" s="847"/>
      <c r="AB24" s="1025">
        <f t="shared" si="17"/>
        <v>0</v>
      </c>
      <c r="AC24" s="1039"/>
      <c r="AD24" s="1026">
        <f t="shared" si="10"/>
        <v>698.78337598565588</v>
      </c>
      <c r="AE24" s="1026">
        <f t="shared" si="11"/>
        <v>108823.42371875627</v>
      </c>
      <c r="AF24" s="1040">
        <f t="shared" si="16"/>
        <v>109522.20709474193</v>
      </c>
      <c r="AG24" s="1414"/>
      <c r="AH24" s="1414"/>
      <c r="AI24" s="1310"/>
      <c r="AJ24" s="1310"/>
      <c r="AK24" s="1320">
        <f t="shared" si="4"/>
        <v>0</v>
      </c>
      <c r="AL24" s="1312">
        <f t="shared" si="12"/>
        <v>18547.898364999997</v>
      </c>
      <c r="AM24" s="1312">
        <f t="shared" si="12"/>
        <v>110727.73553700002</v>
      </c>
      <c r="AN24" s="1007"/>
      <c r="AO24" s="999"/>
      <c r="AP24" s="1414"/>
      <c r="AQ24" s="987"/>
      <c r="AR24" s="310">
        <f t="shared" si="13"/>
        <v>0</v>
      </c>
      <c r="AS24" s="998"/>
      <c r="AT24" s="4">
        <v>0</v>
      </c>
      <c r="AU24" s="64">
        <v>0</v>
      </c>
      <c r="AV24" s="64">
        <v>0</v>
      </c>
      <c r="AW24" s="64">
        <v>0</v>
      </c>
      <c r="AX24" s="482">
        <v>0</v>
      </c>
      <c r="AZ24" s="987"/>
      <c r="BA24" s="987"/>
      <c r="BB24" s="987"/>
      <c r="BC24" s="987"/>
      <c r="BD24" s="987"/>
      <c r="BE24" s="847"/>
      <c r="BF24" s="310"/>
      <c r="BG24" s="310"/>
      <c r="BH24" s="310"/>
      <c r="BI24" s="310"/>
      <c r="BJ24" s="1041">
        <f>'January TCM'!LN22</f>
        <v>8.1999999999999993</v>
      </c>
      <c r="BK24" s="1042"/>
      <c r="BL24" s="1"/>
      <c r="BM24" s="1032">
        <f t="shared" si="5"/>
        <v>5069.7877862210898</v>
      </c>
      <c r="BN24" s="1"/>
      <c r="BO24" s="1"/>
      <c r="BP24" s="1"/>
      <c r="BQ24" s="1"/>
      <c r="BR24" s="1"/>
      <c r="BS24" s="1"/>
      <c r="BT24" s="1"/>
      <c r="BU24" s="1"/>
      <c r="BV24" s="1"/>
      <c r="BW24" s="1"/>
      <c r="BX24" s="1"/>
      <c r="BY24" s="1"/>
      <c r="BZ24" s="1"/>
      <c r="CA24" s="1"/>
      <c r="CB24" s="1"/>
      <c r="CC24" s="1"/>
      <c r="CD24" s="1"/>
      <c r="CE24" s="1"/>
      <c r="CG24" s="1033">
        <v>13</v>
      </c>
      <c r="CH24" s="1">
        <f t="shared" si="6"/>
        <v>0</v>
      </c>
      <c r="CI24" s="1048"/>
      <c r="CJ24" s="1048"/>
      <c r="CK24" s="412">
        <v>13</v>
      </c>
      <c r="CL24" s="1">
        <f t="shared" si="7"/>
        <v>0</v>
      </c>
    </row>
    <row r="25" spans="2:90">
      <c r="B25" s="989">
        <v>14</v>
      </c>
      <c r="C25" s="5">
        <f t="shared" si="14"/>
        <v>26157</v>
      </c>
      <c r="D25" s="488">
        <f t="shared" si="8"/>
        <v>0</v>
      </c>
      <c r="E25" s="15">
        <f t="shared" si="0"/>
        <v>0</v>
      </c>
      <c r="F25" s="363"/>
      <c r="G25" s="64"/>
      <c r="H25" s="1034">
        <v>9</v>
      </c>
      <c r="I25" s="1034">
        <v>5.15</v>
      </c>
      <c r="N25" s="993"/>
      <c r="O25" s="26">
        <v>26157</v>
      </c>
      <c r="P25" s="36"/>
      <c r="Q25" s="1234">
        <f t="shared" si="15"/>
        <v>0</v>
      </c>
      <c r="R25" s="1022">
        <f t="shared" si="2"/>
        <v>0</v>
      </c>
      <c r="S25" s="27">
        <f t="shared" si="3"/>
        <v>0</v>
      </c>
      <c r="T25" s="33"/>
      <c r="U25" s="1465"/>
      <c r="V25" s="1464"/>
      <c r="W25" s="1037"/>
      <c r="X25" s="1038"/>
      <c r="Y25" s="1"/>
      <c r="Z25" s="847"/>
      <c r="AA25" s="847"/>
      <c r="AB25" s="1025">
        <f t="shared" si="17"/>
        <v>0</v>
      </c>
      <c r="AC25" s="1039"/>
      <c r="AD25" s="1026">
        <f t="shared" si="10"/>
        <v>698.78337598565588</v>
      </c>
      <c r="AE25" s="1026">
        <f t="shared" si="11"/>
        <v>108823.42371875627</v>
      </c>
      <c r="AF25" s="1040">
        <f t="shared" si="16"/>
        <v>109522.20709474193</v>
      </c>
      <c r="AG25" s="1414"/>
      <c r="AH25" s="1414"/>
      <c r="AI25" s="1310"/>
      <c r="AJ25" s="1310"/>
      <c r="AK25" s="1320">
        <f t="shared" si="4"/>
        <v>0</v>
      </c>
      <c r="AL25" s="1312">
        <f t="shared" si="12"/>
        <v>18547.898364999997</v>
      </c>
      <c r="AM25" s="1312">
        <f t="shared" si="12"/>
        <v>110727.73553700002</v>
      </c>
      <c r="AN25" s="1007"/>
      <c r="AO25" s="999"/>
      <c r="AP25" s="1414"/>
      <c r="AQ25" s="987"/>
      <c r="AR25" s="310">
        <f t="shared" si="13"/>
        <v>0</v>
      </c>
      <c r="AS25" s="998"/>
      <c r="AT25" s="4">
        <v>0</v>
      </c>
      <c r="AU25" s="64">
        <v>0</v>
      </c>
      <c r="AV25" s="64">
        <v>0</v>
      </c>
      <c r="AW25" s="64">
        <v>0</v>
      </c>
      <c r="AX25" s="482">
        <v>0</v>
      </c>
      <c r="AZ25" s="987"/>
      <c r="BA25" s="987"/>
      <c r="BB25" s="987"/>
      <c r="BC25" s="987"/>
      <c r="BD25" s="987"/>
      <c r="BE25" s="847"/>
      <c r="BF25" s="310"/>
      <c r="BG25" s="310"/>
      <c r="BH25" s="310"/>
      <c r="BI25" s="310"/>
      <c r="BJ25" s="1041">
        <f>'January TCM'!LN23</f>
        <v>8.31</v>
      </c>
      <c r="BK25" s="1042"/>
      <c r="BL25" s="1"/>
      <c r="BM25" s="1032">
        <f t="shared" si="5"/>
        <v>5069.7877862210898</v>
      </c>
      <c r="BN25" s="1"/>
      <c r="BO25" s="1"/>
      <c r="BP25" s="1"/>
      <c r="BQ25" s="1"/>
      <c r="BR25" s="1"/>
      <c r="BS25" s="1"/>
      <c r="BT25" s="1"/>
      <c r="BU25" s="1"/>
      <c r="BV25" s="1"/>
      <c r="BW25" s="1"/>
      <c r="BX25" s="1"/>
      <c r="BY25" s="1"/>
      <c r="BZ25" s="1"/>
      <c r="CA25" s="1"/>
      <c r="CB25" s="1"/>
      <c r="CC25" s="1"/>
      <c r="CD25" s="1"/>
      <c r="CE25" s="1"/>
      <c r="CG25" s="1033">
        <v>14</v>
      </c>
      <c r="CH25" s="1">
        <f t="shared" si="6"/>
        <v>0</v>
      </c>
      <c r="CI25" s="1048"/>
      <c r="CJ25" s="1048"/>
      <c r="CK25" s="412">
        <v>14</v>
      </c>
      <c r="CL25" s="1">
        <f t="shared" si="7"/>
        <v>0</v>
      </c>
    </row>
    <row r="26" spans="2:90">
      <c r="B26" s="989">
        <v>15</v>
      </c>
      <c r="C26" s="5">
        <f t="shared" si="14"/>
        <v>33158</v>
      </c>
      <c r="D26" s="488">
        <f t="shared" si="8"/>
        <v>0</v>
      </c>
      <c r="E26" s="15">
        <f t="shared" si="0"/>
        <v>0</v>
      </c>
      <c r="F26" s="363"/>
      <c r="G26" s="64"/>
      <c r="H26" s="1034">
        <v>2</v>
      </c>
      <c r="I26" s="1034">
        <v>1.8</v>
      </c>
      <c r="N26" s="993"/>
      <c r="O26" s="26">
        <v>33158</v>
      </c>
      <c r="P26" s="36"/>
      <c r="Q26" s="1234">
        <f t="shared" si="15"/>
        <v>0</v>
      </c>
      <c r="R26" s="1022">
        <f t="shared" si="2"/>
        <v>0</v>
      </c>
      <c r="S26" s="27">
        <f t="shared" si="3"/>
        <v>0</v>
      </c>
      <c r="T26" s="33"/>
      <c r="U26" s="1465"/>
      <c r="V26" s="1464"/>
      <c r="W26" s="1037"/>
      <c r="X26" s="1038"/>
      <c r="Y26" s="1"/>
      <c r="Z26" s="847"/>
      <c r="AA26" s="847"/>
      <c r="AB26" s="1025">
        <f t="shared" si="17"/>
        <v>0</v>
      </c>
      <c r="AC26" s="1039"/>
      <c r="AD26" s="1026">
        <f t="shared" si="10"/>
        <v>698.78337598565588</v>
      </c>
      <c r="AE26" s="1026">
        <f t="shared" si="11"/>
        <v>108823.42371875627</v>
      </c>
      <c r="AF26" s="1040">
        <f t="shared" si="16"/>
        <v>109522.20709474193</v>
      </c>
      <c r="AG26" s="1414"/>
      <c r="AH26" s="1414"/>
      <c r="AI26" s="1310"/>
      <c r="AJ26" s="1310"/>
      <c r="AK26" s="1320">
        <f t="shared" si="4"/>
        <v>0</v>
      </c>
      <c r="AL26" s="1312">
        <f t="shared" si="12"/>
        <v>18547.898364999997</v>
      </c>
      <c r="AM26" s="1312">
        <f t="shared" si="12"/>
        <v>110727.73553700002</v>
      </c>
      <c r="AN26" s="1007"/>
      <c r="AO26" s="999"/>
      <c r="AP26" s="1414"/>
      <c r="AQ26" s="987"/>
      <c r="AR26" s="310">
        <f t="shared" si="13"/>
        <v>0</v>
      </c>
      <c r="AS26" s="998"/>
      <c r="AT26" s="4">
        <v>0</v>
      </c>
      <c r="AU26" s="64">
        <v>0</v>
      </c>
      <c r="AV26" s="64">
        <v>0</v>
      </c>
      <c r="AW26" s="64">
        <v>0</v>
      </c>
      <c r="AX26" s="482">
        <v>0</v>
      </c>
      <c r="AZ26" s="987"/>
      <c r="BA26" s="987"/>
      <c r="BB26" s="987"/>
      <c r="BC26" s="987"/>
      <c r="BD26" s="987"/>
      <c r="BE26" s="847"/>
      <c r="BF26" s="310"/>
      <c r="BG26" s="310"/>
      <c r="BH26" s="310"/>
      <c r="BI26" s="310"/>
      <c r="BJ26" s="1041">
        <f>'January TCM'!LN24</f>
        <v>8.25</v>
      </c>
      <c r="BK26" s="1042"/>
      <c r="BL26" s="1"/>
      <c r="BM26" s="1032">
        <f t="shared" si="5"/>
        <v>5069.7877862210898</v>
      </c>
      <c r="BN26" s="1"/>
      <c r="BO26" s="1"/>
      <c r="BP26" s="1"/>
      <c r="BQ26" s="1"/>
      <c r="BR26" s="1"/>
      <c r="BS26" s="1"/>
      <c r="BT26" s="1"/>
      <c r="BU26" s="1"/>
      <c r="BV26" s="1"/>
      <c r="BW26" s="1"/>
      <c r="BX26" s="1"/>
      <c r="BY26" s="1"/>
      <c r="BZ26" s="1"/>
      <c r="CA26" s="1"/>
      <c r="CB26" s="1"/>
      <c r="CC26" s="1"/>
      <c r="CD26" s="1"/>
      <c r="CE26" s="1"/>
      <c r="CG26" s="1033">
        <v>15</v>
      </c>
      <c r="CH26" s="1">
        <f t="shared" si="6"/>
        <v>0</v>
      </c>
      <c r="CK26" s="412">
        <v>15</v>
      </c>
      <c r="CL26" s="1">
        <f t="shared" si="7"/>
        <v>0</v>
      </c>
    </row>
    <row r="27" spans="2:90">
      <c r="B27" s="989">
        <v>16</v>
      </c>
      <c r="C27" s="5">
        <f t="shared" si="14"/>
        <v>30288</v>
      </c>
      <c r="D27" s="488">
        <f t="shared" si="8"/>
        <v>0</v>
      </c>
      <c r="E27" s="15">
        <f>S27</f>
        <v>0</v>
      </c>
      <c r="F27" s="363"/>
      <c r="G27" s="64"/>
      <c r="H27" s="1034"/>
      <c r="I27" s="1034"/>
      <c r="N27" s="993"/>
      <c r="O27" s="26">
        <v>30288</v>
      </c>
      <c r="P27" s="36"/>
      <c r="Q27" s="1234">
        <f t="shared" si="15"/>
        <v>0</v>
      </c>
      <c r="R27" s="1022">
        <f t="shared" si="2"/>
        <v>0</v>
      </c>
      <c r="S27" s="27">
        <f t="shared" si="3"/>
        <v>0</v>
      </c>
      <c r="T27" s="33"/>
      <c r="U27" s="1465"/>
      <c r="V27" s="1464"/>
      <c r="W27" s="1037"/>
      <c r="X27" s="1038"/>
      <c r="Y27" s="1"/>
      <c r="Z27" s="847"/>
      <c r="AA27" s="847"/>
      <c r="AB27" s="1025">
        <f t="shared" si="17"/>
        <v>0</v>
      </c>
      <c r="AC27" s="1039"/>
      <c r="AD27" s="1026">
        <f t="shared" si="10"/>
        <v>698.78337598565588</v>
      </c>
      <c r="AE27" s="1026">
        <f t="shared" si="11"/>
        <v>111034.16371875627</v>
      </c>
      <c r="AF27" s="1040">
        <f t="shared" si="16"/>
        <v>111732.94709474193</v>
      </c>
      <c r="AG27" s="1414"/>
      <c r="AH27" s="1414"/>
      <c r="AI27" s="1310"/>
      <c r="AJ27" s="1310"/>
      <c r="AK27" s="1320">
        <f t="shared" si="4"/>
        <v>0</v>
      </c>
      <c r="AL27" s="1312">
        <f t="shared" si="12"/>
        <v>18547.898364999997</v>
      </c>
      <c r="AM27" s="1312">
        <f t="shared" si="12"/>
        <v>108516.99553700001</v>
      </c>
      <c r="AN27" s="1007"/>
      <c r="AO27" s="999">
        <v>2210.7400000000002</v>
      </c>
      <c r="AP27" s="1414"/>
      <c r="AQ27" s="987"/>
      <c r="AR27" s="310">
        <f t="shared" si="13"/>
        <v>0</v>
      </c>
      <c r="AS27" s="998"/>
      <c r="AT27" s="4">
        <v>0</v>
      </c>
      <c r="AU27" s="64">
        <v>0</v>
      </c>
      <c r="AV27" s="64">
        <v>0</v>
      </c>
      <c r="AW27" s="64">
        <v>0</v>
      </c>
      <c r="AX27" s="482">
        <v>0</v>
      </c>
      <c r="AZ27" s="987"/>
      <c r="BA27" s="987"/>
      <c r="BB27" s="987"/>
      <c r="BC27" s="987"/>
      <c r="BD27" s="987"/>
      <c r="BE27" s="847"/>
      <c r="BF27" s="310"/>
      <c r="BG27" s="310"/>
      <c r="BH27" s="310"/>
      <c r="BI27" s="310"/>
      <c r="BJ27" s="1041">
        <f>'January TCM'!LN25</f>
        <v>8.17</v>
      </c>
      <c r="BK27" s="1042"/>
      <c r="BL27" s="1"/>
      <c r="BM27" s="1032">
        <f t="shared" si="5"/>
        <v>5069.7877862210898</v>
      </c>
      <c r="BN27" s="1"/>
      <c r="BO27" s="1"/>
      <c r="BP27" s="1"/>
      <c r="BQ27" s="1"/>
      <c r="BR27" s="1"/>
      <c r="BS27" s="1"/>
      <c r="BT27" s="1"/>
      <c r="BU27" s="1"/>
      <c r="BV27" s="1"/>
      <c r="BW27" s="1"/>
      <c r="BX27" s="1"/>
      <c r="BY27" s="1"/>
      <c r="BZ27" s="1"/>
      <c r="CA27" s="1"/>
      <c r="CB27" s="1"/>
      <c r="CC27" s="1"/>
      <c r="CD27" s="1"/>
      <c r="CE27" s="1"/>
      <c r="CG27" s="1033">
        <v>16</v>
      </c>
      <c r="CH27" s="1">
        <f t="shared" si="6"/>
        <v>0</v>
      </c>
      <c r="CJ27" s="1048"/>
      <c r="CK27" s="412">
        <v>16</v>
      </c>
      <c r="CL27" s="1">
        <f t="shared" si="7"/>
        <v>0</v>
      </c>
    </row>
    <row r="28" spans="2:90">
      <c r="B28" s="989">
        <v>17</v>
      </c>
      <c r="C28" s="5">
        <f t="shared" si="14"/>
        <v>25712</v>
      </c>
      <c r="D28" s="488">
        <f t="shared" si="8"/>
        <v>1717.9</v>
      </c>
      <c r="E28" s="15">
        <f t="shared" si="0"/>
        <v>14.967111007625588</v>
      </c>
      <c r="F28" s="363"/>
      <c r="G28" s="64"/>
      <c r="H28" s="1034"/>
      <c r="I28" s="1034"/>
      <c r="N28" s="993"/>
      <c r="O28" s="26">
        <v>25712</v>
      </c>
      <c r="P28" s="36"/>
      <c r="Q28" s="1234">
        <f t="shared" si="15"/>
        <v>1717.9</v>
      </c>
      <c r="R28" s="1022">
        <f t="shared" si="2"/>
        <v>1717.9</v>
      </c>
      <c r="S28" s="27">
        <f t="shared" si="3"/>
        <v>14.967111007625588</v>
      </c>
      <c r="T28" s="33"/>
      <c r="U28" s="1465">
        <v>1717.9</v>
      </c>
      <c r="V28" s="1464"/>
      <c r="W28" s="1037"/>
      <c r="X28" s="1038"/>
      <c r="Y28" s="1"/>
      <c r="Z28" s="847"/>
      <c r="AA28" s="847"/>
      <c r="AB28" s="1025">
        <f t="shared" si="17"/>
        <v>0</v>
      </c>
      <c r="AC28" s="1039"/>
      <c r="AD28" s="1026">
        <f t="shared" si="10"/>
        <v>698.78337598565588</v>
      </c>
      <c r="AE28" s="1026">
        <f t="shared" si="11"/>
        <v>112942.12371875627</v>
      </c>
      <c r="AF28" s="1040">
        <f t="shared" si="16"/>
        <v>113640.90709474192</v>
      </c>
      <c r="AG28" s="1414"/>
      <c r="AH28" s="1414"/>
      <c r="AI28" s="1310"/>
      <c r="AJ28" s="1310"/>
      <c r="AK28" s="1320">
        <f t="shared" si="4"/>
        <v>0</v>
      </c>
      <c r="AL28" s="1312">
        <f t="shared" si="12"/>
        <v>18547.898364999997</v>
      </c>
      <c r="AM28" s="1312">
        <f t="shared" si="12"/>
        <v>108326.93553700001</v>
      </c>
      <c r="AN28" s="1007"/>
      <c r="AO28" s="999">
        <v>190.06</v>
      </c>
      <c r="AP28" s="1414"/>
      <c r="AQ28" s="987"/>
      <c r="AR28" s="310">
        <f t="shared" si="13"/>
        <v>0</v>
      </c>
      <c r="AS28" s="998"/>
      <c r="AT28" s="4">
        <v>0</v>
      </c>
      <c r="AU28" s="64">
        <v>0</v>
      </c>
      <c r="AV28" s="64">
        <v>0</v>
      </c>
      <c r="AW28" s="64">
        <v>0</v>
      </c>
      <c r="AX28" s="482">
        <v>0</v>
      </c>
      <c r="AZ28" s="987"/>
      <c r="BA28" s="987"/>
      <c r="BB28" s="987"/>
      <c r="BC28" s="987"/>
      <c r="BD28" s="987"/>
      <c r="BE28" s="1049"/>
      <c r="BF28" s="310"/>
      <c r="BG28" s="310"/>
      <c r="BH28" s="310"/>
      <c r="BI28" s="310"/>
      <c r="BJ28" s="1041">
        <f>'January TCM'!LN26</f>
        <v>7.91</v>
      </c>
      <c r="BK28" s="1042"/>
      <c r="BL28" s="1"/>
      <c r="BM28" s="1032">
        <f t="shared" si="5"/>
        <v>5069.7877862210898</v>
      </c>
      <c r="BN28" s="1"/>
      <c r="BO28" s="1"/>
      <c r="BP28" s="1"/>
      <c r="BQ28" s="1"/>
      <c r="BR28" s="1"/>
      <c r="BS28" s="1"/>
      <c r="BT28" s="1"/>
      <c r="BU28" s="1"/>
      <c r="BV28" s="1"/>
      <c r="BW28" s="1"/>
      <c r="BX28" s="1"/>
      <c r="BY28" s="1"/>
      <c r="BZ28" s="1"/>
      <c r="CA28" s="1"/>
      <c r="CB28" s="1"/>
      <c r="CC28" s="1"/>
      <c r="CD28" s="1"/>
      <c r="CE28" s="1"/>
      <c r="CG28" s="1033">
        <v>17</v>
      </c>
      <c r="CH28" s="1">
        <f t="shared" si="6"/>
        <v>1717.9</v>
      </c>
      <c r="CI28">
        <v>2601171994</v>
      </c>
      <c r="CK28" s="412">
        <v>17</v>
      </c>
      <c r="CL28" s="1">
        <f t="shared" si="7"/>
        <v>0</v>
      </c>
    </row>
    <row r="29" spans="2:90">
      <c r="B29" s="989">
        <v>18</v>
      </c>
      <c r="C29" s="5">
        <f t="shared" si="14"/>
        <v>25155</v>
      </c>
      <c r="D29" s="488">
        <f t="shared" si="8"/>
        <v>1501.46</v>
      </c>
      <c r="E29" s="15">
        <f t="shared" si="0"/>
        <v>16.753693072076512</v>
      </c>
      <c r="F29" s="363"/>
      <c r="G29" s="64"/>
      <c r="H29" s="1034"/>
      <c r="I29" s="1034"/>
      <c r="N29" s="993"/>
      <c r="O29" s="26">
        <v>25155</v>
      </c>
      <c r="P29" s="36"/>
      <c r="Q29" s="1234">
        <f t="shared" si="15"/>
        <v>1501.46</v>
      </c>
      <c r="R29" s="1022">
        <f t="shared" si="2"/>
        <v>1501.46</v>
      </c>
      <c r="S29" s="27">
        <f t="shared" si="3"/>
        <v>16.753693072076512</v>
      </c>
      <c r="T29" s="33"/>
      <c r="U29" s="1465">
        <v>1501.46</v>
      </c>
      <c r="V29" s="1464"/>
      <c r="W29" s="1037"/>
      <c r="X29" s="1038"/>
      <c r="Y29" s="1"/>
      <c r="Z29" s="847"/>
      <c r="AA29" s="847"/>
      <c r="AB29" s="1025">
        <f t="shared" si="17"/>
        <v>0</v>
      </c>
      <c r="AC29" s="1039"/>
      <c r="AD29" s="1026">
        <f t="shared" ref="AD29:AD42" si="18">AD28+P29-Z29</f>
        <v>698.78337598565588</v>
      </c>
      <c r="AE29" s="1026">
        <f t="shared" si="11"/>
        <v>116100.28371875627</v>
      </c>
      <c r="AF29" s="1040">
        <f t="shared" si="16"/>
        <v>116799.06709474193</v>
      </c>
      <c r="AG29" s="1414"/>
      <c r="AH29" s="1414"/>
      <c r="AI29" s="1310"/>
      <c r="AJ29" s="1310"/>
      <c r="AK29" s="1320">
        <f t="shared" si="4"/>
        <v>0</v>
      </c>
      <c r="AL29" s="1312">
        <f t="shared" ref="AL29:AM42" si="19">AL28+AI29-AN29</f>
        <v>18547.898364999997</v>
      </c>
      <c r="AM29" s="1312">
        <f t="shared" si="19"/>
        <v>106670.23553700002</v>
      </c>
      <c r="AN29" s="1007"/>
      <c r="AO29" s="999">
        <v>1656.7</v>
      </c>
      <c r="AP29" s="1414"/>
      <c r="AQ29" s="987"/>
      <c r="AR29" s="310">
        <f t="shared" si="13"/>
        <v>0</v>
      </c>
      <c r="AS29" s="868"/>
      <c r="AT29" s="4">
        <v>0</v>
      </c>
      <c r="AU29" s="64">
        <v>0</v>
      </c>
      <c r="AV29" s="64">
        <v>0</v>
      </c>
      <c r="AW29" s="64">
        <v>0</v>
      </c>
      <c r="AX29" s="482">
        <v>0</v>
      </c>
      <c r="AZ29" s="987"/>
      <c r="BA29" s="987"/>
      <c r="BB29" s="987"/>
      <c r="BC29" s="987"/>
      <c r="BD29" s="987"/>
      <c r="BE29" s="847"/>
      <c r="BF29" s="847"/>
      <c r="BG29" s="847"/>
      <c r="BH29" s="847"/>
      <c r="BI29" s="847"/>
      <c r="BJ29" s="1041">
        <f>'January TCM'!LN27</f>
        <v>7.42</v>
      </c>
      <c r="BK29" s="1042"/>
      <c r="BL29" s="1"/>
      <c r="BM29" s="1032">
        <f t="shared" si="5"/>
        <v>5069.7877862210898</v>
      </c>
      <c r="BN29" s="1"/>
      <c r="BO29" s="1"/>
      <c r="BP29" s="1"/>
      <c r="BQ29" s="1"/>
      <c r="BR29" s="1"/>
      <c r="BS29" s="1"/>
      <c r="BT29" s="1"/>
      <c r="BU29" s="1"/>
      <c r="BV29" s="1"/>
      <c r="BW29" s="1"/>
      <c r="BX29" s="1"/>
      <c r="BY29" s="1"/>
      <c r="BZ29" s="1"/>
      <c r="CA29" s="1"/>
      <c r="CB29" s="1"/>
      <c r="CC29" s="1"/>
      <c r="CD29" s="1"/>
      <c r="CE29" s="1"/>
      <c r="CG29" s="1033">
        <v>18</v>
      </c>
      <c r="CH29" s="1">
        <f t="shared" si="6"/>
        <v>1501.46</v>
      </c>
      <c r="CI29">
        <v>2601182192</v>
      </c>
      <c r="CK29" s="412">
        <v>18</v>
      </c>
      <c r="CL29" s="1">
        <f t="shared" si="7"/>
        <v>0</v>
      </c>
    </row>
    <row r="30" spans="2:90">
      <c r="B30" s="989">
        <v>19</v>
      </c>
      <c r="C30" s="5">
        <f t="shared" si="14"/>
        <v>26330</v>
      </c>
      <c r="D30" s="488">
        <f t="shared" si="8"/>
        <v>1281.5999999999999</v>
      </c>
      <c r="E30" s="15">
        <f t="shared" si="0"/>
        <v>20.544631710362047</v>
      </c>
      <c r="F30" s="363"/>
      <c r="G30" s="64"/>
      <c r="H30" s="1034"/>
      <c r="I30" s="1034"/>
      <c r="N30" s="993"/>
      <c r="O30" s="26">
        <v>26330</v>
      </c>
      <c r="P30" s="36"/>
      <c r="Q30" s="1234">
        <f t="shared" si="15"/>
        <v>1281.5999999999999</v>
      </c>
      <c r="R30" s="1022">
        <f t="shared" si="2"/>
        <v>1281.5999999999999</v>
      </c>
      <c r="S30" s="27">
        <f t="shared" si="3"/>
        <v>20.544631710362047</v>
      </c>
      <c r="T30" s="33"/>
      <c r="U30" s="1465">
        <v>1281.5999999999999</v>
      </c>
      <c r="V30" s="1464"/>
      <c r="W30" s="1037"/>
      <c r="X30" s="1038"/>
      <c r="Y30" s="1"/>
      <c r="Z30" s="847"/>
      <c r="AA30" s="847"/>
      <c r="AB30" s="1025">
        <f t="shared" si="17"/>
        <v>0</v>
      </c>
      <c r="AC30" s="1039"/>
      <c r="AD30" s="1026">
        <f t="shared" si="18"/>
        <v>698.78337598565588</v>
      </c>
      <c r="AE30" s="1026">
        <f t="shared" si="11"/>
        <v>118767.32371875628</v>
      </c>
      <c r="AF30" s="1040">
        <f t="shared" si="16"/>
        <v>119466.10709474194</v>
      </c>
      <c r="AG30" s="1414"/>
      <c r="AH30" s="1414"/>
      <c r="AI30" s="1310"/>
      <c r="AJ30" s="1310"/>
      <c r="AK30" s="1320">
        <f t="shared" si="4"/>
        <v>0</v>
      </c>
      <c r="AL30" s="1312">
        <f t="shared" si="19"/>
        <v>18547.898364999997</v>
      </c>
      <c r="AM30" s="1312">
        <f t="shared" si="19"/>
        <v>105284.79553700001</v>
      </c>
      <c r="AN30" s="1007"/>
      <c r="AO30" s="1449">
        <v>1385.44</v>
      </c>
      <c r="AP30" s="1414"/>
      <c r="AQ30" s="987"/>
      <c r="AR30" s="310">
        <f t="shared" si="13"/>
        <v>0</v>
      </c>
      <c r="AS30" s="998"/>
      <c r="AT30" s="4">
        <v>0</v>
      </c>
      <c r="AU30" s="64">
        <v>0</v>
      </c>
      <c r="AV30" s="64">
        <v>0</v>
      </c>
      <c r="AW30" s="64">
        <v>0</v>
      </c>
      <c r="AX30" s="482">
        <v>0</v>
      </c>
      <c r="AZ30" s="987"/>
      <c r="BA30" s="987"/>
      <c r="BB30" s="987"/>
      <c r="BC30" s="987"/>
      <c r="BD30" s="987"/>
      <c r="BE30" s="847"/>
      <c r="BF30" s="310"/>
      <c r="BG30" s="310"/>
      <c r="BH30" s="310"/>
      <c r="BI30" s="310"/>
      <c r="BJ30" s="1041">
        <f>'January TCM'!LN28</f>
        <v>6.79</v>
      </c>
      <c r="BK30" s="1042"/>
      <c r="BL30" s="1"/>
      <c r="BM30" s="1032">
        <f t="shared" si="5"/>
        <v>5069.7877862210898</v>
      </c>
      <c r="BN30" s="1"/>
      <c r="BO30" s="1"/>
      <c r="BP30" s="1"/>
      <c r="BQ30" s="1"/>
      <c r="BR30" s="1"/>
      <c r="BS30" s="1"/>
      <c r="BT30" s="1"/>
      <c r="BU30" s="1"/>
      <c r="BV30" s="1"/>
      <c r="BW30" s="1"/>
      <c r="BX30" s="1"/>
      <c r="BY30" s="1"/>
      <c r="BZ30" s="1"/>
      <c r="CA30" s="1"/>
      <c r="CB30" s="1"/>
      <c r="CC30" s="1"/>
      <c r="CD30" s="1"/>
      <c r="CE30" s="1"/>
      <c r="CG30" s="1033">
        <v>19</v>
      </c>
      <c r="CH30" s="1">
        <f t="shared" si="6"/>
        <v>1281.5999999999999</v>
      </c>
      <c r="CI30">
        <v>2601192495</v>
      </c>
      <c r="CK30" s="412">
        <v>19</v>
      </c>
      <c r="CL30" s="1">
        <f t="shared" si="7"/>
        <v>0</v>
      </c>
    </row>
    <row r="31" spans="2:90">
      <c r="B31" s="989">
        <v>20</v>
      </c>
      <c r="C31" s="5">
        <f t="shared" si="14"/>
        <v>23894</v>
      </c>
      <c r="D31" s="488">
        <f t="shared" si="8"/>
        <v>1937.59</v>
      </c>
      <c r="E31" s="15">
        <f t="shared" si="0"/>
        <v>12.331814264111603</v>
      </c>
      <c r="F31" s="363"/>
      <c r="G31" s="64"/>
      <c r="H31" s="1034"/>
      <c r="I31" s="1034"/>
      <c r="N31" s="993"/>
      <c r="O31" s="26">
        <v>23894</v>
      </c>
      <c r="P31" s="36"/>
      <c r="Q31" s="1234">
        <f t="shared" si="15"/>
        <v>1937.59</v>
      </c>
      <c r="R31" s="1022">
        <f t="shared" si="2"/>
        <v>1937.59</v>
      </c>
      <c r="S31" s="5">
        <f t="shared" si="3"/>
        <v>12.331814264111603</v>
      </c>
      <c r="T31" s="12"/>
      <c r="U31" s="1465">
        <v>1381.3899999999999</v>
      </c>
      <c r="V31" s="1464">
        <v>556.20000000000005</v>
      </c>
      <c r="W31" s="1037"/>
      <c r="X31" s="1038"/>
      <c r="Y31" s="1"/>
      <c r="Z31" s="847"/>
      <c r="AA31" s="847"/>
      <c r="AB31" s="1025">
        <f t="shared" si="17"/>
        <v>0</v>
      </c>
      <c r="AC31" s="1039"/>
      <c r="AD31" s="1026">
        <f t="shared" si="18"/>
        <v>698.78337598565588</v>
      </c>
      <c r="AE31" s="1026">
        <f t="shared" si="11"/>
        <v>121663.09371875627</v>
      </c>
      <c r="AF31" s="1040">
        <f t="shared" si="16"/>
        <v>122361.87709474193</v>
      </c>
      <c r="AG31" s="1414"/>
      <c r="AH31" s="1414"/>
      <c r="AI31" s="1310"/>
      <c r="AJ31" s="1310"/>
      <c r="AK31" s="1320">
        <f t="shared" si="4"/>
        <v>0</v>
      </c>
      <c r="AL31" s="1312">
        <f t="shared" si="19"/>
        <v>18547.898364999997</v>
      </c>
      <c r="AM31" s="1312">
        <f t="shared" si="19"/>
        <v>104326.61553700002</v>
      </c>
      <c r="AN31" s="1007"/>
      <c r="AO31" s="999">
        <v>958.18000000000006</v>
      </c>
      <c r="AP31" s="1414"/>
      <c r="AQ31" s="987"/>
      <c r="AR31" s="310">
        <f t="shared" si="13"/>
        <v>0</v>
      </c>
      <c r="AS31" s="868"/>
      <c r="AT31" s="4">
        <v>0</v>
      </c>
      <c r="AU31" s="64">
        <v>0</v>
      </c>
      <c r="AV31" s="64">
        <v>0</v>
      </c>
      <c r="AW31" s="64">
        <v>0</v>
      </c>
      <c r="AX31" s="482">
        <v>0</v>
      </c>
      <c r="AZ31" s="987"/>
      <c r="BA31" s="987"/>
      <c r="BB31" s="987"/>
      <c r="BC31" s="987"/>
      <c r="BD31" s="987"/>
      <c r="BE31" s="847"/>
      <c r="BF31" s="847"/>
      <c r="BG31" s="847"/>
      <c r="BH31" s="847"/>
      <c r="BI31" s="847"/>
      <c r="BJ31" s="1041">
        <f>'January TCM'!LN29</f>
        <v>6.38</v>
      </c>
      <c r="BK31" s="1042"/>
      <c r="BL31" s="1"/>
      <c r="BM31" s="1032">
        <v>5239.1057733466432</v>
      </c>
      <c r="BN31" s="1"/>
      <c r="BO31" s="1"/>
      <c r="BP31" s="1"/>
      <c r="BQ31" s="1"/>
      <c r="BR31" s="1"/>
      <c r="BS31" s="1"/>
      <c r="BT31" s="1"/>
      <c r="BU31" s="1"/>
      <c r="BV31" s="1"/>
      <c r="BW31" s="1"/>
      <c r="BX31" s="1"/>
      <c r="BY31" s="1"/>
      <c r="BZ31" s="1"/>
      <c r="CA31" s="1"/>
      <c r="CB31" s="1"/>
      <c r="CC31" s="1"/>
      <c r="CD31" s="1"/>
      <c r="CE31" s="1"/>
      <c r="CG31" s="1033">
        <v>20</v>
      </c>
      <c r="CH31" s="1">
        <f t="shared" si="6"/>
        <v>1937.59</v>
      </c>
      <c r="CI31">
        <v>2601202794</v>
      </c>
      <c r="CK31" s="412">
        <v>20</v>
      </c>
      <c r="CL31" s="1">
        <f t="shared" si="7"/>
        <v>0</v>
      </c>
    </row>
    <row r="32" spans="2:90">
      <c r="B32" s="989">
        <v>21</v>
      </c>
      <c r="C32" s="5">
        <f t="shared" si="14"/>
        <v>25533</v>
      </c>
      <c r="D32" s="488">
        <f t="shared" si="8"/>
        <v>2347.58</v>
      </c>
      <c r="E32" s="15">
        <f t="shared" si="0"/>
        <v>10.876306664735601</v>
      </c>
      <c r="F32" s="363"/>
      <c r="G32" s="64"/>
      <c r="H32" s="1034"/>
      <c r="I32" s="1034"/>
      <c r="N32" s="993"/>
      <c r="O32" s="26">
        <v>25533</v>
      </c>
      <c r="P32" s="36"/>
      <c r="Q32" s="1234">
        <f t="shared" si="15"/>
        <v>2347.58</v>
      </c>
      <c r="R32" s="1022">
        <f t="shared" si="2"/>
        <v>2347.58</v>
      </c>
      <c r="S32" s="27">
        <f t="shared" si="3"/>
        <v>10.876306664735601</v>
      </c>
      <c r="T32" s="33"/>
      <c r="U32" s="1465">
        <v>2234.2199999999998</v>
      </c>
      <c r="V32" s="1464">
        <v>113.36</v>
      </c>
      <c r="W32" s="1037"/>
      <c r="X32" s="1038"/>
      <c r="Y32" s="1"/>
      <c r="Z32" s="847"/>
      <c r="AA32" s="847"/>
      <c r="AB32" s="1025">
        <f t="shared" si="17"/>
        <v>0</v>
      </c>
      <c r="AC32" s="1039"/>
      <c r="AD32" s="1026">
        <f t="shared" si="18"/>
        <v>698.78337598565588</v>
      </c>
      <c r="AE32" s="1026">
        <f t="shared" si="11"/>
        <v>124415.91371875627</v>
      </c>
      <c r="AF32" s="1040">
        <f t="shared" si="16"/>
        <v>125114.69709474193</v>
      </c>
      <c r="AG32" s="1414"/>
      <c r="AH32" s="1414"/>
      <c r="AI32" s="1310"/>
      <c r="AJ32" s="1310"/>
      <c r="AK32" s="1320">
        <f t="shared" si="4"/>
        <v>0</v>
      </c>
      <c r="AL32" s="1312">
        <f t="shared" si="19"/>
        <v>18547.898364999997</v>
      </c>
      <c r="AM32" s="1312">
        <f t="shared" si="19"/>
        <v>103921.37553700001</v>
      </c>
      <c r="AN32" s="1007"/>
      <c r="AO32" s="999">
        <v>405.24</v>
      </c>
      <c r="AP32" s="1414"/>
      <c r="AQ32" s="987"/>
      <c r="AR32" s="310">
        <f t="shared" si="13"/>
        <v>0</v>
      </c>
      <c r="AS32" s="998"/>
      <c r="AT32" s="4">
        <v>0</v>
      </c>
      <c r="AU32" s="64">
        <v>0</v>
      </c>
      <c r="AV32" s="64">
        <v>0</v>
      </c>
      <c r="AW32" s="64">
        <v>0</v>
      </c>
      <c r="AX32" s="482">
        <v>0</v>
      </c>
      <c r="AZ32" s="987"/>
      <c r="BA32" s="987"/>
      <c r="BB32" s="987"/>
      <c r="BC32" s="987"/>
      <c r="BD32" s="987"/>
      <c r="BE32" s="847"/>
      <c r="BF32" s="310"/>
      <c r="BG32" s="310"/>
      <c r="BH32" s="310"/>
      <c r="BI32" s="310"/>
      <c r="BJ32" s="1041">
        <f>'January TCM'!LN30</f>
        <v>5.97</v>
      </c>
      <c r="BK32" s="1042"/>
      <c r="BL32" s="1"/>
      <c r="BM32" s="1032">
        <f t="shared" si="5"/>
        <v>5239.1057733466432</v>
      </c>
      <c r="BN32" s="1"/>
      <c r="BO32" s="1"/>
      <c r="BP32" s="1"/>
      <c r="BQ32" s="1"/>
      <c r="BR32" s="1"/>
      <c r="BS32" s="1"/>
      <c r="BT32" s="1"/>
      <c r="BU32" s="1"/>
      <c r="BV32" s="1"/>
      <c r="BW32" s="1"/>
      <c r="BX32" s="1"/>
      <c r="BY32" s="1"/>
      <c r="BZ32" s="1"/>
      <c r="CA32" s="1"/>
      <c r="CB32" s="1"/>
      <c r="CC32" s="1"/>
      <c r="CD32" s="1"/>
      <c r="CE32" s="1"/>
      <c r="CG32" s="1033">
        <v>21</v>
      </c>
      <c r="CH32" s="1">
        <f t="shared" si="6"/>
        <v>2347.58</v>
      </c>
      <c r="CI32">
        <v>2601213058</v>
      </c>
      <c r="CK32" s="412">
        <v>21</v>
      </c>
      <c r="CL32" s="1">
        <f t="shared" si="7"/>
        <v>0</v>
      </c>
    </row>
    <row r="33" spans="2:90">
      <c r="B33" s="989">
        <v>22</v>
      </c>
      <c r="C33" s="5">
        <f t="shared" si="14"/>
        <v>25693</v>
      </c>
      <c r="D33" s="488">
        <f t="shared" si="8"/>
        <v>2549.4599999999996</v>
      </c>
      <c r="E33" s="15">
        <f t="shared" si="0"/>
        <v>10.077820401182997</v>
      </c>
      <c r="F33" s="363"/>
      <c r="G33" s="64"/>
      <c r="H33" s="1034"/>
      <c r="I33" s="1034"/>
      <c r="N33" s="993"/>
      <c r="O33" s="26">
        <v>25693</v>
      </c>
      <c r="P33" s="36"/>
      <c r="Q33" s="1234">
        <f t="shared" si="15"/>
        <v>2549.4599999999996</v>
      </c>
      <c r="R33" s="1022">
        <f t="shared" si="2"/>
        <v>2549.4599999999996</v>
      </c>
      <c r="S33" s="27">
        <f t="shared" si="3"/>
        <v>10.077820401182997</v>
      </c>
      <c r="T33" s="33"/>
      <c r="U33" s="1465">
        <v>2131.7599999999998</v>
      </c>
      <c r="V33" s="1464">
        <v>417.7</v>
      </c>
      <c r="W33" s="1037"/>
      <c r="X33" s="1038"/>
      <c r="Y33" s="1"/>
      <c r="Z33" s="847"/>
      <c r="AA33" s="847"/>
      <c r="AB33" s="1025">
        <f t="shared" si="17"/>
        <v>0</v>
      </c>
      <c r="AC33" s="1039"/>
      <c r="AD33" s="1026">
        <f t="shared" si="18"/>
        <v>698.78337598565588</v>
      </c>
      <c r="AE33" s="1026">
        <f t="shared" si="11"/>
        <v>126965.37371875628</v>
      </c>
      <c r="AF33" s="1040">
        <f t="shared" si="16"/>
        <v>127664.15709474194</v>
      </c>
      <c r="AG33" s="1414"/>
      <c r="AH33" s="1414"/>
      <c r="AI33" s="1310"/>
      <c r="AJ33" s="1310"/>
      <c r="AK33" s="1320">
        <f t="shared" si="4"/>
        <v>0</v>
      </c>
      <c r="AL33" s="1312">
        <f t="shared" si="19"/>
        <v>18547.898364999997</v>
      </c>
      <c r="AM33" s="1312">
        <f t="shared" si="19"/>
        <v>103921.37553700001</v>
      </c>
      <c r="AN33" s="1007"/>
      <c r="AO33" s="999"/>
      <c r="AP33" s="1414"/>
      <c r="AQ33" s="987"/>
      <c r="AR33" s="310">
        <f t="shared" si="13"/>
        <v>0</v>
      </c>
      <c r="AS33" s="998"/>
      <c r="AT33" s="4">
        <v>0</v>
      </c>
      <c r="AU33" s="64">
        <v>0</v>
      </c>
      <c r="AV33" s="64">
        <v>0</v>
      </c>
      <c r="AW33" s="64">
        <v>0</v>
      </c>
      <c r="AX33" s="482">
        <v>0</v>
      </c>
      <c r="AZ33" s="987"/>
      <c r="BA33" s="987"/>
      <c r="BB33" s="987"/>
      <c r="BC33" s="987"/>
      <c r="BD33" s="987"/>
      <c r="BE33" s="847"/>
      <c r="BF33" s="310"/>
      <c r="BG33" s="310"/>
      <c r="BH33" s="310"/>
      <c r="BI33" s="310"/>
      <c r="BJ33" s="1041">
        <f>'January TCM'!LN31</f>
        <v>5.97</v>
      </c>
      <c r="BK33" s="1042"/>
      <c r="BL33" s="1"/>
      <c r="BM33" s="1032">
        <f t="shared" si="5"/>
        <v>5239.1057733466432</v>
      </c>
      <c r="BN33" s="1"/>
      <c r="BO33" s="1"/>
      <c r="BP33" s="1"/>
      <c r="BQ33" s="1"/>
      <c r="BR33" s="1"/>
      <c r="BS33" s="1"/>
      <c r="BT33" s="1"/>
      <c r="BU33" s="1"/>
      <c r="BV33" s="1"/>
      <c r="BW33" s="1"/>
      <c r="BX33" s="1"/>
      <c r="BY33" s="1"/>
      <c r="BZ33" s="1"/>
      <c r="CA33" s="1"/>
      <c r="CB33" s="1"/>
      <c r="CC33" s="1"/>
      <c r="CD33" s="1"/>
      <c r="CE33" s="1"/>
      <c r="CG33" s="1033">
        <v>22</v>
      </c>
      <c r="CH33" s="1">
        <f t="shared" si="6"/>
        <v>2549.4599999999996</v>
      </c>
      <c r="CI33" s="1048">
        <v>2601223328</v>
      </c>
      <c r="CJ33" s="1048"/>
      <c r="CK33" s="412">
        <v>22</v>
      </c>
      <c r="CL33" s="1">
        <f t="shared" si="7"/>
        <v>0</v>
      </c>
    </row>
    <row r="34" spans="2:90">
      <c r="B34" s="989">
        <v>23</v>
      </c>
      <c r="C34" s="5">
        <f t="shared" si="14"/>
        <v>23392</v>
      </c>
      <c r="D34" s="488">
        <f t="shared" si="8"/>
        <v>1919.04</v>
      </c>
      <c r="E34" s="15">
        <f t="shared" si="0"/>
        <v>12.189428047357012</v>
      </c>
      <c r="F34" s="363"/>
      <c r="G34" s="64"/>
      <c r="H34" s="1034"/>
      <c r="I34" s="1034"/>
      <c r="N34" s="993"/>
      <c r="O34" s="26">
        <v>23392</v>
      </c>
      <c r="P34" s="36"/>
      <c r="Q34" s="1234">
        <f t="shared" si="15"/>
        <v>1919.04</v>
      </c>
      <c r="R34" s="1022">
        <f t="shared" si="2"/>
        <v>1919.04</v>
      </c>
      <c r="S34" s="27">
        <f t="shared" si="3"/>
        <v>12.189428047357012</v>
      </c>
      <c r="T34" s="33"/>
      <c r="U34" s="1465">
        <v>1393.8</v>
      </c>
      <c r="V34" s="1464">
        <v>525.24</v>
      </c>
      <c r="W34" s="1037"/>
      <c r="X34" s="1038"/>
      <c r="Y34" s="1"/>
      <c r="Z34" s="847"/>
      <c r="AA34" s="847"/>
      <c r="AB34" s="1025">
        <f t="shared" si="17"/>
        <v>0</v>
      </c>
      <c r="AC34" s="1039"/>
      <c r="AD34" s="1026">
        <f t="shared" si="18"/>
        <v>698.78337598565588</v>
      </c>
      <c r="AE34" s="1026">
        <f t="shared" si="11"/>
        <v>129939.21371875628</v>
      </c>
      <c r="AF34" s="1040">
        <f t="shared" si="16"/>
        <v>130637.99709474194</v>
      </c>
      <c r="AG34" s="1414"/>
      <c r="AH34" s="1414"/>
      <c r="AI34" s="1310"/>
      <c r="AJ34" s="1310"/>
      <c r="AK34" s="1320">
        <f t="shared" si="4"/>
        <v>0</v>
      </c>
      <c r="AL34" s="1312">
        <f t="shared" si="19"/>
        <v>18547.898364999997</v>
      </c>
      <c r="AM34" s="1312">
        <f t="shared" si="19"/>
        <v>102866.57553700001</v>
      </c>
      <c r="AN34" s="1007"/>
      <c r="AO34" s="999">
        <v>1054.8</v>
      </c>
      <c r="AP34" s="1414"/>
      <c r="AQ34" s="987"/>
      <c r="AR34" s="310">
        <f t="shared" si="13"/>
        <v>0</v>
      </c>
      <c r="AS34" s="998"/>
      <c r="AT34" s="4">
        <v>0</v>
      </c>
      <c r="AU34" s="64">
        <v>0</v>
      </c>
      <c r="AV34" s="64">
        <v>0</v>
      </c>
      <c r="AW34" s="64">
        <v>0</v>
      </c>
      <c r="AX34" s="482">
        <v>0</v>
      </c>
      <c r="AZ34" s="987"/>
      <c r="BA34" s="987"/>
      <c r="BB34" s="987"/>
      <c r="BC34" s="987"/>
      <c r="BD34" s="987"/>
      <c r="BE34" s="847"/>
      <c r="BF34" s="310"/>
      <c r="BG34" s="310"/>
      <c r="BH34" s="310"/>
      <c r="BI34" s="310"/>
      <c r="BJ34" s="1041">
        <f>'January TCM'!LN32</f>
        <v>5.28</v>
      </c>
      <c r="BK34" s="1042"/>
      <c r="BL34" s="1"/>
      <c r="BM34" s="1032">
        <f t="shared" si="5"/>
        <v>5239.1057733466432</v>
      </c>
      <c r="BN34" s="1"/>
      <c r="BO34" s="1"/>
      <c r="BP34" s="1"/>
      <c r="BQ34" s="1"/>
      <c r="BR34" s="1"/>
      <c r="BS34" s="1"/>
      <c r="BT34" s="1"/>
      <c r="BU34" s="1"/>
      <c r="BV34" s="1"/>
      <c r="BW34" s="1"/>
      <c r="BX34" s="1"/>
      <c r="BY34" s="1"/>
      <c r="BZ34" s="1"/>
      <c r="CA34" s="1"/>
      <c r="CB34" s="1"/>
      <c r="CC34" s="1"/>
      <c r="CD34" s="1"/>
      <c r="CE34" s="1"/>
      <c r="CG34" s="1033">
        <v>23</v>
      </c>
      <c r="CH34" s="1">
        <f t="shared" si="6"/>
        <v>1919.04</v>
      </c>
      <c r="CI34">
        <v>2601233543</v>
      </c>
      <c r="CK34" s="412">
        <v>23</v>
      </c>
      <c r="CL34" s="1">
        <f t="shared" si="7"/>
        <v>0</v>
      </c>
    </row>
    <row r="35" spans="2:90">
      <c r="B35" s="989">
        <v>24</v>
      </c>
      <c r="C35" s="5">
        <f t="shared" si="14"/>
        <v>17339</v>
      </c>
      <c r="D35" s="488">
        <f t="shared" si="8"/>
        <v>330.48</v>
      </c>
      <c r="E35" s="15">
        <f t="shared" si="0"/>
        <v>52.466109900750418</v>
      </c>
      <c r="F35" s="363"/>
      <c r="G35" s="64"/>
      <c r="H35" s="1034">
        <v>15</v>
      </c>
      <c r="I35" s="1034">
        <v>6</v>
      </c>
      <c r="N35" s="993"/>
      <c r="O35" s="26">
        <v>17339</v>
      </c>
      <c r="P35" s="36"/>
      <c r="Q35" s="1234">
        <f t="shared" si="15"/>
        <v>330.48</v>
      </c>
      <c r="R35" s="1022">
        <f t="shared" si="2"/>
        <v>330.48</v>
      </c>
      <c r="S35" s="27">
        <f t="shared" si="3"/>
        <v>52.466109900750418</v>
      </c>
      <c r="T35" s="33"/>
      <c r="U35" s="1465">
        <v>153.06</v>
      </c>
      <c r="V35" s="1464">
        <v>177.42</v>
      </c>
      <c r="W35" s="1037"/>
      <c r="X35" s="1038"/>
      <c r="Y35" s="1"/>
      <c r="Z35" s="847"/>
      <c r="AA35" s="847"/>
      <c r="AB35" s="1025">
        <f t="shared" si="17"/>
        <v>0</v>
      </c>
      <c r="AC35" s="1039"/>
      <c r="AD35" s="1026">
        <f t="shared" si="18"/>
        <v>698.78337598565588</v>
      </c>
      <c r="AE35" s="1026">
        <f t="shared" si="11"/>
        <v>131951.13371875626</v>
      </c>
      <c r="AF35" s="1040">
        <f t="shared" si="16"/>
        <v>132649.91709474192</v>
      </c>
      <c r="AG35" s="1414"/>
      <c r="AH35" s="1414"/>
      <c r="AI35" s="1310"/>
      <c r="AJ35" s="1310"/>
      <c r="AK35" s="1320">
        <f t="shared" si="4"/>
        <v>0</v>
      </c>
      <c r="AL35" s="1312">
        <f t="shared" si="19"/>
        <v>18547.898364999997</v>
      </c>
      <c r="AM35" s="1312">
        <f t="shared" si="19"/>
        <v>101185.13553700001</v>
      </c>
      <c r="AN35" s="1007"/>
      <c r="AO35" s="999">
        <v>1681.44</v>
      </c>
      <c r="AP35" s="1414"/>
      <c r="AQ35" s="987"/>
      <c r="AR35" s="310">
        <f t="shared" si="13"/>
        <v>0</v>
      </c>
      <c r="AS35" s="998"/>
      <c r="AT35" s="4">
        <v>0</v>
      </c>
      <c r="AU35" s="64">
        <v>0</v>
      </c>
      <c r="AV35" s="64">
        <v>0</v>
      </c>
      <c r="AW35" s="64">
        <v>0</v>
      </c>
      <c r="AX35" s="482">
        <v>0</v>
      </c>
      <c r="AZ35" s="987"/>
      <c r="BA35" s="987"/>
      <c r="BB35" s="987"/>
      <c r="BC35" s="987"/>
      <c r="BD35" s="987"/>
      <c r="BE35" s="310"/>
      <c r="BF35" s="310"/>
      <c r="BG35" s="310"/>
      <c r="BH35" s="310"/>
      <c r="BI35" s="310"/>
      <c r="BJ35" s="1041">
        <f>'January TCM'!LN33</f>
        <v>5.0199999999999996</v>
      </c>
      <c r="BK35" s="1042"/>
      <c r="BL35" s="1"/>
      <c r="BM35" s="1032">
        <f t="shared" si="5"/>
        <v>5239.1057733466432</v>
      </c>
      <c r="BN35" s="1"/>
      <c r="BO35" s="1"/>
      <c r="BP35" s="1"/>
      <c r="BQ35" s="1"/>
      <c r="BR35" s="1"/>
      <c r="BS35" s="1"/>
      <c r="BT35" s="1"/>
      <c r="BU35" s="1"/>
      <c r="BV35" s="1"/>
      <c r="BW35" s="1"/>
      <c r="BX35" s="1"/>
      <c r="BY35" s="1"/>
      <c r="BZ35" s="1"/>
      <c r="CA35" s="1"/>
      <c r="CB35" s="1"/>
      <c r="CC35" s="1"/>
      <c r="CD35" s="1"/>
      <c r="CE35" s="1"/>
      <c r="CG35" s="1033">
        <v>24</v>
      </c>
      <c r="CH35" s="1">
        <f t="shared" si="6"/>
        <v>330.48</v>
      </c>
      <c r="CI35" s="1050">
        <v>2601243851</v>
      </c>
      <c r="CJ35" s="1048"/>
      <c r="CK35" s="412">
        <v>24</v>
      </c>
      <c r="CL35" s="1">
        <f t="shared" si="7"/>
        <v>0</v>
      </c>
    </row>
    <row r="36" spans="2:90">
      <c r="B36" s="989">
        <v>25</v>
      </c>
      <c r="C36" s="5">
        <f t="shared" si="14"/>
        <v>18182</v>
      </c>
      <c r="D36" s="488">
        <f t="shared" si="8"/>
        <v>829.98</v>
      </c>
      <c r="E36" s="1051">
        <f t="shared" si="0"/>
        <v>21.906551965107592</v>
      </c>
      <c r="F36" s="363"/>
      <c r="G36" s="64"/>
      <c r="H36" s="1034">
        <v>5</v>
      </c>
      <c r="I36" s="1034">
        <v>4.25</v>
      </c>
      <c r="N36" s="993"/>
      <c r="O36" s="26">
        <v>18182</v>
      </c>
      <c r="P36" s="36"/>
      <c r="Q36" s="1234">
        <f t="shared" si="15"/>
        <v>829.98</v>
      </c>
      <c r="R36" s="1022">
        <f t="shared" si="2"/>
        <v>829.98</v>
      </c>
      <c r="S36" s="53">
        <f t="shared" si="3"/>
        <v>21.906551965107592</v>
      </c>
      <c r="T36" s="33"/>
      <c r="U36" s="1465">
        <v>829.98</v>
      </c>
      <c r="V36" s="1464"/>
      <c r="W36" s="1037"/>
      <c r="X36" s="1038"/>
      <c r="Y36" s="1"/>
      <c r="Z36" s="847"/>
      <c r="AA36" s="847"/>
      <c r="AB36" s="1025">
        <f t="shared" si="17"/>
        <v>0</v>
      </c>
      <c r="AC36" s="1039"/>
      <c r="AD36" s="1026">
        <f t="shared" si="18"/>
        <v>698.78337598565588</v>
      </c>
      <c r="AE36" s="1026">
        <f t="shared" si="11"/>
        <v>133808.59371875628</v>
      </c>
      <c r="AF36" s="1040">
        <f t="shared" si="16"/>
        <v>134507.37709474194</v>
      </c>
      <c r="AG36" s="1414"/>
      <c r="AH36" s="1414"/>
      <c r="AI36" s="1310"/>
      <c r="AJ36" s="1310"/>
      <c r="AK36" s="1320">
        <f t="shared" si="4"/>
        <v>0</v>
      </c>
      <c r="AL36" s="1312">
        <f t="shared" si="19"/>
        <v>18547.898364999997</v>
      </c>
      <c r="AM36" s="1312">
        <f t="shared" si="19"/>
        <v>100157.65553700001</v>
      </c>
      <c r="AN36" s="1007"/>
      <c r="AO36" s="999">
        <v>1027.48</v>
      </c>
      <c r="AP36" s="1414"/>
      <c r="AQ36" s="987"/>
      <c r="AR36" s="310">
        <f t="shared" si="13"/>
        <v>0</v>
      </c>
      <c r="AS36" s="998"/>
      <c r="AT36" s="4">
        <v>0</v>
      </c>
      <c r="AU36" s="64">
        <v>0</v>
      </c>
      <c r="AV36" s="64">
        <v>0</v>
      </c>
      <c r="AW36" s="64">
        <v>0</v>
      </c>
      <c r="AX36" s="482">
        <v>0</v>
      </c>
      <c r="AZ36" s="987"/>
      <c r="BA36" s="987"/>
      <c r="BB36" s="987"/>
      <c r="BC36" s="987"/>
      <c r="BD36" s="987"/>
      <c r="BE36" s="310"/>
      <c r="BF36" s="310"/>
      <c r="BG36" s="310"/>
      <c r="BH36" s="310"/>
      <c r="BI36" s="310"/>
      <c r="BJ36" s="1041">
        <f>'January TCM'!LN34</f>
        <v>4.74</v>
      </c>
      <c r="BK36" s="1042"/>
      <c r="BL36" s="1"/>
      <c r="BM36" s="1032">
        <f t="shared" si="5"/>
        <v>5239.1057733466432</v>
      </c>
      <c r="BN36" s="1"/>
      <c r="BO36" s="1"/>
      <c r="BP36" s="1"/>
      <c r="BQ36" s="1"/>
      <c r="BR36" s="1"/>
      <c r="BS36" s="1"/>
      <c r="BT36" s="1"/>
      <c r="BU36" s="1"/>
      <c r="BV36" s="1"/>
      <c r="BW36" s="1"/>
      <c r="BX36" s="1"/>
      <c r="BY36" s="1"/>
      <c r="BZ36" s="1"/>
      <c r="CA36" s="1"/>
      <c r="CB36" s="1"/>
      <c r="CC36" s="1"/>
      <c r="CD36" s="1"/>
      <c r="CE36" s="1"/>
      <c r="CG36" s="1033">
        <v>25</v>
      </c>
      <c r="CH36" s="1">
        <f t="shared" si="6"/>
        <v>829.98</v>
      </c>
      <c r="CI36">
        <v>2601254065</v>
      </c>
      <c r="CK36" s="412">
        <v>25</v>
      </c>
      <c r="CL36" s="1">
        <f t="shared" si="7"/>
        <v>0</v>
      </c>
    </row>
    <row r="37" spans="2:90">
      <c r="B37" s="989">
        <v>26</v>
      </c>
      <c r="C37" s="5">
        <f t="shared" si="14"/>
        <v>20449</v>
      </c>
      <c r="D37" s="488">
        <f t="shared" si="8"/>
        <v>560.94000000000005</v>
      </c>
      <c r="E37" s="1051">
        <f t="shared" si="0"/>
        <v>36.454879309730096</v>
      </c>
      <c r="F37" s="363"/>
      <c r="G37" s="64"/>
      <c r="H37" s="1034">
        <v>5</v>
      </c>
      <c r="I37" s="1034">
        <v>5.45</v>
      </c>
      <c r="N37" s="993"/>
      <c r="O37" s="26">
        <v>20449</v>
      </c>
      <c r="P37" s="36"/>
      <c r="Q37" s="1234">
        <f t="shared" si="15"/>
        <v>560.94000000000005</v>
      </c>
      <c r="R37" s="1022">
        <f t="shared" si="2"/>
        <v>560.94000000000005</v>
      </c>
      <c r="S37" s="53">
        <f t="shared" si="3"/>
        <v>36.454879309730096</v>
      </c>
      <c r="T37" s="33"/>
      <c r="U37" s="1465">
        <v>560.94000000000005</v>
      </c>
      <c r="V37" s="1464"/>
      <c r="W37" s="1037"/>
      <c r="X37" s="1038"/>
      <c r="Y37" s="1"/>
      <c r="Z37" s="847"/>
      <c r="AA37" s="847"/>
      <c r="AB37" s="1025">
        <f t="shared" si="17"/>
        <v>0</v>
      </c>
      <c r="AC37" s="1039"/>
      <c r="AD37" s="1026">
        <f t="shared" si="18"/>
        <v>698.78337598565588</v>
      </c>
      <c r="AE37" s="1026">
        <f t="shared" si="11"/>
        <v>135371.69371875629</v>
      </c>
      <c r="AF37" s="1040">
        <f t="shared" si="16"/>
        <v>136070.47709474195</v>
      </c>
      <c r="AG37" s="1414"/>
      <c r="AH37" s="1414"/>
      <c r="AI37" s="1310"/>
      <c r="AJ37" s="1310"/>
      <c r="AK37" s="1320">
        <f t="shared" si="4"/>
        <v>0</v>
      </c>
      <c r="AL37" s="1312">
        <f t="shared" si="19"/>
        <v>18547.898364999997</v>
      </c>
      <c r="AM37" s="1312">
        <f t="shared" si="19"/>
        <v>99155.49553700001</v>
      </c>
      <c r="AN37" s="1007"/>
      <c r="AO37" s="1449">
        <v>1002.16</v>
      </c>
      <c r="AP37" s="1414"/>
      <c r="AQ37" s="987"/>
      <c r="AR37" s="310">
        <f t="shared" si="13"/>
        <v>0</v>
      </c>
      <c r="AS37" s="998"/>
      <c r="AT37" s="4">
        <v>0</v>
      </c>
      <c r="AU37" s="64">
        <v>0</v>
      </c>
      <c r="AV37" s="64">
        <v>0</v>
      </c>
      <c r="AW37" s="64">
        <v>0</v>
      </c>
      <c r="AX37" s="482">
        <v>0</v>
      </c>
      <c r="AZ37" s="987"/>
      <c r="BA37" s="987"/>
      <c r="BB37" s="987"/>
      <c r="BC37" s="987"/>
      <c r="BD37" s="987"/>
      <c r="BE37" s="310"/>
      <c r="BF37" s="310"/>
      <c r="BG37" s="310"/>
      <c r="BH37" s="310"/>
      <c r="BI37" s="310"/>
      <c r="BJ37" s="1041">
        <f>'January TCM'!LN35</f>
        <v>4.7</v>
      </c>
      <c r="BK37" s="1052"/>
      <c r="BL37" s="857"/>
      <c r="BM37" s="1032">
        <f t="shared" si="5"/>
        <v>5239.1057733466432</v>
      </c>
      <c r="BN37" s="857"/>
      <c r="BO37" s="857"/>
      <c r="BP37" s="857"/>
      <c r="BQ37" s="857"/>
      <c r="BR37" s="857"/>
      <c r="BS37" s="857"/>
      <c r="BT37" s="857"/>
      <c r="BU37" s="857"/>
      <c r="BV37" s="857"/>
      <c r="BW37" s="857"/>
      <c r="BX37" s="857"/>
      <c r="BY37" s="857"/>
      <c r="BZ37" s="857"/>
      <c r="CA37" s="857"/>
      <c r="CB37" s="857"/>
      <c r="CC37" s="857"/>
      <c r="CD37" s="857"/>
      <c r="CE37" s="857"/>
      <c r="CG37" s="1033">
        <v>26</v>
      </c>
      <c r="CH37" s="1">
        <f t="shared" si="6"/>
        <v>560.94000000000005</v>
      </c>
      <c r="CI37" s="1048">
        <v>2601264195</v>
      </c>
      <c r="CJ37" s="1048"/>
      <c r="CK37" s="412">
        <v>26</v>
      </c>
      <c r="CL37" s="1">
        <f t="shared" si="7"/>
        <v>0</v>
      </c>
    </row>
    <row r="38" spans="2:90">
      <c r="B38" s="989">
        <v>27</v>
      </c>
      <c r="C38" s="5">
        <f t="shared" si="14"/>
        <v>19969</v>
      </c>
      <c r="D38" s="488">
        <f t="shared" si="8"/>
        <v>98.02</v>
      </c>
      <c r="E38" s="1051">
        <f t="shared" si="0"/>
        <v>203.72372985105082</v>
      </c>
      <c r="F38" s="363"/>
      <c r="G38" s="64"/>
      <c r="H38" s="1034">
        <v>12</v>
      </c>
      <c r="I38" s="1034">
        <v>6.92</v>
      </c>
      <c r="N38" s="993"/>
      <c r="O38" s="26">
        <v>19969</v>
      </c>
      <c r="P38" s="36"/>
      <c r="Q38" s="1234">
        <f t="shared" si="15"/>
        <v>98.02</v>
      </c>
      <c r="R38" s="1022">
        <f t="shared" si="2"/>
        <v>98.02</v>
      </c>
      <c r="S38" s="53">
        <f t="shared" si="3"/>
        <v>203.72372985105082</v>
      </c>
      <c r="T38" s="33"/>
      <c r="U38" s="1465"/>
      <c r="V38" s="1464">
        <v>98.02</v>
      </c>
      <c r="W38" s="1037"/>
      <c r="X38" s="1038"/>
      <c r="Y38" s="1"/>
      <c r="Z38" s="847"/>
      <c r="AA38" s="847"/>
      <c r="AB38" s="1025">
        <f t="shared" si="17"/>
        <v>0</v>
      </c>
      <c r="AC38" s="1039"/>
      <c r="AD38" s="1026">
        <f t="shared" si="18"/>
        <v>698.78337598565588</v>
      </c>
      <c r="AE38" s="1026">
        <f t="shared" si="11"/>
        <v>137392.51371875627</v>
      </c>
      <c r="AF38" s="1040">
        <f t="shared" si="16"/>
        <v>138091.29709474192</v>
      </c>
      <c r="AG38" s="1414"/>
      <c r="AH38" s="1414"/>
      <c r="AI38" s="1310"/>
      <c r="AJ38" s="1310"/>
      <c r="AK38" s="1320">
        <f t="shared" si="4"/>
        <v>0</v>
      </c>
      <c r="AL38" s="1312">
        <f t="shared" si="19"/>
        <v>18547.898364999997</v>
      </c>
      <c r="AM38" s="1312">
        <f t="shared" si="19"/>
        <v>97232.695537000007</v>
      </c>
      <c r="AN38" s="1007"/>
      <c r="AO38" s="999">
        <v>1922.8</v>
      </c>
      <c r="AP38" s="1414"/>
      <c r="AQ38" s="987"/>
      <c r="AR38" s="310">
        <f t="shared" si="13"/>
        <v>0</v>
      </c>
      <c r="AS38" s="998"/>
      <c r="AT38" s="4">
        <v>0</v>
      </c>
      <c r="AU38" s="64">
        <v>0</v>
      </c>
      <c r="AV38" s="64">
        <v>0</v>
      </c>
      <c r="AW38" s="64">
        <v>0</v>
      </c>
      <c r="AX38" s="482">
        <v>0</v>
      </c>
      <c r="AZ38" s="987"/>
      <c r="BA38" s="987"/>
      <c r="BB38" s="987"/>
      <c r="BC38" s="987"/>
      <c r="BD38" s="987"/>
      <c r="BE38" s="310"/>
      <c r="BF38" s="310"/>
      <c r="BG38" s="310"/>
      <c r="BH38" s="310"/>
      <c r="BI38" s="310"/>
      <c r="BJ38" s="1041">
        <f>'January TCM'!LN36</f>
        <v>4.62</v>
      </c>
      <c r="BK38" s="1053"/>
      <c r="BL38" s="857"/>
      <c r="BM38" s="1032">
        <f t="shared" si="5"/>
        <v>5239.1057733466432</v>
      </c>
      <c r="BN38" s="857"/>
      <c r="BO38" s="857"/>
      <c r="BP38" s="857"/>
      <c r="BQ38" s="857"/>
      <c r="BR38" s="857"/>
      <c r="BS38" s="857"/>
      <c r="BT38" s="857"/>
      <c r="BU38" s="857"/>
      <c r="BV38" s="857"/>
      <c r="BW38" s="857"/>
      <c r="BX38" s="857"/>
      <c r="BY38" s="857"/>
      <c r="BZ38" s="857"/>
      <c r="CA38" s="857"/>
      <c r="CB38" s="857"/>
      <c r="CC38" s="857"/>
      <c r="CD38" s="857"/>
      <c r="CE38" s="857"/>
      <c r="CG38" s="1033">
        <v>27</v>
      </c>
      <c r="CH38" s="1">
        <f t="shared" si="6"/>
        <v>98.02</v>
      </c>
      <c r="CI38" s="1048">
        <v>2601274338</v>
      </c>
      <c r="CJ38" s="1048"/>
      <c r="CK38" s="412">
        <v>27</v>
      </c>
      <c r="CL38" s="1">
        <f t="shared" si="7"/>
        <v>0</v>
      </c>
    </row>
    <row r="39" spans="2:90">
      <c r="B39" s="989">
        <v>28</v>
      </c>
      <c r="C39" s="5">
        <f t="shared" si="14"/>
        <v>27536</v>
      </c>
      <c r="D39" s="488">
        <f t="shared" si="8"/>
        <v>783.18</v>
      </c>
      <c r="E39" s="1051">
        <f t="shared" si="0"/>
        <v>35.159222656349755</v>
      </c>
      <c r="F39" s="363"/>
      <c r="G39" s="64"/>
      <c r="H39" s="1034">
        <v>8</v>
      </c>
      <c r="I39" s="1034">
        <v>1.08</v>
      </c>
      <c r="N39" s="993"/>
      <c r="O39" s="26">
        <v>27536</v>
      </c>
      <c r="P39" s="36"/>
      <c r="Q39" s="1234">
        <f t="shared" si="15"/>
        <v>783.18</v>
      </c>
      <c r="R39" s="1022">
        <f t="shared" si="2"/>
        <v>783.18</v>
      </c>
      <c r="S39" s="53">
        <f t="shared" si="3"/>
        <v>35.159222656349755</v>
      </c>
      <c r="T39" s="33"/>
      <c r="U39" s="1465">
        <v>587.79999999999995</v>
      </c>
      <c r="V39" s="1464">
        <v>195.38</v>
      </c>
      <c r="W39" s="1037"/>
      <c r="X39" s="1038"/>
      <c r="Y39" s="1"/>
      <c r="Z39" s="847"/>
      <c r="AA39" s="847"/>
      <c r="AB39" s="1025">
        <f t="shared" si="17"/>
        <v>0</v>
      </c>
      <c r="AC39" s="1039"/>
      <c r="AD39" s="1026">
        <f t="shared" si="18"/>
        <v>698.78337598565588</v>
      </c>
      <c r="AE39" s="1026">
        <f t="shared" si="11"/>
        <v>139694.93371875625</v>
      </c>
      <c r="AF39" s="1040">
        <f t="shared" si="16"/>
        <v>140393.71709474191</v>
      </c>
      <c r="AG39" s="1414"/>
      <c r="AH39" s="1414"/>
      <c r="AI39" s="1310"/>
      <c r="AJ39" s="1310"/>
      <c r="AK39" s="1320">
        <f t="shared" si="4"/>
        <v>0</v>
      </c>
      <c r="AL39" s="1312">
        <f t="shared" si="19"/>
        <v>18547.898364999997</v>
      </c>
      <c r="AM39" s="1312">
        <f t="shared" si="19"/>
        <v>95713.455537000002</v>
      </c>
      <c r="AN39" s="1007"/>
      <c r="AO39" s="999">
        <v>1519.24</v>
      </c>
      <c r="AP39" s="1414"/>
      <c r="AQ39" s="987"/>
      <c r="AR39" s="310">
        <f t="shared" si="13"/>
        <v>0</v>
      </c>
      <c r="AS39" s="998"/>
      <c r="AT39" s="4">
        <v>0</v>
      </c>
      <c r="AU39" s="64">
        <v>0</v>
      </c>
      <c r="AV39" s="64">
        <v>0</v>
      </c>
      <c r="AW39" s="64">
        <v>0</v>
      </c>
      <c r="AX39" s="482">
        <v>0</v>
      </c>
      <c r="AZ39" s="987"/>
      <c r="BA39" s="987"/>
      <c r="BB39" s="987"/>
      <c r="BC39" s="987"/>
      <c r="BD39" s="987"/>
      <c r="BE39" s="310"/>
      <c r="BF39" s="310"/>
      <c r="BG39" s="310"/>
      <c r="BH39" s="310"/>
      <c r="BI39" s="310"/>
      <c r="BJ39" s="1041">
        <f>'January TCM'!LN37</f>
        <v>4.68</v>
      </c>
      <c r="BK39" s="1042"/>
      <c r="BL39" s="1"/>
      <c r="BM39" s="1032">
        <f t="shared" si="5"/>
        <v>5239.1057733466432</v>
      </c>
      <c r="BN39" s="1"/>
      <c r="BO39" s="1"/>
      <c r="BP39" s="1"/>
      <c r="BQ39" s="1"/>
      <c r="BR39" s="1"/>
      <c r="BS39" s="1"/>
      <c r="BT39" s="1"/>
      <c r="BU39" s="1"/>
      <c r="BV39" s="1"/>
      <c r="BW39" s="1"/>
      <c r="BX39" s="1"/>
      <c r="BY39" s="1"/>
      <c r="BZ39" s="1"/>
      <c r="CA39" s="1"/>
      <c r="CB39" s="1"/>
      <c r="CC39" s="1"/>
      <c r="CD39" s="1"/>
      <c r="CE39" s="1"/>
      <c r="CG39" s="1033">
        <v>28</v>
      </c>
      <c r="CH39" s="1">
        <f t="shared" si="6"/>
        <v>783.18</v>
      </c>
      <c r="CI39" s="1045">
        <v>2601284554</v>
      </c>
      <c r="CK39" s="412">
        <v>28</v>
      </c>
      <c r="CL39" s="1">
        <f t="shared" si="7"/>
        <v>0</v>
      </c>
    </row>
    <row r="40" spans="2:90">
      <c r="B40" s="989">
        <v>29</v>
      </c>
      <c r="C40" s="5">
        <f t="shared" si="14"/>
        <v>14152</v>
      </c>
      <c r="D40" s="488">
        <f t="shared" si="8"/>
        <v>720.46</v>
      </c>
      <c r="E40" s="1051">
        <f t="shared" si="0"/>
        <v>19.643005857368902</v>
      </c>
      <c r="F40" s="363"/>
      <c r="G40" s="64"/>
      <c r="H40" s="1034">
        <v>27</v>
      </c>
      <c r="I40" s="1034">
        <v>12.17</v>
      </c>
      <c r="N40" s="993"/>
      <c r="O40" s="26">
        <v>14152</v>
      </c>
      <c r="P40" s="36"/>
      <c r="Q40" s="1234">
        <f t="shared" si="15"/>
        <v>720.46</v>
      </c>
      <c r="R40" s="1022">
        <f t="shared" si="2"/>
        <v>720.46</v>
      </c>
      <c r="S40" s="53">
        <f t="shared" si="3"/>
        <v>19.643005857368902</v>
      </c>
      <c r="T40" s="33"/>
      <c r="U40" s="1465">
        <v>502.2</v>
      </c>
      <c r="V40" s="1464">
        <v>218.26</v>
      </c>
      <c r="W40" s="1037"/>
      <c r="X40" s="1038"/>
      <c r="Y40" s="1"/>
      <c r="Z40" s="847"/>
      <c r="AA40" s="847"/>
      <c r="AB40" s="1025">
        <f t="shared" si="17"/>
        <v>0</v>
      </c>
      <c r="AC40" s="1039"/>
      <c r="AD40" s="1026">
        <f t="shared" si="18"/>
        <v>698.78337598565588</v>
      </c>
      <c r="AE40" s="1026">
        <f t="shared" si="11"/>
        <v>140777.83371875624</v>
      </c>
      <c r="AF40" s="1040">
        <f t="shared" si="16"/>
        <v>141476.6170947419</v>
      </c>
      <c r="AG40" s="1414"/>
      <c r="AH40" s="1414"/>
      <c r="AI40" s="1310"/>
      <c r="AJ40" s="1310"/>
      <c r="AK40" s="1320">
        <f t="shared" si="4"/>
        <v>0</v>
      </c>
      <c r="AL40" s="1312">
        <f t="shared" si="19"/>
        <v>18547.898364999997</v>
      </c>
      <c r="AM40" s="1312">
        <f t="shared" si="19"/>
        <v>95351.015536999999</v>
      </c>
      <c r="AN40" s="1007"/>
      <c r="AO40" s="999">
        <v>362.44</v>
      </c>
      <c r="AP40" s="1414"/>
      <c r="AQ40" s="987"/>
      <c r="AR40" s="310">
        <f t="shared" si="13"/>
        <v>0</v>
      </c>
      <c r="AS40" s="998"/>
      <c r="AT40" s="845">
        <v>0</v>
      </c>
      <c r="AU40" s="64">
        <v>0</v>
      </c>
      <c r="AV40" s="64">
        <v>0</v>
      </c>
      <c r="AW40" s="64">
        <v>0</v>
      </c>
      <c r="AX40" s="482">
        <v>0</v>
      </c>
      <c r="AZ40" s="987"/>
      <c r="BA40" s="987"/>
      <c r="BB40" s="987"/>
      <c r="BC40" s="987"/>
      <c r="BD40" s="987"/>
      <c r="BE40" s="310"/>
      <c r="BF40" s="310"/>
      <c r="BG40" s="310"/>
      <c r="BH40" s="310"/>
      <c r="BI40" s="310"/>
      <c r="BJ40" s="1041">
        <f>'January TCM'!LN38</f>
        <v>5.35</v>
      </c>
      <c r="BK40" s="1042"/>
      <c r="BL40" s="1"/>
      <c r="BM40" s="1032">
        <f t="shared" si="5"/>
        <v>5239.1057733466432</v>
      </c>
      <c r="BN40" s="1"/>
      <c r="BO40" s="1"/>
      <c r="BP40" s="1"/>
      <c r="BQ40" s="1"/>
      <c r="BR40" s="1"/>
      <c r="BS40" s="1"/>
      <c r="BT40" s="1"/>
      <c r="BU40" s="1"/>
      <c r="BV40" s="1"/>
      <c r="BW40" s="1"/>
      <c r="BX40" s="1"/>
      <c r="BY40" s="1"/>
      <c r="BZ40" s="1"/>
      <c r="CA40" s="1"/>
      <c r="CB40" s="1"/>
      <c r="CC40" s="1"/>
      <c r="CD40" s="1"/>
      <c r="CE40" s="1"/>
      <c r="CG40" s="1033">
        <v>29</v>
      </c>
      <c r="CH40" s="1">
        <f t="shared" si="6"/>
        <v>720.46</v>
      </c>
      <c r="CK40" s="412">
        <v>29</v>
      </c>
      <c r="CL40" s="1">
        <f t="shared" si="7"/>
        <v>0</v>
      </c>
    </row>
    <row r="41" spans="2:90">
      <c r="B41" s="990">
        <v>30</v>
      </c>
      <c r="C41" s="5">
        <f t="shared" si="14"/>
        <v>15900</v>
      </c>
      <c r="D41" s="5">
        <f t="shared" si="8"/>
        <v>996.38</v>
      </c>
      <c r="E41" s="1051">
        <f t="shared" si="0"/>
        <v>15.957767116963408</v>
      </c>
      <c r="F41" s="845"/>
      <c r="G41" s="64"/>
      <c r="H41" s="1034">
        <v>41</v>
      </c>
      <c r="I41" s="1034">
        <v>11.27</v>
      </c>
      <c r="N41" s="1054"/>
      <c r="O41" s="26">
        <v>15900</v>
      </c>
      <c r="P41" s="36"/>
      <c r="Q41" s="1234">
        <f t="shared" si="15"/>
        <v>996.38</v>
      </c>
      <c r="R41" s="1022">
        <f t="shared" si="2"/>
        <v>996.38</v>
      </c>
      <c r="S41" s="53">
        <f t="shared" si="3"/>
        <v>15.957767116963408</v>
      </c>
      <c r="T41" s="33"/>
      <c r="U41" s="1465">
        <v>656.24</v>
      </c>
      <c r="V41" s="1464">
        <v>340.14</v>
      </c>
      <c r="W41" s="1037"/>
      <c r="X41" s="1038"/>
      <c r="Y41" s="1"/>
      <c r="Z41" s="847"/>
      <c r="AA41" s="847"/>
      <c r="AB41" s="1025">
        <f t="shared" si="17"/>
        <v>0</v>
      </c>
      <c r="AC41" s="1039"/>
      <c r="AD41" s="1026">
        <f t="shared" si="18"/>
        <v>698.78337598565588</v>
      </c>
      <c r="AE41" s="1026">
        <f t="shared" si="11"/>
        <v>142351.13371875626</v>
      </c>
      <c r="AF41" s="1040">
        <f t="shared" si="16"/>
        <v>143049.91709474192</v>
      </c>
      <c r="AG41" s="1414"/>
      <c r="AH41" s="1414"/>
      <c r="AI41" s="1310"/>
      <c r="AJ41" s="1310"/>
      <c r="AK41" s="1320">
        <f t="shared" si="4"/>
        <v>0</v>
      </c>
      <c r="AL41" s="1312">
        <f t="shared" si="19"/>
        <v>18547.898364999997</v>
      </c>
      <c r="AM41" s="1312">
        <f t="shared" si="19"/>
        <v>94774.095537000001</v>
      </c>
      <c r="AN41" s="1007"/>
      <c r="AO41" s="999">
        <v>576.92000000000007</v>
      </c>
      <c r="AP41" s="1414"/>
      <c r="AQ41" s="987"/>
      <c r="AR41" s="310">
        <f t="shared" si="13"/>
        <v>0</v>
      </c>
      <c r="AS41" s="998"/>
      <c r="AT41" s="4">
        <v>0</v>
      </c>
      <c r="AU41" s="64">
        <v>0</v>
      </c>
      <c r="AV41" s="64">
        <v>0</v>
      </c>
      <c r="AW41" s="64">
        <v>0</v>
      </c>
      <c r="AX41" s="482">
        <v>0</v>
      </c>
      <c r="AZ41" s="987"/>
      <c r="BA41" s="987"/>
      <c r="BB41" s="987"/>
      <c r="BC41" s="987"/>
      <c r="BD41" s="987"/>
      <c r="BE41" s="310"/>
      <c r="BF41" s="310"/>
      <c r="BG41" s="310"/>
      <c r="BH41" s="310"/>
      <c r="BI41" s="310"/>
      <c r="BJ41" s="1041">
        <f>'January TCM'!LN39</f>
        <v>5.2</v>
      </c>
      <c r="BK41" s="275"/>
      <c r="BL41" s="1"/>
      <c r="BM41" s="1032">
        <f t="shared" si="5"/>
        <v>5239.1057733466432</v>
      </c>
      <c r="BN41" s="1"/>
      <c r="BO41" s="1"/>
      <c r="BP41" s="1"/>
      <c r="BQ41" s="1"/>
      <c r="BR41" s="1"/>
      <c r="BS41" s="1"/>
      <c r="BT41" s="1"/>
      <c r="BU41" s="1"/>
      <c r="BV41" s="1"/>
      <c r="BW41" s="1"/>
      <c r="BX41" s="1"/>
      <c r="BY41" s="1"/>
      <c r="BZ41" s="72"/>
      <c r="CA41" s="72"/>
      <c r="CB41" s="72"/>
      <c r="CC41" s="72"/>
      <c r="CD41" s="72"/>
      <c r="CE41" s="72"/>
      <c r="CG41" s="1033">
        <v>30</v>
      </c>
      <c r="CH41" s="1">
        <f t="shared" si="6"/>
        <v>996.38</v>
      </c>
      <c r="CI41">
        <v>2601304819</v>
      </c>
      <c r="CK41" s="412">
        <v>30</v>
      </c>
      <c r="CL41" s="1">
        <f t="shared" si="7"/>
        <v>0</v>
      </c>
    </row>
    <row r="42" spans="2:90" ht="15" thickBot="1">
      <c r="B42" s="990">
        <v>31</v>
      </c>
      <c r="C42" s="1450">
        <f t="shared" si="14"/>
        <v>19097</v>
      </c>
      <c r="D42" s="1451">
        <f t="shared" si="8"/>
        <v>0</v>
      </c>
      <c r="E42" s="1452">
        <f t="shared" si="0"/>
        <v>0</v>
      </c>
      <c r="F42" s="1453"/>
      <c r="G42" s="1454"/>
      <c r="H42" s="1455">
        <v>5</v>
      </c>
      <c r="I42" s="1455">
        <v>4.42</v>
      </c>
      <c r="J42" s="1456"/>
      <c r="K42" s="1457"/>
      <c r="L42" s="1457"/>
      <c r="M42" s="1457"/>
      <c r="N42" s="1458"/>
      <c r="O42" s="1459">
        <v>19097</v>
      </c>
      <c r="P42" s="1460"/>
      <c r="Q42" s="1461">
        <f t="shared" si="15"/>
        <v>0</v>
      </c>
      <c r="R42" s="1462">
        <f t="shared" si="2"/>
        <v>0</v>
      </c>
      <c r="S42" s="1056">
        <f t="shared" si="3"/>
        <v>0</v>
      </c>
      <c r="T42" s="1057"/>
      <c r="U42" s="1469"/>
      <c r="V42" s="1470"/>
      <c r="W42" s="1058"/>
      <c r="X42" s="1055"/>
      <c r="Y42" s="1"/>
      <c r="Z42" s="1059"/>
      <c r="AA42" s="1059"/>
      <c r="AB42" s="1059">
        <f t="shared" si="17"/>
        <v>0</v>
      </c>
      <c r="AC42" s="1060"/>
      <c r="AD42" s="1026">
        <f t="shared" si="18"/>
        <v>698.78337598565588</v>
      </c>
      <c r="AE42" s="1026">
        <f t="shared" si="11"/>
        <v>144191.69371875626</v>
      </c>
      <c r="AF42" s="1061">
        <f t="shared" si="16"/>
        <v>144890.47709474192</v>
      </c>
      <c r="AG42" s="1414"/>
      <c r="AH42" s="1414"/>
      <c r="AI42" s="1311"/>
      <c r="AJ42" s="1311"/>
      <c r="AK42" s="1321">
        <f t="shared" si="4"/>
        <v>0</v>
      </c>
      <c r="AL42" s="1313">
        <f t="shared" si="19"/>
        <v>18547.898364999997</v>
      </c>
      <c r="AM42" s="1313">
        <f t="shared" si="19"/>
        <v>92933.535537000003</v>
      </c>
      <c r="AN42" s="1377"/>
      <c r="AO42" s="999">
        <v>1840.56</v>
      </c>
      <c r="AP42" s="1414"/>
      <c r="AQ42" s="987"/>
      <c r="AR42" s="310">
        <f t="shared" si="13"/>
        <v>0</v>
      </c>
      <c r="AS42" s="1062"/>
      <c r="AT42" s="1063">
        <v>0</v>
      </c>
      <c r="AU42" s="65">
        <v>0</v>
      </c>
      <c r="AV42" s="65">
        <v>0</v>
      </c>
      <c r="AW42" s="65">
        <v>0</v>
      </c>
      <c r="AX42" s="1064">
        <v>0</v>
      </c>
      <c r="AZ42" s="987"/>
      <c r="BA42" s="987"/>
      <c r="BB42" s="987"/>
      <c r="BC42" s="987"/>
      <c r="BD42" s="987"/>
      <c r="BE42" s="332"/>
      <c r="BF42" s="332"/>
      <c r="BG42" s="332"/>
      <c r="BH42" s="332"/>
      <c r="BI42" s="332"/>
      <c r="BJ42" s="1041">
        <f>'January TCM'!LN40</f>
        <v>4.9800000000000004</v>
      </c>
      <c r="BK42" s="332"/>
      <c r="BL42" s="1"/>
      <c r="BM42" s="1032">
        <f t="shared" si="5"/>
        <v>5239.1057733466432</v>
      </c>
      <c r="BN42" s="1"/>
      <c r="BO42" s="1"/>
      <c r="BP42" s="1"/>
      <c r="BQ42" s="1"/>
      <c r="BR42" s="1"/>
      <c r="BS42" s="1"/>
      <c r="BT42" s="1"/>
      <c r="BU42" s="1"/>
      <c r="BV42" s="1"/>
      <c r="BW42" s="1"/>
      <c r="BX42" s="1"/>
      <c r="BY42" s="1"/>
      <c r="BZ42" s="72"/>
      <c r="CA42" s="72"/>
      <c r="CB42" s="72"/>
      <c r="CC42" s="72"/>
      <c r="CD42" s="72"/>
      <c r="CE42" s="72"/>
      <c r="CG42" s="1033">
        <v>31</v>
      </c>
      <c r="CH42" s="1">
        <f t="shared" si="6"/>
        <v>0</v>
      </c>
      <c r="CK42" s="412">
        <v>31</v>
      </c>
      <c r="CL42" s="1">
        <f t="shared" si="7"/>
        <v>0</v>
      </c>
    </row>
    <row r="43" spans="2:90">
      <c r="B43" s="307" t="s">
        <v>206</v>
      </c>
      <c r="C43" s="72">
        <f>O43</f>
        <v>651682</v>
      </c>
      <c r="D43" s="1">
        <f>SUM(P43:Q43)</f>
        <v>23567.25</v>
      </c>
      <c r="E43" s="1065">
        <f>IFERROR(C43/D43,0)</f>
        <v>27.652017100001061</v>
      </c>
      <c r="H43" s="38">
        <f>SUM(H12:H42)</f>
        <v>327.5</v>
      </c>
      <c r="I43" s="38">
        <f>SUM(I12:I42)</f>
        <v>161.71</v>
      </c>
      <c r="O43" s="38">
        <f>SUM(O12:O42)</f>
        <v>651682</v>
      </c>
      <c r="P43" s="72">
        <f>SUM(P12:P42)</f>
        <v>0</v>
      </c>
      <c r="Q43" s="72">
        <f>SUM(Q12:Q42)</f>
        <v>23567.25</v>
      </c>
      <c r="R43" s="72">
        <f>SUM(R12:R42)</f>
        <v>23567.25</v>
      </c>
      <c r="S43" s="72">
        <f>IFERROR(O43/Q43,0)</f>
        <v>27.652017100001061</v>
      </c>
      <c r="T43" s="72"/>
      <c r="U43" s="307">
        <f>SUM(U12:U42)</f>
        <v>20925.530000000002</v>
      </c>
      <c r="V43" s="307">
        <f>SUM(V12:V42)</f>
        <v>2641.72</v>
      </c>
      <c r="W43" s="364">
        <f>SUM(W12:W42)</f>
        <v>0</v>
      </c>
      <c r="X43" s="72">
        <f>SUM(X12:X42)</f>
        <v>0</v>
      </c>
      <c r="Y43" s="1"/>
      <c r="Z43" s="39">
        <f>SUM(Z12:Z42)</f>
        <v>0</v>
      </c>
      <c r="AA43" s="39">
        <f>SUM(AA12:AA42)</f>
        <v>0</v>
      </c>
      <c r="AB43" s="39">
        <f>SUM(AB12:AB42)</f>
        <v>0</v>
      </c>
      <c r="AC43" s="39">
        <f>+AC42</f>
        <v>0</v>
      </c>
      <c r="AD43" s="39">
        <f>+AD42</f>
        <v>698.78337598565588</v>
      </c>
      <c r="AE43" s="39">
        <f>+AE42</f>
        <v>144191.69371875626</v>
      </c>
      <c r="AF43" s="1066">
        <f>AF42</f>
        <v>144890.47709474192</v>
      </c>
      <c r="AG43" s="1066"/>
      <c r="AH43" s="1066"/>
      <c r="AI43" s="1066">
        <f>SUM(AI12:AI42)</f>
        <v>0</v>
      </c>
      <c r="AJ43" s="1362">
        <f>SUM(AJ12:AJ42)</f>
        <v>0</v>
      </c>
      <c r="AK43" s="1066">
        <f>SUM(AK12:AK42)</f>
        <v>0</v>
      </c>
      <c r="AL43" s="1066">
        <f>+AL42</f>
        <v>18547.898364999997</v>
      </c>
      <c r="AM43" s="1066">
        <f>+AM42</f>
        <v>92933.535537000003</v>
      </c>
      <c r="AN43" s="1066"/>
      <c r="AO43" s="1376">
        <f>SUM(AO11:AO42)</f>
        <v>18760.240000000002</v>
      </c>
      <c r="AP43" s="1066"/>
      <c r="AR43" s="72">
        <f>SUM(AR12:AR42)</f>
        <v>0</v>
      </c>
      <c r="AS43" s="72"/>
      <c r="AT43" s="72">
        <f>IFERROR(SUMPRODUCT((AT12:AT42&lt;&gt;"")*AT12:AT42,$AR$12:$AR$42)/SUMIFS($AR$12:$AR$42,AT12:AT42,"&gt;"&amp;0),0)</f>
        <v>0</v>
      </c>
      <c r="AU43" s="38">
        <f>IFERROR(SUMPRODUCT((AU12:AU42&lt;&gt;"")*AU12:AU42,$AR$12:$AR$42)/SUMIFS($AR$12:$AR$42,AU12:AU42,"&gt;"&amp;0),0)</f>
        <v>0</v>
      </c>
      <c r="AV43" s="38">
        <f>IFERROR(SUMPRODUCT((AV12:AV42&lt;&gt;"")*AV12:AV42,$AR$12:$AR$42)/SUMIFS($AR$12:$AR$42,AV12:AV42,"&gt;"&amp;0),0)</f>
        <v>0</v>
      </c>
      <c r="AW43" s="38">
        <f>IFERROR(SUMPRODUCT((AW12:AW42&lt;&gt;"")*AW12:AW42,$AR$12:$AR$42)/SUMIFS($AR$12:$AR$42,AW12:AW42,"&gt;"&amp;0),0)</f>
        <v>0</v>
      </c>
      <c r="AX43" s="38">
        <f>IFERROR(SUMPRODUCT((AX12:AX42&lt;&gt;"")*AX12:AX42,$AR$12:$AR$42)/SUMIFS($AR$12:$AR$42,AX12:AX42,"&gt;"&amp;0),0)</f>
        <v>0</v>
      </c>
      <c r="AY43" s="38"/>
      <c r="BE43" s="72">
        <f>SUM(BE12:BE42)</f>
        <v>0</v>
      </c>
      <c r="BF43" s="72">
        <f>SUM(BF12:BF42)</f>
        <v>0</v>
      </c>
      <c r="BG43" s="72">
        <f>SUM(BG12:BG42)</f>
        <v>0</v>
      </c>
      <c r="BH43" s="72">
        <f>SUM(BH12:BH42)</f>
        <v>0</v>
      </c>
      <c r="BI43" s="72">
        <f>SUM(BI12:BI42)</f>
        <v>0</v>
      </c>
      <c r="BJ43" s="38">
        <f>AVERAGE(BJ12:BJ42)</f>
        <v>6.6774193548387091</v>
      </c>
      <c r="BK43" s="72">
        <f>SUM(BK12:BK42)</f>
        <v>0</v>
      </c>
      <c r="BL43" s="1"/>
      <c r="BM43" s="72">
        <f>+BM42</f>
        <v>5239.1057733466432</v>
      </c>
      <c r="BN43" s="1"/>
      <c r="BO43" s="1"/>
      <c r="BP43" s="1"/>
      <c r="BQ43" s="1"/>
      <c r="BR43" s="1"/>
      <c r="BS43" s="1"/>
      <c r="BT43" s="1"/>
      <c r="BU43" s="1"/>
      <c r="BV43" s="1"/>
      <c r="BW43" s="1"/>
      <c r="BX43" s="1"/>
      <c r="BY43" s="1"/>
      <c r="BZ43" s="72"/>
      <c r="CA43" s="72"/>
      <c r="CB43" s="72"/>
      <c r="CC43" s="72"/>
      <c r="CD43" s="72"/>
      <c r="CE43" s="72"/>
      <c r="CI43" s="281"/>
    </row>
    <row r="44" spans="2:90">
      <c r="B44" s="307" t="s">
        <v>207</v>
      </c>
      <c r="C44" s="1471">
        <v>661635.02769999998</v>
      </c>
      <c r="D44" s="412">
        <f>D43</f>
        <v>23567.25</v>
      </c>
      <c r="E44" s="347">
        <f>IFERROR(C44/D44,0)</f>
        <v>28.074341626621688</v>
      </c>
      <c r="H44" s="307">
        <f>H43</f>
        <v>327.5</v>
      </c>
      <c r="I44" s="364">
        <f>I43</f>
        <v>161.71</v>
      </c>
      <c r="O44" s="1">
        <f>O43</f>
        <v>651682</v>
      </c>
      <c r="P44" s="95">
        <f>P43</f>
        <v>0</v>
      </c>
      <c r="Q44" s="95">
        <f>Q43</f>
        <v>23567.25</v>
      </c>
      <c r="R44" s="95">
        <f>R43</f>
        <v>23567.25</v>
      </c>
      <c r="S44" s="1067">
        <f>IFERROR(O44/Q44,0)</f>
        <v>27.652017100001061</v>
      </c>
      <c r="U44" s="1068">
        <f>U43</f>
        <v>20925.530000000002</v>
      </c>
      <c r="V44" s="1068">
        <f>V43</f>
        <v>2641.72</v>
      </c>
      <c r="W44" s="1068">
        <f>W43</f>
        <v>0</v>
      </c>
      <c r="X44" s="1">
        <f>X43</f>
        <v>0</v>
      </c>
      <c r="Y44" s="1"/>
      <c r="Z44" s="1068">
        <f t="shared" ref="Z44:AC44" si="20">Z43</f>
        <v>0</v>
      </c>
      <c r="AA44" s="1068">
        <f t="shared" si="20"/>
        <v>0</v>
      </c>
      <c r="AB44" s="1068">
        <f t="shared" si="20"/>
        <v>0</v>
      </c>
      <c r="AC44" s="1068">
        <f t="shared" si="20"/>
        <v>0</v>
      </c>
      <c r="AD44" s="1370">
        <v>712.6105597799999</v>
      </c>
      <c r="AE44" s="1068">
        <v>143095.88256609</v>
      </c>
      <c r="AF44" s="1066">
        <f>AD44+AE44</f>
        <v>143808.49312587001</v>
      </c>
      <c r="AG44" s="1066"/>
      <c r="AH44" s="1066"/>
      <c r="AI44" s="1066">
        <f>AI43</f>
        <v>0</v>
      </c>
      <c r="AJ44" s="1066">
        <f>AJ43</f>
        <v>0</v>
      </c>
      <c r="AK44" s="1066">
        <f>AK43</f>
        <v>0</v>
      </c>
      <c r="AL44" s="1475">
        <v>1534.6804153455851</v>
      </c>
      <c r="AM44" s="1475">
        <v>109946.75348665442</v>
      </c>
      <c r="AN44" s="1066"/>
      <c r="AO44" s="1362">
        <f>AO43</f>
        <v>18760.240000000002</v>
      </c>
      <c r="AP44" s="1066"/>
      <c r="AR44" s="72">
        <f>+AR43</f>
        <v>0</v>
      </c>
      <c r="AS44" s="72"/>
      <c r="AT44" s="72">
        <f>AT43</f>
        <v>0</v>
      </c>
      <c r="AU44" s="38">
        <f>AU43</f>
        <v>0</v>
      </c>
      <c r="AV44" s="38">
        <f>AV43</f>
        <v>0</v>
      </c>
      <c r="AW44" s="38">
        <f>AW43</f>
        <v>0</v>
      </c>
      <c r="AX44" s="38">
        <f>AX43</f>
        <v>0</v>
      </c>
      <c r="AY44" s="38"/>
      <c r="BE44" s="72">
        <f t="shared" ref="BE44:BK44" si="21">+BE43</f>
        <v>0</v>
      </c>
      <c r="BF44" s="72">
        <f t="shared" si="21"/>
        <v>0</v>
      </c>
      <c r="BG44" s="72">
        <f t="shared" si="21"/>
        <v>0</v>
      </c>
      <c r="BH44" s="72">
        <f t="shared" si="21"/>
        <v>0</v>
      </c>
      <c r="BI44" s="72">
        <f t="shared" si="21"/>
        <v>0</v>
      </c>
      <c r="BJ44" s="38">
        <f t="shared" si="21"/>
        <v>6.6774193548387091</v>
      </c>
      <c r="BK44" s="72">
        <f t="shared" si="21"/>
        <v>0</v>
      </c>
      <c r="BL44" s="1"/>
      <c r="BM44" s="364">
        <v>5622.6750339999999</v>
      </c>
      <c r="BN44" s="1"/>
      <c r="BO44" s="1"/>
      <c r="BP44" s="1"/>
      <c r="BQ44" s="1"/>
      <c r="BR44" s="1"/>
      <c r="BS44" s="1"/>
      <c r="BT44" s="1"/>
      <c r="BU44" s="1"/>
      <c r="BV44" s="1"/>
      <c r="BW44" s="1"/>
      <c r="BX44" s="1"/>
      <c r="BY44" s="1"/>
      <c r="BZ44" s="72"/>
      <c r="CA44" s="72"/>
      <c r="CB44" s="72"/>
      <c r="CC44" s="72"/>
      <c r="CD44" s="72"/>
      <c r="CE44" s="72"/>
      <c r="CI44" s="281"/>
    </row>
    <row r="45" spans="2:90">
      <c r="B45" s="312" t="s">
        <v>12</v>
      </c>
      <c r="C45" s="991">
        <f>O45</f>
        <v>826854.289999992</v>
      </c>
      <c r="D45" s="1069">
        <f>R45</f>
        <v>25000</v>
      </c>
      <c r="E45" s="1231"/>
      <c r="F45" s="1069"/>
      <c r="G45" s="1069"/>
      <c r="H45" s="1069"/>
      <c r="I45" s="1069"/>
      <c r="J45" s="1069"/>
      <c r="K45" s="1069"/>
      <c r="L45" s="1069"/>
      <c r="M45" s="1069"/>
      <c r="N45" s="1069"/>
      <c r="O45" s="1069">
        <v>826854.289999992</v>
      </c>
      <c r="P45" s="1069"/>
      <c r="Q45" s="1069"/>
      <c r="R45" s="1069">
        <v>25000</v>
      </c>
      <c r="S45" s="1070">
        <f>IFERROR(O45/Q45,0)</f>
        <v>0</v>
      </c>
      <c r="T45" s="1069"/>
      <c r="U45" s="1069"/>
      <c r="V45" s="1069"/>
      <c r="W45" s="1069"/>
      <c r="X45" s="1069"/>
      <c r="Y45" s="39"/>
      <c r="Z45" s="1071">
        <v>0</v>
      </c>
      <c r="AA45" s="1071"/>
      <c r="AB45" s="1071"/>
      <c r="AC45" s="1071"/>
      <c r="AD45" s="1071"/>
      <c r="AE45" s="1071"/>
      <c r="AF45" s="1072"/>
      <c r="AG45" s="1072"/>
      <c r="AH45" s="1072"/>
      <c r="AI45" s="1072"/>
      <c r="AJ45" s="1072"/>
      <c r="AK45" s="1072"/>
      <c r="AL45" s="1072"/>
      <c r="AM45" s="1072"/>
      <c r="AN45" s="1072"/>
      <c r="AO45" s="1072"/>
      <c r="AP45" s="1072"/>
      <c r="AQ45" s="887"/>
      <c r="AR45" s="337">
        <v>0</v>
      </c>
      <c r="AS45" s="337"/>
      <c r="AT45" s="72">
        <v>6824.4902225997639</v>
      </c>
      <c r="AU45" s="38">
        <v>1.6046894421393501</v>
      </c>
      <c r="AV45" s="38">
        <v>2.9538162037923059</v>
      </c>
      <c r="AW45" s="38">
        <v>4.4327769749624331</v>
      </c>
      <c r="AX45" s="38">
        <v>9.295414204357213</v>
      </c>
      <c r="AY45" s="38"/>
      <c r="AZ45" s="887"/>
      <c r="BA45" s="887"/>
      <c r="BB45" s="887"/>
      <c r="BC45" s="887"/>
      <c r="BD45" s="887"/>
      <c r="BE45" s="337">
        <v>15000</v>
      </c>
      <c r="BF45" s="308"/>
      <c r="BG45" s="308"/>
      <c r="BH45" s="308"/>
      <c r="BI45" s="308"/>
      <c r="BJ45" s="308"/>
      <c r="BK45" s="308"/>
      <c r="BL45" s="1073"/>
      <c r="BM45" s="308"/>
      <c r="BN45" s="1073"/>
      <c r="BO45" s="1073"/>
      <c r="BP45" s="1073"/>
      <c r="BQ45" s="1073"/>
      <c r="BR45" s="1073"/>
      <c r="BS45" s="1073"/>
      <c r="BT45" s="1073"/>
      <c r="BU45" s="1073"/>
      <c r="BV45" s="1073"/>
      <c r="BW45" s="1073"/>
      <c r="BX45" s="1073"/>
      <c r="BY45" s="1073"/>
      <c r="BZ45" s="308"/>
      <c r="CA45" s="308"/>
      <c r="CB45" s="308"/>
      <c r="CC45" s="308"/>
      <c r="CD45" s="308"/>
      <c r="CE45" s="308"/>
      <c r="CI45" s="1"/>
    </row>
    <row r="46" spans="2:90">
      <c r="B46" t="s">
        <v>208</v>
      </c>
      <c r="U46" s="39"/>
      <c r="V46" s="39"/>
      <c r="W46" s="39"/>
      <c r="AR46" s="110" t="str">
        <f>IFERROR(AR44/AR45,"")</f>
        <v/>
      </c>
      <c r="AS46" s="110"/>
      <c r="BE46" s="38">
        <f>IFERROR(BE44/BE45,"")</f>
        <v>0</v>
      </c>
      <c r="BF46" s="38"/>
      <c r="BG46" s="38"/>
      <c r="BH46" s="38" t="str">
        <f>IFERROR(BH44/BH45,"")</f>
        <v/>
      </c>
      <c r="BI46" s="38" t="str">
        <f>IFERROR(BI44/BI45,"")</f>
        <v/>
      </c>
      <c r="BJ46" s="38" t="str">
        <f>IFERROR(BJ44/BJ45,"")</f>
        <v/>
      </c>
      <c r="BK46" s="38" t="str">
        <f>IFERROR(BK44/BK45,"")</f>
        <v/>
      </c>
      <c r="BZ46" s="38"/>
      <c r="CA46" s="38"/>
      <c r="CB46" s="38"/>
      <c r="CC46" s="38"/>
      <c r="CD46" s="38"/>
      <c r="CE46" s="38"/>
      <c r="CI46" s="887"/>
    </row>
    <row r="47" spans="2:90">
      <c r="R47" s="95">
        <f>R43+AO43</f>
        <v>42327.490000000005</v>
      </c>
      <c r="AM47" s="987"/>
      <c r="AR47" s="110" t="str">
        <f>IFERROR(AR45/AR46,"")</f>
        <v/>
      </c>
      <c r="AS47" s="110"/>
      <c r="BE47" s="38" t="str">
        <f t="shared" ref="BE47:BK47" si="22">IFERROR(BE45/BE46,"")</f>
        <v/>
      </c>
      <c r="BF47" s="38"/>
      <c r="BG47" s="38"/>
      <c r="BH47" s="38" t="str">
        <f t="shared" si="22"/>
        <v/>
      </c>
      <c r="BI47" s="38" t="str">
        <f t="shared" si="22"/>
        <v/>
      </c>
      <c r="BJ47" s="38" t="str">
        <f t="shared" si="22"/>
        <v/>
      </c>
      <c r="BK47" s="38" t="str">
        <f t="shared" si="22"/>
        <v/>
      </c>
      <c r="BZ47" s="38"/>
      <c r="CA47" s="38"/>
      <c r="CB47" s="38"/>
      <c r="CC47" s="38"/>
      <c r="CD47" s="38"/>
      <c r="CE47" s="38"/>
      <c r="CI47" s="281"/>
    </row>
    <row r="48" spans="2:90">
      <c r="O48" s="987"/>
      <c r="P48" s="1"/>
      <c r="CI48" s="281"/>
    </row>
    <row r="49" spans="4:87">
      <c r="D49" s="1"/>
      <c r="CI49" s="1"/>
    </row>
    <row r="50" spans="4:87">
      <c r="D50" s="1"/>
      <c r="S50" s="1"/>
      <c r="CI50" s="887"/>
    </row>
    <row r="51" spans="4:87">
      <c r="S51" s="1"/>
    </row>
    <row r="52" spans="4:87">
      <c r="S52" s="887"/>
    </row>
    <row r="53" spans="4:87">
      <c r="G53" s="887"/>
      <c r="H53" s="887"/>
    </row>
    <row r="54" spans="4:87">
      <c r="O54" s="887"/>
      <c r="P54" s="887"/>
    </row>
    <row r="56" spans="4:87">
      <c r="O56" s="887"/>
      <c r="P56" s="887"/>
      <c r="R56" s="887"/>
    </row>
    <row r="57" spans="4:87">
      <c r="G57" s="887"/>
      <c r="H57" s="987"/>
      <c r="O57" s="39"/>
      <c r="P57" s="39"/>
      <c r="Q57" s="39"/>
      <c r="R57" s="39"/>
      <c r="X57" s="39"/>
      <c r="Y57" s="39"/>
      <c r="Z57" s="39"/>
      <c r="AA57" s="39"/>
      <c r="AB57" s="39"/>
      <c r="AC57" s="39"/>
      <c r="AD57" s="39"/>
      <c r="AE57" s="39"/>
    </row>
    <row r="59" spans="4:87">
      <c r="O59" s="987"/>
      <c r="P59" s="987"/>
      <c r="X59" s="987"/>
      <c r="Y59" s="987"/>
      <c r="Z59" s="987"/>
      <c r="AA59" s="987"/>
      <c r="AB59" s="987"/>
      <c r="AC59" s="987"/>
      <c r="AD59" s="987"/>
      <c r="AE59" s="987"/>
    </row>
    <row r="60" spans="4:87">
      <c r="O60" s="987"/>
      <c r="P60" s="987"/>
      <c r="X60" s="987"/>
      <c r="Y60" s="987"/>
      <c r="Z60" s="987"/>
      <c r="AA60" s="987"/>
      <c r="AB60" s="987"/>
      <c r="AC60" s="987"/>
      <c r="AD60" s="987"/>
      <c r="AE60" s="987"/>
    </row>
    <row r="61" spans="4:87">
      <c r="O61" s="987"/>
      <c r="P61" s="987"/>
      <c r="X61" s="987"/>
      <c r="Y61" s="987"/>
      <c r="Z61" s="987"/>
      <c r="AA61" s="987"/>
      <c r="AB61" s="987"/>
      <c r="AC61" s="987"/>
      <c r="AD61" s="987"/>
      <c r="AE61" s="987"/>
    </row>
    <row r="62" spans="4:87">
      <c r="O62" s="987"/>
      <c r="P62" s="987"/>
      <c r="X62" s="987"/>
      <c r="Y62" s="987"/>
      <c r="Z62" s="987"/>
      <c r="AA62" s="987"/>
      <c r="AB62" s="987"/>
      <c r="AC62" s="987"/>
      <c r="AD62" s="987"/>
      <c r="AE62" s="987"/>
    </row>
    <row r="63" spans="4:87">
      <c r="O63" s="987"/>
      <c r="P63" s="987"/>
      <c r="X63" s="987"/>
      <c r="Y63" s="987"/>
      <c r="Z63" s="987"/>
      <c r="AA63" s="987"/>
      <c r="AB63" s="987"/>
      <c r="AC63" s="987"/>
      <c r="AD63" s="987"/>
      <c r="AE63" s="987"/>
    </row>
    <row r="64" spans="4:87">
      <c r="O64" s="987"/>
      <c r="P64" s="987"/>
      <c r="X64" s="987"/>
      <c r="Y64" s="987"/>
      <c r="Z64" s="987"/>
      <c r="AA64" s="987"/>
      <c r="AB64" s="987"/>
      <c r="AC64" s="987"/>
      <c r="AD64" s="987"/>
      <c r="AE64" s="987"/>
    </row>
    <row r="65" spans="15:31">
      <c r="O65" s="987"/>
      <c r="P65" s="987"/>
      <c r="X65" s="987"/>
      <c r="Y65" s="987"/>
      <c r="Z65" s="987"/>
      <c r="AA65" s="987"/>
      <c r="AB65" s="987"/>
      <c r="AC65" s="987"/>
      <c r="AD65" s="987"/>
      <c r="AE65" s="987"/>
    </row>
    <row r="66" spans="15:31">
      <c r="O66" s="987"/>
      <c r="P66" s="987"/>
      <c r="X66" s="987"/>
      <c r="Y66" s="987"/>
      <c r="Z66" s="987"/>
      <c r="AA66" s="987"/>
      <c r="AB66" s="987"/>
      <c r="AC66" s="987"/>
      <c r="AD66" s="987"/>
      <c r="AE66" s="987"/>
    </row>
    <row r="67" spans="15:31">
      <c r="O67" s="987"/>
      <c r="P67" s="987"/>
      <c r="X67" s="987"/>
      <c r="Y67" s="987"/>
      <c r="Z67" s="987"/>
      <c r="AA67" s="987"/>
      <c r="AB67" s="987"/>
      <c r="AC67" s="987"/>
      <c r="AD67" s="987"/>
      <c r="AE67" s="987"/>
    </row>
    <row r="68" spans="15:31" hidden="1">
      <c r="O68" s="987"/>
      <c r="P68" s="987"/>
      <c r="X68" s="987"/>
      <c r="Y68" s="987"/>
      <c r="Z68" s="987"/>
      <c r="AA68" s="987"/>
      <c r="AB68" s="987"/>
      <c r="AC68" s="987"/>
      <c r="AD68" s="987"/>
      <c r="AE68" s="987"/>
    </row>
    <row r="69" spans="15:31" hidden="1">
      <c r="O69" s="987"/>
      <c r="P69" s="987"/>
      <c r="X69" s="987"/>
      <c r="Y69" s="987"/>
      <c r="Z69" s="987"/>
      <c r="AA69" s="987"/>
      <c r="AB69" s="987"/>
      <c r="AC69" s="987"/>
      <c r="AD69" s="987"/>
      <c r="AE69" s="987"/>
    </row>
    <row r="70" spans="15:31" hidden="1">
      <c r="O70" s="987"/>
      <c r="P70" s="987"/>
      <c r="X70" s="987"/>
      <c r="Y70" s="987"/>
      <c r="Z70" s="987"/>
      <c r="AA70" s="987"/>
      <c r="AB70" s="987"/>
      <c r="AC70" s="987"/>
      <c r="AD70" s="987"/>
      <c r="AE70" s="987"/>
    </row>
    <row r="71" spans="15:31" hidden="1">
      <c r="O71" s="987"/>
      <c r="P71" s="987"/>
      <c r="X71" s="987"/>
      <c r="Y71" s="987"/>
      <c r="Z71" s="987"/>
      <c r="AA71" s="987"/>
      <c r="AB71" s="987"/>
      <c r="AC71" s="987"/>
      <c r="AD71" s="987"/>
      <c r="AE71" s="987"/>
    </row>
    <row r="72" spans="15:31" hidden="1">
      <c r="O72" s="987"/>
      <c r="P72" s="987"/>
      <c r="X72" s="987"/>
      <c r="Y72" s="987"/>
      <c r="Z72" s="987"/>
      <c r="AA72" s="987"/>
      <c r="AB72" s="987"/>
      <c r="AC72" s="987"/>
      <c r="AD72" s="987"/>
      <c r="AE72" s="987"/>
    </row>
    <row r="73" spans="15:31" hidden="1">
      <c r="O73" s="987"/>
      <c r="P73" s="987"/>
      <c r="X73" s="987"/>
      <c r="Y73" s="987"/>
      <c r="Z73" s="987"/>
      <c r="AA73" s="987"/>
      <c r="AB73" s="987"/>
      <c r="AC73" s="987"/>
      <c r="AD73" s="987"/>
      <c r="AE73" s="987"/>
    </row>
    <row r="74" spans="15:31" hidden="1">
      <c r="O74" s="987"/>
      <c r="P74" s="987"/>
      <c r="X74" s="987"/>
      <c r="Y74" s="987"/>
      <c r="Z74" s="987"/>
      <c r="AA74" s="987"/>
      <c r="AB74" s="987"/>
      <c r="AC74" s="987"/>
      <c r="AD74" s="987"/>
      <c r="AE74" s="987"/>
    </row>
    <row r="75" spans="15:31" hidden="1">
      <c r="O75" s="987"/>
      <c r="P75" s="987"/>
      <c r="X75" s="987"/>
      <c r="Y75" s="987"/>
      <c r="Z75" s="987"/>
      <c r="AA75" s="987"/>
      <c r="AB75" s="987"/>
      <c r="AC75" s="987"/>
      <c r="AD75" s="987"/>
      <c r="AE75" s="987"/>
    </row>
    <row r="76" spans="15:31" hidden="1">
      <c r="O76" s="987"/>
      <c r="P76" s="987"/>
      <c r="X76" s="987"/>
      <c r="Y76" s="987"/>
      <c r="Z76" s="987"/>
      <c r="AA76" s="987"/>
      <c r="AB76" s="987"/>
      <c r="AC76" s="987"/>
      <c r="AD76" s="987"/>
      <c r="AE76" s="987"/>
    </row>
    <row r="77" spans="15:31" hidden="1">
      <c r="O77" s="987"/>
      <c r="P77" s="987"/>
      <c r="X77" s="987"/>
      <c r="Y77" s="987"/>
      <c r="Z77" s="987"/>
      <c r="AA77" s="987"/>
      <c r="AB77" s="987"/>
      <c r="AC77" s="987"/>
      <c r="AD77" s="987"/>
      <c r="AE77" s="987"/>
    </row>
    <row r="78" spans="15:31" hidden="1">
      <c r="O78" s="987"/>
      <c r="P78" s="987"/>
      <c r="X78" s="987"/>
      <c r="Y78" s="987"/>
      <c r="Z78" s="987"/>
      <c r="AA78" s="987"/>
      <c r="AB78" s="987"/>
      <c r="AC78" s="987"/>
      <c r="AD78" s="987"/>
      <c r="AE78" s="987"/>
    </row>
    <row r="79" spans="15:31" hidden="1">
      <c r="O79" s="987"/>
      <c r="P79" s="987"/>
      <c r="X79" s="987"/>
      <c r="Y79" s="987"/>
      <c r="Z79" s="987"/>
      <c r="AA79" s="987"/>
      <c r="AB79" s="987"/>
      <c r="AC79" s="987"/>
      <c r="AD79" s="987"/>
      <c r="AE79" s="987"/>
    </row>
    <row r="80" spans="15:31" hidden="1">
      <c r="O80" s="987"/>
      <c r="P80" s="987"/>
      <c r="X80" s="987"/>
      <c r="Y80" s="987"/>
      <c r="Z80" s="987"/>
      <c r="AA80" s="987"/>
      <c r="AB80" s="987"/>
      <c r="AC80" s="987"/>
      <c r="AD80" s="987"/>
      <c r="AE80" s="987"/>
    </row>
    <row r="81" spans="15:31" hidden="1">
      <c r="O81" s="987"/>
      <c r="P81" s="987"/>
      <c r="X81" s="987"/>
      <c r="Y81" s="987"/>
      <c r="Z81" s="987"/>
      <c r="AA81" s="987"/>
      <c r="AB81" s="987"/>
      <c r="AC81" s="987"/>
      <c r="AD81" s="987"/>
      <c r="AE81" s="987"/>
    </row>
    <row r="82" spans="15:31" hidden="1">
      <c r="O82" s="987"/>
      <c r="P82" s="987"/>
      <c r="X82" s="987"/>
      <c r="Y82" s="987"/>
      <c r="Z82" s="987"/>
      <c r="AA82" s="987"/>
      <c r="AB82" s="987"/>
      <c r="AC82" s="987"/>
      <c r="AD82" s="987"/>
      <c r="AE82" s="987"/>
    </row>
    <row r="83" spans="15:31" hidden="1">
      <c r="O83" s="987"/>
      <c r="P83" s="987"/>
      <c r="X83" s="987"/>
      <c r="Y83" s="987"/>
      <c r="Z83" s="987"/>
      <c r="AA83" s="987"/>
      <c r="AB83" s="987"/>
      <c r="AC83" s="987"/>
      <c r="AD83" s="987"/>
      <c r="AE83" s="987"/>
    </row>
    <row r="84" spans="15:31" hidden="1">
      <c r="O84" s="987"/>
      <c r="P84" s="987"/>
      <c r="X84" s="987"/>
      <c r="Y84" s="987"/>
      <c r="Z84" s="987"/>
      <c r="AA84" s="987"/>
      <c r="AB84" s="987"/>
      <c r="AC84" s="987"/>
      <c r="AD84" s="987"/>
      <c r="AE84" s="987"/>
    </row>
    <row r="85" spans="15:31" hidden="1">
      <c r="O85" s="987"/>
      <c r="P85" s="987"/>
      <c r="X85" s="987"/>
      <c r="Y85" s="987"/>
      <c r="Z85" s="987"/>
      <c r="AA85" s="987"/>
      <c r="AB85" s="987"/>
      <c r="AC85" s="987"/>
      <c r="AD85" s="987"/>
      <c r="AE85" s="987"/>
    </row>
    <row r="86" spans="15:31" hidden="1">
      <c r="O86" s="987"/>
      <c r="P86" s="987"/>
      <c r="X86" s="987"/>
      <c r="Y86" s="987"/>
      <c r="Z86" s="987"/>
      <c r="AA86" s="987"/>
      <c r="AB86" s="987"/>
      <c r="AC86" s="987"/>
      <c r="AD86" s="987"/>
      <c r="AE86" s="987"/>
    </row>
    <row r="87" spans="15:31" hidden="1">
      <c r="O87" s="987"/>
      <c r="P87" s="987"/>
      <c r="X87" s="987"/>
      <c r="Y87" s="987"/>
      <c r="Z87" s="987"/>
      <c r="AA87" s="987"/>
      <c r="AB87" s="987"/>
      <c r="AC87" s="987"/>
      <c r="AD87" s="987"/>
      <c r="AE87" s="987"/>
    </row>
    <row r="88" spans="15:31" hidden="1">
      <c r="O88" s="987"/>
      <c r="P88" s="987"/>
      <c r="X88" s="987"/>
      <c r="Y88" s="987"/>
      <c r="Z88" s="987"/>
      <c r="AA88" s="987"/>
      <c r="AB88" s="987"/>
      <c r="AC88" s="987"/>
      <c r="AD88" s="987"/>
      <c r="AE88" s="987"/>
    </row>
    <row r="89" spans="15:31" hidden="1"/>
    <row r="90" spans="15:31" hidden="1"/>
    <row r="91" spans="15:31" hidden="1"/>
    <row r="92" spans="15:31" hidden="1"/>
    <row r="93" spans="15:31" hidden="1"/>
    <row r="94" spans="15:31" hidden="1"/>
    <row r="95" spans="15:31" hidden="1"/>
    <row r="96" spans="15:31" hidden="1"/>
    <row r="97" spans="2:31" hidden="1"/>
    <row r="98" spans="2:31" hidden="1"/>
    <row r="99" spans="2:31" hidden="1">
      <c r="O99" s="39">
        <v>9677.4193548387102</v>
      </c>
      <c r="P99" s="39"/>
      <c r="Q99" s="39">
        <v>347.15938203065775</v>
      </c>
      <c r="R99" s="39"/>
      <c r="X99" s="39"/>
      <c r="Y99" s="39"/>
      <c r="Z99" s="39"/>
      <c r="AA99" s="39"/>
      <c r="AB99" s="39"/>
      <c r="AC99" s="39"/>
      <c r="AD99" s="39"/>
      <c r="AE99" s="39"/>
    </row>
    <row r="100" spans="2:31" hidden="1">
      <c r="B100">
        <v>1</v>
      </c>
      <c r="C100" t="e">
        <f>SUM(O100,#REF!,#REF!)</f>
        <v>#REF!</v>
      </c>
      <c r="D100" t="e">
        <f>SUM(Q100,#REF!,X100)</f>
        <v>#REF!</v>
      </c>
      <c r="N100">
        <v>1</v>
      </c>
      <c r="O100">
        <f>O99</f>
        <v>9677.4193548387102</v>
      </c>
    </row>
    <row r="101" spans="2:31" hidden="1">
      <c r="B101">
        <v>2</v>
      </c>
      <c r="C101" t="e">
        <f>SUM(O101,#REF!,#REF!)</f>
        <v>#REF!</v>
      </c>
      <c r="D101" t="e">
        <f>SUM(Q101,#REF!,X101)</f>
        <v>#REF!</v>
      </c>
      <c r="N101">
        <v>2</v>
      </c>
      <c r="O101">
        <f>O100+($O$99)</f>
        <v>19354.83870967742</v>
      </c>
    </row>
    <row r="102" spans="2:31" hidden="1">
      <c r="B102">
        <v>3</v>
      </c>
      <c r="C102" t="e">
        <f>SUM(O102,#REF!,#REF!)</f>
        <v>#REF!</v>
      </c>
      <c r="D102" t="e">
        <f>SUM(Q102,#REF!,X102)</f>
        <v>#REF!</v>
      </c>
      <c r="N102">
        <v>3</v>
      </c>
      <c r="O102">
        <f t="shared" ref="O102:O130" si="23">O101+($O$99)</f>
        <v>29032.258064516129</v>
      </c>
    </row>
    <row r="103" spans="2:31" hidden="1">
      <c r="B103">
        <v>4</v>
      </c>
      <c r="C103" t="e">
        <f>SUM(O103,#REF!,#REF!)</f>
        <v>#REF!</v>
      </c>
      <c r="D103" t="e">
        <f>SUM(Q103,#REF!,X103)</f>
        <v>#REF!</v>
      </c>
      <c r="N103">
        <v>4</v>
      </c>
      <c r="O103">
        <f t="shared" si="23"/>
        <v>38709.677419354841</v>
      </c>
    </row>
    <row r="104" spans="2:31" hidden="1">
      <c r="B104">
        <v>5</v>
      </c>
      <c r="C104" t="e">
        <f>SUM(O104,#REF!,#REF!)</f>
        <v>#REF!</v>
      </c>
      <c r="D104" t="e">
        <f>SUM(Q104,#REF!,X104)</f>
        <v>#REF!</v>
      </c>
      <c r="N104">
        <v>5</v>
      </c>
      <c r="O104">
        <f t="shared" si="23"/>
        <v>48387.096774193553</v>
      </c>
    </row>
    <row r="105" spans="2:31" hidden="1">
      <c r="B105">
        <v>6</v>
      </c>
      <c r="C105" t="e">
        <f>SUM(O105,#REF!,#REF!)</f>
        <v>#REF!</v>
      </c>
      <c r="D105" t="e">
        <f>SUM(Q105,#REF!,X105)</f>
        <v>#REF!</v>
      </c>
      <c r="N105">
        <v>6</v>
      </c>
      <c r="O105">
        <f t="shared" si="23"/>
        <v>58064.516129032265</v>
      </c>
    </row>
    <row r="106" spans="2:31" hidden="1">
      <c r="B106">
        <v>7</v>
      </c>
      <c r="C106" t="e">
        <f>SUM(O106,#REF!,#REF!)</f>
        <v>#REF!</v>
      </c>
      <c r="D106" t="e">
        <f>SUM(Q106,#REF!,X106)</f>
        <v>#REF!</v>
      </c>
      <c r="N106">
        <v>7</v>
      </c>
      <c r="O106">
        <f t="shared" si="23"/>
        <v>67741.93548387097</v>
      </c>
    </row>
    <row r="107" spans="2:31" hidden="1">
      <c r="B107">
        <v>8</v>
      </c>
      <c r="C107" t="e">
        <f>SUM(O107,#REF!,#REF!)</f>
        <v>#REF!</v>
      </c>
      <c r="D107" t="e">
        <f>SUM(Q107,#REF!,X107)</f>
        <v>#REF!</v>
      </c>
      <c r="N107">
        <v>8</v>
      </c>
      <c r="O107">
        <f t="shared" si="23"/>
        <v>77419.354838709682</v>
      </c>
    </row>
    <row r="108" spans="2:31" hidden="1">
      <c r="B108">
        <v>9</v>
      </c>
      <c r="C108" t="e">
        <f>SUM(O108,#REF!,#REF!)</f>
        <v>#REF!</v>
      </c>
      <c r="D108" t="e">
        <f>SUM(Q108,#REF!,X108)</f>
        <v>#REF!</v>
      </c>
      <c r="N108">
        <v>9</v>
      </c>
      <c r="O108">
        <f t="shared" si="23"/>
        <v>87096.774193548394</v>
      </c>
    </row>
    <row r="109" spans="2:31" hidden="1">
      <c r="B109">
        <v>10</v>
      </c>
      <c r="C109" t="e">
        <f>SUM(O109,#REF!,#REF!)</f>
        <v>#REF!</v>
      </c>
      <c r="D109" t="e">
        <f>SUM(Q109,#REF!,X109)</f>
        <v>#REF!</v>
      </c>
      <c r="N109">
        <v>10</v>
      </c>
      <c r="O109">
        <f t="shared" si="23"/>
        <v>96774.193548387106</v>
      </c>
    </row>
    <row r="110" spans="2:31" hidden="1">
      <c r="B110">
        <v>11</v>
      </c>
      <c r="C110" t="e">
        <f>SUM(O110,#REF!,#REF!)</f>
        <v>#REF!</v>
      </c>
      <c r="D110" t="e">
        <f>SUM(Q110,#REF!,X110)</f>
        <v>#REF!</v>
      </c>
      <c r="N110">
        <v>11</v>
      </c>
      <c r="O110">
        <f t="shared" si="23"/>
        <v>106451.61290322582</v>
      </c>
    </row>
    <row r="111" spans="2:31" hidden="1">
      <c r="B111">
        <v>12</v>
      </c>
      <c r="C111" t="e">
        <f>SUM(O111,#REF!,#REF!)</f>
        <v>#REF!</v>
      </c>
      <c r="D111" t="e">
        <f>SUM(Q111,#REF!,X111)</f>
        <v>#REF!</v>
      </c>
      <c r="N111">
        <v>12</v>
      </c>
      <c r="O111">
        <f t="shared" si="23"/>
        <v>116129.03225806453</v>
      </c>
    </row>
    <row r="112" spans="2:31" hidden="1">
      <c r="B112">
        <v>13</v>
      </c>
      <c r="C112" t="e">
        <f>SUM(O112,#REF!,#REF!)</f>
        <v>#REF!</v>
      </c>
      <c r="D112" t="e">
        <f>SUM(Q112,#REF!,X112)</f>
        <v>#REF!</v>
      </c>
      <c r="N112">
        <v>13</v>
      </c>
      <c r="O112">
        <f t="shared" si="23"/>
        <v>125806.45161290324</v>
      </c>
    </row>
    <row r="113" spans="2:15" hidden="1">
      <c r="B113">
        <v>14</v>
      </c>
      <c r="C113" t="e">
        <f>SUM(O113,#REF!,#REF!)</f>
        <v>#REF!</v>
      </c>
      <c r="D113" t="e">
        <f>SUM(Q113,#REF!,X113)</f>
        <v>#REF!</v>
      </c>
      <c r="N113">
        <v>14</v>
      </c>
      <c r="O113">
        <f t="shared" si="23"/>
        <v>135483.87096774194</v>
      </c>
    </row>
    <row r="114" spans="2:15" hidden="1">
      <c r="B114">
        <v>15</v>
      </c>
      <c r="C114" t="e">
        <f>SUM(O114,#REF!,#REF!)</f>
        <v>#REF!</v>
      </c>
      <c r="D114" t="e">
        <f>SUM(Q114,#REF!,X114)</f>
        <v>#REF!</v>
      </c>
      <c r="N114">
        <v>15</v>
      </c>
      <c r="O114">
        <f t="shared" si="23"/>
        <v>145161.29032258064</v>
      </c>
    </row>
    <row r="115" spans="2:15" hidden="1">
      <c r="B115">
        <v>16</v>
      </c>
      <c r="C115" t="e">
        <f>SUM(O115,#REF!,#REF!)</f>
        <v>#REF!</v>
      </c>
      <c r="D115" t="e">
        <f>SUM(Q115,#REF!,X115)</f>
        <v>#REF!</v>
      </c>
      <c r="N115">
        <v>16</v>
      </c>
      <c r="O115">
        <f t="shared" si="23"/>
        <v>154838.70967741933</v>
      </c>
    </row>
    <row r="116" spans="2:15" hidden="1">
      <c r="B116">
        <v>17</v>
      </c>
      <c r="C116" t="e">
        <f>SUM(O116,#REF!,#REF!)</f>
        <v>#REF!</v>
      </c>
      <c r="D116" t="e">
        <f>SUM(Q116,#REF!,X116)</f>
        <v>#REF!</v>
      </c>
      <c r="N116">
        <v>17</v>
      </c>
      <c r="O116">
        <f t="shared" si="23"/>
        <v>164516.12903225803</v>
      </c>
    </row>
    <row r="117" spans="2:15" hidden="1">
      <c r="B117">
        <v>18</v>
      </c>
      <c r="C117" t="e">
        <f>SUM(O117,#REF!,#REF!)</f>
        <v>#REF!</v>
      </c>
      <c r="D117" t="e">
        <f>SUM(Q117,#REF!,X117)</f>
        <v>#REF!</v>
      </c>
      <c r="N117">
        <v>18</v>
      </c>
      <c r="O117">
        <f t="shared" si="23"/>
        <v>174193.54838709673</v>
      </c>
    </row>
    <row r="118" spans="2:15" hidden="1">
      <c r="B118">
        <v>19</v>
      </c>
      <c r="C118" t="e">
        <f>SUM(O118,#REF!,#REF!)</f>
        <v>#REF!</v>
      </c>
      <c r="D118" t="e">
        <f>SUM(Q118,#REF!,X118)</f>
        <v>#REF!</v>
      </c>
      <c r="N118">
        <v>19</v>
      </c>
      <c r="O118">
        <f t="shared" si="23"/>
        <v>183870.96774193543</v>
      </c>
    </row>
    <row r="119" spans="2:15" hidden="1">
      <c r="B119">
        <v>20</v>
      </c>
      <c r="C119" t="e">
        <f>SUM(O119,#REF!,#REF!)</f>
        <v>#REF!</v>
      </c>
      <c r="D119" t="e">
        <f>SUM(Q119,#REF!,X119)</f>
        <v>#REF!</v>
      </c>
      <c r="N119">
        <v>20</v>
      </c>
      <c r="O119">
        <f t="shared" si="23"/>
        <v>193548.38709677412</v>
      </c>
    </row>
    <row r="120" spans="2:15" hidden="1">
      <c r="B120">
        <v>21</v>
      </c>
      <c r="C120" t="e">
        <f>SUM(O120,#REF!,#REF!)</f>
        <v>#REF!</v>
      </c>
      <c r="D120" t="e">
        <f>SUM(Q120,#REF!,X120)</f>
        <v>#REF!</v>
      </c>
      <c r="N120">
        <v>21</v>
      </c>
      <c r="O120">
        <f t="shared" si="23"/>
        <v>203225.80645161282</v>
      </c>
    </row>
    <row r="121" spans="2:15" hidden="1">
      <c r="B121">
        <v>22</v>
      </c>
      <c r="C121" t="e">
        <f>SUM(O121,#REF!,#REF!)</f>
        <v>#REF!</v>
      </c>
      <c r="D121" t="e">
        <f>SUM(Q121,#REF!,X121)</f>
        <v>#REF!</v>
      </c>
      <c r="N121">
        <v>22</v>
      </c>
      <c r="O121">
        <f t="shared" si="23"/>
        <v>212903.22580645152</v>
      </c>
    </row>
    <row r="122" spans="2:15" hidden="1">
      <c r="B122">
        <v>23</v>
      </c>
      <c r="C122" t="e">
        <f>SUM(O122,#REF!,#REF!)</f>
        <v>#REF!</v>
      </c>
      <c r="D122" t="e">
        <f>SUM(Q122,#REF!,X122)</f>
        <v>#REF!</v>
      </c>
      <c r="N122">
        <v>23</v>
      </c>
      <c r="O122">
        <f t="shared" si="23"/>
        <v>222580.64516129022</v>
      </c>
    </row>
    <row r="123" spans="2:15" hidden="1">
      <c r="B123">
        <v>24</v>
      </c>
      <c r="C123" t="e">
        <f>SUM(O123,#REF!,#REF!)</f>
        <v>#REF!</v>
      </c>
      <c r="D123" t="e">
        <f>SUM(Q123,#REF!,X123)</f>
        <v>#REF!</v>
      </c>
      <c r="N123">
        <v>24</v>
      </c>
      <c r="O123">
        <f t="shared" si="23"/>
        <v>232258.06451612891</v>
      </c>
    </row>
    <row r="124" spans="2:15" hidden="1">
      <c r="B124">
        <v>25</v>
      </c>
      <c r="C124" t="e">
        <f>SUM(O124,#REF!,#REF!)</f>
        <v>#REF!</v>
      </c>
      <c r="D124" t="e">
        <f>SUM(Q124,#REF!,X124)</f>
        <v>#REF!</v>
      </c>
      <c r="N124">
        <v>25</v>
      </c>
      <c r="O124">
        <f t="shared" si="23"/>
        <v>241935.48387096761</v>
      </c>
    </row>
    <row r="125" spans="2:15" hidden="1">
      <c r="B125">
        <v>26</v>
      </c>
      <c r="C125" t="e">
        <f>SUM(O125,#REF!,#REF!)</f>
        <v>#REF!</v>
      </c>
      <c r="D125" t="e">
        <f>SUM(Q125,#REF!,X125)</f>
        <v>#REF!</v>
      </c>
      <c r="N125">
        <v>26</v>
      </c>
      <c r="O125">
        <f t="shared" si="23"/>
        <v>251612.90322580631</v>
      </c>
    </row>
    <row r="126" spans="2:15" hidden="1">
      <c r="B126">
        <v>27</v>
      </c>
      <c r="C126" t="e">
        <f>SUM(O126,#REF!,#REF!)</f>
        <v>#REF!</v>
      </c>
      <c r="D126" t="e">
        <f>SUM(Q126,#REF!,X126)</f>
        <v>#REF!</v>
      </c>
      <c r="N126">
        <v>27</v>
      </c>
      <c r="O126">
        <f t="shared" si="23"/>
        <v>261290.32258064501</v>
      </c>
    </row>
    <row r="127" spans="2:15" hidden="1">
      <c r="B127">
        <v>28</v>
      </c>
      <c r="C127" t="e">
        <f>SUM(O127,#REF!,#REF!)</f>
        <v>#REF!</v>
      </c>
      <c r="D127" t="e">
        <f>SUM(Q127,#REF!,X127)</f>
        <v>#REF!</v>
      </c>
      <c r="N127">
        <v>28</v>
      </c>
      <c r="O127">
        <f t="shared" si="23"/>
        <v>270967.7419354837</v>
      </c>
    </row>
    <row r="128" spans="2:15" hidden="1">
      <c r="B128">
        <v>29</v>
      </c>
      <c r="C128" t="e">
        <f>SUM(O128,#REF!,#REF!)</f>
        <v>#REF!</v>
      </c>
      <c r="D128" t="e">
        <f>SUM(Q128,#REF!,X128)</f>
        <v>#REF!</v>
      </c>
      <c r="N128">
        <v>29</v>
      </c>
      <c r="O128">
        <f t="shared" si="23"/>
        <v>280645.16129032243</v>
      </c>
    </row>
    <row r="129" spans="2:15" hidden="1">
      <c r="B129">
        <v>30</v>
      </c>
      <c r="C129" t="e">
        <f>SUM(O129,#REF!,#REF!)</f>
        <v>#REF!</v>
      </c>
      <c r="D129" t="e">
        <f>SUM(Q129,#REF!,X129)</f>
        <v>#REF!</v>
      </c>
      <c r="N129">
        <v>30</v>
      </c>
      <c r="O129">
        <f t="shared" si="23"/>
        <v>290322.58064516116</v>
      </c>
    </row>
    <row r="130" spans="2:15" hidden="1">
      <c r="B130">
        <v>31</v>
      </c>
      <c r="C130" t="e">
        <f>SUM(O130,#REF!,#REF!)</f>
        <v>#REF!</v>
      </c>
      <c r="D130" t="e">
        <f>SUM(Q130,#REF!,X130)</f>
        <v>#REF!</v>
      </c>
      <c r="N130">
        <v>31</v>
      </c>
      <c r="O130">
        <f t="shared" si="23"/>
        <v>299999.99999999988</v>
      </c>
    </row>
    <row r="131" spans="2:15" hidden="1"/>
    <row r="132" spans="2:15" hidden="1"/>
    <row r="133" spans="2:15" hidden="1"/>
    <row r="134" spans="2:15" hidden="1"/>
    <row r="135" spans="2:15" hidden="1"/>
    <row r="136" spans="2:15" hidden="1"/>
    <row r="137" spans="2:15" hidden="1"/>
    <row r="138" spans="2:15" hidden="1"/>
    <row r="139" spans="2:15" hidden="1"/>
    <row r="140" spans="2:15" hidden="1"/>
    <row r="141" spans="2:15" hidden="1"/>
  </sheetData>
  <mergeCells count="31">
    <mergeCell ref="BM8:BM9"/>
    <mergeCell ref="C9:M9"/>
    <mergeCell ref="O9:O11"/>
    <mergeCell ref="P9:R10"/>
    <mergeCell ref="S9:S11"/>
    <mergeCell ref="T9:T11"/>
    <mergeCell ref="X9:X11"/>
    <mergeCell ref="Z9:AB10"/>
    <mergeCell ref="AC9:AF9"/>
    <mergeCell ref="AR9:AR11"/>
    <mergeCell ref="BE8:BK8"/>
    <mergeCell ref="BF9:BI9"/>
    <mergeCell ref="BJ9:BJ10"/>
    <mergeCell ref="BK9:BK10"/>
    <mergeCell ref="C10:C11"/>
    <mergeCell ref="D10:D11"/>
    <mergeCell ref="B8:B11"/>
    <mergeCell ref="O8:T8"/>
    <mergeCell ref="Z8:AB8"/>
    <mergeCell ref="AC8:AF8"/>
    <mergeCell ref="AR8:AX8"/>
    <mergeCell ref="AS9:AS11"/>
    <mergeCell ref="AT9:AX9"/>
    <mergeCell ref="E10:E11"/>
    <mergeCell ref="F10:G10"/>
    <mergeCell ref="H10:I10"/>
    <mergeCell ref="J10:K10"/>
    <mergeCell ref="L10:M10"/>
    <mergeCell ref="U10:W10"/>
    <mergeCell ref="AT10:AX10"/>
    <mergeCell ref="AI9:AL9"/>
  </mergeCells>
  <conditionalFormatting sqref="C43">
    <cfRule type="expression" dxfId="251" priority="16">
      <formula>OR(AND(C43&lt;(#REF!-(10%*#REF!)),#REF!="OB"),AND(C43&lt;(#REF!-(10%*#REF!)),#REF!="ROM"))</formula>
    </cfRule>
    <cfRule type="expression" dxfId="250" priority="17">
      <formula>$B43=DAY(TODAY()-1)</formula>
    </cfRule>
  </conditionalFormatting>
  <conditionalFormatting sqref="O12:U12 W12:W22 S13:U22 O13:R42 V22 S23 O43:W43">
    <cfRule type="expression" dxfId="249" priority="18">
      <formula>OR(AND(O12&lt;(#REF!-(10%*#REF!)),#REF!="OB"),AND(O12&lt;(#REF!-(10%*#REF!)),#REF!="ROM"))</formula>
    </cfRule>
  </conditionalFormatting>
  <conditionalFormatting sqref="O12:U12 AR12:AS12 W12:W22 BK12:BL37 BN12:CE37 AS13 S13:U22 O13:R42 AR13:AR42 AS15:AS18 V20 V22 S23 BK39:BL42 BN39:CE43 O43:W43 BE43:BL43">
    <cfRule type="expression" dxfId="248" priority="19">
      <formula>$B12=DAY(TODAY()-1)</formula>
    </cfRule>
  </conditionalFormatting>
  <conditionalFormatting sqref="V12:V18 S24:W42">
    <cfRule type="expression" dxfId="247" priority="6">
      <formula>$B12=DAY(TODAY()-1)</formula>
    </cfRule>
  </conditionalFormatting>
  <conditionalFormatting sqref="V12:V20 S24:W42">
    <cfRule type="expression" dxfId="246" priority="5">
      <formula>OR(AND(S12&lt;(#REF!-(10%*#REF!)),#REF!="OB"),AND(S12&lt;(#REF!-(10%*#REF!)),#REF!="ROM"))</formula>
    </cfRule>
  </conditionalFormatting>
  <conditionalFormatting sqref="V19">
    <cfRule type="expression" dxfId="245" priority="21">
      <formula>$B21=DAY(TODAY()-1)</formula>
    </cfRule>
  </conditionalFormatting>
  <conditionalFormatting sqref="X12:AE43">
    <cfRule type="expression" dxfId="244" priority="12">
      <formula>OR(AND(X12&lt;(#REF!-(10%*#REF!)),#REF!="OB"),AND(X12&lt;(#REF!-(10%*#REF!)),#REF!="ROM"))</formula>
    </cfRule>
    <cfRule type="expression" dxfId="243" priority="13">
      <formula>$B12=DAY(TODAY()-1)</formula>
    </cfRule>
  </conditionalFormatting>
  <conditionalFormatting sqref="AI1:AO100">
    <cfRule type="expression" dxfId="242" priority="3">
      <formula>OR(TEXT($A2,"dd/mm/yyyy")=TEXT(DATE(2025,4,18),"dd/mm/yyyy"), TEXT($A2,"dd/mm/yyyy")=TEXT(TODAY()-1,"dd/mm/yyyy"))</formula>
    </cfRule>
  </conditionalFormatting>
  <conditionalFormatting sqref="AI2:AO100">
    <cfRule type="expression" dxfId="241" priority="1">
      <formula>OR($B2=DAY(TODAY()-1))</formula>
    </cfRule>
  </conditionalFormatting>
  <conditionalFormatting sqref="AR43:AS43">
    <cfRule type="expression" dxfId="240" priority="10">
      <formula>$B43=DAY(TODAY()-1)</formula>
    </cfRule>
  </conditionalFormatting>
  <conditionalFormatting sqref="AS19">
    <cfRule type="expression" dxfId="239" priority="20">
      <formula>$B14=DAY(TODAY()-1)</formula>
    </cfRule>
  </conditionalFormatting>
  <conditionalFormatting sqref="AS20:AS42">
    <cfRule type="expression" dxfId="238" priority="8">
      <formula>$B20=DAY(TODAY()-1)</formula>
    </cfRule>
  </conditionalFormatting>
  <conditionalFormatting sqref="AT12:AY43">
    <cfRule type="expression" dxfId="237" priority="7">
      <formula>$B12=DAY(TODAY()-1)</formula>
    </cfRule>
  </conditionalFormatting>
  <conditionalFormatting sqref="BE12:BJ42">
    <cfRule type="expression" dxfId="236" priority="4">
      <formula>$B12=DAY(TODAY()-1)</formula>
    </cfRule>
  </conditionalFormatting>
  <conditionalFormatting sqref="BM12:BM42">
    <cfRule type="expression" dxfId="235" priority="11">
      <formula>$B12=DAY(TODAY()-1)</formula>
    </cfRule>
  </conditionalFormatting>
  <pageMargins left="0.7" right="0.7" top="0.75" bottom="0.75" header="0.3" footer="0.3"/>
  <pageSetup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1:SF301"/>
  <sheetViews>
    <sheetView showGridLines="0" zoomScale="65" zoomScaleNormal="65" workbookViewId="0">
      <pane xSplit="2" ySplit="9" topLeftCell="FU10" activePane="bottomRight" state="frozen"/>
      <selection pane="topRight" activeCell="BM11" sqref="BM11"/>
      <selection pane="bottomLeft" activeCell="BM11" sqref="BM11"/>
      <selection pane="bottomRight" activeCell="GP23" sqref="GP23"/>
    </sheetView>
  </sheetViews>
  <sheetFormatPr defaultColWidth="8.6640625" defaultRowHeight="14.4"/>
  <cols>
    <col min="1" max="1" width="2.33203125" customWidth="1"/>
    <col min="2" max="2" width="7.33203125" customWidth="1"/>
    <col min="3" max="3" width="15.33203125" customWidth="1"/>
    <col min="4" max="4" width="13" customWidth="1"/>
    <col min="5" max="5" width="10.44140625" customWidth="1"/>
    <col min="6" max="7" width="10.44140625" hidden="1" customWidth="1"/>
    <col min="8" max="8" width="13.6640625" customWidth="1"/>
    <col min="9" max="9" width="10.44140625" customWidth="1"/>
    <col min="10" max="10" width="12.33203125" customWidth="1"/>
    <col min="11" max="11" width="11.5546875" customWidth="1"/>
    <col min="12" max="12" width="10" customWidth="1"/>
    <col min="13" max="13" width="8.6640625" customWidth="1"/>
    <col min="14" max="14" width="5" customWidth="1"/>
    <col min="15" max="15" width="14.6640625" customWidth="1"/>
    <col min="16" max="16" width="16.6640625" customWidth="1"/>
    <col min="17" max="17" width="11.6640625" customWidth="1"/>
    <col min="18" max="18" width="8.33203125" customWidth="1"/>
    <col min="19" max="19" width="12.6640625" customWidth="1"/>
    <col min="20" max="20" width="15.33203125" customWidth="1"/>
    <col min="21" max="21" width="10.33203125" customWidth="1"/>
    <col min="22" max="22" width="8.6640625" customWidth="1"/>
    <col min="23" max="23" width="13" customWidth="1"/>
    <col min="24" max="24" width="13.6640625" customWidth="1"/>
    <col min="25" max="26" width="9.33203125" customWidth="1"/>
    <col min="27" max="27" width="15.44140625" customWidth="1"/>
    <col min="28" max="28" width="12.6640625" customWidth="1"/>
    <col min="29" max="30" width="9.33203125" customWidth="1"/>
    <col min="31" max="31" width="14.33203125" hidden="1" customWidth="1"/>
    <col min="32" max="33" width="12.6640625" hidden="1" customWidth="1"/>
    <col min="34" max="34" width="8.6640625" hidden="1" customWidth="1"/>
    <col min="35" max="35" width="10.33203125" hidden="1" customWidth="1"/>
    <col min="36" max="36" width="9.33203125" hidden="1" customWidth="1"/>
    <col min="37" max="38" width="8.6640625" hidden="1" customWidth="1"/>
    <col min="39" max="39" width="1.33203125" customWidth="1"/>
    <col min="40" max="40" width="12" hidden="1" customWidth="1"/>
    <col min="41" max="42" width="8.6640625" hidden="1" customWidth="1"/>
    <col min="43" max="43" width="14.5546875" hidden="1" customWidth="1"/>
    <col min="44" max="45" width="12.33203125" hidden="1" customWidth="1"/>
    <col min="46" max="46" width="14.6640625" hidden="1" customWidth="1"/>
    <col min="47" max="47" width="11.44140625" hidden="1" customWidth="1"/>
    <col min="48" max="48" width="11.6640625" hidden="1" customWidth="1"/>
    <col min="49" max="49" width="14.5546875" customWidth="1"/>
    <col min="50" max="50" width="12.33203125" customWidth="1"/>
    <col min="51" max="51" width="11.33203125" customWidth="1"/>
    <col min="52" max="52" width="8.5546875" hidden="1" customWidth="1"/>
    <col min="53" max="53" width="8.6640625" hidden="1" customWidth="1"/>
    <col min="54" max="54" width="9.33203125" hidden="1" customWidth="1"/>
    <col min="55" max="55" width="11.5546875" customWidth="1"/>
    <col min="56" max="56" width="11.44140625" customWidth="1"/>
    <col min="57" max="57" width="10.44140625" customWidth="1"/>
    <col min="58" max="58" width="13.6640625" hidden="1" customWidth="1"/>
    <col min="59" max="59" width="15.33203125" hidden="1" customWidth="1"/>
    <col min="60" max="60" width="9.33203125" hidden="1" customWidth="1"/>
    <col min="61" max="61" width="11.6640625" hidden="1" customWidth="1"/>
    <col min="62" max="62" width="12.33203125" hidden="1" customWidth="1"/>
    <col min="63" max="63" width="8.6640625" hidden="1" customWidth="1"/>
    <col min="64" max="64" width="13.109375" customWidth="1"/>
    <col min="65" max="65" width="12.33203125" customWidth="1"/>
    <col min="66" max="66" width="8.6640625" customWidth="1"/>
    <col min="67" max="67" width="11.44140625" hidden="1" customWidth="1"/>
    <col min="68" max="68" width="14.6640625" hidden="1" customWidth="1"/>
    <col min="69" max="69" width="10.6640625" hidden="1" customWidth="1"/>
    <col min="70" max="71" width="11.44140625" hidden="1" customWidth="1"/>
    <col min="72" max="72" width="8.6640625" hidden="1" customWidth="1"/>
    <col min="73" max="73" width="13.33203125" customWidth="1"/>
    <col min="74" max="74" width="12.6640625" customWidth="1"/>
    <col min="75" max="75" width="11.88671875" customWidth="1"/>
    <col min="76" max="76" width="13.5546875" hidden="1" customWidth="1"/>
    <col min="77" max="77" width="12.33203125" hidden="1" customWidth="1"/>
    <col min="78" max="78" width="9.33203125" hidden="1" customWidth="1"/>
    <col min="79" max="79" width="12.6640625" hidden="1" customWidth="1"/>
    <col min="80" max="80" width="11.33203125" hidden="1" customWidth="1"/>
    <col min="81" max="81" width="9.33203125" hidden="1" customWidth="1"/>
    <col min="82" max="82" width="13.44140625" hidden="1" customWidth="1"/>
    <col min="83" max="83" width="13" hidden="1" customWidth="1"/>
    <col min="84" max="84" width="9.33203125" hidden="1" customWidth="1"/>
    <col min="85" max="85" width="7.6640625" customWidth="1"/>
    <col min="86" max="87" width="10.6640625" customWidth="1"/>
    <col min="88" max="88" width="12.33203125" customWidth="1"/>
    <col min="89" max="89" width="11" customWidth="1"/>
    <col min="90" max="90" width="0" hidden="1" customWidth="1"/>
    <col min="91" max="91" width="11.6640625" customWidth="1"/>
    <col min="92" max="92" width="0" hidden="1" customWidth="1"/>
    <col min="93" max="93" width="18.33203125" customWidth="1"/>
    <col min="94" max="94" width="6.6640625" customWidth="1"/>
    <col min="96" max="96" width="11.6640625" bestFit="1" customWidth="1"/>
    <col min="98" max="98" width="11.6640625" bestFit="1" customWidth="1"/>
    <col min="100" max="100" width="11.6640625" bestFit="1" customWidth="1"/>
    <col min="102" max="102" width="11.6640625" bestFit="1" customWidth="1"/>
    <col min="103" max="103" width="11.5546875" customWidth="1"/>
    <col min="104" max="104" width="11.6640625" bestFit="1" customWidth="1"/>
    <col min="105" max="105" width="10.33203125" customWidth="1"/>
    <col min="106" max="106" width="11.6640625" bestFit="1" customWidth="1"/>
    <col min="107" max="107" width="13.33203125" bestFit="1" customWidth="1"/>
    <col min="108" max="108" width="7.6640625" customWidth="1"/>
    <col min="109" max="109" width="12.33203125" customWidth="1"/>
    <col min="110" max="110" width="11.6640625" bestFit="1" customWidth="1"/>
    <col min="111" max="111" width="11.6640625" customWidth="1"/>
    <col min="112" max="112" width="11.6640625" bestFit="1" customWidth="1"/>
    <col min="113" max="113" width="12.5546875" bestFit="1" customWidth="1"/>
    <col min="114" max="114" width="11.6640625" bestFit="1" customWidth="1"/>
    <col min="115" max="115" width="12.5546875" customWidth="1"/>
    <col min="116" max="116" width="11.6640625" bestFit="1" customWidth="1"/>
    <col min="117" max="117" width="12.6640625" bestFit="1" customWidth="1"/>
    <col min="118" max="118" width="11.6640625" bestFit="1" customWidth="1"/>
    <col min="119" max="119" width="12.33203125" customWidth="1"/>
    <col min="120" max="120" width="11.6640625" bestFit="1" customWidth="1"/>
    <col min="121" max="121" width="13.6640625" bestFit="1" customWidth="1"/>
    <col min="122" max="122" width="11.33203125" customWidth="1"/>
    <col min="123" max="123" width="16.6640625" customWidth="1"/>
    <col min="124" max="124" width="9.6640625" customWidth="1"/>
    <col min="125" max="125" width="11.6640625" bestFit="1" customWidth="1"/>
    <col min="126" max="126" width="10.33203125" bestFit="1" customWidth="1"/>
    <col min="127" max="127" width="11.6640625" bestFit="1" customWidth="1"/>
    <col min="128" max="128" width="10.33203125" customWidth="1"/>
    <col min="129" max="129" width="11.6640625" bestFit="1" customWidth="1"/>
    <col min="130" max="130" width="12.33203125" customWidth="1"/>
    <col min="131" max="131" width="10.33203125" customWidth="1"/>
    <col min="132" max="132" width="9.33203125" customWidth="1"/>
    <col min="133" max="133" width="11.6640625" bestFit="1" customWidth="1"/>
    <col min="134" max="134" width="14.6640625" customWidth="1"/>
    <col min="135" max="135" width="12.6640625" bestFit="1" customWidth="1"/>
    <col min="136" max="136" width="12.33203125" customWidth="1"/>
    <col min="137" max="137" width="12.6640625" bestFit="1" customWidth="1"/>
    <col min="138" max="138" width="12.33203125" customWidth="1"/>
    <col min="139" max="139" width="12.6640625" bestFit="1" customWidth="1"/>
    <col min="140" max="140" width="12.33203125" customWidth="1"/>
    <col min="141" max="141" width="12.6640625" bestFit="1" customWidth="1"/>
    <col min="142" max="142" width="12.33203125" customWidth="1"/>
    <col min="143" max="143" width="12.6640625" bestFit="1" customWidth="1"/>
    <col min="144" max="144" width="12.33203125" customWidth="1"/>
    <col min="145" max="145" width="12.6640625" bestFit="1" customWidth="1"/>
    <col min="146" max="146" width="11.6640625" customWidth="1"/>
    <col min="147" max="147" width="12.6640625" customWidth="1"/>
    <col min="148" max="154" width="8.6640625" hidden="1" customWidth="1"/>
    <col min="155" max="155" width="1.33203125" customWidth="1"/>
    <col min="156" max="156" width="6.6640625" customWidth="1"/>
    <col min="159" max="159" width="9.33203125" bestFit="1" customWidth="1"/>
    <col min="162" max="162" width="1.33203125" customWidth="1"/>
    <col min="163" max="176" width="8.6640625" hidden="1" customWidth="1"/>
    <col min="177" max="177" width="7.33203125" bestFit="1" customWidth="1"/>
    <col min="178" max="178" width="11.6640625" bestFit="1" customWidth="1"/>
    <col min="179" max="179" width="6.6640625" bestFit="1" customWidth="1"/>
    <col min="180" max="180" width="11.6640625" bestFit="1" customWidth="1"/>
    <col min="181" max="181" width="6.6640625" bestFit="1" customWidth="1"/>
    <col min="182" max="182" width="11.6640625" bestFit="1" customWidth="1"/>
    <col min="183" max="183" width="6.6640625" bestFit="1" customWidth="1"/>
    <col min="184" max="184" width="11.6640625" bestFit="1" customWidth="1"/>
    <col min="185" max="185" width="10.33203125" bestFit="1" customWidth="1"/>
    <col min="186" max="186" width="11.6640625" bestFit="1" customWidth="1"/>
    <col min="187" max="187" width="6.6640625" bestFit="1" customWidth="1"/>
    <col min="188" max="188" width="11.6640625" bestFit="1" customWidth="1"/>
    <col min="190" max="190" width="1.33203125" customWidth="1"/>
    <col min="191" max="191" width="6.6640625" customWidth="1"/>
    <col min="192" max="192" width="13" customWidth="1"/>
    <col min="193" max="193" width="13.44140625" customWidth="1"/>
    <col min="194" max="194" width="14.33203125" customWidth="1"/>
    <col min="195" max="195" width="17.33203125" customWidth="1"/>
    <col min="196" max="196" width="10.33203125" hidden="1" customWidth="1"/>
    <col min="197" max="197" width="8.6640625" hidden="1" customWidth="1"/>
    <col min="198" max="198" width="45.33203125" customWidth="1"/>
    <col min="199" max="199" width="1.33203125" customWidth="1"/>
    <col min="200" max="200" width="15.44140625" customWidth="1"/>
    <col min="201" max="202" width="13.33203125" customWidth="1"/>
    <col min="203" max="203" width="12.33203125" customWidth="1"/>
    <col min="204" max="204" width="15.33203125" customWidth="1"/>
    <col min="205" max="205" width="1.33203125" customWidth="1"/>
    <col min="206" max="206" width="13.5546875" customWidth="1"/>
    <col min="207" max="207" width="12.33203125" customWidth="1"/>
    <col min="208" max="208" width="13.33203125" customWidth="1"/>
    <col min="209" max="209" width="13" customWidth="1"/>
    <col min="210" max="210" width="12.6640625" customWidth="1"/>
    <col min="211" max="211" width="14.44140625" customWidth="1"/>
    <col min="212" max="212" width="12" customWidth="1"/>
    <col min="213" max="214" width="11.6640625" customWidth="1"/>
    <col min="215" max="215" width="13" customWidth="1"/>
    <col min="216" max="216" width="11.5546875" customWidth="1"/>
    <col min="217" max="217" width="11.6640625" customWidth="1"/>
    <col min="218" max="218" width="10.44140625" customWidth="1"/>
    <col min="219" max="219" width="10.33203125" customWidth="1"/>
    <col min="220" max="220" width="11.44140625" customWidth="1"/>
    <col min="221" max="234" width="10.44140625" hidden="1" customWidth="1"/>
    <col min="235" max="235" width="0.5546875" hidden="1" customWidth="1"/>
    <col min="236" max="236" width="11.33203125" customWidth="1"/>
    <col min="237" max="237" width="11.6640625" customWidth="1"/>
    <col min="238" max="238" width="10.33203125" customWidth="1"/>
    <col min="239" max="239" width="11.6640625" customWidth="1"/>
    <col min="240" max="240" width="12.33203125" bestFit="1" customWidth="1"/>
    <col min="241" max="241" width="11.6640625" bestFit="1" customWidth="1"/>
    <col min="242" max="242" width="12" customWidth="1"/>
    <col min="243" max="243" width="11.6640625" bestFit="1" customWidth="1"/>
    <col min="244" max="244" width="12.33203125" bestFit="1" customWidth="1"/>
    <col min="245" max="245" width="11.6640625" bestFit="1" customWidth="1"/>
    <col min="246" max="246" width="13.33203125" customWidth="1"/>
    <col min="247" max="247" width="12.33203125" customWidth="1"/>
    <col min="248" max="249" width="8.6640625" customWidth="1"/>
    <col min="250" max="250" width="13" customWidth="1"/>
    <col min="251" max="251" width="10.6640625" customWidth="1"/>
    <col min="252" max="252" width="11.6640625" bestFit="1" customWidth="1"/>
    <col min="253" max="253" width="9.44140625" customWidth="1"/>
    <col min="254" max="254" width="11.6640625" bestFit="1" customWidth="1"/>
    <col min="255" max="256" width="12" bestFit="1" customWidth="1"/>
    <col min="257" max="257" width="10.5546875" customWidth="1"/>
    <col min="258" max="258" width="11.6640625" bestFit="1" customWidth="1"/>
    <col min="259" max="259" width="12.5546875" bestFit="1" customWidth="1"/>
    <col min="260" max="260" width="12" bestFit="1" customWidth="1"/>
    <col min="261" max="261" width="11.6640625" customWidth="1"/>
    <col min="262" max="262" width="11.6640625" bestFit="1" customWidth="1"/>
    <col min="265" max="265" width="13" customWidth="1"/>
    <col min="266" max="266" width="1.33203125" customWidth="1"/>
    <col min="267" max="267" width="6.6640625" customWidth="1"/>
    <col min="268" max="268" width="15.33203125" customWidth="1"/>
    <col min="269" max="269" width="16" customWidth="1"/>
    <col min="270" max="270" width="15.5546875" bestFit="1" customWidth="1"/>
    <col min="271" max="271" width="13.6640625" customWidth="1"/>
    <col min="272" max="272" width="13" bestFit="1" customWidth="1"/>
    <col min="273" max="273" width="3.6640625" customWidth="1"/>
    <col min="274" max="274" width="9.6640625" customWidth="1"/>
    <col min="276" max="276" width="12.33203125" bestFit="1" customWidth="1"/>
    <col min="277" max="277" width="12.44140625" customWidth="1"/>
    <col min="278" max="278" width="11.5546875" customWidth="1"/>
    <col min="282" max="286" width="8.6640625" customWidth="1"/>
    <col min="287" max="287" width="9.33203125" customWidth="1"/>
    <col min="288" max="289" width="8.6640625" customWidth="1"/>
    <col min="296" max="296" width="8.6640625" customWidth="1"/>
    <col min="297" max="297" width="6.33203125" customWidth="1"/>
    <col min="299" max="299" width="1.33203125" customWidth="1"/>
    <col min="300" max="300" width="10.6640625" bestFit="1" customWidth="1"/>
    <col min="301" max="301" width="8.88671875" bestFit="1" customWidth="1"/>
    <col min="302" max="304" width="8.6640625" bestFit="1" customWidth="1"/>
    <col min="305" max="305" width="10.33203125" customWidth="1"/>
    <col min="306" max="306" width="8.33203125" customWidth="1"/>
    <col min="307" max="309" width="8.6640625" customWidth="1"/>
    <col min="315" max="315" width="0" hidden="1" customWidth="1"/>
    <col min="316" max="316" width="1.33203125" customWidth="1"/>
    <col min="317" max="317" width="6.6640625" customWidth="1"/>
    <col min="318" max="318" width="16.33203125" customWidth="1"/>
    <col min="319" max="319" width="15.33203125" customWidth="1"/>
    <col min="320" max="320" width="15.109375" customWidth="1"/>
    <col min="321" max="321" width="14.33203125" bestFit="1" customWidth="1"/>
    <col min="322" max="322" width="15.88671875" customWidth="1"/>
    <col min="323" max="323" width="13.44140625" bestFit="1" customWidth="1"/>
    <col min="325" max="325" width="0" hidden="1" customWidth="1"/>
    <col min="327" max="327" width="49.33203125" customWidth="1"/>
    <col min="328" max="328" width="1.33203125" customWidth="1"/>
    <col min="329" max="329" width="15.33203125" customWidth="1"/>
    <col min="330" max="330" width="10.33203125" bestFit="1" customWidth="1"/>
    <col min="331" max="331" width="13.6640625" bestFit="1" customWidth="1"/>
    <col min="332" max="332" width="9.44140625" customWidth="1"/>
    <col min="333" max="333" width="9.6640625" customWidth="1"/>
    <col min="334" max="334" width="12.33203125" customWidth="1"/>
    <col min="335" max="335" width="10.44140625" bestFit="1" customWidth="1"/>
    <col min="336" max="336" width="11.33203125" customWidth="1"/>
    <col min="337" max="337" width="13.6640625" bestFit="1" customWidth="1"/>
    <col min="338" max="338" width="12" bestFit="1" customWidth="1"/>
    <col min="339" max="339" width="13" bestFit="1" customWidth="1"/>
    <col min="340" max="340" width="9.6640625" bestFit="1" customWidth="1"/>
    <col min="341" max="341" width="9.33203125" bestFit="1" customWidth="1"/>
    <col min="342" max="342" width="12.6640625" customWidth="1"/>
    <col min="343" max="343" width="13.6640625" bestFit="1" customWidth="1"/>
    <col min="344" max="344" width="9.44140625" bestFit="1" customWidth="1"/>
    <col min="345" max="345" width="9.6640625" bestFit="1" customWidth="1"/>
    <col min="346" max="346" width="13.5546875" bestFit="1" customWidth="1"/>
    <col min="347" max="347" width="7.6640625" customWidth="1"/>
    <col min="348" max="348" width="9.33203125" customWidth="1"/>
    <col min="349" max="349" width="15.5546875" customWidth="1"/>
    <col min="350" max="350" width="9.44140625" customWidth="1"/>
    <col min="351" max="351" width="9.6640625" customWidth="1"/>
    <col min="352" max="352" width="13.5546875" customWidth="1"/>
    <col min="353" max="354" width="9.33203125" customWidth="1"/>
    <col min="355" max="355" width="15.5546875" customWidth="1"/>
    <col min="356" max="356" width="9.44140625" customWidth="1"/>
    <col min="357" max="357" width="9.6640625" customWidth="1"/>
    <col min="358" max="358" width="8.6640625" customWidth="1"/>
    <col min="359" max="359" width="1.33203125" customWidth="1"/>
    <col min="360" max="360" width="6.6640625" customWidth="1"/>
    <col min="361" max="361" width="13" customWidth="1"/>
    <col min="362" max="362" width="12.33203125" customWidth="1"/>
    <col min="364" max="364" width="12" customWidth="1"/>
    <col min="365" max="365" width="1.33203125" customWidth="1"/>
    <col min="366" max="366" width="17.33203125" customWidth="1"/>
    <col min="367" max="368" width="17.6640625" customWidth="1"/>
    <col min="369" max="369" width="15.33203125" customWidth="1"/>
    <col min="370" max="370" width="13.6640625" hidden="1" customWidth="1"/>
    <col min="371" max="371" width="14.44140625" hidden="1" customWidth="1"/>
    <col min="372" max="372" width="12.33203125" hidden="1" customWidth="1"/>
    <col min="373" max="373" width="11.6640625" hidden="1" customWidth="1"/>
    <col min="374" max="374" width="12" hidden="1" customWidth="1"/>
    <col min="375" max="375" width="11.6640625" hidden="1" customWidth="1"/>
    <col min="376" max="376" width="13.33203125" hidden="1" customWidth="1"/>
    <col min="377" max="377" width="13.44140625" hidden="1" customWidth="1"/>
    <col min="378" max="378" width="10.33203125" customWidth="1"/>
    <col min="379" max="379" width="11.6640625" customWidth="1"/>
    <col min="380" max="380" width="9.33203125" customWidth="1"/>
    <col min="381" max="381" width="11.6640625" bestFit="1" customWidth="1"/>
    <col min="382" max="382" width="11.5546875" bestFit="1" customWidth="1"/>
    <col min="383" max="383" width="12.33203125" hidden="1" customWidth="1"/>
    <col min="384" max="384" width="11.6640625" hidden="1" customWidth="1"/>
    <col min="385" max="385" width="11.33203125" hidden="1" customWidth="1"/>
    <col min="386" max="386" width="11.6640625" hidden="1" customWidth="1"/>
    <col min="387" max="387" width="10.33203125" hidden="1" customWidth="1"/>
    <col min="388" max="388" width="11.6640625" hidden="1" customWidth="1"/>
    <col min="389" max="389" width="12.33203125" customWidth="1"/>
    <col min="390" max="390" width="11.6640625" hidden="1" customWidth="1"/>
    <col min="391" max="391" width="13.44140625" customWidth="1"/>
    <col min="392" max="392" width="14.6640625" hidden="1" customWidth="1"/>
    <col min="393" max="393" width="11.33203125" bestFit="1" customWidth="1"/>
    <col min="394" max="394" width="12.6640625" hidden="1" customWidth="1"/>
    <col min="395" max="395" width="12.33203125" customWidth="1"/>
    <col min="396" max="396" width="10" hidden="1" customWidth="1"/>
    <col min="397" max="397" width="11.6640625" hidden="1" customWidth="1"/>
    <col min="398" max="398" width="9.6640625" hidden="1" customWidth="1"/>
    <col min="399" max="399" width="11.6640625" hidden="1" customWidth="1"/>
    <col min="400" max="400" width="11" hidden="1" customWidth="1"/>
    <col min="401" max="401" width="11.6640625" hidden="1" customWidth="1"/>
    <col min="402" max="402" width="9.6640625" hidden="1" customWidth="1"/>
    <col min="403" max="403" width="11.6640625" hidden="1" customWidth="1"/>
    <col min="404" max="404" width="10.6640625" customWidth="1"/>
    <col min="405" max="405" width="11.6640625" hidden="1" customWidth="1"/>
    <col min="406" max="406" width="8.33203125" customWidth="1"/>
    <col min="407" max="407" width="11.6640625" hidden="1" customWidth="1"/>
    <col min="408" max="408" width="13.6640625" customWidth="1"/>
    <col min="409" max="409" width="9.33203125" hidden="1" customWidth="1"/>
    <col min="410" max="410" width="9.5546875" hidden="1" customWidth="1"/>
    <col min="411" max="414" width="9.33203125" hidden="1" customWidth="1"/>
    <col min="415" max="415" width="9.5546875" hidden="1" customWidth="1"/>
    <col min="416" max="419" width="8.6640625" hidden="1" customWidth="1"/>
    <col min="420" max="420" width="13.44140625" hidden="1" customWidth="1"/>
    <col min="421" max="421" width="8.6640625" hidden="1" customWidth="1"/>
    <col min="422" max="422" width="9.33203125" hidden="1" customWidth="1"/>
    <col min="423" max="423" width="1.33203125" customWidth="1"/>
    <col min="424" max="424" width="10.44140625" customWidth="1"/>
    <col min="425" max="425" width="11.6640625" customWidth="1"/>
    <col min="426" max="428" width="9.5546875" customWidth="1"/>
    <col min="429" max="429" width="11.5546875" customWidth="1"/>
    <col min="430" max="430" width="11.88671875" customWidth="1"/>
    <col min="431" max="431" width="15.6640625" customWidth="1"/>
    <col min="432" max="432" width="1.33203125" customWidth="1"/>
    <col min="433" max="433" width="6.6640625" customWidth="1"/>
    <col min="434" max="435" width="14" customWidth="1"/>
    <col min="437" max="438" width="12.33203125" customWidth="1"/>
    <col min="439" max="440" width="14" customWidth="1"/>
    <col min="441" max="441" width="10.6640625" customWidth="1"/>
    <col min="442" max="442" width="12" bestFit="1" customWidth="1"/>
    <col min="443" max="443" width="11.33203125" customWidth="1"/>
    <col min="444" max="446" width="12" customWidth="1"/>
    <col min="447" max="447" width="12.6640625" customWidth="1"/>
    <col min="448" max="448" width="11.5546875" customWidth="1"/>
    <col min="449" max="449" width="14.33203125" customWidth="1"/>
    <col min="450" max="450" width="14.33203125" hidden="1" customWidth="1"/>
    <col min="460" max="475" width="0" hidden="1" customWidth="1"/>
    <col min="476" max="476" width="12.33203125" hidden="1" customWidth="1"/>
    <col min="477" max="479" width="8.6640625" hidden="1" customWidth="1"/>
    <col min="480" max="480" width="8.6640625" customWidth="1"/>
    <col min="481" max="482" width="11.33203125" customWidth="1"/>
    <col min="483" max="483" width="10" bestFit="1" customWidth="1"/>
    <col min="484" max="484" width="10" customWidth="1"/>
    <col min="485" max="485" width="18.33203125" bestFit="1" customWidth="1"/>
    <col min="486" max="486" width="19.5546875" bestFit="1" customWidth="1"/>
    <col min="491" max="491" width="19.5546875" bestFit="1" customWidth="1"/>
    <col min="500" max="500" width="16.88671875" customWidth="1"/>
  </cols>
  <sheetData>
    <row r="1" spans="1:500">
      <c r="AQ1" s="887"/>
      <c r="AR1" s="887"/>
      <c r="AW1" s="887"/>
      <c r="AX1" s="887"/>
      <c r="BF1" s="887"/>
      <c r="BG1" s="887"/>
      <c r="BI1" s="887"/>
      <c r="BJ1" s="887"/>
      <c r="BO1" s="887"/>
      <c r="BP1" s="887"/>
      <c r="BR1" s="887"/>
      <c r="BS1" s="887"/>
      <c r="CI1" s="1">
        <f>CE28+CB28</f>
        <v>0</v>
      </c>
      <c r="ED1" s="28"/>
      <c r="EJ1" s="281"/>
      <c r="GM1">
        <v>6835.7999999999993</v>
      </c>
      <c r="GO1" s="314"/>
      <c r="HH1" s="1">
        <v>89.9</v>
      </c>
      <c r="IJ1" s="1692"/>
      <c r="JH1" s="106"/>
      <c r="JI1" s="106"/>
      <c r="JJ1" s="106"/>
      <c r="LM1" s="106"/>
      <c r="ND1" s="98"/>
      <c r="NE1" s="98"/>
      <c r="NF1" s="145"/>
      <c r="NK1" s="1"/>
      <c r="NO1" s="1"/>
      <c r="OI1" s="72"/>
      <c r="PO1" s="1"/>
      <c r="PR1" s="1"/>
      <c r="RW1" s="1"/>
    </row>
    <row r="2" spans="1:500">
      <c r="BS2" s="1"/>
      <c r="BV2" s="1"/>
      <c r="CE2" s="1"/>
      <c r="DE2">
        <v>214.42</v>
      </c>
      <c r="DM2" s="852"/>
      <c r="DQ2" s="25"/>
      <c r="EG2" s="281"/>
      <c r="EH2" s="281"/>
      <c r="GO2" s="314"/>
      <c r="IY2" s="106"/>
      <c r="LZ2">
        <v>3250.7799999997887</v>
      </c>
      <c r="ND2" s="145"/>
      <c r="NE2" s="98"/>
      <c r="NH2" s="1"/>
      <c r="NL2" s="98"/>
      <c r="NM2" s="98"/>
      <c r="NN2" s="98"/>
      <c r="NQ2" s="1"/>
      <c r="NU2" s="1"/>
      <c r="OO2" s="1"/>
      <c r="OR2" s="1"/>
      <c r="PJ2">
        <v>1588.98</v>
      </c>
      <c r="PO2">
        <v>-820.9</v>
      </c>
      <c r="QL2" t="s">
        <v>209</v>
      </c>
      <c r="RW2" s="1"/>
    </row>
    <row r="3" spans="1:500">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489"/>
      <c r="AR3" s="489"/>
      <c r="AS3" s="145"/>
      <c r="AT3" s="489"/>
      <c r="AU3" s="489"/>
      <c r="AV3" s="145"/>
      <c r="AW3" s="489"/>
      <c r="AX3" s="489"/>
      <c r="AY3" s="145"/>
      <c r="AZ3" s="145"/>
      <c r="BA3" s="145"/>
      <c r="BB3" s="145"/>
      <c r="BC3" s="145"/>
      <c r="BD3" s="145"/>
      <c r="BE3" s="145"/>
      <c r="BF3" s="489"/>
      <c r="BG3" s="489"/>
      <c r="BH3" s="145"/>
      <c r="BI3" s="489"/>
      <c r="BJ3" s="489"/>
      <c r="BK3" s="145"/>
      <c r="BL3" s="489"/>
      <c r="BM3" s="489"/>
      <c r="BN3" s="145"/>
      <c r="BO3" s="489"/>
      <c r="BP3" s="489"/>
      <c r="BQ3" s="145"/>
      <c r="BR3" s="489"/>
      <c r="BS3" s="489"/>
      <c r="BT3" s="145"/>
      <c r="BU3" s="489"/>
      <c r="BV3" s="489"/>
      <c r="BW3" s="145"/>
      <c r="BX3" s="489"/>
      <c r="BY3" s="489"/>
      <c r="BZ3" s="145"/>
      <c r="CA3" s="489"/>
      <c r="CB3" s="489">
        <f>CB43/31</f>
        <v>0</v>
      </c>
      <c r="CC3" s="145"/>
      <c r="CD3" s="489">
        <f>CD43/31</f>
        <v>0</v>
      </c>
      <c r="CE3" s="489">
        <f>CE43/31</f>
        <v>0</v>
      </c>
      <c r="CF3" s="145"/>
      <c r="CG3" s="145"/>
      <c r="CH3" s="145"/>
      <c r="CI3" s="145"/>
      <c r="CJ3" s="145"/>
      <c r="CK3" s="145"/>
      <c r="CL3" s="145"/>
      <c r="CM3" s="145"/>
      <c r="CN3" s="145"/>
      <c r="CO3" s="145"/>
      <c r="DM3" s="95"/>
      <c r="DO3" s="95"/>
      <c r="EE3" s="1"/>
      <c r="EF3" s="1"/>
      <c r="GO3" s="314"/>
      <c r="ND3" s="145">
        <v>10013.654684596553</v>
      </c>
      <c r="NE3" s="98"/>
      <c r="NH3" s="1"/>
      <c r="NR3" s="1">
        <f>SUM(NR9,OE9,OR9)</f>
        <v>62262.122248823514</v>
      </c>
      <c r="NY3" s="1">
        <v>7993.3</v>
      </c>
      <c r="OA3">
        <v>10764.970000000001</v>
      </c>
      <c r="OC3" s="1">
        <f>NR3+NY3-OA3</f>
        <v>59490.452248823509</v>
      </c>
      <c r="RW3" s="1"/>
    </row>
    <row r="4" spans="1:500" s="39" customFormat="1" ht="36" customHeight="1">
      <c r="B4" s="2625" t="s">
        <v>103</v>
      </c>
      <c r="C4" s="2692" t="s">
        <v>104</v>
      </c>
      <c r="D4" s="2693"/>
      <c r="E4" s="2693"/>
      <c r="F4" s="2693"/>
      <c r="G4" s="2693"/>
      <c r="H4" s="2693"/>
      <c r="I4" s="2693"/>
      <c r="J4" s="2693"/>
      <c r="K4" s="2693"/>
      <c r="L4" s="2693"/>
      <c r="M4" s="2693"/>
      <c r="N4" s="2693"/>
      <c r="O4" s="2693"/>
      <c r="P4" s="2693"/>
      <c r="Q4" s="2693"/>
      <c r="R4" s="2693"/>
      <c r="S4" s="2693"/>
      <c r="T4" s="2693"/>
      <c r="U4" s="2693"/>
      <c r="V4" s="2693"/>
      <c r="W4" s="2693"/>
      <c r="X4" s="2693"/>
      <c r="Y4" s="2693"/>
      <c r="Z4" s="2693"/>
      <c r="AA4" s="2693"/>
      <c r="AB4" s="2693"/>
      <c r="AC4" s="2693"/>
      <c r="AD4" s="2693"/>
      <c r="AE4" s="2693"/>
      <c r="AF4" s="2693"/>
      <c r="AG4" s="2693"/>
      <c r="AH4" s="2693"/>
      <c r="AI4" s="2693"/>
      <c r="AJ4" s="2693"/>
      <c r="AK4" s="2693"/>
      <c r="AL4" s="2693"/>
      <c r="AM4" s="2693"/>
      <c r="AN4" s="2693"/>
      <c r="AO4" s="2693"/>
      <c r="AP4" s="2693"/>
      <c r="AQ4" s="2693"/>
      <c r="AR4" s="2693"/>
      <c r="AS4" s="2693"/>
      <c r="AT4" s="2693"/>
      <c r="AU4" s="2693"/>
      <c r="AV4" s="2693"/>
      <c r="AW4" s="2693"/>
      <c r="AX4" s="2693"/>
      <c r="AY4" s="2693"/>
      <c r="AZ4" s="2693"/>
      <c r="BA4" s="2693"/>
      <c r="BB4" s="2693"/>
      <c r="BC4" s="2693"/>
      <c r="BD4" s="2693"/>
      <c r="BE4" s="2693"/>
      <c r="BF4" s="2693"/>
      <c r="BG4" s="2693"/>
      <c r="BH4" s="2693"/>
      <c r="BI4" s="2693"/>
      <c r="BJ4" s="2693"/>
      <c r="BK4" s="2693"/>
      <c r="BL4" s="2693"/>
      <c r="BM4" s="2693"/>
      <c r="BN4" s="2693"/>
      <c r="BO4" s="2693"/>
      <c r="BP4" s="2693"/>
      <c r="BQ4" s="2693"/>
      <c r="BR4" s="2693"/>
      <c r="BS4" s="2693"/>
      <c r="BT4" s="2693"/>
      <c r="BU4" s="2693"/>
      <c r="BV4" s="2693"/>
      <c r="BW4" s="2693"/>
      <c r="BX4" s="2693"/>
      <c r="BY4" s="2693"/>
      <c r="BZ4" s="2693"/>
      <c r="CA4" s="2693"/>
      <c r="CB4" s="2693"/>
      <c r="CC4" s="2693"/>
      <c r="CD4" s="2693"/>
      <c r="CE4" s="2693"/>
      <c r="CF4" s="2693"/>
      <c r="CG4" s="2693"/>
      <c r="CH4" s="2693"/>
      <c r="CI4" s="2693"/>
      <c r="CJ4" s="2693"/>
      <c r="CK4" s="2693"/>
      <c r="CL4" s="2693"/>
      <c r="CM4" s="2693"/>
      <c r="CN4" s="2693"/>
      <c r="CO4" s="2694"/>
      <c r="CQ4" s="2646" t="s">
        <v>105</v>
      </c>
      <c r="CR4" s="2647"/>
      <c r="CS4" s="2647"/>
      <c r="CT4" s="2647"/>
      <c r="CU4" s="2647"/>
      <c r="CV4" s="2647"/>
      <c r="CW4" s="2647"/>
      <c r="CX4" s="2647"/>
      <c r="CY4" s="2647"/>
      <c r="CZ4" s="2647"/>
      <c r="DA4" s="2647"/>
      <c r="DB4" s="2647"/>
      <c r="DC4" s="2647"/>
      <c r="DD4" s="2647"/>
      <c r="DE4" s="2647"/>
      <c r="DF4" s="2647"/>
      <c r="DG4" s="2647"/>
      <c r="DH4" s="2647"/>
      <c r="DI4" s="2647"/>
      <c r="DJ4" s="2647"/>
      <c r="DK4" s="2647"/>
      <c r="DL4" s="2647"/>
      <c r="DM4" s="2647"/>
      <c r="DN4" s="2647"/>
      <c r="DO4" s="2647"/>
      <c r="DP4" s="2647"/>
      <c r="DQ4" s="2647"/>
      <c r="DR4" s="2647"/>
      <c r="DS4" s="2647"/>
      <c r="DT4" s="2647"/>
      <c r="DU4" s="2647"/>
      <c r="DV4" s="2647"/>
      <c r="DW4" s="2647"/>
      <c r="DX4" s="2647"/>
      <c r="DY4" s="2647"/>
      <c r="DZ4" s="2647"/>
      <c r="EA4" s="2647"/>
      <c r="EB4" s="2647"/>
      <c r="EC4" s="2647"/>
      <c r="ED4" s="2647"/>
      <c r="EE4" s="2647"/>
      <c r="EF4" s="2647"/>
      <c r="EG4" s="2647"/>
      <c r="EH4" s="2647"/>
      <c r="EI4" s="2647"/>
      <c r="EJ4" s="2647"/>
      <c r="EK4" s="2647"/>
      <c r="EL4" s="2647"/>
      <c r="EM4" s="2647"/>
      <c r="EN4" s="2647"/>
      <c r="EO4" s="2647"/>
      <c r="EP4" s="2647"/>
      <c r="EQ4" s="2647"/>
      <c r="ER4" s="2647"/>
      <c r="ES4" s="2647"/>
      <c r="ET4" s="2647"/>
      <c r="EU4" s="2647"/>
      <c r="EV4" s="2647"/>
      <c r="EW4" s="2647"/>
      <c r="EX4" s="2647"/>
      <c r="EY4" s="2648"/>
      <c r="FA4" s="2649" t="s">
        <v>106</v>
      </c>
      <c r="FB4" s="2650"/>
      <c r="FC4" s="2650"/>
      <c r="FD4" s="2650"/>
      <c r="FE4" s="2650"/>
      <c r="FF4" s="2650"/>
      <c r="FG4" s="2650"/>
      <c r="FH4" s="2650"/>
      <c r="FI4" s="2650"/>
      <c r="FJ4" s="2650"/>
      <c r="FK4" s="2650"/>
      <c r="FL4" s="2650"/>
      <c r="FM4" s="2650"/>
      <c r="FN4" s="2650"/>
      <c r="FO4" s="2650"/>
      <c r="FP4" s="2650"/>
      <c r="FQ4" s="2650"/>
      <c r="FR4" s="2650"/>
      <c r="FS4" s="2650"/>
      <c r="FT4" s="2650"/>
      <c r="FU4" s="2650"/>
      <c r="FV4" s="2650"/>
      <c r="FW4" s="2650"/>
      <c r="FX4" s="2650"/>
      <c r="FY4" s="2650"/>
      <c r="FZ4" s="2650"/>
      <c r="GA4" s="2650"/>
      <c r="GB4" s="2650"/>
      <c r="GC4" s="2650"/>
      <c r="GD4" s="2650"/>
      <c r="GE4" s="2650"/>
      <c r="GF4" s="2650"/>
      <c r="GG4" s="2650"/>
      <c r="GH4" s="2651"/>
      <c r="GJ4" s="2652" t="s">
        <v>22</v>
      </c>
      <c r="GK4" s="2653"/>
      <c r="GL4" s="2653"/>
      <c r="GM4" s="2653"/>
      <c r="GN4" s="2653"/>
      <c r="GO4" s="2653"/>
      <c r="GP4" s="2653"/>
      <c r="GQ4" s="2653"/>
      <c r="GR4" s="2653"/>
      <c r="GS4" s="2653"/>
      <c r="GT4" s="2653"/>
      <c r="GU4" s="2653"/>
      <c r="GV4" s="2653"/>
      <c r="GW4" s="2653"/>
      <c r="GX4" s="2653"/>
      <c r="GY4" s="2653"/>
      <c r="GZ4" s="2653"/>
      <c r="HA4" s="2653"/>
      <c r="HB4" s="2653"/>
      <c r="HC4" s="2653"/>
      <c r="HD4" s="2653"/>
      <c r="HE4" s="2653"/>
      <c r="HF4" s="2653"/>
      <c r="HG4" s="2653"/>
      <c r="HH4" s="2653"/>
      <c r="HI4" s="2653"/>
      <c r="HJ4" s="2653"/>
      <c r="HK4" s="2653"/>
      <c r="HL4" s="2653"/>
      <c r="HM4" s="2653"/>
      <c r="HN4" s="2653"/>
      <c r="HO4" s="2653"/>
      <c r="HP4" s="2653"/>
      <c r="HQ4" s="2653"/>
      <c r="HR4" s="2653"/>
      <c r="HS4" s="2653"/>
      <c r="HT4" s="2653"/>
      <c r="HU4" s="2653"/>
      <c r="HV4" s="2653"/>
      <c r="HW4" s="2653"/>
      <c r="HX4" s="2653"/>
      <c r="HY4" s="2653"/>
      <c r="HZ4" s="2653"/>
      <c r="IA4" s="2653"/>
      <c r="IB4" s="2653"/>
      <c r="IC4" s="2653"/>
      <c r="ID4" s="2653"/>
      <c r="IE4" s="2653"/>
      <c r="IF4" s="2653"/>
      <c r="IG4" s="2653"/>
      <c r="IH4" s="2653"/>
      <c r="II4" s="2653"/>
      <c r="IJ4" s="2653"/>
      <c r="IK4" s="2653"/>
      <c r="IL4" s="2653"/>
      <c r="IM4" s="2653"/>
      <c r="IN4" s="2653"/>
      <c r="IO4" s="2653"/>
      <c r="IP4" s="2653"/>
      <c r="IQ4" s="2653"/>
      <c r="IR4" s="2653"/>
      <c r="IS4" s="2653"/>
      <c r="IT4" s="2653"/>
      <c r="IU4" s="2653"/>
      <c r="IV4" s="2653"/>
      <c r="IW4" s="2653"/>
      <c r="IX4" s="2653"/>
      <c r="IY4" s="2653"/>
      <c r="IZ4" s="2653"/>
      <c r="JA4" s="2653"/>
      <c r="JB4" s="2653"/>
      <c r="JC4" s="2653"/>
      <c r="JD4" s="2653"/>
      <c r="JE4" s="2653"/>
      <c r="JF4" s="2654"/>
      <c r="JH4" s="2655" t="s">
        <v>107</v>
      </c>
      <c r="JI4" s="2656"/>
      <c r="JJ4" s="2656"/>
      <c r="JK4" s="2656"/>
      <c r="JL4" s="2656"/>
      <c r="JM4" s="2656"/>
      <c r="JN4" s="2656"/>
      <c r="JO4" s="2656"/>
      <c r="JP4" s="2656"/>
      <c r="JQ4" s="2656"/>
      <c r="JR4" s="2656"/>
      <c r="JS4" s="2656"/>
      <c r="JT4" s="2656"/>
      <c r="JU4" s="2656"/>
      <c r="JV4" s="2656"/>
      <c r="JW4" s="2656"/>
      <c r="JX4" s="2656"/>
      <c r="JY4" s="2656"/>
      <c r="JZ4" s="2656"/>
      <c r="KA4" s="2656"/>
      <c r="KB4" s="2656"/>
      <c r="KC4" s="2656"/>
      <c r="KD4" s="2656"/>
      <c r="KE4" s="2656"/>
      <c r="KF4" s="2656"/>
      <c r="KG4" s="2656"/>
      <c r="KH4" s="2656"/>
      <c r="KI4" s="2656"/>
      <c r="KJ4" s="2656"/>
      <c r="KK4" s="2656"/>
      <c r="KL4" s="2656"/>
      <c r="KM4" s="2656"/>
      <c r="KN4" s="2656"/>
      <c r="KO4" s="2656"/>
      <c r="KP4" s="2656"/>
      <c r="KQ4" s="2656"/>
      <c r="KR4" s="2656"/>
      <c r="KS4" s="2656"/>
      <c r="KT4" s="2656"/>
      <c r="KU4" s="2656"/>
      <c r="KV4" s="2656"/>
      <c r="KW4" s="2656"/>
      <c r="KX4" s="2656"/>
      <c r="KY4" s="2656"/>
      <c r="KZ4" s="2656"/>
      <c r="LA4" s="2656"/>
      <c r="LB4" s="2656"/>
      <c r="LC4" s="2656"/>
      <c r="LD4" s="2657"/>
      <c r="LF4" s="2658" t="s">
        <v>108</v>
      </c>
      <c r="LG4" s="2659"/>
      <c r="LH4" s="2659"/>
      <c r="LI4" s="2659"/>
      <c r="LJ4" s="2659"/>
      <c r="LK4" s="2659"/>
      <c r="LL4" s="2659"/>
      <c r="LM4" s="2659"/>
      <c r="LN4" s="2659"/>
      <c r="LO4" s="2659"/>
      <c r="LP4" s="2659"/>
      <c r="LQ4" s="2659"/>
      <c r="LR4" s="2659"/>
      <c r="LS4" s="2659"/>
      <c r="LT4" s="2659"/>
      <c r="LU4" s="2659"/>
      <c r="LV4" s="2659"/>
      <c r="LW4" s="2659"/>
      <c r="LX4" s="2659"/>
      <c r="LY4" s="2659"/>
      <c r="LZ4" s="2659"/>
      <c r="MA4" s="2659"/>
      <c r="MB4" s="2659"/>
      <c r="MC4" s="2659"/>
      <c r="MD4" s="2659"/>
      <c r="ME4" s="2659"/>
      <c r="MF4" s="2659"/>
      <c r="MG4" s="2659"/>
      <c r="MH4" s="2659"/>
      <c r="MI4" s="2659"/>
      <c r="MJ4" s="2659"/>
      <c r="MK4" s="2659"/>
      <c r="ML4" s="2659"/>
      <c r="MM4" s="2659"/>
      <c r="MN4" s="2659"/>
      <c r="MO4" s="2659"/>
      <c r="MP4" s="2659"/>
      <c r="MQ4" s="2659"/>
      <c r="MR4" s="2659"/>
      <c r="MS4" s="2659"/>
      <c r="MT4" s="2659"/>
      <c r="MU4" s="2660"/>
      <c r="MW4" s="2661"/>
      <c r="MX4" s="2662"/>
      <c r="MY4" s="2662"/>
      <c r="MZ4" s="2662"/>
      <c r="NA4" s="2662"/>
      <c r="NB4" s="2662"/>
      <c r="NC4" s="2662"/>
      <c r="ND4" s="2662"/>
      <c r="NE4" s="2662"/>
      <c r="NF4" s="2662"/>
      <c r="NG4" s="2662"/>
      <c r="NH4" s="2662"/>
      <c r="NI4" s="2662"/>
      <c r="NJ4" s="2662"/>
      <c r="NK4" s="2662"/>
      <c r="NL4" s="2662"/>
      <c r="NM4" s="2662"/>
      <c r="NN4" s="2662"/>
      <c r="NO4" s="2662"/>
      <c r="NP4" s="2662"/>
      <c r="NQ4" s="2662"/>
      <c r="NR4" s="2662"/>
      <c r="NS4" s="2662"/>
      <c r="NT4" s="2662"/>
      <c r="NU4" s="2662"/>
      <c r="NV4" s="2662"/>
      <c r="NW4" s="2662"/>
      <c r="NX4" s="2662"/>
      <c r="NY4" s="2662"/>
      <c r="NZ4" s="2662"/>
      <c r="OA4" s="2662"/>
      <c r="OB4" s="2662"/>
      <c r="OC4" s="2662"/>
      <c r="OD4" s="2662"/>
      <c r="OE4" s="2662"/>
      <c r="OF4" s="2662"/>
      <c r="OG4" s="2662"/>
      <c r="OH4" s="2662"/>
      <c r="OI4" s="2662"/>
      <c r="OJ4" s="2662"/>
      <c r="OK4" s="2662"/>
      <c r="OL4" s="2662"/>
      <c r="OM4" s="2662"/>
      <c r="ON4" s="2662"/>
      <c r="OO4" s="2662"/>
      <c r="OP4" s="2662"/>
      <c r="OQ4" s="2662"/>
      <c r="OR4" s="2662"/>
      <c r="OS4" s="2662"/>
      <c r="OT4" s="2662"/>
      <c r="OU4" s="2662"/>
      <c r="OV4" s="2662"/>
      <c r="OW4" s="2662"/>
      <c r="OX4" s="2662"/>
      <c r="OY4" s="2662"/>
      <c r="OZ4" s="2662"/>
      <c r="PA4" s="2662"/>
      <c r="PB4" s="2662"/>
      <c r="PC4" s="2662"/>
      <c r="PD4" s="2662"/>
      <c r="PE4" s="2662"/>
      <c r="PF4" s="2662"/>
      <c r="PG4" s="2663"/>
      <c r="PI4" s="2664" t="s">
        <v>110</v>
      </c>
      <c r="PJ4" s="2665"/>
      <c r="PK4" s="2665"/>
      <c r="PL4" s="2665"/>
      <c r="PM4" s="2665"/>
      <c r="PN4" s="2665"/>
      <c r="PO4" s="2665"/>
      <c r="PP4" s="2666"/>
      <c r="PR4" s="2677" t="s">
        <v>30</v>
      </c>
      <c r="PS4" s="2678"/>
      <c r="PT4" s="2678"/>
      <c r="PU4" s="2678"/>
      <c r="PV4" s="2678"/>
      <c r="PW4" s="2678"/>
      <c r="PX4" s="2678"/>
      <c r="PY4" s="2678"/>
      <c r="PZ4" s="2678"/>
      <c r="QA4" s="2678"/>
      <c r="QB4" s="2678"/>
      <c r="QC4" s="2678"/>
      <c r="QD4" s="2678"/>
      <c r="QE4" s="2678"/>
      <c r="QF4" s="2678"/>
      <c r="QG4" s="2678"/>
      <c r="QH4" s="2678"/>
      <c r="QI4" s="2678"/>
      <c r="QJ4" s="2679"/>
      <c r="RW4" s="1068"/>
    </row>
    <row r="5" spans="1:500" s="40" customFormat="1" ht="12.75" customHeight="1">
      <c r="B5" s="2626"/>
      <c r="C5" s="2624" t="s">
        <v>111</v>
      </c>
      <c r="D5" s="2628"/>
      <c r="E5" s="2628"/>
      <c r="F5" s="2628"/>
      <c r="G5" s="2628"/>
      <c r="H5" s="2628"/>
      <c r="I5" s="2628"/>
      <c r="J5" s="2628"/>
      <c r="K5" s="2628"/>
      <c r="L5" s="2628"/>
      <c r="M5" s="2628"/>
      <c r="N5" s="2629"/>
      <c r="O5" s="2631" t="s">
        <v>112</v>
      </c>
      <c r="P5" s="2623"/>
      <c r="Q5" s="2623"/>
      <c r="R5" s="2623"/>
      <c r="S5" s="2623"/>
      <c r="T5" s="2623"/>
      <c r="U5" s="2623"/>
      <c r="V5" s="2623"/>
      <c r="W5" s="2623"/>
      <c r="X5" s="2623"/>
      <c r="Y5" s="2623"/>
      <c r="Z5" s="2623"/>
      <c r="AA5" s="2623"/>
      <c r="AB5" s="2623"/>
      <c r="AC5" s="2623"/>
      <c r="AD5" s="2623"/>
      <c r="AE5" s="2623"/>
      <c r="AF5" s="2623"/>
      <c r="AG5" s="2623"/>
      <c r="AH5" s="2623"/>
      <c r="AI5" s="2623"/>
      <c r="AJ5" s="2623"/>
      <c r="AK5" s="2623"/>
      <c r="AL5" s="2624"/>
      <c r="AM5" s="2629"/>
      <c r="AN5" s="2680" t="s">
        <v>113</v>
      </c>
      <c r="AO5" s="2681"/>
      <c r="AP5" s="2681"/>
      <c r="AQ5" s="2681"/>
      <c r="AR5" s="2681"/>
      <c r="AS5" s="2681"/>
      <c r="AT5" s="2681"/>
      <c r="AU5" s="2681"/>
      <c r="AV5" s="2681"/>
      <c r="AW5" s="2681"/>
      <c r="AX5" s="2681"/>
      <c r="AY5" s="2681"/>
      <c r="AZ5" s="2681"/>
      <c r="BA5" s="2681"/>
      <c r="BB5" s="2681"/>
      <c r="BC5" s="2681"/>
      <c r="BD5" s="2681"/>
      <c r="BE5" s="2681"/>
      <c r="BF5" s="2681"/>
      <c r="BG5" s="2681"/>
      <c r="BH5" s="2681"/>
      <c r="BI5" s="2681"/>
      <c r="BJ5" s="2681"/>
      <c r="BK5" s="2681"/>
      <c r="BL5" s="2681"/>
      <c r="BM5" s="2681"/>
      <c r="BN5" s="2681"/>
      <c r="BO5" s="2681"/>
      <c r="BP5" s="2681"/>
      <c r="BQ5" s="2681"/>
      <c r="BR5" s="2681"/>
      <c r="BS5" s="2681"/>
      <c r="BT5" s="2681"/>
      <c r="BU5" s="2681"/>
      <c r="BV5" s="2681"/>
      <c r="BW5" s="2681"/>
      <c r="BX5" s="2681"/>
      <c r="BY5" s="2681"/>
      <c r="BZ5" s="2681"/>
      <c r="CA5" s="2681"/>
      <c r="CB5" s="2681"/>
      <c r="CC5" s="2681"/>
      <c r="CD5" s="2681"/>
      <c r="CE5" s="2681"/>
      <c r="CF5" s="2682"/>
      <c r="CG5" s="147"/>
      <c r="CH5" s="2633" t="s">
        <v>114</v>
      </c>
      <c r="CI5" s="2635"/>
      <c r="CJ5" s="2635"/>
      <c r="CK5" s="2635"/>
      <c r="CL5" s="2635"/>
      <c r="CM5" s="2635"/>
      <c r="CN5" s="2634"/>
      <c r="CO5" s="348" t="s">
        <v>210</v>
      </c>
      <c r="CP5" s="41"/>
      <c r="CQ5" s="2623" t="s">
        <v>111</v>
      </c>
      <c r="CR5" s="2623"/>
      <c r="CS5" s="2623"/>
      <c r="CT5" s="2623"/>
      <c r="CU5" s="2623"/>
      <c r="CV5" s="2623"/>
      <c r="CW5" s="2623"/>
      <c r="CX5" s="2623"/>
      <c r="CY5" s="2623"/>
      <c r="CZ5" s="2623"/>
      <c r="DA5" s="2623"/>
      <c r="DB5" s="2624"/>
      <c r="DC5" s="2624"/>
      <c r="DD5" s="2685"/>
      <c r="DE5" s="2631" t="s">
        <v>115</v>
      </c>
      <c r="DF5" s="2631"/>
      <c r="DG5" s="2623"/>
      <c r="DH5" s="2623"/>
      <c r="DI5" s="2623"/>
      <c r="DJ5" s="2623"/>
      <c r="DK5" s="2623"/>
      <c r="DL5" s="2623"/>
      <c r="DM5" s="2623"/>
      <c r="DN5" s="2623"/>
      <c r="DO5" s="2623"/>
      <c r="DP5" s="2623"/>
      <c r="DQ5" s="2623"/>
      <c r="DR5" s="2623"/>
      <c r="DS5" s="2623"/>
      <c r="DT5" s="2623"/>
      <c r="DU5" s="2623"/>
      <c r="DV5" s="2623"/>
      <c r="DW5" s="2623"/>
      <c r="DX5" s="2623"/>
      <c r="DY5" s="2623"/>
      <c r="DZ5" s="2623"/>
      <c r="EA5" s="2623"/>
      <c r="EB5" s="2623"/>
      <c r="EC5" s="2623"/>
      <c r="ED5" s="2623"/>
      <c r="EE5" s="2623"/>
      <c r="EF5" s="2623"/>
      <c r="EG5" s="2623"/>
      <c r="EH5" s="2623"/>
      <c r="EI5" s="2623"/>
      <c r="EJ5" s="2623"/>
      <c r="EK5" s="2623"/>
      <c r="EL5" s="2623"/>
      <c r="EM5" s="2623"/>
      <c r="EN5" s="2623"/>
      <c r="EO5" s="2623"/>
      <c r="EP5" s="2623"/>
      <c r="EQ5" s="2623"/>
      <c r="ER5" s="2623"/>
      <c r="ES5" s="2623"/>
      <c r="ET5" s="2623"/>
      <c r="EU5" s="2623"/>
      <c r="EV5" s="2623"/>
      <c r="EW5" s="2623"/>
      <c r="EX5" s="2624"/>
      <c r="EY5" s="2685"/>
      <c r="FA5" s="2623" t="s">
        <v>111</v>
      </c>
      <c r="FB5" s="2623"/>
      <c r="FC5" s="2623"/>
      <c r="FD5" s="2623"/>
      <c r="FE5" s="2624"/>
      <c r="FF5" s="2674"/>
      <c r="FG5" s="2631" t="s">
        <v>116</v>
      </c>
      <c r="FH5" s="2623"/>
      <c r="FI5" s="2623"/>
      <c r="FJ5" s="2623"/>
      <c r="FK5" s="2623"/>
      <c r="FL5" s="2623"/>
      <c r="FM5" s="2623"/>
      <c r="FN5" s="2623"/>
      <c r="FO5" s="2623"/>
      <c r="FP5" s="2623"/>
      <c r="FQ5" s="2623"/>
      <c r="FR5" s="2623"/>
      <c r="FS5" s="2623"/>
      <c r="FT5" s="2623"/>
      <c r="FU5" s="2623"/>
      <c r="FV5" s="2623"/>
      <c r="FW5" s="2623"/>
      <c r="FX5" s="2623"/>
      <c r="FY5" s="2623"/>
      <c r="FZ5" s="2623"/>
      <c r="GA5" s="2623"/>
      <c r="GB5" s="2623"/>
      <c r="GC5" s="2623"/>
      <c r="GD5" s="2623"/>
      <c r="GE5" s="2623"/>
      <c r="GF5" s="2624"/>
      <c r="GG5" s="2624"/>
      <c r="GH5" s="2674"/>
      <c r="GJ5" s="2623" t="s">
        <v>111</v>
      </c>
      <c r="GK5" s="2623"/>
      <c r="GL5" s="2623"/>
      <c r="GM5" s="2623"/>
      <c r="GN5" s="2623"/>
      <c r="GO5" s="2623"/>
      <c r="GP5" s="2624"/>
      <c r="GQ5" s="2667"/>
      <c r="GR5" s="2631" t="s">
        <v>112</v>
      </c>
      <c r="GS5" s="2623"/>
      <c r="GT5" s="2623"/>
      <c r="GU5" s="2623"/>
      <c r="GV5" s="2624"/>
      <c r="GW5" s="2667"/>
      <c r="GX5" s="2631" t="s">
        <v>117</v>
      </c>
      <c r="GY5" s="2631"/>
      <c r="GZ5" s="2623"/>
      <c r="HA5" s="2623"/>
      <c r="HB5" s="2623"/>
      <c r="HC5" s="2623"/>
      <c r="HD5" s="2623"/>
      <c r="HE5" s="2623"/>
      <c r="HF5" s="2623"/>
      <c r="HG5" s="2623"/>
      <c r="HH5" s="2623"/>
      <c r="HI5" s="2623"/>
      <c r="HJ5" s="2623"/>
      <c r="HK5" s="2623"/>
      <c r="HL5" s="2623"/>
      <c r="HM5" s="2623"/>
      <c r="HN5" s="2623"/>
      <c r="HO5" s="2623"/>
      <c r="HP5" s="2623"/>
      <c r="HQ5" s="2623"/>
      <c r="HR5" s="2623"/>
      <c r="HS5" s="2623"/>
      <c r="HT5" s="2623"/>
      <c r="HU5" s="2623"/>
      <c r="HV5" s="2623"/>
      <c r="HW5" s="2623"/>
      <c r="HX5" s="2623"/>
      <c r="HY5" s="2623"/>
      <c r="HZ5" s="2623"/>
      <c r="IA5" s="2623"/>
      <c r="IB5" s="2623"/>
      <c r="IC5" s="2623"/>
      <c r="ID5" s="2623"/>
      <c r="IE5" s="2623"/>
      <c r="IF5" s="2623"/>
      <c r="IG5" s="2623"/>
      <c r="IH5" s="2623"/>
      <c r="II5" s="2623"/>
      <c r="IJ5" s="2623"/>
      <c r="IK5" s="2623"/>
      <c r="IL5" s="2623"/>
      <c r="IM5" s="2623"/>
      <c r="IN5" s="2623"/>
      <c r="IO5" s="2623"/>
      <c r="IP5" s="2623"/>
      <c r="IQ5" s="2623"/>
      <c r="IR5" s="2623"/>
      <c r="IS5" s="2623"/>
      <c r="IT5" s="2623"/>
      <c r="IU5" s="2623"/>
      <c r="IV5" s="2623"/>
      <c r="IW5" s="2623"/>
      <c r="IX5" s="2623"/>
      <c r="IY5" s="2623"/>
      <c r="IZ5" s="2623"/>
      <c r="JA5" s="2623"/>
      <c r="JB5" s="2623"/>
      <c r="JC5" s="2623"/>
      <c r="JD5" s="2623"/>
      <c r="JE5" s="2624"/>
      <c r="JF5" s="2667"/>
      <c r="JH5" s="2623" t="s">
        <v>111</v>
      </c>
      <c r="JI5" s="2623"/>
      <c r="JJ5" s="2623"/>
      <c r="JK5" s="2623"/>
      <c r="JL5" s="2624"/>
      <c r="JM5" s="2669"/>
      <c r="JN5" s="2631" t="s">
        <v>118</v>
      </c>
      <c r="JO5" s="2623"/>
      <c r="JP5" s="2623"/>
      <c r="JQ5" s="2623"/>
      <c r="JR5" s="2623"/>
      <c r="JS5" s="2623"/>
      <c r="JT5" s="2623"/>
      <c r="JU5" s="2623"/>
      <c r="JV5" s="2623"/>
      <c r="JW5" s="2623"/>
      <c r="JX5" s="2623"/>
      <c r="JY5" s="2623"/>
      <c r="JZ5" s="2623"/>
      <c r="KA5" s="2623"/>
      <c r="KB5" s="2623"/>
      <c r="KC5" s="2623"/>
      <c r="KD5" s="2623"/>
      <c r="KE5" s="2623"/>
      <c r="KF5" s="2623"/>
      <c r="KG5" s="2623"/>
      <c r="KH5" s="2623"/>
      <c r="KI5" s="2623"/>
      <c r="KJ5" s="2623"/>
      <c r="KK5" s="2623"/>
      <c r="KL5" s="2624"/>
      <c r="KM5" s="2669"/>
      <c r="KN5" s="2631" t="s">
        <v>119</v>
      </c>
      <c r="KO5" s="2623"/>
      <c r="KP5" s="2623"/>
      <c r="KQ5" s="2623"/>
      <c r="KR5" s="2623"/>
      <c r="KS5" s="2623"/>
      <c r="KT5" s="2623"/>
      <c r="KU5" s="2623"/>
      <c r="KV5" s="2623"/>
      <c r="KW5" s="2623"/>
      <c r="KX5" s="2623"/>
      <c r="KY5" s="2623"/>
      <c r="KZ5" s="2623"/>
      <c r="LA5" s="2623"/>
      <c r="LB5" s="2623"/>
      <c r="LC5" s="2624"/>
      <c r="LD5" s="2669"/>
      <c r="LF5" s="2623" t="s">
        <v>111</v>
      </c>
      <c r="LG5" s="2623"/>
      <c r="LH5" s="2623"/>
      <c r="LI5" s="2623"/>
      <c r="LJ5" s="2623"/>
      <c r="LK5" s="2623"/>
      <c r="LL5" s="2623"/>
      <c r="LM5" s="2623"/>
      <c r="LN5" s="2623"/>
      <c r="LO5" s="2624"/>
      <c r="LP5" s="2688"/>
      <c r="LQ5" s="2631" t="s">
        <v>120</v>
      </c>
      <c r="LR5" s="2631"/>
      <c r="LS5" s="2623"/>
      <c r="LT5" s="2623"/>
      <c r="LU5" s="2623"/>
      <c r="LV5" s="2623"/>
      <c r="LW5" s="2623"/>
      <c r="LX5" s="2623"/>
      <c r="LY5" s="2623"/>
      <c r="LZ5" s="2623"/>
      <c r="MA5" s="2623"/>
      <c r="MB5" s="2623"/>
      <c r="MC5" s="2623"/>
      <c r="MD5" s="2623"/>
      <c r="ME5" s="2623"/>
      <c r="MF5" s="2623"/>
      <c r="MG5" s="2623"/>
      <c r="MH5" s="2623"/>
      <c r="MI5" s="2623"/>
      <c r="MJ5" s="2623"/>
      <c r="MK5" s="2623"/>
      <c r="ML5" s="2623"/>
      <c r="MM5" s="2623"/>
      <c r="MN5" s="2623"/>
      <c r="MO5" s="2623"/>
      <c r="MP5" s="2623"/>
      <c r="MQ5" s="2623"/>
      <c r="MR5" s="2623"/>
      <c r="MS5" s="2623"/>
      <c r="MT5" s="2624"/>
      <c r="MU5" s="2688"/>
      <c r="MW5" s="2623" t="s">
        <v>111</v>
      </c>
      <c r="MX5" s="2623"/>
      <c r="MY5" s="2623"/>
      <c r="MZ5" s="2624"/>
      <c r="NA5" s="2621"/>
      <c r="NB5" s="2631" t="s">
        <v>121</v>
      </c>
      <c r="NC5" s="2631"/>
      <c r="ND5" s="2623"/>
      <c r="NE5" s="2623"/>
      <c r="NF5" s="2623"/>
      <c r="NG5" s="2623"/>
      <c r="NH5" s="2623"/>
      <c r="NI5" s="2623"/>
      <c r="NJ5" s="2623"/>
      <c r="NK5" s="2623"/>
      <c r="NL5" s="2623"/>
      <c r="NM5" s="2623"/>
      <c r="NN5" s="2623"/>
      <c r="NO5" s="2623"/>
      <c r="NP5" s="2623"/>
      <c r="NQ5" s="2623"/>
      <c r="NR5" s="2623"/>
      <c r="NS5" s="2623"/>
      <c r="NT5" s="2623"/>
      <c r="NU5" s="2623"/>
      <c r="NV5" s="2623"/>
      <c r="NW5" s="2623"/>
      <c r="NX5" s="2623"/>
      <c r="NY5" s="2623"/>
      <c r="NZ5" s="2623"/>
      <c r="OA5" s="2623"/>
      <c r="OB5" s="2623"/>
      <c r="OC5" s="2623"/>
      <c r="OD5" s="2623"/>
      <c r="OE5" s="2623"/>
      <c r="OF5" s="2623"/>
      <c r="OG5" s="2623"/>
      <c r="OH5" s="2623"/>
      <c r="OI5" s="2623"/>
      <c r="OJ5" s="2623"/>
      <c r="OK5" s="2623"/>
      <c r="OL5" s="2623"/>
      <c r="OM5" s="2623"/>
      <c r="ON5" s="2623"/>
      <c r="OO5" s="2623"/>
      <c r="OP5" s="2623"/>
      <c r="OQ5" s="2623"/>
      <c r="OR5" s="2623"/>
      <c r="OS5" s="2623"/>
      <c r="OT5" s="2623"/>
      <c r="OU5" s="2623"/>
      <c r="OV5" s="2623"/>
      <c r="OW5" s="2623"/>
      <c r="OX5" s="2623"/>
      <c r="OY5" s="2623"/>
      <c r="OZ5" s="2623"/>
      <c r="PA5" s="2623"/>
      <c r="PB5" s="2623"/>
      <c r="PC5" s="2623"/>
      <c r="PD5" s="2623"/>
      <c r="PE5" s="2623"/>
      <c r="PF5" s="2624"/>
      <c r="PG5" s="2621"/>
      <c r="PI5" s="2623" t="s">
        <v>111</v>
      </c>
      <c r="PJ5" s="2623"/>
      <c r="PK5" s="2623"/>
      <c r="PL5" s="2623"/>
      <c r="PM5" s="2623"/>
      <c r="PN5" s="2624"/>
      <c r="PO5" s="2624"/>
      <c r="PP5" s="2615"/>
      <c r="PR5" s="2633" t="s">
        <v>211</v>
      </c>
      <c r="PS5" s="2635"/>
      <c r="PT5" s="2635"/>
      <c r="PU5" s="2635"/>
      <c r="PV5" s="2635"/>
      <c r="PW5" s="2635"/>
      <c r="PX5" s="2635"/>
      <c r="PY5" s="2635"/>
      <c r="PZ5" s="2635"/>
      <c r="QA5" s="2635"/>
      <c r="QB5" s="2635"/>
      <c r="QC5" s="2635"/>
      <c r="QD5" s="2635"/>
      <c r="QE5" s="2635"/>
      <c r="QF5" s="2635"/>
      <c r="QG5" s="2635"/>
      <c r="QH5" s="2635"/>
      <c r="QI5" s="2634"/>
      <c r="QJ5" s="2615"/>
      <c r="QL5" s="2617" t="s">
        <v>122</v>
      </c>
      <c r="QM5" s="2617"/>
      <c r="QO5" s="2617" t="s">
        <v>123</v>
      </c>
      <c r="QP5" s="2617"/>
      <c r="QR5" s="2618" t="s">
        <v>124</v>
      </c>
      <c r="QS5" s="2618"/>
      <c r="QT5" s="2618"/>
      <c r="QU5" s="2618"/>
      <c r="QV5" s="2618"/>
      <c r="QW5" s="2618"/>
      <c r="QX5" s="89"/>
      <c r="QY5" s="2618" t="s">
        <v>125</v>
      </c>
      <c r="QZ5" s="2618"/>
      <c r="RA5" s="2618"/>
      <c r="RB5" s="2618"/>
      <c r="RC5" s="2618"/>
      <c r="RD5" s="2618"/>
      <c r="RW5" s="1148"/>
    </row>
    <row r="6" spans="1:500" s="42" customFormat="1" ht="31.2" customHeight="1">
      <c r="B6" s="2626"/>
      <c r="C6" s="2632" t="s">
        <v>3</v>
      </c>
      <c r="D6" s="2632" t="s">
        <v>126</v>
      </c>
      <c r="E6" s="2632" t="s">
        <v>127</v>
      </c>
      <c r="F6" s="2633" t="s">
        <v>212</v>
      </c>
      <c r="G6" s="2634"/>
      <c r="H6" s="2633" t="s">
        <v>212</v>
      </c>
      <c r="I6" s="2634"/>
      <c r="J6" s="2633" t="s">
        <v>128</v>
      </c>
      <c r="K6" s="2634"/>
      <c r="L6" s="2633" t="s">
        <v>129</v>
      </c>
      <c r="M6" s="2635"/>
      <c r="N6" s="2629"/>
      <c r="O6" s="2636" t="s">
        <v>16</v>
      </c>
      <c r="P6" s="2637"/>
      <c r="Q6" s="2637"/>
      <c r="R6" s="2559"/>
      <c r="S6" s="2638" t="s">
        <v>17</v>
      </c>
      <c r="T6" s="2638"/>
      <c r="U6" s="2638"/>
      <c r="V6" s="2638"/>
      <c r="W6" s="2697" t="s">
        <v>213</v>
      </c>
      <c r="X6" s="2698"/>
      <c r="Y6" s="2698"/>
      <c r="Z6" s="2698"/>
      <c r="AA6" s="2699" t="s">
        <v>18</v>
      </c>
      <c r="AB6" s="2700"/>
      <c r="AC6" s="2700"/>
      <c r="AD6" s="2700"/>
      <c r="AE6" s="2701" t="s">
        <v>66</v>
      </c>
      <c r="AF6" s="2701"/>
      <c r="AG6" s="2701"/>
      <c r="AH6" s="2701"/>
      <c r="AI6" s="2640" t="s">
        <v>214</v>
      </c>
      <c r="AJ6" s="2640"/>
      <c r="AK6" s="2640"/>
      <c r="AL6" s="2641"/>
      <c r="AM6" s="2629"/>
      <c r="AN6" s="2636" t="s">
        <v>215</v>
      </c>
      <c r="AO6" s="2637"/>
      <c r="AP6" s="2637"/>
      <c r="AQ6" s="2637" t="s">
        <v>216</v>
      </c>
      <c r="AR6" s="2637"/>
      <c r="AS6" s="2637"/>
      <c r="AT6" s="2637" t="s">
        <v>217</v>
      </c>
      <c r="AU6" s="2637"/>
      <c r="AV6" s="2637"/>
      <c r="AW6" s="2637" t="s">
        <v>218</v>
      </c>
      <c r="AX6" s="2637"/>
      <c r="AY6" s="2637"/>
      <c r="AZ6" s="2637" t="s">
        <v>219</v>
      </c>
      <c r="BA6" s="2637"/>
      <c r="BB6" s="2637"/>
      <c r="BC6" s="2637" t="s">
        <v>220</v>
      </c>
      <c r="BD6" s="2637"/>
      <c r="BE6" s="2637"/>
      <c r="BF6" s="2638" t="s">
        <v>221</v>
      </c>
      <c r="BG6" s="2708"/>
      <c r="BH6" s="2709"/>
      <c r="BI6" s="2638" t="s">
        <v>222</v>
      </c>
      <c r="BJ6" s="2638"/>
      <c r="BK6" s="2638"/>
      <c r="BL6" s="2638" t="s">
        <v>223</v>
      </c>
      <c r="BM6" s="2638"/>
      <c r="BN6" s="2638"/>
      <c r="BO6" s="2706" t="s">
        <v>224</v>
      </c>
      <c r="BP6" s="2706"/>
      <c r="BQ6" s="2706"/>
      <c r="BR6" s="2698" t="s">
        <v>225</v>
      </c>
      <c r="BS6" s="2698"/>
      <c r="BT6" s="2698"/>
      <c r="BU6" s="2698" t="s">
        <v>226</v>
      </c>
      <c r="BV6" s="2707"/>
      <c r="BW6" s="2697"/>
      <c r="BX6" s="2638" t="s">
        <v>227</v>
      </c>
      <c r="BY6" s="2638"/>
      <c r="BZ6" s="2645"/>
      <c r="CA6" s="2698" t="s">
        <v>228</v>
      </c>
      <c r="CB6" s="2698"/>
      <c r="CC6" s="2710"/>
      <c r="CD6" s="2698" t="s">
        <v>229</v>
      </c>
      <c r="CE6" s="2698"/>
      <c r="CF6" s="2710"/>
      <c r="CG6" s="147"/>
      <c r="CH6" s="2634" t="s">
        <v>16</v>
      </c>
      <c r="CI6" s="2632" t="s">
        <v>17</v>
      </c>
      <c r="CJ6" s="2632" t="s">
        <v>18</v>
      </c>
      <c r="CK6" s="2632" t="s">
        <v>83</v>
      </c>
      <c r="CL6" s="2632" t="s">
        <v>130</v>
      </c>
      <c r="CM6" s="2671" t="s">
        <v>7</v>
      </c>
      <c r="CN6" s="2633" t="s">
        <v>145</v>
      </c>
      <c r="CO6" s="2632" t="s">
        <v>18</v>
      </c>
      <c r="CQ6" s="2632" t="s">
        <v>146</v>
      </c>
      <c r="CR6" s="2632" t="s">
        <v>230</v>
      </c>
      <c r="CS6" s="2632" t="s">
        <v>147</v>
      </c>
      <c r="CT6" s="2632" t="s">
        <v>231</v>
      </c>
      <c r="CU6" s="2632" t="s">
        <v>148</v>
      </c>
      <c r="CV6" s="2632" t="s">
        <v>232</v>
      </c>
      <c r="CW6" s="2632" t="s">
        <v>149</v>
      </c>
      <c r="CX6" s="2632" t="s">
        <v>233</v>
      </c>
      <c r="CY6" s="2632" t="s">
        <v>69</v>
      </c>
      <c r="CZ6" s="2632" t="s">
        <v>234</v>
      </c>
      <c r="DA6" s="2632" t="s">
        <v>71</v>
      </c>
      <c r="DB6" s="2632" t="s">
        <v>235</v>
      </c>
      <c r="DC6" s="2633" t="s">
        <v>7</v>
      </c>
      <c r="DD6" s="2685"/>
      <c r="DE6" s="2634" t="s">
        <v>236</v>
      </c>
      <c r="DF6" s="2634"/>
      <c r="DG6" s="2632"/>
      <c r="DH6" s="2632"/>
      <c r="DI6" s="2632"/>
      <c r="DJ6" s="2632"/>
      <c r="DK6" s="2632"/>
      <c r="DL6" s="2632"/>
      <c r="DM6" s="2632"/>
      <c r="DN6" s="2633"/>
      <c r="DO6" s="2633"/>
      <c r="DP6" s="1394"/>
      <c r="DQ6" s="2676" t="s">
        <v>151</v>
      </c>
      <c r="DR6" s="2632" t="s">
        <v>237</v>
      </c>
      <c r="DS6" s="2632"/>
      <c r="DT6" s="2632"/>
      <c r="DU6" s="2632"/>
      <c r="DV6" s="2632"/>
      <c r="DW6" s="2632"/>
      <c r="DX6" s="2632"/>
      <c r="DY6" s="2632"/>
      <c r="DZ6" s="2632"/>
      <c r="EA6" s="2633"/>
      <c r="EB6" s="2633"/>
      <c r="EC6" s="1394"/>
      <c r="ED6" s="2676" t="s">
        <v>151</v>
      </c>
      <c r="EE6" s="2632" t="s">
        <v>238</v>
      </c>
      <c r="EF6" s="2632"/>
      <c r="EG6" s="2632"/>
      <c r="EH6" s="2632"/>
      <c r="EI6" s="2632"/>
      <c r="EJ6" s="2632"/>
      <c r="EK6" s="2632"/>
      <c r="EL6" s="2632"/>
      <c r="EM6" s="2632"/>
      <c r="EN6" s="2633"/>
      <c r="EO6" s="2633"/>
      <c r="EP6" s="1394"/>
      <c r="EQ6" s="2676" t="s">
        <v>151</v>
      </c>
      <c r="ER6" s="2632" t="s">
        <v>154</v>
      </c>
      <c r="ES6" s="2632"/>
      <c r="ET6" s="2632"/>
      <c r="EU6" s="2632"/>
      <c r="EV6" s="2632"/>
      <c r="EW6" s="2633"/>
      <c r="EX6" s="2673" t="s">
        <v>151</v>
      </c>
      <c r="EY6" s="2685"/>
      <c r="FA6" s="2620" t="s">
        <v>239</v>
      </c>
      <c r="FB6" s="2620" t="s">
        <v>240</v>
      </c>
      <c r="FC6" s="2620" t="s">
        <v>241</v>
      </c>
      <c r="FD6" s="2632" t="s">
        <v>7</v>
      </c>
      <c r="FE6" s="2633" t="s">
        <v>145</v>
      </c>
      <c r="FF6" s="2674"/>
      <c r="FG6" s="2634" t="s">
        <v>158</v>
      </c>
      <c r="FH6" s="2632"/>
      <c r="FI6" s="2632"/>
      <c r="FJ6" s="2632"/>
      <c r="FK6" s="2632"/>
      <c r="FL6" s="2633"/>
      <c r="FM6" s="2676" t="s">
        <v>151</v>
      </c>
      <c r="FN6" s="2632" t="s">
        <v>159</v>
      </c>
      <c r="FO6" s="2632"/>
      <c r="FP6" s="2632"/>
      <c r="FQ6" s="2632"/>
      <c r="FR6" s="2632"/>
      <c r="FS6" s="2633"/>
      <c r="FT6" s="2676" t="s">
        <v>151</v>
      </c>
      <c r="FU6" s="2632" t="s">
        <v>660</v>
      </c>
      <c r="FV6" s="2632"/>
      <c r="FW6" s="2632"/>
      <c r="FX6" s="2632"/>
      <c r="FY6" s="2632"/>
      <c r="FZ6" s="2632"/>
      <c r="GA6" s="2632"/>
      <c r="GB6" s="2632"/>
      <c r="GC6" s="2632"/>
      <c r="GD6" s="2633"/>
      <c r="GE6" s="2633"/>
      <c r="GF6" s="1394"/>
      <c r="GG6" s="2673" t="s">
        <v>151</v>
      </c>
      <c r="GH6" s="2674"/>
      <c r="GJ6" s="2632" t="s">
        <v>161</v>
      </c>
      <c r="GK6" s="2632"/>
      <c r="GL6" s="2633"/>
      <c r="GM6" s="2634" t="s">
        <v>7</v>
      </c>
      <c r="GN6" s="181" t="s">
        <v>162</v>
      </c>
      <c r="GO6" s="181" t="s">
        <v>163</v>
      </c>
      <c r="GP6" s="2633" t="s">
        <v>145</v>
      </c>
      <c r="GQ6" s="2667"/>
      <c r="GR6" s="2634" t="s">
        <v>130</v>
      </c>
      <c r="GS6" s="2632" t="s">
        <v>243</v>
      </c>
      <c r="GT6" s="2632" t="s">
        <v>244</v>
      </c>
      <c r="GU6" s="2632" t="s">
        <v>165</v>
      </c>
      <c r="GV6" s="2619" t="s">
        <v>7</v>
      </c>
      <c r="GW6" s="2667"/>
      <c r="GX6" s="2634" t="s">
        <v>35</v>
      </c>
      <c r="GY6" s="2634"/>
      <c r="GZ6" s="2632"/>
      <c r="HA6" s="2632"/>
      <c r="HB6" s="2632"/>
      <c r="HC6" s="2632"/>
      <c r="HD6" s="2632"/>
      <c r="HE6" s="2632"/>
      <c r="HF6" s="2632"/>
      <c r="HG6" s="2632"/>
      <c r="HH6" s="2632"/>
      <c r="HI6" s="2632"/>
      <c r="HJ6" s="2632"/>
      <c r="HK6" s="2633"/>
      <c r="HL6" s="2676" t="s">
        <v>151</v>
      </c>
      <c r="HM6" s="2619" t="s">
        <v>110</v>
      </c>
      <c r="HN6" s="2673"/>
      <c r="HO6" s="2673"/>
      <c r="HP6" s="2673"/>
      <c r="HQ6" s="2673"/>
      <c r="HR6" s="2673"/>
      <c r="HS6" s="2673"/>
      <c r="HT6" s="2673"/>
      <c r="HU6" s="2673"/>
      <c r="HV6" s="2673"/>
      <c r="HW6" s="2673"/>
      <c r="HX6" s="2673"/>
      <c r="HY6" s="2673"/>
      <c r="HZ6" s="2673"/>
      <c r="IA6" s="2711" t="s">
        <v>151</v>
      </c>
      <c r="IB6" s="2632" t="s">
        <v>245</v>
      </c>
      <c r="IC6" s="2632"/>
      <c r="ID6" s="2632"/>
      <c r="IE6" s="2632"/>
      <c r="IF6" s="2632"/>
      <c r="IG6" s="2632"/>
      <c r="IH6" s="2632"/>
      <c r="II6" s="2632"/>
      <c r="IJ6" s="2632"/>
      <c r="IK6" s="2632"/>
      <c r="IL6" s="2632"/>
      <c r="IM6" s="2632"/>
      <c r="IN6" s="2632"/>
      <c r="IO6" s="2633"/>
      <c r="IP6" s="2676" t="s">
        <v>151</v>
      </c>
      <c r="IQ6" s="2632" t="s">
        <v>246</v>
      </c>
      <c r="IR6" s="2632"/>
      <c r="IS6" s="2632"/>
      <c r="IT6" s="2632"/>
      <c r="IU6" s="2632"/>
      <c r="IV6" s="2632"/>
      <c r="IW6" s="2632"/>
      <c r="IX6" s="2632"/>
      <c r="IY6" s="2632"/>
      <c r="IZ6" s="2632"/>
      <c r="JA6" s="2632"/>
      <c r="JB6" s="2632"/>
      <c r="JC6" s="2632"/>
      <c r="JD6" s="2633"/>
      <c r="JE6" s="2673" t="s">
        <v>151</v>
      </c>
      <c r="JF6" s="2667"/>
      <c r="JH6" s="2632" t="s">
        <v>76</v>
      </c>
      <c r="JI6" s="2671" t="s">
        <v>77</v>
      </c>
      <c r="JJ6" s="2632" t="s">
        <v>247</v>
      </c>
      <c r="JK6" s="2632" t="s">
        <v>7</v>
      </c>
      <c r="JL6" s="2633" t="s">
        <v>145</v>
      </c>
      <c r="JM6" s="2669"/>
      <c r="JN6" s="2634" t="str">
        <f>JH6</f>
        <v>TCM.HCV.LS</v>
      </c>
      <c r="JO6" s="2632"/>
      <c r="JP6" s="2632"/>
      <c r="JQ6" s="2632"/>
      <c r="JR6" s="2632"/>
      <c r="JS6" s="2632"/>
      <c r="JT6" s="2632"/>
      <c r="JU6" s="2632"/>
      <c r="JV6" s="2634" t="str">
        <f>JI6</f>
        <v>TCM.HCV.HS</v>
      </c>
      <c r="JW6" s="2632"/>
      <c r="JX6" s="2632"/>
      <c r="JY6" s="2632"/>
      <c r="JZ6" s="2632"/>
      <c r="KA6" s="2632"/>
      <c r="KB6" s="2632"/>
      <c r="KC6" s="2632"/>
      <c r="KD6" s="2632" t="str">
        <f>JJ6</f>
        <v>LCV.MS.HA</v>
      </c>
      <c r="KE6" s="2632"/>
      <c r="KF6" s="2632"/>
      <c r="KG6" s="2632"/>
      <c r="KH6" s="2632"/>
      <c r="KI6" s="2632"/>
      <c r="KJ6" s="2632"/>
      <c r="KK6" s="2632"/>
      <c r="KL6" s="2633" t="s">
        <v>145</v>
      </c>
      <c r="KM6" s="2669"/>
      <c r="KN6" s="2634" t="s">
        <v>167</v>
      </c>
      <c r="KO6" s="2632"/>
      <c r="KP6" s="2632"/>
      <c r="KQ6" s="2632"/>
      <c r="KR6" s="2632"/>
      <c r="KS6" s="2634" t="s">
        <v>168</v>
      </c>
      <c r="KT6" s="2632"/>
      <c r="KU6" s="2632"/>
      <c r="KV6" s="2632"/>
      <c r="KW6" s="2632"/>
      <c r="KX6" s="2632" t="s">
        <v>247</v>
      </c>
      <c r="KY6" s="2632"/>
      <c r="KZ6" s="2632"/>
      <c r="LA6" s="2632"/>
      <c r="LB6" s="2632"/>
      <c r="LC6" s="2633" t="s">
        <v>145</v>
      </c>
      <c r="LD6" s="2669"/>
      <c r="LF6" s="2633" t="s">
        <v>170</v>
      </c>
      <c r="LG6" s="2635"/>
      <c r="LH6" s="2635"/>
      <c r="LI6" s="2634"/>
      <c r="LJ6" s="2619" t="s">
        <v>171</v>
      </c>
      <c r="LK6" s="2673"/>
      <c r="LL6" s="2673"/>
      <c r="LM6" s="2673"/>
      <c r="LN6" s="2690" t="s">
        <v>172</v>
      </c>
      <c r="LO6" s="2633" t="s">
        <v>145</v>
      </c>
      <c r="LP6" s="2688"/>
      <c r="LQ6" s="2634" t="s">
        <v>173</v>
      </c>
      <c r="LR6" s="2634"/>
      <c r="LS6" s="2632"/>
      <c r="LT6" s="2632"/>
      <c r="LU6" s="2632"/>
      <c r="LV6" s="2620" t="s">
        <v>151</v>
      </c>
      <c r="LW6" s="2632" t="s">
        <v>174</v>
      </c>
      <c r="LX6" s="2632"/>
      <c r="LY6" s="2632"/>
      <c r="LZ6" s="2632"/>
      <c r="MA6" s="2632"/>
      <c r="MB6" s="2632"/>
      <c r="MC6" s="2632" t="s">
        <v>175</v>
      </c>
      <c r="MD6" s="2632"/>
      <c r="ME6" s="2632"/>
      <c r="MF6" s="2632"/>
      <c r="MG6" s="2632"/>
      <c r="MH6" s="2620" t="s">
        <v>151</v>
      </c>
      <c r="MI6" s="2632" t="s">
        <v>176</v>
      </c>
      <c r="MJ6" s="2632"/>
      <c r="MK6" s="2632"/>
      <c r="ML6" s="2632"/>
      <c r="MM6" s="2632"/>
      <c r="MN6" s="2620" t="s">
        <v>151</v>
      </c>
      <c r="MO6" s="2632" t="s">
        <v>248</v>
      </c>
      <c r="MP6" s="2632"/>
      <c r="MQ6" s="2632"/>
      <c r="MR6" s="2632"/>
      <c r="MS6" s="2632"/>
      <c r="MT6" s="2619" t="s">
        <v>151</v>
      </c>
      <c r="MU6" s="2688"/>
      <c r="MW6" s="2632" t="s">
        <v>178</v>
      </c>
      <c r="MX6" s="2632" t="s">
        <v>126</v>
      </c>
      <c r="MY6" s="2632" t="s">
        <v>179</v>
      </c>
      <c r="MZ6" s="2633" t="s">
        <v>249</v>
      </c>
      <c r="NA6" s="2621"/>
      <c r="NB6" s="2634" t="s">
        <v>181</v>
      </c>
      <c r="NC6" s="2634"/>
      <c r="ND6" s="2632"/>
      <c r="NE6" s="2632" t="s">
        <v>7</v>
      </c>
      <c r="NF6" s="2633" t="s">
        <v>35</v>
      </c>
      <c r="NG6" s="2635"/>
      <c r="NH6" s="2635"/>
      <c r="NI6" s="2635"/>
      <c r="NJ6" s="2635"/>
      <c r="NK6" s="2635"/>
      <c r="NL6" s="2635"/>
      <c r="NM6" s="2635"/>
      <c r="NN6" s="2635"/>
      <c r="NO6" s="2635"/>
      <c r="NP6" s="2635"/>
      <c r="NQ6" s="2634"/>
      <c r="NR6" s="2620" t="s">
        <v>151</v>
      </c>
      <c r="NS6" s="2632" t="s">
        <v>245</v>
      </c>
      <c r="NT6" s="2632"/>
      <c r="NU6" s="2632"/>
      <c r="NV6" s="2632"/>
      <c r="NW6" s="2632"/>
      <c r="NX6" s="2632"/>
      <c r="NY6" s="2632"/>
      <c r="NZ6" s="2632"/>
      <c r="OA6" s="2632"/>
      <c r="OB6" s="2632"/>
      <c r="OC6" s="2632"/>
      <c r="OD6" s="181"/>
      <c r="OE6" s="2620" t="s">
        <v>151</v>
      </c>
      <c r="OF6" s="2632" t="s">
        <v>246</v>
      </c>
      <c r="OG6" s="2632"/>
      <c r="OH6" s="2632"/>
      <c r="OI6" s="2632"/>
      <c r="OJ6" s="2632"/>
      <c r="OK6" s="2632"/>
      <c r="OL6" s="2632"/>
      <c r="OM6" s="2632"/>
      <c r="ON6" s="2632"/>
      <c r="OO6" s="2632"/>
      <c r="OP6" s="2632"/>
      <c r="OQ6" s="181"/>
      <c r="OR6" s="2620" t="s">
        <v>151</v>
      </c>
      <c r="OS6" s="2632" t="s">
        <v>250</v>
      </c>
      <c r="OT6" s="2632"/>
      <c r="OU6" s="2632"/>
      <c r="OV6" s="2632"/>
      <c r="OW6" s="2632"/>
      <c r="OX6" s="2632"/>
      <c r="OY6" s="2620" t="s">
        <v>151</v>
      </c>
      <c r="OZ6" s="2632" t="s">
        <v>251</v>
      </c>
      <c r="PA6" s="2632"/>
      <c r="PB6" s="2632"/>
      <c r="PC6" s="2632"/>
      <c r="PD6" s="2632"/>
      <c r="PE6" s="2632"/>
      <c r="PF6" s="2619" t="s">
        <v>151</v>
      </c>
      <c r="PG6" s="2621"/>
      <c r="PI6" s="2620" t="s">
        <v>184</v>
      </c>
      <c r="PJ6" s="2620" t="s">
        <v>252</v>
      </c>
      <c r="PK6" s="2703" t="s">
        <v>253</v>
      </c>
      <c r="PL6" s="2705" t="s">
        <v>186</v>
      </c>
      <c r="PM6" s="2619" t="s">
        <v>91</v>
      </c>
      <c r="PN6" s="2619" t="s">
        <v>254</v>
      </c>
      <c r="PO6" s="2619" t="s">
        <v>145</v>
      </c>
      <c r="PP6" s="2615"/>
      <c r="PR6" s="2619" t="s">
        <v>255</v>
      </c>
      <c r="PS6" s="2676"/>
      <c r="PT6" s="2619" t="s">
        <v>256</v>
      </c>
      <c r="PU6" s="2673"/>
      <c r="PV6" s="2673"/>
      <c r="PW6" s="2673"/>
      <c r="PX6" s="2676"/>
      <c r="PY6" s="2620" t="s">
        <v>184</v>
      </c>
      <c r="PZ6" s="2620" t="s">
        <v>189</v>
      </c>
      <c r="QA6" s="2620" t="s">
        <v>189</v>
      </c>
      <c r="QB6" s="2690" t="s">
        <v>257</v>
      </c>
      <c r="QC6" s="2690" t="s">
        <v>258</v>
      </c>
      <c r="QD6" s="2620" t="s">
        <v>259</v>
      </c>
      <c r="QE6" s="2716" t="s">
        <v>191</v>
      </c>
      <c r="QF6" s="2717"/>
      <c r="QG6" s="2711"/>
      <c r="QH6" s="1405"/>
      <c r="QI6" s="2619" t="s">
        <v>145</v>
      </c>
      <c r="QJ6" s="2615"/>
      <c r="QO6" s="105" t="s">
        <v>192</v>
      </c>
      <c r="QP6" s="105">
        <v>13000</v>
      </c>
      <c r="RH6" s="2718" t="s">
        <v>261</v>
      </c>
      <c r="RI6" s="2718"/>
      <c r="RJ6" s="2719"/>
      <c r="RK6" s="2719" t="s">
        <v>7</v>
      </c>
      <c r="RW6" s="1134"/>
    </row>
    <row r="7" spans="1:500" s="42" customFormat="1" ht="46.2" customHeight="1">
      <c r="B7" s="2627"/>
      <c r="C7" s="2632"/>
      <c r="D7" s="2632"/>
      <c r="E7" s="2632"/>
      <c r="F7" s="181"/>
      <c r="G7" s="181"/>
      <c r="H7" s="181" t="s">
        <v>193</v>
      </c>
      <c r="I7" s="181" t="s">
        <v>194</v>
      </c>
      <c r="J7" s="181" t="s">
        <v>193</v>
      </c>
      <c r="K7" s="181" t="s">
        <v>194</v>
      </c>
      <c r="L7" s="181" t="s">
        <v>193</v>
      </c>
      <c r="M7" s="182" t="s">
        <v>194</v>
      </c>
      <c r="N7" s="2629"/>
      <c r="O7" s="183" t="s">
        <v>3</v>
      </c>
      <c r="P7" s="181" t="s">
        <v>126</v>
      </c>
      <c r="Q7" s="181" t="s">
        <v>127</v>
      </c>
      <c r="R7" s="182" t="s">
        <v>145</v>
      </c>
      <c r="S7" s="181" t="s">
        <v>3</v>
      </c>
      <c r="T7" s="181" t="s">
        <v>126</v>
      </c>
      <c r="U7" s="181" t="s">
        <v>127</v>
      </c>
      <c r="V7" s="181" t="s">
        <v>145</v>
      </c>
      <c r="W7" s="183" t="s">
        <v>3</v>
      </c>
      <c r="X7" s="181" t="s">
        <v>126</v>
      </c>
      <c r="Y7" s="181" t="s">
        <v>127</v>
      </c>
      <c r="Z7" s="181" t="s">
        <v>145</v>
      </c>
      <c r="AA7" s="183" t="s">
        <v>3</v>
      </c>
      <c r="AB7" s="181" t="s">
        <v>126</v>
      </c>
      <c r="AC7" s="181" t="s">
        <v>127</v>
      </c>
      <c r="AD7" s="181" t="s">
        <v>145</v>
      </c>
      <c r="AE7" s="181" t="s">
        <v>3</v>
      </c>
      <c r="AF7" s="181" t="s">
        <v>126</v>
      </c>
      <c r="AG7" s="181" t="s">
        <v>127</v>
      </c>
      <c r="AH7" s="181" t="s">
        <v>145</v>
      </c>
      <c r="AI7" s="181" t="s">
        <v>3</v>
      </c>
      <c r="AJ7" s="181" t="s">
        <v>126</v>
      </c>
      <c r="AK7" s="181" t="s">
        <v>127</v>
      </c>
      <c r="AL7" s="182" t="s">
        <v>145</v>
      </c>
      <c r="AM7" s="2629"/>
      <c r="AN7" s="183" t="s">
        <v>3</v>
      </c>
      <c r="AO7" s="181" t="s">
        <v>126</v>
      </c>
      <c r="AP7" s="181" t="s">
        <v>127</v>
      </c>
      <c r="AQ7" s="181" t="s">
        <v>3</v>
      </c>
      <c r="AR7" s="181" t="s">
        <v>126</v>
      </c>
      <c r="AS7" s="181" t="s">
        <v>127</v>
      </c>
      <c r="AT7" s="181" t="s">
        <v>3</v>
      </c>
      <c r="AU7" s="181" t="s">
        <v>126</v>
      </c>
      <c r="AV7" s="181" t="s">
        <v>127</v>
      </c>
      <c r="AW7" s="181" t="s">
        <v>3</v>
      </c>
      <c r="AX7" s="181" t="s">
        <v>126</v>
      </c>
      <c r="AY7" s="181" t="s">
        <v>127</v>
      </c>
      <c r="AZ7" s="181" t="s">
        <v>3</v>
      </c>
      <c r="BA7" s="181" t="s">
        <v>126</v>
      </c>
      <c r="BB7" s="181" t="s">
        <v>127</v>
      </c>
      <c r="BC7" s="181" t="s">
        <v>3</v>
      </c>
      <c r="BD7" s="181" t="s">
        <v>126</v>
      </c>
      <c r="BE7" s="181" t="s">
        <v>127</v>
      </c>
      <c r="BF7" s="181" t="s">
        <v>3</v>
      </c>
      <c r="BG7" s="181" t="s">
        <v>126</v>
      </c>
      <c r="BH7" s="181" t="s">
        <v>127</v>
      </c>
      <c r="BI7" s="181" t="s">
        <v>3</v>
      </c>
      <c r="BJ7" s="181" t="s">
        <v>126</v>
      </c>
      <c r="BK7" s="181" t="s">
        <v>127</v>
      </c>
      <c r="BL7" s="181" t="s">
        <v>3</v>
      </c>
      <c r="BM7" s="181" t="s">
        <v>126</v>
      </c>
      <c r="BN7" s="181" t="s">
        <v>127</v>
      </c>
      <c r="BO7" s="181" t="s">
        <v>3</v>
      </c>
      <c r="BP7" s="181" t="s">
        <v>126</v>
      </c>
      <c r="BQ7" s="181" t="s">
        <v>127</v>
      </c>
      <c r="BR7" s="181" t="s">
        <v>3</v>
      </c>
      <c r="BS7" s="181" t="s">
        <v>126</v>
      </c>
      <c r="BT7" s="181" t="s">
        <v>127</v>
      </c>
      <c r="BU7" s="181" t="s">
        <v>3</v>
      </c>
      <c r="BV7" s="181" t="s">
        <v>126</v>
      </c>
      <c r="BW7" s="182" t="s">
        <v>127</v>
      </c>
      <c r="BX7" s="182" t="s">
        <v>3</v>
      </c>
      <c r="BY7" s="182" t="s">
        <v>126</v>
      </c>
      <c r="BZ7" s="182" t="s">
        <v>127</v>
      </c>
      <c r="CA7" s="181" t="s">
        <v>3</v>
      </c>
      <c r="CB7" s="181" t="s">
        <v>126</v>
      </c>
      <c r="CC7" s="182" t="s">
        <v>127</v>
      </c>
      <c r="CD7" s="181" t="s">
        <v>3</v>
      </c>
      <c r="CE7" s="181" t="s">
        <v>126</v>
      </c>
      <c r="CF7" s="182" t="s">
        <v>127</v>
      </c>
      <c r="CG7" s="148"/>
      <c r="CH7" s="2634"/>
      <c r="CI7" s="2632"/>
      <c r="CJ7" s="2632"/>
      <c r="CK7" s="2632"/>
      <c r="CL7" s="2632"/>
      <c r="CM7" s="2672"/>
      <c r="CN7" s="2633"/>
      <c r="CO7" s="2632"/>
      <c r="CQ7" s="2632"/>
      <c r="CR7" s="2632"/>
      <c r="CS7" s="2632"/>
      <c r="CT7" s="2632"/>
      <c r="CU7" s="2632"/>
      <c r="CV7" s="2632"/>
      <c r="CW7" s="2632"/>
      <c r="CX7" s="2632"/>
      <c r="CY7" s="2632"/>
      <c r="CZ7" s="2632"/>
      <c r="DA7" s="2632"/>
      <c r="DB7" s="2632"/>
      <c r="DC7" s="2633"/>
      <c r="DD7" s="2685"/>
      <c r="DE7" s="183" t="s">
        <v>146</v>
      </c>
      <c r="DF7" s="183" t="s">
        <v>230</v>
      </c>
      <c r="DG7" s="181" t="s">
        <v>147</v>
      </c>
      <c r="DH7" s="181" t="s">
        <v>231</v>
      </c>
      <c r="DI7" s="181" t="s">
        <v>148</v>
      </c>
      <c r="DJ7" s="181" t="s">
        <v>232</v>
      </c>
      <c r="DK7" s="181" t="s">
        <v>149</v>
      </c>
      <c r="DL7" s="181" t="s">
        <v>233</v>
      </c>
      <c r="DM7" s="181" t="s">
        <v>69</v>
      </c>
      <c r="DN7" s="181" t="s">
        <v>234</v>
      </c>
      <c r="DO7" s="181" t="s">
        <v>71</v>
      </c>
      <c r="DP7" s="181" t="s">
        <v>235</v>
      </c>
      <c r="DQ7" s="2620"/>
      <c r="DR7" s="183" t="s">
        <v>146</v>
      </c>
      <c r="DS7" s="183" t="s">
        <v>230</v>
      </c>
      <c r="DT7" s="181" t="s">
        <v>147</v>
      </c>
      <c r="DU7" s="181" t="s">
        <v>231</v>
      </c>
      <c r="DV7" s="181" t="s">
        <v>148</v>
      </c>
      <c r="DW7" s="181" t="s">
        <v>232</v>
      </c>
      <c r="DX7" s="181" t="s">
        <v>149</v>
      </c>
      <c r="DY7" s="181" t="s">
        <v>233</v>
      </c>
      <c r="DZ7" s="181" t="s">
        <v>69</v>
      </c>
      <c r="EA7" s="181" t="s">
        <v>234</v>
      </c>
      <c r="EB7" s="181" t="s">
        <v>71</v>
      </c>
      <c r="EC7" s="181" t="s">
        <v>235</v>
      </c>
      <c r="ED7" s="2620"/>
      <c r="EE7" s="183" t="s">
        <v>263</v>
      </c>
      <c r="EF7" s="181" t="s">
        <v>264</v>
      </c>
      <c r="EG7" s="181" t="s">
        <v>265</v>
      </c>
      <c r="EH7" s="181" t="s">
        <v>266</v>
      </c>
      <c r="EI7" s="181" t="s">
        <v>267</v>
      </c>
      <c r="EJ7" s="181" t="s">
        <v>268</v>
      </c>
      <c r="EK7" s="181" t="s">
        <v>269</v>
      </c>
      <c r="EL7" s="181" t="s">
        <v>270</v>
      </c>
      <c r="EM7" s="181" t="s">
        <v>271</v>
      </c>
      <c r="EN7" s="181" t="s">
        <v>272</v>
      </c>
      <c r="EO7" s="181" t="s">
        <v>273</v>
      </c>
      <c r="EP7" s="181" t="s">
        <v>274</v>
      </c>
      <c r="EQ7" s="2620"/>
      <c r="ER7" s="181" t="s">
        <v>146</v>
      </c>
      <c r="ES7" s="181" t="s">
        <v>147</v>
      </c>
      <c r="ET7" s="181" t="s">
        <v>148</v>
      </c>
      <c r="EU7" s="181" t="s">
        <v>149</v>
      </c>
      <c r="EV7" s="181" t="s">
        <v>69</v>
      </c>
      <c r="EW7" s="181" t="s">
        <v>71</v>
      </c>
      <c r="EX7" s="2619"/>
      <c r="EY7" s="2685"/>
      <c r="FA7" s="2620"/>
      <c r="FB7" s="2620"/>
      <c r="FC7" s="2620"/>
      <c r="FD7" s="2632"/>
      <c r="FE7" s="2633"/>
      <c r="FF7" s="2674"/>
      <c r="FG7" s="183" t="s">
        <v>146</v>
      </c>
      <c r="FH7" s="181" t="s">
        <v>147</v>
      </c>
      <c r="FI7" s="181" t="s">
        <v>148</v>
      </c>
      <c r="FJ7" s="181" t="s">
        <v>149</v>
      </c>
      <c r="FK7" s="181" t="s">
        <v>69</v>
      </c>
      <c r="FL7" s="181" t="s">
        <v>71</v>
      </c>
      <c r="FM7" s="2620"/>
      <c r="FN7" s="181" t="s">
        <v>146</v>
      </c>
      <c r="FO7" s="181" t="s">
        <v>147</v>
      </c>
      <c r="FP7" s="181" t="s">
        <v>148</v>
      </c>
      <c r="FQ7" s="181" t="s">
        <v>149</v>
      </c>
      <c r="FR7" s="181" t="s">
        <v>69</v>
      </c>
      <c r="FS7" s="181" t="s">
        <v>71</v>
      </c>
      <c r="FT7" s="2620"/>
      <c r="FU7" s="181" t="s">
        <v>275</v>
      </c>
      <c r="FV7" s="181" t="s">
        <v>230</v>
      </c>
      <c r="FW7" s="181" t="s">
        <v>147</v>
      </c>
      <c r="FX7" s="181" t="s">
        <v>231</v>
      </c>
      <c r="FY7" s="181" t="s">
        <v>148</v>
      </c>
      <c r="FZ7" s="181" t="s">
        <v>232</v>
      </c>
      <c r="GA7" s="181" t="s">
        <v>149</v>
      </c>
      <c r="GB7" s="181" t="s">
        <v>233</v>
      </c>
      <c r="GC7" s="181" t="s">
        <v>69</v>
      </c>
      <c r="GD7" s="181" t="s">
        <v>234</v>
      </c>
      <c r="GE7" s="181" t="s">
        <v>71</v>
      </c>
      <c r="GF7" s="182" t="s">
        <v>235</v>
      </c>
      <c r="GG7" s="2619"/>
      <c r="GH7" s="2674"/>
      <c r="GJ7" s="181" t="s">
        <v>276</v>
      </c>
      <c r="GK7" s="181" t="s">
        <v>81</v>
      </c>
      <c r="GL7" s="181" t="s">
        <v>37</v>
      </c>
      <c r="GM7" s="2632"/>
      <c r="GN7" s="181" t="s">
        <v>277</v>
      </c>
      <c r="GO7" s="181" t="s">
        <v>277</v>
      </c>
      <c r="GP7" s="2633"/>
      <c r="GQ7" s="2667"/>
      <c r="GR7" s="2634"/>
      <c r="GS7" s="2632"/>
      <c r="GT7" s="2632"/>
      <c r="GU7" s="2632"/>
      <c r="GV7" s="2619"/>
      <c r="GW7" s="2667"/>
      <c r="GX7" s="183" t="s">
        <v>263</v>
      </c>
      <c r="GY7" s="181" t="s">
        <v>264</v>
      </c>
      <c r="GZ7" s="181" t="s">
        <v>265</v>
      </c>
      <c r="HA7" s="181" t="s">
        <v>266</v>
      </c>
      <c r="HB7" s="181" t="s">
        <v>267</v>
      </c>
      <c r="HC7" s="181" t="s">
        <v>268</v>
      </c>
      <c r="HD7" s="181" t="s">
        <v>269</v>
      </c>
      <c r="HE7" s="181" t="s">
        <v>270</v>
      </c>
      <c r="HF7" s="181" t="s">
        <v>271</v>
      </c>
      <c r="HG7" s="181" t="s">
        <v>272</v>
      </c>
      <c r="HH7" s="181" t="s">
        <v>273</v>
      </c>
      <c r="HI7" s="181" t="s">
        <v>274</v>
      </c>
      <c r="HJ7" s="181" t="s">
        <v>179</v>
      </c>
      <c r="HK7" s="181" t="s">
        <v>278</v>
      </c>
      <c r="HL7" s="2620"/>
      <c r="HM7" s="1001" t="s">
        <v>275</v>
      </c>
      <c r="HN7" s="1001" t="s">
        <v>230</v>
      </c>
      <c r="HO7" s="1001" t="s">
        <v>147</v>
      </c>
      <c r="HP7" s="1001" t="s">
        <v>231</v>
      </c>
      <c r="HQ7" s="1001" t="s">
        <v>148</v>
      </c>
      <c r="HR7" s="1001" t="s">
        <v>232</v>
      </c>
      <c r="HS7" s="1001" t="s">
        <v>149</v>
      </c>
      <c r="HT7" s="1001" t="s">
        <v>233</v>
      </c>
      <c r="HU7" s="1001" t="s">
        <v>69</v>
      </c>
      <c r="HV7" s="1001" t="s">
        <v>234</v>
      </c>
      <c r="HW7" s="1001" t="s">
        <v>71</v>
      </c>
      <c r="HX7" s="1001" t="s">
        <v>235</v>
      </c>
      <c r="HY7" s="1001" t="s">
        <v>179</v>
      </c>
      <c r="HZ7" s="1001" t="s">
        <v>30</v>
      </c>
      <c r="IA7" s="2712"/>
      <c r="IB7" s="183" t="s">
        <v>275</v>
      </c>
      <c r="IC7" s="181" t="s">
        <v>230</v>
      </c>
      <c r="ID7" s="181" t="s">
        <v>147</v>
      </c>
      <c r="IE7" s="181" t="s">
        <v>231</v>
      </c>
      <c r="IF7" s="181" t="s">
        <v>148</v>
      </c>
      <c r="IG7" s="181" t="s">
        <v>232</v>
      </c>
      <c r="IH7" s="181" t="s">
        <v>149</v>
      </c>
      <c r="II7" s="181" t="s">
        <v>233</v>
      </c>
      <c r="IJ7" s="181" t="s">
        <v>69</v>
      </c>
      <c r="IK7" s="181" t="s">
        <v>234</v>
      </c>
      <c r="IL7" s="181" t="s">
        <v>71</v>
      </c>
      <c r="IM7" s="181" t="s">
        <v>235</v>
      </c>
      <c r="IN7" s="181" t="s">
        <v>179</v>
      </c>
      <c r="IO7" s="181" t="s">
        <v>30</v>
      </c>
      <c r="IP7" s="2620"/>
      <c r="IQ7" s="183" t="s">
        <v>275</v>
      </c>
      <c r="IR7" s="181" t="s">
        <v>230</v>
      </c>
      <c r="IS7" s="181" t="s">
        <v>147</v>
      </c>
      <c r="IT7" s="181" t="s">
        <v>231</v>
      </c>
      <c r="IU7" s="181" t="s">
        <v>148</v>
      </c>
      <c r="IV7" s="181" t="s">
        <v>232</v>
      </c>
      <c r="IW7" s="181" t="s">
        <v>149</v>
      </c>
      <c r="IX7" s="181" t="s">
        <v>233</v>
      </c>
      <c r="IY7" s="181" t="s">
        <v>69</v>
      </c>
      <c r="IZ7" s="181" t="s">
        <v>234</v>
      </c>
      <c r="JA7" s="181" t="s">
        <v>71</v>
      </c>
      <c r="JB7" s="181" t="s">
        <v>235</v>
      </c>
      <c r="JC7" s="181" t="s">
        <v>179</v>
      </c>
      <c r="JD7" s="181" t="s">
        <v>30</v>
      </c>
      <c r="JE7" s="2619"/>
      <c r="JF7" s="2667"/>
      <c r="JH7" s="2632"/>
      <c r="JI7" s="2672"/>
      <c r="JJ7" s="2632"/>
      <c r="JK7" s="2632"/>
      <c r="JL7" s="2633"/>
      <c r="JM7" s="2669"/>
      <c r="JN7" s="183" t="s">
        <v>146</v>
      </c>
      <c r="JO7" s="181" t="s">
        <v>147</v>
      </c>
      <c r="JP7" s="181" t="s">
        <v>148</v>
      </c>
      <c r="JQ7" s="181" t="s">
        <v>149</v>
      </c>
      <c r="JR7" s="181" t="s">
        <v>69</v>
      </c>
      <c r="JS7" s="181" t="s">
        <v>71</v>
      </c>
      <c r="JT7" s="181" t="s">
        <v>179</v>
      </c>
      <c r="JU7" s="181" t="s">
        <v>30</v>
      </c>
      <c r="JV7" s="183" t="s">
        <v>146</v>
      </c>
      <c r="JW7" s="181" t="s">
        <v>147</v>
      </c>
      <c r="JX7" s="181" t="s">
        <v>148</v>
      </c>
      <c r="JY7" s="181" t="s">
        <v>149</v>
      </c>
      <c r="JZ7" s="181" t="s">
        <v>69</v>
      </c>
      <c r="KA7" s="181" t="s">
        <v>71</v>
      </c>
      <c r="KB7" s="181" t="s">
        <v>179</v>
      </c>
      <c r="KC7" s="181" t="s">
        <v>30</v>
      </c>
      <c r="KD7" s="181" t="s">
        <v>146</v>
      </c>
      <c r="KE7" s="181" t="s">
        <v>147</v>
      </c>
      <c r="KF7" s="181" t="s">
        <v>148</v>
      </c>
      <c r="KG7" s="181" t="s">
        <v>149</v>
      </c>
      <c r="KH7" s="181" t="s">
        <v>69</v>
      </c>
      <c r="KI7" s="181" t="s">
        <v>71</v>
      </c>
      <c r="KJ7" s="181" t="s">
        <v>179</v>
      </c>
      <c r="KK7" s="181" t="s">
        <v>30</v>
      </c>
      <c r="KL7" s="2633"/>
      <c r="KM7" s="2669"/>
      <c r="KN7" s="183" t="s">
        <v>61</v>
      </c>
      <c r="KO7" s="181" t="s">
        <v>62</v>
      </c>
      <c r="KP7" s="181" t="s">
        <v>63</v>
      </c>
      <c r="KQ7" s="181" t="s">
        <v>196</v>
      </c>
      <c r="KR7" s="181" t="s">
        <v>197</v>
      </c>
      <c r="KS7" s="183" t="s">
        <v>61</v>
      </c>
      <c r="KT7" s="181" t="s">
        <v>62</v>
      </c>
      <c r="KU7" s="181" t="s">
        <v>63</v>
      </c>
      <c r="KV7" s="181" t="s">
        <v>196</v>
      </c>
      <c r="KW7" s="181" t="s">
        <v>197</v>
      </c>
      <c r="KX7" s="181" t="s">
        <v>61</v>
      </c>
      <c r="KY7" s="181" t="s">
        <v>62</v>
      </c>
      <c r="KZ7" s="181" t="s">
        <v>63</v>
      </c>
      <c r="LA7" s="181" t="s">
        <v>196</v>
      </c>
      <c r="LB7" s="181" t="s">
        <v>197</v>
      </c>
      <c r="LC7" s="2633"/>
      <c r="LD7" s="2669"/>
      <c r="LF7" s="184" t="s">
        <v>167</v>
      </c>
      <c r="LG7" s="184" t="s">
        <v>168</v>
      </c>
      <c r="LH7" s="184" t="s">
        <v>279</v>
      </c>
      <c r="LI7" s="184" t="s">
        <v>7</v>
      </c>
      <c r="LJ7" s="43" t="s">
        <v>198</v>
      </c>
      <c r="LK7" s="43" t="s">
        <v>199</v>
      </c>
      <c r="LL7" s="44" t="s">
        <v>200</v>
      </c>
      <c r="LM7" s="45" t="s">
        <v>201</v>
      </c>
      <c r="LN7" s="2691"/>
      <c r="LO7" s="2633"/>
      <c r="LP7" s="2688"/>
      <c r="LQ7" s="183" t="s">
        <v>167</v>
      </c>
      <c r="LR7" s="184" t="s">
        <v>168</v>
      </c>
      <c r="LS7" s="181" t="s">
        <v>169</v>
      </c>
      <c r="LT7" s="181" t="s">
        <v>202</v>
      </c>
      <c r="LU7" s="181" t="s">
        <v>280</v>
      </c>
      <c r="LV7" s="2620"/>
      <c r="LW7" s="181" t="s">
        <v>167</v>
      </c>
      <c r="LX7" s="184" t="s">
        <v>168</v>
      </c>
      <c r="LY7" s="181" t="s">
        <v>169</v>
      </c>
      <c r="LZ7" s="181" t="s">
        <v>202</v>
      </c>
      <c r="MA7" s="181" t="s">
        <v>280</v>
      </c>
      <c r="MB7" s="181" t="s">
        <v>151</v>
      </c>
      <c r="MC7" s="181" t="s">
        <v>167</v>
      </c>
      <c r="MD7" s="184" t="s">
        <v>168</v>
      </c>
      <c r="ME7" s="181" t="s">
        <v>169</v>
      </c>
      <c r="MF7" s="181" t="s">
        <v>202</v>
      </c>
      <c r="MG7" s="181" t="s">
        <v>203</v>
      </c>
      <c r="MH7" s="2620"/>
      <c r="MI7" s="181" t="s">
        <v>167</v>
      </c>
      <c r="MJ7" s="181" t="s">
        <v>168</v>
      </c>
      <c r="MK7" s="181" t="s">
        <v>169</v>
      </c>
      <c r="ML7" s="181" t="s">
        <v>202</v>
      </c>
      <c r="MM7" s="181" t="s">
        <v>203</v>
      </c>
      <c r="MN7" s="2620"/>
      <c r="MO7" s="181" t="s">
        <v>167</v>
      </c>
      <c r="MP7" s="184" t="s">
        <v>168</v>
      </c>
      <c r="MQ7" s="181" t="s">
        <v>169</v>
      </c>
      <c r="MR7" s="181" t="s">
        <v>202</v>
      </c>
      <c r="MS7" s="181" t="s">
        <v>280</v>
      </c>
      <c r="MT7" s="2619"/>
      <c r="MU7" s="2688"/>
      <c r="MW7" s="2632"/>
      <c r="MX7" s="2632"/>
      <c r="MY7" s="2632"/>
      <c r="MZ7" s="2633"/>
      <c r="NA7" s="2621"/>
      <c r="NB7" s="183" t="s">
        <v>167</v>
      </c>
      <c r="NC7" s="183" t="s">
        <v>168</v>
      </c>
      <c r="ND7" s="181" t="s">
        <v>169</v>
      </c>
      <c r="NE7" s="2632"/>
      <c r="NF7" s="183" t="s">
        <v>263</v>
      </c>
      <c r="NG7" s="181" t="s">
        <v>230</v>
      </c>
      <c r="NH7" s="181" t="s">
        <v>265</v>
      </c>
      <c r="NI7" s="181" t="s">
        <v>231</v>
      </c>
      <c r="NJ7" s="181" t="s">
        <v>267</v>
      </c>
      <c r="NK7" s="181" t="s">
        <v>232</v>
      </c>
      <c r="NL7" s="181" t="s">
        <v>269</v>
      </c>
      <c r="NM7" s="181" t="s">
        <v>233</v>
      </c>
      <c r="NN7" s="181" t="s">
        <v>69</v>
      </c>
      <c r="NO7" s="999" t="s">
        <v>281</v>
      </c>
      <c r="NP7" s="181" t="s">
        <v>146</v>
      </c>
      <c r="NQ7" s="181" t="s">
        <v>71</v>
      </c>
      <c r="NR7" s="2620"/>
      <c r="NS7" s="183" t="s">
        <v>275</v>
      </c>
      <c r="NT7" s="181" t="s">
        <v>230</v>
      </c>
      <c r="NU7" s="181" t="s">
        <v>147</v>
      </c>
      <c r="NV7" s="181" t="s">
        <v>231</v>
      </c>
      <c r="NW7" s="181" t="s">
        <v>148</v>
      </c>
      <c r="NX7" s="181" t="s">
        <v>232</v>
      </c>
      <c r="NY7" s="181" t="s">
        <v>149</v>
      </c>
      <c r="NZ7" s="181" t="s">
        <v>233</v>
      </c>
      <c r="OA7" s="181" t="s">
        <v>69</v>
      </c>
      <c r="OB7" s="181" t="s">
        <v>234</v>
      </c>
      <c r="OC7" s="181" t="s">
        <v>71</v>
      </c>
      <c r="OD7" s="181" t="s">
        <v>235</v>
      </c>
      <c r="OE7" s="2620"/>
      <c r="OF7" s="183" t="s">
        <v>275</v>
      </c>
      <c r="OG7" s="181" t="s">
        <v>230</v>
      </c>
      <c r="OH7" s="181" t="s">
        <v>147</v>
      </c>
      <c r="OI7" s="181" t="s">
        <v>231</v>
      </c>
      <c r="OJ7" s="181" t="s">
        <v>148</v>
      </c>
      <c r="OK7" s="181" t="s">
        <v>232</v>
      </c>
      <c r="OL7" s="181" t="s">
        <v>149</v>
      </c>
      <c r="OM7" s="181" t="s">
        <v>233</v>
      </c>
      <c r="ON7" s="181" t="s">
        <v>69</v>
      </c>
      <c r="OO7" s="181" t="s">
        <v>234</v>
      </c>
      <c r="OP7" s="181" t="s">
        <v>71</v>
      </c>
      <c r="OQ7" s="181" t="s">
        <v>235</v>
      </c>
      <c r="OR7" s="2620"/>
      <c r="OS7" s="181" t="s">
        <v>146</v>
      </c>
      <c r="OT7" s="181" t="s">
        <v>147</v>
      </c>
      <c r="OU7" s="181" t="s">
        <v>148</v>
      </c>
      <c r="OV7" s="181" t="s">
        <v>149</v>
      </c>
      <c r="OW7" s="181" t="s">
        <v>69</v>
      </c>
      <c r="OX7" s="181" t="s">
        <v>71</v>
      </c>
      <c r="OY7" s="2620"/>
      <c r="OZ7" s="181" t="s">
        <v>146</v>
      </c>
      <c r="PA7" s="181" t="s">
        <v>147</v>
      </c>
      <c r="PB7" s="181" t="s">
        <v>148</v>
      </c>
      <c r="PC7" s="181" t="s">
        <v>149</v>
      </c>
      <c r="PD7" s="181" t="s">
        <v>69</v>
      </c>
      <c r="PE7" s="181" t="s">
        <v>71</v>
      </c>
      <c r="PF7" s="2619"/>
      <c r="PG7" s="2621"/>
      <c r="PI7" s="2620"/>
      <c r="PJ7" s="2620"/>
      <c r="PK7" s="2704"/>
      <c r="PL7" s="2705"/>
      <c r="PM7" s="2619"/>
      <c r="PN7" s="2619"/>
      <c r="PO7" s="2619"/>
      <c r="PP7" s="2615"/>
      <c r="PR7" s="999" t="s">
        <v>243</v>
      </c>
      <c r="PS7" s="999" t="s">
        <v>72</v>
      </c>
      <c r="PT7" s="999" t="s">
        <v>35</v>
      </c>
      <c r="PU7" s="999" t="s">
        <v>81</v>
      </c>
      <c r="PV7" s="999" t="s">
        <v>282</v>
      </c>
      <c r="PW7" s="999" t="s">
        <v>283</v>
      </c>
      <c r="PX7" s="999" t="s">
        <v>284</v>
      </c>
      <c r="PY7" s="2620"/>
      <c r="PZ7" s="2620"/>
      <c r="QA7" s="2620"/>
      <c r="QB7" s="2691"/>
      <c r="QC7" s="2691"/>
      <c r="QD7" s="2620"/>
      <c r="QE7" s="999" t="s">
        <v>35</v>
      </c>
      <c r="QF7" s="999" t="s">
        <v>81</v>
      </c>
      <c r="QG7" s="999" t="s">
        <v>37</v>
      </c>
      <c r="QH7" s="1000"/>
      <c r="QI7" s="2619"/>
      <c r="QJ7" s="2615"/>
      <c r="QL7" s="181" t="s">
        <v>204</v>
      </c>
      <c r="QM7" s="181" t="s">
        <v>205</v>
      </c>
      <c r="QO7" s="181" t="s">
        <v>204</v>
      </c>
      <c r="QP7" s="181" t="s">
        <v>205</v>
      </c>
      <c r="QR7" s="89" t="s">
        <v>146</v>
      </c>
      <c r="QS7" s="89" t="s">
        <v>147</v>
      </c>
      <c r="QT7" s="89" t="s">
        <v>148</v>
      </c>
      <c r="QU7" s="89" t="s">
        <v>149</v>
      </c>
      <c r="QV7" s="89" t="s">
        <v>69</v>
      </c>
      <c r="QW7" s="89" t="s">
        <v>71</v>
      </c>
      <c r="QX7" s="89"/>
      <c r="QY7" s="89" t="s">
        <v>146</v>
      </c>
      <c r="QZ7" s="89" t="s">
        <v>147</v>
      </c>
      <c r="RA7" s="89" t="s">
        <v>148</v>
      </c>
      <c r="RB7" s="89" t="s">
        <v>149</v>
      </c>
      <c r="RC7" s="89" t="s">
        <v>69</v>
      </c>
      <c r="RD7" s="89" t="s">
        <v>71</v>
      </c>
      <c r="RH7" s="1004" t="s">
        <v>167</v>
      </c>
      <c r="RI7" s="1004" t="s">
        <v>168</v>
      </c>
      <c r="RJ7" s="1003" t="s">
        <v>169</v>
      </c>
      <c r="RK7" s="2719"/>
      <c r="RW7" s="1134"/>
    </row>
    <row r="8" spans="1:500" s="89" customFormat="1" ht="15" customHeight="1">
      <c r="C8" s="1395"/>
      <c r="D8" s="1395"/>
      <c r="E8" s="1395"/>
      <c r="F8" s="1395"/>
      <c r="G8" s="1395"/>
      <c r="H8" s="1395"/>
      <c r="I8" s="1395"/>
      <c r="J8" s="1395"/>
      <c r="K8" s="1395"/>
      <c r="L8" s="1395"/>
      <c r="M8" s="1395"/>
      <c r="N8" s="2629"/>
      <c r="O8" s="1395"/>
      <c r="P8" s="1395"/>
      <c r="Q8" s="1395"/>
      <c r="R8" s="1395"/>
      <c r="S8" s="1147"/>
      <c r="T8" s="1395"/>
      <c r="U8" s="1406"/>
      <c r="V8" s="1146"/>
      <c r="W8" s="1395"/>
      <c r="X8" s="1395"/>
      <c r="Y8" s="1395"/>
      <c r="Z8" s="1395"/>
      <c r="AA8" s="2720"/>
      <c r="AB8" s="2721"/>
      <c r="AC8" s="2721"/>
      <c r="AD8" s="2722"/>
      <c r="AE8" s="1395"/>
      <c r="AF8" s="1395"/>
      <c r="AG8" s="1395"/>
      <c r="AH8" s="1395"/>
      <c r="AI8" s="1395"/>
      <c r="AJ8" s="1395"/>
      <c r="AK8" s="1395"/>
      <c r="AL8" s="1395"/>
      <c r="AM8" s="2629"/>
      <c r="AN8" s="1395"/>
      <c r="AO8" s="1395"/>
      <c r="AP8" s="1395"/>
      <c r="AQ8" s="1395"/>
      <c r="AR8" s="1395"/>
      <c r="AS8" s="1395"/>
      <c r="AT8" s="1395"/>
      <c r="AU8" s="1395"/>
      <c r="AV8" s="1395"/>
      <c r="AW8" s="1395"/>
      <c r="AX8" s="1395"/>
      <c r="AY8" s="1395"/>
      <c r="AZ8" s="1395"/>
      <c r="BA8" s="1395"/>
      <c r="BB8" s="1395"/>
      <c r="BC8" s="1395"/>
      <c r="BD8" s="1395"/>
      <c r="BE8" s="1395"/>
      <c r="BF8" s="1395"/>
      <c r="BG8" s="1395"/>
      <c r="BH8" s="1395"/>
      <c r="BI8" s="1395"/>
      <c r="BJ8" s="1395"/>
      <c r="BK8" s="1395"/>
      <c r="BL8" s="1395"/>
      <c r="BM8" s="1395"/>
      <c r="BN8" s="1395"/>
      <c r="BO8" s="1395"/>
      <c r="BP8" s="1395"/>
      <c r="BQ8" s="1395"/>
      <c r="BR8" s="1395"/>
      <c r="BS8" s="1395"/>
      <c r="BT8" s="1395"/>
      <c r="BU8" s="1395"/>
      <c r="BV8" s="1395"/>
      <c r="BW8" s="1395"/>
      <c r="CG8" s="147"/>
      <c r="CH8" s="1395"/>
      <c r="CI8" s="1395"/>
      <c r="CJ8" s="1395"/>
      <c r="CK8" s="1395"/>
      <c r="CL8" s="1395"/>
      <c r="CN8" s="1395"/>
      <c r="CO8" s="323"/>
      <c r="CQ8" s="1395"/>
      <c r="CR8" s="1395"/>
      <c r="CS8" s="1395"/>
      <c r="CT8" s="1395"/>
      <c r="CU8" s="1395"/>
      <c r="CV8" s="1395"/>
      <c r="CW8" s="1395"/>
      <c r="CX8" s="1395"/>
      <c r="CY8" s="1395"/>
      <c r="CZ8" s="1395"/>
      <c r="DA8" s="1395"/>
      <c r="DB8" s="1395"/>
      <c r="DC8" s="1395"/>
      <c r="DD8" s="2685"/>
      <c r="DE8" s="1395"/>
      <c r="DF8" s="1395"/>
      <c r="DG8" s="1395"/>
      <c r="DH8" s="1395"/>
      <c r="DI8" s="1395"/>
      <c r="DJ8" s="1395"/>
      <c r="DK8" s="1395"/>
      <c r="DL8" s="1395"/>
      <c r="DM8" s="1395"/>
      <c r="DN8" s="1395"/>
      <c r="DO8" s="1395"/>
      <c r="DP8" s="1395"/>
      <c r="DQ8" s="1396"/>
      <c r="DR8" s="1395"/>
      <c r="DS8" s="1395"/>
      <c r="DT8" s="1395"/>
      <c r="DU8" s="1395"/>
      <c r="DV8" s="1395"/>
      <c r="DW8" s="1395"/>
      <c r="DX8" s="1395"/>
      <c r="DY8" s="1395"/>
      <c r="DZ8" s="1395"/>
      <c r="EA8" s="1395"/>
      <c r="EB8" s="1395"/>
      <c r="EC8" s="1395"/>
      <c r="ED8" s="1396"/>
      <c r="EE8" s="1395"/>
      <c r="EF8" s="1395"/>
      <c r="EG8" s="1395"/>
      <c r="EH8" s="1395"/>
      <c r="EI8" s="1395"/>
      <c r="EJ8" s="1395"/>
      <c r="EK8" s="1395"/>
      <c r="EL8" s="1395"/>
      <c r="EM8" s="1395"/>
      <c r="EN8" s="1395"/>
      <c r="EO8" s="1395"/>
      <c r="EP8" s="1395"/>
      <c r="EQ8" s="1396"/>
      <c r="ER8" s="1395"/>
      <c r="ES8" s="1395"/>
      <c r="ET8" s="1395"/>
      <c r="EU8" s="1395"/>
      <c r="EV8" s="1395"/>
      <c r="EW8" s="1395"/>
      <c r="EX8" s="1396"/>
      <c r="EY8" s="2685"/>
      <c r="FA8" s="1396"/>
      <c r="FB8" s="1396"/>
      <c r="FC8" s="1396"/>
      <c r="FD8" s="1395"/>
      <c r="FE8" s="1395"/>
      <c r="FF8" s="2674"/>
      <c r="FG8" s="1395"/>
      <c r="FH8" s="1395"/>
      <c r="FI8" s="1395"/>
      <c r="FJ8" s="1395"/>
      <c r="FK8" s="1395"/>
      <c r="FL8" s="1395"/>
      <c r="FM8" s="1396"/>
      <c r="FN8" s="1395"/>
      <c r="FO8" s="1395"/>
      <c r="FP8" s="1395"/>
      <c r="FQ8" s="1395"/>
      <c r="FR8" s="1395"/>
      <c r="FS8" s="1395"/>
      <c r="FT8" s="1396"/>
      <c r="FU8" s="1395"/>
      <c r="FV8" s="1395"/>
      <c r="FW8" s="1395"/>
      <c r="FX8" s="1395"/>
      <c r="FY8" s="1395"/>
      <c r="FZ8" s="1395"/>
      <c r="GA8" s="1395"/>
      <c r="GB8" s="1395"/>
      <c r="GC8" s="1395"/>
      <c r="GD8" s="1395"/>
      <c r="GE8" s="1395"/>
      <c r="GF8" s="1395"/>
      <c r="GG8" s="1396"/>
      <c r="GH8" s="2674"/>
      <c r="GJ8" s="1395"/>
      <c r="GK8" s="1395"/>
      <c r="GL8" s="1395"/>
      <c r="GM8" s="1395"/>
      <c r="GN8" s="1395"/>
      <c r="GO8" s="1395"/>
      <c r="GP8" s="1395"/>
      <c r="GQ8" s="2667"/>
      <c r="GR8" s="1395"/>
      <c r="GS8" s="1395"/>
      <c r="GT8" s="1395"/>
      <c r="GU8" s="1395"/>
      <c r="GV8" s="1396"/>
      <c r="GW8" s="2667"/>
      <c r="GX8" s="1395"/>
      <c r="GY8" s="1395"/>
      <c r="GZ8" s="1395"/>
      <c r="HA8" s="1395"/>
      <c r="HB8" s="1395"/>
      <c r="HC8" s="1395"/>
      <c r="HD8" s="1395"/>
      <c r="HE8" s="1395"/>
      <c r="HF8" s="1395"/>
      <c r="HG8" s="1395"/>
      <c r="HH8" s="1395"/>
      <c r="HI8" s="1395"/>
      <c r="HJ8" s="1395"/>
      <c r="HK8" s="1395"/>
      <c r="HL8" s="1396"/>
      <c r="HM8" s="1145"/>
      <c r="HN8" s="1407"/>
      <c r="HO8" s="1407"/>
      <c r="HP8" s="1407"/>
      <c r="HQ8" s="1407"/>
      <c r="HR8" s="1407"/>
      <c r="HS8" s="1407"/>
      <c r="HT8" s="1407"/>
      <c r="HU8" s="1407"/>
      <c r="HV8" s="1407"/>
      <c r="HW8" s="1407"/>
      <c r="HX8" s="1407"/>
      <c r="HY8" s="1407"/>
      <c r="HZ8" s="1407"/>
      <c r="IA8" s="1144"/>
      <c r="IB8" s="1395"/>
      <c r="IC8" s="1395"/>
      <c r="ID8" s="1395"/>
      <c r="IE8" s="1395"/>
      <c r="IF8" s="1395"/>
      <c r="IG8" s="1395"/>
      <c r="IH8" s="1395"/>
      <c r="II8" s="1395"/>
      <c r="IJ8" s="1395"/>
      <c r="IK8" s="1395"/>
      <c r="IL8" s="1395"/>
      <c r="IM8" s="1395"/>
      <c r="IN8" s="1395"/>
      <c r="IO8" s="1395"/>
      <c r="IP8" s="1396"/>
      <c r="IQ8" s="1395"/>
      <c r="IR8" s="1395"/>
      <c r="IS8" s="1395"/>
      <c r="IT8" s="1395"/>
      <c r="IU8" s="1395"/>
      <c r="IV8" s="1395"/>
      <c r="IW8" s="1395"/>
      <c r="IX8" s="1395"/>
      <c r="IY8" s="1395"/>
      <c r="IZ8" s="1395"/>
      <c r="JA8" s="1395"/>
      <c r="JB8" s="1395"/>
      <c r="JC8" s="1395"/>
      <c r="JD8" s="1395"/>
      <c r="JE8" s="1396"/>
      <c r="JF8" s="2667"/>
      <c r="JH8" s="1395"/>
      <c r="JI8" s="1395"/>
      <c r="JJ8" s="1395"/>
      <c r="JK8" s="1395"/>
      <c r="JL8" s="1395"/>
      <c r="JM8" s="2669"/>
      <c r="JN8" s="1395"/>
      <c r="JO8" s="1395"/>
      <c r="JP8" s="1395"/>
      <c r="JQ8" s="1395"/>
      <c r="JR8" s="1395"/>
      <c r="JS8" s="1395"/>
      <c r="JT8" s="1395"/>
      <c r="JU8" s="1395"/>
      <c r="JV8" s="1395"/>
      <c r="JW8" s="1395"/>
      <c r="JX8" s="1395"/>
      <c r="JY8" s="1395"/>
      <c r="JZ8" s="1395"/>
      <c r="KA8" s="1395"/>
      <c r="KB8" s="1395"/>
      <c r="KC8" s="1395"/>
      <c r="KE8" s="1395"/>
      <c r="KF8" s="1395"/>
      <c r="KG8" s="1395"/>
      <c r="KH8" s="1395"/>
      <c r="KI8" s="1395"/>
      <c r="KJ8" s="1395"/>
      <c r="KK8" s="1395"/>
      <c r="KL8" s="1395"/>
      <c r="KM8" s="2669"/>
      <c r="KN8" s="1395"/>
      <c r="KO8" s="1395"/>
      <c r="KP8" s="1395"/>
      <c r="KQ8" s="1395"/>
      <c r="KR8" s="1395"/>
      <c r="KS8" s="1395"/>
      <c r="KT8" s="1395"/>
      <c r="KU8" s="1395"/>
      <c r="KV8" s="1395"/>
      <c r="KW8" s="1395"/>
      <c r="KX8" s="1395"/>
      <c r="KY8" s="1395"/>
      <c r="KZ8" s="1395"/>
      <c r="LA8" s="1395"/>
      <c r="LB8" s="1395"/>
      <c r="LC8" s="1395"/>
      <c r="LD8" s="2669"/>
      <c r="LF8" s="1395"/>
      <c r="LG8" s="1395"/>
      <c r="LH8" s="1395"/>
      <c r="LI8" s="1395"/>
      <c r="LJ8" s="17"/>
      <c r="LK8" s="18"/>
      <c r="LL8" s="1397"/>
      <c r="LM8" s="17"/>
      <c r="LN8" s="17"/>
      <c r="LO8" s="1395"/>
      <c r="LP8" s="2688"/>
      <c r="LQ8" s="1395"/>
      <c r="LR8" s="1395"/>
      <c r="LS8" s="1395"/>
      <c r="LT8" s="1395"/>
      <c r="LU8" s="1395"/>
      <c r="LV8" s="1396"/>
      <c r="LW8" s="1395"/>
      <c r="LX8" s="1395"/>
      <c r="LY8" s="1395"/>
      <c r="LZ8" s="1395"/>
      <c r="MA8" s="1395"/>
      <c r="MB8" s="1395"/>
      <c r="MC8" s="1395"/>
      <c r="MD8" s="1395"/>
      <c r="ME8" s="1395"/>
      <c r="MF8" s="1395"/>
      <c r="MG8" s="1395"/>
      <c r="MH8" s="1396"/>
      <c r="MI8" s="1395"/>
      <c r="MJ8" s="1395"/>
      <c r="MK8" s="1395"/>
      <c r="ML8" s="1395"/>
      <c r="MM8" s="1395"/>
      <c r="MN8" s="1396"/>
      <c r="MO8" s="1395"/>
      <c r="MP8" s="1395"/>
      <c r="MQ8" s="1395"/>
      <c r="MR8" s="1395"/>
      <c r="MS8" s="1395"/>
      <c r="MT8" s="1396"/>
      <c r="MU8" s="2688"/>
      <c r="NA8" s="2621"/>
      <c r="NB8" s="303"/>
      <c r="NC8" s="303"/>
      <c r="ND8" s="303"/>
      <c r="NR8" s="298">
        <f t="shared" ref="NR8:NR40" si="0">SUM(NF8:NQ8)</f>
        <v>0</v>
      </c>
      <c r="NS8" s="105"/>
      <c r="NT8" s="105"/>
      <c r="NU8" s="105"/>
      <c r="NV8" s="105"/>
      <c r="NW8" s="105"/>
      <c r="NX8" s="105"/>
      <c r="NY8" s="105"/>
      <c r="NZ8" s="105"/>
      <c r="OA8" s="105"/>
      <c r="OB8" s="105"/>
      <c r="OC8" s="105"/>
      <c r="OD8" s="105"/>
      <c r="OE8" s="298">
        <f t="shared" ref="OE8:OE40" si="1">SUM(NS8:OD8)</f>
        <v>0</v>
      </c>
      <c r="OJ8" s="304"/>
      <c r="OK8" s="304"/>
      <c r="ON8" s="304"/>
      <c r="OO8" s="304"/>
      <c r="OR8" s="298">
        <f t="shared" ref="OR8:OR40" si="2">SUM(OF8:OQ8)</f>
        <v>0</v>
      </c>
      <c r="OY8" s="19"/>
      <c r="PF8" s="298">
        <f t="shared" ref="PF8:PF40" si="3">SUM(OZ8:PE8)</f>
        <v>0</v>
      </c>
      <c r="PG8" s="2621"/>
      <c r="PP8" s="2615"/>
      <c r="QJ8" s="2615"/>
      <c r="RM8" s="2713" t="s">
        <v>285</v>
      </c>
      <c r="RN8" s="2713"/>
      <c r="RO8" s="2713"/>
      <c r="RP8" s="2713"/>
      <c r="RQ8" s="2713"/>
      <c r="RR8" s="2713"/>
      <c r="RU8" s="2713" t="s">
        <v>286</v>
      </c>
      <c r="RV8" s="2713"/>
      <c r="RW8" s="2713"/>
      <c r="RX8" s="2713"/>
      <c r="RY8" s="2714" t="s">
        <v>287</v>
      </c>
      <c r="RZ8" s="2714"/>
      <c r="SA8" s="2714"/>
      <c r="SB8" s="2714"/>
      <c r="SD8" s="1143" t="s">
        <v>288</v>
      </c>
      <c r="SE8" s="1143"/>
      <c r="SF8" s="1143"/>
    </row>
    <row r="9" spans="1:500" s="89" customFormat="1" ht="15" customHeight="1">
      <c r="B9" s="89">
        <f>COUNTIF(MW10:QD40,"&lt;"&amp;0)</f>
        <v>0</v>
      </c>
      <c r="N9" s="2629"/>
      <c r="S9" s="300"/>
      <c r="U9" s="105"/>
      <c r="V9" s="301"/>
      <c r="AA9" s="2723"/>
      <c r="AB9" s="2724"/>
      <c r="AC9" s="2724"/>
      <c r="AD9" s="2725"/>
      <c r="AM9" s="2629"/>
      <c r="CG9" s="147"/>
      <c r="CO9" s="323"/>
      <c r="DD9" s="2685"/>
      <c r="DE9" s="105"/>
      <c r="DF9" s="105"/>
      <c r="DG9" s="105"/>
      <c r="DH9" s="105"/>
      <c r="DI9" s="105"/>
      <c r="DJ9" s="105"/>
      <c r="DK9" s="105"/>
      <c r="DL9" s="105"/>
      <c r="DM9" s="105"/>
      <c r="DN9" s="105"/>
      <c r="DO9" s="105"/>
      <c r="DP9" s="105"/>
      <c r="DQ9" s="1142"/>
      <c r="ED9" s="19"/>
      <c r="EQ9" s="19"/>
      <c r="EX9" s="19"/>
      <c r="EY9" s="2685"/>
      <c r="FA9" s="19"/>
      <c r="FB9" s="19"/>
      <c r="FC9" s="19"/>
      <c r="FF9" s="2674"/>
      <c r="FM9" s="19"/>
      <c r="FT9" s="19"/>
      <c r="GG9" s="19"/>
      <c r="GH9" s="2674"/>
      <c r="GQ9" s="2667"/>
      <c r="GV9" s="19"/>
      <c r="GW9" s="2667"/>
      <c r="HL9" s="19"/>
      <c r="HM9" s="1141"/>
      <c r="HN9" s="1140"/>
      <c r="HO9" s="1140"/>
      <c r="HP9" s="1140"/>
      <c r="HQ9" s="1140"/>
      <c r="HR9" s="1140"/>
      <c r="HS9" s="1140"/>
      <c r="HT9" s="1140"/>
      <c r="HU9" s="1140"/>
      <c r="HV9" s="1140"/>
      <c r="HW9" s="1140"/>
      <c r="HX9" s="1140"/>
      <c r="HY9" s="1140"/>
      <c r="HZ9" s="1140"/>
      <c r="IA9" s="1139"/>
      <c r="IP9" s="19"/>
      <c r="JE9" s="19"/>
      <c r="JF9" s="2667"/>
      <c r="JM9" s="2669"/>
      <c r="KM9" s="2669"/>
      <c r="LD9" s="2669"/>
      <c r="LJ9" s="17"/>
      <c r="LK9" s="18"/>
      <c r="LL9" s="180"/>
      <c r="LM9" s="17"/>
      <c r="LN9" s="17"/>
      <c r="LP9" s="2688"/>
      <c r="LV9" s="19"/>
      <c r="MH9" s="19"/>
      <c r="MN9" s="19"/>
      <c r="MT9" s="19"/>
      <c r="MU9" s="2688"/>
      <c r="NA9" s="2621"/>
      <c r="NB9" s="1138">
        <f>'February TCM'!NB42</f>
        <v>70988.012137467857</v>
      </c>
      <c r="NC9" s="1138">
        <f>'February TCM'!NC42</f>
        <v>18168.164507545538</v>
      </c>
      <c r="ND9" s="866">
        <v>0</v>
      </c>
      <c r="NE9" s="349">
        <f t="shared" ref="NE9:NE40" si="4">SUM(NB9:ND9)</f>
        <v>89156.176645013387</v>
      </c>
      <c r="NF9" s="349"/>
      <c r="NG9" s="349"/>
      <c r="NH9" s="349"/>
      <c r="NI9" s="349"/>
      <c r="NJ9" s="349">
        <v>0</v>
      </c>
      <c r="NK9" s="349"/>
      <c r="NL9" s="349">
        <v>0</v>
      </c>
      <c r="NM9" s="349"/>
      <c r="NN9" s="349">
        <v>4485.6005665631465</v>
      </c>
      <c r="NO9" s="349">
        <v>26196.69549600617</v>
      </c>
      <c r="NP9" s="349">
        <f>'February TCM'!NP42</f>
        <v>8756.5482322711578</v>
      </c>
      <c r="NQ9" s="349">
        <f>'February TCM'!NQ42</f>
        <v>5528.0541180334076</v>
      </c>
      <c r="NR9" s="362">
        <f t="shared" si="0"/>
        <v>44966.898412873881</v>
      </c>
      <c r="NS9" s="349"/>
      <c r="NT9" s="349"/>
      <c r="NU9" s="349"/>
      <c r="NV9" s="349"/>
      <c r="NW9" s="349"/>
      <c r="NX9" s="349"/>
      <c r="NY9" s="349">
        <f>'February TCM'!NY42</f>
        <v>2206.063602292912</v>
      </c>
      <c r="NZ9" s="349"/>
      <c r="OA9" s="349">
        <f>'February TCM'!OA42</f>
        <v>3383.6080667828401</v>
      </c>
      <c r="OB9" s="349"/>
      <c r="OC9" s="349">
        <f>'February TCM'!OC42</f>
        <v>349.54339982995594</v>
      </c>
      <c r="OD9" s="349"/>
      <c r="OE9" s="349">
        <f t="shared" si="1"/>
        <v>5939.215068905708</v>
      </c>
      <c r="OF9" s="349">
        <v>0</v>
      </c>
      <c r="OG9" s="349"/>
      <c r="OH9" s="349">
        <v>0</v>
      </c>
      <c r="OI9" s="349"/>
      <c r="OJ9" s="349">
        <v>0</v>
      </c>
      <c r="OK9" s="349"/>
      <c r="OL9" s="349">
        <v>0</v>
      </c>
      <c r="OM9" s="349"/>
      <c r="ON9" s="349">
        <f>'February TCM'!ON42</f>
        <v>8679.0235991110094</v>
      </c>
      <c r="OO9" s="349"/>
      <c r="OP9" s="349">
        <f>'February TCM'!OP42</f>
        <v>2676.985167932914</v>
      </c>
      <c r="OQ9" s="349"/>
      <c r="OR9" s="349">
        <f t="shared" si="2"/>
        <v>11356.008767043924</v>
      </c>
      <c r="OZ9" s="42"/>
      <c r="PA9" s="42"/>
      <c r="PB9" s="42"/>
      <c r="PC9" s="42"/>
      <c r="PD9" s="42"/>
      <c r="PE9" s="42"/>
      <c r="PF9" s="298">
        <f t="shared" si="3"/>
        <v>0</v>
      </c>
      <c r="PG9" s="2621"/>
      <c r="PM9" s="1674">
        <f>'February TCM'!PM42</f>
        <v>499.35538769389285</v>
      </c>
      <c r="PN9" s="1674">
        <f>'February TCM'!PN42</f>
        <v>19695.395201279462</v>
      </c>
      <c r="PP9" s="2615"/>
      <c r="QE9" s="1137">
        <f>'February TCM'!QE42</f>
        <v>29562.488999999998</v>
      </c>
      <c r="QF9" s="1925">
        <f>'February TCM'!QF42</f>
        <v>406502.85955851001</v>
      </c>
      <c r="QG9" s="1137">
        <f>'February TCM'!QG42</f>
        <v>0</v>
      </c>
      <c r="QH9" s="1136">
        <v>5505.3678056099998</v>
      </c>
      <c r="QJ9" s="2615"/>
      <c r="QL9" s="105"/>
      <c r="QM9" s="105"/>
      <c r="RH9" s="42">
        <v>45424.161751083164</v>
      </c>
      <c r="RI9" s="42">
        <v>3925.5835498622801</v>
      </c>
      <c r="RJ9" s="42">
        <v>9178.5689913333827</v>
      </c>
      <c r="RK9" s="42">
        <f t="shared" ref="RK9:RK40" si="5">SUM(RH9:RJ9)</f>
        <v>58528.314292278832</v>
      </c>
      <c r="RM9" s="866" t="s">
        <v>81</v>
      </c>
      <c r="RN9" s="866" t="s">
        <v>289</v>
      </c>
      <c r="RO9" s="1135" t="s">
        <v>290</v>
      </c>
      <c r="RP9" s="1135" t="s">
        <v>37</v>
      </c>
      <c r="RQ9" s="42" t="s">
        <v>291</v>
      </c>
      <c r="RR9" s="42" t="s">
        <v>292</v>
      </c>
      <c r="RW9" s="1134" t="s">
        <v>293</v>
      </c>
      <c r="RY9" s="1133"/>
      <c r="RZ9" s="1133" t="s">
        <v>294</v>
      </c>
      <c r="SA9" s="1133"/>
      <c r="SB9" s="1133" t="s">
        <v>178</v>
      </c>
      <c r="SF9" s="89" t="s">
        <v>293</v>
      </c>
    </row>
    <row r="10" spans="1:500" s="1" customFormat="1" ht="15" customHeight="1">
      <c r="B10" s="471">
        <v>1</v>
      </c>
      <c r="C10" s="4">
        <f t="shared" ref="C10:C40" si="6">+O10+S10+W10+AE10+AI10+AA10</f>
        <v>138386</v>
      </c>
      <c r="D10" s="1590">
        <f>P10+T10+X10+AB10</f>
        <v>7993.3</v>
      </c>
      <c r="E10" s="1895">
        <f t="shared" ref="E10:E42" si="7">IFERROR(C10/D10,0)</f>
        <v>17.312749427645652</v>
      </c>
      <c r="F10" s="870"/>
      <c r="G10" s="870"/>
      <c r="H10" s="295">
        <v>43</v>
      </c>
      <c r="I10" s="299"/>
      <c r="J10" s="48"/>
      <c r="K10" s="50"/>
      <c r="L10" s="48">
        <v>5.67</v>
      </c>
      <c r="M10" s="60">
        <v>5.28</v>
      </c>
      <c r="N10" s="2629"/>
      <c r="O10" s="4">
        <f>+SUM(AQ10,BC10,AW10)</f>
        <v>86562</v>
      </c>
      <c r="P10" s="1225">
        <f t="shared" ref="P10:P40" si="8">+SUM(AR10,AU10,AX10,BD10)</f>
        <v>4833.68</v>
      </c>
      <c r="Q10" s="1950">
        <f t="shared" ref="Q10:Q43" si="9">IFERROR(O10/P10,0)</f>
        <v>17.908094867678454</v>
      </c>
      <c r="R10" s="32"/>
      <c r="S10" s="26">
        <f t="shared" ref="S10:S43" si="10">SUM(BF10,BI10,BL10,BX10)</f>
        <v>30514</v>
      </c>
      <c r="T10" s="27">
        <f t="shared" ref="T10:T40" si="11">+SUM(BY10,BJ10,BM10,BG10)</f>
        <v>1019.6200000000002</v>
      </c>
      <c r="U10" s="1919">
        <f t="shared" ref="U10:U44" si="12">IFERROR(S10/T10,0)</f>
        <v>29.926835487730717</v>
      </c>
      <c r="V10" s="25"/>
      <c r="W10" s="1742">
        <f t="shared" ref="W10:X40" si="13">BU10+CD10+BR10</f>
        <v>21310</v>
      </c>
      <c r="X10" s="5">
        <f t="shared" si="13"/>
        <v>2140</v>
      </c>
      <c r="Y10" s="1737">
        <f t="shared" ref="Y10:Y43" si="14">IFERROR(W10/X10,0)</f>
        <v>9.9579439252336446</v>
      </c>
      <c r="Z10" s="32"/>
      <c r="AA10" s="26">
        <f t="shared" ref="AA10:AA39" si="15">SUM(BO10)</f>
        <v>0</v>
      </c>
      <c r="AB10" s="27">
        <f t="shared" ref="AB10:AB41" si="16">BP10+CB10</f>
        <v>0</v>
      </c>
      <c r="AC10" s="53">
        <f t="shared" ref="AC10:AC41" si="17">IFERROR(AA10/AB10,0)</f>
        <v>0</v>
      </c>
      <c r="AD10" s="28"/>
      <c r="AE10" s="36"/>
      <c r="AF10" s="36"/>
      <c r="AG10" s="49">
        <f t="shared" ref="AG10:AG42" si="18">IFERROR(AE10/AF10,0)</f>
        <v>0</v>
      </c>
      <c r="AH10" s="25"/>
      <c r="AI10" s="23"/>
      <c r="AJ10" s="24"/>
      <c r="AK10" s="49">
        <f t="shared" ref="AK10:AK43" si="19">IFERROR(AI10/AJ10,0)</f>
        <v>0</v>
      </c>
      <c r="AL10" s="25"/>
      <c r="AM10" s="2629"/>
      <c r="AN10" s="8"/>
      <c r="AO10" s="3"/>
      <c r="AP10" s="60">
        <f t="shared" ref="AP10:AP41" si="20">IFERROR(AN10/AO10,0)</f>
        <v>0</v>
      </c>
      <c r="AQ10" s="35"/>
      <c r="AR10" s="49"/>
      <c r="AS10" s="60">
        <f t="shared" ref="AS10:AS42" si="21">IFERROR(AQ10/AR10,0)</f>
        <v>0</v>
      </c>
      <c r="AT10" s="35"/>
      <c r="AU10" s="24"/>
      <c r="AV10" s="60">
        <f t="shared" ref="AV10:AV41" si="22">IFERROR(AT10/AU10,0)</f>
        <v>0</v>
      </c>
      <c r="AW10" s="2000">
        <v>49350</v>
      </c>
      <c r="AX10" s="24">
        <v>2851.4</v>
      </c>
      <c r="AY10" s="1734">
        <f t="shared" ref="AY10:AY40" si="23">IFERROR(AW10/AX10,0)</f>
        <v>17.307287648172828</v>
      </c>
      <c r="AZ10" s="35"/>
      <c r="BA10" s="24"/>
      <c r="BB10" s="60">
        <f t="shared" ref="BB10:BB40" si="24">IFERROR(AZ10/BA10,0)</f>
        <v>0</v>
      </c>
      <c r="BC10" s="1739">
        <v>37212</v>
      </c>
      <c r="BD10" s="1926">
        <v>1982.2799999999997</v>
      </c>
      <c r="BE10" s="1734">
        <f t="shared" ref="BE10:BE22" si="25">IFERROR(BC10/BD10,0)</f>
        <v>18.772322779829288</v>
      </c>
      <c r="BF10" s="35"/>
      <c r="BG10" s="49"/>
      <c r="BH10" s="60">
        <f t="shared" ref="BH10:BH40" si="26">IFERROR(BF10/BG10,0)</f>
        <v>0</v>
      </c>
      <c r="BI10" s="35">
        <v>0</v>
      </c>
      <c r="BJ10" s="49">
        <v>0</v>
      </c>
      <c r="BK10" s="60">
        <f t="shared" ref="BK10:BK40" si="27">IFERROR(BI10/BJ10,0)</f>
        <v>0</v>
      </c>
      <c r="BL10" s="1742">
        <v>30514</v>
      </c>
      <c r="BM10" s="1909">
        <v>1019.6200000000002</v>
      </c>
      <c r="BN10" s="1734">
        <f t="shared" ref="BN10:BN40" si="28">IFERROR(BL10/BM10,0)</f>
        <v>29.926835487730717</v>
      </c>
      <c r="BO10" s="1132"/>
      <c r="BP10" s="49"/>
      <c r="BQ10" s="60">
        <f t="shared" ref="BQ10:BQ40" si="29">IFERROR(BO10/BP10,0)</f>
        <v>0</v>
      </c>
      <c r="BR10" s="35"/>
      <c r="BS10" s="49"/>
      <c r="BT10" s="60">
        <f t="shared" ref="BT10:BT40" si="30">IFERROR(BR10/BS10,0)</f>
        <v>0</v>
      </c>
      <c r="BU10" s="35">
        <v>21310</v>
      </c>
      <c r="BV10" s="24">
        <v>2140</v>
      </c>
      <c r="BW10" s="1905">
        <f t="shared" ref="BW10:BW40" si="31">IFERROR(BU10/BV10,0)</f>
        <v>9.9579439252336446</v>
      </c>
      <c r="BX10" s="26"/>
      <c r="BY10" s="24"/>
      <c r="BZ10" s="61">
        <f t="shared" ref="BZ10:BZ43" si="32">IFERROR(BX10/BY10,0)</f>
        <v>0</v>
      </c>
      <c r="CA10" s="35"/>
      <c r="CB10" s="24"/>
      <c r="CC10" s="60">
        <f t="shared" ref="CC10:CC43" si="33">IFERROR(CA10/CB10,0)</f>
        <v>0</v>
      </c>
      <c r="CD10" s="23"/>
      <c r="CE10" s="1345"/>
      <c r="CF10" s="25">
        <f t="shared" ref="CF10:CF41" si="34">IFERROR(CD10/CE10,0)</f>
        <v>0</v>
      </c>
      <c r="CG10" s="149"/>
      <c r="CH10" s="1131"/>
      <c r="CI10" s="3"/>
      <c r="CJ10" s="3"/>
      <c r="CK10" s="3">
        <v>11512.5</v>
      </c>
      <c r="CL10" s="3"/>
      <c r="CM10" s="3">
        <f t="shared" ref="CM10:CM40" si="35">SUM(CH10:CL10)</f>
        <v>11512.5</v>
      </c>
      <c r="CN10" s="32"/>
      <c r="CO10" s="366"/>
      <c r="CQ10" s="2">
        <f t="shared" ref="CQ10:CQ40" si="36">SUM(DE10,DR10,EE10)</f>
        <v>0</v>
      </c>
      <c r="CR10" s="8">
        <f t="shared" ref="CR10:CR40" si="37">SUM(DF10,DS10,EF10)</f>
        <v>0</v>
      </c>
      <c r="CS10" s="3">
        <f t="shared" ref="CS10:CS40" si="38">SUM(DG10,DT10,EG10)</f>
        <v>0</v>
      </c>
      <c r="CT10" s="3">
        <f t="shared" ref="CT10:CT40" si="39">SUM(DH10,DU10,EH10)</f>
        <v>0</v>
      </c>
      <c r="CU10" s="3">
        <f t="shared" ref="CU10:CU40" si="40">SUM(DI10,DV10,EI10)</f>
        <v>0</v>
      </c>
      <c r="CV10" s="3">
        <f t="shared" ref="CV10:CV40" si="41">SUM(DJ10,DW10,EJ10)</f>
        <v>0</v>
      </c>
      <c r="CW10" s="1408">
        <f t="shared" ref="CW10:CW40" si="42">SUM(DK10,DX10,EK10)</f>
        <v>451.15999999999997</v>
      </c>
      <c r="CX10" s="3">
        <f t="shared" ref="CX10:CX40" si="43">SUM(DL10,DY10,EL10)</f>
        <v>0</v>
      </c>
      <c r="CY10" s="3">
        <f t="shared" ref="CY10:CY40" si="44">SUM(DM10,DZ10,EM10)</f>
        <v>6404.96</v>
      </c>
      <c r="CZ10" s="3">
        <f t="shared" ref="CZ10:CZ40" si="45">SUM(DN10,EA10,EN10)</f>
        <v>0</v>
      </c>
      <c r="DA10" s="1408">
        <f t="shared" ref="DA10:DA40" si="46">SUM(DO10,EB10,EO10)</f>
        <v>1137.1799999999998</v>
      </c>
      <c r="DB10" s="11">
        <f t="shared" ref="DB10:DB40" si="47">SUM(DP10,EC10,EP10)</f>
        <v>0</v>
      </c>
      <c r="DC10" s="310">
        <f t="shared" ref="DC10:DC31" si="48">SUM(CQ10:DB10,PV10,PW10)</f>
        <v>7993.2999999999993</v>
      </c>
      <c r="DD10" s="2695"/>
      <c r="DE10" s="8"/>
      <c r="DF10" s="8"/>
      <c r="DG10" s="3"/>
      <c r="DH10" s="3"/>
      <c r="DI10" s="3"/>
      <c r="DJ10" s="3"/>
      <c r="DK10" s="3">
        <v>451.15999999999997</v>
      </c>
      <c r="DL10" s="3"/>
      <c r="DM10" s="3">
        <v>2400.2399999999998</v>
      </c>
      <c r="DN10" s="3"/>
      <c r="DO10" s="3"/>
      <c r="DP10" s="11"/>
      <c r="DQ10" s="1905">
        <f t="shared" ref="DQ10:DQ40" si="49">SUM(DE10:DP10)</f>
        <v>2851.3999999999996</v>
      </c>
      <c r="DR10" s="35"/>
      <c r="DS10" s="35"/>
      <c r="DT10" s="24"/>
      <c r="DU10" s="24"/>
      <c r="DV10" s="3"/>
      <c r="DW10" s="3"/>
      <c r="DX10" s="3"/>
      <c r="DY10" s="3"/>
      <c r="DZ10" s="3">
        <v>1864.7200000000003</v>
      </c>
      <c r="EA10" s="49"/>
      <c r="EB10" s="24">
        <v>1137.1799999999998</v>
      </c>
      <c r="EC10" s="32"/>
      <c r="ED10" s="28">
        <f t="shared" ref="ED10:ED40" si="50">SUM(DR10:EC10)</f>
        <v>3001.9</v>
      </c>
      <c r="EE10" s="24"/>
      <c r="EF10" s="35"/>
      <c r="EG10" s="3"/>
      <c r="EH10" s="24"/>
      <c r="EI10" s="24"/>
      <c r="EJ10" s="24"/>
      <c r="EK10" s="24"/>
      <c r="EL10" s="24"/>
      <c r="EM10" s="3">
        <v>2140</v>
      </c>
      <c r="EN10" s="3"/>
      <c r="EO10" s="3">
        <v>0</v>
      </c>
      <c r="EP10" s="32"/>
      <c r="EQ10" s="25">
        <f t="shared" ref="EQ10:EQ40" si="51">SUM(EE10:EO10)</f>
        <v>2140</v>
      </c>
      <c r="ER10" s="35"/>
      <c r="ES10" s="24"/>
      <c r="ET10" s="24"/>
      <c r="EU10" s="24"/>
      <c r="EV10" s="24"/>
      <c r="EW10" s="24"/>
      <c r="EX10" s="32">
        <f t="shared" ref="EX10:EX40" si="52">SUM(ER10:EW10)</f>
        <v>0</v>
      </c>
      <c r="EY10" s="2685"/>
      <c r="FA10" s="2">
        <f t="shared" ref="FA10:FA40" si="53">+FM10</f>
        <v>0</v>
      </c>
      <c r="FB10" s="3">
        <f t="shared" ref="FB10:FB40" si="54">+FT10</f>
        <v>0</v>
      </c>
      <c r="FC10" s="3">
        <f t="shared" ref="FC10:FC40" si="55">+GG10</f>
        <v>0</v>
      </c>
      <c r="FD10" s="11">
        <f t="shared" ref="FD10:FD40" si="56">SUM(FA10:FC10)</f>
        <v>0</v>
      </c>
      <c r="FE10" s="32"/>
      <c r="FF10" s="2674"/>
      <c r="FG10" s="8"/>
      <c r="FH10" s="3"/>
      <c r="FI10" s="3"/>
      <c r="FJ10" s="3"/>
      <c r="FK10" s="3"/>
      <c r="FL10" s="24"/>
      <c r="FM10" s="25">
        <f t="shared" ref="FM10:FM40" si="57">SUM(FG10:FL10)</f>
        <v>0</v>
      </c>
      <c r="FN10" s="35"/>
      <c r="FO10" s="24"/>
      <c r="FP10" s="24"/>
      <c r="FQ10" s="24"/>
      <c r="FR10" s="24"/>
      <c r="FS10" s="24"/>
      <c r="FT10" s="25">
        <f t="shared" ref="FT10:FT40" si="58">SUM(FN10:FS10)</f>
        <v>0</v>
      </c>
      <c r="FU10" s="35"/>
      <c r="FV10" s="35"/>
      <c r="FW10" s="24"/>
      <c r="FX10" s="24"/>
      <c r="FY10" s="24"/>
      <c r="FZ10" s="24"/>
      <c r="GA10" s="24"/>
      <c r="GB10" s="24"/>
      <c r="GC10" s="24"/>
      <c r="GD10" s="24"/>
      <c r="GE10" s="24"/>
      <c r="GF10" s="32"/>
      <c r="GG10" s="32">
        <f t="shared" ref="GG10:GG40" si="59">SUM(FU10:GE10)</f>
        <v>0</v>
      </c>
      <c r="GH10" s="2674"/>
      <c r="GJ10" s="2">
        <f>+HL10</f>
        <v>3363.5299999999997</v>
      </c>
      <c r="GK10" s="63">
        <f>+IP10</f>
        <v>5130.47</v>
      </c>
      <c r="GL10" s="24">
        <f>+JE10</f>
        <v>2270.9699999999998</v>
      </c>
      <c r="GM10" s="1926">
        <f t="shared" ref="GM10:GM40" si="60">SUM(GJ10:GL10)</f>
        <v>10764.97</v>
      </c>
      <c r="GN10" s="140"/>
      <c r="GO10" s="140"/>
      <c r="GP10" s="1130"/>
      <c r="GQ10" s="2667"/>
      <c r="GR10" s="1739">
        <v>4479.7</v>
      </c>
      <c r="GS10" s="1721">
        <v>0</v>
      </c>
      <c r="GT10" s="1721">
        <v>3097.0000000000005</v>
      </c>
      <c r="GU10" s="1721">
        <v>3188.2699999999995</v>
      </c>
      <c r="GV10" s="1722">
        <f t="shared" ref="GV10:GV40" si="61">SUM(GR10:GU10)</f>
        <v>10764.970000000001</v>
      </c>
      <c r="GW10" s="2667"/>
      <c r="GX10" s="35"/>
      <c r="GY10" s="35"/>
      <c r="GZ10" s="24"/>
      <c r="HA10" s="24"/>
      <c r="HB10" s="24"/>
      <c r="HC10" s="24"/>
      <c r="HD10" s="24"/>
      <c r="HE10" s="24"/>
      <c r="HF10" s="24">
        <v>1934.8</v>
      </c>
      <c r="HG10" s="24"/>
      <c r="HH10" s="24">
        <v>1428.73</v>
      </c>
      <c r="HI10" s="24"/>
      <c r="HJ10" s="24">
        <v>0</v>
      </c>
      <c r="HK10" s="24"/>
      <c r="HL10" s="25">
        <f t="shared" ref="HL10:HL42" si="62">SUM(GX10:HK10)</f>
        <v>3363.5299999999997</v>
      </c>
      <c r="HM10" s="35"/>
      <c r="HN10" s="24"/>
      <c r="HO10" s="24"/>
      <c r="HP10" s="24"/>
      <c r="HQ10" s="24"/>
      <c r="HR10" s="24"/>
      <c r="HS10" s="24" cm="1">
        <f t="array" ref="HS10">SUMPRODUCT(('Data Base hauling'!$C$2:$C$216="TCM-ROM SB1 BK05-ROM 4")*(ISNUMBER(SEARCH(TEXT('March TCM'!$B10,"00")&amp;"/03/2026",'Data Base hauling'!$E$2:$E$216)))*'Data Base hauling'!$N$2:$N$216)</f>
        <v>0</v>
      </c>
      <c r="HT10" s="24"/>
      <c r="HU10" s="24" cm="1">
        <f t="array" ref="HU10">SUMPRODUCT(('Data Base hauling'!$C$2:$C$216="TCM-ROM SB1 BK05-ROM 5")*(ISNUMBER(SEARCH(TEXT('March TCM'!$B10,"00")&amp;"/03/2026",'Data Base hauling'!$E$2:$E$216)))*'Data Base hauling'!$N$2:$N$216)</f>
        <v>0</v>
      </c>
      <c r="HV10" s="24"/>
      <c r="HW10" s="24"/>
      <c r="HX10" s="24"/>
      <c r="HY10" s="24"/>
      <c r="HZ10" s="24"/>
      <c r="IA10" s="32">
        <f t="shared" ref="IA10:IA42" si="63">SUM(HM10:HZ10)</f>
        <v>0</v>
      </c>
      <c r="IB10" s="48"/>
      <c r="IC10" s="1129"/>
      <c r="ID10" s="49"/>
      <c r="IE10" s="49"/>
      <c r="IF10" s="49"/>
      <c r="IG10" s="49"/>
      <c r="IH10" s="49">
        <v>1993.39</v>
      </c>
      <c r="II10" s="49"/>
      <c r="IJ10" s="1926">
        <v>3137.08</v>
      </c>
      <c r="IK10" s="49"/>
      <c r="IL10" s="49">
        <v>0</v>
      </c>
      <c r="IM10" s="49"/>
      <c r="IN10" s="49"/>
      <c r="IO10" s="49">
        <v>0</v>
      </c>
      <c r="IP10" s="61">
        <f t="shared" ref="IP10:IP40" si="64">SUM(IB10:IO10)</f>
        <v>5130.47</v>
      </c>
      <c r="IQ10" s="35"/>
      <c r="IR10" s="35"/>
      <c r="IS10" s="24"/>
      <c r="IT10" s="24"/>
      <c r="IU10" s="49"/>
      <c r="IV10" s="24"/>
      <c r="IW10" s="24">
        <v>0</v>
      </c>
      <c r="IX10" s="24"/>
      <c r="IY10" s="24">
        <v>2186.87</v>
      </c>
      <c r="IZ10" s="24"/>
      <c r="JA10" s="24">
        <v>84.1</v>
      </c>
      <c r="JB10" s="24"/>
      <c r="JC10" s="24"/>
      <c r="JD10" s="24"/>
      <c r="JE10" s="32">
        <f>SUM(IQ10:JD10)</f>
        <v>2270.9699999999998</v>
      </c>
      <c r="JF10" s="2667"/>
      <c r="JH10" s="2014">
        <v>6167.8199999999988</v>
      </c>
      <c r="JI10" s="2015">
        <v>4597.1500000000015</v>
      </c>
      <c r="JJ10" s="49"/>
      <c r="JK10" s="1736">
        <f t="shared" ref="JK10:JK40" si="65">+JH10+JJ10+JI10</f>
        <v>10764.970000000001</v>
      </c>
      <c r="JL10" s="32"/>
      <c r="JM10" s="2669"/>
      <c r="JN10" s="66">
        <v>0</v>
      </c>
      <c r="JO10" s="67">
        <v>0</v>
      </c>
      <c r="JP10" s="67">
        <v>0</v>
      </c>
      <c r="JQ10" s="67">
        <v>0</v>
      </c>
      <c r="JR10" s="67">
        <v>1</v>
      </c>
      <c r="JS10" s="67">
        <v>0</v>
      </c>
      <c r="JT10" s="67">
        <v>0</v>
      </c>
      <c r="JU10" s="1921">
        <v>0</v>
      </c>
      <c r="JV10" s="66">
        <v>0</v>
      </c>
      <c r="JW10" s="67">
        <v>0</v>
      </c>
      <c r="JX10" s="67">
        <v>0</v>
      </c>
      <c r="JY10" s="67">
        <v>0.43361430451475358</v>
      </c>
      <c r="JZ10" s="67">
        <v>0.23730572202342751</v>
      </c>
      <c r="KA10" s="67">
        <v>0.32907997346181861</v>
      </c>
      <c r="KB10" s="67">
        <v>0</v>
      </c>
      <c r="KC10" s="68">
        <v>0</v>
      </c>
      <c r="KD10" s="66"/>
      <c r="KE10" s="67"/>
      <c r="KF10" s="67"/>
      <c r="KG10" s="67"/>
      <c r="KH10" s="67"/>
      <c r="KI10" s="67"/>
      <c r="KJ10" s="67"/>
      <c r="KK10" s="67"/>
      <c r="KL10" s="32"/>
      <c r="KM10" s="2669"/>
      <c r="KN10" s="1739">
        <v>7196.7055729081048</v>
      </c>
      <c r="KO10" s="1721">
        <v>0.67136445832648362</v>
      </c>
      <c r="KP10" s="1721">
        <v>3.0651405556468849</v>
      </c>
      <c r="KQ10" s="1721">
        <v>5.8978365937859607</v>
      </c>
      <c r="KR10" s="1722">
        <v>10.010563704750945</v>
      </c>
      <c r="KS10" s="1958">
        <v>6842</v>
      </c>
      <c r="KT10" s="1961">
        <v>1.9900000000000002</v>
      </c>
      <c r="KU10" s="1961">
        <v>6.63</v>
      </c>
      <c r="KV10" s="1961">
        <v>5.98</v>
      </c>
      <c r="KW10" s="1962">
        <v>10.831432</v>
      </c>
      <c r="KX10" s="35"/>
      <c r="KY10" s="49"/>
      <c r="KZ10" s="49"/>
      <c r="LA10" s="49"/>
      <c r="LB10" s="49"/>
      <c r="LC10" s="32"/>
      <c r="LD10" s="2669"/>
      <c r="LF10" s="998">
        <f t="shared" ref="LF10:LH40" si="66">SUM(LQ10,LW10,MI10,MO10+MC10)</f>
        <v>0</v>
      </c>
      <c r="LG10" s="27">
        <f t="shared" si="66"/>
        <v>0</v>
      </c>
      <c r="LH10" s="27">
        <f t="shared" si="66"/>
        <v>0</v>
      </c>
      <c r="LI10" s="28">
        <f t="shared" ref="LI10:LI40" si="67">SUM(LF10:LH10)</f>
        <v>0</v>
      </c>
      <c r="LJ10" s="35"/>
      <c r="LK10" s="24"/>
      <c r="LL10" s="24"/>
      <c r="LM10" s="32"/>
      <c r="LN10" s="1030">
        <v>6.23</v>
      </c>
      <c r="LO10" s="1128" t="s">
        <v>804</v>
      </c>
      <c r="LP10" s="2688"/>
      <c r="LQ10" s="35"/>
      <c r="LR10" s="35"/>
      <c r="LS10" s="24"/>
      <c r="LT10" s="24"/>
      <c r="LU10" s="24"/>
      <c r="LV10" s="1117">
        <f t="shared" ref="LV10:LV40" si="68">SUM(LQ10:LU10)</f>
        <v>0</v>
      </c>
      <c r="LW10" s="35"/>
      <c r="LX10" s="35"/>
      <c r="LY10" s="24"/>
      <c r="LZ10" s="24"/>
      <c r="MA10" s="417"/>
      <c r="MB10" s="28">
        <f t="shared" ref="MB10:MB40" si="69">SUM(LW10:MA10)</f>
        <v>0</v>
      </c>
      <c r="MC10" s="23"/>
      <c r="MD10" s="35"/>
      <c r="ME10" s="24"/>
      <c r="MF10" s="24"/>
      <c r="MG10" s="24"/>
      <c r="MH10" s="25"/>
      <c r="MI10" s="35"/>
      <c r="MJ10" s="35"/>
      <c r="MK10" s="24"/>
      <c r="ML10" s="24"/>
      <c r="MM10" s="24"/>
      <c r="MN10" s="25"/>
      <c r="MO10" s="35"/>
      <c r="MP10" s="35"/>
      <c r="MQ10" s="24"/>
      <c r="MR10" s="24"/>
      <c r="MS10" s="24"/>
      <c r="MT10" s="32">
        <f t="shared" ref="MT10:MT40" si="70">SUM(MO10:MS10)</f>
        <v>0</v>
      </c>
      <c r="MU10" s="2688"/>
      <c r="MW10" s="23">
        <f t="shared" ref="MW10:MW40" si="71">+NE10</f>
        <v>99921.146645013388</v>
      </c>
      <c r="MX10" s="24">
        <f t="shared" ref="MX10:MX40" si="72">+SUM(NR10,OE10,OR10,OY10,PF10)</f>
        <v>59490.452248823516</v>
      </c>
      <c r="MY10" s="24">
        <f t="shared" ref="MY10:MY40" si="73">+PN10</f>
        <v>19695.395201279462</v>
      </c>
      <c r="MZ10" s="333">
        <f t="shared" ref="MZ10:MZ40" si="74">+SUM(QE10,QF10,QG10)</f>
        <v>436065.34855851001</v>
      </c>
      <c r="NA10" s="2621"/>
      <c r="NB10" s="23">
        <f t="shared" ref="NB10:NB40" si="75">+NB9+JH10-LF10-LH10</f>
        <v>77155.832137467849</v>
      </c>
      <c r="NC10" s="1655">
        <f t="shared" ref="NC10:NC40" si="76">+NC9+JI10-LG10</f>
        <v>22765.31450754554</v>
      </c>
      <c r="ND10" s="60">
        <f t="shared" ref="ND10:ND40" si="77">+ND9+JJ10</f>
        <v>0</v>
      </c>
      <c r="NE10" s="274">
        <f t="shared" si="4"/>
        <v>99921.146645013388</v>
      </c>
      <c r="NF10" s="23">
        <f t="shared" ref="NF10:NO25" si="78">+NF9+EE10-GX10</f>
        <v>0</v>
      </c>
      <c r="NG10" s="23">
        <f t="shared" si="78"/>
        <v>0</v>
      </c>
      <c r="NH10" s="24">
        <f t="shared" si="78"/>
        <v>0</v>
      </c>
      <c r="NI10" s="24">
        <f t="shared" si="78"/>
        <v>0</v>
      </c>
      <c r="NJ10" s="24">
        <f t="shared" si="78"/>
        <v>0</v>
      </c>
      <c r="NK10" s="24">
        <f t="shared" si="78"/>
        <v>0</v>
      </c>
      <c r="NL10" s="24">
        <f>+NL9+EK10-HD10</f>
        <v>0</v>
      </c>
      <c r="NM10" s="24">
        <f t="shared" si="78"/>
        <v>0</v>
      </c>
      <c r="NN10" s="24">
        <f>+NN9+EM10-HF10</f>
        <v>4690.8005665631463</v>
      </c>
      <c r="NO10" s="24">
        <f t="shared" si="78"/>
        <v>26196.69549600617</v>
      </c>
      <c r="NP10" s="24">
        <f>+NP9+EE10-GX10</f>
        <v>8756.5482322711578</v>
      </c>
      <c r="NQ10" s="24">
        <f>+NQ9+EO10-HH10</f>
        <v>4099.324118033408</v>
      </c>
      <c r="NR10" s="24">
        <f t="shared" si="0"/>
        <v>43743.368412873882</v>
      </c>
      <c r="NS10" s="27">
        <f t="shared" ref="NS10:NS40" si="79">+NS9+DE10-IB10</f>
        <v>0</v>
      </c>
      <c r="NT10" s="280">
        <f t="shared" ref="NT10:NT40" si="80">+NT9+DF10-IC10</f>
        <v>0</v>
      </c>
      <c r="NU10" s="1127">
        <f t="shared" ref="NU10:NU40" si="81">+NU9+DG10-ID10</f>
        <v>0</v>
      </c>
      <c r="NV10" s="280">
        <f t="shared" ref="NV10:NV40" si="82">+NV9+DH10-IE10</f>
        <v>0</v>
      </c>
      <c r="NW10" s="27">
        <f t="shared" ref="NW10:NW40" si="83">+NW9+DI10-IF10</f>
        <v>0</v>
      </c>
      <c r="NX10" s="27">
        <f t="shared" ref="NX10:NX40" si="84">+NX9+DJ10-IG10</f>
        <v>0</v>
      </c>
      <c r="NY10" s="27">
        <f t="shared" ref="NY10:NY40" si="85">+NY9+DK10-IH10</f>
        <v>663.83360229291179</v>
      </c>
      <c r="NZ10" s="27">
        <f t="shared" ref="NZ10:NZ40" si="86">+NZ9+DL10-II10</f>
        <v>0</v>
      </c>
      <c r="OA10" s="27">
        <f t="shared" ref="OA10:OA40" si="87">+OA9+DM10-IJ10</f>
        <v>2646.7680667828399</v>
      </c>
      <c r="OB10" s="280"/>
      <c r="OC10" s="24">
        <f t="shared" ref="OC10:OC40" si="88">+OC9+DO10-IL10</f>
        <v>349.54339982995594</v>
      </c>
      <c r="OD10" s="24">
        <f t="shared" ref="OD10:OD40" si="89">+OD9+DP10-IM10</f>
        <v>0</v>
      </c>
      <c r="OE10" s="24">
        <f t="shared" si="1"/>
        <v>3660.1450689057074</v>
      </c>
      <c r="OF10" s="24">
        <f>+OF9+DR10+FU10-IQ10</f>
        <v>0</v>
      </c>
      <c r="OG10" s="24">
        <f t="shared" ref="OF10:OQ14" si="90">+OG9+DS10+FV10-IR10</f>
        <v>0</v>
      </c>
      <c r="OH10" s="24">
        <f t="shared" si="90"/>
        <v>0</v>
      </c>
      <c r="OI10" s="24">
        <f t="shared" si="90"/>
        <v>0</v>
      </c>
      <c r="OJ10" s="27">
        <f t="shared" si="90"/>
        <v>0</v>
      </c>
      <c r="OK10" s="24">
        <f t="shared" si="90"/>
        <v>0</v>
      </c>
      <c r="OL10" s="24">
        <f t="shared" si="90"/>
        <v>0</v>
      </c>
      <c r="OM10" s="24">
        <f t="shared" si="90"/>
        <v>0</v>
      </c>
      <c r="ON10" s="24">
        <f t="shared" si="90"/>
        <v>8356.8735991110116</v>
      </c>
      <c r="OO10" s="24">
        <f t="shared" si="90"/>
        <v>0</v>
      </c>
      <c r="OP10" s="24">
        <f t="shared" si="90"/>
        <v>3730.0651679329139</v>
      </c>
      <c r="OQ10" s="24">
        <f t="shared" si="90"/>
        <v>0</v>
      </c>
      <c r="OR10" s="25">
        <f t="shared" si="2"/>
        <v>12086.938767043925</v>
      </c>
      <c r="OS10" s="35"/>
      <c r="OT10" s="24"/>
      <c r="OU10" s="24"/>
      <c r="OV10" s="24"/>
      <c r="OW10" s="24"/>
      <c r="OX10" s="24"/>
      <c r="OY10" s="25">
        <f t="shared" ref="OY10:OY40" si="91">SUM(OS10:OX10)</f>
        <v>0</v>
      </c>
      <c r="OZ10" s="35">
        <f t="shared" ref="OZ10:OZ40" si="92">+OZ9+ER10-FU10</f>
        <v>0</v>
      </c>
      <c r="PA10" s="24">
        <f t="shared" ref="PA10:PA40" si="93">+PA9+ES10-FW10</f>
        <v>0</v>
      </c>
      <c r="PB10" s="24">
        <f t="shared" ref="PB10:PB40" si="94">+PB9+ET10-FY10</f>
        <v>0</v>
      </c>
      <c r="PC10" s="24">
        <f t="shared" ref="PC10:PC40" si="95">+PC9+EU10-GA10</f>
        <v>0</v>
      </c>
      <c r="PD10" s="24">
        <f t="shared" ref="PD10:PD40" si="96">+PD9+EV10-GC10</f>
        <v>0</v>
      </c>
      <c r="PE10" s="24">
        <f t="shared" ref="PE10:PE40" si="97">+PE9+EW10-GE10</f>
        <v>0</v>
      </c>
      <c r="PF10" s="32">
        <f t="shared" si="3"/>
        <v>0</v>
      </c>
      <c r="PG10" s="2621"/>
      <c r="PI10" s="1907">
        <v>0</v>
      </c>
      <c r="PJ10" s="3">
        <v>0</v>
      </c>
      <c r="PK10" s="3">
        <v>0</v>
      </c>
      <c r="PL10" s="3">
        <f t="shared" ref="PL10:PL40" si="98">HJ10</f>
        <v>0</v>
      </c>
      <c r="PM10" s="3">
        <f t="shared" ref="PM10:PM40" si="99">PM9+PI10-PJ10</f>
        <v>499.35538769389285</v>
      </c>
      <c r="PN10" s="11">
        <f t="shared" ref="PN10:PN40" si="100">PN9+PK10-PL10</f>
        <v>19695.395201279462</v>
      </c>
      <c r="PO10" s="14"/>
      <c r="PP10" s="2615"/>
      <c r="PR10" s="2"/>
      <c r="PS10" s="8"/>
      <c r="PT10" s="8"/>
      <c r="PU10" s="8"/>
      <c r="PV10" s="8">
        <v>0</v>
      </c>
      <c r="PW10" s="8"/>
      <c r="PX10" s="8">
        <f t="shared" ref="PX10:PX40" si="101">SUM(PU10:PW10)</f>
        <v>0</v>
      </c>
      <c r="PY10" s="3">
        <f t="shared" ref="PY10:PY40" si="102">+PI10</f>
        <v>0</v>
      </c>
      <c r="PZ10" s="3"/>
      <c r="QA10" s="3"/>
      <c r="QB10" s="3"/>
      <c r="QC10" s="3"/>
      <c r="QD10" s="3"/>
      <c r="QE10" s="11">
        <f t="shared" ref="QE10:QE40" si="103">+QE9+PR10-HK10</f>
        <v>29562.488999999998</v>
      </c>
      <c r="QF10" s="420">
        <f t="shared" ref="QF10:QF40" si="104">+QF9+PU10+PV10-IO10-PY10</f>
        <v>406502.85955851001</v>
      </c>
      <c r="QG10" s="1106">
        <f t="shared" ref="QG10:QG40" si="105">+QG9+PX10-QD10</f>
        <v>0</v>
      </c>
      <c r="QH10" s="484">
        <f t="shared" ref="QH10:QH40" si="106">QH9-QC10</f>
        <v>5505.3678056099998</v>
      </c>
      <c r="QI10" s="11"/>
      <c r="QJ10" s="2615"/>
      <c r="QL10" s="139">
        <f t="shared" ref="QL10:QL40" si="107">IF(JH10=0,"",(IFERROR(IF(1-ABS(1-(JN10/JN$43))&lt;0,0,1-ABS(1-(JN10/JN$43))),0)*JN$43)+(IFERROR(IF(1-ABS(1-(JO10/JO$43))&lt;0,0,1-ABS(1-(JO10/JO$43))),0)*JO$43)+(IFERROR(IF(1-ABS(1-(JP10/JP$43))&lt;0,0,1-ABS(1-(JP10/JP$43))),0)*JP$43)+(IFERROR(IF(1-ABS(1-(JQ10/JQ$43))&lt;0,0,1-ABS(1-(JQ10/JQ$43))),0)*JQ$43)+(IFERROR(IF(1-ABS(1-(JR10/JR$43))&lt;0,0,1-ABS(1-(JR10/JR$43))),0)*JR$43)+(IFERROR(IF(1-ABS(1-(JS10/JS$43))&lt;0,0,1-ABS(1-(JS10/JS$43))),0)*JS$43)+(IFERROR(IF(1-ABS(1-(JT10/JT$43))&lt;0,0,1-ABS(1-(JT10/JT$43))),0)*JT$43)+(IFERROR(IF(1-ABS(1-(JU10/JU$43))&lt;0,0,1-ABS(1-(JU10/JU$43))),0)*JU$43))</f>
        <v>0</v>
      </c>
      <c r="QM10" s="139" t="str">
        <f t="shared" ref="QM10:QM40" si="108">IF(JJ10=0,"",(IFERROR(IF(1-ABS(1-(KD10/KD$43))&lt;0,0,1-ABS(1-(KD10/KD$43))),0)*KD$43)+(IFERROR(IF(1-ABS(1-(KE10/KE$43))&lt;0,0,1-ABS(1-(KE10/KE$43))),0)*KE$43)+(IFERROR(IF(1-ABS(1-(KF10/KF$43))&lt;0,0,1-ABS(1-(KF10/KF$43))),0)*KF$43)+(IFERROR(IF(1-ABS(1-(KG10/KG$43))&lt;0,0,1-ABS(1-(KG10/KG$43))),0)*KG$43)+(IFERROR(IF(1-ABS(1-(KH10/KH$43))&lt;0,0,1-ABS(1-(KH10/KH$43))),0)*KH$43)+(IFERROR(IF(1-ABS(1-(KI10/KI$43))&lt;0,0,1-ABS(1-(KI10/KI$43))),0)*KI$43)+(IFERROR(IF(1-ABS(1-(KJ10/KJ$43))&lt;0,0,1-ABS(1-(KJ10/KJ$43))),0)*KJ$43)+(IFERROR(IF(1-ABS(1-(KK10/KK$43))&lt;0,0,1-ABS(1-(KK10/KK$43))),0)*KK$43))</f>
        <v/>
      </c>
      <c r="QO10" s="139">
        <f t="shared" ref="QO10:QO40" si="109">IF(JK10&gt;0,SUMPRODUCT(QR10:QW10,$JN$43:$JS$43),"")</f>
        <v>0</v>
      </c>
      <c r="QP10" s="139">
        <f t="shared" ref="QP10:QP40" si="110">IF(JK10&gt;0,SUMPRODUCT(QY10:RD10,$KD$43:$KI$43),"")</f>
        <v>0</v>
      </c>
      <c r="QR10" s="1">
        <f t="shared" ref="QR10:QR40" si="111">IF(NS$43=0,0,IF(SUM(NS10,OF10)-NS$8-OF$8&gt;NS$43,1,(SUM(NS10,OF10)-NS$8-OF$8)/NS$43))</f>
        <v>0</v>
      </c>
      <c r="QS10" s="1">
        <f t="shared" ref="QS10:QS40" si="112">IF(NU$43=0,0,IF(SUM(NU10,OH10)-NU$8-OH$8&gt;NU$43,1,(SUM(NU10,OH10)-NU$8-OH$8)/NU$43))</f>
        <v>0</v>
      </c>
      <c r="QT10" s="1">
        <f t="shared" ref="QT10:QT40" si="113">IF(NW$43=0,0,IF(SUM(NW10,OJ10)-NW$8-OJ$8&gt;NW$43,1,(SUM(NW10,OJ10)-NW$8-OJ$8)/NW$43))</f>
        <v>0</v>
      </c>
      <c r="QU10" s="1">
        <f t="shared" ref="QU10:QU40" si="114">IF(NY$43=0,0,IF(SUM(NY10,OL10)-NY$8-OL$8&gt;NY$43,1,(SUM(NY10,OL10)-NY$8-OL$8)/NY$43))</f>
        <v>0</v>
      </c>
      <c r="QV10" s="1">
        <f t="shared" ref="QV10:QV40" si="115">IF(OA$43=0,0,IF(SUM(OA10,ON10)-OA$8-ON$8&gt;OA$43,1,(SUM(OA10,ON10)-OA$8-ON$8)/OA$43))</f>
        <v>0</v>
      </c>
      <c r="QW10" s="1">
        <f t="shared" ref="QW10:QW40" si="116">IF(OC$43=0,0,IF(SUM(OC10,OP10)-OC$8-OP$8&gt;OC$43,1,(SUM(OC10,OP10)-OC$8-OP$8)/OC$43))</f>
        <v>0</v>
      </c>
      <c r="QY10" s="1">
        <f t="shared" ref="QY10:QY40" si="117">+IF(NS$43=0,0,IF(SUM(NS10,OF10)-NS$8-OF$8&gt;NS$43,1,(SUM(NS10,OF10)-NS$8-OF$8)/NS$43))</f>
        <v>0</v>
      </c>
      <c r="QZ10" s="1">
        <f t="shared" ref="QZ10:QZ40" si="118">+IF(NU$43=0,0,IF(SUM(NU10,OH10)-NU$8-OH$8&gt;NU$43,1,(SUM(NU10,OH10)-NU$8-OH$8)/NU$43))</f>
        <v>0</v>
      </c>
      <c r="RA10" s="1">
        <f t="shared" ref="RA10:RA40" si="119">+IF(NW$43=0,0,IF(SUM(NW10,OJ10)-NW$8-OJ$8&gt;NW$43,1,(SUM(NW10,OJ10)-NW$8-OJ$8)/NW$43))</f>
        <v>0</v>
      </c>
      <c r="RB10" s="1">
        <f t="shared" ref="RB10:RB40" si="120">+IF(NY$43=0,0,IF(SUM(NY10,OL10)-NY$8-OL$8&gt;NY$43,1,(SUM(NY10,OL10)-NY$8-OL$8)/NY$43))</f>
        <v>0</v>
      </c>
      <c r="RC10" s="1">
        <f t="shared" ref="RC10:RC40" si="121">+IF(OA$43=0,0,IF(SUM(OA10,ON10)-OA$8-ON$8&gt;OA$43,1,(SUM(OA10,ON10)-OA$8-ON$8)/OA$43))</f>
        <v>0</v>
      </c>
      <c r="RD10" s="1">
        <f t="shared" ref="RD10:RD40" si="122">+IF(OC$43=0,0,IF(SUM(OC10,OP10)-OC$8-OP$8&gt;OC$43,1,(SUM(OC10,OP10)-OC$8-OP$8)/OC$43))</f>
        <v>0</v>
      </c>
      <c r="RG10" s="1">
        <v>1</v>
      </c>
      <c r="RH10" s="1">
        <f t="shared" ref="RH10:RJ17" si="123">+RH9+JH10-LF10</f>
        <v>51591.981751083164</v>
      </c>
      <c r="RI10" s="1">
        <f t="shared" si="123"/>
        <v>8522.7335498622815</v>
      </c>
      <c r="RJ10" s="1">
        <f t="shared" si="123"/>
        <v>9178.5689913333827</v>
      </c>
      <c r="RK10" s="89">
        <f t="shared" si="5"/>
        <v>69293.284292278826</v>
      </c>
      <c r="RL10" s="1033">
        <v>1</v>
      </c>
      <c r="RM10" s="1098">
        <f t="shared" ref="RM10:RM40" si="124">BP10</f>
        <v>0</v>
      </c>
      <c r="RN10" s="1098">
        <f t="shared" ref="RN10:RO40" si="125">PV10</f>
        <v>0</v>
      </c>
      <c r="RO10" s="1097">
        <f t="shared" si="125"/>
        <v>0</v>
      </c>
      <c r="RP10" s="1097">
        <f t="shared" ref="RP10:RP40" si="126">BG10+AX10+BJ10+BM10+BY10+BD10-PW10</f>
        <v>5853.3</v>
      </c>
      <c r="RQ10" s="1094"/>
      <c r="RR10" s="1094" t="s">
        <v>808</v>
      </c>
      <c r="RU10" s="421">
        <v>1</v>
      </c>
      <c r="RV10" s="1095">
        <f t="shared" ref="RV10:RV40" si="127">GV10</f>
        <v>10764.970000000001</v>
      </c>
      <c r="RW10" s="1094" t="s">
        <v>809</v>
      </c>
      <c r="RY10" s="1090"/>
      <c r="RZ10" s="1090">
        <f t="shared" ref="RZ10:RZ40" si="128">(DQ10+ED10)-(RM10+RP10)</f>
        <v>0</v>
      </c>
      <c r="SA10" s="1090"/>
      <c r="SB10" s="1090">
        <f t="shared" ref="SB10:SB40" si="129">JK10-RV10</f>
        <v>0</v>
      </c>
      <c r="SD10" s="1">
        <v>1</v>
      </c>
      <c r="SE10" s="1">
        <f t="shared" ref="SE10:SE40" si="130">PL10</f>
        <v>0</v>
      </c>
    </row>
    <row r="11" spans="1:500" s="1" customFormat="1">
      <c r="B11" s="471">
        <v>2</v>
      </c>
      <c r="C11" s="4">
        <f t="shared" si="6"/>
        <v>177968.6</v>
      </c>
      <c r="D11" s="1590">
        <f t="shared" ref="D11:D39" si="131">P11+T11+X11+AB11</f>
        <v>12831.84</v>
      </c>
      <c r="E11" s="1895">
        <f t="shared" si="7"/>
        <v>13.869296998715695</v>
      </c>
      <c r="F11" s="870"/>
      <c r="G11" s="870"/>
      <c r="H11" s="52">
        <v>2</v>
      </c>
      <c r="I11" s="61">
        <v>1</v>
      </c>
      <c r="J11" s="52"/>
      <c r="K11" s="54"/>
      <c r="L11" s="52">
        <v>1</v>
      </c>
      <c r="M11" s="61">
        <v>1.08</v>
      </c>
      <c r="N11" s="2629"/>
      <c r="O11" s="4">
        <f t="shared" ref="O11:O40" si="132">+SUM(AQ11,BC11,AW11)</f>
        <v>104554</v>
      </c>
      <c r="P11" s="1225">
        <f t="shared" si="8"/>
        <v>7312.3000000000011</v>
      </c>
      <c r="Q11" s="1951">
        <f t="shared" si="9"/>
        <v>14.298373972621471</v>
      </c>
      <c r="R11" s="33"/>
      <c r="S11" s="26">
        <f t="shared" si="10"/>
        <v>41364.6</v>
      </c>
      <c r="T11" s="27">
        <f t="shared" si="11"/>
        <v>2559.5399999999995</v>
      </c>
      <c r="U11" s="1909">
        <f t="shared" si="12"/>
        <v>16.16095079584613</v>
      </c>
      <c r="V11" s="28"/>
      <c r="W11" s="1742">
        <f t="shared" si="13"/>
        <v>32050</v>
      </c>
      <c r="X11" s="5">
        <f t="shared" si="13"/>
        <v>2960</v>
      </c>
      <c r="Y11" s="1738">
        <f t="shared" si="14"/>
        <v>10.827702702702704</v>
      </c>
      <c r="Z11" s="33"/>
      <c r="AA11" s="26">
        <f t="shared" si="15"/>
        <v>0</v>
      </c>
      <c r="AB11" s="27">
        <f t="shared" si="16"/>
        <v>0</v>
      </c>
      <c r="AC11" s="53">
        <f t="shared" si="17"/>
        <v>0</v>
      </c>
      <c r="AD11" s="28"/>
      <c r="AE11" s="36"/>
      <c r="AF11" s="36"/>
      <c r="AG11" s="53">
        <f t="shared" si="18"/>
        <v>0</v>
      </c>
      <c r="AH11" s="28"/>
      <c r="AI11" s="26"/>
      <c r="AJ11" s="27"/>
      <c r="AK11" s="53">
        <f t="shared" si="19"/>
        <v>0</v>
      </c>
      <c r="AL11" s="28"/>
      <c r="AM11" s="2629"/>
      <c r="AN11" s="9"/>
      <c r="AO11" s="5"/>
      <c r="AP11" s="61">
        <f t="shared" si="20"/>
        <v>0</v>
      </c>
      <c r="AQ11" s="36"/>
      <c r="AR11" s="53"/>
      <c r="AS11" s="61">
        <f t="shared" si="21"/>
        <v>0</v>
      </c>
      <c r="AT11" s="36"/>
      <c r="AU11" s="27"/>
      <c r="AV11" s="61">
        <f t="shared" si="22"/>
        <v>0</v>
      </c>
      <c r="AW11" s="1999">
        <v>64024</v>
      </c>
      <c r="AX11" s="27">
        <v>4933.18</v>
      </c>
      <c r="AY11" s="1735">
        <f t="shared" si="23"/>
        <v>12.978241215605349</v>
      </c>
      <c r="AZ11" s="36"/>
      <c r="BA11" s="27"/>
      <c r="BB11" s="61">
        <f t="shared" si="24"/>
        <v>0</v>
      </c>
      <c r="BC11" s="1740">
        <v>40530</v>
      </c>
      <c r="BD11" s="1736">
        <v>2379.1200000000003</v>
      </c>
      <c r="BE11" s="1735">
        <f t="shared" si="25"/>
        <v>17.035710682941588</v>
      </c>
      <c r="BF11" s="36"/>
      <c r="BG11" s="53"/>
      <c r="BH11" s="61">
        <f t="shared" si="26"/>
        <v>0</v>
      </c>
      <c r="BI11" s="36">
        <v>0</v>
      </c>
      <c r="BJ11" s="53">
        <v>0</v>
      </c>
      <c r="BK11" s="61">
        <f t="shared" si="27"/>
        <v>0</v>
      </c>
      <c r="BL11" s="1742">
        <v>41364.6</v>
      </c>
      <c r="BM11" s="1909">
        <v>2559.5399999999995</v>
      </c>
      <c r="BN11" s="1735">
        <f t="shared" si="28"/>
        <v>16.16095079584613</v>
      </c>
      <c r="BO11" s="1126"/>
      <c r="BP11" s="53"/>
      <c r="BQ11" s="61">
        <f t="shared" si="29"/>
        <v>0</v>
      </c>
      <c r="BR11" s="36"/>
      <c r="BS11" s="53"/>
      <c r="BT11" s="61">
        <f t="shared" si="30"/>
        <v>0</v>
      </c>
      <c r="BU11" s="36">
        <v>32050</v>
      </c>
      <c r="BV11" s="27">
        <v>2960</v>
      </c>
      <c r="BW11" s="1906">
        <f t="shared" si="31"/>
        <v>10.827702702702704</v>
      </c>
      <c r="BX11" s="26"/>
      <c r="BY11" s="419"/>
      <c r="BZ11" s="61">
        <f t="shared" si="32"/>
        <v>0</v>
      </c>
      <c r="CA11" s="36"/>
      <c r="CB11" s="5"/>
      <c r="CC11" s="482">
        <f t="shared" si="33"/>
        <v>0</v>
      </c>
      <c r="CD11" s="4"/>
      <c r="CE11" s="27"/>
      <c r="CF11" s="28">
        <f t="shared" si="34"/>
        <v>0</v>
      </c>
      <c r="CG11" s="149"/>
      <c r="CH11" s="4"/>
      <c r="CI11" s="5"/>
      <c r="CJ11" s="5"/>
      <c r="CK11" s="5">
        <v>9575</v>
      </c>
      <c r="CL11" s="5"/>
      <c r="CM11" s="5">
        <f t="shared" si="35"/>
        <v>9575</v>
      </c>
      <c r="CN11" s="33"/>
      <c r="CO11" s="366"/>
      <c r="CQ11" s="4">
        <f t="shared" si="36"/>
        <v>0</v>
      </c>
      <c r="CR11" s="9">
        <f t="shared" si="37"/>
        <v>0</v>
      </c>
      <c r="CS11" s="5">
        <f t="shared" si="38"/>
        <v>0</v>
      </c>
      <c r="CT11" s="5">
        <f t="shared" si="39"/>
        <v>0</v>
      </c>
      <c r="CU11" s="5">
        <f t="shared" si="40"/>
        <v>0</v>
      </c>
      <c r="CV11" s="12">
        <f t="shared" si="41"/>
        <v>0</v>
      </c>
      <c r="CW11" s="486">
        <f t="shared" si="42"/>
        <v>1796.8200000000002</v>
      </c>
      <c r="CX11" s="9">
        <f t="shared" si="43"/>
        <v>0</v>
      </c>
      <c r="CY11" s="5">
        <f t="shared" si="44"/>
        <v>10510.84</v>
      </c>
      <c r="CZ11" s="12">
        <f t="shared" si="45"/>
        <v>0</v>
      </c>
      <c r="DA11" s="486">
        <f t="shared" si="46"/>
        <v>166.3</v>
      </c>
      <c r="DB11" s="486">
        <f t="shared" si="47"/>
        <v>0</v>
      </c>
      <c r="DC11" s="310">
        <f t="shared" si="48"/>
        <v>12831.839999999998</v>
      </c>
      <c r="DD11" s="2695"/>
      <c r="DE11" s="8"/>
      <c r="DF11" s="9"/>
      <c r="DG11" s="5"/>
      <c r="DH11" s="5"/>
      <c r="DI11" s="5"/>
      <c r="DJ11" s="5"/>
      <c r="DK11" s="5">
        <v>1796.8200000000002</v>
      </c>
      <c r="DL11" s="5"/>
      <c r="DM11" s="5">
        <v>2778.48</v>
      </c>
      <c r="DN11" s="5"/>
      <c r="DO11" s="5"/>
      <c r="DP11" s="12"/>
      <c r="DQ11" s="1906">
        <f t="shared" si="49"/>
        <v>4575.3</v>
      </c>
      <c r="DR11" s="36"/>
      <c r="DS11" s="36"/>
      <c r="DT11" s="27"/>
      <c r="DU11" s="27"/>
      <c r="DV11" s="5"/>
      <c r="DW11" s="5"/>
      <c r="DX11" s="64"/>
      <c r="DY11" s="5"/>
      <c r="DZ11" s="5">
        <v>4772.3600000000006</v>
      </c>
      <c r="EA11" s="53"/>
      <c r="EB11" s="27">
        <v>166.3</v>
      </c>
      <c r="EC11" s="33"/>
      <c r="ED11" s="28">
        <f t="shared" si="50"/>
        <v>4938.6600000000008</v>
      </c>
      <c r="EE11" s="9"/>
      <c r="EF11" s="9"/>
      <c r="EG11" s="5"/>
      <c r="EH11" s="5"/>
      <c r="EI11" s="27"/>
      <c r="EJ11" s="27"/>
      <c r="EK11" s="27"/>
      <c r="EL11" s="27"/>
      <c r="EM11" s="5">
        <v>2960</v>
      </c>
      <c r="EN11" s="5"/>
      <c r="EO11" s="5">
        <v>0</v>
      </c>
      <c r="EP11" s="33"/>
      <c r="EQ11" s="28">
        <f t="shared" si="51"/>
        <v>2960</v>
      </c>
      <c r="ER11" s="36"/>
      <c r="ES11" s="27"/>
      <c r="ET11" s="27"/>
      <c r="EU11" s="27"/>
      <c r="EV11" s="27"/>
      <c r="EW11" s="27"/>
      <c r="EX11" s="33">
        <f t="shared" si="52"/>
        <v>0</v>
      </c>
      <c r="EY11" s="2685"/>
      <c r="FA11" s="4">
        <f t="shared" si="53"/>
        <v>0</v>
      </c>
      <c r="FB11" s="5">
        <f t="shared" si="54"/>
        <v>0</v>
      </c>
      <c r="FC11" s="5">
        <f t="shared" si="55"/>
        <v>0</v>
      </c>
      <c r="FD11" s="12">
        <f t="shared" si="56"/>
        <v>0</v>
      </c>
      <c r="FE11" s="33"/>
      <c r="FF11" s="2674"/>
      <c r="FG11" s="9"/>
      <c r="FH11" s="5"/>
      <c r="FI11" s="5"/>
      <c r="FJ11" s="5"/>
      <c r="FK11" s="5"/>
      <c r="FL11" s="27"/>
      <c r="FM11" s="28">
        <f t="shared" si="57"/>
        <v>0</v>
      </c>
      <c r="FN11" s="36"/>
      <c r="FO11" s="27"/>
      <c r="FP11" s="27"/>
      <c r="FQ11" s="27"/>
      <c r="FR11" s="27"/>
      <c r="FS11" s="27"/>
      <c r="FT11" s="28">
        <f t="shared" si="58"/>
        <v>0</v>
      </c>
      <c r="FU11" s="36"/>
      <c r="FV11" s="36"/>
      <c r="FW11" s="27"/>
      <c r="FX11" s="27"/>
      <c r="FY11" s="27"/>
      <c r="FZ11" s="27"/>
      <c r="GA11" s="27"/>
      <c r="GB11" s="27"/>
      <c r="GC11" s="27"/>
      <c r="GD11" s="27"/>
      <c r="GE11" s="27"/>
      <c r="GF11" s="33"/>
      <c r="GG11" s="33">
        <f t="shared" si="59"/>
        <v>0</v>
      </c>
      <c r="GH11" s="2674"/>
      <c r="GJ11" s="2">
        <f t="shared" ref="GJ11:GJ40" si="133">+HL11</f>
        <v>1032.8000000000002</v>
      </c>
      <c r="GK11" s="63">
        <f t="shared" ref="GK11:GK41" si="134">+IP11</f>
        <v>3945.6200000000003</v>
      </c>
      <c r="GL11" s="24">
        <f t="shared" ref="GL11:GL40" si="135">+JE11</f>
        <v>4236.9400000000005</v>
      </c>
      <c r="GM11" s="1736">
        <f t="shared" si="60"/>
        <v>9215.36</v>
      </c>
      <c r="GN11" s="141"/>
      <c r="GO11" s="141"/>
      <c r="GP11" s="33"/>
      <c r="GQ11" s="2667"/>
      <c r="GR11" s="1740">
        <v>4949.62</v>
      </c>
      <c r="GS11" s="1723">
        <v>0</v>
      </c>
      <c r="GT11" s="1723">
        <v>4138.1900000000014</v>
      </c>
      <c r="GU11" s="1723">
        <v>127.55</v>
      </c>
      <c r="GV11" s="1724">
        <f t="shared" si="61"/>
        <v>9215.36</v>
      </c>
      <c r="GW11" s="2667"/>
      <c r="GX11" s="36"/>
      <c r="GY11" s="36"/>
      <c r="GZ11" s="27"/>
      <c r="HA11" s="27"/>
      <c r="HB11" s="27"/>
      <c r="HC11" s="27"/>
      <c r="HD11" s="27"/>
      <c r="HE11" s="27"/>
      <c r="HF11" s="27">
        <v>483.1</v>
      </c>
      <c r="HG11" s="27"/>
      <c r="HH11" s="27">
        <v>549.70000000000005</v>
      </c>
      <c r="HI11" s="27"/>
      <c r="HJ11" s="27">
        <v>0</v>
      </c>
      <c r="HK11" s="27"/>
      <c r="HL11" s="28">
        <f t="shared" si="62"/>
        <v>1032.8000000000002</v>
      </c>
      <c r="HM11" s="36"/>
      <c r="HN11" s="27"/>
      <c r="HO11" s="27"/>
      <c r="HP11" s="27"/>
      <c r="HQ11" s="27"/>
      <c r="HR11" s="27"/>
      <c r="HS11" s="27" cm="1">
        <f t="array" ref="HS11">SUMPRODUCT(('Data Base hauling'!$C$2:$C$216="TCM-ROM SB1 BK05-ROM 4")*(ISNUMBER(SEARCH(TEXT('March TCM'!$B11,"00")&amp;"/03/2026",'Data Base hauling'!$E$2:$E$216)))*'Data Base hauling'!$N$2:$N$216)</f>
        <v>0</v>
      </c>
      <c r="HT11" s="27"/>
      <c r="HU11" s="27" cm="1">
        <f t="array" ref="HU11">SUMPRODUCT(('Data Base hauling'!$C$2:$C$216="TCM-ROM SB1 BK05-ROM 5")*(ISNUMBER(SEARCH(TEXT('March TCM'!$B11,"00")&amp;"/03/2026",'Data Base hauling'!$E$2:$E$216)))*'Data Base hauling'!$N$2:$N$216)</f>
        <v>0</v>
      </c>
      <c r="HV11" s="27"/>
      <c r="HW11" s="27"/>
      <c r="HX11" s="27"/>
      <c r="HY11" s="27"/>
      <c r="HZ11" s="27"/>
      <c r="IA11" s="33">
        <f t="shared" si="63"/>
        <v>0</v>
      </c>
      <c r="IB11" s="52"/>
      <c r="IC11" s="152"/>
      <c r="ID11" s="53"/>
      <c r="IE11" s="53"/>
      <c r="IF11" s="53"/>
      <c r="IG11" s="53"/>
      <c r="IH11" s="53">
        <v>1563.5</v>
      </c>
      <c r="II11" s="53"/>
      <c r="IJ11" s="1736">
        <v>2382.1200000000003</v>
      </c>
      <c r="IK11" s="53"/>
      <c r="IL11" s="53">
        <v>0</v>
      </c>
      <c r="IM11" s="53"/>
      <c r="IN11" s="53"/>
      <c r="IO11" s="49">
        <v>0</v>
      </c>
      <c r="IP11" s="61">
        <f t="shared" si="64"/>
        <v>3945.6200000000003</v>
      </c>
      <c r="IQ11" s="36"/>
      <c r="IR11" s="36"/>
      <c r="IS11" s="27"/>
      <c r="IT11" s="27"/>
      <c r="IU11" s="53"/>
      <c r="IV11" s="27"/>
      <c r="IW11" s="27">
        <v>0</v>
      </c>
      <c r="IX11" s="27"/>
      <c r="IY11" s="27">
        <v>2556.65</v>
      </c>
      <c r="IZ11" s="27"/>
      <c r="JA11" s="27">
        <v>1680.29</v>
      </c>
      <c r="JB11" s="27"/>
      <c r="JC11" s="27"/>
      <c r="JD11" s="27"/>
      <c r="JE11" s="33">
        <f>SUM(IQ11:JD11)</f>
        <v>4236.9400000000005</v>
      </c>
      <c r="JF11" s="2667"/>
      <c r="JH11" s="2016">
        <v>4504.97</v>
      </c>
      <c r="JI11" s="2017">
        <v>4710.3900000000003</v>
      </c>
      <c r="JJ11" s="53"/>
      <c r="JK11" s="1736">
        <f t="shared" si="65"/>
        <v>9215.36</v>
      </c>
      <c r="JL11" s="33"/>
      <c r="JM11" s="2669"/>
      <c r="JN11" s="69">
        <v>0</v>
      </c>
      <c r="JO11" s="70">
        <v>0</v>
      </c>
      <c r="JP11" s="70">
        <v>0</v>
      </c>
      <c r="JQ11" s="70">
        <v>0</v>
      </c>
      <c r="JR11" s="70">
        <v>1</v>
      </c>
      <c r="JS11" s="70">
        <v>0</v>
      </c>
      <c r="JT11" s="70">
        <v>0</v>
      </c>
      <c r="JU11" s="1922">
        <v>0</v>
      </c>
      <c r="JV11" s="69">
        <v>0</v>
      </c>
      <c r="JW11" s="70">
        <v>0</v>
      </c>
      <c r="JX11" s="70">
        <v>0</v>
      </c>
      <c r="JY11" s="70">
        <v>0.33192580656803361</v>
      </c>
      <c r="JZ11" s="70">
        <v>0.19465479503820279</v>
      </c>
      <c r="KA11" s="70">
        <v>0.47341939839376351</v>
      </c>
      <c r="KB11" s="70">
        <v>0</v>
      </c>
      <c r="KC11" s="71">
        <v>0</v>
      </c>
      <c r="KD11" s="69"/>
      <c r="KE11" s="70"/>
      <c r="KF11" s="70"/>
      <c r="KG11" s="70"/>
      <c r="KH11" s="70"/>
      <c r="KI11" s="70"/>
      <c r="KJ11" s="70"/>
      <c r="KK11" s="70"/>
      <c r="KL11" s="33"/>
      <c r="KM11" s="2669"/>
      <c r="KN11" s="1740">
        <v>7121</v>
      </c>
      <c r="KO11" s="1723">
        <v>0.87</v>
      </c>
      <c r="KP11" s="1723">
        <v>4.78</v>
      </c>
      <c r="KQ11" s="1723">
        <v>5.85</v>
      </c>
      <c r="KR11" s="1724">
        <v>10.91527</v>
      </c>
      <c r="KS11" s="1741">
        <v>6859</v>
      </c>
      <c r="KT11" s="1726">
        <v>1.65</v>
      </c>
      <c r="KU11" s="1726">
        <v>3.45</v>
      </c>
      <c r="KV11" s="1726">
        <v>7.25</v>
      </c>
      <c r="KW11" s="1963">
        <v>12.045175</v>
      </c>
      <c r="KX11" s="36"/>
      <c r="KY11" s="53"/>
      <c r="KZ11" s="53"/>
      <c r="LA11" s="53"/>
      <c r="LB11" s="53"/>
      <c r="LC11" s="33"/>
      <c r="LD11" s="2669"/>
      <c r="LF11" s="998">
        <f t="shared" si="66"/>
        <v>0</v>
      </c>
      <c r="LG11" s="27">
        <f t="shared" si="66"/>
        <v>0</v>
      </c>
      <c r="LH11" s="27">
        <f t="shared" si="66"/>
        <v>0</v>
      </c>
      <c r="LI11" s="28">
        <f t="shared" si="67"/>
        <v>0</v>
      </c>
      <c r="LJ11" s="36"/>
      <c r="LK11" s="27"/>
      <c r="LL11" s="27">
        <v>3</v>
      </c>
      <c r="LM11" s="33"/>
      <c r="LN11" s="1044">
        <v>5.69</v>
      </c>
      <c r="LO11" s="486" t="s">
        <v>804</v>
      </c>
      <c r="LP11" s="2688"/>
      <c r="LQ11" s="36"/>
      <c r="LR11" s="36"/>
      <c r="LS11" s="27"/>
      <c r="LT11" s="27"/>
      <c r="LU11" s="27"/>
      <c r="LV11" s="1117">
        <f t="shared" si="68"/>
        <v>0</v>
      </c>
      <c r="LW11" s="36"/>
      <c r="LX11" s="36"/>
      <c r="LY11" s="27"/>
      <c r="LZ11" s="27"/>
      <c r="MA11" s="33"/>
      <c r="MB11" s="28">
        <f t="shared" si="69"/>
        <v>0</v>
      </c>
      <c r="MC11" s="26"/>
      <c r="MD11" s="36"/>
      <c r="ME11" s="27"/>
      <c r="MF11" s="27"/>
      <c r="MG11" s="27"/>
      <c r="MH11" s="28"/>
      <c r="MI11" s="36"/>
      <c r="MJ11" s="36"/>
      <c r="MK11" s="27"/>
      <c r="ML11" s="27"/>
      <c r="MM11" s="27"/>
      <c r="MN11" s="28"/>
      <c r="MO11" s="36"/>
      <c r="MP11" s="36"/>
      <c r="MQ11" s="27"/>
      <c r="MR11" s="27"/>
      <c r="MS11" s="27"/>
      <c r="MT11" s="33">
        <f t="shared" si="70"/>
        <v>0</v>
      </c>
      <c r="MU11" s="2688"/>
      <c r="MW11" s="26">
        <f t="shared" si="71"/>
        <v>109136.50664501339</v>
      </c>
      <c r="MX11" s="27">
        <f t="shared" si="72"/>
        <v>62749.052248823522</v>
      </c>
      <c r="MY11" s="27">
        <f t="shared" si="73"/>
        <v>19695.395201279462</v>
      </c>
      <c r="MZ11" s="28">
        <f t="shared" si="74"/>
        <v>436781.10855851002</v>
      </c>
      <c r="NA11" s="2621"/>
      <c r="NB11" s="23">
        <f t="shared" si="75"/>
        <v>81660.80213746785</v>
      </c>
      <c r="NC11" s="1579">
        <f t="shared" si="76"/>
        <v>27475.704507545539</v>
      </c>
      <c r="ND11" s="60">
        <f t="shared" si="77"/>
        <v>0</v>
      </c>
      <c r="NE11" s="275">
        <f t="shared" si="4"/>
        <v>109136.50664501339</v>
      </c>
      <c r="NF11" s="26">
        <f t="shared" si="78"/>
        <v>0</v>
      </c>
      <c r="NG11" s="27">
        <f t="shared" si="78"/>
        <v>0</v>
      </c>
      <c r="NH11" s="27">
        <f t="shared" si="78"/>
        <v>0</v>
      </c>
      <c r="NI11" s="27">
        <f t="shared" si="78"/>
        <v>0</v>
      </c>
      <c r="NJ11" s="27">
        <f t="shared" si="78"/>
        <v>0</v>
      </c>
      <c r="NK11" s="33">
        <f t="shared" si="78"/>
        <v>0</v>
      </c>
      <c r="NL11" s="280">
        <f t="shared" si="78"/>
        <v>0</v>
      </c>
      <c r="NM11" s="36">
        <f t="shared" si="78"/>
        <v>0</v>
      </c>
      <c r="NN11" s="24">
        <f t="shared" si="78"/>
        <v>7167.7005665631459</v>
      </c>
      <c r="NO11" s="27">
        <f t="shared" si="78"/>
        <v>26196.69549600617</v>
      </c>
      <c r="NP11" s="24">
        <f t="shared" ref="NP11:NP40" si="136">+NP10+EE11-GX11</f>
        <v>8756.5482322711578</v>
      </c>
      <c r="NQ11" s="24">
        <f t="shared" ref="NQ11:NQ40" si="137">+NQ10+EO11-HH11</f>
        <v>3549.6241180334082</v>
      </c>
      <c r="NR11" s="27">
        <f t="shared" si="0"/>
        <v>45670.568412873887</v>
      </c>
      <c r="NS11" s="27">
        <f t="shared" si="79"/>
        <v>0</v>
      </c>
      <c r="NT11" s="27">
        <f t="shared" si="80"/>
        <v>0</v>
      </c>
      <c r="NU11" s="27">
        <f t="shared" si="81"/>
        <v>0</v>
      </c>
      <c r="NV11" s="27">
        <f t="shared" si="82"/>
        <v>0</v>
      </c>
      <c r="NW11" s="27">
        <f t="shared" si="83"/>
        <v>0</v>
      </c>
      <c r="NX11" s="27">
        <f t="shared" si="84"/>
        <v>0</v>
      </c>
      <c r="NY11" s="27">
        <f t="shared" si="85"/>
        <v>897.15360229291218</v>
      </c>
      <c r="NZ11" s="27">
        <f t="shared" si="86"/>
        <v>0</v>
      </c>
      <c r="OA11" s="27">
        <f t="shared" si="87"/>
        <v>3043.1280667828401</v>
      </c>
      <c r="OB11" s="280"/>
      <c r="OC11" s="24">
        <f t="shared" si="88"/>
        <v>349.54339982995594</v>
      </c>
      <c r="OD11" s="27">
        <f t="shared" si="89"/>
        <v>0</v>
      </c>
      <c r="OE11" s="27">
        <f t="shared" si="1"/>
        <v>4289.8250689057086</v>
      </c>
      <c r="OF11" s="27">
        <f t="shared" si="90"/>
        <v>0</v>
      </c>
      <c r="OG11" s="27">
        <f t="shared" si="90"/>
        <v>0</v>
      </c>
      <c r="OH11" s="27">
        <f t="shared" si="90"/>
        <v>0</v>
      </c>
      <c r="OI11" s="27">
        <f t="shared" si="90"/>
        <v>0</v>
      </c>
      <c r="OJ11" s="27">
        <f t="shared" si="90"/>
        <v>0</v>
      </c>
      <c r="OK11" s="27">
        <f t="shared" si="90"/>
        <v>0</v>
      </c>
      <c r="OL11" s="24">
        <f t="shared" si="90"/>
        <v>0</v>
      </c>
      <c r="OM11" s="27">
        <f t="shared" si="90"/>
        <v>0</v>
      </c>
      <c r="ON11" s="24">
        <f t="shared" si="90"/>
        <v>10572.583599111013</v>
      </c>
      <c r="OO11" s="27">
        <f t="shared" si="90"/>
        <v>0</v>
      </c>
      <c r="OP11" s="27">
        <f t="shared" si="90"/>
        <v>2216.0751679329142</v>
      </c>
      <c r="OQ11" s="27">
        <f t="shared" si="90"/>
        <v>0</v>
      </c>
      <c r="OR11" s="28">
        <f t="shared" si="2"/>
        <v>12788.658767043926</v>
      </c>
      <c r="OS11" s="36"/>
      <c r="OT11" s="27"/>
      <c r="OU11" s="27"/>
      <c r="OV11" s="27"/>
      <c r="OW11" s="27"/>
      <c r="OX11" s="27"/>
      <c r="OY11" s="28">
        <f t="shared" si="91"/>
        <v>0</v>
      </c>
      <c r="OZ11" s="36">
        <f t="shared" si="92"/>
        <v>0</v>
      </c>
      <c r="PA11" s="27">
        <f t="shared" si="93"/>
        <v>0</v>
      </c>
      <c r="PB11" s="27">
        <f t="shared" si="94"/>
        <v>0</v>
      </c>
      <c r="PC11" s="27">
        <f t="shared" si="95"/>
        <v>0</v>
      </c>
      <c r="PD11" s="27">
        <f t="shared" si="96"/>
        <v>0</v>
      </c>
      <c r="PE11" s="27">
        <f t="shared" si="97"/>
        <v>0</v>
      </c>
      <c r="PF11" s="33">
        <f t="shared" si="3"/>
        <v>0</v>
      </c>
      <c r="PG11" s="2621"/>
      <c r="PI11" s="1907">
        <v>0</v>
      </c>
      <c r="PJ11" s="3">
        <v>0</v>
      </c>
      <c r="PK11" s="3">
        <v>0</v>
      </c>
      <c r="PL11" s="3">
        <f t="shared" si="98"/>
        <v>0</v>
      </c>
      <c r="PM11" s="3">
        <f t="shared" si="99"/>
        <v>499.35538769389285</v>
      </c>
      <c r="PN11" s="11">
        <f t="shared" si="100"/>
        <v>19695.395201279462</v>
      </c>
      <c r="PO11" s="15"/>
      <c r="PP11" s="2615"/>
      <c r="PR11" s="4"/>
      <c r="PS11" s="9"/>
      <c r="PT11" s="9"/>
      <c r="PU11" s="9"/>
      <c r="PV11" s="9">
        <v>357.88</v>
      </c>
      <c r="PW11" s="9"/>
      <c r="PX11" s="8">
        <f t="shared" si="101"/>
        <v>357.88</v>
      </c>
      <c r="PY11" s="5">
        <f t="shared" si="102"/>
        <v>0</v>
      </c>
      <c r="PZ11" s="5"/>
      <c r="QA11" s="5"/>
      <c r="QB11" s="5"/>
      <c r="QC11" s="5"/>
      <c r="QD11" s="5"/>
      <c r="QE11" s="12">
        <f t="shared" si="103"/>
        <v>29562.488999999998</v>
      </c>
      <c r="QF11" s="420">
        <f t="shared" si="104"/>
        <v>406860.73955851002</v>
      </c>
      <c r="QG11" s="1106">
        <f t="shared" si="105"/>
        <v>357.88</v>
      </c>
      <c r="QH11" s="484">
        <f t="shared" si="106"/>
        <v>5505.3678056099998</v>
      </c>
      <c r="QI11" s="12"/>
      <c r="QJ11" s="2615"/>
      <c r="QL11" s="139">
        <f t="shared" si="107"/>
        <v>0</v>
      </c>
      <c r="QM11" s="139" t="str">
        <f t="shared" si="108"/>
        <v/>
      </c>
      <c r="QO11" s="139">
        <f t="shared" si="109"/>
        <v>0</v>
      </c>
      <c r="QP11" s="139">
        <f t="shared" si="110"/>
        <v>0</v>
      </c>
      <c r="QR11" s="1">
        <f t="shared" si="111"/>
        <v>0</v>
      </c>
      <c r="QS11" s="1">
        <f t="shared" si="112"/>
        <v>0</v>
      </c>
      <c r="QT11" s="1">
        <f t="shared" si="113"/>
        <v>0</v>
      </c>
      <c r="QU11" s="1">
        <f t="shared" si="114"/>
        <v>0</v>
      </c>
      <c r="QV11" s="1">
        <f t="shared" si="115"/>
        <v>0</v>
      </c>
      <c r="QW11" s="1">
        <f t="shared" si="116"/>
        <v>0</v>
      </c>
      <c r="QY11" s="1">
        <f t="shared" si="117"/>
        <v>0</v>
      </c>
      <c r="QZ11" s="1">
        <f t="shared" si="118"/>
        <v>0</v>
      </c>
      <c r="RA11" s="1">
        <f t="shared" si="119"/>
        <v>0</v>
      </c>
      <c r="RB11" s="1">
        <f t="shared" si="120"/>
        <v>0</v>
      </c>
      <c r="RC11" s="1">
        <f t="shared" si="121"/>
        <v>0</v>
      </c>
      <c r="RD11" s="1">
        <f t="shared" si="122"/>
        <v>0</v>
      </c>
      <c r="RG11" s="1">
        <v>2</v>
      </c>
      <c r="RH11" s="1">
        <f t="shared" si="123"/>
        <v>56096.951751083165</v>
      </c>
      <c r="RI11" s="1">
        <f t="shared" si="123"/>
        <v>13233.123549862281</v>
      </c>
      <c r="RJ11" s="1">
        <f t="shared" si="123"/>
        <v>9178.5689913333827</v>
      </c>
      <c r="RK11" s="89">
        <f t="shared" si="5"/>
        <v>78508.644292278826</v>
      </c>
      <c r="RL11" s="1033">
        <v>2</v>
      </c>
      <c r="RM11" s="1098">
        <f t="shared" si="124"/>
        <v>0</v>
      </c>
      <c r="RN11" s="1098">
        <f t="shared" si="125"/>
        <v>357.88</v>
      </c>
      <c r="RO11" s="1097">
        <f t="shared" si="125"/>
        <v>0</v>
      </c>
      <c r="RP11" s="1097">
        <f t="shared" si="126"/>
        <v>9871.84</v>
      </c>
      <c r="RQ11" s="1094"/>
      <c r="RR11" s="1094" t="s">
        <v>810</v>
      </c>
      <c r="RU11" s="421">
        <v>2</v>
      </c>
      <c r="RV11" s="1095">
        <f t="shared" si="127"/>
        <v>9215.36</v>
      </c>
      <c r="RW11" s="1096" t="s">
        <v>811</v>
      </c>
      <c r="RY11" s="1090"/>
      <c r="RZ11" s="1090">
        <f t="shared" si="128"/>
        <v>-357.8799999999992</v>
      </c>
      <c r="SA11" s="1090"/>
      <c r="SB11" s="1090">
        <f t="shared" si="129"/>
        <v>0</v>
      </c>
      <c r="SD11" s="1">
        <v>2</v>
      </c>
      <c r="SE11" s="1">
        <f t="shared" si="130"/>
        <v>0</v>
      </c>
      <c r="SF11" s="1094"/>
    </row>
    <row r="12" spans="1:500" s="1" customFormat="1">
      <c r="A12" s="1">
        <v>1630.7189913362533</v>
      </c>
      <c r="B12" s="471">
        <v>3</v>
      </c>
      <c r="C12" s="4">
        <f t="shared" si="6"/>
        <v>159531</v>
      </c>
      <c r="D12" s="1590">
        <f t="shared" si="131"/>
        <v>11760.8</v>
      </c>
      <c r="E12" s="1895">
        <f t="shared" si="7"/>
        <v>13.564638459968711</v>
      </c>
      <c r="F12" s="870"/>
      <c r="G12" s="870"/>
      <c r="H12" s="52">
        <v>11.5</v>
      </c>
      <c r="I12" s="61">
        <v>0.67</v>
      </c>
      <c r="J12" s="52"/>
      <c r="K12" s="54"/>
      <c r="L12" s="52">
        <v>4</v>
      </c>
      <c r="M12" s="61">
        <v>3.08</v>
      </c>
      <c r="N12" s="2629"/>
      <c r="O12" s="4">
        <f t="shared" si="132"/>
        <v>94164</v>
      </c>
      <c r="P12" s="1225">
        <f t="shared" si="8"/>
        <v>7231.04</v>
      </c>
      <c r="Q12" s="1913">
        <f t="shared" si="9"/>
        <v>13.022193211488251</v>
      </c>
      <c r="R12" s="33"/>
      <c r="S12" s="26">
        <f t="shared" si="10"/>
        <v>42577</v>
      </c>
      <c r="T12" s="27">
        <f t="shared" si="11"/>
        <v>2409.7600000000002</v>
      </c>
      <c r="U12" s="1909">
        <f t="shared" si="12"/>
        <v>17.668564504348979</v>
      </c>
      <c r="V12" s="28"/>
      <c r="W12" s="1742">
        <f t="shared" si="13"/>
        <v>22790</v>
      </c>
      <c r="X12" s="5">
        <f t="shared" si="13"/>
        <v>2120</v>
      </c>
      <c r="Y12" s="1738">
        <f t="shared" si="14"/>
        <v>10.75</v>
      </c>
      <c r="Z12" s="33"/>
      <c r="AA12" s="26">
        <f t="shared" si="15"/>
        <v>0</v>
      </c>
      <c r="AB12" s="27">
        <f t="shared" si="16"/>
        <v>0</v>
      </c>
      <c r="AC12" s="53">
        <f t="shared" si="17"/>
        <v>0</v>
      </c>
      <c r="AD12" s="28"/>
      <c r="AE12" s="36"/>
      <c r="AF12" s="36"/>
      <c r="AG12" s="53">
        <f t="shared" si="18"/>
        <v>0</v>
      </c>
      <c r="AH12" s="28"/>
      <c r="AI12" s="23"/>
      <c r="AJ12" s="27"/>
      <c r="AK12" s="53">
        <f t="shared" si="19"/>
        <v>0</v>
      </c>
      <c r="AL12" s="28"/>
      <c r="AM12" s="2629"/>
      <c r="AN12" s="9"/>
      <c r="AO12" s="5"/>
      <c r="AP12" s="61">
        <f t="shared" si="20"/>
        <v>0</v>
      </c>
      <c r="AQ12" s="36"/>
      <c r="AR12" s="53"/>
      <c r="AS12" s="61">
        <f t="shared" si="21"/>
        <v>0</v>
      </c>
      <c r="AT12" s="36"/>
      <c r="AU12" s="27"/>
      <c r="AV12" s="61">
        <f t="shared" si="22"/>
        <v>0</v>
      </c>
      <c r="AW12" s="36">
        <v>56700</v>
      </c>
      <c r="AX12" s="27">
        <v>3855.4</v>
      </c>
      <c r="AY12" s="1735">
        <f t="shared" si="23"/>
        <v>14.70664522487939</v>
      </c>
      <c r="AZ12" s="36"/>
      <c r="BA12" s="27"/>
      <c r="BB12" s="61">
        <f t="shared" si="24"/>
        <v>0</v>
      </c>
      <c r="BC12" s="1740">
        <v>37464</v>
      </c>
      <c r="BD12" s="1736">
        <v>3375.64</v>
      </c>
      <c r="BE12" s="1735">
        <f t="shared" si="25"/>
        <v>11.098339870365324</v>
      </c>
      <c r="BF12" s="36"/>
      <c r="BG12" s="53"/>
      <c r="BH12" s="61">
        <f t="shared" si="26"/>
        <v>0</v>
      </c>
      <c r="BI12" s="36">
        <v>0</v>
      </c>
      <c r="BJ12" s="53">
        <v>0</v>
      </c>
      <c r="BK12" s="61">
        <f t="shared" si="27"/>
        <v>0</v>
      </c>
      <c r="BL12" s="1742">
        <v>42577</v>
      </c>
      <c r="BM12" s="1909">
        <v>2409.7600000000002</v>
      </c>
      <c r="BN12" s="1735">
        <f t="shared" si="28"/>
        <v>17.668564504348979</v>
      </c>
      <c r="BO12" s="1125"/>
      <c r="BP12" s="53"/>
      <c r="BQ12" s="61">
        <f t="shared" si="29"/>
        <v>0</v>
      </c>
      <c r="BR12" s="36"/>
      <c r="BS12" s="53"/>
      <c r="BT12" s="61">
        <f t="shared" si="30"/>
        <v>0</v>
      </c>
      <c r="BU12" s="36">
        <v>22790</v>
      </c>
      <c r="BV12" s="27">
        <v>2120</v>
      </c>
      <c r="BW12" s="1906">
        <f t="shared" si="31"/>
        <v>10.75</v>
      </c>
      <c r="BX12" s="26"/>
      <c r="BY12" s="27"/>
      <c r="BZ12" s="61">
        <f t="shared" si="32"/>
        <v>0</v>
      </c>
      <c r="CA12" s="36"/>
      <c r="CB12" s="5"/>
      <c r="CC12" s="482">
        <f t="shared" si="33"/>
        <v>0</v>
      </c>
      <c r="CD12" s="4"/>
      <c r="CE12" s="280"/>
      <c r="CF12" s="28">
        <f t="shared" si="34"/>
        <v>0</v>
      </c>
      <c r="CG12" s="150"/>
      <c r="CH12" s="4"/>
      <c r="CI12" s="5"/>
      <c r="CJ12" s="5"/>
      <c r="CK12" s="5">
        <v>9162.5</v>
      </c>
      <c r="CL12" s="5"/>
      <c r="CM12" s="5">
        <f t="shared" si="35"/>
        <v>9162.5</v>
      </c>
      <c r="CN12" s="33"/>
      <c r="CO12" s="366"/>
      <c r="CQ12" s="4">
        <f t="shared" si="36"/>
        <v>0</v>
      </c>
      <c r="CR12" s="9">
        <f t="shared" si="37"/>
        <v>0</v>
      </c>
      <c r="CS12" s="5">
        <f t="shared" si="38"/>
        <v>0</v>
      </c>
      <c r="CT12" s="5">
        <f t="shared" si="39"/>
        <v>0</v>
      </c>
      <c r="CU12" s="5">
        <f t="shared" si="40"/>
        <v>0</v>
      </c>
      <c r="CV12" s="5">
        <f t="shared" si="41"/>
        <v>0</v>
      </c>
      <c r="CW12" s="488">
        <f t="shared" si="42"/>
        <v>0</v>
      </c>
      <c r="CX12" s="5">
        <f t="shared" si="43"/>
        <v>0</v>
      </c>
      <c r="CY12" s="5">
        <f t="shared" si="44"/>
        <v>11080.8</v>
      </c>
      <c r="CZ12" s="5">
        <f t="shared" si="45"/>
        <v>0</v>
      </c>
      <c r="DA12" s="488">
        <f t="shared" si="46"/>
        <v>680</v>
      </c>
      <c r="DB12" s="12">
        <f t="shared" si="47"/>
        <v>0</v>
      </c>
      <c r="DC12" s="310">
        <f t="shared" si="48"/>
        <v>11760.8</v>
      </c>
      <c r="DD12" s="2695"/>
      <c r="DE12" s="8"/>
      <c r="DF12" s="9"/>
      <c r="DG12" s="5"/>
      <c r="DH12" s="5"/>
      <c r="DI12" s="5"/>
      <c r="DJ12" s="5"/>
      <c r="DK12" s="5">
        <v>0</v>
      </c>
      <c r="DL12" s="5"/>
      <c r="DM12" s="5">
        <v>3855.4</v>
      </c>
      <c r="DN12" s="5"/>
      <c r="DO12" s="5"/>
      <c r="DP12" s="12"/>
      <c r="DQ12" s="1906">
        <f t="shared" si="49"/>
        <v>3855.4</v>
      </c>
      <c r="DR12" s="36"/>
      <c r="DS12" s="36"/>
      <c r="DT12" s="27"/>
      <c r="DU12" s="27"/>
      <c r="DV12" s="5"/>
      <c r="DW12" s="5"/>
      <c r="DX12" s="64"/>
      <c r="DY12" s="5"/>
      <c r="DZ12" s="5">
        <v>5785.4</v>
      </c>
      <c r="EA12" s="53"/>
      <c r="EB12" s="27">
        <v>0</v>
      </c>
      <c r="EC12" s="33"/>
      <c r="ED12" s="28">
        <f t="shared" si="50"/>
        <v>5785.4</v>
      </c>
      <c r="EE12" s="9"/>
      <c r="EF12" s="9"/>
      <c r="EG12" s="491"/>
      <c r="EH12" s="5"/>
      <c r="EI12" s="27"/>
      <c r="EJ12" s="27"/>
      <c r="EK12" s="27"/>
      <c r="EL12" s="27"/>
      <c r="EM12" s="5">
        <v>1440</v>
      </c>
      <c r="EN12" s="5"/>
      <c r="EO12" s="1448">
        <v>680</v>
      </c>
      <c r="EP12" s="33"/>
      <c r="EQ12" s="28">
        <f t="shared" si="51"/>
        <v>2120</v>
      </c>
      <c r="ER12" s="36"/>
      <c r="ES12" s="27"/>
      <c r="ET12" s="27"/>
      <c r="EU12" s="27"/>
      <c r="EV12" s="27"/>
      <c r="EW12" s="27"/>
      <c r="EX12" s="33">
        <f t="shared" si="52"/>
        <v>0</v>
      </c>
      <c r="EY12" s="2685"/>
      <c r="FA12" s="4">
        <f t="shared" si="53"/>
        <v>0</v>
      </c>
      <c r="FB12" s="5">
        <f t="shared" si="54"/>
        <v>0</v>
      </c>
      <c r="FC12" s="5">
        <f t="shared" si="55"/>
        <v>0</v>
      </c>
      <c r="FD12" s="12">
        <f t="shared" si="56"/>
        <v>0</v>
      </c>
      <c r="FE12" s="33"/>
      <c r="FF12" s="2674"/>
      <c r="FG12" s="9"/>
      <c r="FH12" s="5"/>
      <c r="FI12" s="5"/>
      <c r="FJ12" s="5"/>
      <c r="FK12" s="5"/>
      <c r="FL12" s="27"/>
      <c r="FM12" s="28">
        <f t="shared" si="57"/>
        <v>0</v>
      </c>
      <c r="FN12" s="36"/>
      <c r="FO12" s="27"/>
      <c r="FP12" s="27"/>
      <c r="FQ12" s="27"/>
      <c r="FR12" s="27"/>
      <c r="FS12" s="27"/>
      <c r="FT12" s="28">
        <f t="shared" si="58"/>
        <v>0</v>
      </c>
      <c r="FU12" s="36"/>
      <c r="FV12" s="36"/>
      <c r="FW12" s="27"/>
      <c r="FX12" s="27"/>
      <c r="FY12" s="27"/>
      <c r="FZ12" s="27"/>
      <c r="GA12" s="27"/>
      <c r="GB12" s="27"/>
      <c r="GC12" s="27"/>
      <c r="GD12" s="27"/>
      <c r="GE12" s="27"/>
      <c r="GF12" s="33"/>
      <c r="GG12" s="33">
        <f t="shared" si="59"/>
        <v>0</v>
      </c>
      <c r="GH12" s="2674"/>
      <c r="GJ12" s="2">
        <f t="shared" si="133"/>
        <v>0</v>
      </c>
      <c r="GK12" s="63">
        <f t="shared" si="134"/>
        <v>0</v>
      </c>
      <c r="GL12" s="24">
        <f t="shared" si="135"/>
        <v>0</v>
      </c>
      <c r="GM12" s="1736">
        <f t="shared" si="60"/>
        <v>0</v>
      </c>
      <c r="GN12" s="141"/>
      <c r="GO12" s="141"/>
      <c r="GP12" s="33"/>
      <c r="GQ12" s="2667"/>
      <c r="GR12" s="1740">
        <v>0</v>
      </c>
      <c r="GS12" s="1723">
        <v>0</v>
      </c>
      <c r="GT12" s="1723">
        <v>0</v>
      </c>
      <c r="GU12" s="1723">
        <v>0</v>
      </c>
      <c r="GV12" s="1724">
        <f t="shared" si="61"/>
        <v>0</v>
      </c>
      <c r="GW12" s="2667"/>
      <c r="GX12" s="36"/>
      <c r="GY12" s="36"/>
      <c r="GZ12" s="27"/>
      <c r="HA12" s="27"/>
      <c r="HB12" s="27"/>
      <c r="HC12" s="27"/>
      <c r="HD12" s="27"/>
      <c r="HE12" s="27"/>
      <c r="HF12" s="27">
        <v>0</v>
      </c>
      <c r="HG12" s="27"/>
      <c r="HH12" s="27">
        <v>0</v>
      </c>
      <c r="HI12" s="27"/>
      <c r="HJ12" s="27">
        <v>0</v>
      </c>
      <c r="HK12" s="27"/>
      <c r="HL12" s="28">
        <f t="shared" si="62"/>
        <v>0</v>
      </c>
      <c r="HM12" s="36"/>
      <c r="HN12" s="27"/>
      <c r="HO12" s="27"/>
      <c r="HP12" s="27"/>
      <c r="HQ12" s="27"/>
      <c r="HR12" s="27"/>
      <c r="HS12" s="27" cm="1">
        <f t="array" ref="HS12">SUMPRODUCT(('Data Base hauling'!$C$2:$C$216="TCM-ROM SB1 BK05-ROM 4")*(ISNUMBER(SEARCH(TEXT('March TCM'!$B12,"00")&amp;"/03/2026",'Data Base hauling'!$E$2:$E$216)))*'Data Base hauling'!$N$2:$N$216)</f>
        <v>0</v>
      </c>
      <c r="HT12" s="27"/>
      <c r="HU12" s="27" cm="1">
        <f t="array" ref="HU12">SUMPRODUCT(('Data Base hauling'!$C$2:$C$216="TCM-ROM SB1 BK05-ROM 5")*(ISNUMBER(SEARCH(TEXT('March TCM'!$B12,"00")&amp;"/03/2026",'Data Base hauling'!$E$2:$E$216)))*'Data Base hauling'!$N$2:$N$216)</f>
        <v>0</v>
      </c>
      <c r="HV12" s="27"/>
      <c r="HW12" s="27"/>
      <c r="HX12" s="27"/>
      <c r="HY12" s="27"/>
      <c r="HZ12" s="27"/>
      <c r="IA12" s="33">
        <f t="shared" si="63"/>
        <v>0</v>
      </c>
      <c r="IB12" s="52"/>
      <c r="IC12" s="152"/>
      <c r="ID12" s="53"/>
      <c r="IE12" s="53"/>
      <c r="IF12" s="53"/>
      <c r="IG12" s="53"/>
      <c r="IH12" s="53">
        <v>0</v>
      </c>
      <c r="II12" s="53"/>
      <c r="IJ12" s="1736">
        <v>0</v>
      </c>
      <c r="IK12" s="53"/>
      <c r="IL12" s="64">
        <v>0</v>
      </c>
      <c r="IM12" s="53"/>
      <c r="IN12" s="53"/>
      <c r="IO12" s="49">
        <v>0</v>
      </c>
      <c r="IP12" s="61">
        <f t="shared" si="64"/>
        <v>0</v>
      </c>
      <c r="IQ12" s="36"/>
      <c r="IR12" s="36"/>
      <c r="IS12" s="27"/>
      <c r="IT12" s="27"/>
      <c r="IU12" s="53"/>
      <c r="IV12" s="27"/>
      <c r="IW12" s="27">
        <v>0</v>
      </c>
      <c r="IX12" s="27"/>
      <c r="IY12" s="27">
        <v>0</v>
      </c>
      <c r="IZ12" s="27"/>
      <c r="JA12" s="5">
        <v>0</v>
      </c>
      <c r="JB12" s="27"/>
      <c r="JC12" s="27"/>
      <c r="JD12" s="27"/>
      <c r="JE12" s="33">
        <f t="shared" ref="JE12:JE40" si="138">SUM(IQ12:JD12)</f>
        <v>0</v>
      </c>
      <c r="JF12" s="2667"/>
      <c r="JH12" s="2018">
        <v>0</v>
      </c>
      <c r="JI12" s="2017">
        <v>0</v>
      </c>
      <c r="JJ12" s="53"/>
      <c r="JK12" s="1736">
        <f t="shared" si="65"/>
        <v>0</v>
      </c>
      <c r="JL12" s="33"/>
      <c r="JM12" s="2669"/>
      <c r="JN12" s="69" t="s">
        <v>296</v>
      </c>
      <c r="JO12" s="70" t="s">
        <v>296</v>
      </c>
      <c r="JP12" s="70" t="s">
        <v>296</v>
      </c>
      <c r="JQ12" s="70" t="s">
        <v>296</v>
      </c>
      <c r="JR12" s="70" t="s">
        <v>296</v>
      </c>
      <c r="JS12" s="70" t="s">
        <v>296</v>
      </c>
      <c r="JT12" s="70" t="s">
        <v>296</v>
      </c>
      <c r="JU12" s="1922">
        <v>0</v>
      </c>
      <c r="JV12" s="69" t="s">
        <v>296</v>
      </c>
      <c r="JW12" s="70" t="s">
        <v>296</v>
      </c>
      <c r="JX12" s="70" t="s">
        <v>296</v>
      </c>
      <c r="JY12" s="70" t="s">
        <v>296</v>
      </c>
      <c r="JZ12" s="70" t="s">
        <v>296</v>
      </c>
      <c r="KA12" s="70" t="s">
        <v>296</v>
      </c>
      <c r="KB12" s="70" t="s">
        <v>296</v>
      </c>
      <c r="KC12" s="71" t="s">
        <v>296</v>
      </c>
      <c r="KD12" s="69"/>
      <c r="KE12" s="70"/>
      <c r="KF12" s="70"/>
      <c r="KG12" s="70"/>
      <c r="KH12" s="70"/>
      <c r="KI12" s="70"/>
      <c r="KJ12" s="70"/>
      <c r="KK12" s="70"/>
      <c r="KL12" s="33"/>
      <c r="KM12" s="2669"/>
      <c r="KN12" s="1740">
        <v>0</v>
      </c>
      <c r="KO12" s="1723">
        <v>0</v>
      </c>
      <c r="KP12" s="1723">
        <v>0</v>
      </c>
      <c r="KQ12" s="1723">
        <v>0</v>
      </c>
      <c r="KR12" s="1724">
        <v>0</v>
      </c>
      <c r="KS12" s="1741">
        <v>0</v>
      </c>
      <c r="KT12" s="1726">
        <v>0</v>
      </c>
      <c r="KU12" s="1726">
        <v>0</v>
      </c>
      <c r="KV12" s="1726">
        <v>0</v>
      </c>
      <c r="KW12" s="1963">
        <v>0</v>
      </c>
      <c r="KX12" s="36"/>
      <c r="KY12" s="53"/>
      <c r="KZ12" s="53"/>
      <c r="LA12" s="53"/>
      <c r="LB12" s="53"/>
      <c r="LC12" s="33"/>
      <c r="LD12" s="2669"/>
      <c r="LF12" s="998">
        <f t="shared" si="66"/>
        <v>7936.69</v>
      </c>
      <c r="LG12" s="27">
        <f t="shared" si="66"/>
        <v>0</v>
      </c>
      <c r="LH12" s="27">
        <f t="shared" si="66"/>
        <v>0</v>
      </c>
      <c r="LI12" s="28">
        <f t="shared" si="67"/>
        <v>7936.69</v>
      </c>
      <c r="LJ12" s="36">
        <v>1</v>
      </c>
      <c r="LK12" s="27"/>
      <c r="LL12" s="27">
        <v>2</v>
      </c>
      <c r="LM12" s="33"/>
      <c r="LN12" s="1041">
        <v>5.99</v>
      </c>
      <c r="LO12" s="486"/>
      <c r="LP12" s="2688"/>
      <c r="LQ12" s="36">
        <v>7936.69</v>
      </c>
      <c r="LR12" s="36"/>
      <c r="LS12" s="27"/>
      <c r="LT12" s="27"/>
      <c r="LU12" s="27"/>
      <c r="LV12" s="1117">
        <f t="shared" si="68"/>
        <v>7936.69</v>
      </c>
      <c r="LW12" s="36"/>
      <c r="LX12" s="36"/>
      <c r="LY12" s="27"/>
      <c r="LZ12" s="27"/>
      <c r="MA12" s="33"/>
      <c r="MB12" s="28">
        <f t="shared" si="69"/>
        <v>0</v>
      </c>
      <c r="MC12" s="26"/>
      <c r="MD12" s="36"/>
      <c r="ME12" s="27"/>
      <c r="MF12" s="27"/>
      <c r="MG12" s="27"/>
      <c r="MH12" s="28"/>
      <c r="MI12" s="36"/>
      <c r="MJ12" s="36"/>
      <c r="MK12" s="27"/>
      <c r="ML12" s="27"/>
      <c r="MM12" s="27"/>
      <c r="MN12" s="28"/>
      <c r="MO12" s="36"/>
      <c r="MP12" s="36"/>
      <c r="MQ12" s="27"/>
      <c r="MR12" s="27"/>
      <c r="MS12" s="27"/>
      <c r="MT12" s="33">
        <f t="shared" si="70"/>
        <v>0</v>
      </c>
      <c r="MU12" s="2688"/>
      <c r="MW12" s="26">
        <f t="shared" si="71"/>
        <v>101199.81664501339</v>
      </c>
      <c r="MX12" s="27">
        <f t="shared" si="72"/>
        <v>74509.852248823532</v>
      </c>
      <c r="MY12" s="27">
        <f t="shared" si="73"/>
        <v>19695.395201279462</v>
      </c>
      <c r="MZ12" s="28">
        <f t="shared" si="74"/>
        <v>436781.10855851002</v>
      </c>
      <c r="NA12" s="2621"/>
      <c r="NB12" s="23">
        <f t="shared" si="75"/>
        <v>73724.112137467848</v>
      </c>
      <c r="NC12" s="1579">
        <f t="shared" si="76"/>
        <v>27475.704507545539</v>
      </c>
      <c r="ND12" s="60">
        <f t="shared" si="77"/>
        <v>0</v>
      </c>
      <c r="NE12" s="275">
        <f t="shared" si="4"/>
        <v>101199.81664501339</v>
      </c>
      <c r="NF12" s="26">
        <f t="shared" si="78"/>
        <v>0</v>
      </c>
      <c r="NG12" s="27">
        <f t="shared" si="78"/>
        <v>0</v>
      </c>
      <c r="NH12" s="27">
        <f t="shared" si="78"/>
        <v>0</v>
      </c>
      <c r="NI12" s="27">
        <f t="shared" si="78"/>
        <v>0</v>
      </c>
      <c r="NJ12" s="27">
        <f t="shared" si="78"/>
        <v>0</v>
      </c>
      <c r="NK12" s="33">
        <f t="shared" si="78"/>
        <v>0</v>
      </c>
      <c r="NL12" s="27">
        <f t="shared" si="78"/>
        <v>0</v>
      </c>
      <c r="NM12" s="36">
        <f t="shared" si="78"/>
        <v>0</v>
      </c>
      <c r="NN12" s="24">
        <f t="shared" si="78"/>
        <v>8607.7005665631459</v>
      </c>
      <c r="NO12" s="27">
        <f t="shared" si="78"/>
        <v>26196.69549600617</v>
      </c>
      <c r="NP12" s="24">
        <f t="shared" si="136"/>
        <v>8756.5482322711578</v>
      </c>
      <c r="NQ12" s="24">
        <f t="shared" si="137"/>
        <v>4229.6241180334082</v>
      </c>
      <c r="NR12" s="27">
        <f t="shared" si="0"/>
        <v>47790.568412873887</v>
      </c>
      <c r="NS12" s="27">
        <f t="shared" si="79"/>
        <v>0</v>
      </c>
      <c r="NT12" s="27">
        <f t="shared" si="80"/>
        <v>0</v>
      </c>
      <c r="NU12" s="27">
        <f t="shared" si="81"/>
        <v>0</v>
      </c>
      <c r="NV12" s="27">
        <f t="shared" si="82"/>
        <v>0</v>
      </c>
      <c r="NW12" s="27">
        <f t="shared" si="83"/>
        <v>0</v>
      </c>
      <c r="NX12" s="27">
        <f t="shared" si="84"/>
        <v>0</v>
      </c>
      <c r="NY12" s="27">
        <f t="shared" si="85"/>
        <v>897.15360229291218</v>
      </c>
      <c r="NZ12" s="27">
        <f t="shared" si="86"/>
        <v>0</v>
      </c>
      <c r="OA12" s="27">
        <f t="shared" si="87"/>
        <v>6898.5280667828401</v>
      </c>
      <c r="OB12" s="280"/>
      <c r="OC12" s="24">
        <f t="shared" si="88"/>
        <v>349.54339982995594</v>
      </c>
      <c r="OD12" s="27">
        <f t="shared" si="89"/>
        <v>0</v>
      </c>
      <c r="OE12" s="28">
        <f t="shared" si="1"/>
        <v>8145.2250689057082</v>
      </c>
      <c r="OF12" s="27">
        <f t="shared" si="90"/>
        <v>0</v>
      </c>
      <c r="OG12" s="27">
        <f t="shared" si="90"/>
        <v>0</v>
      </c>
      <c r="OH12" s="27">
        <f t="shared" si="90"/>
        <v>0</v>
      </c>
      <c r="OI12" s="27">
        <f t="shared" si="90"/>
        <v>0</v>
      </c>
      <c r="OJ12" s="27">
        <f t="shared" si="90"/>
        <v>0</v>
      </c>
      <c r="OK12" s="27">
        <f t="shared" si="90"/>
        <v>0</v>
      </c>
      <c r="OL12" s="24">
        <f t="shared" si="90"/>
        <v>0</v>
      </c>
      <c r="OM12" s="27">
        <f t="shared" si="90"/>
        <v>0</v>
      </c>
      <c r="ON12" s="24">
        <f t="shared" si="90"/>
        <v>16357.983599111012</v>
      </c>
      <c r="OO12" s="27">
        <f t="shared" si="90"/>
        <v>0</v>
      </c>
      <c r="OP12" s="27">
        <f t="shared" si="90"/>
        <v>2216.0751679329142</v>
      </c>
      <c r="OQ12" s="27">
        <f t="shared" si="90"/>
        <v>0</v>
      </c>
      <c r="OR12" s="28">
        <f t="shared" si="2"/>
        <v>18574.058767043927</v>
      </c>
      <c r="OS12" s="36"/>
      <c r="OT12" s="27"/>
      <c r="OU12" s="27"/>
      <c r="OV12" s="27"/>
      <c r="OW12" s="27"/>
      <c r="OX12" s="27"/>
      <c r="OY12" s="28">
        <f t="shared" si="91"/>
        <v>0</v>
      </c>
      <c r="OZ12" s="36">
        <f t="shared" si="92"/>
        <v>0</v>
      </c>
      <c r="PA12" s="27">
        <f t="shared" si="93"/>
        <v>0</v>
      </c>
      <c r="PB12" s="27">
        <f t="shared" si="94"/>
        <v>0</v>
      </c>
      <c r="PC12" s="27">
        <f t="shared" si="95"/>
        <v>0</v>
      </c>
      <c r="PD12" s="27">
        <f t="shared" si="96"/>
        <v>0</v>
      </c>
      <c r="PE12" s="27">
        <f t="shared" si="97"/>
        <v>0</v>
      </c>
      <c r="PF12" s="33">
        <f t="shared" si="3"/>
        <v>0</v>
      </c>
      <c r="PG12" s="2621"/>
      <c r="PI12" s="1907">
        <v>0</v>
      </c>
      <c r="PJ12" s="3">
        <v>0</v>
      </c>
      <c r="PK12" s="3">
        <v>0</v>
      </c>
      <c r="PL12" s="3">
        <f t="shared" si="98"/>
        <v>0</v>
      </c>
      <c r="PM12" s="3">
        <f t="shared" si="99"/>
        <v>499.35538769389285</v>
      </c>
      <c r="PN12" s="11">
        <f t="shared" si="100"/>
        <v>19695.395201279462</v>
      </c>
      <c r="PO12" s="15"/>
      <c r="PP12" s="2615"/>
      <c r="PR12" s="4"/>
      <c r="PS12" s="9"/>
      <c r="PT12" s="9"/>
      <c r="PU12" s="9"/>
      <c r="PV12" s="9">
        <v>0</v>
      </c>
      <c r="PW12" s="9"/>
      <c r="PX12" s="8">
        <f t="shared" si="101"/>
        <v>0</v>
      </c>
      <c r="PY12" s="5">
        <f t="shared" si="102"/>
        <v>0</v>
      </c>
      <c r="PZ12" s="5"/>
      <c r="QA12" s="5"/>
      <c r="QB12" s="5"/>
      <c r="QC12" s="5"/>
      <c r="QD12" s="5"/>
      <c r="QE12" s="12">
        <f t="shared" si="103"/>
        <v>29562.488999999998</v>
      </c>
      <c r="QF12" s="420">
        <f t="shared" si="104"/>
        <v>406860.73955851002</v>
      </c>
      <c r="QG12" s="1106">
        <f t="shared" si="105"/>
        <v>357.88</v>
      </c>
      <c r="QH12" s="484">
        <f t="shared" si="106"/>
        <v>5505.3678056099998</v>
      </c>
      <c r="QI12" s="12"/>
      <c r="QJ12" s="2615"/>
      <c r="QL12" s="139" t="str">
        <f t="shared" si="107"/>
        <v/>
      </c>
      <c r="QM12" s="139" t="str">
        <f t="shared" si="108"/>
        <v/>
      </c>
      <c r="QO12" s="139" t="str">
        <f t="shared" si="109"/>
        <v/>
      </c>
      <c r="QP12" s="139" t="str">
        <f t="shared" si="110"/>
        <v/>
      </c>
      <c r="QR12" s="1">
        <f t="shared" si="111"/>
        <v>0</v>
      </c>
      <c r="QS12" s="1">
        <f t="shared" si="112"/>
        <v>0</v>
      </c>
      <c r="QT12" s="1">
        <f t="shared" si="113"/>
        <v>0</v>
      </c>
      <c r="QU12" s="1">
        <f t="shared" si="114"/>
        <v>0</v>
      </c>
      <c r="QV12" s="1">
        <f t="shared" si="115"/>
        <v>0</v>
      </c>
      <c r="QW12" s="1">
        <f t="shared" si="116"/>
        <v>0</v>
      </c>
      <c r="QY12" s="1">
        <f t="shared" si="117"/>
        <v>0</v>
      </c>
      <c r="QZ12" s="1">
        <f t="shared" si="118"/>
        <v>0</v>
      </c>
      <c r="RA12" s="1">
        <f t="shared" si="119"/>
        <v>0</v>
      </c>
      <c r="RB12" s="1">
        <f t="shared" si="120"/>
        <v>0</v>
      </c>
      <c r="RC12" s="1">
        <f t="shared" si="121"/>
        <v>0</v>
      </c>
      <c r="RD12" s="1">
        <f t="shared" si="122"/>
        <v>0</v>
      </c>
      <c r="RG12" s="1">
        <v>3</v>
      </c>
      <c r="RH12" s="1">
        <f t="shared" si="123"/>
        <v>48160.261751083162</v>
      </c>
      <c r="RI12" s="1">
        <f t="shared" si="123"/>
        <v>13233.123549862281</v>
      </c>
      <c r="RJ12" s="1">
        <f t="shared" si="123"/>
        <v>9178.5689913333827</v>
      </c>
      <c r="RK12" s="89">
        <f t="shared" si="5"/>
        <v>70571.954292278824</v>
      </c>
      <c r="RL12" s="1033">
        <v>3</v>
      </c>
      <c r="RM12" s="1098">
        <f t="shared" si="124"/>
        <v>0</v>
      </c>
      <c r="RN12" s="1098">
        <f t="shared" si="125"/>
        <v>0</v>
      </c>
      <c r="RO12" s="1097">
        <f t="shared" si="125"/>
        <v>0</v>
      </c>
      <c r="RP12" s="1097">
        <f t="shared" si="126"/>
        <v>9640.7999999999993</v>
      </c>
      <c r="RQ12" s="1094"/>
      <c r="RR12" s="1094" t="s">
        <v>812</v>
      </c>
      <c r="RU12" s="421">
        <v>3</v>
      </c>
      <c r="RV12" s="1095">
        <f t="shared" si="127"/>
        <v>0</v>
      </c>
      <c r="RW12" s="1094"/>
      <c r="RY12" s="1090"/>
      <c r="RZ12" s="1090">
        <f t="shared" si="128"/>
        <v>0</v>
      </c>
      <c r="SA12" s="1090"/>
      <c r="SB12" s="1090">
        <f t="shared" si="129"/>
        <v>0</v>
      </c>
      <c r="SD12" s="1">
        <v>3</v>
      </c>
      <c r="SE12" s="1">
        <f t="shared" si="130"/>
        <v>0</v>
      </c>
      <c r="SF12" s="1094"/>
    </row>
    <row r="13" spans="1:500" s="1" customFormat="1" ht="16.95" customHeight="1">
      <c r="B13" s="471">
        <v>4</v>
      </c>
      <c r="C13" s="4">
        <f t="shared" si="6"/>
        <v>123963</v>
      </c>
      <c r="D13" s="1590">
        <f t="shared" si="131"/>
        <v>7487.3600000000006</v>
      </c>
      <c r="E13" s="1895">
        <f t="shared" si="7"/>
        <v>16.556302889135821</v>
      </c>
      <c r="F13" s="870"/>
      <c r="G13" s="870"/>
      <c r="H13" s="52">
        <v>45</v>
      </c>
      <c r="I13" s="61">
        <v>9.67</v>
      </c>
      <c r="J13" s="52"/>
      <c r="K13" s="61"/>
      <c r="L13" s="52">
        <v>10.83</v>
      </c>
      <c r="M13" s="61">
        <v>6.15</v>
      </c>
      <c r="N13" s="2629"/>
      <c r="O13" s="4">
        <f t="shared" si="132"/>
        <v>80472</v>
      </c>
      <c r="P13" s="1225">
        <f t="shared" si="8"/>
        <v>4904.26</v>
      </c>
      <c r="Q13" s="1913">
        <f t="shared" si="9"/>
        <v>16.408591714142396</v>
      </c>
      <c r="R13" s="33"/>
      <c r="S13" s="26">
        <f t="shared" si="10"/>
        <v>24105</v>
      </c>
      <c r="T13" s="27">
        <f t="shared" si="11"/>
        <v>1543.1000000000001</v>
      </c>
      <c r="U13" s="1909">
        <f t="shared" si="12"/>
        <v>15.621152226038493</v>
      </c>
      <c r="V13" s="28"/>
      <c r="W13" s="1742">
        <f t="shared" si="13"/>
        <v>19386</v>
      </c>
      <c r="X13" s="5">
        <f t="shared" si="13"/>
        <v>1040</v>
      </c>
      <c r="Y13" s="1738">
        <f t="shared" si="14"/>
        <v>18.640384615384615</v>
      </c>
      <c r="Z13" s="33"/>
      <c r="AA13" s="26">
        <f t="shared" si="15"/>
        <v>0</v>
      </c>
      <c r="AB13" s="27">
        <f t="shared" si="16"/>
        <v>0</v>
      </c>
      <c r="AC13" s="53">
        <f t="shared" si="17"/>
        <v>0</v>
      </c>
      <c r="AD13" s="28"/>
      <c r="AE13" s="36"/>
      <c r="AF13" s="36"/>
      <c r="AG13" s="53">
        <f t="shared" si="18"/>
        <v>0</v>
      </c>
      <c r="AH13" s="28"/>
      <c r="AI13" s="26"/>
      <c r="AJ13" s="27"/>
      <c r="AK13" s="53">
        <f t="shared" si="19"/>
        <v>0</v>
      </c>
      <c r="AL13" s="28"/>
      <c r="AM13" s="2629"/>
      <c r="AN13" s="9"/>
      <c r="AO13" s="5"/>
      <c r="AP13" s="61">
        <f t="shared" si="20"/>
        <v>0</v>
      </c>
      <c r="AQ13" s="36"/>
      <c r="AR13" s="53"/>
      <c r="AS13" s="61">
        <f t="shared" si="21"/>
        <v>0</v>
      </c>
      <c r="AT13" s="36"/>
      <c r="AU13" s="27"/>
      <c r="AV13" s="61">
        <f t="shared" si="22"/>
        <v>0</v>
      </c>
      <c r="AW13" s="36">
        <v>39144</v>
      </c>
      <c r="AX13" s="27">
        <v>2569.1</v>
      </c>
      <c r="AY13" s="1735">
        <f t="shared" si="23"/>
        <v>15.236464131407887</v>
      </c>
      <c r="AZ13" s="36"/>
      <c r="BA13" s="27"/>
      <c r="BB13" s="61">
        <f t="shared" si="24"/>
        <v>0</v>
      </c>
      <c r="BC13" s="1740">
        <v>41328</v>
      </c>
      <c r="BD13" s="1736">
        <v>2335.16</v>
      </c>
      <c r="BE13" s="1735">
        <f t="shared" si="25"/>
        <v>17.698144880864696</v>
      </c>
      <c r="BF13" s="36"/>
      <c r="BG13" s="53"/>
      <c r="BH13" s="61">
        <f t="shared" si="26"/>
        <v>0</v>
      </c>
      <c r="BI13" s="36">
        <v>0</v>
      </c>
      <c r="BJ13" s="53">
        <v>0</v>
      </c>
      <c r="BK13" s="61">
        <f t="shared" si="27"/>
        <v>0</v>
      </c>
      <c r="BL13" s="1742">
        <v>24105</v>
      </c>
      <c r="BM13" s="1909">
        <v>1543.1000000000001</v>
      </c>
      <c r="BN13" s="1735">
        <f t="shared" si="28"/>
        <v>15.621152226038493</v>
      </c>
      <c r="BO13" s="1125"/>
      <c r="BP13" s="53"/>
      <c r="BQ13" s="61">
        <f t="shared" si="29"/>
        <v>0</v>
      </c>
      <c r="BR13" s="36"/>
      <c r="BS13" s="53"/>
      <c r="BT13" s="61">
        <f t="shared" si="30"/>
        <v>0</v>
      </c>
      <c r="BU13" s="36">
        <v>19386</v>
      </c>
      <c r="BV13" s="5">
        <v>1040</v>
      </c>
      <c r="BW13" s="1906">
        <f t="shared" si="31"/>
        <v>18.640384615384615</v>
      </c>
      <c r="BX13" s="26"/>
      <c r="BY13" s="27"/>
      <c r="BZ13" s="61">
        <f t="shared" si="32"/>
        <v>0</v>
      </c>
      <c r="CA13" s="36"/>
      <c r="CB13" s="5"/>
      <c r="CC13" s="482">
        <f t="shared" si="33"/>
        <v>0</v>
      </c>
      <c r="CD13" s="4"/>
      <c r="CE13" s="5"/>
      <c r="CF13" s="28">
        <f t="shared" si="34"/>
        <v>0</v>
      </c>
      <c r="CG13" s="150"/>
      <c r="CH13" s="4"/>
      <c r="CI13" s="5"/>
      <c r="CJ13" s="5"/>
      <c r="CK13" s="5">
        <v>8137.5</v>
      </c>
      <c r="CL13" s="5"/>
      <c r="CM13" s="5">
        <f t="shared" si="35"/>
        <v>8137.5</v>
      </c>
      <c r="CN13" s="33"/>
      <c r="CO13" s="366"/>
      <c r="CQ13" s="4">
        <f t="shared" si="36"/>
        <v>0</v>
      </c>
      <c r="CR13" s="9">
        <f t="shared" si="37"/>
        <v>0</v>
      </c>
      <c r="CS13" s="5">
        <f t="shared" si="38"/>
        <v>0</v>
      </c>
      <c r="CT13" s="5">
        <f t="shared" si="39"/>
        <v>0</v>
      </c>
      <c r="CU13" s="5">
        <f t="shared" si="40"/>
        <v>0</v>
      </c>
      <c r="CV13" s="5">
        <f t="shared" si="41"/>
        <v>0</v>
      </c>
      <c r="CW13" s="5">
        <f t="shared" si="42"/>
        <v>0</v>
      </c>
      <c r="CX13" s="5">
        <f t="shared" si="43"/>
        <v>0</v>
      </c>
      <c r="CY13" s="5">
        <f t="shared" si="44"/>
        <v>6447.36</v>
      </c>
      <c r="CZ13" s="5">
        <f t="shared" si="45"/>
        <v>0</v>
      </c>
      <c r="DA13" s="5">
        <f t="shared" si="46"/>
        <v>1040</v>
      </c>
      <c r="DB13" s="12">
        <f t="shared" si="47"/>
        <v>0</v>
      </c>
      <c r="DC13" s="310">
        <f t="shared" si="48"/>
        <v>7487.36</v>
      </c>
      <c r="DD13" s="2695"/>
      <c r="DE13" s="8"/>
      <c r="DF13" s="9"/>
      <c r="DG13" s="5"/>
      <c r="DH13" s="5"/>
      <c r="DI13" s="5"/>
      <c r="DJ13" s="5"/>
      <c r="DK13" s="5">
        <v>0</v>
      </c>
      <c r="DL13" s="5"/>
      <c r="DM13" s="5">
        <v>2569.1</v>
      </c>
      <c r="DN13" s="5"/>
      <c r="DO13" s="5"/>
      <c r="DP13" s="12"/>
      <c r="DQ13" s="1906">
        <f t="shared" si="49"/>
        <v>2569.1</v>
      </c>
      <c r="DR13" s="36"/>
      <c r="DS13" s="36"/>
      <c r="DT13" s="27"/>
      <c r="DU13" s="27"/>
      <c r="DV13" s="5"/>
      <c r="DW13" s="5"/>
      <c r="DX13" s="64"/>
      <c r="DY13" s="5"/>
      <c r="DZ13" s="5">
        <v>3878.2599999999998</v>
      </c>
      <c r="EA13" s="27"/>
      <c r="EB13" s="27">
        <v>0</v>
      </c>
      <c r="EC13" s="33"/>
      <c r="ED13" s="28">
        <f t="shared" si="50"/>
        <v>3878.2599999999998</v>
      </c>
      <c r="EE13" s="9"/>
      <c r="EF13" s="9"/>
      <c r="EG13" s="5"/>
      <c r="EH13" s="5"/>
      <c r="EI13" s="27"/>
      <c r="EJ13" s="27"/>
      <c r="EK13" s="27"/>
      <c r="EL13" s="27"/>
      <c r="EM13" s="5"/>
      <c r="EN13" s="5"/>
      <c r="EO13" s="5">
        <v>1040</v>
      </c>
      <c r="EP13" s="33"/>
      <c r="EQ13" s="28">
        <f t="shared" si="51"/>
        <v>1040</v>
      </c>
      <c r="ER13" s="36"/>
      <c r="ES13" s="27"/>
      <c r="ET13" s="27"/>
      <c r="EU13" s="27"/>
      <c r="EV13" s="27"/>
      <c r="EW13" s="27"/>
      <c r="EX13" s="33">
        <f t="shared" si="52"/>
        <v>0</v>
      </c>
      <c r="EY13" s="2685"/>
      <c r="FA13" s="4">
        <f t="shared" si="53"/>
        <v>0</v>
      </c>
      <c r="FB13" s="5">
        <f t="shared" si="54"/>
        <v>0</v>
      </c>
      <c r="FC13" s="5">
        <f t="shared" si="55"/>
        <v>0</v>
      </c>
      <c r="FD13" s="12">
        <f t="shared" si="56"/>
        <v>0</v>
      </c>
      <c r="FE13" s="33"/>
      <c r="FF13" s="2674"/>
      <c r="FG13" s="9"/>
      <c r="FH13" s="5"/>
      <c r="FI13" s="5"/>
      <c r="FJ13" s="5"/>
      <c r="FK13" s="5"/>
      <c r="FL13" s="27"/>
      <c r="FM13" s="28">
        <f t="shared" si="57"/>
        <v>0</v>
      </c>
      <c r="FN13" s="36"/>
      <c r="FO13" s="27"/>
      <c r="FP13" s="27"/>
      <c r="FQ13" s="27"/>
      <c r="FR13" s="27"/>
      <c r="FS13" s="27"/>
      <c r="FT13" s="28">
        <f t="shared" si="58"/>
        <v>0</v>
      </c>
      <c r="FU13" s="36"/>
      <c r="FV13" s="36"/>
      <c r="FW13" s="27"/>
      <c r="FX13" s="27"/>
      <c r="FY13" s="27"/>
      <c r="FZ13" s="27"/>
      <c r="GA13" s="27"/>
      <c r="GB13" s="27"/>
      <c r="GC13" s="27"/>
      <c r="GD13" s="27"/>
      <c r="GE13" s="27"/>
      <c r="GF13" s="33"/>
      <c r="GG13" s="33">
        <f t="shared" si="59"/>
        <v>0</v>
      </c>
      <c r="GH13" s="2674"/>
      <c r="GJ13" s="2">
        <f t="shared" si="133"/>
        <v>1453.3</v>
      </c>
      <c r="GK13" s="63">
        <f t="shared" si="134"/>
        <v>1288.92</v>
      </c>
      <c r="GL13" s="24">
        <f t="shared" si="135"/>
        <v>1420.8999999999999</v>
      </c>
      <c r="GM13" s="1736">
        <f t="shared" si="60"/>
        <v>4163.12</v>
      </c>
      <c r="GN13" s="141"/>
      <c r="GO13" s="141"/>
      <c r="GP13" s="33"/>
      <c r="GQ13" s="2667"/>
      <c r="GR13" s="1740">
        <v>4163.119999999999</v>
      </c>
      <c r="GS13" s="1723">
        <v>0</v>
      </c>
      <c r="GT13" s="1723">
        <v>0</v>
      </c>
      <c r="GU13" s="1723">
        <v>0</v>
      </c>
      <c r="GV13" s="1724">
        <f t="shared" si="61"/>
        <v>4163.119999999999</v>
      </c>
      <c r="GW13" s="2667"/>
      <c r="GX13" s="36"/>
      <c r="GY13" s="36"/>
      <c r="GZ13" s="27"/>
      <c r="HA13" s="27"/>
      <c r="HB13" s="27"/>
      <c r="HC13" s="27"/>
      <c r="HD13" s="27"/>
      <c r="HE13" s="27"/>
      <c r="HF13" s="27">
        <v>1063.8499999999999</v>
      </c>
      <c r="HG13" s="27"/>
      <c r="HH13" s="27">
        <v>389.45</v>
      </c>
      <c r="HI13" s="27"/>
      <c r="HJ13" s="27">
        <v>0</v>
      </c>
      <c r="HK13" s="27"/>
      <c r="HL13" s="28">
        <f t="shared" si="62"/>
        <v>1453.3</v>
      </c>
      <c r="HM13" s="36"/>
      <c r="HN13" s="27"/>
      <c r="HO13" s="27"/>
      <c r="HP13" s="27"/>
      <c r="HQ13" s="27"/>
      <c r="HR13" s="27"/>
      <c r="HS13" s="27" cm="1">
        <f t="array" ref="HS13">SUMPRODUCT(('Data Base hauling'!$C$2:$C$216="TCM-ROM SB1 BK05-ROM 4")*(ISNUMBER(SEARCH(TEXT('March TCM'!$B13,"00")&amp;"/03/2026",'Data Base hauling'!$E$2:$E$216)))*'Data Base hauling'!$N$2:$N$216)</f>
        <v>0</v>
      </c>
      <c r="HT13" s="27"/>
      <c r="HU13" s="27" cm="1">
        <f t="array" ref="HU13">SUMPRODUCT(('Data Base hauling'!$C$2:$C$216="TCM-ROM SB1 BK05-ROM 5")*(ISNUMBER(SEARCH(TEXT('March TCM'!$B13,"00")&amp;"/03/2026",'Data Base hauling'!$E$2:$E$216)))*'Data Base hauling'!$N$2:$N$216)</f>
        <v>0</v>
      </c>
      <c r="HV13" s="27"/>
      <c r="HW13" s="27"/>
      <c r="HX13" s="27"/>
      <c r="HY13" s="27"/>
      <c r="HZ13" s="27"/>
      <c r="IA13" s="33">
        <f t="shared" si="63"/>
        <v>0</v>
      </c>
      <c r="IB13" s="845"/>
      <c r="IC13" s="363"/>
      <c r="ID13" s="64"/>
      <c r="IE13" s="64"/>
      <c r="IF13" s="64"/>
      <c r="IG13" s="64"/>
      <c r="IH13" s="64">
        <v>412.15</v>
      </c>
      <c r="II13" s="64"/>
      <c r="IJ13" s="1590">
        <v>876.77</v>
      </c>
      <c r="IK13" s="64"/>
      <c r="IL13" s="64">
        <v>0</v>
      </c>
      <c r="IM13" s="64"/>
      <c r="IN13" s="64"/>
      <c r="IO13" s="49">
        <v>0</v>
      </c>
      <c r="IP13" s="61">
        <f t="shared" si="64"/>
        <v>1288.92</v>
      </c>
      <c r="IQ13" s="36"/>
      <c r="IR13" s="36"/>
      <c r="IS13" s="27"/>
      <c r="IT13" s="27"/>
      <c r="IU13" s="53"/>
      <c r="IV13" s="27"/>
      <c r="IW13" s="27">
        <v>0</v>
      </c>
      <c r="IX13" s="27"/>
      <c r="IY13" s="27">
        <v>1338.3999999999999</v>
      </c>
      <c r="IZ13" s="27"/>
      <c r="JA13" s="27">
        <v>82.5</v>
      </c>
      <c r="JB13" s="27"/>
      <c r="JC13" s="27"/>
      <c r="JD13" s="27"/>
      <c r="JE13" s="33">
        <f t="shared" si="138"/>
        <v>1420.8999999999999</v>
      </c>
      <c r="JF13" s="2667"/>
      <c r="JH13" s="2018">
        <v>2716.45</v>
      </c>
      <c r="JI13" s="2017">
        <v>1446.6699999999998</v>
      </c>
      <c r="JJ13" s="53"/>
      <c r="JK13" s="1736">
        <f t="shared" si="65"/>
        <v>4163.12</v>
      </c>
      <c r="JL13" s="33"/>
      <c r="JM13" s="2669"/>
      <c r="JN13" s="69">
        <v>0</v>
      </c>
      <c r="JO13" s="70">
        <v>0</v>
      </c>
      <c r="JP13" s="70">
        <v>0</v>
      </c>
      <c r="JQ13" s="70">
        <v>0</v>
      </c>
      <c r="JR13" s="70">
        <v>1</v>
      </c>
      <c r="JS13" s="70">
        <v>0</v>
      </c>
      <c r="JT13" s="70">
        <v>0</v>
      </c>
      <c r="JU13" s="1922">
        <v>0</v>
      </c>
      <c r="JV13" s="69">
        <v>0</v>
      </c>
      <c r="JW13" s="70">
        <v>0</v>
      </c>
      <c r="JX13" s="70">
        <v>0</v>
      </c>
      <c r="JY13" s="70">
        <v>0.2848956569224495</v>
      </c>
      <c r="JZ13" s="70">
        <v>0.38887237587010171</v>
      </c>
      <c r="KA13" s="70">
        <v>0.32623196720744885</v>
      </c>
      <c r="KB13" s="70">
        <v>0</v>
      </c>
      <c r="KC13" s="71">
        <v>0</v>
      </c>
      <c r="KD13" s="69"/>
      <c r="KE13" s="70"/>
      <c r="KF13" s="70"/>
      <c r="KG13" s="70"/>
      <c r="KH13" s="70"/>
      <c r="KI13" s="70"/>
      <c r="KJ13" s="70"/>
      <c r="KK13" s="70"/>
      <c r="KL13" s="33"/>
      <c r="KM13" s="2669"/>
      <c r="KN13" s="1740">
        <v>6897</v>
      </c>
      <c r="KO13" s="1723">
        <v>0.8600000000000001</v>
      </c>
      <c r="KP13" s="1723">
        <v>2.89</v>
      </c>
      <c r="KQ13" s="1723">
        <v>8.83</v>
      </c>
      <c r="KR13" s="1724">
        <v>16.205652999999998</v>
      </c>
      <c r="KS13" s="1741">
        <v>6674</v>
      </c>
      <c r="KT13" s="1726">
        <v>2.4500000000000002</v>
      </c>
      <c r="KU13" s="1726">
        <v>6.29</v>
      </c>
      <c r="KV13" s="1726">
        <v>6.4700000000000006</v>
      </c>
      <c r="KW13" s="1963">
        <v>10.903321999999999</v>
      </c>
      <c r="KX13" s="36"/>
      <c r="KY13" s="53"/>
      <c r="KZ13" s="53"/>
      <c r="LA13" s="53"/>
      <c r="LB13" s="53"/>
      <c r="LC13" s="33"/>
      <c r="LD13" s="2669"/>
      <c r="LF13" s="998">
        <f t="shared" si="66"/>
        <v>14576.810000000001</v>
      </c>
      <c r="LG13" s="27">
        <f t="shared" si="66"/>
        <v>0</v>
      </c>
      <c r="LH13" s="27">
        <f t="shared" si="66"/>
        <v>0</v>
      </c>
      <c r="LI13" s="28">
        <f t="shared" si="67"/>
        <v>14576.810000000001</v>
      </c>
      <c r="LJ13" s="36">
        <v>2</v>
      </c>
      <c r="LK13" s="27"/>
      <c r="LL13" s="27">
        <v>1</v>
      </c>
      <c r="LM13" s="33"/>
      <c r="LN13" s="1041">
        <v>6.29</v>
      </c>
      <c r="LO13" s="486"/>
      <c r="LP13" s="2688"/>
      <c r="LQ13" s="21">
        <v>14576.810000000001</v>
      </c>
      <c r="LR13" s="27"/>
      <c r="LS13" s="27"/>
      <c r="LT13" s="27"/>
      <c r="LU13" s="27"/>
      <c r="LV13" s="1117">
        <f t="shared" si="68"/>
        <v>14576.810000000001</v>
      </c>
      <c r="LW13" s="36"/>
      <c r="LX13" s="36"/>
      <c r="LY13" s="27"/>
      <c r="LZ13" s="27"/>
      <c r="MA13" s="33"/>
      <c r="MB13" s="28">
        <f t="shared" si="69"/>
        <v>0</v>
      </c>
      <c r="MC13" s="26"/>
      <c r="MD13" s="36"/>
      <c r="ME13" s="27"/>
      <c r="MF13" s="27"/>
      <c r="MG13" s="27"/>
      <c r="MH13" s="28"/>
      <c r="MI13" s="36"/>
      <c r="MJ13" s="36"/>
      <c r="MK13" s="27"/>
      <c r="ML13" s="27"/>
      <c r="MM13" s="27"/>
      <c r="MN13" s="28"/>
      <c r="MO13" s="36"/>
      <c r="MP13" s="36"/>
      <c r="MQ13" s="27"/>
      <c r="MR13" s="27"/>
      <c r="MS13" s="27"/>
      <c r="MT13" s="33">
        <f t="shared" si="70"/>
        <v>0</v>
      </c>
      <c r="MU13" s="2688"/>
      <c r="MW13" s="26">
        <f t="shared" si="71"/>
        <v>90786.126645013384</v>
      </c>
      <c r="MX13" s="27">
        <f t="shared" si="72"/>
        <v>77834.092248823508</v>
      </c>
      <c r="MY13" s="27">
        <f t="shared" si="73"/>
        <v>19695.395201279462</v>
      </c>
      <c r="MZ13" s="28">
        <f t="shared" si="74"/>
        <v>436781.10855851002</v>
      </c>
      <c r="NA13" s="2621"/>
      <c r="NB13" s="23">
        <f t="shared" si="75"/>
        <v>61863.752137467847</v>
      </c>
      <c r="NC13" s="1579">
        <f t="shared" si="76"/>
        <v>28922.374507545537</v>
      </c>
      <c r="ND13" s="60">
        <f t="shared" si="77"/>
        <v>0</v>
      </c>
      <c r="NE13" s="275">
        <f t="shared" si="4"/>
        <v>90786.126645013384</v>
      </c>
      <c r="NF13" s="26">
        <f t="shared" si="78"/>
        <v>0</v>
      </c>
      <c r="NG13" s="27">
        <f t="shared" si="78"/>
        <v>0</v>
      </c>
      <c r="NH13" s="27">
        <f t="shared" si="78"/>
        <v>0</v>
      </c>
      <c r="NI13" s="27">
        <f t="shared" si="78"/>
        <v>0</v>
      </c>
      <c r="NJ13" s="27">
        <f t="shared" si="78"/>
        <v>0</v>
      </c>
      <c r="NK13" s="33">
        <f t="shared" si="78"/>
        <v>0</v>
      </c>
      <c r="NL13" s="27">
        <f t="shared" si="78"/>
        <v>0</v>
      </c>
      <c r="NM13" s="36">
        <f t="shared" si="78"/>
        <v>0</v>
      </c>
      <c r="NN13" s="24">
        <f t="shared" si="78"/>
        <v>7543.8505665631455</v>
      </c>
      <c r="NO13" s="27">
        <f t="shared" si="78"/>
        <v>26196.69549600617</v>
      </c>
      <c r="NP13" s="24">
        <f t="shared" si="136"/>
        <v>8756.5482322711578</v>
      </c>
      <c r="NQ13" s="24">
        <f t="shared" si="137"/>
        <v>4880.1741180334084</v>
      </c>
      <c r="NR13" s="27">
        <f t="shared" si="0"/>
        <v>47377.268412873877</v>
      </c>
      <c r="NS13" s="27">
        <f t="shared" si="79"/>
        <v>0</v>
      </c>
      <c r="NT13" s="27">
        <f t="shared" si="80"/>
        <v>0</v>
      </c>
      <c r="NU13" s="27">
        <f t="shared" si="81"/>
        <v>0</v>
      </c>
      <c r="NV13" s="27">
        <f t="shared" si="82"/>
        <v>0</v>
      </c>
      <c r="NW13" s="27">
        <f t="shared" si="83"/>
        <v>0</v>
      </c>
      <c r="NX13" s="27">
        <f t="shared" si="84"/>
        <v>0</v>
      </c>
      <c r="NY13" s="27">
        <f t="shared" si="85"/>
        <v>485.00360229291221</v>
      </c>
      <c r="NZ13" s="27">
        <f t="shared" si="86"/>
        <v>0</v>
      </c>
      <c r="OA13" s="27">
        <f t="shared" si="87"/>
        <v>8590.8580667828392</v>
      </c>
      <c r="OB13" s="280"/>
      <c r="OC13" s="24">
        <f t="shared" si="88"/>
        <v>349.54339982995594</v>
      </c>
      <c r="OD13" s="27">
        <f t="shared" si="89"/>
        <v>0</v>
      </c>
      <c r="OE13" s="28">
        <f t="shared" si="1"/>
        <v>9425.4050689057076</v>
      </c>
      <c r="OF13" s="27">
        <f t="shared" si="90"/>
        <v>0</v>
      </c>
      <c r="OG13" s="27">
        <f t="shared" si="90"/>
        <v>0</v>
      </c>
      <c r="OH13" s="27">
        <f t="shared" si="90"/>
        <v>0</v>
      </c>
      <c r="OI13" s="27">
        <f t="shared" si="90"/>
        <v>0</v>
      </c>
      <c r="OJ13" s="27">
        <f t="shared" si="90"/>
        <v>0</v>
      </c>
      <c r="OK13" s="27">
        <f t="shared" si="90"/>
        <v>0</v>
      </c>
      <c r="OL13" s="24">
        <f t="shared" si="90"/>
        <v>0</v>
      </c>
      <c r="OM13" s="27">
        <f t="shared" si="90"/>
        <v>0</v>
      </c>
      <c r="ON13" s="24">
        <f t="shared" si="90"/>
        <v>18897.843599111009</v>
      </c>
      <c r="OO13" s="27">
        <f t="shared" si="90"/>
        <v>0</v>
      </c>
      <c r="OP13" s="27">
        <f t="shared" si="90"/>
        <v>2133.5751679329142</v>
      </c>
      <c r="OQ13" s="27">
        <f t="shared" si="90"/>
        <v>0</v>
      </c>
      <c r="OR13" s="28">
        <f t="shared" si="2"/>
        <v>21031.418767043924</v>
      </c>
      <c r="OS13" s="36"/>
      <c r="OT13" s="27"/>
      <c r="OU13" s="27"/>
      <c r="OV13" s="27"/>
      <c r="OW13" s="27"/>
      <c r="OX13" s="27"/>
      <c r="OY13" s="28">
        <f t="shared" si="91"/>
        <v>0</v>
      </c>
      <c r="OZ13" s="36">
        <f t="shared" si="92"/>
        <v>0</v>
      </c>
      <c r="PA13" s="27">
        <f t="shared" si="93"/>
        <v>0</v>
      </c>
      <c r="PB13" s="27">
        <f t="shared" si="94"/>
        <v>0</v>
      </c>
      <c r="PC13" s="27">
        <f t="shared" si="95"/>
        <v>0</v>
      </c>
      <c r="PD13" s="27">
        <f t="shared" si="96"/>
        <v>0</v>
      </c>
      <c r="PE13" s="27">
        <f t="shared" si="97"/>
        <v>0</v>
      </c>
      <c r="PF13" s="33">
        <f t="shared" si="3"/>
        <v>0</v>
      </c>
      <c r="PG13" s="2621"/>
      <c r="PI13" s="1907">
        <v>0</v>
      </c>
      <c r="PJ13" s="3">
        <v>0</v>
      </c>
      <c r="PK13" s="3">
        <v>0</v>
      </c>
      <c r="PL13" s="3">
        <f t="shared" si="98"/>
        <v>0</v>
      </c>
      <c r="PM13" s="3">
        <f t="shared" si="99"/>
        <v>499.35538769389285</v>
      </c>
      <c r="PN13" s="11">
        <f t="shared" si="100"/>
        <v>19695.395201279462</v>
      </c>
      <c r="PO13" s="15"/>
      <c r="PP13" s="2615"/>
      <c r="PR13" s="4"/>
      <c r="PS13" s="9"/>
      <c r="PT13" s="9"/>
      <c r="PU13" s="9"/>
      <c r="PV13" s="9">
        <v>0</v>
      </c>
      <c r="PW13" s="9"/>
      <c r="PX13" s="8">
        <f t="shared" si="101"/>
        <v>0</v>
      </c>
      <c r="PY13" s="5">
        <f t="shared" si="102"/>
        <v>0</v>
      </c>
      <c r="PZ13" s="5"/>
      <c r="QA13" s="5"/>
      <c r="QB13" s="5"/>
      <c r="QC13" s="5"/>
      <c r="QD13" s="5"/>
      <c r="QE13" s="12">
        <f t="shared" si="103"/>
        <v>29562.488999999998</v>
      </c>
      <c r="QF13" s="420">
        <f t="shared" si="104"/>
        <v>406860.73955851002</v>
      </c>
      <c r="QG13" s="1106">
        <f t="shared" si="105"/>
        <v>357.88</v>
      </c>
      <c r="QH13" s="484">
        <f t="shared" si="106"/>
        <v>5505.3678056099998</v>
      </c>
      <c r="QI13" s="12"/>
      <c r="QJ13" s="2615"/>
      <c r="QL13" s="139">
        <f t="shared" si="107"/>
        <v>0</v>
      </c>
      <c r="QM13" s="139" t="str">
        <f t="shared" si="108"/>
        <v/>
      </c>
      <c r="QO13" s="139">
        <f t="shared" si="109"/>
        <v>0</v>
      </c>
      <c r="QP13" s="139">
        <f t="shared" si="110"/>
        <v>0</v>
      </c>
      <c r="QR13" s="1">
        <f t="shared" si="111"/>
        <v>0</v>
      </c>
      <c r="QS13" s="1">
        <f t="shared" si="112"/>
        <v>0</v>
      </c>
      <c r="QT13" s="1">
        <f t="shared" si="113"/>
        <v>0</v>
      </c>
      <c r="QU13" s="1">
        <f t="shared" si="114"/>
        <v>0</v>
      </c>
      <c r="QV13" s="1">
        <f t="shared" si="115"/>
        <v>0</v>
      </c>
      <c r="QW13" s="1">
        <f t="shared" si="116"/>
        <v>0</v>
      </c>
      <c r="QY13" s="1">
        <f t="shared" si="117"/>
        <v>0</v>
      </c>
      <c r="QZ13" s="1">
        <f t="shared" si="118"/>
        <v>0</v>
      </c>
      <c r="RA13" s="1">
        <f t="shared" si="119"/>
        <v>0</v>
      </c>
      <c r="RB13" s="1">
        <f t="shared" si="120"/>
        <v>0</v>
      </c>
      <c r="RC13" s="1">
        <f t="shared" si="121"/>
        <v>0</v>
      </c>
      <c r="RD13" s="1">
        <f t="shared" si="122"/>
        <v>0</v>
      </c>
      <c r="RG13" s="1">
        <v>4</v>
      </c>
      <c r="RH13" s="1">
        <f t="shared" si="123"/>
        <v>36299.901751083162</v>
      </c>
      <c r="RI13" s="1">
        <f t="shared" si="123"/>
        <v>14679.793549862281</v>
      </c>
      <c r="RJ13" s="1">
        <f t="shared" si="123"/>
        <v>9178.5689913333827</v>
      </c>
      <c r="RK13" s="89">
        <f t="shared" si="5"/>
        <v>60158.264292278829</v>
      </c>
      <c r="RL13" s="1033">
        <v>4</v>
      </c>
      <c r="RM13" s="1098">
        <f t="shared" si="124"/>
        <v>0</v>
      </c>
      <c r="RN13" s="1098">
        <f t="shared" si="125"/>
        <v>0</v>
      </c>
      <c r="RO13" s="1097">
        <f t="shared" si="125"/>
        <v>0</v>
      </c>
      <c r="RP13" s="1097">
        <f t="shared" si="126"/>
        <v>6447.36</v>
      </c>
      <c r="RQ13" s="1094"/>
      <c r="RR13" s="1094" t="s">
        <v>813</v>
      </c>
      <c r="RU13" s="421">
        <v>4</v>
      </c>
      <c r="RV13" s="1095">
        <f t="shared" si="127"/>
        <v>4163.119999999999</v>
      </c>
      <c r="RW13" s="1094" t="s">
        <v>814</v>
      </c>
      <c r="RY13" s="1090"/>
      <c r="RZ13" s="1090">
        <f t="shared" si="128"/>
        <v>0</v>
      </c>
      <c r="SA13" s="1090"/>
      <c r="SB13" s="1090">
        <f t="shared" si="129"/>
        <v>0</v>
      </c>
      <c r="SD13" s="1">
        <v>4</v>
      </c>
      <c r="SE13" s="1">
        <f t="shared" si="130"/>
        <v>0</v>
      </c>
      <c r="SF13" s="1094"/>
    </row>
    <row r="14" spans="1:500" s="1" customFormat="1" ht="13.5" customHeight="1">
      <c r="B14" s="471">
        <v>5</v>
      </c>
      <c r="C14" s="4">
        <f t="shared" si="6"/>
        <v>177450</v>
      </c>
      <c r="D14" s="1590">
        <f t="shared" si="131"/>
        <v>11473.589999999998</v>
      </c>
      <c r="E14" s="1895">
        <f t="shared" si="7"/>
        <v>15.465952679152736</v>
      </c>
      <c r="F14" s="870"/>
      <c r="G14" s="870"/>
      <c r="H14" s="52"/>
      <c r="I14" s="61"/>
      <c r="J14" s="52"/>
      <c r="K14" s="54"/>
      <c r="L14" s="52"/>
      <c r="M14" s="61"/>
      <c r="N14" s="2629"/>
      <c r="O14" s="4">
        <f t="shared" si="132"/>
        <v>104874</v>
      </c>
      <c r="P14" s="1225">
        <f t="shared" si="8"/>
        <v>7943.1999999999989</v>
      </c>
      <c r="Q14" s="1913">
        <f t="shared" si="9"/>
        <v>13.202991237788298</v>
      </c>
      <c r="R14" s="33"/>
      <c r="S14" s="26">
        <f t="shared" si="10"/>
        <v>35709</v>
      </c>
      <c r="T14" s="27">
        <f t="shared" si="11"/>
        <v>1890.39</v>
      </c>
      <c r="U14" s="1909">
        <f t="shared" si="12"/>
        <v>18.889752908130067</v>
      </c>
      <c r="V14" s="28"/>
      <c r="W14" s="1742">
        <f t="shared" si="13"/>
        <v>36867</v>
      </c>
      <c r="X14" s="5">
        <f t="shared" si="13"/>
        <v>1640</v>
      </c>
      <c r="Y14" s="1738">
        <f t="shared" si="14"/>
        <v>22.479878048780488</v>
      </c>
      <c r="Z14" s="33"/>
      <c r="AA14" s="26">
        <f t="shared" si="15"/>
        <v>0</v>
      </c>
      <c r="AB14" s="27">
        <f t="shared" si="16"/>
        <v>0</v>
      </c>
      <c r="AC14" s="53">
        <f t="shared" si="17"/>
        <v>0</v>
      </c>
      <c r="AD14" s="28"/>
      <c r="AE14" s="36"/>
      <c r="AF14" s="36"/>
      <c r="AG14" s="53">
        <f t="shared" si="18"/>
        <v>0</v>
      </c>
      <c r="AH14" s="28"/>
      <c r="AI14" s="23"/>
      <c r="AJ14" s="27"/>
      <c r="AK14" s="53">
        <f t="shared" si="19"/>
        <v>0</v>
      </c>
      <c r="AL14" s="28"/>
      <c r="AM14" s="2629"/>
      <c r="AN14" s="9"/>
      <c r="AO14" s="5"/>
      <c r="AP14" s="61">
        <f t="shared" si="20"/>
        <v>0</v>
      </c>
      <c r="AQ14" s="36"/>
      <c r="AR14" s="53"/>
      <c r="AS14" s="61">
        <f t="shared" si="21"/>
        <v>0</v>
      </c>
      <c r="AT14" s="36"/>
      <c r="AU14" s="27"/>
      <c r="AV14" s="61">
        <f t="shared" si="22"/>
        <v>0</v>
      </c>
      <c r="AW14" s="36">
        <v>69510</v>
      </c>
      <c r="AX14" s="27">
        <v>5197.1999999999989</v>
      </c>
      <c r="AY14" s="1735">
        <f t="shared" si="23"/>
        <v>13.374509351189104</v>
      </c>
      <c r="AZ14" s="36"/>
      <c r="BA14" s="27"/>
      <c r="BB14" s="61">
        <f t="shared" si="24"/>
        <v>0</v>
      </c>
      <c r="BC14" s="1740">
        <v>35364</v>
      </c>
      <c r="BD14" s="1736">
        <v>2746</v>
      </c>
      <c r="BE14" s="1735">
        <f t="shared" si="25"/>
        <v>12.87836853605244</v>
      </c>
      <c r="BF14" s="36"/>
      <c r="BG14" s="53"/>
      <c r="BH14" s="61">
        <f t="shared" si="26"/>
        <v>0</v>
      </c>
      <c r="BI14" s="36">
        <v>0</v>
      </c>
      <c r="BJ14" s="53">
        <v>0</v>
      </c>
      <c r="BK14" s="61">
        <f t="shared" si="27"/>
        <v>0</v>
      </c>
      <c r="BL14" s="1742">
        <v>35709</v>
      </c>
      <c r="BM14" s="1909">
        <v>1890.39</v>
      </c>
      <c r="BN14" s="1735">
        <f t="shared" si="28"/>
        <v>18.889752908130067</v>
      </c>
      <c r="BO14" s="36"/>
      <c r="BP14" s="53"/>
      <c r="BQ14" s="61">
        <f t="shared" si="29"/>
        <v>0</v>
      </c>
      <c r="BR14" s="36"/>
      <c r="BS14" s="53"/>
      <c r="BT14" s="61">
        <f t="shared" si="30"/>
        <v>0</v>
      </c>
      <c r="BU14" s="36">
        <v>36867</v>
      </c>
      <c r="BV14" s="5">
        <v>1640</v>
      </c>
      <c r="BW14" s="1906">
        <f t="shared" si="31"/>
        <v>22.479878048780488</v>
      </c>
      <c r="BX14" s="26"/>
      <c r="BY14" s="27"/>
      <c r="BZ14" s="61">
        <f t="shared" si="32"/>
        <v>0</v>
      </c>
      <c r="CA14" s="36"/>
      <c r="CB14" s="481"/>
      <c r="CC14" s="482">
        <f t="shared" si="33"/>
        <v>0</v>
      </c>
      <c r="CD14" s="4"/>
      <c r="CE14" s="5"/>
      <c r="CF14" s="28">
        <f t="shared" si="34"/>
        <v>0</v>
      </c>
      <c r="CG14" s="150"/>
      <c r="CH14" s="4"/>
      <c r="CI14" s="5"/>
      <c r="CJ14" s="5"/>
      <c r="CK14" s="5">
        <v>7500</v>
      </c>
      <c r="CL14" s="5"/>
      <c r="CM14" s="5">
        <f t="shared" si="35"/>
        <v>7500</v>
      </c>
      <c r="CN14" s="33"/>
      <c r="CO14" s="366"/>
      <c r="CQ14" s="4">
        <f t="shared" si="36"/>
        <v>0</v>
      </c>
      <c r="CR14" s="9">
        <f t="shared" si="37"/>
        <v>0</v>
      </c>
      <c r="CS14" s="5">
        <f t="shared" si="38"/>
        <v>0</v>
      </c>
      <c r="CT14" s="5">
        <f t="shared" si="39"/>
        <v>0</v>
      </c>
      <c r="CU14" s="5">
        <f t="shared" si="40"/>
        <v>0</v>
      </c>
      <c r="CV14" s="5">
        <f t="shared" si="41"/>
        <v>0</v>
      </c>
      <c r="CW14" s="5">
        <f t="shared" si="42"/>
        <v>1761</v>
      </c>
      <c r="CX14" s="5">
        <f t="shared" si="43"/>
        <v>0</v>
      </c>
      <c r="CY14" s="5">
        <f t="shared" si="44"/>
        <v>8712.59</v>
      </c>
      <c r="CZ14" s="5">
        <f t="shared" si="45"/>
        <v>0</v>
      </c>
      <c r="DA14" s="5">
        <f t="shared" si="46"/>
        <v>1000</v>
      </c>
      <c r="DB14" s="12">
        <f t="shared" si="47"/>
        <v>0</v>
      </c>
      <c r="DC14" s="310">
        <f t="shared" si="48"/>
        <v>11473.59</v>
      </c>
      <c r="DD14" s="2695"/>
      <c r="DE14" s="8"/>
      <c r="DF14" s="9"/>
      <c r="DG14" s="5"/>
      <c r="DH14" s="5"/>
      <c r="DI14" s="5"/>
      <c r="DJ14" s="5"/>
      <c r="DK14" s="5">
        <v>1761</v>
      </c>
      <c r="DL14" s="5"/>
      <c r="DM14" s="5">
        <v>3436.2000000000003</v>
      </c>
      <c r="DN14" s="5"/>
      <c r="DO14" s="5"/>
      <c r="DP14" s="12"/>
      <c r="DQ14" s="1906">
        <f t="shared" si="49"/>
        <v>5197.2000000000007</v>
      </c>
      <c r="DR14" s="36"/>
      <c r="DS14" s="36"/>
      <c r="DT14" s="27"/>
      <c r="DU14" s="27"/>
      <c r="DV14" s="5"/>
      <c r="DW14" s="5"/>
      <c r="DX14" s="5"/>
      <c r="DY14" s="5"/>
      <c r="DZ14" s="5">
        <v>4636.3900000000003</v>
      </c>
      <c r="EA14" s="53"/>
      <c r="EB14" s="27">
        <v>0</v>
      </c>
      <c r="EC14" s="33"/>
      <c r="ED14" s="28">
        <f t="shared" si="50"/>
        <v>4636.3900000000003</v>
      </c>
      <c r="EE14" s="9"/>
      <c r="EF14" s="9"/>
      <c r="EG14" s="5"/>
      <c r="EH14" s="5"/>
      <c r="EI14" s="27"/>
      <c r="EJ14" s="27"/>
      <c r="EK14" s="27"/>
      <c r="EL14" s="27"/>
      <c r="EM14" s="5">
        <v>640</v>
      </c>
      <c r="EN14" s="5"/>
      <c r="EO14" s="5">
        <v>1000</v>
      </c>
      <c r="EP14" s="33"/>
      <c r="EQ14" s="28">
        <f t="shared" si="51"/>
        <v>1640</v>
      </c>
      <c r="ER14" s="36"/>
      <c r="ES14" s="27"/>
      <c r="ET14" s="27"/>
      <c r="EU14" s="27"/>
      <c r="EV14" s="27"/>
      <c r="EW14" s="27"/>
      <c r="EX14" s="33">
        <f t="shared" si="52"/>
        <v>0</v>
      </c>
      <c r="EY14" s="2685"/>
      <c r="FA14" s="4">
        <f t="shared" si="53"/>
        <v>0</v>
      </c>
      <c r="FB14" s="5">
        <f t="shared" si="54"/>
        <v>0</v>
      </c>
      <c r="FC14" s="5">
        <f t="shared" si="55"/>
        <v>0</v>
      </c>
      <c r="FD14" s="12">
        <f t="shared" si="56"/>
        <v>0</v>
      </c>
      <c r="FE14" s="33"/>
      <c r="FF14" s="2674"/>
      <c r="FG14" s="9"/>
      <c r="FH14" s="5"/>
      <c r="FI14" s="5"/>
      <c r="FJ14" s="5"/>
      <c r="FK14" s="5"/>
      <c r="FL14" s="27"/>
      <c r="FM14" s="28">
        <f t="shared" si="57"/>
        <v>0</v>
      </c>
      <c r="FN14" s="36"/>
      <c r="FO14" s="27"/>
      <c r="FP14" s="27"/>
      <c r="FQ14" s="27"/>
      <c r="FR14" s="27"/>
      <c r="FS14" s="27"/>
      <c r="FT14" s="28">
        <f t="shared" si="58"/>
        <v>0</v>
      </c>
      <c r="FU14" s="36"/>
      <c r="FV14" s="36"/>
      <c r="FW14" s="27"/>
      <c r="FX14" s="27"/>
      <c r="FY14" s="27"/>
      <c r="FZ14" s="27"/>
      <c r="GA14" s="27"/>
      <c r="GB14" s="27"/>
      <c r="GC14" s="27"/>
      <c r="GD14" s="27"/>
      <c r="GE14" s="27"/>
      <c r="GF14" s="33"/>
      <c r="GG14" s="33">
        <f t="shared" si="59"/>
        <v>0</v>
      </c>
      <c r="GH14" s="2674"/>
      <c r="GJ14" s="2">
        <f t="shared" si="133"/>
        <v>1799.5500000000002</v>
      </c>
      <c r="GK14" s="63">
        <f t="shared" si="134"/>
        <v>537.45000000000005</v>
      </c>
      <c r="GL14" s="24">
        <f t="shared" si="135"/>
        <v>2750.8</v>
      </c>
      <c r="GM14" s="1736">
        <f t="shared" si="60"/>
        <v>5087.8</v>
      </c>
      <c r="GN14" s="141"/>
      <c r="GO14" s="141"/>
      <c r="GP14" s="33"/>
      <c r="GQ14" s="2667"/>
      <c r="GR14" s="1938">
        <v>5087.8</v>
      </c>
      <c r="GS14" s="1725">
        <v>0</v>
      </c>
      <c r="GT14" s="1725">
        <v>0</v>
      </c>
      <c r="GU14" s="1723">
        <v>0</v>
      </c>
      <c r="GV14" s="1724">
        <f t="shared" si="61"/>
        <v>5087.8</v>
      </c>
      <c r="GW14" s="2667"/>
      <c r="GX14" s="9"/>
      <c r="GY14" s="9"/>
      <c r="GZ14" s="5"/>
      <c r="HA14" s="5"/>
      <c r="HB14" s="5"/>
      <c r="HC14" s="5"/>
      <c r="HD14" s="5"/>
      <c r="HE14" s="5"/>
      <c r="HF14" s="5">
        <v>1799.5500000000002</v>
      </c>
      <c r="HG14" s="5"/>
      <c r="HH14" s="5">
        <v>0</v>
      </c>
      <c r="HI14" s="5"/>
      <c r="HJ14" s="5">
        <v>0</v>
      </c>
      <c r="HK14" s="5"/>
      <c r="HL14" s="15">
        <f t="shared" si="62"/>
        <v>1799.5500000000002</v>
      </c>
      <c r="HM14" s="9"/>
      <c r="HN14" s="5"/>
      <c r="HO14" s="5"/>
      <c r="HP14" s="5"/>
      <c r="HQ14" s="5"/>
      <c r="HR14" s="5"/>
      <c r="HS14" s="5" cm="1">
        <f t="array" ref="HS14">SUMPRODUCT(('Data Base hauling'!$C$2:$C$216="TCM-ROM SB1 BK05-ROM 4")*(ISNUMBER(SEARCH(TEXT('March TCM'!$B14,"00")&amp;"/03/2026",'Data Base hauling'!$E$2:$E$216)))*'Data Base hauling'!$N$2:$N$216)</f>
        <v>0</v>
      </c>
      <c r="HT14" s="5"/>
      <c r="HU14" s="5" cm="1">
        <f t="array" ref="HU14">SUMPRODUCT(('Data Base hauling'!$C$2:$C$216="TCM-ROM SB1 BK05-ROM 5")*(ISNUMBER(SEARCH(TEXT('March TCM'!$B14,"00")&amp;"/03/2026",'Data Base hauling'!$E$2:$E$216)))*'Data Base hauling'!$N$2:$N$216)</f>
        <v>0</v>
      </c>
      <c r="HV14" s="5"/>
      <c r="HW14" s="5"/>
      <c r="HX14" s="5"/>
      <c r="HY14" s="5"/>
      <c r="HZ14" s="5"/>
      <c r="IA14" s="12">
        <f t="shared" si="63"/>
        <v>0</v>
      </c>
      <c r="IB14" s="845"/>
      <c r="IC14" s="363"/>
      <c r="ID14" s="64"/>
      <c r="IE14" s="64"/>
      <c r="IF14" s="64"/>
      <c r="IG14" s="64"/>
      <c r="IH14" s="64">
        <v>0</v>
      </c>
      <c r="II14" s="64"/>
      <c r="IJ14" s="1590">
        <v>537.45000000000005</v>
      </c>
      <c r="IK14" s="64"/>
      <c r="IL14" s="64">
        <v>0</v>
      </c>
      <c r="IM14" s="64"/>
      <c r="IN14" s="64"/>
      <c r="IO14" s="49">
        <v>0</v>
      </c>
      <c r="IP14" s="61">
        <f t="shared" si="64"/>
        <v>537.45000000000005</v>
      </c>
      <c r="IQ14" s="9"/>
      <c r="IR14" s="9"/>
      <c r="IS14" s="5"/>
      <c r="IT14" s="5"/>
      <c r="IU14" s="64"/>
      <c r="IV14" s="5"/>
      <c r="IW14" s="5">
        <v>0</v>
      </c>
      <c r="IX14" s="5"/>
      <c r="IY14" s="5">
        <v>2750.8</v>
      </c>
      <c r="IZ14" s="5"/>
      <c r="JA14" s="5">
        <v>0</v>
      </c>
      <c r="JB14" s="5"/>
      <c r="JC14" s="5"/>
      <c r="JD14" s="5"/>
      <c r="JE14" s="12">
        <f t="shared" si="138"/>
        <v>2750.8</v>
      </c>
      <c r="JF14" s="2667"/>
      <c r="JH14" s="2018">
        <v>5087.8</v>
      </c>
      <c r="JI14" s="2017">
        <v>0</v>
      </c>
      <c r="JJ14" s="53"/>
      <c r="JK14" s="1736">
        <f t="shared" si="65"/>
        <v>5087.8</v>
      </c>
      <c r="JL14" s="33"/>
      <c r="JM14" s="2669"/>
      <c r="JN14" s="69">
        <v>0</v>
      </c>
      <c r="JO14" s="70">
        <v>0</v>
      </c>
      <c r="JP14" s="70">
        <v>0</v>
      </c>
      <c r="JQ14" s="70">
        <v>0</v>
      </c>
      <c r="JR14" s="70">
        <v>1</v>
      </c>
      <c r="JS14" s="70">
        <v>0</v>
      </c>
      <c r="JT14" s="70">
        <v>0</v>
      </c>
      <c r="JU14" s="1922">
        <v>0</v>
      </c>
      <c r="JV14" s="69" t="s">
        <v>296</v>
      </c>
      <c r="JW14" s="70" t="s">
        <v>296</v>
      </c>
      <c r="JX14" s="70" t="s">
        <v>296</v>
      </c>
      <c r="JY14" s="70" t="s">
        <v>296</v>
      </c>
      <c r="JZ14" s="70" t="s">
        <v>296</v>
      </c>
      <c r="KA14" s="70" t="s">
        <v>296</v>
      </c>
      <c r="KB14" s="70" t="s">
        <v>296</v>
      </c>
      <c r="KC14" s="71" t="s">
        <v>296</v>
      </c>
      <c r="KD14" s="69"/>
      <c r="KE14" s="70"/>
      <c r="KF14" s="70"/>
      <c r="KG14" s="70"/>
      <c r="KH14" s="70"/>
      <c r="KI14" s="70"/>
      <c r="KJ14" s="70"/>
      <c r="KK14" s="70"/>
      <c r="KL14" s="33"/>
      <c r="KM14" s="2669"/>
      <c r="KN14" s="1740">
        <v>7098.4533096926716</v>
      </c>
      <c r="KO14" s="1723">
        <v>0.45499408983451539</v>
      </c>
      <c r="KP14" s="1723">
        <v>3.6851004728132386</v>
      </c>
      <c r="KQ14" s="1723">
        <v>6.1704728132387707</v>
      </c>
      <c r="KR14" s="1724">
        <v>10.676487200945624</v>
      </c>
      <c r="KS14" s="1741">
        <v>0</v>
      </c>
      <c r="KT14" s="1726">
        <v>0</v>
      </c>
      <c r="KU14" s="1726">
        <v>0</v>
      </c>
      <c r="KV14" s="1726">
        <v>0</v>
      </c>
      <c r="KW14" s="1963">
        <v>0</v>
      </c>
      <c r="KX14" s="36"/>
      <c r="KY14" s="53"/>
      <c r="KZ14" s="53"/>
      <c r="LA14" s="53"/>
      <c r="LB14" s="53"/>
      <c r="LC14" s="33"/>
      <c r="LD14" s="2669"/>
      <c r="LF14" s="998">
        <f t="shared" si="66"/>
        <v>17651.363499999999</v>
      </c>
      <c r="LG14" s="27">
        <f t="shared" si="66"/>
        <v>12393.6865</v>
      </c>
      <c r="LH14" s="27">
        <f t="shared" si="66"/>
        <v>0</v>
      </c>
      <c r="LI14" s="28">
        <f t="shared" si="67"/>
        <v>30045.05</v>
      </c>
      <c r="LJ14" s="36">
        <v>4</v>
      </c>
      <c r="LK14" s="27"/>
      <c r="LL14" s="27">
        <v>1</v>
      </c>
      <c r="LM14" s="33"/>
      <c r="LN14" s="1041">
        <v>6.25</v>
      </c>
      <c r="LO14" s="486"/>
      <c r="LP14" s="2688"/>
      <c r="LQ14" s="21">
        <v>14982.47</v>
      </c>
      <c r="LR14" s="27"/>
      <c r="LS14" s="27"/>
      <c r="LT14" s="27"/>
      <c r="LU14" s="27"/>
      <c r="LV14" s="1117">
        <f t="shared" si="68"/>
        <v>14982.47</v>
      </c>
      <c r="LW14" s="36">
        <v>2668.8934999999997</v>
      </c>
      <c r="LX14" s="36">
        <v>12393.6865</v>
      </c>
      <c r="LY14" s="27"/>
      <c r="LZ14" s="27"/>
      <c r="MA14" s="33"/>
      <c r="MB14" s="28">
        <f t="shared" si="69"/>
        <v>15062.58</v>
      </c>
      <c r="MC14" s="26"/>
      <c r="MD14" s="36"/>
      <c r="ME14" s="27"/>
      <c r="MF14" s="27"/>
      <c r="MG14" s="27"/>
      <c r="MH14" s="28"/>
      <c r="MI14" s="36"/>
      <c r="MJ14" s="36"/>
      <c r="MK14" s="27"/>
      <c r="ML14" s="27"/>
      <c r="MM14" s="27"/>
      <c r="MN14" s="28"/>
      <c r="MO14" s="36"/>
      <c r="MP14" s="36"/>
      <c r="MQ14" s="27"/>
      <c r="MR14" s="27"/>
      <c r="MS14" s="27"/>
      <c r="MT14" s="33">
        <f t="shared" si="70"/>
        <v>0</v>
      </c>
      <c r="MU14" s="2688"/>
      <c r="MW14" s="26">
        <f t="shared" si="71"/>
        <v>65828.876645013384</v>
      </c>
      <c r="MX14" s="27">
        <f t="shared" si="72"/>
        <v>84219.882248823516</v>
      </c>
      <c r="MY14" s="27">
        <f t="shared" si="73"/>
        <v>19695.395201279462</v>
      </c>
      <c r="MZ14" s="28">
        <f t="shared" si="74"/>
        <v>436781.10855851002</v>
      </c>
      <c r="NA14" s="2621"/>
      <c r="NB14" s="23">
        <f t="shared" si="75"/>
        <v>49300.188637467851</v>
      </c>
      <c r="NC14" s="1579">
        <f t="shared" si="76"/>
        <v>16528.688007545537</v>
      </c>
      <c r="ND14" s="60">
        <f t="shared" si="77"/>
        <v>0</v>
      </c>
      <c r="NE14" s="275">
        <f t="shared" si="4"/>
        <v>65828.876645013384</v>
      </c>
      <c r="NF14" s="26">
        <f t="shared" si="78"/>
        <v>0</v>
      </c>
      <c r="NG14" s="27">
        <f t="shared" si="78"/>
        <v>0</v>
      </c>
      <c r="NH14" s="27">
        <f t="shared" si="78"/>
        <v>0</v>
      </c>
      <c r="NI14" s="27">
        <f t="shared" si="78"/>
        <v>0</v>
      </c>
      <c r="NJ14" s="27">
        <f t="shared" si="78"/>
        <v>0</v>
      </c>
      <c r="NK14" s="33">
        <f t="shared" si="78"/>
        <v>0</v>
      </c>
      <c r="NL14" s="27">
        <f t="shared" si="78"/>
        <v>0</v>
      </c>
      <c r="NM14" s="36">
        <f t="shared" si="78"/>
        <v>0</v>
      </c>
      <c r="NN14" s="24">
        <f t="shared" si="78"/>
        <v>6384.3005665631454</v>
      </c>
      <c r="NO14" s="27">
        <f t="shared" si="78"/>
        <v>26196.69549600617</v>
      </c>
      <c r="NP14" s="24">
        <f t="shared" si="136"/>
        <v>8756.5482322711578</v>
      </c>
      <c r="NQ14" s="24">
        <f t="shared" si="137"/>
        <v>5880.1741180334084</v>
      </c>
      <c r="NR14" s="27">
        <f t="shared" si="0"/>
        <v>47217.718412873881</v>
      </c>
      <c r="NS14" s="27">
        <f t="shared" si="79"/>
        <v>0</v>
      </c>
      <c r="NT14" s="27">
        <f t="shared" si="80"/>
        <v>0</v>
      </c>
      <c r="NU14" s="27">
        <f t="shared" si="81"/>
        <v>0</v>
      </c>
      <c r="NV14" s="27">
        <f t="shared" si="82"/>
        <v>0</v>
      </c>
      <c r="NW14" s="27">
        <f t="shared" si="83"/>
        <v>0</v>
      </c>
      <c r="NX14" s="27">
        <f t="shared" si="84"/>
        <v>0</v>
      </c>
      <c r="NY14" s="27">
        <f t="shared" si="85"/>
        <v>2246.0036022929121</v>
      </c>
      <c r="NZ14" s="27">
        <f t="shared" si="86"/>
        <v>0</v>
      </c>
      <c r="OA14" s="27">
        <f t="shared" si="87"/>
        <v>11489.608066782839</v>
      </c>
      <c r="OB14" s="280"/>
      <c r="OC14" s="24">
        <f t="shared" si="88"/>
        <v>349.54339982995594</v>
      </c>
      <c r="OD14" s="27">
        <f t="shared" si="89"/>
        <v>0</v>
      </c>
      <c r="OE14" s="28">
        <f t="shared" si="1"/>
        <v>14085.155068905708</v>
      </c>
      <c r="OF14" s="27">
        <f t="shared" si="90"/>
        <v>0</v>
      </c>
      <c r="OG14" s="27">
        <f t="shared" si="90"/>
        <v>0</v>
      </c>
      <c r="OH14" s="27">
        <f t="shared" si="90"/>
        <v>0</v>
      </c>
      <c r="OI14" s="27">
        <f t="shared" si="90"/>
        <v>0</v>
      </c>
      <c r="OJ14" s="27">
        <f t="shared" si="90"/>
        <v>0</v>
      </c>
      <c r="OK14" s="27">
        <f t="shared" si="90"/>
        <v>0</v>
      </c>
      <c r="OL14" s="24">
        <f t="shared" si="90"/>
        <v>0</v>
      </c>
      <c r="OM14" s="27">
        <f t="shared" si="90"/>
        <v>0</v>
      </c>
      <c r="ON14" s="24">
        <f t="shared" si="90"/>
        <v>20783.433599111009</v>
      </c>
      <c r="OO14" s="27">
        <f t="shared" si="90"/>
        <v>0</v>
      </c>
      <c r="OP14" s="27">
        <f t="shared" si="90"/>
        <v>2133.5751679329142</v>
      </c>
      <c r="OQ14" s="27">
        <f t="shared" si="90"/>
        <v>0</v>
      </c>
      <c r="OR14" s="28">
        <f t="shared" si="2"/>
        <v>22917.008767043924</v>
      </c>
      <c r="OS14" s="36"/>
      <c r="OT14" s="27"/>
      <c r="OU14" s="27"/>
      <c r="OV14" s="27"/>
      <c r="OW14" s="27"/>
      <c r="OX14" s="27"/>
      <c r="OY14" s="28">
        <f t="shared" si="91"/>
        <v>0</v>
      </c>
      <c r="OZ14" s="36">
        <f t="shared" si="92"/>
        <v>0</v>
      </c>
      <c r="PA14" s="27">
        <f t="shared" si="93"/>
        <v>0</v>
      </c>
      <c r="PB14" s="27">
        <f t="shared" si="94"/>
        <v>0</v>
      </c>
      <c r="PC14" s="27">
        <f t="shared" si="95"/>
        <v>0</v>
      </c>
      <c r="PD14" s="27">
        <f t="shared" si="96"/>
        <v>0</v>
      </c>
      <c r="PE14" s="27">
        <f t="shared" si="97"/>
        <v>0</v>
      </c>
      <c r="PF14" s="33">
        <f t="shared" si="3"/>
        <v>0</v>
      </c>
      <c r="PG14" s="2621"/>
      <c r="PI14" s="1907">
        <v>0</v>
      </c>
      <c r="PJ14" s="3">
        <v>0</v>
      </c>
      <c r="PK14" s="3">
        <v>0</v>
      </c>
      <c r="PL14" s="3">
        <f t="shared" si="98"/>
        <v>0</v>
      </c>
      <c r="PM14" s="3">
        <f t="shared" si="99"/>
        <v>499.35538769389285</v>
      </c>
      <c r="PN14" s="11">
        <f t="shared" si="100"/>
        <v>19695.395201279462</v>
      </c>
      <c r="PO14" s="15"/>
      <c r="PP14" s="2615"/>
      <c r="PR14" s="4"/>
      <c r="PS14" s="9"/>
      <c r="PT14" s="9"/>
      <c r="PU14" s="9"/>
      <c r="PV14" s="9">
        <v>0</v>
      </c>
      <c r="PW14" s="9"/>
      <c r="PX14" s="8">
        <f t="shared" si="101"/>
        <v>0</v>
      </c>
      <c r="PY14" s="5">
        <f t="shared" si="102"/>
        <v>0</v>
      </c>
      <c r="PZ14" s="5"/>
      <c r="QA14" s="5"/>
      <c r="QB14" s="5"/>
      <c r="QC14" s="5"/>
      <c r="QD14" s="5"/>
      <c r="QE14" s="12">
        <f t="shared" si="103"/>
        <v>29562.488999999998</v>
      </c>
      <c r="QF14" s="420">
        <f t="shared" si="104"/>
        <v>406860.73955851002</v>
      </c>
      <c r="QG14" s="1106">
        <f t="shared" si="105"/>
        <v>357.88</v>
      </c>
      <c r="QH14" s="484">
        <f t="shared" si="106"/>
        <v>5505.3678056099998</v>
      </c>
      <c r="QI14" s="12"/>
      <c r="QJ14" s="2615"/>
      <c r="QL14" s="139">
        <f t="shared" si="107"/>
        <v>0</v>
      </c>
      <c r="QM14" s="139" t="str">
        <f t="shared" si="108"/>
        <v/>
      </c>
      <c r="QO14" s="139">
        <f t="shared" si="109"/>
        <v>0</v>
      </c>
      <c r="QP14" s="139">
        <f t="shared" si="110"/>
        <v>0</v>
      </c>
      <c r="QR14" s="1">
        <f t="shared" si="111"/>
        <v>0</v>
      </c>
      <c r="QS14" s="1">
        <f t="shared" si="112"/>
        <v>0</v>
      </c>
      <c r="QT14" s="1">
        <f t="shared" si="113"/>
        <v>0</v>
      </c>
      <c r="QU14" s="1">
        <f t="shared" si="114"/>
        <v>0</v>
      </c>
      <c r="QV14" s="1">
        <f t="shared" si="115"/>
        <v>0</v>
      </c>
      <c r="QW14" s="1">
        <f t="shared" si="116"/>
        <v>0</v>
      </c>
      <c r="QY14" s="1">
        <f t="shared" si="117"/>
        <v>0</v>
      </c>
      <c r="QZ14" s="1">
        <f t="shared" si="118"/>
        <v>0</v>
      </c>
      <c r="RA14" s="1">
        <f t="shared" si="119"/>
        <v>0</v>
      </c>
      <c r="RB14" s="1">
        <f t="shared" si="120"/>
        <v>0</v>
      </c>
      <c r="RC14" s="1">
        <f t="shared" si="121"/>
        <v>0</v>
      </c>
      <c r="RD14" s="1">
        <f t="shared" si="122"/>
        <v>0</v>
      </c>
      <c r="RG14" s="1">
        <v>5</v>
      </c>
      <c r="RH14" s="1">
        <f t="shared" si="123"/>
        <v>23736.338251083165</v>
      </c>
      <c r="RI14" s="1">
        <f t="shared" si="123"/>
        <v>2286.1070498622812</v>
      </c>
      <c r="RJ14" s="1">
        <f t="shared" si="123"/>
        <v>9178.5689913333827</v>
      </c>
      <c r="RK14" s="89">
        <f t="shared" si="5"/>
        <v>35201.014292278829</v>
      </c>
      <c r="RL14" s="1033">
        <v>5</v>
      </c>
      <c r="RM14" s="1098">
        <f t="shared" si="124"/>
        <v>0</v>
      </c>
      <c r="RN14" s="1098">
        <f t="shared" si="125"/>
        <v>0</v>
      </c>
      <c r="RO14" s="1097">
        <f t="shared" si="125"/>
        <v>0</v>
      </c>
      <c r="RP14" s="1097">
        <f t="shared" si="126"/>
        <v>9833.59</v>
      </c>
      <c r="RQ14" s="1094"/>
      <c r="RR14" s="1123" t="s">
        <v>815</v>
      </c>
      <c r="RU14" s="421">
        <v>5</v>
      </c>
      <c r="RV14" s="1095">
        <f t="shared" si="127"/>
        <v>5087.8</v>
      </c>
      <c r="RW14" s="1094" t="s">
        <v>816</v>
      </c>
      <c r="RY14" s="1090"/>
      <c r="RZ14" s="1090">
        <f t="shared" si="128"/>
        <v>0</v>
      </c>
      <c r="SA14" s="1090"/>
      <c r="SB14" s="1090">
        <f t="shared" si="129"/>
        <v>0</v>
      </c>
      <c r="SD14" s="1">
        <v>5</v>
      </c>
      <c r="SE14" s="1">
        <f t="shared" si="130"/>
        <v>0</v>
      </c>
      <c r="SF14" s="1094"/>
    </row>
    <row r="15" spans="1:500" s="1" customFormat="1">
      <c r="B15" s="471">
        <v>6</v>
      </c>
      <c r="C15" s="4">
        <f t="shared" si="6"/>
        <v>104409</v>
      </c>
      <c r="D15" s="1736">
        <f t="shared" si="131"/>
        <v>7385.62</v>
      </c>
      <c r="E15" s="1895">
        <f t="shared" si="7"/>
        <v>14.136795556771132</v>
      </c>
      <c r="F15" s="870"/>
      <c r="G15" s="870"/>
      <c r="H15" s="52">
        <v>42</v>
      </c>
      <c r="I15" s="61">
        <v>8.83</v>
      </c>
      <c r="J15" s="52"/>
      <c r="K15" s="54"/>
      <c r="L15" s="52">
        <v>18.170000000000002</v>
      </c>
      <c r="M15" s="61">
        <v>8.39</v>
      </c>
      <c r="N15" s="2629"/>
      <c r="O15" s="4">
        <f t="shared" si="132"/>
        <v>56994</v>
      </c>
      <c r="P15" s="1225">
        <f t="shared" si="8"/>
        <v>5175.82</v>
      </c>
      <c r="Q15" s="1913">
        <f t="shared" si="9"/>
        <v>11.011588501918537</v>
      </c>
      <c r="R15" s="33"/>
      <c r="S15" s="26">
        <f t="shared" si="10"/>
        <v>22317</v>
      </c>
      <c r="T15" s="27">
        <f t="shared" si="11"/>
        <v>1289.8000000000004</v>
      </c>
      <c r="U15" s="1909">
        <f t="shared" si="12"/>
        <v>17.302682586447506</v>
      </c>
      <c r="V15" s="28"/>
      <c r="W15" s="1742">
        <f t="shared" si="13"/>
        <v>25098</v>
      </c>
      <c r="X15" s="5">
        <f t="shared" si="13"/>
        <v>920</v>
      </c>
      <c r="Y15" s="1738">
        <f t="shared" si="14"/>
        <v>27.280434782608694</v>
      </c>
      <c r="Z15" s="33"/>
      <c r="AA15" s="26">
        <f t="shared" si="15"/>
        <v>0</v>
      </c>
      <c r="AB15" s="27">
        <f t="shared" si="16"/>
        <v>0</v>
      </c>
      <c r="AC15" s="53">
        <f t="shared" si="17"/>
        <v>0</v>
      </c>
      <c r="AD15" s="28"/>
      <c r="AE15" s="36"/>
      <c r="AF15" s="36"/>
      <c r="AG15" s="53">
        <f t="shared" si="18"/>
        <v>0</v>
      </c>
      <c r="AH15" s="28"/>
      <c r="AI15" s="26"/>
      <c r="AJ15" s="27"/>
      <c r="AK15" s="53">
        <f t="shared" si="19"/>
        <v>0</v>
      </c>
      <c r="AL15" s="28"/>
      <c r="AM15" s="2629"/>
      <c r="AN15" s="9"/>
      <c r="AO15" s="5"/>
      <c r="AP15" s="61">
        <f t="shared" si="20"/>
        <v>0</v>
      </c>
      <c r="AQ15" s="36"/>
      <c r="AR15" s="53"/>
      <c r="AS15" s="61">
        <f t="shared" si="21"/>
        <v>0</v>
      </c>
      <c r="AT15" s="36"/>
      <c r="AU15" s="27"/>
      <c r="AV15" s="61">
        <f t="shared" si="22"/>
        <v>0</v>
      </c>
      <c r="AW15" s="36">
        <v>36288</v>
      </c>
      <c r="AX15" s="27">
        <v>3726.2</v>
      </c>
      <c r="AY15" s="1735">
        <f t="shared" si="23"/>
        <v>9.7386076968493374</v>
      </c>
      <c r="AZ15" s="36"/>
      <c r="BA15" s="27"/>
      <c r="BB15" s="61">
        <f t="shared" si="24"/>
        <v>0</v>
      </c>
      <c r="BC15" s="1740">
        <v>20706</v>
      </c>
      <c r="BD15" s="1736">
        <v>1449.6200000000001</v>
      </c>
      <c r="BE15" s="1735">
        <f t="shared" si="25"/>
        <v>14.283743325837115</v>
      </c>
      <c r="BF15" s="36"/>
      <c r="BG15" s="53"/>
      <c r="BH15" s="61">
        <f t="shared" si="26"/>
        <v>0</v>
      </c>
      <c r="BI15" s="36">
        <v>0</v>
      </c>
      <c r="BJ15" s="53">
        <v>0</v>
      </c>
      <c r="BK15" s="61">
        <f t="shared" si="27"/>
        <v>0</v>
      </c>
      <c r="BL15" s="1742">
        <v>22317</v>
      </c>
      <c r="BM15" s="1909">
        <v>1289.8000000000004</v>
      </c>
      <c r="BN15" s="1735">
        <f t="shared" si="28"/>
        <v>17.302682586447506</v>
      </c>
      <c r="BO15" s="36"/>
      <c r="BP15" s="53"/>
      <c r="BQ15" s="61">
        <f t="shared" si="29"/>
        <v>0</v>
      </c>
      <c r="BR15" s="36"/>
      <c r="BS15" s="53"/>
      <c r="BT15" s="61">
        <f t="shared" si="30"/>
        <v>0</v>
      </c>
      <c r="BU15" s="36">
        <v>25098</v>
      </c>
      <c r="BV15" s="5">
        <v>920</v>
      </c>
      <c r="BW15" s="1906">
        <f t="shared" si="31"/>
        <v>27.280434782608694</v>
      </c>
      <c r="BX15" s="26"/>
      <c r="BY15" s="27"/>
      <c r="BZ15" s="61">
        <f t="shared" si="32"/>
        <v>0</v>
      </c>
      <c r="CA15" s="36"/>
      <c r="CB15" s="481"/>
      <c r="CC15" s="482">
        <f t="shared" si="33"/>
        <v>0</v>
      </c>
      <c r="CD15" s="4"/>
      <c r="CE15" s="5"/>
      <c r="CF15" s="28">
        <f t="shared" si="34"/>
        <v>0</v>
      </c>
      <c r="CG15" s="149"/>
      <c r="CH15" s="4"/>
      <c r="CI15" s="5"/>
      <c r="CJ15" s="5"/>
      <c r="CK15" s="5">
        <v>3475</v>
      </c>
      <c r="CL15" s="5"/>
      <c r="CM15" s="5">
        <f t="shared" si="35"/>
        <v>3475</v>
      </c>
      <c r="CN15" s="33"/>
      <c r="CO15" s="366"/>
      <c r="CQ15" s="4">
        <f t="shared" si="36"/>
        <v>0</v>
      </c>
      <c r="CR15" s="9">
        <f t="shared" si="37"/>
        <v>0</v>
      </c>
      <c r="CS15" s="5">
        <f t="shared" si="38"/>
        <v>0</v>
      </c>
      <c r="CT15" s="5">
        <f t="shared" si="39"/>
        <v>0</v>
      </c>
      <c r="CU15" s="5">
        <f t="shared" si="40"/>
        <v>0</v>
      </c>
      <c r="CV15" s="5">
        <f t="shared" si="41"/>
        <v>0</v>
      </c>
      <c r="CW15" s="5">
        <f t="shared" si="42"/>
        <v>433.2</v>
      </c>
      <c r="CX15" s="5">
        <f t="shared" si="43"/>
        <v>0</v>
      </c>
      <c r="CY15" s="5">
        <f t="shared" si="44"/>
        <v>5133.7999999999993</v>
      </c>
      <c r="CZ15" s="5">
        <f t="shared" si="45"/>
        <v>0</v>
      </c>
      <c r="DA15" s="5">
        <f t="shared" si="46"/>
        <v>1818.62</v>
      </c>
      <c r="DB15" s="12">
        <f t="shared" si="47"/>
        <v>0</v>
      </c>
      <c r="DC15" s="310">
        <f t="shared" si="48"/>
        <v>7385.619999999999</v>
      </c>
      <c r="DD15" s="2695"/>
      <c r="DE15" s="8"/>
      <c r="DF15" s="9"/>
      <c r="DG15" s="5"/>
      <c r="DH15" s="5"/>
      <c r="DI15" s="5"/>
      <c r="DJ15" s="5"/>
      <c r="DK15" s="5">
        <v>433.2</v>
      </c>
      <c r="DL15" s="5"/>
      <c r="DM15" s="5">
        <v>3292.9999999999995</v>
      </c>
      <c r="DN15" s="5"/>
      <c r="DO15" s="5"/>
      <c r="DP15" s="12"/>
      <c r="DQ15" s="1906">
        <f t="shared" si="49"/>
        <v>3726.1999999999994</v>
      </c>
      <c r="DR15" s="36"/>
      <c r="DS15" s="36"/>
      <c r="DT15" s="27"/>
      <c r="DU15" s="27"/>
      <c r="DV15" s="5"/>
      <c r="DW15" s="5"/>
      <c r="DX15" s="5"/>
      <c r="DY15" s="5"/>
      <c r="DZ15" s="5">
        <v>1840.8000000000002</v>
      </c>
      <c r="EA15" s="53"/>
      <c r="EB15" s="27">
        <v>898.62</v>
      </c>
      <c r="EC15" s="33"/>
      <c r="ED15" s="28">
        <f t="shared" si="50"/>
        <v>2739.42</v>
      </c>
      <c r="EE15" s="9"/>
      <c r="EF15" s="9"/>
      <c r="EG15" s="5"/>
      <c r="EH15" s="5"/>
      <c r="EI15" s="27"/>
      <c r="EJ15" s="27"/>
      <c r="EK15" s="27"/>
      <c r="EL15" s="27"/>
      <c r="EM15" s="5"/>
      <c r="EN15" s="5"/>
      <c r="EO15" s="5">
        <v>920</v>
      </c>
      <c r="EP15" s="33"/>
      <c r="EQ15" s="28">
        <f t="shared" si="51"/>
        <v>920</v>
      </c>
      <c r="ER15" s="36"/>
      <c r="ES15" s="27"/>
      <c r="ET15" s="27"/>
      <c r="EU15" s="27"/>
      <c r="EV15" s="27"/>
      <c r="EW15" s="27"/>
      <c r="EX15" s="33">
        <f t="shared" si="52"/>
        <v>0</v>
      </c>
      <c r="EY15" s="2685"/>
      <c r="FA15" s="4">
        <f t="shared" si="53"/>
        <v>0</v>
      </c>
      <c r="FB15" s="5">
        <f t="shared" si="54"/>
        <v>0</v>
      </c>
      <c r="FC15" s="5">
        <f t="shared" si="55"/>
        <v>0</v>
      </c>
      <c r="FD15" s="12">
        <f t="shared" si="56"/>
        <v>0</v>
      </c>
      <c r="FE15" s="33"/>
      <c r="FF15" s="2674"/>
      <c r="FG15" s="9"/>
      <c r="FH15" s="5"/>
      <c r="FI15" s="5"/>
      <c r="FJ15" s="5"/>
      <c r="FK15" s="5"/>
      <c r="FL15" s="27"/>
      <c r="FM15" s="28">
        <f t="shared" si="57"/>
        <v>0</v>
      </c>
      <c r="FN15" s="36"/>
      <c r="FO15" s="27"/>
      <c r="FP15" s="27"/>
      <c r="FQ15" s="27"/>
      <c r="FR15" s="27"/>
      <c r="FS15" s="27"/>
      <c r="FT15" s="28">
        <f t="shared" si="58"/>
        <v>0</v>
      </c>
      <c r="FU15" s="36"/>
      <c r="FV15" s="36"/>
      <c r="FW15" s="27"/>
      <c r="FX15" s="27"/>
      <c r="FY15" s="27"/>
      <c r="FZ15" s="27"/>
      <c r="GA15" s="27"/>
      <c r="GB15" s="27"/>
      <c r="GC15" s="27"/>
      <c r="GD15" s="27"/>
      <c r="GE15" s="27"/>
      <c r="GF15" s="33"/>
      <c r="GG15" s="33">
        <f t="shared" si="59"/>
        <v>0</v>
      </c>
      <c r="GH15" s="2674"/>
      <c r="GJ15" s="2">
        <f t="shared" si="133"/>
        <v>884.30000000000007</v>
      </c>
      <c r="GK15" s="63">
        <f t="shared" si="134"/>
        <v>962.60000000000014</v>
      </c>
      <c r="GL15" s="24">
        <f t="shared" si="135"/>
        <v>4112.75</v>
      </c>
      <c r="GM15" s="1736">
        <f t="shared" si="60"/>
        <v>5959.65</v>
      </c>
      <c r="GN15" s="141"/>
      <c r="GO15" s="141"/>
      <c r="GP15" s="33"/>
      <c r="GQ15" s="2702"/>
      <c r="GR15" s="1741">
        <v>5959.65</v>
      </c>
      <c r="GS15" s="1726">
        <v>0</v>
      </c>
      <c r="GT15" s="1726">
        <v>0</v>
      </c>
      <c r="GU15" s="1723">
        <v>0</v>
      </c>
      <c r="GV15" s="1724">
        <f t="shared" si="61"/>
        <v>5959.65</v>
      </c>
      <c r="GW15" s="2667"/>
      <c r="GX15" s="9"/>
      <c r="GY15" s="9"/>
      <c r="GZ15" s="5"/>
      <c r="HA15" s="5"/>
      <c r="HB15" s="5"/>
      <c r="HC15" s="5"/>
      <c r="HD15" s="5"/>
      <c r="HE15" s="5"/>
      <c r="HF15" s="5">
        <v>884.30000000000007</v>
      </c>
      <c r="HG15" s="5"/>
      <c r="HH15" s="5">
        <v>0</v>
      </c>
      <c r="HI15" s="5"/>
      <c r="HJ15" s="5">
        <v>0</v>
      </c>
      <c r="HK15" s="5"/>
      <c r="HL15" s="15">
        <f t="shared" si="62"/>
        <v>884.30000000000007</v>
      </c>
      <c r="HM15" s="9"/>
      <c r="HN15" s="5"/>
      <c r="HO15" s="5"/>
      <c r="HP15" s="5"/>
      <c r="HQ15" s="5"/>
      <c r="HR15" s="5"/>
      <c r="HS15" s="5" cm="1">
        <f t="array" ref="HS15">SUMPRODUCT(('Data Base hauling'!$C$2:$C$216="TCM-ROM SB1 BK05-ROM 4")*(ISNUMBER(SEARCH(TEXT('March TCM'!$B15,"00")&amp;"/03/2026",'Data Base hauling'!$E$2:$E$216)))*'Data Base hauling'!$N$2:$N$216)</f>
        <v>0</v>
      </c>
      <c r="HT15" s="5"/>
      <c r="HU15" s="5" cm="1">
        <f t="array" ref="HU15">SUMPRODUCT(('Data Base hauling'!$C$2:$C$216="TCM-ROM SB1 BK05-ROM 5")*(ISNUMBER(SEARCH(TEXT('March TCM'!$B15,"00")&amp;"/03/2026",'Data Base hauling'!$E$2:$E$216)))*'Data Base hauling'!$N$2:$N$216)</f>
        <v>0</v>
      </c>
      <c r="HV15" s="5"/>
      <c r="HW15" s="5"/>
      <c r="HX15" s="5"/>
      <c r="HY15" s="5"/>
      <c r="HZ15" s="5"/>
      <c r="IA15" s="12">
        <f t="shared" si="63"/>
        <v>0</v>
      </c>
      <c r="IB15" s="845"/>
      <c r="IC15" s="363"/>
      <c r="ID15" s="64"/>
      <c r="IE15" s="64"/>
      <c r="IF15" s="64"/>
      <c r="IG15" s="64"/>
      <c r="IH15" s="64">
        <v>0</v>
      </c>
      <c r="II15" s="64"/>
      <c r="IJ15" s="1590">
        <v>962.60000000000014</v>
      </c>
      <c r="IK15" s="64"/>
      <c r="IL15" s="64">
        <v>0</v>
      </c>
      <c r="IM15" s="64"/>
      <c r="IN15" s="64"/>
      <c r="IO15" s="49">
        <v>0</v>
      </c>
      <c r="IP15" s="61">
        <f t="shared" si="64"/>
        <v>962.60000000000014</v>
      </c>
      <c r="IQ15" s="9"/>
      <c r="IR15" s="9"/>
      <c r="IS15" s="5"/>
      <c r="IT15" s="5"/>
      <c r="IU15" s="64"/>
      <c r="IV15" s="5"/>
      <c r="IW15" s="5">
        <v>0</v>
      </c>
      <c r="IX15" s="5"/>
      <c r="IY15" s="5">
        <v>4112.75</v>
      </c>
      <c r="IZ15" s="5"/>
      <c r="JA15" s="5">
        <v>0</v>
      </c>
      <c r="JB15" s="5"/>
      <c r="JC15" s="5"/>
      <c r="JD15" s="5"/>
      <c r="JE15" s="12">
        <f t="shared" si="138"/>
        <v>4112.75</v>
      </c>
      <c r="JF15" s="2667"/>
      <c r="JH15" s="2018">
        <v>5959.65</v>
      </c>
      <c r="JI15" s="2017">
        <v>0</v>
      </c>
      <c r="JJ15" s="53"/>
      <c r="JK15" s="1736">
        <f t="shared" si="65"/>
        <v>5959.65</v>
      </c>
      <c r="JL15" s="33"/>
      <c r="JM15" s="2669"/>
      <c r="JN15" s="69">
        <v>0</v>
      </c>
      <c r="JO15" s="70">
        <v>0</v>
      </c>
      <c r="JP15" s="70">
        <v>0</v>
      </c>
      <c r="JQ15" s="70">
        <v>0</v>
      </c>
      <c r="JR15" s="70">
        <v>1</v>
      </c>
      <c r="JS15" s="70">
        <v>0</v>
      </c>
      <c r="JT15" s="70">
        <v>0</v>
      </c>
      <c r="JU15" s="1922">
        <v>0</v>
      </c>
      <c r="JV15" s="69" t="s">
        <v>296</v>
      </c>
      <c r="JW15" s="70" t="s">
        <v>296</v>
      </c>
      <c r="JX15" s="70" t="s">
        <v>296</v>
      </c>
      <c r="JY15" s="70" t="s">
        <v>296</v>
      </c>
      <c r="JZ15" s="70" t="s">
        <v>296</v>
      </c>
      <c r="KA15" s="70" t="s">
        <v>296</v>
      </c>
      <c r="KB15" s="70" t="s">
        <v>296</v>
      </c>
      <c r="KC15" s="71" t="s">
        <v>296</v>
      </c>
      <c r="KD15" s="69"/>
      <c r="KE15" s="70"/>
      <c r="KF15" s="70"/>
      <c r="KG15" s="70"/>
      <c r="KH15" s="70"/>
      <c r="KI15" s="70"/>
      <c r="KJ15" s="70"/>
      <c r="KK15" s="70"/>
      <c r="KL15" s="33"/>
      <c r="KM15" s="2669"/>
      <c r="KN15" s="1740">
        <v>6930.0349950007139</v>
      </c>
      <c r="KO15" s="1723">
        <v>0.78657048993001011</v>
      </c>
      <c r="KP15" s="1723">
        <v>4.2170861305527785</v>
      </c>
      <c r="KQ15" s="1723">
        <v>6.8836566204827871</v>
      </c>
      <c r="KR15" s="1724">
        <v>11.154288619911442</v>
      </c>
      <c r="KS15" s="1741">
        <v>0</v>
      </c>
      <c r="KT15" s="1726">
        <v>0</v>
      </c>
      <c r="KU15" s="1726">
        <v>0</v>
      </c>
      <c r="KV15" s="1726">
        <v>0</v>
      </c>
      <c r="KW15" s="1963">
        <v>0</v>
      </c>
      <c r="KX15" s="36"/>
      <c r="KY15" s="53"/>
      <c r="KZ15" s="53"/>
      <c r="LA15" s="53"/>
      <c r="LB15" s="53"/>
      <c r="LC15" s="33"/>
      <c r="LD15" s="2669"/>
      <c r="LF15" s="998">
        <f t="shared" si="66"/>
        <v>0</v>
      </c>
      <c r="LG15" s="27">
        <f t="shared" si="66"/>
        <v>0</v>
      </c>
      <c r="LH15" s="27">
        <f t="shared" si="66"/>
        <v>0</v>
      </c>
      <c r="LI15" s="28">
        <f t="shared" si="67"/>
        <v>0</v>
      </c>
      <c r="LJ15" s="36"/>
      <c r="LK15" s="27"/>
      <c r="LL15" s="27">
        <v>4</v>
      </c>
      <c r="LM15" s="33"/>
      <c r="LN15" s="1041">
        <v>9.3699999999999992</v>
      </c>
      <c r="LO15" s="486"/>
      <c r="LP15" s="2688"/>
      <c r="LQ15" s="1122"/>
      <c r="LR15" s="27"/>
      <c r="LS15" s="27"/>
      <c r="LT15" s="27"/>
      <c r="LU15" s="27"/>
      <c r="LV15" s="1117">
        <f t="shared" si="68"/>
        <v>0</v>
      </c>
      <c r="LW15" s="36"/>
      <c r="LX15" s="36"/>
      <c r="LY15" s="27"/>
      <c r="LZ15" s="27"/>
      <c r="MA15" s="33"/>
      <c r="MB15" s="28">
        <f t="shared" si="69"/>
        <v>0</v>
      </c>
      <c r="MC15" s="26"/>
      <c r="MD15" s="36"/>
      <c r="ME15" s="27"/>
      <c r="MF15" s="27"/>
      <c r="MG15" s="27"/>
      <c r="MH15" s="28"/>
      <c r="MI15" s="36"/>
      <c r="MJ15" s="36"/>
      <c r="MK15" s="27"/>
      <c r="ML15" s="27"/>
      <c r="MM15" s="27"/>
      <c r="MN15" s="28"/>
      <c r="MO15" s="36"/>
      <c r="MP15" s="36"/>
      <c r="MQ15" s="27"/>
      <c r="MR15" s="27"/>
      <c r="MS15" s="27"/>
      <c r="MT15" s="33">
        <f t="shared" si="70"/>
        <v>0</v>
      </c>
      <c r="MU15" s="2688"/>
      <c r="MW15" s="26">
        <f t="shared" si="71"/>
        <v>71788.526645013393</v>
      </c>
      <c r="MX15" s="27">
        <f t="shared" si="72"/>
        <v>85645.852248823518</v>
      </c>
      <c r="MY15" s="27">
        <f t="shared" si="73"/>
        <v>19707.895201279462</v>
      </c>
      <c r="MZ15" s="28">
        <f t="shared" si="74"/>
        <v>435930.32855850999</v>
      </c>
      <c r="NA15" s="2621"/>
      <c r="NB15" s="23">
        <f t="shared" si="75"/>
        <v>55259.838637467852</v>
      </c>
      <c r="NC15" s="1579">
        <f t="shared" si="76"/>
        <v>16528.688007545537</v>
      </c>
      <c r="ND15" s="60">
        <f t="shared" si="77"/>
        <v>0</v>
      </c>
      <c r="NE15" s="275">
        <f t="shared" si="4"/>
        <v>71788.526645013393</v>
      </c>
      <c r="NF15" s="26">
        <f t="shared" si="78"/>
        <v>0</v>
      </c>
      <c r="NG15" s="27">
        <f t="shared" si="78"/>
        <v>0</v>
      </c>
      <c r="NH15" s="27">
        <f t="shared" si="78"/>
        <v>0</v>
      </c>
      <c r="NI15" s="27">
        <f t="shared" si="78"/>
        <v>0</v>
      </c>
      <c r="NJ15" s="27">
        <f t="shared" si="78"/>
        <v>0</v>
      </c>
      <c r="NK15" s="33">
        <f t="shared" si="78"/>
        <v>0</v>
      </c>
      <c r="NL15" s="27">
        <f t="shared" si="78"/>
        <v>0</v>
      </c>
      <c r="NM15" s="36">
        <f t="shared" si="78"/>
        <v>0</v>
      </c>
      <c r="NN15" s="24">
        <f t="shared" si="78"/>
        <v>5500.0005665631452</v>
      </c>
      <c r="NO15" s="27">
        <f t="shared" si="78"/>
        <v>26196.69549600617</v>
      </c>
      <c r="NP15" s="24">
        <f t="shared" si="136"/>
        <v>8756.5482322711578</v>
      </c>
      <c r="NQ15" s="24">
        <f t="shared" si="137"/>
        <v>6800.1741180334084</v>
      </c>
      <c r="NR15" s="27">
        <f t="shared" si="0"/>
        <v>47253.418412873885</v>
      </c>
      <c r="NS15" s="27">
        <f t="shared" si="79"/>
        <v>0</v>
      </c>
      <c r="NT15" s="27">
        <f t="shared" si="80"/>
        <v>0</v>
      </c>
      <c r="NU15" s="27">
        <f t="shared" si="81"/>
        <v>0</v>
      </c>
      <c r="NV15" s="27">
        <f t="shared" si="82"/>
        <v>0</v>
      </c>
      <c r="NW15" s="27">
        <f t="shared" si="83"/>
        <v>0</v>
      </c>
      <c r="NX15" s="27">
        <f t="shared" si="84"/>
        <v>0</v>
      </c>
      <c r="NY15" s="27">
        <f t="shared" si="85"/>
        <v>2679.2036022929119</v>
      </c>
      <c r="NZ15" s="27">
        <f t="shared" si="86"/>
        <v>0</v>
      </c>
      <c r="OA15" s="27">
        <f t="shared" si="87"/>
        <v>13820.008066782839</v>
      </c>
      <c r="OB15" s="280"/>
      <c r="OC15" s="24">
        <f t="shared" si="88"/>
        <v>349.54339982995594</v>
      </c>
      <c r="OD15" s="27">
        <f t="shared" si="89"/>
        <v>0</v>
      </c>
      <c r="OE15" s="28">
        <f t="shared" si="1"/>
        <v>16848.755068905706</v>
      </c>
      <c r="OF15" s="27">
        <f t="shared" ref="OF15:OK19" si="139">+OF14+DR15+FU15-IQ15</f>
        <v>0</v>
      </c>
      <c r="OG15" s="27">
        <f t="shared" si="139"/>
        <v>0</v>
      </c>
      <c r="OH15" s="27">
        <f t="shared" si="139"/>
        <v>0</v>
      </c>
      <c r="OI15" s="27">
        <f t="shared" si="139"/>
        <v>0</v>
      </c>
      <c r="OJ15" s="27">
        <f t="shared" si="139"/>
        <v>0</v>
      </c>
      <c r="OK15" s="27">
        <f t="shared" si="139"/>
        <v>0</v>
      </c>
      <c r="OL15" s="24">
        <v>0</v>
      </c>
      <c r="OM15" s="27">
        <f t="shared" ref="OM15:OM40" si="140">+OM14+DY15+GB15-IX15</f>
        <v>0</v>
      </c>
      <c r="ON15" s="24">
        <f t="shared" ref="ON15:ON40" si="141">+ON14+DZ15+GC15-IY15</f>
        <v>18511.483599111009</v>
      </c>
      <c r="OO15" s="27">
        <f t="shared" ref="OO15:OO40" si="142">+OO14+EA15+GD15-IZ15</f>
        <v>0</v>
      </c>
      <c r="OP15" s="27">
        <f t="shared" ref="OP15:OP40" si="143">+OP14+EB15+GE15-JA15</f>
        <v>3032.195167932914</v>
      </c>
      <c r="OQ15" s="27">
        <f t="shared" ref="OQ15:OQ40" si="144">+OQ14+EC15+GF15-JB15</f>
        <v>0</v>
      </c>
      <c r="OR15" s="28">
        <f t="shared" si="2"/>
        <v>21543.678767043923</v>
      </c>
      <c r="OS15" s="36"/>
      <c r="OT15" s="27"/>
      <c r="OU15" s="27"/>
      <c r="OV15" s="27"/>
      <c r="OW15" s="27"/>
      <c r="OX15" s="27"/>
      <c r="OY15" s="28">
        <f t="shared" si="91"/>
        <v>0</v>
      </c>
      <c r="OZ15" s="36">
        <f t="shared" si="92"/>
        <v>0</v>
      </c>
      <c r="PA15" s="27">
        <f t="shared" si="93"/>
        <v>0</v>
      </c>
      <c r="PB15" s="27">
        <f t="shared" si="94"/>
        <v>0</v>
      </c>
      <c r="PC15" s="27">
        <f t="shared" si="95"/>
        <v>0</v>
      </c>
      <c r="PD15" s="27">
        <f t="shared" si="96"/>
        <v>0</v>
      </c>
      <c r="PE15" s="27">
        <f t="shared" si="97"/>
        <v>0</v>
      </c>
      <c r="PF15" s="33">
        <f t="shared" si="3"/>
        <v>0</v>
      </c>
      <c r="PG15" s="2621"/>
      <c r="PI15" s="1907">
        <v>850.78000000000009</v>
      </c>
      <c r="PJ15" s="3">
        <v>30</v>
      </c>
      <c r="PK15" s="3">
        <v>12.5</v>
      </c>
      <c r="PL15" s="3">
        <f t="shared" si="98"/>
        <v>0</v>
      </c>
      <c r="PM15" s="3">
        <f t="shared" si="99"/>
        <v>1320.1353876938929</v>
      </c>
      <c r="PN15" s="11">
        <f t="shared" si="100"/>
        <v>19707.895201279462</v>
      </c>
      <c r="PO15" s="15"/>
      <c r="PP15" s="2615"/>
      <c r="PR15" s="4"/>
      <c r="PS15" s="9"/>
      <c r="PT15" s="9"/>
      <c r="PU15" s="9"/>
      <c r="PV15" s="9">
        <v>0</v>
      </c>
      <c r="PW15" s="9"/>
      <c r="PX15" s="8">
        <f t="shared" si="101"/>
        <v>0</v>
      </c>
      <c r="PY15" s="5">
        <f t="shared" si="102"/>
        <v>850.78000000000009</v>
      </c>
      <c r="PZ15" s="5"/>
      <c r="QA15" s="5"/>
      <c r="QB15" s="5"/>
      <c r="QC15" s="5"/>
      <c r="QD15" s="5"/>
      <c r="QE15" s="12">
        <f t="shared" si="103"/>
        <v>29562.488999999998</v>
      </c>
      <c r="QF15" s="420">
        <f t="shared" si="104"/>
        <v>406009.95955850999</v>
      </c>
      <c r="QG15" s="1106">
        <f t="shared" si="105"/>
        <v>357.88</v>
      </c>
      <c r="QH15" s="484">
        <f t="shared" si="106"/>
        <v>5505.3678056099998</v>
      </c>
      <c r="QI15" s="12"/>
      <c r="QJ15" s="2615"/>
      <c r="QL15" s="139">
        <f t="shared" si="107"/>
        <v>0</v>
      </c>
      <c r="QM15" s="139" t="str">
        <f t="shared" si="108"/>
        <v/>
      </c>
      <c r="QO15" s="139">
        <f t="shared" si="109"/>
        <v>0</v>
      </c>
      <c r="QP15" s="139">
        <f t="shared" si="110"/>
        <v>0</v>
      </c>
      <c r="QR15" s="1">
        <f t="shared" si="111"/>
        <v>0</v>
      </c>
      <c r="QS15" s="1">
        <f t="shared" si="112"/>
        <v>0</v>
      </c>
      <c r="QT15" s="1">
        <f t="shared" si="113"/>
        <v>0</v>
      </c>
      <c r="QU15" s="1">
        <f t="shared" si="114"/>
        <v>0</v>
      </c>
      <c r="QV15" s="1">
        <f t="shared" si="115"/>
        <v>0</v>
      </c>
      <c r="QW15" s="1">
        <f t="shared" si="116"/>
        <v>0</v>
      </c>
      <c r="QY15" s="1">
        <f t="shared" si="117"/>
        <v>0</v>
      </c>
      <c r="QZ15" s="1">
        <f t="shared" si="118"/>
        <v>0</v>
      </c>
      <c r="RA15" s="1">
        <f t="shared" si="119"/>
        <v>0</v>
      </c>
      <c r="RB15" s="1">
        <f t="shared" si="120"/>
        <v>0</v>
      </c>
      <c r="RC15" s="1">
        <f t="shared" si="121"/>
        <v>0</v>
      </c>
      <c r="RD15" s="1">
        <f t="shared" si="122"/>
        <v>0</v>
      </c>
      <c r="RG15" s="1">
        <v>6</v>
      </c>
      <c r="RH15" s="1">
        <f t="shared" si="123"/>
        <v>29695.988251083167</v>
      </c>
      <c r="RI15" s="1">
        <f t="shared" si="123"/>
        <v>2286.1070498622812</v>
      </c>
      <c r="RJ15" s="1">
        <f t="shared" si="123"/>
        <v>9178.5689913333827</v>
      </c>
      <c r="RK15" s="89">
        <f t="shared" si="5"/>
        <v>41160.664292278831</v>
      </c>
      <c r="RL15" s="1033">
        <v>6</v>
      </c>
      <c r="RM15" s="1098">
        <f t="shared" si="124"/>
        <v>0</v>
      </c>
      <c r="RN15" s="1098">
        <f t="shared" si="125"/>
        <v>0</v>
      </c>
      <c r="RO15" s="1097">
        <f t="shared" si="125"/>
        <v>0</v>
      </c>
      <c r="RP15" s="1097">
        <f t="shared" si="126"/>
        <v>6465.62</v>
      </c>
      <c r="RQ15" s="1094"/>
      <c r="RR15" s="1094" t="s">
        <v>817</v>
      </c>
      <c r="RU15" s="421">
        <v>6</v>
      </c>
      <c r="RV15" s="1095">
        <f t="shared" si="127"/>
        <v>5959.65</v>
      </c>
      <c r="RW15" s="1094" t="s">
        <v>818</v>
      </c>
      <c r="RY15" s="1090"/>
      <c r="RZ15" s="1090">
        <f t="shared" si="128"/>
        <v>0</v>
      </c>
      <c r="SA15" s="1090"/>
      <c r="SB15" s="1090">
        <f t="shared" si="129"/>
        <v>0</v>
      </c>
      <c r="SD15" s="1">
        <v>6</v>
      </c>
      <c r="SE15" s="1">
        <f t="shared" si="130"/>
        <v>0</v>
      </c>
      <c r="SF15" s="1094"/>
    </row>
    <row r="16" spans="1:500" s="1" customFormat="1">
      <c r="B16" s="471">
        <v>7</v>
      </c>
      <c r="C16" s="4">
        <f t="shared" si="6"/>
        <v>137754.6</v>
      </c>
      <c r="D16" s="1590">
        <f>P16+T16+X16+AB16</f>
        <v>8051.6799999999994</v>
      </c>
      <c r="E16" s="1895">
        <f t="shared" si="7"/>
        <v>17.108802138187311</v>
      </c>
      <c r="F16" s="870"/>
      <c r="G16" s="870"/>
      <c r="H16" s="52"/>
      <c r="I16" s="61"/>
      <c r="J16" s="52"/>
      <c r="K16" s="54"/>
      <c r="L16" s="52">
        <v>1</v>
      </c>
      <c r="M16" s="61">
        <v>4.8600000000000003</v>
      </c>
      <c r="N16" s="2629"/>
      <c r="O16" s="4">
        <f t="shared" si="132"/>
        <v>77532</v>
      </c>
      <c r="P16" s="1225">
        <f t="shared" si="8"/>
        <v>5503.36</v>
      </c>
      <c r="Q16" s="1913">
        <f t="shared" si="9"/>
        <v>14.088120711710665</v>
      </c>
      <c r="R16" s="33"/>
      <c r="S16" s="26">
        <f t="shared" si="10"/>
        <v>33181.599999999999</v>
      </c>
      <c r="T16" s="27">
        <f t="shared" si="11"/>
        <v>1068.32</v>
      </c>
      <c r="U16" s="1909">
        <f t="shared" si="12"/>
        <v>31.05960760820728</v>
      </c>
      <c r="V16" s="15"/>
      <c r="W16" s="1742">
        <f t="shared" si="13"/>
        <v>27041</v>
      </c>
      <c r="X16" s="5">
        <f t="shared" si="13"/>
        <v>1480</v>
      </c>
      <c r="Y16" s="1738">
        <f t="shared" si="14"/>
        <v>18.270945945945947</v>
      </c>
      <c r="Z16" s="33"/>
      <c r="AA16" s="26">
        <f t="shared" si="15"/>
        <v>0</v>
      </c>
      <c r="AB16" s="27">
        <f t="shared" si="16"/>
        <v>0</v>
      </c>
      <c r="AC16" s="53">
        <f t="shared" si="17"/>
        <v>0</v>
      </c>
      <c r="AD16" s="28"/>
      <c r="AE16" s="36"/>
      <c r="AF16" s="36"/>
      <c r="AG16" s="53">
        <f t="shared" si="18"/>
        <v>0</v>
      </c>
      <c r="AH16" s="28"/>
      <c r="AI16" s="23"/>
      <c r="AJ16" s="27"/>
      <c r="AK16" s="53">
        <f t="shared" si="19"/>
        <v>0</v>
      </c>
      <c r="AL16" s="28"/>
      <c r="AM16" s="2629"/>
      <c r="AN16" s="9"/>
      <c r="AO16" s="5"/>
      <c r="AP16" s="61">
        <f t="shared" si="20"/>
        <v>0</v>
      </c>
      <c r="AQ16" s="36"/>
      <c r="AR16" s="53"/>
      <c r="AS16" s="61">
        <f t="shared" si="21"/>
        <v>0</v>
      </c>
      <c r="AT16" s="36">
        <v>0</v>
      </c>
      <c r="AU16" s="27"/>
      <c r="AV16" s="61">
        <f t="shared" si="22"/>
        <v>0</v>
      </c>
      <c r="AW16" s="36">
        <v>41034</v>
      </c>
      <c r="AX16" s="27">
        <v>3823.24</v>
      </c>
      <c r="AY16" s="1735">
        <f t="shared" si="23"/>
        <v>10.73278161977799</v>
      </c>
      <c r="AZ16" s="36"/>
      <c r="BA16" s="27"/>
      <c r="BB16" s="61">
        <f t="shared" si="24"/>
        <v>0</v>
      </c>
      <c r="BC16" s="1740">
        <v>36498</v>
      </c>
      <c r="BD16" s="1736">
        <v>1680.12</v>
      </c>
      <c r="BE16" s="1735">
        <f t="shared" si="25"/>
        <v>21.723448325119637</v>
      </c>
      <c r="BF16" s="36"/>
      <c r="BG16" s="53"/>
      <c r="BH16" s="61">
        <f t="shared" si="26"/>
        <v>0</v>
      </c>
      <c r="BI16" s="36">
        <v>0</v>
      </c>
      <c r="BJ16" s="53">
        <v>0</v>
      </c>
      <c r="BK16" s="61">
        <f t="shared" si="27"/>
        <v>0</v>
      </c>
      <c r="BL16" s="1742">
        <v>33181.599999999999</v>
      </c>
      <c r="BM16" s="1909">
        <v>1068.32</v>
      </c>
      <c r="BN16" s="1735">
        <f t="shared" si="28"/>
        <v>31.05960760820728</v>
      </c>
      <c r="BO16" s="36"/>
      <c r="BP16" s="53"/>
      <c r="BQ16" s="61">
        <f t="shared" si="29"/>
        <v>0</v>
      </c>
      <c r="BR16" s="36"/>
      <c r="BS16" s="53"/>
      <c r="BT16" s="61">
        <f t="shared" si="30"/>
        <v>0</v>
      </c>
      <c r="BU16" s="36">
        <v>27041</v>
      </c>
      <c r="BV16" s="27">
        <v>1480</v>
      </c>
      <c r="BW16" s="1906">
        <f t="shared" si="31"/>
        <v>18.270945945945947</v>
      </c>
      <c r="BX16" s="26"/>
      <c r="BY16" s="27"/>
      <c r="BZ16" s="61">
        <f t="shared" si="32"/>
        <v>0</v>
      </c>
      <c r="CA16" s="36"/>
      <c r="CB16" s="481"/>
      <c r="CC16" s="482">
        <f t="shared" si="33"/>
        <v>0</v>
      </c>
      <c r="CD16" s="4"/>
      <c r="CE16" s="5"/>
      <c r="CF16" s="28">
        <f t="shared" si="34"/>
        <v>0</v>
      </c>
      <c r="CG16" s="150"/>
      <c r="CH16" s="4"/>
      <c r="CI16" s="5"/>
      <c r="CJ16" s="5"/>
      <c r="CK16" s="5">
        <v>6014</v>
      </c>
      <c r="CL16" s="5"/>
      <c r="CM16" s="5">
        <f t="shared" si="35"/>
        <v>6014</v>
      </c>
      <c r="CN16" s="33"/>
      <c r="CO16" s="366"/>
      <c r="CQ16" s="4">
        <f t="shared" si="36"/>
        <v>0</v>
      </c>
      <c r="CR16" s="9">
        <f t="shared" si="37"/>
        <v>0</v>
      </c>
      <c r="CS16" s="5">
        <f t="shared" si="38"/>
        <v>0</v>
      </c>
      <c r="CT16" s="5">
        <f t="shared" si="39"/>
        <v>0</v>
      </c>
      <c r="CU16" s="5">
        <f t="shared" si="40"/>
        <v>0</v>
      </c>
      <c r="CV16" s="5">
        <f t="shared" si="41"/>
        <v>0</v>
      </c>
      <c r="CW16" s="5">
        <f t="shared" si="42"/>
        <v>0</v>
      </c>
      <c r="CX16" s="5">
        <f t="shared" si="43"/>
        <v>0</v>
      </c>
      <c r="CY16" s="5">
        <f t="shared" si="44"/>
        <v>6098.0199999999995</v>
      </c>
      <c r="CZ16" s="5">
        <f t="shared" si="45"/>
        <v>0</v>
      </c>
      <c r="DA16" s="5">
        <f t="shared" si="46"/>
        <v>1953.66</v>
      </c>
      <c r="DB16" s="12">
        <f t="shared" si="47"/>
        <v>0</v>
      </c>
      <c r="DC16" s="310">
        <f t="shared" si="48"/>
        <v>8051.6799999999994</v>
      </c>
      <c r="DD16" s="2695"/>
      <c r="DE16" s="8"/>
      <c r="DF16" s="9"/>
      <c r="DG16" s="5"/>
      <c r="DH16" s="5"/>
      <c r="DI16" s="5"/>
      <c r="DJ16" s="5"/>
      <c r="DK16" s="5">
        <v>0</v>
      </c>
      <c r="DL16" s="5"/>
      <c r="DM16" s="5">
        <v>3823.24</v>
      </c>
      <c r="DN16" s="5"/>
      <c r="DO16" s="5"/>
      <c r="DP16" s="12"/>
      <c r="DQ16" s="1906">
        <f t="shared" si="49"/>
        <v>3823.24</v>
      </c>
      <c r="DR16" s="36"/>
      <c r="DS16" s="36"/>
      <c r="DT16" s="27"/>
      <c r="DU16" s="27"/>
      <c r="DV16" s="5"/>
      <c r="DW16" s="5"/>
      <c r="DX16" s="5"/>
      <c r="DY16" s="5"/>
      <c r="DZ16" s="5">
        <v>2274.7799999999997</v>
      </c>
      <c r="EA16" s="53"/>
      <c r="EB16" s="27">
        <v>473.66</v>
      </c>
      <c r="EC16" s="33"/>
      <c r="ED16" s="28">
        <f t="shared" si="50"/>
        <v>2748.4399999999996</v>
      </c>
      <c r="EE16" s="9"/>
      <c r="EF16" s="9"/>
      <c r="EG16" s="5"/>
      <c r="EH16" s="492"/>
      <c r="EI16" s="27"/>
      <c r="EJ16" s="27"/>
      <c r="EK16" s="27"/>
      <c r="EL16" s="27"/>
      <c r="EM16" s="5"/>
      <c r="EN16" s="5"/>
      <c r="EO16" s="5">
        <v>1480</v>
      </c>
      <c r="EP16" s="33"/>
      <c r="EQ16" s="28">
        <f t="shared" si="51"/>
        <v>1480</v>
      </c>
      <c r="ER16" s="36"/>
      <c r="ES16" s="27"/>
      <c r="ET16" s="27"/>
      <c r="EU16" s="27"/>
      <c r="EV16" s="27"/>
      <c r="EW16" s="27"/>
      <c r="EX16" s="33">
        <f t="shared" si="52"/>
        <v>0</v>
      </c>
      <c r="EY16" s="2685"/>
      <c r="FA16" s="4">
        <f t="shared" si="53"/>
        <v>0</v>
      </c>
      <c r="FB16" s="5">
        <f t="shared" si="54"/>
        <v>0</v>
      </c>
      <c r="FC16" s="5">
        <f t="shared" si="55"/>
        <v>0</v>
      </c>
      <c r="FD16" s="12">
        <f t="shared" si="56"/>
        <v>0</v>
      </c>
      <c r="FE16" s="33"/>
      <c r="FF16" s="2674"/>
      <c r="FG16" s="9"/>
      <c r="FH16" s="5"/>
      <c r="FI16" s="5"/>
      <c r="FJ16" s="5"/>
      <c r="FK16" s="5"/>
      <c r="FL16" s="27"/>
      <c r="FM16" s="28">
        <f t="shared" si="57"/>
        <v>0</v>
      </c>
      <c r="FN16" s="36"/>
      <c r="FO16" s="27"/>
      <c r="FP16" s="27"/>
      <c r="FQ16" s="27"/>
      <c r="FR16" s="27"/>
      <c r="FS16" s="27"/>
      <c r="FT16" s="28">
        <f t="shared" si="58"/>
        <v>0</v>
      </c>
      <c r="FU16" s="36"/>
      <c r="FV16" s="36"/>
      <c r="FW16" s="27"/>
      <c r="FX16" s="27"/>
      <c r="FY16" s="27"/>
      <c r="FZ16" s="27"/>
      <c r="GA16" s="27"/>
      <c r="GB16" s="27"/>
      <c r="GC16" s="27"/>
      <c r="GD16" s="27"/>
      <c r="GE16" s="27"/>
      <c r="GF16" s="33"/>
      <c r="GG16" s="33">
        <f t="shared" si="59"/>
        <v>0</v>
      </c>
      <c r="GH16" s="2674"/>
      <c r="GJ16" s="2">
        <f t="shared" si="133"/>
        <v>2477.5</v>
      </c>
      <c r="GK16" s="63">
        <f t="shared" si="134"/>
        <v>2145.1</v>
      </c>
      <c r="GL16" s="24">
        <f t="shared" si="135"/>
        <v>2408.85</v>
      </c>
      <c r="GM16" s="1736">
        <f t="shared" si="60"/>
        <v>7031.4500000000007</v>
      </c>
      <c r="GN16" s="141"/>
      <c r="GO16" s="141"/>
      <c r="GP16" s="33"/>
      <c r="GQ16" s="2667"/>
      <c r="GR16" s="1939">
        <v>7031.45</v>
      </c>
      <c r="GS16" s="1727">
        <v>0</v>
      </c>
      <c r="GT16" s="1727">
        <v>0</v>
      </c>
      <c r="GU16" s="1723">
        <v>0</v>
      </c>
      <c r="GV16" s="1724">
        <f t="shared" si="61"/>
        <v>7031.45</v>
      </c>
      <c r="GW16" s="2667"/>
      <c r="GX16" s="36"/>
      <c r="GY16" s="36"/>
      <c r="GZ16" s="27"/>
      <c r="HA16" s="27"/>
      <c r="HB16" s="27"/>
      <c r="HC16" s="27"/>
      <c r="HD16" s="27"/>
      <c r="HE16" s="27"/>
      <c r="HF16" s="27">
        <v>0</v>
      </c>
      <c r="HG16" s="27"/>
      <c r="HH16" s="27">
        <v>2477.5</v>
      </c>
      <c r="HI16" s="27"/>
      <c r="HJ16" s="27">
        <v>0</v>
      </c>
      <c r="HK16" s="27"/>
      <c r="HL16" s="28">
        <f t="shared" si="62"/>
        <v>2477.5</v>
      </c>
      <c r="HM16" s="36"/>
      <c r="HN16" s="27"/>
      <c r="HO16" s="27"/>
      <c r="HP16" s="27"/>
      <c r="HQ16" s="27"/>
      <c r="HR16" s="27"/>
      <c r="HS16" s="27" cm="1">
        <f t="array" ref="HS16">SUMPRODUCT(('Data Base hauling'!$C$2:$C$216="TCM-ROM SB1 BK05-ROM 4")*(ISNUMBER(SEARCH(TEXT('March TCM'!$B16,"00")&amp;"/03/2026",'Data Base hauling'!$E$2:$E$216)))*'Data Base hauling'!$N$2:$N$216)</f>
        <v>0</v>
      </c>
      <c r="HT16" s="27"/>
      <c r="HU16" s="27" cm="1">
        <f t="array" ref="HU16">SUMPRODUCT(('Data Base hauling'!$C$2:$C$216="TCM-ROM SB1 BK05-ROM 5")*(ISNUMBER(SEARCH(TEXT('March TCM'!$B16,"00")&amp;"/03/2026",'Data Base hauling'!$E$2:$E$216)))*'Data Base hauling'!$N$2:$N$216)</f>
        <v>0</v>
      </c>
      <c r="HV16" s="27"/>
      <c r="HW16" s="27"/>
      <c r="HX16" s="27"/>
      <c r="HY16" s="27"/>
      <c r="HZ16" s="27"/>
      <c r="IA16" s="33">
        <f t="shared" si="63"/>
        <v>0</v>
      </c>
      <c r="IB16" s="52"/>
      <c r="IC16" s="152"/>
      <c r="ID16" s="53"/>
      <c r="IE16" s="53"/>
      <c r="IF16" s="53"/>
      <c r="IG16" s="53"/>
      <c r="IH16" s="53">
        <v>1286.8499999999999</v>
      </c>
      <c r="II16" s="53"/>
      <c r="IJ16" s="1736">
        <v>858.25</v>
      </c>
      <c r="IK16" s="53"/>
      <c r="IL16" s="53">
        <v>0</v>
      </c>
      <c r="IM16" s="53"/>
      <c r="IN16" s="53"/>
      <c r="IO16" s="49">
        <v>0</v>
      </c>
      <c r="IP16" s="61">
        <f t="shared" si="64"/>
        <v>2145.1</v>
      </c>
      <c r="IQ16" s="36"/>
      <c r="IR16" s="36"/>
      <c r="IS16" s="27"/>
      <c r="IT16" s="27"/>
      <c r="IU16" s="53"/>
      <c r="IV16" s="27"/>
      <c r="IW16" s="27">
        <v>0</v>
      </c>
      <c r="IX16" s="27"/>
      <c r="IY16" s="27">
        <v>1894.3</v>
      </c>
      <c r="IZ16" s="27"/>
      <c r="JA16" s="27">
        <v>514.54999999999995</v>
      </c>
      <c r="JB16" s="27"/>
      <c r="JC16" s="27"/>
      <c r="JD16" s="27"/>
      <c r="JE16" s="54">
        <f t="shared" si="138"/>
        <v>2408.85</v>
      </c>
      <c r="JF16" s="2667"/>
      <c r="JH16" s="2019">
        <v>2221.4499999999998</v>
      </c>
      <c r="JI16" s="2017">
        <v>4810</v>
      </c>
      <c r="JJ16" s="53"/>
      <c r="JK16" s="1736">
        <f t="shared" si="65"/>
        <v>7031.45</v>
      </c>
      <c r="JL16" s="33"/>
      <c r="JM16" s="2669"/>
      <c r="JN16" s="69">
        <v>0</v>
      </c>
      <c r="JO16" s="70">
        <v>0</v>
      </c>
      <c r="JP16" s="70">
        <v>0</v>
      </c>
      <c r="JQ16" s="70">
        <v>0</v>
      </c>
      <c r="JR16" s="850">
        <v>1</v>
      </c>
      <c r="JS16" s="850">
        <v>0</v>
      </c>
      <c r="JT16" s="850">
        <v>0</v>
      </c>
      <c r="JU16" s="1923">
        <v>0</v>
      </c>
      <c r="JV16" s="849">
        <v>0</v>
      </c>
      <c r="JW16" s="850">
        <v>0</v>
      </c>
      <c r="JX16" s="850">
        <v>0</v>
      </c>
      <c r="JY16" s="850">
        <v>0.26753638253638251</v>
      </c>
      <c r="JZ16" s="850">
        <v>0.11041580041580042</v>
      </c>
      <c r="KA16" s="70">
        <v>0.62204781704781709</v>
      </c>
      <c r="KB16" s="70">
        <v>0</v>
      </c>
      <c r="KC16" s="71">
        <v>0</v>
      </c>
      <c r="KD16" s="21"/>
      <c r="KE16" s="70"/>
      <c r="KF16" s="70"/>
      <c r="KG16" s="70"/>
      <c r="KH16" s="70"/>
      <c r="KI16" s="70"/>
      <c r="KJ16" s="70"/>
      <c r="KK16" s="70"/>
      <c r="KL16" s="33"/>
      <c r="KM16" s="2669"/>
      <c r="KN16" s="1740">
        <v>7003</v>
      </c>
      <c r="KO16" s="1723">
        <v>0.71</v>
      </c>
      <c r="KP16" s="1723">
        <v>1.8700000000000003</v>
      </c>
      <c r="KQ16" s="1723">
        <v>7.4600000000000009</v>
      </c>
      <c r="KR16" s="1724">
        <v>10.958012</v>
      </c>
      <c r="KS16" s="1741">
        <v>7079</v>
      </c>
      <c r="KT16" s="1726">
        <v>1.72</v>
      </c>
      <c r="KU16" s="1726">
        <v>3.8799999999999994</v>
      </c>
      <c r="KV16" s="1726">
        <v>5.59</v>
      </c>
      <c r="KW16" s="1963">
        <v>9.2342259999999996</v>
      </c>
      <c r="KX16" s="36"/>
      <c r="KY16" s="53"/>
      <c r="KZ16" s="53"/>
      <c r="LA16" s="53"/>
      <c r="LB16" s="53"/>
      <c r="LC16" s="33"/>
      <c r="LD16" s="2669"/>
      <c r="LF16" s="1121">
        <f t="shared" si="66"/>
        <v>6014.8192000000008</v>
      </c>
      <c r="LG16" s="280">
        <f t="shared" si="66"/>
        <v>1503.7048000000002</v>
      </c>
      <c r="LH16" s="280">
        <f t="shared" si="66"/>
        <v>0</v>
      </c>
      <c r="LI16" s="844">
        <f t="shared" si="67"/>
        <v>7518.5240000000013</v>
      </c>
      <c r="LJ16" s="36">
        <v>1</v>
      </c>
      <c r="LK16" s="27"/>
      <c r="LL16" s="27">
        <v>5</v>
      </c>
      <c r="LM16" s="33"/>
      <c r="LN16" s="1041">
        <v>6.47</v>
      </c>
      <c r="LO16" s="486"/>
      <c r="LP16" s="2688"/>
      <c r="LQ16" s="867">
        <v>6014.8192000000008</v>
      </c>
      <c r="LR16" s="27">
        <v>1503.7048000000002</v>
      </c>
      <c r="LS16" s="27"/>
      <c r="LT16" s="27"/>
      <c r="LU16" s="27"/>
      <c r="LV16" s="1117">
        <f t="shared" si="68"/>
        <v>7518.5240000000013</v>
      </c>
      <c r="LW16" s="36"/>
      <c r="LX16" s="36"/>
      <c r="LY16" s="27"/>
      <c r="LZ16" s="27"/>
      <c r="MA16" s="33"/>
      <c r="MB16" s="28">
        <f t="shared" si="69"/>
        <v>0</v>
      </c>
      <c r="MC16" s="36"/>
      <c r="MD16" s="36"/>
      <c r="ME16" s="27"/>
      <c r="MF16" s="27"/>
      <c r="MG16" s="33"/>
      <c r="MH16" s="28"/>
      <c r="MI16" s="36"/>
      <c r="MJ16" s="36"/>
      <c r="MK16" s="27"/>
      <c r="ML16" s="27"/>
      <c r="MM16" s="27"/>
      <c r="MN16" s="28"/>
      <c r="MO16" s="36"/>
      <c r="MP16" s="36"/>
      <c r="MQ16" s="27"/>
      <c r="MR16" s="27"/>
      <c r="MS16" s="27"/>
      <c r="MT16" s="33">
        <f t="shared" si="70"/>
        <v>0</v>
      </c>
      <c r="MU16" s="2688"/>
      <c r="MW16" s="26">
        <f t="shared" si="71"/>
        <v>71301.452645013385</v>
      </c>
      <c r="MX16" s="27">
        <f t="shared" si="72"/>
        <v>86666.082248823514</v>
      </c>
      <c r="MY16" s="27">
        <f t="shared" si="73"/>
        <v>19707.895201279462</v>
      </c>
      <c r="MZ16" s="28">
        <f t="shared" si="74"/>
        <v>435384.72855851002</v>
      </c>
      <c r="NA16" s="2621"/>
      <c r="NB16" s="23">
        <f t="shared" si="75"/>
        <v>51466.469437467851</v>
      </c>
      <c r="NC16" s="1579">
        <f t="shared" si="76"/>
        <v>19834.983207545538</v>
      </c>
      <c r="ND16" s="60">
        <f t="shared" si="77"/>
        <v>0</v>
      </c>
      <c r="NE16" s="275">
        <f t="shared" si="4"/>
        <v>71301.452645013385</v>
      </c>
      <c r="NF16" s="26">
        <f t="shared" si="78"/>
        <v>0</v>
      </c>
      <c r="NG16" s="27">
        <f t="shared" si="78"/>
        <v>0</v>
      </c>
      <c r="NH16" s="27">
        <f t="shared" si="78"/>
        <v>0</v>
      </c>
      <c r="NI16" s="27">
        <f t="shared" si="78"/>
        <v>0</v>
      </c>
      <c r="NJ16" s="27">
        <f t="shared" si="78"/>
        <v>0</v>
      </c>
      <c r="NK16" s="33">
        <f t="shared" si="78"/>
        <v>0</v>
      </c>
      <c r="NL16" s="27">
        <f t="shared" si="78"/>
        <v>0</v>
      </c>
      <c r="NM16" s="36">
        <f t="shared" si="78"/>
        <v>0</v>
      </c>
      <c r="NN16" s="24">
        <f t="shared" si="78"/>
        <v>5500.0005665631452</v>
      </c>
      <c r="NO16" s="27">
        <f t="shared" si="78"/>
        <v>26196.69549600617</v>
      </c>
      <c r="NP16" s="24">
        <f t="shared" si="136"/>
        <v>8756.5482322711578</v>
      </c>
      <c r="NQ16" s="24">
        <f t="shared" si="137"/>
        <v>5802.6741180334084</v>
      </c>
      <c r="NR16" s="27">
        <f t="shared" si="0"/>
        <v>46255.918412873885</v>
      </c>
      <c r="NS16" s="27">
        <f t="shared" si="79"/>
        <v>0</v>
      </c>
      <c r="NT16" s="27">
        <f t="shared" si="80"/>
        <v>0</v>
      </c>
      <c r="NU16" s="27">
        <f t="shared" si="81"/>
        <v>0</v>
      </c>
      <c r="NV16" s="27">
        <f t="shared" si="82"/>
        <v>0</v>
      </c>
      <c r="NW16" s="27">
        <f t="shared" si="83"/>
        <v>0</v>
      </c>
      <c r="NX16" s="27">
        <f t="shared" si="84"/>
        <v>0</v>
      </c>
      <c r="NY16" s="27">
        <f t="shared" si="85"/>
        <v>1392.353602292912</v>
      </c>
      <c r="NZ16" s="27">
        <f t="shared" si="86"/>
        <v>0</v>
      </c>
      <c r="OA16" s="27">
        <f t="shared" si="87"/>
        <v>16784.998066782839</v>
      </c>
      <c r="OB16" s="280"/>
      <c r="OC16" s="24">
        <f t="shared" si="88"/>
        <v>349.54339982995594</v>
      </c>
      <c r="OD16" s="27">
        <f t="shared" si="89"/>
        <v>0</v>
      </c>
      <c r="OE16" s="28">
        <f t="shared" si="1"/>
        <v>18526.895068905706</v>
      </c>
      <c r="OF16" s="27">
        <f t="shared" si="139"/>
        <v>0</v>
      </c>
      <c r="OG16" s="27">
        <f t="shared" si="139"/>
        <v>0</v>
      </c>
      <c r="OH16" s="27">
        <f t="shared" si="139"/>
        <v>0</v>
      </c>
      <c r="OI16" s="27">
        <f t="shared" si="139"/>
        <v>0</v>
      </c>
      <c r="OJ16" s="27">
        <f t="shared" si="139"/>
        <v>0</v>
      </c>
      <c r="OK16" s="27">
        <f t="shared" si="139"/>
        <v>0</v>
      </c>
      <c r="OL16" s="24">
        <v>0</v>
      </c>
      <c r="OM16" s="27">
        <f t="shared" si="140"/>
        <v>0</v>
      </c>
      <c r="ON16" s="24">
        <f t="shared" si="141"/>
        <v>18891.963599111008</v>
      </c>
      <c r="OO16" s="27">
        <f t="shared" si="142"/>
        <v>0</v>
      </c>
      <c r="OP16" s="27">
        <f t="shared" si="143"/>
        <v>2991.3051679329137</v>
      </c>
      <c r="OQ16" s="27">
        <f t="shared" si="144"/>
        <v>0</v>
      </c>
      <c r="OR16" s="28">
        <f t="shared" si="2"/>
        <v>21883.268767043923</v>
      </c>
      <c r="OS16" s="36"/>
      <c r="OT16" s="27"/>
      <c r="OU16" s="27"/>
      <c r="OV16" s="27"/>
      <c r="OW16" s="27"/>
      <c r="OX16" s="27"/>
      <c r="OY16" s="28">
        <f t="shared" si="91"/>
        <v>0</v>
      </c>
      <c r="OZ16" s="36">
        <f t="shared" si="92"/>
        <v>0</v>
      </c>
      <c r="PA16" s="27">
        <f t="shared" si="93"/>
        <v>0</v>
      </c>
      <c r="PB16" s="27">
        <f t="shared" si="94"/>
        <v>0</v>
      </c>
      <c r="PC16" s="27">
        <f t="shared" si="95"/>
        <v>0</v>
      </c>
      <c r="PD16" s="27">
        <f t="shared" si="96"/>
        <v>0</v>
      </c>
      <c r="PE16" s="27">
        <f t="shared" si="97"/>
        <v>0</v>
      </c>
      <c r="PF16" s="33">
        <f t="shared" si="3"/>
        <v>0</v>
      </c>
      <c r="PG16" s="2621"/>
      <c r="PI16" s="1907">
        <v>545.6</v>
      </c>
      <c r="PJ16" s="3">
        <v>0</v>
      </c>
      <c r="PK16" s="3">
        <v>0</v>
      </c>
      <c r="PL16" s="3">
        <f t="shared" si="98"/>
        <v>0</v>
      </c>
      <c r="PM16" s="3">
        <f t="shared" si="99"/>
        <v>1865.7353876938928</v>
      </c>
      <c r="PN16" s="11">
        <f t="shared" si="100"/>
        <v>19707.895201279462</v>
      </c>
      <c r="PO16" s="15"/>
      <c r="PP16" s="2615"/>
      <c r="PR16" s="4"/>
      <c r="PS16" s="9"/>
      <c r="PT16" s="9"/>
      <c r="PU16" s="9"/>
      <c r="PV16" s="9">
        <v>0</v>
      </c>
      <c r="PW16" s="9"/>
      <c r="PX16" s="8">
        <f t="shared" si="101"/>
        <v>0</v>
      </c>
      <c r="PY16" s="5">
        <f t="shared" si="102"/>
        <v>545.6</v>
      </c>
      <c r="PZ16" s="5"/>
      <c r="QA16" s="5"/>
      <c r="QB16" s="5"/>
      <c r="QC16" s="5"/>
      <c r="QD16" s="5"/>
      <c r="QE16" s="12">
        <f t="shared" si="103"/>
        <v>29562.488999999998</v>
      </c>
      <c r="QF16" s="420">
        <f t="shared" si="104"/>
        <v>405464.35955851001</v>
      </c>
      <c r="QG16" s="1106">
        <f t="shared" si="105"/>
        <v>357.88</v>
      </c>
      <c r="QH16" s="484">
        <f t="shared" si="106"/>
        <v>5505.3678056099998</v>
      </c>
      <c r="QI16" s="12"/>
      <c r="QJ16" s="2615"/>
      <c r="QL16" s="139">
        <f t="shared" si="107"/>
        <v>0</v>
      </c>
      <c r="QM16" s="139" t="str">
        <f t="shared" si="108"/>
        <v/>
      </c>
      <c r="QO16" s="139">
        <f t="shared" si="109"/>
        <v>0</v>
      </c>
      <c r="QP16" s="139">
        <f t="shared" si="110"/>
        <v>0</v>
      </c>
      <c r="QR16" s="1">
        <f t="shared" si="111"/>
        <v>0</v>
      </c>
      <c r="QS16" s="1">
        <f t="shared" si="112"/>
        <v>0</v>
      </c>
      <c r="QT16" s="1">
        <f t="shared" si="113"/>
        <v>0</v>
      </c>
      <c r="QU16" s="1">
        <f t="shared" si="114"/>
        <v>0</v>
      </c>
      <c r="QV16" s="1">
        <f t="shared" si="115"/>
        <v>0</v>
      </c>
      <c r="QW16" s="1">
        <f t="shared" si="116"/>
        <v>0</v>
      </c>
      <c r="QY16" s="1">
        <f t="shared" si="117"/>
        <v>0</v>
      </c>
      <c r="QZ16" s="1">
        <f t="shared" si="118"/>
        <v>0</v>
      </c>
      <c r="RA16" s="1">
        <f t="shared" si="119"/>
        <v>0</v>
      </c>
      <c r="RB16" s="1">
        <f t="shared" si="120"/>
        <v>0</v>
      </c>
      <c r="RC16" s="1">
        <f t="shared" si="121"/>
        <v>0</v>
      </c>
      <c r="RD16" s="1">
        <f t="shared" si="122"/>
        <v>0</v>
      </c>
      <c r="RG16" s="1">
        <v>7</v>
      </c>
      <c r="RH16" s="1">
        <f t="shared" si="123"/>
        <v>25902.619051083166</v>
      </c>
      <c r="RI16" s="1">
        <f t="shared" si="123"/>
        <v>5592.4022498622808</v>
      </c>
      <c r="RJ16" s="1">
        <f t="shared" si="123"/>
        <v>9178.5689913333827</v>
      </c>
      <c r="RK16" s="89">
        <f t="shared" si="5"/>
        <v>40673.59029227883</v>
      </c>
      <c r="RL16" s="1033">
        <v>7</v>
      </c>
      <c r="RM16" s="1098">
        <f t="shared" si="124"/>
        <v>0</v>
      </c>
      <c r="RN16" s="1098">
        <f t="shared" si="125"/>
        <v>0</v>
      </c>
      <c r="RO16" s="1097">
        <f t="shared" si="125"/>
        <v>0</v>
      </c>
      <c r="RP16" s="1097">
        <f t="shared" si="126"/>
        <v>6571.6799999999994</v>
      </c>
      <c r="RQ16" s="1094"/>
      <c r="RR16" s="1094" t="s">
        <v>819</v>
      </c>
      <c r="RU16" s="421">
        <v>7</v>
      </c>
      <c r="RV16" s="1095">
        <f t="shared" si="127"/>
        <v>7031.45</v>
      </c>
      <c r="RW16" s="1094" t="s">
        <v>820</v>
      </c>
      <c r="RY16" s="1090"/>
      <c r="RZ16" s="1090">
        <f t="shared" si="128"/>
        <v>0</v>
      </c>
      <c r="SA16" s="1090"/>
      <c r="SB16" s="1090">
        <f t="shared" si="129"/>
        <v>0</v>
      </c>
      <c r="SD16" s="1">
        <v>7</v>
      </c>
      <c r="SE16" s="1">
        <f t="shared" si="130"/>
        <v>0</v>
      </c>
      <c r="SF16" s="1094"/>
    </row>
    <row r="17" spans="1:500" s="1" customFormat="1">
      <c r="B17" s="471">
        <v>8</v>
      </c>
      <c r="C17" s="4">
        <f t="shared" si="6"/>
        <v>166017</v>
      </c>
      <c r="D17" s="1590">
        <f t="shared" si="131"/>
        <v>11254.04</v>
      </c>
      <c r="E17" s="1895">
        <f t="shared" si="7"/>
        <v>14.751769142459063</v>
      </c>
      <c r="F17" s="870"/>
      <c r="G17" s="870"/>
      <c r="H17" s="52"/>
      <c r="I17" s="61"/>
      <c r="J17" s="52"/>
      <c r="K17" s="54"/>
      <c r="L17" s="52"/>
      <c r="M17" s="61"/>
      <c r="N17" s="2629"/>
      <c r="O17" s="4">
        <f t="shared" si="132"/>
        <v>92694</v>
      </c>
      <c r="P17" s="1225">
        <f t="shared" si="8"/>
        <v>6060.8000000000011</v>
      </c>
      <c r="Q17" s="1913">
        <f t="shared" si="9"/>
        <v>15.294020591341074</v>
      </c>
      <c r="R17" s="33"/>
      <c r="S17" s="26">
        <f t="shared" si="10"/>
        <v>38399</v>
      </c>
      <c r="T17" s="27">
        <f t="shared" si="11"/>
        <v>1893.2400000000002</v>
      </c>
      <c r="U17" s="1909">
        <f t="shared" si="12"/>
        <v>20.282161796708287</v>
      </c>
      <c r="W17" s="1742">
        <f t="shared" si="13"/>
        <v>34924</v>
      </c>
      <c r="X17" s="5">
        <f t="shared" si="13"/>
        <v>3300</v>
      </c>
      <c r="Y17" s="1738">
        <f t="shared" si="14"/>
        <v>10.583030303030304</v>
      </c>
      <c r="Z17" s="33"/>
      <c r="AA17" s="26">
        <f t="shared" si="15"/>
        <v>0</v>
      </c>
      <c r="AB17" s="27">
        <f t="shared" si="16"/>
        <v>0</v>
      </c>
      <c r="AC17" s="53">
        <f t="shared" si="17"/>
        <v>0</v>
      </c>
      <c r="AD17" s="28"/>
      <c r="AE17" s="36"/>
      <c r="AF17" s="36"/>
      <c r="AG17" s="53">
        <f t="shared" si="18"/>
        <v>0</v>
      </c>
      <c r="AH17" s="28"/>
      <c r="AI17" s="26"/>
      <c r="AJ17" s="27"/>
      <c r="AK17" s="53">
        <f t="shared" si="19"/>
        <v>0</v>
      </c>
      <c r="AL17" s="28"/>
      <c r="AM17" s="2629"/>
      <c r="AN17" s="9"/>
      <c r="AO17" s="5"/>
      <c r="AP17" s="61">
        <f t="shared" si="20"/>
        <v>0</v>
      </c>
      <c r="AQ17" s="36"/>
      <c r="AR17" s="53"/>
      <c r="AS17" s="61">
        <f t="shared" si="21"/>
        <v>0</v>
      </c>
      <c r="AT17" s="36">
        <v>0</v>
      </c>
      <c r="AU17" s="27"/>
      <c r="AV17" s="61">
        <f t="shared" si="22"/>
        <v>0</v>
      </c>
      <c r="AW17" s="36">
        <v>61362</v>
      </c>
      <c r="AX17" s="27">
        <v>4506.9000000000005</v>
      </c>
      <c r="AY17" s="1735">
        <f t="shared" si="23"/>
        <v>13.615123477334752</v>
      </c>
      <c r="AZ17" s="36"/>
      <c r="BA17" s="27"/>
      <c r="BB17" s="61">
        <f t="shared" si="24"/>
        <v>0</v>
      </c>
      <c r="BC17" s="1740">
        <v>31332</v>
      </c>
      <c r="BD17" s="1736">
        <v>1553.9</v>
      </c>
      <c r="BE17" s="1735">
        <f t="shared" si="25"/>
        <v>20.163459682090224</v>
      </c>
      <c r="BF17" s="36"/>
      <c r="BG17" s="53"/>
      <c r="BH17" s="61">
        <f t="shared" si="26"/>
        <v>0</v>
      </c>
      <c r="BI17" s="36">
        <v>0</v>
      </c>
      <c r="BJ17" s="53">
        <v>0</v>
      </c>
      <c r="BK17" s="61">
        <f t="shared" si="27"/>
        <v>0</v>
      </c>
      <c r="BL17" s="1742">
        <v>38399</v>
      </c>
      <c r="BM17" s="1909">
        <v>1893.2400000000002</v>
      </c>
      <c r="BN17" s="1735">
        <f t="shared" si="28"/>
        <v>20.282161796708287</v>
      </c>
      <c r="BO17" s="36"/>
      <c r="BP17" s="53"/>
      <c r="BQ17" s="61">
        <f t="shared" si="29"/>
        <v>0</v>
      </c>
      <c r="BR17" s="36"/>
      <c r="BS17" s="53"/>
      <c r="BT17" s="61">
        <f t="shared" si="30"/>
        <v>0</v>
      </c>
      <c r="BU17" s="36">
        <v>34924</v>
      </c>
      <c r="BV17" s="27">
        <v>3300</v>
      </c>
      <c r="BW17" s="1906">
        <f t="shared" si="31"/>
        <v>10.583030303030304</v>
      </c>
      <c r="BX17" s="26"/>
      <c r="BY17" s="27"/>
      <c r="BZ17" s="61">
        <f t="shared" si="32"/>
        <v>0</v>
      </c>
      <c r="CA17" s="36"/>
      <c r="CB17" s="481"/>
      <c r="CC17" s="482">
        <f t="shared" si="33"/>
        <v>0</v>
      </c>
      <c r="CD17" s="4"/>
      <c r="CE17" s="5"/>
      <c r="CF17" s="28">
        <f t="shared" si="34"/>
        <v>0</v>
      </c>
      <c r="CG17" s="150"/>
      <c r="CH17" s="4"/>
      <c r="CI17" s="5"/>
      <c r="CJ17" s="5"/>
      <c r="CK17" s="5">
        <v>5053</v>
      </c>
      <c r="CL17" s="5"/>
      <c r="CM17" s="5">
        <f t="shared" si="35"/>
        <v>5053</v>
      </c>
      <c r="CN17" s="33"/>
      <c r="CO17" s="366"/>
      <c r="CQ17" s="4">
        <f t="shared" si="36"/>
        <v>0</v>
      </c>
      <c r="CR17" s="9">
        <f t="shared" si="37"/>
        <v>0</v>
      </c>
      <c r="CS17" s="5">
        <f t="shared" si="38"/>
        <v>0</v>
      </c>
      <c r="CT17" s="5">
        <f t="shared" si="39"/>
        <v>0</v>
      </c>
      <c r="CU17" s="5">
        <f t="shared" si="40"/>
        <v>0</v>
      </c>
      <c r="CV17" s="5">
        <f t="shared" si="41"/>
        <v>0</v>
      </c>
      <c r="CW17" s="5">
        <f t="shared" si="42"/>
        <v>1430.8</v>
      </c>
      <c r="CX17" s="5">
        <f t="shared" si="43"/>
        <v>0</v>
      </c>
      <c r="CY17" s="5">
        <f t="shared" si="44"/>
        <v>7883.2399999999989</v>
      </c>
      <c r="CZ17" s="5">
        <f t="shared" si="45"/>
        <v>0</v>
      </c>
      <c r="DA17" s="5">
        <f t="shared" si="46"/>
        <v>1940</v>
      </c>
      <c r="DB17" s="12">
        <f t="shared" si="47"/>
        <v>0</v>
      </c>
      <c r="DC17" s="310">
        <f t="shared" si="48"/>
        <v>11254.039999999999</v>
      </c>
      <c r="DD17" s="2695"/>
      <c r="DE17" s="8"/>
      <c r="DF17" s="9"/>
      <c r="DG17" s="5"/>
      <c r="DH17" s="5"/>
      <c r="DI17" s="5"/>
      <c r="DJ17" s="5"/>
      <c r="DK17" s="5">
        <v>1430.8</v>
      </c>
      <c r="DL17" s="5"/>
      <c r="DM17" s="5">
        <v>3076.1</v>
      </c>
      <c r="DN17" s="5"/>
      <c r="DO17" s="5"/>
      <c r="DP17" s="12"/>
      <c r="DQ17" s="1906">
        <f t="shared" si="49"/>
        <v>4506.8999999999996</v>
      </c>
      <c r="DR17" s="36"/>
      <c r="DS17" s="36"/>
      <c r="DT17" s="27"/>
      <c r="DU17" s="27"/>
      <c r="DV17" s="5"/>
      <c r="DW17" s="5"/>
      <c r="DX17" s="5"/>
      <c r="DY17" s="5"/>
      <c r="DZ17" s="5">
        <v>3447.139999999999</v>
      </c>
      <c r="EA17" s="53"/>
      <c r="EB17" s="27">
        <v>0</v>
      </c>
      <c r="EC17" s="33"/>
      <c r="ED17" s="28">
        <f t="shared" si="50"/>
        <v>3447.139999999999</v>
      </c>
      <c r="EE17" s="9"/>
      <c r="EF17" s="9"/>
      <c r="EG17" s="5"/>
      <c r="EH17" s="492"/>
      <c r="EI17" s="27"/>
      <c r="EJ17" s="27"/>
      <c r="EK17" s="27"/>
      <c r="EL17" s="27"/>
      <c r="EM17" s="5">
        <v>1360</v>
      </c>
      <c r="EN17" s="5"/>
      <c r="EO17" s="5">
        <v>1940</v>
      </c>
      <c r="EP17" s="33"/>
      <c r="EQ17" s="28">
        <f t="shared" si="51"/>
        <v>3300</v>
      </c>
      <c r="ER17" s="36"/>
      <c r="ES17" s="27"/>
      <c r="ET17" s="27"/>
      <c r="EU17" s="27"/>
      <c r="EV17" s="27"/>
      <c r="EW17" s="27"/>
      <c r="EX17" s="33">
        <f t="shared" si="52"/>
        <v>0</v>
      </c>
      <c r="EY17" s="2685"/>
      <c r="FA17" s="4">
        <f t="shared" si="53"/>
        <v>0</v>
      </c>
      <c r="FB17" s="5">
        <f t="shared" si="54"/>
        <v>0</v>
      </c>
      <c r="FC17" s="5">
        <f t="shared" si="55"/>
        <v>0</v>
      </c>
      <c r="FD17" s="12">
        <f t="shared" si="56"/>
        <v>0</v>
      </c>
      <c r="FE17" s="33"/>
      <c r="FF17" s="2674"/>
      <c r="FG17" s="9"/>
      <c r="FH17" s="5"/>
      <c r="FI17" s="5"/>
      <c r="FJ17" s="5"/>
      <c r="FK17" s="5"/>
      <c r="FL17" s="27"/>
      <c r="FM17" s="28">
        <f t="shared" si="57"/>
        <v>0</v>
      </c>
      <c r="FN17" s="36"/>
      <c r="FO17" s="27"/>
      <c r="FP17" s="27"/>
      <c r="FQ17" s="27"/>
      <c r="FR17" s="27"/>
      <c r="FS17" s="27"/>
      <c r="FT17" s="28">
        <f t="shared" si="58"/>
        <v>0</v>
      </c>
      <c r="FU17" s="36"/>
      <c r="FV17" s="36"/>
      <c r="FW17" s="27"/>
      <c r="FX17" s="27"/>
      <c r="FY17" s="27"/>
      <c r="FZ17" s="27"/>
      <c r="GA17" s="27"/>
      <c r="GB17" s="27"/>
      <c r="GC17" s="27"/>
      <c r="GD17" s="27"/>
      <c r="GE17" s="27"/>
      <c r="GF17" s="33"/>
      <c r="GG17" s="33">
        <f t="shared" si="59"/>
        <v>0</v>
      </c>
      <c r="GH17" s="2674"/>
      <c r="GJ17" s="2">
        <f t="shared" si="133"/>
        <v>611.69999999999993</v>
      </c>
      <c r="GK17" s="63">
        <f t="shared" si="134"/>
        <v>1416.4499999999998</v>
      </c>
      <c r="GL17" s="24">
        <f t="shared" si="135"/>
        <v>3765.15</v>
      </c>
      <c r="GM17" s="1736">
        <f t="shared" si="60"/>
        <v>5793.2999999999993</v>
      </c>
      <c r="GN17" s="141"/>
      <c r="GO17" s="141"/>
      <c r="GP17" s="33"/>
      <c r="GQ17" s="2667"/>
      <c r="GR17" s="1939">
        <v>5793.2999999999993</v>
      </c>
      <c r="GS17" s="280">
        <v>0</v>
      </c>
      <c r="GT17" s="27">
        <v>0</v>
      </c>
      <c r="GU17" s="27">
        <v>0</v>
      </c>
      <c r="GV17" s="54">
        <f t="shared" si="61"/>
        <v>5793.2999999999993</v>
      </c>
      <c r="GW17" s="2667"/>
      <c r="GX17" s="36"/>
      <c r="GY17" s="36"/>
      <c r="GZ17" s="27"/>
      <c r="HA17" s="27"/>
      <c r="HB17" s="27"/>
      <c r="HC17" s="27"/>
      <c r="HD17" s="27"/>
      <c r="HE17" s="27"/>
      <c r="HF17" s="27">
        <v>611.69999999999993</v>
      </c>
      <c r="HG17" s="27"/>
      <c r="HH17" s="27">
        <v>0</v>
      </c>
      <c r="HI17" s="27"/>
      <c r="HJ17" s="27">
        <v>0</v>
      </c>
      <c r="HK17" s="27"/>
      <c r="HL17" s="28">
        <f>SUM(GX17:HK17)</f>
        <v>611.69999999999993</v>
      </c>
      <c r="HM17" s="36"/>
      <c r="HN17" s="27"/>
      <c r="HO17" s="27"/>
      <c r="HP17" s="27"/>
      <c r="HQ17" s="27"/>
      <c r="HR17" s="27"/>
      <c r="HS17" s="27" cm="1">
        <f t="array" ref="HS17">SUMPRODUCT(('Data Base hauling'!$C$2:$C$216="TCM-ROM SB1 BK05-ROM 4")*(ISNUMBER(SEARCH(TEXT('March TCM'!$B17,"00")&amp;"/03/2026",'Data Base hauling'!$E$2:$E$216)))*'Data Base hauling'!$N$2:$N$216)</f>
        <v>0</v>
      </c>
      <c r="HT17" s="27"/>
      <c r="HU17" s="27" cm="1">
        <f t="array" ref="HU17">SUMPRODUCT(('Data Base hauling'!$C$2:$C$216="TCM-ROM SB1 BK05-ROM 5")*(ISNUMBER(SEARCH(TEXT('March TCM'!$B17,"00")&amp;"/03/2026",'Data Base hauling'!$E$2:$E$216)))*'Data Base hauling'!$N$2:$N$216)</f>
        <v>0</v>
      </c>
      <c r="HV17" s="27"/>
      <c r="HW17" s="27"/>
      <c r="HX17" s="27"/>
      <c r="HY17" s="27"/>
      <c r="HZ17" s="27"/>
      <c r="IA17" s="33">
        <f t="shared" si="63"/>
        <v>0</v>
      </c>
      <c r="IB17" s="52"/>
      <c r="IC17" s="152"/>
      <c r="ID17" s="53"/>
      <c r="IE17" s="53"/>
      <c r="IF17" s="64"/>
      <c r="IG17" s="64"/>
      <c r="IH17" s="64">
        <v>79.55</v>
      </c>
      <c r="II17" s="64"/>
      <c r="IJ17" s="1736">
        <v>1336.8999999999999</v>
      </c>
      <c r="IK17" s="53"/>
      <c r="IL17" s="53">
        <v>0</v>
      </c>
      <c r="IM17" s="53"/>
      <c r="IN17" s="53"/>
      <c r="IO17" s="49">
        <v>0</v>
      </c>
      <c r="IP17" s="61">
        <f>SUM(IB17:IO17)</f>
        <v>1416.4499999999998</v>
      </c>
      <c r="IQ17" s="36"/>
      <c r="IR17" s="36"/>
      <c r="IS17" s="27"/>
      <c r="IT17" s="27"/>
      <c r="IU17" s="53"/>
      <c r="IV17" s="27"/>
      <c r="IW17" s="53">
        <v>0</v>
      </c>
      <c r="IX17" s="27"/>
      <c r="IY17" s="27">
        <v>3765.15</v>
      </c>
      <c r="IZ17" s="27"/>
      <c r="JA17" s="27">
        <v>0</v>
      </c>
      <c r="JB17" s="27"/>
      <c r="JC17" s="27"/>
      <c r="JD17" s="27"/>
      <c r="JE17" s="33">
        <f>SUM(IQ17:JD17)</f>
        <v>3765.15</v>
      </c>
      <c r="JF17" s="2667"/>
      <c r="JH17" s="2019">
        <v>5793.2999999999993</v>
      </c>
      <c r="JI17" s="2017">
        <v>0</v>
      </c>
      <c r="JJ17" s="53"/>
      <c r="JK17" s="1736">
        <f t="shared" si="65"/>
        <v>5793.2999999999993</v>
      </c>
      <c r="JL17" s="33"/>
      <c r="JM17" s="2669"/>
      <c r="JN17" s="69">
        <v>0</v>
      </c>
      <c r="JO17" s="70">
        <v>0</v>
      </c>
      <c r="JP17" s="70">
        <v>0</v>
      </c>
      <c r="JQ17" s="1977">
        <v>1.3731379352010083E-2</v>
      </c>
      <c r="JR17" s="70">
        <v>0.98626862064799004</v>
      </c>
      <c r="JS17" s="70">
        <v>0</v>
      </c>
      <c r="JT17" s="70">
        <v>0</v>
      </c>
      <c r="JU17" s="1922">
        <v>0</v>
      </c>
      <c r="JV17" s="69" t="s">
        <v>296</v>
      </c>
      <c r="JW17" s="70" t="s">
        <v>296</v>
      </c>
      <c r="JX17" s="70" t="s">
        <v>296</v>
      </c>
      <c r="JY17" s="70" t="s">
        <v>296</v>
      </c>
      <c r="JZ17" s="70" t="s">
        <v>296</v>
      </c>
      <c r="KA17" s="70" t="s">
        <v>296</v>
      </c>
      <c r="KB17" s="70" t="s">
        <v>296</v>
      </c>
      <c r="KC17" s="71" t="s">
        <v>296</v>
      </c>
      <c r="KD17" s="69"/>
      <c r="KE17" s="70"/>
      <c r="KF17" s="70"/>
      <c r="KG17" s="70"/>
      <c r="KH17" s="70"/>
      <c r="KI17" s="70"/>
      <c r="KJ17" s="70"/>
      <c r="KK17" s="70"/>
      <c r="KL17" s="33"/>
      <c r="KM17" s="2669"/>
      <c r="KN17" s="1931">
        <v>7152.9359430604982</v>
      </c>
      <c r="KO17" s="1968">
        <v>0.43614472123368919</v>
      </c>
      <c r="KP17" s="1968">
        <v>2.7423724792408062</v>
      </c>
      <c r="KQ17" s="1968">
        <v>6.0391814946619213</v>
      </c>
      <c r="KR17" s="1969">
        <v>9.657636697508897</v>
      </c>
      <c r="KS17" s="1959">
        <v>0</v>
      </c>
      <c r="KT17" s="1964">
        <v>0</v>
      </c>
      <c r="KU17" s="1964">
        <v>0</v>
      </c>
      <c r="KV17" s="1964">
        <v>0</v>
      </c>
      <c r="KW17" s="1965">
        <v>0</v>
      </c>
      <c r="KX17" s="36"/>
      <c r="KY17" s="53"/>
      <c r="KZ17" s="53"/>
      <c r="LA17" s="53"/>
      <c r="LB17" s="53"/>
      <c r="LC17" s="33"/>
      <c r="LD17" s="2669"/>
      <c r="LF17" s="26">
        <f t="shared" si="66"/>
        <v>16728.79</v>
      </c>
      <c r="LG17" s="27">
        <f t="shared" si="66"/>
        <v>0</v>
      </c>
      <c r="LH17" s="27">
        <f t="shared" si="66"/>
        <v>0</v>
      </c>
      <c r="LI17" s="28">
        <f t="shared" si="67"/>
        <v>16728.79</v>
      </c>
      <c r="LJ17" s="36"/>
      <c r="LK17" s="27"/>
      <c r="LL17" s="27"/>
      <c r="LM17" s="33"/>
      <c r="LN17" s="1041">
        <v>6.19</v>
      </c>
      <c r="LO17" s="486"/>
      <c r="LP17" s="2688"/>
      <c r="LQ17" s="21">
        <v>16728.79</v>
      </c>
      <c r="LR17" s="27"/>
      <c r="LS17" s="27"/>
      <c r="LT17" s="27"/>
      <c r="LU17" s="27"/>
      <c r="LV17" s="1117">
        <f t="shared" si="68"/>
        <v>16728.79</v>
      </c>
      <c r="LW17" s="36"/>
      <c r="LX17" s="36"/>
      <c r="LY17" s="27"/>
      <c r="LZ17" s="27"/>
      <c r="MA17" s="33"/>
      <c r="MB17" s="28">
        <f t="shared" si="69"/>
        <v>0</v>
      </c>
      <c r="MC17" s="26"/>
      <c r="MD17" s="36"/>
      <c r="ME17" s="27"/>
      <c r="MF17" s="27"/>
      <c r="MG17" s="27"/>
      <c r="MH17" s="28"/>
      <c r="MI17" s="36"/>
      <c r="MJ17" s="36"/>
      <c r="MK17" s="27"/>
      <c r="ML17" s="27"/>
      <c r="MM17" s="27"/>
      <c r="MN17" s="28"/>
      <c r="MO17" s="36"/>
      <c r="MP17" s="36"/>
      <c r="MQ17" s="27"/>
      <c r="MR17" s="27"/>
      <c r="MS17" s="27"/>
      <c r="MT17" s="33">
        <f t="shared" si="70"/>
        <v>0</v>
      </c>
      <c r="MU17" s="2688"/>
      <c r="MW17" s="26">
        <f t="shared" si="71"/>
        <v>60365.962645013395</v>
      </c>
      <c r="MX17" s="27">
        <f t="shared" si="72"/>
        <v>92126.822248823504</v>
      </c>
      <c r="MY17" s="27">
        <f t="shared" si="73"/>
        <v>19707.895201279462</v>
      </c>
      <c r="MZ17" s="28">
        <f t="shared" si="74"/>
        <v>433934.34855851001</v>
      </c>
      <c r="NA17" s="2621"/>
      <c r="NB17" s="23">
        <f t="shared" si="75"/>
        <v>40530.979437467853</v>
      </c>
      <c r="NC17" s="1579">
        <f t="shared" si="76"/>
        <v>19834.983207545538</v>
      </c>
      <c r="ND17" s="60">
        <f t="shared" si="77"/>
        <v>0</v>
      </c>
      <c r="NE17" s="275">
        <f t="shared" si="4"/>
        <v>60365.962645013395</v>
      </c>
      <c r="NF17" s="26">
        <f t="shared" si="78"/>
        <v>0</v>
      </c>
      <c r="NG17" s="27">
        <f t="shared" si="78"/>
        <v>0</v>
      </c>
      <c r="NH17" s="27">
        <f t="shared" si="78"/>
        <v>0</v>
      </c>
      <c r="NI17" s="27">
        <f t="shared" si="78"/>
        <v>0</v>
      </c>
      <c r="NJ17" s="27">
        <f t="shared" si="78"/>
        <v>0</v>
      </c>
      <c r="NK17" s="33">
        <f t="shared" si="78"/>
        <v>0</v>
      </c>
      <c r="NL17" s="27">
        <f t="shared" si="78"/>
        <v>0</v>
      </c>
      <c r="NM17" s="36">
        <f t="shared" si="78"/>
        <v>0</v>
      </c>
      <c r="NN17" s="24">
        <f t="shared" si="78"/>
        <v>6248.3005665631454</v>
      </c>
      <c r="NO17" s="27">
        <f t="shared" si="78"/>
        <v>26196.69549600617</v>
      </c>
      <c r="NP17" s="24">
        <f t="shared" si="136"/>
        <v>8756.5482322711578</v>
      </c>
      <c r="NQ17" s="24">
        <f t="shared" si="137"/>
        <v>7742.6741180334084</v>
      </c>
      <c r="NR17" s="27">
        <f t="shared" si="0"/>
        <v>48944.218412873881</v>
      </c>
      <c r="NS17" s="27">
        <f t="shared" si="79"/>
        <v>0</v>
      </c>
      <c r="NT17" s="27">
        <f t="shared" si="80"/>
        <v>0</v>
      </c>
      <c r="NU17" s="27">
        <f t="shared" si="81"/>
        <v>0</v>
      </c>
      <c r="NV17" s="27">
        <f t="shared" si="82"/>
        <v>0</v>
      </c>
      <c r="NW17" s="27">
        <f t="shared" si="83"/>
        <v>0</v>
      </c>
      <c r="NX17" s="27">
        <f t="shared" si="84"/>
        <v>0</v>
      </c>
      <c r="NY17" s="27">
        <f t="shared" si="85"/>
        <v>2743.603602292912</v>
      </c>
      <c r="NZ17" s="27">
        <f t="shared" si="86"/>
        <v>0</v>
      </c>
      <c r="OA17" s="27">
        <f t="shared" si="87"/>
        <v>18524.198066782836</v>
      </c>
      <c r="OB17" s="280"/>
      <c r="OC17" s="24">
        <f t="shared" si="88"/>
        <v>349.54339982995594</v>
      </c>
      <c r="OD17" s="27">
        <f t="shared" si="89"/>
        <v>0</v>
      </c>
      <c r="OE17" s="28">
        <f t="shared" si="1"/>
        <v>21617.345068905703</v>
      </c>
      <c r="OF17" s="27">
        <f t="shared" si="139"/>
        <v>0</v>
      </c>
      <c r="OG17" s="27">
        <f t="shared" si="139"/>
        <v>0</v>
      </c>
      <c r="OH17" s="27">
        <f t="shared" si="139"/>
        <v>0</v>
      </c>
      <c r="OI17" s="27">
        <f t="shared" si="139"/>
        <v>0</v>
      </c>
      <c r="OJ17" s="27">
        <f t="shared" si="139"/>
        <v>0</v>
      </c>
      <c r="OK17" s="27">
        <f t="shared" si="139"/>
        <v>0</v>
      </c>
      <c r="OL17" s="24">
        <f t="shared" ref="OL17:OL40" si="145">+OL16+DX17+GA17-IW17</f>
        <v>0</v>
      </c>
      <c r="OM17" s="27">
        <f t="shared" si="140"/>
        <v>0</v>
      </c>
      <c r="ON17" s="24">
        <f t="shared" si="141"/>
        <v>18573.953599111006</v>
      </c>
      <c r="OO17" s="27">
        <f t="shared" si="142"/>
        <v>0</v>
      </c>
      <c r="OP17" s="27">
        <f t="shared" si="143"/>
        <v>2991.3051679329137</v>
      </c>
      <c r="OQ17" s="27">
        <f t="shared" si="144"/>
        <v>0</v>
      </c>
      <c r="OR17" s="28">
        <f t="shared" si="2"/>
        <v>21565.258767043921</v>
      </c>
      <c r="OS17" s="36"/>
      <c r="OT17" s="27"/>
      <c r="OU17" s="27"/>
      <c r="OV17" s="27"/>
      <c r="OW17" s="27"/>
      <c r="OX17" s="27"/>
      <c r="OY17" s="28">
        <f t="shared" si="91"/>
        <v>0</v>
      </c>
      <c r="OZ17" s="36">
        <f t="shared" si="92"/>
        <v>0</v>
      </c>
      <c r="PA17" s="27">
        <f t="shared" si="93"/>
        <v>0</v>
      </c>
      <c r="PB17" s="27">
        <f t="shared" si="94"/>
        <v>0</v>
      </c>
      <c r="PC17" s="27">
        <f t="shared" si="95"/>
        <v>0</v>
      </c>
      <c r="PD17" s="27">
        <f t="shared" si="96"/>
        <v>0</v>
      </c>
      <c r="PE17" s="27">
        <f t="shared" si="97"/>
        <v>0</v>
      </c>
      <c r="PF17" s="33">
        <f t="shared" si="3"/>
        <v>0</v>
      </c>
      <c r="PG17" s="2621"/>
      <c r="PI17" s="1907">
        <v>1450.38</v>
      </c>
      <c r="PJ17" s="3">
        <v>0</v>
      </c>
      <c r="PK17" s="3">
        <v>0</v>
      </c>
      <c r="PL17" s="3">
        <f t="shared" si="98"/>
        <v>0</v>
      </c>
      <c r="PM17" s="3">
        <f t="shared" si="99"/>
        <v>3316.1153876938929</v>
      </c>
      <c r="PN17" s="11">
        <f t="shared" si="100"/>
        <v>19707.895201279462</v>
      </c>
      <c r="PO17" s="15"/>
      <c r="PP17" s="2615"/>
      <c r="PR17" s="4"/>
      <c r="PS17" s="9"/>
      <c r="PT17" s="9"/>
      <c r="PU17" s="9"/>
      <c r="PV17" s="9">
        <v>0</v>
      </c>
      <c r="PW17" s="9"/>
      <c r="PX17" s="8">
        <f t="shared" si="101"/>
        <v>0</v>
      </c>
      <c r="PY17" s="5">
        <f t="shared" si="102"/>
        <v>1450.38</v>
      </c>
      <c r="PZ17" s="5"/>
      <c r="QA17" s="5"/>
      <c r="QB17" s="5"/>
      <c r="QC17" s="5"/>
      <c r="QD17" s="5"/>
      <c r="QE17" s="12">
        <f t="shared" si="103"/>
        <v>29562.488999999998</v>
      </c>
      <c r="QF17" s="420">
        <f t="shared" si="104"/>
        <v>404013.97955851001</v>
      </c>
      <c r="QG17" s="1106">
        <f t="shared" si="105"/>
        <v>357.88</v>
      </c>
      <c r="QH17" s="484">
        <f t="shared" si="106"/>
        <v>5505.3678056099998</v>
      </c>
      <c r="QI17" s="12"/>
      <c r="QJ17" s="2615"/>
      <c r="QL17" s="139">
        <f t="shared" si="107"/>
        <v>0</v>
      </c>
      <c r="QM17" s="139" t="str">
        <f t="shared" si="108"/>
        <v/>
      </c>
      <c r="QO17" s="139">
        <f t="shared" si="109"/>
        <v>0</v>
      </c>
      <c r="QP17" s="139">
        <f t="shared" si="110"/>
        <v>0</v>
      </c>
      <c r="QR17" s="1">
        <f t="shared" si="111"/>
        <v>0</v>
      </c>
      <c r="QS17" s="1">
        <f t="shared" si="112"/>
        <v>0</v>
      </c>
      <c r="QT17" s="1">
        <f t="shared" si="113"/>
        <v>0</v>
      </c>
      <c r="QU17" s="1">
        <f t="shared" si="114"/>
        <v>0</v>
      </c>
      <c r="QV17" s="1">
        <f t="shared" si="115"/>
        <v>0</v>
      </c>
      <c r="QW17" s="1">
        <f t="shared" si="116"/>
        <v>0</v>
      </c>
      <c r="QY17" s="1">
        <f t="shared" si="117"/>
        <v>0</v>
      </c>
      <c r="QZ17" s="1">
        <f t="shared" si="118"/>
        <v>0</v>
      </c>
      <c r="RA17" s="1">
        <f t="shared" si="119"/>
        <v>0</v>
      </c>
      <c r="RB17" s="1">
        <f t="shared" si="120"/>
        <v>0</v>
      </c>
      <c r="RC17" s="1">
        <f t="shared" si="121"/>
        <v>0</v>
      </c>
      <c r="RD17" s="1">
        <f t="shared" si="122"/>
        <v>0</v>
      </c>
      <c r="RG17" s="1">
        <v>8</v>
      </c>
      <c r="RH17" s="1">
        <f t="shared" si="123"/>
        <v>14967.129051083164</v>
      </c>
      <c r="RI17" s="1">
        <f t="shared" si="123"/>
        <v>5592.4022498622808</v>
      </c>
      <c r="RJ17" s="1">
        <f t="shared" si="123"/>
        <v>9178.5689913333827</v>
      </c>
      <c r="RK17" s="89">
        <f t="shared" si="5"/>
        <v>29738.100292278825</v>
      </c>
      <c r="RL17" s="1033">
        <v>8</v>
      </c>
      <c r="RM17" s="1098">
        <f t="shared" si="124"/>
        <v>0</v>
      </c>
      <c r="RN17" s="1098">
        <f t="shared" si="125"/>
        <v>0</v>
      </c>
      <c r="RO17" s="1097">
        <f t="shared" si="125"/>
        <v>0</v>
      </c>
      <c r="RP17" s="1097">
        <f t="shared" si="126"/>
        <v>7954.0400000000009</v>
      </c>
      <c r="RQ17" s="1096"/>
      <c r="RR17" s="1050" t="s">
        <v>821</v>
      </c>
      <c r="RS17" s="1048"/>
      <c r="RU17" s="421">
        <v>8</v>
      </c>
      <c r="RV17" s="1095">
        <f t="shared" si="127"/>
        <v>5793.2999999999993</v>
      </c>
      <c r="RW17" s="1119" t="s">
        <v>822</v>
      </c>
      <c r="RX17" s="1048"/>
      <c r="RY17" s="1090"/>
      <c r="RZ17" s="1090">
        <f t="shared" si="128"/>
        <v>0</v>
      </c>
      <c r="SA17" s="1090"/>
      <c r="SB17" s="1090">
        <f t="shared" si="129"/>
        <v>0</v>
      </c>
      <c r="SD17" s="1">
        <v>8</v>
      </c>
      <c r="SE17" s="1">
        <f t="shared" si="130"/>
        <v>0</v>
      </c>
    </row>
    <row r="18" spans="1:500" s="1" customFormat="1">
      <c r="B18" s="471">
        <v>9</v>
      </c>
      <c r="C18" s="4">
        <f t="shared" si="6"/>
        <v>116658</v>
      </c>
      <c r="D18" s="1590">
        <f t="shared" si="131"/>
        <v>9203.68</v>
      </c>
      <c r="E18" s="1895">
        <f t="shared" si="7"/>
        <v>12.675147332371399</v>
      </c>
      <c r="F18" s="870"/>
      <c r="G18" s="870"/>
      <c r="H18" s="52">
        <v>5</v>
      </c>
      <c r="I18" s="61">
        <v>3.02</v>
      </c>
      <c r="J18" s="52"/>
      <c r="K18" s="54"/>
      <c r="L18" s="52"/>
      <c r="M18" s="61"/>
      <c r="N18" s="2629"/>
      <c r="O18" s="4">
        <f t="shared" si="132"/>
        <v>55902</v>
      </c>
      <c r="P18" s="1225">
        <f t="shared" si="8"/>
        <v>5084.8599999999997</v>
      </c>
      <c r="Q18" s="1952">
        <f t="shared" si="9"/>
        <v>10.993813005667807</v>
      </c>
      <c r="R18" s="33"/>
      <c r="S18" s="26">
        <f t="shared" si="10"/>
        <v>27459</v>
      </c>
      <c r="T18" s="27">
        <f t="shared" si="11"/>
        <v>1158.8200000000002</v>
      </c>
      <c r="U18" s="1909">
        <f t="shared" si="12"/>
        <v>23.695655925855608</v>
      </c>
      <c r="V18" s="15"/>
      <c r="W18" s="1742">
        <f t="shared" si="13"/>
        <v>33297</v>
      </c>
      <c r="X18" s="1918">
        <f t="shared" si="13"/>
        <v>2960</v>
      </c>
      <c r="Y18" s="1738">
        <f t="shared" si="14"/>
        <v>11.248986486486487</v>
      </c>
      <c r="Z18" s="33"/>
      <c r="AA18" s="26">
        <f t="shared" si="15"/>
        <v>0</v>
      </c>
      <c r="AB18" s="27">
        <f t="shared" si="16"/>
        <v>0</v>
      </c>
      <c r="AC18" s="53">
        <f t="shared" si="17"/>
        <v>0</v>
      </c>
      <c r="AD18" s="28"/>
      <c r="AE18" s="36"/>
      <c r="AF18" s="36"/>
      <c r="AG18" s="53">
        <f t="shared" si="18"/>
        <v>0</v>
      </c>
      <c r="AH18" s="28"/>
      <c r="AI18" s="23"/>
      <c r="AJ18" s="27"/>
      <c r="AK18" s="53">
        <f t="shared" si="19"/>
        <v>0</v>
      </c>
      <c r="AL18" s="28"/>
      <c r="AM18" s="2629"/>
      <c r="AN18" s="9"/>
      <c r="AO18" s="5"/>
      <c r="AP18" s="61">
        <f t="shared" si="20"/>
        <v>0</v>
      </c>
      <c r="AQ18" s="36"/>
      <c r="AR18" s="53"/>
      <c r="AS18" s="61">
        <f t="shared" si="21"/>
        <v>0</v>
      </c>
      <c r="AT18" s="36">
        <v>0</v>
      </c>
      <c r="AU18" s="27"/>
      <c r="AV18" s="61">
        <f t="shared" si="22"/>
        <v>0</v>
      </c>
      <c r="AW18" s="36">
        <v>35028</v>
      </c>
      <c r="AX18" s="27">
        <v>3438.8199999999997</v>
      </c>
      <c r="AY18" s="1735">
        <f t="shared" si="23"/>
        <v>10.186052192321785</v>
      </c>
      <c r="AZ18" s="36"/>
      <c r="BA18" s="27"/>
      <c r="BB18" s="61">
        <f t="shared" si="24"/>
        <v>0</v>
      </c>
      <c r="BC18" s="1740">
        <v>20874</v>
      </c>
      <c r="BD18" s="1736">
        <v>1646.04</v>
      </c>
      <c r="BE18" s="1735">
        <f t="shared" si="25"/>
        <v>12.68134431727054</v>
      </c>
      <c r="BF18" s="36"/>
      <c r="BG18" s="53"/>
      <c r="BH18" s="61">
        <f t="shared" si="26"/>
        <v>0</v>
      </c>
      <c r="BI18" s="36">
        <v>0</v>
      </c>
      <c r="BJ18" s="53">
        <v>0</v>
      </c>
      <c r="BK18" s="61">
        <f t="shared" si="27"/>
        <v>0</v>
      </c>
      <c r="BL18" s="1742">
        <v>27459</v>
      </c>
      <c r="BM18" s="1927">
        <v>1158.8200000000002</v>
      </c>
      <c r="BN18" s="1920">
        <f t="shared" si="28"/>
        <v>23.695655925855608</v>
      </c>
      <c r="BO18" s="9"/>
      <c r="BP18" s="64"/>
      <c r="BQ18" s="482">
        <f t="shared" si="29"/>
        <v>0</v>
      </c>
      <c r="BR18" s="9"/>
      <c r="BS18" s="53"/>
      <c r="BT18" s="482">
        <f t="shared" si="30"/>
        <v>0</v>
      </c>
      <c r="BU18" s="9">
        <v>33297</v>
      </c>
      <c r="BV18" s="27">
        <v>2960</v>
      </c>
      <c r="BW18" s="1051">
        <f t="shared" si="31"/>
        <v>11.248986486486487</v>
      </c>
      <c r="BX18" s="26"/>
      <c r="BY18" s="27"/>
      <c r="BZ18" s="869">
        <f t="shared" si="32"/>
        <v>0</v>
      </c>
      <c r="CA18" s="9"/>
      <c r="CB18" s="481"/>
      <c r="CC18" s="482">
        <f t="shared" si="33"/>
        <v>0</v>
      </c>
      <c r="CD18" s="4"/>
      <c r="CE18" s="5"/>
      <c r="CF18" s="28">
        <f t="shared" si="34"/>
        <v>0</v>
      </c>
      <c r="CG18" s="150"/>
      <c r="CH18" s="4">
        <v>0</v>
      </c>
      <c r="CI18" s="5">
        <v>0</v>
      </c>
      <c r="CJ18" s="5">
        <v>0</v>
      </c>
      <c r="CK18" s="5">
        <v>4446</v>
      </c>
      <c r="CL18" s="5"/>
      <c r="CM18" s="5">
        <f t="shared" si="35"/>
        <v>4446</v>
      </c>
      <c r="CN18" s="33"/>
      <c r="CO18" s="366"/>
      <c r="CQ18" s="4">
        <f t="shared" si="36"/>
        <v>0</v>
      </c>
      <c r="CR18" s="9">
        <f t="shared" si="37"/>
        <v>0</v>
      </c>
      <c r="CS18" s="5">
        <f t="shared" si="38"/>
        <v>0</v>
      </c>
      <c r="CT18" s="5">
        <f t="shared" si="39"/>
        <v>0</v>
      </c>
      <c r="CU18" s="5">
        <f t="shared" si="40"/>
        <v>0</v>
      </c>
      <c r="CV18" s="5">
        <f t="shared" si="41"/>
        <v>0</v>
      </c>
      <c r="CW18" s="5">
        <f t="shared" si="42"/>
        <v>277.52</v>
      </c>
      <c r="CX18" s="5">
        <f t="shared" si="43"/>
        <v>0</v>
      </c>
      <c r="CY18" s="5">
        <f t="shared" si="44"/>
        <v>7048.78</v>
      </c>
      <c r="CZ18" s="5">
        <f t="shared" si="45"/>
        <v>0</v>
      </c>
      <c r="DA18" s="5">
        <f t="shared" si="46"/>
        <v>1877.38</v>
      </c>
      <c r="DB18" s="12">
        <f t="shared" si="47"/>
        <v>0</v>
      </c>
      <c r="DC18" s="310">
        <f t="shared" si="48"/>
        <v>9203.68</v>
      </c>
      <c r="DD18" s="2695"/>
      <c r="DE18" s="8"/>
      <c r="DF18" s="9"/>
      <c r="DG18" s="5"/>
      <c r="DH18" s="5"/>
      <c r="DI18" s="5"/>
      <c r="DJ18" s="5"/>
      <c r="DK18" s="5">
        <v>277.52</v>
      </c>
      <c r="DL18" s="5"/>
      <c r="DM18" s="5">
        <v>3161.2999999999997</v>
      </c>
      <c r="DN18" s="5"/>
      <c r="DO18" s="5"/>
      <c r="DP18" s="12"/>
      <c r="DQ18" s="1906">
        <f t="shared" si="49"/>
        <v>3438.8199999999997</v>
      </c>
      <c r="DR18" s="36"/>
      <c r="DS18" s="36"/>
      <c r="DT18" s="27"/>
      <c r="DU18" s="27"/>
      <c r="DV18" s="5"/>
      <c r="DW18" s="5"/>
      <c r="DX18" s="5"/>
      <c r="DY18" s="5"/>
      <c r="DZ18" s="5">
        <v>2487.48</v>
      </c>
      <c r="EA18" s="53"/>
      <c r="EB18" s="27">
        <v>317.38</v>
      </c>
      <c r="EC18" s="33"/>
      <c r="ED18" s="28">
        <f t="shared" si="50"/>
        <v>2804.86</v>
      </c>
      <c r="EE18" s="9"/>
      <c r="EF18" s="36"/>
      <c r="EG18" s="5"/>
      <c r="EH18" s="313"/>
      <c r="EI18" s="27"/>
      <c r="EJ18" s="27"/>
      <c r="EK18" s="27"/>
      <c r="EL18" s="27"/>
      <c r="EM18" s="5">
        <v>1400</v>
      </c>
      <c r="EN18" s="5"/>
      <c r="EO18" s="5">
        <v>1560</v>
      </c>
      <c r="EP18" s="33"/>
      <c r="EQ18" s="28">
        <f t="shared" si="51"/>
        <v>2960</v>
      </c>
      <c r="ER18" s="36"/>
      <c r="ES18" s="27"/>
      <c r="ET18" s="27"/>
      <c r="EU18" s="27"/>
      <c r="EV18" s="27"/>
      <c r="EW18" s="27"/>
      <c r="EX18" s="33">
        <f t="shared" si="52"/>
        <v>0</v>
      </c>
      <c r="EY18" s="2685"/>
      <c r="FA18" s="4">
        <f t="shared" si="53"/>
        <v>0</v>
      </c>
      <c r="FB18" s="5">
        <f t="shared" si="54"/>
        <v>0</v>
      </c>
      <c r="FC18" s="5">
        <f t="shared" si="55"/>
        <v>0</v>
      </c>
      <c r="FD18" s="12">
        <f t="shared" si="56"/>
        <v>0</v>
      </c>
      <c r="FE18" s="33"/>
      <c r="FF18" s="2674"/>
      <c r="FG18" s="9"/>
      <c r="FH18" s="5"/>
      <c r="FI18" s="5"/>
      <c r="FJ18" s="5"/>
      <c r="FK18" s="5"/>
      <c r="FL18" s="27"/>
      <c r="FM18" s="28">
        <f t="shared" si="57"/>
        <v>0</v>
      </c>
      <c r="FN18" s="36"/>
      <c r="FO18" s="27"/>
      <c r="FP18" s="27"/>
      <c r="FQ18" s="27"/>
      <c r="FR18" s="27"/>
      <c r="FS18" s="27"/>
      <c r="FT18" s="28">
        <f t="shared" si="58"/>
        <v>0</v>
      </c>
      <c r="FU18" s="36"/>
      <c r="FV18" s="36"/>
      <c r="FW18" s="27"/>
      <c r="FX18" s="27"/>
      <c r="FY18" s="27"/>
      <c r="FZ18" s="27"/>
      <c r="GA18" s="27"/>
      <c r="GB18" s="27"/>
      <c r="GC18" s="27"/>
      <c r="GD18" s="27"/>
      <c r="GE18" s="27"/>
      <c r="GF18" s="33"/>
      <c r="GG18" s="33">
        <f t="shared" si="59"/>
        <v>0</v>
      </c>
      <c r="GH18" s="2674"/>
      <c r="GJ18" s="2">
        <f t="shared" si="133"/>
        <v>1137.5999999999999</v>
      </c>
      <c r="GK18" s="63">
        <f t="shared" si="134"/>
        <v>1634.55</v>
      </c>
      <c r="GL18" s="24">
        <f t="shared" si="135"/>
        <v>3384.93</v>
      </c>
      <c r="GM18" s="1736">
        <f t="shared" si="60"/>
        <v>6157.08</v>
      </c>
      <c r="GN18" s="141"/>
      <c r="GO18" s="141"/>
      <c r="GP18" s="33"/>
      <c r="GQ18" s="2667"/>
      <c r="GR18" s="1940">
        <v>6157.08</v>
      </c>
      <c r="GS18" s="5">
        <v>0</v>
      </c>
      <c r="GT18" s="5">
        <v>0</v>
      </c>
      <c r="GU18" s="27">
        <v>0</v>
      </c>
      <c r="GV18" s="54">
        <f t="shared" si="61"/>
        <v>6157.08</v>
      </c>
      <c r="GW18" s="2667"/>
      <c r="GX18" s="36"/>
      <c r="GY18" s="36"/>
      <c r="GZ18" s="27"/>
      <c r="HA18" s="27"/>
      <c r="HB18" s="27"/>
      <c r="HC18" s="27"/>
      <c r="HD18" s="27"/>
      <c r="HE18" s="27"/>
      <c r="HF18" s="27">
        <v>588.6</v>
      </c>
      <c r="HG18" s="27"/>
      <c r="HH18" s="27">
        <v>549</v>
      </c>
      <c r="HI18" s="27"/>
      <c r="HJ18" s="27">
        <v>0</v>
      </c>
      <c r="HK18" s="27"/>
      <c r="HL18" s="28">
        <f t="shared" si="62"/>
        <v>1137.5999999999999</v>
      </c>
      <c r="HM18" s="36"/>
      <c r="HN18" s="27"/>
      <c r="HO18" s="27"/>
      <c r="HP18" s="27"/>
      <c r="HQ18" s="27"/>
      <c r="HR18" s="27"/>
      <c r="HS18" s="27" cm="1">
        <f t="array" ref="HS18">SUMPRODUCT(('Data Base hauling'!$C$2:$C$216="TCM-ROM SB1 BK05-ROM 4")*(ISNUMBER(SEARCH(TEXT('March TCM'!$B18,"00")&amp;"/03/2026",'Data Base hauling'!$E$2:$E$216)))*'Data Base hauling'!$N$2:$N$216)</f>
        <v>0</v>
      </c>
      <c r="HT18" s="27"/>
      <c r="HU18" s="27" cm="1">
        <f t="array" ref="HU18">SUMPRODUCT(('Data Base hauling'!$C$2:$C$216="TCM-ROM SB1 BK05-ROM 5")*(ISNUMBER(SEARCH(TEXT('March TCM'!$B18,"00")&amp;"/03/2026",'Data Base hauling'!$E$2:$E$216)))*'Data Base hauling'!$N$2:$N$216)</f>
        <v>0</v>
      </c>
      <c r="HV18" s="27"/>
      <c r="HW18" s="27"/>
      <c r="HX18" s="27"/>
      <c r="HY18" s="27"/>
      <c r="HZ18" s="27"/>
      <c r="IA18" s="33">
        <f t="shared" si="63"/>
        <v>0</v>
      </c>
      <c r="IB18" s="52"/>
      <c r="IC18" s="152"/>
      <c r="ID18" s="53"/>
      <c r="IE18" s="53"/>
      <c r="IF18" s="53"/>
      <c r="IG18" s="53"/>
      <c r="IH18" s="53">
        <v>794.95</v>
      </c>
      <c r="II18" s="53"/>
      <c r="IJ18" s="1736">
        <v>839.59999999999991</v>
      </c>
      <c r="IK18" s="53"/>
      <c r="IL18" s="53">
        <v>0</v>
      </c>
      <c r="IM18" s="53"/>
      <c r="IN18" s="53"/>
      <c r="IO18" s="49">
        <v>0</v>
      </c>
      <c r="IP18" s="61">
        <f t="shared" si="64"/>
        <v>1634.55</v>
      </c>
      <c r="IQ18" s="36"/>
      <c r="IR18" s="36"/>
      <c r="IS18" s="27"/>
      <c r="IT18" s="27"/>
      <c r="IU18" s="53"/>
      <c r="IV18" s="27"/>
      <c r="IW18" s="53">
        <v>0</v>
      </c>
      <c r="IX18" s="27"/>
      <c r="IY18" s="27">
        <v>2361.25</v>
      </c>
      <c r="IZ18" s="27"/>
      <c r="JA18" s="27">
        <v>1023.68</v>
      </c>
      <c r="JB18" s="27"/>
      <c r="JC18" s="27"/>
      <c r="JD18" s="27"/>
      <c r="JE18" s="33">
        <f t="shared" si="138"/>
        <v>3384.93</v>
      </c>
      <c r="JF18" s="2667"/>
      <c r="JH18" s="2019">
        <v>2937.2</v>
      </c>
      <c r="JI18" s="2017">
        <v>3219.8799999999997</v>
      </c>
      <c r="JJ18" s="53"/>
      <c r="JK18" s="1736">
        <v>6157.08</v>
      </c>
      <c r="JL18" s="33"/>
      <c r="JM18" s="2669"/>
      <c r="JN18" s="69">
        <v>0</v>
      </c>
      <c r="JO18" s="70">
        <v>0</v>
      </c>
      <c r="JP18" s="70">
        <v>0</v>
      </c>
      <c r="JQ18" s="70">
        <v>0</v>
      </c>
      <c r="JR18" s="70">
        <v>1</v>
      </c>
      <c r="JS18" s="70">
        <v>0</v>
      </c>
      <c r="JT18" s="70">
        <v>0</v>
      </c>
      <c r="JU18" s="1922">
        <v>0</v>
      </c>
      <c r="JV18" s="69">
        <v>0</v>
      </c>
      <c r="JW18" s="70">
        <v>0</v>
      </c>
      <c r="JX18" s="70">
        <v>0</v>
      </c>
      <c r="JY18" s="70">
        <v>0.24688808278569391</v>
      </c>
      <c r="JZ18" s="70">
        <v>0.26468377703516904</v>
      </c>
      <c r="KA18" s="70">
        <v>0.4884281401791371</v>
      </c>
      <c r="KB18" s="70">
        <v>0</v>
      </c>
      <c r="KC18" s="71">
        <v>0</v>
      </c>
      <c r="KD18" s="69"/>
      <c r="KE18" s="70"/>
      <c r="KF18" s="70"/>
      <c r="KG18" s="70"/>
      <c r="KH18" s="70"/>
      <c r="KI18" s="70"/>
      <c r="KJ18" s="70"/>
      <c r="KK18" s="70"/>
      <c r="KL18" s="33"/>
      <c r="KM18" s="2669"/>
      <c r="KN18" s="1931">
        <v>6780</v>
      </c>
      <c r="KO18" s="1968">
        <v>0.4</v>
      </c>
      <c r="KP18" s="1968">
        <v>2.75</v>
      </c>
      <c r="KQ18" s="1968">
        <v>7.9800000000000013</v>
      </c>
      <c r="KR18" s="1969">
        <v>10.92464</v>
      </c>
      <c r="KS18" s="1959">
        <v>6734</v>
      </c>
      <c r="KT18" s="1964">
        <v>1.78</v>
      </c>
      <c r="KU18" s="1964">
        <v>5.5499999999999989</v>
      </c>
      <c r="KV18" s="1964">
        <v>7.04</v>
      </c>
      <c r="KW18" s="1965">
        <v>12.375904000000002</v>
      </c>
      <c r="KX18" s="36"/>
      <c r="KY18" s="53"/>
      <c r="KZ18" s="53"/>
      <c r="LA18" s="53"/>
      <c r="LB18" s="53"/>
      <c r="LC18" s="33"/>
      <c r="LD18" s="2669"/>
      <c r="LF18" s="26">
        <f t="shared" si="66"/>
        <v>7453.72</v>
      </c>
      <c r="LG18" s="27">
        <f t="shared" si="66"/>
        <v>0</v>
      </c>
      <c r="LH18" s="27">
        <f t="shared" si="66"/>
        <v>0</v>
      </c>
      <c r="LI18" s="28">
        <f t="shared" si="67"/>
        <v>7453.72</v>
      </c>
      <c r="LJ18" s="36"/>
      <c r="LK18" s="27"/>
      <c r="LL18" s="27"/>
      <c r="LM18" s="33"/>
      <c r="LN18" s="1041">
        <v>6.07</v>
      </c>
      <c r="LO18" s="486"/>
      <c r="LP18" s="2688"/>
      <c r="LQ18" s="21">
        <v>7453.72</v>
      </c>
      <c r="LR18" s="27"/>
      <c r="LS18" s="27"/>
      <c r="LT18" s="27"/>
      <c r="LU18" s="27"/>
      <c r="LV18" s="1117">
        <f t="shared" si="68"/>
        <v>7453.72</v>
      </c>
      <c r="LW18" s="36"/>
      <c r="LX18" s="36"/>
      <c r="LY18" s="27"/>
      <c r="LZ18" s="27"/>
      <c r="MA18" s="33"/>
      <c r="MB18" s="28">
        <f t="shared" si="69"/>
        <v>0</v>
      </c>
      <c r="MC18" s="26"/>
      <c r="MD18" s="36"/>
      <c r="ME18" s="27"/>
      <c r="MF18" s="27"/>
      <c r="MG18" s="27"/>
      <c r="MH18" s="28"/>
      <c r="MI18" s="36"/>
      <c r="MJ18" s="36"/>
      <c r="MK18" s="27"/>
      <c r="ML18" s="27"/>
      <c r="MM18" s="27"/>
      <c r="MN18" s="28"/>
      <c r="MO18" s="36"/>
      <c r="MP18" s="36"/>
      <c r="MQ18" s="27"/>
      <c r="MR18" s="27"/>
      <c r="MS18" s="27"/>
      <c r="MT18" s="33">
        <f t="shared" si="70"/>
        <v>0</v>
      </c>
      <c r="MU18" s="2688"/>
      <c r="MW18" s="26">
        <f t="shared" si="71"/>
        <v>59069.322645013388</v>
      </c>
      <c r="MX18" s="27">
        <f t="shared" si="72"/>
        <v>95173.422248823495</v>
      </c>
      <c r="MY18" s="27">
        <f t="shared" si="73"/>
        <v>19894.145201279462</v>
      </c>
      <c r="MZ18" s="28">
        <f t="shared" si="74"/>
        <v>433157.26855851</v>
      </c>
      <c r="NA18" s="2621"/>
      <c r="NB18" s="23">
        <f t="shared" si="75"/>
        <v>36014.459437467849</v>
      </c>
      <c r="NC18" s="1579">
        <f t="shared" si="76"/>
        <v>23054.863207545539</v>
      </c>
      <c r="ND18" s="60">
        <f t="shared" si="77"/>
        <v>0</v>
      </c>
      <c r="NE18" s="1110">
        <f t="shared" si="4"/>
        <v>59069.322645013388</v>
      </c>
      <c r="NF18" s="26">
        <f t="shared" si="78"/>
        <v>0</v>
      </c>
      <c r="NG18" s="27">
        <f t="shared" si="78"/>
        <v>0</v>
      </c>
      <c r="NH18" s="27">
        <f t="shared" si="78"/>
        <v>0</v>
      </c>
      <c r="NI18" s="27">
        <f t="shared" si="78"/>
        <v>0</v>
      </c>
      <c r="NJ18" s="27">
        <f t="shared" si="78"/>
        <v>0</v>
      </c>
      <c r="NK18" s="33">
        <f t="shared" si="78"/>
        <v>0</v>
      </c>
      <c r="NL18" s="27">
        <f t="shared" si="78"/>
        <v>0</v>
      </c>
      <c r="NM18" s="36">
        <f t="shared" si="78"/>
        <v>0</v>
      </c>
      <c r="NN18" s="24">
        <f t="shared" si="78"/>
        <v>7059.700566563145</v>
      </c>
      <c r="NO18" s="27">
        <f t="shared" si="78"/>
        <v>26196.69549600617</v>
      </c>
      <c r="NP18" s="24">
        <f t="shared" si="136"/>
        <v>8756.5482322711578</v>
      </c>
      <c r="NQ18" s="24">
        <f t="shared" si="137"/>
        <v>8753.6741180334084</v>
      </c>
      <c r="NR18" s="27">
        <f t="shared" si="0"/>
        <v>50766.618412873882</v>
      </c>
      <c r="NS18" s="27">
        <f t="shared" si="79"/>
        <v>0</v>
      </c>
      <c r="NT18" s="27">
        <f t="shared" si="80"/>
        <v>0</v>
      </c>
      <c r="NU18" s="27">
        <f t="shared" si="81"/>
        <v>0</v>
      </c>
      <c r="NV18" s="27">
        <f t="shared" si="82"/>
        <v>0</v>
      </c>
      <c r="NW18" s="27">
        <f t="shared" si="83"/>
        <v>0</v>
      </c>
      <c r="NX18" s="27">
        <f t="shared" si="84"/>
        <v>0</v>
      </c>
      <c r="NY18" s="27">
        <f t="shared" si="85"/>
        <v>2226.1736022929117</v>
      </c>
      <c r="NZ18" s="27">
        <f t="shared" si="86"/>
        <v>0</v>
      </c>
      <c r="OA18" s="27">
        <f t="shared" si="87"/>
        <v>20845.898066782836</v>
      </c>
      <c r="OB18" s="280"/>
      <c r="OC18" s="24">
        <f t="shared" si="88"/>
        <v>349.54339982995594</v>
      </c>
      <c r="OD18" s="27">
        <f t="shared" si="89"/>
        <v>0</v>
      </c>
      <c r="OE18" s="28">
        <f t="shared" si="1"/>
        <v>23421.615068905703</v>
      </c>
      <c r="OF18" s="27">
        <f t="shared" si="139"/>
        <v>0</v>
      </c>
      <c r="OG18" s="27">
        <f t="shared" si="139"/>
        <v>0</v>
      </c>
      <c r="OH18" s="27">
        <f t="shared" si="139"/>
        <v>0</v>
      </c>
      <c r="OI18" s="27">
        <f t="shared" si="139"/>
        <v>0</v>
      </c>
      <c r="OJ18" s="27">
        <f t="shared" si="139"/>
        <v>0</v>
      </c>
      <c r="OK18" s="27">
        <f t="shared" si="139"/>
        <v>0</v>
      </c>
      <c r="OL18" s="24">
        <f t="shared" si="145"/>
        <v>0</v>
      </c>
      <c r="OM18" s="27">
        <f t="shared" si="140"/>
        <v>0</v>
      </c>
      <c r="ON18" s="24">
        <f t="shared" si="141"/>
        <v>18700.183599111006</v>
      </c>
      <c r="OO18" s="27">
        <f t="shared" si="142"/>
        <v>0</v>
      </c>
      <c r="OP18" s="27">
        <f t="shared" si="143"/>
        <v>2285.005167932914</v>
      </c>
      <c r="OQ18" s="27">
        <f t="shared" si="144"/>
        <v>0</v>
      </c>
      <c r="OR18" s="28">
        <f t="shared" si="2"/>
        <v>20985.188767043921</v>
      </c>
      <c r="OS18" s="36"/>
      <c r="OT18" s="27"/>
      <c r="OU18" s="27"/>
      <c r="OV18" s="27"/>
      <c r="OW18" s="27"/>
      <c r="OX18" s="27"/>
      <c r="OY18" s="28">
        <f t="shared" si="91"/>
        <v>0</v>
      </c>
      <c r="OZ18" s="36">
        <f t="shared" si="92"/>
        <v>0</v>
      </c>
      <c r="PA18" s="27">
        <f t="shared" si="93"/>
        <v>0</v>
      </c>
      <c r="PB18" s="27">
        <f t="shared" si="94"/>
        <v>0</v>
      </c>
      <c r="PC18" s="27">
        <f t="shared" si="95"/>
        <v>0</v>
      </c>
      <c r="PD18" s="27">
        <f t="shared" si="96"/>
        <v>0</v>
      </c>
      <c r="PE18" s="27">
        <f t="shared" si="97"/>
        <v>0</v>
      </c>
      <c r="PF18" s="33">
        <f t="shared" si="3"/>
        <v>0</v>
      </c>
      <c r="PG18" s="2621"/>
      <c r="PI18" s="1907">
        <v>777.07999999999993</v>
      </c>
      <c r="PJ18" s="3">
        <v>447</v>
      </c>
      <c r="PK18" s="3">
        <v>186.25</v>
      </c>
      <c r="PL18" s="3">
        <f t="shared" si="98"/>
        <v>0</v>
      </c>
      <c r="PM18" s="3">
        <f t="shared" si="99"/>
        <v>3646.1953876938928</v>
      </c>
      <c r="PN18" s="11">
        <f t="shared" si="100"/>
        <v>19894.145201279462</v>
      </c>
      <c r="PO18" s="15"/>
      <c r="PP18" s="2615"/>
      <c r="PR18" s="4"/>
      <c r="PS18" s="9"/>
      <c r="PT18" s="9"/>
      <c r="PU18" s="9"/>
      <c r="PV18" s="9">
        <v>0</v>
      </c>
      <c r="PW18" s="9"/>
      <c r="PX18" s="8">
        <f t="shared" si="101"/>
        <v>0</v>
      </c>
      <c r="PY18" s="5">
        <f t="shared" si="102"/>
        <v>777.07999999999993</v>
      </c>
      <c r="PZ18" s="5"/>
      <c r="QA18" s="5"/>
      <c r="QB18" s="5"/>
      <c r="QC18" s="5"/>
      <c r="QD18" s="5"/>
      <c r="QE18" s="12">
        <f t="shared" si="103"/>
        <v>29562.488999999998</v>
      </c>
      <c r="QF18" s="420">
        <f t="shared" si="104"/>
        <v>403236.89955850999</v>
      </c>
      <c r="QG18" s="1106">
        <f t="shared" si="105"/>
        <v>357.88</v>
      </c>
      <c r="QH18" s="484">
        <f t="shared" si="106"/>
        <v>5505.3678056099998</v>
      </c>
      <c r="QI18" s="12"/>
      <c r="QJ18" s="2615"/>
      <c r="QL18" s="139">
        <f t="shared" si="107"/>
        <v>0</v>
      </c>
      <c r="QM18" s="139" t="str">
        <f t="shared" si="108"/>
        <v/>
      </c>
      <c r="QO18" s="139">
        <f t="shared" si="109"/>
        <v>0</v>
      </c>
      <c r="QP18" s="139">
        <f t="shared" si="110"/>
        <v>0</v>
      </c>
      <c r="QR18" s="1">
        <f t="shared" si="111"/>
        <v>0</v>
      </c>
      <c r="QS18" s="1">
        <f t="shared" si="112"/>
        <v>0</v>
      </c>
      <c r="QT18" s="1">
        <f t="shared" si="113"/>
        <v>0</v>
      </c>
      <c r="QU18" s="1">
        <f t="shared" si="114"/>
        <v>0</v>
      </c>
      <c r="QV18" s="1">
        <f t="shared" si="115"/>
        <v>0</v>
      </c>
      <c r="QW18" s="1">
        <f t="shared" si="116"/>
        <v>0</v>
      </c>
      <c r="QY18" s="1">
        <f t="shared" si="117"/>
        <v>0</v>
      </c>
      <c r="QZ18" s="1">
        <f t="shared" si="118"/>
        <v>0</v>
      </c>
      <c r="RA18" s="1">
        <f t="shared" si="119"/>
        <v>0</v>
      </c>
      <c r="RB18" s="1">
        <f t="shared" si="120"/>
        <v>0</v>
      </c>
      <c r="RC18" s="1">
        <f t="shared" si="121"/>
        <v>0</v>
      </c>
      <c r="RD18" s="1">
        <f t="shared" si="122"/>
        <v>0</v>
      </c>
      <c r="RG18" s="1">
        <v>9</v>
      </c>
      <c r="RH18" s="421">
        <v>5984.4452097170979</v>
      </c>
      <c r="RI18" s="421">
        <v>5074.1017804837184</v>
      </c>
      <c r="RJ18" s="421">
        <v>13404.263703387322</v>
      </c>
      <c r="RK18" s="490">
        <f t="shared" si="5"/>
        <v>24462.810693588137</v>
      </c>
      <c r="RL18" s="1033">
        <v>9</v>
      </c>
      <c r="RM18" s="1098">
        <f t="shared" si="124"/>
        <v>0</v>
      </c>
      <c r="RN18" s="1098">
        <f t="shared" si="125"/>
        <v>0</v>
      </c>
      <c r="RO18" s="1097">
        <f t="shared" si="125"/>
        <v>0</v>
      </c>
      <c r="RP18" s="1097">
        <f t="shared" si="126"/>
        <v>6243.6799999999994</v>
      </c>
      <c r="RQ18" s="1046"/>
      <c r="RR18" s="1046" t="s">
        <v>823</v>
      </c>
      <c r="RU18" s="421">
        <v>9</v>
      </c>
      <c r="RV18" s="1095">
        <f t="shared" si="127"/>
        <v>6157.08</v>
      </c>
      <c r="RW18" s="1046" t="s">
        <v>824</v>
      </c>
      <c r="RY18" s="1090"/>
      <c r="RZ18" s="1090">
        <f t="shared" si="128"/>
        <v>0</v>
      </c>
      <c r="SA18" s="1090"/>
      <c r="SB18" s="1090">
        <f t="shared" si="129"/>
        <v>0</v>
      </c>
      <c r="SD18" s="1">
        <v>9</v>
      </c>
      <c r="SE18" s="1">
        <f t="shared" si="130"/>
        <v>0</v>
      </c>
      <c r="SF18" s="1094"/>
    </row>
    <row r="19" spans="1:500" s="1" customFormat="1">
      <c r="B19" s="471">
        <v>10</v>
      </c>
      <c r="C19" s="4">
        <f t="shared" si="6"/>
        <v>87556</v>
      </c>
      <c r="D19" s="1590">
        <f t="shared" si="131"/>
        <v>6659.92</v>
      </c>
      <c r="E19" s="1895">
        <f t="shared" si="7"/>
        <v>13.146704464918498</v>
      </c>
      <c r="F19" s="870"/>
      <c r="G19" s="870"/>
      <c r="H19" s="52">
        <v>60</v>
      </c>
      <c r="I19" s="61">
        <v>13.98</v>
      </c>
      <c r="J19" s="52"/>
      <c r="K19" s="54"/>
      <c r="L19" s="52">
        <v>7.67</v>
      </c>
      <c r="M19" s="61">
        <v>11.29</v>
      </c>
      <c r="N19" s="2629"/>
      <c r="O19" s="4">
        <f t="shared" si="132"/>
        <v>46704</v>
      </c>
      <c r="P19" s="1225">
        <f t="shared" si="8"/>
        <v>3898.06</v>
      </c>
      <c r="Q19" s="1952">
        <f t="shared" si="9"/>
        <v>11.981344566271428</v>
      </c>
      <c r="R19" s="33"/>
      <c r="S19" s="26">
        <f t="shared" si="10"/>
        <v>25138</v>
      </c>
      <c r="T19" s="27">
        <f t="shared" si="11"/>
        <v>1501.86</v>
      </c>
      <c r="U19" s="1909">
        <f t="shared" si="12"/>
        <v>16.737911656212965</v>
      </c>
      <c r="V19" s="15"/>
      <c r="W19" s="1742">
        <f t="shared" si="13"/>
        <v>15714</v>
      </c>
      <c r="X19" s="1918">
        <f t="shared" si="13"/>
        <v>1260</v>
      </c>
      <c r="Y19" s="1738">
        <f t="shared" si="14"/>
        <v>12.471428571428572</v>
      </c>
      <c r="Z19" s="33"/>
      <c r="AA19" s="26">
        <f t="shared" si="15"/>
        <v>0</v>
      </c>
      <c r="AB19" s="27">
        <f t="shared" si="16"/>
        <v>0</v>
      </c>
      <c r="AC19" s="53">
        <f t="shared" si="17"/>
        <v>0</v>
      </c>
      <c r="AD19" s="28"/>
      <c r="AE19" s="36"/>
      <c r="AF19" s="36"/>
      <c r="AG19" s="53">
        <f t="shared" si="18"/>
        <v>0</v>
      </c>
      <c r="AH19" s="28"/>
      <c r="AI19" s="26"/>
      <c r="AJ19" s="27"/>
      <c r="AK19" s="53">
        <f t="shared" si="19"/>
        <v>0</v>
      </c>
      <c r="AL19" s="28"/>
      <c r="AM19" s="2629"/>
      <c r="AN19" s="9"/>
      <c r="AO19" s="5"/>
      <c r="AP19" s="61">
        <f t="shared" si="20"/>
        <v>0</v>
      </c>
      <c r="AQ19" s="36"/>
      <c r="AR19" s="53"/>
      <c r="AS19" s="61">
        <f t="shared" si="21"/>
        <v>0</v>
      </c>
      <c r="AT19" s="36">
        <v>0</v>
      </c>
      <c r="AU19" s="27"/>
      <c r="AV19" s="61">
        <f t="shared" si="22"/>
        <v>0</v>
      </c>
      <c r="AW19" s="36">
        <v>27846</v>
      </c>
      <c r="AX19" s="27">
        <v>3237.5</v>
      </c>
      <c r="AY19" s="1735">
        <f t="shared" si="23"/>
        <v>8.6010810810810803</v>
      </c>
      <c r="AZ19" s="36"/>
      <c r="BA19" s="27"/>
      <c r="BB19" s="61">
        <f t="shared" si="24"/>
        <v>0</v>
      </c>
      <c r="BC19" s="1740">
        <v>18858</v>
      </c>
      <c r="BD19" s="1736">
        <v>660.56</v>
      </c>
      <c r="BE19" s="1735">
        <f t="shared" si="25"/>
        <v>28.548504299382344</v>
      </c>
      <c r="BF19" s="36"/>
      <c r="BG19" s="53"/>
      <c r="BH19" s="61">
        <f t="shared" si="26"/>
        <v>0</v>
      </c>
      <c r="BI19" s="36">
        <v>0</v>
      </c>
      <c r="BJ19" s="53">
        <v>0</v>
      </c>
      <c r="BK19" s="61">
        <f t="shared" si="27"/>
        <v>0</v>
      </c>
      <c r="BL19" s="1742">
        <v>25138</v>
      </c>
      <c r="BM19" s="1909">
        <v>1501.86</v>
      </c>
      <c r="BN19" s="1920">
        <f t="shared" si="28"/>
        <v>16.737911656212965</v>
      </c>
      <c r="BO19" s="9"/>
      <c r="BP19" s="64"/>
      <c r="BQ19" s="482">
        <f t="shared" si="29"/>
        <v>0</v>
      </c>
      <c r="BR19" s="9"/>
      <c r="BS19" s="53"/>
      <c r="BT19" s="482">
        <f t="shared" si="30"/>
        <v>0</v>
      </c>
      <c r="BU19" s="9">
        <v>15714</v>
      </c>
      <c r="BV19" s="27">
        <v>1260</v>
      </c>
      <c r="BW19" s="1051">
        <f t="shared" si="31"/>
        <v>12.471428571428572</v>
      </c>
      <c r="BX19" s="26"/>
      <c r="BY19" s="27"/>
      <c r="BZ19" s="482">
        <f t="shared" si="32"/>
        <v>0</v>
      </c>
      <c r="CA19" s="9"/>
      <c r="CB19" s="481"/>
      <c r="CC19" s="482">
        <f t="shared" si="33"/>
        <v>0</v>
      </c>
      <c r="CD19" s="4"/>
      <c r="CE19" s="5"/>
      <c r="CF19" s="28">
        <f t="shared" si="34"/>
        <v>0</v>
      </c>
      <c r="CG19" s="150"/>
      <c r="CH19" s="4"/>
      <c r="CI19" s="5"/>
      <c r="CJ19" s="5"/>
      <c r="CK19" s="5">
        <v>4408</v>
      </c>
      <c r="CL19" s="5"/>
      <c r="CM19" s="5">
        <f t="shared" si="35"/>
        <v>4408</v>
      </c>
      <c r="CN19" s="5"/>
      <c r="CO19" s="5"/>
      <c r="CQ19" s="4">
        <f t="shared" si="36"/>
        <v>0</v>
      </c>
      <c r="CR19" s="9">
        <f t="shared" si="37"/>
        <v>0</v>
      </c>
      <c r="CS19" s="5">
        <f t="shared" si="38"/>
        <v>0</v>
      </c>
      <c r="CT19" s="5">
        <f t="shared" si="39"/>
        <v>0</v>
      </c>
      <c r="CU19" s="5">
        <f t="shared" si="40"/>
        <v>0</v>
      </c>
      <c r="CV19" s="5">
        <f t="shared" si="41"/>
        <v>0</v>
      </c>
      <c r="CW19" s="5">
        <f t="shared" si="42"/>
        <v>117.96000000000001</v>
      </c>
      <c r="CX19" s="5">
        <f t="shared" si="43"/>
        <v>0</v>
      </c>
      <c r="CY19" s="5">
        <f t="shared" si="44"/>
        <v>5821.9599999999991</v>
      </c>
      <c r="CZ19" s="5">
        <f t="shared" si="45"/>
        <v>0</v>
      </c>
      <c r="DA19" s="5">
        <f t="shared" si="46"/>
        <v>720</v>
      </c>
      <c r="DB19" s="12">
        <f t="shared" si="47"/>
        <v>0</v>
      </c>
      <c r="DC19" s="310">
        <f t="shared" si="48"/>
        <v>6659.9199999999992</v>
      </c>
      <c r="DD19" s="2695"/>
      <c r="DE19" s="8"/>
      <c r="DF19" s="9"/>
      <c r="DG19" s="5"/>
      <c r="DH19" s="5"/>
      <c r="DI19" s="5"/>
      <c r="DJ19" s="5"/>
      <c r="DK19" s="5">
        <v>117.96000000000001</v>
      </c>
      <c r="DL19" s="5"/>
      <c r="DM19" s="5">
        <v>3119.54</v>
      </c>
      <c r="DN19" s="5"/>
      <c r="DO19" s="5"/>
      <c r="DP19" s="12"/>
      <c r="DQ19" s="1906">
        <f t="shared" si="49"/>
        <v>3237.5</v>
      </c>
      <c r="DR19" s="36"/>
      <c r="DS19" s="36"/>
      <c r="DT19" s="27"/>
      <c r="DU19" s="27"/>
      <c r="DV19" s="5"/>
      <c r="DW19" s="5"/>
      <c r="DX19" s="5"/>
      <c r="DY19" s="5"/>
      <c r="DZ19" s="5">
        <v>2162.4199999999996</v>
      </c>
      <c r="EA19" s="27"/>
      <c r="EB19" s="27">
        <v>0</v>
      </c>
      <c r="EC19" s="33"/>
      <c r="ED19" s="28">
        <f t="shared" si="50"/>
        <v>2162.4199999999996</v>
      </c>
      <c r="EE19" s="9"/>
      <c r="EF19" s="36"/>
      <c r="EG19" s="5"/>
      <c r="EH19" s="313"/>
      <c r="EI19" s="27"/>
      <c r="EJ19" s="27"/>
      <c r="EK19" s="27"/>
      <c r="EL19" s="27"/>
      <c r="EM19" s="5">
        <v>540</v>
      </c>
      <c r="EN19" s="5"/>
      <c r="EO19" s="5">
        <v>720</v>
      </c>
      <c r="EP19" s="33"/>
      <c r="EQ19" s="28">
        <f t="shared" si="51"/>
        <v>1260</v>
      </c>
      <c r="ER19" s="36"/>
      <c r="ES19" s="27"/>
      <c r="ET19" s="27"/>
      <c r="EU19" s="27"/>
      <c r="EV19" s="27"/>
      <c r="EW19" s="27"/>
      <c r="EX19" s="33">
        <f t="shared" si="52"/>
        <v>0</v>
      </c>
      <c r="EY19" s="2685"/>
      <c r="FA19" s="4">
        <f t="shared" si="53"/>
        <v>0</v>
      </c>
      <c r="FB19" s="5">
        <f t="shared" si="54"/>
        <v>0</v>
      </c>
      <c r="FC19" s="5">
        <f t="shared" si="55"/>
        <v>0</v>
      </c>
      <c r="FD19" s="12">
        <f t="shared" si="56"/>
        <v>0</v>
      </c>
      <c r="FE19" s="33"/>
      <c r="FF19" s="2674"/>
      <c r="FG19" s="9"/>
      <c r="FH19" s="5"/>
      <c r="FI19" s="5"/>
      <c r="FJ19" s="5"/>
      <c r="FK19" s="5"/>
      <c r="FL19" s="27"/>
      <c r="FM19" s="28">
        <f t="shared" si="57"/>
        <v>0</v>
      </c>
      <c r="FN19" s="36"/>
      <c r="FO19" s="27"/>
      <c r="FP19" s="27"/>
      <c r="FQ19" s="27"/>
      <c r="FR19" s="27"/>
      <c r="FS19" s="27"/>
      <c r="FT19" s="28">
        <f t="shared" si="58"/>
        <v>0</v>
      </c>
      <c r="FU19" s="36"/>
      <c r="FV19" s="36"/>
      <c r="FW19" s="27"/>
      <c r="FX19" s="27"/>
      <c r="FY19" s="27"/>
      <c r="FZ19" s="27"/>
      <c r="GA19" s="27"/>
      <c r="GB19" s="27"/>
      <c r="GC19" s="27"/>
      <c r="GD19" s="27"/>
      <c r="GE19" s="27"/>
      <c r="GF19" s="33"/>
      <c r="GG19" s="33">
        <f t="shared" si="59"/>
        <v>0</v>
      </c>
      <c r="GH19" s="2674"/>
      <c r="GJ19" s="2">
        <f t="shared" si="133"/>
        <v>554.75</v>
      </c>
      <c r="GK19" s="63">
        <f t="shared" si="134"/>
        <v>1197.8499999999999</v>
      </c>
      <c r="GL19" s="24">
        <f t="shared" si="135"/>
        <v>3772.5</v>
      </c>
      <c r="GM19" s="1736">
        <f t="shared" si="60"/>
        <v>5525.1</v>
      </c>
      <c r="GN19" s="141"/>
      <c r="GO19" s="141"/>
      <c r="GP19" s="33"/>
      <c r="GQ19" s="2667"/>
      <c r="GR19" s="1940">
        <v>5525.1</v>
      </c>
      <c r="GS19" s="5">
        <v>0</v>
      </c>
      <c r="GT19" s="5">
        <v>0</v>
      </c>
      <c r="GU19" s="27">
        <v>0</v>
      </c>
      <c r="GV19" s="54">
        <f t="shared" si="61"/>
        <v>5525.1</v>
      </c>
      <c r="GW19" s="2667"/>
      <c r="GX19" s="36"/>
      <c r="GY19" s="36"/>
      <c r="GZ19" s="27"/>
      <c r="HA19" s="27"/>
      <c r="HB19" s="27"/>
      <c r="HC19" s="27"/>
      <c r="HD19" s="27"/>
      <c r="HE19" s="27"/>
      <c r="HF19" s="27">
        <v>554.75</v>
      </c>
      <c r="HG19" s="27"/>
      <c r="HH19" s="27">
        <v>0</v>
      </c>
      <c r="HI19" s="27"/>
      <c r="HJ19" s="27">
        <v>0</v>
      </c>
      <c r="HK19" s="27"/>
      <c r="HL19" s="28">
        <f t="shared" si="62"/>
        <v>554.75</v>
      </c>
      <c r="HM19" s="36"/>
      <c r="HN19" s="27"/>
      <c r="HO19" s="27"/>
      <c r="HP19" s="27"/>
      <c r="HQ19" s="27"/>
      <c r="HR19" s="27"/>
      <c r="HS19" s="27" cm="1">
        <f t="array" ref="HS19">SUMPRODUCT(('Data Base hauling'!$C$2:$C$216="TCM-ROM SB1 BK05-ROM 4")*(ISNUMBER(SEARCH(TEXT('March TCM'!$B19,"00")&amp;"/03/2026",'Data Base hauling'!$E$2:$E$216)))*'Data Base hauling'!$N$2:$N$216)</f>
        <v>0</v>
      </c>
      <c r="HT19" s="27"/>
      <c r="HU19" s="27" cm="1">
        <f t="array" ref="HU19">SUMPRODUCT(('Data Base hauling'!$C$2:$C$216="TCM-ROM SB1 BK05-ROM 5")*(ISNUMBER(SEARCH(TEXT('March TCM'!$B19,"00")&amp;"/03/2026",'Data Base hauling'!$E$2:$E$216)))*'Data Base hauling'!$N$2:$N$216)</f>
        <v>0</v>
      </c>
      <c r="HV19" s="27"/>
      <c r="HW19" s="27"/>
      <c r="HX19" s="27"/>
      <c r="HY19" s="27"/>
      <c r="HZ19" s="27"/>
      <c r="IA19" s="33">
        <f t="shared" si="63"/>
        <v>0</v>
      </c>
      <c r="IB19" s="52"/>
      <c r="IC19" s="152"/>
      <c r="ID19" s="53"/>
      <c r="IE19" s="53"/>
      <c r="IF19" s="53"/>
      <c r="IG19" s="53"/>
      <c r="IH19" s="53">
        <v>0</v>
      </c>
      <c r="II19" s="53"/>
      <c r="IJ19" s="1736">
        <v>1197.8499999999999</v>
      </c>
      <c r="IK19" s="53"/>
      <c r="IL19" s="53">
        <v>0</v>
      </c>
      <c r="IM19" s="53"/>
      <c r="IN19" s="53"/>
      <c r="IO19" s="49">
        <v>0</v>
      </c>
      <c r="IP19" s="61">
        <f t="shared" si="64"/>
        <v>1197.8499999999999</v>
      </c>
      <c r="IQ19" s="36"/>
      <c r="IR19" s="36"/>
      <c r="IS19" s="27"/>
      <c r="IT19" s="27"/>
      <c r="IU19" s="53"/>
      <c r="IV19" s="27"/>
      <c r="IW19" s="53">
        <v>0</v>
      </c>
      <c r="IX19" s="27"/>
      <c r="IY19" s="27">
        <v>3772.5</v>
      </c>
      <c r="IZ19" s="27"/>
      <c r="JA19" s="27">
        <v>0</v>
      </c>
      <c r="JB19" s="27"/>
      <c r="JC19" s="27"/>
      <c r="JD19" s="27"/>
      <c r="JE19" s="33">
        <f t="shared" si="138"/>
        <v>3772.5</v>
      </c>
      <c r="JF19" s="2667"/>
      <c r="JH19" s="2019">
        <v>5525.1</v>
      </c>
      <c r="JI19" s="2017">
        <v>0</v>
      </c>
      <c r="JJ19" s="53"/>
      <c r="JK19" s="53">
        <f t="shared" si="65"/>
        <v>5525.1</v>
      </c>
      <c r="JL19" s="33"/>
      <c r="JM19" s="2669"/>
      <c r="JN19" s="69">
        <v>0</v>
      </c>
      <c r="JO19" s="70">
        <v>0</v>
      </c>
      <c r="JP19" s="70">
        <v>0</v>
      </c>
      <c r="JQ19" s="70">
        <v>0</v>
      </c>
      <c r="JR19" s="70">
        <v>1</v>
      </c>
      <c r="JS19" s="70">
        <v>0</v>
      </c>
      <c r="JT19" s="70">
        <v>0</v>
      </c>
      <c r="JU19" s="1922">
        <v>0</v>
      </c>
      <c r="JV19" s="69" t="s">
        <v>296</v>
      </c>
      <c r="JW19" s="70" t="s">
        <v>296</v>
      </c>
      <c r="JX19" s="70" t="s">
        <v>296</v>
      </c>
      <c r="JY19" s="70" t="s">
        <v>296</v>
      </c>
      <c r="JZ19" s="70" t="s">
        <v>296</v>
      </c>
      <c r="KA19" s="70" t="s">
        <v>296</v>
      </c>
      <c r="KB19" s="70" t="s">
        <v>296</v>
      </c>
      <c r="KC19" s="71" t="s">
        <v>296</v>
      </c>
      <c r="KD19" s="69"/>
      <c r="KE19" s="70"/>
      <c r="KF19" s="70"/>
      <c r="KG19" s="70"/>
      <c r="KH19" s="70"/>
      <c r="KI19" s="70"/>
      <c r="KJ19" s="70"/>
      <c r="KK19" s="70"/>
      <c r="KL19" s="33"/>
      <c r="KM19" s="2669"/>
      <c r="KN19" s="1931">
        <v>7031.9938991566478</v>
      </c>
      <c r="KO19" s="1968">
        <v>0.50854656378970031</v>
      </c>
      <c r="KP19" s="1968">
        <v>3.0149434774807102</v>
      </c>
      <c r="KQ19" s="1968">
        <v>6.6776457922124539</v>
      </c>
      <c r="KR19" s="1969">
        <v>10.308669904180871</v>
      </c>
      <c r="KS19" s="1959">
        <v>0</v>
      </c>
      <c r="KT19" s="1964">
        <v>0</v>
      </c>
      <c r="KU19" s="1964">
        <v>0</v>
      </c>
      <c r="KV19" s="1964">
        <v>0</v>
      </c>
      <c r="KW19" s="1965">
        <v>0</v>
      </c>
      <c r="KX19" s="36"/>
      <c r="KY19" s="53"/>
      <c r="KZ19" s="53"/>
      <c r="LA19" s="53"/>
      <c r="LB19" s="53"/>
      <c r="LC19" s="33"/>
      <c r="LD19" s="2669"/>
      <c r="LF19" s="26">
        <f t="shared" si="66"/>
        <v>22736.05</v>
      </c>
      <c r="LG19" s="27">
        <f t="shared" si="66"/>
        <v>0</v>
      </c>
      <c r="LH19" s="27">
        <f t="shared" si="66"/>
        <v>0</v>
      </c>
      <c r="LI19" s="28">
        <f t="shared" si="67"/>
        <v>22736.05</v>
      </c>
      <c r="LJ19" s="36">
        <v>3</v>
      </c>
      <c r="LK19" s="27"/>
      <c r="LL19" s="27"/>
      <c r="LM19" s="33"/>
      <c r="LN19" s="1041">
        <v>6.18</v>
      </c>
      <c r="LO19" s="486"/>
      <c r="LP19" s="2688"/>
      <c r="LQ19" s="36">
        <v>22736.05</v>
      </c>
      <c r="LR19" s="36"/>
      <c r="LS19" s="27"/>
      <c r="LT19" s="27"/>
      <c r="LU19" s="27"/>
      <c r="LV19" s="1117">
        <f t="shared" si="68"/>
        <v>22736.05</v>
      </c>
      <c r="LW19" s="36"/>
      <c r="LX19" s="36"/>
      <c r="LY19" s="27"/>
      <c r="LZ19" s="27"/>
      <c r="MA19" s="33"/>
      <c r="MB19" s="28">
        <f t="shared" si="69"/>
        <v>0</v>
      </c>
      <c r="MC19" s="26"/>
      <c r="MD19" s="36"/>
      <c r="ME19" s="27"/>
      <c r="MF19" s="27"/>
      <c r="MG19" s="27"/>
      <c r="MH19" s="28"/>
      <c r="MI19" s="36"/>
      <c r="MJ19" s="36"/>
      <c r="MK19" s="27"/>
      <c r="ML19" s="27"/>
      <c r="MM19" s="27"/>
      <c r="MN19" s="28"/>
      <c r="MO19" s="36"/>
      <c r="MP19" s="36"/>
      <c r="MQ19" s="27"/>
      <c r="MR19" s="27"/>
      <c r="MS19" s="27"/>
      <c r="MT19" s="33">
        <f t="shared" si="70"/>
        <v>0</v>
      </c>
      <c r="MU19" s="2688"/>
      <c r="MW19" s="26">
        <f t="shared" si="71"/>
        <v>41858.372645013384</v>
      </c>
      <c r="MX19" s="27">
        <f t="shared" si="72"/>
        <v>96308.242248823502</v>
      </c>
      <c r="MY19" s="27">
        <f t="shared" si="73"/>
        <v>20169.145201279462</v>
      </c>
      <c r="MZ19" s="28">
        <f t="shared" si="74"/>
        <v>433157.26855851</v>
      </c>
      <c r="NA19" s="2621"/>
      <c r="NB19" s="23">
        <f t="shared" si="75"/>
        <v>18803.509437467848</v>
      </c>
      <c r="NC19" s="1579">
        <f t="shared" si="76"/>
        <v>23054.863207545539</v>
      </c>
      <c r="ND19" s="60">
        <f t="shared" si="77"/>
        <v>0</v>
      </c>
      <c r="NE19" s="275">
        <f t="shared" si="4"/>
        <v>41858.372645013384</v>
      </c>
      <c r="NF19" s="26">
        <f t="shared" si="78"/>
        <v>0</v>
      </c>
      <c r="NG19" s="27">
        <f t="shared" si="78"/>
        <v>0</v>
      </c>
      <c r="NH19" s="27">
        <f t="shared" si="78"/>
        <v>0</v>
      </c>
      <c r="NI19" s="27">
        <f t="shared" si="78"/>
        <v>0</v>
      </c>
      <c r="NJ19" s="27">
        <f t="shared" si="78"/>
        <v>0</v>
      </c>
      <c r="NK19" s="33">
        <f t="shared" si="78"/>
        <v>0</v>
      </c>
      <c r="NL19" s="27">
        <f t="shared" si="78"/>
        <v>0</v>
      </c>
      <c r="NM19" s="36">
        <f t="shared" si="78"/>
        <v>0</v>
      </c>
      <c r="NN19" s="24">
        <f t="shared" si="78"/>
        <v>7044.950566563145</v>
      </c>
      <c r="NO19" s="27">
        <f t="shared" si="78"/>
        <v>26196.69549600617</v>
      </c>
      <c r="NP19" s="24">
        <f t="shared" si="136"/>
        <v>8756.5482322711578</v>
      </c>
      <c r="NQ19" s="24">
        <f t="shared" si="137"/>
        <v>9473.6741180334084</v>
      </c>
      <c r="NR19" s="27">
        <f t="shared" si="0"/>
        <v>51471.868412873882</v>
      </c>
      <c r="NS19" s="27">
        <f t="shared" si="79"/>
        <v>0</v>
      </c>
      <c r="NT19" s="27">
        <f t="shared" si="80"/>
        <v>0</v>
      </c>
      <c r="NU19" s="27">
        <f t="shared" si="81"/>
        <v>0</v>
      </c>
      <c r="NV19" s="27">
        <f t="shared" si="82"/>
        <v>0</v>
      </c>
      <c r="NW19" s="27">
        <f t="shared" si="83"/>
        <v>0</v>
      </c>
      <c r="NX19" s="27">
        <f t="shared" si="84"/>
        <v>0</v>
      </c>
      <c r="NY19" s="27">
        <f t="shared" si="85"/>
        <v>2344.1336022929117</v>
      </c>
      <c r="NZ19" s="27">
        <f t="shared" si="86"/>
        <v>0</v>
      </c>
      <c r="OA19" s="27">
        <f t="shared" si="87"/>
        <v>22767.588066782839</v>
      </c>
      <c r="OB19" s="280"/>
      <c r="OC19" s="24">
        <f t="shared" si="88"/>
        <v>349.54339982995594</v>
      </c>
      <c r="OD19" s="27">
        <f t="shared" si="89"/>
        <v>0</v>
      </c>
      <c r="OE19" s="28">
        <f t="shared" si="1"/>
        <v>25461.265068905705</v>
      </c>
      <c r="OF19" s="27">
        <f t="shared" si="139"/>
        <v>0</v>
      </c>
      <c r="OG19" s="27">
        <f t="shared" si="139"/>
        <v>0</v>
      </c>
      <c r="OH19" s="27">
        <f t="shared" si="139"/>
        <v>0</v>
      </c>
      <c r="OI19" s="27">
        <f t="shared" si="139"/>
        <v>0</v>
      </c>
      <c r="OJ19" s="27">
        <f t="shared" si="139"/>
        <v>0</v>
      </c>
      <c r="OK19" s="27">
        <f t="shared" si="139"/>
        <v>0</v>
      </c>
      <c r="OL19" s="24">
        <f t="shared" si="145"/>
        <v>0</v>
      </c>
      <c r="OM19" s="27">
        <f t="shared" si="140"/>
        <v>0</v>
      </c>
      <c r="ON19" s="24">
        <f t="shared" si="141"/>
        <v>17090.103599111004</v>
      </c>
      <c r="OO19" s="27">
        <f t="shared" si="142"/>
        <v>0</v>
      </c>
      <c r="OP19" s="27">
        <f t="shared" si="143"/>
        <v>2285.005167932914</v>
      </c>
      <c r="OQ19" s="27">
        <f t="shared" si="144"/>
        <v>0</v>
      </c>
      <c r="OR19" s="28">
        <f t="shared" si="2"/>
        <v>19375.108767043919</v>
      </c>
      <c r="OS19" s="36"/>
      <c r="OT19" s="27"/>
      <c r="OU19" s="27"/>
      <c r="OV19" s="27"/>
      <c r="OW19" s="27"/>
      <c r="OX19" s="27"/>
      <c r="OY19" s="28">
        <f t="shared" si="91"/>
        <v>0</v>
      </c>
      <c r="OZ19" s="36">
        <f t="shared" si="92"/>
        <v>0</v>
      </c>
      <c r="PA19" s="27">
        <f t="shared" si="93"/>
        <v>0</v>
      </c>
      <c r="PB19" s="27">
        <f t="shared" si="94"/>
        <v>0</v>
      </c>
      <c r="PC19" s="27">
        <f t="shared" si="95"/>
        <v>0</v>
      </c>
      <c r="PD19" s="27">
        <f t="shared" si="96"/>
        <v>0</v>
      </c>
      <c r="PE19" s="27">
        <f t="shared" si="97"/>
        <v>0</v>
      </c>
      <c r="PF19" s="33">
        <f t="shared" si="3"/>
        <v>0</v>
      </c>
      <c r="PG19" s="2621"/>
      <c r="PI19" s="1907">
        <v>0</v>
      </c>
      <c r="PJ19" s="3">
        <v>660</v>
      </c>
      <c r="PK19" s="3">
        <v>275</v>
      </c>
      <c r="PL19" s="3">
        <f t="shared" si="98"/>
        <v>0</v>
      </c>
      <c r="PM19" s="3">
        <f t="shared" si="99"/>
        <v>2986.1953876938928</v>
      </c>
      <c r="PN19" s="11">
        <f t="shared" si="100"/>
        <v>20169.145201279462</v>
      </c>
      <c r="PO19" s="15"/>
      <c r="PP19" s="2615"/>
      <c r="PR19" s="4"/>
      <c r="PS19" s="9"/>
      <c r="PT19" s="9"/>
      <c r="PU19" s="9"/>
      <c r="PV19" s="9">
        <v>0</v>
      </c>
      <c r="PW19" s="9"/>
      <c r="PX19" s="8">
        <f t="shared" si="101"/>
        <v>0</v>
      </c>
      <c r="PY19" s="5">
        <f t="shared" si="102"/>
        <v>0</v>
      </c>
      <c r="PZ19" s="5"/>
      <c r="QA19" s="5"/>
      <c r="QB19" s="5"/>
      <c r="QC19" s="5"/>
      <c r="QD19" s="5"/>
      <c r="QE19" s="12">
        <f t="shared" si="103"/>
        <v>29562.488999999998</v>
      </c>
      <c r="QF19" s="420">
        <f t="shared" si="104"/>
        <v>403236.89955850999</v>
      </c>
      <c r="QG19" s="1106">
        <f t="shared" si="105"/>
        <v>357.88</v>
      </c>
      <c r="QH19" s="484">
        <f t="shared" si="106"/>
        <v>5505.3678056099998</v>
      </c>
      <c r="QI19" s="12"/>
      <c r="QJ19" s="2615"/>
      <c r="QL19" s="139">
        <f t="shared" si="107"/>
        <v>0</v>
      </c>
      <c r="QM19" s="139" t="str">
        <f t="shared" si="108"/>
        <v/>
      </c>
      <c r="QO19" s="139">
        <f t="shared" si="109"/>
        <v>0</v>
      </c>
      <c r="QP19" s="139">
        <f t="shared" si="110"/>
        <v>0</v>
      </c>
      <c r="QR19" s="1">
        <f t="shared" si="111"/>
        <v>0</v>
      </c>
      <c r="QS19" s="1">
        <f t="shared" si="112"/>
        <v>0</v>
      </c>
      <c r="QT19" s="1">
        <f t="shared" si="113"/>
        <v>0</v>
      </c>
      <c r="QU19" s="1">
        <f t="shared" si="114"/>
        <v>0</v>
      </c>
      <c r="QV19" s="1">
        <f t="shared" si="115"/>
        <v>0</v>
      </c>
      <c r="QW19" s="1">
        <f t="shared" si="116"/>
        <v>0</v>
      </c>
      <c r="QY19" s="1">
        <f t="shared" si="117"/>
        <v>0</v>
      </c>
      <c r="QZ19" s="1">
        <f t="shared" si="118"/>
        <v>0</v>
      </c>
      <c r="RA19" s="1">
        <f t="shared" si="119"/>
        <v>0</v>
      </c>
      <c r="RB19" s="1">
        <f t="shared" si="120"/>
        <v>0</v>
      </c>
      <c r="RC19" s="1">
        <f t="shared" si="121"/>
        <v>0</v>
      </c>
      <c r="RD19" s="1">
        <f t="shared" si="122"/>
        <v>0</v>
      </c>
      <c r="RG19" s="1">
        <v>10</v>
      </c>
      <c r="RH19" s="1">
        <f t="shared" ref="RH19:RH40" si="146">+RH18+JH19-LF19</f>
        <v>-11226.504790282901</v>
      </c>
      <c r="RI19" s="1">
        <f t="shared" ref="RI19:RI40" si="147">+RI18+JI19-LG19</f>
        <v>5074.1017804837184</v>
      </c>
      <c r="RJ19" s="1">
        <f t="shared" ref="RJ19:RJ40" si="148">+RJ18+JJ19-LH19</f>
        <v>13404.263703387322</v>
      </c>
      <c r="RK19" s="89">
        <f t="shared" si="5"/>
        <v>7251.8606935881389</v>
      </c>
      <c r="RL19" s="1033">
        <v>10</v>
      </c>
      <c r="RM19" s="1098">
        <f t="shared" si="124"/>
        <v>0</v>
      </c>
      <c r="RN19" s="1098">
        <f t="shared" si="125"/>
        <v>0</v>
      </c>
      <c r="RO19" s="1097">
        <f t="shared" si="125"/>
        <v>0</v>
      </c>
      <c r="RP19" s="1097">
        <f t="shared" si="126"/>
        <v>5399.92</v>
      </c>
      <c r="RQ19" s="1109"/>
      <c r="RR19" s="1050" t="s">
        <v>825</v>
      </c>
      <c r="RS19" s="1048"/>
      <c r="RU19" s="421">
        <v>10</v>
      </c>
      <c r="RV19" s="1095">
        <f t="shared" si="127"/>
        <v>5525.1</v>
      </c>
      <c r="RW19" s="1046" t="s">
        <v>826</v>
      </c>
      <c r="RY19" s="1090"/>
      <c r="RZ19" s="1090">
        <f t="shared" si="128"/>
        <v>0</v>
      </c>
      <c r="SA19" s="1090"/>
      <c r="SB19" s="1090">
        <f t="shared" si="129"/>
        <v>0</v>
      </c>
      <c r="SD19" s="1">
        <v>10</v>
      </c>
      <c r="SE19" s="1">
        <f t="shared" si="130"/>
        <v>0</v>
      </c>
    </row>
    <row r="20" spans="1:500" s="1" customFormat="1">
      <c r="B20" s="471">
        <v>11</v>
      </c>
      <c r="C20" s="4">
        <f t="shared" si="6"/>
        <v>140188</v>
      </c>
      <c r="D20" s="1590">
        <f t="shared" si="131"/>
        <v>9119.74</v>
      </c>
      <c r="E20" s="1895">
        <f t="shared" si="7"/>
        <v>15.371929462901354</v>
      </c>
      <c r="F20" s="870"/>
      <c r="G20" s="870"/>
      <c r="H20" s="52"/>
      <c r="I20" s="61"/>
      <c r="J20" s="52"/>
      <c r="K20" s="54"/>
      <c r="L20" s="52"/>
      <c r="M20" s="61"/>
      <c r="N20" s="2629"/>
      <c r="O20" s="4">
        <f t="shared" si="132"/>
        <v>75726</v>
      </c>
      <c r="P20" s="1225">
        <f t="shared" si="8"/>
        <v>5535.24</v>
      </c>
      <c r="Q20" s="1952">
        <f t="shared" si="9"/>
        <v>13.680707611594078</v>
      </c>
      <c r="R20" s="33"/>
      <c r="S20" s="26">
        <f t="shared" si="10"/>
        <v>31034</v>
      </c>
      <c r="T20" s="27">
        <f t="shared" si="11"/>
        <v>1424.5000000000002</v>
      </c>
      <c r="U20" s="1909">
        <f t="shared" si="12"/>
        <v>21.785889785889783</v>
      </c>
      <c r="V20" s="28"/>
      <c r="W20" s="1742">
        <f t="shared" si="13"/>
        <v>33428</v>
      </c>
      <c r="X20" s="1918">
        <f t="shared" si="13"/>
        <v>2160</v>
      </c>
      <c r="Y20" s="1738">
        <f t="shared" si="14"/>
        <v>15.475925925925926</v>
      </c>
      <c r="Z20" s="33"/>
      <c r="AA20" s="26">
        <f t="shared" si="15"/>
        <v>0</v>
      </c>
      <c r="AB20" s="27">
        <f t="shared" si="16"/>
        <v>0</v>
      </c>
      <c r="AC20" s="53">
        <f t="shared" si="17"/>
        <v>0</v>
      </c>
      <c r="AD20" s="28"/>
      <c r="AE20" s="36"/>
      <c r="AF20" s="36"/>
      <c r="AG20" s="53">
        <f t="shared" si="18"/>
        <v>0</v>
      </c>
      <c r="AH20" s="28"/>
      <c r="AI20" s="23"/>
      <c r="AJ20" s="27"/>
      <c r="AK20" s="53">
        <f t="shared" si="19"/>
        <v>0</v>
      </c>
      <c r="AL20" s="28"/>
      <c r="AM20" s="2629"/>
      <c r="AN20" s="9"/>
      <c r="AO20" s="5"/>
      <c r="AP20" s="61">
        <f t="shared" si="20"/>
        <v>0</v>
      </c>
      <c r="AQ20" s="36"/>
      <c r="AR20" s="53"/>
      <c r="AS20" s="61">
        <f t="shared" si="21"/>
        <v>0</v>
      </c>
      <c r="AT20" s="36">
        <v>0</v>
      </c>
      <c r="AU20" s="27"/>
      <c r="AV20" s="61">
        <f t="shared" si="22"/>
        <v>0</v>
      </c>
      <c r="AW20" s="36">
        <v>53298</v>
      </c>
      <c r="AX20" s="27">
        <v>3807.34</v>
      </c>
      <c r="AY20" s="1735">
        <f t="shared" si="23"/>
        <v>13.998749783313285</v>
      </c>
      <c r="AZ20" s="1908"/>
      <c r="BA20" s="1909"/>
      <c r="BB20" s="1895">
        <f t="shared" si="24"/>
        <v>0</v>
      </c>
      <c r="BC20" s="1740">
        <v>22428</v>
      </c>
      <c r="BD20" s="1736">
        <v>1727.9</v>
      </c>
      <c r="BE20" s="1895">
        <f t="shared" si="25"/>
        <v>12.979917819318247</v>
      </c>
      <c r="BF20" s="1908"/>
      <c r="BG20" s="1909"/>
      <c r="BH20" s="1895">
        <f t="shared" si="26"/>
        <v>0</v>
      </c>
      <c r="BI20" s="1908">
        <v>0</v>
      </c>
      <c r="BJ20" s="1909">
        <v>0</v>
      </c>
      <c r="BK20" s="1895">
        <f t="shared" si="27"/>
        <v>0</v>
      </c>
      <c r="BL20" s="1742">
        <v>31034</v>
      </c>
      <c r="BM20" s="1909">
        <v>1424.5000000000002</v>
      </c>
      <c r="BN20" s="1920">
        <f t="shared" si="28"/>
        <v>21.785889785889783</v>
      </c>
      <c r="BO20" s="9"/>
      <c r="BP20" s="64"/>
      <c r="BQ20" s="482">
        <f t="shared" si="29"/>
        <v>0</v>
      </c>
      <c r="BR20" s="9"/>
      <c r="BS20" s="53"/>
      <c r="BT20" s="482">
        <f t="shared" si="30"/>
        <v>0</v>
      </c>
      <c r="BU20" s="9">
        <v>33428</v>
      </c>
      <c r="BV20" s="27">
        <v>2160</v>
      </c>
      <c r="BW20" s="1051">
        <f t="shared" si="31"/>
        <v>15.475925925925926</v>
      </c>
      <c r="BX20" s="26"/>
      <c r="BY20" s="27"/>
      <c r="BZ20" s="482">
        <f t="shared" si="32"/>
        <v>0</v>
      </c>
      <c r="CA20" s="9"/>
      <c r="CB20" s="481"/>
      <c r="CC20" s="482">
        <f t="shared" si="33"/>
        <v>0</v>
      </c>
      <c r="CD20" s="4"/>
      <c r="CE20" s="5"/>
      <c r="CF20" s="28">
        <f t="shared" si="34"/>
        <v>0</v>
      </c>
      <c r="CG20" s="150"/>
      <c r="CH20" s="4"/>
      <c r="CI20" s="5"/>
      <c r="CJ20" s="5"/>
      <c r="CK20" s="5">
        <v>5602</v>
      </c>
      <c r="CL20" s="5"/>
      <c r="CM20" s="5">
        <f t="shared" si="35"/>
        <v>5602</v>
      </c>
      <c r="CN20" s="33"/>
      <c r="CO20" s="366"/>
      <c r="CQ20" s="4">
        <f t="shared" si="36"/>
        <v>0</v>
      </c>
      <c r="CR20" s="9">
        <f t="shared" si="37"/>
        <v>0</v>
      </c>
      <c r="CS20" s="5">
        <f t="shared" si="38"/>
        <v>0</v>
      </c>
      <c r="CT20" s="5">
        <f t="shared" si="39"/>
        <v>0</v>
      </c>
      <c r="CU20" s="5">
        <f t="shared" si="40"/>
        <v>0</v>
      </c>
      <c r="CV20" s="5">
        <f t="shared" si="41"/>
        <v>0</v>
      </c>
      <c r="CW20" s="5">
        <f t="shared" si="42"/>
        <v>0</v>
      </c>
      <c r="CX20" s="5">
        <f t="shared" si="43"/>
        <v>0</v>
      </c>
      <c r="CY20" s="5">
        <f t="shared" si="44"/>
        <v>7659.74</v>
      </c>
      <c r="CZ20" s="5">
        <f t="shared" si="45"/>
        <v>0</v>
      </c>
      <c r="DA20" s="5">
        <f t="shared" si="46"/>
        <v>1460</v>
      </c>
      <c r="DB20" s="12">
        <f t="shared" si="47"/>
        <v>0</v>
      </c>
      <c r="DC20" s="310">
        <f t="shared" si="48"/>
        <v>9119.74</v>
      </c>
      <c r="DD20" s="2695"/>
      <c r="DE20" s="8"/>
      <c r="DF20" s="9"/>
      <c r="DG20" s="5"/>
      <c r="DH20" s="5"/>
      <c r="DI20" s="5"/>
      <c r="DJ20" s="5"/>
      <c r="DK20" s="5">
        <v>0</v>
      </c>
      <c r="DL20" s="5"/>
      <c r="DM20" s="27">
        <v>3807.34</v>
      </c>
      <c r="DN20" s="27"/>
      <c r="DO20" s="27"/>
      <c r="DP20" s="12"/>
      <c r="DQ20" s="1906">
        <f t="shared" si="49"/>
        <v>3807.34</v>
      </c>
      <c r="DR20" s="36"/>
      <c r="DS20" s="36"/>
      <c r="DT20" s="27"/>
      <c r="DU20" s="27"/>
      <c r="DV20" s="5"/>
      <c r="DW20" s="5"/>
      <c r="DX20" s="5"/>
      <c r="DY20" s="5"/>
      <c r="DZ20" s="5">
        <v>3152.4</v>
      </c>
      <c r="EA20" s="27"/>
      <c r="EB20" s="27">
        <v>0</v>
      </c>
      <c r="EC20" s="33"/>
      <c r="ED20" s="28">
        <f t="shared" si="50"/>
        <v>3152.4</v>
      </c>
      <c r="EE20" s="9"/>
      <c r="EF20" s="416"/>
      <c r="EG20" s="5"/>
      <c r="EH20" s="313"/>
      <c r="EI20" s="27"/>
      <c r="EJ20" s="27"/>
      <c r="EK20" s="27"/>
      <c r="EL20" s="27"/>
      <c r="EM20" s="5">
        <v>700</v>
      </c>
      <c r="EN20" s="5"/>
      <c r="EO20" s="5">
        <v>1460</v>
      </c>
      <c r="EP20" s="33"/>
      <c r="EQ20" s="28">
        <f t="shared" si="51"/>
        <v>2160</v>
      </c>
      <c r="ER20" s="36"/>
      <c r="ES20" s="27"/>
      <c r="ET20" s="27"/>
      <c r="EU20" s="27"/>
      <c r="EV20" s="27"/>
      <c r="EW20" s="27"/>
      <c r="EX20" s="33">
        <f t="shared" si="52"/>
        <v>0</v>
      </c>
      <c r="EY20" s="2685"/>
      <c r="FA20" s="4">
        <f t="shared" si="53"/>
        <v>0</v>
      </c>
      <c r="FB20" s="5">
        <f t="shared" si="54"/>
        <v>0</v>
      </c>
      <c r="FC20" s="5">
        <f t="shared" si="55"/>
        <v>0</v>
      </c>
      <c r="FD20" s="12">
        <f t="shared" si="56"/>
        <v>0</v>
      </c>
      <c r="FE20" s="33"/>
      <c r="FF20" s="2674"/>
      <c r="FG20" s="9"/>
      <c r="FH20" s="5"/>
      <c r="FI20" s="5"/>
      <c r="FJ20" s="5"/>
      <c r="FK20" s="5"/>
      <c r="FL20" s="27"/>
      <c r="FM20" s="28">
        <f t="shared" si="57"/>
        <v>0</v>
      </c>
      <c r="FN20" s="36"/>
      <c r="FO20" s="27"/>
      <c r="FP20" s="27"/>
      <c r="FQ20" s="27"/>
      <c r="FR20" s="27"/>
      <c r="FS20" s="27"/>
      <c r="FT20" s="28">
        <f t="shared" si="58"/>
        <v>0</v>
      </c>
      <c r="FU20" s="36"/>
      <c r="FV20" s="36"/>
      <c r="FW20" s="27"/>
      <c r="FX20" s="27"/>
      <c r="FY20" s="27"/>
      <c r="FZ20" s="27"/>
      <c r="GA20" s="27"/>
      <c r="GB20" s="27"/>
      <c r="GC20" s="27"/>
      <c r="GD20" s="27"/>
      <c r="GE20" s="27"/>
      <c r="GF20" s="33"/>
      <c r="GG20" s="33">
        <f t="shared" si="59"/>
        <v>0</v>
      </c>
      <c r="GH20" s="2674"/>
      <c r="GJ20" s="2">
        <f t="shared" si="133"/>
        <v>2280.0699999999997</v>
      </c>
      <c r="GK20" s="63">
        <f t="shared" si="134"/>
        <v>312.85000000000002</v>
      </c>
      <c r="GL20" s="24">
        <f t="shared" si="135"/>
        <v>3580.7</v>
      </c>
      <c r="GM20" s="1736">
        <f t="shared" si="60"/>
        <v>6173.619999999999</v>
      </c>
      <c r="GN20" s="141"/>
      <c r="GO20" s="141"/>
      <c r="GP20" s="33"/>
      <c r="GQ20" s="2667"/>
      <c r="GR20" s="1940">
        <v>6173.62</v>
      </c>
      <c r="GS20" s="5">
        <v>0</v>
      </c>
      <c r="GT20" s="5">
        <v>0</v>
      </c>
      <c r="GU20" s="27">
        <v>0</v>
      </c>
      <c r="GV20" s="54">
        <f t="shared" si="61"/>
        <v>6173.62</v>
      </c>
      <c r="GW20" s="2667"/>
      <c r="GX20" s="36"/>
      <c r="GY20" s="36"/>
      <c r="GZ20" s="27"/>
      <c r="HA20" s="27"/>
      <c r="HB20" s="27"/>
      <c r="HC20" s="27"/>
      <c r="HD20" s="27"/>
      <c r="HE20" s="27"/>
      <c r="HF20" s="27">
        <v>2280.0699999999997</v>
      </c>
      <c r="HG20" s="27"/>
      <c r="HH20" s="27">
        <v>0</v>
      </c>
      <c r="HI20" s="27"/>
      <c r="HJ20" s="27">
        <v>0</v>
      </c>
      <c r="HK20" s="27"/>
      <c r="HL20" s="28">
        <f t="shared" si="62"/>
        <v>2280.0699999999997</v>
      </c>
      <c r="HM20" s="36"/>
      <c r="HN20" s="27"/>
      <c r="HO20" s="27"/>
      <c r="HP20" s="27"/>
      <c r="HQ20" s="27"/>
      <c r="HR20" s="27"/>
      <c r="HS20" s="27" cm="1">
        <f t="array" ref="HS20">SUMPRODUCT(('Data Base hauling'!$C$2:$C$216="TCM-ROM SB1 BK05-ROM 4")*(ISNUMBER(SEARCH(TEXT('March TCM'!$B20,"00")&amp;"/03/2026",'Data Base hauling'!$E$2:$E$216)))*'Data Base hauling'!$N$2:$N$216)</f>
        <v>0</v>
      </c>
      <c r="HT20" s="27"/>
      <c r="HU20" s="27" cm="1">
        <f t="array" ref="HU20">SUMPRODUCT(('Data Base hauling'!$C$2:$C$216="TCM-ROM SB1 BK05-ROM 5")*(ISNUMBER(SEARCH(TEXT('March TCM'!$B20,"00")&amp;"/03/2026",'Data Base hauling'!$E$2:$E$216)))*'Data Base hauling'!$N$2:$N$216)</f>
        <v>0</v>
      </c>
      <c r="HV20" s="27"/>
      <c r="HW20" s="27"/>
      <c r="HX20" s="27"/>
      <c r="HY20" s="27"/>
      <c r="HZ20" s="27"/>
      <c r="IA20" s="33">
        <f t="shared" si="63"/>
        <v>0</v>
      </c>
      <c r="IB20" s="52"/>
      <c r="IC20" s="152"/>
      <c r="ID20" s="53"/>
      <c r="IE20" s="53"/>
      <c r="IF20" s="53"/>
      <c r="IG20" s="53"/>
      <c r="IH20" s="53">
        <v>0</v>
      </c>
      <c r="II20" s="53"/>
      <c r="IJ20" s="1736">
        <v>312.85000000000002</v>
      </c>
      <c r="IK20" s="53"/>
      <c r="IL20" s="53">
        <v>0</v>
      </c>
      <c r="IM20" s="53"/>
      <c r="IN20" s="53"/>
      <c r="IO20" s="49">
        <v>0</v>
      </c>
      <c r="IP20" s="61">
        <f t="shared" si="64"/>
        <v>312.85000000000002</v>
      </c>
      <c r="IQ20" s="36"/>
      <c r="IR20" s="36"/>
      <c r="IS20" s="27"/>
      <c r="IT20" s="27"/>
      <c r="IU20" s="53"/>
      <c r="IV20" s="27"/>
      <c r="IW20" s="27">
        <v>0</v>
      </c>
      <c r="IX20" s="27"/>
      <c r="IY20" s="27">
        <v>3580.7</v>
      </c>
      <c r="IZ20" s="27"/>
      <c r="JA20" s="27">
        <v>0</v>
      </c>
      <c r="JB20" s="27"/>
      <c r="JC20" s="27"/>
      <c r="JD20" s="27"/>
      <c r="JE20" s="33">
        <f t="shared" si="138"/>
        <v>3580.7</v>
      </c>
      <c r="JF20" s="2667"/>
      <c r="JH20" s="2019">
        <v>6173.62</v>
      </c>
      <c r="JI20" s="2017">
        <v>0</v>
      </c>
      <c r="JJ20" s="53"/>
      <c r="JK20" s="53">
        <f t="shared" si="65"/>
        <v>6173.62</v>
      </c>
      <c r="JL20" s="33"/>
      <c r="JM20" s="2669"/>
      <c r="JN20" s="69">
        <v>0</v>
      </c>
      <c r="JO20" s="70">
        <v>0</v>
      </c>
      <c r="JP20" s="70">
        <v>0</v>
      </c>
      <c r="JQ20" s="70">
        <v>0</v>
      </c>
      <c r="JR20" s="70">
        <v>1</v>
      </c>
      <c r="JS20" s="70">
        <v>0</v>
      </c>
      <c r="JT20" s="70">
        <v>0</v>
      </c>
      <c r="JU20" s="1922">
        <v>0</v>
      </c>
      <c r="JV20" s="69" t="s">
        <v>296</v>
      </c>
      <c r="JW20" s="70" t="s">
        <v>296</v>
      </c>
      <c r="JX20" s="70" t="s">
        <v>296</v>
      </c>
      <c r="JY20" s="70" t="s">
        <v>296</v>
      </c>
      <c r="JZ20" s="70" t="s">
        <v>296</v>
      </c>
      <c r="KA20" s="70" t="s">
        <v>296</v>
      </c>
      <c r="KB20" s="70" t="s">
        <v>296</v>
      </c>
      <c r="KC20" s="71" t="s">
        <v>296</v>
      </c>
      <c r="KD20" s="69"/>
      <c r="KE20" s="70"/>
      <c r="KF20" s="70"/>
      <c r="KG20" s="70"/>
      <c r="KH20" s="70"/>
      <c r="KI20" s="70"/>
      <c r="KJ20" s="70"/>
      <c r="KK20" s="70"/>
      <c r="KL20" s="33"/>
      <c r="KM20" s="2669"/>
      <c r="KN20" s="1931">
        <v>7173.812342964824</v>
      </c>
      <c r="KO20" s="1968">
        <v>0.40748429648241208</v>
      </c>
      <c r="KP20" s="1968">
        <v>2.8474952889447236</v>
      </c>
      <c r="KQ20" s="1968">
        <v>6.1429035804020096</v>
      </c>
      <c r="KR20" s="1969">
        <v>9.4900046300251262</v>
      </c>
      <c r="KS20" s="1959">
        <v>0</v>
      </c>
      <c r="KT20" s="1964">
        <v>0</v>
      </c>
      <c r="KU20" s="1964">
        <v>0</v>
      </c>
      <c r="KV20" s="1964">
        <v>0</v>
      </c>
      <c r="KW20" s="1965">
        <v>0</v>
      </c>
      <c r="KX20" s="36"/>
      <c r="KY20" s="53"/>
      <c r="KZ20" s="53"/>
      <c r="LA20" s="53"/>
      <c r="LB20" s="53"/>
      <c r="LC20" s="33"/>
      <c r="LD20" s="2669"/>
      <c r="LF20" s="26">
        <f t="shared" si="66"/>
        <v>0</v>
      </c>
      <c r="LG20" s="27">
        <f t="shared" si="66"/>
        <v>0</v>
      </c>
      <c r="LH20" s="27">
        <f t="shared" si="66"/>
        <v>0</v>
      </c>
      <c r="LI20" s="28">
        <f t="shared" si="67"/>
        <v>0</v>
      </c>
      <c r="LJ20" s="36"/>
      <c r="LK20" s="27"/>
      <c r="LL20" s="27"/>
      <c r="LM20" s="33"/>
      <c r="LN20" s="1041">
        <v>6.47</v>
      </c>
      <c r="LO20" s="486"/>
      <c r="LP20" s="2688"/>
      <c r="LQ20" s="36"/>
      <c r="LR20" s="36"/>
      <c r="LS20" s="27"/>
      <c r="LT20" s="27"/>
      <c r="LU20" s="27"/>
      <c r="LV20" s="1117">
        <f t="shared" si="68"/>
        <v>0</v>
      </c>
      <c r="LW20" s="36"/>
      <c r="LX20" s="36"/>
      <c r="LY20" s="277"/>
      <c r="LZ20" s="27"/>
      <c r="MA20" s="33"/>
      <c r="MB20" s="28">
        <f t="shared" si="69"/>
        <v>0</v>
      </c>
      <c r="MC20" s="26"/>
      <c r="MD20" s="36"/>
      <c r="ME20" s="27"/>
      <c r="MF20" s="27"/>
      <c r="MG20" s="27"/>
      <c r="MH20" s="28"/>
      <c r="MI20" s="36"/>
      <c r="MJ20" s="36"/>
      <c r="MK20" s="27"/>
      <c r="ML20" s="27"/>
      <c r="MM20" s="27"/>
      <c r="MN20" s="28"/>
      <c r="MO20" s="36"/>
      <c r="MP20" s="36"/>
      <c r="MQ20" s="27"/>
      <c r="MR20" s="27"/>
      <c r="MS20" s="27"/>
      <c r="MT20" s="33">
        <f t="shared" si="70"/>
        <v>0</v>
      </c>
      <c r="MU20" s="2688"/>
      <c r="MW20" s="26">
        <f t="shared" si="71"/>
        <v>48031.992645013386</v>
      </c>
      <c r="MX20" s="27">
        <f t="shared" si="72"/>
        <v>99254.362248823512</v>
      </c>
      <c r="MY20" s="27">
        <f t="shared" si="73"/>
        <v>20201.645201279462</v>
      </c>
      <c r="MZ20" s="28">
        <f t="shared" si="74"/>
        <v>433157.26855851</v>
      </c>
      <c r="NA20" s="2621"/>
      <c r="NB20" s="23">
        <f t="shared" si="75"/>
        <v>24977.129437467847</v>
      </c>
      <c r="NC20" s="1579">
        <f t="shared" si="76"/>
        <v>23054.863207545539</v>
      </c>
      <c r="ND20" s="60">
        <f t="shared" si="77"/>
        <v>0</v>
      </c>
      <c r="NE20" s="275">
        <f t="shared" si="4"/>
        <v>48031.992645013386</v>
      </c>
      <c r="NF20" s="26">
        <f t="shared" si="78"/>
        <v>0</v>
      </c>
      <c r="NG20" s="27">
        <f t="shared" si="78"/>
        <v>0</v>
      </c>
      <c r="NH20" s="27">
        <f t="shared" si="78"/>
        <v>0</v>
      </c>
      <c r="NI20" s="27">
        <f t="shared" si="78"/>
        <v>0</v>
      </c>
      <c r="NJ20" s="27">
        <f t="shared" si="78"/>
        <v>0</v>
      </c>
      <c r="NK20" s="33">
        <f t="shared" si="78"/>
        <v>0</v>
      </c>
      <c r="NL20" s="27">
        <f t="shared" si="78"/>
        <v>0</v>
      </c>
      <c r="NM20" s="36">
        <f t="shared" si="78"/>
        <v>0</v>
      </c>
      <c r="NN20" s="24">
        <f t="shared" si="78"/>
        <v>5464.8805665631453</v>
      </c>
      <c r="NO20" s="27">
        <f t="shared" si="78"/>
        <v>26196.69549600617</v>
      </c>
      <c r="NP20" s="24">
        <f t="shared" si="136"/>
        <v>8756.5482322711578</v>
      </c>
      <c r="NQ20" s="24">
        <f t="shared" si="137"/>
        <v>10933.674118033408</v>
      </c>
      <c r="NR20" s="27">
        <f t="shared" si="0"/>
        <v>51351.798412873875</v>
      </c>
      <c r="NS20" s="27">
        <f t="shared" si="79"/>
        <v>0</v>
      </c>
      <c r="NT20" s="27">
        <f t="shared" si="80"/>
        <v>0</v>
      </c>
      <c r="NU20" s="27">
        <f t="shared" si="81"/>
        <v>0</v>
      </c>
      <c r="NV20" s="27">
        <f t="shared" si="82"/>
        <v>0</v>
      </c>
      <c r="NW20" s="27">
        <f t="shared" si="83"/>
        <v>0</v>
      </c>
      <c r="NX20" s="27">
        <f t="shared" si="84"/>
        <v>0</v>
      </c>
      <c r="NY20" s="27">
        <f t="shared" si="85"/>
        <v>2344.1336022929117</v>
      </c>
      <c r="NZ20" s="27">
        <f t="shared" si="86"/>
        <v>0</v>
      </c>
      <c r="OA20" s="27">
        <f t="shared" si="87"/>
        <v>26262.07806678284</v>
      </c>
      <c r="OB20" s="280"/>
      <c r="OC20" s="24">
        <f t="shared" si="88"/>
        <v>349.54339982995594</v>
      </c>
      <c r="OD20" s="27">
        <f t="shared" si="89"/>
        <v>0</v>
      </c>
      <c r="OE20" s="28">
        <f t="shared" si="1"/>
        <v>28955.75506890571</v>
      </c>
      <c r="OF20" s="27">
        <f t="shared" ref="OF20:OF40" si="149">+OF19+DR20+FU20-IQ20</f>
        <v>0</v>
      </c>
      <c r="OG20" s="27">
        <f t="shared" ref="OG20:OG40" si="150">+OG19+DS20+FV20-IR20</f>
        <v>0</v>
      </c>
      <c r="OH20" s="27">
        <v>0</v>
      </c>
      <c r="OI20" s="27">
        <f t="shared" ref="OI20:OI40" si="151">+OI19+DU20+FX20-IT20</f>
        <v>0</v>
      </c>
      <c r="OJ20" s="27">
        <f t="shared" ref="OJ20:OJ40" si="152">+OJ19+DV20+FY20-IU20</f>
        <v>0</v>
      </c>
      <c r="OK20" s="27">
        <f t="shared" ref="OK20:OK40" si="153">+OK19+DW20+FZ20-IV20</f>
        <v>0</v>
      </c>
      <c r="OL20" s="24">
        <f t="shared" si="145"/>
        <v>0</v>
      </c>
      <c r="OM20" s="27">
        <f t="shared" si="140"/>
        <v>0</v>
      </c>
      <c r="ON20" s="24">
        <f t="shared" si="141"/>
        <v>16661.803599111005</v>
      </c>
      <c r="OO20" s="27">
        <f t="shared" si="142"/>
        <v>0</v>
      </c>
      <c r="OP20" s="27">
        <f t="shared" si="143"/>
        <v>2285.005167932914</v>
      </c>
      <c r="OQ20" s="27">
        <f t="shared" si="144"/>
        <v>0</v>
      </c>
      <c r="OR20" s="28">
        <f t="shared" si="2"/>
        <v>18946.80876704392</v>
      </c>
      <c r="OS20" s="36"/>
      <c r="OT20" s="27"/>
      <c r="OU20" s="27"/>
      <c r="OV20" s="27"/>
      <c r="OW20" s="27"/>
      <c r="OX20" s="27"/>
      <c r="OY20" s="28">
        <f t="shared" si="91"/>
        <v>0</v>
      </c>
      <c r="OZ20" s="36">
        <f t="shared" si="92"/>
        <v>0</v>
      </c>
      <c r="PA20" s="27">
        <f t="shared" si="93"/>
        <v>0</v>
      </c>
      <c r="PB20" s="27">
        <f t="shared" si="94"/>
        <v>0</v>
      </c>
      <c r="PC20" s="27">
        <f t="shared" si="95"/>
        <v>0</v>
      </c>
      <c r="PD20" s="27">
        <f t="shared" si="96"/>
        <v>0</v>
      </c>
      <c r="PE20" s="27">
        <f t="shared" si="97"/>
        <v>0</v>
      </c>
      <c r="PF20" s="33">
        <f t="shared" si="3"/>
        <v>0</v>
      </c>
      <c r="PG20" s="2621"/>
      <c r="PI20" s="1907">
        <v>0</v>
      </c>
      <c r="PJ20" s="3">
        <v>78</v>
      </c>
      <c r="PK20" s="3">
        <v>32.5</v>
      </c>
      <c r="PL20" s="3">
        <f t="shared" si="98"/>
        <v>0</v>
      </c>
      <c r="PM20" s="3">
        <f t="shared" si="99"/>
        <v>2908.1953876938928</v>
      </c>
      <c r="PN20" s="11">
        <f t="shared" si="100"/>
        <v>20201.645201279462</v>
      </c>
      <c r="PO20" s="15"/>
      <c r="PP20" s="2615"/>
      <c r="PR20" s="4"/>
      <c r="PS20" s="9"/>
      <c r="PT20" s="9"/>
      <c r="PU20" s="9"/>
      <c r="PV20" s="9">
        <v>0</v>
      </c>
      <c r="PW20" s="9"/>
      <c r="PX20" s="8">
        <f t="shared" si="101"/>
        <v>0</v>
      </c>
      <c r="PY20" s="5">
        <f t="shared" si="102"/>
        <v>0</v>
      </c>
      <c r="PZ20" s="5"/>
      <c r="QA20" s="5"/>
      <c r="QB20" s="5"/>
      <c r="QC20" s="5"/>
      <c r="QD20" s="5"/>
      <c r="QE20" s="12">
        <f t="shared" si="103"/>
        <v>29562.488999999998</v>
      </c>
      <c r="QF20" s="420">
        <f t="shared" si="104"/>
        <v>403236.89955850999</v>
      </c>
      <c r="QG20" s="1106">
        <f t="shared" si="105"/>
        <v>357.88</v>
      </c>
      <c r="QH20" s="484">
        <f t="shared" si="106"/>
        <v>5505.3678056099998</v>
      </c>
      <c r="QI20" s="12"/>
      <c r="QJ20" s="2615"/>
      <c r="QL20" s="139">
        <f t="shared" si="107"/>
        <v>0</v>
      </c>
      <c r="QM20" s="139" t="str">
        <f t="shared" si="108"/>
        <v/>
      </c>
      <c r="QO20" s="139">
        <f t="shared" si="109"/>
        <v>0</v>
      </c>
      <c r="QP20" s="139">
        <f t="shared" si="110"/>
        <v>0</v>
      </c>
      <c r="QR20" s="1">
        <f t="shared" si="111"/>
        <v>0</v>
      </c>
      <c r="QS20" s="1">
        <f t="shared" si="112"/>
        <v>0</v>
      </c>
      <c r="QT20" s="1">
        <f t="shared" si="113"/>
        <v>0</v>
      </c>
      <c r="QU20" s="1">
        <f t="shared" si="114"/>
        <v>0</v>
      </c>
      <c r="QV20" s="1">
        <f t="shared" si="115"/>
        <v>0</v>
      </c>
      <c r="QW20" s="1">
        <f t="shared" si="116"/>
        <v>0</v>
      </c>
      <c r="QY20" s="1">
        <f t="shared" si="117"/>
        <v>0</v>
      </c>
      <c r="QZ20" s="1">
        <f t="shared" si="118"/>
        <v>0</v>
      </c>
      <c r="RA20" s="1">
        <f t="shared" si="119"/>
        <v>0</v>
      </c>
      <c r="RB20" s="1">
        <f t="shared" si="120"/>
        <v>0</v>
      </c>
      <c r="RC20" s="1">
        <f t="shared" si="121"/>
        <v>0</v>
      </c>
      <c r="RD20" s="1">
        <f t="shared" si="122"/>
        <v>0</v>
      </c>
      <c r="RG20" s="1">
        <v>11</v>
      </c>
      <c r="RH20" s="1">
        <f t="shared" si="146"/>
        <v>-5052.8847902829011</v>
      </c>
      <c r="RI20" s="1">
        <f t="shared" si="147"/>
        <v>5074.1017804837184</v>
      </c>
      <c r="RJ20" s="1">
        <f t="shared" si="148"/>
        <v>13404.263703387322</v>
      </c>
      <c r="RK20" s="89">
        <f t="shared" si="5"/>
        <v>13425.480693588139</v>
      </c>
      <c r="RL20" s="1033">
        <v>11</v>
      </c>
      <c r="RM20" s="1098">
        <f t="shared" si="124"/>
        <v>0</v>
      </c>
      <c r="RN20" s="1098">
        <f t="shared" si="125"/>
        <v>0</v>
      </c>
      <c r="RO20" s="1097">
        <f t="shared" si="125"/>
        <v>0</v>
      </c>
      <c r="RP20" s="1097">
        <f t="shared" si="126"/>
        <v>6959.74</v>
      </c>
      <c r="RQ20" s="1109"/>
      <c r="RR20" s="1046" t="s">
        <v>827</v>
      </c>
      <c r="RU20" s="421">
        <v>11</v>
      </c>
      <c r="RV20" s="1095">
        <f t="shared" si="127"/>
        <v>6173.62</v>
      </c>
      <c r="RW20" s="1046" t="s">
        <v>828</v>
      </c>
      <c r="RY20" s="1090"/>
      <c r="RZ20" s="1090">
        <f t="shared" si="128"/>
        <v>0</v>
      </c>
      <c r="SA20" s="1090"/>
      <c r="SB20" s="1090">
        <f t="shared" si="129"/>
        <v>0</v>
      </c>
      <c r="SD20" s="1">
        <v>11</v>
      </c>
      <c r="SE20" s="1">
        <f t="shared" si="130"/>
        <v>0</v>
      </c>
      <c r="SF20" s="1094"/>
    </row>
    <row r="21" spans="1:500" s="1" customFormat="1" ht="16.95" customHeight="1">
      <c r="B21" s="471">
        <v>12</v>
      </c>
      <c r="C21" s="4">
        <f t="shared" si="6"/>
        <v>167662</v>
      </c>
      <c r="D21" s="1590">
        <f t="shared" si="131"/>
        <v>11373.580000000002</v>
      </c>
      <c r="E21" s="1895">
        <f t="shared" si="7"/>
        <v>14.741356723212917</v>
      </c>
      <c r="F21" s="870"/>
      <c r="G21" s="870"/>
      <c r="H21" s="52"/>
      <c r="I21" s="61"/>
      <c r="J21" s="52"/>
      <c r="K21" s="54"/>
      <c r="L21" s="52"/>
      <c r="M21" s="61"/>
      <c r="N21" s="2629"/>
      <c r="O21" s="4">
        <f t="shared" si="132"/>
        <v>97356</v>
      </c>
      <c r="P21" s="1225">
        <f t="shared" si="8"/>
        <v>6663.4800000000005</v>
      </c>
      <c r="Q21" s="1913">
        <f t="shared" si="9"/>
        <v>14.610383763438923</v>
      </c>
      <c r="R21" s="33"/>
      <c r="S21" s="26">
        <f t="shared" si="10"/>
        <v>33587</v>
      </c>
      <c r="T21" s="27">
        <f t="shared" si="11"/>
        <v>1350.1000000000001</v>
      </c>
      <c r="U21" s="1909">
        <f t="shared" si="12"/>
        <v>24.877416487667578</v>
      </c>
      <c r="V21" s="28"/>
      <c r="W21" s="1742">
        <f t="shared" si="13"/>
        <v>36719</v>
      </c>
      <c r="X21" s="5">
        <f t="shared" si="13"/>
        <v>3360</v>
      </c>
      <c r="Y21" s="325">
        <f t="shared" si="14"/>
        <v>10.928273809523809</v>
      </c>
      <c r="Z21" s="33"/>
      <c r="AA21" s="26">
        <f t="shared" si="15"/>
        <v>0</v>
      </c>
      <c r="AB21" s="27">
        <f t="shared" si="16"/>
        <v>0</v>
      </c>
      <c r="AC21" s="53">
        <f t="shared" si="17"/>
        <v>0</v>
      </c>
      <c r="AD21" s="28"/>
      <c r="AE21" s="36"/>
      <c r="AF21" s="36"/>
      <c r="AG21" s="53">
        <f t="shared" si="18"/>
        <v>0</v>
      </c>
      <c r="AH21" s="28"/>
      <c r="AI21" s="26"/>
      <c r="AJ21" s="27"/>
      <c r="AK21" s="53">
        <f t="shared" si="19"/>
        <v>0</v>
      </c>
      <c r="AL21" s="28"/>
      <c r="AM21" s="2629"/>
      <c r="AN21" s="9"/>
      <c r="AO21" s="5"/>
      <c r="AP21" s="61">
        <f t="shared" si="20"/>
        <v>0</v>
      </c>
      <c r="AQ21" s="36"/>
      <c r="AR21" s="53"/>
      <c r="AS21" s="61">
        <f t="shared" si="21"/>
        <v>0</v>
      </c>
      <c r="AT21" s="36">
        <v>0</v>
      </c>
      <c r="AU21" s="27"/>
      <c r="AV21" s="61">
        <f t="shared" si="22"/>
        <v>0</v>
      </c>
      <c r="AW21" s="36">
        <v>62076</v>
      </c>
      <c r="AX21" s="27">
        <v>4510.6000000000004</v>
      </c>
      <c r="AY21" s="1895">
        <f t="shared" si="23"/>
        <v>13.762248924755021</v>
      </c>
      <c r="AZ21" s="1908"/>
      <c r="BA21" s="1909"/>
      <c r="BB21" s="1895">
        <f t="shared" si="24"/>
        <v>0</v>
      </c>
      <c r="BC21" s="1740">
        <v>35280</v>
      </c>
      <c r="BD21" s="1736">
        <v>2152.88</v>
      </c>
      <c r="BE21" s="1895">
        <f t="shared" si="25"/>
        <v>16.387350897402548</v>
      </c>
      <c r="BF21" s="1908"/>
      <c r="BG21" s="1909"/>
      <c r="BH21" s="1895">
        <f t="shared" si="26"/>
        <v>0</v>
      </c>
      <c r="BI21" s="1908">
        <v>0</v>
      </c>
      <c r="BJ21" s="1909">
        <v>0</v>
      </c>
      <c r="BK21" s="1895">
        <f t="shared" si="27"/>
        <v>0</v>
      </c>
      <c r="BL21" s="1742">
        <v>33587</v>
      </c>
      <c r="BM21" s="1909">
        <v>1350.1000000000001</v>
      </c>
      <c r="BN21" s="1911">
        <f t="shared" si="28"/>
        <v>24.877416487667578</v>
      </c>
      <c r="BO21" s="9"/>
      <c r="BP21" s="64"/>
      <c r="BQ21" s="482">
        <f t="shared" si="29"/>
        <v>0</v>
      </c>
      <c r="BR21" s="9"/>
      <c r="BS21" s="53"/>
      <c r="BT21" s="482">
        <f t="shared" si="30"/>
        <v>0</v>
      </c>
      <c r="BU21" s="9">
        <v>36719</v>
      </c>
      <c r="BV21" s="27">
        <v>3360</v>
      </c>
      <c r="BW21" s="15">
        <f t="shared" si="31"/>
        <v>10.928273809523809</v>
      </c>
      <c r="BX21" s="26"/>
      <c r="BY21" s="27"/>
      <c r="BZ21" s="482">
        <f t="shared" si="32"/>
        <v>0</v>
      </c>
      <c r="CA21" s="9"/>
      <c r="CB21" s="481"/>
      <c r="CC21" s="482">
        <f t="shared" si="33"/>
        <v>0</v>
      </c>
      <c r="CD21" s="4"/>
      <c r="CE21" s="5"/>
      <c r="CF21" s="28">
        <f t="shared" si="34"/>
        <v>0</v>
      </c>
      <c r="CG21" s="150"/>
      <c r="CH21" s="4"/>
      <c r="CI21" s="5"/>
      <c r="CJ21" s="5"/>
      <c r="CK21" s="5">
        <v>7156.5</v>
      </c>
      <c r="CL21" s="5"/>
      <c r="CM21" s="5">
        <f t="shared" si="35"/>
        <v>7156.5</v>
      </c>
      <c r="CN21" s="33"/>
      <c r="CO21" s="366"/>
      <c r="CQ21" s="4">
        <f t="shared" si="36"/>
        <v>0</v>
      </c>
      <c r="CR21" s="9">
        <f t="shared" si="37"/>
        <v>0</v>
      </c>
      <c r="CS21" s="5">
        <f t="shared" si="38"/>
        <v>0</v>
      </c>
      <c r="CT21" s="5">
        <f t="shared" si="39"/>
        <v>0</v>
      </c>
      <c r="CU21" s="5">
        <f t="shared" si="40"/>
        <v>0</v>
      </c>
      <c r="CV21" s="5">
        <f t="shared" si="41"/>
        <v>0</v>
      </c>
      <c r="CW21" s="5">
        <f t="shared" si="42"/>
        <v>0</v>
      </c>
      <c r="CX21" s="5">
        <f t="shared" si="43"/>
        <v>0</v>
      </c>
      <c r="CY21" s="5">
        <f t="shared" si="44"/>
        <v>10893.58</v>
      </c>
      <c r="CZ21" s="5">
        <f t="shared" si="45"/>
        <v>0</v>
      </c>
      <c r="DA21" s="5">
        <f t="shared" si="46"/>
        <v>480</v>
      </c>
      <c r="DB21" s="12">
        <f t="shared" si="47"/>
        <v>0</v>
      </c>
      <c r="DC21" s="310">
        <f t="shared" si="48"/>
        <v>11373.58</v>
      </c>
      <c r="DD21" s="2695"/>
      <c r="DE21" s="8"/>
      <c r="DF21" s="9"/>
      <c r="DG21" s="5"/>
      <c r="DH21" s="5"/>
      <c r="DI21" s="5"/>
      <c r="DJ21" s="5"/>
      <c r="DK21" s="5">
        <v>0</v>
      </c>
      <c r="DL21" s="5"/>
      <c r="DM21" s="5">
        <v>4510.6000000000004</v>
      </c>
      <c r="DN21" s="5"/>
      <c r="DO21" s="5"/>
      <c r="DP21" s="12"/>
      <c r="DQ21" s="28">
        <f t="shared" si="49"/>
        <v>4510.6000000000004</v>
      </c>
      <c r="DR21" s="36"/>
      <c r="DS21" s="36"/>
      <c r="DT21" s="53"/>
      <c r="DU21" s="27"/>
      <c r="DV21" s="5"/>
      <c r="DW21" s="5"/>
      <c r="DX21" s="5"/>
      <c r="DY21" s="5"/>
      <c r="DZ21" s="5">
        <v>3502.98</v>
      </c>
      <c r="EA21" s="27"/>
      <c r="EB21" s="27">
        <v>0</v>
      </c>
      <c r="EC21" s="33"/>
      <c r="ED21" s="28">
        <f t="shared" si="50"/>
        <v>3502.98</v>
      </c>
      <c r="EE21" s="9"/>
      <c r="EF21" s="36"/>
      <c r="EG21" s="5"/>
      <c r="EH21" s="313"/>
      <c r="EI21" s="27"/>
      <c r="EJ21" s="27"/>
      <c r="EK21" s="27"/>
      <c r="EL21" s="27"/>
      <c r="EM21" s="5">
        <v>2880</v>
      </c>
      <c r="EN21" s="5"/>
      <c r="EO21" s="1448">
        <v>480</v>
      </c>
      <c r="EP21" s="33"/>
      <c r="EQ21" s="28">
        <f t="shared" si="51"/>
        <v>3360</v>
      </c>
      <c r="ER21" s="36"/>
      <c r="ES21" s="27"/>
      <c r="ET21" s="27"/>
      <c r="EU21" s="27"/>
      <c r="EV21" s="27"/>
      <c r="EW21" s="27"/>
      <c r="EX21" s="33">
        <f t="shared" si="52"/>
        <v>0</v>
      </c>
      <c r="EY21" s="2685"/>
      <c r="FA21" s="4">
        <f t="shared" si="53"/>
        <v>0</v>
      </c>
      <c r="FB21" s="5">
        <f t="shared" si="54"/>
        <v>0</v>
      </c>
      <c r="FC21" s="5">
        <f t="shared" si="55"/>
        <v>0</v>
      </c>
      <c r="FD21" s="12">
        <f t="shared" si="56"/>
        <v>0</v>
      </c>
      <c r="FE21" s="33"/>
      <c r="FF21" s="2674"/>
      <c r="FG21" s="9"/>
      <c r="FH21" s="5"/>
      <c r="FI21" s="5"/>
      <c r="FJ21" s="5"/>
      <c r="FK21" s="5"/>
      <c r="FL21" s="27"/>
      <c r="FM21" s="28">
        <f t="shared" si="57"/>
        <v>0</v>
      </c>
      <c r="FN21" s="36"/>
      <c r="FO21" s="27"/>
      <c r="FP21" s="27"/>
      <c r="FQ21" s="27"/>
      <c r="FR21" s="27"/>
      <c r="FS21" s="27"/>
      <c r="FT21" s="28">
        <f t="shared" si="58"/>
        <v>0</v>
      </c>
      <c r="FU21" s="36"/>
      <c r="FV21" s="36"/>
      <c r="FW21" s="27"/>
      <c r="FX21" s="27"/>
      <c r="FY21" s="27"/>
      <c r="FZ21" s="27"/>
      <c r="GA21" s="27"/>
      <c r="GB21" s="27"/>
      <c r="GC21" s="27"/>
      <c r="GD21" s="27"/>
      <c r="GE21" s="27"/>
      <c r="GF21" s="33"/>
      <c r="GG21" s="33">
        <f t="shared" si="59"/>
        <v>0</v>
      </c>
      <c r="GH21" s="2674"/>
      <c r="GJ21" s="2">
        <f t="shared" si="133"/>
        <v>1873.9499999999998</v>
      </c>
      <c r="GK21" s="63">
        <f t="shared" si="134"/>
        <v>1635.9</v>
      </c>
      <c r="GL21" s="24">
        <f t="shared" si="135"/>
        <v>2301.85</v>
      </c>
      <c r="GM21" s="1736">
        <f t="shared" si="60"/>
        <v>5811.7</v>
      </c>
      <c r="GN21" s="141"/>
      <c r="GO21" s="141"/>
      <c r="GP21" s="33"/>
      <c r="GQ21" s="2667"/>
      <c r="GR21" s="1940">
        <v>5811.7</v>
      </c>
      <c r="GS21" s="5">
        <v>0</v>
      </c>
      <c r="GT21" s="5">
        <v>0</v>
      </c>
      <c r="GU21" s="27">
        <v>0</v>
      </c>
      <c r="GV21" s="54">
        <f t="shared" si="61"/>
        <v>5811.7</v>
      </c>
      <c r="GW21" s="2667"/>
      <c r="GX21" s="36"/>
      <c r="GY21" s="36"/>
      <c r="GZ21" s="27"/>
      <c r="HA21" s="27"/>
      <c r="HB21" s="27"/>
      <c r="HC21" s="27"/>
      <c r="HD21" s="27"/>
      <c r="HE21" s="27"/>
      <c r="HF21" s="27">
        <v>1873.9499999999998</v>
      </c>
      <c r="HG21" s="27"/>
      <c r="HH21" s="27">
        <v>0</v>
      </c>
      <c r="HI21" s="27"/>
      <c r="HJ21" s="27">
        <v>0</v>
      </c>
      <c r="HK21" s="27"/>
      <c r="HL21" s="28">
        <f t="shared" si="62"/>
        <v>1873.9499999999998</v>
      </c>
      <c r="HM21" s="36"/>
      <c r="HN21" s="27"/>
      <c r="HO21" s="27"/>
      <c r="HP21" s="27"/>
      <c r="HQ21" s="27"/>
      <c r="HR21" s="27"/>
      <c r="HS21" s="27" cm="1">
        <f t="array" ref="HS21">SUMPRODUCT(('Data Base hauling'!$C$2:$C$216="TCM-ROM SB1 BK05-ROM 4")*(ISNUMBER(SEARCH(TEXT('March TCM'!$B21,"00")&amp;"/03/2026",'Data Base hauling'!$E$2:$E$216)))*'Data Base hauling'!$N$2:$N$216)</f>
        <v>0</v>
      </c>
      <c r="HT21" s="27"/>
      <c r="HU21" s="27" cm="1">
        <f t="array" ref="HU21">SUMPRODUCT(('Data Base hauling'!$C$2:$C$216="TCM-ROM SB1 BK05-ROM 5")*(ISNUMBER(SEARCH(TEXT('March TCM'!$B21,"00")&amp;"/03/2026",'Data Base hauling'!$E$2:$E$216)))*'Data Base hauling'!$N$2:$N$216)</f>
        <v>0</v>
      </c>
      <c r="HV21" s="27"/>
      <c r="HW21" s="27"/>
      <c r="HX21" s="27"/>
      <c r="HY21" s="27"/>
      <c r="HZ21" s="27"/>
      <c r="IA21" s="33">
        <f t="shared" si="63"/>
        <v>0</v>
      </c>
      <c r="IB21" s="52"/>
      <c r="IC21" s="152"/>
      <c r="ID21" s="53"/>
      <c r="IE21" s="53"/>
      <c r="IF21" s="53"/>
      <c r="IG21" s="53"/>
      <c r="IH21" s="53">
        <v>0</v>
      </c>
      <c r="II21" s="53"/>
      <c r="IJ21" s="1736">
        <v>1635.9</v>
      </c>
      <c r="IK21" s="53"/>
      <c r="IL21" s="53">
        <v>0</v>
      </c>
      <c r="IM21" s="53"/>
      <c r="IN21" s="53"/>
      <c r="IO21" s="49">
        <v>0</v>
      </c>
      <c r="IP21" s="61">
        <f t="shared" si="64"/>
        <v>1635.9</v>
      </c>
      <c r="IQ21" s="36"/>
      <c r="IR21" s="36"/>
      <c r="IS21" s="27"/>
      <c r="IT21" s="27"/>
      <c r="IU21" s="53"/>
      <c r="IV21" s="27"/>
      <c r="IW21" s="27">
        <v>0</v>
      </c>
      <c r="IX21" s="27"/>
      <c r="IY21" s="27">
        <v>2301.85</v>
      </c>
      <c r="IZ21" s="27"/>
      <c r="JA21" s="27">
        <v>0</v>
      </c>
      <c r="JB21" s="27"/>
      <c r="JC21" s="27"/>
      <c r="JD21" s="27"/>
      <c r="JE21" s="33">
        <f t="shared" si="138"/>
        <v>2301.85</v>
      </c>
      <c r="JF21" s="2667"/>
      <c r="JH21" s="2019">
        <v>5811.7</v>
      </c>
      <c r="JI21" s="2017">
        <v>0</v>
      </c>
      <c r="JJ21" s="53"/>
      <c r="JK21" s="53">
        <f t="shared" si="65"/>
        <v>5811.7</v>
      </c>
      <c r="JL21" s="33"/>
      <c r="JM21" s="2669"/>
      <c r="JN21" s="69">
        <v>0</v>
      </c>
      <c r="JO21" s="70">
        <v>0</v>
      </c>
      <c r="JP21" s="70">
        <v>0</v>
      </c>
      <c r="JQ21" s="70">
        <v>0</v>
      </c>
      <c r="JR21" s="70">
        <v>1</v>
      </c>
      <c r="JS21" s="70">
        <v>0</v>
      </c>
      <c r="JT21" s="70">
        <v>0</v>
      </c>
      <c r="JU21" s="1922">
        <v>0</v>
      </c>
      <c r="JV21" s="69" t="s">
        <v>296</v>
      </c>
      <c r="JW21" s="70" t="s">
        <v>296</v>
      </c>
      <c r="JX21" s="70" t="s">
        <v>296</v>
      </c>
      <c r="JY21" s="70" t="s">
        <v>296</v>
      </c>
      <c r="JZ21" s="70" t="s">
        <v>296</v>
      </c>
      <c r="KA21" s="70" t="s">
        <v>296</v>
      </c>
      <c r="KB21" s="70" t="s">
        <v>296</v>
      </c>
      <c r="KC21" s="71" t="s">
        <v>296</v>
      </c>
      <c r="KD21" s="69"/>
      <c r="KE21" s="70"/>
      <c r="KF21" s="70"/>
      <c r="KG21" s="70"/>
      <c r="KH21" s="70"/>
      <c r="KI21" s="70"/>
      <c r="KJ21" s="70"/>
      <c r="KK21" s="70"/>
      <c r="KL21" s="33"/>
      <c r="KM21" s="2669"/>
      <c r="KN21" s="1931">
        <v>7153.9395770392748</v>
      </c>
      <c r="KO21" s="1968">
        <v>0.42719033232628395</v>
      </c>
      <c r="KP21" s="1968">
        <v>3.6640181268882177</v>
      </c>
      <c r="KQ21" s="1968">
        <v>6.7913897280966777</v>
      </c>
      <c r="KR21" s="1969">
        <v>10.054857583081571</v>
      </c>
      <c r="KS21" s="1959">
        <v>0</v>
      </c>
      <c r="KT21" s="1964">
        <v>0</v>
      </c>
      <c r="KU21" s="1964">
        <v>0</v>
      </c>
      <c r="KV21" s="1964">
        <v>0</v>
      </c>
      <c r="KW21" s="1965">
        <v>0</v>
      </c>
      <c r="KX21" s="36"/>
      <c r="KY21" s="53"/>
      <c r="KZ21" s="53"/>
      <c r="LA21" s="53"/>
      <c r="LB21" s="53"/>
      <c r="LC21" s="33"/>
      <c r="LD21" s="2669"/>
      <c r="LF21" s="26">
        <f t="shared" si="66"/>
        <v>0</v>
      </c>
      <c r="LG21" s="27">
        <f t="shared" si="66"/>
        <v>0</v>
      </c>
      <c r="LH21" s="27">
        <f t="shared" si="66"/>
        <v>0</v>
      </c>
      <c r="LI21" s="28">
        <f t="shared" si="67"/>
        <v>0</v>
      </c>
      <c r="LJ21" s="36"/>
      <c r="LK21" s="27"/>
      <c r="LL21" s="27"/>
      <c r="LM21" s="33"/>
      <c r="LN21" s="1041">
        <v>6.49</v>
      </c>
      <c r="LO21" s="486"/>
      <c r="LP21" s="2688"/>
      <c r="LQ21" s="36"/>
      <c r="LR21" s="36"/>
      <c r="LS21" s="27"/>
      <c r="LT21" s="27"/>
      <c r="LU21" s="27"/>
      <c r="LV21" s="1117">
        <f t="shared" si="68"/>
        <v>0</v>
      </c>
      <c r="LW21" s="36"/>
      <c r="LX21" s="36"/>
      <c r="LY21" s="27"/>
      <c r="LZ21" s="27"/>
      <c r="MA21" s="33"/>
      <c r="MB21" s="28">
        <f t="shared" si="69"/>
        <v>0</v>
      </c>
      <c r="MC21" s="26"/>
      <c r="MD21" s="36"/>
      <c r="ME21" s="27"/>
      <c r="MF21" s="27"/>
      <c r="MG21" s="27"/>
      <c r="MH21" s="28"/>
      <c r="MI21" s="36"/>
      <c r="MJ21" s="36"/>
      <c r="MK21" s="27"/>
      <c r="ML21" s="27"/>
      <c r="MM21" s="27"/>
      <c r="MN21" s="28"/>
      <c r="MO21" s="36"/>
      <c r="MP21" s="36"/>
      <c r="MQ21" s="27"/>
      <c r="MR21" s="27"/>
      <c r="MS21" s="27"/>
      <c r="MT21" s="33">
        <f t="shared" si="70"/>
        <v>0</v>
      </c>
      <c r="MU21" s="2688"/>
      <c r="MW21" s="26">
        <f t="shared" si="71"/>
        <v>53843.692645013391</v>
      </c>
      <c r="MX21" s="27">
        <f t="shared" si="72"/>
        <v>104816.2422488235</v>
      </c>
      <c r="MY21" s="27">
        <f t="shared" si="73"/>
        <v>20201.645201279462</v>
      </c>
      <c r="MZ21" s="28">
        <f t="shared" si="74"/>
        <v>433157.26855851</v>
      </c>
      <c r="NA21" s="2621"/>
      <c r="NB21" s="23">
        <f t="shared" si="75"/>
        <v>30788.829437467848</v>
      </c>
      <c r="NC21" s="1579">
        <f t="shared" si="76"/>
        <v>23054.863207545539</v>
      </c>
      <c r="ND21" s="60">
        <f t="shared" si="77"/>
        <v>0</v>
      </c>
      <c r="NE21" s="275">
        <f t="shared" si="4"/>
        <v>53843.692645013391</v>
      </c>
      <c r="NF21" s="26">
        <f t="shared" si="78"/>
        <v>0</v>
      </c>
      <c r="NG21" s="27">
        <f t="shared" si="78"/>
        <v>0</v>
      </c>
      <c r="NH21" s="27">
        <f t="shared" si="78"/>
        <v>0</v>
      </c>
      <c r="NI21" s="27">
        <f t="shared" si="78"/>
        <v>0</v>
      </c>
      <c r="NJ21" s="27">
        <f t="shared" si="78"/>
        <v>0</v>
      </c>
      <c r="NK21" s="33">
        <f t="shared" si="78"/>
        <v>0</v>
      </c>
      <c r="NL21" s="27">
        <f t="shared" si="78"/>
        <v>0</v>
      </c>
      <c r="NM21" s="36">
        <f t="shared" si="78"/>
        <v>0</v>
      </c>
      <c r="NN21" s="24">
        <f t="shared" si="78"/>
        <v>6470.9305665631446</v>
      </c>
      <c r="NO21" s="27">
        <f t="shared" si="78"/>
        <v>26196.69549600617</v>
      </c>
      <c r="NP21" s="24">
        <f t="shared" si="136"/>
        <v>8756.5482322711578</v>
      </c>
      <c r="NQ21" s="24">
        <f t="shared" si="137"/>
        <v>11413.674118033408</v>
      </c>
      <c r="NR21" s="27">
        <f t="shared" si="0"/>
        <v>52837.848412873878</v>
      </c>
      <c r="NS21" s="27">
        <f t="shared" si="79"/>
        <v>0</v>
      </c>
      <c r="NT21" s="27">
        <f t="shared" si="80"/>
        <v>0</v>
      </c>
      <c r="NU21" s="27">
        <f t="shared" si="81"/>
        <v>0</v>
      </c>
      <c r="NV21" s="27">
        <f t="shared" si="82"/>
        <v>0</v>
      </c>
      <c r="NW21" s="27">
        <f t="shared" si="83"/>
        <v>0</v>
      </c>
      <c r="NX21" s="27">
        <f t="shared" si="84"/>
        <v>0</v>
      </c>
      <c r="NY21" s="27">
        <f t="shared" si="85"/>
        <v>2344.1336022929117</v>
      </c>
      <c r="NZ21" s="27">
        <f t="shared" si="86"/>
        <v>0</v>
      </c>
      <c r="OA21" s="27">
        <f t="shared" si="87"/>
        <v>29136.778066782841</v>
      </c>
      <c r="OB21" s="280"/>
      <c r="OC21" s="24">
        <f t="shared" si="88"/>
        <v>349.54339982995594</v>
      </c>
      <c r="OD21" s="27">
        <f t="shared" si="89"/>
        <v>0</v>
      </c>
      <c r="OE21" s="28">
        <f t="shared" si="1"/>
        <v>31830.455068905707</v>
      </c>
      <c r="OF21" s="27">
        <f t="shared" si="149"/>
        <v>0</v>
      </c>
      <c r="OG21" s="27">
        <f t="shared" si="150"/>
        <v>0</v>
      </c>
      <c r="OH21" s="27">
        <f>+OH20+DT21+FW21-IS21</f>
        <v>0</v>
      </c>
      <c r="OI21" s="27">
        <f t="shared" si="151"/>
        <v>0</v>
      </c>
      <c r="OJ21" s="27">
        <f t="shared" si="152"/>
        <v>0</v>
      </c>
      <c r="OK21" s="27">
        <f t="shared" si="153"/>
        <v>0</v>
      </c>
      <c r="OL21" s="24">
        <f t="shared" si="145"/>
        <v>0</v>
      </c>
      <c r="OM21" s="27">
        <f t="shared" si="140"/>
        <v>0</v>
      </c>
      <c r="ON21" s="24">
        <f t="shared" si="141"/>
        <v>17862.933599111006</v>
      </c>
      <c r="OO21" s="27">
        <f t="shared" si="142"/>
        <v>0</v>
      </c>
      <c r="OP21" s="27">
        <f t="shared" si="143"/>
        <v>2285.005167932914</v>
      </c>
      <c r="OQ21" s="27">
        <f t="shared" si="144"/>
        <v>0</v>
      </c>
      <c r="OR21" s="28">
        <f t="shared" si="2"/>
        <v>20147.938767043921</v>
      </c>
      <c r="OS21" s="36"/>
      <c r="OT21" s="27"/>
      <c r="OU21" s="27"/>
      <c r="OV21" s="27"/>
      <c r="OW21" s="27"/>
      <c r="OX21" s="27"/>
      <c r="OY21" s="28">
        <f t="shared" si="91"/>
        <v>0</v>
      </c>
      <c r="OZ21" s="36">
        <f t="shared" si="92"/>
        <v>0</v>
      </c>
      <c r="PA21" s="27">
        <f t="shared" si="93"/>
        <v>0</v>
      </c>
      <c r="PB21" s="27">
        <f t="shared" si="94"/>
        <v>0</v>
      </c>
      <c r="PC21" s="27">
        <f t="shared" si="95"/>
        <v>0</v>
      </c>
      <c r="PD21" s="27">
        <f t="shared" si="96"/>
        <v>0</v>
      </c>
      <c r="PE21" s="27">
        <f t="shared" si="97"/>
        <v>0</v>
      </c>
      <c r="PF21" s="33">
        <f t="shared" si="3"/>
        <v>0</v>
      </c>
      <c r="PG21" s="2621"/>
      <c r="PI21" s="2">
        <v>0</v>
      </c>
      <c r="PJ21" s="3"/>
      <c r="PK21" s="3"/>
      <c r="PL21" s="3">
        <f t="shared" si="98"/>
        <v>0</v>
      </c>
      <c r="PM21" s="3">
        <f t="shared" si="99"/>
        <v>2908.1953876938928</v>
      </c>
      <c r="PN21" s="11">
        <f t="shared" si="100"/>
        <v>20201.645201279462</v>
      </c>
      <c r="PO21" s="15"/>
      <c r="PP21" s="2615"/>
      <c r="PR21" s="4"/>
      <c r="PS21" s="9"/>
      <c r="PT21" s="9"/>
      <c r="PU21" s="9"/>
      <c r="PV21" s="9">
        <v>0</v>
      </c>
      <c r="PW21" s="9"/>
      <c r="PX21" s="8">
        <f t="shared" si="101"/>
        <v>0</v>
      </c>
      <c r="PY21" s="5">
        <f t="shared" si="102"/>
        <v>0</v>
      </c>
      <c r="PZ21" s="5"/>
      <c r="QA21" s="5"/>
      <c r="QB21" s="5"/>
      <c r="QC21" s="5"/>
      <c r="QD21" s="5"/>
      <c r="QE21" s="12">
        <f t="shared" si="103"/>
        <v>29562.488999999998</v>
      </c>
      <c r="QF21" s="420">
        <f t="shared" si="104"/>
        <v>403236.89955850999</v>
      </c>
      <c r="QG21" s="1106">
        <f t="shared" si="105"/>
        <v>357.88</v>
      </c>
      <c r="QH21" s="484">
        <f t="shared" si="106"/>
        <v>5505.3678056099998</v>
      </c>
      <c r="QI21" s="12"/>
      <c r="QJ21" s="2615"/>
      <c r="QL21" s="139">
        <f t="shared" si="107"/>
        <v>0</v>
      </c>
      <c r="QM21" s="139" t="str">
        <f t="shared" si="108"/>
        <v/>
      </c>
      <c r="QO21" s="139">
        <f t="shared" si="109"/>
        <v>0</v>
      </c>
      <c r="QP21" s="139">
        <f t="shared" si="110"/>
        <v>0</v>
      </c>
      <c r="QR21" s="1">
        <f t="shared" si="111"/>
        <v>0</v>
      </c>
      <c r="QS21" s="1">
        <f t="shared" si="112"/>
        <v>0</v>
      </c>
      <c r="QT21" s="1">
        <f t="shared" si="113"/>
        <v>0</v>
      </c>
      <c r="QU21" s="1">
        <f t="shared" si="114"/>
        <v>0</v>
      </c>
      <c r="QV21" s="1">
        <f t="shared" si="115"/>
        <v>0</v>
      </c>
      <c r="QW21" s="1">
        <f t="shared" si="116"/>
        <v>0</v>
      </c>
      <c r="QY21" s="1">
        <f t="shared" si="117"/>
        <v>0</v>
      </c>
      <c r="QZ21" s="1">
        <f t="shared" si="118"/>
        <v>0</v>
      </c>
      <c r="RA21" s="1">
        <f t="shared" si="119"/>
        <v>0</v>
      </c>
      <c r="RB21" s="1">
        <f t="shared" si="120"/>
        <v>0</v>
      </c>
      <c r="RC21" s="1">
        <f t="shared" si="121"/>
        <v>0</v>
      </c>
      <c r="RD21" s="1">
        <f t="shared" si="122"/>
        <v>0</v>
      </c>
      <c r="RG21" s="1">
        <v>12</v>
      </c>
      <c r="RH21" s="1">
        <f t="shared" si="146"/>
        <v>758.8152097170987</v>
      </c>
      <c r="RI21" s="1">
        <f t="shared" si="147"/>
        <v>5074.1017804837184</v>
      </c>
      <c r="RJ21" s="1">
        <f t="shared" si="148"/>
        <v>13404.263703387322</v>
      </c>
      <c r="RK21" s="89">
        <f t="shared" si="5"/>
        <v>19237.18069358814</v>
      </c>
      <c r="RL21" s="1033">
        <v>12</v>
      </c>
      <c r="RM21" s="1098">
        <f t="shared" si="124"/>
        <v>0</v>
      </c>
      <c r="RN21" s="1098">
        <f t="shared" si="125"/>
        <v>0</v>
      </c>
      <c r="RO21" s="1097">
        <f t="shared" si="125"/>
        <v>0</v>
      </c>
      <c r="RP21" s="1097">
        <f t="shared" si="126"/>
        <v>8013.5800000000008</v>
      </c>
      <c r="RQ21" s="1109"/>
      <c r="RR21" s="1046" t="s">
        <v>829</v>
      </c>
      <c r="RS21" s="1048"/>
      <c r="RU21" s="421">
        <v>12</v>
      </c>
      <c r="RV21" s="1095">
        <f t="shared" si="127"/>
        <v>5811.7</v>
      </c>
      <c r="RW21" s="1928">
        <v>2603125612</v>
      </c>
      <c r="RY21" s="1090"/>
      <c r="RZ21" s="1090">
        <f t="shared" si="128"/>
        <v>0</v>
      </c>
      <c r="SA21" s="1090"/>
      <c r="SB21" s="1090">
        <f t="shared" si="129"/>
        <v>0</v>
      </c>
      <c r="SD21" s="1">
        <v>12</v>
      </c>
      <c r="SE21" s="1">
        <f t="shared" si="130"/>
        <v>0</v>
      </c>
    </row>
    <row r="22" spans="1:500" s="1" customFormat="1">
      <c r="B22" s="471">
        <v>13</v>
      </c>
      <c r="C22" s="4">
        <f t="shared" si="6"/>
        <v>113881.2</v>
      </c>
      <c r="D22" s="1590">
        <f t="shared" si="131"/>
        <v>9625.0400000000009</v>
      </c>
      <c r="E22" s="1895">
        <f t="shared" si="7"/>
        <v>11.831763816046477</v>
      </c>
      <c r="F22" s="870"/>
      <c r="G22" s="870"/>
      <c r="H22" s="52">
        <v>37</v>
      </c>
      <c r="I22" s="61">
        <v>6.58</v>
      </c>
      <c r="J22" s="52"/>
      <c r="K22" s="54"/>
      <c r="L22" s="52">
        <v>8.33</v>
      </c>
      <c r="M22" s="61">
        <v>6.98</v>
      </c>
      <c r="N22" s="2629"/>
      <c r="O22" s="4">
        <f t="shared" si="132"/>
        <v>63546</v>
      </c>
      <c r="P22" s="1225">
        <f t="shared" si="8"/>
        <v>5882.2000000000007</v>
      </c>
      <c r="Q22" s="1913">
        <f t="shared" si="9"/>
        <v>10.803100880622894</v>
      </c>
      <c r="R22" s="33"/>
      <c r="S22" s="26">
        <f t="shared" si="10"/>
        <v>23718.199999999997</v>
      </c>
      <c r="T22" s="27">
        <f t="shared" si="11"/>
        <v>822.84</v>
      </c>
      <c r="U22" s="1909">
        <f t="shared" si="12"/>
        <v>28.824801905595251</v>
      </c>
      <c r="V22" s="28"/>
      <c r="W22" s="26">
        <f t="shared" si="13"/>
        <v>26617</v>
      </c>
      <c r="X22" s="5">
        <f t="shared" si="13"/>
        <v>2920</v>
      </c>
      <c r="Y22" s="325">
        <f t="shared" si="14"/>
        <v>9.1154109589041088</v>
      </c>
      <c r="Z22" s="33"/>
      <c r="AA22" s="26">
        <f t="shared" si="15"/>
        <v>0</v>
      </c>
      <c r="AB22" s="27">
        <f t="shared" si="16"/>
        <v>0</v>
      </c>
      <c r="AC22" s="53">
        <f t="shared" si="17"/>
        <v>0</v>
      </c>
      <c r="AD22" s="28"/>
      <c r="AE22" s="36"/>
      <c r="AF22" s="36"/>
      <c r="AG22" s="53">
        <f t="shared" si="18"/>
        <v>0</v>
      </c>
      <c r="AH22" s="28"/>
      <c r="AI22" s="23"/>
      <c r="AJ22" s="27"/>
      <c r="AK22" s="53">
        <f t="shared" si="19"/>
        <v>0</v>
      </c>
      <c r="AL22" s="28"/>
      <c r="AM22" s="2629"/>
      <c r="AN22" s="9"/>
      <c r="AO22" s="64"/>
      <c r="AP22" s="61">
        <f t="shared" si="20"/>
        <v>0</v>
      </c>
      <c r="AQ22" s="36"/>
      <c r="AR22" s="53"/>
      <c r="AS22" s="61">
        <f t="shared" si="21"/>
        <v>0</v>
      </c>
      <c r="AT22" s="36">
        <v>0</v>
      </c>
      <c r="AU22" s="27"/>
      <c r="AV22" s="61">
        <f t="shared" si="22"/>
        <v>0</v>
      </c>
      <c r="AW22" s="36">
        <v>38682</v>
      </c>
      <c r="AX22" s="27">
        <v>2947.2400000000002</v>
      </c>
      <c r="AY22" s="1895">
        <f t="shared" si="23"/>
        <v>13.1248218672385</v>
      </c>
      <c r="AZ22" s="1908"/>
      <c r="BA22" s="1909"/>
      <c r="BB22" s="1895">
        <f t="shared" si="24"/>
        <v>0</v>
      </c>
      <c r="BC22" s="1740">
        <v>24864</v>
      </c>
      <c r="BD22" s="1909">
        <v>2934.96</v>
      </c>
      <c r="BE22" s="1895">
        <f t="shared" si="25"/>
        <v>8.4716657126502568</v>
      </c>
      <c r="BF22" s="1908"/>
      <c r="BG22" s="1909"/>
      <c r="BH22" s="1895">
        <f t="shared" si="26"/>
        <v>0</v>
      </c>
      <c r="BI22" s="1908">
        <v>0</v>
      </c>
      <c r="BJ22" s="1909">
        <v>0</v>
      </c>
      <c r="BK22" s="1895">
        <f t="shared" si="27"/>
        <v>0</v>
      </c>
      <c r="BL22" s="1742">
        <v>23718.199999999997</v>
      </c>
      <c r="BM22" s="1909">
        <v>822.84</v>
      </c>
      <c r="BN22" s="1911">
        <f t="shared" si="28"/>
        <v>28.824801905595251</v>
      </c>
      <c r="BO22" s="9"/>
      <c r="BP22" s="64"/>
      <c r="BQ22" s="482">
        <f t="shared" si="29"/>
        <v>0</v>
      </c>
      <c r="BR22" s="9"/>
      <c r="BS22" s="64"/>
      <c r="BT22" s="482">
        <f t="shared" si="30"/>
        <v>0</v>
      </c>
      <c r="BU22" s="9">
        <v>26617</v>
      </c>
      <c r="BV22" s="27">
        <v>2920</v>
      </c>
      <c r="BW22" s="1118">
        <f t="shared" si="31"/>
        <v>9.1154109589041088</v>
      </c>
      <c r="BX22" s="26"/>
      <c r="BY22" s="27"/>
      <c r="BZ22" s="482">
        <f t="shared" si="32"/>
        <v>0</v>
      </c>
      <c r="CA22" s="9"/>
      <c r="CB22" s="481"/>
      <c r="CC22" s="482">
        <f t="shared" si="33"/>
        <v>0</v>
      </c>
      <c r="CD22" s="4"/>
      <c r="CE22" s="5"/>
      <c r="CF22" s="28">
        <f t="shared" si="34"/>
        <v>0</v>
      </c>
      <c r="CG22" s="150"/>
      <c r="CH22" s="4"/>
      <c r="CI22" s="5"/>
      <c r="CJ22" s="5"/>
      <c r="CK22" s="5">
        <v>6074.5</v>
      </c>
      <c r="CL22" s="5"/>
      <c r="CM22" s="5">
        <f t="shared" si="35"/>
        <v>6074.5</v>
      </c>
      <c r="CN22" s="33"/>
      <c r="CO22" s="366"/>
      <c r="CQ22" s="4">
        <f t="shared" si="36"/>
        <v>0</v>
      </c>
      <c r="CR22" s="9">
        <f t="shared" si="37"/>
        <v>0</v>
      </c>
      <c r="CS22" s="5">
        <f t="shared" si="38"/>
        <v>0</v>
      </c>
      <c r="CT22" s="5">
        <f t="shared" si="39"/>
        <v>0</v>
      </c>
      <c r="CU22" s="5">
        <f t="shared" si="40"/>
        <v>0</v>
      </c>
      <c r="CV22" s="5">
        <f t="shared" si="41"/>
        <v>0</v>
      </c>
      <c r="CW22" s="5">
        <f t="shared" si="42"/>
        <v>0</v>
      </c>
      <c r="CX22" s="5">
        <f t="shared" si="43"/>
        <v>0</v>
      </c>
      <c r="CY22" s="5">
        <f t="shared" si="44"/>
        <v>8745.0400000000009</v>
      </c>
      <c r="CZ22" s="5">
        <f t="shared" si="45"/>
        <v>0</v>
      </c>
      <c r="DA22" s="5">
        <f t="shared" si="46"/>
        <v>880</v>
      </c>
      <c r="DB22" s="12">
        <f t="shared" si="47"/>
        <v>0</v>
      </c>
      <c r="DC22" s="310">
        <f t="shared" si="48"/>
        <v>9625.0400000000009</v>
      </c>
      <c r="DD22" s="2695"/>
      <c r="DE22" s="8"/>
      <c r="DF22" s="9"/>
      <c r="DG22" s="5"/>
      <c r="DH22" s="5"/>
      <c r="DI22" s="5"/>
      <c r="DJ22" s="5"/>
      <c r="DK22" s="5">
        <v>0</v>
      </c>
      <c r="DL22" s="5"/>
      <c r="DM22" s="5">
        <v>2947.2400000000002</v>
      </c>
      <c r="DN22" s="5"/>
      <c r="DO22" s="5"/>
      <c r="DP22" s="12"/>
      <c r="DQ22" s="28">
        <f t="shared" si="49"/>
        <v>2947.2400000000002</v>
      </c>
      <c r="DR22" s="36"/>
      <c r="DS22" s="36"/>
      <c r="DT22" s="53"/>
      <c r="DU22" s="27"/>
      <c r="DV22" s="5"/>
      <c r="DW22" s="5"/>
      <c r="DX22" s="5"/>
      <c r="DY22" s="5"/>
      <c r="DZ22" s="5">
        <v>3757.8</v>
      </c>
      <c r="EA22" s="27"/>
      <c r="EB22" s="27">
        <v>0</v>
      </c>
      <c r="EC22" s="33"/>
      <c r="ED22" s="28">
        <f t="shared" si="50"/>
        <v>3757.8</v>
      </c>
      <c r="EE22" s="9"/>
      <c r="EF22" s="36"/>
      <c r="EG22" s="5"/>
      <c r="EH22" s="325"/>
      <c r="EI22" s="27"/>
      <c r="EJ22" s="27"/>
      <c r="EK22" s="27"/>
      <c r="EL22" s="27"/>
      <c r="EM22" s="5">
        <v>2040</v>
      </c>
      <c r="EN22" s="5"/>
      <c r="EO22" s="5">
        <v>880</v>
      </c>
      <c r="EP22" s="33"/>
      <c r="EQ22" s="28">
        <f t="shared" si="51"/>
        <v>2920</v>
      </c>
      <c r="ER22" s="36"/>
      <c r="ES22" s="27"/>
      <c r="ET22" s="27"/>
      <c r="EU22" s="27"/>
      <c r="EV22" s="27"/>
      <c r="EW22" s="27"/>
      <c r="EX22" s="33">
        <f t="shared" si="52"/>
        <v>0</v>
      </c>
      <c r="EY22" s="2685"/>
      <c r="FA22" s="4">
        <f t="shared" si="53"/>
        <v>0</v>
      </c>
      <c r="FB22" s="5">
        <f t="shared" si="54"/>
        <v>0</v>
      </c>
      <c r="FC22" s="5">
        <f t="shared" si="55"/>
        <v>0</v>
      </c>
      <c r="FD22" s="12">
        <f t="shared" si="56"/>
        <v>0</v>
      </c>
      <c r="FE22" s="33"/>
      <c r="FF22" s="2674"/>
      <c r="FG22" s="9"/>
      <c r="FH22" s="5"/>
      <c r="FI22" s="5"/>
      <c r="FJ22" s="5"/>
      <c r="FK22" s="5"/>
      <c r="FL22" s="27"/>
      <c r="FM22" s="28">
        <f t="shared" si="57"/>
        <v>0</v>
      </c>
      <c r="FN22" s="36"/>
      <c r="FO22" s="27"/>
      <c r="FP22" s="27"/>
      <c r="FQ22" s="27"/>
      <c r="FR22" s="27"/>
      <c r="FS22" s="27"/>
      <c r="FT22" s="28">
        <f t="shared" si="58"/>
        <v>0</v>
      </c>
      <c r="FU22" s="36"/>
      <c r="FV22" s="36"/>
      <c r="FW22" s="27"/>
      <c r="FX22" s="27"/>
      <c r="FY22" s="27"/>
      <c r="FZ22" s="27"/>
      <c r="GA22" s="27"/>
      <c r="GB22" s="27"/>
      <c r="GC22" s="27"/>
      <c r="GD22" s="27"/>
      <c r="GE22" s="27"/>
      <c r="GF22" s="33"/>
      <c r="GG22" s="33">
        <f t="shared" si="59"/>
        <v>0</v>
      </c>
      <c r="GH22" s="2674"/>
      <c r="GJ22" s="2">
        <f t="shared" si="133"/>
        <v>2073.0500000000002</v>
      </c>
      <c r="GK22" s="63">
        <f t="shared" si="134"/>
        <v>1193.3499999999999</v>
      </c>
      <c r="GL22" s="24">
        <f t="shared" si="135"/>
        <v>2475.5</v>
      </c>
      <c r="GM22" s="1736">
        <f t="shared" si="60"/>
        <v>5741.9</v>
      </c>
      <c r="GN22" s="141"/>
      <c r="GO22" s="141"/>
      <c r="GP22" s="33"/>
      <c r="GQ22" s="2667"/>
      <c r="GR22" s="1940">
        <v>5741.9000000000005</v>
      </c>
      <c r="GS22" s="5">
        <v>0</v>
      </c>
      <c r="GT22" s="5">
        <v>0</v>
      </c>
      <c r="GU22" s="27">
        <v>0</v>
      </c>
      <c r="GV22" s="54">
        <f t="shared" si="61"/>
        <v>5741.9000000000005</v>
      </c>
      <c r="GW22" s="2667"/>
      <c r="GX22" s="36"/>
      <c r="GY22" s="36"/>
      <c r="GZ22" s="27"/>
      <c r="HA22" s="27"/>
      <c r="HB22" s="27"/>
      <c r="HC22" s="27"/>
      <c r="HD22" s="27"/>
      <c r="HE22" s="27"/>
      <c r="HF22" s="27">
        <v>628.20000000000005</v>
      </c>
      <c r="HG22" s="27"/>
      <c r="HH22" s="27">
        <v>1444.85</v>
      </c>
      <c r="HI22" s="27"/>
      <c r="HJ22" s="27">
        <v>0</v>
      </c>
      <c r="HK22" s="27"/>
      <c r="HL22" s="28">
        <f t="shared" si="62"/>
        <v>2073.0500000000002</v>
      </c>
      <c r="HM22" s="36"/>
      <c r="HN22" s="27"/>
      <c r="HO22" s="27"/>
      <c r="HP22" s="27"/>
      <c r="HQ22" s="27"/>
      <c r="HR22" s="27"/>
      <c r="HS22" s="27" cm="1">
        <f t="array" ref="HS22">SUMPRODUCT(('Data Base hauling'!$C$2:$C$216="TCM-ROM SB1 BK05-ROM 4")*(ISNUMBER(SEARCH(TEXT('March TCM'!$B22,"00")&amp;"/03/2026",'Data Base hauling'!$E$2:$E$216)))*'Data Base hauling'!$N$2:$N$216)</f>
        <v>0</v>
      </c>
      <c r="HT22" s="27"/>
      <c r="HU22" s="27" cm="1">
        <f t="array" ref="HU22">SUMPRODUCT(('Data Base hauling'!$C$2:$C$216="TCM-ROM SB1 BK05-ROM 5")*(ISNUMBER(SEARCH(TEXT('March TCM'!$B22,"00")&amp;"/03/2026",'Data Base hauling'!$E$2:$E$216)))*'Data Base hauling'!$N$2:$N$216)</f>
        <v>0</v>
      </c>
      <c r="HV22" s="27"/>
      <c r="HW22" s="27"/>
      <c r="HX22" s="27"/>
      <c r="HY22" s="27"/>
      <c r="HZ22" s="27"/>
      <c r="IA22" s="33">
        <f t="shared" si="63"/>
        <v>0</v>
      </c>
      <c r="IB22" s="363"/>
      <c r="IC22" s="363"/>
      <c r="ID22" s="64"/>
      <c r="IE22" s="64"/>
      <c r="IF22" s="64"/>
      <c r="IG22" s="64"/>
      <c r="IH22" s="64">
        <v>402.85</v>
      </c>
      <c r="II22" s="64"/>
      <c r="IJ22" s="1590">
        <v>790.5</v>
      </c>
      <c r="IK22" s="64"/>
      <c r="IL22" s="64">
        <v>0</v>
      </c>
      <c r="IM22" s="53"/>
      <c r="IN22" s="53"/>
      <c r="IO22" s="49">
        <v>0</v>
      </c>
      <c r="IP22" s="61">
        <f t="shared" si="64"/>
        <v>1193.3499999999999</v>
      </c>
      <c r="IQ22" s="36"/>
      <c r="IR22" s="36"/>
      <c r="IS22" s="53"/>
      <c r="IT22" s="27"/>
      <c r="IU22" s="53"/>
      <c r="IV22" s="27"/>
      <c r="IW22" s="27">
        <v>0</v>
      </c>
      <c r="IX22" s="27"/>
      <c r="IY22" s="27">
        <v>1699.5</v>
      </c>
      <c r="IZ22" s="27"/>
      <c r="JA22" s="27">
        <v>776</v>
      </c>
      <c r="JB22" s="27"/>
      <c r="JC22" s="27"/>
      <c r="JD22" s="27"/>
      <c r="JE22" s="33">
        <f t="shared" si="138"/>
        <v>2475.5</v>
      </c>
      <c r="JF22" s="2667"/>
      <c r="JH22" s="2019">
        <v>3040.1</v>
      </c>
      <c r="JI22" s="2017">
        <v>2701.8</v>
      </c>
      <c r="JJ22" s="53"/>
      <c r="JK22" s="53">
        <f t="shared" si="65"/>
        <v>5741.9</v>
      </c>
      <c r="JL22" s="33"/>
      <c r="JM22" s="2669"/>
      <c r="JN22" s="69">
        <v>0</v>
      </c>
      <c r="JO22" s="70">
        <v>0</v>
      </c>
      <c r="JP22" s="70">
        <v>0</v>
      </c>
      <c r="JQ22" s="70">
        <v>0</v>
      </c>
      <c r="JR22" s="70">
        <v>1</v>
      </c>
      <c r="JS22" s="70">
        <v>0</v>
      </c>
      <c r="JT22" s="70">
        <v>0</v>
      </c>
      <c r="JU22" s="1922">
        <v>0</v>
      </c>
      <c r="JV22" s="69">
        <v>0</v>
      </c>
      <c r="JW22" s="70">
        <v>0</v>
      </c>
      <c r="JX22" s="70">
        <v>0</v>
      </c>
      <c r="JY22" s="70">
        <v>0.14910430083647938</v>
      </c>
      <c r="JZ22" s="70">
        <v>2.8906654822710782E-2</v>
      </c>
      <c r="KA22" s="70">
        <v>0.82198904434080977</v>
      </c>
      <c r="KB22" s="70">
        <v>0</v>
      </c>
      <c r="KC22" s="71">
        <v>0</v>
      </c>
      <c r="KD22" s="69"/>
      <c r="KE22" s="70"/>
      <c r="KF22" s="70"/>
      <c r="KG22" s="70"/>
      <c r="KH22" s="70"/>
      <c r="KI22" s="70"/>
      <c r="KJ22" s="70"/>
      <c r="KK22" s="70"/>
      <c r="KL22" s="33"/>
      <c r="KM22" s="2669"/>
      <c r="KN22" s="1931">
        <v>6885</v>
      </c>
      <c r="KO22" s="1968">
        <v>0.54</v>
      </c>
      <c r="KP22" s="1968">
        <v>3.41</v>
      </c>
      <c r="KQ22" s="1968">
        <v>5.8</v>
      </c>
      <c r="KR22" s="1969">
        <v>9.5491599999999988</v>
      </c>
      <c r="KS22" s="1959">
        <v>7076</v>
      </c>
      <c r="KT22" s="1964">
        <v>2.0699999999999998</v>
      </c>
      <c r="KU22" s="1964">
        <v>2.77</v>
      </c>
      <c r="KV22" s="1964">
        <v>6.9600000000000009</v>
      </c>
      <c r="KW22" s="1965">
        <v>11.816687999999999</v>
      </c>
      <c r="KX22" s="36"/>
      <c r="KY22" s="53"/>
      <c r="KZ22" s="53"/>
      <c r="LA22" s="53"/>
      <c r="LB22" s="53"/>
      <c r="LC22" s="33"/>
      <c r="LD22" s="2669"/>
      <c r="LF22" s="4">
        <f t="shared" si="66"/>
        <v>8240.92</v>
      </c>
      <c r="LG22" s="27">
        <f t="shared" si="66"/>
        <v>2060.23</v>
      </c>
      <c r="LH22" s="27">
        <f t="shared" si="66"/>
        <v>0</v>
      </c>
      <c r="LI22" s="28">
        <f t="shared" si="67"/>
        <v>10301.15</v>
      </c>
      <c r="LJ22" s="36">
        <v>1</v>
      </c>
      <c r="LK22" s="27"/>
      <c r="LL22" s="27"/>
      <c r="LM22" s="33"/>
      <c r="LN22" s="1041">
        <v>6.32</v>
      </c>
      <c r="LO22" s="486"/>
      <c r="LP22" s="2688"/>
      <c r="LQ22" s="36">
        <v>8240.92</v>
      </c>
      <c r="LR22" s="36">
        <v>2060.23</v>
      </c>
      <c r="LS22" s="27"/>
      <c r="LT22" s="27"/>
      <c r="LU22" s="27"/>
      <c r="LV22" s="1117">
        <f t="shared" si="68"/>
        <v>10301.15</v>
      </c>
      <c r="LW22" s="36"/>
      <c r="LX22" s="36"/>
      <c r="LY22" s="27"/>
      <c r="LZ22" s="27"/>
      <c r="MA22" s="33"/>
      <c r="MB22" s="28">
        <f t="shared" si="69"/>
        <v>0</v>
      </c>
      <c r="MC22" s="26"/>
      <c r="MD22" s="36"/>
      <c r="ME22" s="27"/>
      <c r="MF22" s="27"/>
      <c r="MG22" s="27"/>
      <c r="MH22" s="28"/>
      <c r="MI22" s="36"/>
      <c r="MJ22" s="36"/>
      <c r="MK22" s="27"/>
      <c r="ML22" s="27"/>
      <c r="MM22" s="27"/>
      <c r="MN22" s="28"/>
      <c r="MO22" s="36"/>
      <c r="MP22" s="36"/>
      <c r="MQ22" s="27"/>
      <c r="MR22" s="27"/>
      <c r="MS22" s="27"/>
      <c r="MT22" s="33">
        <f t="shared" si="70"/>
        <v>0</v>
      </c>
      <c r="MU22" s="2688"/>
      <c r="MW22" s="26">
        <f t="shared" si="71"/>
        <v>49284.442645013391</v>
      </c>
      <c r="MX22" s="27">
        <f t="shared" si="72"/>
        <v>108699.38224882352</v>
      </c>
      <c r="MY22" s="27">
        <f t="shared" si="73"/>
        <v>20201.645201279462</v>
      </c>
      <c r="MZ22" s="28">
        <f t="shared" si="74"/>
        <v>433062.26855851</v>
      </c>
      <c r="NA22" s="2621"/>
      <c r="NB22" s="23">
        <f t="shared" si="75"/>
        <v>25588.009437467852</v>
      </c>
      <c r="NC22" s="1579">
        <f t="shared" si="76"/>
        <v>23696.433207545539</v>
      </c>
      <c r="ND22" s="60">
        <f t="shared" si="77"/>
        <v>0</v>
      </c>
      <c r="NE22" s="275">
        <f t="shared" si="4"/>
        <v>49284.442645013391</v>
      </c>
      <c r="NF22" s="26">
        <f t="shared" si="78"/>
        <v>0</v>
      </c>
      <c r="NG22" s="27">
        <f t="shared" si="78"/>
        <v>0</v>
      </c>
      <c r="NH22" s="27">
        <f t="shared" si="78"/>
        <v>0</v>
      </c>
      <c r="NI22" s="27">
        <f t="shared" si="78"/>
        <v>0</v>
      </c>
      <c r="NJ22" s="27">
        <f t="shared" si="78"/>
        <v>0</v>
      </c>
      <c r="NK22" s="33">
        <f t="shared" si="78"/>
        <v>0</v>
      </c>
      <c r="NL22" s="27">
        <f t="shared" si="78"/>
        <v>0</v>
      </c>
      <c r="NM22" s="36">
        <f t="shared" si="78"/>
        <v>0</v>
      </c>
      <c r="NN22" s="24">
        <f t="shared" si="78"/>
        <v>7882.7305665631438</v>
      </c>
      <c r="NO22" s="27">
        <f t="shared" si="78"/>
        <v>26196.69549600617</v>
      </c>
      <c r="NP22" s="24">
        <f t="shared" si="136"/>
        <v>8756.5482322711578</v>
      </c>
      <c r="NQ22" s="24">
        <f t="shared" si="137"/>
        <v>10848.824118033408</v>
      </c>
      <c r="NR22" s="27">
        <f t="shared" si="0"/>
        <v>53684.798412873883</v>
      </c>
      <c r="NS22" s="27">
        <f t="shared" si="79"/>
        <v>0</v>
      </c>
      <c r="NT22" s="27">
        <f t="shared" si="80"/>
        <v>0</v>
      </c>
      <c r="NU22" s="27">
        <f t="shared" si="81"/>
        <v>0</v>
      </c>
      <c r="NV22" s="27">
        <f t="shared" si="82"/>
        <v>0</v>
      </c>
      <c r="NW22" s="27">
        <f t="shared" si="83"/>
        <v>0</v>
      </c>
      <c r="NX22" s="27">
        <f t="shared" si="84"/>
        <v>0</v>
      </c>
      <c r="NY22" s="27">
        <f t="shared" si="85"/>
        <v>1941.2836022929118</v>
      </c>
      <c r="NZ22" s="27">
        <f t="shared" si="86"/>
        <v>0</v>
      </c>
      <c r="OA22" s="27">
        <f t="shared" si="87"/>
        <v>31293.518066782843</v>
      </c>
      <c r="OB22" s="280"/>
      <c r="OC22" s="24">
        <f t="shared" si="88"/>
        <v>349.54339982995594</v>
      </c>
      <c r="OD22" s="27">
        <f t="shared" si="89"/>
        <v>0</v>
      </c>
      <c r="OE22" s="28">
        <f t="shared" si="1"/>
        <v>33584.345068905714</v>
      </c>
      <c r="OF22" s="27">
        <f t="shared" si="149"/>
        <v>0</v>
      </c>
      <c r="OG22" s="27">
        <f t="shared" si="150"/>
        <v>0</v>
      </c>
      <c r="OH22" s="27">
        <v>0</v>
      </c>
      <c r="OI22" s="27">
        <f t="shared" si="151"/>
        <v>0</v>
      </c>
      <c r="OJ22" s="27">
        <f t="shared" si="152"/>
        <v>0</v>
      </c>
      <c r="OK22" s="27">
        <f t="shared" si="153"/>
        <v>0</v>
      </c>
      <c r="OL22" s="24">
        <f t="shared" si="145"/>
        <v>0</v>
      </c>
      <c r="OM22" s="27">
        <f t="shared" si="140"/>
        <v>0</v>
      </c>
      <c r="ON22" s="24">
        <f t="shared" si="141"/>
        <v>19921.233599111005</v>
      </c>
      <c r="OO22" s="27">
        <f t="shared" si="142"/>
        <v>0</v>
      </c>
      <c r="OP22" s="27">
        <f t="shared" si="143"/>
        <v>1509.005167932914</v>
      </c>
      <c r="OQ22" s="27">
        <f t="shared" si="144"/>
        <v>0</v>
      </c>
      <c r="OR22" s="28">
        <f t="shared" si="2"/>
        <v>21430.23876704392</v>
      </c>
      <c r="OS22" s="36"/>
      <c r="OT22" s="27"/>
      <c r="OU22" s="27"/>
      <c r="OV22" s="27"/>
      <c r="OW22" s="27"/>
      <c r="OX22" s="27"/>
      <c r="OY22" s="28">
        <f t="shared" si="91"/>
        <v>0</v>
      </c>
      <c r="OZ22" s="36">
        <f t="shared" si="92"/>
        <v>0</v>
      </c>
      <c r="PA22" s="27">
        <f t="shared" si="93"/>
        <v>0</v>
      </c>
      <c r="PB22" s="27">
        <f t="shared" si="94"/>
        <v>0</v>
      </c>
      <c r="PC22" s="27">
        <f t="shared" si="95"/>
        <v>0</v>
      </c>
      <c r="PD22" s="27">
        <f t="shared" si="96"/>
        <v>0</v>
      </c>
      <c r="PE22" s="27">
        <f t="shared" si="97"/>
        <v>0</v>
      </c>
      <c r="PF22" s="33">
        <f t="shared" si="3"/>
        <v>0</v>
      </c>
      <c r="PG22" s="2621"/>
      <c r="PI22" s="2">
        <v>95</v>
      </c>
      <c r="PJ22" s="3"/>
      <c r="PK22" s="3"/>
      <c r="PL22" s="3">
        <f t="shared" si="98"/>
        <v>0</v>
      </c>
      <c r="PM22" s="3">
        <f t="shared" si="99"/>
        <v>3003.1953876938928</v>
      </c>
      <c r="PN22" s="11">
        <f t="shared" si="100"/>
        <v>20201.645201279462</v>
      </c>
      <c r="PO22" s="15"/>
      <c r="PP22" s="2615"/>
      <c r="PR22" s="4"/>
      <c r="PS22" s="9"/>
      <c r="PT22" s="9"/>
      <c r="PU22" s="9"/>
      <c r="PV22" s="9">
        <v>0</v>
      </c>
      <c r="PW22" s="9"/>
      <c r="PX22" s="8">
        <f t="shared" si="101"/>
        <v>0</v>
      </c>
      <c r="PY22" s="5">
        <f t="shared" si="102"/>
        <v>95</v>
      </c>
      <c r="PZ22" s="5"/>
      <c r="QA22" s="5"/>
      <c r="QB22" s="5"/>
      <c r="QC22" s="5"/>
      <c r="QD22" s="5"/>
      <c r="QE22" s="12">
        <f t="shared" si="103"/>
        <v>29562.488999999998</v>
      </c>
      <c r="QF22" s="420">
        <f t="shared" si="104"/>
        <v>403141.89955850999</v>
      </c>
      <c r="QG22" s="1106">
        <f t="shared" si="105"/>
        <v>357.88</v>
      </c>
      <c r="QH22" s="484">
        <f t="shared" si="106"/>
        <v>5505.3678056099998</v>
      </c>
      <c r="QI22" s="12"/>
      <c r="QJ22" s="2615"/>
      <c r="QL22" s="139">
        <f t="shared" si="107"/>
        <v>0</v>
      </c>
      <c r="QM22" s="139" t="str">
        <f t="shared" si="108"/>
        <v/>
      </c>
      <c r="QO22" s="139">
        <f t="shared" si="109"/>
        <v>0</v>
      </c>
      <c r="QP22" s="139">
        <f t="shared" si="110"/>
        <v>0</v>
      </c>
      <c r="QR22" s="1">
        <f t="shared" si="111"/>
        <v>0</v>
      </c>
      <c r="QS22" s="1">
        <f t="shared" si="112"/>
        <v>0</v>
      </c>
      <c r="QT22" s="1">
        <f t="shared" si="113"/>
        <v>0</v>
      </c>
      <c r="QU22" s="1">
        <f t="shared" si="114"/>
        <v>0</v>
      </c>
      <c r="QV22" s="1">
        <f t="shared" si="115"/>
        <v>0</v>
      </c>
      <c r="QW22" s="1">
        <f t="shared" si="116"/>
        <v>0</v>
      </c>
      <c r="QY22" s="1">
        <f t="shared" si="117"/>
        <v>0</v>
      </c>
      <c r="QZ22" s="1">
        <f t="shared" si="118"/>
        <v>0</v>
      </c>
      <c r="RA22" s="1">
        <f t="shared" si="119"/>
        <v>0</v>
      </c>
      <c r="RB22" s="1">
        <f t="shared" si="120"/>
        <v>0</v>
      </c>
      <c r="RC22" s="1">
        <f t="shared" si="121"/>
        <v>0</v>
      </c>
      <c r="RD22" s="1">
        <f t="shared" si="122"/>
        <v>0</v>
      </c>
      <c r="RG22" s="1">
        <v>13</v>
      </c>
      <c r="RH22" s="1">
        <f t="shared" si="146"/>
        <v>-4442.004790282901</v>
      </c>
      <c r="RI22" s="1">
        <f t="shared" si="147"/>
        <v>5715.671780483719</v>
      </c>
      <c r="RJ22" s="1">
        <f t="shared" si="148"/>
        <v>13404.263703387322</v>
      </c>
      <c r="RK22" s="89">
        <f t="shared" si="5"/>
        <v>14677.93069358814</v>
      </c>
      <c r="RL22" s="1033">
        <v>13</v>
      </c>
      <c r="RM22" s="1098">
        <f t="shared" si="124"/>
        <v>0</v>
      </c>
      <c r="RN22" s="1098">
        <f t="shared" si="125"/>
        <v>0</v>
      </c>
      <c r="RO22" s="1097">
        <f t="shared" si="125"/>
        <v>0</v>
      </c>
      <c r="RP22" s="1097">
        <f t="shared" si="126"/>
        <v>6705.0400000000009</v>
      </c>
      <c r="RQ22" s="1050"/>
      <c r="RR22" s="1050" t="s">
        <v>830</v>
      </c>
      <c r="RS22" s="1048"/>
      <c r="RU22" s="421">
        <v>13</v>
      </c>
      <c r="RV22" s="1095">
        <f t="shared" si="127"/>
        <v>5741.9000000000005</v>
      </c>
      <c r="RW22" s="1050" t="s">
        <v>829</v>
      </c>
      <c r="RX22" s="1048"/>
      <c r="RY22" s="1090"/>
      <c r="RZ22" s="1090">
        <f t="shared" si="128"/>
        <v>0</v>
      </c>
      <c r="SA22" s="1090"/>
      <c r="SB22" s="1090">
        <f t="shared" si="129"/>
        <v>0</v>
      </c>
      <c r="SD22" s="1">
        <v>13</v>
      </c>
      <c r="SE22" s="1">
        <f t="shared" si="130"/>
        <v>0</v>
      </c>
    </row>
    <row r="23" spans="1:500" s="1" customFormat="1">
      <c r="A23" s="1">
        <v>160</v>
      </c>
      <c r="B23" s="471">
        <v>14</v>
      </c>
      <c r="C23" s="4">
        <f t="shared" si="6"/>
        <v>146216</v>
      </c>
      <c r="D23" s="1590">
        <f t="shared" si="131"/>
        <v>9765.2400000000016</v>
      </c>
      <c r="E23" s="1895">
        <f t="shared" si="7"/>
        <v>14.973108699837381</v>
      </c>
      <c r="F23" s="870"/>
      <c r="G23" s="870"/>
      <c r="H23" s="52">
        <v>4</v>
      </c>
      <c r="I23" s="61">
        <v>2.42</v>
      </c>
      <c r="J23" s="52"/>
      <c r="K23" s="54"/>
      <c r="L23" s="52"/>
      <c r="M23" s="61"/>
      <c r="N23" s="2629"/>
      <c r="O23" s="4">
        <f t="shared" si="132"/>
        <v>92652</v>
      </c>
      <c r="P23" s="1225">
        <f t="shared" si="8"/>
        <v>5522.2200000000012</v>
      </c>
      <c r="Q23" s="1913">
        <f t="shared" si="9"/>
        <v>16.778034920738396</v>
      </c>
      <c r="R23" s="33"/>
      <c r="S23" s="26">
        <f t="shared" si="10"/>
        <v>24639</v>
      </c>
      <c r="T23" s="27">
        <f t="shared" si="11"/>
        <v>1683.0199999999998</v>
      </c>
      <c r="U23" s="1909">
        <f t="shared" si="12"/>
        <v>14.639754726622384</v>
      </c>
      <c r="V23" s="28"/>
      <c r="W23" s="26">
        <f t="shared" si="13"/>
        <v>28925</v>
      </c>
      <c r="X23" s="5">
        <f t="shared" si="13"/>
        <v>2560</v>
      </c>
      <c r="Y23" s="325">
        <f t="shared" si="14"/>
        <v>11.298828125</v>
      </c>
      <c r="Z23" s="33"/>
      <c r="AA23" s="26">
        <f t="shared" si="15"/>
        <v>0</v>
      </c>
      <c r="AB23" s="27">
        <f t="shared" si="16"/>
        <v>0</v>
      </c>
      <c r="AC23" s="53">
        <f t="shared" si="17"/>
        <v>0</v>
      </c>
      <c r="AD23" s="28"/>
      <c r="AE23" s="36"/>
      <c r="AF23" s="36"/>
      <c r="AG23" s="53">
        <f t="shared" si="18"/>
        <v>0</v>
      </c>
      <c r="AH23" s="28"/>
      <c r="AI23" s="26"/>
      <c r="AJ23" s="27"/>
      <c r="AK23" s="53">
        <f t="shared" si="19"/>
        <v>0</v>
      </c>
      <c r="AL23" s="28"/>
      <c r="AM23" s="2629"/>
      <c r="AN23" s="9"/>
      <c r="AO23" s="5"/>
      <c r="AP23" s="61">
        <f t="shared" si="20"/>
        <v>0</v>
      </c>
      <c r="AQ23" s="36"/>
      <c r="AR23" s="53"/>
      <c r="AS23" s="61">
        <f t="shared" si="21"/>
        <v>0</v>
      </c>
      <c r="AT23" s="36">
        <v>0</v>
      </c>
      <c r="AU23" s="27"/>
      <c r="AV23" s="61">
        <f t="shared" si="22"/>
        <v>0</v>
      </c>
      <c r="AW23" s="36">
        <v>56406</v>
      </c>
      <c r="AX23" s="27">
        <v>4197.2000000000007</v>
      </c>
      <c r="AY23" s="1895">
        <f t="shared" si="23"/>
        <v>13.438959306204135</v>
      </c>
      <c r="AZ23" s="1908"/>
      <c r="BA23" s="1909"/>
      <c r="BB23" s="1895">
        <f t="shared" si="24"/>
        <v>0</v>
      </c>
      <c r="BC23" s="1740">
        <v>36246</v>
      </c>
      <c r="BD23" s="1909">
        <v>1325.02</v>
      </c>
      <c r="BE23" s="1895">
        <f t="shared" ref="BE23:BE40" si="154">IFERROR(BC23/BD23,0)</f>
        <v>27.355058791565412</v>
      </c>
      <c r="BF23" s="1908"/>
      <c r="BG23" s="1909"/>
      <c r="BH23" s="1895">
        <f t="shared" si="26"/>
        <v>0</v>
      </c>
      <c r="BI23" s="1908">
        <v>0</v>
      </c>
      <c r="BJ23" s="1909">
        <v>0</v>
      </c>
      <c r="BK23" s="1895">
        <f t="shared" si="27"/>
        <v>0</v>
      </c>
      <c r="BL23" s="1742">
        <v>24639</v>
      </c>
      <c r="BM23" s="1909">
        <v>1683.0199999999998</v>
      </c>
      <c r="BN23" s="1911">
        <f t="shared" si="28"/>
        <v>14.639754726622384</v>
      </c>
      <c r="BO23" s="9"/>
      <c r="BP23" s="64"/>
      <c r="BQ23" s="482">
        <f t="shared" si="29"/>
        <v>0</v>
      </c>
      <c r="BR23" s="9"/>
      <c r="BS23" s="64"/>
      <c r="BT23" s="482">
        <f t="shared" si="30"/>
        <v>0</v>
      </c>
      <c r="BU23" s="9">
        <v>28925</v>
      </c>
      <c r="BV23" s="27">
        <v>2560</v>
      </c>
      <c r="BW23" s="15">
        <f t="shared" si="31"/>
        <v>11.298828125</v>
      </c>
      <c r="BX23" s="26"/>
      <c r="BY23" s="27"/>
      <c r="BZ23" s="482">
        <f t="shared" si="32"/>
        <v>0</v>
      </c>
      <c r="CA23" s="9"/>
      <c r="CB23" s="481"/>
      <c r="CC23" s="482">
        <f t="shared" si="33"/>
        <v>0</v>
      </c>
      <c r="CD23" s="4"/>
      <c r="CE23" s="5"/>
      <c r="CF23" s="28">
        <f t="shared" si="34"/>
        <v>0</v>
      </c>
      <c r="CG23" s="150"/>
      <c r="CH23" s="1108"/>
      <c r="CI23" s="5"/>
      <c r="CJ23" s="5"/>
      <c r="CK23" s="5">
        <v>7000</v>
      </c>
      <c r="CL23" s="5"/>
      <c r="CM23" s="5">
        <f t="shared" si="35"/>
        <v>7000</v>
      </c>
      <c r="CN23" s="33"/>
      <c r="CO23" s="366"/>
      <c r="CQ23" s="4">
        <f t="shared" si="36"/>
        <v>0</v>
      </c>
      <c r="CR23" s="9">
        <f t="shared" si="37"/>
        <v>0</v>
      </c>
      <c r="CS23" s="5">
        <f t="shared" si="38"/>
        <v>0</v>
      </c>
      <c r="CT23" s="5">
        <f t="shared" si="39"/>
        <v>0</v>
      </c>
      <c r="CU23" s="5">
        <f t="shared" si="40"/>
        <v>0</v>
      </c>
      <c r="CV23" s="5">
        <f t="shared" si="41"/>
        <v>0</v>
      </c>
      <c r="CW23" s="5">
        <f t="shared" si="42"/>
        <v>0</v>
      </c>
      <c r="CX23" s="5">
        <f t="shared" si="43"/>
        <v>0</v>
      </c>
      <c r="CY23" s="5">
        <f t="shared" si="44"/>
        <v>6177.76</v>
      </c>
      <c r="CZ23" s="5">
        <f t="shared" si="45"/>
        <v>0</v>
      </c>
      <c r="DA23" s="5">
        <f t="shared" si="46"/>
        <v>3587.48</v>
      </c>
      <c r="DB23" s="12">
        <f t="shared" si="47"/>
        <v>0</v>
      </c>
      <c r="DC23" s="310">
        <f t="shared" si="48"/>
        <v>9765.24</v>
      </c>
      <c r="DD23" s="2695"/>
      <c r="DE23" s="8"/>
      <c r="DF23" s="9"/>
      <c r="DG23" s="5"/>
      <c r="DH23" s="5"/>
      <c r="DI23" s="5"/>
      <c r="DJ23" s="5"/>
      <c r="DK23" s="5">
        <v>0</v>
      </c>
      <c r="DL23" s="5"/>
      <c r="DM23" s="5">
        <v>4197.2000000000007</v>
      </c>
      <c r="DN23" s="5"/>
      <c r="DO23" s="5"/>
      <c r="DP23" s="12"/>
      <c r="DQ23" s="28">
        <f t="shared" si="49"/>
        <v>4197.2000000000007</v>
      </c>
      <c r="DR23" s="36"/>
      <c r="DS23" s="9"/>
      <c r="DT23" s="5"/>
      <c r="DU23" s="5"/>
      <c r="DV23" s="5"/>
      <c r="DW23" s="5"/>
      <c r="DX23" s="5"/>
      <c r="DY23" s="5"/>
      <c r="DZ23" s="5">
        <v>1980.5599999999997</v>
      </c>
      <c r="EA23" s="27"/>
      <c r="EB23" s="27">
        <v>1027.48</v>
      </c>
      <c r="EC23" s="33"/>
      <c r="ED23" s="28">
        <f t="shared" si="50"/>
        <v>3008.04</v>
      </c>
      <c r="EE23" s="9"/>
      <c r="EF23" s="36"/>
      <c r="EG23" s="5"/>
      <c r="EH23" s="27"/>
      <c r="EI23" s="27"/>
      <c r="EJ23" s="27"/>
      <c r="EK23" s="27"/>
      <c r="EL23" s="27"/>
      <c r="EM23" s="5"/>
      <c r="EN23" s="5"/>
      <c r="EO23" s="5">
        <v>2560</v>
      </c>
      <c r="EP23" s="33"/>
      <c r="EQ23" s="28">
        <f t="shared" si="51"/>
        <v>2560</v>
      </c>
      <c r="ER23" s="36"/>
      <c r="ES23" s="27"/>
      <c r="ET23" s="27"/>
      <c r="EU23" s="27"/>
      <c r="EV23" s="27"/>
      <c r="EW23" s="27"/>
      <c r="EX23" s="33">
        <f t="shared" si="52"/>
        <v>0</v>
      </c>
      <c r="EY23" s="2685"/>
      <c r="FA23" s="4">
        <f t="shared" si="53"/>
        <v>0</v>
      </c>
      <c r="FB23" s="5">
        <f t="shared" si="54"/>
        <v>0</v>
      </c>
      <c r="FC23" s="5">
        <f t="shared" si="55"/>
        <v>0</v>
      </c>
      <c r="FD23" s="12">
        <f t="shared" si="56"/>
        <v>0</v>
      </c>
      <c r="FE23" s="33"/>
      <c r="FF23" s="2674"/>
      <c r="FG23" s="9"/>
      <c r="FH23" s="5"/>
      <c r="FI23" s="5"/>
      <c r="FJ23" s="5"/>
      <c r="FK23" s="5"/>
      <c r="FL23" s="27"/>
      <c r="FM23" s="28">
        <f t="shared" si="57"/>
        <v>0</v>
      </c>
      <c r="FN23" s="36"/>
      <c r="FO23" s="27"/>
      <c r="FP23" s="27"/>
      <c r="FQ23" s="27"/>
      <c r="FR23" s="27"/>
      <c r="FS23" s="27"/>
      <c r="FT23" s="28">
        <f t="shared" si="58"/>
        <v>0</v>
      </c>
      <c r="FU23" s="36"/>
      <c r="FV23" s="36"/>
      <c r="FW23" s="27"/>
      <c r="FX23" s="27"/>
      <c r="FY23" s="27"/>
      <c r="FZ23" s="27"/>
      <c r="GA23" s="27"/>
      <c r="GB23" s="27"/>
      <c r="GC23" s="27"/>
      <c r="GD23" s="27"/>
      <c r="GE23" s="27"/>
      <c r="GF23" s="33"/>
      <c r="GG23" s="33">
        <f t="shared" si="59"/>
        <v>0</v>
      </c>
      <c r="GH23" s="2674"/>
      <c r="GJ23" s="2">
        <f t="shared" si="133"/>
        <v>730.85</v>
      </c>
      <c r="GK23" s="63">
        <f t="shared" si="134"/>
        <v>789.85</v>
      </c>
      <c r="GL23" s="24">
        <f t="shared" si="135"/>
        <v>2532.25</v>
      </c>
      <c r="GM23" s="1736">
        <f t="shared" si="60"/>
        <v>4052.95</v>
      </c>
      <c r="GN23" s="141"/>
      <c r="GO23" s="141"/>
      <c r="GP23" s="33"/>
      <c r="GQ23" s="2667"/>
      <c r="GR23" s="1940">
        <v>4052.9500000000003</v>
      </c>
      <c r="GS23" s="5">
        <v>0</v>
      </c>
      <c r="GT23" s="5">
        <v>0</v>
      </c>
      <c r="GU23" s="27">
        <v>0</v>
      </c>
      <c r="GV23" s="54">
        <f t="shared" si="61"/>
        <v>4052.9500000000003</v>
      </c>
      <c r="GW23" s="2667"/>
      <c r="GX23" s="36"/>
      <c r="GY23" s="36"/>
      <c r="GZ23" s="27"/>
      <c r="HA23" s="27"/>
      <c r="HB23" s="27"/>
      <c r="HC23" s="27"/>
      <c r="HD23" s="27"/>
      <c r="HE23" s="27"/>
      <c r="HF23" s="27">
        <v>651</v>
      </c>
      <c r="HG23" s="27"/>
      <c r="HH23" s="27">
        <v>79.849999999999994</v>
      </c>
      <c r="HI23" s="27"/>
      <c r="HJ23" s="27">
        <v>0</v>
      </c>
      <c r="HK23" s="27"/>
      <c r="HL23" s="28">
        <f t="shared" si="62"/>
        <v>730.85</v>
      </c>
      <c r="HM23" s="36"/>
      <c r="HN23" s="27"/>
      <c r="HO23" s="27"/>
      <c r="HP23" s="27"/>
      <c r="HQ23" s="27"/>
      <c r="HR23" s="27"/>
      <c r="HS23" s="27" cm="1">
        <f t="array" ref="HS23">SUMPRODUCT(('Data Base hauling'!$C$2:$C$216="TCM-ROM SB1 BK05-ROM 4")*(ISNUMBER(SEARCH(TEXT('March TCM'!$B23,"00")&amp;"/03/2026",'Data Base hauling'!$E$2:$E$216)))*'Data Base hauling'!$N$2:$N$216)</f>
        <v>0</v>
      </c>
      <c r="HT23" s="27"/>
      <c r="HU23" s="27" cm="1">
        <f t="array" ref="HU23">SUMPRODUCT(('Data Base hauling'!$C$2:$C$216="TCM-ROM SB1 BK05-ROM 5")*(ISNUMBER(SEARCH(TEXT('March TCM'!$B23,"00")&amp;"/03/2026",'Data Base hauling'!$E$2:$E$216)))*'Data Base hauling'!$N$2:$N$216)</f>
        <v>0</v>
      </c>
      <c r="HV23" s="27"/>
      <c r="HW23" s="27"/>
      <c r="HX23" s="27"/>
      <c r="HY23" s="27"/>
      <c r="HZ23" s="27"/>
      <c r="IA23" s="33">
        <f t="shared" si="63"/>
        <v>0</v>
      </c>
      <c r="IB23" s="52"/>
      <c r="IC23" s="152"/>
      <c r="ID23" s="53"/>
      <c r="IE23" s="53"/>
      <c r="IF23" s="53"/>
      <c r="IG23" s="53"/>
      <c r="IH23" s="53">
        <v>79.2</v>
      </c>
      <c r="II23" s="53"/>
      <c r="IJ23" s="1736">
        <v>710.65</v>
      </c>
      <c r="IK23" s="53"/>
      <c r="IL23" s="53">
        <v>0</v>
      </c>
      <c r="IM23" s="53"/>
      <c r="IN23" s="53"/>
      <c r="IO23" s="49">
        <v>0</v>
      </c>
      <c r="IP23" s="61">
        <f t="shared" si="64"/>
        <v>789.85</v>
      </c>
      <c r="IQ23" s="36"/>
      <c r="IR23" s="36"/>
      <c r="IS23" s="27"/>
      <c r="IT23" s="27"/>
      <c r="IU23" s="53"/>
      <c r="IV23" s="27"/>
      <c r="IW23" s="27">
        <v>0</v>
      </c>
      <c r="IX23" s="27"/>
      <c r="IY23" s="27">
        <v>2532.25</v>
      </c>
      <c r="IZ23" s="27"/>
      <c r="JA23" s="27">
        <v>0</v>
      </c>
      <c r="JB23" s="27"/>
      <c r="JC23" s="27"/>
      <c r="JD23" s="27"/>
      <c r="JE23" s="33">
        <f t="shared" si="138"/>
        <v>2532.25</v>
      </c>
      <c r="JF23" s="2667"/>
      <c r="JH23" s="2019">
        <v>4052.9500000000003</v>
      </c>
      <c r="JI23" s="2017">
        <v>0</v>
      </c>
      <c r="JJ23" s="53"/>
      <c r="JK23" s="53">
        <f t="shared" si="65"/>
        <v>4052.9500000000003</v>
      </c>
      <c r="JL23" s="33"/>
      <c r="JM23" s="2669"/>
      <c r="JN23" s="69">
        <v>0</v>
      </c>
      <c r="JO23" s="70">
        <v>0</v>
      </c>
      <c r="JP23" s="70">
        <v>0</v>
      </c>
      <c r="JQ23" s="1977">
        <v>1.9541321753290812E-2</v>
      </c>
      <c r="JR23" s="70">
        <v>0.96075697948407945</v>
      </c>
      <c r="JS23" s="1977">
        <v>1.9701698762629685E-2</v>
      </c>
      <c r="JT23" s="70">
        <v>0</v>
      </c>
      <c r="JU23" s="1922">
        <v>0</v>
      </c>
      <c r="JV23" s="69" t="s">
        <v>296</v>
      </c>
      <c r="JW23" s="70" t="s">
        <v>296</v>
      </c>
      <c r="JX23" s="70" t="s">
        <v>296</v>
      </c>
      <c r="JY23" s="70" t="s">
        <v>296</v>
      </c>
      <c r="JZ23" s="70" t="s">
        <v>296</v>
      </c>
      <c r="KA23" s="70" t="s">
        <v>296</v>
      </c>
      <c r="KB23" s="70" t="s">
        <v>296</v>
      </c>
      <c r="KC23" s="71" t="s">
        <v>296</v>
      </c>
      <c r="KD23" s="69"/>
      <c r="KE23" s="70"/>
      <c r="KF23" s="70"/>
      <c r="KG23" s="70"/>
      <c r="KH23" s="70"/>
      <c r="KI23" s="70"/>
      <c r="KJ23" s="70"/>
      <c r="KK23" s="70"/>
      <c r="KL23" s="33"/>
      <c r="KM23" s="2669"/>
      <c r="KN23" s="36">
        <v>7106.2883630153692</v>
      </c>
      <c r="KO23" s="1968">
        <v>0.54610148816784587</v>
      </c>
      <c r="KP23" s="1968">
        <v>3.1420785557453041</v>
      </c>
      <c r="KQ23" s="1968">
        <v>5.9723054403513052</v>
      </c>
      <c r="KR23" s="1969">
        <v>10.435875947304222</v>
      </c>
      <c r="KS23" s="1959">
        <v>0</v>
      </c>
      <c r="KT23" s="1964">
        <v>0</v>
      </c>
      <c r="KU23" s="1964">
        <v>0</v>
      </c>
      <c r="KV23" s="1964">
        <v>0</v>
      </c>
      <c r="KW23" s="1965">
        <v>0</v>
      </c>
      <c r="KX23" s="36"/>
      <c r="KY23" s="53"/>
      <c r="KZ23" s="53"/>
      <c r="LA23" s="53"/>
      <c r="LB23" s="53"/>
      <c r="LC23" s="33"/>
      <c r="LD23" s="2669"/>
      <c r="LF23" s="4">
        <f t="shared" si="66"/>
        <v>0</v>
      </c>
      <c r="LG23" s="27">
        <f t="shared" si="66"/>
        <v>0</v>
      </c>
      <c r="LH23" s="27">
        <f t="shared" si="66"/>
        <v>0</v>
      </c>
      <c r="LI23" s="28">
        <f t="shared" si="67"/>
        <v>0</v>
      </c>
      <c r="LJ23" s="36"/>
      <c r="LK23" s="27"/>
      <c r="LL23" s="27"/>
      <c r="LM23" s="33"/>
      <c r="LN23" s="1957">
        <v>6</v>
      </c>
      <c r="LO23" s="486"/>
      <c r="LP23" s="2688"/>
      <c r="LQ23" s="36"/>
      <c r="LR23" s="36"/>
      <c r="LS23" s="27"/>
      <c r="LT23" s="27"/>
      <c r="LU23" s="27"/>
      <c r="LV23" s="1117">
        <f t="shared" si="68"/>
        <v>0</v>
      </c>
      <c r="LW23" s="36"/>
      <c r="LX23" s="36"/>
      <c r="LY23" s="27"/>
      <c r="LZ23" s="27"/>
      <c r="MA23" s="33"/>
      <c r="MB23" s="28">
        <f t="shared" si="69"/>
        <v>0</v>
      </c>
      <c r="MC23" s="26"/>
      <c r="MD23" s="36"/>
      <c r="ME23" s="27"/>
      <c r="MF23" s="27"/>
      <c r="MG23" s="27"/>
      <c r="MH23" s="28"/>
      <c r="MI23" s="36"/>
      <c r="MJ23" s="36"/>
      <c r="MK23" s="27"/>
      <c r="ML23" s="27"/>
      <c r="MM23" s="27"/>
      <c r="MN23" s="28"/>
      <c r="MO23" s="36"/>
      <c r="MP23" s="36"/>
      <c r="MQ23" s="27"/>
      <c r="MR23" s="27"/>
      <c r="MS23" s="27"/>
      <c r="MT23" s="33">
        <f t="shared" si="70"/>
        <v>0</v>
      </c>
      <c r="MU23" s="2688"/>
      <c r="MW23" s="26">
        <f t="shared" si="71"/>
        <v>53337.392645013388</v>
      </c>
      <c r="MX23" s="27">
        <f t="shared" si="72"/>
        <v>114411.67224882351</v>
      </c>
      <c r="MY23" s="27">
        <f t="shared" si="73"/>
        <v>20201.645201279462</v>
      </c>
      <c r="MZ23" s="28">
        <f t="shared" si="74"/>
        <v>433062.26855851</v>
      </c>
      <c r="NA23" s="2621"/>
      <c r="NB23" s="23">
        <f t="shared" si="75"/>
        <v>29640.959437467853</v>
      </c>
      <c r="NC23" s="1579">
        <f t="shared" si="76"/>
        <v>23696.433207545539</v>
      </c>
      <c r="ND23" s="60">
        <f t="shared" si="77"/>
        <v>0</v>
      </c>
      <c r="NE23" s="275">
        <f t="shared" si="4"/>
        <v>53337.392645013388</v>
      </c>
      <c r="NF23" s="26">
        <f t="shared" si="78"/>
        <v>0</v>
      </c>
      <c r="NG23" s="27">
        <f t="shared" si="78"/>
        <v>0</v>
      </c>
      <c r="NH23" s="27">
        <f t="shared" si="78"/>
        <v>0</v>
      </c>
      <c r="NI23" s="27">
        <f t="shared" si="78"/>
        <v>0</v>
      </c>
      <c r="NJ23" s="27">
        <f t="shared" si="78"/>
        <v>0</v>
      </c>
      <c r="NK23" s="33">
        <f t="shared" si="78"/>
        <v>0</v>
      </c>
      <c r="NL23" s="27">
        <f t="shared" si="78"/>
        <v>0</v>
      </c>
      <c r="NM23" s="36">
        <f t="shared" si="78"/>
        <v>0</v>
      </c>
      <c r="NN23" s="24">
        <f t="shared" si="78"/>
        <v>7231.7305665631438</v>
      </c>
      <c r="NO23" s="27">
        <f t="shared" si="78"/>
        <v>26196.69549600617</v>
      </c>
      <c r="NP23" s="24">
        <f t="shared" si="136"/>
        <v>8756.5482322711578</v>
      </c>
      <c r="NQ23" s="24">
        <f t="shared" si="137"/>
        <v>13328.974118033408</v>
      </c>
      <c r="NR23" s="27">
        <f t="shared" si="0"/>
        <v>55513.948412873884</v>
      </c>
      <c r="NS23" s="27">
        <f t="shared" si="79"/>
        <v>0</v>
      </c>
      <c r="NT23" s="27">
        <f t="shared" si="80"/>
        <v>0</v>
      </c>
      <c r="NU23" s="27">
        <f t="shared" si="81"/>
        <v>0</v>
      </c>
      <c r="NV23" s="27">
        <f t="shared" si="82"/>
        <v>0</v>
      </c>
      <c r="NW23" s="27">
        <f t="shared" si="83"/>
        <v>0</v>
      </c>
      <c r="NX23" s="5">
        <f t="shared" si="84"/>
        <v>0</v>
      </c>
      <c r="NY23" s="27">
        <f t="shared" si="85"/>
        <v>1862.0836022929118</v>
      </c>
      <c r="NZ23" s="27">
        <f t="shared" si="86"/>
        <v>0</v>
      </c>
      <c r="OA23" s="27">
        <f t="shared" si="87"/>
        <v>34780.068066782842</v>
      </c>
      <c r="OB23" s="280"/>
      <c r="OC23" s="24">
        <f t="shared" si="88"/>
        <v>349.54339982995594</v>
      </c>
      <c r="OD23" s="27">
        <f t="shared" si="89"/>
        <v>0</v>
      </c>
      <c r="OE23" s="28">
        <f t="shared" si="1"/>
        <v>36991.695068905712</v>
      </c>
      <c r="OF23" s="27">
        <f t="shared" si="149"/>
        <v>0</v>
      </c>
      <c r="OG23" s="27">
        <f t="shared" si="150"/>
        <v>0</v>
      </c>
      <c r="OH23" s="27">
        <v>0</v>
      </c>
      <c r="OI23" s="27">
        <f t="shared" si="151"/>
        <v>0</v>
      </c>
      <c r="OJ23" s="27">
        <f t="shared" si="152"/>
        <v>0</v>
      </c>
      <c r="OK23" s="27">
        <f t="shared" si="153"/>
        <v>0</v>
      </c>
      <c r="OL23" s="24">
        <f t="shared" si="145"/>
        <v>0</v>
      </c>
      <c r="OM23" s="27">
        <f t="shared" si="140"/>
        <v>0</v>
      </c>
      <c r="ON23" s="24">
        <f t="shared" si="141"/>
        <v>19369.543599111006</v>
      </c>
      <c r="OO23" s="27">
        <f t="shared" si="142"/>
        <v>0</v>
      </c>
      <c r="OP23" s="27">
        <f t="shared" si="143"/>
        <v>2536.485167932914</v>
      </c>
      <c r="OQ23" s="27">
        <f t="shared" si="144"/>
        <v>0</v>
      </c>
      <c r="OR23" s="28">
        <f t="shared" si="2"/>
        <v>21906.028767043921</v>
      </c>
      <c r="OS23" s="36"/>
      <c r="OT23" s="27"/>
      <c r="OU23" s="27"/>
      <c r="OV23" s="27"/>
      <c r="OW23" s="27"/>
      <c r="OX23" s="27"/>
      <c r="OY23" s="28">
        <f t="shared" si="91"/>
        <v>0</v>
      </c>
      <c r="OZ23" s="36">
        <f t="shared" si="92"/>
        <v>0</v>
      </c>
      <c r="PA23" s="27">
        <f t="shared" si="93"/>
        <v>0</v>
      </c>
      <c r="PB23" s="27">
        <f t="shared" si="94"/>
        <v>0</v>
      </c>
      <c r="PC23" s="27">
        <f t="shared" si="95"/>
        <v>0</v>
      </c>
      <c r="PD23" s="27">
        <f t="shared" si="96"/>
        <v>0</v>
      </c>
      <c r="PE23" s="27">
        <f t="shared" si="97"/>
        <v>0</v>
      </c>
      <c r="PF23" s="33">
        <f t="shared" si="3"/>
        <v>0</v>
      </c>
      <c r="PG23" s="2621"/>
      <c r="PI23" s="2">
        <v>0</v>
      </c>
      <c r="PJ23" s="3"/>
      <c r="PK23" s="3"/>
      <c r="PL23" s="3">
        <f t="shared" si="98"/>
        <v>0</v>
      </c>
      <c r="PM23" s="3">
        <f t="shared" si="99"/>
        <v>3003.1953876938928</v>
      </c>
      <c r="PN23" s="11">
        <f t="shared" si="100"/>
        <v>20201.645201279462</v>
      </c>
      <c r="PO23" s="15"/>
      <c r="PP23" s="2615"/>
      <c r="PR23" s="4"/>
      <c r="PS23" s="9"/>
      <c r="PT23" s="9"/>
      <c r="PU23" s="9"/>
      <c r="PV23" s="9">
        <v>0</v>
      </c>
      <c r="PW23" s="9"/>
      <c r="PX23" s="8">
        <f t="shared" si="101"/>
        <v>0</v>
      </c>
      <c r="PY23" s="5">
        <f t="shared" si="102"/>
        <v>0</v>
      </c>
      <c r="PZ23" s="5"/>
      <c r="QA23" s="5"/>
      <c r="QB23" s="5"/>
      <c r="QC23" s="5"/>
      <c r="QD23" s="5"/>
      <c r="QE23" s="12">
        <f t="shared" si="103"/>
        <v>29562.488999999998</v>
      </c>
      <c r="QF23" s="420">
        <f t="shared" si="104"/>
        <v>403141.89955850999</v>
      </c>
      <c r="QG23" s="1106">
        <f t="shared" si="105"/>
        <v>357.88</v>
      </c>
      <c r="QH23" s="484">
        <f t="shared" si="106"/>
        <v>5505.3678056099998</v>
      </c>
      <c r="QI23" s="12"/>
      <c r="QJ23" s="2615"/>
      <c r="QL23" s="139">
        <f t="shared" si="107"/>
        <v>0</v>
      </c>
      <c r="QM23" s="139" t="str">
        <f t="shared" si="108"/>
        <v/>
      </c>
      <c r="QO23" s="139">
        <f t="shared" si="109"/>
        <v>0</v>
      </c>
      <c r="QP23" s="139">
        <f t="shared" si="110"/>
        <v>0</v>
      </c>
      <c r="QR23" s="1">
        <f t="shared" si="111"/>
        <v>0</v>
      </c>
      <c r="QS23" s="1">
        <f t="shared" si="112"/>
        <v>0</v>
      </c>
      <c r="QT23" s="1">
        <f t="shared" si="113"/>
        <v>0</v>
      </c>
      <c r="QU23" s="1">
        <f t="shared" si="114"/>
        <v>0</v>
      </c>
      <c r="QV23" s="1">
        <f t="shared" si="115"/>
        <v>0</v>
      </c>
      <c r="QW23" s="1">
        <f t="shared" si="116"/>
        <v>0</v>
      </c>
      <c r="QY23" s="1">
        <f t="shared" si="117"/>
        <v>0</v>
      </c>
      <c r="QZ23" s="1">
        <f t="shared" si="118"/>
        <v>0</v>
      </c>
      <c r="RA23" s="1">
        <f t="shared" si="119"/>
        <v>0</v>
      </c>
      <c r="RB23" s="1">
        <f t="shared" si="120"/>
        <v>0</v>
      </c>
      <c r="RC23" s="1">
        <f t="shared" si="121"/>
        <v>0</v>
      </c>
      <c r="RD23" s="1">
        <f t="shared" si="122"/>
        <v>0</v>
      </c>
      <c r="RG23" s="1">
        <v>14</v>
      </c>
      <c r="RH23" s="1">
        <f t="shared" si="146"/>
        <v>-389.05479028290074</v>
      </c>
      <c r="RI23" s="1">
        <f t="shared" si="147"/>
        <v>5715.671780483719</v>
      </c>
      <c r="RJ23" s="1">
        <f t="shared" si="148"/>
        <v>13404.263703387322</v>
      </c>
      <c r="RK23" s="89">
        <f t="shared" si="5"/>
        <v>18730.88069358814</v>
      </c>
      <c r="RL23" s="1033">
        <v>14</v>
      </c>
      <c r="RM23" s="1098">
        <f t="shared" si="124"/>
        <v>0</v>
      </c>
      <c r="RN23" s="1098">
        <f t="shared" si="125"/>
        <v>0</v>
      </c>
      <c r="RO23" s="1097">
        <f t="shared" si="125"/>
        <v>0</v>
      </c>
      <c r="RP23" s="1097">
        <f t="shared" si="126"/>
        <v>7205.24</v>
      </c>
      <c r="RQ23" s="1050"/>
      <c r="RR23" s="1116" t="s">
        <v>831</v>
      </c>
      <c r="RS23" s="1048"/>
      <c r="RU23" s="421">
        <v>14</v>
      </c>
      <c r="RV23" s="1095">
        <f t="shared" si="127"/>
        <v>4052.9500000000003</v>
      </c>
      <c r="RW23" s="1115" t="s">
        <v>832</v>
      </c>
      <c r="RX23" s="1114"/>
      <c r="RY23" s="1090"/>
      <c r="RZ23" s="1090">
        <f t="shared" si="128"/>
        <v>0</v>
      </c>
      <c r="SA23" s="1090"/>
      <c r="SB23" s="1090">
        <f t="shared" si="129"/>
        <v>0</v>
      </c>
      <c r="SD23" s="1">
        <v>14</v>
      </c>
      <c r="SE23" s="1">
        <f t="shared" si="130"/>
        <v>0</v>
      </c>
    </row>
    <row r="24" spans="1:500" s="1" customFormat="1">
      <c r="B24" s="471">
        <v>15</v>
      </c>
      <c r="C24" s="4">
        <f t="shared" si="6"/>
        <v>136673</v>
      </c>
      <c r="D24" s="1590">
        <f t="shared" si="131"/>
        <v>8726.9</v>
      </c>
      <c r="E24" s="1895">
        <f t="shared" si="7"/>
        <v>15.661116776862345</v>
      </c>
      <c r="F24" s="870"/>
      <c r="G24" s="870"/>
      <c r="H24" s="52">
        <v>25</v>
      </c>
      <c r="I24" s="61">
        <v>10.07</v>
      </c>
      <c r="J24" s="52"/>
      <c r="K24" s="54"/>
      <c r="L24" s="52">
        <v>21</v>
      </c>
      <c r="M24" s="61">
        <v>6.98</v>
      </c>
      <c r="N24" s="2629"/>
      <c r="O24" s="4">
        <f t="shared" si="132"/>
        <v>91350</v>
      </c>
      <c r="P24" s="1225">
        <f t="shared" si="8"/>
        <v>6082.5</v>
      </c>
      <c r="Q24" s="1913">
        <f t="shared" si="9"/>
        <v>15.018495684340321</v>
      </c>
      <c r="R24" s="33"/>
      <c r="S24" s="26">
        <f t="shared" si="10"/>
        <v>27022</v>
      </c>
      <c r="T24" s="27">
        <f t="shared" si="11"/>
        <v>1244.3999999999999</v>
      </c>
      <c r="U24" s="1909">
        <f t="shared" si="12"/>
        <v>21.714882674381229</v>
      </c>
      <c r="V24" s="28"/>
      <c r="W24" s="26">
        <f t="shared" si="13"/>
        <v>18301</v>
      </c>
      <c r="X24" s="5">
        <f t="shared" si="13"/>
        <v>1400</v>
      </c>
      <c r="Y24" s="325">
        <f t="shared" si="14"/>
        <v>13.072142857142858</v>
      </c>
      <c r="Z24" s="33"/>
      <c r="AA24" s="26">
        <f t="shared" si="15"/>
        <v>0</v>
      </c>
      <c r="AB24" s="27">
        <f t="shared" si="16"/>
        <v>0</v>
      </c>
      <c r="AC24" s="53">
        <f t="shared" si="17"/>
        <v>0</v>
      </c>
      <c r="AD24" s="28"/>
      <c r="AE24" s="36"/>
      <c r="AF24" s="36"/>
      <c r="AG24" s="53">
        <f t="shared" si="18"/>
        <v>0</v>
      </c>
      <c r="AH24" s="28"/>
      <c r="AI24" s="23"/>
      <c r="AJ24" s="27"/>
      <c r="AK24" s="53">
        <f t="shared" si="19"/>
        <v>0</v>
      </c>
      <c r="AL24" s="28"/>
      <c r="AM24" s="2629"/>
      <c r="AN24" s="9"/>
      <c r="AO24" s="5"/>
      <c r="AP24" s="61">
        <f t="shared" si="20"/>
        <v>0</v>
      </c>
      <c r="AQ24" s="36"/>
      <c r="AR24" s="53"/>
      <c r="AS24" s="61">
        <f t="shared" si="21"/>
        <v>0</v>
      </c>
      <c r="AT24" s="36">
        <v>0</v>
      </c>
      <c r="AU24" s="27"/>
      <c r="AV24" s="61">
        <f t="shared" si="22"/>
        <v>0</v>
      </c>
      <c r="AW24" s="36">
        <v>56868</v>
      </c>
      <c r="AX24" s="27">
        <v>4355.84</v>
      </c>
      <c r="AY24" s="1895">
        <f t="shared" si="23"/>
        <v>13.055575962386129</v>
      </c>
      <c r="AZ24" s="1908"/>
      <c r="BA24" s="1909"/>
      <c r="BB24" s="1895">
        <f t="shared" si="24"/>
        <v>0</v>
      </c>
      <c r="BC24" s="1740">
        <v>34482</v>
      </c>
      <c r="BD24" s="1909">
        <v>1726.6599999999999</v>
      </c>
      <c r="BE24" s="1895">
        <f t="shared" si="154"/>
        <v>19.970347375858594</v>
      </c>
      <c r="BF24" s="1908"/>
      <c r="BG24" s="1909"/>
      <c r="BH24" s="1895">
        <f t="shared" si="26"/>
        <v>0</v>
      </c>
      <c r="BI24" s="1908">
        <v>0</v>
      </c>
      <c r="BJ24" s="1909">
        <v>0</v>
      </c>
      <c r="BK24" s="1895">
        <f t="shared" si="27"/>
        <v>0</v>
      </c>
      <c r="BL24" s="1742">
        <v>27022</v>
      </c>
      <c r="BM24" s="1909">
        <v>1244.3999999999999</v>
      </c>
      <c r="BN24" s="1911">
        <f t="shared" si="28"/>
        <v>21.714882674381229</v>
      </c>
      <c r="BO24" s="9"/>
      <c r="BP24" s="64"/>
      <c r="BQ24" s="482">
        <f t="shared" si="29"/>
        <v>0</v>
      </c>
      <c r="BR24" s="9"/>
      <c r="BS24" s="64"/>
      <c r="BT24" s="482">
        <f t="shared" si="30"/>
        <v>0</v>
      </c>
      <c r="BU24" s="9">
        <v>18301</v>
      </c>
      <c r="BV24" s="27">
        <v>1400</v>
      </c>
      <c r="BW24" s="15">
        <f t="shared" si="31"/>
        <v>13.072142857142858</v>
      </c>
      <c r="BX24" s="26"/>
      <c r="BY24" s="27"/>
      <c r="BZ24" s="482">
        <f t="shared" si="32"/>
        <v>0</v>
      </c>
      <c r="CA24" s="9"/>
      <c r="CB24" s="481"/>
      <c r="CC24" s="482">
        <f t="shared" si="33"/>
        <v>0</v>
      </c>
      <c r="CD24" s="4"/>
      <c r="CE24" s="5"/>
      <c r="CF24" s="28">
        <f t="shared" si="34"/>
        <v>0</v>
      </c>
      <c r="CG24" s="150"/>
      <c r="CH24" s="1108"/>
      <c r="CI24" s="5"/>
      <c r="CJ24" s="5"/>
      <c r="CK24" s="5">
        <v>9337.5</v>
      </c>
      <c r="CL24" s="5"/>
      <c r="CM24" s="5">
        <f t="shared" si="35"/>
        <v>9337.5</v>
      </c>
      <c r="CN24" s="33"/>
      <c r="CO24" s="366"/>
      <c r="CQ24" s="4">
        <f t="shared" si="36"/>
        <v>0</v>
      </c>
      <c r="CR24" s="9">
        <f t="shared" si="37"/>
        <v>0</v>
      </c>
      <c r="CS24" s="5">
        <f t="shared" si="38"/>
        <v>0</v>
      </c>
      <c r="CT24" s="5">
        <f t="shared" si="39"/>
        <v>0</v>
      </c>
      <c r="CU24" s="5">
        <f t="shared" si="40"/>
        <v>0</v>
      </c>
      <c r="CV24" s="5">
        <f t="shared" si="41"/>
        <v>0</v>
      </c>
      <c r="CW24" s="5">
        <f t="shared" si="42"/>
        <v>0</v>
      </c>
      <c r="CX24" s="5">
        <f t="shared" si="43"/>
        <v>0</v>
      </c>
      <c r="CY24" s="5">
        <f t="shared" si="44"/>
        <v>7013.8</v>
      </c>
      <c r="CZ24" s="5">
        <f t="shared" si="45"/>
        <v>0</v>
      </c>
      <c r="DA24" s="5">
        <f t="shared" si="46"/>
        <v>1713.1</v>
      </c>
      <c r="DB24" s="12">
        <f t="shared" si="47"/>
        <v>0</v>
      </c>
      <c r="DC24" s="310">
        <f t="shared" si="48"/>
        <v>8726.9</v>
      </c>
      <c r="DD24" s="2695"/>
      <c r="DE24" s="8"/>
      <c r="DF24" s="9"/>
      <c r="DG24" s="5"/>
      <c r="DH24" s="5"/>
      <c r="DI24" s="5"/>
      <c r="DJ24" s="5"/>
      <c r="DK24" s="5">
        <v>0</v>
      </c>
      <c r="DL24" s="5"/>
      <c r="DM24" s="5">
        <v>4355.84</v>
      </c>
      <c r="DN24" s="5"/>
      <c r="DO24" s="5"/>
      <c r="DP24" s="12"/>
      <c r="DQ24" s="28">
        <f t="shared" si="49"/>
        <v>4355.84</v>
      </c>
      <c r="DR24" s="36"/>
      <c r="DS24" s="9"/>
      <c r="DT24" s="5"/>
      <c r="DU24" s="5"/>
      <c r="DV24" s="5"/>
      <c r="DW24" s="5"/>
      <c r="DX24" s="5"/>
      <c r="DY24" s="5"/>
      <c r="DZ24" s="5">
        <v>2657.96</v>
      </c>
      <c r="EA24" s="27"/>
      <c r="EB24" s="27">
        <v>313.09999999999997</v>
      </c>
      <c r="EC24" s="33"/>
      <c r="ED24" s="28">
        <f t="shared" si="50"/>
        <v>2971.06</v>
      </c>
      <c r="EE24" s="9"/>
      <c r="EF24" s="36"/>
      <c r="EG24" s="5"/>
      <c r="EH24" s="27"/>
      <c r="EI24" s="27"/>
      <c r="EJ24" s="27"/>
      <c r="EK24" s="27"/>
      <c r="EL24" s="27"/>
      <c r="EM24" s="5"/>
      <c r="EN24" s="5"/>
      <c r="EO24" s="5">
        <v>1400</v>
      </c>
      <c r="EP24" s="33"/>
      <c r="EQ24" s="28">
        <f t="shared" si="51"/>
        <v>1400</v>
      </c>
      <c r="ER24" s="36"/>
      <c r="ES24" s="27"/>
      <c r="ET24" s="27"/>
      <c r="EU24" s="27"/>
      <c r="EV24" s="27"/>
      <c r="EW24" s="27"/>
      <c r="EX24" s="33">
        <f t="shared" si="52"/>
        <v>0</v>
      </c>
      <c r="EY24" s="2685"/>
      <c r="FA24" s="4">
        <f t="shared" si="53"/>
        <v>0</v>
      </c>
      <c r="FB24" s="5">
        <f t="shared" si="54"/>
        <v>0</v>
      </c>
      <c r="FC24" s="5">
        <f t="shared" si="55"/>
        <v>0</v>
      </c>
      <c r="FD24" s="12">
        <f t="shared" si="56"/>
        <v>0</v>
      </c>
      <c r="FE24" s="33"/>
      <c r="FF24" s="2674"/>
      <c r="FG24" s="9"/>
      <c r="FH24" s="5"/>
      <c r="FI24" s="5"/>
      <c r="FJ24" s="5"/>
      <c r="FK24" s="5"/>
      <c r="FL24" s="27"/>
      <c r="FM24" s="28">
        <f t="shared" si="57"/>
        <v>0</v>
      </c>
      <c r="FN24" s="36"/>
      <c r="FO24" s="27"/>
      <c r="FP24" s="27"/>
      <c r="FQ24" s="27"/>
      <c r="FR24" s="27"/>
      <c r="FS24" s="27"/>
      <c r="FT24" s="28">
        <f t="shared" si="58"/>
        <v>0</v>
      </c>
      <c r="FU24" s="36"/>
      <c r="FV24" s="36"/>
      <c r="FW24" s="27"/>
      <c r="FX24" s="27"/>
      <c r="FY24" s="27"/>
      <c r="FZ24" s="27"/>
      <c r="GA24" s="27"/>
      <c r="GB24" s="27"/>
      <c r="GC24" s="27"/>
      <c r="GD24" s="27"/>
      <c r="GE24" s="27"/>
      <c r="GF24" s="33"/>
      <c r="GG24" s="33">
        <f t="shared" si="59"/>
        <v>0</v>
      </c>
      <c r="GH24" s="2674"/>
      <c r="GJ24" s="2">
        <f t="shared" si="133"/>
        <v>2792.3</v>
      </c>
      <c r="GK24" s="1942">
        <f t="shared" si="134"/>
        <v>4031.15</v>
      </c>
      <c r="GL24" s="1943">
        <f t="shared" si="135"/>
        <v>75.55</v>
      </c>
      <c r="GM24" s="1736">
        <f t="shared" si="60"/>
        <v>6899.0000000000009</v>
      </c>
      <c r="GN24" s="141"/>
      <c r="GO24" s="141"/>
      <c r="GP24" s="33"/>
      <c r="GQ24" s="2667"/>
      <c r="GR24" s="152">
        <v>6899</v>
      </c>
      <c r="GS24" s="27">
        <v>0</v>
      </c>
      <c r="GT24" s="27">
        <v>0</v>
      </c>
      <c r="GU24" s="27">
        <v>0</v>
      </c>
      <c r="GV24" s="1941">
        <f t="shared" si="61"/>
        <v>6899</v>
      </c>
      <c r="GW24" s="2667"/>
      <c r="GX24" s="36"/>
      <c r="GY24" s="36"/>
      <c r="GZ24" s="27"/>
      <c r="HA24" s="27"/>
      <c r="HB24" s="27"/>
      <c r="HC24" s="27"/>
      <c r="HD24" s="27"/>
      <c r="HE24" s="27"/>
      <c r="HF24" s="27">
        <v>2792.3</v>
      </c>
      <c r="HG24" s="27"/>
      <c r="HH24" s="27">
        <v>0</v>
      </c>
      <c r="HI24" s="27"/>
      <c r="HJ24" s="27">
        <v>0</v>
      </c>
      <c r="HK24" s="27"/>
      <c r="HL24" s="1906">
        <f t="shared" si="62"/>
        <v>2792.3</v>
      </c>
      <c r="HM24" s="36"/>
      <c r="HN24" s="27"/>
      <c r="HO24" s="27"/>
      <c r="HP24" s="27"/>
      <c r="HQ24" s="27"/>
      <c r="HR24" s="27"/>
      <c r="HS24" s="27" cm="1">
        <f t="array" ref="HS24">SUMPRODUCT(('Data Base hauling'!$C$2:$C$216="TCM-ROM SB1 BK05-ROM 4")*(ISNUMBER(SEARCH(TEXT('March TCM'!$B24,"00")&amp;"/03/2026",'Data Base hauling'!$E$2:$E$216)))*'Data Base hauling'!$N$2:$N$216)</f>
        <v>0</v>
      </c>
      <c r="HT24" s="27"/>
      <c r="HU24" s="27" cm="1">
        <f t="array" ref="HU24">SUMPRODUCT(('Data Base hauling'!$C$2:$C$216="TCM-ROM SB1 BK05-ROM 5")*(ISNUMBER(SEARCH(TEXT('March TCM'!$B24,"00")&amp;"/03/2026",'Data Base hauling'!$E$2:$E$216)))*'Data Base hauling'!$N$2:$N$216)</f>
        <v>0</v>
      </c>
      <c r="HV24" s="27"/>
      <c r="HW24" s="27"/>
      <c r="HX24" s="27"/>
      <c r="HY24" s="27"/>
      <c r="HZ24" s="27"/>
      <c r="IA24" s="33">
        <f t="shared" si="63"/>
        <v>0</v>
      </c>
      <c r="IB24" s="52"/>
      <c r="IC24" s="152"/>
      <c r="ID24" s="53"/>
      <c r="IE24" s="53"/>
      <c r="IF24" s="53"/>
      <c r="IG24" s="53"/>
      <c r="IH24" s="53">
        <v>0</v>
      </c>
      <c r="II24" s="53"/>
      <c r="IJ24" s="1736">
        <v>3995.15</v>
      </c>
      <c r="IK24" s="53"/>
      <c r="IL24" s="53">
        <v>0</v>
      </c>
      <c r="IM24" s="53"/>
      <c r="IN24" s="53"/>
      <c r="IO24" s="49">
        <v>36</v>
      </c>
      <c r="IP24" s="61">
        <f t="shared" si="64"/>
        <v>4031.15</v>
      </c>
      <c r="IQ24" s="36"/>
      <c r="IR24" s="36"/>
      <c r="IS24" s="53"/>
      <c r="IT24" s="27"/>
      <c r="IU24" s="53"/>
      <c r="IV24" s="27"/>
      <c r="IW24" s="27">
        <v>0</v>
      </c>
      <c r="IX24" s="27"/>
      <c r="IY24" s="27">
        <v>75.55</v>
      </c>
      <c r="IZ24" s="27"/>
      <c r="JA24" s="27">
        <v>0</v>
      </c>
      <c r="JB24" s="27"/>
      <c r="JC24" s="27"/>
      <c r="JD24" s="27"/>
      <c r="JE24" s="1941">
        <f t="shared" si="138"/>
        <v>75.55</v>
      </c>
      <c r="JF24" s="2667"/>
      <c r="JH24" s="2020">
        <v>6899</v>
      </c>
      <c r="JI24" s="2021">
        <v>0</v>
      </c>
      <c r="JJ24" s="53"/>
      <c r="JK24" s="53">
        <f t="shared" si="65"/>
        <v>6899</v>
      </c>
      <c r="JL24" s="33"/>
      <c r="JM24" s="2669"/>
      <c r="JN24" s="69">
        <v>0</v>
      </c>
      <c r="JO24" s="70">
        <v>0</v>
      </c>
      <c r="JP24" s="70">
        <v>0</v>
      </c>
      <c r="JQ24" s="70">
        <v>0</v>
      </c>
      <c r="JR24" s="70">
        <v>0.99478185244238293</v>
      </c>
      <c r="JS24" s="70">
        <v>0</v>
      </c>
      <c r="JT24" s="70">
        <v>0</v>
      </c>
      <c r="JU24" s="1922">
        <v>0</v>
      </c>
      <c r="JV24" s="69" t="s">
        <v>296</v>
      </c>
      <c r="JW24" s="70" t="s">
        <v>296</v>
      </c>
      <c r="JX24" s="70" t="s">
        <v>296</v>
      </c>
      <c r="JY24" s="70" t="s">
        <v>296</v>
      </c>
      <c r="JZ24" s="70" t="s">
        <v>296</v>
      </c>
      <c r="KA24" s="70" t="s">
        <v>296</v>
      </c>
      <c r="KB24" s="70" t="s">
        <v>296</v>
      </c>
      <c r="KC24" s="71" t="s">
        <v>296</v>
      </c>
      <c r="KD24" s="69"/>
      <c r="KE24" s="70"/>
      <c r="KF24" s="70"/>
      <c r="KG24" s="70"/>
      <c r="KH24" s="70"/>
      <c r="KI24" s="70"/>
      <c r="KJ24" s="70"/>
      <c r="KK24" s="70"/>
      <c r="KL24" s="33"/>
      <c r="KM24" s="2669"/>
      <c r="KN24" s="36">
        <v>7207.4704505558802</v>
      </c>
      <c r="KO24" s="1968">
        <v>0.80005851375073134</v>
      </c>
      <c r="KP24" s="1968">
        <v>2.8731538911644234</v>
      </c>
      <c r="KQ24" s="1968">
        <v>6.0446928028086599</v>
      </c>
      <c r="KR24" s="1969">
        <v>11.012705675833821</v>
      </c>
      <c r="KS24" s="1959">
        <v>7278</v>
      </c>
      <c r="KT24" s="1964">
        <v>1.05</v>
      </c>
      <c r="KU24" s="1964">
        <v>3.7</v>
      </c>
      <c r="KV24" s="1964">
        <v>6.35</v>
      </c>
      <c r="KW24" s="1965">
        <v>9.6277499999999989</v>
      </c>
      <c r="KX24" s="36"/>
      <c r="KY24" s="53"/>
      <c r="KZ24" s="53"/>
      <c r="LA24" s="53"/>
      <c r="LB24" s="53"/>
      <c r="LC24" s="33"/>
      <c r="LD24" s="2669"/>
      <c r="LF24" s="4">
        <f t="shared" si="66"/>
        <v>8004.44</v>
      </c>
      <c r="LG24" s="27">
        <f t="shared" si="66"/>
        <v>2001.11</v>
      </c>
      <c r="LH24" s="27">
        <f t="shared" si="66"/>
        <v>0</v>
      </c>
      <c r="LI24" s="28">
        <f t="shared" si="67"/>
        <v>10005.549999999999</v>
      </c>
      <c r="LJ24" s="36">
        <v>1</v>
      </c>
      <c r="LK24" s="27"/>
      <c r="LL24" s="27"/>
      <c r="LM24" s="33"/>
      <c r="LN24" s="1957">
        <v>6</v>
      </c>
      <c r="LO24" s="486"/>
      <c r="LP24" s="2688"/>
      <c r="LQ24" s="36">
        <v>8004.44</v>
      </c>
      <c r="LR24" s="36">
        <v>2001.11</v>
      </c>
      <c r="LS24" s="27"/>
      <c r="LT24" s="27"/>
      <c r="LU24" s="27"/>
      <c r="LV24" s="1107">
        <f t="shared" si="68"/>
        <v>10005.549999999999</v>
      </c>
      <c r="LW24" s="36"/>
      <c r="LX24" s="36"/>
      <c r="LY24" s="27"/>
      <c r="LZ24" s="27"/>
      <c r="MA24" s="33"/>
      <c r="MB24" s="28">
        <f t="shared" si="69"/>
        <v>0</v>
      </c>
      <c r="MC24" s="26"/>
      <c r="MD24" s="36"/>
      <c r="ME24" s="27"/>
      <c r="MF24" s="27"/>
      <c r="MG24" s="27"/>
      <c r="MH24" s="28"/>
      <c r="MI24" s="36"/>
      <c r="MJ24" s="36"/>
      <c r="MK24" s="27"/>
      <c r="ML24" s="27"/>
      <c r="MM24" s="27"/>
      <c r="MN24" s="28"/>
      <c r="MO24" s="36"/>
      <c r="MP24" s="36"/>
      <c r="MQ24" s="27"/>
      <c r="MR24" s="27"/>
      <c r="MS24" s="27"/>
      <c r="MT24" s="33">
        <f t="shared" si="70"/>
        <v>0</v>
      </c>
      <c r="MU24" s="2688"/>
      <c r="MW24" s="26">
        <f t="shared" si="71"/>
        <v>50230.842645013399</v>
      </c>
      <c r="MX24" s="27">
        <f t="shared" si="72"/>
        <v>116275.57224882352</v>
      </c>
      <c r="MY24" s="27">
        <f t="shared" si="73"/>
        <v>20201.645201279462</v>
      </c>
      <c r="MZ24" s="28">
        <f t="shared" si="74"/>
        <v>433026.26855851</v>
      </c>
      <c r="NA24" s="2621"/>
      <c r="NB24" s="23">
        <f t="shared" si="75"/>
        <v>28535.519437467858</v>
      </c>
      <c r="NC24" s="1579">
        <f t="shared" si="76"/>
        <v>21695.323207545538</v>
      </c>
      <c r="ND24" s="60">
        <f t="shared" si="77"/>
        <v>0</v>
      </c>
      <c r="NE24" s="275">
        <f t="shared" si="4"/>
        <v>50230.842645013399</v>
      </c>
      <c r="NF24" s="26">
        <f t="shared" si="78"/>
        <v>0</v>
      </c>
      <c r="NG24" s="27">
        <f t="shared" si="78"/>
        <v>0</v>
      </c>
      <c r="NH24" s="27">
        <f t="shared" si="78"/>
        <v>0</v>
      </c>
      <c r="NI24" s="27">
        <f t="shared" si="78"/>
        <v>0</v>
      </c>
      <c r="NJ24" s="27">
        <f t="shared" si="78"/>
        <v>0</v>
      </c>
      <c r="NK24" s="33">
        <f t="shared" si="78"/>
        <v>0</v>
      </c>
      <c r="NL24" s="27">
        <f t="shared" si="78"/>
        <v>0</v>
      </c>
      <c r="NM24" s="36">
        <f t="shared" si="78"/>
        <v>0</v>
      </c>
      <c r="NN24" s="24">
        <f t="shared" si="78"/>
        <v>4439.4305665631437</v>
      </c>
      <c r="NO24" s="27">
        <f t="shared" si="78"/>
        <v>26196.69549600617</v>
      </c>
      <c r="NP24" s="24">
        <f t="shared" si="136"/>
        <v>8756.5482322711578</v>
      </c>
      <c r="NQ24" s="24">
        <f t="shared" si="137"/>
        <v>14728.974118033408</v>
      </c>
      <c r="NR24" s="27">
        <f t="shared" si="0"/>
        <v>54121.648412873881</v>
      </c>
      <c r="NS24" s="27">
        <f t="shared" si="79"/>
        <v>0</v>
      </c>
      <c r="NT24" s="27">
        <f t="shared" si="80"/>
        <v>0</v>
      </c>
      <c r="NU24" s="27">
        <f t="shared" si="81"/>
        <v>0</v>
      </c>
      <c r="NV24" s="27">
        <f t="shared" si="82"/>
        <v>0</v>
      </c>
      <c r="NW24" s="27">
        <f t="shared" si="83"/>
        <v>0</v>
      </c>
      <c r="NX24" s="5">
        <f t="shared" si="84"/>
        <v>0</v>
      </c>
      <c r="NY24" s="27">
        <f t="shared" si="85"/>
        <v>1862.0836022929118</v>
      </c>
      <c r="NZ24" s="27">
        <f t="shared" si="86"/>
        <v>0</v>
      </c>
      <c r="OA24" s="27">
        <f t="shared" si="87"/>
        <v>35140.758066782837</v>
      </c>
      <c r="OB24" s="280"/>
      <c r="OC24" s="24">
        <f t="shared" si="88"/>
        <v>349.54339982995594</v>
      </c>
      <c r="OD24" s="27">
        <f t="shared" si="89"/>
        <v>0</v>
      </c>
      <c r="OE24" s="28">
        <f t="shared" si="1"/>
        <v>37352.385068905707</v>
      </c>
      <c r="OF24" s="27">
        <f t="shared" si="149"/>
        <v>0</v>
      </c>
      <c r="OG24" s="27">
        <f t="shared" si="150"/>
        <v>0</v>
      </c>
      <c r="OH24" s="27">
        <f t="shared" ref="OH24:OH40" si="155">+OH23+DT24+FW24-IS24</f>
        <v>0</v>
      </c>
      <c r="OI24" s="27">
        <f t="shared" si="151"/>
        <v>0</v>
      </c>
      <c r="OJ24" s="27">
        <f t="shared" si="152"/>
        <v>0</v>
      </c>
      <c r="OK24" s="27">
        <f t="shared" si="153"/>
        <v>0</v>
      </c>
      <c r="OL24" s="24">
        <f t="shared" si="145"/>
        <v>0</v>
      </c>
      <c r="OM24" s="27">
        <f t="shared" si="140"/>
        <v>0</v>
      </c>
      <c r="ON24" s="24">
        <f t="shared" si="141"/>
        <v>21951.953599111006</v>
      </c>
      <c r="OO24" s="27">
        <f t="shared" si="142"/>
        <v>0</v>
      </c>
      <c r="OP24" s="27">
        <f t="shared" si="143"/>
        <v>2849.5851679329139</v>
      </c>
      <c r="OQ24" s="27">
        <f t="shared" si="144"/>
        <v>0</v>
      </c>
      <c r="OR24" s="28">
        <f t="shared" si="2"/>
        <v>24801.53876704392</v>
      </c>
      <c r="OS24" s="36"/>
      <c r="OT24" s="27"/>
      <c r="OU24" s="27"/>
      <c r="OV24" s="27"/>
      <c r="OW24" s="27"/>
      <c r="OX24" s="27"/>
      <c r="OY24" s="28">
        <f t="shared" si="91"/>
        <v>0</v>
      </c>
      <c r="OZ24" s="36">
        <f t="shared" si="92"/>
        <v>0</v>
      </c>
      <c r="PA24" s="27">
        <f t="shared" si="93"/>
        <v>0</v>
      </c>
      <c r="PB24" s="27">
        <f t="shared" si="94"/>
        <v>0</v>
      </c>
      <c r="PC24" s="27">
        <f t="shared" si="95"/>
        <v>0</v>
      </c>
      <c r="PD24" s="27">
        <f t="shared" si="96"/>
        <v>0</v>
      </c>
      <c r="PE24" s="27">
        <f t="shared" si="97"/>
        <v>0</v>
      </c>
      <c r="PF24" s="33">
        <f t="shared" si="3"/>
        <v>0</v>
      </c>
      <c r="PG24" s="2621"/>
      <c r="PI24" s="2">
        <v>0</v>
      </c>
      <c r="PJ24" s="3"/>
      <c r="PK24" s="3"/>
      <c r="PL24" s="3">
        <f t="shared" si="98"/>
        <v>0</v>
      </c>
      <c r="PM24" s="3">
        <f t="shared" si="99"/>
        <v>3003.1953876938928</v>
      </c>
      <c r="PN24" s="11">
        <f t="shared" si="100"/>
        <v>20201.645201279462</v>
      </c>
      <c r="PO24" s="15"/>
      <c r="PP24" s="2615"/>
      <c r="PR24" s="4"/>
      <c r="PS24" s="9"/>
      <c r="PT24" s="9"/>
      <c r="PU24" s="9"/>
      <c r="PV24" s="1112">
        <v>0</v>
      </c>
      <c r="PW24" s="9"/>
      <c r="PX24" s="8">
        <f t="shared" si="101"/>
        <v>0</v>
      </c>
      <c r="PY24" s="5">
        <f t="shared" si="102"/>
        <v>0</v>
      </c>
      <c r="PZ24" s="5"/>
      <c r="QA24" s="5"/>
      <c r="QB24" s="5"/>
      <c r="QC24" s="5"/>
      <c r="QD24" s="5"/>
      <c r="QE24" s="12">
        <f t="shared" si="103"/>
        <v>29562.488999999998</v>
      </c>
      <c r="QF24" s="420">
        <f t="shared" si="104"/>
        <v>403105.89955850999</v>
      </c>
      <c r="QG24" s="1106">
        <f t="shared" si="105"/>
        <v>357.88</v>
      </c>
      <c r="QH24" s="484">
        <f t="shared" si="106"/>
        <v>5505.3678056099998</v>
      </c>
      <c r="QI24" s="12"/>
      <c r="QJ24" s="2615"/>
      <c r="QL24" s="139">
        <f t="shared" si="107"/>
        <v>0</v>
      </c>
      <c r="QM24" s="139" t="str">
        <f t="shared" si="108"/>
        <v/>
      </c>
      <c r="QO24" s="139">
        <f t="shared" si="109"/>
        <v>0</v>
      </c>
      <c r="QP24" s="139">
        <f t="shared" si="110"/>
        <v>0</v>
      </c>
      <c r="QR24" s="1">
        <f t="shared" si="111"/>
        <v>0</v>
      </c>
      <c r="QS24" s="1">
        <f t="shared" si="112"/>
        <v>0</v>
      </c>
      <c r="QT24" s="1">
        <f t="shared" si="113"/>
        <v>0</v>
      </c>
      <c r="QU24" s="1">
        <f t="shared" si="114"/>
        <v>0</v>
      </c>
      <c r="QV24" s="1">
        <f t="shared" si="115"/>
        <v>0</v>
      </c>
      <c r="QW24" s="1">
        <f t="shared" si="116"/>
        <v>0</v>
      </c>
      <c r="QY24" s="1">
        <f t="shared" si="117"/>
        <v>0</v>
      </c>
      <c r="QZ24" s="1">
        <f t="shared" si="118"/>
        <v>0</v>
      </c>
      <c r="RA24" s="1">
        <f t="shared" si="119"/>
        <v>0</v>
      </c>
      <c r="RB24" s="1">
        <f t="shared" si="120"/>
        <v>0</v>
      </c>
      <c r="RC24" s="1">
        <f t="shared" si="121"/>
        <v>0</v>
      </c>
      <c r="RD24" s="1">
        <f t="shared" si="122"/>
        <v>0</v>
      </c>
      <c r="RG24" s="1">
        <v>15</v>
      </c>
      <c r="RH24" s="1">
        <f t="shared" si="146"/>
        <v>-1494.4947902828999</v>
      </c>
      <c r="RI24" s="1">
        <f t="shared" si="147"/>
        <v>3714.5617804837193</v>
      </c>
      <c r="RJ24" s="1">
        <f t="shared" si="148"/>
        <v>13404.263703387322</v>
      </c>
      <c r="RK24" s="89">
        <f t="shared" si="5"/>
        <v>15624.330693588141</v>
      </c>
      <c r="RL24" s="1033">
        <v>15</v>
      </c>
      <c r="RM24" s="1098">
        <f t="shared" si="124"/>
        <v>0</v>
      </c>
      <c r="RN24" s="1098">
        <f t="shared" si="125"/>
        <v>0</v>
      </c>
      <c r="RO24" s="1097">
        <f t="shared" si="125"/>
        <v>0</v>
      </c>
      <c r="RP24" s="1097">
        <f t="shared" si="126"/>
        <v>7326.9</v>
      </c>
      <c r="RQ24" s="1050"/>
      <c r="RR24" s="1050" t="s">
        <v>833</v>
      </c>
      <c r="RS24" s="1048"/>
      <c r="RU24" s="421">
        <v>15</v>
      </c>
      <c r="RV24" s="1095">
        <f t="shared" si="127"/>
        <v>6899</v>
      </c>
      <c r="RW24" s="1046" t="s">
        <v>834</v>
      </c>
      <c r="RY24" s="1090"/>
      <c r="RZ24" s="1090">
        <f t="shared" si="128"/>
        <v>0</v>
      </c>
      <c r="SA24" s="1090"/>
      <c r="SB24" s="1090">
        <f t="shared" si="129"/>
        <v>0</v>
      </c>
      <c r="SD24" s="1">
        <v>15</v>
      </c>
      <c r="SE24" s="1">
        <f t="shared" si="130"/>
        <v>0</v>
      </c>
      <c r="SF24" s="1094"/>
    </row>
    <row r="25" spans="1:500" s="1" customFormat="1">
      <c r="B25" s="471">
        <v>16</v>
      </c>
      <c r="C25" s="4">
        <f t="shared" si="6"/>
        <v>136912</v>
      </c>
      <c r="D25" s="1590">
        <f t="shared" si="131"/>
        <v>7017.14</v>
      </c>
      <c r="E25" s="1895">
        <f t="shared" si="7"/>
        <v>19.511082862818753</v>
      </c>
      <c r="F25" s="870"/>
      <c r="G25" s="870"/>
      <c r="H25" s="52">
        <v>46</v>
      </c>
      <c r="I25" s="61">
        <v>9.25</v>
      </c>
      <c r="J25" s="52"/>
      <c r="K25" s="54"/>
      <c r="L25" s="52"/>
      <c r="M25" s="61"/>
      <c r="N25" s="2629"/>
      <c r="O25" s="4">
        <f t="shared" si="132"/>
        <v>92694</v>
      </c>
      <c r="P25" s="1225">
        <f t="shared" si="8"/>
        <v>4879.0200000000004</v>
      </c>
      <c r="Q25" s="1913">
        <f t="shared" si="9"/>
        <v>18.998487401158428</v>
      </c>
      <c r="R25" s="33"/>
      <c r="S25" s="26">
        <f t="shared" si="10"/>
        <v>27760</v>
      </c>
      <c r="T25" s="27">
        <f t="shared" si="11"/>
        <v>938.12</v>
      </c>
      <c r="U25" s="1909">
        <f t="shared" si="12"/>
        <v>29.591097087792605</v>
      </c>
      <c r="V25" s="28"/>
      <c r="W25" s="26">
        <f t="shared" si="13"/>
        <v>16458</v>
      </c>
      <c r="X25" s="5">
        <f t="shared" si="13"/>
        <v>1200</v>
      </c>
      <c r="Y25" s="27">
        <f t="shared" si="14"/>
        <v>13.715</v>
      </c>
      <c r="Z25" s="33"/>
      <c r="AA25" s="26">
        <f t="shared" si="15"/>
        <v>0</v>
      </c>
      <c r="AB25" s="27">
        <f t="shared" si="16"/>
        <v>0</v>
      </c>
      <c r="AC25" s="53">
        <f t="shared" si="17"/>
        <v>0</v>
      </c>
      <c r="AD25" s="28"/>
      <c r="AE25" s="36"/>
      <c r="AF25" s="36"/>
      <c r="AG25" s="53">
        <f t="shared" si="18"/>
        <v>0</v>
      </c>
      <c r="AH25" s="28"/>
      <c r="AI25" s="26"/>
      <c r="AJ25" s="27"/>
      <c r="AK25" s="53">
        <f t="shared" si="19"/>
        <v>0</v>
      </c>
      <c r="AL25" s="28"/>
      <c r="AM25" s="2629"/>
      <c r="AN25" s="9"/>
      <c r="AO25" s="5"/>
      <c r="AP25" s="61">
        <f t="shared" si="20"/>
        <v>0</v>
      </c>
      <c r="AQ25" s="36"/>
      <c r="AR25" s="53"/>
      <c r="AS25" s="61">
        <f t="shared" si="21"/>
        <v>0</v>
      </c>
      <c r="AT25" s="36">
        <v>0</v>
      </c>
      <c r="AU25" s="27"/>
      <c r="AV25" s="61">
        <f t="shared" si="22"/>
        <v>0</v>
      </c>
      <c r="AW25" s="36">
        <v>53046</v>
      </c>
      <c r="AX25" s="27">
        <v>3344.32</v>
      </c>
      <c r="AY25" s="1895">
        <f t="shared" si="23"/>
        <v>15.861520428667113</v>
      </c>
      <c r="AZ25" s="1908"/>
      <c r="BA25" s="1909"/>
      <c r="BB25" s="1895">
        <f t="shared" si="24"/>
        <v>0</v>
      </c>
      <c r="BC25" s="1740">
        <v>39648</v>
      </c>
      <c r="BD25" s="1909">
        <v>1534.6999999999998</v>
      </c>
      <c r="BE25" s="1895">
        <f t="shared" si="154"/>
        <v>25.834365022479968</v>
      </c>
      <c r="BF25" s="1908"/>
      <c r="BG25" s="1909"/>
      <c r="BH25" s="1895">
        <f t="shared" si="26"/>
        <v>0</v>
      </c>
      <c r="BI25" s="1908">
        <v>0</v>
      </c>
      <c r="BJ25" s="1909">
        <v>0</v>
      </c>
      <c r="BK25" s="1895">
        <f t="shared" si="27"/>
        <v>0</v>
      </c>
      <c r="BL25" s="1742">
        <v>27760</v>
      </c>
      <c r="BM25" s="1909">
        <v>938.12</v>
      </c>
      <c r="BN25" s="1911">
        <f t="shared" si="28"/>
        <v>29.591097087792605</v>
      </c>
      <c r="BO25" s="9"/>
      <c r="BP25" s="64"/>
      <c r="BQ25" s="482">
        <f t="shared" si="29"/>
        <v>0</v>
      </c>
      <c r="BR25" s="9"/>
      <c r="BS25" s="64"/>
      <c r="BT25" s="482">
        <f t="shared" si="30"/>
        <v>0</v>
      </c>
      <c r="BU25" s="9">
        <v>16458</v>
      </c>
      <c r="BV25" s="27">
        <v>1200</v>
      </c>
      <c r="BW25" s="15">
        <f t="shared" si="31"/>
        <v>13.715</v>
      </c>
      <c r="BX25" s="26"/>
      <c r="BY25" s="5"/>
      <c r="BZ25" s="482">
        <f t="shared" si="32"/>
        <v>0</v>
      </c>
      <c r="CA25" s="9"/>
      <c r="CB25" s="481"/>
      <c r="CC25" s="482">
        <f t="shared" si="33"/>
        <v>0</v>
      </c>
      <c r="CD25" s="4"/>
      <c r="CE25" s="5"/>
      <c r="CF25" s="28">
        <f t="shared" si="34"/>
        <v>0</v>
      </c>
      <c r="CG25" s="150"/>
      <c r="CH25" s="1108"/>
      <c r="CI25" s="5"/>
      <c r="CJ25" s="5"/>
      <c r="CK25" s="5">
        <v>6175</v>
      </c>
      <c r="CL25" s="5"/>
      <c r="CM25" s="5">
        <f t="shared" si="35"/>
        <v>6175</v>
      </c>
      <c r="CN25" s="33"/>
      <c r="CO25" s="366"/>
      <c r="CQ25" s="4">
        <f t="shared" si="36"/>
        <v>0</v>
      </c>
      <c r="CR25" s="9">
        <f t="shared" si="37"/>
        <v>0</v>
      </c>
      <c r="CS25" s="5">
        <f t="shared" si="38"/>
        <v>0</v>
      </c>
      <c r="CT25" s="5">
        <f t="shared" si="39"/>
        <v>0</v>
      </c>
      <c r="CU25" s="5">
        <f t="shared" si="40"/>
        <v>0</v>
      </c>
      <c r="CV25" s="5">
        <f t="shared" si="41"/>
        <v>0</v>
      </c>
      <c r="CW25" s="5">
        <f t="shared" si="42"/>
        <v>1690.56</v>
      </c>
      <c r="CX25" s="5">
        <f t="shared" si="43"/>
        <v>0</v>
      </c>
      <c r="CY25" s="5">
        <f t="shared" si="44"/>
        <v>3536.0400000000004</v>
      </c>
      <c r="CZ25" s="5">
        <f t="shared" si="45"/>
        <v>0</v>
      </c>
      <c r="DA25" s="5">
        <f t="shared" si="46"/>
        <v>1790.54</v>
      </c>
      <c r="DB25" s="12">
        <f t="shared" si="47"/>
        <v>0</v>
      </c>
      <c r="DC25" s="310">
        <f t="shared" si="48"/>
        <v>7017.14</v>
      </c>
      <c r="DD25" s="2695"/>
      <c r="DE25" s="8"/>
      <c r="DF25" s="9"/>
      <c r="DG25" s="5"/>
      <c r="DH25" s="5"/>
      <c r="DI25" s="5"/>
      <c r="DJ25" s="5"/>
      <c r="DK25" s="5">
        <v>1690.56</v>
      </c>
      <c r="DL25" s="5"/>
      <c r="DM25" s="5">
        <v>1653.7600000000002</v>
      </c>
      <c r="DN25" s="5"/>
      <c r="DO25" s="5"/>
      <c r="DP25" s="12"/>
      <c r="DQ25" s="28">
        <f t="shared" si="49"/>
        <v>3344.32</v>
      </c>
      <c r="DR25" s="36"/>
      <c r="DS25" s="9"/>
      <c r="DT25" s="5"/>
      <c r="DU25" s="5"/>
      <c r="DV25" s="5"/>
      <c r="DW25" s="5"/>
      <c r="DX25" s="5"/>
      <c r="DY25" s="5"/>
      <c r="DZ25" s="5">
        <v>1882.2800000000002</v>
      </c>
      <c r="EA25" s="27"/>
      <c r="EB25" s="27">
        <v>590.54</v>
      </c>
      <c r="EC25" s="33"/>
      <c r="ED25" s="28">
        <f t="shared" si="50"/>
        <v>2472.8200000000002</v>
      </c>
      <c r="EE25" s="9"/>
      <c r="EF25" s="36"/>
      <c r="EG25" s="5"/>
      <c r="EH25" s="27"/>
      <c r="EI25" s="27"/>
      <c r="EJ25" s="27"/>
      <c r="EK25" s="27"/>
      <c r="EL25" s="27"/>
      <c r="EM25" s="5"/>
      <c r="EN25" s="5"/>
      <c r="EO25" s="5">
        <v>1200</v>
      </c>
      <c r="EP25" s="33"/>
      <c r="EQ25" s="28">
        <f t="shared" si="51"/>
        <v>1200</v>
      </c>
      <c r="ER25" s="36"/>
      <c r="ES25" s="27"/>
      <c r="ET25" s="27"/>
      <c r="EU25" s="27"/>
      <c r="EV25" s="27"/>
      <c r="EW25" s="27"/>
      <c r="EX25" s="33">
        <f t="shared" si="52"/>
        <v>0</v>
      </c>
      <c r="EY25" s="2685"/>
      <c r="FA25" s="4">
        <f t="shared" si="53"/>
        <v>0</v>
      </c>
      <c r="FB25" s="5">
        <f t="shared" si="54"/>
        <v>0</v>
      </c>
      <c r="FC25" s="5">
        <f t="shared" si="55"/>
        <v>0</v>
      </c>
      <c r="FD25" s="12">
        <f t="shared" si="56"/>
        <v>0</v>
      </c>
      <c r="FE25" s="33"/>
      <c r="FF25" s="2674"/>
      <c r="FG25" s="9"/>
      <c r="FH25" s="5"/>
      <c r="FI25" s="5"/>
      <c r="FJ25" s="5"/>
      <c r="FK25" s="5"/>
      <c r="FL25" s="27"/>
      <c r="FM25" s="28">
        <f t="shared" si="57"/>
        <v>0</v>
      </c>
      <c r="FN25" s="36"/>
      <c r="FO25" s="27"/>
      <c r="FP25" s="27"/>
      <c r="FQ25" s="27"/>
      <c r="FR25" s="27"/>
      <c r="FS25" s="27"/>
      <c r="FT25" s="28">
        <f t="shared" si="58"/>
        <v>0</v>
      </c>
      <c r="FU25" s="36"/>
      <c r="FV25" s="36"/>
      <c r="FW25" s="27"/>
      <c r="FX25" s="27"/>
      <c r="FY25" s="27"/>
      <c r="FZ25" s="27"/>
      <c r="GA25" s="27"/>
      <c r="GB25" s="27"/>
      <c r="GC25" s="27"/>
      <c r="GD25" s="27"/>
      <c r="GE25" s="27"/>
      <c r="GF25" s="33"/>
      <c r="GG25" s="33">
        <f t="shared" si="59"/>
        <v>0</v>
      </c>
      <c r="GH25" s="2674"/>
      <c r="GJ25" s="2">
        <f t="shared" si="133"/>
        <v>0</v>
      </c>
      <c r="GK25" s="63">
        <f t="shared" si="134"/>
        <v>5122.1100000000006</v>
      </c>
      <c r="GL25" s="24">
        <f t="shared" si="135"/>
        <v>2405.54</v>
      </c>
      <c r="GM25" s="1736">
        <f t="shared" si="60"/>
        <v>7527.6500000000005</v>
      </c>
      <c r="GN25" s="141"/>
      <c r="GO25" s="141"/>
      <c r="GP25" s="33"/>
      <c r="GQ25" s="2667"/>
      <c r="GR25" s="152">
        <v>3478.3</v>
      </c>
      <c r="GS25" s="27">
        <v>0</v>
      </c>
      <c r="GT25" s="27">
        <v>2097.9500000000003</v>
      </c>
      <c r="GU25" s="27">
        <v>1951.3999999999999</v>
      </c>
      <c r="GV25" s="33">
        <f t="shared" si="61"/>
        <v>7527.65</v>
      </c>
      <c r="GW25" s="2667"/>
      <c r="GX25" s="26"/>
      <c r="GY25" s="27"/>
      <c r="GZ25" s="64"/>
      <c r="HA25" s="27"/>
      <c r="HB25" s="27"/>
      <c r="HC25" s="27"/>
      <c r="HD25" s="27"/>
      <c r="HE25" s="27"/>
      <c r="HF25" s="27">
        <v>0</v>
      </c>
      <c r="HG25" s="27"/>
      <c r="HH25" s="27">
        <v>0</v>
      </c>
      <c r="HI25" s="27"/>
      <c r="HJ25" s="27">
        <v>0</v>
      </c>
      <c r="HK25" s="27"/>
      <c r="HL25" s="28">
        <f t="shared" si="62"/>
        <v>0</v>
      </c>
      <c r="HM25" s="36"/>
      <c r="HN25" s="27"/>
      <c r="HO25" s="27"/>
      <c r="HP25" s="27"/>
      <c r="HQ25" s="27"/>
      <c r="HR25" s="27"/>
      <c r="HS25" s="27" cm="1">
        <f t="array" ref="HS25">SUMPRODUCT(('Data Base hauling'!$C$2:$C$216="TCM-ROM SB1 BK05-ROM 4")*(ISNUMBER(SEARCH(TEXT('March TCM'!$B25,"00")&amp;"/03/2026",'Data Base hauling'!$E$2:$E$216)))*'Data Base hauling'!$N$2:$N$216)</f>
        <v>0</v>
      </c>
      <c r="HT25" s="27"/>
      <c r="HU25" s="27" cm="1">
        <f t="array" ref="HU25">SUMPRODUCT(('Data Base hauling'!$C$2:$C$216="TCM-ROM SB1 BK05-ROM 5")*(ISNUMBER(SEARCH(TEXT('March TCM'!$B25,"00")&amp;"/03/2026",'Data Base hauling'!$E$2:$E$216)))*'Data Base hauling'!$N$2:$N$216)</f>
        <v>0</v>
      </c>
      <c r="HV25" s="27"/>
      <c r="HW25" s="27"/>
      <c r="HX25" s="27"/>
      <c r="HY25" s="27"/>
      <c r="HZ25" s="27"/>
      <c r="IA25" s="33">
        <f t="shared" si="63"/>
        <v>0</v>
      </c>
      <c r="IB25" s="52"/>
      <c r="IC25" s="152"/>
      <c r="ID25" s="53"/>
      <c r="IE25" s="53"/>
      <c r="IF25" s="53"/>
      <c r="IG25" s="53"/>
      <c r="IH25" s="53">
        <v>0</v>
      </c>
      <c r="II25" s="53"/>
      <c r="IJ25" s="1736">
        <v>5122.1100000000006</v>
      </c>
      <c r="IK25" s="53"/>
      <c r="IL25" s="53">
        <v>0</v>
      </c>
      <c r="IM25" s="53"/>
      <c r="IN25" s="53"/>
      <c r="IO25" s="49">
        <v>0</v>
      </c>
      <c r="IP25" s="61">
        <f t="shared" si="64"/>
        <v>5122.1100000000006</v>
      </c>
      <c r="IQ25" s="36"/>
      <c r="IR25" s="36"/>
      <c r="IS25" s="27"/>
      <c r="IT25" s="27"/>
      <c r="IU25" s="53"/>
      <c r="IV25" s="27"/>
      <c r="IW25" s="27">
        <v>0</v>
      </c>
      <c r="IX25" s="27"/>
      <c r="IY25" s="27">
        <v>2405.54</v>
      </c>
      <c r="IZ25" s="27"/>
      <c r="JA25" s="27">
        <v>0</v>
      </c>
      <c r="JB25" s="27"/>
      <c r="JC25" s="27"/>
      <c r="JD25" s="27"/>
      <c r="JE25" s="33">
        <f t="shared" si="138"/>
        <v>2405.54</v>
      </c>
      <c r="JF25" s="2667"/>
      <c r="JH25" s="2020">
        <v>7527.6500000000005</v>
      </c>
      <c r="JI25" s="2021">
        <v>0</v>
      </c>
      <c r="JJ25" s="53"/>
      <c r="JK25" s="53">
        <f t="shared" si="65"/>
        <v>7527.6500000000005</v>
      </c>
      <c r="JL25" s="33"/>
      <c r="JM25" s="2669"/>
      <c r="JN25" s="69">
        <v>0</v>
      </c>
      <c r="JO25" s="70">
        <v>0</v>
      </c>
      <c r="JP25" s="70">
        <v>0</v>
      </c>
      <c r="JQ25" s="70">
        <v>0</v>
      </c>
      <c r="JR25" s="70">
        <v>1</v>
      </c>
      <c r="JS25" s="70">
        <v>0</v>
      </c>
      <c r="JT25" s="70">
        <v>0</v>
      </c>
      <c r="JU25" s="1922">
        <v>0</v>
      </c>
      <c r="JV25" s="69" t="s">
        <v>296</v>
      </c>
      <c r="JW25" s="70" t="s">
        <v>296</v>
      </c>
      <c r="JX25" s="70" t="s">
        <v>296</v>
      </c>
      <c r="JY25" s="70" t="s">
        <v>296</v>
      </c>
      <c r="JZ25" s="70" t="s">
        <v>296</v>
      </c>
      <c r="KA25" s="70" t="s">
        <v>296</v>
      </c>
      <c r="KB25" s="70" t="s">
        <v>296</v>
      </c>
      <c r="KC25" s="71" t="s">
        <v>296</v>
      </c>
      <c r="KD25" s="69"/>
      <c r="KE25" s="70"/>
      <c r="KF25" s="70"/>
      <c r="KG25" s="70"/>
      <c r="KH25" s="70"/>
      <c r="KI25" s="70"/>
      <c r="KJ25" s="70"/>
      <c r="KK25" s="70"/>
      <c r="KL25" s="33"/>
      <c r="KM25" s="2669"/>
      <c r="KN25" s="36">
        <v>7074.0892649528487</v>
      </c>
      <c r="KO25" s="1968">
        <v>0.74501873143004771</v>
      </c>
      <c r="KP25" s="1968">
        <v>3.8414029195194419</v>
      </c>
      <c r="KQ25" s="1968">
        <v>6.547081772380829</v>
      </c>
      <c r="KR25" s="1969">
        <v>10.150937863325153</v>
      </c>
      <c r="KS25" s="1959">
        <v>0</v>
      </c>
      <c r="KT25" s="1964">
        <v>0</v>
      </c>
      <c r="KU25" s="1964">
        <v>0</v>
      </c>
      <c r="KV25" s="1964">
        <v>0</v>
      </c>
      <c r="KW25" s="1965">
        <v>0</v>
      </c>
      <c r="KX25" s="36"/>
      <c r="KY25" s="53"/>
      <c r="KZ25" s="53"/>
      <c r="LA25" s="53"/>
      <c r="LB25" s="53"/>
      <c r="LC25" s="33"/>
      <c r="LD25" s="2669"/>
      <c r="LF25" s="4">
        <f t="shared" si="66"/>
        <v>0</v>
      </c>
      <c r="LG25" s="27">
        <f t="shared" si="66"/>
        <v>0</v>
      </c>
      <c r="LH25" s="27">
        <f t="shared" si="66"/>
        <v>0</v>
      </c>
      <c r="LI25" s="28">
        <f t="shared" si="67"/>
        <v>0</v>
      </c>
      <c r="LJ25" s="36"/>
      <c r="LK25" s="27"/>
      <c r="LL25" s="27"/>
      <c r="LM25" s="33"/>
      <c r="LN25" s="1041">
        <v>6.06</v>
      </c>
      <c r="LO25" s="486"/>
      <c r="LP25" s="2688"/>
      <c r="LQ25" s="36"/>
      <c r="LR25" s="36"/>
      <c r="LS25" s="27"/>
      <c r="LT25" s="27"/>
      <c r="LU25" s="27"/>
      <c r="LV25" s="1107">
        <f t="shared" si="68"/>
        <v>0</v>
      </c>
      <c r="LW25" s="36"/>
      <c r="LX25" s="36"/>
      <c r="LY25" s="27"/>
      <c r="LZ25" s="27"/>
      <c r="MA25" s="33"/>
      <c r="MB25" s="28">
        <f t="shared" si="69"/>
        <v>0</v>
      </c>
      <c r="MC25" s="26"/>
      <c r="MD25" s="36"/>
      <c r="ME25" s="27"/>
      <c r="MF25" s="27"/>
      <c r="MG25" s="27"/>
      <c r="MH25" s="28"/>
      <c r="MI25" s="36"/>
      <c r="MJ25" s="36"/>
      <c r="MK25" s="27"/>
      <c r="ML25" s="27"/>
      <c r="MM25" s="27"/>
      <c r="MN25" s="28"/>
      <c r="MO25" s="36"/>
      <c r="MP25" s="36"/>
      <c r="MQ25" s="27"/>
      <c r="MR25" s="27"/>
      <c r="MS25" s="27"/>
      <c r="MT25" s="33">
        <f t="shared" si="70"/>
        <v>0</v>
      </c>
      <c r="MU25" s="2688"/>
      <c r="MW25" s="26">
        <f t="shared" si="71"/>
        <v>57758.492645013393</v>
      </c>
      <c r="MX25" s="27">
        <f t="shared" si="72"/>
        <v>115765.06224882351</v>
      </c>
      <c r="MY25" s="27">
        <f t="shared" si="73"/>
        <v>20201.645201279462</v>
      </c>
      <c r="MZ25" s="28">
        <f t="shared" si="74"/>
        <v>433026.26855851</v>
      </c>
      <c r="NA25" s="2621"/>
      <c r="NB25" s="23">
        <f t="shared" si="75"/>
        <v>36063.169437467855</v>
      </c>
      <c r="NC25" s="1579">
        <f t="shared" si="76"/>
        <v>21695.323207545538</v>
      </c>
      <c r="ND25" s="60">
        <f t="shared" si="77"/>
        <v>0</v>
      </c>
      <c r="NE25" s="275">
        <f t="shared" si="4"/>
        <v>57758.492645013393</v>
      </c>
      <c r="NF25" s="26">
        <f t="shared" si="78"/>
        <v>0</v>
      </c>
      <c r="NG25" s="27">
        <f t="shared" si="78"/>
        <v>0</v>
      </c>
      <c r="NH25" s="27">
        <f t="shared" si="78"/>
        <v>0</v>
      </c>
      <c r="NI25" s="27">
        <f t="shared" si="78"/>
        <v>0</v>
      </c>
      <c r="NJ25" s="27">
        <f t="shared" si="78"/>
        <v>0</v>
      </c>
      <c r="NK25" s="33">
        <f t="shared" si="78"/>
        <v>0</v>
      </c>
      <c r="NL25" s="27">
        <f t="shared" si="78"/>
        <v>0</v>
      </c>
      <c r="NM25" s="36">
        <f t="shared" si="78"/>
        <v>0</v>
      </c>
      <c r="NN25" s="24">
        <f t="shared" si="78"/>
        <v>4439.4305665631437</v>
      </c>
      <c r="NO25" s="27">
        <f t="shared" si="78"/>
        <v>26196.69549600617</v>
      </c>
      <c r="NP25" s="24">
        <f t="shared" si="136"/>
        <v>8756.5482322711578</v>
      </c>
      <c r="NQ25" s="24">
        <f t="shared" si="137"/>
        <v>15928.974118033408</v>
      </c>
      <c r="NR25" s="27">
        <f t="shared" si="0"/>
        <v>55321.648412873881</v>
      </c>
      <c r="NS25" s="27">
        <f t="shared" si="79"/>
        <v>0</v>
      </c>
      <c r="NT25" s="27">
        <f t="shared" si="80"/>
        <v>0</v>
      </c>
      <c r="NU25" s="27">
        <f t="shared" si="81"/>
        <v>0</v>
      </c>
      <c r="NV25" s="27">
        <f t="shared" si="82"/>
        <v>0</v>
      </c>
      <c r="NW25" s="27">
        <f t="shared" si="83"/>
        <v>0</v>
      </c>
      <c r="NX25" s="5">
        <f t="shared" si="84"/>
        <v>0</v>
      </c>
      <c r="NY25" s="27">
        <f t="shared" si="85"/>
        <v>3552.643602292912</v>
      </c>
      <c r="NZ25" s="27">
        <f t="shared" si="86"/>
        <v>0</v>
      </c>
      <c r="OA25" s="27">
        <f t="shared" si="87"/>
        <v>31672.408066782838</v>
      </c>
      <c r="OB25" s="280"/>
      <c r="OC25" s="24">
        <f t="shared" si="88"/>
        <v>349.54339982995594</v>
      </c>
      <c r="OD25" s="27">
        <f t="shared" si="89"/>
        <v>0</v>
      </c>
      <c r="OE25" s="28">
        <f t="shared" si="1"/>
        <v>35574.595068905706</v>
      </c>
      <c r="OF25" s="27">
        <f t="shared" si="149"/>
        <v>0</v>
      </c>
      <c r="OG25" s="27">
        <f t="shared" si="150"/>
        <v>0</v>
      </c>
      <c r="OH25" s="27">
        <f t="shared" si="155"/>
        <v>0</v>
      </c>
      <c r="OI25" s="27">
        <f t="shared" si="151"/>
        <v>0</v>
      </c>
      <c r="OJ25" s="27">
        <f t="shared" si="152"/>
        <v>0</v>
      </c>
      <c r="OK25" s="27">
        <f t="shared" si="153"/>
        <v>0</v>
      </c>
      <c r="OL25" s="24">
        <f t="shared" si="145"/>
        <v>0</v>
      </c>
      <c r="OM25" s="27">
        <f t="shared" si="140"/>
        <v>0</v>
      </c>
      <c r="ON25" s="24">
        <f t="shared" si="141"/>
        <v>21428.693599111004</v>
      </c>
      <c r="OO25" s="27">
        <f t="shared" si="142"/>
        <v>0</v>
      </c>
      <c r="OP25" s="27">
        <f t="shared" si="143"/>
        <v>3440.1251679329139</v>
      </c>
      <c r="OQ25" s="27">
        <f t="shared" si="144"/>
        <v>0</v>
      </c>
      <c r="OR25" s="28">
        <f t="shared" si="2"/>
        <v>24868.818767043918</v>
      </c>
      <c r="OS25" s="36"/>
      <c r="OT25" s="27"/>
      <c r="OU25" s="27"/>
      <c r="OV25" s="27"/>
      <c r="OW25" s="27"/>
      <c r="OX25" s="27"/>
      <c r="OY25" s="28">
        <f t="shared" si="91"/>
        <v>0</v>
      </c>
      <c r="OZ25" s="36">
        <f t="shared" si="92"/>
        <v>0</v>
      </c>
      <c r="PA25" s="27">
        <f t="shared" si="93"/>
        <v>0</v>
      </c>
      <c r="PB25" s="27">
        <f t="shared" si="94"/>
        <v>0</v>
      </c>
      <c r="PC25" s="27">
        <f t="shared" si="95"/>
        <v>0</v>
      </c>
      <c r="PD25" s="27">
        <f t="shared" si="96"/>
        <v>0</v>
      </c>
      <c r="PE25" s="27">
        <f t="shared" si="97"/>
        <v>0</v>
      </c>
      <c r="PF25" s="33">
        <f t="shared" si="3"/>
        <v>0</v>
      </c>
      <c r="PG25" s="2621"/>
      <c r="PI25" s="2">
        <v>0</v>
      </c>
      <c r="PJ25" s="3"/>
      <c r="PK25" s="3"/>
      <c r="PL25" s="3">
        <f t="shared" si="98"/>
        <v>0</v>
      </c>
      <c r="PM25" s="3">
        <f t="shared" si="99"/>
        <v>3003.1953876938928</v>
      </c>
      <c r="PN25" s="11">
        <f t="shared" si="100"/>
        <v>20201.645201279462</v>
      </c>
      <c r="PO25" s="15"/>
      <c r="PP25" s="2615"/>
      <c r="PR25" s="4"/>
      <c r="PS25" s="9"/>
      <c r="PT25" s="9"/>
      <c r="PU25" s="486"/>
      <c r="PV25" s="64">
        <v>0</v>
      </c>
      <c r="PW25" s="9"/>
      <c r="PX25" s="8">
        <f t="shared" si="101"/>
        <v>0</v>
      </c>
      <c r="PY25" s="5">
        <f t="shared" si="102"/>
        <v>0</v>
      </c>
      <c r="PZ25" s="5"/>
      <c r="QA25" s="5"/>
      <c r="QB25" s="5"/>
      <c r="QC25" s="5"/>
      <c r="QD25" s="5"/>
      <c r="QE25" s="12">
        <f t="shared" si="103"/>
        <v>29562.488999999998</v>
      </c>
      <c r="QF25" s="420">
        <f t="shared" si="104"/>
        <v>403105.89955850999</v>
      </c>
      <c r="QG25" s="1106">
        <f t="shared" si="105"/>
        <v>357.88</v>
      </c>
      <c r="QH25" s="484">
        <f t="shared" si="106"/>
        <v>5505.3678056099998</v>
      </c>
      <c r="QI25" s="12"/>
      <c r="QJ25" s="2615"/>
      <c r="QL25" s="139">
        <f t="shared" si="107"/>
        <v>0</v>
      </c>
      <c r="QM25" s="139" t="str">
        <f t="shared" si="108"/>
        <v/>
      </c>
      <c r="QO25" s="139">
        <f t="shared" si="109"/>
        <v>0</v>
      </c>
      <c r="QP25" s="139">
        <f t="shared" si="110"/>
        <v>0</v>
      </c>
      <c r="QR25" s="1">
        <f t="shared" si="111"/>
        <v>0</v>
      </c>
      <c r="QS25" s="1">
        <f t="shared" si="112"/>
        <v>0</v>
      </c>
      <c r="QT25" s="1">
        <f t="shared" si="113"/>
        <v>0</v>
      </c>
      <c r="QU25" s="1">
        <f t="shared" si="114"/>
        <v>0</v>
      </c>
      <c r="QV25" s="1">
        <f t="shared" si="115"/>
        <v>0</v>
      </c>
      <c r="QW25" s="1">
        <f t="shared" si="116"/>
        <v>0</v>
      </c>
      <c r="QY25" s="1">
        <f t="shared" si="117"/>
        <v>0</v>
      </c>
      <c r="QZ25" s="1">
        <f t="shared" si="118"/>
        <v>0</v>
      </c>
      <c r="RA25" s="1">
        <f t="shared" si="119"/>
        <v>0</v>
      </c>
      <c r="RB25" s="1">
        <f t="shared" si="120"/>
        <v>0</v>
      </c>
      <c r="RC25" s="1">
        <f t="shared" si="121"/>
        <v>0</v>
      </c>
      <c r="RD25" s="1">
        <f t="shared" si="122"/>
        <v>0</v>
      </c>
      <c r="RG25" s="1">
        <v>16</v>
      </c>
      <c r="RH25" s="1">
        <f t="shared" si="146"/>
        <v>6033.1552097171007</v>
      </c>
      <c r="RI25" s="1">
        <f t="shared" si="147"/>
        <v>3714.5617804837193</v>
      </c>
      <c r="RJ25" s="1">
        <f t="shared" si="148"/>
        <v>13404.263703387322</v>
      </c>
      <c r="RK25" s="89">
        <f t="shared" si="5"/>
        <v>23151.980693588142</v>
      </c>
      <c r="RL25" s="1033">
        <v>16</v>
      </c>
      <c r="RM25" s="1098">
        <f t="shared" si="124"/>
        <v>0</v>
      </c>
      <c r="RN25" s="1098">
        <f t="shared" si="125"/>
        <v>0</v>
      </c>
      <c r="RO25" s="1097">
        <f t="shared" si="125"/>
        <v>0</v>
      </c>
      <c r="RP25" s="1097">
        <f t="shared" si="126"/>
        <v>5817.14</v>
      </c>
      <c r="RQ25" s="1046"/>
      <c r="RR25" s="1046" t="s">
        <v>835</v>
      </c>
      <c r="RS25" s="1048"/>
      <c r="RU25" s="421">
        <v>16</v>
      </c>
      <c r="RV25" s="1095">
        <f t="shared" si="127"/>
        <v>7527.65</v>
      </c>
      <c r="RW25" s="1050" t="s">
        <v>836</v>
      </c>
      <c r="RX25" s="1048"/>
      <c r="RY25" s="1090"/>
      <c r="RZ25" s="1090">
        <f t="shared" si="128"/>
        <v>0</v>
      </c>
      <c r="SA25" s="1090"/>
      <c r="SB25" s="1090">
        <f t="shared" si="129"/>
        <v>0</v>
      </c>
      <c r="SD25" s="1">
        <v>16</v>
      </c>
      <c r="SE25" s="1">
        <f t="shared" si="130"/>
        <v>0</v>
      </c>
      <c r="SF25" s="1094"/>
    </row>
    <row r="26" spans="1:500" s="1" customFormat="1" ht="13.95" customHeight="1">
      <c r="B26" s="471">
        <v>17</v>
      </c>
      <c r="C26" s="4">
        <f t="shared" si="6"/>
        <v>134485</v>
      </c>
      <c r="D26" s="1590">
        <f t="shared" si="131"/>
        <v>7274.38</v>
      </c>
      <c r="E26" s="1895">
        <f t="shared" si="7"/>
        <v>18.487486218756786</v>
      </c>
      <c r="F26" s="870"/>
      <c r="G26" s="870"/>
      <c r="H26" s="52">
        <v>15</v>
      </c>
      <c r="I26" s="61">
        <v>5.35</v>
      </c>
      <c r="J26" s="52"/>
      <c r="K26" s="54"/>
      <c r="L26" s="52">
        <v>3.5</v>
      </c>
      <c r="M26" s="61">
        <v>4.37</v>
      </c>
      <c r="N26" s="2629"/>
      <c r="O26" s="4">
        <f t="shared" si="132"/>
        <v>76230</v>
      </c>
      <c r="P26" s="1225">
        <f t="shared" si="8"/>
        <v>3968.38</v>
      </c>
      <c r="Q26" s="1913">
        <f t="shared" si="9"/>
        <v>19.209349911046825</v>
      </c>
      <c r="R26" s="33"/>
      <c r="S26" s="26">
        <f t="shared" si="10"/>
        <v>31268</v>
      </c>
      <c r="T26" s="27">
        <f t="shared" si="11"/>
        <v>1265.9999999999998</v>
      </c>
      <c r="U26" s="1909">
        <f t="shared" si="12"/>
        <v>24.698262243285946</v>
      </c>
      <c r="V26" s="28"/>
      <c r="W26" s="26">
        <f t="shared" si="13"/>
        <v>26987</v>
      </c>
      <c r="X26" s="5">
        <f t="shared" si="13"/>
        <v>2040</v>
      </c>
      <c r="Y26" s="325">
        <f t="shared" si="14"/>
        <v>13.228921568627451</v>
      </c>
      <c r="Z26" s="33"/>
      <c r="AA26" s="26">
        <f t="shared" si="15"/>
        <v>0</v>
      </c>
      <c r="AB26" s="27">
        <f t="shared" si="16"/>
        <v>0</v>
      </c>
      <c r="AC26" s="53">
        <f t="shared" si="17"/>
        <v>0</v>
      </c>
      <c r="AD26" s="28"/>
      <c r="AE26" s="36"/>
      <c r="AF26" s="36"/>
      <c r="AG26" s="53">
        <f t="shared" si="18"/>
        <v>0</v>
      </c>
      <c r="AH26" s="28"/>
      <c r="AI26" s="23"/>
      <c r="AJ26" s="27"/>
      <c r="AK26" s="53">
        <f t="shared" si="19"/>
        <v>0</v>
      </c>
      <c r="AL26" s="28"/>
      <c r="AM26" s="2629"/>
      <c r="AN26" s="9"/>
      <c r="AO26" s="5"/>
      <c r="AP26" s="61">
        <f t="shared" si="20"/>
        <v>0</v>
      </c>
      <c r="AQ26" s="36"/>
      <c r="AR26" s="53"/>
      <c r="AS26" s="61">
        <f t="shared" si="21"/>
        <v>0</v>
      </c>
      <c r="AT26" s="36">
        <v>0</v>
      </c>
      <c r="AU26" s="27"/>
      <c r="AV26" s="61">
        <f t="shared" si="22"/>
        <v>0</v>
      </c>
      <c r="AW26" s="36">
        <v>40362</v>
      </c>
      <c r="AX26" s="27">
        <v>2515.06</v>
      </c>
      <c r="AY26" s="1895">
        <f t="shared" si="23"/>
        <v>16.048126088443219</v>
      </c>
      <c r="AZ26" s="1908"/>
      <c r="BA26" s="1909"/>
      <c r="BB26" s="1895">
        <f t="shared" si="24"/>
        <v>0</v>
      </c>
      <c r="BC26" s="1740">
        <v>35868</v>
      </c>
      <c r="BD26" s="1909">
        <v>1453.3200000000002</v>
      </c>
      <c r="BE26" s="1895">
        <f t="shared" si="154"/>
        <v>24.680042936173724</v>
      </c>
      <c r="BF26" s="1908"/>
      <c r="BG26" s="1909"/>
      <c r="BH26" s="1895">
        <f t="shared" si="26"/>
        <v>0</v>
      </c>
      <c r="BI26" s="1908">
        <v>0</v>
      </c>
      <c r="BJ26" s="1909">
        <v>0</v>
      </c>
      <c r="BK26" s="1895">
        <f t="shared" si="27"/>
        <v>0</v>
      </c>
      <c r="BL26" s="1910">
        <v>31268</v>
      </c>
      <c r="BM26" s="1909">
        <v>1265.9999999999998</v>
      </c>
      <c r="BN26" s="1911">
        <f t="shared" si="28"/>
        <v>24.698262243285946</v>
      </c>
      <c r="BO26" s="9"/>
      <c r="BP26" s="64"/>
      <c r="BQ26" s="482">
        <f t="shared" si="29"/>
        <v>0</v>
      </c>
      <c r="BR26" s="9"/>
      <c r="BS26" s="64"/>
      <c r="BT26" s="482">
        <f t="shared" si="30"/>
        <v>0</v>
      </c>
      <c r="BU26" s="9">
        <v>26987</v>
      </c>
      <c r="BV26" s="27">
        <v>2040</v>
      </c>
      <c r="BW26" s="15">
        <f t="shared" si="31"/>
        <v>13.228921568627451</v>
      </c>
      <c r="BX26" s="26"/>
      <c r="BY26" s="5"/>
      <c r="BZ26" s="482">
        <f t="shared" si="32"/>
        <v>0</v>
      </c>
      <c r="CA26" s="9"/>
      <c r="CB26" s="5"/>
      <c r="CC26" s="483">
        <f t="shared" si="33"/>
        <v>0</v>
      </c>
      <c r="CD26" s="4"/>
      <c r="CE26" s="5"/>
      <c r="CF26" s="28">
        <f t="shared" si="34"/>
        <v>0</v>
      </c>
      <c r="CG26" s="150"/>
      <c r="CH26" s="1108"/>
      <c r="CI26" s="5"/>
      <c r="CJ26" s="5"/>
      <c r="CK26" s="5">
        <v>4487.5</v>
      </c>
      <c r="CL26" s="5"/>
      <c r="CM26" s="5">
        <f t="shared" si="35"/>
        <v>4487.5</v>
      </c>
      <c r="CN26" s="33"/>
      <c r="CO26" s="366"/>
      <c r="CQ26" s="4">
        <f t="shared" si="36"/>
        <v>0</v>
      </c>
      <c r="CR26" s="9">
        <f t="shared" si="37"/>
        <v>0</v>
      </c>
      <c r="CS26" s="5">
        <f t="shared" si="38"/>
        <v>0</v>
      </c>
      <c r="CT26" s="5">
        <f t="shared" si="39"/>
        <v>0</v>
      </c>
      <c r="CU26" s="5">
        <f t="shared" si="40"/>
        <v>0</v>
      </c>
      <c r="CV26" s="5">
        <f t="shared" si="41"/>
        <v>0</v>
      </c>
      <c r="CW26" s="5">
        <f t="shared" si="42"/>
        <v>1121.8</v>
      </c>
      <c r="CX26" s="5">
        <f t="shared" si="43"/>
        <v>0</v>
      </c>
      <c r="CY26" s="5">
        <f t="shared" si="44"/>
        <v>4051.58</v>
      </c>
      <c r="CZ26" s="5">
        <f t="shared" si="45"/>
        <v>0</v>
      </c>
      <c r="DA26" s="5">
        <f t="shared" si="46"/>
        <v>2101</v>
      </c>
      <c r="DB26" s="12">
        <f t="shared" si="47"/>
        <v>0</v>
      </c>
      <c r="DC26" s="310">
        <f t="shared" si="48"/>
        <v>7274.38</v>
      </c>
      <c r="DD26" s="2695"/>
      <c r="DE26" s="8"/>
      <c r="DF26" s="9"/>
      <c r="DG26" s="5"/>
      <c r="DH26" s="5"/>
      <c r="DI26" s="5"/>
      <c r="DJ26" s="5"/>
      <c r="DK26" s="5">
        <v>1121.8</v>
      </c>
      <c r="DL26" s="5"/>
      <c r="DM26" s="5">
        <v>1393.26</v>
      </c>
      <c r="DN26" s="5"/>
      <c r="DO26" s="487"/>
      <c r="DP26" s="12"/>
      <c r="DQ26" s="28">
        <f t="shared" si="49"/>
        <v>2515.06</v>
      </c>
      <c r="DR26" s="36"/>
      <c r="DS26" s="9"/>
      <c r="DT26" s="5"/>
      <c r="DU26" s="5"/>
      <c r="DV26" s="5"/>
      <c r="DW26" s="5"/>
      <c r="DX26" s="5"/>
      <c r="DY26" s="5"/>
      <c r="DZ26" s="5">
        <v>2658.3199999999997</v>
      </c>
      <c r="EA26" s="27"/>
      <c r="EB26" s="27">
        <v>61</v>
      </c>
      <c r="EC26" s="33"/>
      <c r="ED26" s="28">
        <f t="shared" si="50"/>
        <v>2719.3199999999997</v>
      </c>
      <c r="EE26" s="9"/>
      <c r="EF26" s="36"/>
      <c r="EG26" s="5"/>
      <c r="EH26" s="27"/>
      <c r="EI26" s="27"/>
      <c r="EJ26" s="27"/>
      <c r="EK26" s="27"/>
      <c r="EL26" s="27"/>
      <c r="EM26" s="5"/>
      <c r="EN26" s="5"/>
      <c r="EO26" s="5">
        <v>2040</v>
      </c>
      <c r="EP26" s="33"/>
      <c r="EQ26" s="28">
        <f t="shared" si="51"/>
        <v>2040</v>
      </c>
      <c r="ER26" s="36"/>
      <c r="ES26" s="27"/>
      <c r="ET26" s="27"/>
      <c r="EU26" s="27"/>
      <c r="EV26" s="27"/>
      <c r="EW26" s="27"/>
      <c r="EX26" s="33">
        <f t="shared" si="52"/>
        <v>0</v>
      </c>
      <c r="EY26" s="2685"/>
      <c r="FA26" s="4">
        <f t="shared" si="53"/>
        <v>0</v>
      </c>
      <c r="FB26" s="5">
        <f t="shared" si="54"/>
        <v>0</v>
      </c>
      <c r="FC26" s="5">
        <f t="shared" si="55"/>
        <v>0</v>
      </c>
      <c r="FD26" s="12">
        <f t="shared" si="56"/>
        <v>0</v>
      </c>
      <c r="FE26" s="33"/>
      <c r="FF26" s="2674"/>
      <c r="FG26" s="9"/>
      <c r="FH26" s="5"/>
      <c r="FI26" s="5"/>
      <c r="FJ26" s="5"/>
      <c r="FK26" s="5"/>
      <c r="FL26" s="27"/>
      <c r="FM26" s="28">
        <f t="shared" si="57"/>
        <v>0</v>
      </c>
      <c r="FN26" s="36"/>
      <c r="FO26" s="27"/>
      <c r="FP26" s="27"/>
      <c r="FQ26" s="27"/>
      <c r="FR26" s="27"/>
      <c r="FS26" s="27"/>
      <c r="FT26" s="28">
        <f t="shared" si="58"/>
        <v>0</v>
      </c>
      <c r="FU26" s="36"/>
      <c r="FV26" s="36"/>
      <c r="FW26" s="27"/>
      <c r="FX26" s="27"/>
      <c r="FY26" s="27"/>
      <c r="FZ26" s="27"/>
      <c r="GA26" s="27"/>
      <c r="GB26" s="27"/>
      <c r="GC26" s="27"/>
      <c r="GD26" s="27"/>
      <c r="GE26" s="27"/>
      <c r="GF26" s="33"/>
      <c r="GG26" s="33">
        <f t="shared" si="59"/>
        <v>0</v>
      </c>
      <c r="GH26" s="2674"/>
      <c r="GJ26" s="2">
        <f t="shared" si="133"/>
        <v>792.31</v>
      </c>
      <c r="GK26" s="63">
        <f t="shared" si="134"/>
        <v>7006.49</v>
      </c>
      <c r="GL26" s="24">
        <f t="shared" si="135"/>
        <v>5245.57</v>
      </c>
      <c r="GM26" s="1736">
        <f t="shared" si="60"/>
        <v>13044.369999999999</v>
      </c>
      <c r="GN26" s="141"/>
      <c r="GO26" s="141"/>
      <c r="GP26" s="33"/>
      <c r="GQ26" s="2667"/>
      <c r="GR26" s="1740">
        <v>4986.28</v>
      </c>
      <c r="GS26" s="27">
        <v>0</v>
      </c>
      <c r="GT26" s="27">
        <v>4263.3700000000008</v>
      </c>
      <c r="GU26" s="27">
        <v>3794.72</v>
      </c>
      <c r="GV26" s="33">
        <f t="shared" si="61"/>
        <v>13044.37</v>
      </c>
      <c r="GW26" s="2667"/>
      <c r="GX26" s="36"/>
      <c r="GY26" s="36"/>
      <c r="GZ26" s="27"/>
      <c r="HA26" s="27"/>
      <c r="HB26" s="27"/>
      <c r="HC26" s="27"/>
      <c r="HD26" s="27"/>
      <c r="HE26" s="27"/>
      <c r="HF26" s="27">
        <v>0</v>
      </c>
      <c r="HG26" s="27"/>
      <c r="HH26" s="27">
        <v>792.31</v>
      </c>
      <c r="HI26" s="27"/>
      <c r="HJ26" s="27">
        <v>0</v>
      </c>
      <c r="HK26" s="27"/>
      <c r="HL26" s="28">
        <f t="shared" si="62"/>
        <v>792.31</v>
      </c>
      <c r="HM26" s="36"/>
      <c r="HN26" s="27"/>
      <c r="HO26" s="27"/>
      <c r="HP26" s="27"/>
      <c r="HQ26" s="27"/>
      <c r="HR26" s="27"/>
      <c r="HS26" s="27" cm="1">
        <f t="array" ref="HS26">SUMPRODUCT(('Data Base hauling'!$C$2:$C$216="TCM-ROM SB1 BK05-ROM 4")*(ISNUMBER(SEARCH(TEXT('March TCM'!$B26,"00")&amp;"/03/2026",'Data Base hauling'!$E$2:$E$216)))*'Data Base hauling'!$N$2:$N$216)</f>
        <v>0</v>
      </c>
      <c r="HT26" s="27"/>
      <c r="HU26" s="27" cm="1">
        <f t="array" ref="HU26">SUMPRODUCT(('Data Base hauling'!$C$2:$C$216="TCM-ROM SB1 BK05-ROM 5")*(ISNUMBER(SEARCH(TEXT('March TCM'!$B26,"00")&amp;"/03/2026",'Data Base hauling'!$E$2:$E$216)))*'Data Base hauling'!$N$2:$N$216)</f>
        <v>0</v>
      </c>
      <c r="HV26" s="27"/>
      <c r="HW26" s="27"/>
      <c r="HX26" s="27"/>
      <c r="HY26" s="27"/>
      <c r="HZ26" s="27"/>
      <c r="IA26" s="33">
        <f t="shared" si="63"/>
        <v>0</v>
      </c>
      <c r="IB26" s="52"/>
      <c r="IC26" s="152"/>
      <c r="ID26" s="53"/>
      <c r="IE26" s="53"/>
      <c r="IF26" s="53"/>
      <c r="IG26" s="53"/>
      <c r="IH26" s="53">
        <v>3392.47</v>
      </c>
      <c r="II26" s="53"/>
      <c r="IJ26" s="1736">
        <v>3614.0200000000004</v>
      </c>
      <c r="IK26" s="53"/>
      <c r="IL26" s="64">
        <v>0</v>
      </c>
      <c r="IM26" s="64"/>
      <c r="IN26" s="53"/>
      <c r="IO26" s="49">
        <v>0</v>
      </c>
      <c r="IP26" s="61">
        <f t="shared" si="64"/>
        <v>7006.49</v>
      </c>
      <c r="IQ26" s="36"/>
      <c r="IR26" s="36"/>
      <c r="IS26" s="53"/>
      <c r="IT26" s="27"/>
      <c r="IU26" s="53"/>
      <c r="IV26" s="27"/>
      <c r="IW26" s="27">
        <v>0</v>
      </c>
      <c r="IX26" s="27"/>
      <c r="IY26" s="27">
        <v>3198.2599999999998</v>
      </c>
      <c r="IZ26" s="27"/>
      <c r="JA26" s="27">
        <v>2047.31</v>
      </c>
      <c r="JB26" s="27"/>
      <c r="JC26" s="27"/>
      <c r="JD26" s="27"/>
      <c r="JE26" s="33">
        <f t="shared" si="138"/>
        <v>5245.57</v>
      </c>
      <c r="JF26" s="2667"/>
      <c r="JH26" s="2020">
        <v>6978.73</v>
      </c>
      <c r="JI26" s="2021">
        <v>6065.64</v>
      </c>
      <c r="JJ26" s="53"/>
      <c r="JK26" s="53">
        <f t="shared" si="65"/>
        <v>13044.369999999999</v>
      </c>
      <c r="JL26" s="33"/>
      <c r="JM26" s="2669"/>
      <c r="JN26" s="69">
        <v>0</v>
      </c>
      <c r="JO26" s="70">
        <v>0</v>
      </c>
      <c r="JP26" s="70">
        <v>0</v>
      </c>
      <c r="JQ26" s="70">
        <v>3.3874358228502897E-2</v>
      </c>
      <c r="JR26" s="70">
        <v>0.96612564177149718</v>
      </c>
      <c r="JS26" s="70">
        <v>0</v>
      </c>
      <c r="JT26" s="70">
        <v>0</v>
      </c>
      <c r="JU26" s="1922">
        <v>0</v>
      </c>
      <c r="JV26" s="69">
        <v>0</v>
      </c>
      <c r="JW26" s="70">
        <v>0</v>
      </c>
      <c r="JX26" s="70">
        <v>0</v>
      </c>
      <c r="JY26" s="70">
        <v>0.52031937272901119</v>
      </c>
      <c r="JZ26" s="70">
        <v>1.1532171378453056E-2</v>
      </c>
      <c r="KA26" s="70">
        <v>0.46814845589253562</v>
      </c>
      <c r="KB26" s="70">
        <v>0</v>
      </c>
      <c r="KC26" s="71">
        <v>0</v>
      </c>
      <c r="KD26" s="69"/>
      <c r="KE26" s="70"/>
      <c r="KF26" s="70"/>
      <c r="KG26" s="70"/>
      <c r="KH26" s="70"/>
      <c r="KI26" s="70"/>
      <c r="KJ26" s="70"/>
      <c r="KK26" s="70"/>
      <c r="KL26" s="33"/>
      <c r="KM26" s="2669"/>
      <c r="KN26" s="36">
        <v>7090.0648445126199</v>
      </c>
      <c r="KO26" s="1968">
        <v>0.74935713289638817</v>
      </c>
      <c r="KP26" s="1968">
        <v>2.7580769767117559</v>
      </c>
      <c r="KQ26" s="1968">
        <v>7.0829340398828613</v>
      </c>
      <c r="KR26" s="1969">
        <v>10.931741737554036</v>
      </c>
      <c r="KS26" s="1959">
        <v>6883.5884590995565</v>
      </c>
      <c r="KT26" s="1964">
        <v>2.1479264426125555</v>
      </c>
      <c r="KU26" s="1964">
        <v>4.7125428027901073</v>
      </c>
      <c r="KV26" s="1964">
        <v>6.6553519340519971</v>
      </c>
      <c r="KW26" s="1965">
        <v>10.334616360177552</v>
      </c>
      <c r="KX26" s="36"/>
      <c r="KY26" s="53"/>
      <c r="KZ26" s="53"/>
      <c r="LA26" s="53"/>
      <c r="LB26" s="53"/>
      <c r="LC26" s="33"/>
      <c r="LD26" s="2669"/>
      <c r="LF26" s="853">
        <f t="shared" si="66"/>
        <v>0</v>
      </c>
      <c r="LG26" s="27">
        <f t="shared" si="66"/>
        <v>0</v>
      </c>
      <c r="LH26" s="27">
        <f t="shared" si="66"/>
        <v>0</v>
      </c>
      <c r="LI26" s="28">
        <f t="shared" si="67"/>
        <v>0</v>
      </c>
      <c r="LJ26" s="36"/>
      <c r="LK26" s="27"/>
      <c r="LL26" s="27">
        <v>1</v>
      </c>
      <c r="LM26" s="33"/>
      <c r="LN26" s="1041">
        <v>6.22</v>
      </c>
      <c r="LO26" s="486"/>
      <c r="LP26" s="2688"/>
      <c r="LQ26" s="36"/>
      <c r="LR26" s="36"/>
      <c r="LS26" s="27"/>
      <c r="LT26" s="27"/>
      <c r="LU26" s="27"/>
      <c r="LV26" s="1107">
        <f t="shared" si="68"/>
        <v>0</v>
      </c>
      <c r="LW26" s="36"/>
      <c r="LX26" s="36"/>
      <c r="LY26" s="27"/>
      <c r="LZ26" s="27"/>
      <c r="MA26" s="33"/>
      <c r="MB26" s="28">
        <f t="shared" si="69"/>
        <v>0</v>
      </c>
      <c r="MC26" s="26"/>
      <c r="MD26" s="36"/>
      <c r="ME26" s="27"/>
      <c r="MF26" s="27"/>
      <c r="MG26" s="27"/>
      <c r="MH26" s="28"/>
      <c r="MI26" s="36"/>
      <c r="MJ26" s="36"/>
      <c r="MK26" s="27"/>
      <c r="ML26" s="27"/>
      <c r="MM26" s="27"/>
      <c r="MN26" s="28"/>
      <c r="MO26" s="36"/>
      <c r="MP26" s="36"/>
      <c r="MQ26" s="27"/>
      <c r="MR26" s="27"/>
      <c r="MS26" s="27"/>
      <c r="MT26" s="33">
        <f t="shared" si="70"/>
        <v>0</v>
      </c>
      <c r="MU26" s="2688"/>
      <c r="MW26" s="26">
        <f t="shared" si="71"/>
        <v>70802.862645013403</v>
      </c>
      <c r="MX26" s="27">
        <f t="shared" si="72"/>
        <v>109995.07224882352</v>
      </c>
      <c r="MY26" s="27">
        <f t="shared" si="73"/>
        <v>20201.645201279462</v>
      </c>
      <c r="MZ26" s="28">
        <f t="shared" si="74"/>
        <v>433026.26855851</v>
      </c>
      <c r="NA26" s="2621"/>
      <c r="NB26" s="23">
        <f t="shared" si="75"/>
        <v>43041.899437467859</v>
      </c>
      <c r="NC26" s="1579">
        <f t="shared" si="76"/>
        <v>27760.963207545537</v>
      </c>
      <c r="ND26" s="60">
        <f t="shared" si="77"/>
        <v>0</v>
      </c>
      <c r="NE26" s="275">
        <f t="shared" si="4"/>
        <v>70802.862645013403</v>
      </c>
      <c r="NF26" s="26">
        <f t="shared" ref="NF26:NO40" si="156">+NF25+EE26-GX26</f>
        <v>0</v>
      </c>
      <c r="NG26" s="27">
        <f t="shared" si="156"/>
        <v>0</v>
      </c>
      <c r="NH26" s="27">
        <f t="shared" si="156"/>
        <v>0</v>
      </c>
      <c r="NI26" s="27">
        <f t="shared" si="156"/>
        <v>0</v>
      </c>
      <c r="NJ26" s="27">
        <f t="shared" si="156"/>
        <v>0</v>
      </c>
      <c r="NK26" s="33">
        <f t="shared" si="156"/>
        <v>0</v>
      </c>
      <c r="NL26" s="27">
        <f t="shared" si="156"/>
        <v>0</v>
      </c>
      <c r="NM26" s="36">
        <f t="shared" si="156"/>
        <v>0</v>
      </c>
      <c r="NN26" s="24">
        <f t="shared" si="156"/>
        <v>4439.4305665631437</v>
      </c>
      <c r="NO26" s="27">
        <f t="shared" si="156"/>
        <v>26196.69549600617</v>
      </c>
      <c r="NP26" s="24">
        <f t="shared" si="136"/>
        <v>8756.5482322711578</v>
      </c>
      <c r="NQ26" s="24">
        <f t="shared" si="137"/>
        <v>17176.664118033408</v>
      </c>
      <c r="NR26" s="27">
        <f t="shared" si="0"/>
        <v>56569.338412873883</v>
      </c>
      <c r="NS26" s="27">
        <f t="shared" si="79"/>
        <v>0</v>
      </c>
      <c r="NT26" s="27">
        <f t="shared" si="80"/>
        <v>0</v>
      </c>
      <c r="NU26" s="27">
        <f t="shared" si="81"/>
        <v>0</v>
      </c>
      <c r="NV26" s="27">
        <f t="shared" si="82"/>
        <v>0</v>
      </c>
      <c r="NW26" s="27">
        <f t="shared" si="83"/>
        <v>0</v>
      </c>
      <c r="NX26" s="5">
        <f t="shared" si="84"/>
        <v>0</v>
      </c>
      <c r="NY26" s="27">
        <f t="shared" si="85"/>
        <v>1281.9736022929123</v>
      </c>
      <c r="NZ26" s="27">
        <f t="shared" si="86"/>
        <v>0</v>
      </c>
      <c r="OA26" s="27">
        <f t="shared" si="87"/>
        <v>29451.64806678284</v>
      </c>
      <c r="OB26" s="280"/>
      <c r="OC26" s="24">
        <f t="shared" si="88"/>
        <v>349.54339982995594</v>
      </c>
      <c r="OD26" s="27">
        <f t="shared" si="89"/>
        <v>0</v>
      </c>
      <c r="OE26" s="28">
        <f t="shared" si="1"/>
        <v>31083.16506890571</v>
      </c>
      <c r="OF26" s="27">
        <f t="shared" si="149"/>
        <v>0</v>
      </c>
      <c r="OG26" s="27">
        <f t="shared" si="150"/>
        <v>0</v>
      </c>
      <c r="OH26" s="27">
        <f t="shared" si="155"/>
        <v>0</v>
      </c>
      <c r="OI26" s="27">
        <f t="shared" si="151"/>
        <v>0</v>
      </c>
      <c r="OJ26" s="27">
        <f t="shared" si="152"/>
        <v>0</v>
      </c>
      <c r="OK26" s="27">
        <f t="shared" si="153"/>
        <v>0</v>
      </c>
      <c r="OL26" s="24">
        <f t="shared" si="145"/>
        <v>0</v>
      </c>
      <c r="OM26" s="27">
        <f t="shared" si="140"/>
        <v>0</v>
      </c>
      <c r="ON26" s="24">
        <f t="shared" si="141"/>
        <v>20888.753599111005</v>
      </c>
      <c r="OO26" s="27">
        <f t="shared" si="142"/>
        <v>0</v>
      </c>
      <c r="OP26" s="27">
        <f t="shared" si="143"/>
        <v>1453.8151679329139</v>
      </c>
      <c r="OQ26" s="27">
        <f t="shared" si="144"/>
        <v>0</v>
      </c>
      <c r="OR26" s="28">
        <f t="shared" si="2"/>
        <v>22342.568767043918</v>
      </c>
      <c r="OS26" s="36"/>
      <c r="OT26" s="27"/>
      <c r="OU26" s="27"/>
      <c r="OV26" s="27"/>
      <c r="OW26" s="27"/>
      <c r="OX26" s="27"/>
      <c r="OY26" s="28">
        <f t="shared" si="91"/>
        <v>0</v>
      </c>
      <c r="OZ26" s="36">
        <f t="shared" si="92"/>
        <v>0</v>
      </c>
      <c r="PA26" s="27">
        <f t="shared" si="93"/>
        <v>0</v>
      </c>
      <c r="PB26" s="27">
        <f t="shared" si="94"/>
        <v>0</v>
      </c>
      <c r="PC26" s="27">
        <f t="shared" si="95"/>
        <v>0</v>
      </c>
      <c r="PD26" s="27">
        <f t="shared" si="96"/>
        <v>0</v>
      </c>
      <c r="PE26" s="27">
        <f t="shared" si="97"/>
        <v>0</v>
      </c>
      <c r="PF26" s="33">
        <f t="shared" si="3"/>
        <v>0</v>
      </c>
      <c r="PG26" s="2621"/>
      <c r="PI26" s="2">
        <v>0</v>
      </c>
      <c r="PJ26" s="3"/>
      <c r="PK26" s="3"/>
      <c r="PL26" s="3">
        <f t="shared" si="98"/>
        <v>0</v>
      </c>
      <c r="PM26" s="3">
        <f t="shared" si="99"/>
        <v>3003.1953876938928</v>
      </c>
      <c r="PN26" s="11">
        <f t="shared" si="100"/>
        <v>20201.645201279462</v>
      </c>
      <c r="PO26" s="15"/>
      <c r="PP26" s="2615"/>
      <c r="PR26" s="4"/>
      <c r="PS26" s="9"/>
      <c r="PT26" s="9"/>
      <c r="PU26" s="9"/>
      <c r="PV26" s="1108">
        <v>0</v>
      </c>
      <c r="PW26" s="9"/>
      <c r="PX26" s="8">
        <f t="shared" si="101"/>
        <v>0</v>
      </c>
      <c r="PY26" s="5">
        <f t="shared" si="102"/>
        <v>0</v>
      </c>
      <c r="PZ26" s="5"/>
      <c r="QA26" s="5"/>
      <c r="QB26" s="5"/>
      <c r="QC26" s="5"/>
      <c r="QD26" s="5"/>
      <c r="QE26" s="12">
        <f t="shared" si="103"/>
        <v>29562.488999999998</v>
      </c>
      <c r="QF26" s="420">
        <f t="shared" si="104"/>
        <v>403105.89955850999</v>
      </c>
      <c r="QG26" s="1106">
        <f t="shared" si="105"/>
        <v>357.88</v>
      </c>
      <c r="QH26" s="484">
        <f t="shared" si="106"/>
        <v>5505.3678056099998</v>
      </c>
      <c r="QI26" s="12"/>
      <c r="QJ26" s="2615"/>
      <c r="QL26" s="139">
        <f t="shared" si="107"/>
        <v>0</v>
      </c>
      <c r="QM26" s="139" t="str">
        <f t="shared" si="108"/>
        <v/>
      </c>
      <c r="QO26" s="139">
        <f t="shared" si="109"/>
        <v>0</v>
      </c>
      <c r="QP26" s="139">
        <f t="shared" si="110"/>
        <v>0</v>
      </c>
      <c r="QR26" s="1">
        <f t="shared" si="111"/>
        <v>0</v>
      </c>
      <c r="QS26" s="1">
        <f t="shared" si="112"/>
        <v>0</v>
      </c>
      <c r="QT26" s="1">
        <f t="shared" si="113"/>
        <v>0</v>
      </c>
      <c r="QU26" s="1">
        <f t="shared" si="114"/>
        <v>0</v>
      </c>
      <c r="QV26" s="1">
        <f t="shared" si="115"/>
        <v>0</v>
      </c>
      <c r="QW26" s="1">
        <f t="shared" si="116"/>
        <v>0</v>
      </c>
      <c r="QY26" s="1">
        <f t="shared" si="117"/>
        <v>0</v>
      </c>
      <c r="QZ26" s="1">
        <f t="shared" si="118"/>
        <v>0</v>
      </c>
      <c r="RA26" s="1">
        <f t="shared" si="119"/>
        <v>0</v>
      </c>
      <c r="RB26" s="1">
        <f t="shared" si="120"/>
        <v>0</v>
      </c>
      <c r="RC26" s="1">
        <f t="shared" si="121"/>
        <v>0</v>
      </c>
      <c r="RD26" s="1">
        <f t="shared" si="122"/>
        <v>0</v>
      </c>
      <c r="RG26" s="1">
        <v>17</v>
      </c>
      <c r="RH26" s="1">
        <f t="shared" si="146"/>
        <v>13011.8852097171</v>
      </c>
      <c r="RI26" s="1">
        <f t="shared" si="147"/>
        <v>9780.2017804837196</v>
      </c>
      <c r="RJ26" s="1">
        <f t="shared" si="148"/>
        <v>13404.263703387322</v>
      </c>
      <c r="RK26" s="89">
        <f t="shared" si="5"/>
        <v>36196.350693588145</v>
      </c>
      <c r="RL26" s="1033">
        <v>17</v>
      </c>
      <c r="RM26" s="1098">
        <f t="shared" si="124"/>
        <v>0</v>
      </c>
      <c r="RN26" s="1098">
        <f t="shared" si="125"/>
        <v>0</v>
      </c>
      <c r="RO26" s="1097">
        <f t="shared" si="125"/>
        <v>0</v>
      </c>
      <c r="RP26" s="1097">
        <f t="shared" si="126"/>
        <v>5234.3799999999992</v>
      </c>
      <c r="RQ26" s="1050"/>
      <c r="RR26" s="1046" t="s">
        <v>837</v>
      </c>
      <c r="RS26" s="1048"/>
      <c r="RU26" s="421">
        <v>17</v>
      </c>
      <c r="RV26" s="1095">
        <f t="shared" si="127"/>
        <v>13044.37</v>
      </c>
      <c r="RW26" s="1046" t="s">
        <v>838</v>
      </c>
      <c r="RY26" s="1090"/>
      <c r="RZ26" s="1090">
        <f t="shared" si="128"/>
        <v>0</v>
      </c>
      <c r="SA26" s="1090"/>
      <c r="SB26" s="1090">
        <f t="shared" si="129"/>
        <v>0</v>
      </c>
      <c r="SD26" s="1">
        <v>17</v>
      </c>
      <c r="SE26" s="1">
        <f t="shared" si="130"/>
        <v>0</v>
      </c>
    </row>
    <row r="27" spans="1:500" s="1" customFormat="1" ht="15.6" customHeight="1">
      <c r="B27" s="471">
        <v>18</v>
      </c>
      <c r="C27" s="4">
        <f t="shared" si="6"/>
        <v>138861</v>
      </c>
      <c r="D27" s="1590">
        <f t="shared" si="131"/>
        <v>8857.64</v>
      </c>
      <c r="E27" s="1911">
        <f t="shared" si="7"/>
        <v>15.676974905279511</v>
      </c>
      <c r="F27" s="1113"/>
      <c r="G27" s="1113"/>
      <c r="H27" s="845">
        <v>63</v>
      </c>
      <c r="I27" s="482">
        <v>11.08</v>
      </c>
      <c r="J27" s="845"/>
      <c r="K27" s="846"/>
      <c r="L27" s="845">
        <v>10.33</v>
      </c>
      <c r="M27" s="482">
        <v>2.2400000000000002</v>
      </c>
      <c r="N27" s="2629"/>
      <c r="O27" s="4">
        <f t="shared" si="132"/>
        <v>89208</v>
      </c>
      <c r="P27" s="1225">
        <f t="shared" si="8"/>
        <v>6348.58</v>
      </c>
      <c r="Q27" s="1913">
        <f t="shared" si="9"/>
        <v>14.051646194897128</v>
      </c>
      <c r="R27" s="12"/>
      <c r="S27" s="4">
        <f t="shared" si="10"/>
        <v>27767</v>
      </c>
      <c r="T27" s="5">
        <f t="shared" si="11"/>
        <v>1389.0600000000002</v>
      </c>
      <c r="U27" s="1913">
        <f t="shared" si="12"/>
        <v>19.989777259441635</v>
      </c>
      <c r="V27" s="15"/>
      <c r="W27" s="26">
        <f t="shared" si="13"/>
        <v>21886</v>
      </c>
      <c r="X27" s="5">
        <f t="shared" si="13"/>
        <v>1120</v>
      </c>
      <c r="Y27" s="1719">
        <f t="shared" si="14"/>
        <v>19.541071428571428</v>
      </c>
      <c r="Z27" s="12"/>
      <c r="AA27" s="26">
        <f t="shared" si="15"/>
        <v>0</v>
      </c>
      <c r="AB27" s="27">
        <f t="shared" si="16"/>
        <v>0</v>
      </c>
      <c r="AC27" s="64">
        <f t="shared" si="17"/>
        <v>0</v>
      </c>
      <c r="AD27" s="15"/>
      <c r="AE27" s="9"/>
      <c r="AF27" s="9"/>
      <c r="AG27" s="64">
        <f t="shared" si="18"/>
        <v>0</v>
      </c>
      <c r="AH27" s="15"/>
      <c r="AI27" s="4"/>
      <c r="AJ27" s="5"/>
      <c r="AK27" s="64">
        <f t="shared" si="19"/>
        <v>0</v>
      </c>
      <c r="AL27" s="15"/>
      <c r="AM27" s="2629"/>
      <c r="AN27" s="9"/>
      <c r="AO27" s="5"/>
      <c r="AP27" s="482">
        <f t="shared" si="20"/>
        <v>0</v>
      </c>
      <c r="AQ27" s="9"/>
      <c r="AR27" s="64"/>
      <c r="AS27" s="482">
        <f t="shared" si="21"/>
        <v>0</v>
      </c>
      <c r="AT27" s="9">
        <v>0</v>
      </c>
      <c r="AU27" s="5"/>
      <c r="AV27" s="482">
        <f t="shared" si="22"/>
        <v>0</v>
      </c>
      <c r="AW27" s="9">
        <v>59388</v>
      </c>
      <c r="AX27" s="5">
        <v>3941.1600000000003</v>
      </c>
      <c r="AY27" s="1911">
        <f t="shared" si="23"/>
        <v>15.0686599884298</v>
      </c>
      <c r="AZ27" s="1912"/>
      <c r="BA27" s="1913"/>
      <c r="BB27" s="1911">
        <f t="shared" si="24"/>
        <v>0</v>
      </c>
      <c r="BC27" s="1940">
        <v>29820</v>
      </c>
      <c r="BD27" s="1953">
        <v>2407.42</v>
      </c>
      <c r="BE27" s="1911">
        <f t="shared" si="154"/>
        <v>12.386704438776782</v>
      </c>
      <c r="BF27" s="1908"/>
      <c r="BG27" s="1909"/>
      <c r="BH27" s="1911">
        <f t="shared" si="26"/>
        <v>0</v>
      </c>
      <c r="BI27" s="1908">
        <v>0</v>
      </c>
      <c r="BJ27" s="1909">
        <v>0</v>
      </c>
      <c r="BK27" s="1911">
        <f t="shared" si="27"/>
        <v>0</v>
      </c>
      <c r="BL27" s="1914">
        <v>27767</v>
      </c>
      <c r="BM27" s="1954">
        <v>1389.0600000000002</v>
      </c>
      <c r="BN27" s="1911">
        <f t="shared" si="28"/>
        <v>19.989777259441635</v>
      </c>
      <c r="BO27" s="9"/>
      <c r="BP27" s="64"/>
      <c r="BQ27" s="482">
        <f t="shared" si="29"/>
        <v>0</v>
      </c>
      <c r="BR27" s="9"/>
      <c r="BS27" s="64"/>
      <c r="BT27" s="482">
        <f t="shared" si="30"/>
        <v>0</v>
      </c>
      <c r="BU27" s="9">
        <v>21886</v>
      </c>
      <c r="BV27" s="27">
        <v>1120</v>
      </c>
      <c r="BW27" s="15">
        <f t="shared" si="31"/>
        <v>19.541071428571428</v>
      </c>
      <c r="BX27" s="26"/>
      <c r="BY27" s="5"/>
      <c r="BZ27" s="482">
        <f t="shared" si="32"/>
        <v>0</v>
      </c>
      <c r="CA27" s="9"/>
      <c r="CB27" s="5"/>
      <c r="CC27" s="482">
        <f t="shared" si="33"/>
        <v>0</v>
      </c>
      <c r="CD27" s="4"/>
      <c r="CE27" s="5"/>
      <c r="CF27" s="15">
        <f t="shared" si="34"/>
        <v>0</v>
      </c>
      <c r="CG27" s="150"/>
      <c r="CH27" s="1108"/>
      <c r="CI27" s="5"/>
      <c r="CJ27" s="5"/>
      <c r="CK27" s="5">
        <v>1537.5</v>
      </c>
      <c r="CL27" s="5"/>
      <c r="CM27" s="5">
        <f t="shared" si="35"/>
        <v>1537.5</v>
      </c>
      <c r="CN27" s="12"/>
      <c r="CO27" s="366"/>
      <c r="CQ27" s="4">
        <f t="shared" si="36"/>
        <v>0</v>
      </c>
      <c r="CR27" s="9">
        <f t="shared" si="37"/>
        <v>0</v>
      </c>
      <c r="CS27" s="5">
        <f t="shared" si="38"/>
        <v>0</v>
      </c>
      <c r="CT27" s="5">
        <f t="shared" si="39"/>
        <v>0</v>
      </c>
      <c r="CU27" s="5">
        <f t="shared" si="40"/>
        <v>0</v>
      </c>
      <c r="CV27" s="5">
        <f t="shared" si="41"/>
        <v>0</v>
      </c>
      <c r="CW27" s="5">
        <f t="shared" si="42"/>
        <v>2787.4</v>
      </c>
      <c r="CX27" s="5">
        <f t="shared" si="43"/>
        <v>0</v>
      </c>
      <c r="CY27" s="5">
        <f t="shared" si="44"/>
        <v>3982.8</v>
      </c>
      <c r="CZ27" s="5">
        <f t="shared" si="45"/>
        <v>0</v>
      </c>
      <c r="DA27" s="5">
        <f t="shared" si="46"/>
        <v>1357.96</v>
      </c>
      <c r="DB27" s="12">
        <f t="shared" si="47"/>
        <v>0</v>
      </c>
      <c r="DC27" s="847">
        <f t="shared" si="48"/>
        <v>8857.6400000000012</v>
      </c>
      <c r="DD27" s="2695"/>
      <c r="DE27" s="8"/>
      <c r="DF27" s="9"/>
      <c r="DG27" s="5"/>
      <c r="DH27" s="5"/>
      <c r="DI27" s="5"/>
      <c r="DJ27" s="5"/>
      <c r="DK27" s="5">
        <v>2787.4</v>
      </c>
      <c r="DL27" s="5"/>
      <c r="DM27" s="5">
        <v>424.28</v>
      </c>
      <c r="DN27" s="12"/>
      <c r="DO27" s="5"/>
      <c r="DP27" s="486"/>
      <c r="DQ27" s="15">
        <f t="shared" si="49"/>
        <v>3211.6800000000003</v>
      </c>
      <c r="DR27" s="9"/>
      <c r="DS27" s="9"/>
      <c r="DT27" s="5"/>
      <c r="DU27" s="5"/>
      <c r="DV27" s="5"/>
      <c r="DW27" s="5"/>
      <c r="DX27" s="5"/>
      <c r="DY27" s="5"/>
      <c r="DZ27" s="5">
        <v>3558.5200000000004</v>
      </c>
      <c r="EA27" s="5"/>
      <c r="EB27" s="5">
        <v>237.96</v>
      </c>
      <c r="EC27" s="12"/>
      <c r="ED27" s="15">
        <f t="shared" si="50"/>
        <v>3796.4800000000005</v>
      </c>
      <c r="EE27" s="9"/>
      <c r="EF27" s="9"/>
      <c r="EG27" s="5"/>
      <c r="EH27" s="5"/>
      <c r="EI27" s="5"/>
      <c r="EJ27" s="5"/>
      <c r="EK27" s="5"/>
      <c r="EL27" s="5"/>
      <c r="EM27" s="5"/>
      <c r="EN27" s="5"/>
      <c r="EO27" s="5">
        <v>1120</v>
      </c>
      <c r="EP27" s="12"/>
      <c r="EQ27" s="15">
        <f t="shared" si="51"/>
        <v>1120</v>
      </c>
      <c r="ER27" s="9"/>
      <c r="ES27" s="5"/>
      <c r="ET27" s="5"/>
      <c r="EU27" s="5"/>
      <c r="EV27" s="5"/>
      <c r="EW27" s="5"/>
      <c r="EX27" s="12">
        <f t="shared" si="52"/>
        <v>0</v>
      </c>
      <c r="EY27" s="2685"/>
      <c r="FA27" s="4">
        <f t="shared" si="53"/>
        <v>0</v>
      </c>
      <c r="FB27" s="5">
        <f t="shared" si="54"/>
        <v>0</v>
      </c>
      <c r="FC27" s="5">
        <f t="shared" si="55"/>
        <v>0</v>
      </c>
      <c r="FD27" s="12">
        <f t="shared" si="56"/>
        <v>0</v>
      </c>
      <c r="FE27" s="12"/>
      <c r="FF27" s="2674"/>
      <c r="FG27" s="9"/>
      <c r="FH27" s="5"/>
      <c r="FI27" s="5"/>
      <c r="FJ27" s="5"/>
      <c r="FK27" s="5"/>
      <c r="FL27" s="5"/>
      <c r="FM27" s="15">
        <f t="shared" si="57"/>
        <v>0</v>
      </c>
      <c r="FN27" s="9"/>
      <c r="FO27" s="5"/>
      <c r="FP27" s="5"/>
      <c r="FQ27" s="5"/>
      <c r="FR27" s="5"/>
      <c r="FS27" s="5"/>
      <c r="FT27" s="15">
        <f t="shared" si="58"/>
        <v>0</v>
      </c>
      <c r="FU27" s="9"/>
      <c r="FV27" s="9"/>
      <c r="FW27" s="5"/>
      <c r="FX27" s="5"/>
      <c r="FY27" s="5"/>
      <c r="FZ27" s="5"/>
      <c r="GA27" s="5"/>
      <c r="GB27" s="5"/>
      <c r="GC27" s="5"/>
      <c r="GD27" s="5"/>
      <c r="GE27" s="5"/>
      <c r="GF27" s="12"/>
      <c r="GG27" s="12">
        <f t="shared" si="59"/>
        <v>0</v>
      </c>
      <c r="GH27" s="2674"/>
      <c r="GJ27" s="2">
        <f t="shared" si="133"/>
        <v>0</v>
      </c>
      <c r="GK27" s="63">
        <f t="shared" si="134"/>
        <v>8490.09</v>
      </c>
      <c r="GL27" s="24">
        <f t="shared" si="135"/>
        <v>3862.6500000000005</v>
      </c>
      <c r="GM27" s="1590">
        <f t="shared" si="60"/>
        <v>12352.740000000002</v>
      </c>
      <c r="GN27" s="848"/>
      <c r="GO27" s="848"/>
      <c r="GP27" s="12"/>
      <c r="GQ27" s="2667"/>
      <c r="GR27" s="1112">
        <v>5373.42</v>
      </c>
      <c r="GS27" s="5">
        <v>0</v>
      </c>
      <c r="GT27" s="5">
        <v>3679.0499999999997</v>
      </c>
      <c r="GU27" s="5">
        <v>3300.2700000000004</v>
      </c>
      <c r="GV27" s="12">
        <f t="shared" si="61"/>
        <v>12352.74</v>
      </c>
      <c r="GW27" s="2667"/>
      <c r="GX27" s="9"/>
      <c r="GY27" s="9"/>
      <c r="GZ27" s="5"/>
      <c r="HA27" s="5"/>
      <c r="HB27" s="5"/>
      <c r="HC27" s="5"/>
      <c r="HD27" s="5"/>
      <c r="HE27" s="5"/>
      <c r="HF27" s="5">
        <v>0</v>
      </c>
      <c r="HG27" s="5"/>
      <c r="HH27" s="5">
        <v>0</v>
      </c>
      <c r="HI27" s="5"/>
      <c r="HJ27" s="5">
        <v>0</v>
      </c>
      <c r="HK27" s="5"/>
      <c r="HL27" s="15">
        <f t="shared" si="62"/>
        <v>0</v>
      </c>
      <c r="HM27" s="9"/>
      <c r="HN27" s="5"/>
      <c r="HO27" s="5"/>
      <c r="HP27" s="5"/>
      <c r="HQ27" s="5"/>
      <c r="HR27" s="5"/>
      <c r="HS27" s="5" cm="1">
        <f t="array" ref="HS27">SUMPRODUCT(('Data Base hauling'!$C$2:$C$216="TCM-ROM SB1 BK05-ROM 4")*(ISNUMBER(SEARCH(TEXT('March TCM'!$B27,"00")&amp;"/03/2026",'Data Base hauling'!$E$2:$E$216)))*'Data Base hauling'!$N$2:$N$216)</f>
        <v>0</v>
      </c>
      <c r="HT27" s="5"/>
      <c r="HU27" s="5" cm="1">
        <f t="array" ref="HU27">SUMPRODUCT(('Data Base hauling'!$C$2:$C$216="TCM-ROM SB1 BK05-ROM 5")*(ISNUMBER(SEARCH(TEXT('March TCM'!$B27,"00")&amp;"/03/2026",'Data Base hauling'!$E$2:$E$216)))*'Data Base hauling'!$N$2:$N$216)</f>
        <v>0</v>
      </c>
      <c r="HV27" s="5"/>
      <c r="HW27" s="5"/>
      <c r="HX27" s="5"/>
      <c r="HY27" s="5"/>
      <c r="HZ27" s="5"/>
      <c r="IA27" s="12">
        <f t="shared" si="63"/>
        <v>0</v>
      </c>
      <c r="IB27" s="845"/>
      <c r="IC27" s="363"/>
      <c r="ID27" s="64"/>
      <c r="IE27" s="64"/>
      <c r="IF27" s="64"/>
      <c r="IG27" s="64"/>
      <c r="IH27" s="64">
        <v>0</v>
      </c>
      <c r="II27" s="64"/>
      <c r="IJ27" s="1590">
        <v>8296.59</v>
      </c>
      <c r="IK27" s="64"/>
      <c r="IL27" s="64">
        <v>0</v>
      </c>
      <c r="IM27" s="64"/>
      <c r="IN27" s="64"/>
      <c r="IO27" s="49">
        <v>193.5</v>
      </c>
      <c r="IP27" s="61">
        <f t="shared" si="64"/>
        <v>8490.09</v>
      </c>
      <c r="IQ27" s="9"/>
      <c r="IR27" s="9"/>
      <c r="IS27" s="64"/>
      <c r="IT27" s="5"/>
      <c r="IU27" s="64"/>
      <c r="IV27" s="5"/>
      <c r="IW27" s="5">
        <v>0</v>
      </c>
      <c r="IX27" s="5"/>
      <c r="IY27" s="5">
        <v>3862.6500000000005</v>
      </c>
      <c r="IZ27" s="5"/>
      <c r="JA27" s="5">
        <v>0</v>
      </c>
      <c r="JB27" s="5"/>
      <c r="JC27" s="5"/>
      <c r="JD27" s="5"/>
      <c r="JE27" s="12">
        <f t="shared" si="138"/>
        <v>3862.6500000000005</v>
      </c>
      <c r="JF27" s="2667"/>
      <c r="JH27" s="2020">
        <v>12352.74</v>
      </c>
      <c r="JI27" s="2021">
        <v>0</v>
      </c>
      <c r="JJ27" s="64"/>
      <c r="JK27" s="64">
        <f t="shared" si="65"/>
        <v>12352.74</v>
      </c>
      <c r="JL27" s="12"/>
      <c r="JM27" s="2669"/>
      <c r="JN27" s="849">
        <v>0</v>
      </c>
      <c r="JO27" s="850">
        <v>0</v>
      </c>
      <c r="JP27" s="850">
        <v>0</v>
      </c>
      <c r="JQ27" s="850">
        <v>0</v>
      </c>
      <c r="JR27" s="850">
        <v>0.984335459177478</v>
      </c>
      <c r="JS27" s="850">
        <v>0</v>
      </c>
      <c r="JT27" s="850">
        <v>0</v>
      </c>
      <c r="JU27" s="1923">
        <v>0</v>
      </c>
      <c r="JV27" s="849" t="s">
        <v>296</v>
      </c>
      <c r="JW27" s="850" t="s">
        <v>296</v>
      </c>
      <c r="JX27" s="850" t="s">
        <v>296</v>
      </c>
      <c r="JY27" s="850" t="s">
        <v>296</v>
      </c>
      <c r="JZ27" s="850" t="s">
        <v>296</v>
      </c>
      <c r="KA27" s="850" t="s">
        <v>296</v>
      </c>
      <c r="KB27" s="850" t="s">
        <v>296</v>
      </c>
      <c r="KC27" s="851" t="s">
        <v>296</v>
      </c>
      <c r="KD27" s="849"/>
      <c r="KE27" s="850"/>
      <c r="KF27" s="850"/>
      <c r="KG27" s="850"/>
      <c r="KH27" s="850"/>
      <c r="KI27" s="850"/>
      <c r="KJ27" s="850"/>
      <c r="KK27" s="850"/>
      <c r="KL27" s="12"/>
      <c r="KM27" s="2669"/>
      <c r="KN27" s="9">
        <v>6905.941134413727</v>
      </c>
      <c r="KO27" s="1964">
        <v>0.67099062599300929</v>
      </c>
      <c r="KP27" s="1964">
        <v>3.7903678106132825</v>
      </c>
      <c r="KQ27" s="1964">
        <v>7.1526922465840483</v>
      </c>
      <c r="KR27" s="1970">
        <v>10.484099142040041</v>
      </c>
      <c r="KS27" s="1959">
        <v>0</v>
      </c>
      <c r="KT27" s="1964">
        <v>0</v>
      </c>
      <c r="KU27" s="1964">
        <v>0</v>
      </c>
      <c r="KV27" s="1964">
        <v>0</v>
      </c>
      <c r="KW27" s="1965">
        <v>0</v>
      </c>
      <c r="KX27" s="9"/>
      <c r="KY27" s="64"/>
      <c r="KZ27" s="64"/>
      <c r="LA27" s="64"/>
      <c r="LB27" s="64"/>
      <c r="LC27" s="12"/>
      <c r="LD27" s="2669"/>
      <c r="LF27" s="4">
        <f t="shared" si="66"/>
        <v>0</v>
      </c>
      <c r="LG27" s="5">
        <f t="shared" si="66"/>
        <v>0</v>
      </c>
      <c r="LH27" s="5">
        <f t="shared" si="66"/>
        <v>0</v>
      </c>
      <c r="LI27" s="15">
        <f t="shared" si="67"/>
        <v>0</v>
      </c>
      <c r="LJ27" s="9"/>
      <c r="LK27" s="5"/>
      <c r="LL27" s="5">
        <v>2</v>
      </c>
      <c r="LM27" s="12"/>
      <c r="LN27" s="1111">
        <v>6.75</v>
      </c>
      <c r="LO27" s="486"/>
      <c r="LP27" s="2688"/>
      <c r="LQ27" s="9"/>
      <c r="LR27" s="9"/>
      <c r="LS27" s="5"/>
      <c r="LT27" s="5"/>
      <c r="LU27" s="5"/>
      <c r="LV27" s="1107">
        <f t="shared" si="68"/>
        <v>0</v>
      </c>
      <c r="LW27" s="9"/>
      <c r="LX27" s="9"/>
      <c r="LY27" s="5"/>
      <c r="LZ27" s="5"/>
      <c r="MA27" s="12"/>
      <c r="MB27" s="28">
        <f t="shared" si="69"/>
        <v>0</v>
      </c>
      <c r="MC27" s="4"/>
      <c r="MD27" s="9"/>
      <c r="ME27" s="5"/>
      <c r="MF27" s="5"/>
      <c r="MG27" s="5"/>
      <c r="MH27" s="15"/>
      <c r="MI27" s="9"/>
      <c r="MJ27" s="9"/>
      <c r="MK27" s="5"/>
      <c r="ML27" s="5"/>
      <c r="MM27" s="5"/>
      <c r="MN27" s="15"/>
      <c r="MO27" s="9"/>
      <c r="MP27" s="9"/>
      <c r="MQ27" s="5"/>
      <c r="MR27" s="5"/>
      <c r="MS27" s="5"/>
      <c r="MT27" s="12">
        <f t="shared" si="70"/>
        <v>0</v>
      </c>
      <c r="MU27" s="2688"/>
      <c r="MW27" s="4">
        <f t="shared" si="71"/>
        <v>83155.602645013394</v>
      </c>
      <c r="MX27" s="5">
        <f t="shared" si="72"/>
        <v>105963.99224882352</v>
      </c>
      <c r="MY27" s="5">
        <f t="shared" si="73"/>
        <v>20201.645201279462</v>
      </c>
      <c r="MZ27" s="15">
        <f t="shared" si="74"/>
        <v>434291.72855850996</v>
      </c>
      <c r="NA27" s="2621"/>
      <c r="NB27" s="23">
        <f t="shared" si="75"/>
        <v>55394.639437467857</v>
      </c>
      <c r="NC27" s="1579">
        <f t="shared" si="76"/>
        <v>27760.963207545537</v>
      </c>
      <c r="ND27" s="60">
        <f t="shared" si="77"/>
        <v>0</v>
      </c>
      <c r="NE27" s="1042">
        <f t="shared" si="4"/>
        <v>83155.602645013394</v>
      </c>
      <c r="NF27" s="4">
        <f t="shared" si="156"/>
        <v>0</v>
      </c>
      <c r="NG27" s="5">
        <f t="shared" si="156"/>
        <v>0</v>
      </c>
      <c r="NH27" s="5">
        <f t="shared" si="156"/>
        <v>0</v>
      </c>
      <c r="NI27" s="5">
        <f t="shared" si="156"/>
        <v>0</v>
      </c>
      <c r="NJ27" s="5">
        <f t="shared" si="156"/>
        <v>0</v>
      </c>
      <c r="NK27" s="12">
        <f t="shared" si="156"/>
        <v>0</v>
      </c>
      <c r="NL27" s="27">
        <f t="shared" si="156"/>
        <v>0</v>
      </c>
      <c r="NM27" s="9">
        <f t="shared" si="156"/>
        <v>0</v>
      </c>
      <c r="NN27" s="24">
        <f t="shared" si="156"/>
        <v>4439.4305665631437</v>
      </c>
      <c r="NO27" s="5">
        <f t="shared" si="156"/>
        <v>26196.69549600617</v>
      </c>
      <c r="NP27" s="24">
        <f t="shared" si="136"/>
        <v>8756.5482322711578</v>
      </c>
      <c r="NQ27" s="24">
        <f t="shared" si="137"/>
        <v>18296.664118033408</v>
      </c>
      <c r="NR27" s="5">
        <f t="shared" si="0"/>
        <v>57689.338412873883</v>
      </c>
      <c r="NS27" s="27">
        <f t="shared" si="79"/>
        <v>0</v>
      </c>
      <c r="NT27" s="5">
        <f t="shared" si="80"/>
        <v>0</v>
      </c>
      <c r="NU27" s="5">
        <f t="shared" si="81"/>
        <v>0</v>
      </c>
      <c r="NV27" s="5">
        <f t="shared" si="82"/>
        <v>0</v>
      </c>
      <c r="NW27" s="5">
        <f t="shared" si="83"/>
        <v>0</v>
      </c>
      <c r="NX27" s="5">
        <f t="shared" si="84"/>
        <v>0</v>
      </c>
      <c r="NY27" s="27">
        <f t="shared" si="85"/>
        <v>4069.3736022929124</v>
      </c>
      <c r="NZ27" s="5">
        <f t="shared" si="86"/>
        <v>0</v>
      </c>
      <c r="OA27" s="27">
        <f t="shared" si="87"/>
        <v>21579.338066782839</v>
      </c>
      <c r="OB27" s="5"/>
      <c r="OC27" s="24">
        <f t="shared" si="88"/>
        <v>349.54339982995594</v>
      </c>
      <c r="OD27" s="5">
        <f t="shared" si="89"/>
        <v>0</v>
      </c>
      <c r="OE27" s="5">
        <f t="shared" si="1"/>
        <v>25998.255068905706</v>
      </c>
      <c r="OF27" s="5">
        <f t="shared" si="149"/>
        <v>0</v>
      </c>
      <c r="OG27" s="5">
        <f t="shared" si="150"/>
        <v>0</v>
      </c>
      <c r="OH27" s="5">
        <f t="shared" si="155"/>
        <v>0</v>
      </c>
      <c r="OI27" s="5">
        <f t="shared" si="151"/>
        <v>0</v>
      </c>
      <c r="OJ27" s="27">
        <f t="shared" si="152"/>
        <v>0</v>
      </c>
      <c r="OK27" s="5">
        <f t="shared" si="153"/>
        <v>0</v>
      </c>
      <c r="OL27" s="24">
        <f t="shared" si="145"/>
        <v>0</v>
      </c>
      <c r="OM27" s="5">
        <f t="shared" si="140"/>
        <v>0</v>
      </c>
      <c r="ON27" s="24">
        <f t="shared" si="141"/>
        <v>20584.623599111004</v>
      </c>
      <c r="OO27" s="5">
        <f t="shared" si="142"/>
        <v>0</v>
      </c>
      <c r="OP27" s="5">
        <f t="shared" si="143"/>
        <v>1691.775167932914</v>
      </c>
      <c r="OQ27" s="5">
        <f t="shared" si="144"/>
        <v>0</v>
      </c>
      <c r="OR27" s="15">
        <f t="shared" si="2"/>
        <v>22276.398767043916</v>
      </c>
      <c r="OS27" s="9"/>
      <c r="OT27" s="5"/>
      <c r="OU27" s="5"/>
      <c r="OV27" s="5"/>
      <c r="OW27" s="5"/>
      <c r="OX27" s="5"/>
      <c r="OY27" s="15">
        <f t="shared" si="91"/>
        <v>0</v>
      </c>
      <c r="OZ27" s="9">
        <f t="shared" si="92"/>
        <v>0</v>
      </c>
      <c r="PA27" s="5">
        <f t="shared" si="93"/>
        <v>0</v>
      </c>
      <c r="PB27" s="5">
        <f t="shared" si="94"/>
        <v>0</v>
      </c>
      <c r="PC27" s="5">
        <f t="shared" si="95"/>
        <v>0</v>
      </c>
      <c r="PD27" s="5">
        <f t="shared" si="96"/>
        <v>0</v>
      </c>
      <c r="PE27" s="5">
        <f t="shared" si="97"/>
        <v>0</v>
      </c>
      <c r="PF27" s="12">
        <f t="shared" si="3"/>
        <v>0</v>
      </c>
      <c r="PG27" s="2621"/>
      <c r="PI27" s="2">
        <v>0</v>
      </c>
      <c r="PJ27" s="3"/>
      <c r="PK27" s="3"/>
      <c r="PL27" s="3">
        <f t="shared" si="98"/>
        <v>0</v>
      </c>
      <c r="PM27" s="3">
        <f t="shared" si="99"/>
        <v>3003.1953876938928</v>
      </c>
      <c r="PN27" s="11">
        <f t="shared" si="100"/>
        <v>20201.645201279462</v>
      </c>
      <c r="PO27" s="15"/>
      <c r="PP27" s="2615"/>
      <c r="PR27" s="4"/>
      <c r="PS27" s="9"/>
      <c r="PT27" s="9"/>
      <c r="PU27" s="9"/>
      <c r="PV27" s="9">
        <v>729.48</v>
      </c>
      <c r="PW27" s="9"/>
      <c r="PX27" s="8">
        <f t="shared" si="101"/>
        <v>729.48</v>
      </c>
      <c r="PY27" s="5">
        <f t="shared" si="102"/>
        <v>0</v>
      </c>
      <c r="PZ27" s="5"/>
      <c r="QA27" s="5"/>
      <c r="QB27" s="5"/>
      <c r="QC27" s="5"/>
      <c r="QD27" s="5"/>
      <c r="QE27" s="12">
        <f t="shared" si="103"/>
        <v>29562.488999999998</v>
      </c>
      <c r="QF27" s="420">
        <f t="shared" si="104"/>
        <v>403641.87955850997</v>
      </c>
      <c r="QG27" s="1106">
        <f t="shared" si="105"/>
        <v>1087.3600000000001</v>
      </c>
      <c r="QH27" s="484">
        <f t="shared" si="106"/>
        <v>5505.3678056099998</v>
      </c>
      <c r="QI27" s="12"/>
      <c r="QJ27" s="2615"/>
      <c r="QL27" s="139">
        <f t="shared" si="107"/>
        <v>0</v>
      </c>
      <c r="QM27" s="139" t="str">
        <f t="shared" si="108"/>
        <v/>
      </c>
      <c r="QO27" s="139">
        <f t="shared" si="109"/>
        <v>0</v>
      </c>
      <c r="QP27" s="139">
        <f t="shared" si="110"/>
        <v>0</v>
      </c>
      <c r="QR27" s="1">
        <f t="shared" si="111"/>
        <v>0</v>
      </c>
      <c r="QS27" s="1">
        <f t="shared" si="112"/>
        <v>0</v>
      </c>
      <c r="QT27" s="1">
        <f t="shared" si="113"/>
        <v>0</v>
      </c>
      <c r="QU27" s="1">
        <f t="shared" si="114"/>
        <v>0</v>
      </c>
      <c r="QV27" s="1">
        <f t="shared" si="115"/>
        <v>0</v>
      </c>
      <c r="QW27" s="1">
        <f t="shared" si="116"/>
        <v>0</v>
      </c>
      <c r="QY27" s="1">
        <f t="shared" si="117"/>
        <v>0</v>
      </c>
      <c r="QZ27" s="1">
        <f t="shared" si="118"/>
        <v>0</v>
      </c>
      <c r="RA27" s="1">
        <f t="shared" si="119"/>
        <v>0</v>
      </c>
      <c r="RB27" s="1">
        <f t="shared" si="120"/>
        <v>0</v>
      </c>
      <c r="RC27" s="1">
        <f t="shared" si="121"/>
        <v>0</v>
      </c>
      <c r="RD27" s="1">
        <f t="shared" si="122"/>
        <v>0</v>
      </c>
      <c r="RG27" s="1">
        <v>18</v>
      </c>
      <c r="RH27" s="1">
        <f t="shared" si="146"/>
        <v>25364.625209717102</v>
      </c>
      <c r="RI27" s="1">
        <f t="shared" si="147"/>
        <v>9780.2017804837196</v>
      </c>
      <c r="RJ27" s="1">
        <f t="shared" si="148"/>
        <v>13404.263703387322</v>
      </c>
      <c r="RK27" s="89">
        <f t="shared" si="5"/>
        <v>48549.090693588136</v>
      </c>
      <c r="RL27" s="1033">
        <v>18</v>
      </c>
      <c r="RM27" s="1098">
        <f t="shared" si="124"/>
        <v>0</v>
      </c>
      <c r="RN27" s="1098">
        <f t="shared" si="125"/>
        <v>729.48</v>
      </c>
      <c r="RO27" s="1097">
        <f t="shared" si="125"/>
        <v>0</v>
      </c>
      <c r="RP27" s="1097">
        <f t="shared" si="126"/>
        <v>7737.64</v>
      </c>
      <c r="RQ27" s="1050"/>
      <c r="RR27" s="1050" t="s">
        <v>839</v>
      </c>
      <c r="RS27" s="1048"/>
      <c r="RU27" s="421">
        <v>18</v>
      </c>
      <c r="RV27" s="1095">
        <f t="shared" si="127"/>
        <v>12352.74</v>
      </c>
      <c r="RW27" s="1046" t="s">
        <v>840</v>
      </c>
      <c r="RX27" s="1048"/>
      <c r="RY27" s="1090"/>
      <c r="RZ27" s="1090">
        <f t="shared" si="128"/>
        <v>-729.47999999999956</v>
      </c>
      <c r="SA27" s="1090"/>
      <c r="SB27" s="1090">
        <f t="shared" si="129"/>
        <v>0</v>
      </c>
      <c r="SD27" s="1">
        <v>18</v>
      </c>
      <c r="SE27" s="1">
        <f t="shared" si="130"/>
        <v>0</v>
      </c>
      <c r="SF27" s="1094"/>
    </row>
    <row r="28" spans="1:500" s="1" customFormat="1">
      <c r="B28" s="471">
        <v>19</v>
      </c>
      <c r="C28" s="4">
        <f t="shared" si="6"/>
        <v>113250.5</v>
      </c>
      <c r="D28" s="1590">
        <f t="shared" si="131"/>
        <v>5502.8600000000006</v>
      </c>
      <c r="E28" s="1895">
        <f t="shared" si="7"/>
        <v>20.580298244912644</v>
      </c>
      <c r="F28" s="870"/>
      <c r="G28" s="870"/>
      <c r="H28" s="52">
        <v>19</v>
      </c>
      <c r="I28" s="61">
        <v>5.17</v>
      </c>
      <c r="J28" s="52"/>
      <c r="K28" s="54"/>
      <c r="L28" s="52"/>
      <c r="M28" s="61"/>
      <c r="N28" s="2629"/>
      <c r="O28" s="4">
        <f t="shared" si="132"/>
        <v>69972</v>
      </c>
      <c r="P28" s="1225">
        <f t="shared" si="8"/>
        <v>3668.5600000000004</v>
      </c>
      <c r="Q28" s="1913">
        <f t="shared" si="9"/>
        <v>19.073423904747365</v>
      </c>
      <c r="R28" s="33"/>
      <c r="S28" s="26">
        <f t="shared" si="10"/>
        <v>15902</v>
      </c>
      <c r="T28" s="27">
        <f t="shared" si="11"/>
        <v>514.29999999999995</v>
      </c>
      <c r="U28" s="1909">
        <f t="shared" si="12"/>
        <v>30.919696675092361</v>
      </c>
      <c r="V28" s="28"/>
      <c r="W28" s="26">
        <f t="shared" si="13"/>
        <v>27376.5</v>
      </c>
      <c r="X28" s="5">
        <f t="shared" si="13"/>
        <v>1320</v>
      </c>
      <c r="Y28" s="325">
        <f t="shared" si="14"/>
        <v>20.739772727272726</v>
      </c>
      <c r="Z28" s="33"/>
      <c r="AA28" s="26">
        <f t="shared" si="15"/>
        <v>0</v>
      </c>
      <c r="AB28" s="27">
        <f t="shared" si="16"/>
        <v>0</v>
      </c>
      <c r="AC28" s="53">
        <f t="shared" si="17"/>
        <v>0</v>
      </c>
      <c r="AD28" s="28"/>
      <c r="AE28" s="36"/>
      <c r="AF28" s="36"/>
      <c r="AG28" s="53">
        <f t="shared" si="18"/>
        <v>0</v>
      </c>
      <c r="AH28" s="28"/>
      <c r="AI28" s="23"/>
      <c r="AJ28" s="27"/>
      <c r="AK28" s="53">
        <f t="shared" si="19"/>
        <v>0</v>
      </c>
      <c r="AL28" s="28"/>
      <c r="AM28" s="2629"/>
      <c r="AN28" s="9"/>
      <c r="AO28" s="5"/>
      <c r="AP28" s="61">
        <f t="shared" si="20"/>
        <v>0</v>
      </c>
      <c r="AQ28" s="36"/>
      <c r="AR28" s="53"/>
      <c r="AS28" s="61">
        <f t="shared" si="21"/>
        <v>0</v>
      </c>
      <c r="AT28" s="36">
        <v>0</v>
      </c>
      <c r="AU28" s="27"/>
      <c r="AV28" s="61">
        <f t="shared" si="22"/>
        <v>0</v>
      </c>
      <c r="AW28" s="36">
        <v>41412</v>
      </c>
      <c r="AX28" s="27">
        <v>2230.1400000000003</v>
      </c>
      <c r="AY28" s="1895">
        <f t="shared" si="23"/>
        <v>18.569237805698293</v>
      </c>
      <c r="AZ28" s="1908"/>
      <c r="BA28" s="1909"/>
      <c r="BB28" s="1895">
        <f t="shared" si="24"/>
        <v>0</v>
      </c>
      <c r="BC28" s="1740">
        <v>28560</v>
      </c>
      <c r="BD28" s="1913">
        <v>1438.42</v>
      </c>
      <c r="BE28" s="1895">
        <f t="shared" si="154"/>
        <v>19.855118810917535</v>
      </c>
      <c r="BF28" s="1908"/>
      <c r="BG28" s="1909"/>
      <c r="BH28" s="1895">
        <f t="shared" si="26"/>
        <v>0</v>
      </c>
      <c r="BI28" s="1908">
        <v>0</v>
      </c>
      <c r="BJ28" s="1909">
        <v>0</v>
      </c>
      <c r="BK28" s="1895">
        <f t="shared" si="27"/>
        <v>0</v>
      </c>
      <c r="BL28" s="1910">
        <v>15902</v>
      </c>
      <c r="BM28" s="1909">
        <v>514.29999999999995</v>
      </c>
      <c r="BN28" s="1911">
        <f t="shared" si="28"/>
        <v>30.919696675092361</v>
      </c>
      <c r="BO28" s="9"/>
      <c r="BP28" s="64"/>
      <c r="BQ28" s="482">
        <f t="shared" si="29"/>
        <v>0</v>
      </c>
      <c r="BR28" s="9"/>
      <c r="BS28" s="64"/>
      <c r="BT28" s="482">
        <f t="shared" si="30"/>
        <v>0</v>
      </c>
      <c r="BU28" s="9">
        <v>27376.5</v>
      </c>
      <c r="BV28" s="27">
        <v>1320</v>
      </c>
      <c r="BW28" s="15">
        <f t="shared" si="31"/>
        <v>20.739772727272726</v>
      </c>
      <c r="BX28" s="26"/>
      <c r="BY28" s="5"/>
      <c r="BZ28" s="482">
        <f t="shared" si="32"/>
        <v>0</v>
      </c>
      <c r="CA28" s="9"/>
      <c r="CB28" s="5"/>
      <c r="CC28" s="482">
        <f t="shared" si="33"/>
        <v>0</v>
      </c>
      <c r="CD28" s="4"/>
      <c r="CE28" s="5"/>
      <c r="CF28" s="28">
        <f t="shared" si="34"/>
        <v>0</v>
      </c>
      <c r="CG28" s="150"/>
      <c r="CH28" s="1108"/>
      <c r="CI28" s="5"/>
      <c r="CJ28" s="5"/>
      <c r="CK28" s="5">
        <v>1412.5</v>
      </c>
      <c r="CL28" s="5"/>
      <c r="CM28" s="5">
        <f t="shared" si="35"/>
        <v>1412.5</v>
      </c>
      <c r="CN28" s="33"/>
      <c r="CO28" s="366"/>
      <c r="CQ28" s="4">
        <f t="shared" si="36"/>
        <v>0</v>
      </c>
      <c r="CR28" s="9">
        <f t="shared" si="37"/>
        <v>0</v>
      </c>
      <c r="CS28" s="5">
        <f t="shared" si="38"/>
        <v>0</v>
      </c>
      <c r="CT28" s="5">
        <f t="shared" si="39"/>
        <v>0</v>
      </c>
      <c r="CU28" s="5">
        <f t="shared" si="40"/>
        <v>0</v>
      </c>
      <c r="CV28" s="5">
        <f t="shared" si="41"/>
        <v>0</v>
      </c>
      <c r="CW28" s="5">
        <f t="shared" si="42"/>
        <v>2230.1400000000003</v>
      </c>
      <c r="CX28" s="5">
        <f t="shared" si="43"/>
        <v>0</v>
      </c>
      <c r="CY28" s="5">
        <f t="shared" si="44"/>
        <v>1710.94</v>
      </c>
      <c r="CZ28" s="5">
        <f t="shared" si="45"/>
        <v>0</v>
      </c>
      <c r="DA28" s="5">
        <f t="shared" si="46"/>
        <v>1561.78</v>
      </c>
      <c r="DB28" s="12">
        <f t="shared" si="47"/>
        <v>0</v>
      </c>
      <c r="DC28" s="310">
        <f t="shared" si="48"/>
        <v>5502.8600000000006</v>
      </c>
      <c r="DD28" s="2695"/>
      <c r="DE28" s="8"/>
      <c r="DF28" s="9"/>
      <c r="DG28" s="5"/>
      <c r="DH28" s="5"/>
      <c r="DI28" s="5"/>
      <c r="DJ28" s="5"/>
      <c r="DK28" s="5">
        <v>2230.1400000000003</v>
      </c>
      <c r="DL28" s="5"/>
      <c r="DM28" s="5">
        <v>0</v>
      </c>
      <c r="DN28" s="5"/>
      <c r="DO28" s="488"/>
      <c r="DP28" s="324"/>
      <c r="DQ28" s="28">
        <f t="shared" si="49"/>
        <v>2230.1400000000003</v>
      </c>
      <c r="DR28" s="36"/>
      <c r="DS28" s="9"/>
      <c r="DT28" s="5"/>
      <c r="DU28" s="5"/>
      <c r="DV28" s="5"/>
      <c r="DW28" s="5"/>
      <c r="DX28" s="27"/>
      <c r="DY28" s="27"/>
      <c r="DZ28" s="27">
        <v>1710.94</v>
      </c>
      <c r="EA28" s="27"/>
      <c r="EB28" s="27">
        <v>241.78</v>
      </c>
      <c r="EC28" s="33"/>
      <c r="ED28" s="28">
        <f t="shared" si="50"/>
        <v>1952.72</v>
      </c>
      <c r="EE28" s="856"/>
      <c r="EF28" s="36"/>
      <c r="EG28" s="27"/>
      <c r="EH28" s="27"/>
      <c r="EI28" s="27"/>
      <c r="EJ28" s="27"/>
      <c r="EK28" s="27"/>
      <c r="EL28" s="27"/>
      <c r="EM28" s="5"/>
      <c r="EN28" s="5"/>
      <c r="EO28" s="5">
        <v>1320</v>
      </c>
      <c r="EP28" s="33"/>
      <c r="EQ28" s="28">
        <f t="shared" si="51"/>
        <v>1320</v>
      </c>
      <c r="ER28" s="36"/>
      <c r="ES28" s="27"/>
      <c r="ET28" s="27"/>
      <c r="EU28" s="27"/>
      <c r="EV28" s="27"/>
      <c r="EW28" s="27"/>
      <c r="EX28" s="33">
        <f t="shared" si="52"/>
        <v>0</v>
      </c>
      <c r="EY28" s="2685"/>
      <c r="FA28" s="4">
        <f t="shared" si="53"/>
        <v>0</v>
      </c>
      <c r="FB28" s="5">
        <f t="shared" si="54"/>
        <v>0</v>
      </c>
      <c r="FC28" s="5">
        <f t="shared" si="55"/>
        <v>0</v>
      </c>
      <c r="FD28" s="12">
        <f t="shared" si="56"/>
        <v>0</v>
      </c>
      <c r="FE28" s="33"/>
      <c r="FF28" s="2674"/>
      <c r="FG28" s="9"/>
      <c r="FH28" s="5"/>
      <c r="FI28" s="5"/>
      <c r="FJ28" s="5"/>
      <c r="FK28" s="5"/>
      <c r="FL28" s="27"/>
      <c r="FM28" s="28">
        <f t="shared" si="57"/>
        <v>0</v>
      </c>
      <c r="FN28" s="36"/>
      <c r="FO28" s="27"/>
      <c r="FP28" s="27"/>
      <c r="FQ28" s="27"/>
      <c r="FR28" s="27"/>
      <c r="FS28" s="27"/>
      <c r="FT28" s="28">
        <f t="shared" si="58"/>
        <v>0</v>
      </c>
      <c r="FU28" s="36"/>
      <c r="FV28" s="36"/>
      <c r="FW28" s="27"/>
      <c r="FX28" s="27"/>
      <c r="FY28" s="27"/>
      <c r="FZ28" s="27"/>
      <c r="GA28" s="27"/>
      <c r="GB28" s="27"/>
      <c r="GC28" s="27"/>
      <c r="GD28" s="27"/>
      <c r="GE28" s="27"/>
      <c r="GF28" s="33"/>
      <c r="GG28" s="33">
        <f t="shared" si="59"/>
        <v>0</v>
      </c>
      <c r="GH28" s="2674"/>
      <c r="GJ28" s="2">
        <f t="shared" si="133"/>
        <v>0</v>
      </c>
      <c r="GK28" s="63">
        <f t="shared" si="134"/>
        <v>7541.67</v>
      </c>
      <c r="GL28" s="24">
        <f t="shared" si="135"/>
        <v>4461.51</v>
      </c>
      <c r="GM28" s="27">
        <f t="shared" si="60"/>
        <v>12003.18</v>
      </c>
      <c r="GN28" s="141"/>
      <c r="GO28" s="141"/>
      <c r="GP28" s="33"/>
      <c r="GQ28" s="2667"/>
      <c r="GR28" s="845">
        <v>4994.72</v>
      </c>
      <c r="GS28" s="36">
        <v>0</v>
      </c>
      <c r="GT28" s="27">
        <v>3730.7299999999991</v>
      </c>
      <c r="GU28" s="27">
        <v>3277.73</v>
      </c>
      <c r="GV28" s="33">
        <f t="shared" si="61"/>
        <v>12003.179999999998</v>
      </c>
      <c r="GW28" s="2667"/>
      <c r="GX28" s="36"/>
      <c r="GY28" s="36"/>
      <c r="GZ28" s="27"/>
      <c r="HA28" s="27"/>
      <c r="HB28" s="27"/>
      <c r="HC28" s="27"/>
      <c r="HD28" s="27"/>
      <c r="HE28" s="27"/>
      <c r="HF28" s="27">
        <v>0</v>
      </c>
      <c r="HG28" s="27"/>
      <c r="HH28" s="27">
        <v>0</v>
      </c>
      <c r="HI28" s="27"/>
      <c r="HJ28" s="27">
        <v>0</v>
      </c>
      <c r="HK28" s="27"/>
      <c r="HL28" s="28">
        <f t="shared" si="62"/>
        <v>0</v>
      </c>
      <c r="HM28" s="36"/>
      <c r="HN28" s="27"/>
      <c r="HO28" s="27"/>
      <c r="HP28" s="27"/>
      <c r="HQ28" s="27"/>
      <c r="HR28" s="27"/>
      <c r="HS28" s="27" cm="1">
        <f t="array" ref="HS28">SUMPRODUCT(('Data Base hauling'!$C$2:$C$216="TCM-ROM SB1 BK05-ROM 4")*(ISNUMBER(SEARCH(TEXT('March TCM'!$B28,"00")&amp;"/03/2026",'Data Base hauling'!$E$2:$E$216)))*'Data Base hauling'!$N$2:$N$216)</f>
        <v>0</v>
      </c>
      <c r="HT28" s="27"/>
      <c r="HU28" s="27" cm="1">
        <f t="array" ref="HU28">SUMPRODUCT(('Data Base hauling'!$C$2:$C$216="TCM-ROM SB1 BK05-ROM 5")*(ISNUMBER(SEARCH(TEXT('March TCM'!$B28,"00")&amp;"/03/2026",'Data Base hauling'!$E$2:$E$216)))*'Data Base hauling'!$N$2:$N$216)</f>
        <v>0</v>
      </c>
      <c r="HV28" s="27"/>
      <c r="HW28" s="27"/>
      <c r="HX28" s="27"/>
      <c r="HY28" s="27"/>
      <c r="HZ28" s="27"/>
      <c r="IA28" s="33">
        <f t="shared" si="63"/>
        <v>0</v>
      </c>
      <c r="IB28" s="52"/>
      <c r="IC28" s="152"/>
      <c r="ID28" s="53"/>
      <c r="IE28" s="53"/>
      <c r="IF28" s="53"/>
      <c r="IG28" s="53"/>
      <c r="IH28" s="53">
        <v>0</v>
      </c>
      <c r="II28" s="53"/>
      <c r="IJ28" s="1736">
        <v>7541.67</v>
      </c>
      <c r="IK28" s="53"/>
      <c r="IL28" s="53">
        <v>0</v>
      </c>
      <c r="IM28" s="53"/>
      <c r="IN28" s="53"/>
      <c r="IO28" s="49">
        <v>0</v>
      </c>
      <c r="IP28" s="61">
        <f t="shared" si="64"/>
        <v>7541.67</v>
      </c>
      <c r="IQ28" s="36"/>
      <c r="IR28" s="36"/>
      <c r="IS28" s="27"/>
      <c r="IT28" s="27"/>
      <c r="IU28" s="53"/>
      <c r="IV28" s="27"/>
      <c r="IW28" s="27">
        <v>0</v>
      </c>
      <c r="IX28" s="27"/>
      <c r="IY28" s="27">
        <v>4461.51</v>
      </c>
      <c r="IZ28" s="27"/>
      <c r="JA28" s="27">
        <v>0</v>
      </c>
      <c r="JB28" s="27"/>
      <c r="JC28" s="27"/>
      <c r="JD28" s="27"/>
      <c r="JE28" s="33">
        <f t="shared" si="138"/>
        <v>4461.51</v>
      </c>
      <c r="JF28" s="2667"/>
      <c r="JH28" s="2020">
        <v>12003.18</v>
      </c>
      <c r="JI28" s="2021">
        <v>0</v>
      </c>
      <c r="JJ28" s="53"/>
      <c r="JK28" s="53">
        <f t="shared" si="65"/>
        <v>12003.18</v>
      </c>
      <c r="JL28" s="33"/>
      <c r="JM28" s="2669"/>
      <c r="JN28" s="69">
        <v>0</v>
      </c>
      <c r="JO28" s="70">
        <v>0</v>
      </c>
      <c r="JP28" s="70">
        <v>0</v>
      </c>
      <c r="JQ28" s="70">
        <v>0</v>
      </c>
      <c r="JR28" s="70">
        <v>1</v>
      </c>
      <c r="JS28" s="70">
        <v>0</v>
      </c>
      <c r="JT28" s="70">
        <v>0</v>
      </c>
      <c r="JU28" s="1922">
        <v>0</v>
      </c>
      <c r="JV28" s="69" t="s">
        <v>296</v>
      </c>
      <c r="JW28" s="70" t="s">
        <v>296</v>
      </c>
      <c r="JX28" s="70" t="s">
        <v>296</v>
      </c>
      <c r="JY28" s="70" t="s">
        <v>296</v>
      </c>
      <c r="JZ28" s="70" t="s">
        <v>296</v>
      </c>
      <c r="KA28" s="70" t="s">
        <v>296</v>
      </c>
      <c r="KB28" s="70" t="s">
        <v>296</v>
      </c>
      <c r="KC28" s="71" t="s">
        <v>296</v>
      </c>
      <c r="KD28" s="69"/>
      <c r="KE28" s="70"/>
      <c r="KF28" s="70"/>
      <c r="KG28" s="70"/>
      <c r="KH28" s="70"/>
      <c r="KI28" s="70"/>
      <c r="KJ28" s="70"/>
      <c r="KK28" s="70"/>
      <c r="KL28" s="33"/>
      <c r="KM28" s="2669"/>
      <c r="KN28" s="36">
        <v>6996.1216501542958</v>
      </c>
      <c r="KO28" s="1968">
        <v>0.86345622868280025</v>
      </c>
      <c r="KP28" s="1968">
        <v>3.6283985707324993</v>
      </c>
      <c r="KQ28" s="1968">
        <v>7.1855351632288444</v>
      </c>
      <c r="KR28" s="1969">
        <v>10.739394924801038</v>
      </c>
      <c r="KS28" s="1959">
        <v>0</v>
      </c>
      <c r="KT28" s="1964">
        <v>0</v>
      </c>
      <c r="KU28" s="1964">
        <v>0</v>
      </c>
      <c r="KV28" s="1964">
        <v>0</v>
      </c>
      <c r="KW28" s="1965">
        <v>0</v>
      </c>
      <c r="KX28" s="36"/>
      <c r="KY28" s="53"/>
      <c r="KZ28" s="53"/>
      <c r="LA28" s="53"/>
      <c r="LB28" s="53"/>
      <c r="LC28" s="33"/>
      <c r="LD28" s="2669"/>
      <c r="LF28" s="4">
        <f t="shared" si="66"/>
        <v>13440.77</v>
      </c>
      <c r="LG28" s="27">
        <f t="shared" si="66"/>
        <v>0</v>
      </c>
      <c r="LH28" s="27">
        <f t="shared" si="66"/>
        <v>0</v>
      </c>
      <c r="LI28" s="28">
        <f t="shared" si="67"/>
        <v>13440.77</v>
      </c>
      <c r="LJ28" s="36">
        <v>2</v>
      </c>
      <c r="LK28" s="27"/>
      <c r="LL28" s="27"/>
      <c r="LM28" s="33"/>
      <c r="LN28" s="1041">
        <v>6.94</v>
      </c>
      <c r="LO28" s="486"/>
      <c r="LP28" s="2688"/>
      <c r="LQ28" s="1036">
        <v>13440.77</v>
      </c>
      <c r="LR28" s="36"/>
      <c r="LS28" s="27"/>
      <c r="LT28" s="27"/>
      <c r="LU28" s="27"/>
      <c r="LV28" s="1107">
        <f t="shared" si="68"/>
        <v>13440.77</v>
      </c>
      <c r="LW28" s="36"/>
      <c r="LX28" s="36"/>
      <c r="LY28" s="27"/>
      <c r="LZ28" s="27"/>
      <c r="MA28" s="33"/>
      <c r="MB28" s="28">
        <f t="shared" si="69"/>
        <v>0</v>
      </c>
      <c r="MC28" s="26"/>
      <c r="MD28" s="36"/>
      <c r="ME28" s="27"/>
      <c r="MF28" s="27"/>
      <c r="MG28" s="27"/>
      <c r="MH28" s="28"/>
      <c r="MI28" s="36"/>
      <c r="MJ28" s="36"/>
      <c r="MK28" s="27"/>
      <c r="ML28" s="27"/>
      <c r="MM28" s="27"/>
      <c r="MN28" s="28"/>
      <c r="MO28" s="36"/>
      <c r="MP28" s="36"/>
      <c r="MQ28" s="27"/>
      <c r="MR28" s="27"/>
      <c r="MS28" s="27"/>
      <c r="MT28" s="33">
        <f t="shared" si="70"/>
        <v>0</v>
      </c>
      <c r="MU28" s="2688"/>
      <c r="MW28" s="26">
        <f t="shared" si="71"/>
        <v>81718.012645013398</v>
      </c>
      <c r="MX28" s="27">
        <f t="shared" si="72"/>
        <v>99463.67224882351</v>
      </c>
      <c r="MY28" s="27">
        <f t="shared" si="73"/>
        <v>20201.645201279462</v>
      </c>
      <c r="MZ28" s="28">
        <f t="shared" si="74"/>
        <v>434291.72855850996</v>
      </c>
      <c r="NA28" s="2621"/>
      <c r="NB28" s="23">
        <f t="shared" si="75"/>
        <v>53957.049437467853</v>
      </c>
      <c r="NC28" s="1579">
        <f t="shared" si="76"/>
        <v>27760.963207545537</v>
      </c>
      <c r="ND28" s="60">
        <f t="shared" si="77"/>
        <v>0</v>
      </c>
      <c r="NE28" s="1110">
        <f t="shared" si="4"/>
        <v>81718.012645013398</v>
      </c>
      <c r="NF28" s="26">
        <f t="shared" si="156"/>
        <v>0</v>
      </c>
      <c r="NG28" s="27">
        <f t="shared" si="156"/>
        <v>0</v>
      </c>
      <c r="NH28" s="27">
        <f t="shared" si="156"/>
        <v>0</v>
      </c>
      <c r="NI28" s="27">
        <f t="shared" si="156"/>
        <v>0</v>
      </c>
      <c r="NJ28" s="27">
        <f t="shared" si="156"/>
        <v>0</v>
      </c>
      <c r="NK28" s="33">
        <f t="shared" si="156"/>
        <v>0</v>
      </c>
      <c r="NL28" s="27">
        <f t="shared" si="156"/>
        <v>0</v>
      </c>
      <c r="NM28" s="36">
        <f t="shared" si="156"/>
        <v>0</v>
      </c>
      <c r="NN28" s="24">
        <f t="shared" si="156"/>
        <v>4439.4305665631437</v>
      </c>
      <c r="NO28" s="27">
        <f t="shared" si="156"/>
        <v>26196.69549600617</v>
      </c>
      <c r="NP28" s="24">
        <f t="shared" si="136"/>
        <v>8756.5482322711578</v>
      </c>
      <c r="NQ28" s="24">
        <f t="shared" si="137"/>
        <v>19616.664118033408</v>
      </c>
      <c r="NR28" s="27">
        <f t="shared" si="0"/>
        <v>59009.338412873883</v>
      </c>
      <c r="NS28" s="27">
        <f t="shared" si="79"/>
        <v>0</v>
      </c>
      <c r="NT28" s="27">
        <f t="shared" si="80"/>
        <v>0</v>
      </c>
      <c r="NU28" s="27">
        <f t="shared" si="81"/>
        <v>0</v>
      </c>
      <c r="NV28" s="27">
        <f t="shared" si="82"/>
        <v>0</v>
      </c>
      <c r="NW28" s="27">
        <f t="shared" si="83"/>
        <v>0</v>
      </c>
      <c r="NX28" s="5">
        <f t="shared" si="84"/>
        <v>0</v>
      </c>
      <c r="NY28" s="27">
        <f t="shared" si="85"/>
        <v>6299.5136022929128</v>
      </c>
      <c r="NZ28" s="27">
        <f t="shared" si="86"/>
        <v>0</v>
      </c>
      <c r="OA28" s="27">
        <f t="shared" si="87"/>
        <v>14037.668066782839</v>
      </c>
      <c r="OB28" s="27"/>
      <c r="OC28" s="24">
        <f t="shared" si="88"/>
        <v>349.54339982995594</v>
      </c>
      <c r="OD28" s="27">
        <f t="shared" si="89"/>
        <v>0</v>
      </c>
      <c r="OE28" s="28">
        <f t="shared" si="1"/>
        <v>20686.725068905707</v>
      </c>
      <c r="OF28" s="27">
        <f t="shared" si="149"/>
        <v>0</v>
      </c>
      <c r="OG28" s="27">
        <f t="shared" si="150"/>
        <v>0</v>
      </c>
      <c r="OH28" s="27">
        <f t="shared" si="155"/>
        <v>0</v>
      </c>
      <c r="OI28" s="27">
        <f t="shared" si="151"/>
        <v>0</v>
      </c>
      <c r="OJ28" s="27">
        <f t="shared" si="152"/>
        <v>0</v>
      </c>
      <c r="OK28" s="27">
        <f t="shared" si="153"/>
        <v>0</v>
      </c>
      <c r="OL28" s="24">
        <f t="shared" si="145"/>
        <v>0</v>
      </c>
      <c r="OM28" s="27">
        <f t="shared" si="140"/>
        <v>0</v>
      </c>
      <c r="ON28" s="24">
        <f t="shared" si="141"/>
        <v>17834.053599111001</v>
      </c>
      <c r="OO28" s="27">
        <f t="shared" si="142"/>
        <v>0</v>
      </c>
      <c r="OP28" s="27">
        <f t="shared" si="143"/>
        <v>1933.5551679329139</v>
      </c>
      <c r="OQ28" s="27">
        <f t="shared" si="144"/>
        <v>0</v>
      </c>
      <c r="OR28" s="28">
        <f t="shared" si="2"/>
        <v>19767.608767043916</v>
      </c>
      <c r="OS28" s="36"/>
      <c r="OT28" s="27"/>
      <c r="OU28" s="27"/>
      <c r="OV28" s="27"/>
      <c r="OW28" s="27"/>
      <c r="OX28" s="27"/>
      <c r="OY28" s="28">
        <f t="shared" si="91"/>
        <v>0</v>
      </c>
      <c r="OZ28" s="36">
        <f t="shared" si="92"/>
        <v>0</v>
      </c>
      <c r="PA28" s="27">
        <f t="shared" si="93"/>
        <v>0</v>
      </c>
      <c r="PB28" s="27">
        <f t="shared" si="94"/>
        <v>0</v>
      </c>
      <c r="PC28" s="27">
        <f t="shared" si="95"/>
        <v>0</v>
      </c>
      <c r="PD28" s="27">
        <f t="shared" si="96"/>
        <v>0</v>
      </c>
      <c r="PE28" s="27">
        <f t="shared" si="97"/>
        <v>0</v>
      </c>
      <c r="PF28" s="33">
        <f t="shared" si="3"/>
        <v>0</v>
      </c>
      <c r="PG28" s="2621"/>
      <c r="PI28" s="2">
        <v>0</v>
      </c>
      <c r="PJ28" s="3"/>
      <c r="PK28" s="3"/>
      <c r="PL28" s="3">
        <f t="shared" si="98"/>
        <v>0</v>
      </c>
      <c r="PM28" s="3">
        <f t="shared" si="99"/>
        <v>3003.1953876938928</v>
      </c>
      <c r="PN28" s="11">
        <f t="shared" si="100"/>
        <v>20201.645201279462</v>
      </c>
      <c r="PO28" s="15"/>
      <c r="PP28" s="2615"/>
      <c r="PR28" s="4"/>
      <c r="PS28" s="9"/>
      <c r="PT28" s="9"/>
      <c r="PU28" s="9"/>
      <c r="PV28" s="9">
        <v>0</v>
      </c>
      <c r="PW28" s="9"/>
      <c r="PX28" s="8">
        <f t="shared" si="101"/>
        <v>0</v>
      </c>
      <c r="PY28" s="5">
        <f t="shared" si="102"/>
        <v>0</v>
      </c>
      <c r="PZ28" s="5"/>
      <c r="QA28" s="5"/>
      <c r="QB28" s="5"/>
      <c r="QC28" s="5"/>
      <c r="QD28" s="5"/>
      <c r="QE28" s="12">
        <f t="shared" si="103"/>
        <v>29562.488999999998</v>
      </c>
      <c r="QF28" s="420">
        <f t="shared" si="104"/>
        <v>403641.87955850997</v>
      </c>
      <c r="QG28" s="1106">
        <f t="shared" si="105"/>
        <v>1087.3600000000001</v>
      </c>
      <c r="QH28" s="484">
        <f t="shared" si="106"/>
        <v>5505.3678056099998</v>
      </c>
      <c r="QI28" s="12"/>
      <c r="QJ28" s="2615"/>
      <c r="QL28" s="139">
        <f t="shared" si="107"/>
        <v>0</v>
      </c>
      <c r="QM28" s="139" t="str">
        <f t="shared" si="108"/>
        <v/>
      </c>
      <c r="QO28" s="139">
        <f t="shared" si="109"/>
        <v>0</v>
      </c>
      <c r="QP28" s="139">
        <f t="shared" si="110"/>
        <v>0</v>
      </c>
      <c r="QR28" s="1">
        <f t="shared" si="111"/>
        <v>0</v>
      </c>
      <c r="QS28" s="1">
        <f t="shared" si="112"/>
        <v>0</v>
      </c>
      <c r="QT28" s="1">
        <f t="shared" si="113"/>
        <v>0</v>
      </c>
      <c r="QU28" s="1">
        <f t="shared" si="114"/>
        <v>0</v>
      </c>
      <c r="QV28" s="1">
        <f t="shared" si="115"/>
        <v>0</v>
      </c>
      <c r="QW28" s="1">
        <f t="shared" si="116"/>
        <v>0</v>
      </c>
      <c r="QY28" s="1">
        <f t="shared" si="117"/>
        <v>0</v>
      </c>
      <c r="QZ28" s="1">
        <f t="shared" si="118"/>
        <v>0</v>
      </c>
      <c r="RA28" s="1">
        <f t="shared" si="119"/>
        <v>0</v>
      </c>
      <c r="RB28" s="1">
        <f t="shared" si="120"/>
        <v>0</v>
      </c>
      <c r="RC28" s="1">
        <f t="shared" si="121"/>
        <v>0</v>
      </c>
      <c r="RD28" s="1">
        <f t="shared" si="122"/>
        <v>0</v>
      </c>
      <c r="RG28" s="1">
        <v>19</v>
      </c>
      <c r="RH28" s="1">
        <f t="shared" si="146"/>
        <v>23927.035209717102</v>
      </c>
      <c r="RI28" s="1">
        <f t="shared" si="147"/>
        <v>9780.2017804837196</v>
      </c>
      <c r="RJ28" s="1">
        <f t="shared" si="148"/>
        <v>13404.263703387322</v>
      </c>
      <c r="RK28" s="89">
        <f t="shared" si="5"/>
        <v>47111.500693588139</v>
      </c>
      <c r="RL28" s="1033">
        <v>19</v>
      </c>
      <c r="RM28" s="1098">
        <f t="shared" si="124"/>
        <v>0</v>
      </c>
      <c r="RN28" s="1098">
        <f t="shared" si="125"/>
        <v>0</v>
      </c>
      <c r="RO28" s="1097">
        <f t="shared" si="125"/>
        <v>0</v>
      </c>
      <c r="RP28" s="1097">
        <f t="shared" si="126"/>
        <v>4182.8600000000006</v>
      </c>
      <c r="RQ28" s="1050"/>
      <c r="RR28" s="1046" t="s">
        <v>841</v>
      </c>
      <c r="RS28" s="1048"/>
      <c r="RU28" s="421">
        <v>19</v>
      </c>
      <c r="RV28" s="1095">
        <f t="shared" si="127"/>
        <v>12003.179999999998</v>
      </c>
      <c r="RW28" s="1046" t="s">
        <v>842</v>
      </c>
      <c r="RX28" s="1048"/>
      <c r="RY28" s="1090"/>
      <c r="RZ28" s="1090">
        <f t="shared" si="128"/>
        <v>0</v>
      </c>
      <c r="SA28" s="1090"/>
      <c r="SB28" s="1090">
        <f t="shared" si="129"/>
        <v>0</v>
      </c>
      <c r="SD28" s="1">
        <v>19</v>
      </c>
      <c r="SE28" s="1">
        <f t="shared" si="130"/>
        <v>0</v>
      </c>
      <c r="SF28" s="1096"/>
    </row>
    <row r="29" spans="1:500" s="1" customFormat="1">
      <c r="B29" s="471">
        <v>20</v>
      </c>
      <c r="C29" s="4">
        <f t="shared" si="6"/>
        <v>82910</v>
      </c>
      <c r="D29" s="1590">
        <f t="shared" si="131"/>
        <v>3955.86</v>
      </c>
      <c r="E29" s="1911">
        <f t="shared" si="7"/>
        <v>20.958780138832012</v>
      </c>
      <c r="F29" s="870"/>
      <c r="G29" s="870"/>
      <c r="H29" s="845">
        <v>35</v>
      </c>
      <c r="I29" s="482">
        <v>7</v>
      </c>
      <c r="J29" s="845"/>
      <c r="K29" s="846"/>
      <c r="L29" s="845"/>
      <c r="M29" s="482"/>
      <c r="N29" s="2629"/>
      <c r="O29" s="4">
        <f t="shared" si="132"/>
        <v>47628</v>
      </c>
      <c r="P29" s="1225">
        <f t="shared" si="8"/>
        <v>1966.1000000000001</v>
      </c>
      <c r="Q29" s="1913">
        <f t="shared" si="9"/>
        <v>24.224607090178523</v>
      </c>
      <c r="R29" s="12"/>
      <c r="S29" s="26">
        <f t="shared" si="10"/>
        <v>7722</v>
      </c>
      <c r="T29" s="27">
        <f t="shared" si="11"/>
        <v>209.76</v>
      </c>
      <c r="U29" s="1913">
        <f t="shared" si="12"/>
        <v>36.813501144164761</v>
      </c>
      <c r="V29" s="15"/>
      <c r="W29" s="26">
        <f t="shared" si="13"/>
        <v>27560</v>
      </c>
      <c r="X29" s="5">
        <f t="shared" si="13"/>
        <v>1780</v>
      </c>
      <c r="Y29" s="1719">
        <f t="shared" si="14"/>
        <v>15.48314606741573</v>
      </c>
      <c r="Z29" s="12"/>
      <c r="AA29" s="26">
        <f t="shared" si="15"/>
        <v>0</v>
      </c>
      <c r="AB29" s="27">
        <f t="shared" si="16"/>
        <v>0</v>
      </c>
      <c r="AC29" s="64">
        <f t="shared" si="17"/>
        <v>0</v>
      </c>
      <c r="AD29" s="15"/>
      <c r="AE29" s="9"/>
      <c r="AF29" s="9"/>
      <c r="AG29" s="64">
        <f t="shared" si="18"/>
        <v>0</v>
      </c>
      <c r="AH29" s="15"/>
      <c r="AI29" s="4"/>
      <c r="AJ29" s="5"/>
      <c r="AK29" s="64">
        <f t="shared" si="19"/>
        <v>0</v>
      </c>
      <c r="AL29" s="15"/>
      <c r="AM29" s="2629"/>
      <c r="AN29" s="9"/>
      <c r="AO29" s="5"/>
      <c r="AP29" s="482">
        <f t="shared" si="20"/>
        <v>0</v>
      </c>
      <c r="AQ29" s="9"/>
      <c r="AR29" s="64"/>
      <c r="AS29" s="482">
        <f t="shared" si="21"/>
        <v>0</v>
      </c>
      <c r="AT29" s="9">
        <v>0</v>
      </c>
      <c r="AU29" s="5"/>
      <c r="AV29" s="482">
        <f t="shared" si="22"/>
        <v>0</v>
      </c>
      <c r="AW29" s="9">
        <v>29946</v>
      </c>
      <c r="AX29" s="5">
        <v>1318.42</v>
      </c>
      <c r="AY29" s="1911">
        <f t="shared" si="23"/>
        <v>22.713551068703445</v>
      </c>
      <c r="AZ29" s="1912"/>
      <c r="BA29" s="1913"/>
      <c r="BB29" s="1911">
        <f t="shared" si="24"/>
        <v>0</v>
      </c>
      <c r="BC29" s="1912">
        <v>17682</v>
      </c>
      <c r="BD29" s="1913">
        <v>647.68000000000006</v>
      </c>
      <c r="BE29" s="1911">
        <f t="shared" si="154"/>
        <v>27.300518774703555</v>
      </c>
      <c r="BF29" s="1908"/>
      <c r="BG29" s="1909"/>
      <c r="BH29" s="1911">
        <f t="shared" si="26"/>
        <v>0</v>
      </c>
      <c r="BI29" s="1912">
        <v>0</v>
      </c>
      <c r="BJ29" s="1909">
        <v>0</v>
      </c>
      <c r="BK29" s="1911">
        <f t="shared" si="27"/>
        <v>0</v>
      </c>
      <c r="BL29" s="1910">
        <v>7722</v>
      </c>
      <c r="BM29" s="1909">
        <v>209.76</v>
      </c>
      <c r="BN29" s="1911">
        <f t="shared" si="28"/>
        <v>36.813501144164761</v>
      </c>
      <c r="BO29" s="9"/>
      <c r="BP29" s="64"/>
      <c r="BQ29" s="482">
        <f t="shared" si="29"/>
        <v>0</v>
      </c>
      <c r="BR29" s="9"/>
      <c r="BS29" s="64"/>
      <c r="BT29" s="482">
        <f t="shared" si="30"/>
        <v>0</v>
      </c>
      <c r="BU29" s="9">
        <v>27560</v>
      </c>
      <c r="BV29" s="27">
        <v>1780</v>
      </c>
      <c r="BW29" s="15">
        <f t="shared" si="31"/>
        <v>15.48314606741573</v>
      </c>
      <c r="BX29" s="26"/>
      <c r="BY29" s="5"/>
      <c r="BZ29" s="482">
        <f t="shared" si="32"/>
        <v>0</v>
      </c>
      <c r="CA29" s="9"/>
      <c r="CB29" s="5"/>
      <c r="CC29" s="482">
        <f t="shared" si="33"/>
        <v>0</v>
      </c>
      <c r="CD29" s="4"/>
      <c r="CE29" s="494"/>
      <c r="CF29" s="15">
        <f t="shared" si="34"/>
        <v>0</v>
      </c>
      <c r="CG29" s="150"/>
      <c r="CH29" s="1108"/>
      <c r="CI29" s="5"/>
      <c r="CJ29" s="5"/>
      <c r="CK29" s="5">
        <v>712.5</v>
      </c>
      <c r="CL29" s="5"/>
      <c r="CM29" s="5">
        <f t="shared" si="35"/>
        <v>712.5</v>
      </c>
      <c r="CN29" s="12"/>
      <c r="CO29" s="366"/>
      <c r="CQ29" s="4">
        <f t="shared" si="36"/>
        <v>0</v>
      </c>
      <c r="CR29" s="9">
        <f t="shared" si="37"/>
        <v>0</v>
      </c>
      <c r="CS29" s="5">
        <f t="shared" si="38"/>
        <v>0</v>
      </c>
      <c r="CT29" s="5">
        <f t="shared" si="39"/>
        <v>0</v>
      </c>
      <c r="CU29" s="5">
        <f t="shared" si="40"/>
        <v>0</v>
      </c>
      <c r="CV29" s="5">
        <f t="shared" si="41"/>
        <v>0</v>
      </c>
      <c r="CW29" s="5">
        <f t="shared" si="42"/>
        <v>1318.42</v>
      </c>
      <c r="CX29" s="5">
        <f t="shared" si="43"/>
        <v>0</v>
      </c>
      <c r="CY29" s="5">
        <f t="shared" si="44"/>
        <v>857.44</v>
      </c>
      <c r="CZ29" s="5">
        <f t="shared" si="45"/>
        <v>0</v>
      </c>
      <c r="DA29" s="5">
        <f t="shared" si="46"/>
        <v>1780</v>
      </c>
      <c r="DB29" s="12">
        <f t="shared" si="47"/>
        <v>0</v>
      </c>
      <c r="DC29" s="847">
        <f t="shared" si="48"/>
        <v>3955.86</v>
      </c>
      <c r="DD29" s="2695"/>
      <c r="DE29" s="8"/>
      <c r="DF29" s="9"/>
      <c r="DG29" s="5"/>
      <c r="DH29" s="5"/>
      <c r="DI29" s="5"/>
      <c r="DJ29" s="5"/>
      <c r="DK29" s="5">
        <v>1318.42</v>
      </c>
      <c r="DL29" s="5"/>
      <c r="DM29" s="5">
        <v>0</v>
      </c>
      <c r="DN29" s="5"/>
      <c r="DO29" s="5"/>
      <c r="DP29" s="12"/>
      <c r="DQ29" s="15">
        <f t="shared" si="49"/>
        <v>1318.42</v>
      </c>
      <c r="DR29" s="9"/>
      <c r="DS29" s="9"/>
      <c r="DT29" s="5"/>
      <c r="DU29" s="5"/>
      <c r="DV29" s="5"/>
      <c r="DW29" s="5"/>
      <c r="DX29" s="5"/>
      <c r="DY29" s="5"/>
      <c r="DZ29" s="5">
        <v>857.44</v>
      </c>
      <c r="EA29" s="5"/>
      <c r="EB29" s="5">
        <v>0</v>
      </c>
      <c r="EC29" s="12"/>
      <c r="ED29" s="15">
        <f t="shared" si="50"/>
        <v>857.44</v>
      </c>
      <c r="EE29" s="9"/>
      <c r="EF29" s="9"/>
      <c r="EG29" s="5"/>
      <c r="EH29" s="5"/>
      <c r="EI29" s="5"/>
      <c r="EJ29" s="5"/>
      <c r="EK29" s="5"/>
      <c r="EL29" s="5"/>
      <c r="EM29" s="5"/>
      <c r="EN29" s="5"/>
      <c r="EO29" s="5">
        <v>1780</v>
      </c>
      <c r="EP29" s="12"/>
      <c r="EQ29" s="15">
        <f t="shared" si="51"/>
        <v>1780</v>
      </c>
      <c r="ER29" s="9"/>
      <c r="ES29" s="5"/>
      <c r="ET29" s="5"/>
      <c r="EU29" s="5"/>
      <c r="EV29" s="5"/>
      <c r="EW29" s="5"/>
      <c r="EX29" s="12">
        <f t="shared" si="52"/>
        <v>0</v>
      </c>
      <c r="EY29" s="2685"/>
      <c r="FA29" s="4">
        <f t="shared" si="53"/>
        <v>0</v>
      </c>
      <c r="FB29" s="5">
        <f t="shared" si="54"/>
        <v>0</v>
      </c>
      <c r="FC29" s="5">
        <f t="shared" si="55"/>
        <v>0</v>
      </c>
      <c r="FD29" s="12">
        <f t="shared" si="56"/>
        <v>0</v>
      </c>
      <c r="FE29" s="12"/>
      <c r="FF29" s="2674"/>
      <c r="FG29" s="9"/>
      <c r="FH29" s="5"/>
      <c r="FI29" s="5"/>
      <c r="FJ29" s="5"/>
      <c r="FK29" s="5"/>
      <c r="FL29" s="5"/>
      <c r="FM29" s="15">
        <f t="shared" si="57"/>
        <v>0</v>
      </c>
      <c r="FN29" s="9"/>
      <c r="FO29" s="5"/>
      <c r="FP29" s="5"/>
      <c r="FQ29" s="5"/>
      <c r="FR29" s="5"/>
      <c r="FS29" s="5"/>
      <c r="FT29" s="15">
        <f t="shared" si="58"/>
        <v>0</v>
      </c>
      <c r="FU29" s="9"/>
      <c r="FV29" s="9"/>
      <c r="FW29" s="5"/>
      <c r="FX29" s="5"/>
      <c r="FY29" s="5"/>
      <c r="FZ29" s="5"/>
      <c r="GA29" s="5"/>
      <c r="GB29" s="5"/>
      <c r="GC29" s="5"/>
      <c r="GD29" s="5"/>
      <c r="GE29" s="5"/>
      <c r="GF29" s="12"/>
      <c r="GG29" s="12">
        <f t="shared" si="59"/>
        <v>0</v>
      </c>
      <c r="GH29" s="2674"/>
      <c r="GJ29" s="2">
        <f t="shared" si="133"/>
        <v>1232.3899999999999</v>
      </c>
      <c r="GK29" s="63">
        <f t="shared" si="134"/>
        <v>2180.59</v>
      </c>
      <c r="GL29" s="24">
        <f t="shared" si="135"/>
        <v>807.1400000000001</v>
      </c>
      <c r="GM29" s="64">
        <f t="shared" si="60"/>
        <v>4220.12</v>
      </c>
      <c r="GN29" s="848"/>
      <c r="GO29" s="848"/>
      <c r="GP29" s="12"/>
      <c r="GQ29" s="2667"/>
      <c r="GR29" s="1017">
        <v>1880.1999999999998</v>
      </c>
      <c r="GS29" s="5">
        <v>0</v>
      </c>
      <c r="GT29" s="5">
        <v>1073.9499999999998</v>
      </c>
      <c r="GU29" s="5">
        <v>1265.97</v>
      </c>
      <c r="GV29" s="12">
        <f t="shared" si="61"/>
        <v>4220.12</v>
      </c>
      <c r="GW29" s="2667"/>
      <c r="GX29" s="9"/>
      <c r="GY29" s="9"/>
      <c r="GZ29" s="5"/>
      <c r="HA29" s="5"/>
      <c r="HB29" s="5"/>
      <c r="HC29" s="5"/>
      <c r="HD29" s="5"/>
      <c r="HE29" s="5"/>
      <c r="HF29" s="5">
        <v>0</v>
      </c>
      <c r="HG29" s="5"/>
      <c r="HH29" s="5">
        <v>1232.3899999999999</v>
      </c>
      <c r="HI29" s="5"/>
      <c r="HJ29" s="5">
        <v>0</v>
      </c>
      <c r="HK29" s="5"/>
      <c r="HL29" s="15">
        <f t="shared" si="62"/>
        <v>1232.3899999999999</v>
      </c>
      <c r="HM29" s="9"/>
      <c r="HN29" s="5"/>
      <c r="HO29" s="5"/>
      <c r="HP29" s="5"/>
      <c r="HQ29" s="5"/>
      <c r="HR29" s="5"/>
      <c r="HS29" s="5" cm="1">
        <f t="array" ref="HS29">SUMPRODUCT(('Data Base hauling'!$C$2:$C$216="TCM-ROM SB1 BK05-ROM 4")*(ISNUMBER(SEARCH(TEXT('March TCM'!$B29,"00")&amp;"/03/2026",'Data Base hauling'!$E$2:$E$216)))*'Data Base hauling'!$N$2:$N$216)</f>
        <v>0</v>
      </c>
      <c r="HT29" s="5"/>
      <c r="HU29" s="5" cm="1">
        <f t="array" ref="HU29">SUMPRODUCT(('Data Base hauling'!$C$2:$C$216="TCM-ROM SB1 BK05-ROM 5")*(ISNUMBER(SEARCH(TEXT('March TCM'!$B29,"00")&amp;"/03/2026",'Data Base hauling'!$E$2:$E$216)))*'Data Base hauling'!$N$2:$N$216)</f>
        <v>0</v>
      </c>
      <c r="HV29" s="5"/>
      <c r="HW29" s="5"/>
      <c r="HX29" s="5"/>
      <c r="HY29" s="5"/>
      <c r="HZ29" s="5"/>
      <c r="IA29" s="12">
        <f t="shared" si="63"/>
        <v>0</v>
      </c>
      <c r="IB29" s="845"/>
      <c r="IC29" s="363"/>
      <c r="ID29" s="64"/>
      <c r="IE29" s="64"/>
      <c r="IF29" s="64"/>
      <c r="IG29" s="64"/>
      <c r="IH29" s="64">
        <v>1151.67</v>
      </c>
      <c r="II29" s="64"/>
      <c r="IJ29" s="64">
        <v>1006.4200000000001</v>
      </c>
      <c r="IK29" s="64"/>
      <c r="IL29" s="64">
        <v>0</v>
      </c>
      <c r="IM29" s="64"/>
      <c r="IN29" s="64"/>
      <c r="IO29" s="49">
        <v>22.5</v>
      </c>
      <c r="IP29" s="61">
        <f t="shared" si="64"/>
        <v>2180.59</v>
      </c>
      <c r="IQ29" s="9"/>
      <c r="IR29" s="9"/>
      <c r="IS29" s="5"/>
      <c r="IT29" s="5"/>
      <c r="IU29" s="64"/>
      <c r="IV29" s="5"/>
      <c r="IW29" s="5">
        <v>0</v>
      </c>
      <c r="IX29" s="5"/>
      <c r="IY29" s="5">
        <v>0</v>
      </c>
      <c r="IZ29" s="5"/>
      <c r="JA29" s="5">
        <v>807.1400000000001</v>
      </c>
      <c r="JB29" s="5"/>
      <c r="JC29" s="5"/>
      <c r="JD29" s="5"/>
      <c r="JE29" s="12">
        <f t="shared" si="138"/>
        <v>807.1400000000001</v>
      </c>
      <c r="JF29" s="2667"/>
      <c r="JH29" s="2020">
        <v>0</v>
      </c>
      <c r="JI29" s="2021">
        <v>4220.12</v>
      </c>
      <c r="JJ29" s="64"/>
      <c r="JK29" s="64">
        <f t="shared" si="65"/>
        <v>4220.12</v>
      </c>
      <c r="JL29" s="12"/>
      <c r="JM29" s="2669"/>
      <c r="JN29" s="849" t="s">
        <v>296</v>
      </c>
      <c r="JO29" s="850" t="s">
        <v>296</v>
      </c>
      <c r="JP29" s="850" t="s">
        <v>296</v>
      </c>
      <c r="JQ29" s="850" t="s">
        <v>296</v>
      </c>
      <c r="JR29" s="850" t="s">
        <v>296</v>
      </c>
      <c r="JS29" s="850" t="s">
        <v>296</v>
      </c>
      <c r="JT29" s="850" t="s">
        <v>296</v>
      </c>
      <c r="JU29" s="1923">
        <v>0</v>
      </c>
      <c r="JV29" s="849">
        <v>0</v>
      </c>
      <c r="JW29" s="850">
        <v>0</v>
      </c>
      <c r="JX29" s="850">
        <v>0</v>
      </c>
      <c r="JY29" s="850">
        <v>0.27289982275385538</v>
      </c>
      <c r="JZ29" s="850">
        <v>0.23848137019800386</v>
      </c>
      <c r="KA29" s="850">
        <v>0.48328720510317247</v>
      </c>
      <c r="KB29" s="850">
        <v>0</v>
      </c>
      <c r="KC29" s="851">
        <v>0</v>
      </c>
      <c r="KD29" s="849"/>
      <c r="KE29" s="850"/>
      <c r="KF29" s="850"/>
      <c r="KG29" s="850"/>
      <c r="KH29" s="850"/>
      <c r="KI29" s="850"/>
      <c r="KJ29" s="850"/>
      <c r="KK29" s="850"/>
      <c r="KL29" s="12"/>
      <c r="KM29" s="2669"/>
      <c r="KN29" s="9">
        <v>0</v>
      </c>
      <c r="KO29" s="1964">
        <v>0</v>
      </c>
      <c r="KP29" s="1964">
        <v>0</v>
      </c>
      <c r="KQ29" s="1964">
        <v>0</v>
      </c>
      <c r="KR29" s="1970">
        <v>0</v>
      </c>
      <c r="KS29" s="1959">
        <v>6885</v>
      </c>
      <c r="KT29" s="1964">
        <v>2.11</v>
      </c>
      <c r="KU29" s="1964">
        <v>5.91</v>
      </c>
      <c r="KV29" s="1964">
        <v>6.51</v>
      </c>
      <c r="KW29" s="1965">
        <v>10.249599999999999</v>
      </c>
      <c r="KX29" s="9"/>
      <c r="KY29" s="64"/>
      <c r="KZ29" s="64"/>
      <c r="LA29" s="64"/>
      <c r="LB29" s="64"/>
      <c r="LC29" s="12"/>
      <c r="LD29" s="2669"/>
      <c r="LF29" s="4">
        <f t="shared" si="66"/>
        <v>0</v>
      </c>
      <c r="LG29" s="5">
        <f t="shared" si="66"/>
        <v>0</v>
      </c>
      <c r="LH29" s="5">
        <f t="shared" si="66"/>
        <v>0</v>
      </c>
      <c r="LI29" s="15">
        <f t="shared" si="67"/>
        <v>0</v>
      </c>
      <c r="LJ29" s="9"/>
      <c r="LK29" s="5"/>
      <c r="LL29" s="5"/>
      <c r="LM29" s="12"/>
      <c r="LN29" s="1956">
        <v>7</v>
      </c>
      <c r="LO29" s="486" t="s">
        <v>843</v>
      </c>
      <c r="LP29" s="2688"/>
      <c r="LQ29" s="9"/>
      <c r="LR29" s="9"/>
      <c r="LS29" s="5"/>
      <c r="LT29" s="5"/>
      <c r="LU29" s="5"/>
      <c r="LV29" s="1107">
        <f t="shared" si="68"/>
        <v>0</v>
      </c>
      <c r="LW29" s="9"/>
      <c r="LX29" s="9"/>
      <c r="LY29" s="5"/>
      <c r="LZ29" s="5"/>
      <c r="MA29" s="12"/>
      <c r="MB29" s="28">
        <f t="shared" si="69"/>
        <v>0</v>
      </c>
      <c r="MC29" s="4"/>
      <c r="MD29" s="9"/>
      <c r="ME29" s="5"/>
      <c r="MF29" s="5"/>
      <c r="MG29" s="5"/>
      <c r="MH29" s="15"/>
      <c r="MI29" s="9"/>
      <c r="MJ29" s="9"/>
      <c r="MK29" s="5"/>
      <c r="ML29" s="5"/>
      <c r="MM29" s="5"/>
      <c r="MN29" s="15"/>
      <c r="MO29" s="9"/>
      <c r="MP29" s="9"/>
      <c r="MQ29" s="5"/>
      <c r="MR29" s="5"/>
      <c r="MS29" s="5"/>
      <c r="MT29" s="12">
        <f t="shared" si="70"/>
        <v>0</v>
      </c>
      <c r="MU29" s="2688"/>
      <c r="MW29" s="4">
        <f t="shared" si="71"/>
        <v>85938.132645013393</v>
      </c>
      <c r="MX29" s="5">
        <f t="shared" si="72"/>
        <v>99221.912248823515</v>
      </c>
      <c r="MY29" s="5">
        <f t="shared" si="73"/>
        <v>20201.645201279462</v>
      </c>
      <c r="MZ29" s="15">
        <f t="shared" si="74"/>
        <v>434269.22855850996</v>
      </c>
      <c r="NA29" s="2621"/>
      <c r="NB29" s="23">
        <f t="shared" si="75"/>
        <v>53957.049437467853</v>
      </c>
      <c r="NC29" s="1579">
        <f t="shared" si="76"/>
        <v>31981.083207545536</v>
      </c>
      <c r="ND29" s="60">
        <f t="shared" si="77"/>
        <v>0</v>
      </c>
      <c r="NE29" s="1042">
        <f t="shared" si="4"/>
        <v>85938.132645013393</v>
      </c>
      <c r="NF29" s="4">
        <f t="shared" si="156"/>
        <v>0</v>
      </c>
      <c r="NG29" s="5">
        <f t="shared" si="156"/>
        <v>0</v>
      </c>
      <c r="NH29" s="27">
        <f t="shared" si="156"/>
        <v>0</v>
      </c>
      <c r="NI29" s="5">
        <f t="shared" si="156"/>
        <v>0</v>
      </c>
      <c r="NJ29" s="5">
        <f t="shared" si="156"/>
        <v>0</v>
      </c>
      <c r="NK29" s="12">
        <f t="shared" si="156"/>
        <v>0</v>
      </c>
      <c r="NL29" s="27">
        <f t="shared" si="156"/>
        <v>0</v>
      </c>
      <c r="NM29" s="9">
        <f t="shared" si="156"/>
        <v>0</v>
      </c>
      <c r="NN29" s="24">
        <f t="shared" si="156"/>
        <v>4439.4305665631437</v>
      </c>
      <c r="NO29" s="5">
        <f t="shared" si="156"/>
        <v>26196.69549600617</v>
      </c>
      <c r="NP29" s="24">
        <f t="shared" si="136"/>
        <v>8756.5482322711578</v>
      </c>
      <c r="NQ29" s="24">
        <f t="shared" si="137"/>
        <v>20164.274118033409</v>
      </c>
      <c r="NR29" s="5">
        <f t="shared" si="0"/>
        <v>59556.948412873884</v>
      </c>
      <c r="NS29" s="27">
        <f t="shared" si="79"/>
        <v>0</v>
      </c>
      <c r="NT29" s="5">
        <f t="shared" si="80"/>
        <v>0</v>
      </c>
      <c r="NU29" s="27">
        <f t="shared" si="81"/>
        <v>0</v>
      </c>
      <c r="NV29" s="5">
        <f t="shared" si="82"/>
        <v>0</v>
      </c>
      <c r="NW29" s="5">
        <f t="shared" si="83"/>
        <v>0</v>
      </c>
      <c r="NX29" s="5">
        <f t="shared" si="84"/>
        <v>0</v>
      </c>
      <c r="NY29" s="27">
        <f t="shared" si="85"/>
        <v>6466.2636022929128</v>
      </c>
      <c r="NZ29" s="5">
        <f t="shared" si="86"/>
        <v>0</v>
      </c>
      <c r="OA29" s="27">
        <f t="shared" si="87"/>
        <v>13031.248066782839</v>
      </c>
      <c r="OB29" s="27"/>
      <c r="OC29" s="24">
        <f t="shared" si="88"/>
        <v>349.54339982995594</v>
      </c>
      <c r="OD29" s="5">
        <f t="shared" si="89"/>
        <v>0</v>
      </c>
      <c r="OE29" s="15">
        <f t="shared" si="1"/>
        <v>19847.055068905705</v>
      </c>
      <c r="OF29" s="27">
        <f t="shared" si="149"/>
        <v>0</v>
      </c>
      <c r="OG29" s="5">
        <f t="shared" si="150"/>
        <v>0</v>
      </c>
      <c r="OH29" s="5">
        <f t="shared" si="155"/>
        <v>0</v>
      </c>
      <c r="OI29" s="5">
        <f t="shared" si="151"/>
        <v>0</v>
      </c>
      <c r="OJ29" s="27">
        <f t="shared" si="152"/>
        <v>0</v>
      </c>
      <c r="OK29" s="5">
        <f t="shared" si="153"/>
        <v>0</v>
      </c>
      <c r="OL29" s="24">
        <f t="shared" si="145"/>
        <v>0</v>
      </c>
      <c r="OM29" s="5">
        <f t="shared" si="140"/>
        <v>0</v>
      </c>
      <c r="ON29" s="24">
        <f t="shared" si="141"/>
        <v>18691.493599111</v>
      </c>
      <c r="OO29" s="5">
        <f t="shared" si="142"/>
        <v>0</v>
      </c>
      <c r="OP29" s="5">
        <f t="shared" si="143"/>
        <v>1126.4151679329138</v>
      </c>
      <c r="OQ29" s="5">
        <f t="shared" si="144"/>
        <v>0</v>
      </c>
      <c r="OR29" s="15">
        <f t="shared" si="2"/>
        <v>19817.908767043915</v>
      </c>
      <c r="OS29" s="9"/>
      <c r="OT29" s="5"/>
      <c r="OU29" s="5"/>
      <c r="OV29" s="5"/>
      <c r="OW29" s="5"/>
      <c r="OX29" s="5"/>
      <c r="OY29" s="15">
        <f t="shared" si="91"/>
        <v>0</v>
      </c>
      <c r="OZ29" s="9">
        <f t="shared" si="92"/>
        <v>0</v>
      </c>
      <c r="PA29" s="5">
        <f t="shared" si="93"/>
        <v>0</v>
      </c>
      <c r="PB29" s="5">
        <f t="shared" si="94"/>
        <v>0</v>
      </c>
      <c r="PC29" s="5">
        <f t="shared" si="95"/>
        <v>0</v>
      </c>
      <c r="PD29" s="5">
        <f t="shared" si="96"/>
        <v>0</v>
      </c>
      <c r="PE29" s="5">
        <f t="shared" si="97"/>
        <v>0</v>
      </c>
      <c r="PF29" s="12">
        <f t="shared" si="3"/>
        <v>0</v>
      </c>
      <c r="PG29" s="2621"/>
      <c r="PI29" s="2">
        <v>0</v>
      </c>
      <c r="PJ29" s="3"/>
      <c r="PK29" s="3"/>
      <c r="PL29" s="3">
        <f t="shared" si="98"/>
        <v>0</v>
      </c>
      <c r="PM29" s="3">
        <f t="shared" si="99"/>
        <v>3003.1953876938928</v>
      </c>
      <c r="PN29" s="11">
        <f t="shared" si="100"/>
        <v>20201.645201279462</v>
      </c>
      <c r="PO29" s="15"/>
      <c r="PP29" s="2615"/>
      <c r="PR29" s="4"/>
      <c r="PS29" s="9"/>
      <c r="PT29" s="9"/>
      <c r="PU29" s="9"/>
      <c r="PV29" s="9">
        <v>0</v>
      </c>
      <c r="PW29" s="9"/>
      <c r="PX29" s="8">
        <f t="shared" si="101"/>
        <v>0</v>
      </c>
      <c r="PY29" s="5">
        <f t="shared" si="102"/>
        <v>0</v>
      </c>
      <c r="PZ29" s="5"/>
      <c r="QA29" s="5"/>
      <c r="QB29" s="5"/>
      <c r="QC29" s="5"/>
      <c r="QD29" s="5"/>
      <c r="QE29" s="12">
        <f t="shared" si="103"/>
        <v>29562.488999999998</v>
      </c>
      <c r="QF29" s="420">
        <f t="shared" si="104"/>
        <v>403619.37955850997</v>
      </c>
      <c r="QG29" s="1106">
        <f t="shared" si="105"/>
        <v>1087.3600000000001</v>
      </c>
      <c r="QH29" s="484">
        <f t="shared" si="106"/>
        <v>5505.3678056099998</v>
      </c>
      <c r="QI29" s="12"/>
      <c r="QJ29" s="2615"/>
      <c r="QL29" s="139" t="str">
        <f t="shared" si="107"/>
        <v/>
      </c>
      <c r="QM29" s="139" t="str">
        <f t="shared" si="108"/>
        <v/>
      </c>
      <c r="QO29" s="139">
        <f t="shared" si="109"/>
        <v>0</v>
      </c>
      <c r="QP29" s="139">
        <f t="shared" si="110"/>
        <v>0</v>
      </c>
      <c r="QR29" s="1">
        <f t="shared" si="111"/>
        <v>0</v>
      </c>
      <c r="QS29" s="1">
        <f t="shared" si="112"/>
        <v>0</v>
      </c>
      <c r="QT29" s="1">
        <f t="shared" si="113"/>
        <v>0</v>
      </c>
      <c r="QU29" s="1">
        <f t="shared" si="114"/>
        <v>0</v>
      </c>
      <c r="QV29" s="1">
        <f t="shared" si="115"/>
        <v>0</v>
      </c>
      <c r="QW29" s="1">
        <f t="shared" si="116"/>
        <v>0</v>
      </c>
      <c r="QY29" s="1">
        <f t="shared" si="117"/>
        <v>0</v>
      </c>
      <c r="QZ29" s="1">
        <f t="shared" si="118"/>
        <v>0</v>
      </c>
      <c r="RA29" s="1">
        <f t="shared" si="119"/>
        <v>0</v>
      </c>
      <c r="RB29" s="1">
        <f t="shared" si="120"/>
        <v>0</v>
      </c>
      <c r="RC29" s="1">
        <f t="shared" si="121"/>
        <v>0</v>
      </c>
      <c r="RD29" s="1">
        <f t="shared" si="122"/>
        <v>0</v>
      </c>
      <c r="RG29" s="1">
        <v>20</v>
      </c>
      <c r="RH29" s="1">
        <f t="shared" si="146"/>
        <v>23927.035209717102</v>
      </c>
      <c r="RI29" s="1">
        <f t="shared" si="147"/>
        <v>14000.321780483719</v>
      </c>
      <c r="RJ29" s="1">
        <f t="shared" si="148"/>
        <v>13404.263703387322</v>
      </c>
      <c r="RK29" s="89">
        <f t="shared" si="5"/>
        <v>51331.620693588135</v>
      </c>
      <c r="RL29" s="1033">
        <v>20</v>
      </c>
      <c r="RM29" s="1098">
        <f t="shared" si="124"/>
        <v>0</v>
      </c>
      <c r="RN29" s="1098">
        <f t="shared" si="125"/>
        <v>0</v>
      </c>
      <c r="RO29" s="1097">
        <f t="shared" si="125"/>
        <v>0</v>
      </c>
      <c r="RP29" s="1097">
        <f t="shared" si="126"/>
        <v>2175.86</v>
      </c>
      <c r="RQ29" s="1109"/>
      <c r="RR29" s="1046" t="s">
        <v>844</v>
      </c>
      <c r="RU29" s="421">
        <v>20</v>
      </c>
      <c r="RV29" s="1095">
        <f t="shared" si="127"/>
        <v>4220.12</v>
      </c>
      <c r="RW29" s="1050" t="s">
        <v>845</v>
      </c>
      <c r="RX29" s="1048"/>
      <c r="RY29" s="1090"/>
      <c r="RZ29" s="1090">
        <f t="shared" si="128"/>
        <v>0</v>
      </c>
      <c r="SA29" s="1090"/>
      <c r="SB29" s="1090">
        <f t="shared" si="129"/>
        <v>0</v>
      </c>
      <c r="SD29" s="1">
        <v>20</v>
      </c>
      <c r="SE29" s="1">
        <f t="shared" si="130"/>
        <v>0</v>
      </c>
      <c r="SF29" s="1094"/>
    </row>
    <row r="30" spans="1:500" s="1" customFormat="1">
      <c r="B30" s="471">
        <v>21</v>
      </c>
      <c r="C30" s="4">
        <f t="shared" si="6"/>
        <v>3813</v>
      </c>
      <c r="D30" s="1590">
        <f t="shared" si="131"/>
        <v>0</v>
      </c>
      <c r="E30" s="1895">
        <f t="shared" si="7"/>
        <v>0</v>
      </c>
      <c r="F30" s="870"/>
      <c r="G30" s="870"/>
      <c r="H30" s="52"/>
      <c r="I30" s="61"/>
      <c r="J30" s="52"/>
      <c r="K30" s="54"/>
      <c r="L30" s="52"/>
      <c r="M30" s="61"/>
      <c r="N30" s="2629"/>
      <c r="O30" s="4">
        <f t="shared" si="132"/>
        <v>0</v>
      </c>
      <c r="P30" s="1225">
        <f t="shared" si="8"/>
        <v>0</v>
      </c>
      <c r="Q30" s="1913">
        <f t="shared" si="9"/>
        <v>0</v>
      </c>
      <c r="R30" s="33"/>
      <c r="S30" s="26">
        <f t="shared" si="10"/>
        <v>3813</v>
      </c>
      <c r="T30" s="27">
        <f t="shared" si="11"/>
        <v>0</v>
      </c>
      <c r="U30" s="1909">
        <f t="shared" si="12"/>
        <v>0</v>
      </c>
      <c r="V30" s="28"/>
      <c r="W30" s="26">
        <f t="shared" si="13"/>
        <v>0</v>
      </c>
      <c r="X30" s="5">
        <f t="shared" si="13"/>
        <v>0</v>
      </c>
      <c r="Y30" s="325">
        <f t="shared" si="14"/>
        <v>0</v>
      </c>
      <c r="Z30" s="33"/>
      <c r="AA30" s="26">
        <f t="shared" si="15"/>
        <v>0</v>
      </c>
      <c r="AB30" s="27">
        <f t="shared" si="16"/>
        <v>0</v>
      </c>
      <c r="AC30" s="53">
        <f t="shared" si="17"/>
        <v>0</v>
      </c>
      <c r="AD30" s="28"/>
      <c r="AE30" s="36"/>
      <c r="AF30" s="36"/>
      <c r="AG30" s="53">
        <f t="shared" si="18"/>
        <v>0</v>
      </c>
      <c r="AH30" s="28"/>
      <c r="AI30" s="23"/>
      <c r="AJ30" s="27"/>
      <c r="AK30" s="53">
        <f t="shared" si="19"/>
        <v>0</v>
      </c>
      <c r="AL30" s="28"/>
      <c r="AM30" s="2629"/>
      <c r="AN30" s="9"/>
      <c r="AO30" s="5"/>
      <c r="AP30" s="61">
        <f t="shared" si="20"/>
        <v>0</v>
      </c>
      <c r="AQ30" s="36"/>
      <c r="AR30" s="53"/>
      <c r="AS30" s="61">
        <f t="shared" si="21"/>
        <v>0</v>
      </c>
      <c r="AT30" s="36">
        <v>0</v>
      </c>
      <c r="AU30" s="27"/>
      <c r="AV30" s="61">
        <f t="shared" si="22"/>
        <v>0</v>
      </c>
      <c r="AW30" s="36">
        <v>0</v>
      </c>
      <c r="AX30" s="27">
        <v>0</v>
      </c>
      <c r="AY30" s="1895">
        <f t="shared" si="23"/>
        <v>0</v>
      </c>
      <c r="AZ30" s="1908"/>
      <c r="BA30" s="1909"/>
      <c r="BB30" s="1895">
        <f t="shared" si="24"/>
        <v>0</v>
      </c>
      <c r="BC30" s="1908">
        <v>0</v>
      </c>
      <c r="BD30" s="1909">
        <v>0</v>
      </c>
      <c r="BE30" s="1895">
        <f t="shared" si="154"/>
        <v>0</v>
      </c>
      <c r="BF30" s="1908"/>
      <c r="BG30" s="1909"/>
      <c r="BH30" s="1895">
        <f t="shared" si="26"/>
        <v>0</v>
      </c>
      <c r="BI30" s="1908">
        <v>0</v>
      </c>
      <c r="BJ30" s="1909">
        <v>0</v>
      </c>
      <c r="BK30" s="1895">
        <f t="shared" si="27"/>
        <v>0</v>
      </c>
      <c r="BL30" s="1910">
        <v>3813</v>
      </c>
      <c r="BM30" s="1909">
        <v>0</v>
      </c>
      <c r="BN30" s="1911">
        <f t="shared" si="28"/>
        <v>0</v>
      </c>
      <c r="BO30" s="9"/>
      <c r="BP30" s="64"/>
      <c r="BQ30" s="482">
        <f t="shared" si="29"/>
        <v>0</v>
      </c>
      <c r="BR30" s="9"/>
      <c r="BS30" s="64"/>
      <c r="BT30" s="482">
        <f t="shared" si="30"/>
        <v>0</v>
      </c>
      <c r="BU30" s="9">
        <v>0</v>
      </c>
      <c r="BV30" s="27">
        <v>0</v>
      </c>
      <c r="BW30" s="15">
        <f t="shared" si="31"/>
        <v>0</v>
      </c>
      <c r="BX30" s="4"/>
      <c r="BY30" s="5"/>
      <c r="BZ30" s="482">
        <f t="shared" si="32"/>
        <v>0</v>
      </c>
      <c r="CA30" s="9"/>
      <c r="CB30" s="5"/>
      <c r="CC30" s="482">
        <f t="shared" si="33"/>
        <v>0</v>
      </c>
      <c r="CD30" s="4"/>
      <c r="CE30" s="5"/>
      <c r="CF30" s="28">
        <f t="shared" si="34"/>
        <v>0</v>
      </c>
      <c r="CG30" s="150"/>
      <c r="CH30" s="1108"/>
      <c r="CI30" s="5"/>
      <c r="CJ30" s="5"/>
      <c r="CK30" s="5">
        <v>0</v>
      </c>
      <c r="CL30" s="5"/>
      <c r="CM30" s="5">
        <f t="shared" si="35"/>
        <v>0</v>
      </c>
      <c r="CN30" s="33"/>
      <c r="CO30" s="366"/>
      <c r="CQ30" s="4">
        <f t="shared" si="36"/>
        <v>0</v>
      </c>
      <c r="CR30" s="9">
        <f t="shared" si="37"/>
        <v>0</v>
      </c>
      <c r="CS30" s="5">
        <f t="shared" si="38"/>
        <v>0</v>
      </c>
      <c r="CT30" s="5">
        <f t="shared" si="39"/>
        <v>0</v>
      </c>
      <c r="CU30" s="5">
        <f t="shared" si="40"/>
        <v>0</v>
      </c>
      <c r="CV30" s="5">
        <f t="shared" si="41"/>
        <v>0</v>
      </c>
      <c r="CW30" s="5">
        <f t="shared" si="42"/>
        <v>0</v>
      </c>
      <c r="CX30" s="5">
        <f t="shared" si="43"/>
        <v>0</v>
      </c>
      <c r="CY30" s="5">
        <f t="shared" si="44"/>
        <v>0</v>
      </c>
      <c r="CZ30" s="5">
        <f t="shared" si="45"/>
        <v>0</v>
      </c>
      <c r="DA30" s="5">
        <f t="shared" si="46"/>
        <v>0</v>
      </c>
      <c r="DB30" s="12">
        <f t="shared" si="47"/>
        <v>0</v>
      </c>
      <c r="DC30" s="310">
        <f t="shared" si="48"/>
        <v>0</v>
      </c>
      <c r="DD30" s="2695"/>
      <c r="DE30" s="8"/>
      <c r="DF30" s="9"/>
      <c r="DG30" s="5"/>
      <c r="DH30" s="5"/>
      <c r="DI30" s="5"/>
      <c r="DJ30" s="5"/>
      <c r="DK30" s="5">
        <v>0</v>
      </c>
      <c r="DL30" s="5"/>
      <c r="DM30" s="5">
        <v>0</v>
      </c>
      <c r="DN30" s="5"/>
      <c r="DO30" s="5"/>
      <c r="DP30" s="12"/>
      <c r="DQ30" s="28">
        <f t="shared" si="49"/>
        <v>0</v>
      </c>
      <c r="DR30" s="36"/>
      <c r="DS30" s="9"/>
      <c r="DT30" s="5"/>
      <c r="DU30" s="5"/>
      <c r="DV30" s="5"/>
      <c r="DW30" s="5"/>
      <c r="DX30" s="27"/>
      <c r="DY30" s="27"/>
      <c r="DZ30" s="27">
        <v>0</v>
      </c>
      <c r="EA30" s="27"/>
      <c r="EB30" s="27">
        <v>0</v>
      </c>
      <c r="EC30" s="33"/>
      <c r="ED30" s="28">
        <f t="shared" si="50"/>
        <v>0</v>
      </c>
      <c r="EE30" s="9"/>
      <c r="EF30" s="36"/>
      <c r="EG30" s="27"/>
      <c r="EH30" s="27"/>
      <c r="EI30" s="27"/>
      <c r="EJ30" s="27"/>
      <c r="EK30" s="27"/>
      <c r="EL30" s="27"/>
      <c r="EM30" s="5"/>
      <c r="EN30" s="5"/>
      <c r="EO30" s="5">
        <v>0</v>
      </c>
      <c r="EP30" s="33"/>
      <c r="EQ30" s="28">
        <f t="shared" si="51"/>
        <v>0</v>
      </c>
      <c r="ER30" s="36"/>
      <c r="ES30" s="27"/>
      <c r="ET30" s="27"/>
      <c r="EU30" s="27"/>
      <c r="EV30" s="27"/>
      <c r="EW30" s="27"/>
      <c r="EX30" s="33">
        <f t="shared" si="52"/>
        <v>0</v>
      </c>
      <c r="EY30" s="2685"/>
      <c r="FA30" s="4">
        <f t="shared" si="53"/>
        <v>0</v>
      </c>
      <c r="FB30" s="5">
        <f t="shared" si="54"/>
        <v>0</v>
      </c>
      <c r="FC30" s="5">
        <f t="shared" si="55"/>
        <v>0</v>
      </c>
      <c r="FD30" s="12">
        <f t="shared" si="56"/>
        <v>0</v>
      </c>
      <c r="FE30" s="33"/>
      <c r="FF30" s="2674"/>
      <c r="FG30" s="9"/>
      <c r="FH30" s="5"/>
      <c r="FI30" s="5"/>
      <c r="FJ30" s="5"/>
      <c r="FK30" s="5"/>
      <c r="FL30" s="27"/>
      <c r="FM30" s="28">
        <f t="shared" si="57"/>
        <v>0</v>
      </c>
      <c r="FN30" s="36"/>
      <c r="FO30" s="27"/>
      <c r="FP30" s="27"/>
      <c r="FQ30" s="27"/>
      <c r="FR30" s="27"/>
      <c r="FS30" s="27"/>
      <c r="FT30" s="28">
        <f t="shared" si="58"/>
        <v>0</v>
      </c>
      <c r="FU30" s="36"/>
      <c r="FV30" s="36"/>
      <c r="FW30" s="27"/>
      <c r="FX30" s="27"/>
      <c r="FY30" s="27"/>
      <c r="FZ30" s="27"/>
      <c r="GA30" s="27"/>
      <c r="GB30" s="27"/>
      <c r="GC30" s="27"/>
      <c r="GD30" s="27"/>
      <c r="GE30" s="27"/>
      <c r="GF30" s="33"/>
      <c r="GG30" s="33">
        <f t="shared" si="59"/>
        <v>0</v>
      </c>
      <c r="GH30" s="2674"/>
      <c r="GJ30" s="2">
        <f t="shared" si="133"/>
        <v>0</v>
      </c>
      <c r="GK30" s="63">
        <f t="shared" si="134"/>
        <v>0</v>
      </c>
      <c r="GL30" s="24">
        <f t="shared" si="135"/>
        <v>0</v>
      </c>
      <c r="GM30" s="53">
        <f t="shared" si="60"/>
        <v>0</v>
      </c>
      <c r="GN30" s="141"/>
      <c r="GO30" s="141"/>
      <c r="GP30" s="33"/>
      <c r="GQ30" s="2667"/>
      <c r="GR30" s="152">
        <v>0</v>
      </c>
      <c r="GS30" s="27">
        <v>0</v>
      </c>
      <c r="GT30" s="27">
        <v>0</v>
      </c>
      <c r="GU30" s="27">
        <v>0</v>
      </c>
      <c r="GV30" s="33">
        <f t="shared" si="61"/>
        <v>0</v>
      </c>
      <c r="GW30" s="2667"/>
      <c r="GX30" s="36"/>
      <c r="GY30" s="36"/>
      <c r="GZ30" s="27"/>
      <c r="HA30" s="27"/>
      <c r="HB30" s="27"/>
      <c r="HC30" s="27"/>
      <c r="HD30" s="27"/>
      <c r="HE30" s="27"/>
      <c r="HF30" s="27">
        <v>0</v>
      </c>
      <c r="HG30" s="27"/>
      <c r="HH30" s="27">
        <v>0</v>
      </c>
      <c r="HI30" s="27"/>
      <c r="HJ30" s="27">
        <v>0</v>
      </c>
      <c r="HK30" s="27"/>
      <c r="HL30" s="28">
        <f t="shared" si="62"/>
        <v>0</v>
      </c>
      <c r="HM30" s="36"/>
      <c r="HN30" s="27"/>
      <c r="HO30" s="27"/>
      <c r="HP30" s="27"/>
      <c r="HQ30" s="27"/>
      <c r="HR30" s="27"/>
      <c r="HS30" s="27" cm="1">
        <f t="array" ref="HS30">SUMPRODUCT(('Data Base hauling'!$C$2:$C$216="TCM-ROM SB1 BK05-ROM 4")*(ISNUMBER(SEARCH(TEXT('March TCM'!$B30,"00")&amp;"/03/2026",'Data Base hauling'!$E$2:$E$216)))*'Data Base hauling'!$N$2:$N$216)</f>
        <v>0</v>
      </c>
      <c r="HT30" s="27"/>
      <c r="HU30" s="27" cm="1">
        <f t="array" ref="HU30">SUMPRODUCT(('Data Base hauling'!$C$2:$C$216="TCM-ROM SB1 BK05-ROM 5")*(ISNUMBER(SEARCH(TEXT('March TCM'!$B30,"00")&amp;"/03/2026",'Data Base hauling'!$E$2:$E$216)))*'Data Base hauling'!$N$2:$N$216)</f>
        <v>0</v>
      </c>
      <c r="HV30" s="27"/>
      <c r="HW30" s="27"/>
      <c r="HX30" s="27"/>
      <c r="HY30" s="27"/>
      <c r="HZ30" s="27"/>
      <c r="IA30" s="33">
        <f t="shared" si="63"/>
        <v>0</v>
      </c>
      <c r="IB30" s="52"/>
      <c r="IC30" s="152"/>
      <c r="ID30" s="53"/>
      <c r="IE30" s="53"/>
      <c r="IF30" s="53"/>
      <c r="IG30" s="53"/>
      <c r="IH30" s="53">
        <v>0</v>
      </c>
      <c r="II30" s="53"/>
      <c r="IJ30" s="53">
        <v>0</v>
      </c>
      <c r="IK30" s="53"/>
      <c r="IL30" s="53">
        <v>0</v>
      </c>
      <c r="IM30" s="53"/>
      <c r="IN30" s="53"/>
      <c r="IO30" s="49">
        <v>0</v>
      </c>
      <c r="IP30" s="61">
        <f t="shared" si="64"/>
        <v>0</v>
      </c>
      <c r="IQ30" s="36"/>
      <c r="IR30" s="36"/>
      <c r="IS30" s="27"/>
      <c r="IT30" s="27"/>
      <c r="IU30" s="53"/>
      <c r="IV30" s="27"/>
      <c r="IW30" s="27">
        <v>0</v>
      </c>
      <c r="IX30" s="27"/>
      <c r="IY30" s="27">
        <v>0</v>
      </c>
      <c r="IZ30" s="27"/>
      <c r="JA30" s="27">
        <v>0</v>
      </c>
      <c r="JB30" s="27"/>
      <c r="JC30" s="27"/>
      <c r="JD30" s="27"/>
      <c r="JE30" s="33">
        <f t="shared" si="138"/>
        <v>0</v>
      </c>
      <c r="JF30" s="2667"/>
      <c r="JH30" s="2020">
        <v>0</v>
      </c>
      <c r="JI30" s="2021">
        <v>0</v>
      </c>
      <c r="JJ30" s="53"/>
      <c r="JK30" s="53">
        <f t="shared" si="65"/>
        <v>0</v>
      </c>
      <c r="JL30" s="33"/>
      <c r="JM30" s="2669"/>
      <c r="JN30" s="69" t="s">
        <v>296</v>
      </c>
      <c r="JO30" s="70" t="s">
        <v>296</v>
      </c>
      <c r="JP30" s="70" t="s">
        <v>296</v>
      </c>
      <c r="JQ30" s="70" t="s">
        <v>296</v>
      </c>
      <c r="JR30" s="70" t="s">
        <v>296</v>
      </c>
      <c r="JS30" s="70" t="s">
        <v>296</v>
      </c>
      <c r="JT30" s="70" t="s">
        <v>296</v>
      </c>
      <c r="JU30" s="1922">
        <v>0</v>
      </c>
      <c r="JV30" s="69" t="s">
        <v>296</v>
      </c>
      <c r="JW30" s="70" t="s">
        <v>296</v>
      </c>
      <c r="JX30" s="70" t="s">
        <v>296</v>
      </c>
      <c r="JY30" s="70" t="s">
        <v>296</v>
      </c>
      <c r="JZ30" s="70" t="s">
        <v>296</v>
      </c>
      <c r="KA30" s="70" t="s">
        <v>296</v>
      </c>
      <c r="KB30" s="70" t="s">
        <v>296</v>
      </c>
      <c r="KC30" s="71" t="s">
        <v>296</v>
      </c>
      <c r="KD30" s="69"/>
      <c r="KE30" s="70"/>
      <c r="KF30" s="70"/>
      <c r="KG30" s="70"/>
      <c r="KH30" s="70"/>
      <c r="KI30" s="70"/>
      <c r="KJ30" s="70"/>
      <c r="KK30" s="70"/>
      <c r="KL30" s="33"/>
      <c r="KM30" s="2669"/>
      <c r="KN30" s="9">
        <v>0</v>
      </c>
      <c r="KO30" s="1964">
        <v>0</v>
      </c>
      <c r="KP30" s="1964">
        <v>0</v>
      </c>
      <c r="KQ30" s="1964">
        <v>0</v>
      </c>
      <c r="KR30" s="1970">
        <v>0</v>
      </c>
      <c r="KS30" s="1959">
        <v>0</v>
      </c>
      <c r="KT30" s="1964">
        <v>0</v>
      </c>
      <c r="KU30" s="1964">
        <v>0</v>
      </c>
      <c r="KV30" s="1964">
        <v>0</v>
      </c>
      <c r="KW30" s="1965">
        <v>0</v>
      </c>
      <c r="KX30" s="36"/>
      <c r="KY30" s="53"/>
      <c r="KZ30" s="53"/>
      <c r="LA30" s="53"/>
      <c r="LB30" s="53"/>
      <c r="LC30" s="33"/>
      <c r="LD30" s="2669"/>
      <c r="LF30" s="4">
        <f t="shared" si="66"/>
        <v>0</v>
      </c>
      <c r="LG30" s="27">
        <f t="shared" si="66"/>
        <v>0</v>
      </c>
      <c r="LH30" s="27">
        <f t="shared" si="66"/>
        <v>0</v>
      </c>
      <c r="LI30" s="28">
        <f t="shared" si="67"/>
        <v>0</v>
      </c>
      <c r="LJ30" s="36"/>
      <c r="LK30" s="27"/>
      <c r="LL30" s="27"/>
      <c r="LM30" s="33"/>
      <c r="LN30" s="1041">
        <v>7.18</v>
      </c>
      <c r="LO30" s="486"/>
      <c r="LP30" s="2688"/>
      <c r="LQ30" s="36"/>
      <c r="LR30" s="36"/>
      <c r="LS30" s="27"/>
      <c r="LT30" s="27"/>
      <c r="LU30" s="27"/>
      <c r="LV30" s="1107">
        <f t="shared" si="68"/>
        <v>0</v>
      </c>
      <c r="LW30" s="36"/>
      <c r="LX30" s="36"/>
      <c r="LY30" s="27"/>
      <c r="LZ30" s="27"/>
      <c r="MA30" s="33"/>
      <c r="MB30" s="28">
        <f t="shared" si="69"/>
        <v>0</v>
      </c>
      <c r="MC30" s="26"/>
      <c r="MD30" s="36"/>
      <c r="ME30" s="27"/>
      <c r="MF30" s="27"/>
      <c r="MG30" s="27"/>
      <c r="MH30" s="28"/>
      <c r="MI30" s="36"/>
      <c r="MJ30" s="36"/>
      <c r="MK30" s="27"/>
      <c r="ML30" s="27"/>
      <c r="MM30" s="27"/>
      <c r="MN30" s="28"/>
      <c r="MO30" s="36"/>
      <c r="MP30" s="36"/>
      <c r="MQ30" s="27"/>
      <c r="MR30" s="27"/>
      <c r="MS30" s="27"/>
      <c r="MT30" s="33">
        <f t="shared" si="70"/>
        <v>0</v>
      </c>
      <c r="MU30" s="2688"/>
      <c r="MW30" s="26">
        <f t="shared" si="71"/>
        <v>85938.132645013393</v>
      </c>
      <c r="MX30" s="27">
        <f t="shared" si="72"/>
        <v>99221.912248823515</v>
      </c>
      <c r="MY30" s="27">
        <f t="shared" si="73"/>
        <v>20201.645201279462</v>
      </c>
      <c r="MZ30" s="28">
        <f t="shared" si="74"/>
        <v>434269.22855850996</v>
      </c>
      <c r="NA30" s="2621"/>
      <c r="NB30" s="23">
        <f t="shared" si="75"/>
        <v>53957.049437467853</v>
      </c>
      <c r="NC30" s="1579">
        <f t="shared" si="76"/>
        <v>31981.083207545536</v>
      </c>
      <c r="ND30" s="60">
        <f t="shared" si="77"/>
        <v>0</v>
      </c>
      <c r="NE30" s="275">
        <f t="shared" si="4"/>
        <v>85938.132645013393</v>
      </c>
      <c r="NF30" s="26">
        <f t="shared" si="156"/>
        <v>0</v>
      </c>
      <c r="NG30" s="27">
        <f t="shared" si="156"/>
        <v>0</v>
      </c>
      <c r="NH30" s="27">
        <f t="shared" si="156"/>
        <v>0</v>
      </c>
      <c r="NI30" s="27">
        <v>0</v>
      </c>
      <c r="NJ30" s="27">
        <f t="shared" si="156"/>
        <v>0</v>
      </c>
      <c r="NK30" s="33">
        <f t="shared" si="156"/>
        <v>0</v>
      </c>
      <c r="NL30" s="27">
        <f t="shared" si="156"/>
        <v>0</v>
      </c>
      <c r="NM30" s="36">
        <f t="shared" si="156"/>
        <v>0</v>
      </c>
      <c r="NN30" s="24">
        <f t="shared" si="156"/>
        <v>4439.4305665631437</v>
      </c>
      <c r="NO30" s="27">
        <f t="shared" si="156"/>
        <v>26196.69549600617</v>
      </c>
      <c r="NP30" s="24">
        <f t="shared" si="136"/>
        <v>8756.5482322711578</v>
      </c>
      <c r="NQ30" s="24">
        <f t="shared" si="137"/>
        <v>20164.274118033409</v>
      </c>
      <c r="NR30" s="27">
        <f t="shared" si="0"/>
        <v>59556.948412873884</v>
      </c>
      <c r="NS30" s="27">
        <f t="shared" si="79"/>
        <v>0</v>
      </c>
      <c r="NT30" s="27">
        <f t="shared" si="80"/>
        <v>0</v>
      </c>
      <c r="NU30" s="27">
        <f t="shared" si="81"/>
        <v>0</v>
      </c>
      <c r="NV30" s="27">
        <f t="shared" si="82"/>
        <v>0</v>
      </c>
      <c r="NW30" s="27">
        <f t="shared" si="83"/>
        <v>0</v>
      </c>
      <c r="NX30" s="5">
        <f t="shared" si="84"/>
        <v>0</v>
      </c>
      <c r="NY30" s="27">
        <f t="shared" si="85"/>
        <v>6466.2636022929128</v>
      </c>
      <c r="NZ30" s="27">
        <f t="shared" si="86"/>
        <v>0</v>
      </c>
      <c r="OA30" s="27">
        <f t="shared" si="87"/>
        <v>13031.248066782839</v>
      </c>
      <c r="OB30" s="27"/>
      <c r="OC30" s="24">
        <f t="shared" si="88"/>
        <v>349.54339982995594</v>
      </c>
      <c r="OD30" s="27">
        <f t="shared" si="89"/>
        <v>0</v>
      </c>
      <c r="OE30" s="28">
        <f t="shared" si="1"/>
        <v>19847.055068905705</v>
      </c>
      <c r="OF30" s="27">
        <f t="shared" si="149"/>
        <v>0</v>
      </c>
      <c r="OG30" s="27">
        <f t="shared" si="150"/>
        <v>0</v>
      </c>
      <c r="OH30" s="27">
        <f t="shared" si="155"/>
        <v>0</v>
      </c>
      <c r="OI30" s="27">
        <f t="shared" si="151"/>
        <v>0</v>
      </c>
      <c r="OJ30" s="27">
        <f t="shared" si="152"/>
        <v>0</v>
      </c>
      <c r="OK30" s="27">
        <f t="shared" si="153"/>
        <v>0</v>
      </c>
      <c r="OL30" s="24">
        <f t="shared" si="145"/>
        <v>0</v>
      </c>
      <c r="OM30" s="27">
        <f t="shared" si="140"/>
        <v>0</v>
      </c>
      <c r="ON30" s="24">
        <f t="shared" si="141"/>
        <v>18691.493599111</v>
      </c>
      <c r="OO30" s="27">
        <f t="shared" si="142"/>
        <v>0</v>
      </c>
      <c r="OP30" s="27">
        <f t="shared" si="143"/>
        <v>1126.4151679329138</v>
      </c>
      <c r="OQ30" s="27">
        <f t="shared" si="144"/>
        <v>0</v>
      </c>
      <c r="OR30" s="28">
        <f t="shared" si="2"/>
        <v>19817.908767043915</v>
      </c>
      <c r="OS30" s="36"/>
      <c r="OT30" s="27"/>
      <c r="OU30" s="27"/>
      <c r="OV30" s="27"/>
      <c r="OW30" s="27"/>
      <c r="OX30" s="27"/>
      <c r="OY30" s="28">
        <f t="shared" si="91"/>
        <v>0</v>
      </c>
      <c r="OZ30" s="36">
        <f t="shared" si="92"/>
        <v>0</v>
      </c>
      <c r="PA30" s="27">
        <f t="shared" si="93"/>
        <v>0</v>
      </c>
      <c r="PB30" s="27">
        <f t="shared" si="94"/>
        <v>0</v>
      </c>
      <c r="PC30" s="27">
        <f t="shared" si="95"/>
        <v>0</v>
      </c>
      <c r="PD30" s="27">
        <f t="shared" si="96"/>
        <v>0</v>
      </c>
      <c r="PE30" s="27">
        <f t="shared" si="97"/>
        <v>0</v>
      </c>
      <c r="PF30" s="33">
        <f t="shared" si="3"/>
        <v>0</v>
      </c>
      <c r="PG30" s="2621"/>
      <c r="PI30" s="2">
        <v>0</v>
      </c>
      <c r="PJ30" s="3"/>
      <c r="PK30" s="3"/>
      <c r="PL30" s="3">
        <f t="shared" si="98"/>
        <v>0</v>
      </c>
      <c r="PM30" s="3">
        <f t="shared" si="99"/>
        <v>3003.1953876938928</v>
      </c>
      <c r="PN30" s="11">
        <f t="shared" si="100"/>
        <v>20201.645201279462</v>
      </c>
      <c r="PO30" s="15"/>
      <c r="PP30" s="2615"/>
      <c r="PR30" s="4"/>
      <c r="PS30" s="9"/>
      <c r="PT30" s="9"/>
      <c r="PU30" s="9"/>
      <c r="PV30" s="9">
        <v>0</v>
      </c>
      <c r="PW30" s="9"/>
      <c r="PX30" s="8">
        <f t="shared" si="101"/>
        <v>0</v>
      </c>
      <c r="PY30" s="5">
        <f t="shared" si="102"/>
        <v>0</v>
      </c>
      <c r="PZ30" s="5"/>
      <c r="QA30" s="5"/>
      <c r="QB30" s="5"/>
      <c r="QC30" s="5"/>
      <c r="QD30" s="5"/>
      <c r="QE30" s="12">
        <f t="shared" si="103"/>
        <v>29562.488999999998</v>
      </c>
      <c r="QF30" s="420">
        <f t="shared" si="104"/>
        <v>403619.37955850997</v>
      </c>
      <c r="QG30" s="1106">
        <f t="shared" si="105"/>
        <v>1087.3600000000001</v>
      </c>
      <c r="QH30" s="484">
        <f t="shared" si="106"/>
        <v>5505.3678056099998</v>
      </c>
      <c r="QI30" s="12"/>
      <c r="QJ30" s="2615"/>
      <c r="QL30" s="139" t="str">
        <f t="shared" si="107"/>
        <v/>
      </c>
      <c r="QM30" s="139" t="str">
        <f t="shared" si="108"/>
        <v/>
      </c>
      <c r="QO30" s="139" t="str">
        <f t="shared" si="109"/>
        <v/>
      </c>
      <c r="QP30" s="139" t="str">
        <f t="shared" si="110"/>
        <v/>
      </c>
      <c r="QR30" s="1">
        <f t="shared" si="111"/>
        <v>0</v>
      </c>
      <c r="QS30" s="1">
        <f t="shared" si="112"/>
        <v>0</v>
      </c>
      <c r="QT30" s="1">
        <f t="shared" si="113"/>
        <v>0</v>
      </c>
      <c r="QU30" s="1">
        <f t="shared" si="114"/>
        <v>0</v>
      </c>
      <c r="QV30" s="1">
        <f t="shared" si="115"/>
        <v>0</v>
      </c>
      <c r="QW30" s="1">
        <f t="shared" si="116"/>
        <v>0</v>
      </c>
      <c r="QY30" s="1">
        <f t="shared" si="117"/>
        <v>0</v>
      </c>
      <c r="QZ30" s="1">
        <f t="shared" si="118"/>
        <v>0</v>
      </c>
      <c r="RA30" s="1">
        <f t="shared" si="119"/>
        <v>0</v>
      </c>
      <c r="RB30" s="1">
        <f t="shared" si="120"/>
        <v>0</v>
      </c>
      <c r="RC30" s="1">
        <f t="shared" si="121"/>
        <v>0</v>
      </c>
      <c r="RD30" s="1">
        <f t="shared" si="122"/>
        <v>0</v>
      </c>
      <c r="RG30" s="1">
        <v>21</v>
      </c>
      <c r="RH30" s="1">
        <f t="shared" si="146"/>
        <v>23927.035209717102</v>
      </c>
      <c r="RI30" s="1">
        <f t="shared" si="147"/>
        <v>14000.321780483719</v>
      </c>
      <c r="RJ30" s="1">
        <f t="shared" si="148"/>
        <v>13404.263703387322</v>
      </c>
      <c r="RK30" s="89">
        <f t="shared" si="5"/>
        <v>51331.620693588135</v>
      </c>
      <c r="RL30" s="1033">
        <v>21</v>
      </c>
      <c r="RM30" s="1098">
        <f t="shared" si="124"/>
        <v>0</v>
      </c>
      <c r="RN30" s="1098">
        <f t="shared" si="125"/>
        <v>0</v>
      </c>
      <c r="RO30" s="1097">
        <f t="shared" si="125"/>
        <v>0</v>
      </c>
      <c r="RP30" s="1097">
        <f t="shared" si="126"/>
        <v>0</v>
      </c>
      <c r="RQ30" s="1109"/>
      <c r="RR30" s="1050"/>
      <c r="RS30" s="1048"/>
      <c r="RU30" s="421">
        <v>21</v>
      </c>
      <c r="RV30" s="1095">
        <f t="shared" si="127"/>
        <v>0</v>
      </c>
      <c r="RW30" s="1050"/>
      <c r="RY30" s="1090"/>
      <c r="RZ30" s="1090">
        <f t="shared" si="128"/>
        <v>0</v>
      </c>
      <c r="SA30" s="1090"/>
      <c r="SB30" s="1090">
        <f t="shared" si="129"/>
        <v>0</v>
      </c>
      <c r="SD30" s="1">
        <v>21</v>
      </c>
      <c r="SE30" s="1">
        <f t="shared" si="130"/>
        <v>0</v>
      </c>
    </row>
    <row r="31" spans="1:500" s="1" customFormat="1">
      <c r="B31" s="471">
        <v>22</v>
      </c>
      <c r="C31" s="4">
        <f t="shared" si="6"/>
        <v>149287</v>
      </c>
      <c r="D31" s="1590">
        <f t="shared" si="131"/>
        <v>5238.4599999999991</v>
      </c>
      <c r="E31" s="1895">
        <f t="shared" si="7"/>
        <v>28.498260939283686</v>
      </c>
      <c r="F31" s="870"/>
      <c r="G31" s="870"/>
      <c r="H31" s="52">
        <v>6</v>
      </c>
      <c r="I31" s="61">
        <v>2.5</v>
      </c>
      <c r="J31" s="52"/>
      <c r="K31" s="54"/>
      <c r="L31" s="52"/>
      <c r="M31" s="61"/>
      <c r="N31" s="2629"/>
      <c r="O31" s="4">
        <f t="shared" si="132"/>
        <v>91224</v>
      </c>
      <c r="P31" s="1225">
        <f t="shared" si="8"/>
        <v>3088.68</v>
      </c>
      <c r="Q31" s="1913">
        <f t="shared" si="9"/>
        <v>29.53494696763666</v>
      </c>
      <c r="R31" s="33"/>
      <c r="S31" s="26">
        <f t="shared" si="10"/>
        <v>24659</v>
      </c>
      <c r="T31" s="27">
        <f t="shared" si="11"/>
        <v>929.77999999999986</v>
      </c>
      <c r="U31" s="1909">
        <f t="shared" si="12"/>
        <v>26.521327625889999</v>
      </c>
      <c r="V31" s="28"/>
      <c r="W31" s="26">
        <f t="shared" si="13"/>
        <v>33404</v>
      </c>
      <c r="X31" s="5">
        <f t="shared" si="13"/>
        <v>1220</v>
      </c>
      <c r="Y31" s="325">
        <f t="shared" si="14"/>
        <v>27.380327868852458</v>
      </c>
      <c r="Z31" s="33"/>
      <c r="AA31" s="26">
        <f t="shared" si="15"/>
        <v>0</v>
      </c>
      <c r="AB31" s="27">
        <f t="shared" si="16"/>
        <v>0</v>
      </c>
      <c r="AC31" s="53">
        <f t="shared" si="17"/>
        <v>0</v>
      </c>
      <c r="AD31" s="28"/>
      <c r="AE31" s="36"/>
      <c r="AF31" s="36"/>
      <c r="AG31" s="53">
        <f t="shared" si="18"/>
        <v>0</v>
      </c>
      <c r="AH31" s="28"/>
      <c r="AI31" s="26"/>
      <c r="AJ31" s="27"/>
      <c r="AK31" s="53">
        <f t="shared" si="19"/>
        <v>0</v>
      </c>
      <c r="AL31" s="28"/>
      <c r="AM31" s="2629"/>
      <c r="AN31" s="9"/>
      <c r="AO31" s="5"/>
      <c r="AP31" s="61">
        <f t="shared" si="20"/>
        <v>0</v>
      </c>
      <c r="AQ31" s="36"/>
      <c r="AR31" s="53"/>
      <c r="AS31" s="61">
        <f t="shared" si="21"/>
        <v>0</v>
      </c>
      <c r="AT31" s="36">
        <v>0</v>
      </c>
      <c r="AU31" s="27"/>
      <c r="AV31" s="61">
        <f t="shared" si="22"/>
        <v>0</v>
      </c>
      <c r="AW31" s="36">
        <v>50610</v>
      </c>
      <c r="AX31" s="27">
        <v>2122.56</v>
      </c>
      <c r="AY31" s="1895">
        <f t="shared" si="23"/>
        <v>23.84384893713252</v>
      </c>
      <c r="AZ31" s="1908"/>
      <c r="BA31" s="1909"/>
      <c r="BB31" s="1895">
        <f t="shared" si="24"/>
        <v>0</v>
      </c>
      <c r="BC31" s="1908">
        <v>40614</v>
      </c>
      <c r="BD31" s="1909">
        <v>966.11999999999989</v>
      </c>
      <c r="BE31" s="1895">
        <f t="shared" si="154"/>
        <v>42.038256117252523</v>
      </c>
      <c r="BF31" s="1908"/>
      <c r="BG31" s="1909"/>
      <c r="BH31" s="1895">
        <f t="shared" si="26"/>
        <v>0</v>
      </c>
      <c r="BI31" s="1908">
        <v>0</v>
      </c>
      <c r="BJ31" s="1909">
        <v>0</v>
      </c>
      <c r="BK31" s="1895">
        <f t="shared" si="27"/>
        <v>0</v>
      </c>
      <c r="BL31" s="1910">
        <v>24659</v>
      </c>
      <c r="BM31" s="1909">
        <v>929.77999999999986</v>
      </c>
      <c r="BN31" s="1911">
        <f t="shared" si="28"/>
        <v>26.521327625889999</v>
      </c>
      <c r="BO31" s="9"/>
      <c r="BP31" s="64"/>
      <c r="BQ31" s="482">
        <f t="shared" si="29"/>
        <v>0</v>
      </c>
      <c r="BR31" s="9"/>
      <c r="BS31" s="64"/>
      <c r="BT31" s="482">
        <f t="shared" si="30"/>
        <v>0</v>
      </c>
      <c r="BU31" s="9">
        <v>33404</v>
      </c>
      <c r="BV31" s="27">
        <v>1220</v>
      </c>
      <c r="BW31" s="15">
        <f t="shared" si="31"/>
        <v>27.380327868852458</v>
      </c>
      <c r="BX31" s="4"/>
      <c r="BY31" s="5"/>
      <c r="BZ31" s="482">
        <f t="shared" si="32"/>
        <v>0</v>
      </c>
      <c r="CA31" s="9"/>
      <c r="CB31" s="5"/>
      <c r="CC31" s="482">
        <f t="shared" si="33"/>
        <v>0</v>
      </c>
      <c r="CD31" s="4"/>
      <c r="CE31" s="5"/>
      <c r="CF31" s="28">
        <f t="shared" si="34"/>
        <v>0</v>
      </c>
      <c r="CG31" s="150"/>
      <c r="CH31" s="1108"/>
      <c r="CI31" s="5"/>
      <c r="CJ31" s="5"/>
      <c r="CK31" s="5">
        <v>0</v>
      </c>
      <c r="CL31" s="5"/>
      <c r="CM31" s="5">
        <f t="shared" si="35"/>
        <v>0</v>
      </c>
      <c r="CN31" s="33"/>
      <c r="CO31" s="366"/>
      <c r="CQ31" s="4">
        <f t="shared" si="36"/>
        <v>0</v>
      </c>
      <c r="CR31" s="9">
        <f t="shared" si="37"/>
        <v>0</v>
      </c>
      <c r="CS31" s="5">
        <f t="shared" si="38"/>
        <v>0</v>
      </c>
      <c r="CT31" s="5">
        <f t="shared" si="39"/>
        <v>0</v>
      </c>
      <c r="CU31" s="5">
        <f t="shared" si="40"/>
        <v>0</v>
      </c>
      <c r="CV31" s="5">
        <f t="shared" si="41"/>
        <v>0</v>
      </c>
      <c r="CW31" s="5">
        <f t="shared" si="42"/>
        <v>0</v>
      </c>
      <c r="CX31" s="5">
        <f t="shared" si="43"/>
        <v>0</v>
      </c>
      <c r="CY31" s="5">
        <f t="shared" si="44"/>
        <v>3632.3399999999997</v>
      </c>
      <c r="CZ31" s="5">
        <f t="shared" si="45"/>
        <v>0</v>
      </c>
      <c r="DA31" s="5">
        <f t="shared" si="46"/>
        <v>1606.12</v>
      </c>
      <c r="DB31" s="12">
        <f t="shared" si="47"/>
        <v>0</v>
      </c>
      <c r="DC31" s="310">
        <f t="shared" si="48"/>
        <v>5238.4599999999991</v>
      </c>
      <c r="DD31" s="2695"/>
      <c r="DE31" s="8"/>
      <c r="DF31" s="9"/>
      <c r="DG31" s="5"/>
      <c r="DH31" s="5"/>
      <c r="DI31" s="5"/>
      <c r="DJ31" s="5"/>
      <c r="DK31" s="5">
        <v>0</v>
      </c>
      <c r="DL31" s="5"/>
      <c r="DM31" s="487">
        <v>2122.56</v>
      </c>
      <c r="DN31" s="5"/>
      <c r="DO31" s="5"/>
      <c r="DP31" s="12"/>
      <c r="DQ31" s="28">
        <f t="shared" si="49"/>
        <v>2122.56</v>
      </c>
      <c r="DR31" s="36"/>
      <c r="DS31" s="9"/>
      <c r="DT31" s="5"/>
      <c r="DU31" s="5"/>
      <c r="DV31" s="5"/>
      <c r="DW31" s="5"/>
      <c r="DX31" s="27"/>
      <c r="DY31" s="27"/>
      <c r="DZ31" s="27">
        <v>929.77999999999986</v>
      </c>
      <c r="EA31" s="27"/>
      <c r="EB31" s="27">
        <v>966.11999999999989</v>
      </c>
      <c r="EC31" s="33"/>
      <c r="ED31" s="28">
        <f t="shared" si="50"/>
        <v>1895.8999999999996</v>
      </c>
      <c r="EE31" s="9"/>
      <c r="EF31" s="36"/>
      <c r="EG31"/>
      <c r="EH31" s="27"/>
      <c r="EI31" s="27"/>
      <c r="EJ31" s="27"/>
      <c r="EK31" s="27"/>
      <c r="EL31" s="27"/>
      <c r="EM31" s="5">
        <v>580</v>
      </c>
      <c r="EN31" s="5"/>
      <c r="EO31" s="5">
        <v>640</v>
      </c>
      <c r="EP31" s="33"/>
      <c r="EQ31" s="28">
        <f t="shared" si="51"/>
        <v>1220</v>
      </c>
      <c r="ER31" s="36"/>
      <c r="ES31" s="27"/>
      <c r="ET31" s="27"/>
      <c r="EU31" s="27"/>
      <c r="EV31" s="27"/>
      <c r="EW31" s="27"/>
      <c r="EX31" s="33">
        <f t="shared" si="52"/>
        <v>0</v>
      </c>
      <c r="EY31" s="2685"/>
      <c r="FA31" s="4">
        <f t="shared" si="53"/>
        <v>0</v>
      </c>
      <c r="FB31" s="5">
        <f t="shared" si="54"/>
        <v>0</v>
      </c>
      <c r="FC31" s="5">
        <f t="shared" si="55"/>
        <v>0</v>
      </c>
      <c r="FD31" s="12">
        <f t="shared" si="56"/>
        <v>0</v>
      </c>
      <c r="FE31" s="33"/>
      <c r="FF31" s="2674"/>
      <c r="FG31" s="9"/>
      <c r="FH31" s="5"/>
      <c r="FI31" s="5"/>
      <c r="FJ31" s="5"/>
      <c r="FK31" s="5"/>
      <c r="FL31" s="27"/>
      <c r="FM31" s="28">
        <f t="shared" si="57"/>
        <v>0</v>
      </c>
      <c r="FN31" s="36"/>
      <c r="FO31" s="27"/>
      <c r="FP31" s="27"/>
      <c r="FQ31" s="27"/>
      <c r="FR31" s="27"/>
      <c r="FS31" s="27"/>
      <c r="FT31" s="28">
        <f t="shared" si="58"/>
        <v>0</v>
      </c>
      <c r="FU31" s="36"/>
      <c r="FV31" s="36"/>
      <c r="FW31" s="27"/>
      <c r="FX31" s="27"/>
      <c r="FY31" s="27"/>
      <c r="FZ31" s="27"/>
      <c r="GA31" s="27"/>
      <c r="GB31" s="27"/>
      <c r="GC31" s="27"/>
      <c r="GD31" s="27"/>
      <c r="GE31" s="27"/>
      <c r="GF31" s="33"/>
      <c r="GG31" s="33">
        <f t="shared" si="59"/>
        <v>0</v>
      </c>
      <c r="GH31" s="2674"/>
      <c r="GJ31" s="2">
        <f t="shared" si="133"/>
        <v>0</v>
      </c>
      <c r="GK31" s="63">
        <f t="shared" si="134"/>
        <v>7929.25</v>
      </c>
      <c r="GL31" s="24">
        <f t="shared" si="135"/>
        <v>3068.05</v>
      </c>
      <c r="GM31" s="53">
        <f t="shared" si="60"/>
        <v>10997.3</v>
      </c>
      <c r="GN31" s="141"/>
      <c r="GO31" s="141"/>
      <c r="GP31" s="33"/>
      <c r="GQ31" s="2667"/>
      <c r="GR31" s="152">
        <v>3882.5</v>
      </c>
      <c r="GS31" s="27">
        <v>0</v>
      </c>
      <c r="GT31" s="27">
        <v>3372.7299999999996</v>
      </c>
      <c r="GU31" s="27">
        <v>3742.07</v>
      </c>
      <c r="GV31" s="33">
        <f t="shared" si="61"/>
        <v>10997.3</v>
      </c>
      <c r="GW31" s="2667"/>
      <c r="GX31" s="36"/>
      <c r="GY31" s="36"/>
      <c r="GZ31" s="27"/>
      <c r="HA31" s="27"/>
      <c r="HB31" s="27"/>
      <c r="HC31" s="27"/>
      <c r="HD31" s="27"/>
      <c r="HE31" s="27"/>
      <c r="HF31" s="27">
        <v>0</v>
      </c>
      <c r="HG31" s="27"/>
      <c r="HH31" s="27">
        <v>0</v>
      </c>
      <c r="HI31" s="27"/>
      <c r="HJ31" s="27">
        <v>0</v>
      </c>
      <c r="HK31" s="27"/>
      <c r="HL31" s="28">
        <f t="shared" si="62"/>
        <v>0</v>
      </c>
      <c r="HM31" s="36"/>
      <c r="HN31" s="27"/>
      <c r="HO31" s="27"/>
      <c r="HP31" s="27"/>
      <c r="HQ31" s="27"/>
      <c r="HR31" s="27"/>
      <c r="HS31" s="27" cm="1">
        <f t="array" ref="HS31">SUMPRODUCT(('Data Base hauling'!$C$2:$C$216="TCM-ROM SB1 BK05-ROM 4")*(ISNUMBER(SEARCH(TEXT('March TCM'!$B31,"00")&amp;"/03/2026",'Data Base hauling'!$E$2:$E$216)))*'Data Base hauling'!$N$2:$N$216)</f>
        <v>0</v>
      </c>
      <c r="HT31" s="27"/>
      <c r="HU31" s="27" cm="1">
        <f t="array" ref="HU31">SUMPRODUCT(('Data Base hauling'!$C$2:$C$216="TCM-ROM SB1 BK05-ROM 5")*(ISNUMBER(SEARCH(TEXT('March TCM'!$B31,"00")&amp;"/03/2026",'Data Base hauling'!$E$2:$E$216)))*'Data Base hauling'!$N$2:$N$216)</f>
        <v>0</v>
      </c>
      <c r="HV31" s="27"/>
      <c r="HW31" s="27"/>
      <c r="HX31" s="27"/>
      <c r="HY31" s="27"/>
      <c r="HZ31" s="27"/>
      <c r="IA31" s="33">
        <f t="shared" si="63"/>
        <v>0</v>
      </c>
      <c r="IB31" s="52"/>
      <c r="IC31" s="152"/>
      <c r="ID31" s="53"/>
      <c r="IE31" s="53"/>
      <c r="IF31" s="53"/>
      <c r="IG31" s="53"/>
      <c r="IH31" s="53">
        <v>0</v>
      </c>
      <c r="II31" s="53"/>
      <c r="IJ31" s="53">
        <v>7924.75</v>
      </c>
      <c r="IK31" s="53"/>
      <c r="IL31" s="53">
        <v>0</v>
      </c>
      <c r="IM31" s="53"/>
      <c r="IN31" s="53"/>
      <c r="IO31" s="49">
        <v>4.5</v>
      </c>
      <c r="IP31" s="61">
        <f t="shared" si="64"/>
        <v>7929.25</v>
      </c>
      <c r="IQ31" s="36"/>
      <c r="IR31" s="36"/>
      <c r="IS31" s="27"/>
      <c r="IT31" s="27"/>
      <c r="IU31" s="53"/>
      <c r="IV31" s="27"/>
      <c r="IW31" s="27">
        <v>0</v>
      </c>
      <c r="IX31" s="27"/>
      <c r="IY31" s="27">
        <v>3068.05</v>
      </c>
      <c r="IZ31" s="27"/>
      <c r="JA31" s="27">
        <v>0</v>
      </c>
      <c r="JB31" s="27"/>
      <c r="JC31" s="27"/>
      <c r="JD31" s="27"/>
      <c r="JE31" s="33">
        <f t="shared" si="138"/>
        <v>3068.05</v>
      </c>
      <c r="JF31" s="2667"/>
      <c r="JH31" s="2020">
        <v>10997.299999999997</v>
      </c>
      <c r="JI31" s="2021">
        <v>0</v>
      </c>
      <c r="JJ31" s="53"/>
      <c r="JK31" s="53">
        <f t="shared" si="65"/>
        <v>10997.299999999997</v>
      </c>
      <c r="JL31" s="33"/>
      <c r="JM31" s="2669"/>
      <c r="JN31" s="69">
        <v>0</v>
      </c>
      <c r="JO31" s="70">
        <v>0</v>
      </c>
      <c r="JP31" s="70">
        <v>0</v>
      </c>
      <c r="JQ31" s="70">
        <v>0</v>
      </c>
      <c r="JR31" s="70">
        <v>0.99959080865303307</v>
      </c>
      <c r="JS31" s="70">
        <v>0</v>
      </c>
      <c r="JT31" s="70">
        <v>0</v>
      </c>
      <c r="JU31" s="1922">
        <v>0</v>
      </c>
      <c r="JV31" s="69" t="s">
        <v>296</v>
      </c>
      <c r="JW31" s="70" t="s">
        <v>296</v>
      </c>
      <c r="JX31" s="70" t="s">
        <v>296</v>
      </c>
      <c r="JY31" s="70" t="s">
        <v>296</v>
      </c>
      <c r="JZ31" s="70" t="s">
        <v>296</v>
      </c>
      <c r="KA31" s="70" t="s">
        <v>296</v>
      </c>
      <c r="KB31" s="70" t="s">
        <v>296</v>
      </c>
      <c r="KC31" s="71" t="s">
        <v>296</v>
      </c>
      <c r="KD31" s="69"/>
      <c r="KE31" s="70"/>
      <c r="KF31" s="70"/>
      <c r="KG31" s="70"/>
      <c r="KH31" s="70"/>
      <c r="KI31" s="70"/>
      <c r="KJ31" s="70"/>
      <c r="KK31" s="70"/>
      <c r="KL31" s="33"/>
      <c r="KM31" s="2669"/>
      <c r="KN31" s="9">
        <v>7113.5678026269079</v>
      </c>
      <c r="KO31" s="1964">
        <v>0.97926695065672709</v>
      </c>
      <c r="KP31" s="1964">
        <v>2.913063542776003</v>
      </c>
      <c r="KQ31" s="1964">
        <v>6.8966400425985084</v>
      </c>
      <c r="KR31" s="1970">
        <v>10.753339410720624</v>
      </c>
      <c r="KS31" s="1959">
        <v>0</v>
      </c>
      <c r="KT31" s="1964">
        <v>0</v>
      </c>
      <c r="KU31" s="1964">
        <v>0</v>
      </c>
      <c r="KV31" s="1964">
        <v>0</v>
      </c>
      <c r="KW31" s="1965">
        <v>0</v>
      </c>
      <c r="KX31" s="36"/>
      <c r="KY31" s="53"/>
      <c r="KZ31" s="53"/>
      <c r="LA31" s="53"/>
      <c r="LB31" s="53"/>
      <c r="LC31" s="33"/>
      <c r="LD31" s="2669"/>
      <c r="LF31" s="4">
        <f t="shared" si="66"/>
        <v>22473.65</v>
      </c>
      <c r="LG31" s="5">
        <f t="shared" si="66"/>
        <v>0</v>
      </c>
      <c r="LH31" s="27">
        <f t="shared" si="66"/>
        <v>0</v>
      </c>
      <c r="LI31" s="28">
        <f t="shared" si="67"/>
        <v>22473.65</v>
      </c>
      <c r="LJ31" s="36"/>
      <c r="LK31" s="27"/>
      <c r="LL31" s="27"/>
      <c r="LM31" s="33"/>
      <c r="LN31" s="1041">
        <v>6.88</v>
      </c>
      <c r="LO31" s="486"/>
      <c r="LP31" s="2688"/>
      <c r="LQ31" s="36">
        <v>22473.65</v>
      </c>
      <c r="LR31" s="36"/>
      <c r="LS31" s="27"/>
      <c r="LT31" s="27"/>
      <c r="LU31" s="27"/>
      <c r="LV31" s="1107">
        <f t="shared" si="68"/>
        <v>22473.65</v>
      </c>
      <c r="LW31" s="36"/>
      <c r="LX31" s="36"/>
      <c r="LY31" s="27"/>
      <c r="LZ31" s="27"/>
      <c r="MA31" s="33"/>
      <c r="MB31" s="28">
        <f t="shared" si="69"/>
        <v>0</v>
      </c>
      <c r="MC31" s="26"/>
      <c r="MD31" s="36"/>
      <c r="ME31" s="27"/>
      <c r="MF31" s="27"/>
      <c r="MG31" s="27"/>
      <c r="MH31" s="28"/>
      <c r="MI31" s="36"/>
      <c r="MJ31" s="36"/>
      <c r="MK31" s="27"/>
      <c r="ML31" s="27"/>
      <c r="MM31" s="27"/>
      <c r="MN31" s="28"/>
      <c r="MO31" s="36"/>
      <c r="MP31" s="36"/>
      <c r="MQ31" s="27"/>
      <c r="MR31" s="27"/>
      <c r="MS31" s="27"/>
      <c r="MT31" s="33">
        <f t="shared" si="70"/>
        <v>0</v>
      </c>
      <c r="MU31" s="2688"/>
      <c r="MW31" s="26">
        <f t="shared" si="71"/>
        <v>74461.782645013387</v>
      </c>
      <c r="MX31" s="27">
        <f t="shared" si="72"/>
        <v>93467.572248823504</v>
      </c>
      <c r="MY31" s="27">
        <f t="shared" si="73"/>
        <v>20201.645201279462</v>
      </c>
      <c r="MZ31" s="28">
        <f t="shared" si="74"/>
        <v>434264.72855850996</v>
      </c>
      <c r="NA31" s="2621"/>
      <c r="NB31" s="23">
        <f t="shared" si="75"/>
        <v>42480.699437467847</v>
      </c>
      <c r="NC31" s="1579">
        <f t="shared" si="76"/>
        <v>31981.083207545536</v>
      </c>
      <c r="ND31" s="60">
        <f t="shared" si="77"/>
        <v>0</v>
      </c>
      <c r="NE31" s="1110">
        <f t="shared" si="4"/>
        <v>74461.782645013387</v>
      </c>
      <c r="NF31" s="26">
        <f t="shared" si="156"/>
        <v>0</v>
      </c>
      <c r="NG31" s="27">
        <f t="shared" si="156"/>
        <v>0</v>
      </c>
      <c r="NH31" s="27">
        <f t="shared" si="156"/>
        <v>0</v>
      </c>
      <c r="NI31" s="27">
        <f t="shared" si="156"/>
        <v>0</v>
      </c>
      <c r="NJ31" s="27">
        <f t="shared" si="156"/>
        <v>0</v>
      </c>
      <c r="NK31" s="33">
        <f t="shared" si="156"/>
        <v>0</v>
      </c>
      <c r="NL31" s="27">
        <f t="shared" si="156"/>
        <v>0</v>
      </c>
      <c r="NM31" s="36">
        <f t="shared" si="156"/>
        <v>0</v>
      </c>
      <c r="NN31" s="24">
        <f t="shared" si="156"/>
        <v>5019.4305665631437</v>
      </c>
      <c r="NO31" s="27">
        <f t="shared" si="156"/>
        <v>26196.69549600617</v>
      </c>
      <c r="NP31" s="24">
        <f t="shared" si="136"/>
        <v>8756.5482322711578</v>
      </c>
      <c r="NQ31" s="24">
        <f t="shared" si="137"/>
        <v>20804.274118033409</v>
      </c>
      <c r="NR31" s="27">
        <f t="shared" si="0"/>
        <v>60776.948412873884</v>
      </c>
      <c r="NS31" s="27">
        <f t="shared" si="79"/>
        <v>0</v>
      </c>
      <c r="NT31" s="27">
        <f t="shared" si="80"/>
        <v>0</v>
      </c>
      <c r="NU31" s="27">
        <f t="shared" si="81"/>
        <v>0</v>
      </c>
      <c r="NV31" s="27">
        <f t="shared" si="82"/>
        <v>0</v>
      </c>
      <c r="NW31" s="27">
        <f t="shared" si="83"/>
        <v>0</v>
      </c>
      <c r="NX31" s="5">
        <f t="shared" si="84"/>
        <v>0</v>
      </c>
      <c r="NY31" s="27">
        <f t="shared" si="85"/>
        <v>6466.2636022929128</v>
      </c>
      <c r="NZ31" s="27">
        <f t="shared" si="86"/>
        <v>0</v>
      </c>
      <c r="OA31" s="27">
        <f t="shared" si="87"/>
        <v>7229.0580667828381</v>
      </c>
      <c r="OB31" s="27"/>
      <c r="OC31" s="24">
        <f t="shared" si="88"/>
        <v>349.54339982995594</v>
      </c>
      <c r="OD31" s="27">
        <f t="shared" si="89"/>
        <v>0</v>
      </c>
      <c r="OE31" s="28">
        <f t="shared" si="1"/>
        <v>14044.865068905707</v>
      </c>
      <c r="OF31" s="27">
        <f t="shared" si="149"/>
        <v>0</v>
      </c>
      <c r="OG31" s="27">
        <f t="shared" si="150"/>
        <v>0</v>
      </c>
      <c r="OH31" s="27">
        <f t="shared" si="155"/>
        <v>0</v>
      </c>
      <c r="OI31" s="27">
        <f t="shared" si="151"/>
        <v>0</v>
      </c>
      <c r="OJ31" s="27">
        <f t="shared" si="152"/>
        <v>0</v>
      </c>
      <c r="OK31" s="27">
        <f t="shared" si="153"/>
        <v>0</v>
      </c>
      <c r="OL31" s="24">
        <f t="shared" si="145"/>
        <v>0</v>
      </c>
      <c r="OM31" s="27">
        <f t="shared" si="140"/>
        <v>0</v>
      </c>
      <c r="ON31" s="24">
        <f t="shared" si="141"/>
        <v>16553.223599110999</v>
      </c>
      <c r="OO31" s="27">
        <f t="shared" si="142"/>
        <v>0</v>
      </c>
      <c r="OP31" s="27">
        <f t="shared" si="143"/>
        <v>2092.5351679329137</v>
      </c>
      <c r="OQ31" s="27">
        <f t="shared" si="144"/>
        <v>0</v>
      </c>
      <c r="OR31" s="28">
        <f t="shared" si="2"/>
        <v>18645.758767043913</v>
      </c>
      <c r="OS31" s="36"/>
      <c r="OT31" s="27"/>
      <c r="OU31" s="27"/>
      <c r="OV31" s="27"/>
      <c r="OW31" s="27"/>
      <c r="OX31" s="27"/>
      <c r="OY31" s="28">
        <f t="shared" si="91"/>
        <v>0</v>
      </c>
      <c r="OZ31" s="36">
        <f t="shared" si="92"/>
        <v>0</v>
      </c>
      <c r="PA31" s="27">
        <f t="shared" si="93"/>
        <v>0</v>
      </c>
      <c r="PB31" s="27">
        <f t="shared" si="94"/>
        <v>0</v>
      </c>
      <c r="PC31" s="27">
        <f t="shared" si="95"/>
        <v>0</v>
      </c>
      <c r="PD31" s="27">
        <f t="shared" si="96"/>
        <v>0</v>
      </c>
      <c r="PE31" s="27">
        <f t="shared" si="97"/>
        <v>0</v>
      </c>
      <c r="PF31" s="33">
        <f t="shared" si="3"/>
        <v>0</v>
      </c>
      <c r="PG31" s="2621"/>
      <c r="PI31" s="2">
        <v>0</v>
      </c>
      <c r="PJ31" s="3"/>
      <c r="PK31" s="3"/>
      <c r="PL31" s="3">
        <f t="shared" si="98"/>
        <v>0</v>
      </c>
      <c r="PM31" s="3">
        <f t="shared" si="99"/>
        <v>3003.1953876938928</v>
      </c>
      <c r="PN31" s="11">
        <f t="shared" si="100"/>
        <v>20201.645201279462</v>
      </c>
      <c r="PO31" s="15"/>
      <c r="PP31" s="2615"/>
      <c r="PR31" s="4"/>
      <c r="PS31" s="9"/>
      <c r="PT31" s="9"/>
      <c r="PU31" s="9"/>
      <c r="PV31" s="9">
        <v>0</v>
      </c>
      <c r="PW31" s="9"/>
      <c r="PX31" s="8">
        <f t="shared" si="101"/>
        <v>0</v>
      </c>
      <c r="PY31" s="5">
        <f t="shared" si="102"/>
        <v>0</v>
      </c>
      <c r="PZ31" s="5"/>
      <c r="QA31" s="5"/>
      <c r="QB31" s="5"/>
      <c r="QC31" s="5"/>
      <c r="QD31" s="5"/>
      <c r="QE31" s="12">
        <f t="shared" si="103"/>
        <v>29562.488999999998</v>
      </c>
      <c r="QF31" s="420">
        <f t="shared" si="104"/>
        <v>403614.87955850997</v>
      </c>
      <c r="QG31" s="1106">
        <f t="shared" si="105"/>
        <v>1087.3600000000001</v>
      </c>
      <c r="QH31" s="484">
        <f t="shared" si="106"/>
        <v>5505.3678056099998</v>
      </c>
      <c r="QI31" s="12"/>
      <c r="QJ31" s="2615"/>
      <c r="QL31" s="139">
        <f t="shared" si="107"/>
        <v>0</v>
      </c>
      <c r="QM31" s="139" t="str">
        <f t="shared" si="108"/>
        <v/>
      </c>
      <c r="QO31" s="139">
        <f t="shared" si="109"/>
        <v>0</v>
      </c>
      <c r="QP31" s="139">
        <f t="shared" si="110"/>
        <v>0</v>
      </c>
      <c r="QR31" s="1">
        <f t="shared" si="111"/>
        <v>0</v>
      </c>
      <c r="QS31" s="1">
        <f t="shared" si="112"/>
        <v>0</v>
      </c>
      <c r="QT31" s="1">
        <f t="shared" si="113"/>
        <v>0</v>
      </c>
      <c r="QU31" s="1">
        <f t="shared" si="114"/>
        <v>0</v>
      </c>
      <c r="QV31" s="1">
        <f t="shared" si="115"/>
        <v>0</v>
      </c>
      <c r="QW31" s="1">
        <f t="shared" si="116"/>
        <v>0</v>
      </c>
      <c r="QY31" s="1">
        <f t="shared" si="117"/>
        <v>0</v>
      </c>
      <c r="QZ31" s="1">
        <f t="shared" si="118"/>
        <v>0</v>
      </c>
      <c r="RA31" s="1">
        <f t="shared" si="119"/>
        <v>0</v>
      </c>
      <c r="RB31" s="1">
        <f t="shared" si="120"/>
        <v>0</v>
      </c>
      <c r="RC31" s="1">
        <f t="shared" si="121"/>
        <v>0</v>
      </c>
      <c r="RD31" s="1">
        <f t="shared" si="122"/>
        <v>0</v>
      </c>
      <c r="RG31" s="1">
        <v>22</v>
      </c>
      <c r="RH31" s="1">
        <f t="shared" si="146"/>
        <v>12450.685209717099</v>
      </c>
      <c r="RI31" s="1">
        <f t="shared" si="147"/>
        <v>14000.321780483719</v>
      </c>
      <c r="RJ31" s="1">
        <f t="shared" si="148"/>
        <v>13404.263703387322</v>
      </c>
      <c r="RK31" s="89">
        <f t="shared" si="5"/>
        <v>39855.270693588143</v>
      </c>
      <c r="RL31" s="1033">
        <v>22</v>
      </c>
      <c r="RM31" s="1098">
        <f t="shared" si="124"/>
        <v>0</v>
      </c>
      <c r="RN31" s="1098">
        <f t="shared" si="125"/>
        <v>0</v>
      </c>
      <c r="RO31" s="1097">
        <f t="shared" si="125"/>
        <v>0</v>
      </c>
      <c r="RP31" s="1097">
        <f t="shared" si="126"/>
        <v>4018.4599999999996</v>
      </c>
      <c r="RQ31" s="1109"/>
      <c r="RR31" s="1109">
        <v>2603222613</v>
      </c>
      <c r="RS31" s="1048"/>
      <c r="RU31" s="421">
        <v>22</v>
      </c>
      <c r="RV31" s="1095">
        <f t="shared" si="127"/>
        <v>10997.3</v>
      </c>
      <c r="RW31" s="1046" t="s">
        <v>846</v>
      </c>
      <c r="RY31" s="1090"/>
      <c r="RZ31" s="1090">
        <f t="shared" si="128"/>
        <v>0</v>
      </c>
      <c r="SA31" s="1090"/>
      <c r="SB31" s="1090">
        <f t="shared" si="129"/>
        <v>0</v>
      </c>
      <c r="SD31" s="1">
        <v>22</v>
      </c>
      <c r="SE31" s="1">
        <f t="shared" si="130"/>
        <v>0</v>
      </c>
    </row>
    <row r="32" spans="1:500" s="1" customFormat="1">
      <c r="B32" s="471">
        <v>23</v>
      </c>
      <c r="C32" s="4">
        <f t="shared" si="6"/>
        <v>145255</v>
      </c>
      <c r="D32" s="1590">
        <f t="shared" si="131"/>
        <v>6643.6399999999994</v>
      </c>
      <c r="E32" s="1895">
        <f t="shared" si="7"/>
        <v>21.863767452781911</v>
      </c>
      <c r="F32" s="870"/>
      <c r="G32" s="870"/>
      <c r="H32" s="52">
        <v>4</v>
      </c>
      <c r="I32" s="61">
        <v>2</v>
      </c>
      <c r="J32" s="52"/>
      <c r="K32" s="54"/>
      <c r="L32" s="52"/>
      <c r="M32" s="61"/>
      <c r="N32" s="2629"/>
      <c r="O32" s="4">
        <f t="shared" si="132"/>
        <v>89838</v>
      </c>
      <c r="P32" s="1225">
        <f t="shared" si="8"/>
        <v>3925.66</v>
      </c>
      <c r="Q32" s="1913">
        <f t="shared" si="9"/>
        <v>22.884814273268699</v>
      </c>
      <c r="R32" s="33"/>
      <c r="S32" s="26">
        <f t="shared" si="10"/>
        <v>29230</v>
      </c>
      <c r="T32" s="27">
        <f t="shared" si="11"/>
        <v>1277.98</v>
      </c>
      <c r="U32" s="1909">
        <f t="shared" si="12"/>
        <v>22.872032426172552</v>
      </c>
      <c r="V32" s="28"/>
      <c r="W32" s="26">
        <f t="shared" si="13"/>
        <v>26187</v>
      </c>
      <c r="X32" s="5">
        <f t="shared" si="13"/>
        <v>1440</v>
      </c>
      <c r="Y32" s="325">
        <f t="shared" si="14"/>
        <v>18.185416666666665</v>
      </c>
      <c r="Z32" s="33"/>
      <c r="AA32" s="26">
        <f t="shared" si="15"/>
        <v>0</v>
      </c>
      <c r="AB32" s="27">
        <f t="shared" si="16"/>
        <v>0</v>
      </c>
      <c r="AC32" s="53">
        <f t="shared" si="17"/>
        <v>0</v>
      </c>
      <c r="AD32" s="28"/>
      <c r="AE32" s="36"/>
      <c r="AF32" s="36"/>
      <c r="AG32" s="53">
        <f t="shared" si="18"/>
        <v>0</v>
      </c>
      <c r="AH32" s="28"/>
      <c r="AI32" s="23"/>
      <c r="AJ32" s="27"/>
      <c r="AK32" s="53">
        <f t="shared" si="19"/>
        <v>0</v>
      </c>
      <c r="AL32" s="28"/>
      <c r="AM32" s="2629"/>
      <c r="AN32" s="9"/>
      <c r="AO32" s="5"/>
      <c r="AP32" s="61">
        <f t="shared" si="20"/>
        <v>0</v>
      </c>
      <c r="AQ32" s="36"/>
      <c r="AR32" s="53"/>
      <c r="AS32" s="61">
        <f t="shared" si="21"/>
        <v>0</v>
      </c>
      <c r="AT32" s="36">
        <v>0</v>
      </c>
      <c r="AU32" s="27"/>
      <c r="AV32" s="61">
        <f t="shared" si="22"/>
        <v>0</v>
      </c>
      <c r="AW32" s="36">
        <v>50190</v>
      </c>
      <c r="AX32" s="27">
        <v>3891.06</v>
      </c>
      <c r="AY32" s="1895">
        <f t="shared" si="23"/>
        <v>12.898798784906941</v>
      </c>
      <c r="AZ32" s="1908"/>
      <c r="BA32" s="1909"/>
      <c r="BB32" s="1895">
        <f t="shared" si="24"/>
        <v>0</v>
      </c>
      <c r="BC32" s="1908">
        <v>39648</v>
      </c>
      <c r="BD32" s="1909">
        <v>34.6</v>
      </c>
      <c r="BE32" s="1895">
        <f t="shared" si="154"/>
        <v>1145.8959537572255</v>
      </c>
      <c r="BF32" s="1908"/>
      <c r="BG32" s="1909"/>
      <c r="BH32" s="1895">
        <f t="shared" si="26"/>
        <v>0</v>
      </c>
      <c r="BI32" s="1908">
        <v>0</v>
      </c>
      <c r="BJ32" s="1909">
        <v>0</v>
      </c>
      <c r="BK32" s="1895">
        <f t="shared" si="27"/>
        <v>0</v>
      </c>
      <c r="BL32" s="1910">
        <v>29230</v>
      </c>
      <c r="BM32" s="1909">
        <v>1277.98</v>
      </c>
      <c r="BN32" s="1911">
        <f t="shared" si="28"/>
        <v>22.872032426172552</v>
      </c>
      <c r="BO32" s="9"/>
      <c r="BP32" s="64"/>
      <c r="BQ32" s="482">
        <f t="shared" si="29"/>
        <v>0</v>
      </c>
      <c r="BR32" s="9"/>
      <c r="BS32" s="64"/>
      <c r="BT32" s="482">
        <f t="shared" si="30"/>
        <v>0</v>
      </c>
      <c r="BU32" s="9">
        <v>26187</v>
      </c>
      <c r="BV32" s="5">
        <v>1440</v>
      </c>
      <c r="BW32" s="15">
        <f t="shared" si="31"/>
        <v>18.185416666666665</v>
      </c>
      <c r="BX32" s="4"/>
      <c r="BY32" s="5"/>
      <c r="BZ32" s="482">
        <f t="shared" si="32"/>
        <v>0</v>
      </c>
      <c r="CA32" s="9"/>
      <c r="CB32" s="5"/>
      <c r="CC32" s="482">
        <f t="shared" si="33"/>
        <v>0</v>
      </c>
      <c r="CD32" s="4"/>
      <c r="CE32" s="5"/>
      <c r="CF32" s="28">
        <f t="shared" si="34"/>
        <v>0</v>
      </c>
      <c r="CG32" s="150"/>
      <c r="CH32" s="1108"/>
      <c r="CI32" s="5"/>
      <c r="CJ32" s="5"/>
      <c r="CK32" s="5">
        <v>2400</v>
      </c>
      <c r="CL32" s="5"/>
      <c r="CM32" s="5">
        <f t="shared" si="35"/>
        <v>2400</v>
      </c>
      <c r="CN32" s="33"/>
      <c r="CO32" s="368"/>
      <c r="CQ32" s="4">
        <f t="shared" si="36"/>
        <v>0</v>
      </c>
      <c r="CR32" s="9">
        <f t="shared" si="37"/>
        <v>0</v>
      </c>
      <c r="CS32" s="5">
        <f t="shared" si="38"/>
        <v>0</v>
      </c>
      <c r="CT32" s="5">
        <f t="shared" si="39"/>
        <v>0</v>
      </c>
      <c r="CU32" s="5">
        <f t="shared" si="40"/>
        <v>0</v>
      </c>
      <c r="CV32" s="5">
        <f t="shared" si="41"/>
        <v>0</v>
      </c>
      <c r="CW32" s="5">
        <f t="shared" si="42"/>
        <v>0</v>
      </c>
      <c r="CX32" s="5">
        <f t="shared" si="43"/>
        <v>0</v>
      </c>
      <c r="CY32" s="5">
        <f t="shared" si="44"/>
        <v>6609.04</v>
      </c>
      <c r="CZ32" s="5">
        <f t="shared" si="45"/>
        <v>0</v>
      </c>
      <c r="DA32" s="5">
        <f t="shared" si="46"/>
        <v>34.6</v>
      </c>
      <c r="DB32" s="12">
        <f t="shared" si="47"/>
        <v>0</v>
      </c>
      <c r="DC32" s="310">
        <f>SUM(CQ32:DB32,PV32,PW32,)</f>
        <v>6643.64</v>
      </c>
      <c r="DD32" s="2695"/>
      <c r="DE32" s="8"/>
      <c r="DF32" s="9"/>
      <c r="DG32" s="5"/>
      <c r="DH32" s="5"/>
      <c r="DI32" s="5"/>
      <c r="DJ32" s="5"/>
      <c r="DK32" s="5">
        <v>0</v>
      </c>
      <c r="DL32" s="12"/>
      <c r="DM32" s="487">
        <v>3891.06</v>
      </c>
      <c r="DN32" s="9"/>
      <c r="DO32" s="5"/>
      <c r="DP32" s="12"/>
      <c r="DQ32" s="28">
        <f t="shared" si="49"/>
        <v>3891.06</v>
      </c>
      <c r="DR32" s="36"/>
      <c r="DS32" s="9"/>
      <c r="DT32" s="5"/>
      <c r="DU32" s="5"/>
      <c r="DV32" s="5"/>
      <c r="DW32" s="5"/>
      <c r="DX32" s="27"/>
      <c r="DY32" s="27"/>
      <c r="DZ32" s="27">
        <v>1277.98</v>
      </c>
      <c r="EA32" s="27"/>
      <c r="EB32" s="27">
        <v>34.6</v>
      </c>
      <c r="EC32" s="33"/>
      <c r="ED32" s="28">
        <f t="shared" si="50"/>
        <v>1312.58</v>
      </c>
      <c r="EE32" s="9"/>
      <c r="EF32" s="36"/>
      <c r="EG32" s="27"/>
      <c r="EH32" s="27"/>
      <c r="EI32" s="27"/>
      <c r="EJ32" s="27"/>
      <c r="EK32" s="27"/>
      <c r="EL32" s="27"/>
      <c r="EM32" s="5">
        <v>1440</v>
      </c>
      <c r="EN32" s="5"/>
      <c r="EO32" s="5">
        <v>0</v>
      </c>
      <c r="EP32" s="33"/>
      <c r="EQ32" s="28">
        <f t="shared" si="51"/>
        <v>1440</v>
      </c>
      <c r="ER32" s="36"/>
      <c r="ES32" s="27"/>
      <c r="ET32" s="27"/>
      <c r="EU32" s="27"/>
      <c r="EV32" s="27"/>
      <c r="EW32" s="27"/>
      <c r="EX32" s="33">
        <f t="shared" si="52"/>
        <v>0</v>
      </c>
      <c r="EY32" s="2685"/>
      <c r="FA32" s="4">
        <f t="shared" si="53"/>
        <v>0</v>
      </c>
      <c r="FB32" s="5">
        <f t="shared" si="54"/>
        <v>0</v>
      </c>
      <c r="FC32" s="5">
        <f t="shared" si="55"/>
        <v>0</v>
      </c>
      <c r="FD32" s="12">
        <f t="shared" si="56"/>
        <v>0</v>
      </c>
      <c r="FE32" s="33"/>
      <c r="FF32" s="2674"/>
      <c r="FG32" s="9"/>
      <c r="FH32" s="5"/>
      <c r="FI32" s="5"/>
      <c r="FJ32" s="5"/>
      <c r="FK32" s="5"/>
      <c r="FL32" s="27"/>
      <c r="FM32" s="28">
        <f t="shared" si="57"/>
        <v>0</v>
      </c>
      <c r="FN32" s="36"/>
      <c r="FO32" s="27"/>
      <c r="FP32" s="27"/>
      <c r="FQ32" s="27"/>
      <c r="FR32" s="27"/>
      <c r="FS32" s="27"/>
      <c r="FT32" s="28">
        <f t="shared" si="58"/>
        <v>0</v>
      </c>
      <c r="FU32" s="36"/>
      <c r="FV32" s="36"/>
      <c r="FW32" s="27"/>
      <c r="FX32" s="27"/>
      <c r="FY32" s="27"/>
      <c r="FZ32" s="27"/>
      <c r="GA32" s="27"/>
      <c r="GB32" s="27"/>
      <c r="GC32" s="27"/>
      <c r="GD32" s="27"/>
      <c r="GE32" s="27"/>
      <c r="GF32" s="33"/>
      <c r="GG32" s="33">
        <f t="shared" si="59"/>
        <v>0</v>
      </c>
      <c r="GH32" s="2674"/>
      <c r="GJ32" s="2">
        <f t="shared" si="133"/>
        <v>5955.3899999999994</v>
      </c>
      <c r="GK32" s="63">
        <f t="shared" si="134"/>
        <v>8040.7799999999988</v>
      </c>
      <c r="GL32" s="24">
        <f t="shared" si="135"/>
        <v>1109.92</v>
      </c>
      <c r="GM32" s="53">
        <f t="shared" si="60"/>
        <v>15106.089999999998</v>
      </c>
      <c r="GN32" s="141"/>
      <c r="GO32" s="141"/>
      <c r="GP32" s="33"/>
      <c r="GQ32" s="2667"/>
      <c r="GR32" s="152">
        <v>5576.95</v>
      </c>
      <c r="GS32" s="27">
        <v>0</v>
      </c>
      <c r="GT32" s="27">
        <v>4985.0900000000011</v>
      </c>
      <c r="GU32" s="27">
        <v>4544.0499999999993</v>
      </c>
      <c r="GV32" s="33">
        <f t="shared" si="61"/>
        <v>15106.09</v>
      </c>
      <c r="GW32" s="2667"/>
      <c r="GX32" s="36"/>
      <c r="GY32" s="36"/>
      <c r="GZ32" s="27"/>
      <c r="HA32" s="27"/>
      <c r="HB32" s="27"/>
      <c r="HC32" s="27"/>
      <c r="HD32" s="27"/>
      <c r="HE32" s="27"/>
      <c r="HF32" s="27">
        <v>2083.9499999999998</v>
      </c>
      <c r="HG32" s="27"/>
      <c r="HH32" s="27">
        <v>3871.44</v>
      </c>
      <c r="HI32" s="27"/>
      <c r="HJ32" s="27">
        <v>0</v>
      </c>
      <c r="HK32" s="27"/>
      <c r="HL32" s="28">
        <f t="shared" si="62"/>
        <v>5955.3899999999994</v>
      </c>
      <c r="HM32" s="36"/>
      <c r="HN32" s="27"/>
      <c r="HO32" s="27"/>
      <c r="HP32" s="27"/>
      <c r="HQ32" s="27"/>
      <c r="HR32" s="27"/>
      <c r="HS32" s="27" cm="1">
        <f t="array" ref="HS32">SUMPRODUCT(('Data Base hauling'!$C$2:$C$216="TCM-ROM SB1 BK05-ROM 4")*(ISNUMBER(SEARCH(TEXT('March TCM'!$B32,"00")&amp;"/03/2026",'Data Base hauling'!$E$2:$E$216)))*'Data Base hauling'!$N$2:$N$216)</f>
        <v>0</v>
      </c>
      <c r="HT32" s="27"/>
      <c r="HU32" s="27" cm="1">
        <f t="array" ref="HU32">SUMPRODUCT(('Data Base hauling'!$C$2:$C$216="TCM-ROM SB1 BK05-ROM 5")*(ISNUMBER(SEARCH(TEXT('March TCM'!$B32,"00")&amp;"/03/2026",'Data Base hauling'!$E$2:$E$216)))*'Data Base hauling'!$N$2:$N$216)</f>
        <v>0</v>
      </c>
      <c r="HV32" s="27"/>
      <c r="HW32" s="27"/>
      <c r="HX32" s="27"/>
      <c r="HY32" s="27"/>
      <c r="HZ32" s="27"/>
      <c r="IA32" s="33">
        <f t="shared" si="63"/>
        <v>0</v>
      </c>
      <c r="IB32" s="52"/>
      <c r="IC32" s="152"/>
      <c r="ID32" s="53"/>
      <c r="IE32" s="53"/>
      <c r="IF32" s="53"/>
      <c r="IG32" s="53"/>
      <c r="IH32" s="53">
        <v>3994.2099999999996</v>
      </c>
      <c r="II32" s="53"/>
      <c r="IJ32" s="53">
        <v>4046.5699999999997</v>
      </c>
      <c r="IK32" s="53"/>
      <c r="IL32" s="53">
        <v>0</v>
      </c>
      <c r="IM32" s="53"/>
      <c r="IN32" s="53"/>
      <c r="IO32" s="49">
        <v>0</v>
      </c>
      <c r="IP32" s="61">
        <f t="shared" si="64"/>
        <v>8040.7799999999988</v>
      </c>
      <c r="IQ32" s="36"/>
      <c r="IR32" s="36"/>
      <c r="IS32" s="27"/>
      <c r="IT32" s="27"/>
      <c r="IU32" s="53"/>
      <c r="IV32" s="27"/>
      <c r="IW32" s="27">
        <v>0</v>
      </c>
      <c r="IX32" s="27"/>
      <c r="IY32" s="27">
        <v>716.27</v>
      </c>
      <c r="IZ32" s="27"/>
      <c r="JA32" s="27">
        <v>393.65</v>
      </c>
      <c r="JB32" s="27"/>
      <c r="JC32" s="27"/>
      <c r="JD32" s="27"/>
      <c r="JE32" s="33">
        <f t="shared" si="138"/>
        <v>1109.92</v>
      </c>
      <c r="JF32" s="2667"/>
      <c r="JH32" s="2020">
        <v>6927.14</v>
      </c>
      <c r="JI32" s="2021">
        <v>8178.9500000000007</v>
      </c>
      <c r="JJ32" s="53"/>
      <c r="JK32" s="53">
        <f t="shared" si="65"/>
        <v>15106.09</v>
      </c>
      <c r="JL32" s="33"/>
      <c r="JM32" s="2669"/>
      <c r="JN32" s="69">
        <v>0</v>
      </c>
      <c r="JO32" s="70">
        <v>0</v>
      </c>
      <c r="JP32" s="70">
        <v>0</v>
      </c>
      <c r="JQ32" s="70">
        <v>1.1599303608704313E-2</v>
      </c>
      <c r="JR32" s="70">
        <v>0.98840069639129569</v>
      </c>
      <c r="JS32" s="70">
        <v>0</v>
      </c>
      <c r="JT32" s="70">
        <v>0</v>
      </c>
      <c r="JU32" s="1922">
        <v>0</v>
      </c>
      <c r="JV32" s="69">
        <v>0</v>
      </c>
      <c r="JW32" s="70">
        <v>0</v>
      </c>
      <c r="JX32" s="70">
        <v>0</v>
      </c>
      <c r="JY32" s="70">
        <v>0.47852841746189906</v>
      </c>
      <c r="JZ32" s="70">
        <v>0</v>
      </c>
      <c r="KA32" s="70">
        <v>0.52147158253810078</v>
      </c>
      <c r="KB32" s="70">
        <v>0</v>
      </c>
      <c r="KC32" s="71">
        <v>0</v>
      </c>
      <c r="KD32" s="69"/>
      <c r="KE32" s="70"/>
      <c r="KF32" s="70"/>
      <c r="KG32" s="70"/>
      <c r="KH32" s="70"/>
      <c r="KI32" s="70"/>
      <c r="KJ32" s="70"/>
      <c r="KK32" s="70"/>
      <c r="KL32" s="33"/>
      <c r="KM32" s="2669"/>
      <c r="KN32" s="36">
        <v>7126.8835904628331</v>
      </c>
      <c r="KO32" s="1968">
        <v>1.0277980364656381</v>
      </c>
      <c r="KP32" s="1968">
        <v>2.5910098176718095</v>
      </c>
      <c r="KQ32" s="1968">
        <v>6.322356241234222</v>
      </c>
      <c r="KR32" s="1969">
        <v>10.576221621318371</v>
      </c>
      <c r="KS32" s="1959">
        <v>6908.6423435105507</v>
      </c>
      <c r="KT32" s="1964">
        <v>2.1066238359071079</v>
      </c>
      <c r="KU32" s="1964">
        <v>4.1004573853589532</v>
      </c>
      <c r="KV32" s="1964">
        <v>7.6401284922786745</v>
      </c>
      <c r="KW32" s="1965">
        <v>11.40055741989862</v>
      </c>
      <c r="KX32" s="36"/>
      <c r="KY32" s="53"/>
      <c r="KZ32" s="53"/>
      <c r="LA32" s="53"/>
      <c r="LB32" s="53"/>
      <c r="LC32" s="33"/>
      <c r="LD32" s="2669"/>
      <c r="LF32" s="4">
        <f t="shared" si="66"/>
        <v>0</v>
      </c>
      <c r="LG32" s="5">
        <f t="shared" si="66"/>
        <v>0</v>
      </c>
      <c r="LH32" s="27">
        <f t="shared" si="66"/>
        <v>0</v>
      </c>
      <c r="LI32" s="28">
        <f t="shared" si="67"/>
        <v>0</v>
      </c>
      <c r="LJ32" s="36"/>
      <c r="LK32" s="27"/>
      <c r="LL32" s="27">
        <v>6</v>
      </c>
      <c r="LM32" s="33"/>
      <c r="LN32" s="1041">
        <v>6.87</v>
      </c>
      <c r="LO32" s="486" t="s">
        <v>680</v>
      </c>
      <c r="LP32" s="2688"/>
      <c r="LQ32" s="36"/>
      <c r="LR32" s="36"/>
      <c r="LS32" s="27"/>
      <c r="LT32" s="27"/>
      <c r="LU32" s="27"/>
      <c r="LV32" s="1107">
        <f t="shared" si="68"/>
        <v>0</v>
      </c>
      <c r="LW32" s="36"/>
      <c r="LX32" s="36"/>
      <c r="LY32" s="27"/>
      <c r="LZ32" s="27"/>
      <c r="MA32" s="33"/>
      <c r="MB32" s="28">
        <f t="shared" si="69"/>
        <v>0</v>
      </c>
      <c r="MC32" s="26"/>
      <c r="MD32" s="36"/>
      <c r="ME32" s="27"/>
      <c r="MF32" s="27"/>
      <c r="MG32" s="27"/>
      <c r="MH32" s="28"/>
      <c r="MI32" s="36"/>
      <c r="MJ32" s="36"/>
      <c r="MK32" s="27"/>
      <c r="ML32" s="27"/>
      <c r="MM32" s="27"/>
      <c r="MN32" s="28"/>
      <c r="MO32" s="36"/>
      <c r="MP32" s="36"/>
      <c r="MQ32" s="27"/>
      <c r="MR32" s="27"/>
      <c r="MS32" s="27"/>
      <c r="MT32" s="33">
        <f t="shared" si="70"/>
        <v>0</v>
      </c>
      <c r="MU32" s="2688"/>
      <c r="MW32" s="26">
        <f t="shared" si="71"/>
        <v>89567.872645013384</v>
      </c>
      <c r="MX32" s="27">
        <f t="shared" si="72"/>
        <v>85005.122248823507</v>
      </c>
      <c r="MY32" s="27">
        <f t="shared" si="73"/>
        <v>20201.645201279462</v>
      </c>
      <c r="MZ32" s="28">
        <f t="shared" si="74"/>
        <v>434235.02855850995</v>
      </c>
      <c r="NA32" s="2621"/>
      <c r="NB32" s="23">
        <f t="shared" si="75"/>
        <v>49407.839437467846</v>
      </c>
      <c r="NC32" s="1579">
        <f t="shared" si="76"/>
        <v>40160.033207545537</v>
      </c>
      <c r="ND32" s="60">
        <f t="shared" si="77"/>
        <v>0</v>
      </c>
      <c r="NE32" s="275">
        <f t="shared" si="4"/>
        <v>89567.872645013384</v>
      </c>
      <c r="NF32" s="26">
        <f t="shared" si="156"/>
        <v>0</v>
      </c>
      <c r="NG32" s="27">
        <f t="shared" si="156"/>
        <v>0</v>
      </c>
      <c r="NH32" s="27">
        <f t="shared" si="156"/>
        <v>0</v>
      </c>
      <c r="NI32" s="27">
        <f t="shared" si="156"/>
        <v>0</v>
      </c>
      <c r="NJ32" s="27">
        <f t="shared" si="156"/>
        <v>0</v>
      </c>
      <c r="NK32" s="33">
        <f t="shared" si="156"/>
        <v>0</v>
      </c>
      <c r="NL32" s="27">
        <f t="shared" si="156"/>
        <v>0</v>
      </c>
      <c r="NM32" s="36">
        <f t="shared" si="156"/>
        <v>0</v>
      </c>
      <c r="NN32" s="24">
        <f t="shared" si="156"/>
        <v>4375.4805665631438</v>
      </c>
      <c r="NO32" s="27">
        <f t="shared" si="156"/>
        <v>26196.69549600617</v>
      </c>
      <c r="NP32" s="24">
        <f t="shared" si="136"/>
        <v>8756.5482322711578</v>
      </c>
      <c r="NQ32" s="24">
        <f t="shared" si="137"/>
        <v>16932.83411803341</v>
      </c>
      <c r="NR32" s="27">
        <f t="shared" si="0"/>
        <v>56261.558412873885</v>
      </c>
      <c r="NS32" s="27">
        <f t="shared" si="79"/>
        <v>0</v>
      </c>
      <c r="NT32" s="27">
        <f t="shared" si="80"/>
        <v>0</v>
      </c>
      <c r="NU32" s="27">
        <f t="shared" si="81"/>
        <v>0</v>
      </c>
      <c r="NV32" s="27">
        <f t="shared" si="82"/>
        <v>0</v>
      </c>
      <c r="NW32" s="27">
        <f t="shared" si="83"/>
        <v>0</v>
      </c>
      <c r="NX32" s="5">
        <f t="shared" si="84"/>
        <v>0</v>
      </c>
      <c r="NY32" s="27">
        <f t="shared" si="85"/>
        <v>2472.0536022929132</v>
      </c>
      <c r="NZ32" s="27">
        <f t="shared" si="86"/>
        <v>0</v>
      </c>
      <c r="OA32" s="27">
        <f t="shared" si="87"/>
        <v>7073.5480667828379</v>
      </c>
      <c r="OB32" s="27"/>
      <c r="OC32" s="24">
        <f t="shared" si="88"/>
        <v>349.54339982995594</v>
      </c>
      <c r="OD32" s="27">
        <f t="shared" si="89"/>
        <v>0</v>
      </c>
      <c r="OE32" s="28">
        <f t="shared" si="1"/>
        <v>9895.1450689057074</v>
      </c>
      <c r="OF32" s="27">
        <f t="shared" si="149"/>
        <v>0</v>
      </c>
      <c r="OG32" s="27">
        <f t="shared" si="150"/>
        <v>0</v>
      </c>
      <c r="OH32" s="27">
        <f t="shared" si="155"/>
        <v>0</v>
      </c>
      <c r="OI32" s="27">
        <f t="shared" si="151"/>
        <v>0</v>
      </c>
      <c r="OJ32" s="27">
        <f t="shared" si="152"/>
        <v>0</v>
      </c>
      <c r="OK32" s="27">
        <f t="shared" si="153"/>
        <v>0</v>
      </c>
      <c r="OL32" s="24">
        <f t="shared" si="145"/>
        <v>0</v>
      </c>
      <c r="OM32" s="27">
        <f t="shared" si="140"/>
        <v>0</v>
      </c>
      <c r="ON32" s="24">
        <f t="shared" si="141"/>
        <v>17114.933599110998</v>
      </c>
      <c r="OO32" s="27">
        <f t="shared" si="142"/>
        <v>0</v>
      </c>
      <c r="OP32" s="27">
        <f t="shared" si="143"/>
        <v>1733.4851679329136</v>
      </c>
      <c r="OQ32" s="27">
        <f t="shared" si="144"/>
        <v>0</v>
      </c>
      <c r="OR32" s="28">
        <f t="shared" si="2"/>
        <v>18848.418767043913</v>
      </c>
      <c r="OS32" s="36"/>
      <c r="OT32" s="27"/>
      <c r="OU32" s="27"/>
      <c r="OV32" s="27"/>
      <c r="OW32" s="27"/>
      <c r="OX32" s="27"/>
      <c r="OY32" s="28">
        <f t="shared" si="91"/>
        <v>0</v>
      </c>
      <c r="OZ32" s="36">
        <f t="shared" si="92"/>
        <v>0</v>
      </c>
      <c r="PA32" s="27">
        <f t="shared" si="93"/>
        <v>0</v>
      </c>
      <c r="PB32" s="27">
        <f t="shared" si="94"/>
        <v>0</v>
      </c>
      <c r="PC32" s="27">
        <f t="shared" si="95"/>
        <v>0</v>
      </c>
      <c r="PD32" s="27">
        <f t="shared" si="96"/>
        <v>0</v>
      </c>
      <c r="PE32" s="27">
        <f t="shared" si="97"/>
        <v>0</v>
      </c>
      <c r="PF32" s="33">
        <f t="shared" si="3"/>
        <v>0</v>
      </c>
      <c r="PG32" s="2621"/>
      <c r="PI32" s="2">
        <v>29.7</v>
      </c>
      <c r="PJ32" s="3"/>
      <c r="PK32" s="3"/>
      <c r="PL32" s="3">
        <f t="shared" si="98"/>
        <v>0</v>
      </c>
      <c r="PM32" s="3">
        <f t="shared" si="99"/>
        <v>3032.8953876938926</v>
      </c>
      <c r="PN32" s="11">
        <f t="shared" si="100"/>
        <v>20201.645201279462</v>
      </c>
      <c r="PO32" s="15"/>
      <c r="PP32" s="2615"/>
      <c r="PR32" s="4"/>
      <c r="PS32" s="9"/>
      <c r="PT32" s="9"/>
      <c r="PU32" s="9"/>
      <c r="PV32" s="9">
        <v>0</v>
      </c>
      <c r="PW32" s="9"/>
      <c r="PX32" s="8">
        <f t="shared" si="101"/>
        <v>0</v>
      </c>
      <c r="PY32" s="5">
        <f t="shared" si="102"/>
        <v>29.7</v>
      </c>
      <c r="PZ32" s="5"/>
      <c r="QA32" s="5"/>
      <c r="QB32" s="5"/>
      <c r="QC32" s="5"/>
      <c r="QD32" s="5"/>
      <c r="QE32" s="12">
        <f t="shared" si="103"/>
        <v>29562.488999999998</v>
      </c>
      <c r="QF32" s="420">
        <f t="shared" si="104"/>
        <v>403585.17955850996</v>
      </c>
      <c r="QG32" s="1106">
        <f t="shared" si="105"/>
        <v>1087.3600000000001</v>
      </c>
      <c r="QH32" s="484">
        <f t="shared" si="106"/>
        <v>5505.3678056099998</v>
      </c>
      <c r="QI32" s="12"/>
      <c r="QJ32" s="2615"/>
      <c r="QL32" s="139">
        <f t="shared" si="107"/>
        <v>0</v>
      </c>
      <c r="QM32" s="139" t="str">
        <f t="shared" si="108"/>
        <v/>
      </c>
      <c r="QO32" s="139">
        <f t="shared" si="109"/>
        <v>0</v>
      </c>
      <c r="QP32" s="139">
        <f t="shared" si="110"/>
        <v>0</v>
      </c>
      <c r="QR32" s="1">
        <f t="shared" si="111"/>
        <v>0</v>
      </c>
      <c r="QS32" s="1">
        <f t="shared" si="112"/>
        <v>0</v>
      </c>
      <c r="QT32" s="1">
        <f t="shared" si="113"/>
        <v>0</v>
      </c>
      <c r="QU32" s="1">
        <f t="shared" si="114"/>
        <v>0</v>
      </c>
      <c r="QV32" s="1">
        <f t="shared" si="115"/>
        <v>0</v>
      </c>
      <c r="QW32" s="1">
        <f t="shared" si="116"/>
        <v>0</v>
      </c>
      <c r="QY32" s="1">
        <f t="shared" si="117"/>
        <v>0</v>
      </c>
      <c r="QZ32" s="1">
        <f t="shared" si="118"/>
        <v>0</v>
      </c>
      <c r="RA32" s="1">
        <f t="shared" si="119"/>
        <v>0</v>
      </c>
      <c r="RB32" s="1">
        <f t="shared" si="120"/>
        <v>0</v>
      </c>
      <c r="RC32" s="1">
        <f t="shared" si="121"/>
        <v>0</v>
      </c>
      <c r="RD32" s="1">
        <f t="shared" si="122"/>
        <v>0</v>
      </c>
      <c r="RG32" s="1">
        <v>23</v>
      </c>
      <c r="RH32" s="1">
        <f t="shared" si="146"/>
        <v>19377.825209717099</v>
      </c>
      <c r="RI32" s="1">
        <f t="shared" si="147"/>
        <v>22179.271780483719</v>
      </c>
      <c r="RJ32" s="1">
        <f t="shared" si="148"/>
        <v>13404.263703387322</v>
      </c>
      <c r="RK32" s="89">
        <f t="shared" si="5"/>
        <v>54961.36069358814</v>
      </c>
      <c r="RL32" s="1033">
        <v>23</v>
      </c>
      <c r="RM32" s="1098">
        <f t="shared" si="124"/>
        <v>0</v>
      </c>
      <c r="RN32" s="1098">
        <f t="shared" si="125"/>
        <v>0</v>
      </c>
      <c r="RO32" s="1097">
        <f t="shared" si="125"/>
        <v>0</v>
      </c>
      <c r="RP32" s="1097">
        <f t="shared" si="126"/>
        <v>5203.6400000000003</v>
      </c>
      <c r="RQ32" s="1094"/>
      <c r="RR32" s="1094" t="s">
        <v>847</v>
      </c>
      <c r="RU32" s="421">
        <v>23</v>
      </c>
      <c r="RV32" s="1095">
        <f t="shared" si="127"/>
        <v>15106.09</v>
      </c>
      <c r="RW32" s="1094" t="s">
        <v>848</v>
      </c>
      <c r="RY32" s="1090"/>
      <c r="RZ32" s="1090">
        <f t="shared" si="128"/>
        <v>0</v>
      </c>
      <c r="SA32" s="1090"/>
      <c r="SB32" s="1090">
        <f t="shared" si="129"/>
        <v>0</v>
      </c>
      <c r="SD32" s="1">
        <v>23</v>
      </c>
      <c r="SE32" s="1">
        <f t="shared" si="130"/>
        <v>0</v>
      </c>
    </row>
    <row r="33" spans="1:500" s="1" customFormat="1">
      <c r="B33" s="471">
        <v>24</v>
      </c>
      <c r="C33" s="4">
        <f t="shared" si="6"/>
        <v>175350</v>
      </c>
      <c r="D33" s="1590">
        <f t="shared" si="131"/>
        <v>9263.98</v>
      </c>
      <c r="E33" s="1895">
        <f t="shared" si="7"/>
        <v>18.928149672171141</v>
      </c>
      <c r="F33" s="870"/>
      <c r="G33" s="870"/>
      <c r="H33" s="52"/>
      <c r="I33" s="61"/>
      <c r="J33" s="52"/>
      <c r="K33" s="54"/>
      <c r="L33" s="52"/>
      <c r="M33" s="61"/>
      <c r="N33" s="2629"/>
      <c r="O33" s="4">
        <f t="shared" si="132"/>
        <v>105252</v>
      </c>
      <c r="P33" s="1225">
        <f t="shared" si="8"/>
        <v>5693.119999999999</v>
      </c>
      <c r="Q33" s="1913">
        <f t="shared" si="9"/>
        <v>18.487577988870779</v>
      </c>
      <c r="R33" s="33"/>
      <c r="S33" s="26">
        <f t="shared" si="10"/>
        <v>32453</v>
      </c>
      <c r="T33" s="27">
        <f t="shared" si="11"/>
        <v>1630.8600000000001</v>
      </c>
      <c r="U33" s="1909">
        <f t="shared" si="12"/>
        <v>19.899316924812673</v>
      </c>
      <c r="V33" s="28"/>
      <c r="W33" s="26">
        <f t="shared" si="13"/>
        <v>37645</v>
      </c>
      <c r="X33" s="5">
        <f t="shared" si="13"/>
        <v>1940</v>
      </c>
      <c r="Y33" s="325">
        <f t="shared" si="14"/>
        <v>19.404639175257731</v>
      </c>
      <c r="Z33" s="33"/>
      <c r="AA33" s="26">
        <f t="shared" si="15"/>
        <v>0</v>
      </c>
      <c r="AB33" s="27">
        <f t="shared" si="16"/>
        <v>0</v>
      </c>
      <c r="AC33" s="53">
        <f t="shared" si="17"/>
        <v>0</v>
      </c>
      <c r="AD33" s="28"/>
      <c r="AE33" s="36"/>
      <c r="AF33" s="36"/>
      <c r="AG33" s="53">
        <f t="shared" si="18"/>
        <v>0</v>
      </c>
      <c r="AH33" s="28"/>
      <c r="AI33" s="26"/>
      <c r="AJ33" s="27"/>
      <c r="AK33" s="53">
        <f t="shared" si="19"/>
        <v>0</v>
      </c>
      <c r="AL33" s="28"/>
      <c r="AM33" s="2629"/>
      <c r="AN33" s="9"/>
      <c r="AO33" s="5"/>
      <c r="AP33" s="61">
        <f t="shared" si="20"/>
        <v>0</v>
      </c>
      <c r="AQ33" s="36"/>
      <c r="AR33" s="53"/>
      <c r="AS33" s="61">
        <f t="shared" si="21"/>
        <v>0</v>
      </c>
      <c r="AT33" s="36">
        <v>0</v>
      </c>
      <c r="AU33" s="27"/>
      <c r="AV33" s="61">
        <f t="shared" si="22"/>
        <v>0</v>
      </c>
      <c r="AW33" s="36">
        <v>59976</v>
      </c>
      <c r="AX33" s="27">
        <v>5693.119999999999</v>
      </c>
      <c r="AY33" s="1895">
        <f t="shared" si="23"/>
        <v>10.534820976898434</v>
      </c>
      <c r="AZ33" s="1908"/>
      <c r="BA33" s="1909"/>
      <c r="BB33" s="1895">
        <f t="shared" si="24"/>
        <v>0</v>
      </c>
      <c r="BC33" s="1908">
        <v>45276</v>
      </c>
      <c r="BD33" s="1909">
        <v>0</v>
      </c>
      <c r="BE33" s="1895">
        <f t="shared" si="154"/>
        <v>0</v>
      </c>
      <c r="BF33" s="1908"/>
      <c r="BG33" s="1909"/>
      <c r="BH33" s="1895">
        <f t="shared" si="26"/>
        <v>0</v>
      </c>
      <c r="BI33" s="1908">
        <v>0</v>
      </c>
      <c r="BJ33" s="1909">
        <v>0</v>
      </c>
      <c r="BK33" s="1895">
        <f t="shared" si="27"/>
        <v>0</v>
      </c>
      <c r="BL33" s="1910">
        <v>32453</v>
      </c>
      <c r="BM33" s="1909">
        <v>1630.8600000000001</v>
      </c>
      <c r="BN33" s="1911">
        <f t="shared" si="28"/>
        <v>19.899316924812673</v>
      </c>
      <c r="BO33" s="9"/>
      <c r="BP33" s="64"/>
      <c r="BQ33" s="482">
        <f t="shared" si="29"/>
        <v>0</v>
      </c>
      <c r="BR33" s="9"/>
      <c r="BS33" s="64"/>
      <c r="BT33" s="482">
        <f t="shared" si="30"/>
        <v>0</v>
      </c>
      <c r="BU33" s="9">
        <v>37645</v>
      </c>
      <c r="BV33" s="5">
        <v>1940</v>
      </c>
      <c r="BW33" s="15">
        <f t="shared" si="31"/>
        <v>19.404639175257731</v>
      </c>
      <c r="BX33" s="4"/>
      <c r="BY33" s="5"/>
      <c r="BZ33" s="482">
        <f t="shared" si="32"/>
        <v>0</v>
      </c>
      <c r="CA33" s="9"/>
      <c r="CB33" s="5"/>
      <c r="CC33" s="482">
        <f t="shared" si="33"/>
        <v>0</v>
      </c>
      <c r="CD33" s="4"/>
      <c r="CE33" s="5"/>
      <c r="CF33" s="28">
        <f t="shared" si="34"/>
        <v>0</v>
      </c>
      <c r="CG33" s="150"/>
      <c r="CH33" s="1108"/>
      <c r="CI33" s="5"/>
      <c r="CJ33" s="5"/>
      <c r="CK33" s="5">
        <v>4212.5</v>
      </c>
      <c r="CL33" s="5"/>
      <c r="CM33" s="5">
        <f t="shared" si="35"/>
        <v>4212.5</v>
      </c>
      <c r="CN33" s="33"/>
      <c r="CO33" s="366"/>
      <c r="CQ33" s="4">
        <f t="shared" si="36"/>
        <v>0</v>
      </c>
      <c r="CR33" s="9">
        <f t="shared" si="37"/>
        <v>0</v>
      </c>
      <c r="CS33" s="5">
        <f t="shared" si="38"/>
        <v>0</v>
      </c>
      <c r="CT33" s="5">
        <f t="shared" si="39"/>
        <v>0</v>
      </c>
      <c r="CU33" s="5">
        <f t="shared" si="40"/>
        <v>0</v>
      </c>
      <c r="CV33" s="5">
        <f t="shared" si="41"/>
        <v>0</v>
      </c>
      <c r="CW33" s="5">
        <f t="shared" si="42"/>
        <v>857.5</v>
      </c>
      <c r="CX33" s="5">
        <f t="shared" si="43"/>
        <v>0</v>
      </c>
      <c r="CY33" s="5">
        <f t="shared" si="44"/>
        <v>8040.380000000001</v>
      </c>
      <c r="CZ33" s="5">
        <f t="shared" si="45"/>
        <v>0</v>
      </c>
      <c r="DA33" s="5">
        <f t="shared" si="46"/>
        <v>366.1</v>
      </c>
      <c r="DB33" s="12">
        <f t="shared" si="47"/>
        <v>0</v>
      </c>
      <c r="DC33" s="310">
        <f>SUM(CQ33:DB33,PV33)</f>
        <v>9263.9800000000014</v>
      </c>
      <c r="DD33" s="2695"/>
      <c r="DE33" s="8"/>
      <c r="DF33" s="9"/>
      <c r="DG33" s="5"/>
      <c r="DH33" s="5"/>
      <c r="DI33" s="5"/>
      <c r="DJ33" s="5"/>
      <c r="DK33" s="5">
        <v>857.5</v>
      </c>
      <c r="DL33" s="5"/>
      <c r="DM33" s="487">
        <v>1199.42</v>
      </c>
      <c r="DN33" s="5"/>
      <c r="DO33" s="5"/>
      <c r="DP33" s="12"/>
      <c r="DQ33" s="28">
        <f t="shared" si="49"/>
        <v>2056.92</v>
      </c>
      <c r="DR33" s="36"/>
      <c r="DS33" s="9"/>
      <c r="DT33" s="5"/>
      <c r="DU33" s="5"/>
      <c r="DV33" s="5"/>
      <c r="DW33" s="5"/>
      <c r="DX33" s="27"/>
      <c r="DY33" s="27"/>
      <c r="DZ33" s="27">
        <v>5180.9600000000009</v>
      </c>
      <c r="EA33" s="27"/>
      <c r="EB33" s="27">
        <v>86.1</v>
      </c>
      <c r="EC33" s="33"/>
      <c r="ED33" s="28">
        <f t="shared" si="50"/>
        <v>5267.0600000000013</v>
      </c>
      <c r="EE33" s="9"/>
      <c r="EF33" s="36"/>
      <c r="EG33" s="27"/>
      <c r="EH33" s="27"/>
      <c r="EI33" s="27"/>
      <c r="EJ33" s="27"/>
      <c r="EK33" s="27"/>
      <c r="EL33" s="27"/>
      <c r="EM33" s="1448">
        <v>1660</v>
      </c>
      <c r="EN33" s="5"/>
      <c r="EO33" s="1448">
        <v>280</v>
      </c>
      <c r="EP33" s="33"/>
      <c r="EQ33" s="28">
        <f t="shared" si="51"/>
        <v>1940</v>
      </c>
      <c r="ER33" s="36"/>
      <c r="ES33" s="27"/>
      <c r="ET33" s="27"/>
      <c r="EU33" s="27"/>
      <c r="EV33" s="27"/>
      <c r="EW33" s="27"/>
      <c r="EX33" s="33">
        <f t="shared" si="52"/>
        <v>0</v>
      </c>
      <c r="EY33" s="2685"/>
      <c r="FA33" s="4">
        <f t="shared" si="53"/>
        <v>0</v>
      </c>
      <c r="FB33" s="5">
        <f t="shared" si="54"/>
        <v>0</v>
      </c>
      <c r="FC33" s="5">
        <f t="shared" si="55"/>
        <v>0</v>
      </c>
      <c r="FD33" s="12">
        <f t="shared" si="56"/>
        <v>0</v>
      </c>
      <c r="FE33" s="33"/>
      <c r="FF33" s="2674"/>
      <c r="FG33" s="9"/>
      <c r="FH33" s="5"/>
      <c r="FI33" s="5"/>
      <c r="FJ33" s="5"/>
      <c r="FK33" s="5"/>
      <c r="FL33" s="27"/>
      <c r="FM33" s="28">
        <f t="shared" si="57"/>
        <v>0</v>
      </c>
      <c r="FN33" s="36"/>
      <c r="FO33" s="27"/>
      <c r="FP33" s="27"/>
      <c r="FQ33" s="27"/>
      <c r="FR33" s="27"/>
      <c r="FS33" s="27"/>
      <c r="FT33" s="28">
        <f t="shared" si="58"/>
        <v>0</v>
      </c>
      <c r="FU33" s="36"/>
      <c r="FV33" s="36"/>
      <c r="FW33" s="27"/>
      <c r="FX33" s="27"/>
      <c r="FY33" s="27"/>
      <c r="FZ33" s="27"/>
      <c r="GA33" s="27"/>
      <c r="GB33" s="27"/>
      <c r="GC33" s="27"/>
      <c r="GD33" s="27"/>
      <c r="GE33" s="27"/>
      <c r="GF33" s="33"/>
      <c r="GG33" s="33">
        <f t="shared" si="59"/>
        <v>0</v>
      </c>
      <c r="GH33" s="2674"/>
      <c r="GJ33" s="2">
        <f t="shared" si="133"/>
        <v>5701.14</v>
      </c>
      <c r="GK33" s="63">
        <f t="shared" si="134"/>
        <v>5794.9499999999989</v>
      </c>
      <c r="GL33" s="24">
        <f t="shared" si="135"/>
        <v>1820.4500000000003</v>
      </c>
      <c r="GM33" s="53">
        <f t="shared" si="60"/>
        <v>13316.54</v>
      </c>
      <c r="GN33" s="141"/>
      <c r="GO33" s="141"/>
      <c r="GP33" s="33"/>
      <c r="GQ33" s="2667"/>
      <c r="GR33" s="152">
        <v>4786.3499999999995</v>
      </c>
      <c r="GS33" s="27">
        <v>0</v>
      </c>
      <c r="GT33" s="27">
        <v>4529.1499999999987</v>
      </c>
      <c r="GU33" s="27">
        <v>4001.04</v>
      </c>
      <c r="GV33" s="33">
        <f t="shared" si="61"/>
        <v>13316.539999999997</v>
      </c>
      <c r="GW33" s="2667"/>
      <c r="GX33" s="36"/>
      <c r="GY33" s="152"/>
      <c r="GZ33" s="27"/>
      <c r="HA33" s="53"/>
      <c r="HB33" s="27"/>
      <c r="HC33" s="27"/>
      <c r="HD33" s="27"/>
      <c r="HE33" s="27"/>
      <c r="HF33" s="27">
        <v>1415.59</v>
      </c>
      <c r="HG33" s="27"/>
      <c r="HH33" s="27">
        <v>4285.55</v>
      </c>
      <c r="HI33" s="27"/>
      <c r="HJ33" s="27">
        <v>0</v>
      </c>
      <c r="HK33" s="27"/>
      <c r="HL33" s="28">
        <f t="shared" si="62"/>
        <v>5701.14</v>
      </c>
      <c r="HM33" s="36"/>
      <c r="HN33" s="27"/>
      <c r="HO33" s="27"/>
      <c r="HP33" s="27"/>
      <c r="HQ33" s="27"/>
      <c r="HR33" s="27"/>
      <c r="HS33" s="27" cm="1">
        <f t="array" ref="HS33">SUMPRODUCT(('Data Base hauling'!$C$2:$C$216="TCM-ROM SB1 BK05-ROM 4")*(ISNUMBER(SEARCH(TEXT('March TCM'!$B33,"00")&amp;"/03/2026",'Data Base hauling'!$E$2:$E$216)))*'Data Base hauling'!$N$2:$N$216)</f>
        <v>0</v>
      </c>
      <c r="HT33" s="27"/>
      <c r="HU33" s="27" cm="1">
        <f t="array" ref="HU33">SUMPRODUCT(('Data Base hauling'!$C$2:$C$216="TCM-ROM SB1 BK05-ROM 5")*(ISNUMBER(SEARCH(TEXT('March TCM'!$B33,"00")&amp;"/03/2026",'Data Base hauling'!$E$2:$E$216)))*'Data Base hauling'!$N$2:$N$216)</f>
        <v>0</v>
      </c>
      <c r="HV33" s="27"/>
      <c r="HW33" s="27"/>
      <c r="HX33" s="27"/>
      <c r="HY33" s="27"/>
      <c r="HZ33" s="27"/>
      <c r="IA33" s="33">
        <f t="shared" si="63"/>
        <v>0</v>
      </c>
      <c r="IB33" s="52"/>
      <c r="IC33" s="152"/>
      <c r="ID33" s="53"/>
      <c r="IE33" s="53"/>
      <c r="IF33" s="53"/>
      <c r="IG33" s="53"/>
      <c r="IH33" s="53">
        <v>900.65</v>
      </c>
      <c r="II33" s="53"/>
      <c r="IJ33" s="53">
        <v>4894.2999999999993</v>
      </c>
      <c r="IK33" s="53"/>
      <c r="IL33" s="53">
        <v>0</v>
      </c>
      <c r="IM33" s="53"/>
      <c r="IN33" s="53"/>
      <c r="IO33" s="49">
        <v>0</v>
      </c>
      <c r="IP33" s="61">
        <f t="shared" si="64"/>
        <v>5794.9499999999989</v>
      </c>
      <c r="IQ33" s="152"/>
      <c r="IR33" s="152"/>
      <c r="IS33" s="53"/>
      <c r="IT33" s="53"/>
      <c r="IU33" s="53"/>
      <c r="IV33" s="27"/>
      <c r="IW33" s="27">
        <v>0</v>
      </c>
      <c r="IX33" s="27"/>
      <c r="IY33" s="27">
        <v>1820.4500000000003</v>
      </c>
      <c r="IZ33" s="27"/>
      <c r="JA33" s="27">
        <v>0</v>
      </c>
      <c r="JB33" s="27"/>
      <c r="JC33" s="27"/>
      <c r="JD33" s="27"/>
      <c r="JE33" s="33">
        <f t="shared" si="138"/>
        <v>1820.4500000000003</v>
      </c>
      <c r="JF33" s="2667"/>
      <c r="JH33" s="2020">
        <v>8130.5399999999991</v>
      </c>
      <c r="JI33" s="2021">
        <v>5186</v>
      </c>
      <c r="JJ33" s="53"/>
      <c r="JK33" s="53">
        <f t="shared" si="65"/>
        <v>13316.539999999999</v>
      </c>
      <c r="JL33" s="33"/>
      <c r="JM33" s="2669"/>
      <c r="JN33" s="69">
        <v>0</v>
      </c>
      <c r="JO33" s="70">
        <v>0</v>
      </c>
      <c r="JP33" s="70">
        <v>0</v>
      </c>
      <c r="JQ33" s="70">
        <v>0</v>
      </c>
      <c r="JR33" s="70">
        <v>0.99000681381556455</v>
      </c>
      <c r="JS33" s="1977">
        <v>9.993186184435475E-3</v>
      </c>
      <c r="JT33" s="70">
        <v>0</v>
      </c>
      <c r="JU33" s="1922">
        <v>0</v>
      </c>
      <c r="JV33" s="69">
        <v>0</v>
      </c>
      <c r="JW33" s="70">
        <v>0</v>
      </c>
      <c r="JX33" s="70">
        <v>0</v>
      </c>
      <c r="JY33" s="70">
        <v>0.17366949479367527</v>
      </c>
      <c r="JZ33" s="70">
        <v>1.5628615503278057E-2</v>
      </c>
      <c r="KA33" s="70">
        <v>0.81070188970304669</v>
      </c>
      <c r="KB33" s="70">
        <v>0</v>
      </c>
      <c r="KC33" s="71">
        <v>0</v>
      </c>
      <c r="KD33" s="69"/>
      <c r="KE33" s="70"/>
      <c r="KF33" s="70"/>
      <c r="KG33" s="70"/>
      <c r="KH33" s="70"/>
      <c r="KI33" s="70"/>
      <c r="KJ33" s="70"/>
      <c r="KK33" s="70"/>
      <c r="KL33" s="33"/>
      <c r="KM33" s="2669"/>
      <c r="KN33" s="36">
        <v>7131.4703959317112</v>
      </c>
      <c r="KO33" s="1968">
        <v>0.91448601525608419</v>
      </c>
      <c r="KP33" s="1968">
        <v>3.4860443152924079</v>
      </c>
      <c r="KQ33" s="1968">
        <v>6.5338939338903019</v>
      </c>
      <c r="KR33" s="1969">
        <v>10.194983287807242</v>
      </c>
      <c r="KS33" s="1959">
        <v>6719</v>
      </c>
      <c r="KT33" s="1964">
        <v>1.9100000000000001</v>
      </c>
      <c r="KU33" s="1964">
        <v>10.029999999999999</v>
      </c>
      <c r="KV33" s="1964">
        <v>5.47</v>
      </c>
      <c r="KW33" s="1965">
        <v>9.2228410000000007</v>
      </c>
      <c r="KX33" s="36"/>
      <c r="KY33" s="53"/>
      <c r="KZ33" s="53"/>
      <c r="LA33" s="53"/>
      <c r="LB33" s="53"/>
      <c r="LC33" s="33"/>
      <c r="LD33" s="2669"/>
      <c r="LF33" s="26">
        <f t="shared" si="66"/>
        <v>0</v>
      </c>
      <c r="LG33" s="27">
        <f t="shared" si="66"/>
        <v>0</v>
      </c>
      <c r="LH33" s="27">
        <f t="shared" si="66"/>
        <v>0</v>
      </c>
      <c r="LI33" s="28">
        <f t="shared" si="67"/>
        <v>0</v>
      </c>
      <c r="LJ33" s="36"/>
      <c r="LK33" s="27"/>
      <c r="LL33" s="27">
        <v>8</v>
      </c>
      <c r="LM33" s="33"/>
      <c r="LN33" s="1041">
        <v>6.28</v>
      </c>
      <c r="LO33" s="486" t="s">
        <v>680</v>
      </c>
      <c r="LP33" s="2688"/>
      <c r="LQ33" s="36"/>
      <c r="LR33" s="36"/>
      <c r="LS33" s="27"/>
      <c r="LT33" s="27"/>
      <c r="LU33" s="27"/>
      <c r="LV33" s="1107">
        <f t="shared" si="68"/>
        <v>0</v>
      </c>
      <c r="LW33" s="36"/>
      <c r="LX33" s="36"/>
      <c r="LY33" s="27"/>
      <c r="LZ33" s="27"/>
      <c r="MA33" s="33"/>
      <c r="MB33" s="28">
        <f t="shared" si="69"/>
        <v>0</v>
      </c>
      <c r="MC33" s="26"/>
      <c r="MD33" s="36"/>
      <c r="ME33" s="27"/>
      <c r="MF33" s="27"/>
      <c r="MG33" s="27"/>
      <c r="MH33" s="28"/>
      <c r="MI33" s="36"/>
      <c r="MJ33" s="152"/>
      <c r="MK33" s="27"/>
      <c r="ML33" s="27"/>
      <c r="MM33" s="27"/>
      <c r="MN33" s="28"/>
      <c r="MO33" s="36"/>
      <c r="MP33" s="36"/>
      <c r="MQ33" s="27"/>
      <c r="MR33" s="27"/>
      <c r="MS33" s="27"/>
      <c r="MT33" s="33">
        <f t="shared" si="70"/>
        <v>0</v>
      </c>
      <c r="MU33" s="2688"/>
      <c r="MW33" s="26">
        <f t="shared" si="71"/>
        <v>102884.41264501339</v>
      </c>
      <c r="MX33" s="27">
        <f t="shared" si="72"/>
        <v>80952.562248823509</v>
      </c>
      <c r="MY33" s="27">
        <f t="shared" si="73"/>
        <v>20201.645201279462</v>
      </c>
      <c r="MZ33" s="28">
        <f t="shared" si="74"/>
        <v>433387.44855850993</v>
      </c>
      <c r="NA33" s="2621"/>
      <c r="NB33" s="23">
        <f t="shared" si="75"/>
        <v>57538.379437467847</v>
      </c>
      <c r="NC33" s="1579">
        <f t="shared" si="76"/>
        <v>45346.033207545537</v>
      </c>
      <c r="ND33" s="60">
        <f t="shared" si="77"/>
        <v>0</v>
      </c>
      <c r="NE33" s="275">
        <f t="shared" si="4"/>
        <v>102884.41264501339</v>
      </c>
      <c r="NF33" s="26">
        <f t="shared" si="156"/>
        <v>0</v>
      </c>
      <c r="NG33" s="27">
        <f t="shared" si="156"/>
        <v>0</v>
      </c>
      <c r="NH33" s="27">
        <f t="shared" si="156"/>
        <v>0</v>
      </c>
      <c r="NI33" s="27">
        <f t="shared" si="156"/>
        <v>0</v>
      </c>
      <c r="NJ33" s="27">
        <f t="shared" si="156"/>
        <v>0</v>
      </c>
      <c r="NK33" s="33">
        <f t="shared" si="156"/>
        <v>0</v>
      </c>
      <c r="NL33" s="27">
        <f t="shared" si="156"/>
        <v>0</v>
      </c>
      <c r="NM33" s="36">
        <f t="shared" si="156"/>
        <v>0</v>
      </c>
      <c r="NN33" s="24">
        <f t="shared" si="156"/>
        <v>4619.8905665631437</v>
      </c>
      <c r="NO33" s="27">
        <f t="shared" si="156"/>
        <v>26196.69549600617</v>
      </c>
      <c r="NP33" s="24">
        <f t="shared" si="136"/>
        <v>8756.5482322711578</v>
      </c>
      <c r="NQ33" s="24">
        <f t="shared" si="137"/>
        <v>12927.284118033411</v>
      </c>
      <c r="NR33" s="27">
        <f t="shared" si="0"/>
        <v>52500.418412873885</v>
      </c>
      <c r="NS33" s="27">
        <f t="shared" si="79"/>
        <v>0</v>
      </c>
      <c r="NT33" s="27">
        <f t="shared" si="80"/>
        <v>0</v>
      </c>
      <c r="NU33" s="27">
        <f t="shared" si="81"/>
        <v>0</v>
      </c>
      <c r="NV33" s="27">
        <f t="shared" si="82"/>
        <v>0</v>
      </c>
      <c r="NW33" s="27">
        <f t="shared" si="83"/>
        <v>0</v>
      </c>
      <c r="NX33" s="5">
        <f t="shared" si="84"/>
        <v>0</v>
      </c>
      <c r="NY33" s="27">
        <f t="shared" si="85"/>
        <v>2428.9036022929131</v>
      </c>
      <c r="NZ33" s="27">
        <f t="shared" si="86"/>
        <v>0</v>
      </c>
      <c r="OA33" s="27">
        <f t="shared" si="87"/>
        <v>3378.6680667828387</v>
      </c>
      <c r="OB33" s="27"/>
      <c r="OC33" s="24">
        <f t="shared" si="88"/>
        <v>349.54339982995594</v>
      </c>
      <c r="OD33" s="27">
        <f t="shared" si="89"/>
        <v>0</v>
      </c>
      <c r="OE33" s="28">
        <f t="shared" si="1"/>
        <v>6157.1150689057076</v>
      </c>
      <c r="OF33" s="27">
        <f t="shared" si="149"/>
        <v>0</v>
      </c>
      <c r="OG33" s="27">
        <f t="shared" si="150"/>
        <v>0</v>
      </c>
      <c r="OH33" s="27">
        <f t="shared" si="155"/>
        <v>0</v>
      </c>
      <c r="OI33" s="27">
        <f t="shared" si="151"/>
        <v>0</v>
      </c>
      <c r="OJ33" s="27">
        <f t="shared" si="152"/>
        <v>0</v>
      </c>
      <c r="OK33" s="27">
        <f t="shared" si="153"/>
        <v>0</v>
      </c>
      <c r="OL33" s="24">
        <f t="shared" si="145"/>
        <v>0</v>
      </c>
      <c r="OM33" s="27">
        <f t="shared" si="140"/>
        <v>0</v>
      </c>
      <c r="ON33" s="24">
        <f t="shared" si="141"/>
        <v>20475.443599110997</v>
      </c>
      <c r="OO33" s="27">
        <f t="shared" si="142"/>
        <v>0</v>
      </c>
      <c r="OP33" s="27">
        <f t="shared" si="143"/>
        <v>1819.5851679329135</v>
      </c>
      <c r="OQ33" s="27">
        <f t="shared" si="144"/>
        <v>0</v>
      </c>
      <c r="OR33" s="28">
        <f t="shared" si="2"/>
        <v>22295.02876704391</v>
      </c>
      <c r="OS33" s="36"/>
      <c r="OT33" s="27"/>
      <c r="OU33" s="27"/>
      <c r="OV33" s="27"/>
      <c r="OW33" s="27"/>
      <c r="OX33" s="27"/>
      <c r="OY33" s="28">
        <f t="shared" si="91"/>
        <v>0</v>
      </c>
      <c r="OZ33" s="36">
        <f t="shared" si="92"/>
        <v>0</v>
      </c>
      <c r="PA33" s="27">
        <f t="shared" si="93"/>
        <v>0</v>
      </c>
      <c r="PB33" s="27">
        <f t="shared" si="94"/>
        <v>0</v>
      </c>
      <c r="PC33" s="27">
        <f t="shared" si="95"/>
        <v>0</v>
      </c>
      <c r="PD33" s="27">
        <f t="shared" si="96"/>
        <v>0</v>
      </c>
      <c r="PE33" s="27">
        <f t="shared" si="97"/>
        <v>0</v>
      </c>
      <c r="PF33" s="33">
        <f t="shared" si="3"/>
        <v>0</v>
      </c>
      <c r="PG33" s="2621"/>
      <c r="PI33" s="2">
        <v>847.57999999999993</v>
      </c>
      <c r="PJ33" s="3"/>
      <c r="PK33" s="3"/>
      <c r="PL33" s="3">
        <f t="shared" si="98"/>
        <v>0</v>
      </c>
      <c r="PM33" s="3">
        <f t="shared" si="99"/>
        <v>3880.4753876938926</v>
      </c>
      <c r="PN33" s="11">
        <f t="shared" si="100"/>
        <v>20201.645201279462</v>
      </c>
      <c r="PO33" s="15"/>
      <c r="PP33" s="2615"/>
      <c r="PR33" s="4"/>
      <c r="PS33" s="9"/>
      <c r="PT33" s="9"/>
      <c r="PU33" s="9"/>
      <c r="PV33" s="9">
        <v>0</v>
      </c>
      <c r="PW33" s="9"/>
      <c r="PX33" s="8">
        <f t="shared" si="101"/>
        <v>0</v>
      </c>
      <c r="PY33" s="5">
        <f t="shared" si="102"/>
        <v>847.57999999999993</v>
      </c>
      <c r="PZ33" s="5"/>
      <c r="QA33" s="5"/>
      <c r="QB33" s="5"/>
      <c r="QC33" s="5"/>
      <c r="QD33" s="5"/>
      <c r="QE33" s="12">
        <f t="shared" si="103"/>
        <v>29562.488999999998</v>
      </c>
      <c r="QF33" s="420">
        <f t="shared" si="104"/>
        <v>402737.59955850994</v>
      </c>
      <c r="QG33" s="1106">
        <f t="shared" si="105"/>
        <v>1087.3600000000001</v>
      </c>
      <c r="QH33" s="484">
        <f t="shared" si="106"/>
        <v>5505.3678056099998</v>
      </c>
      <c r="QI33" s="12"/>
      <c r="QJ33" s="2615"/>
      <c r="QL33" s="139">
        <f t="shared" si="107"/>
        <v>0</v>
      </c>
      <c r="QM33" s="139" t="str">
        <f t="shared" si="108"/>
        <v/>
      </c>
      <c r="QO33" s="139">
        <f t="shared" si="109"/>
        <v>0</v>
      </c>
      <c r="QP33" s="139">
        <f t="shared" si="110"/>
        <v>0</v>
      </c>
      <c r="QR33" s="1">
        <f t="shared" si="111"/>
        <v>0</v>
      </c>
      <c r="QS33" s="1">
        <f t="shared" si="112"/>
        <v>0</v>
      </c>
      <c r="QT33" s="1">
        <f t="shared" si="113"/>
        <v>0</v>
      </c>
      <c r="QU33" s="1">
        <f t="shared" si="114"/>
        <v>0</v>
      </c>
      <c r="QV33" s="1">
        <f t="shared" si="115"/>
        <v>0</v>
      </c>
      <c r="QW33" s="1">
        <f t="shared" si="116"/>
        <v>0</v>
      </c>
      <c r="QY33" s="1">
        <f t="shared" si="117"/>
        <v>0</v>
      </c>
      <c r="QZ33" s="1">
        <f t="shared" si="118"/>
        <v>0</v>
      </c>
      <c r="RA33" s="1">
        <f t="shared" si="119"/>
        <v>0</v>
      </c>
      <c r="RB33" s="1">
        <f t="shared" si="120"/>
        <v>0</v>
      </c>
      <c r="RC33" s="1">
        <f t="shared" si="121"/>
        <v>0</v>
      </c>
      <c r="RD33" s="1">
        <f t="shared" si="122"/>
        <v>0</v>
      </c>
      <c r="RG33" s="1">
        <v>24</v>
      </c>
      <c r="RH33" s="1">
        <f t="shared" si="146"/>
        <v>27508.3652097171</v>
      </c>
      <c r="RI33" s="1">
        <f t="shared" si="147"/>
        <v>27365.271780483719</v>
      </c>
      <c r="RJ33" s="1">
        <f t="shared" si="148"/>
        <v>13404.263703387322</v>
      </c>
      <c r="RK33" s="89">
        <f t="shared" si="5"/>
        <v>68277.900693588133</v>
      </c>
      <c r="RL33" s="1033">
        <v>24</v>
      </c>
      <c r="RM33" s="1098">
        <f t="shared" si="124"/>
        <v>0</v>
      </c>
      <c r="RN33" s="1098">
        <f t="shared" si="125"/>
        <v>0</v>
      </c>
      <c r="RO33" s="1097">
        <f t="shared" si="125"/>
        <v>0</v>
      </c>
      <c r="RP33" s="1097">
        <f t="shared" si="126"/>
        <v>7323.98</v>
      </c>
      <c r="RQ33" s="1046"/>
      <c r="RR33" s="1046" t="s">
        <v>849</v>
      </c>
      <c r="RS33" s="1048"/>
      <c r="RU33" s="421">
        <v>24</v>
      </c>
      <c r="RV33" s="1095">
        <f t="shared" si="127"/>
        <v>13316.539999999997</v>
      </c>
      <c r="RW33" s="1046" t="s">
        <v>850</v>
      </c>
      <c r="RX33" s="1048"/>
      <c r="RY33" s="1090"/>
      <c r="RZ33" s="1090">
        <f t="shared" si="128"/>
        <v>0</v>
      </c>
      <c r="SA33" s="1090"/>
      <c r="SB33" s="1090">
        <f t="shared" si="129"/>
        <v>0</v>
      </c>
      <c r="SD33" s="1">
        <v>24</v>
      </c>
      <c r="SE33" s="1">
        <f t="shared" si="130"/>
        <v>0</v>
      </c>
      <c r="SF33" s="1094"/>
    </row>
    <row r="34" spans="1:500" s="1" customFormat="1">
      <c r="B34" s="471">
        <v>25</v>
      </c>
      <c r="C34" s="4">
        <f t="shared" si="6"/>
        <v>164810.79999999999</v>
      </c>
      <c r="D34" s="1590">
        <f t="shared" si="131"/>
        <v>10059.370000000001</v>
      </c>
      <c r="E34" s="1895">
        <f t="shared" si="7"/>
        <v>16.383809324043153</v>
      </c>
      <c r="F34" s="870"/>
      <c r="G34" s="870"/>
      <c r="H34" s="52"/>
      <c r="I34" s="61"/>
      <c r="J34" s="52"/>
      <c r="K34" s="54"/>
      <c r="L34" s="52"/>
      <c r="M34" s="61"/>
      <c r="N34" s="2629"/>
      <c r="O34" s="4">
        <f t="shared" si="132"/>
        <v>106058.4</v>
      </c>
      <c r="P34" s="1225">
        <f t="shared" si="8"/>
        <v>5584.4700000000012</v>
      </c>
      <c r="Q34" s="1913">
        <f t="shared" si="9"/>
        <v>18.991667964909826</v>
      </c>
      <c r="R34" s="33"/>
      <c r="S34" s="26">
        <f t="shared" si="10"/>
        <v>20753.400000000001</v>
      </c>
      <c r="T34" s="27">
        <f t="shared" si="11"/>
        <v>1534.9</v>
      </c>
      <c r="U34" s="1909">
        <f t="shared" si="12"/>
        <v>13.521011140790931</v>
      </c>
      <c r="V34" s="28"/>
      <c r="W34" s="26">
        <f t="shared" si="13"/>
        <v>37999</v>
      </c>
      <c r="X34" s="5">
        <f t="shared" si="13"/>
        <v>2940</v>
      </c>
      <c r="Y34" s="325">
        <f t="shared" si="14"/>
        <v>12.92482993197279</v>
      </c>
      <c r="Z34" s="33"/>
      <c r="AA34" s="26">
        <f t="shared" si="15"/>
        <v>0</v>
      </c>
      <c r="AB34" s="27">
        <f t="shared" si="16"/>
        <v>0</v>
      </c>
      <c r="AC34" s="53">
        <f t="shared" si="17"/>
        <v>0</v>
      </c>
      <c r="AD34" s="28"/>
      <c r="AE34" s="36"/>
      <c r="AF34" s="36"/>
      <c r="AG34" s="53">
        <f t="shared" si="18"/>
        <v>0</v>
      </c>
      <c r="AH34" s="28"/>
      <c r="AI34" s="23"/>
      <c r="AJ34" s="27"/>
      <c r="AK34" s="53">
        <f t="shared" si="19"/>
        <v>0</v>
      </c>
      <c r="AL34" s="28"/>
      <c r="AM34" s="2629"/>
      <c r="AN34" s="9"/>
      <c r="AO34" s="5"/>
      <c r="AP34" s="61">
        <f t="shared" si="20"/>
        <v>0</v>
      </c>
      <c r="AQ34" s="36"/>
      <c r="AR34" s="53"/>
      <c r="AS34" s="61">
        <f t="shared" si="21"/>
        <v>0</v>
      </c>
      <c r="AT34" s="36">
        <v>0</v>
      </c>
      <c r="AU34" s="27"/>
      <c r="AV34" s="61">
        <f t="shared" si="22"/>
        <v>0</v>
      </c>
      <c r="AW34" s="36">
        <v>66956.399999999994</v>
      </c>
      <c r="AX34" s="27">
        <v>5384.7700000000013</v>
      </c>
      <c r="AY34" s="1895">
        <f t="shared" si="23"/>
        <v>12.434402955000859</v>
      </c>
      <c r="AZ34" s="1908"/>
      <c r="BA34" s="1909"/>
      <c r="BB34" s="1895">
        <f t="shared" si="24"/>
        <v>0</v>
      </c>
      <c r="BC34" s="1908">
        <v>39102</v>
      </c>
      <c r="BD34" s="1909">
        <v>199.7</v>
      </c>
      <c r="BE34" s="1895">
        <f t="shared" si="154"/>
        <v>195.80370555833753</v>
      </c>
      <c r="BF34" s="1908"/>
      <c r="BG34" s="1909"/>
      <c r="BH34" s="1895">
        <f t="shared" si="26"/>
        <v>0</v>
      </c>
      <c r="BI34" s="1908">
        <v>0</v>
      </c>
      <c r="BJ34" s="1909">
        <v>0</v>
      </c>
      <c r="BK34" s="1895">
        <f t="shared" si="27"/>
        <v>0</v>
      </c>
      <c r="BL34" s="1910">
        <v>20753.400000000001</v>
      </c>
      <c r="BM34" s="1909">
        <v>1534.9</v>
      </c>
      <c r="BN34" s="1911">
        <f t="shared" si="28"/>
        <v>13.521011140790931</v>
      </c>
      <c r="BO34" s="9"/>
      <c r="BP34" s="64"/>
      <c r="BQ34" s="482">
        <f t="shared" si="29"/>
        <v>0</v>
      </c>
      <c r="BR34" s="9"/>
      <c r="BS34" s="64"/>
      <c r="BT34" s="482">
        <f t="shared" si="30"/>
        <v>0</v>
      </c>
      <c r="BU34" s="9">
        <v>37999</v>
      </c>
      <c r="BV34" s="5">
        <v>2940</v>
      </c>
      <c r="BW34" s="15">
        <f t="shared" si="31"/>
        <v>12.92482993197279</v>
      </c>
      <c r="BX34" s="4"/>
      <c r="BY34" s="5"/>
      <c r="BZ34" s="482">
        <f t="shared" si="32"/>
        <v>0</v>
      </c>
      <c r="CA34" s="9"/>
      <c r="CB34" s="5"/>
      <c r="CC34" s="482">
        <f t="shared" si="33"/>
        <v>0</v>
      </c>
      <c r="CD34" s="4"/>
      <c r="CE34" s="5"/>
      <c r="CF34" s="28">
        <f t="shared" si="34"/>
        <v>0</v>
      </c>
      <c r="CG34" s="150"/>
      <c r="CH34" s="1108"/>
      <c r="CI34" s="5"/>
      <c r="CJ34" s="5"/>
      <c r="CK34" s="5">
        <v>4187.5</v>
      </c>
      <c r="CL34" s="5"/>
      <c r="CM34" s="5">
        <f t="shared" si="35"/>
        <v>4187.5</v>
      </c>
      <c r="CN34" s="33"/>
      <c r="CO34" s="366"/>
      <c r="CQ34" s="4">
        <f t="shared" si="36"/>
        <v>0</v>
      </c>
      <c r="CR34" s="9">
        <f t="shared" si="37"/>
        <v>0</v>
      </c>
      <c r="CS34" s="5">
        <f t="shared" si="38"/>
        <v>0</v>
      </c>
      <c r="CT34" s="5">
        <f t="shared" si="39"/>
        <v>0</v>
      </c>
      <c r="CU34" s="5">
        <f t="shared" si="40"/>
        <v>0</v>
      </c>
      <c r="CV34" s="5">
        <f t="shared" si="41"/>
        <v>0</v>
      </c>
      <c r="CW34" s="5">
        <f t="shared" si="42"/>
        <v>0</v>
      </c>
      <c r="CX34" s="5">
        <f t="shared" si="43"/>
        <v>0</v>
      </c>
      <c r="CY34" s="5">
        <f t="shared" si="44"/>
        <v>6017.26</v>
      </c>
      <c r="CZ34" s="5">
        <f t="shared" si="45"/>
        <v>0</v>
      </c>
      <c r="DA34" s="5">
        <f t="shared" si="46"/>
        <v>3444.59</v>
      </c>
      <c r="DB34" s="12">
        <f t="shared" si="47"/>
        <v>0</v>
      </c>
      <c r="DC34" s="310">
        <f>SUM(CQ34:DB34,PV34)</f>
        <v>10059.370000000001</v>
      </c>
      <c r="DD34" s="2695"/>
      <c r="DE34" s="8"/>
      <c r="DF34" s="9"/>
      <c r="DG34" s="5"/>
      <c r="DH34" s="5"/>
      <c r="DI34" s="5"/>
      <c r="DJ34" s="5"/>
      <c r="DK34" s="5">
        <v>0</v>
      </c>
      <c r="DL34" s="5"/>
      <c r="DM34" s="487">
        <v>1714.98</v>
      </c>
      <c r="DN34" s="5"/>
      <c r="DO34" s="5"/>
      <c r="DP34" s="12"/>
      <c r="DQ34" s="28">
        <f t="shared" si="49"/>
        <v>1714.98</v>
      </c>
      <c r="DR34" s="36"/>
      <c r="DS34" s="36"/>
      <c r="DT34" s="27"/>
      <c r="DU34" s="27"/>
      <c r="DV34" s="27"/>
      <c r="DW34" s="27"/>
      <c r="DX34" s="27"/>
      <c r="DY34" s="27"/>
      <c r="DZ34" s="27">
        <v>4302.2800000000007</v>
      </c>
      <c r="EA34" s="27"/>
      <c r="EB34" s="27">
        <v>504.59</v>
      </c>
      <c r="EC34" s="33"/>
      <c r="ED34" s="28">
        <f t="shared" si="50"/>
        <v>4806.8700000000008</v>
      </c>
      <c r="EE34" s="9"/>
      <c r="EF34" s="36"/>
      <c r="EG34" s="27"/>
      <c r="EH34" s="27"/>
      <c r="EI34" s="27"/>
      <c r="EJ34" s="27"/>
      <c r="EK34" s="27"/>
      <c r="EL34" s="27"/>
      <c r="EM34" s="5"/>
      <c r="EN34" s="5"/>
      <c r="EO34" s="5">
        <v>2940</v>
      </c>
      <c r="EP34" s="33"/>
      <c r="EQ34" s="28">
        <f t="shared" si="51"/>
        <v>2940</v>
      </c>
      <c r="ER34" s="36"/>
      <c r="ES34" s="27"/>
      <c r="ET34" s="27"/>
      <c r="EU34" s="27"/>
      <c r="EV34" s="27"/>
      <c r="EW34" s="27"/>
      <c r="EX34" s="33">
        <f t="shared" si="52"/>
        <v>0</v>
      </c>
      <c r="EY34" s="2685"/>
      <c r="FA34" s="4">
        <f t="shared" si="53"/>
        <v>0</v>
      </c>
      <c r="FB34" s="5">
        <f t="shared" si="54"/>
        <v>0</v>
      </c>
      <c r="FC34" s="5">
        <f t="shared" si="55"/>
        <v>0</v>
      </c>
      <c r="FD34" s="12">
        <f t="shared" si="56"/>
        <v>0</v>
      </c>
      <c r="FE34" s="33"/>
      <c r="FF34" s="2674"/>
      <c r="FG34" s="9"/>
      <c r="FH34" s="5"/>
      <c r="FI34" s="5"/>
      <c r="FJ34" s="5"/>
      <c r="FK34" s="5"/>
      <c r="FL34" s="27"/>
      <c r="FM34" s="28">
        <f t="shared" si="57"/>
        <v>0</v>
      </c>
      <c r="FN34" s="36"/>
      <c r="FO34" s="27"/>
      <c r="FP34" s="27"/>
      <c r="FQ34" s="27"/>
      <c r="FR34" s="27"/>
      <c r="FS34" s="27"/>
      <c r="FT34" s="28">
        <f t="shared" si="58"/>
        <v>0</v>
      </c>
      <c r="FU34" s="36"/>
      <c r="FV34" s="36"/>
      <c r="FW34" s="27"/>
      <c r="FX34" s="27"/>
      <c r="FY34" s="27"/>
      <c r="FZ34" s="27"/>
      <c r="GA34" s="27"/>
      <c r="GB34" s="27"/>
      <c r="GC34" s="27"/>
      <c r="GD34" s="27"/>
      <c r="GE34" s="27"/>
      <c r="GF34" s="33"/>
      <c r="GG34" s="33">
        <f t="shared" si="59"/>
        <v>0</v>
      </c>
      <c r="GH34" s="2674"/>
      <c r="GJ34" s="2">
        <f t="shared" si="133"/>
        <v>605.16</v>
      </c>
      <c r="GK34" s="63">
        <f t="shared" si="134"/>
        <v>2052.7399999999998</v>
      </c>
      <c r="GL34" s="24">
        <f t="shared" si="135"/>
        <v>7921.06</v>
      </c>
      <c r="GM34" s="53">
        <f t="shared" si="60"/>
        <v>10578.96</v>
      </c>
      <c r="GN34" s="141"/>
      <c r="GO34" s="141"/>
      <c r="GP34" s="33"/>
      <c r="GQ34" s="2667"/>
      <c r="GR34" s="152">
        <v>4230.7999999999993</v>
      </c>
      <c r="GS34" s="27">
        <v>0</v>
      </c>
      <c r="GT34" s="27">
        <v>3094.4200000000005</v>
      </c>
      <c r="GU34" s="27">
        <v>3253.74</v>
      </c>
      <c r="GV34" s="33">
        <f t="shared" si="61"/>
        <v>10578.96</v>
      </c>
      <c r="GW34" s="2667"/>
      <c r="GX34" s="36"/>
      <c r="GY34" s="36"/>
      <c r="GZ34" s="27"/>
      <c r="HA34" s="27"/>
      <c r="HB34" s="27"/>
      <c r="HC34" s="27"/>
      <c r="HD34" s="27"/>
      <c r="HE34" s="27"/>
      <c r="HF34" s="27">
        <v>605.16</v>
      </c>
      <c r="HG34" s="27"/>
      <c r="HH34" s="27">
        <v>0</v>
      </c>
      <c r="HI34" s="27"/>
      <c r="HJ34" s="27">
        <v>0</v>
      </c>
      <c r="HK34" s="27"/>
      <c r="HL34" s="28">
        <f t="shared" si="62"/>
        <v>605.16</v>
      </c>
      <c r="HM34" s="36"/>
      <c r="HN34" s="27"/>
      <c r="HO34" s="27"/>
      <c r="HP34" s="27"/>
      <c r="HQ34" s="27"/>
      <c r="HR34" s="27"/>
      <c r="HS34" s="27" cm="1">
        <f t="array" ref="HS34">SUMPRODUCT(('Data Base hauling'!$C$2:$C$216="TCM-ROM SB1 BK05-ROM 4")*(ISNUMBER(SEARCH(TEXT('March TCM'!$B34,"00")&amp;"/03/2026",'Data Base hauling'!$E$2:$E$216)))*'Data Base hauling'!$N$2:$N$216)</f>
        <v>0</v>
      </c>
      <c r="HT34" s="27"/>
      <c r="HU34" s="27" cm="1">
        <f t="array" ref="HU34">SUMPRODUCT(('Data Base hauling'!$C$2:$C$216="TCM-ROM SB1 BK05-ROM 5")*(ISNUMBER(SEARCH(TEXT('March TCM'!$B34,"00")&amp;"/03/2026",'Data Base hauling'!$E$2:$E$216)))*'Data Base hauling'!$N$2:$N$216)</f>
        <v>0</v>
      </c>
      <c r="HV34" s="27"/>
      <c r="HW34" s="27"/>
      <c r="HX34" s="27"/>
      <c r="HY34" s="27"/>
      <c r="HZ34" s="27"/>
      <c r="IA34" s="33">
        <f t="shared" si="63"/>
        <v>0</v>
      </c>
      <c r="IB34" s="52"/>
      <c r="IC34" s="152"/>
      <c r="ID34" s="53"/>
      <c r="IE34" s="53"/>
      <c r="IF34" s="53"/>
      <c r="IG34" s="53"/>
      <c r="IH34" s="53">
        <v>0</v>
      </c>
      <c r="II34" s="53"/>
      <c r="IJ34" s="53">
        <v>2048.2399999999998</v>
      </c>
      <c r="IK34" s="53"/>
      <c r="IL34" s="53">
        <v>0</v>
      </c>
      <c r="IM34" s="53"/>
      <c r="IN34" s="53"/>
      <c r="IO34" s="49">
        <v>4.5</v>
      </c>
      <c r="IP34" s="61">
        <f t="shared" si="64"/>
        <v>2052.7399999999998</v>
      </c>
      <c r="IQ34" s="36"/>
      <c r="IR34" s="36"/>
      <c r="IS34" s="27"/>
      <c r="IT34" s="27"/>
      <c r="IU34" s="53"/>
      <c r="IV34" s="27"/>
      <c r="IW34" s="27">
        <v>0</v>
      </c>
      <c r="IX34" s="27"/>
      <c r="IY34" s="27">
        <v>7921.06</v>
      </c>
      <c r="IZ34" s="27"/>
      <c r="JA34" s="27">
        <v>0</v>
      </c>
      <c r="JB34" s="27"/>
      <c r="JC34" s="27"/>
      <c r="JD34" s="27"/>
      <c r="JE34" s="33">
        <f t="shared" si="138"/>
        <v>7921.06</v>
      </c>
      <c r="JF34" s="2667"/>
      <c r="JH34" s="2020">
        <v>10578.960000000001</v>
      </c>
      <c r="JI34" s="2021">
        <v>0</v>
      </c>
      <c r="JJ34" s="53"/>
      <c r="JK34" s="53">
        <f t="shared" si="65"/>
        <v>10578.960000000001</v>
      </c>
      <c r="JL34" s="33"/>
      <c r="JM34" s="2669"/>
      <c r="JN34" s="69">
        <v>0</v>
      </c>
      <c r="JO34" s="70">
        <v>0</v>
      </c>
      <c r="JP34" s="70">
        <v>0</v>
      </c>
      <c r="JQ34" s="70">
        <v>0</v>
      </c>
      <c r="JR34" s="70">
        <v>0.99957462737357927</v>
      </c>
      <c r="JS34" s="70">
        <v>0</v>
      </c>
      <c r="JT34" s="70">
        <v>0</v>
      </c>
      <c r="JU34" s="1922">
        <v>0</v>
      </c>
      <c r="JV34" s="69" t="s">
        <v>296</v>
      </c>
      <c r="JW34" s="70" t="s">
        <v>296</v>
      </c>
      <c r="JX34" s="70" t="s">
        <v>296</v>
      </c>
      <c r="JY34" s="70" t="s">
        <v>296</v>
      </c>
      <c r="JZ34" s="70" t="s">
        <v>296</v>
      </c>
      <c r="KA34" s="70" t="s">
        <v>296</v>
      </c>
      <c r="KB34" s="70" t="s">
        <v>296</v>
      </c>
      <c r="KC34" s="71" t="s">
        <v>296</v>
      </c>
      <c r="KD34" s="69"/>
      <c r="KE34" s="70"/>
      <c r="KF34" s="70"/>
      <c r="KG34" s="70"/>
      <c r="KH34" s="70"/>
      <c r="KI34" s="70"/>
      <c r="KJ34" s="70"/>
      <c r="KK34" s="70"/>
      <c r="KL34" s="33"/>
      <c r="KM34" s="2669"/>
      <c r="KN34" s="36">
        <v>7000.1713367018838</v>
      </c>
      <c r="KO34" s="1968">
        <v>1.0236839687643546</v>
      </c>
      <c r="KP34" s="1968">
        <v>3.177869545245751</v>
      </c>
      <c r="KQ34" s="1968">
        <v>7.0910785484611853</v>
      </c>
      <c r="KR34" s="1969">
        <v>11.262261900964631</v>
      </c>
      <c r="KS34" s="1959">
        <v>0</v>
      </c>
      <c r="KT34" s="1964">
        <v>0</v>
      </c>
      <c r="KU34" s="1964">
        <v>0</v>
      </c>
      <c r="KV34" s="1964">
        <v>0</v>
      </c>
      <c r="KW34" s="1965">
        <v>0</v>
      </c>
      <c r="KX34" s="36"/>
      <c r="KY34" s="53"/>
      <c r="KZ34" s="53"/>
      <c r="LA34" s="53"/>
      <c r="LB34" s="53"/>
      <c r="LC34" s="33"/>
      <c r="LD34" s="2669"/>
      <c r="LF34" s="26">
        <f t="shared" si="66"/>
        <v>24478.4185</v>
      </c>
      <c r="LG34" s="27">
        <f t="shared" si="66"/>
        <v>5654.8215</v>
      </c>
      <c r="LH34" s="27">
        <f t="shared" si="66"/>
        <v>0</v>
      </c>
      <c r="LI34" s="28">
        <f t="shared" si="67"/>
        <v>30133.239999999998</v>
      </c>
      <c r="LJ34" s="36">
        <v>4</v>
      </c>
      <c r="LK34" s="27"/>
      <c r="LL34" s="27"/>
      <c r="LM34" s="33"/>
      <c r="LN34" s="1041">
        <v>5.74</v>
      </c>
      <c r="LO34" s="486"/>
      <c r="LP34" s="2688"/>
      <c r="LQ34" s="36"/>
      <c r="LR34" s="36"/>
      <c r="LS34" s="27"/>
      <c r="LT34" s="27"/>
      <c r="LU34" s="27"/>
      <c r="LV34" s="1107">
        <f t="shared" si="68"/>
        <v>0</v>
      </c>
      <c r="LW34" s="36">
        <v>24478.4185</v>
      </c>
      <c r="LX34" s="36">
        <v>5654.8215</v>
      </c>
      <c r="LY34" s="27"/>
      <c r="LZ34" s="27"/>
      <c r="MA34" s="33"/>
      <c r="MB34" s="28">
        <f t="shared" si="69"/>
        <v>30133.239999999998</v>
      </c>
      <c r="MC34" s="26"/>
      <c r="MD34" s="36"/>
      <c r="ME34" s="27"/>
      <c r="MF34" s="27"/>
      <c r="MG34" s="27"/>
      <c r="MH34" s="28"/>
      <c r="MI34" s="36"/>
      <c r="MJ34" s="36"/>
      <c r="MK34" s="27"/>
      <c r="ML34" s="27"/>
      <c r="MM34" s="27"/>
      <c r="MN34" s="28"/>
      <c r="MO34" s="36"/>
      <c r="MP34" s="36"/>
      <c r="MQ34" s="27"/>
      <c r="MR34" s="27"/>
      <c r="MS34" s="27"/>
      <c r="MT34" s="33">
        <f t="shared" si="70"/>
        <v>0</v>
      </c>
      <c r="MU34" s="2688"/>
      <c r="MW34" s="26">
        <f t="shared" si="71"/>
        <v>83330.132645013393</v>
      </c>
      <c r="MX34" s="27">
        <f t="shared" si="72"/>
        <v>79839.952248823509</v>
      </c>
      <c r="MY34" s="27">
        <f t="shared" si="73"/>
        <v>20201.645201279462</v>
      </c>
      <c r="MZ34" s="28">
        <f t="shared" si="74"/>
        <v>433100.62855850998</v>
      </c>
      <c r="NA34" s="2621"/>
      <c r="NB34" s="23">
        <f t="shared" si="75"/>
        <v>43638.920937467847</v>
      </c>
      <c r="NC34" s="1579">
        <f t="shared" si="76"/>
        <v>39691.211707545539</v>
      </c>
      <c r="ND34" s="60">
        <f t="shared" si="77"/>
        <v>0</v>
      </c>
      <c r="NE34" s="275">
        <f t="shared" si="4"/>
        <v>83330.132645013393</v>
      </c>
      <c r="NF34" s="26">
        <f t="shared" si="156"/>
        <v>0</v>
      </c>
      <c r="NG34" s="27">
        <f t="shared" si="156"/>
        <v>0</v>
      </c>
      <c r="NH34" s="27">
        <f t="shared" si="156"/>
        <v>0</v>
      </c>
      <c r="NI34" s="27">
        <f t="shared" si="156"/>
        <v>0</v>
      </c>
      <c r="NJ34" s="27">
        <f t="shared" si="156"/>
        <v>0</v>
      </c>
      <c r="NK34" s="33">
        <f t="shared" si="156"/>
        <v>0</v>
      </c>
      <c r="NL34" s="27">
        <f t="shared" si="156"/>
        <v>0</v>
      </c>
      <c r="NM34" s="36">
        <f t="shared" si="156"/>
        <v>0</v>
      </c>
      <c r="NN34" s="24">
        <f t="shared" si="156"/>
        <v>4014.7305665631438</v>
      </c>
      <c r="NO34" s="27">
        <f t="shared" si="156"/>
        <v>26196.69549600617</v>
      </c>
      <c r="NP34" s="24">
        <f t="shared" si="136"/>
        <v>8756.5482322711578</v>
      </c>
      <c r="NQ34" s="24">
        <f t="shared" si="137"/>
        <v>15867.284118033411</v>
      </c>
      <c r="NR34" s="27">
        <f t="shared" si="0"/>
        <v>54835.258412873882</v>
      </c>
      <c r="NS34" s="27">
        <f t="shared" si="79"/>
        <v>0</v>
      </c>
      <c r="NT34" s="27">
        <f t="shared" si="80"/>
        <v>0</v>
      </c>
      <c r="NU34" s="27">
        <f t="shared" si="81"/>
        <v>0</v>
      </c>
      <c r="NV34" s="27">
        <f t="shared" si="82"/>
        <v>0</v>
      </c>
      <c r="NW34" s="27">
        <f t="shared" si="83"/>
        <v>0</v>
      </c>
      <c r="NX34" s="5">
        <f t="shared" si="84"/>
        <v>0</v>
      </c>
      <c r="NY34" s="27">
        <f t="shared" si="85"/>
        <v>2428.9036022929131</v>
      </c>
      <c r="NZ34" s="27">
        <f t="shared" si="86"/>
        <v>0</v>
      </c>
      <c r="OA34" s="27">
        <f t="shared" si="87"/>
        <v>3045.4080667828384</v>
      </c>
      <c r="OB34" s="27"/>
      <c r="OC34" s="24">
        <f t="shared" si="88"/>
        <v>349.54339982995594</v>
      </c>
      <c r="OD34" s="27">
        <f t="shared" si="89"/>
        <v>0</v>
      </c>
      <c r="OE34" s="28">
        <f t="shared" si="1"/>
        <v>5823.8550689057074</v>
      </c>
      <c r="OF34" s="27">
        <f t="shared" si="149"/>
        <v>0</v>
      </c>
      <c r="OG34" s="27">
        <f t="shared" si="150"/>
        <v>0</v>
      </c>
      <c r="OH34" s="27">
        <f t="shared" si="155"/>
        <v>0</v>
      </c>
      <c r="OI34" s="27">
        <f t="shared" si="151"/>
        <v>0</v>
      </c>
      <c r="OJ34" s="27">
        <f t="shared" si="152"/>
        <v>0</v>
      </c>
      <c r="OK34" s="27">
        <f t="shared" si="153"/>
        <v>0</v>
      </c>
      <c r="OL34" s="24">
        <f t="shared" si="145"/>
        <v>0</v>
      </c>
      <c r="OM34" s="27">
        <f t="shared" si="140"/>
        <v>0</v>
      </c>
      <c r="ON34" s="24">
        <f t="shared" si="141"/>
        <v>16856.663599110998</v>
      </c>
      <c r="OO34" s="27">
        <f t="shared" si="142"/>
        <v>0</v>
      </c>
      <c r="OP34" s="27">
        <f t="shared" si="143"/>
        <v>2324.1751679329136</v>
      </c>
      <c r="OQ34" s="27">
        <f t="shared" si="144"/>
        <v>0</v>
      </c>
      <c r="OR34" s="28">
        <f t="shared" si="2"/>
        <v>19180.838767043912</v>
      </c>
      <c r="OS34" s="36"/>
      <c r="OT34" s="27"/>
      <c r="OU34" s="27"/>
      <c r="OV34" s="27"/>
      <c r="OW34" s="27"/>
      <c r="OX34" s="27"/>
      <c r="OY34" s="28">
        <f t="shared" si="91"/>
        <v>0</v>
      </c>
      <c r="OZ34" s="36">
        <f t="shared" si="92"/>
        <v>0</v>
      </c>
      <c r="PA34" s="27">
        <f t="shared" si="93"/>
        <v>0</v>
      </c>
      <c r="PB34" s="27">
        <f t="shared" si="94"/>
        <v>0</v>
      </c>
      <c r="PC34" s="27">
        <f t="shared" si="95"/>
        <v>0</v>
      </c>
      <c r="PD34" s="27">
        <f t="shared" si="96"/>
        <v>0</v>
      </c>
      <c r="PE34" s="27">
        <f t="shared" si="97"/>
        <v>0</v>
      </c>
      <c r="PF34" s="33">
        <f t="shared" si="3"/>
        <v>0</v>
      </c>
      <c r="PG34" s="2621"/>
      <c r="PI34" s="2">
        <v>1477.36</v>
      </c>
      <c r="PJ34" s="3"/>
      <c r="PK34" s="3"/>
      <c r="PL34" s="3">
        <f t="shared" si="98"/>
        <v>0</v>
      </c>
      <c r="PM34" s="3">
        <f t="shared" si="99"/>
        <v>5357.8353876938927</v>
      </c>
      <c r="PN34" s="11">
        <f t="shared" si="100"/>
        <v>20201.645201279462</v>
      </c>
      <c r="PO34" s="15"/>
      <c r="PP34" s="2615"/>
      <c r="PR34" s="4"/>
      <c r="PS34" s="9"/>
      <c r="PT34" s="9"/>
      <c r="PU34" s="9"/>
      <c r="PV34" s="9">
        <v>597.52</v>
      </c>
      <c r="PW34" s="9"/>
      <c r="PX34" s="8">
        <f t="shared" si="101"/>
        <v>597.52</v>
      </c>
      <c r="PY34" s="5">
        <f t="shared" si="102"/>
        <v>1477.36</v>
      </c>
      <c r="PZ34" s="5"/>
      <c r="QA34" s="5"/>
      <c r="QB34" s="5"/>
      <c r="QC34" s="5"/>
      <c r="QD34" s="5"/>
      <c r="QE34" s="12">
        <f t="shared" si="103"/>
        <v>29562.488999999998</v>
      </c>
      <c r="QF34" s="420">
        <f t="shared" si="104"/>
        <v>401853.25955850998</v>
      </c>
      <c r="QG34" s="1106">
        <f t="shared" si="105"/>
        <v>1684.88</v>
      </c>
      <c r="QH34" s="484">
        <f t="shared" si="106"/>
        <v>5505.3678056099998</v>
      </c>
      <c r="QI34" s="12"/>
      <c r="QJ34" s="2615"/>
      <c r="QL34" s="139">
        <f t="shared" si="107"/>
        <v>0</v>
      </c>
      <c r="QM34" s="139" t="str">
        <f t="shared" si="108"/>
        <v/>
      </c>
      <c r="QO34" s="139">
        <f t="shared" si="109"/>
        <v>0</v>
      </c>
      <c r="QP34" s="139">
        <f t="shared" si="110"/>
        <v>0</v>
      </c>
      <c r="QR34" s="1">
        <f t="shared" si="111"/>
        <v>0</v>
      </c>
      <c r="QS34" s="1">
        <f t="shared" si="112"/>
        <v>0</v>
      </c>
      <c r="QT34" s="1">
        <f t="shared" si="113"/>
        <v>0</v>
      </c>
      <c r="QU34" s="1">
        <f t="shared" si="114"/>
        <v>0</v>
      </c>
      <c r="QV34" s="1">
        <f t="shared" si="115"/>
        <v>0</v>
      </c>
      <c r="QW34" s="1">
        <f t="shared" si="116"/>
        <v>0</v>
      </c>
      <c r="QY34" s="1">
        <f t="shared" si="117"/>
        <v>0</v>
      </c>
      <c r="QZ34" s="1">
        <f t="shared" si="118"/>
        <v>0</v>
      </c>
      <c r="RA34" s="1">
        <f t="shared" si="119"/>
        <v>0</v>
      </c>
      <c r="RB34" s="1">
        <f t="shared" si="120"/>
        <v>0</v>
      </c>
      <c r="RC34" s="1">
        <f t="shared" si="121"/>
        <v>0</v>
      </c>
      <c r="RD34" s="1">
        <f t="shared" si="122"/>
        <v>0</v>
      </c>
      <c r="RG34" s="1">
        <v>25</v>
      </c>
      <c r="RH34" s="1">
        <f t="shared" si="146"/>
        <v>13608.906709717099</v>
      </c>
      <c r="RI34" s="1">
        <f t="shared" si="147"/>
        <v>21710.450280483718</v>
      </c>
      <c r="RJ34" s="1">
        <f t="shared" si="148"/>
        <v>13404.263703387322</v>
      </c>
      <c r="RK34" s="89">
        <f t="shared" si="5"/>
        <v>48723.620693588135</v>
      </c>
      <c r="RL34" s="1033">
        <v>25</v>
      </c>
      <c r="RM34" s="1098">
        <f t="shared" si="124"/>
        <v>0</v>
      </c>
      <c r="RN34" s="1098">
        <f t="shared" si="125"/>
        <v>597.52</v>
      </c>
      <c r="RO34" s="1097">
        <f t="shared" si="125"/>
        <v>0</v>
      </c>
      <c r="RP34" s="1097">
        <f t="shared" si="126"/>
        <v>7119.3700000000017</v>
      </c>
      <c r="RQ34" s="1094"/>
      <c r="RR34" s="1094" t="s">
        <v>851</v>
      </c>
      <c r="RU34" s="421">
        <v>25</v>
      </c>
      <c r="RV34" s="1095">
        <f t="shared" si="127"/>
        <v>10578.96</v>
      </c>
      <c r="RW34" s="1046" t="s">
        <v>852</v>
      </c>
      <c r="RY34" s="1090"/>
      <c r="RZ34" s="1090">
        <f t="shared" si="128"/>
        <v>-597.52000000000135</v>
      </c>
      <c r="SA34" s="1090"/>
      <c r="SB34" s="1090">
        <f t="shared" si="129"/>
        <v>0</v>
      </c>
      <c r="SD34" s="1">
        <v>25</v>
      </c>
      <c r="SE34" s="1">
        <f t="shared" si="130"/>
        <v>0</v>
      </c>
      <c r="SF34" s="1094"/>
    </row>
    <row r="35" spans="1:500" s="1" customFormat="1">
      <c r="B35" s="471">
        <v>26</v>
      </c>
      <c r="C35" s="4">
        <f t="shared" si="6"/>
        <v>169828.12</v>
      </c>
      <c r="D35" s="1590">
        <f t="shared" si="131"/>
        <v>9961.8799999999992</v>
      </c>
      <c r="E35" s="1895">
        <f t="shared" si="7"/>
        <v>17.047798206764185</v>
      </c>
      <c r="F35" s="870"/>
      <c r="G35" s="870"/>
      <c r="H35" s="52"/>
      <c r="I35" s="61"/>
      <c r="J35" s="52"/>
      <c r="K35" s="54"/>
      <c r="L35" s="52"/>
      <c r="M35" s="61"/>
      <c r="N35" s="2629"/>
      <c r="O35" s="4">
        <f t="shared" si="132"/>
        <v>106107.12</v>
      </c>
      <c r="P35" s="1225">
        <f t="shared" si="8"/>
        <v>5718.0599999999995</v>
      </c>
      <c r="Q35" s="1913">
        <f t="shared" si="9"/>
        <v>18.556489438725723</v>
      </c>
      <c r="R35" s="33"/>
      <c r="S35" s="26">
        <f t="shared" si="10"/>
        <v>26709</v>
      </c>
      <c r="T35" s="27">
        <f t="shared" si="11"/>
        <v>1183.82</v>
      </c>
      <c r="U35" s="1909">
        <f t="shared" si="12"/>
        <v>22.561707016269366</v>
      </c>
      <c r="V35" s="28"/>
      <c r="W35" s="26">
        <f t="shared" si="13"/>
        <v>37012</v>
      </c>
      <c r="X35" s="5">
        <f t="shared" si="13"/>
        <v>3060</v>
      </c>
      <c r="Y35" s="325">
        <f t="shared" si="14"/>
        <v>12.095424836601307</v>
      </c>
      <c r="Z35" s="33"/>
      <c r="AA35" s="26">
        <f t="shared" si="15"/>
        <v>0</v>
      </c>
      <c r="AB35" s="27">
        <f t="shared" si="16"/>
        <v>0</v>
      </c>
      <c r="AC35" s="53">
        <f t="shared" si="17"/>
        <v>0</v>
      </c>
      <c r="AD35" s="28"/>
      <c r="AE35" s="36"/>
      <c r="AF35" s="36"/>
      <c r="AG35" s="53">
        <f t="shared" si="18"/>
        <v>0</v>
      </c>
      <c r="AH35" s="28"/>
      <c r="AI35" s="26"/>
      <c r="AJ35" s="27"/>
      <c r="AK35" s="53">
        <f t="shared" si="19"/>
        <v>0</v>
      </c>
      <c r="AL35" s="28"/>
      <c r="AM35" s="2629"/>
      <c r="AN35" s="9"/>
      <c r="AO35" s="5"/>
      <c r="AP35" s="61">
        <f t="shared" si="20"/>
        <v>0</v>
      </c>
      <c r="AQ35" s="36"/>
      <c r="AR35" s="53"/>
      <c r="AS35" s="61">
        <f t="shared" si="21"/>
        <v>0</v>
      </c>
      <c r="AT35" s="36">
        <v>0</v>
      </c>
      <c r="AU35" s="27"/>
      <c r="AV35" s="61">
        <f t="shared" si="22"/>
        <v>0</v>
      </c>
      <c r="AW35" s="36">
        <v>57009.120000000003</v>
      </c>
      <c r="AX35" s="27">
        <v>4561.28</v>
      </c>
      <c r="AY35" s="1895">
        <f t="shared" si="23"/>
        <v>12.498491651466257</v>
      </c>
      <c r="AZ35" s="1908"/>
      <c r="BA35" s="1909"/>
      <c r="BB35" s="1895">
        <f t="shared" si="24"/>
        <v>0</v>
      </c>
      <c r="BC35" s="1908">
        <v>49098</v>
      </c>
      <c r="BD35" s="1909">
        <v>1156.78</v>
      </c>
      <c r="BE35" s="1895">
        <f t="shared" si="154"/>
        <v>42.443679869983924</v>
      </c>
      <c r="BF35" s="1908"/>
      <c r="BG35" s="1909"/>
      <c r="BH35" s="1895">
        <f t="shared" si="26"/>
        <v>0</v>
      </c>
      <c r="BI35" s="1908">
        <v>0</v>
      </c>
      <c r="BJ35" s="1909">
        <v>0</v>
      </c>
      <c r="BK35" s="1895">
        <f t="shared" si="27"/>
        <v>0</v>
      </c>
      <c r="BL35" s="1910">
        <v>26709</v>
      </c>
      <c r="BM35" s="1909">
        <v>1183.82</v>
      </c>
      <c r="BN35" s="1895">
        <f t="shared" si="28"/>
        <v>22.561707016269366</v>
      </c>
      <c r="BO35" s="9"/>
      <c r="BP35" s="64"/>
      <c r="BQ35" s="61">
        <f t="shared" si="29"/>
        <v>0</v>
      </c>
      <c r="BR35" s="36"/>
      <c r="BS35" s="53"/>
      <c r="BT35" s="61">
        <f t="shared" si="30"/>
        <v>0</v>
      </c>
      <c r="BU35" s="36">
        <v>37012</v>
      </c>
      <c r="BV35" s="5">
        <v>3060</v>
      </c>
      <c r="BW35" s="28">
        <f t="shared" si="31"/>
        <v>12.095424836601307</v>
      </c>
      <c r="BX35" s="4"/>
      <c r="BY35" s="5"/>
      <c r="BZ35" s="61">
        <f t="shared" si="32"/>
        <v>0</v>
      </c>
      <c r="CA35" s="36"/>
      <c r="CB35" s="5"/>
      <c r="CC35" s="61">
        <f t="shared" si="33"/>
        <v>0</v>
      </c>
      <c r="CD35" s="26"/>
      <c r="CE35" s="5"/>
      <c r="CF35" s="28">
        <f t="shared" si="34"/>
        <v>0</v>
      </c>
      <c r="CG35" s="150"/>
      <c r="CH35" s="1108"/>
      <c r="CI35" s="5"/>
      <c r="CJ35" s="5"/>
      <c r="CK35" s="5">
        <v>3737.5</v>
      </c>
      <c r="CL35" s="5"/>
      <c r="CM35" s="5">
        <f t="shared" si="35"/>
        <v>3737.5</v>
      </c>
      <c r="CN35" s="33"/>
      <c r="CO35" s="366"/>
      <c r="CQ35" s="4">
        <f t="shared" si="36"/>
        <v>0</v>
      </c>
      <c r="CR35" s="9">
        <f t="shared" si="37"/>
        <v>0</v>
      </c>
      <c r="CS35" s="5">
        <f t="shared" si="38"/>
        <v>0</v>
      </c>
      <c r="CT35" s="5">
        <f t="shared" si="39"/>
        <v>0</v>
      </c>
      <c r="CU35" s="5">
        <f t="shared" si="40"/>
        <v>0</v>
      </c>
      <c r="CV35" s="5">
        <f t="shared" si="41"/>
        <v>0</v>
      </c>
      <c r="CW35" s="5">
        <f t="shared" si="42"/>
        <v>1395.1</v>
      </c>
      <c r="CX35" s="5">
        <f t="shared" si="43"/>
        <v>0</v>
      </c>
      <c r="CY35" s="5">
        <f t="shared" si="44"/>
        <v>4350</v>
      </c>
      <c r="CZ35" s="5">
        <f t="shared" si="45"/>
        <v>0</v>
      </c>
      <c r="DA35" s="5">
        <f t="shared" si="46"/>
        <v>4216.78</v>
      </c>
      <c r="DB35" s="12">
        <f t="shared" si="47"/>
        <v>0</v>
      </c>
      <c r="DC35" s="310">
        <f>SUM(CQ35:DB35,PV35)</f>
        <v>9961.880000000001</v>
      </c>
      <c r="DD35" s="2695"/>
      <c r="DE35" s="8"/>
      <c r="DF35" s="9"/>
      <c r="DG35" s="5"/>
      <c r="DH35" s="5"/>
      <c r="DI35" s="5"/>
      <c r="DJ35" s="5"/>
      <c r="DK35" s="5">
        <v>1395.1</v>
      </c>
      <c r="DL35" s="5"/>
      <c r="DM35" s="5">
        <v>1375.3000000000002</v>
      </c>
      <c r="DN35" s="5"/>
      <c r="DO35" s="5"/>
      <c r="DP35" s="12"/>
      <c r="DQ35" s="28">
        <f t="shared" si="49"/>
        <v>2770.4</v>
      </c>
      <c r="DR35" s="36"/>
      <c r="DS35" s="36"/>
      <c r="DT35" s="27"/>
      <c r="DU35" s="27"/>
      <c r="DV35" s="27"/>
      <c r="DW35" s="27"/>
      <c r="DX35" s="27"/>
      <c r="DY35" s="27"/>
      <c r="DZ35" s="27">
        <v>2974.6999999999994</v>
      </c>
      <c r="EA35" s="27"/>
      <c r="EB35" s="27">
        <v>1156.78</v>
      </c>
      <c r="EC35" s="33"/>
      <c r="ED35" s="28">
        <f t="shared" si="50"/>
        <v>4131.4799999999996</v>
      </c>
      <c r="EE35" s="9"/>
      <c r="EF35" s="36"/>
      <c r="EG35" s="27"/>
      <c r="EH35" s="27"/>
      <c r="EI35" s="27"/>
      <c r="EJ35" s="27"/>
      <c r="EK35" s="27"/>
      <c r="EL35" s="27"/>
      <c r="EM35" s="5"/>
      <c r="EN35" s="5"/>
      <c r="EO35" s="5">
        <v>3060</v>
      </c>
      <c r="EP35" s="33"/>
      <c r="EQ35" s="28">
        <f t="shared" si="51"/>
        <v>3060</v>
      </c>
      <c r="ER35" s="36"/>
      <c r="ES35" s="27"/>
      <c r="ET35" s="27"/>
      <c r="EU35" s="27"/>
      <c r="EV35" s="27"/>
      <c r="EW35" s="27"/>
      <c r="EX35" s="33">
        <f t="shared" si="52"/>
        <v>0</v>
      </c>
      <c r="EY35" s="2685"/>
      <c r="FA35" s="4">
        <f t="shared" si="53"/>
        <v>0</v>
      </c>
      <c r="FB35" s="5">
        <f t="shared" si="54"/>
        <v>0</v>
      </c>
      <c r="FC35" s="5">
        <f t="shared" si="55"/>
        <v>0</v>
      </c>
      <c r="FD35" s="12">
        <f t="shared" si="56"/>
        <v>0</v>
      </c>
      <c r="FE35" s="33"/>
      <c r="FF35" s="2674"/>
      <c r="FG35" s="9"/>
      <c r="FH35" s="5"/>
      <c r="FI35" s="5"/>
      <c r="FJ35" s="5"/>
      <c r="FK35" s="5"/>
      <c r="FL35" s="27"/>
      <c r="FM35" s="28">
        <f t="shared" si="57"/>
        <v>0</v>
      </c>
      <c r="FN35" s="36"/>
      <c r="FO35" s="27"/>
      <c r="FP35" s="27"/>
      <c r="FQ35" s="27"/>
      <c r="FR35" s="27"/>
      <c r="FS35" s="27"/>
      <c r="FT35" s="28">
        <f t="shared" si="58"/>
        <v>0</v>
      </c>
      <c r="FU35" s="36"/>
      <c r="FV35" s="36"/>
      <c r="FW35" s="27"/>
      <c r="FX35" s="27"/>
      <c r="FY35" s="27"/>
      <c r="FZ35" s="27"/>
      <c r="GA35" s="27"/>
      <c r="GB35" s="27"/>
      <c r="GC35" s="27"/>
      <c r="GD35" s="27"/>
      <c r="GE35" s="27"/>
      <c r="GF35" s="33"/>
      <c r="GG35" s="33">
        <f t="shared" si="59"/>
        <v>0</v>
      </c>
      <c r="GH35" s="2674"/>
      <c r="GJ35" s="2">
        <f t="shared" si="133"/>
        <v>4514.9599999999991</v>
      </c>
      <c r="GK35" s="63">
        <f t="shared" si="134"/>
        <v>3586.5</v>
      </c>
      <c r="GL35" s="24">
        <f t="shared" si="135"/>
        <v>4236.2199999999993</v>
      </c>
      <c r="GM35" s="53">
        <f t="shared" si="60"/>
        <v>12337.679999999998</v>
      </c>
      <c r="GN35" s="141"/>
      <c r="GO35" s="141"/>
      <c r="GP35" s="33"/>
      <c r="GQ35" s="2667"/>
      <c r="GR35" s="152">
        <v>5387.61</v>
      </c>
      <c r="GS35" s="27">
        <v>89.9</v>
      </c>
      <c r="GT35" s="27">
        <v>3392.4300000000003</v>
      </c>
      <c r="GU35" s="27">
        <v>3467.7400000000002</v>
      </c>
      <c r="GV35" s="33">
        <f t="shared" si="61"/>
        <v>12337.679999999998</v>
      </c>
      <c r="GW35" s="2667"/>
      <c r="GX35" s="36"/>
      <c r="GY35" s="36"/>
      <c r="GZ35" s="27"/>
      <c r="HA35" s="27"/>
      <c r="HB35" s="27"/>
      <c r="HC35" s="27"/>
      <c r="HD35" s="27"/>
      <c r="HE35" s="27"/>
      <c r="HF35" s="27">
        <v>76.900000000000006</v>
      </c>
      <c r="HG35" s="27"/>
      <c r="HH35" s="27">
        <v>4348.16</v>
      </c>
      <c r="HI35" s="27"/>
      <c r="HJ35" s="27">
        <v>89.9</v>
      </c>
      <c r="HK35" s="27"/>
      <c r="HL35" s="28">
        <f t="shared" si="62"/>
        <v>4514.9599999999991</v>
      </c>
      <c r="HM35" s="36"/>
      <c r="HN35" s="27"/>
      <c r="HO35" s="27"/>
      <c r="HP35" s="27"/>
      <c r="HQ35" s="27"/>
      <c r="HR35" s="27"/>
      <c r="HS35" s="27" cm="1">
        <f t="array" ref="HS35">SUMPRODUCT(('Data Base hauling'!$C$2:$C$216="TCM-ROM SB1 BK05-ROM 4")*(ISNUMBER(SEARCH(TEXT('March TCM'!$B35,"00")&amp;"/03/2026",'Data Base hauling'!$E$2:$E$216)))*'Data Base hauling'!$N$2:$N$216)</f>
        <v>0</v>
      </c>
      <c r="HT35" s="27"/>
      <c r="HU35" s="27" cm="1">
        <f t="array" ref="HU35">SUMPRODUCT(('Data Base hauling'!$C$2:$C$216="TCM-ROM SB1 BK05-ROM 5")*(ISNUMBER(SEARCH(TEXT('March TCM'!$B35,"00")&amp;"/03/2026",'Data Base hauling'!$E$2:$E$216)))*'Data Base hauling'!$N$2:$N$216)</f>
        <v>0</v>
      </c>
      <c r="HV35" s="27"/>
      <c r="HW35" s="27"/>
      <c r="HX35" s="27"/>
      <c r="HY35" s="27"/>
      <c r="HZ35" s="27"/>
      <c r="IA35" s="33">
        <f t="shared" si="63"/>
        <v>0</v>
      </c>
      <c r="IB35" s="52"/>
      <c r="IC35" s="152"/>
      <c r="ID35" s="53"/>
      <c r="IE35" s="53"/>
      <c r="IF35" s="53"/>
      <c r="IG35" s="53"/>
      <c r="IH35" s="53">
        <v>1107.3700000000001</v>
      </c>
      <c r="II35" s="53"/>
      <c r="IJ35" s="53">
        <v>2479.13</v>
      </c>
      <c r="IK35" s="53"/>
      <c r="IL35" s="53">
        <v>0</v>
      </c>
      <c r="IM35" s="53"/>
      <c r="IN35" s="53"/>
      <c r="IO35" s="49">
        <v>0</v>
      </c>
      <c r="IP35" s="61">
        <f t="shared" si="64"/>
        <v>3586.5</v>
      </c>
      <c r="IQ35" s="36"/>
      <c r="IR35" s="36"/>
      <c r="IS35" s="27"/>
      <c r="IT35" s="27"/>
      <c r="IU35" s="53"/>
      <c r="IV35" s="27"/>
      <c r="IW35" s="27">
        <v>0</v>
      </c>
      <c r="IX35" s="27"/>
      <c r="IY35" s="27">
        <v>3030.16</v>
      </c>
      <c r="IZ35" s="27"/>
      <c r="JA35" s="27">
        <v>1206.06</v>
      </c>
      <c r="JB35" s="27"/>
      <c r="JC35" s="27"/>
      <c r="JD35" s="27"/>
      <c r="JE35" s="33">
        <f t="shared" si="138"/>
        <v>4236.2199999999993</v>
      </c>
      <c r="JF35" s="2667"/>
      <c r="JH35" s="2020">
        <v>5056.93</v>
      </c>
      <c r="JI35" s="2021">
        <v>7280.75</v>
      </c>
      <c r="JJ35" s="53"/>
      <c r="JK35" s="53">
        <f t="shared" si="65"/>
        <v>12337.68</v>
      </c>
      <c r="JL35" s="33"/>
      <c r="JM35" s="2669"/>
      <c r="JN35" s="69">
        <v>0</v>
      </c>
      <c r="JO35" s="70">
        <v>0</v>
      </c>
      <c r="JP35" s="70">
        <v>0</v>
      </c>
      <c r="JQ35" s="70">
        <v>0</v>
      </c>
      <c r="JR35" s="70">
        <v>0.89087450290986825</v>
      </c>
      <c r="JS35" s="70">
        <v>0.10912549709013174</v>
      </c>
      <c r="JT35" s="70">
        <v>0</v>
      </c>
      <c r="JU35" s="1922">
        <v>0</v>
      </c>
      <c r="JV35" s="69">
        <v>0</v>
      </c>
      <c r="JW35" s="70">
        <v>0</v>
      </c>
      <c r="JX35" s="70">
        <v>0</v>
      </c>
      <c r="JY35" s="70">
        <v>0.15209559454726507</v>
      </c>
      <c r="JZ35" s="70">
        <v>0.1484874497819593</v>
      </c>
      <c r="KA35" s="70">
        <v>0.68706932664904019</v>
      </c>
      <c r="KB35" s="70">
        <v>1.2347629021735399E-2</v>
      </c>
      <c r="KC35" s="71">
        <v>0</v>
      </c>
      <c r="KD35" s="69"/>
      <c r="KE35" s="70"/>
      <c r="KF35" s="70"/>
      <c r="KG35" s="70"/>
      <c r="KH35" s="70"/>
      <c r="KI35" s="70"/>
      <c r="KJ35" s="70"/>
      <c r="KK35" s="70"/>
      <c r="KL35" s="33"/>
      <c r="KM35" s="2669"/>
      <c r="KN35" s="36">
        <v>6998</v>
      </c>
      <c r="KO35" s="1968">
        <v>1.1299999999999999</v>
      </c>
      <c r="KP35" s="1968">
        <v>5.69</v>
      </c>
      <c r="KQ35" s="1968">
        <v>7.01</v>
      </c>
      <c r="KR35" s="1969">
        <v>10.487826</v>
      </c>
      <c r="KS35" s="1959">
        <v>6809.6204136090728</v>
      </c>
      <c r="KT35" s="1964">
        <v>2.1899733155436958</v>
      </c>
      <c r="KU35" s="1964">
        <v>6.3663108739159435</v>
      </c>
      <c r="KV35" s="1964">
        <v>6.0639026017344895</v>
      </c>
      <c r="KW35" s="1965">
        <v>9.7918562915276848</v>
      </c>
      <c r="KX35" s="36"/>
      <c r="KY35" s="53"/>
      <c r="KZ35" s="53"/>
      <c r="LA35" s="53"/>
      <c r="LB35" s="53"/>
      <c r="LC35" s="33"/>
      <c r="LD35" s="2669"/>
      <c r="LF35" s="26">
        <f t="shared" si="66"/>
        <v>21718.434999999998</v>
      </c>
      <c r="LG35" s="27">
        <f t="shared" si="66"/>
        <v>3832.665</v>
      </c>
      <c r="LH35" s="27">
        <f t="shared" si="66"/>
        <v>0</v>
      </c>
      <c r="LI35" s="28">
        <f t="shared" si="67"/>
        <v>25551.1</v>
      </c>
      <c r="LJ35" s="36">
        <v>3</v>
      </c>
      <c r="LK35" s="27"/>
      <c r="LL35" s="27">
        <v>3</v>
      </c>
      <c r="LM35" s="33"/>
      <c r="LN35" s="1041">
        <v>5.29</v>
      </c>
      <c r="LO35" s="486"/>
      <c r="LP35" s="2688"/>
      <c r="LQ35" s="36"/>
      <c r="LR35" s="36"/>
      <c r="LS35" s="27"/>
      <c r="LT35" s="27"/>
      <c r="LU35" s="27"/>
      <c r="LV35" s="1107">
        <f t="shared" si="68"/>
        <v>0</v>
      </c>
      <c r="LW35" s="36">
        <v>21718.434999999998</v>
      </c>
      <c r="LX35" s="36">
        <v>3832.665</v>
      </c>
      <c r="LY35" s="27"/>
      <c r="LZ35" s="27"/>
      <c r="MA35" s="33"/>
      <c r="MB35" s="28">
        <f t="shared" si="69"/>
        <v>25551.1</v>
      </c>
      <c r="MC35" s="26"/>
      <c r="MD35" s="36"/>
      <c r="ME35" s="27"/>
      <c r="MF35" s="27"/>
      <c r="MG35" s="27"/>
      <c r="MH35" s="28"/>
      <c r="MI35" s="36"/>
      <c r="MJ35" s="36"/>
      <c r="MK35" s="27"/>
      <c r="ML35" s="27"/>
      <c r="MM35" s="27"/>
      <c r="MN35" s="28"/>
      <c r="MO35" s="36"/>
      <c r="MP35" s="36"/>
      <c r="MQ35" s="27"/>
      <c r="MR35" s="27"/>
      <c r="MS35" s="27"/>
      <c r="MT35" s="33">
        <f t="shared" si="70"/>
        <v>0</v>
      </c>
      <c r="MU35" s="2688"/>
      <c r="MW35" s="26">
        <f t="shared" si="71"/>
        <v>70116.71264501338</v>
      </c>
      <c r="MX35" s="27">
        <f t="shared" si="72"/>
        <v>77554.052248823515</v>
      </c>
      <c r="MY35" s="27">
        <f t="shared" si="73"/>
        <v>20111.74520127946</v>
      </c>
      <c r="MZ35" s="28">
        <f t="shared" si="74"/>
        <v>432592.48855850997</v>
      </c>
      <c r="NA35" s="2621"/>
      <c r="NB35" s="23">
        <f t="shared" si="75"/>
        <v>26977.415937467849</v>
      </c>
      <c r="NC35" s="1579">
        <f t="shared" si="76"/>
        <v>43139.296707545538</v>
      </c>
      <c r="ND35" s="60">
        <f t="shared" si="77"/>
        <v>0</v>
      </c>
      <c r="NE35" s="275">
        <f t="shared" si="4"/>
        <v>70116.71264501338</v>
      </c>
      <c r="NF35" s="26">
        <f t="shared" si="156"/>
        <v>0</v>
      </c>
      <c r="NG35" s="27">
        <f t="shared" si="156"/>
        <v>0</v>
      </c>
      <c r="NH35" s="27">
        <f t="shared" si="156"/>
        <v>0</v>
      </c>
      <c r="NI35" s="27">
        <f t="shared" si="156"/>
        <v>0</v>
      </c>
      <c r="NJ35" s="27">
        <f t="shared" si="156"/>
        <v>0</v>
      </c>
      <c r="NK35" s="33">
        <f t="shared" si="156"/>
        <v>0</v>
      </c>
      <c r="NL35" s="27">
        <f t="shared" si="156"/>
        <v>0</v>
      </c>
      <c r="NM35" s="36">
        <f t="shared" si="156"/>
        <v>0</v>
      </c>
      <c r="NN35" s="24">
        <f t="shared" si="156"/>
        <v>3937.8305665631437</v>
      </c>
      <c r="NO35" s="27">
        <f t="shared" si="156"/>
        <v>26196.69549600617</v>
      </c>
      <c r="NP35" s="24">
        <f t="shared" si="136"/>
        <v>8756.5482322711578</v>
      </c>
      <c r="NQ35" s="24">
        <f t="shared" si="137"/>
        <v>14579.124118033411</v>
      </c>
      <c r="NR35" s="27">
        <f t="shared" si="0"/>
        <v>53470.198412873884</v>
      </c>
      <c r="NS35" s="27">
        <f t="shared" si="79"/>
        <v>0</v>
      </c>
      <c r="NT35" s="27">
        <f t="shared" si="80"/>
        <v>0</v>
      </c>
      <c r="NU35" s="27">
        <f t="shared" si="81"/>
        <v>0</v>
      </c>
      <c r="NV35" s="27">
        <f t="shared" si="82"/>
        <v>0</v>
      </c>
      <c r="NW35" s="27">
        <f t="shared" si="83"/>
        <v>0</v>
      </c>
      <c r="NX35" s="5">
        <f t="shared" si="84"/>
        <v>0</v>
      </c>
      <c r="NY35" s="27">
        <f t="shared" si="85"/>
        <v>2716.6336022929127</v>
      </c>
      <c r="NZ35" s="27">
        <f t="shared" si="86"/>
        <v>0</v>
      </c>
      <c r="OA35" s="27">
        <f t="shared" si="87"/>
        <v>1941.5780667828385</v>
      </c>
      <c r="OB35" s="27"/>
      <c r="OC35" s="24">
        <f t="shared" si="88"/>
        <v>349.54339982995594</v>
      </c>
      <c r="OD35" s="27">
        <f t="shared" si="89"/>
        <v>0</v>
      </c>
      <c r="OE35" s="28">
        <f t="shared" si="1"/>
        <v>5007.755068905707</v>
      </c>
      <c r="OF35" s="27">
        <f t="shared" si="149"/>
        <v>0</v>
      </c>
      <c r="OG35" s="27">
        <f t="shared" si="150"/>
        <v>0</v>
      </c>
      <c r="OH35" s="27">
        <f t="shared" si="155"/>
        <v>0</v>
      </c>
      <c r="OI35" s="27">
        <f t="shared" si="151"/>
        <v>0</v>
      </c>
      <c r="OJ35" s="27">
        <f t="shared" si="152"/>
        <v>0</v>
      </c>
      <c r="OK35" s="27">
        <f t="shared" si="153"/>
        <v>0</v>
      </c>
      <c r="OL35" s="24">
        <f t="shared" si="145"/>
        <v>0</v>
      </c>
      <c r="OM35" s="27">
        <f t="shared" si="140"/>
        <v>0</v>
      </c>
      <c r="ON35" s="24">
        <f t="shared" si="141"/>
        <v>16801.203599110999</v>
      </c>
      <c r="OO35" s="27">
        <f t="shared" si="142"/>
        <v>0</v>
      </c>
      <c r="OP35" s="27">
        <f t="shared" si="143"/>
        <v>2274.8951679329134</v>
      </c>
      <c r="OQ35" s="27">
        <f t="shared" si="144"/>
        <v>0</v>
      </c>
      <c r="OR35" s="28">
        <f t="shared" si="2"/>
        <v>19076.098767043914</v>
      </c>
      <c r="OS35" s="36"/>
      <c r="OT35" s="27"/>
      <c r="OU35" s="27"/>
      <c r="OV35" s="27"/>
      <c r="OW35" s="27"/>
      <c r="OX35" s="27"/>
      <c r="OY35" s="28">
        <f t="shared" si="91"/>
        <v>0</v>
      </c>
      <c r="OZ35" s="36">
        <f t="shared" si="92"/>
        <v>0</v>
      </c>
      <c r="PA35" s="27">
        <f t="shared" si="93"/>
        <v>0</v>
      </c>
      <c r="PB35" s="27">
        <f t="shared" si="94"/>
        <v>0</v>
      </c>
      <c r="PC35" s="27">
        <f t="shared" si="95"/>
        <v>0</v>
      </c>
      <c r="PD35" s="27">
        <f t="shared" si="96"/>
        <v>0</v>
      </c>
      <c r="PE35" s="27">
        <f t="shared" si="97"/>
        <v>0</v>
      </c>
      <c r="PF35" s="33">
        <f t="shared" si="3"/>
        <v>0</v>
      </c>
      <c r="PG35" s="2621"/>
      <c r="PI35" s="2">
        <v>508.14</v>
      </c>
      <c r="PJ35" s="3"/>
      <c r="PK35" s="3"/>
      <c r="PL35" s="3">
        <f t="shared" si="98"/>
        <v>89.9</v>
      </c>
      <c r="PM35" s="3">
        <f t="shared" si="99"/>
        <v>5865.975387693893</v>
      </c>
      <c r="PN35" s="11">
        <f t="shared" si="100"/>
        <v>20111.74520127946</v>
      </c>
      <c r="PO35" s="15"/>
      <c r="PP35" s="2615"/>
      <c r="PR35" s="4"/>
      <c r="PS35" s="9"/>
      <c r="PT35" s="9"/>
      <c r="PU35" s="9"/>
      <c r="PV35" s="9">
        <v>0</v>
      </c>
      <c r="PW35" s="9"/>
      <c r="PX35" s="8">
        <f t="shared" si="101"/>
        <v>0</v>
      </c>
      <c r="PY35" s="5">
        <f t="shared" si="102"/>
        <v>508.14</v>
      </c>
      <c r="PZ35" s="5"/>
      <c r="QA35" s="5"/>
      <c r="QB35" s="5"/>
      <c r="QC35" s="5"/>
      <c r="QD35" s="5"/>
      <c r="QE35" s="12">
        <f t="shared" si="103"/>
        <v>29562.488999999998</v>
      </c>
      <c r="QF35" s="420">
        <f t="shared" si="104"/>
        <v>401345.11955850996</v>
      </c>
      <c r="QG35" s="1106">
        <f t="shared" si="105"/>
        <v>1684.88</v>
      </c>
      <c r="QH35" s="484">
        <f t="shared" si="106"/>
        <v>5505.3678056099998</v>
      </c>
      <c r="QI35" s="12"/>
      <c r="QJ35" s="2615"/>
      <c r="QL35" s="139">
        <f t="shared" si="107"/>
        <v>0</v>
      </c>
      <c r="QM35" s="139" t="str">
        <f t="shared" si="108"/>
        <v/>
      </c>
      <c r="QO35" s="139">
        <f t="shared" si="109"/>
        <v>0</v>
      </c>
      <c r="QP35" s="139">
        <f t="shared" si="110"/>
        <v>0</v>
      </c>
      <c r="QR35" s="1">
        <f t="shared" si="111"/>
        <v>0</v>
      </c>
      <c r="QS35" s="1">
        <f t="shared" si="112"/>
        <v>0</v>
      </c>
      <c r="QT35" s="1">
        <f t="shared" si="113"/>
        <v>0</v>
      </c>
      <c r="QU35" s="1">
        <f t="shared" si="114"/>
        <v>0</v>
      </c>
      <c r="QV35" s="1">
        <f t="shared" si="115"/>
        <v>0</v>
      </c>
      <c r="QW35" s="1">
        <f t="shared" si="116"/>
        <v>0</v>
      </c>
      <c r="QY35" s="1">
        <f t="shared" si="117"/>
        <v>0</v>
      </c>
      <c r="QZ35" s="1">
        <f t="shared" si="118"/>
        <v>0</v>
      </c>
      <c r="RA35" s="1">
        <f t="shared" si="119"/>
        <v>0</v>
      </c>
      <c r="RB35" s="1">
        <f t="shared" si="120"/>
        <v>0</v>
      </c>
      <c r="RC35" s="1">
        <f t="shared" si="121"/>
        <v>0</v>
      </c>
      <c r="RD35" s="1">
        <f t="shared" si="122"/>
        <v>0</v>
      </c>
      <c r="RG35" s="1">
        <v>26</v>
      </c>
      <c r="RH35" s="1">
        <f t="shared" si="146"/>
        <v>-3052.5982902828982</v>
      </c>
      <c r="RI35" s="1">
        <f t="shared" si="147"/>
        <v>25158.535280483717</v>
      </c>
      <c r="RJ35" s="1">
        <f t="shared" si="148"/>
        <v>13404.263703387322</v>
      </c>
      <c r="RK35" s="89">
        <f t="shared" si="5"/>
        <v>35510.200693588136</v>
      </c>
      <c r="RL35" s="1033">
        <v>26</v>
      </c>
      <c r="RM35" s="1098">
        <f t="shared" si="124"/>
        <v>0</v>
      </c>
      <c r="RN35" s="1098">
        <f t="shared" si="125"/>
        <v>0</v>
      </c>
      <c r="RO35" s="1097">
        <f t="shared" si="125"/>
        <v>0</v>
      </c>
      <c r="RP35" s="1097">
        <f t="shared" si="126"/>
        <v>6901.8799999999992</v>
      </c>
      <c r="RQ35" s="1050"/>
      <c r="RR35" s="1050" t="s">
        <v>853</v>
      </c>
      <c r="RS35" s="1048"/>
      <c r="RU35" s="421">
        <v>26</v>
      </c>
      <c r="RV35" s="1095">
        <f t="shared" si="127"/>
        <v>12337.679999999998</v>
      </c>
      <c r="RW35" s="1050" t="s">
        <v>854</v>
      </c>
      <c r="RX35" s="1048"/>
      <c r="RY35" s="1090"/>
      <c r="RZ35" s="1090">
        <f t="shared" si="128"/>
        <v>0</v>
      </c>
      <c r="SA35" s="1090"/>
      <c r="SB35" s="1090">
        <f t="shared" si="129"/>
        <v>0</v>
      </c>
      <c r="SD35" s="1">
        <v>26</v>
      </c>
      <c r="SE35" s="1">
        <f t="shared" si="130"/>
        <v>89.9</v>
      </c>
      <c r="SF35" s="1094">
        <v>26032611607</v>
      </c>
    </row>
    <row r="36" spans="1:500" s="1" customFormat="1">
      <c r="B36" s="471">
        <v>27</v>
      </c>
      <c r="C36" s="4">
        <f t="shared" si="6"/>
        <v>137247.88</v>
      </c>
      <c r="D36" s="1590">
        <f t="shared" si="131"/>
        <v>8177.99</v>
      </c>
      <c r="E36" s="1895">
        <f t="shared" si="7"/>
        <v>16.782593277810317</v>
      </c>
      <c r="F36" s="870"/>
      <c r="G36" s="870"/>
      <c r="H36" s="52"/>
      <c r="I36" s="61"/>
      <c r="J36" s="52"/>
      <c r="K36" s="54"/>
      <c r="L36" s="52">
        <v>21</v>
      </c>
      <c r="M36" s="61">
        <v>4.37</v>
      </c>
      <c r="N36" s="2629"/>
      <c r="O36" s="4">
        <f t="shared" si="132"/>
        <v>81926.880000000005</v>
      </c>
      <c r="P36" s="5">
        <f t="shared" si="8"/>
        <v>4268.67</v>
      </c>
      <c r="Q36" s="1913">
        <f t="shared" si="9"/>
        <v>19.192600974073894</v>
      </c>
      <c r="R36" s="33"/>
      <c r="S36" s="26">
        <f t="shared" si="10"/>
        <v>21303</v>
      </c>
      <c r="T36" s="27">
        <f t="shared" si="11"/>
        <v>829.31999999999994</v>
      </c>
      <c r="U36" s="1909">
        <f t="shared" si="12"/>
        <v>25.687310085371148</v>
      </c>
      <c r="V36" s="28"/>
      <c r="W36" s="26">
        <f t="shared" si="13"/>
        <v>34018</v>
      </c>
      <c r="X36" s="5">
        <f t="shared" si="13"/>
        <v>3080</v>
      </c>
      <c r="Y36" s="325">
        <f t="shared" si="14"/>
        <v>11.044805194805194</v>
      </c>
      <c r="Z36" s="33"/>
      <c r="AA36" s="26">
        <f t="shared" si="15"/>
        <v>0</v>
      </c>
      <c r="AB36" s="27">
        <f t="shared" si="16"/>
        <v>0</v>
      </c>
      <c r="AC36" s="53">
        <f t="shared" si="17"/>
        <v>0</v>
      </c>
      <c r="AD36" s="28"/>
      <c r="AE36" s="36"/>
      <c r="AF36" s="36"/>
      <c r="AG36" s="53">
        <f t="shared" si="18"/>
        <v>0</v>
      </c>
      <c r="AH36" s="28"/>
      <c r="AI36" s="23"/>
      <c r="AJ36" s="27"/>
      <c r="AK36" s="53">
        <f t="shared" si="19"/>
        <v>0</v>
      </c>
      <c r="AL36" s="28"/>
      <c r="AM36" s="2629"/>
      <c r="AN36" s="9"/>
      <c r="AO36" s="5"/>
      <c r="AP36" s="61">
        <f t="shared" si="20"/>
        <v>0</v>
      </c>
      <c r="AQ36" s="36"/>
      <c r="AR36" s="53"/>
      <c r="AS36" s="61">
        <f t="shared" si="21"/>
        <v>0</v>
      </c>
      <c r="AT36" s="36"/>
      <c r="AU36" s="27"/>
      <c r="AV36" s="61">
        <f t="shared" si="22"/>
        <v>0</v>
      </c>
      <c r="AW36" s="36">
        <v>41774.879999999997</v>
      </c>
      <c r="AX36" s="27">
        <v>3964.4800000000005</v>
      </c>
      <c r="AY36" s="1895">
        <f t="shared" si="23"/>
        <v>10.537291145370892</v>
      </c>
      <c r="AZ36" s="1908"/>
      <c r="BA36" s="1909"/>
      <c r="BB36" s="1895">
        <f t="shared" si="24"/>
        <v>0</v>
      </c>
      <c r="BC36" s="1908">
        <v>40152</v>
      </c>
      <c r="BD36" s="1909">
        <v>304.19</v>
      </c>
      <c r="BE36" s="1895">
        <f t="shared" si="154"/>
        <v>131.99644958742891</v>
      </c>
      <c r="BF36" s="1908"/>
      <c r="BG36" s="1909"/>
      <c r="BH36" s="1895">
        <f t="shared" si="26"/>
        <v>0</v>
      </c>
      <c r="BI36" s="1908">
        <v>0</v>
      </c>
      <c r="BJ36" s="1909">
        <v>0</v>
      </c>
      <c r="BK36" s="1895">
        <f t="shared" si="27"/>
        <v>0</v>
      </c>
      <c r="BL36" s="1910">
        <v>21303</v>
      </c>
      <c r="BM36" s="1909">
        <v>829.31999999999994</v>
      </c>
      <c r="BN36" s="1895">
        <f t="shared" si="28"/>
        <v>25.687310085371148</v>
      </c>
      <c r="BO36" s="9"/>
      <c r="BP36" s="64"/>
      <c r="BQ36" s="61">
        <f t="shared" si="29"/>
        <v>0</v>
      </c>
      <c r="BR36" s="36"/>
      <c r="BS36" s="53"/>
      <c r="BT36" s="61">
        <f t="shared" si="30"/>
        <v>0</v>
      </c>
      <c r="BU36" s="9">
        <v>34018</v>
      </c>
      <c r="BV36" s="5">
        <v>3080</v>
      </c>
      <c r="BW36" s="28">
        <f t="shared" si="31"/>
        <v>11.044805194805194</v>
      </c>
      <c r="BX36" s="4"/>
      <c r="BY36" s="5"/>
      <c r="BZ36" s="61">
        <f t="shared" si="32"/>
        <v>0</v>
      </c>
      <c r="CA36" s="36"/>
      <c r="CB36" s="5"/>
      <c r="CC36" s="61">
        <f t="shared" si="33"/>
        <v>0</v>
      </c>
      <c r="CD36" s="26"/>
      <c r="CE36" s="5"/>
      <c r="CF36" s="28">
        <f t="shared" si="34"/>
        <v>0</v>
      </c>
      <c r="CG36" s="150"/>
      <c r="CH36" s="1108"/>
      <c r="CI36" s="5"/>
      <c r="CJ36" s="5"/>
      <c r="CK36" s="5">
        <v>2012.5</v>
      </c>
      <c r="CL36" s="5"/>
      <c r="CM36" s="5">
        <f t="shared" si="35"/>
        <v>2012.5</v>
      </c>
      <c r="CN36" s="33"/>
      <c r="CO36" s="366"/>
      <c r="CQ36" s="4">
        <f t="shared" si="36"/>
        <v>0</v>
      </c>
      <c r="CR36" s="9">
        <f t="shared" si="37"/>
        <v>0</v>
      </c>
      <c r="CS36" s="5">
        <f t="shared" si="38"/>
        <v>0</v>
      </c>
      <c r="CT36" s="5">
        <f t="shared" si="39"/>
        <v>0</v>
      </c>
      <c r="CU36" s="5">
        <f t="shared" si="40"/>
        <v>0</v>
      </c>
      <c r="CV36" s="5">
        <f t="shared" si="41"/>
        <v>0</v>
      </c>
      <c r="CW36" s="5">
        <f t="shared" si="42"/>
        <v>1058.32</v>
      </c>
      <c r="CX36" s="5">
        <f t="shared" si="43"/>
        <v>0</v>
      </c>
      <c r="CY36" s="5">
        <f t="shared" si="44"/>
        <v>3735.4800000000005</v>
      </c>
      <c r="CZ36" s="5">
        <f t="shared" si="45"/>
        <v>0</v>
      </c>
      <c r="DA36" s="5">
        <f t="shared" si="46"/>
        <v>3384.19</v>
      </c>
      <c r="DB36" s="12">
        <f t="shared" si="47"/>
        <v>0</v>
      </c>
      <c r="DC36" s="310">
        <f>SUM(CQ36:DB36,PV36)</f>
        <v>8177.99</v>
      </c>
      <c r="DD36" s="2695"/>
      <c r="DE36" s="8"/>
      <c r="DF36" s="9"/>
      <c r="DG36" s="5"/>
      <c r="DH36" s="5"/>
      <c r="DI36" s="5"/>
      <c r="DJ36" s="5"/>
      <c r="DK36" s="5">
        <v>1058.32</v>
      </c>
      <c r="DL36" s="5"/>
      <c r="DM36" s="5">
        <v>2066.38</v>
      </c>
      <c r="DN36" s="5"/>
      <c r="DO36" s="5"/>
      <c r="DP36" s="12"/>
      <c r="DQ36" s="28">
        <f t="shared" si="49"/>
        <v>3124.7</v>
      </c>
      <c r="DR36" s="36"/>
      <c r="DS36" s="36"/>
      <c r="DT36" s="27"/>
      <c r="DU36" s="27"/>
      <c r="DV36" s="27"/>
      <c r="DW36" s="27"/>
      <c r="DX36" s="27"/>
      <c r="DY36" s="27"/>
      <c r="DZ36" s="27">
        <v>1669.1000000000001</v>
      </c>
      <c r="EA36" s="27"/>
      <c r="EB36" s="27">
        <v>304.19</v>
      </c>
      <c r="EC36" s="33"/>
      <c r="ED36" s="28">
        <f t="shared" si="50"/>
        <v>1973.2900000000002</v>
      </c>
      <c r="EE36" s="9"/>
      <c r="EF36" s="36"/>
      <c r="EG36" s="27"/>
      <c r="EH36" s="27"/>
      <c r="EI36" s="27"/>
      <c r="EJ36" s="27"/>
      <c r="EK36" s="27"/>
      <c r="EL36" s="27"/>
      <c r="EM36" s="5"/>
      <c r="EN36" s="5"/>
      <c r="EO36" s="5">
        <v>3080</v>
      </c>
      <c r="EP36" s="33"/>
      <c r="EQ36" s="28">
        <f t="shared" si="51"/>
        <v>3080</v>
      </c>
      <c r="ER36" s="36"/>
      <c r="ES36" s="27"/>
      <c r="ET36" s="27"/>
      <c r="EU36" s="27"/>
      <c r="EV36" s="27"/>
      <c r="EW36" s="27"/>
      <c r="EX36" s="33">
        <f t="shared" si="52"/>
        <v>0</v>
      </c>
      <c r="EY36" s="2685"/>
      <c r="FA36" s="4">
        <f t="shared" si="53"/>
        <v>0</v>
      </c>
      <c r="FB36" s="5">
        <f t="shared" si="54"/>
        <v>0</v>
      </c>
      <c r="FC36" s="5">
        <f t="shared" si="55"/>
        <v>0</v>
      </c>
      <c r="FD36" s="12">
        <f t="shared" si="56"/>
        <v>0</v>
      </c>
      <c r="FE36" s="33"/>
      <c r="FF36" s="2674"/>
      <c r="FG36" s="9"/>
      <c r="FH36" s="5"/>
      <c r="FI36" s="5"/>
      <c r="FJ36" s="5"/>
      <c r="FK36" s="5"/>
      <c r="FL36" s="27"/>
      <c r="FM36" s="28">
        <f t="shared" si="57"/>
        <v>0</v>
      </c>
      <c r="FN36" s="36"/>
      <c r="FO36" s="27"/>
      <c r="FP36" s="27"/>
      <c r="FQ36" s="27"/>
      <c r="FR36" s="27"/>
      <c r="FS36" s="27"/>
      <c r="FT36" s="28">
        <f t="shared" si="58"/>
        <v>0</v>
      </c>
      <c r="FU36" s="36"/>
      <c r="FV36" s="36"/>
      <c r="FW36" s="27"/>
      <c r="FX36" s="27"/>
      <c r="FY36" s="27"/>
      <c r="FZ36" s="27"/>
      <c r="GA36" s="27"/>
      <c r="GB36" s="27"/>
      <c r="GC36" s="27"/>
      <c r="GD36" s="27"/>
      <c r="GE36" s="27"/>
      <c r="GF36" s="33"/>
      <c r="GG36" s="33">
        <f t="shared" si="59"/>
        <v>0</v>
      </c>
      <c r="GH36" s="2674"/>
      <c r="GJ36" s="2">
        <f t="shared" si="133"/>
        <v>3443.75</v>
      </c>
      <c r="GK36" s="63">
        <f t="shared" si="134"/>
        <v>330.6</v>
      </c>
      <c r="GL36" s="24">
        <f t="shared" si="135"/>
        <v>406.7</v>
      </c>
      <c r="GM36" s="53">
        <f t="shared" si="60"/>
        <v>4181.05</v>
      </c>
      <c r="GN36" s="141"/>
      <c r="GO36" s="141"/>
      <c r="GP36" s="33"/>
      <c r="GQ36" s="2667"/>
      <c r="GR36" s="152">
        <v>4181.0499999999993</v>
      </c>
      <c r="GS36" s="27">
        <v>0</v>
      </c>
      <c r="GT36" s="27">
        <v>0</v>
      </c>
      <c r="GU36" s="27">
        <v>0</v>
      </c>
      <c r="GV36" s="33">
        <f t="shared" si="61"/>
        <v>4181.0499999999993</v>
      </c>
      <c r="GW36" s="2667"/>
      <c r="GX36" s="36"/>
      <c r="GY36" s="36"/>
      <c r="GZ36" s="27"/>
      <c r="HA36" s="27"/>
      <c r="HB36" s="27"/>
      <c r="HC36" s="27"/>
      <c r="HD36" s="27"/>
      <c r="HE36" s="27"/>
      <c r="HF36" s="27">
        <v>0</v>
      </c>
      <c r="HG36" s="27"/>
      <c r="HH36" s="27">
        <v>3443.75</v>
      </c>
      <c r="HI36" s="27"/>
      <c r="HJ36" s="27">
        <v>0</v>
      </c>
      <c r="HK36" s="27"/>
      <c r="HL36" s="28">
        <f t="shared" si="62"/>
        <v>3443.75</v>
      </c>
      <c r="HM36" s="36"/>
      <c r="HN36" s="27"/>
      <c r="HO36" s="27"/>
      <c r="HP36" s="27"/>
      <c r="HQ36" s="27"/>
      <c r="HR36" s="27"/>
      <c r="HS36" s="27" cm="1">
        <f t="array" ref="HS36">SUMPRODUCT(('Data Base hauling'!$C$2:$C$216="TCM-ROM SB1 BK05-ROM 4")*(ISNUMBER(SEARCH(TEXT('March TCM'!$B36,"00")&amp;"/03/2026",'Data Base hauling'!$E$2:$E$216)))*'Data Base hauling'!$N$2:$N$216)</f>
        <v>0</v>
      </c>
      <c r="HT36" s="27"/>
      <c r="HU36" s="27" cm="1">
        <f t="array" ref="HU36">SUMPRODUCT(('Data Base hauling'!$C$2:$C$216="TCM-ROM SB1 BK05-ROM 5")*(ISNUMBER(SEARCH(TEXT('March TCM'!$B36,"00")&amp;"/03/2026",'Data Base hauling'!$E$2:$E$216)))*'Data Base hauling'!$N$2:$N$216)</f>
        <v>0</v>
      </c>
      <c r="HV36" s="27"/>
      <c r="HW36" s="27"/>
      <c r="HX36" s="27"/>
      <c r="HY36" s="27"/>
      <c r="HZ36" s="27"/>
      <c r="IA36" s="33">
        <f t="shared" si="63"/>
        <v>0</v>
      </c>
      <c r="IB36" s="52"/>
      <c r="IC36" s="152"/>
      <c r="ID36" s="53"/>
      <c r="IE36" s="53"/>
      <c r="IF36" s="53"/>
      <c r="IG36" s="53"/>
      <c r="IH36" s="53">
        <v>0</v>
      </c>
      <c r="II36" s="53"/>
      <c r="IJ36" s="53">
        <v>330.6</v>
      </c>
      <c r="IK36" s="53"/>
      <c r="IL36" s="53">
        <v>0</v>
      </c>
      <c r="IM36" s="53"/>
      <c r="IN36" s="53"/>
      <c r="IO36" s="49">
        <v>0</v>
      </c>
      <c r="IP36" s="61">
        <f t="shared" si="64"/>
        <v>330.6</v>
      </c>
      <c r="IQ36" s="36"/>
      <c r="IR36" s="36"/>
      <c r="IS36" s="27"/>
      <c r="IT36" s="27"/>
      <c r="IU36" s="53"/>
      <c r="IV36" s="27"/>
      <c r="IW36" s="27">
        <v>0</v>
      </c>
      <c r="IX36" s="27"/>
      <c r="IY36" s="27">
        <v>74.7</v>
      </c>
      <c r="IZ36" s="27"/>
      <c r="JA36" s="27">
        <v>332</v>
      </c>
      <c r="JB36" s="27"/>
      <c r="JC36" s="27"/>
      <c r="JD36" s="27"/>
      <c r="JE36" s="33">
        <f t="shared" si="138"/>
        <v>406.7</v>
      </c>
      <c r="JF36" s="2667"/>
      <c r="JH36" s="2020">
        <v>0</v>
      </c>
      <c r="JI36" s="2021">
        <v>4181.0499999999993</v>
      </c>
      <c r="JJ36" s="53"/>
      <c r="JK36" s="53">
        <f t="shared" si="65"/>
        <v>4181.0499999999993</v>
      </c>
      <c r="JL36" s="33"/>
      <c r="JM36" s="2669"/>
      <c r="JN36" s="69" t="s">
        <v>296</v>
      </c>
      <c r="JO36" s="70" t="s">
        <v>296</v>
      </c>
      <c r="JP36" s="70" t="s">
        <v>296</v>
      </c>
      <c r="JQ36" s="70" t="s">
        <v>296</v>
      </c>
      <c r="JR36" s="70" t="s">
        <v>296</v>
      </c>
      <c r="JS36" s="70" t="s">
        <v>296</v>
      </c>
      <c r="JT36" s="70" t="s">
        <v>296</v>
      </c>
      <c r="JU36" s="1922">
        <v>0</v>
      </c>
      <c r="JV36" s="69">
        <v>0</v>
      </c>
      <c r="JW36" s="70">
        <v>0</v>
      </c>
      <c r="JX36" s="70">
        <v>0</v>
      </c>
      <c r="JY36" s="70">
        <v>0</v>
      </c>
      <c r="JZ36" s="70">
        <v>9.6937372191196011E-2</v>
      </c>
      <c r="KA36" s="70">
        <v>0.9030626278088042</v>
      </c>
      <c r="KB36" s="70">
        <v>0</v>
      </c>
      <c r="KC36" s="71">
        <v>0</v>
      </c>
      <c r="KD36" s="69"/>
      <c r="KE36" s="70"/>
      <c r="KF36" s="70"/>
      <c r="KG36" s="70"/>
      <c r="KH36" s="70"/>
      <c r="KI36" s="70"/>
      <c r="KJ36" s="70"/>
      <c r="KK36" s="70"/>
      <c r="KL36" s="33"/>
      <c r="KM36" s="2669"/>
      <c r="KN36" s="36">
        <v>0</v>
      </c>
      <c r="KO36" s="1968">
        <v>0</v>
      </c>
      <c r="KP36" s="1968">
        <v>0</v>
      </c>
      <c r="KQ36" s="1968">
        <v>0</v>
      </c>
      <c r="KR36" s="1969">
        <v>0</v>
      </c>
      <c r="KS36" s="1959">
        <v>6958</v>
      </c>
      <c r="KT36" s="1964">
        <v>2.5099999999999998</v>
      </c>
      <c r="KU36" s="1964">
        <v>7.28</v>
      </c>
      <c r="KV36" s="1964">
        <v>4.2</v>
      </c>
      <c r="KW36" s="1965">
        <v>8.3098200000000002</v>
      </c>
      <c r="KX36" s="36"/>
      <c r="KY36" s="53"/>
      <c r="KZ36" s="53"/>
      <c r="LA36" s="53"/>
      <c r="LB36" s="53"/>
      <c r="LC36" s="33"/>
      <c r="LD36" s="2669"/>
      <c r="LF36" s="26">
        <f t="shared" si="66"/>
        <v>7539.2</v>
      </c>
      <c r="LG36" s="27">
        <f t="shared" si="66"/>
        <v>0</v>
      </c>
      <c r="LH36" s="27">
        <f t="shared" si="66"/>
        <v>0</v>
      </c>
      <c r="LI36" s="28">
        <f t="shared" si="67"/>
        <v>7539.2</v>
      </c>
      <c r="LJ36" s="36">
        <v>1</v>
      </c>
      <c r="LK36" s="27"/>
      <c r="LL36" s="27">
        <v>2</v>
      </c>
      <c r="LM36" s="33"/>
      <c r="LN36" s="1041">
        <v>4.96</v>
      </c>
      <c r="LO36" s="857"/>
      <c r="LP36" s="2688"/>
      <c r="LQ36" s="36">
        <v>7539.2</v>
      </c>
      <c r="LR36" s="36"/>
      <c r="LS36" s="27"/>
      <c r="LT36" s="27"/>
      <c r="LU36" s="27"/>
      <c r="LV36" s="1107">
        <f t="shared" si="68"/>
        <v>7539.2</v>
      </c>
      <c r="LW36" s="36"/>
      <c r="LX36" s="36"/>
      <c r="LY36" s="27"/>
      <c r="LZ36" s="27"/>
      <c r="MA36" s="33"/>
      <c r="MB36" s="28">
        <f t="shared" si="69"/>
        <v>0</v>
      </c>
      <c r="MC36" s="26"/>
      <c r="MD36" s="36"/>
      <c r="ME36" s="27"/>
      <c r="MF36" s="27"/>
      <c r="MG36" s="27"/>
      <c r="MH36" s="28"/>
      <c r="MI36" s="36"/>
      <c r="MJ36" s="36"/>
      <c r="MK36" s="27"/>
      <c r="ML36" s="27"/>
      <c r="MM36" s="27"/>
      <c r="MN36" s="28"/>
      <c r="MO36" s="36"/>
      <c r="MP36" s="36"/>
      <c r="MQ36" s="27"/>
      <c r="MR36" s="27"/>
      <c r="MS36" s="27"/>
      <c r="MT36" s="33">
        <f t="shared" si="70"/>
        <v>0</v>
      </c>
      <c r="MU36" s="2688"/>
      <c r="MW36" s="26">
        <f t="shared" si="71"/>
        <v>66758.562645013386</v>
      </c>
      <c r="MX36" s="27">
        <f t="shared" si="72"/>
        <v>81550.992248823502</v>
      </c>
      <c r="MY36" s="27">
        <f t="shared" si="73"/>
        <v>20111.74520127946</v>
      </c>
      <c r="MZ36" s="28">
        <f t="shared" si="74"/>
        <v>431313.24855850998</v>
      </c>
      <c r="NA36" s="2621"/>
      <c r="NB36" s="23">
        <f t="shared" si="75"/>
        <v>19438.215937467849</v>
      </c>
      <c r="NC36" s="1579">
        <f t="shared" si="76"/>
        <v>47320.346707545541</v>
      </c>
      <c r="ND36" s="60">
        <f t="shared" si="77"/>
        <v>0</v>
      </c>
      <c r="NE36" s="275">
        <f t="shared" si="4"/>
        <v>66758.562645013386</v>
      </c>
      <c r="NF36" s="26">
        <v>0</v>
      </c>
      <c r="NG36" s="27">
        <v>0</v>
      </c>
      <c r="NH36" s="27">
        <v>0</v>
      </c>
      <c r="NI36" s="27">
        <v>0</v>
      </c>
      <c r="NJ36" s="27">
        <v>0</v>
      </c>
      <c r="NK36" s="33">
        <v>0</v>
      </c>
      <c r="NL36" s="27">
        <v>0</v>
      </c>
      <c r="NM36" s="36">
        <v>0</v>
      </c>
      <c r="NN36" s="24">
        <f t="shared" si="156"/>
        <v>3937.8305665631437</v>
      </c>
      <c r="NO36" s="27">
        <f t="shared" si="156"/>
        <v>26196.69549600617</v>
      </c>
      <c r="NP36" s="24">
        <f t="shared" si="136"/>
        <v>8756.5482322711578</v>
      </c>
      <c r="NQ36" s="24">
        <f t="shared" si="137"/>
        <v>14215.374118033411</v>
      </c>
      <c r="NR36" s="27">
        <f t="shared" si="0"/>
        <v>53106.448412873884</v>
      </c>
      <c r="NS36" s="27">
        <f t="shared" si="79"/>
        <v>0</v>
      </c>
      <c r="NT36" s="27">
        <f t="shared" si="80"/>
        <v>0</v>
      </c>
      <c r="NU36" s="27">
        <f t="shared" si="81"/>
        <v>0</v>
      </c>
      <c r="NV36" s="27">
        <f t="shared" si="82"/>
        <v>0</v>
      </c>
      <c r="NW36" s="27">
        <f t="shared" si="83"/>
        <v>0</v>
      </c>
      <c r="NX36" s="5">
        <f t="shared" si="84"/>
        <v>0</v>
      </c>
      <c r="NY36" s="27">
        <f t="shared" si="85"/>
        <v>3774.9536022929124</v>
      </c>
      <c r="NZ36" s="27">
        <f t="shared" si="86"/>
        <v>0</v>
      </c>
      <c r="OA36" s="27">
        <f t="shared" si="87"/>
        <v>3677.3580667828387</v>
      </c>
      <c r="OB36" s="27"/>
      <c r="OC36" s="24">
        <f t="shared" si="88"/>
        <v>349.54339982995594</v>
      </c>
      <c r="OD36" s="27">
        <f t="shared" si="89"/>
        <v>0</v>
      </c>
      <c r="OE36" s="28">
        <f t="shared" si="1"/>
        <v>7801.8550689057065</v>
      </c>
      <c r="OF36" s="27">
        <f t="shared" si="149"/>
        <v>0</v>
      </c>
      <c r="OG36" s="27">
        <f t="shared" si="150"/>
        <v>0</v>
      </c>
      <c r="OH36" s="27">
        <f t="shared" si="155"/>
        <v>0</v>
      </c>
      <c r="OI36" s="27">
        <f t="shared" si="151"/>
        <v>0</v>
      </c>
      <c r="OJ36" s="27">
        <f t="shared" si="152"/>
        <v>0</v>
      </c>
      <c r="OK36" s="27">
        <f t="shared" si="153"/>
        <v>0</v>
      </c>
      <c r="OL36" s="24">
        <f t="shared" si="145"/>
        <v>0</v>
      </c>
      <c r="OM36" s="27">
        <f t="shared" si="140"/>
        <v>0</v>
      </c>
      <c r="ON36" s="24">
        <f t="shared" si="141"/>
        <v>18395.603599110997</v>
      </c>
      <c r="OO36" s="27">
        <f t="shared" si="142"/>
        <v>0</v>
      </c>
      <c r="OP36" s="27">
        <f t="shared" si="143"/>
        <v>2247.0851679329135</v>
      </c>
      <c r="OQ36" s="27">
        <f t="shared" si="144"/>
        <v>0</v>
      </c>
      <c r="OR36" s="28">
        <f t="shared" si="2"/>
        <v>20642.68876704391</v>
      </c>
      <c r="OS36" s="36"/>
      <c r="OT36" s="27"/>
      <c r="OU36" s="27"/>
      <c r="OV36" s="27"/>
      <c r="OW36" s="27"/>
      <c r="OX36" s="27"/>
      <c r="OY36" s="28">
        <f t="shared" si="91"/>
        <v>0</v>
      </c>
      <c r="OZ36" s="36">
        <f t="shared" si="92"/>
        <v>0</v>
      </c>
      <c r="PA36" s="27">
        <f t="shared" si="93"/>
        <v>0</v>
      </c>
      <c r="PB36" s="27">
        <f t="shared" si="94"/>
        <v>0</v>
      </c>
      <c r="PC36" s="27">
        <f t="shared" si="95"/>
        <v>0</v>
      </c>
      <c r="PD36" s="27">
        <f t="shared" si="96"/>
        <v>0</v>
      </c>
      <c r="PE36" s="27">
        <f t="shared" si="97"/>
        <v>0</v>
      </c>
      <c r="PF36" s="33">
        <f t="shared" si="3"/>
        <v>0</v>
      </c>
      <c r="PG36" s="2621"/>
      <c r="PI36" s="2">
        <v>1279.24</v>
      </c>
      <c r="PJ36" s="3"/>
      <c r="PK36" s="3"/>
      <c r="PL36" s="3">
        <f t="shared" si="98"/>
        <v>0</v>
      </c>
      <c r="PM36" s="3">
        <f t="shared" si="99"/>
        <v>7145.2153876938928</v>
      </c>
      <c r="PN36" s="11">
        <f t="shared" si="100"/>
        <v>20111.74520127946</v>
      </c>
      <c r="PO36" s="15"/>
      <c r="PP36" s="2615"/>
      <c r="PR36" s="4"/>
      <c r="PS36" s="9"/>
      <c r="PT36" s="9"/>
      <c r="PU36" s="9"/>
      <c r="PV36" s="9">
        <v>0</v>
      </c>
      <c r="PW36" s="9"/>
      <c r="PX36" s="8">
        <f t="shared" si="101"/>
        <v>0</v>
      </c>
      <c r="PY36" s="5">
        <f t="shared" si="102"/>
        <v>1279.24</v>
      </c>
      <c r="PZ36" s="5"/>
      <c r="QA36" s="5"/>
      <c r="QB36" s="5"/>
      <c r="QC36" s="5"/>
      <c r="QD36" s="5"/>
      <c r="QE36" s="12">
        <f t="shared" si="103"/>
        <v>29562.488999999998</v>
      </c>
      <c r="QF36" s="420">
        <f t="shared" si="104"/>
        <v>400065.87955850997</v>
      </c>
      <c r="QG36" s="1106">
        <f t="shared" si="105"/>
        <v>1684.88</v>
      </c>
      <c r="QH36" s="484">
        <f t="shared" si="106"/>
        <v>5505.3678056099998</v>
      </c>
      <c r="QI36" s="12"/>
      <c r="QJ36" s="2615"/>
      <c r="QL36" s="139" t="str">
        <f t="shared" si="107"/>
        <v/>
      </c>
      <c r="QM36" s="139" t="str">
        <f t="shared" si="108"/>
        <v/>
      </c>
      <c r="QO36" s="139">
        <f t="shared" si="109"/>
        <v>0</v>
      </c>
      <c r="QP36" s="139">
        <f t="shared" si="110"/>
        <v>0</v>
      </c>
      <c r="QR36" s="1">
        <f t="shared" si="111"/>
        <v>0</v>
      </c>
      <c r="QS36" s="1">
        <f t="shared" si="112"/>
        <v>0</v>
      </c>
      <c r="QT36" s="1">
        <f t="shared" si="113"/>
        <v>0</v>
      </c>
      <c r="QU36" s="1">
        <f t="shared" si="114"/>
        <v>0</v>
      </c>
      <c r="QV36" s="1">
        <f t="shared" si="115"/>
        <v>0</v>
      </c>
      <c r="QW36" s="1">
        <f t="shared" si="116"/>
        <v>0</v>
      </c>
      <c r="QY36" s="1">
        <f t="shared" si="117"/>
        <v>0</v>
      </c>
      <c r="QZ36" s="1">
        <f t="shared" si="118"/>
        <v>0</v>
      </c>
      <c r="RA36" s="1">
        <f t="shared" si="119"/>
        <v>0</v>
      </c>
      <c r="RB36" s="1">
        <f t="shared" si="120"/>
        <v>0</v>
      </c>
      <c r="RC36" s="1">
        <f t="shared" si="121"/>
        <v>0</v>
      </c>
      <c r="RD36" s="1">
        <f t="shared" si="122"/>
        <v>0</v>
      </c>
      <c r="RG36" s="1">
        <v>27</v>
      </c>
      <c r="RH36" s="1">
        <f t="shared" si="146"/>
        <v>-10591.798290282899</v>
      </c>
      <c r="RI36" s="1">
        <f t="shared" si="147"/>
        <v>29339.585280483716</v>
      </c>
      <c r="RJ36" s="1">
        <f t="shared" si="148"/>
        <v>13404.263703387322</v>
      </c>
      <c r="RK36" s="89">
        <f t="shared" si="5"/>
        <v>32152.050693588139</v>
      </c>
      <c r="RL36" s="1033">
        <v>27</v>
      </c>
      <c r="RM36" s="1098">
        <f t="shared" si="124"/>
        <v>0</v>
      </c>
      <c r="RN36" s="1098">
        <f t="shared" si="125"/>
        <v>0</v>
      </c>
      <c r="RO36" s="1097">
        <f t="shared" si="125"/>
        <v>0</v>
      </c>
      <c r="RP36" s="1097">
        <f t="shared" si="126"/>
        <v>5097.99</v>
      </c>
      <c r="RQ36" s="1050"/>
      <c r="RR36" s="1050" t="s">
        <v>855</v>
      </c>
      <c r="RU36" s="421">
        <v>27</v>
      </c>
      <c r="RV36" s="1095">
        <f t="shared" si="127"/>
        <v>4181.0499999999993</v>
      </c>
      <c r="RW36" s="1046" t="s">
        <v>856</v>
      </c>
      <c r="RY36" s="1090"/>
      <c r="RZ36" s="1090">
        <f t="shared" si="128"/>
        <v>0</v>
      </c>
      <c r="SA36" s="1090"/>
      <c r="SB36" s="1090">
        <f t="shared" si="129"/>
        <v>0</v>
      </c>
      <c r="SD36" s="1">
        <v>27</v>
      </c>
      <c r="SE36" s="1">
        <f t="shared" si="130"/>
        <v>0</v>
      </c>
      <c r="SF36" s="1094"/>
    </row>
    <row r="37" spans="1:500" s="1" customFormat="1">
      <c r="B37" s="471">
        <v>28</v>
      </c>
      <c r="C37" s="4">
        <f t="shared" si="6"/>
        <v>130010</v>
      </c>
      <c r="D37" s="1918">
        <f t="shared" si="131"/>
        <v>6685.1600000000008</v>
      </c>
      <c r="E37" s="1895">
        <f t="shared" si="7"/>
        <v>19.447552489394418</v>
      </c>
      <c r="F37" s="870"/>
      <c r="G37" s="870"/>
      <c r="H37" s="52"/>
      <c r="I37" s="61"/>
      <c r="J37" s="52"/>
      <c r="K37" s="54"/>
      <c r="L37" s="52">
        <v>3.67</v>
      </c>
      <c r="M37" s="61">
        <v>6.13</v>
      </c>
      <c r="N37" s="2629"/>
      <c r="O37" s="4">
        <f t="shared" si="132"/>
        <v>78162</v>
      </c>
      <c r="P37" s="5">
        <f t="shared" si="8"/>
        <v>3282.9000000000005</v>
      </c>
      <c r="Q37" s="1913">
        <f t="shared" si="9"/>
        <v>23.808827560997894</v>
      </c>
      <c r="R37" s="33"/>
      <c r="S37" s="26">
        <f t="shared" si="10"/>
        <v>16818</v>
      </c>
      <c r="T37" s="27">
        <f t="shared" si="11"/>
        <v>682.26</v>
      </c>
      <c r="U37" s="1909">
        <f t="shared" si="12"/>
        <v>24.650426523612698</v>
      </c>
      <c r="V37" s="28"/>
      <c r="W37" s="26">
        <f t="shared" si="13"/>
        <v>35030</v>
      </c>
      <c r="X37" s="5">
        <f t="shared" si="13"/>
        <v>2720</v>
      </c>
      <c r="Y37" s="325">
        <f t="shared" si="14"/>
        <v>12.878676470588236</v>
      </c>
      <c r="Z37" s="33"/>
      <c r="AA37" s="26">
        <f t="shared" si="15"/>
        <v>0</v>
      </c>
      <c r="AB37" s="27">
        <f t="shared" si="16"/>
        <v>0</v>
      </c>
      <c r="AC37" s="53">
        <f t="shared" si="17"/>
        <v>0</v>
      </c>
      <c r="AD37" s="28"/>
      <c r="AE37" s="36"/>
      <c r="AF37" s="36"/>
      <c r="AG37" s="53">
        <f t="shared" si="18"/>
        <v>0</v>
      </c>
      <c r="AH37" s="28"/>
      <c r="AI37" s="26"/>
      <c r="AJ37" s="27"/>
      <c r="AK37" s="53">
        <f t="shared" si="19"/>
        <v>0</v>
      </c>
      <c r="AL37" s="28"/>
      <c r="AM37" s="2629"/>
      <c r="AN37" s="9"/>
      <c r="AO37" s="5"/>
      <c r="AP37" s="61">
        <f t="shared" si="20"/>
        <v>0</v>
      </c>
      <c r="AQ37" s="36"/>
      <c r="AR37" s="53"/>
      <c r="AS37" s="61">
        <f t="shared" si="21"/>
        <v>0</v>
      </c>
      <c r="AT37" s="36"/>
      <c r="AU37" s="27"/>
      <c r="AV37" s="61">
        <f t="shared" si="22"/>
        <v>0</v>
      </c>
      <c r="AW37" s="36">
        <v>39060</v>
      </c>
      <c r="AX37" s="27">
        <v>3282.9000000000005</v>
      </c>
      <c r="AY37" s="1895">
        <f t="shared" si="23"/>
        <v>11.898016997167137</v>
      </c>
      <c r="AZ37" s="1908"/>
      <c r="BA37" s="1909"/>
      <c r="BB37" s="1895">
        <f t="shared" si="24"/>
        <v>0</v>
      </c>
      <c r="BC37" s="1908">
        <v>39102</v>
      </c>
      <c r="BD37" s="1909">
        <v>0</v>
      </c>
      <c r="BE37" s="1895">
        <f t="shared" si="154"/>
        <v>0</v>
      </c>
      <c r="BF37" s="1908"/>
      <c r="BG37" s="1909"/>
      <c r="BH37" s="1895">
        <f t="shared" si="26"/>
        <v>0</v>
      </c>
      <c r="BI37" s="1908">
        <v>0</v>
      </c>
      <c r="BJ37" s="1909">
        <v>0</v>
      </c>
      <c r="BK37" s="1895">
        <f t="shared" si="27"/>
        <v>0</v>
      </c>
      <c r="BL37" s="1910">
        <v>16818</v>
      </c>
      <c r="BM37" s="1909">
        <v>682.26</v>
      </c>
      <c r="BN37" s="1895">
        <f t="shared" si="28"/>
        <v>24.650426523612698</v>
      </c>
      <c r="BO37" s="9"/>
      <c r="BP37" s="64"/>
      <c r="BQ37" s="61">
        <f t="shared" si="29"/>
        <v>0</v>
      </c>
      <c r="BR37" s="36"/>
      <c r="BS37" s="53"/>
      <c r="BT37" s="61">
        <f t="shared" si="30"/>
        <v>0</v>
      </c>
      <c r="BU37" s="36">
        <v>35030</v>
      </c>
      <c r="BV37" s="5">
        <v>2720</v>
      </c>
      <c r="BW37" s="28">
        <f t="shared" si="31"/>
        <v>12.878676470588236</v>
      </c>
      <c r="BX37" s="26"/>
      <c r="BY37" s="5"/>
      <c r="BZ37" s="61">
        <f t="shared" si="32"/>
        <v>0</v>
      </c>
      <c r="CA37" s="36"/>
      <c r="CB37" s="5"/>
      <c r="CC37" s="61">
        <f t="shared" si="33"/>
        <v>0</v>
      </c>
      <c r="CD37" s="26"/>
      <c r="CE37" s="5"/>
      <c r="CF37" s="28">
        <f t="shared" si="34"/>
        <v>0</v>
      </c>
      <c r="CG37" s="150"/>
      <c r="CH37" s="1108"/>
      <c r="CI37" s="5"/>
      <c r="CJ37" s="5"/>
      <c r="CK37" s="5">
        <v>1637.5</v>
      </c>
      <c r="CL37" s="5"/>
      <c r="CM37" s="5">
        <f t="shared" si="35"/>
        <v>1637.5</v>
      </c>
      <c r="CN37" s="33"/>
      <c r="CO37" s="366"/>
      <c r="CQ37" s="4">
        <f t="shared" si="36"/>
        <v>0</v>
      </c>
      <c r="CR37" s="9">
        <f t="shared" si="37"/>
        <v>0</v>
      </c>
      <c r="CS37" s="5">
        <f t="shared" si="38"/>
        <v>0</v>
      </c>
      <c r="CT37" s="5">
        <f t="shared" si="39"/>
        <v>0</v>
      </c>
      <c r="CU37" s="5">
        <f t="shared" si="40"/>
        <v>0</v>
      </c>
      <c r="CV37" s="5">
        <f t="shared" si="41"/>
        <v>0</v>
      </c>
      <c r="CW37" s="5">
        <f t="shared" si="42"/>
        <v>516.05999999999995</v>
      </c>
      <c r="CX37" s="5">
        <f t="shared" si="43"/>
        <v>0</v>
      </c>
      <c r="CY37" s="5">
        <f t="shared" si="44"/>
        <v>6169.1</v>
      </c>
      <c r="CZ37" s="5">
        <f t="shared" si="45"/>
        <v>0</v>
      </c>
      <c r="DA37" s="5">
        <f t="shared" si="46"/>
        <v>0</v>
      </c>
      <c r="DB37" s="12">
        <f t="shared" si="47"/>
        <v>0</v>
      </c>
      <c r="DC37" s="310">
        <f>SUM(CQ37:DB37,PV37,PW37)</f>
        <v>6685.16</v>
      </c>
      <c r="DD37" s="2695"/>
      <c r="DE37" s="8"/>
      <c r="DF37" s="9"/>
      <c r="DG37" s="5"/>
      <c r="DH37" s="5"/>
      <c r="DI37" s="5"/>
      <c r="DJ37" s="5"/>
      <c r="DK37" s="5">
        <v>516.05999999999995</v>
      </c>
      <c r="DL37" s="5"/>
      <c r="DM37" s="5">
        <v>2766.8400000000006</v>
      </c>
      <c r="DN37" s="5"/>
      <c r="DO37" s="5"/>
      <c r="DP37" s="12"/>
      <c r="DQ37" s="28">
        <f t="shared" si="49"/>
        <v>3282.9000000000005</v>
      </c>
      <c r="DR37" s="36"/>
      <c r="DS37" s="36"/>
      <c r="DT37" s="27"/>
      <c r="DU37" s="27"/>
      <c r="DV37" s="27"/>
      <c r="DW37" s="27"/>
      <c r="DX37" s="27"/>
      <c r="DY37" s="27"/>
      <c r="DZ37" s="27">
        <v>682.26</v>
      </c>
      <c r="EA37" s="27"/>
      <c r="EB37" s="27">
        <v>0</v>
      </c>
      <c r="EC37" s="33"/>
      <c r="ED37" s="28">
        <f t="shared" si="50"/>
        <v>682.26</v>
      </c>
      <c r="EE37" s="9"/>
      <c r="EF37" s="36"/>
      <c r="EG37" s="27"/>
      <c r="EH37" s="27"/>
      <c r="EI37" s="27"/>
      <c r="EJ37" s="27"/>
      <c r="EK37" s="27"/>
      <c r="EL37" s="27"/>
      <c r="EM37" s="5">
        <v>2720</v>
      </c>
      <c r="EN37" s="5"/>
      <c r="EO37" s="5">
        <v>0</v>
      </c>
      <c r="EP37" s="33"/>
      <c r="EQ37" s="28">
        <f t="shared" si="51"/>
        <v>2720</v>
      </c>
      <c r="ER37" s="36"/>
      <c r="ES37" s="27"/>
      <c r="ET37" s="27"/>
      <c r="EU37" s="27"/>
      <c r="EV37" s="27"/>
      <c r="EW37" s="27"/>
      <c r="EX37" s="33">
        <f t="shared" si="52"/>
        <v>0</v>
      </c>
      <c r="EY37" s="2685"/>
      <c r="FA37" s="4">
        <f t="shared" si="53"/>
        <v>0</v>
      </c>
      <c r="FB37" s="5">
        <f t="shared" si="54"/>
        <v>0</v>
      </c>
      <c r="FC37" s="5">
        <f t="shared" si="55"/>
        <v>0</v>
      </c>
      <c r="FD37" s="12">
        <f t="shared" si="56"/>
        <v>0</v>
      </c>
      <c r="FE37" s="33"/>
      <c r="FF37" s="2674"/>
      <c r="FG37" s="9"/>
      <c r="FH37" s="5"/>
      <c r="FI37" s="5"/>
      <c r="FJ37" s="5"/>
      <c r="FK37" s="5"/>
      <c r="FL37" s="27"/>
      <c r="FM37" s="28">
        <f t="shared" si="57"/>
        <v>0</v>
      </c>
      <c r="FN37" s="36"/>
      <c r="FO37" s="27"/>
      <c r="FP37" s="27"/>
      <c r="FQ37" s="27"/>
      <c r="FR37" s="27"/>
      <c r="FS37" s="27"/>
      <c r="FT37" s="28">
        <f t="shared" si="58"/>
        <v>0</v>
      </c>
      <c r="FU37" s="36"/>
      <c r="FV37" s="36"/>
      <c r="FW37" s="27"/>
      <c r="FX37" s="27"/>
      <c r="FY37" s="27"/>
      <c r="FZ37" s="27"/>
      <c r="GA37" s="27"/>
      <c r="GB37" s="27"/>
      <c r="GC37" s="27"/>
      <c r="GD37" s="27"/>
      <c r="GE37" s="27"/>
      <c r="GF37" s="33"/>
      <c r="GG37" s="33">
        <f t="shared" si="59"/>
        <v>0</v>
      </c>
      <c r="GH37" s="2674"/>
      <c r="GJ37" s="2">
        <f t="shared" si="133"/>
        <v>0</v>
      </c>
      <c r="GK37" s="63">
        <f t="shared" si="134"/>
        <v>1559.15</v>
      </c>
      <c r="GL37" s="24">
        <f t="shared" si="135"/>
        <v>1939.55</v>
      </c>
      <c r="GM37" s="53">
        <f t="shared" si="60"/>
        <v>3498.7</v>
      </c>
      <c r="GN37" s="141"/>
      <c r="GO37" s="141"/>
      <c r="GP37" s="33"/>
      <c r="GQ37" s="2667"/>
      <c r="GR37" s="152">
        <v>3498.7</v>
      </c>
      <c r="GS37" s="27">
        <v>0</v>
      </c>
      <c r="GT37" s="27">
        <v>0</v>
      </c>
      <c r="GU37" s="27">
        <v>0</v>
      </c>
      <c r="GV37" s="33">
        <f t="shared" si="61"/>
        <v>3498.7</v>
      </c>
      <c r="GW37" s="2667"/>
      <c r="GX37" s="36"/>
      <c r="GY37" s="36"/>
      <c r="GZ37" s="27"/>
      <c r="HA37" s="27"/>
      <c r="HB37" s="27"/>
      <c r="HC37" s="27"/>
      <c r="HD37" s="27"/>
      <c r="HE37" s="27"/>
      <c r="HF37" s="27">
        <v>0</v>
      </c>
      <c r="HG37" s="27"/>
      <c r="HH37" s="27">
        <v>0</v>
      </c>
      <c r="HI37" s="27"/>
      <c r="HJ37" s="27">
        <v>0</v>
      </c>
      <c r="HK37" s="27"/>
      <c r="HL37" s="28">
        <f t="shared" si="62"/>
        <v>0</v>
      </c>
      <c r="HM37" s="36"/>
      <c r="HN37" s="27"/>
      <c r="HO37" s="27"/>
      <c r="HP37" s="27"/>
      <c r="HQ37" s="27"/>
      <c r="HR37" s="27"/>
      <c r="HS37" s="27" cm="1">
        <f t="array" ref="HS37">SUMPRODUCT(('Data Base hauling'!$C$2:$C$216="TCM-ROM SB1 BK05-ROM 4")*(ISNUMBER(SEARCH(TEXT('March TCM'!$B37,"00")&amp;"/03/2026",'Data Base hauling'!$E$2:$E$216)))*'Data Base hauling'!$N$2:$N$216)</f>
        <v>0</v>
      </c>
      <c r="HT37" s="27"/>
      <c r="HU37" s="27" cm="1">
        <f t="array" ref="HU37">SUMPRODUCT(('Data Base hauling'!$C$2:$C$216="TCM-ROM SB1 BK05-ROM 5")*(ISNUMBER(SEARCH(TEXT('March TCM'!$B37,"00")&amp;"/03/2026",'Data Base hauling'!$E$2:$E$216)))*'Data Base hauling'!$N$2:$N$216)</f>
        <v>0</v>
      </c>
      <c r="HV37" s="27"/>
      <c r="HW37" s="27"/>
      <c r="HX37" s="27"/>
      <c r="HY37" s="27"/>
      <c r="HZ37" s="27"/>
      <c r="IA37" s="33">
        <f t="shared" si="63"/>
        <v>0</v>
      </c>
      <c r="IB37" s="52"/>
      <c r="IC37" s="152"/>
      <c r="ID37" s="53"/>
      <c r="IE37" s="53"/>
      <c r="IF37" s="53"/>
      <c r="IG37" s="53"/>
      <c r="IH37" s="53">
        <v>0</v>
      </c>
      <c r="II37" s="53"/>
      <c r="IJ37" s="53">
        <v>1559.15</v>
      </c>
      <c r="IK37" s="53"/>
      <c r="IL37" s="53">
        <v>0</v>
      </c>
      <c r="IM37" s="53"/>
      <c r="IN37" s="53"/>
      <c r="IO37" s="49">
        <v>0</v>
      </c>
      <c r="IP37" s="61">
        <f t="shared" si="64"/>
        <v>1559.15</v>
      </c>
      <c r="IQ37" s="36"/>
      <c r="IR37" s="36"/>
      <c r="IS37" s="27"/>
      <c r="IT37" s="27"/>
      <c r="IU37" s="53"/>
      <c r="IV37" s="27"/>
      <c r="IW37" s="27">
        <v>0</v>
      </c>
      <c r="IX37" s="27"/>
      <c r="IY37" s="27">
        <v>1939.55</v>
      </c>
      <c r="IZ37" s="27"/>
      <c r="JA37" s="27">
        <v>0</v>
      </c>
      <c r="JB37" s="27"/>
      <c r="JC37" s="27"/>
      <c r="JD37" s="27"/>
      <c r="JE37" s="33">
        <f t="shared" si="138"/>
        <v>1939.55</v>
      </c>
      <c r="JF37" s="2667"/>
      <c r="JH37" s="2020">
        <v>3498.7</v>
      </c>
      <c r="JI37" s="2021">
        <v>0</v>
      </c>
      <c r="JJ37" s="53"/>
      <c r="JK37" s="53">
        <f t="shared" si="65"/>
        <v>3498.7</v>
      </c>
      <c r="JL37" s="33"/>
      <c r="JM37" s="2669"/>
      <c r="JN37" s="69">
        <v>0</v>
      </c>
      <c r="JO37" s="70">
        <v>0</v>
      </c>
      <c r="JP37" s="70">
        <v>0</v>
      </c>
      <c r="JQ37" s="70">
        <v>0</v>
      </c>
      <c r="JR37" s="70">
        <v>1</v>
      </c>
      <c r="JS37" s="70">
        <v>0</v>
      </c>
      <c r="JT37" s="70">
        <v>0</v>
      </c>
      <c r="JU37" s="1922">
        <v>0</v>
      </c>
      <c r="JV37" s="69" t="s">
        <v>296</v>
      </c>
      <c r="JW37" s="70" t="s">
        <v>296</v>
      </c>
      <c r="JX37" s="70" t="s">
        <v>296</v>
      </c>
      <c r="JY37" s="70" t="s">
        <v>296</v>
      </c>
      <c r="JZ37" s="70" t="s">
        <v>296</v>
      </c>
      <c r="KA37" s="70" t="s">
        <v>296</v>
      </c>
      <c r="KB37" s="70" t="s">
        <v>296</v>
      </c>
      <c r="KC37" s="71" t="s">
        <v>296</v>
      </c>
      <c r="KD37" s="69"/>
      <c r="KE37" s="70"/>
      <c r="KF37" s="70"/>
      <c r="KG37" s="70"/>
      <c r="KH37" s="70"/>
      <c r="KI37" s="70"/>
      <c r="KJ37" s="70"/>
      <c r="KK37" s="70"/>
      <c r="KL37" s="33"/>
      <c r="KM37" s="2669"/>
      <c r="KN37" s="36">
        <v>6844</v>
      </c>
      <c r="KO37" s="1968">
        <v>0.93</v>
      </c>
      <c r="KP37" s="1968">
        <v>4.7</v>
      </c>
      <c r="KQ37" s="1968">
        <v>6.07</v>
      </c>
      <c r="KR37" s="1969">
        <v>11.668227999999999</v>
      </c>
      <c r="KS37" s="1959">
        <v>0</v>
      </c>
      <c r="KT37" s="1964">
        <v>0</v>
      </c>
      <c r="KU37" s="1964">
        <v>0</v>
      </c>
      <c r="KV37" s="1964">
        <v>0</v>
      </c>
      <c r="KW37" s="1965">
        <v>0</v>
      </c>
      <c r="KX37" s="36"/>
      <c r="KY37" s="53"/>
      <c r="KZ37" s="53"/>
      <c r="LA37" s="53"/>
      <c r="LB37" s="53"/>
      <c r="LC37" s="33"/>
      <c r="LD37" s="2669"/>
      <c r="LF37" s="26">
        <f t="shared" si="66"/>
        <v>0</v>
      </c>
      <c r="LG37" s="27">
        <f t="shared" si="66"/>
        <v>0</v>
      </c>
      <c r="LH37" s="27">
        <f t="shared" si="66"/>
        <v>0</v>
      </c>
      <c r="LI37" s="28">
        <f t="shared" si="67"/>
        <v>0</v>
      </c>
      <c r="LJ37" s="36"/>
      <c r="LK37" s="27"/>
      <c r="LL37" s="27">
        <v>2</v>
      </c>
      <c r="LM37" s="33"/>
      <c r="LN37" s="1041">
        <v>4.55</v>
      </c>
      <c r="LO37" s="486" t="s">
        <v>680</v>
      </c>
      <c r="LP37" s="2688"/>
      <c r="LQ37" s="26"/>
      <c r="LR37" s="36"/>
      <c r="LS37" s="27"/>
      <c r="LT37" s="27"/>
      <c r="LU37" s="27"/>
      <c r="LV37" s="1107">
        <f t="shared" si="68"/>
        <v>0</v>
      </c>
      <c r="LW37" s="36"/>
      <c r="LX37" s="36"/>
      <c r="LY37" s="27"/>
      <c r="LZ37" s="27"/>
      <c r="MA37" s="33"/>
      <c r="MB37" s="28">
        <f t="shared" si="69"/>
        <v>0</v>
      </c>
      <c r="MC37" s="26"/>
      <c r="MD37" s="36"/>
      <c r="ME37" s="27"/>
      <c r="MF37" s="27"/>
      <c r="MG37" s="27"/>
      <c r="MH37" s="28"/>
      <c r="MI37" s="36"/>
      <c r="MJ37" s="36"/>
      <c r="MK37" s="27"/>
      <c r="ML37" s="27"/>
      <c r="MM37" s="27"/>
      <c r="MN37" s="28"/>
      <c r="MO37" s="36"/>
      <c r="MP37" s="36"/>
      <c r="MQ37" s="27"/>
      <c r="MR37" s="27"/>
      <c r="MS37" s="27"/>
      <c r="MT37" s="33">
        <f t="shared" si="70"/>
        <v>0</v>
      </c>
      <c r="MU37" s="2688"/>
      <c r="MW37" s="26">
        <f t="shared" si="71"/>
        <v>70257.262645013398</v>
      </c>
      <c r="MX37" s="27">
        <f t="shared" si="72"/>
        <v>84737.452248823494</v>
      </c>
      <c r="MY37" s="27">
        <f t="shared" si="73"/>
        <v>20111.74520127946</v>
      </c>
      <c r="MZ37" s="28">
        <f t="shared" si="74"/>
        <v>431277.96855850995</v>
      </c>
      <c r="NA37" s="2621"/>
      <c r="NB37" s="23">
        <f t="shared" si="75"/>
        <v>22936.915937467849</v>
      </c>
      <c r="NC37" s="1579">
        <f t="shared" si="76"/>
        <v>47320.346707545541</v>
      </c>
      <c r="ND37" s="60">
        <f t="shared" si="77"/>
        <v>0</v>
      </c>
      <c r="NE37" s="275">
        <f t="shared" si="4"/>
        <v>70257.262645013398</v>
      </c>
      <c r="NF37" s="26">
        <f t="shared" si="156"/>
        <v>0</v>
      </c>
      <c r="NG37" s="27">
        <f t="shared" si="156"/>
        <v>0</v>
      </c>
      <c r="NH37" s="27">
        <f t="shared" si="156"/>
        <v>0</v>
      </c>
      <c r="NI37" s="27">
        <f t="shared" si="156"/>
        <v>0</v>
      </c>
      <c r="NJ37" s="27">
        <f t="shared" si="156"/>
        <v>0</v>
      </c>
      <c r="NK37" s="33">
        <f t="shared" si="156"/>
        <v>0</v>
      </c>
      <c r="NL37" s="27">
        <f t="shared" si="156"/>
        <v>0</v>
      </c>
      <c r="NM37" s="152">
        <f t="shared" si="156"/>
        <v>0</v>
      </c>
      <c r="NN37" s="24">
        <f t="shared" si="156"/>
        <v>6657.8305665631433</v>
      </c>
      <c r="NO37" s="27">
        <f t="shared" si="156"/>
        <v>26196.69549600617</v>
      </c>
      <c r="NP37" s="24">
        <f t="shared" si="136"/>
        <v>8756.5482322711578</v>
      </c>
      <c r="NQ37" s="24">
        <f t="shared" si="137"/>
        <v>14215.374118033411</v>
      </c>
      <c r="NR37" s="27">
        <f t="shared" si="0"/>
        <v>55826.448412873877</v>
      </c>
      <c r="NS37" s="27">
        <f t="shared" si="79"/>
        <v>0</v>
      </c>
      <c r="NT37" s="27">
        <f t="shared" si="80"/>
        <v>0</v>
      </c>
      <c r="NU37" s="27">
        <f t="shared" si="81"/>
        <v>0</v>
      </c>
      <c r="NV37" s="27">
        <f t="shared" si="82"/>
        <v>0</v>
      </c>
      <c r="NW37" s="27">
        <f t="shared" si="83"/>
        <v>0</v>
      </c>
      <c r="NX37" s="5">
        <f t="shared" si="84"/>
        <v>0</v>
      </c>
      <c r="NY37" s="27">
        <f t="shared" si="85"/>
        <v>4291.0136022929128</v>
      </c>
      <c r="NZ37" s="27">
        <f t="shared" si="86"/>
        <v>0</v>
      </c>
      <c r="OA37" s="27">
        <f t="shared" si="87"/>
        <v>4885.0480667828397</v>
      </c>
      <c r="OB37" s="27"/>
      <c r="OC37" s="24">
        <f t="shared" si="88"/>
        <v>349.54339982995594</v>
      </c>
      <c r="OD37" s="27">
        <f t="shared" si="89"/>
        <v>0</v>
      </c>
      <c r="OE37" s="28">
        <f t="shared" si="1"/>
        <v>9525.6050689057083</v>
      </c>
      <c r="OF37" s="27">
        <f t="shared" si="149"/>
        <v>0</v>
      </c>
      <c r="OG37" s="27">
        <f t="shared" si="150"/>
        <v>0</v>
      </c>
      <c r="OH37" s="27">
        <f t="shared" si="155"/>
        <v>0</v>
      </c>
      <c r="OI37" s="27">
        <f t="shared" si="151"/>
        <v>0</v>
      </c>
      <c r="OJ37" s="27">
        <f t="shared" si="152"/>
        <v>0</v>
      </c>
      <c r="OK37" s="27">
        <f t="shared" si="153"/>
        <v>0</v>
      </c>
      <c r="OL37" s="24">
        <f t="shared" si="145"/>
        <v>0</v>
      </c>
      <c r="OM37" s="27">
        <f t="shared" si="140"/>
        <v>0</v>
      </c>
      <c r="ON37" s="24">
        <f t="shared" si="141"/>
        <v>17138.313599110996</v>
      </c>
      <c r="OO37" s="27">
        <f t="shared" si="142"/>
        <v>0</v>
      </c>
      <c r="OP37" s="27">
        <f t="shared" si="143"/>
        <v>2247.0851679329135</v>
      </c>
      <c r="OQ37" s="27">
        <f t="shared" si="144"/>
        <v>0</v>
      </c>
      <c r="OR37" s="28">
        <f t="shared" si="2"/>
        <v>19385.398767043909</v>
      </c>
      <c r="OS37" s="36"/>
      <c r="OT37" s="27"/>
      <c r="OU37" s="27"/>
      <c r="OV37" s="27"/>
      <c r="OW37" s="27"/>
      <c r="OX37" s="27"/>
      <c r="OY37" s="28">
        <f t="shared" si="91"/>
        <v>0</v>
      </c>
      <c r="OZ37" s="36">
        <f t="shared" si="92"/>
        <v>0</v>
      </c>
      <c r="PA37" s="27">
        <f t="shared" si="93"/>
        <v>0</v>
      </c>
      <c r="PB37" s="27">
        <f t="shared" si="94"/>
        <v>0</v>
      </c>
      <c r="PC37" s="27">
        <f t="shared" si="95"/>
        <v>0</v>
      </c>
      <c r="PD37" s="27">
        <f t="shared" si="96"/>
        <v>0</v>
      </c>
      <c r="PE37" s="27">
        <f t="shared" si="97"/>
        <v>0</v>
      </c>
      <c r="PF37" s="33">
        <f t="shared" si="3"/>
        <v>0</v>
      </c>
      <c r="PG37" s="2621"/>
      <c r="PI37" s="2">
        <v>35.28</v>
      </c>
      <c r="PJ37" s="3"/>
      <c r="PK37" s="3"/>
      <c r="PL37" s="3">
        <f t="shared" si="98"/>
        <v>0</v>
      </c>
      <c r="PM37" s="3">
        <f t="shared" si="99"/>
        <v>7180.4953876938926</v>
      </c>
      <c r="PN37" s="11">
        <f t="shared" si="100"/>
        <v>20111.74520127946</v>
      </c>
      <c r="PO37" s="15"/>
      <c r="PP37" s="2615"/>
      <c r="PR37" s="4"/>
      <c r="PS37" s="9"/>
      <c r="PT37" s="9"/>
      <c r="PU37" s="9"/>
      <c r="PV37" s="9">
        <v>0</v>
      </c>
      <c r="PW37" s="9"/>
      <c r="PX37" s="8">
        <f t="shared" si="101"/>
        <v>0</v>
      </c>
      <c r="PY37" s="5">
        <f t="shared" si="102"/>
        <v>35.28</v>
      </c>
      <c r="PZ37" s="5"/>
      <c r="QA37" s="5"/>
      <c r="QB37" s="5"/>
      <c r="QC37" s="5"/>
      <c r="QD37" s="5"/>
      <c r="QE37" s="12">
        <f t="shared" si="103"/>
        <v>29562.488999999998</v>
      </c>
      <c r="QF37" s="420">
        <f t="shared" si="104"/>
        <v>400030.59955850994</v>
      </c>
      <c r="QG37" s="1106">
        <f t="shared" si="105"/>
        <v>1684.88</v>
      </c>
      <c r="QH37" s="484">
        <f t="shared" si="106"/>
        <v>5505.3678056099998</v>
      </c>
      <c r="QI37" s="12"/>
      <c r="QJ37" s="2615"/>
      <c r="QL37" s="139">
        <f t="shared" si="107"/>
        <v>0</v>
      </c>
      <c r="QM37" s="139" t="str">
        <f t="shared" si="108"/>
        <v/>
      </c>
      <c r="QO37" s="139">
        <f t="shared" si="109"/>
        <v>0</v>
      </c>
      <c r="QP37" s="139">
        <f t="shared" si="110"/>
        <v>0</v>
      </c>
      <c r="QR37" s="1">
        <f t="shared" si="111"/>
        <v>0</v>
      </c>
      <c r="QS37" s="1">
        <f t="shared" si="112"/>
        <v>0</v>
      </c>
      <c r="QT37" s="1">
        <f t="shared" si="113"/>
        <v>0</v>
      </c>
      <c r="QU37" s="1">
        <f t="shared" si="114"/>
        <v>0</v>
      </c>
      <c r="QV37" s="1">
        <f t="shared" si="115"/>
        <v>0</v>
      </c>
      <c r="QW37" s="1">
        <f t="shared" si="116"/>
        <v>0</v>
      </c>
      <c r="QY37" s="1">
        <f t="shared" si="117"/>
        <v>0</v>
      </c>
      <c r="QZ37" s="1">
        <f t="shared" si="118"/>
        <v>0</v>
      </c>
      <c r="RA37" s="1">
        <f t="shared" si="119"/>
        <v>0</v>
      </c>
      <c r="RB37" s="1">
        <f t="shared" si="120"/>
        <v>0</v>
      </c>
      <c r="RC37" s="1">
        <f t="shared" si="121"/>
        <v>0</v>
      </c>
      <c r="RD37" s="1">
        <f t="shared" si="122"/>
        <v>0</v>
      </c>
      <c r="RG37" s="1">
        <v>28</v>
      </c>
      <c r="RH37" s="1">
        <f t="shared" si="146"/>
        <v>-7093.0982902828991</v>
      </c>
      <c r="RI37" s="1">
        <f t="shared" si="147"/>
        <v>29339.585280483716</v>
      </c>
      <c r="RJ37" s="1">
        <f t="shared" si="148"/>
        <v>13404.263703387322</v>
      </c>
      <c r="RK37" s="89">
        <f t="shared" si="5"/>
        <v>35650.750693588139</v>
      </c>
      <c r="RL37" s="1033">
        <v>28</v>
      </c>
      <c r="RM37" s="1098">
        <f t="shared" si="124"/>
        <v>0</v>
      </c>
      <c r="RN37" s="1098">
        <f t="shared" si="125"/>
        <v>0</v>
      </c>
      <c r="RO37" s="1097">
        <f t="shared" si="125"/>
        <v>0</v>
      </c>
      <c r="RP37" s="1097">
        <f t="shared" si="126"/>
        <v>3965.1600000000008</v>
      </c>
      <c r="RQ37" s="1046"/>
      <c r="RR37" s="1046" t="s">
        <v>857</v>
      </c>
      <c r="RU37" s="421">
        <v>28</v>
      </c>
      <c r="RV37" s="1095">
        <f t="shared" si="127"/>
        <v>3498.7</v>
      </c>
      <c r="RW37" s="1050" t="s">
        <v>858</v>
      </c>
      <c r="RX37" s="1048"/>
      <c r="RY37" s="1090"/>
      <c r="RZ37" s="1090">
        <f t="shared" si="128"/>
        <v>0</v>
      </c>
      <c r="SA37" s="1090"/>
      <c r="SB37" s="1090">
        <f t="shared" si="129"/>
        <v>0</v>
      </c>
      <c r="SD37" s="1">
        <v>28</v>
      </c>
      <c r="SE37" s="1">
        <f t="shared" si="130"/>
        <v>0</v>
      </c>
    </row>
    <row r="38" spans="1:500" s="1" customFormat="1">
      <c r="B38" s="471">
        <v>29</v>
      </c>
      <c r="C38" s="4">
        <f t="shared" si="6"/>
        <v>160674.12</v>
      </c>
      <c r="D38" s="1918">
        <f t="shared" si="131"/>
        <v>10544.4</v>
      </c>
      <c r="E38" s="1895">
        <f t="shared" si="7"/>
        <v>15.23786275179242</v>
      </c>
      <c r="F38" s="870"/>
      <c r="G38" s="870"/>
      <c r="H38" s="52"/>
      <c r="I38" s="61"/>
      <c r="J38" s="52"/>
      <c r="K38" s="54"/>
      <c r="L38" s="52"/>
      <c r="M38" s="61"/>
      <c r="N38" s="2629"/>
      <c r="O38" s="4">
        <f t="shared" si="132"/>
        <v>99588.72</v>
      </c>
      <c r="P38" s="5">
        <f t="shared" si="8"/>
        <v>6698.5599999999995</v>
      </c>
      <c r="Q38" s="1913">
        <f t="shared" si="9"/>
        <v>14.867183394640044</v>
      </c>
      <c r="R38" s="33"/>
      <c r="S38" s="26">
        <f t="shared" si="10"/>
        <v>27288.400000000001</v>
      </c>
      <c r="T38" s="27">
        <f t="shared" si="11"/>
        <v>505.84000000000003</v>
      </c>
      <c r="U38" s="1909">
        <f t="shared" si="12"/>
        <v>53.946702514629131</v>
      </c>
      <c r="V38" s="28"/>
      <c r="W38" s="26">
        <f t="shared" si="13"/>
        <v>33797</v>
      </c>
      <c r="X38" s="5">
        <f t="shared" si="13"/>
        <v>3340</v>
      </c>
      <c r="Y38" s="325">
        <f t="shared" si="14"/>
        <v>10.118862275449102</v>
      </c>
      <c r="Z38" s="33"/>
      <c r="AA38" s="26">
        <f t="shared" si="15"/>
        <v>0</v>
      </c>
      <c r="AB38" s="27">
        <f t="shared" si="16"/>
        <v>0</v>
      </c>
      <c r="AC38" s="53">
        <f t="shared" si="17"/>
        <v>0</v>
      </c>
      <c r="AD38" s="28"/>
      <c r="AE38" s="36"/>
      <c r="AF38" s="36"/>
      <c r="AG38" s="53">
        <f t="shared" si="18"/>
        <v>0</v>
      </c>
      <c r="AH38" s="28"/>
      <c r="AI38" s="23"/>
      <c r="AJ38" s="27"/>
      <c r="AK38" s="53">
        <f t="shared" si="19"/>
        <v>0</v>
      </c>
      <c r="AL38" s="28"/>
      <c r="AM38" s="2629"/>
      <c r="AN38" s="9"/>
      <c r="AO38" s="5"/>
      <c r="AP38" s="61">
        <f t="shared" si="20"/>
        <v>0</v>
      </c>
      <c r="AQ38" s="36"/>
      <c r="AR38" s="53"/>
      <c r="AS38" s="61">
        <f t="shared" si="21"/>
        <v>0</v>
      </c>
      <c r="AT38" s="36"/>
      <c r="AU38" s="27"/>
      <c r="AV38" s="61">
        <f t="shared" si="22"/>
        <v>0</v>
      </c>
      <c r="AW38" s="36">
        <v>58596.72</v>
      </c>
      <c r="AX38" s="27">
        <v>6698.5599999999995</v>
      </c>
      <c r="AY38" s="1895">
        <f t="shared" si="23"/>
        <v>8.7476591983948797</v>
      </c>
      <c r="AZ38" s="1908"/>
      <c r="BA38" s="1909"/>
      <c r="BB38" s="1895">
        <f t="shared" si="24"/>
        <v>0</v>
      </c>
      <c r="BC38" s="1908">
        <v>40992</v>
      </c>
      <c r="BD38" s="1909">
        <v>0</v>
      </c>
      <c r="BE38" s="1895">
        <f t="shared" si="154"/>
        <v>0</v>
      </c>
      <c r="BF38" s="1908"/>
      <c r="BG38" s="1909"/>
      <c r="BH38" s="1895">
        <f t="shared" si="26"/>
        <v>0</v>
      </c>
      <c r="BI38" s="1908">
        <v>0</v>
      </c>
      <c r="BJ38" s="1909">
        <v>0</v>
      </c>
      <c r="BK38" s="1895">
        <f t="shared" si="27"/>
        <v>0</v>
      </c>
      <c r="BL38" s="1910">
        <v>27288.400000000001</v>
      </c>
      <c r="BM38" s="1909">
        <v>505.84000000000003</v>
      </c>
      <c r="BN38" s="1895">
        <f t="shared" si="28"/>
        <v>53.946702514629131</v>
      </c>
      <c r="BO38" s="36"/>
      <c r="BP38" s="53"/>
      <c r="BQ38" s="61">
        <f t="shared" si="29"/>
        <v>0</v>
      </c>
      <c r="BR38" s="36"/>
      <c r="BS38" s="27"/>
      <c r="BT38" s="61">
        <f t="shared" si="30"/>
        <v>0</v>
      </c>
      <c r="BU38" s="36">
        <v>33797</v>
      </c>
      <c r="BV38" s="5">
        <v>3340</v>
      </c>
      <c r="BW38" s="28">
        <f t="shared" si="31"/>
        <v>10.118862275449102</v>
      </c>
      <c r="BX38" s="26"/>
      <c r="BY38" s="5"/>
      <c r="BZ38" s="61">
        <f t="shared" si="32"/>
        <v>0</v>
      </c>
      <c r="CA38" s="36"/>
      <c r="CB38" s="5"/>
      <c r="CC38" s="61">
        <f t="shared" si="33"/>
        <v>0</v>
      </c>
      <c r="CD38" s="26"/>
      <c r="CE38" s="5"/>
      <c r="CF38" s="28">
        <f t="shared" si="34"/>
        <v>0</v>
      </c>
      <c r="CG38" s="150"/>
      <c r="CH38" s="9"/>
      <c r="CI38" s="5"/>
      <c r="CJ38" s="5"/>
      <c r="CK38" s="5">
        <v>3750</v>
      </c>
      <c r="CL38" s="5"/>
      <c r="CM38" s="5">
        <f t="shared" si="35"/>
        <v>3750</v>
      </c>
      <c r="CN38" s="33"/>
      <c r="CO38" s="366"/>
      <c r="CQ38" s="4">
        <f t="shared" si="36"/>
        <v>0</v>
      </c>
      <c r="CR38" s="9">
        <f t="shared" si="37"/>
        <v>0</v>
      </c>
      <c r="CS38" s="5">
        <f t="shared" si="38"/>
        <v>0</v>
      </c>
      <c r="CT38" s="5">
        <f t="shared" si="39"/>
        <v>0</v>
      </c>
      <c r="CU38" s="5">
        <f t="shared" si="40"/>
        <v>0</v>
      </c>
      <c r="CV38" s="5">
        <f t="shared" si="41"/>
        <v>0</v>
      </c>
      <c r="CW38" s="5">
        <f t="shared" si="42"/>
        <v>2745.1400000000003</v>
      </c>
      <c r="CX38" s="5">
        <f t="shared" si="43"/>
        <v>0</v>
      </c>
      <c r="CY38" s="5">
        <f t="shared" si="44"/>
        <v>7799.26</v>
      </c>
      <c r="CZ38" s="5">
        <f t="shared" si="45"/>
        <v>0</v>
      </c>
      <c r="DA38" s="5">
        <f t="shared" si="46"/>
        <v>0</v>
      </c>
      <c r="DB38" s="12">
        <f t="shared" si="47"/>
        <v>0</v>
      </c>
      <c r="DC38" s="310">
        <f>SUM(CQ38:DB38,PV38)</f>
        <v>10544.400000000001</v>
      </c>
      <c r="DD38" s="2695"/>
      <c r="DE38" s="8"/>
      <c r="DF38" s="9"/>
      <c r="DG38" s="5"/>
      <c r="DH38" s="5"/>
      <c r="DI38" s="5"/>
      <c r="DJ38" s="5"/>
      <c r="DK38" s="5">
        <v>2745.1400000000003</v>
      </c>
      <c r="DL38" s="5"/>
      <c r="DM38" s="5">
        <v>3235.48</v>
      </c>
      <c r="DN38" s="5"/>
      <c r="DO38" s="5"/>
      <c r="DP38" s="12"/>
      <c r="DQ38" s="28">
        <f t="shared" si="49"/>
        <v>5980.6200000000008</v>
      </c>
      <c r="DR38" s="36"/>
      <c r="DS38" s="36"/>
      <c r="DT38" s="27"/>
      <c r="DU38" s="27"/>
      <c r="DV38" s="27"/>
      <c r="DW38" s="27"/>
      <c r="DX38" s="27"/>
      <c r="DY38" s="27"/>
      <c r="DZ38" s="27">
        <v>1223.78</v>
      </c>
      <c r="EA38" s="27"/>
      <c r="EB38" s="27">
        <v>0</v>
      </c>
      <c r="EC38" s="33"/>
      <c r="ED38" s="28">
        <f t="shared" si="50"/>
        <v>1223.78</v>
      </c>
      <c r="EE38" s="36"/>
      <c r="EF38" s="36"/>
      <c r="EG38" s="27"/>
      <c r="EH38" s="27"/>
      <c r="EI38" s="27"/>
      <c r="EJ38" s="27"/>
      <c r="EK38" s="27"/>
      <c r="EL38" s="27"/>
      <c r="EM38" s="1448">
        <v>3340</v>
      </c>
      <c r="EN38" s="27"/>
      <c r="EO38" s="27">
        <v>0</v>
      </c>
      <c r="EP38" s="33"/>
      <c r="EQ38" s="28">
        <f t="shared" si="51"/>
        <v>3340</v>
      </c>
      <c r="ER38" s="36"/>
      <c r="ES38" s="27"/>
      <c r="ET38" s="27"/>
      <c r="EU38" s="27"/>
      <c r="EV38" s="27"/>
      <c r="EW38" s="27"/>
      <c r="EX38" s="33">
        <f t="shared" si="52"/>
        <v>0</v>
      </c>
      <c r="EY38" s="2685"/>
      <c r="FA38" s="4">
        <f t="shared" si="53"/>
        <v>0</v>
      </c>
      <c r="FB38" s="5">
        <f t="shared" si="54"/>
        <v>0</v>
      </c>
      <c r="FC38" s="5">
        <f t="shared" si="55"/>
        <v>0</v>
      </c>
      <c r="FD38" s="12">
        <f t="shared" si="56"/>
        <v>0</v>
      </c>
      <c r="FE38" s="33"/>
      <c r="FF38" s="2674"/>
      <c r="FG38" s="9"/>
      <c r="FH38" s="5"/>
      <c r="FI38" s="5"/>
      <c r="FJ38" s="5"/>
      <c r="FK38" s="5"/>
      <c r="FL38" s="27"/>
      <c r="FM38" s="28">
        <f t="shared" si="57"/>
        <v>0</v>
      </c>
      <c r="FN38" s="36"/>
      <c r="FO38" s="27"/>
      <c r="FP38" s="27"/>
      <c r="FQ38" s="27"/>
      <c r="FR38" s="27"/>
      <c r="FS38" s="27"/>
      <c r="FT38" s="28">
        <f t="shared" si="58"/>
        <v>0</v>
      </c>
      <c r="FU38" s="36"/>
      <c r="FV38" s="36"/>
      <c r="FW38" s="27"/>
      <c r="FX38" s="27"/>
      <c r="FY38" s="27"/>
      <c r="FZ38" s="27"/>
      <c r="GA38" s="27"/>
      <c r="GB38" s="27"/>
      <c r="GC38" s="27"/>
      <c r="GD38" s="27"/>
      <c r="GE38" s="27"/>
      <c r="GF38" s="33"/>
      <c r="GG38" s="33">
        <f t="shared" si="59"/>
        <v>0</v>
      </c>
      <c r="GH38" s="2674"/>
      <c r="GJ38" s="2">
        <f t="shared" si="133"/>
        <v>0</v>
      </c>
      <c r="GK38" s="63">
        <f t="shared" si="134"/>
        <v>3218.8</v>
      </c>
      <c r="GL38" s="24">
        <f t="shared" si="135"/>
        <v>2700.85</v>
      </c>
      <c r="GM38" s="53">
        <f t="shared" si="60"/>
        <v>5919.65</v>
      </c>
      <c r="GN38" s="141"/>
      <c r="GO38" s="141"/>
      <c r="GP38" s="33"/>
      <c r="GQ38" s="2667"/>
      <c r="GR38" s="152">
        <v>5919.65</v>
      </c>
      <c r="GS38" s="27">
        <v>0</v>
      </c>
      <c r="GT38" s="27">
        <v>0</v>
      </c>
      <c r="GU38" s="27">
        <v>0</v>
      </c>
      <c r="GV38" s="33">
        <f t="shared" si="61"/>
        <v>5919.65</v>
      </c>
      <c r="GW38" s="2667"/>
      <c r="GX38" s="36"/>
      <c r="GY38" s="36"/>
      <c r="GZ38" s="27"/>
      <c r="HA38" s="27"/>
      <c r="HB38" s="27"/>
      <c r="HC38" s="27"/>
      <c r="HD38" s="27"/>
      <c r="HE38" s="27"/>
      <c r="HF38" s="27">
        <v>0</v>
      </c>
      <c r="HG38" s="27"/>
      <c r="HH38" s="27">
        <v>0</v>
      </c>
      <c r="HI38" s="27"/>
      <c r="HJ38" s="27">
        <v>0</v>
      </c>
      <c r="HK38" s="27"/>
      <c r="HL38" s="28">
        <f t="shared" si="62"/>
        <v>0</v>
      </c>
      <c r="HM38" s="36"/>
      <c r="HN38" s="27"/>
      <c r="HO38" s="27"/>
      <c r="HP38" s="27"/>
      <c r="HQ38" s="27"/>
      <c r="HR38" s="27"/>
      <c r="HS38" s="27" cm="1">
        <f t="array" ref="HS38">SUMPRODUCT(('Data Base hauling'!$C$2:$C$216="TCM-ROM SB1 BK05-ROM 4")*(ISNUMBER(SEARCH(TEXT('March TCM'!$B38,"00")&amp;"/03/2026",'Data Base hauling'!$E$2:$E$216)))*'Data Base hauling'!$N$2:$N$216)</f>
        <v>0</v>
      </c>
      <c r="HT38" s="27"/>
      <c r="HU38" s="27" cm="1">
        <f t="array" ref="HU38">SUMPRODUCT(('Data Base hauling'!$C$2:$C$216="TCM-ROM SB1 BK05-ROM 5")*(ISNUMBER(SEARCH(TEXT('March TCM'!$B38,"00")&amp;"/03/2026",'Data Base hauling'!$E$2:$E$216)))*'Data Base hauling'!$N$2:$N$216)</f>
        <v>0</v>
      </c>
      <c r="HV38" s="27"/>
      <c r="HW38" s="27"/>
      <c r="HX38" s="27"/>
      <c r="HY38" s="27"/>
      <c r="HZ38" s="27"/>
      <c r="IA38" s="33">
        <f t="shared" si="63"/>
        <v>0</v>
      </c>
      <c r="IB38" s="52"/>
      <c r="IC38" s="152"/>
      <c r="ID38" s="53"/>
      <c r="IE38" s="53"/>
      <c r="IF38" s="53"/>
      <c r="IG38" s="53"/>
      <c r="IH38" s="53">
        <v>0</v>
      </c>
      <c r="II38" s="53"/>
      <c r="IJ38" s="53">
        <v>3218.8</v>
      </c>
      <c r="IK38" s="53"/>
      <c r="IL38" s="53">
        <v>0</v>
      </c>
      <c r="IM38" s="53"/>
      <c r="IN38" s="53"/>
      <c r="IO38" s="49">
        <v>0</v>
      </c>
      <c r="IP38" s="61">
        <f t="shared" si="64"/>
        <v>3218.8</v>
      </c>
      <c r="IQ38" s="36"/>
      <c r="IR38" s="36"/>
      <c r="IS38" s="27"/>
      <c r="IT38" s="27"/>
      <c r="IU38" s="53"/>
      <c r="IV38" s="53"/>
      <c r="IW38" s="53">
        <v>0</v>
      </c>
      <c r="IX38" s="53"/>
      <c r="IY38" s="27">
        <v>2700.85</v>
      </c>
      <c r="IZ38" s="53"/>
      <c r="JA38" s="27">
        <v>0</v>
      </c>
      <c r="JB38" s="27"/>
      <c r="JC38" s="27"/>
      <c r="JD38" s="27"/>
      <c r="JE38" s="33">
        <f t="shared" si="138"/>
        <v>2700.85</v>
      </c>
      <c r="JF38" s="2667"/>
      <c r="JH38" s="2020">
        <v>5919.65</v>
      </c>
      <c r="JI38" s="2021">
        <v>0</v>
      </c>
      <c r="JJ38" s="27"/>
      <c r="JK38" s="53">
        <f t="shared" si="65"/>
        <v>5919.65</v>
      </c>
      <c r="JL38" s="33"/>
      <c r="JM38" s="2669"/>
      <c r="JN38" s="69">
        <v>0</v>
      </c>
      <c r="JO38" s="70">
        <v>0</v>
      </c>
      <c r="JP38" s="70">
        <v>0</v>
      </c>
      <c r="JQ38" s="70">
        <v>0</v>
      </c>
      <c r="JR38" s="70">
        <v>1</v>
      </c>
      <c r="JS38" s="70">
        <v>0</v>
      </c>
      <c r="JT38" s="70">
        <v>0</v>
      </c>
      <c r="JU38" s="1922">
        <v>0</v>
      </c>
      <c r="JV38" s="69" t="s">
        <v>296</v>
      </c>
      <c r="JW38" s="70" t="s">
        <v>296</v>
      </c>
      <c r="JX38" s="70" t="s">
        <v>296</v>
      </c>
      <c r="JY38" s="70" t="s">
        <v>296</v>
      </c>
      <c r="JZ38" s="70" t="s">
        <v>296</v>
      </c>
      <c r="KA38" s="70" t="s">
        <v>296</v>
      </c>
      <c r="KB38" s="70" t="s">
        <v>296</v>
      </c>
      <c r="KC38" s="71" t="s">
        <v>296</v>
      </c>
      <c r="KD38" s="69"/>
      <c r="KE38" s="70"/>
      <c r="KF38" s="70"/>
      <c r="KG38" s="70"/>
      <c r="KH38" s="70"/>
      <c r="KI38" s="70"/>
      <c r="KJ38" s="70"/>
      <c r="KK38" s="70"/>
      <c r="KL38" s="33"/>
      <c r="KM38" s="2669"/>
      <c r="KN38" s="36">
        <v>6909.5219917012446</v>
      </c>
      <c r="KO38" s="1968">
        <v>1.0932315352697095</v>
      </c>
      <c r="KP38" s="1968">
        <v>2.1926655601659752</v>
      </c>
      <c r="KQ38" s="1968">
        <v>7.7205659751037352</v>
      </c>
      <c r="KR38" s="1969">
        <v>10.269015374273859</v>
      </c>
      <c r="KS38" s="1959">
        <v>0</v>
      </c>
      <c r="KT38" s="1964">
        <v>0</v>
      </c>
      <c r="KU38" s="1964">
        <v>0</v>
      </c>
      <c r="KV38" s="1964">
        <v>0</v>
      </c>
      <c r="KW38" s="1965">
        <v>0</v>
      </c>
      <c r="KX38" s="36"/>
      <c r="KY38" s="53"/>
      <c r="KZ38" s="53"/>
      <c r="LA38" s="53"/>
      <c r="LB38" s="53"/>
      <c r="LC38" s="33"/>
      <c r="LD38" s="2669"/>
      <c r="LF38" s="26">
        <f t="shared" si="66"/>
        <v>7515.56</v>
      </c>
      <c r="LG38" s="27">
        <f t="shared" si="66"/>
        <v>0</v>
      </c>
      <c r="LH38" s="27">
        <f t="shared" si="66"/>
        <v>0</v>
      </c>
      <c r="LI38" s="28">
        <f t="shared" si="67"/>
        <v>7515.56</v>
      </c>
      <c r="LJ38" s="36">
        <v>1</v>
      </c>
      <c r="LK38" s="27"/>
      <c r="LL38" s="27">
        <v>1</v>
      </c>
      <c r="LM38" s="33"/>
      <c r="LN38" s="1041">
        <v>4.09</v>
      </c>
      <c r="LO38" s="486"/>
      <c r="LP38" s="2688"/>
      <c r="LQ38" s="26">
        <v>7515.56</v>
      </c>
      <c r="LR38" s="36"/>
      <c r="LS38" s="27"/>
      <c r="LT38" s="27"/>
      <c r="LU38" s="27"/>
      <c r="LV38" s="1107">
        <f t="shared" si="68"/>
        <v>7515.56</v>
      </c>
      <c r="LW38" s="36"/>
      <c r="LX38" s="36"/>
      <c r="LY38" s="27"/>
      <c r="LZ38" s="27"/>
      <c r="MA38" s="33"/>
      <c r="MB38" s="28">
        <f t="shared" si="69"/>
        <v>0</v>
      </c>
      <c r="MC38" s="26"/>
      <c r="MD38" s="36"/>
      <c r="ME38" s="27"/>
      <c r="MF38" s="27"/>
      <c r="MG38" s="27"/>
      <c r="MH38" s="28"/>
      <c r="MI38" s="36"/>
      <c r="MJ38" s="36"/>
      <c r="MK38" s="27"/>
      <c r="ML38" s="27"/>
      <c r="MM38" s="27"/>
      <c r="MN38" s="28"/>
      <c r="MO38" s="36"/>
      <c r="MP38" s="36"/>
      <c r="MQ38" s="27"/>
      <c r="MR38" s="27"/>
      <c r="MS38" s="27"/>
      <c r="MT38" s="33">
        <f t="shared" si="70"/>
        <v>0</v>
      </c>
      <c r="MU38" s="2688"/>
      <c r="MW38" s="26">
        <f t="shared" si="71"/>
        <v>68661.352645013394</v>
      </c>
      <c r="MX38" s="27">
        <f t="shared" si="72"/>
        <v>89362.202248823509</v>
      </c>
      <c r="MY38" s="27">
        <f t="shared" si="73"/>
        <v>20111.74520127946</v>
      </c>
      <c r="MZ38" s="28">
        <f t="shared" si="74"/>
        <v>429864.20855850994</v>
      </c>
      <c r="NA38" s="2621"/>
      <c r="NB38" s="23">
        <f t="shared" si="75"/>
        <v>21341.005937467849</v>
      </c>
      <c r="NC38" s="1579">
        <f t="shared" si="76"/>
        <v>47320.346707545541</v>
      </c>
      <c r="ND38" s="60">
        <f t="shared" si="77"/>
        <v>0</v>
      </c>
      <c r="NE38" s="275">
        <f t="shared" si="4"/>
        <v>68661.352645013394</v>
      </c>
      <c r="NF38" s="26">
        <f t="shared" si="156"/>
        <v>0</v>
      </c>
      <c r="NG38" s="27">
        <f t="shared" si="156"/>
        <v>0</v>
      </c>
      <c r="NH38" s="27">
        <f t="shared" si="156"/>
        <v>0</v>
      </c>
      <c r="NI38" s="27">
        <f t="shared" si="156"/>
        <v>0</v>
      </c>
      <c r="NJ38" s="27">
        <f t="shared" si="156"/>
        <v>0</v>
      </c>
      <c r="NK38" s="33">
        <f t="shared" si="156"/>
        <v>0</v>
      </c>
      <c r="NL38" s="27">
        <f t="shared" si="156"/>
        <v>0</v>
      </c>
      <c r="NM38" s="152">
        <f t="shared" si="156"/>
        <v>0</v>
      </c>
      <c r="NN38" s="24">
        <f t="shared" si="156"/>
        <v>9997.8305665631433</v>
      </c>
      <c r="NO38" s="27">
        <f t="shared" si="156"/>
        <v>26196.69549600617</v>
      </c>
      <c r="NP38" s="24">
        <f t="shared" si="136"/>
        <v>8756.5482322711578</v>
      </c>
      <c r="NQ38" s="24">
        <f t="shared" si="137"/>
        <v>14215.374118033411</v>
      </c>
      <c r="NR38" s="27">
        <f t="shared" si="0"/>
        <v>59166.448412873877</v>
      </c>
      <c r="NS38" s="27">
        <f t="shared" si="79"/>
        <v>0</v>
      </c>
      <c r="NT38" s="27">
        <f t="shared" si="80"/>
        <v>0</v>
      </c>
      <c r="NU38" s="27">
        <f t="shared" si="81"/>
        <v>0</v>
      </c>
      <c r="NV38" s="27">
        <f t="shared" si="82"/>
        <v>0</v>
      </c>
      <c r="NW38" s="5">
        <f t="shared" si="83"/>
        <v>0</v>
      </c>
      <c r="NX38" s="5">
        <f t="shared" si="84"/>
        <v>0</v>
      </c>
      <c r="NY38" s="27">
        <f t="shared" si="85"/>
        <v>7036.1536022929131</v>
      </c>
      <c r="NZ38" s="27">
        <f t="shared" si="86"/>
        <v>0</v>
      </c>
      <c r="OA38" s="27">
        <f t="shared" si="87"/>
        <v>4901.7280667828391</v>
      </c>
      <c r="OB38" s="27"/>
      <c r="OC38" s="24">
        <f t="shared" si="88"/>
        <v>349.54339982995594</v>
      </c>
      <c r="OD38" s="27">
        <f t="shared" si="89"/>
        <v>0</v>
      </c>
      <c r="OE38" s="28">
        <f t="shared" si="1"/>
        <v>12287.425068905708</v>
      </c>
      <c r="OF38" s="27">
        <f t="shared" si="149"/>
        <v>0</v>
      </c>
      <c r="OG38" s="27">
        <f t="shared" si="150"/>
        <v>0</v>
      </c>
      <c r="OH38" s="27">
        <f t="shared" si="155"/>
        <v>0</v>
      </c>
      <c r="OI38" s="27">
        <f t="shared" si="151"/>
        <v>0</v>
      </c>
      <c r="OJ38" s="27">
        <f t="shared" si="152"/>
        <v>0</v>
      </c>
      <c r="OK38" s="27">
        <f t="shared" si="153"/>
        <v>0</v>
      </c>
      <c r="OL38" s="24">
        <f t="shared" si="145"/>
        <v>0</v>
      </c>
      <c r="OM38" s="27">
        <f t="shared" si="140"/>
        <v>0</v>
      </c>
      <c r="ON38" s="24">
        <f t="shared" si="141"/>
        <v>15661.243599110994</v>
      </c>
      <c r="OO38" s="27">
        <f t="shared" si="142"/>
        <v>0</v>
      </c>
      <c r="OP38" s="27">
        <f t="shared" si="143"/>
        <v>2247.0851679329135</v>
      </c>
      <c r="OQ38" s="27">
        <f t="shared" si="144"/>
        <v>0</v>
      </c>
      <c r="OR38" s="28">
        <f t="shared" si="2"/>
        <v>17908.328767043909</v>
      </c>
      <c r="OS38" s="36"/>
      <c r="OT38" s="27"/>
      <c r="OU38" s="27"/>
      <c r="OV38" s="27"/>
      <c r="OW38" s="27"/>
      <c r="OX38" s="27"/>
      <c r="OY38" s="28">
        <f t="shared" si="91"/>
        <v>0</v>
      </c>
      <c r="OZ38" s="36">
        <f t="shared" si="92"/>
        <v>0</v>
      </c>
      <c r="PA38" s="27">
        <f t="shared" si="93"/>
        <v>0</v>
      </c>
      <c r="PB38" s="27">
        <f t="shared" si="94"/>
        <v>0</v>
      </c>
      <c r="PC38" s="27">
        <f t="shared" si="95"/>
        <v>0</v>
      </c>
      <c r="PD38" s="27">
        <f t="shared" si="96"/>
        <v>0</v>
      </c>
      <c r="PE38" s="27">
        <f t="shared" si="97"/>
        <v>0</v>
      </c>
      <c r="PF38" s="33">
        <f t="shared" si="3"/>
        <v>0</v>
      </c>
      <c r="PG38" s="2621"/>
      <c r="PI38" s="2">
        <v>1413.76</v>
      </c>
      <c r="PJ38" s="3"/>
      <c r="PK38" s="3"/>
      <c r="PL38" s="3">
        <f t="shared" si="98"/>
        <v>0</v>
      </c>
      <c r="PM38" s="3">
        <f t="shared" si="99"/>
        <v>8594.2553876938928</v>
      </c>
      <c r="PN38" s="11">
        <f t="shared" si="100"/>
        <v>20111.74520127946</v>
      </c>
      <c r="PO38" s="15"/>
      <c r="PP38" s="2615"/>
      <c r="PR38" s="4"/>
      <c r="PS38" s="9"/>
      <c r="PT38" s="9"/>
      <c r="PU38" s="9"/>
      <c r="PV38" s="9">
        <v>0</v>
      </c>
      <c r="PW38" s="9"/>
      <c r="PX38" s="8">
        <f t="shared" si="101"/>
        <v>0</v>
      </c>
      <c r="PY38" s="5">
        <f t="shared" si="102"/>
        <v>1413.76</v>
      </c>
      <c r="PZ38" s="5"/>
      <c r="QA38" s="5"/>
      <c r="QB38" s="5"/>
      <c r="QC38" s="5"/>
      <c r="QD38" s="5"/>
      <c r="QE38" s="12">
        <f t="shared" si="103"/>
        <v>29562.488999999998</v>
      </c>
      <c r="QF38" s="420">
        <f t="shared" si="104"/>
        <v>398616.83955850994</v>
      </c>
      <c r="QG38" s="1106">
        <f t="shared" si="105"/>
        <v>1684.88</v>
      </c>
      <c r="QH38" s="484">
        <f t="shared" si="106"/>
        <v>5505.3678056099998</v>
      </c>
      <c r="QI38" s="12"/>
      <c r="QJ38" s="2615"/>
      <c r="QL38" s="139">
        <f t="shared" si="107"/>
        <v>0</v>
      </c>
      <c r="QM38" s="139" t="str">
        <f t="shared" si="108"/>
        <v/>
      </c>
      <c r="QO38" s="139">
        <f t="shared" si="109"/>
        <v>0</v>
      </c>
      <c r="QP38" s="139">
        <f t="shared" si="110"/>
        <v>0</v>
      </c>
      <c r="QR38" s="1">
        <f t="shared" si="111"/>
        <v>0</v>
      </c>
      <c r="QS38" s="1">
        <f t="shared" si="112"/>
        <v>0</v>
      </c>
      <c r="QT38" s="1">
        <f t="shared" si="113"/>
        <v>0</v>
      </c>
      <c r="QU38" s="1">
        <f t="shared" si="114"/>
        <v>0</v>
      </c>
      <c r="QV38" s="1">
        <f t="shared" si="115"/>
        <v>0</v>
      </c>
      <c r="QW38" s="1">
        <f t="shared" si="116"/>
        <v>0</v>
      </c>
      <c r="QY38" s="1">
        <f t="shared" si="117"/>
        <v>0</v>
      </c>
      <c r="QZ38" s="1">
        <f t="shared" si="118"/>
        <v>0</v>
      </c>
      <c r="RA38" s="1">
        <f t="shared" si="119"/>
        <v>0</v>
      </c>
      <c r="RB38" s="1">
        <f t="shared" si="120"/>
        <v>0</v>
      </c>
      <c r="RC38" s="1">
        <f t="shared" si="121"/>
        <v>0</v>
      </c>
      <c r="RD38" s="1">
        <f t="shared" si="122"/>
        <v>0</v>
      </c>
      <c r="RG38" s="1">
        <v>29</v>
      </c>
      <c r="RH38" s="1">
        <f t="shared" si="146"/>
        <v>-8689.0082902828999</v>
      </c>
      <c r="RI38" s="1">
        <f t="shared" si="147"/>
        <v>29339.585280483716</v>
      </c>
      <c r="RJ38" s="1">
        <f t="shared" si="148"/>
        <v>13404.263703387322</v>
      </c>
      <c r="RK38" s="89">
        <f t="shared" si="5"/>
        <v>34054.840693588136</v>
      </c>
      <c r="RL38" s="1033">
        <v>29</v>
      </c>
      <c r="RM38" s="1098">
        <f t="shared" si="124"/>
        <v>0</v>
      </c>
      <c r="RN38" s="1098">
        <f t="shared" si="125"/>
        <v>0</v>
      </c>
      <c r="RO38" s="1097">
        <f t="shared" si="125"/>
        <v>0</v>
      </c>
      <c r="RP38" s="1097">
        <f t="shared" si="126"/>
        <v>7204.4</v>
      </c>
      <c r="RQ38" s="1094"/>
      <c r="RR38" s="1094" t="s">
        <v>859</v>
      </c>
      <c r="RU38" s="421">
        <v>29</v>
      </c>
      <c r="RV38" s="1095">
        <f t="shared" si="127"/>
        <v>5919.65</v>
      </c>
      <c r="RW38" s="1096" t="s">
        <v>860</v>
      </c>
      <c r="RY38" s="1090"/>
      <c r="RZ38" s="1090">
        <f t="shared" si="128"/>
        <v>0</v>
      </c>
      <c r="SA38" s="1090"/>
      <c r="SB38" s="1090">
        <f t="shared" si="129"/>
        <v>0</v>
      </c>
      <c r="SD38" s="1">
        <v>29</v>
      </c>
      <c r="SE38" s="1">
        <f t="shared" si="130"/>
        <v>0</v>
      </c>
    </row>
    <row r="39" spans="1:500" s="1" customFormat="1">
      <c r="B39" s="471">
        <v>30</v>
      </c>
      <c r="C39" s="4">
        <f t="shared" si="6"/>
        <v>136673</v>
      </c>
      <c r="D39" s="1918">
        <f t="shared" si="131"/>
        <v>8472.2799999999988</v>
      </c>
      <c r="E39" s="1895">
        <f t="shared" si="7"/>
        <v>16.131785068482159</v>
      </c>
      <c r="F39" s="870"/>
      <c r="G39" s="870"/>
      <c r="H39" s="52">
        <v>2</v>
      </c>
      <c r="I39" s="61">
        <v>2.25</v>
      </c>
      <c r="J39" s="52"/>
      <c r="K39" s="54"/>
      <c r="L39" s="52">
        <v>2.83</v>
      </c>
      <c r="M39" s="61">
        <v>3.85</v>
      </c>
      <c r="N39" s="2629"/>
      <c r="O39" s="4">
        <f t="shared" si="132"/>
        <v>85932</v>
      </c>
      <c r="P39" s="5">
        <f t="shared" si="8"/>
        <v>5270.92</v>
      </c>
      <c r="Q39" s="1913">
        <f t="shared" si="9"/>
        <v>16.303036282091171</v>
      </c>
      <c r="R39" s="33"/>
      <c r="S39" s="26">
        <f t="shared" si="10"/>
        <v>21205</v>
      </c>
      <c r="T39" s="27">
        <f t="shared" si="11"/>
        <v>341.36</v>
      </c>
      <c r="U39" s="1909">
        <f t="shared" si="12"/>
        <v>62.119170377314269</v>
      </c>
      <c r="V39" s="28"/>
      <c r="W39" s="26">
        <f t="shared" si="13"/>
        <v>29536</v>
      </c>
      <c r="X39" s="5">
        <f t="shared" si="13"/>
        <v>2860</v>
      </c>
      <c r="Y39" s="325">
        <f t="shared" si="14"/>
        <v>10.327272727272728</v>
      </c>
      <c r="Z39" s="33"/>
      <c r="AA39" s="26">
        <f t="shared" si="15"/>
        <v>0</v>
      </c>
      <c r="AB39" s="27">
        <f t="shared" si="16"/>
        <v>0</v>
      </c>
      <c r="AC39" s="53">
        <f t="shared" si="17"/>
        <v>0</v>
      </c>
      <c r="AD39" s="28"/>
      <c r="AE39" s="36"/>
      <c r="AF39" s="36"/>
      <c r="AG39" s="53">
        <f t="shared" si="18"/>
        <v>0</v>
      </c>
      <c r="AH39" s="28"/>
      <c r="AI39" s="26"/>
      <c r="AJ39" s="27"/>
      <c r="AK39" s="53">
        <f t="shared" si="19"/>
        <v>0</v>
      </c>
      <c r="AL39" s="28"/>
      <c r="AM39" s="2629"/>
      <c r="AN39" s="9"/>
      <c r="AO39" s="5"/>
      <c r="AP39" s="61">
        <f t="shared" si="20"/>
        <v>0</v>
      </c>
      <c r="AQ39" s="36"/>
      <c r="AR39" s="53"/>
      <c r="AS39" s="61">
        <f t="shared" si="21"/>
        <v>0</v>
      </c>
      <c r="AT39" s="36"/>
      <c r="AU39" s="27"/>
      <c r="AV39" s="61">
        <f t="shared" si="22"/>
        <v>0</v>
      </c>
      <c r="AW39" s="36">
        <v>52374</v>
      </c>
      <c r="AX39" s="27">
        <v>5238</v>
      </c>
      <c r="AY39" s="1895">
        <f t="shared" si="23"/>
        <v>9.9988545246277205</v>
      </c>
      <c r="AZ39" s="1908"/>
      <c r="BA39" s="1909"/>
      <c r="BB39" s="1895">
        <f t="shared" si="24"/>
        <v>0</v>
      </c>
      <c r="BC39" s="1908">
        <v>33558</v>
      </c>
      <c r="BD39" s="1909">
        <v>32.92</v>
      </c>
      <c r="BE39" s="1895">
        <f t="shared" si="154"/>
        <v>1019.3803159173754</v>
      </c>
      <c r="BF39" s="1908"/>
      <c r="BG39" s="1909"/>
      <c r="BH39" s="1895">
        <f t="shared" si="26"/>
        <v>0</v>
      </c>
      <c r="BI39" s="1908"/>
      <c r="BJ39" s="1909"/>
      <c r="BK39" s="1895">
        <f t="shared" si="27"/>
        <v>0</v>
      </c>
      <c r="BL39" s="1910">
        <v>21205</v>
      </c>
      <c r="BM39" s="1909">
        <v>341.36</v>
      </c>
      <c r="BN39" s="1895">
        <f t="shared" si="28"/>
        <v>62.119170377314269</v>
      </c>
      <c r="BO39" s="36"/>
      <c r="BP39" s="53"/>
      <c r="BQ39" s="61">
        <f t="shared" si="29"/>
        <v>0</v>
      </c>
      <c r="BR39" s="36"/>
      <c r="BS39" s="27"/>
      <c r="BT39" s="61">
        <f t="shared" si="30"/>
        <v>0</v>
      </c>
      <c r="BU39" s="36">
        <v>29536</v>
      </c>
      <c r="BV39" s="27">
        <v>2860</v>
      </c>
      <c r="BW39" s="28">
        <f t="shared" si="31"/>
        <v>10.327272727272728</v>
      </c>
      <c r="BX39" s="26"/>
      <c r="BY39" s="5"/>
      <c r="BZ39" s="61">
        <f t="shared" si="32"/>
        <v>0</v>
      </c>
      <c r="CA39" s="36"/>
      <c r="CB39" s="5"/>
      <c r="CC39" s="61">
        <f t="shared" si="33"/>
        <v>0</v>
      </c>
      <c r="CD39" s="26"/>
      <c r="CE39" s="27"/>
      <c r="CF39" s="28">
        <f t="shared" si="34"/>
        <v>0</v>
      </c>
      <c r="CG39" s="150"/>
      <c r="CH39" s="9"/>
      <c r="CI39" s="5"/>
      <c r="CJ39" s="5"/>
      <c r="CK39" s="5">
        <v>1425</v>
      </c>
      <c r="CL39" s="5"/>
      <c r="CM39" s="5">
        <f t="shared" si="35"/>
        <v>1425</v>
      </c>
      <c r="CN39" s="33"/>
      <c r="CO39" s="366"/>
      <c r="CQ39" s="4">
        <f t="shared" si="36"/>
        <v>0</v>
      </c>
      <c r="CR39" s="9">
        <f t="shared" si="37"/>
        <v>0</v>
      </c>
      <c r="CS39" s="5">
        <f t="shared" si="38"/>
        <v>0</v>
      </c>
      <c r="CT39" s="5">
        <f t="shared" si="39"/>
        <v>0</v>
      </c>
      <c r="CU39" s="5">
        <f t="shared" si="40"/>
        <v>0</v>
      </c>
      <c r="CV39" s="5">
        <f t="shared" si="41"/>
        <v>0</v>
      </c>
      <c r="CW39" s="5">
        <f t="shared" si="42"/>
        <v>784.56</v>
      </c>
      <c r="CX39" s="5">
        <f t="shared" si="43"/>
        <v>0</v>
      </c>
      <c r="CY39" s="5">
        <f t="shared" si="44"/>
        <v>7654.7999999999993</v>
      </c>
      <c r="CZ39" s="5">
        <f t="shared" si="45"/>
        <v>0</v>
      </c>
      <c r="DA39" s="5">
        <f t="shared" si="46"/>
        <v>32.92</v>
      </c>
      <c r="DB39" s="12">
        <f t="shared" si="47"/>
        <v>0</v>
      </c>
      <c r="DC39" s="310">
        <f>SUM(CQ39:DB39,PV39)</f>
        <v>8472.2799999999988</v>
      </c>
      <c r="DD39" s="2695"/>
      <c r="DE39" s="8"/>
      <c r="DF39" s="9"/>
      <c r="DG39" s="5"/>
      <c r="DH39" s="5"/>
      <c r="DI39" s="5"/>
      <c r="DJ39" s="5"/>
      <c r="DK39" s="5">
        <v>784.56</v>
      </c>
      <c r="DL39" s="5"/>
      <c r="DM39" s="5">
        <v>3895.8999999999992</v>
      </c>
      <c r="DN39" s="5"/>
      <c r="DO39" s="5"/>
      <c r="DP39" s="12"/>
      <c r="DQ39" s="28">
        <f t="shared" si="49"/>
        <v>4680.4599999999991</v>
      </c>
      <c r="DR39" s="36"/>
      <c r="DS39" s="36"/>
      <c r="DT39" s="27"/>
      <c r="DU39" s="27"/>
      <c r="DV39" s="27"/>
      <c r="DW39" s="27"/>
      <c r="DX39" s="27"/>
      <c r="DY39" s="27"/>
      <c r="DZ39" s="27">
        <v>898.89999999999986</v>
      </c>
      <c r="EA39" s="27"/>
      <c r="EB39" s="27">
        <v>32.92</v>
      </c>
      <c r="EC39" s="33"/>
      <c r="ED39" s="28">
        <f t="shared" si="50"/>
        <v>931.81999999999982</v>
      </c>
      <c r="EE39" s="36"/>
      <c r="EF39" s="36"/>
      <c r="EG39" s="27"/>
      <c r="EH39" s="27"/>
      <c r="EI39" s="27"/>
      <c r="EJ39" s="27"/>
      <c r="EK39" s="27"/>
      <c r="EL39" s="27"/>
      <c r="EM39" s="1448">
        <v>2860</v>
      </c>
      <c r="EN39" s="27"/>
      <c r="EO39" s="27">
        <v>0</v>
      </c>
      <c r="EP39" s="33"/>
      <c r="EQ39" s="28">
        <f t="shared" si="51"/>
        <v>2860</v>
      </c>
      <c r="ER39" s="36"/>
      <c r="ES39" s="27"/>
      <c r="ET39" s="27"/>
      <c r="EU39" s="27"/>
      <c r="EV39" s="27"/>
      <c r="EW39" s="27"/>
      <c r="EX39" s="33">
        <f t="shared" si="52"/>
        <v>0</v>
      </c>
      <c r="EY39" s="2685"/>
      <c r="FA39" s="4">
        <f t="shared" si="53"/>
        <v>0</v>
      </c>
      <c r="FB39" s="5">
        <f t="shared" si="54"/>
        <v>0</v>
      </c>
      <c r="FC39" s="5">
        <f t="shared" si="55"/>
        <v>0</v>
      </c>
      <c r="FD39" s="12">
        <f t="shared" si="56"/>
        <v>0</v>
      </c>
      <c r="FE39" s="33"/>
      <c r="FF39" s="2674"/>
      <c r="FG39" s="9"/>
      <c r="FH39" s="5"/>
      <c r="FI39" s="5"/>
      <c r="FJ39" s="5"/>
      <c r="FK39" s="5"/>
      <c r="FL39" s="27"/>
      <c r="FM39" s="28">
        <f t="shared" si="57"/>
        <v>0</v>
      </c>
      <c r="FN39" s="36"/>
      <c r="FO39" s="27"/>
      <c r="FP39" s="27"/>
      <c r="FQ39" s="27"/>
      <c r="FR39" s="27"/>
      <c r="FS39" s="27"/>
      <c r="FT39" s="28">
        <f t="shared" si="58"/>
        <v>0</v>
      </c>
      <c r="FU39" s="36"/>
      <c r="FV39" s="36"/>
      <c r="FW39" s="27"/>
      <c r="FX39" s="27"/>
      <c r="FY39" s="27"/>
      <c r="FZ39" s="27"/>
      <c r="GA39" s="27"/>
      <c r="GB39" s="27"/>
      <c r="GC39" s="27"/>
      <c r="GD39" s="27"/>
      <c r="GE39" s="27"/>
      <c r="GF39" s="33"/>
      <c r="GG39" s="33">
        <f t="shared" si="59"/>
        <v>0</v>
      </c>
      <c r="GH39" s="2674"/>
      <c r="GJ39" s="2">
        <f t="shared" si="133"/>
        <v>1682.6999999999998</v>
      </c>
      <c r="GK39" s="63">
        <f t="shared" si="134"/>
        <v>4594.8</v>
      </c>
      <c r="GL39" s="24">
        <f t="shared" si="135"/>
        <v>1057.5</v>
      </c>
      <c r="GM39" s="27">
        <f t="shared" si="60"/>
        <v>7335</v>
      </c>
      <c r="GN39" s="141"/>
      <c r="GO39" s="141"/>
      <c r="GP39" s="33"/>
      <c r="GQ39" s="2667"/>
      <c r="GR39" s="152">
        <v>7335</v>
      </c>
      <c r="GS39" s="27">
        <v>0</v>
      </c>
      <c r="GT39" s="27">
        <v>0</v>
      </c>
      <c r="GU39" s="27">
        <v>0</v>
      </c>
      <c r="GV39" s="33">
        <f t="shared" si="61"/>
        <v>7335</v>
      </c>
      <c r="GW39" s="2667"/>
      <c r="GX39" s="36"/>
      <c r="GY39" s="36"/>
      <c r="GZ39" s="27"/>
      <c r="HA39" s="27"/>
      <c r="HB39" s="27"/>
      <c r="HC39" s="27"/>
      <c r="HD39" s="27"/>
      <c r="HE39" s="27"/>
      <c r="HF39" s="27">
        <v>75</v>
      </c>
      <c r="HG39" s="27"/>
      <c r="HH39" s="27">
        <v>1607.6999999999998</v>
      </c>
      <c r="HI39" s="27"/>
      <c r="HJ39" s="27">
        <v>0</v>
      </c>
      <c r="HK39" s="27"/>
      <c r="HL39" s="28">
        <f t="shared" si="62"/>
        <v>1682.6999999999998</v>
      </c>
      <c r="HM39" s="36"/>
      <c r="HN39" s="27"/>
      <c r="HO39" s="27"/>
      <c r="HP39" s="27"/>
      <c r="HQ39" s="27"/>
      <c r="HR39" s="27"/>
      <c r="HS39" s="27" cm="1">
        <f t="array" ref="HS39">SUMPRODUCT(('Data Base hauling'!$C$2:$C$216="TCM-ROM SB1 BK05-ROM 4")*(ISNUMBER(SEARCH(TEXT('March TCM'!$B39,"00")&amp;"/03/2026",'Data Base hauling'!$E$2:$E$216)))*'Data Base hauling'!$N$2:$N$216)</f>
        <v>0</v>
      </c>
      <c r="HT39" s="27"/>
      <c r="HU39" s="27" cm="1">
        <f t="array" ref="HU39">SUMPRODUCT(('Data Base hauling'!$C$2:$C$216="TCM-ROM SB1 BK05-ROM 5")*(ISNUMBER(SEARCH(TEXT('March TCM'!$B39,"00")&amp;"/03/2026",'Data Base hauling'!$E$2:$E$216)))*'Data Base hauling'!$N$2:$N$216)</f>
        <v>0</v>
      </c>
      <c r="HV39" s="27"/>
      <c r="HW39" s="27"/>
      <c r="HX39" s="27"/>
      <c r="HY39" s="27"/>
      <c r="HZ39" s="27"/>
      <c r="IA39" s="33">
        <f t="shared" si="63"/>
        <v>0</v>
      </c>
      <c r="IB39" s="52"/>
      <c r="IC39" s="152"/>
      <c r="ID39" s="53"/>
      <c r="IE39" s="53"/>
      <c r="IF39" s="53"/>
      <c r="IG39" s="53"/>
      <c r="IH39" s="53">
        <v>1416.95</v>
      </c>
      <c r="II39" s="53"/>
      <c r="IJ39" s="53">
        <v>3177.85</v>
      </c>
      <c r="IK39" s="53"/>
      <c r="IL39" s="53">
        <v>0</v>
      </c>
      <c r="IM39" s="27"/>
      <c r="IN39" s="27"/>
      <c r="IO39" s="49">
        <v>0</v>
      </c>
      <c r="IP39" s="61">
        <f t="shared" si="64"/>
        <v>4594.8</v>
      </c>
      <c r="IQ39" s="36"/>
      <c r="IR39" s="36"/>
      <c r="IS39" s="27"/>
      <c r="IT39" s="27"/>
      <c r="IU39" s="53"/>
      <c r="IV39" s="27"/>
      <c r="IW39" s="27">
        <v>0</v>
      </c>
      <c r="IX39" s="27"/>
      <c r="IY39" s="27">
        <v>1057.5</v>
      </c>
      <c r="IZ39" s="27"/>
      <c r="JA39" s="27">
        <v>0</v>
      </c>
      <c r="JB39" s="27"/>
      <c r="JC39" s="27"/>
      <c r="JD39" s="27"/>
      <c r="JE39" s="33">
        <f t="shared" si="138"/>
        <v>1057.5</v>
      </c>
      <c r="JF39" s="2667"/>
      <c r="JH39" s="2020">
        <v>4008.1499999999996</v>
      </c>
      <c r="JI39" s="2021">
        <v>3326.8500000000004</v>
      </c>
      <c r="JJ39" s="27"/>
      <c r="JK39" s="53">
        <f t="shared" si="65"/>
        <v>7335</v>
      </c>
      <c r="JL39" s="33"/>
      <c r="JM39" s="2669"/>
      <c r="JN39" s="69">
        <v>0</v>
      </c>
      <c r="JO39" s="70">
        <v>0</v>
      </c>
      <c r="JP39" s="70">
        <v>0</v>
      </c>
      <c r="JQ39" s="70">
        <v>0</v>
      </c>
      <c r="JR39" s="70">
        <v>1</v>
      </c>
      <c r="JS39" s="70">
        <v>0</v>
      </c>
      <c r="JT39" s="70">
        <v>0</v>
      </c>
      <c r="JU39" s="1922">
        <v>0</v>
      </c>
      <c r="JV39" s="69">
        <v>0</v>
      </c>
      <c r="JW39" s="70">
        <v>0</v>
      </c>
      <c r="JX39" s="70">
        <v>0</v>
      </c>
      <c r="JY39" s="70">
        <v>0.4259134015660459</v>
      </c>
      <c r="JZ39" s="70">
        <v>9.0836677337421276E-2</v>
      </c>
      <c r="KA39" s="70">
        <v>0.48324992109653264</v>
      </c>
      <c r="KB39" s="70">
        <v>0</v>
      </c>
      <c r="KC39" s="71">
        <v>0</v>
      </c>
      <c r="KD39" s="69"/>
      <c r="KE39" s="70"/>
      <c r="KF39" s="70"/>
      <c r="KG39" s="70"/>
      <c r="KH39" s="70"/>
      <c r="KI39" s="70"/>
      <c r="KJ39" s="70"/>
      <c r="KK39" s="70"/>
      <c r="KL39" s="33"/>
      <c r="KM39" s="2669"/>
      <c r="KN39" s="36">
        <v>7084</v>
      </c>
      <c r="KO39" s="1968">
        <v>1.36</v>
      </c>
      <c r="KP39" s="1968">
        <v>1.68</v>
      </c>
      <c r="KQ39" s="1968">
        <v>7.17</v>
      </c>
      <c r="KR39" s="1969">
        <v>10.047730000000001</v>
      </c>
      <c r="KS39" s="1959">
        <v>6689</v>
      </c>
      <c r="KT39" s="1964">
        <v>2.69</v>
      </c>
      <c r="KU39" s="1964">
        <v>6.3899999999999988</v>
      </c>
      <c r="KV39" s="1964">
        <v>6.49</v>
      </c>
      <c r="KW39" s="1965">
        <v>9.9124659999999984</v>
      </c>
      <c r="KX39" s="36"/>
      <c r="KY39" s="53"/>
      <c r="KZ39" s="53"/>
      <c r="LA39" s="53"/>
      <c r="LB39" s="53"/>
      <c r="LC39" s="33"/>
      <c r="LD39" s="2669"/>
      <c r="LF39" s="26">
        <f t="shared" si="66"/>
        <v>6296.7099999999991</v>
      </c>
      <c r="LG39" s="27">
        <f t="shared" si="66"/>
        <v>2698.5899999999997</v>
      </c>
      <c r="LH39" s="27">
        <f t="shared" si="66"/>
        <v>0</v>
      </c>
      <c r="LI39" s="28">
        <f t="shared" si="67"/>
        <v>8995.2999999999993</v>
      </c>
      <c r="LJ39" s="36">
        <v>1</v>
      </c>
      <c r="LK39" s="27"/>
      <c r="LL39" s="27"/>
      <c r="LM39" s="33"/>
      <c r="LN39" s="1041">
        <v>4.26</v>
      </c>
      <c r="LO39" s="21"/>
      <c r="LP39" s="2688"/>
      <c r="LQ39" s="26"/>
      <c r="LR39" s="36"/>
      <c r="LS39" s="27"/>
      <c r="LT39" s="27"/>
      <c r="LU39" s="27"/>
      <c r="LV39" s="1107">
        <f t="shared" si="68"/>
        <v>0</v>
      </c>
      <c r="LW39" s="36">
        <v>6296.7099999999991</v>
      </c>
      <c r="LX39" s="36">
        <v>2698.5899999999997</v>
      </c>
      <c r="LY39" s="27"/>
      <c r="LZ39" s="27"/>
      <c r="MA39" s="33"/>
      <c r="MB39" s="28">
        <f t="shared" si="69"/>
        <v>8995.2999999999993</v>
      </c>
      <c r="MC39" s="26"/>
      <c r="MD39" s="36"/>
      <c r="ME39" s="27"/>
      <c r="MF39" s="27"/>
      <c r="MG39" s="27"/>
      <c r="MH39" s="28"/>
      <c r="MI39" s="36"/>
      <c r="MJ39" s="36"/>
      <c r="MK39" s="27"/>
      <c r="ML39" s="27"/>
      <c r="MM39" s="27"/>
      <c r="MN39" s="28"/>
      <c r="MO39" s="36"/>
      <c r="MP39" s="36"/>
      <c r="MQ39" s="27"/>
      <c r="MR39" s="27"/>
      <c r="MS39" s="27"/>
      <c r="MT39" s="33">
        <f t="shared" si="70"/>
        <v>0</v>
      </c>
      <c r="MU39" s="2688"/>
      <c r="MW39" s="26">
        <f t="shared" si="71"/>
        <v>67001.052645013391</v>
      </c>
      <c r="MX39" s="27">
        <f t="shared" si="72"/>
        <v>90499.482248823493</v>
      </c>
      <c r="MY39" s="27">
        <f t="shared" si="73"/>
        <v>20111.74520127946</v>
      </c>
      <c r="MZ39" s="28">
        <f t="shared" si="74"/>
        <v>429418.92855850991</v>
      </c>
      <c r="NA39" s="2621"/>
      <c r="NB39" s="23">
        <f t="shared" si="75"/>
        <v>19052.445937467848</v>
      </c>
      <c r="NC39" s="1579">
        <f t="shared" si="76"/>
        <v>47948.606707545543</v>
      </c>
      <c r="ND39" s="60">
        <f t="shared" si="77"/>
        <v>0</v>
      </c>
      <c r="NE39" s="275">
        <f t="shared" si="4"/>
        <v>67001.052645013391</v>
      </c>
      <c r="NF39" s="26">
        <f t="shared" si="156"/>
        <v>0</v>
      </c>
      <c r="NG39" s="27">
        <f t="shared" si="156"/>
        <v>0</v>
      </c>
      <c r="NH39" s="27">
        <f t="shared" si="156"/>
        <v>0</v>
      </c>
      <c r="NI39" s="27">
        <f t="shared" si="156"/>
        <v>0</v>
      </c>
      <c r="NJ39" s="27">
        <f t="shared" si="156"/>
        <v>0</v>
      </c>
      <c r="NK39" s="33">
        <f t="shared" si="156"/>
        <v>0</v>
      </c>
      <c r="NL39" s="27">
        <f t="shared" si="156"/>
        <v>0</v>
      </c>
      <c r="NM39" s="152">
        <f t="shared" si="156"/>
        <v>0</v>
      </c>
      <c r="NN39" s="24">
        <f t="shared" si="156"/>
        <v>12782.830566563143</v>
      </c>
      <c r="NO39" s="27">
        <f t="shared" si="156"/>
        <v>26196.69549600617</v>
      </c>
      <c r="NP39" s="24">
        <f t="shared" si="136"/>
        <v>8756.5482322711578</v>
      </c>
      <c r="NQ39" s="24">
        <f t="shared" si="137"/>
        <v>12607.67411803341</v>
      </c>
      <c r="NR39" s="27">
        <f t="shared" si="0"/>
        <v>60343.748412873872</v>
      </c>
      <c r="NS39" s="27">
        <f t="shared" si="79"/>
        <v>0</v>
      </c>
      <c r="NT39" s="27">
        <f t="shared" si="80"/>
        <v>0</v>
      </c>
      <c r="NU39" s="27">
        <f t="shared" si="81"/>
        <v>0</v>
      </c>
      <c r="NV39" s="27">
        <f t="shared" si="82"/>
        <v>0</v>
      </c>
      <c r="NW39" s="5">
        <f t="shared" si="83"/>
        <v>0</v>
      </c>
      <c r="NX39" s="5">
        <f t="shared" si="84"/>
        <v>0</v>
      </c>
      <c r="NY39" s="27">
        <f t="shared" si="85"/>
        <v>6403.7636022929137</v>
      </c>
      <c r="NZ39" s="27">
        <f t="shared" si="86"/>
        <v>0</v>
      </c>
      <c r="OA39" s="27">
        <f t="shared" si="87"/>
        <v>5619.7780667828374</v>
      </c>
      <c r="OB39" s="27"/>
      <c r="OC39" s="24">
        <f t="shared" si="88"/>
        <v>349.54339982995594</v>
      </c>
      <c r="OD39" s="27">
        <f t="shared" si="89"/>
        <v>0</v>
      </c>
      <c r="OE39" s="28">
        <f t="shared" si="1"/>
        <v>12373.085068905708</v>
      </c>
      <c r="OF39" s="27">
        <f t="shared" si="149"/>
        <v>0</v>
      </c>
      <c r="OG39" s="27">
        <f t="shared" si="150"/>
        <v>0</v>
      </c>
      <c r="OH39" s="27">
        <f t="shared" si="155"/>
        <v>0</v>
      </c>
      <c r="OI39" s="27">
        <f t="shared" si="151"/>
        <v>0</v>
      </c>
      <c r="OJ39" s="27">
        <f t="shared" si="152"/>
        <v>0</v>
      </c>
      <c r="OK39" s="27">
        <f t="shared" si="153"/>
        <v>0</v>
      </c>
      <c r="OL39" s="24">
        <f t="shared" si="145"/>
        <v>0</v>
      </c>
      <c r="OM39" s="27">
        <f t="shared" si="140"/>
        <v>0</v>
      </c>
      <c r="ON39" s="24">
        <f t="shared" si="141"/>
        <v>15502.643599110994</v>
      </c>
      <c r="OO39" s="27">
        <f t="shared" si="142"/>
        <v>0</v>
      </c>
      <c r="OP39" s="27">
        <f t="shared" si="143"/>
        <v>2280.0051679329135</v>
      </c>
      <c r="OQ39" s="27">
        <f t="shared" si="144"/>
        <v>0</v>
      </c>
      <c r="OR39" s="28">
        <f t="shared" si="2"/>
        <v>17782.648767043909</v>
      </c>
      <c r="OS39" s="36"/>
      <c r="OT39" s="27"/>
      <c r="OU39" s="27"/>
      <c r="OV39" s="27"/>
      <c r="OW39" s="27"/>
      <c r="OX39" s="27"/>
      <c r="OY39" s="28">
        <f t="shared" si="91"/>
        <v>0</v>
      </c>
      <c r="OZ39" s="36">
        <f t="shared" si="92"/>
        <v>0</v>
      </c>
      <c r="PA39" s="27">
        <f t="shared" si="93"/>
        <v>0</v>
      </c>
      <c r="PB39" s="27">
        <f t="shared" si="94"/>
        <v>0</v>
      </c>
      <c r="PC39" s="27">
        <f t="shared" si="95"/>
        <v>0</v>
      </c>
      <c r="PD39" s="27">
        <f t="shared" si="96"/>
        <v>0</v>
      </c>
      <c r="PE39" s="27">
        <f t="shared" si="97"/>
        <v>0</v>
      </c>
      <c r="PF39" s="33">
        <f t="shared" si="3"/>
        <v>0</v>
      </c>
      <c r="PG39" s="2621"/>
      <c r="PI39" s="2">
        <v>445.28</v>
      </c>
      <c r="PJ39" s="3"/>
      <c r="PK39" s="3"/>
      <c r="PL39" s="3">
        <f t="shared" si="98"/>
        <v>0</v>
      </c>
      <c r="PM39" s="3">
        <f t="shared" si="99"/>
        <v>9039.5353876938934</v>
      </c>
      <c r="PN39" s="11">
        <f t="shared" si="100"/>
        <v>20111.74520127946</v>
      </c>
      <c r="PO39" s="15"/>
      <c r="PP39" s="2615"/>
      <c r="PR39" s="4"/>
      <c r="PS39" s="9"/>
      <c r="PT39" s="9"/>
      <c r="PU39" s="9"/>
      <c r="PV39" s="9">
        <v>0</v>
      </c>
      <c r="PW39" s="9"/>
      <c r="PX39" s="8">
        <f t="shared" si="101"/>
        <v>0</v>
      </c>
      <c r="PY39" s="5">
        <f t="shared" si="102"/>
        <v>445.28</v>
      </c>
      <c r="PZ39" s="5"/>
      <c r="QA39" s="5"/>
      <c r="QB39" s="5"/>
      <c r="QC39" s="5"/>
      <c r="QD39" s="5"/>
      <c r="QE39" s="12">
        <f t="shared" si="103"/>
        <v>29562.488999999998</v>
      </c>
      <c r="QF39" s="420">
        <f t="shared" si="104"/>
        <v>398171.55955850991</v>
      </c>
      <c r="QG39" s="1106">
        <f t="shared" si="105"/>
        <v>1684.88</v>
      </c>
      <c r="QH39" s="484">
        <f t="shared" si="106"/>
        <v>5505.3678056099998</v>
      </c>
      <c r="QI39" s="12"/>
      <c r="QJ39" s="2615"/>
      <c r="QL39" s="139">
        <f t="shared" si="107"/>
        <v>0</v>
      </c>
      <c r="QM39" s="139" t="str">
        <f t="shared" si="108"/>
        <v/>
      </c>
      <c r="QO39" s="139">
        <f t="shared" si="109"/>
        <v>0</v>
      </c>
      <c r="QP39" s="139">
        <f t="shared" si="110"/>
        <v>0</v>
      </c>
      <c r="QR39" s="1">
        <f t="shared" si="111"/>
        <v>0</v>
      </c>
      <c r="QS39" s="1">
        <f t="shared" si="112"/>
        <v>0</v>
      </c>
      <c r="QT39" s="1">
        <f t="shared" si="113"/>
        <v>0</v>
      </c>
      <c r="QU39" s="1">
        <f t="shared" si="114"/>
        <v>0</v>
      </c>
      <c r="QV39" s="1">
        <f t="shared" si="115"/>
        <v>0</v>
      </c>
      <c r="QW39" s="1">
        <f t="shared" si="116"/>
        <v>0</v>
      </c>
      <c r="QY39" s="1">
        <f t="shared" si="117"/>
        <v>0</v>
      </c>
      <c r="QZ39" s="1">
        <f t="shared" si="118"/>
        <v>0</v>
      </c>
      <c r="RA39" s="1">
        <f t="shared" si="119"/>
        <v>0</v>
      </c>
      <c r="RB39" s="1">
        <f t="shared" si="120"/>
        <v>0</v>
      </c>
      <c r="RC39" s="1">
        <f t="shared" si="121"/>
        <v>0</v>
      </c>
      <c r="RD39" s="1">
        <f t="shared" si="122"/>
        <v>0</v>
      </c>
      <c r="RG39" s="1">
        <v>30</v>
      </c>
      <c r="RH39" s="1">
        <f t="shared" si="146"/>
        <v>-10977.568290282899</v>
      </c>
      <c r="RI39" s="1">
        <f t="shared" si="147"/>
        <v>29967.845280483718</v>
      </c>
      <c r="RJ39" s="1">
        <f t="shared" si="148"/>
        <v>13404.263703387322</v>
      </c>
      <c r="RK39" s="89">
        <f t="shared" si="5"/>
        <v>32394.54069358814</v>
      </c>
      <c r="RL39" s="1033">
        <v>30</v>
      </c>
      <c r="RM39" s="1098">
        <f t="shared" si="124"/>
        <v>0</v>
      </c>
      <c r="RN39" s="1098">
        <f t="shared" si="125"/>
        <v>0</v>
      </c>
      <c r="RO39" s="1097">
        <f t="shared" si="125"/>
        <v>0</v>
      </c>
      <c r="RP39" s="1097">
        <f t="shared" si="126"/>
        <v>5612.28</v>
      </c>
      <c r="RQ39" s="1094"/>
      <c r="RR39" s="1094" t="s">
        <v>861</v>
      </c>
      <c r="RU39" s="421">
        <v>30</v>
      </c>
      <c r="RV39" s="1095">
        <f t="shared" si="127"/>
        <v>7335</v>
      </c>
      <c r="RW39" s="1096" t="s">
        <v>862</v>
      </c>
      <c r="RY39" s="1090"/>
      <c r="RZ39" s="1090">
        <f t="shared" si="128"/>
        <v>0</v>
      </c>
      <c r="SA39" s="1090"/>
      <c r="SB39" s="1090">
        <f t="shared" si="129"/>
        <v>0</v>
      </c>
      <c r="SD39" s="1">
        <v>30</v>
      </c>
      <c r="SE39" s="1">
        <f t="shared" si="130"/>
        <v>0</v>
      </c>
    </row>
    <row r="40" spans="1:500" s="1" customFormat="1">
      <c r="B40" s="1105">
        <v>31</v>
      </c>
      <c r="C40" s="6">
        <f t="shared" si="6"/>
        <v>163251.08000000002</v>
      </c>
      <c r="D40" s="1955">
        <f>P40+T40+X40+AB40</f>
        <v>10210.960000000001</v>
      </c>
      <c r="E40" s="1915">
        <f t="shared" si="7"/>
        <v>15.987828764386503</v>
      </c>
      <c r="F40" s="1444"/>
      <c r="G40" s="1445"/>
      <c r="H40" s="56">
        <v>1</v>
      </c>
      <c r="I40" s="62">
        <v>0.97</v>
      </c>
      <c r="J40" s="56"/>
      <c r="K40" s="58"/>
      <c r="L40" s="56"/>
      <c r="M40" s="62"/>
      <c r="N40" s="2630"/>
      <c r="O40" s="4">
        <f t="shared" si="132"/>
        <v>100986.48000000001</v>
      </c>
      <c r="P40" s="5">
        <f t="shared" si="8"/>
        <v>6278.4400000000005</v>
      </c>
      <c r="Q40" s="1955">
        <f t="shared" si="9"/>
        <v>16.084645230343845</v>
      </c>
      <c r="R40" s="34"/>
      <c r="S40" s="29">
        <f t="shared" si="10"/>
        <v>30507.599999999999</v>
      </c>
      <c r="T40" s="30">
        <f t="shared" si="11"/>
        <v>872.52</v>
      </c>
      <c r="U40" s="1917">
        <f t="shared" si="12"/>
        <v>34.964929170678033</v>
      </c>
      <c r="V40" s="31"/>
      <c r="W40" s="29">
        <f t="shared" si="13"/>
        <v>31757</v>
      </c>
      <c r="X40" s="7">
        <f t="shared" si="13"/>
        <v>3060</v>
      </c>
      <c r="Y40" s="1720">
        <f t="shared" si="14"/>
        <v>10.378104575163398</v>
      </c>
      <c r="Z40" s="34"/>
      <c r="AA40" s="29">
        <f>SUM(BO40,BR40)</f>
        <v>0</v>
      </c>
      <c r="AB40" s="30">
        <f t="shared" si="16"/>
        <v>0</v>
      </c>
      <c r="AC40" s="57">
        <f t="shared" si="17"/>
        <v>0</v>
      </c>
      <c r="AD40" s="31"/>
      <c r="AE40" s="36"/>
      <c r="AF40" s="36"/>
      <c r="AG40" s="57">
        <f t="shared" si="18"/>
        <v>0</v>
      </c>
      <c r="AH40" s="31"/>
      <c r="AI40" s="23"/>
      <c r="AJ40" s="30"/>
      <c r="AK40" s="57">
        <f t="shared" si="19"/>
        <v>0</v>
      </c>
      <c r="AL40" s="31"/>
      <c r="AM40" s="2630"/>
      <c r="AN40" s="10"/>
      <c r="AO40" s="7"/>
      <c r="AP40" s="62">
        <f t="shared" si="20"/>
        <v>0</v>
      </c>
      <c r="AQ40" s="37"/>
      <c r="AR40" s="57"/>
      <c r="AS40" s="62">
        <f t="shared" si="21"/>
        <v>0</v>
      </c>
      <c r="AT40" s="37"/>
      <c r="AU40" s="30"/>
      <c r="AV40" s="62">
        <f t="shared" si="22"/>
        <v>0</v>
      </c>
      <c r="AW40" s="37">
        <v>51762.48</v>
      </c>
      <c r="AX40" s="27">
        <v>6278.4400000000005</v>
      </c>
      <c r="AY40" s="1915">
        <f t="shared" si="23"/>
        <v>8.2444811131427542</v>
      </c>
      <c r="AZ40" s="1916"/>
      <c r="BA40" s="1917"/>
      <c r="BB40" s="1915">
        <f t="shared" si="24"/>
        <v>0</v>
      </c>
      <c r="BC40" s="1916">
        <v>49224</v>
      </c>
      <c r="BD40" s="1917">
        <v>0</v>
      </c>
      <c r="BE40" s="1915">
        <f t="shared" si="154"/>
        <v>0</v>
      </c>
      <c r="BF40" s="1916"/>
      <c r="BG40" s="1917"/>
      <c r="BH40" s="1915">
        <f t="shared" si="26"/>
        <v>0</v>
      </c>
      <c r="BI40" s="1916"/>
      <c r="BJ40" s="1917"/>
      <c r="BK40" s="1915">
        <f t="shared" si="27"/>
        <v>0</v>
      </c>
      <c r="BL40" s="1916">
        <v>30507.599999999999</v>
      </c>
      <c r="BM40" s="1917">
        <v>872.52</v>
      </c>
      <c r="BN40" s="1915">
        <f t="shared" si="28"/>
        <v>34.964929170678033</v>
      </c>
      <c r="BO40" s="37"/>
      <c r="BP40" s="57"/>
      <c r="BQ40" s="62">
        <f t="shared" si="29"/>
        <v>0</v>
      </c>
      <c r="BR40" s="37"/>
      <c r="BS40" s="30"/>
      <c r="BT40" s="62">
        <f t="shared" si="30"/>
        <v>0</v>
      </c>
      <c r="BU40" s="37">
        <v>31757</v>
      </c>
      <c r="BV40" s="30">
        <v>3060</v>
      </c>
      <c r="BW40" s="31">
        <f t="shared" si="31"/>
        <v>10.378104575163398</v>
      </c>
      <c r="BX40" s="29"/>
      <c r="BY40" s="7"/>
      <c r="BZ40" s="62">
        <f t="shared" si="32"/>
        <v>0</v>
      </c>
      <c r="CA40" s="37"/>
      <c r="CB40" s="30"/>
      <c r="CC40" s="62">
        <f t="shared" si="33"/>
        <v>0</v>
      </c>
      <c r="CD40" s="29"/>
      <c r="CE40" s="30"/>
      <c r="CF40" s="31">
        <f t="shared" si="34"/>
        <v>0</v>
      </c>
      <c r="CG40" s="151"/>
      <c r="CH40" s="10"/>
      <c r="CI40" s="7"/>
      <c r="CJ40" s="7"/>
      <c r="CK40" s="7">
        <v>1112.5</v>
      </c>
      <c r="CL40" s="7"/>
      <c r="CM40" s="7">
        <f t="shared" si="35"/>
        <v>1112.5</v>
      </c>
      <c r="CN40" s="34"/>
      <c r="CO40" s="367"/>
      <c r="CQ40" s="6">
        <f t="shared" si="36"/>
        <v>0</v>
      </c>
      <c r="CR40" s="10">
        <f t="shared" si="37"/>
        <v>0</v>
      </c>
      <c r="CS40" s="7">
        <f t="shared" si="38"/>
        <v>0</v>
      </c>
      <c r="CT40" s="7">
        <f t="shared" si="39"/>
        <v>0</v>
      </c>
      <c r="CU40" s="7">
        <f t="shared" si="40"/>
        <v>0</v>
      </c>
      <c r="CV40" s="7">
        <f t="shared" si="41"/>
        <v>0</v>
      </c>
      <c r="CW40" s="7">
        <f t="shared" si="42"/>
        <v>0</v>
      </c>
      <c r="CX40" s="7">
        <f t="shared" si="43"/>
        <v>0</v>
      </c>
      <c r="CY40" s="7">
        <f t="shared" si="44"/>
        <v>10210.959999999999</v>
      </c>
      <c r="CZ40" s="7">
        <f t="shared" si="45"/>
        <v>0</v>
      </c>
      <c r="DA40" s="7">
        <f t="shared" si="46"/>
        <v>0</v>
      </c>
      <c r="DB40" s="13">
        <f t="shared" si="47"/>
        <v>0</v>
      </c>
      <c r="DC40" s="310">
        <f>SUM(CQ40:DB40,PV40)</f>
        <v>10210.959999999999</v>
      </c>
      <c r="DD40" s="2696"/>
      <c r="DE40" s="8"/>
      <c r="DF40" s="10"/>
      <c r="DG40" s="7"/>
      <c r="DH40" s="7"/>
      <c r="DI40" s="7"/>
      <c r="DJ40" s="7"/>
      <c r="DK40" s="7">
        <v>0</v>
      </c>
      <c r="DL40" s="7"/>
      <c r="DM40" s="7">
        <v>6073.68</v>
      </c>
      <c r="DN40" s="7"/>
      <c r="DO40" s="7"/>
      <c r="DP40" s="13"/>
      <c r="DQ40" s="31">
        <f t="shared" si="49"/>
        <v>6073.68</v>
      </c>
      <c r="DR40" s="37"/>
      <c r="DS40" s="37"/>
      <c r="DT40" s="30"/>
      <c r="DU40" s="30"/>
      <c r="DV40" s="30"/>
      <c r="DW40" s="30"/>
      <c r="DX40" s="30"/>
      <c r="DY40" s="30"/>
      <c r="DZ40" s="30">
        <v>1077.28</v>
      </c>
      <c r="EA40" s="30"/>
      <c r="EB40" s="30">
        <v>0</v>
      </c>
      <c r="EC40" s="34"/>
      <c r="ED40" s="28">
        <f t="shared" si="50"/>
        <v>1077.28</v>
      </c>
      <c r="EE40" s="37"/>
      <c r="EF40" s="37"/>
      <c r="EG40" s="30"/>
      <c r="EH40" s="30"/>
      <c r="EI40" s="30"/>
      <c r="EJ40" s="30"/>
      <c r="EK40" s="30"/>
      <c r="EL40" s="30"/>
      <c r="EM40" s="30">
        <v>3060</v>
      </c>
      <c r="EN40" s="30"/>
      <c r="EO40" s="30">
        <v>0</v>
      </c>
      <c r="EP40" s="34"/>
      <c r="EQ40" s="31">
        <f t="shared" si="51"/>
        <v>3060</v>
      </c>
      <c r="ER40" s="37"/>
      <c r="ES40" s="30"/>
      <c r="ET40" s="30"/>
      <c r="EU40" s="30"/>
      <c r="EV40" s="30"/>
      <c r="EW40" s="30"/>
      <c r="EX40" s="34">
        <f t="shared" si="52"/>
        <v>0</v>
      </c>
      <c r="EY40" s="2686"/>
      <c r="FA40" s="6">
        <f t="shared" si="53"/>
        <v>0</v>
      </c>
      <c r="FB40" s="7">
        <f t="shared" si="54"/>
        <v>0</v>
      </c>
      <c r="FC40" s="7">
        <f t="shared" si="55"/>
        <v>0</v>
      </c>
      <c r="FD40" s="13">
        <f t="shared" si="56"/>
        <v>0</v>
      </c>
      <c r="FE40" s="34"/>
      <c r="FF40" s="2675"/>
      <c r="FG40" s="10"/>
      <c r="FH40" s="7"/>
      <c r="FI40" s="7"/>
      <c r="FJ40" s="7"/>
      <c r="FK40" s="7"/>
      <c r="FL40" s="30"/>
      <c r="FM40" s="31">
        <f t="shared" si="57"/>
        <v>0</v>
      </c>
      <c r="FN40" s="37"/>
      <c r="FO40" s="30"/>
      <c r="FP40" s="30"/>
      <c r="FQ40" s="30"/>
      <c r="FR40" s="30"/>
      <c r="FS40" s="30"/>
      <c r="FT40" s="31">
        <f t="shared" si="58"/>
        <v>0</v>
      </c>
      <c r="FU40" s="37"/>
      <c r="FV40" s="37"/>
      <c r="FW40" s="30"/>
      <c r="FX40" s="30"/>
      <c r="FY40" s="30"/>
      <c r="FZ40" s="30"/>
      <c r="GA40" s="30"/>
      <c r="GB40" s="30"/>
      <c r="GC40" s="30"/>
      <c r="GD40" s="30"/>
      <c r="GE40" s="30"/>
      <c r="GF40" s="34"/>
      <c r="GG40" s="34">
        <f t="shared" si="59"/>
        <v>0</v>
      </c>
      <c r="GH40" s="2675"/>
      <c r="GJ40" s="2">
        <f t="shared" si="133"/>
        <v>1246.8</v>
      </c>
      <c r="GK40" s="63">
        <f t="shared" si="134"/>
        <v>2116.15</v>
      </c>
      <c r="GL40" s="24">
        <f t="shared" si="135"/>
        <v>0</v>
      </c>
      <c r="GM40" s="30">
        <f t="shared" si="60"/>
        <v>3362.95</v>
      </c>
      <c r="GN40" s="279"/>
      <c r="GO40" s="279"/>
      <c r="GP40" s="34"/>
      <c r="GQ40" s="2668"/>
      <c r="GR40" s="1104">
        <v>3362.95</v>
      </c>
      <c r="GS40" s="30">
        <v>0</v>
      </c>
      <c r="GT40" s="30">
        <v>0</v>
      </c>
      <c r="GU40" s="30">
        <v>0</v>
      </c>
      <c r="GV40" s="31">
        <f t="shared" si="61"/>
        <v>3362.95</v>
      </c>
      <c r="GW40" s="2668"/>
      <c r="GX40" s="37"/>
      <c r="GY40" s="37"/>
      <c r="GZ40" s="30"/>
      <c r="HA40" s="30"/>
      <c r="HB40" s="30"/>
      <c r="HC40" s="30"/>
      <c r="HD40" s="30"/>
      <c r="HE40" s="30"/>
      <c r="HF40" s="30">
        <v>0</v>
      </c>
      <c r="HG40" s="30"/>
      <c r="HH40" s="30">
        <v>1246.8</v>
      </c>
      <c r="HI40" s="30"/>
      <c r="HJ40" s="30">
        <v>0</v>
      </c>
      <c r="HK40" s="30"/>
      <c r="HL40" s="31">
        <f t="shared" si="62"/>
        <v>1246.8</v>
      </c>
      <c r="HM40" s="37"/>
      <c r="HN40" s="30"/>
      <c r="HO40" s="30"/>
      <c r="HP40" s="30"/>
      <c r="HQ40" s="30"/>
      <c r="HR40" s="30"/>
      <c r="HS40" s="30" cm="1">
        <f t="array" ref="HS40">SUMPRODUCT(('Data Base hauling'!$C$2:$C$216="TCM-ROM SB1 BK05-ROM 4")*(ISNUMBER(SEARCH(TEXT('March TCM'!$B40,"00")&amp;"/03/2026",'Data Base hauling'!$E$2:$E$216)))*'Data Base hauling'!$N$2:$N$216)</f>
        <v>0</v>
      </c>
      <c r="HT40" s="30"/>
      <c r="HU40" s="30" cm="1">
        <f t="array" ref="HU40">SUMPRODUCT(('Data Base hauling'!$C$2:$C$216="TCM-ROM SB1 BK05-ROM 5")*(ISNUMBER(SEARCH(TEXT('March TCM'!$B40,"00")&amp;"/03/2026",'Data Base hauling'!$E$2:$E$216)))*'Data Base hauling'!$N$2:$N$216)</f>
        <v>0</v>
      </c>
      <c r="HV40" s="30"/>
      <c r="HW40" s="30"/>
      <c r="HX40" s="30"/>
      <c r="HY40" s="30"/>
      <c r="HZ40" s="30"/>
      <c r="IA40" s="34">
        <f t="shared" si="63"/>
        <v>0</v>
      </c>
      <c r="IB40" s="56"/>
      <c r="IC40" s="1104"/>
      <c r="ID40" s="57"/>
      <c r="IE40" s="57"/>
      <c r="IF40" s="57"/>
      <c r="IG40" s="57"/>
      <c r="IH40" s="57">
        <v>1953.9</v>
      </c>
      <c r="II40" s="57"/>
      <c r="IJ40" s="57">
        <v>162.25</v>
      </c>
      <c r="IK40" s="57"/>
      <c r="IL40" s="57">
        <v>0</v>
      </c>
      <c r="IM40" s="30"/>
      <c r="IN40" s="30"/>
      <c r="IO40" s="49">
        <v>0</v>
      </c>
      <c r="IP40" s="62">
        <f t="shared" si="64"/>
        <v>2116.15</v>
      </c>
      <c r="IQ40" s="37"/>
      <c r="IR40" s="37"/>
      <c r="IS40" s="30"/>
      <c r="IT40" s="30"/>
      <c r="IU40" s="57"/>
      <c r="IV40" s="30"/>
      <c r="IW40" s="30">
        <v>0</v>
      </c>
      <c r="IX40" s="30"/>
      <c r="IY40" s="30">
        <v>0</v>
      </c>
      <c r="IZ40" s="30"/>
      <c r="JA40" s="30">
        <v>0</v>
      </c>
      <c r="JB40" s="30"/>
      <c r="JC40" s="30"/>
      <c r="JD40" s="30"/>
      <c r="JE40" s="854">
        <f t="shared" si="138"/>
        <v>0</v>
      </c>
      <c r="JF40" s="2668"/>
      <c r="JH40" s="2020">
        <v>0</v>
      </c>
      <c r="JI40" s="1971">
        <v>3362.95</v>
      </c>
      <c r="JJ40" s="30"/>
      <c r="JK40" s="57">
        <f t="shared" si="65"/>
        <v>3362.95</v>
      </c>
      <c r="JL40" s="31"/>
      <c r="JM40" s="2670"/>
      <c r="JN40" s="74" t="s">
        <v>296</v>
      </c>
      <c r="JO40" s="75" t="s">
        <v>296</v>
      </c>
      <c r="JP40" s="75" t="s">
        <v>296</v>
      </c>
      <c r="JQ40" s="75" t="s">
        <v>296</v>
      </c>
      <c r="JR40" s="75" t="s">
        <v>296</v>
      </c>
      <c r="JS40" s="75" t="s">
        <v>296</v>
      </c>
      <c r="JT40" s="75" t="s">
        <v>296</v>
      </c>
      <c r="JU40" s="1924">
        <v>0</v>
      </c>
      <c r="JV40" s="74">
        <v>0</v>
      </c>
      <c r="JW40" s="75">
        <v>0</v>
      </c>
      <c r="JX40" s="75">
        <v>0</v>
      </c>
      <c r="JY40" s="75">
        <v>0.5810077461752331</v>
      </c>
      <c r="JZ40" s="75">
        <v>4.8246331345990871E-2</v>
      </c>
      <c r="KA40" s="75">
        <v>0.37074592247877608</v>
      </c>
      <c r="KB40" s="75">
        <v>0</v>
      </c>
      <c r="KC40" s="76">
        <v>0</v>
      </c>
      <c r="KD40" s="77"/>
      <c r="KE40" s="75"/>
      <c r="KF40" s="75"/>
      <c r="KG40" s="75"/>
      <c r="KH40" s="75"/>
      <c r="KI40" s="75"/>
      <c r="KJ40" s="75"/>
      <c r="KK40" s="75"/>
      <c r="KL40" s="31"/>
      <c r="KM40" s="2670"/>
      <c r="KN40" s="29"/>
      <c r="KO40" s="1971"/>
      <c r="KP40" s="1971"/>
      <c r="KQ40" s="1971"/>
      <c r="KR40" s="1972"/>
      <c r="KS40" s="1960">
        <v>6853</v>
      </c>
      <c r="KT40" s="1966">
        <v>2.4</v>
      </c>
      <c r="KU40" s="1966">
        <v>6.83</v>
      </c>
      <c r="KV40" s="1966">
        <v>5.5</v>
      </c>
      <c r="KW40" s="1967">
        <v>8.3727999999999998</v>
      </c>
      <c r="KX40" s="37"/>
      <c r="KY40" s="57"/>
      <c r="KZ40" s="57"/>
      <c r="LA40" s="57"/>
      <c r="LB40" s="57"/>
      <c r="LC40" s="31"/>
      <c r="LD40" s="2670"/>
      <c r="LF40" s="29">
        <f t="shared" si="66"/>
        <v>0</v>
      </c>
      <c r="LG40" s="30">
        <f t="shared" si="66"/>
        <v>0</v>
      </c>
      <c r="LH40" s="30">
        <f t="shared" si="66"/>
        <v>0</v>
      </c>
      <c r="LI40" s="31">
        <f t="shared" si="67"/>
        <v>0</v>
      </c>
      <c r="LJ40" s="37"/>
      <c r="LK40" s="30"/>
      <c r="LL40" s="30"/>
      <c r="LM40" s="34"/>
      <c r="LN40" s="1103">
        <v>4.2699999999999996</v>
      </c>
      <c r="LO40" s="332" t="s">
        <v>863</v>
      </c>
      <c r="LP40" s="2689"/>
      <c r="LQ40" s="29"/>
      <c r="LR40" s="37"/>
      <c r="LS40" s="30"/>
      <c r="LT40" s="30"/>
      <c r="LU40" s="30"/>
      <c r="LV40" s="1102">
        <f t="shared" si="68"/>
        <v>0</v>
      </c>
      <c r="LW40" s="37"/>
      <c r="LX40" s="37"/>
      <c r="LY40" s="30"/>
      <c r="LZ40" s="30"/>
      <c r="MA40" s="34"/>
      <c r="MB40" s="31">
        <f t="shared" si="69"/>
        <v>0</v>
      </c>
      <c r="MC40" s="29"/>
      <c r="MD40" s="37"/>
      <c r="ME40" s="30"/>
      <c r="MF40" s="30"/>
      <c r="MG40" s="30"/>
      <c r="MH40" s="31"/>
      <c r="MI40" s="37"/>
      <c r="MJ40" s="37"/>
      <c r="MK40" s="30"/>
      <c r="ML40" s="30"/>
      <c r="MM40" s="30"/>
      <c r="MN40" s="31"/>
      <c r="MO40" s="37"/>
      <c r="MP40" s="37"/>
      <c r="MQ40" s="30"/>
      <c r="MR40" s="30"/>
      <c r="MS40" s="30"/>
      <c r="MT40" s="34">
        <f t="shared" si="70"/>
        <v>0</v>
      </c>
      <c r="MU40" s="2689"/>
      <c r="MW40" s="29">
        <f t="shared" si="71"/>
        <v>70364.002645013388</v>
      </c>
      <c r="MX40" s="30">
        <f t="shared" si="72"/>
        <v>97347.492248823488</v>
      </c>
      <c r="MY40" s="30">
        <f t="shared" si="73"/>
        <v>20111.74520127946</v>
      </c>
      <c r="MZ40" s="31">
        <f t="shared" si="74"/>
        <v>427790.48855850991</v>
      </c>
      <c r="NA40" s="2622"/>
      <c r="NB40" s="23">
        <f t="shared" si="75"/>
        <v>19052.445937467848</v>
      </c>
      <c r="NC40" s="1579">
        <f t="shared" si="76"/>
        <v>51311.55670754554</v>
      </c>
      <c r="ND40" s="60">
        <f t="shared" si="77"/>
        <v>0</v>
      </c>
      <c r="NE40" s="276">
        <f t="shared" si="4"/>
        <v>70364.002645013388</v>
      </c>
      <c r="NF40" s="26">
        <f t="shared" si="156"/>
        <v>0</v>
      </c>
      <c r="NG40" s="30">
        <f t="shared" si="156"/>
        <v>0</v>
      </c>
      <c r="NH40" s="30">
        <f t="shared" si="156"/>
        <v>0</v>
      </c>
      <c r="NI40" s="30">
        <f t="shared" si="156"/>
        <v>0</v>
      </c>
      <c r="NJ40" s="30">
        <f t="shared" si="156"/>
        <v>0</v>
      </c>
      <c r="NK40" s="34">
        <f t="shared" si="156"/>
        <v>0</v>
      </c>
      <c r="NL40" s="1233">
        <f t="shared" si="156"/>
        <v>0</v>
      </c>
      <c r="NM40" s="57">
        <f t="shared" si="156"/>
        <v>0</v>
      </c>
      <c r="NN40" s="24">
        <f t="shared" si="156"/>
        <v>15842.830566563143</v>
      </c>
      <c r="NO40" s="27">
        <f t="shared" si="156"/>
        <v>26196.69549600617</v>
      </c>
      <c r="NP40" s="24">
        <f t="shared" si="136"/>
        <v>8756.5482322711578</v>
      </c>
      <c r="NQ40" s="24">
        <f t="shared" si="137"/>
        <v>11360.874118033411</v>
      </c>
      <c r="NR40" s="30">
        <f t="shared" si="0"/>
        <v>62156.948412873877</v>
      </c>
      <c r="NS40" s="30">
        <f t="shared" si="79"/>
        <v>0</v>
      </c>
      <c r="NT40" s="30">
        <f t="shared" si="80"/>
        <v>0</v>
      </c>
      <c r="NU40" s="30">
        <f t="shared" si="81"/>
        <v>0</v>
      </c>
      <c r="NV40" s="30">
        <f t="shared" si="82"/>
        <v>0</v>
      </c>
      <c r="NW40" s="7">
        <f t="shared" si="83"/>
        <v>0</v>
      </c>
      <c r="NX40" s="7">
        <f t="shared" si="84"/>
        <v>0</v>
      </c>
      <c r="NY40" s="30">
        <f t="shared" si="85"/>
        <v>4449.8636022929131</v>
      </c>
      <c r="NZ40" s="30">
        <f t="shared" si="86"/>
        <v>0</v>
      </c>
      <c r="OA40" s="27">
        <f t="shared" si="87"/>
        <v>11531.208066782838</v>
      </c>
      <c r="OB40" s="30"/>
      <c r="OC40" s="30">
        <f t="shared" si="88"/>
        <v>349.54339982995594</v>
      </c>
      <c r="OD40" s="30">
        <f t="shared" si="89"/>
        <v>0</v>
      </c>
      <c r="OE40" s="30">
        <f t="shared" si="1"/>
        <v>16330.615068905707</v>
      </c>
      <c r="OF40" s="30">
        <f t="shared" si="149"/>
        <v>0</v>
      </c>
      <c r="OG40" s="30">
        <f t="shared" si="150"/>
        <v>0</v>
      </c>
      <c r="OH40" s="30">
        <f t="shared" si="155"/>
        <v>0</v>
      </c>
      <c r="OI40" s="30">
        <f t="shared" si="151"/>
        <v>0</v>
      </c>
      <c r="OJ40" s="27">
        <f t="shared" si="152"/>
        <v>0</v>
      </c>
      <c r="OK40" s="30">
        <f t="shared" si="153"/>
        <v>0</v>
      </c>
      <c r="OL40" s="24">
        <f t="shared" si="145"/>
        <v>0</v>
      </c>
      <c r="OM40" s="30">
        <f t="shared" si="140"/>
        <v>0</v>
      </c>
      <c r="ON40" s="24">
        <f t="shared" si="141"/>
        <v>16579.923599110993</v>
      </c>
      <c r="OO40" s="30">
        <f t="shared" si="142"/>
        <v>0</v>
      </c>
      <c r="OP40" s="30">
        <f t="shared" si="143"/>
        <v>2280.0051679329135</v>
      </c>
      <c r="OQ40" s="30">
        <f t="shared" si="144"/>
        <v>0</v>
      </c>
      <c r="OR40" s="31">
        <f t="shared" si="2"/>
        <v>18859.928767043908</v>
      </c>
      <c r="OS40" s="37"/>
      <c r="OT40" s="30"/>
      <c r="OU40" s="30"/>
      <c r="OV40" s="30"/>
      <c r="OW40" s="30"/>
      <c r="OX40" s="30"/>
      <c r="OY40" s="31">
        <f t="shared" si="91"/>
        <v>0</v>
      </c>
      <c r="OZ40" s="37">
        <f t="shared" si="92"/>
        <v>0</v>
      </c>
      <c r="PA40" s="30">
        <f t="shared" si="93"/>
        <v>0</v>
      </c>
      <c r="PB40" s="30">
        <f t="shared" si="94"/>
        <v>0</v>
      </c>
      <c r="PC40" s="30">
        <f t="shared" si="95"/>
        <v>0</v>
      </c>
      <c r="PD40" s="30">
        <f t="shared" si="96"/>
        <v>0</v>
      </c>
      <c r="PE40" s="30">
        <f t="shared" si="97"/>
        <v>0</v>
      </c>
      <c r="PF40" s="34">
        <f t="shared" si="3"/>
        <v>0</v>
      </c>
      <c r="PG40" s="2622"/>
      <c r="PI40" s="2">
        <v>1628.4399999999998</v>
      </c>
      <c r="PJ40" s="3"/>
      <c r="PK40" s="3"/>
      <c r="PL40" s="3">
        <f t="shared" si="98"/>
        <v>0</v>
      </c>
      <c r="PM40" s="3">
        <f t="shared" si="99"/>
        <v>10667.975387693894</v>
      </c>
      <c r="PN40" s="11">
        <f t="shared" si="100"/>
        <v>20111.74520127946</v>
      </c>
      <c r="PO40" s="16"/>
      <c r="PP40" s="2616"/>
      <c r="PR40" s="6"/>
      <c r="PS40" s="10"/>
      <c r="PT40" s="10"/>
      <c r="PU40" s="10"/>
      <c r="PV40" s="10">
        <v>0</v>
      </c>
      <c r="PW40" s="10"/>
      <c r="PX40" s="1101">
        <f t="shared" si="101"/>
        <v>0</v>
      </c>
      <c r="PY40" s="7">
        <f t="shared" si="102"/>
        <v>1628.4399999999998</v>
      </c>
      <c r="PZ40" s="7"/>
      <c r="QA40" s="7"/>
      <c r="QB40" s="7"/>
      <c r="QC40" s="7"/>
      <c r="QD40" s="7"/>
      <c r="QE40" s="13">
        <f t="shared" si="103"/>
        <v>29562.488999999998</v>
      </c>
      <c r="QF40" s="1100">
        <f t="shared" si="104"/>
        <v>396543.1195585099</v>
      </c>
      <c r="QG40" s="1099">
        <f t="shared" si="105"/>
        <v>1684.88</v>
      </c>
      <c r="QH40" s="484">
        <f t="shared" si="106"/>
        <v>5505.3678056099998</v>
      </c>
      <c r="QI40" s="13"/>
      <c r="QJ40" s="2616"/>
      <c r="QL40" s="139" t="str">
        <f t="shared" si="107"/>
        <v/>
      </c>
      <c r="QM40" s="139" t="str">
        <f t="shared" si="108"/>
        <v/>
      </c>
      <c r="QO40" s="139">
        <f t="shared" si="109"/>
        <v>0</v>
      </c>
      <c r="QP40" s="139">
        <f t="shared" si="110"/>
        <v>0</v>
      </c>
      <c r="QR40" s="1">
        <f t="shared" si="111"/>
        <v>0</v>
      </c>
      <c r="QS40" s="1">
        <f t="shared" si="112"/>
        <v>0</v>
      </c>
      <c r="QT40" s="1">
        <f t="shared" si="113"/>
        <v>0</v>
      </c>
      <c r="QU40" s="1">
        <f t="shared" si="114"/>
        <v>0</v>
      </c>
      <c r="QV40" s="1">
        <f t="shared" si="115"/>
        <v>0</v>
      </c>
      <c r="QW40" s="1">
        <f t="shared" si="116"/>
        <v>0</v>
      </c>
      <c r="QY40" s="1">
        <f t="shared" si="117"/>
        <v>0</v>
      </c>
      <c r="QZ40" s="1">
        <f t="shared" si="118"/>
        <v>0</v>
      </c>
      <c r="RA40" s="1">
        <f t="shared" si="119"/>
        <v>0</v>
      </c>
      <c r="RB40" s="1">
        <f t="shared" si="120"/>
        <v>0</v>
      </c>
      <c r="RC40" s="1">
        <f t="shared" si="121"/>
        <v>0</v>
      </c>
      <c r="RD40" s="1">
        <f t="shared" si="122"/>
        <v>0</v>
      </c>
      <c r="RG40" s="1">
        <v>31</v>
      </c>
      <c r="RH40" s="1">
        <f t="shared" si="146"/>
        <v>-10977.568290282899</v>
      </c>
      <c r="RI40" s="1">
        <f t="shared" si="147"/>
        <v>33330.795280483719</v>
      </c>
      <c r="RJ40" s="1">
        <f t="shared" si="148"/>
        <v>13404.263703387322</v>
      </c>
      <c r="RK40" s="89">
        <f t="shared" si="5"/>
        <v>35757.490693588144</v>
      </c>
      <c r="RL40" s="1033">
        <v>31</v>
      </c>
      <c r="RM40" s="1098">
        <f t="shared" si="124"/>
        <v>0</v>
      </c>
      <c r="RN40" s="1098">
        <f t="shared" si="125"/>
        <v>0</v>
      </c>
      <c r="RO40" s="1097">
        <f t="shared" si="125"/>
        <v>0</v>
      </c>
      <c r="RP40" s="1097">
        <f t="shared" si="126"/>
        <v>7150.9600000000009</v>
      </c>
      <c r="RQ40" s="1094"/>
      <c r="RR40" s="1096" t="s">
        <v>864</v>
      </c>
      <c r="RU40" s="421">
        <v>31</v>
      </c>
      <c r="RV40" s="1095">
        <f t="shared" si="127"/>
        <v>3362.95</v>
      </c>
      <c r="RW40" s="1094" t="s">
        <v>865</v>
      </c>
      <c r="RY40" s="1090"/>
      <c r="RZ40" s="1090">
        <f t="shared" si="128"/>
        <v>0</v>
      </c>
      <c r="SA40" s="1090"/>
      <c r="SB40" s="1090">
        <f t="shared" si="129"/>
        <v>0</v>
      </c>
      <c r="SD40" s="1">
        <v>31</v>
      </c>
      <c r="SE40" s="1">
        <f t="shared" si="130"/>
        <v>0</v>
      </c>
      <c r="SF40" s="1094"/>
    </row>
    <row r="41" spans="1:500" s="38" customFormat="1" ht="13.95" customHeight="1">
      <c r="A41" s="307" t="s">
        <v>206</v>
      </c>
      <c r="B41" s="307"/>
      <c r="C41" s="72">
        <f>SUM(C10:C40)</f>
        <v>4236931.8999999994</v>
      </c>
      <c r="D41" s="72">
        <f>SUM(D10:D40)</f>
        <v>260578.32999999993</v>
      </c>
      <c r="E41" s="1744">
        <f t="shared" si="7"/>
        <v>16.259724667051174</v>
      </c>
      <c r="H41" s="38">
        <f t="shared" ref="H41:P41" si="157">SUM(H10:H40)</f>
        <v>465.5</v>
      </c>
      <c r="I41" s="38">
        <f t="shared" si="157"/>
        <v>101.81</v>
      </c>
      <c r="J41" s="38">
        <f t="shared" si="157"/>
        <v>0</v>
      </c>
      <c r="K41" s="38">
        <f t="shared" si="157"/>
        <v>0</v>
      </c>
      <c r="L41" s="38">
        <f t="shared" si="157"/>
        <v>119</v>
      </c>
      <c r="M41" s="38">
        <f t="shared" si="157"/>
        <v>75.05</v>
      </c>
      <c r="N41" s="72">
        <f t="shared" si="157"/>
        <v>0</v>
      </c>
      <c r="O41" s="72">
        <f t="shared" si="157"/>
        <v>2541889.6</v>
      </c>
      <c r="P41" s="38">
        <f t="shared" si="157"/>
        <v>158273.14000000001</v>
      </c>
      <c r="Q41" s="38">
        <f t="shared" si="9"/>
        <v>16.060145138966725</v>
      </c>
      <c r="R41" s="72">
        <f>SUM(R10:R40)</f>
        <v>0</v>
      </c>
      <c r="S41" s="1409">
        <f t="shared" si="10"/>
        <v>825922.8</v>
      </c>
      <c r="T41" s="1410">
        <f>SUM(T10:T40)</f>
        <v>36965.189999999995</v>
      </c>
      <c r="U41" s="1410">
        <f t="shared" si="12"/>
        <v>22.343258617093547</v>
      </c>
      <c r="V41" s="72">
        <f>SUM(V10:V40)</f>
        <v>0</v>
      </c>
      <c r="W41" s="72">
        <f>SUM(W10:W40)</f>
        <v>869119.5</v>
      </c>
      <c r="X41" s="72">
        <f>SUM(X10:X40)</f>
        <v>65340</v>
      </c>
      <c r="Y41" s="38">
        <f t="shared" si="14"/>
        <v>13.301492194674013</v>
      </c>
      <c r="Z41" s="72">
        <f>SUM(Z10:Z40)</f>
        <v>0</v>
      </c>
      <c r="AA41" s="72">
        <f>SUM(AA10:AA40)</f>
        <v>0</v>
      </c>
      <c r="AB41" s="72">
        <f t="shared" si="16"/>
        <v>0</v>
      </c>
      <c r="AC41" s="38">
        <f t="shared" si="17"/>
        <v>0</v>
      </c>
      <c r="AD41" s="72"/>
      <c r="AE41" s="72">
        <f>SUM(AE10:AE40)</f>
        <v>0</v>
      </c>
      <c r="AF41" s="38">
        <f>SUM(AF10:AF40)</f>
        <v>0</v>
      </c>
      <c r="AG41" s="38">
        <f t="shared" si="18"/>
        <v>0</v>
      </c>
      <c r="AH41" s="72">
        <f>SUM(AH10:AH40)</f>
        <v>0</v>
      </c>
      <c r="AI41" s="72">
        <f>SUM(AI10:AI40)</f>
        <v>0</v>
      </c>
      <c r="AJ41" s="72">
        <f>SUM(AJ10:AJ40)</f>
        <v>0</v>
      </c>
      <c r="AK41" s="38">
        <f t="shared" si="19"/>
        <v>0</v>
      </c>
      <c r="AL41" s="72">
        <f>SUM(AL10:AL40)</f>
        <v>0</v>
      </c>
      <c r="AM41" s="72">
        <f>SUM(AM10:AM40)</f>
        <v>0</v>
      </c>
      <c r="AN41" s="72">
        <f>SUM(AN10:AN40)</f>
        <v>0</v>
      </c>
      <c r="AO41" s="72">
        <f>SUM(AO10:AO40)</f>
        <v>0</v>
      </c>
      <c r="AP41" s="38">
        <f t="shared" si="20"/>
        <v>0</v>
      </c>
      <c r="AQ41" s="72">
        <f>SUM(AQ10:AQ40)</f>
        <v>0</v>
      </c>
      <c r="AR41" s="38">
        <f>SUM(AR10:AR40)</f>
        <v>0</v>
      </c>
      <c r="AS41" s="38">
        <f t="shared" si="21"/>
        <v>0</v>
      </c>
      <c r="AT41" s="72">
        <f>SUM(AT10:AT40)</f>
        <v>0</v>
      </c>
      <c r="AU41" s="72">
        <f>SUM(AU10:AU40)</f>
        <v>0</v>
      </c>
      <c r="AV41" s="38">
        <f t="shared" si="22"/>
        <v>0</v>
      </c>
      <c r="AW41" s="72">
        <f>SUM(AW10:AW40)</f>
        <v>1500079.5999999999</v>
      </c>
      <c r="AX41" s="38">
        <f>SUM(AX10:AX40)</f>
        <v>118421.42999999996</v>
      </c>
      <c r="AY41" s="38">
        <f>IFERROR(SUM(AW10:AW40)/SUM(AX10:AX40),0)</f>
        <v>12.66729847798663</v>
      </c>
      <c r="AZ41" s="72">
        <f>SUM(AZ10:AZ40)</f>
        <v>0</v>
      </c>
      <c r="BA41" s="72">
        <f>SUM(BA10:BA40)</f>
        <v>0</v>
      </c>
      <c r="BB41" s="38">
        <f>IFERROR(SUM(AZ10:AZ40)/SUM(BA10:BA40),0)</f>
        <v>0</v>
      </c>
      <c r="BC41" s="72">
        <f>SUM(BC10:BC40)</f>
        <v>1041810</v>
      </c>
      <c r="BD41" s="865">
        <f>SUM(BD10:BD40)</f>
        <v>39851.71</v>
      </c>
      <c r="BE41" s="38">
        <f>IFERROR(SUM(BC10:BC40)/SUM(BD10:BD40),0)</f>
        <v>26.142165543210066</v>
      </c>
      <c r="BF41" s="72">
        <f>SUM(BF10:BF40)</f>
        <v>0</v>
      </c>
      <c r="BG41" s="38">
        <f>SUM(BG10:BG40)</f>
        <v>0</v>
      </c>
      <c r="BH41" s="38">
        <f>IFERROR(SUM(BF10:BF40)/SUM(BG10:BG40),0)</f>
        <v>0</v>
      </c>
      <c r="BI41" s="72">
        <f>SUM(BI10:BI40)</f>
        <v>0</v>
      </c>
      <c r="BJ41" s="38">
        <f>SUM(BJ10:BJ40)</f>
        <v>0</v>
      </c>
      <c r="BK41" s="38">
        <f>IFERROR(SUM(BI10:BI40)/SUM(BJ10:BJ40),0)</f>
        <v>0</v>
      </c>
      <c r="BL41" s="72">
        <f>SUM(BL10:BL40)</f>
        <v>825922.8</v>
      </c>
      <c r="BM41" s="1743">
        <f>SUM(BM10:BM40)</f>
        <v>36965.189999999995</v>
      </c>
      <c r="BN41" s="38">
        <f>IFERROR(SUM(BL10:BL40)/SUM(BM10:BM40),0)</f>
        <v>22.343258617093547</v>
      </c>
      <c r="BO41" s="72">
        <f>SUM(BO10:BO40)</f>
        <v>0</v>
      </c>
      <c r="BP41" s="38">
        <f>SUM(BP10:BP40)</f>
        <v>0</v>
      </c>
      <c r="BQ41" s="38">
        <f>IFERROR(SUM(BO10:BO40)/SUM(BP10:BP40),0)</f>
        <v>0</v>
      </c>
      <c r="BR41" s="72">
        <f>SUM(BR10:BR40)</f>
        <v>0</v>
      </c>
      <c r="BS41" s="38">
        <f>SUM(BS10:BS40)</f>
        <v>0</v>
      </c>
      <c r="BT41" s="38">
        <f>IFERROR(SUM(BR10:BR40)/SUM(BS10:BS40),0)</f>
        <v>0</v>
      </c>
      <c r="BU41" s="72">
        <f>SUM(BU10:BU40)</f>
        <v>869119.5</v>
      </c>
      <c r="BV41" s="72">
        <f>SUM(BV10:BV40)</f>
        <v>65340</v>
      </c>
      <c r="BW41" s="38">
        <f>IFERROR(SUM(BU10:BU40)/SUM(BV10:BV40),0)</f>
        <v>13.301492194674013</v>
      </c>
      <c r="BX41" s="72">
        <f>SUM(BX10:BX40)</f>
        <v>0</v>
      </c>
      <c r="BY41" s="72">
        <f>SUM(BY10:BY40)</f>
        <v>0</v>
      </c>
      <c r="BZ41" s="38">
        <f t="shared" si="32"/>
        <v>0</v>
      </c>
      <c r="CA41" s="72">
        <f>SUM(CA10:CA40)</f>
        <v>0</v>
      </c>
      <c r="CB41" s="72">
        <f>SUM(CB10:CB40)</f>
        <v>0</v>
      </c>
      <c r="CC41" s="38">
        <f t="shared" si="33"/>
        <v>0</v>
      </c>
      <c r="CD41" s="72">
        <f>SUM(CD10:CD40)</f>
        <v>0</v>
      </c>
      <c r="CE41" s="278">
        <f>SUM(CE10:CE40)</f>
        <v>0</v>
      </c>
      <c r="CF41" s="38">
        <f t="shared" si="34"/>
        <v>0</v>
      </c>
      <c r="CG41" s="72">
        <f t="shared" ref="CG41:CQ41" si="158">SUM(CG10:CG40)</f>
        <v>0</v>
      </c>
      <c r="CH41" s="72">
        <f t="shared" si="158"/>
        <v>0</v>
      </c>
      <c r="CI41" s="72">
        <f t="shared" si="158"/>
        <v>0</v>
      </c>
      <c r="CJ41" s="72">
        <f t="shared" si="158"/>
        <v>0</v>
      </c>
      <c r="CK41" s="72">
        <f t="shared" si="158"/>
        <v>143254</v>
      </c>
      <c r="CL41" s="72">
        <f t="shared" si="158"/>
        <v>0</v>
      </c>
      <c r="CM41" s="72">
        <f t="shared" si="158"/>
        <v>143254</v>
      </c>
      <c r="CN41" s="72">
        <f t="shared" si="158"/>
        <v>0</v>
      </c>
      <c r="CO41" s="72">
        <f t="shared" si="158"/>
        <v>0</v>
      </c>
      <c r="CP41" s="72">
        <f t="shared" si="158"/>
        <v>0</v>
      </c>
      <c r="CQ41" s="72">
        <f t="shared" si="158"/>
        <v>0</v>
      </c>
      <c r="CR41" s="72"/>
      <c r="CS41" s="72">
        <f>SUM(CS10:CS40)</f>
        <v>0</v>
      </c>
      <c r="CT41" s="72"/>
      <c r="CU41" s="72">
        <f>SUM(CU10:CU40)</f>
        <v>0</v>
      </c>
      <c r="CV41" s="72"/>
      <c r="CW41" s="72">
        <f>SUM(CW10:CW40)</f>
        <v>22773.460000000003</v>
      </c>
      <c r="CX41" s="72"/>
      <c r="CY41" s="72">
        <f>SUM(CY10:CY40)</f>
        <v>193989.69000000006</v>
      </c>
      <c r="CZ41" s="72"/>
      <c r="DA41" s="72">
        <f>SUM(DA10:DA40)</f>
        <v>42130.299999999988</v>
      </c>
      <c r="DB41" s="72"/>
      <c r="DC41" s="72">
        <f>SUM(DC10:DC40)</f>
        <v>260578.32999999996</v>
      </c>
      <c r="DD41" s="72">
        <f>SUM(DD10:DD40)</f>
        <v>0</v>
      </c>
      <c r="DE41" s="72">
        <f>SUM(DE10:DE40)</f>
        <v>0</v>
      </c>
      <c r="DF41" s="72"/>
      <c r="DG41" s="72">
        <f>SUM(DG10:DG40)</f>
        <v>0</v>
      </c>
      <c r="DH41" s="72"/>
      <c r="DI41" s="72">
        <f>SUM(DI10:DI40)</f>
        <v>0</v>
      </c>
      <c r="DJ41" s="72"/>
      <c r="DK41" s="72">
        <f>SUM(DK10:DK40)</f>
        <v>22773.460000000003</v>
      </c>
      <c r="DL41" s="72"/>
      <c r="DM41" s="72">
        <f t="shared" ref="DM41:DR41" si="159">SUM(DM10:DM40)</f>
        <v>83143.719999999972</v>
      </c>
      <c r="DN41" s="72">
        <f t="shared" si="159"/>
        <v>0</v>
      </c>
      <c r="DO41" s="72">
        <f t="shared" si="159"/>
        <v>0</v>
      </c>
      <c r="DP41" s="72">
        <f t="shared" si="159"/>
        <v>0</v>
      </c>
      <c r="DQ41" s="72">
        <f t="shared" si="159"/>
        <v>105917.17999999996</v>
      </c>
      <c r="DR41" s="72">
        <f t="shared" si="159"/>
        <v>0</v>
      </c>
      <c r="DS41" s="72"/>
      <c r="DT41" s="72">
        <f>SUM(DT10:DT40)</f>
        <v>0</v>
      </c>
      <c r="DU41" s="72"/>
      <c r="DV41" s="72">
        <f>SUM(DV10:DV40)</f>
        <v>0</v>
      </c>
      <c r="DW41" s="72"/>
      <c r="DX41" s="72">
        <f>SUM(DX10:DX40)</f>
        <v>0</v>
      </c>
      <c r="DY41" s="72"/>
      <c r="DZ41" s="72">
        <f>SUM(DZ10:DZ40)</f>
        <v>79085.97</v>
      </c>
      <c r="EB41" s="72">
        <f>SUM(EB10:EB40)</f>
        <v>8550.3000000000011</v>
      </c>
      <c r="EC41" s="72"/>
      <c r="ED41" s="72">
        <f t="shared" ref="ED41:EI41" si="160">SUM(ED10:ED40)</f>
        <v>87636.26999999999</v>
      </c>
      <c r="EE41" s="72">
        <f t="shared" si="160"/>
        <v>0</v>
      </c>
      <c r="EF41" s="72">
        <f t="shared" si="160"/>
        <v>0</v>
      </c>
      <c r="EG41" s="72">
        <f t="shared" si="160"/>
        <v>0</v>
      </c>
      <c r="EH41" s="72">
        <f t="shared" si="160"/>
        <v>0</v>
      </c>
      <c r="EI41" s="72">
        <f t="shared" si="160"/>
        <v>0</v>
      </c>
      <c r="EJ41" s="72"/>
      <c r="EK41" s="72">
        <f>SUM(EK10:EK40)</f>
        <v>0</v>
      </c>
      <c r="EL41" s="278">
        <f>SUM(EL10:EL40)</f>
        <v>0</v>
      </c>
      <c r="EM41" s="72">
        <f>SUM(EM10:EM40)</f>
        <v>31760</v>
      </c>
      <c r="EN41" s="72"/>
      <c r="EO41" s="72">
        <f>SUM(EO10:EO40)</f>
        <v>33580</v>
      </c>
      <c r="EP41" s="72"/>
      <c r="EQ41" s="72">
        <f>SUM(EQ10:EQ40)</f>
        <v>65340</v>
      </c>
      <c r="ER41" s="72">
        <f>SUM(ER10:ER40)</f>
        <v>0</v>
      </c>
      <c r="ES41" s="72">
        <f>SUM(ES10:ES40)</f>
        <v>0</v>
      </c>
      <c r="ET41" s="72">
        <f>SUM(ET10:ET40)</f>
        <v>0</v>
      </c>
      <c r="EU41" s="72">
        <f t="shared" ref="EU41:FU41" si="161">SUM(EU10:EU40)</f>
        <v>0</v>
      </c>
      <c r="EV41" s="72">
        <f t="shared" si="161"/>
        <v>0</v>
      </c>
      <c r="EW41" s="72">
        <f t="shared" si="161"/>
        <v>0</v>
      </c>
      <c r="EX41" s="72">
        <f t="shared" si="161"/>
        <v>0</v>
      </c>
      <c r="EY41" s="72">
        <f t="shared" si="161"/>
        <v>0</v>
      </c>
      <c r="EZ41" s="72">
        <f t="shared" si="161"/>
        <v>0</v>
      </c>
      <c r="FA41" s="72">
        <f t="shared" si="161"/>
        <v>0</v>
      </c>
      <c r="FB41" s="72">
        <f t="shared" si="161"/>
        <v>0</v>
      </c>
      <c r="FC41" s="72">
        <f t="shared" si="161"/>
        <v>0</v>
      </c>
      <c r="FD41" s="72">
        <f t="shared" si="161"/>
        <v>0</v>
      </c>
      <c r="FE41" s="72">
        <f t="shared" si="161"/>
        <v>0</v>
      </c>
      <c r="FF41" s="72">
        <f t="shared" si="161"/>
        <v>0</v>
      </c>
      <c r="FG41" s="72">
        <f t="shared" si="161"/>
        <v>0</v>
      </c>
      <c r="FH41" s="72">
        <f t="shared" si="161"/>
        <v>0</v>
      </c>
      <c r="FI41" s="72">
        <f t="shared" si="161"/>
        <v>0</v>
      </c>
      <c r="FJ41" s="72">
        <f t="shared" si="161"/>
        <v>0</v>
      </c>
      <c r="FK41" s="72">
        <f t="shared" si="161"/>
        <v>0</v>
      </c>
      <c r="FL41" s="72">
        <f t="shared" si="161"/>
        <v>0</v>
      </c>
      <c r="FM41" s="72">
        <f t="shared" si="161"/>
        <v>0</v>
      </c>
      <c r="FN41" s="72">
        <f t="shared" si="161"/>
        <v>0</v>
      </c>
      <c r="FO41" s="72">
        <f t="shared" si="161"/>
        <v>0</v>
      </c>
      <c r="FP41" s="72">
        <f t="shared" si="161"/>
        <v>0</v>
      </c>
      <c r="FQ41" s="72">
        <f t="shared" si="161"/>
        <v>0</v>
      </c>
      <c r="FR41" s="72">
        <f t="shared" si="161"/>
        <v>0</v>
      </c>
      <c r="FS41" s="72">
        <f t="shared" si="161"/>
        <v>0</v>
      </c>
      <c r="FT41" s="72">
        <f t="shared" si="161"/>
        <v>0</v>
      </c>
      <c r="FU41" s="72">
        <f t="shared" si="161"/>
        <v>0</v>
      </c>
      <c r="FV41" s="72"/>
      <c r="FW41" s="72">
        <f>SUM(FW10:FW40)</f>
        <v>0</v>
      </c>
      <c r="FX41" s="72"/>
      <c r="FY41" s="72">
        <f>SUM(FY10:FY40)</f>
        <v>0</v>
      </c>
      <c r="FZ41" s="72"/>
      <c r="GA41" s="72">
        <f>SUM(GA10:GA40)</f>
        <v>0</v>
      </c>
      <c r="GB41" s="72"/>
      <c r="GC41" s="72">
        <f>SUM(GC10:GC40)</f>
        <v>0</v>
      </c>
      <c r="GE41" s="72">
        <f>SUM(GE10:GE40)</f>
        <v>0</v>
      </c>
      <c r="GF41" s="72"/>
      <c r="GG41" s="72">
        <f t="shared" ref="GG41:HK41" si="162">SUM(GG10:GG40)</f>
        <v>0</v>
      </c>
      <c r="GH41" s="72">
        <f t="shared" si="162"/>
        <v>0</v>
      </c>
      <c r="GI41" s="72">
        <f t="shared" si="162"/>
        <v>0</v>
      </c>
      <c r="GJ41" s="38">
        <f t="shared" si="162"/>
        <v>48239.85</v>
      </c>
      <c r="GK41" s="63">
        <f t="shared" si="134"/>
        <v>95786.78</v>
      </c>
      <c r="GL41" s="38">
        <f t="shared" si="162"/>
        <v>80132.35000000002</v>
      </c>
      <c r="GM41" s="38">
        <f t="shared" si="162"/>
        <v>224158.97999999998</v>
      </c>
      <c r="GN41" s="72">
        <f t="shared" si="162"/>
        <v>0</v>
      </c>
      <c r="GO41" s="72">
        <f t="shared" si="162"/>
        <v>0</v>
      </c>
      <c r="GP41" s="72">
        <f t="shared" si="162"/>
        <v>0</v>
      </c>
      <c r="GQ41" s="72">
        <f t="shared" si="162"/>
        <v>0</v>
      </c>
      <c r="GR41" s="38">
        <f t="shared" si="162"/>
        <v>146700.47</v>
      </c>
      <c r="GS41" s="38">
        <f t="shared" si="162"/>
        <v>89.9</v>
      </c>
      <c r="GT41" s="38">
        <f t="shared" si="162"/>
        <v>41454.060000000005</v>
      </c>
      <c r="GU41" s="72">
        <f t="shared" si="162"/>
        <v>35914.549999999996</v>
      </c>
      <c r="GV41" s="38">
        <f t="shared" si="162"/>
        <v>224158.97999999995</v>
      </c>
      <c r="GW41" s="72">
        <f t="shared" si="162"/>
        <v>0</v>
      </c>
      <c r="GX41" s="38">
        <f t="shared" si="162"/>
        <v>0</v>
      </c>
      <c r="GY41" s="72">
        <f t="shared" si="162"/>
        <v>0</v>
      </c>
      <c r="GZ41" s="72">
        <f t="shared" si="162"/>
        <v>0</v>
      </c>
      <c r="HA41" s="72">
        <f t="shared" si="162"/>
        <v>0</v>
      </c>
      <c r="HB41" s="72">
        <f t="shared" si="162"/>
        <v>0</v>
      </c>
      <c r="HC41" s="72">
        <f t="shared" si="162"/>
        <v>0</v>
      </c>
      <c r="HD41" s="72">
        <f t="shared" si="162"/>
        <v>0</v>
      </c>
      <c r="HE41" s="72">
        <f t="shared" si="162"/>
        <v>0</v>
      </c>
      <c r="HF41" s="38">
        <f t="shared" si="162"/>
        <v>20402.770000000004</v>
      </c>
      <c r="HG41" s="72">
        <f t="shared" si="162"/>
        <v>0</v>
      </c>
      <c r="HH41" s="38">
        <f t="shared" si="162"/>
        <v>27747.18</v>
      </c>
      <c r="HI41" s="72">
        <f t="shared" si="162"/>
        <v>0</v>
      </c>
      <c r="HJ41" s="38">
        <f t="shared" si="162"/>
        <v>89.9</v>
      </c>
      <c r="HK41" s="72">
        <f t="shared" si="162"/>
        <v>0</v>
      </c>
      <c r="HL41" s="38">
        <f t="shared" si="62"/>
        <v>48239.850000000006</v>
      </c>
      <c r="HM41" s="38">
        <f t="shared" ref="HM41:HZ41" si="163">SUM(HM10:HM40)</f>
        <v>0</v>
      </c>
      <c r="HN41" s="38">
        <f t="shared" si="163"/>
        <v>0</v>
      </c>
      <c r="HO41" s="38">
        <f t="shared" si="163"/>
        <v>0</v>
      </c>
      <c r="HP41" s="38">
        <f t="shared" si="163"/>
        <v>0</v>
      </c>
      <c r="HQ41" s="38">
        <f t="shared" si="163"/>
        <v>0</v>
      </c>
      <c r="HR41" s="38">
        <f t="shared" si="163"/>
        <v>0</v>
      </c>
      <c r="HS41" s="38">
        <f t="shared" si="163"/>
        <v>0</v>
      </c>
      <c r="HT41" s="38">
        <f t="shared" si="163"/>
        <v>0</v>
      </c>
      <c r="HU41" s="38">
        <f t="shared" si="163"/>
        <v>0</v>
      </c>
      <c r="HV41" s="38">
        <f t="shared" si="163"/>
        <v>0</v>
      </c>
      <c r="HW41" s="38">
        <f t="shared" si="163"/>
        <v>0</v>
      </c>
      <c r="HX41" s="38">
        <f t="shared" si="163"/>
        <v>0</v>
      </c>
      <c r="HY41" s="38">
        <f t="shared" si="163"/>
        <v>0</v>
      </c>
      <c r="HZ41" s="38">
        <f t="shared" si="163"/>
        <v>0</v>
      </c>
      <c r="IA41" s="38">
        <f t="shared" si="63"/>
        <v>0</v>
      </c>
      <c r="IB41" s="38">
        <f t="shared" ref="IB41:JM41" si="164">SUM(IB10:IB40)</f>
        <v>0</v>
      </c>
      <c r="IC41" s="38">
        <f t="shared" si="164"/>
        <v>0</v>
      </c>
      <c r="ID41" s="38">
        <f t="shared" si="164"/>
        <v>0</v>
      </c>
      <c r="IE41" s="38">
        <f t="shared" si="164"/>
        <v>0</v>
      </c>
      <c r="IF41" s="38">
        <f t="shared" si="164"/>
        <v>0</v>
      </c>
      <c r="IG41" s="38">
        <f t="shared" si="164"/>
        <v>0</v>
      </c>
      <c r="IH41" s="38">
        <f t="shared" si="164"/>
        <v>20529.66</v>
      </c>
      <c r="II41" s="38">
        <f t="shared" si="164"/>
        <v>0</v>
      </c>
      <c r="IJ41" s="38">
        <f t="shared" si="164"/>
        <v>74996.12</v>
      </c>
      <c r="IK41" s="38">
        <f t="shared" si="164"/>
        <v>0</v>
      </c>
      <c r="IL41" s="38">
        <f t="shared" si="164"/>
        <v>0</v>
      </c>
      <c r="IM41" s="72">
        <f t="shared" si="164"/>
        <v>0</v>
      </c>
      <c r="IN41" s="72">
        <f t="shared" si="164"/>
        <v>0</v>
      </c>
      <c r="IO41" s="72">
        <f t="shared" si="164"/>
        <v>261</v>
      </c>
      <c r="IP41" s="38">
        <f t="shared" si="164"/>
        <v>95786.78</v>
      </c>
      <c r="IQ41" s="72">
        <f>SUM(IQ10:IQ40)</f>
        <v>0</v>
      </c>
      <c r="IR41" s="72">
        <f t="shared" si="164"/>
        <v>0</v>
      </c>
      <c r="IS41" s="72">
        <f t="shared" si="164"/>
        <v>0</v>
      </c>
      <c r="IT41" s="72">
        <f t="shared" si="164"/>
        <v>0</v>
      </c>
      <c r="IU41" s="38">
        <f t="shared" si="164"/>
        <v>0</v>
      </c>
      <c r="IV41" s="72">
        <f t="shared" si="164"/>
        <v>0</v>
      </c>
      <c r="IW41" s="72">
        <f t="shared" si="164"/>
        <v>0</v>
      </c>
      <c r="IX41" s="72">
        <f t="shared" si="164"/>
        <v>0</v>
      </c>
      <c r="IY41" s="38">
        <f t="shared" si="164"/>
        <v>71185.070000000007</v>
      </c>
      <c r="IZ41" s="72">
        <f t="shared" si="164"/>
        <v>0</v>
      </c>
      <c r="JA41" s="38">
        <f t="shared" si="164"/>
        <v>8947.2799999999988</v>
      </c>
      <c r="JB41" s="72">
        <f t="shared" si="164"/>
        <v>0</v>
      </c>
      <c r="JC41" s="72">
        <f t="shared" si="164"/>
        <v>0</v>
      </c>
      <c r="JD41" s="72">
        <f t="shared" si="164"/>
        <v>0</v>
      </c>
      <c r="JE41" s="38">
        <f t="shared" si="164"/>
        <v>80132.35000000002</v>
      </c>
      <c r="JF41" s="72">
        <f t="shared" si="164"/>
        <v>0</v>
      </c>
      <c r="JG41" s="72">
        <f t="shared" si="164"/>
        <v>0</v>
      </c>
      <c r="JH41" s="2104">
        <f>SUM(JH10:JH40)</f>
        <v>160870.77999999997</v>
      </c>
      <c r="JI41" s="2104">
        <f t="shared" si="164"/>
        <v>63288.19999999999</v>
      </c>
      <c r="JJ41" s="72">
        <f t="shared" si="164"/>
        <v>0</v>
      </c>
      <c r="JK41" s="38">
        <f t="shared" si="164"/>
        <v>224158.97999999995</v>
      </c>
      <c r="JL41" s="72">
        <f t="shared" si="164"/>
        <v>0</v>
      </c>
      <c r="JM41" s="72">
        <f t="shared" si="164"/>
        <v>0</v>
      </c>
      <c r="JN41" s="305">
        <f t="shared" ref="JN41:JU41" si="165">IFERROR(SUM(JN10:JN40)/SUM($JN$10:$JU$40),"")</f>
        <v>0</v>
      </c>
      <c r="JO41" s="305">
        <f t="shared" si="165"/>
        <v>0</v>
      </c>
      <c r="JP41" s="305">
        <f t="shared" si="165"/>
        <v>0</v>
      </c>
      <c r="JQ41" s="305">
        <f t="shared" si="165"/>
        <v>3.0312381964370688E-3</v>
      </c>
      <c r="JR41" s="305">
        <f t="shared" si="165"/>
        <v>0.99162505285306379</v>
      </c>
      <c r="JS41" s="305">
        <f t="shared" si="165"/>
        <v>5.3437089504991811E-3</v>
      </c>
      <c r="JT41" s="305">
        <f t="shared" si="165"/>
        <v>0</v>
      </c>
      <c r="JU41" s="305">
        <f t="shared" si="165"/>
        <v>0</v>
      </c>
      <c r="JV41" s="305">
        <f t="shared" ref="JV41:KK41" si="166">IFERROR(SUM(JV10:JV40)/SUM($JV$10:$KC$40),"")</f>
        <v>0</v>
      </c>
      <c r="JW41" s="305">
        <f t="shared" si="166"/>
        <v>0</v>
      </c>
      <c r="JX41" s="305">
        <f t="shared" si="166"/>
        <v>0</v>
      </c>
      <c r="JY41" s="305">
        <f t="shared" si="166"/>
        <v>0.30857454148688124</v>
      </c>
      <c r="JZ41" s="305">
        <f t="shared" si="166"/>
        <v>0.13397881676155321</v>
      </c>
      <c r="KA41" s="305">
        <f t="shared" si="166"/>
        <v>0.55656433224122004</v>
      </c>
      <c r="KB41" s="305">
        <f t="shared" si="166"/>
        <v>8.8230951034548718E-4</v>
      </c>
      <c r="KC41" s="305">
        <f t="shared" si="166"/>
        <v>0</v>
      </c>
      <c r="KD41" s="38">
        <f t="shared" si="166"/>
        <v>0</v>
      </c>
      <c r="KE41" s="38">
        <f t="shared" si="166"/>
        <v>0</v>
      </c>
      <c r="KF41" s="38">
        <f t="shared" si="166"/>
        <v>0</v>
      </c>
      <c r="KG41" s="38">
        <f t="shared" si="166"/>
        <v>0</v>
      </c>
      <c r="KH41" s="38">
        <f t="shared" si="166"/>
        <v>0</v>
      </c>
      <c r="KI41" s="38">
        <f t="shared" si="166"/>
        <v>0</v>
      </c>
      <c r="KJ41" s="38">
        <f t="shared" si="166"/>
        <v>0</v>
      </c>
      <c r="KK41" s="38">
        <f t="shared" si="166"/>
        <v>0</v>
      </c>
      <c r="KL41" s="72">
        <f>SUM(KL10:KL40)</f>
        <v>0</v>
      </c>
      <c r="KM41" s="72">
        <f>SUM(KM10:KM40)</f>
        <v>0</v>
      </c>
      <c r="KN41" s="72">
        <f>IFERROR(SUMPRODUCT((KN10:KN40&lt;&gt;"")*KN10:KN40,$JH$10:$JH$40)/SUMIFS($JH$10:$JH$40,KN10:KN40,"&gt;"&amp;0),0)</f>
        <v>7049.0304796294886</v>
      </c>
      <c r="KO41" s="38">
        <f>IFERROR(SUMPRODUCT((KO10:KO40&lt;&gt;"")*KO10:KO40,$JH$10:$JH$40)/SUMIFS($JH$10:$JH$40,KO10:KO40,"&gt;"&amp;0),0)</f>
        <v>0.78569632654212718</v>
      </c>
      <c r="KP41" s="38">
        <f>IFERROR(SUMPRODUCT((KP10:KP40&lt;&gt;"")*KP10:KP40,$JH$10:$JH$40)/SUMIFS($JH$10:$JH$40,KP10:KP40,"&gt;"&amp;0),0)</f>
        <v>3.3204304528295814</v>
      </c>
      <c r="KQ41" s="38">
        <f>IFERROR(SUMPRODUCT((KQ10:KQ40&lt;&gt;"")*KQ10:KQ40,$JH$10:$JH$40)/SUMIFS($JH$10:$JH$40,KQ10:KQ40,"&gt;"&amp;0),0)</f>
        <v>6.7394993051914902</v>
      </c>
      <c r="KR41" s="38">
        <f>IFERROR(SUMPRODUCT((KR10:KR40&lt;&gt;"")*KR10:KR40,$JH$10:$JH$40)/SUMIFS($JH$10:$JH$40,KR10:KR40,"&gt;"&amp;0),0)</f>
        <v>10.623367922678614</v>
      </c>
      <c r="KS41" s="72">
        <f>IFERROR(SUMPRODUCT((KS10:KS40&lt;&gt;"")*KS10:KS40,$JI$10:$JI$40)/SUMIFS($JI$10:$JI$40,KS10:KS40,"&gt;"&amp;0),0)</f>
        <v>6863.7991810936719</v>
      </c>
      <c r="KT41" s="38">
        <f>IFERROR(SUMPRODUCT((KT10:KT40&lt;&gt;"")*KT10:KT40,$JI$10:$JI$40)/SUMIFS($JI$10:$JI$40,KT10:KT40,"&gt;"&amp;0),0)</f>
        <v>2.0950153249295389</v>
      </c>
      <c r="KU41" s="38">
        <f>IFERROR(SUMPRODUCT((KU10:KU40&lt;&gt;"")*KU10:KU40,$JI$10:$JI$40)/SUMIFS($JI$10:$JI$40,KU10:KU40,"&gt;"&amp;0),0)</f>
        <v>5.6873511879554313</v>
      </c>
      <c r="KV41" s="38">
        <f>IFERROR(SUMPRODUCT((KV10:KV40&lt;&gt;"")*KV10:KV40,$JI$10:$JI$40)/SUMIFS($JI$10:$JI$40,KV10:KV40,"&gt;"&amp;0),0)</f>
        <v>6.3180319870807553</v>
      </c>
      <c r="KW41" s="38">
        <f>IFERROR(SUMPRODUCT((KW10:KW40&lt;&gt;"")*KW10:KW40,$JI$10:$JI$40)/SUMIFS($JI$10:$JI$40,KW10:KW40,"&gt;"&amp;0),0)</f>
        <v>10.31285218316807</v>
      </c>
      <c r="KX41" s="72">
        <f>IFERROR(SUMPRODUCT((KX10:KX40&lt;&gt;"")*KX10:KX40,$JJ$10:$JJ$40)/SUMIFS($JJ$10:$JJ$40,KX10:KX40,"&gt;"&amp;0),0)</f>
        <v>0</v>
      </c>
      <c r="KY41" s="38">
        <f>IFERROR(SUMPRODUCT((KY10:KY40&lt;&gt;"")*KY10:KY40,$JJ$10:$JJ$40)/SUMIFS($JJ$10:$JJ$40,KY10:KY40,"&gt;"&amp;0),0)</f>
        <v>0</v>
      </c>
      <c r="KZ41" s="38">
        <f>IFERROR(SUMPRODUCT((KZ10:KZ40&lt;&gt;"")*KZ10:KZ40,$JJ$10:$JJ$40)/SUMIFS($JJ$10:$JJ$40,KZ10:KZ40,"&gt;"&amp;0),0)</f>
        <v>0</v>
      </c>
      <c r="LA41" s="38">
        <f>IFERROR(SUMPRODUCT((LA10:LA40&lt;&gt;"")*LA10:LA40,$JJ$10:$JJ$40)/SUMIFS($JJ$10:$JJ$40,LA10:LA40,"&gt;"&amp;0),0)</f>
        <v>0</v>
      </c>
      <c r="LB41" s="38">
        <f>IFERROR(SUMPRODUCT((LB10:LB40&lt;&gt;"")*LB10:LB40,$JJ$10:$JJ$40)/SUMIFS($JJ$10:$JJ$40,LB10:LB40,"&gt;"&amp;0),0)</f>
        <v>0</v>
      </c>
      <c r="LC41" s="72"/>
      <c r="LD41" s="72">
        <f t="shared" ref="LD41:LM41" si="167">SUM(LD10:LD40)</f>
        <v>0</v>
      </c>
      <c r="LE41" s="72">
        <f t="shared" si="167"/>
        <v>0</v>
      </c>
      <c r="LF41" s="2104">
        <f t="shared" si="167"/>
        <v>212806.3462</v>
      </c>
      <c r="LG41" s="970">
        <f t="shared" si="167"/>
        <v>30144.807799999999</v>
      </c>
      <c r="LH41" s="865">
        <f t="shared" si="167"/>
        <v>0</v>
      </c>
      <c r="LI41" s="865">
        <f t="shared" si="167"/>
        <v>242951.15399999998</v>
      </c>
      <c r="LJ41" s="72">
        <f t="shared" si="167"/>
        <v>25</v>
      </c>
      <c r="LK41" s="72">
        <f t="shared" si="167"/>
        <v>0</v>
      </c>
      <c r="LL41" s="72">
        <f t="shared" si="167"/>
        <v>41</v>
      </c>
      <c r="LM41" s="72">
        <f t="shared" si="167"/>
        <v>0</v>
      </c>
      <c r="LN41" s="72">
        <f>AVERAGE(LN10:LN40)</f>
        <v>6.1080645161290326</v>
      </c>
      <c r="LO41" s="72">
        <f t="shared" ref="LO41:MI41" si="168">SUM(LO10:LO40)</f>
        <v>0</v>
      </c>
      <c r="LP41" s="72">
        <f t="shared" si="168"/>
        <v>0</v>
      </c>
      <c r="LQ41" s="38">
        <f t="shared" si="168"/>
        <v>157643.88920000001</v>
      </c>
      <c r="LR41" s="72">
        <f t="shared" si="168"/>
        <v>5565.0447999999997</v>
      </c>
      <c r="LS41" s="72">
        <f t="shared" si="168"/>
        <v>0</v>
      </c>
      <c r="LT41" s="72">
        <f t="shared" si="168"/>
        <v>0</v>
      </c>
      <c r="LU41" s="72">
        <f t="shared" si="168"/>
        <v>0</v>
      </c>
      <c r="LV41" s="72">
        <f t="shared" si="168"/>
        <v>163208.93400000001</v>
      </c>
      <c r="LW41" s="72">
        <f t="shared" si="168"/>
        <v>55162.456999999995</v>
      </c>
      <c r="LX41" s="72">
        <f t="shared" si="168"/>
        <v>24579.763000000003</v>
      </c>
      <c r="LY41" s="72">
        <f t="shared" si="168"/>
        <v>0</v>
      </c>
      <c r="LZ41" s="72">
        <f t="shared" si="168"/>
        <v>0</v>
      </c>
      <c r="MA41" s="72">
        <f t="shared" si="168"/>
        <v>0</v>
      </c>
      <c r="MB41" s="72">
        <f t="shared" si="168"/>
        <v>79742.22</v>
      </c>
      <c r="MC41" s="72">
        <f t="shared" si="168"/>
        <v>0</v>
      </c>
      <c r="MD41" s="72">
        <f t="shared" si="168"/>
        <v>0</v>
      </c>
      <c r="ME41" s="72">
        <f t="shared" si="168"/>
        <v>0</v>
      </c>
      <c r="MF41" s="72">
        <f t="shared" si="168"/>
        <v>0</v>
      </c>
      <c r="MG41" s="72">
        <f t="shared" si="168"/>
        <v>0</v>
      </c>
      <c r="MH41" s="72">
        <f t="shared" si="168"/>
        <v>0</v>
      </c>
      <c r="MI41" s="72">
        <f t="shared" si="168"/>
        <v>0</v>
      </c>
      <c r="MJ41" s="72"/>
      <c r="MK41" s="72">
        <f>SUM(MK10:MK40)</f>
        <v>0</v>
      </c>
      <c r="ML41" s="72">
        <f>SUM(ML10:ML40)</f>
        <v>0</v>
      </c>
      <c r="MM41" s="72">
        <f>SUM(MM10:MM40)</f>
        <v>0</v>
      </c>
      <c r="MN41" s="72">
        <f>SUM(MN10:MN40)</f>
        <v>0</v>
      </c>
      <c r="MO41" s="72">
        <f>SUM(MO10:MO40)</f>
        <v>0</v>
      </c>
      <c r="MP41" s="72"/>
      <c r="MQ41" s="72">
        <f t="shared" ref="MQ41:MV41" si="169">SUM(MQ10:MQ40)</f>
        <v>0</v>
      </c>
      <c r="MR41" s="72">
        <f t="shared" si="169"/>
        <v>0</v>
      </c>
      <c r="MS41" s="72">
        <f t="shared" si="169"/>
        <v>0</v>
      </c>
      <c r="MT41" s="72">
        <f t="shared" si="169"/>
        <v>0</v>
      </c>
      <c r="MU41" s="72">
        <f t="shared" si="169"/>
        <v>0</v>
      </c>
      <c r="MV41" s="72">
        <f t="shared" si="169"/>
        <v>0</v>
      </c>
      <c r="MW41" s="72">
        <f>+MW40</f>
        <v>70364.002645013388</v>
      </c>
      <c r="MX41" s="72">
        <f>+MX40</f>
        <v>97347.492248823488</v>
      </c>
      <c r="MY41" s="72">
        <f>+MY40</f>
        <v>20111.74520127946</v>
      </c>
      <c r="MZ41" s="72">
        <f>+MZ40</f>
        <v>427790.48855850991</v>
      </c>
      <c r="NA41" s="72">
        <f>+NA40</f>
        <v>0</v>
      </c>
      <c r="NB41" s="1093">
        <f t="shared" ref="NB41:ND42" si="170">NB40</f>
        <v>19052.445937467848</v>
      </c>
      <c r="NC41" s="1656">
        <f t="shared" si="170"/>
        <v>51311.55670754554</v>
      </c>
      <c r="ND41" s="72">
        <f t="shared" si="170"/>
        <v>0</v>
      </c>
      <c r="NE41" s="72">
        <f t="shared" ref="NE41:OJ41" si="171">+NE40</f>
        <v>70364.002645013388</v>
      </c>
      <c r="NF41" s="72">
        <f t="shared" si="171"/>
        <v>0</v>
      </c>
      <c r="NG41" s="72">
        <f t="shared" si="171"/>
        <v>0</v>
      </c>
      <c r="NH41" s="72">
        <f t="shared" si="171"/>
        <v>0</v>
      </c>
      <c r="NI41" s="72">
        <f t="shared" si="171"/>
        <v>0</v>
      </c>
      <c r="NJ41" s="72">
        <f t="shared" si="171"/>
        <v>0</v>
      </c>
      <c r="NK41" s="72">
        <f t="shared" si="171"/>
        <v>0</v>
      </c>
      <c r="NL41" s="72">
        <f t="shared" si="171"/>
        <v>0</v>
      </c>
      <c r="NM41" s="278">
        <f t="shared" si="171"/>
        <v>0</v>
      </c>
      <c r="NN41" s="72">
        <f t="shared" si="171"/>
        <v>15842.830566563143</v>
      </c>
      <c r="NO41" s="72">
        <f t="shared" si="171"/>
        <v>26196.69549600617</v>
      </c>
      <c r="NP41" s="72">
        <f t="shared" si="171"/>
        <v>8756.5482322711578</v>
      </c>
      <c r="NQ41" s="72">
        <f t="shared" si="171"/>
        <v>11360.874118033411</v>
      </c>
      <c r="NR41" s="72">
        <f t="shared" si="171"/>
        <v>62156.948412873877</v>
      </c>
      <c r="NS41" s="72">
        <f t="shared" si="171"/>
        <v>0</v>
      </c>
      <c r="NT41" s="72">
        <f t="shared" si="171"/>
        <v>0</v>
      </c>
      <c r="NU41" s="72">
        <f t="shared" si="171"/>
        <v>0</v>
      </c>
      <c r="NV41" s="72">
        <f t="shared" si="171"/>
        <v>0</v>
      </c>
      <c r="NW41" s="72">
        <f t="shared" si="171"/>
        <v>0</v>
      </c>
      <c r="NX41" s="72">
        <f t="shared" si="171"/>
        <v>0</v>
      </c>
      <c r="NY41" s="72">
        <f t="shared" si="171"/>
        <v>4449.8636022929131</v>
      </c>
      <c r="NZ41" s="72">
        <f t="shared" si="171"/>
        <v>0</v>
      </c>
      <c r="OA41" s="72">
        <f t="shared" si="171"/>
        <v>11531.208066782838</v>
      </c>
      <c r="OB41" s="72">
        <f t="shared" si="171"/>
        <v>0</v>
      </c>
      <c r="OC41" s="72">
        <f t="shared" si="171"/>
        <v>349.54339982995594</v>
      </c>
      <c r="OD41" s="72">
        <f t="shared" si="171"/>
        <v>0</v>
      </c>
      <c r="OE41" s="72">
        <f t="shared" si="171"/>
        <v>16330.615068905707</v>
      </c>
      <c r="OF41" s="72">
        <f t="shared" si="171"/>
        <v>0</v>
      </c>
      <c r="OG41" s="72">
        <f t="shared" si="171"/>
        <v>0</v>
      </c>
      <c r="OH41" s="72">
        <f t="shared" si="171"/>
        <v>0</v>
      </c>
      <c r="OI41" s="72">
        <f t="shared" si="171"/>
        <v>0</v>
      </c>
      <c r="OJ41" s="72">
        <f t="shared" si="171"/>
        <v>0</v>
      </c>
      <c r="OK41" s="72">
        <f t="shared" ref="OK41:PF41" si="172">+OK40</f>
        <v>0</v>
      </c>
      <c r="OL41" s="72">
        <f t="shared" si="172"/>
        <v>0</v>
      </c>
      <c r="OM41" s="72">
        <f t="shared" si="172"/>
        <v>0</v>
      </c>
      <c r="ON41" s="72">
        <f t="shared" si="172"/>
        <v>16579.923599110993</v>
      </c>
      <c r="OO41" s="72">
        <f t="shared" si="172"/>
        <v>0</v>
      </c>
      <c r="OP41" s="72">
        <f t="shared" si="172"/>
        <v>2280.0051679329135</v>
      </c>
      <c r="OQ41" s="72">
        <f t="shared" si="172"/>
        <v>0</v>
      </c>
      <c r="OR41" s="72">
        <f t="shared" si="172"/>
        <v>18859.928767043908</v>
      </c>
      <c r="OS41" s="72">
        <f t="shared" si="172"/>
        <v>0</v>
      </c>
      <c r="OT41" s="72">
        <f t="shared" si="172"/>
        <v>0</v>
      </c>
      <c r="OU41" s="72">
        <f t="shared" si="172"/>
        <v>0</v>
      </c>
      <c r="OV41" s="72">
        <f t="shared" si="172"/>
        <v>0</v>
      </c>
      <c r="OW41" s="72">
        <f t="shared" si="172"/>
        <v>0</v>
      </c>
      <c r="OX41" s="72">
        <f t="shared" si="172"/>
        <v>0</v>
      </c>
      <c r="OY41" s="72">
        <f t="shared" si="172"/>
        <v>0</v>
      </c>
      <c r="OZ41" s="72">
        <f t="shared" si="172"/>
        <v>0</v>
      </c>
      <c r="PA41" s="72">
        <f t="shared" si="172"/>
        <v>0</v>
      </c>
      <c r="PB41" s="72">
        <f t="shared" si="172"/>
        <v>0</v>
      </c>
      <c r="PC41" s="72">
        <f t="shared" si="172"/>
        <v>0</v>
      </c>
      <c r="PD41" s="72">
        <f t="shared" si="172"/>
        <v>0</v>
      </c>
      <c r="PE41" s="72">
        <f t="shared" si="172"/>
        <v>0</v>
      </c>
      <c r="PF41" s="72">
        <f t="shared" si="172"/>
        <v>0</v>
      </c>
      <c r="PG41" s="72">
        <f t="shared" ref="PG41:PL41" si="173">SUM(PG10:PG40)</f>
        <v>0</v>
      </c>
      <c r="PH41" s="72">
        <f t="shared" si="173"/>
        <v>0</v>
      </c>
      <c r="PI41" s="341">
        <f t="shared" si="173"/>
        <v>11383.62</v>
      </c>
      <c r="PJ41" s="72">
        <f t="shared" si="173"/>
        <v>1215</v>
      </c>
      <c r="PK41" s="72">
        <f t="shared" si="173"/>
        <v>506.25</v>
      </c>
      <c r="PL41" s="72">
        <f t="shared" si="173"/>
        <v>89.9</v>
      </c>
      <c r="PM41" s="72">
        <f>PM40</f>
        <v>10667.975387693894</v>
      </c>
      <c r="PN41" s="72">
        <f>+PN40</f>
        <v>20111.74520127946</v>
      </c>
      <c r="PO41" s="72">
        <f>SUM(PO10:PO40)</f>
        <v>0</v>
      </c>
      <c r="PP41" s="72">
        <f>SUM(PP10:PP40)</f>
        <v>0</v>
      </c>
      <c r="PQ41" s="72">
        <f>SUM(PQ10:PQ40)</f>
        <v>0</v>
      </c>
      <c r="PR41" s="72">
        <f>SUM(PR10:PR40)</f>
        <v>0</v>
      </c>
      <c r="PS41" s="72">
        <f>SUM(PS10:PS40)</f>
        <v>0</v>
      </c>
      <c r="PT41" s="72"/>
      <c r="PU41" s="72">
        <f>SUM(PU10:PU40)</f>
        <v>0</v>
      </c>
      <c r="PV41" s="72">
        <f>SUM(PV10:PV40)</f>
        <v>1684.88</v>
      </c>
      <c r="PW41" s="72">
        <f>SUM(PW10:PW40)</f>
        <v>0</v>
      </c>
      <c r="PX41" s="72">
        <f>SUM(PX10:PX40)</f>
        <v>1684.88</v>
      </c>
      <c r="PY41" s="72">
        <f>SUM(PY10:PY40)</f>
        <v>11383.62</v>
      </c>
      <c r="PZ41" s="72">
        <f>+PZ40</f>
        <v>0</v>
      </c>
      <c r="QA41" s="72"/>
      <c r="QB41" s="72"/>
      <c r="QC41" s="72"/>
      <c r="QD41" s="72"/>
      <c r="QE41" s="72">
        <f>+QE40</f>
        <v>29562.488999999998</v>
      </c>
      <c r="QF41" s="72">
        <f>+QF40</f>
        <v>396543.1195585099</v>
      </c>
      <c r="QG41" s="72">
        <f>+QG40</f>
        <v>1684.88</v>
      </c>
      <c r="QH41" s="72">
        <f>+QH40</f>
        <v>5505.3678056099998</v>
      </c>
      <c r="RP41" s="1091"/>
      <c r="RW41" s="72"/>
      <c r="RY41" s="1089"/>
      <c r="RZ41" s="1090"/>
      <c r="SA41" s="1089"/>
      <c r="SB41" s="1089"/>
    </row>
    <row r="42" spans="1:500" s="38" customFormat="1">
      <c r="A42" s="307" t="s">
        <v>207</v>
      </c>
      <c r="B42" s="307"/>
      <c r="C42" s="412">
        <f>SUM(O42,S42,W42,AA42)</f>
        <v>4129348.0790999997</v>
      </c>
      <c r="D42" s="412">
        <f>SUM(P42,T42,X42,AB42)</f>
        <v>262044.02758262464</v>
      </c>
      <c r="E42" s="1744">
        <f t="shared" si="7"/>
        <v>15.758222452896709</v>
      </c>
      <c r="F42" s="72"/>
      <c r="G42" s="72"/>
      <c r="H42" s="307">
        <f t="shared" ref="H42:P42" si="174">H41</f>
        <v>465.5</v>
      </c>
      <c r="I42" s="364">
        <f t="shared" si="174"/>
        <v>101.81</v>
      </c>
      <c r="J42" s="307">
        <f t="shared" si="174"/>
        <v>0</v>
      </c>
      <c r="K42" s="364">
        <f t="shared" si="174"/>
        <v>0</v>
      </c>
      <c r="L42" s="307">
        <f t="shared" si="174"/>
        <v>119</v>
      </c>
      <c r="M42" s="364">
        <f t="shared" si="174"/>
        <v>75.05</v>
      </c>
      <c r="N42" s="72">
        <f t="shared" si="174"/>
        <v>0</v>
      </c>
      <c r="O42" s="364">
        <f>AW42+BC42</f>
        <v>2535017.9293</v>
      </c>
      <c r="P42" s="364">
        <f t="shared" si="174"/>
        <v>158273.14000000001</v>
      </c>
      <c r="Q42" s="307">
        <f t="shared" si="9"/>
        <v>16.016728607898976</v>
      </c>
      <c r="R42" s="72">
        <f>R41</f>
        <v>0</v>
      </c>
      <c r="S42" s="364">
        <f t="shared" si="10"/>
        <v>841313.33669999987</v>
      </c>
      <c r="T42" s="364">
        <f>SUM(BG42,BM42,BJ42,BY42)</f>
        <v>38606.132226000002</v>
      </c>
      <c r="U42" s="38">
        <f t="shared" si="12"/>
        <v>21.792220255967578</v>
      </c>
      <c r="V42" s="72">
        <f>V41</f>
        <v>0</v>
      </c>
      <c r="W42" s="412">
        <f>BU42</f>
        <v>753016.81310000003</v>
      </c>
      <c r="X42" s="412">
        <f>BV42</f>
        <v>65164.755356624621</v>
      </c>
      <c r="Y42" s="38">
        <f t="shared" si="14"/>
        <v>11.555584134076684</v>
      </c>
      <c r="Z42" s="72">
        <f>Z41</f>
        <v>0</v>
      </c>
      <c r="AA42" s="364">
        <f>AA41</f>
        <v>0</v>
      </c>
      <c r="AB42" s="364">
        <f>AB41</f>
        <v>0</v>
      </c>
      <c r="AC42" s="38">
        <f>AC41</f>
        <v>0</v>
      </c>
      <c r="AD42" s="72"/>
      <c r="AE42" s="412">
        <f>AE41</f>
        <v>0</v>
      </c>
      <c r="AF42" s="412">
        <f>AF41</f>
        <v>0</v>
      </c>
      <c r="AG42" s="38">
        <f t="shared" si="18"/>
        <v>0</v>
      </c>
      <c r="AH42" s="72">
        <f>AH41</f>
        <v>0</v>
      </c>
      <c r="AI42" s="412"/>
      <c r="AJ42" s="412"/>
      <c r="AK42" s="38">
        <f t="shared" si="19"/>
        <v>0</v>
      </c>
      <c r="AL42" s="72">
        <f t="shared" ref="AL42:AR42" si="175">AL41</f>
        <v>0</v>
      </c>
      <c r="AM42" s="72">
        <f t="shared" si="175"/>
        <v>0</v>
      </c>
      <c r="AN42" s="72">
        <f t="shared" si="175"/>
        <v>0</v>
      </c>
      <c r="AO42" s="72">
        <f t="shared" si="175"/>
        <v>0</v>
      </c>
      <c r="AP42" s="72">
        <f t="shared" si="175"/>
        <v>0</v>
      </c>
      <c r="AQ42" s="364">
        <f t="shared" si="175"/>
        <v>0</v>
      </c>
      <c r="AR42" s="1088">
        <f t="shared" si="175"/>
        <v>0</v>
      </c>
      <c r="AS42" s="38">
        <f t="shared" si="21"/>
        <v>0</v>
      </c>
      <c r="AT42" s="364">
        <f t="shared" ref="AT42:AX42" si="176">AT41</f>
        <v>0</v>
      </c>
      <c r="AU42" s="364">
        <f t="shared" si="176"/>
        <v>0</v>
      </c>
      <c r="AV42" s="72">
        <f t="shared" si="176"/>
        <v>0</v>
      </c>
      <c r="AW42" s="364">
        <v>1544232.1961000003</v>
      </c>
      <c r="AX42" s="364">
        <f t="shared" si="176"/>
        <v>118421.42999999996</v>
      </c>
      <c r="AY42" s="38">
        <f t="shared" ref="AY42:BY42" si="177">AY41</f>
        <v>12.66729847798663</v>
      </c>
      <c r="AZ42" s="72">
        <f t="shared" si="177"/>
        <v>0</v>
      </c>
      <c r="BA42" s="72">
        <f t="shared" si="177"/>
        <v>0</v>
      </c>
      <c r="BB42" s="72">
        <f t="shared" si="177"/>
        <v>0</v>
      </c>
      <c r="BC42" s="364">
        <v>990785.7331999999</v>
      </c>
      <c r="BD42" s="364">
        <f t="shared" si="177"/>
        <v>39851.71</v>
      </c>
      <c r="BE42" s="72">
        <f t="shared" si="177"/>
        <v>26.142165543210066</v>
      </c>
      <c r="BF42" s="364">
        <f t="shared" si="177"/>
        <v>0</v>
      </c>
      <c r="BG42" s="364">
        <f t="shared" si="177"/>
        <v>0</v>
      </c>
      <c r="BH42" s="307">
        <f t="shared" si="177"/>
        <v>0</v>
      </c>
      <c r="BI42" s="364">
        <f t="shared" si="177"/>
        <v>0</v>
      </c>
      <c r="BJ42" s="38">
        <f t="shared" si="177"/>
        <v>0</v>
      </c>
      <c r="BK42" s="38">
        <f t="shared" si="177"/>
        <v>0</v>
      </c>
      <c r="BL42" s="364">
        <v>841313.33669999987</v>
      </c>
      <c r="BM42" s="364">
        <v>38606.132226000002</v>
      </c>
      <c r="BN42" s="72">
        <f t="shared" si="177"/>
        <v>22.343258617093547</v>
      </c>
      <c r="BO42" s="364">
        <f t="shared" si="177"/>
        <v>0</v>
      </c>
      <c r="BP42" s="307">
        <f t="shared" si="177"/>
        <v>0</v>
      </c>
      <c r="BQ42" s="38">
        <f t="shared" si="177"/>
        <v>0</v>
      </c>
      <c r="BR42" s="364">
        <f t="shared" si="177"/>
        <v>0</v>
      </c>
      <c r="BS42" s="307">
        <f t="shared" si="177"/>
        <v>0</v>
      </c>
      <c r="BT42" s="38">
        <f t="shared" si="177"/>
        <v>0</v>
      </c>
      <c r="BU42" s="364">
        <v>753016.81310000003</v>
      </c>
      <c r="BV42" s="364">
        <v>65164.755356624621</v>
      </c>
      <c r="BW42" s="38">
        <f t="shared" si="177"/>
        <v>13.301492194674013</v>
      </c>
      <c r="BX42" s="364">
        <f t="shared" si="177"/>
        <v>0</v>
      </c>
      <c r="BY42" s="72">
        <f t="shared" si="177"/>
        <v>0</v>
      </c>
      <c r="BZ42" s="38">
        <f t="shared" si="32"/>
        <v>0</v>
      </c>
      <c r="CA42" s="364"/>
      <c r="CB42" s="364">
        <f>CB41</f>
        <v>0</v>
      </c>
      <c r="CC42" s="38">
        <f t="shared" si="33"/>
        <v>0</v>
      </c>
      <c r="CD42" s="364">
        <f>CD41</f>
        <v>0</v>
      </c>
      <c r="CE42" s="364">
        <f>CE41</f>
        <v>0</v>
      </c>
      <c r="CF42" s="38">
        <f>CF41</f>
        <v>0</v>
      </c>
      <c r="CG42" s="72">
        <f>+CG41</f>
        <v>0</v>
      </c>
      <c r="CH42" s="364">
        <f>CH41</f>
        <v>0</v>
      </c>
      <c r="CI42" s="72">
        <v>3653.5374999999999</v>
      </c>
      <c r="CJ42" s="72">
        <f t="shared" ref="CJ42:CN42" si="178">+CJ41</f>
        <v>0</v>
      </c>
      <c r="CK42" s="72">
        <v>156752.75509999998</v>
      </c>
      <c r="CL42" s="72">
        <f t="shared" si="178"/>
        <v>0</v>
      </c>
      <c r="CM42" s="72">
        <f>CK42</f>
        <v>156752.75509999998</v>
      </c>
      <c r="CN42" s="72">
        <f t="shared" si="178"/>
        <v>0</v>
      </c>
      <c r="CO42" s="364"/>
      <c r="CP42" s="72">
        <f>+CP41</f>
        <v>0</v>
      </c>
      <c r="CQ42" s="72">
        <f>+CQ41</f>
        <v>0</v>
      </c>
      <c r="CR42" s="72"/>
      <c r="CS42" s="72">
        <f>+CS41</f>
        <v>0</v>
      </c>
      <c r="CT42" s="72"/>
      <c r="CU42" s="72">
        <f>+CU41</f>
        <v>0</v>
      </c>
      <c r="CV42" s="72"/>
      <c r="CW42" s="72">
        <f>+CW41</f>
        <v>22773.460000000003</v>
      </c>
      <c r="CX42" s="72"/>
      <c r="CY42" s="72">
        <f>+CY41</f>
        <v>193989.69000000006</v>
      </c>
      <c r="CZ42" s="72"/>
      <c r="DA42" s="72">
        <f>+DA41</f>
        <v>42130.299999999988</v>
      </c>
      <c r="DB42" s="72"/>
      <c r="DC42" s="72">
        <f>+DC41</f>
        <v>260578.32999999996</v>
      </c>
      <c r="DD42" s="72">
        <f>+DD41</f>
        <v>0</v>
      </c>
      <c r="DE42" s="72">
        <f>+DE41</f>
        <v>0</v>
      </c>
      <c r="DF42" s="72"/>
      <c r="DG42" s="72">
        <f>DG41</f>
        <v>0</v>
      </c>
      <c r="DH42" s="72"/>
      <c r="DI42" s="72">
        <f>+DI41</f>
        <v>0</v>
      </c>
      <c r="DJ42" s="72"/>
      <c r="DK42" s="72">
        <f>DK41</f>
        <v>22773.460000000003</v>
      </c>
      <c r="DL42" s="72"/>
      <c r="DM42" s="72">
        <f>DM41</f>
        <v>83143.719999999972</v>
      </c>
      <c r="DN42" s="72">
        <f>+DN41</f>
        <v>0</v>
      </c>
      <c r="DO42" s="72">
        <f>+DO41</f>
        <v>0</v>
      </c>
      <c r="DP42" s="72">
        <f>+DP41</f>
        <v>0</v>
      </c>
      <c r="DQ42" s="1904">
        <f>DQ41</f>
        <v>105917.17999999996</v>
      </c>
      <c r="DR42" s="72">
        <f>+DR41</f>
        <v>0</v>
      </c>
      <c r="DS42" s="72"/>
      <c r="DT42" s="72">
        <f>+DT41</f>
        <v>0</v>
      </c>
      <c r="DU42" s="72"/>
      <c r="DV42" s="72">
        <f>+DV41</f>
        <v>0</v>
      </c>
      <c r="DW42" s="72"/>
      <c r="DX42" s="72">
        <f>+DX41</f>
        <v>0</v>
      </c>
      <c r="DY42" s="72"/>
      <c r="DZ42" s="72">
        <f>DZ41</f>
        <v>79085.97</v>
      </c>
      <c r="EA42" s="72"/>
      <c r="EB42" s="72">
        <f>EB41</f>
        <v>8550.3000000000011</v>
      </c>
      <c r="EC42" s="72"/>
      <c r="ED42" s="72">
        <f>ED41</f>
        <v>87636.26999999999</v>
      </c>
      <c r="EE42" s="72">
        <f>+EE41</f>
        <v>0</v>
      </c>
      <c r="EF42" s="72">
        <f>+EF41</f>
        <v>0</v>
      </c>
      <c r="EG42" s="72">
        <f>+EG41</f>
        <v>0</v>
      </c>
      <c r="EH42" s="72"/>
      <c r="EI42" s="72">
        <f>+EI41</f>
        <v>0</v>
      </c>
      <c r="EJ42" s="72"/>
      <c r="EK42" s="72">
        <f>+EK41</f>
        <v>0</v>
      </c>
      <c r="EL42" s="72">
        <f>+EL41</f>
        <v>0</v>
      </c>
      <c r="EM42" s="72">
        <f>+EM41</f>
        <v>31760</v>
      </c>
      <c r="EN42" s="72"/>
      <c r="EO42" s="72">
        <f>+EO41</f>
        <v>33580</v>
      </c>
      <c r="EP42" s="72"/>
      <c r="EQ42" s="72">
        <f>+EQ41</f>
        <v>65340</v>
      </c>
      <c r="ER42" s="72">
        <f>+ER41</f>
        <v>0</v>
      </c>
      <c r="ES42" s="72">
        <f>+ES41</f>
        <v>0</v>
      </c>
      <c r="ET42" s="72">
        <f>+ET41</f>
        <v>0</v>
      </c>
      <c r="EU42" s="72">
        <f t="shared" ref="EU42:FU42" si="179">+EU41</f>
        <v>0</v>
      </c>
      <c r="EV42" s="72">
        <f t="shared" si="179"/>
        <v>0</v>
      </c>
      <c r="EW42" s="72">
        <f t="shared" si="179"/>
        <v>0</v>
      </c>
      <c r="EX42" s="72">
        <f t="shared" si="179"/>
        <v>0</v>
      </c>
      <c r="EY42" s="72">
        <f t="shared" si="179"/>
        <v>0</v>
      </c>
      <c r="EZ42" s="72">
        <f t="shared" si="179"/>
        <v>0</v>
      </c>
      <c r="FA42" s="72">
        <f t="shared" si="179"/>
        <v>0</v>
      </c>
      <c r="FB42" s="72">
        <f t="shared" si="179"/>
        <v>0</v>
      </c>
      <c r="FC42" s="72">
        <f t="shared" si="179"/>
        <v>0</v>
      </c>
      <c r="FD42" s="72">
        <f t="shared" si="179"/>
        <v>0</v>
      </c>
      <c r="FE42" s="72">
        <f t="shared" si="179"/>
        <v>0</v>
      </c>
      <c r="FF42" s="72">
        <f t="shared" si="179"/>
        <v>0</v>
      </c>
      <c r="FG42" s="72">
        <f t="shared" si="179"/>
        <v>0</v>
      </c>
      <c r="FH42" s="72">
        <f t="shared" si="179"/>
        <v>0</v>
      </c>
      <c r="FI42" s="72">
        <f t="shared" si="179"/>
        <v>0</v>
      </c>
      <c r="FJ42" s="72">
        <f t="shared" si="179"/>
        <v>0</v>
      </c>
      <c r="FK42" s="72">
        <f t="shared" si="179"/>
        <v>0</v>
      </c>
      <c r="FL42" s="72">
        <f t="shared" si="179"/>
        <v>0</v>
      </c>
      <c r="FM42" s="72">
        <f t="shared" si="179"/>
        <v>0</v>
      </c>
      <c r="FN42" s="72">
        <f t="shared" si="179"/>
        <v>0</v>
      </c>
      <c r="FO42" s="72">
        <f t="shared" si="179"/>
        <v>0</v>
      </c>
      <c r="FP42" s="72">
        <f t="shared" si="179"/>
        <v>0</v>
      </c>
      <c r="FQ42" s="72">
        <f t="shared" si="179"/>
        <v>0</v>
      </c>
      <c r="FR42" s="72">
        <f t="shared" si="179"/>
        <v>0</v>
      </c>
      <c r="FS42" s="72">
        <f t="shared" si="179"/>
        <v>0</v>
      </c>
      <c r="FT42" s="72">
        <f t="shared" si="179"/>
        <v>0</v>
      </c>
      <c r="FU42" s="72">
        <f t="shared" si="179"/>
        <v>0</v>
      </c>
      <c r="FV42" s="72"/>
      <c r="FW42" s="72">
        <f>+FW41</f>
        <v>0</v>
      </c>
      <c r="FX42" s="72"/>
      <c r="FY42" s="72">
        <f>+FY41</f>
        <v>0</v>
      </c>
      <c r="FZ42" s="72"/>
      <c r="GA42" s="72">
        <f>+GA41</f>
        <v>0</v>
      </c>
      <c r="GB42" s="72"/>
      <c r="GC42" s="72">
        <f>+GC41</f>
        <v>0</v>
      </c>
      <c r="GD42" s="72"/>
      <c r="GE42" s="72">
        <f>+GE41</f>
        <v>0</v>
      </c>
      <c r="GF42" s="72"/>
      <c r="GG42" s="72">
        <f t="shared" ref="GG42:HK42" si="180">+GG41</f>
        <v>0</v>
      </c>
      <c r="GH42" s="72">
        <f t="shared" si="180"/>
        <v>0</v>
      </c>
      <c r="GI42" s="72">
        <f t="shared" si="180"/>
        <v>0</v>
      </c>
      <c r="GJ42" s="72">
        <f t="shared" si="180"/>
        <v>48239.85</v>
      </c>
      <c r="GK42" s="72">
        <f t="shared" si="180"/>
        <v>95786.78</v>
      </c>
      <c r="GL42" s="72">
        <f t="shared" si="180"/>
        <v>80132.35000000002</v>
      </c>
      <c r="GM42" s="72">
        <f t="shared" si="180"/>
        <v>224158.97999999998</v>
      </c>
      <c r="GN42" s="72">
        <f t="shared" si="180"/>
        <v>0</v>
      </c>
      <c r="GO42" s="72">
        <f t="shared" si="180"/>
        <v>0</v>
      </c>
      <c r="GP42" s="72">
        <f t="shared" si="180"/>
        <v>0</v>
      </c>
      <c r="GQ42" s="72">
        <f t="shared" si="180"/>
        <v>0</v>
      </c>
      <c r="GR42" s="72">
        <f t="shared" si="180"/>
        <v>146700.47</v>
      </c>
      <c r="GS42" s="72">
        <f t="shared" si="180"/>
        <v>89.9</v>
      </c>
      <c r="GT42" s="72">
        <f t="shared" si="180"/>
        <v>41454.060000000005</v>
      </c>
      <c r="GU42" s="72">
        <f t="shared" si="180"/>
        <v>35914.549999999996</v>
      </c>
      <c r="GV42" s="72">
        <f t="shared" si="180"/>
        <v>224158.97999999995</v>
      </c>
      <c r="GW42" s="72">
        <f t="shared" si="180"/>
        <v>0</v>
      </c>
      <c r="GX42" s="72">
        <f t="shared" si="180"/>
        <v>0</v>
      </c>
      <c r="GY42" s="72">
        <f t="shared" si="180"/>
        <v>0</v>
      </c>
      <c r="GZ42" s="72">
        <f t="shared" si="180"/>
        <v>0</v>
      </c>
      <c r="HA42" s="72">
        <f t="shared" si="180"/>
        <v>0</v>
      </c>
      <c r="HB42" s="72">
        <f t="shared" si="180"/>
        <v>0</v>
      </c>
      <c r="HC42" s="72">
        <f t="shared" si="180"/>
        <v>0</v>
      </c>
      <c r="HD42" s="72">
        <f t="shared" si="180"/>
        <v>0</v>
      </c>
      <c r="HE42" s="72">
        <f t="shared" si="180"/>
        <v>0</v>
      </c>
      <c r="HF42" s="72">
        <f t="shared" si="180"/>
        <v>20402.770000000004</v>
      </c>
      <c r="HG42" s="72">
        <f t="shared" si="180"/>
        <v>0</v>
      </c>
      <c r="HH42" s="72">
        <f t="shared" si="180"/>
        <v>27747.18</v>
      </c>
      <c r="HI42" s="72">
        <f t="shared" si="180"/>
        <v>0</v>
      </c>
      <c r="HJ42" s="72">
        <f t="shared" si="180"/>
        <v>89.9</v>
      </c>
      <c r="HK42" s="72">
        <f t="shared" si="180"/>
        <v>0</v>
      </c>
      <c r="HL42" s="72">
        <f t="shared" si="62"/>
        <v>48239.850000000006</v>
      </c>
      <c r="HM42" s="72">
        <f t="shared" ref="HM42:HZ42" si="181">+HM41</f>
        <v>0</v>
      </c>
      <c r="HN42" s="72">
        <f t="shared" si="181"/>
        <v>0</v>
      </c>
      <c r="HO42" s="72">
        <f t="shared" si="181"/>
        <v>0</v>
      </c>
      <c r="HP42" s="72">
        <f t="shared" si="181"/>
        <v>0</v>
      </c>
      <c r="HQ42" s="72">
        <f t="shared" si="181"/>
        <v>0</v>
      </c>
      <c r="HR42" s="72">
        <f t="shared" si="181"/>
        <v>0</v>
      </c>
      <c r="HS42" s="72">
        <f t="shared" si="181"/>
        <v>0</v>
      </c>
      <c r="HT42" s="72">
        <f t="shared" si="181"/>
        <v>0</v>
      </c>
      <c r="HU42" s="72">
        <f t="shared" si="181"/>
        <v>0</v>
      </c>
      <c r="HV42" s="72">
        <f t="shared" si="181"/>
        <v>0</v>
      </c>
      <c r="HW42" s="72">
        <f t="shared" si="181"/>
        <v>0</v>
      </c>
      <c r="HX42" s="72">
        <f t="shared" si="181"/>
        <v>0</v>
      </c>
      <c r="HY42" s="72">
        <f t="shared" si="181"/>
        <v>0</v>
      </c>
      <c r="HZ42" s="72">
        <f t="shared" si="181"/>
        <v>0</v>
      </c>
      <c r="IA42" s="72">
        <f t="shared" si="63"/>
        <v>0</v>
      </c>
      <c r="IB42" s="72">
        <f t="shared" ref="IB42:IO42" si="182">+IB41</f>
        <v>0</v>
      </c>
      <c r="IC42" s="72">
        <f t="shared" si="182"/>
        <v>0</v>
      </c>
      <c r="ID42" s="72">
        <f t="shared" si="182"/>
        <v>0</v>
      </c>
      <c r="IE42" s="72">
        <f t="shared" si="182"/>
        <v>0</v>
      </c>
      <c r="IF42" s="72">
        <f t="shared" si="182"/>
        <v>0</v>
      </c>
      <c r="IG42" s="72">
        <f t="shared" si="182"/>
        <v>0</v>
      </c>
      <c r="IH42" s="72">
        <f t="shared" si="182"/>
        <v>20529.66</v>
      </c>
      <c r="II42" s="72">
        <f t="shared" si="182"/>
        <v>0</v>
      </c>
      <c r="IJ42" s="38">
        <f t="shared" si="182"/>
        <v>74996.12</v>
      </c>
      <c r="IK42" s="72">
        <f t="shared" si="182"/>
        <v>0</v>
      </c>
      <c r="IL42" s="72">
        <f t="shared" si="182"/>
        <v>0</v>
      </c>
      <c r="IM42" s="38">
        <f t="shared" si="182"/>
        <v>0</v>
      </c>
      <c r="IN42" s="72">
        <f t="shared" si="182"/>
        <v>0</v>
      </c>
      <c r="IO42" s="72">
        <f t="shared" si="182"/>
        <v>261</v>
      </c>
      <c r="IP42" s="421">
        <f>SUM(IB42:IO42)</f>
        <v>95786.78</v>
      </c>
      <c r="IQ42" s="72">
        <f t="shared" ref="IQ42:JD42" si="183">+IQ41</f>
        <v>0</v>
      </c>
      <c r="IR42" s="72">
        <f t="shared" si="183"/>
        <v>0</v>
      </c>
      <c r="IS42" s="38">
        <f t="shared" si="183"/>
        <v>0</v>
      </c>
      <c r="IT42" s="72">
        <f t="shared" si="183"/>
        <v>0</v>
      </c>
      <c r="IU42" s="38">
        <f t="shared" si="183"/>
        <v>0</v>
      </c>
      <c r="IV42" s="72">
        <f t="shared" si="183"/>
        <v>0</v>
      </c>
      <c r="IW42" s="72">
        <f t="shared" si="183"/>
        <v>0</v>
      </c>
      <c r="IX42" s="72">
        <f t="shared" si="183"/>
        <v>0</v>
      </c>
      <c r="IY42" s="72">
        <f t="shared" si="183"/>
        <v>71185.070000000007</v>
      </c>
      <c r="IZ42" s="72">
        <f t="shared" si="183"/>
        <v>0</v>
      </c>
      <c r="JA42" s="72">
        <f t="shared" si="183"/>
        <v>8947.2799999999988</v>
      </c>
      <c r="JB42" s="72">
        <f t="shared" si="183"/>
        <v>0</v>
      </c>
      <c r="JC42" s="72">
        <f t="shared" si="183"/>
        <v>0</v>
      </c>
      <c r="JD42" s="72">
        <f t="shared" si="183"/>
        <v>0</v>
      </c>
      <c r="JE42" s="421">
        <f>SUM(IQ42:JD42)</f>
        <v>80132.350000000006</v>
      </c>
      <c r="JF42" s="72">
        <f t="shared" ref="JF42:KM42" si="184">+JF41</f>
        <v>0</v>
      </c>
      <c r="JG42" s="72">
        <f t="shared" si="184"/>
        <v>0</v>
      </c>
      <c r="JH42" s="72">
        <f t="shared" si="184"/>
        <v>160870.77999999997</v>
      </c>
      <c r="JI42" s="72">
        <f t="shared" si="184"/>
        <v>63288.19999999999</v>
      </c>
      <c r="JJ42" s="38">
        <f t="shared" si="184"/>
        <v>0</v>
      </c>
      <c r="JK42" s="72">
        <f t="shared" si="184"/>
        <v>224158.97999999995</v>
      </c>
      <c r="JL42" s="72">
        <f t="shared" si="184"/>
        <v>0</v>
      </c>
      <c r="JM42" s="72">
        <f t="shared" si="184"/>
        <v>0</v>
      </c>
      <c r="JN42" s="305">
        <f t="shared" si="184"/>
        <v>0</v>
      </c>
      <c r="JO42" s="305">
        <f t="shared" si="184"/>
        <v>0</v>
      </c>
      <c r="JP42" s="305">
        <f t="shared" si="184"/>
        <v>0</v>
      </c>
      <c r="JQ42" s="305">
        <f t="shared" si="184"/>
        <v>3.0312381964370688E-3</v>
      </c>
      <c r="JR42" s="305">
        <f t="shared" si="184"/>
        <v>0.99162505285306379</v>
      </c>
      <c r="JS42" s="305">
        <f t="shared" si="184"/>
        <v>5.3437089504991811E-3</v>
      </c>
      <c r="JT42" s="305">
        <f t="shared" si="184"/>
        <v>0</v>
      </c>
      <c r="JU42" s="305">
        <f t="shared" si="184"/>
        <v>0</v>
      </c>
      <c r="JV42" s="305">
        <f t="shared" si="184"/>
        <v>0</v>
      </c>
      <c r="JW42" s="305">
        <f t="shared" si="184"/>
        <v>0</v>
      </c>
      <c r="JX42" s="305">
        <f t="shared" si="184"/>
        <v>0</v>
      </c>
      <c r="JY42" s="305">
        <f t="shared" si="184"/>
        <v>0.30857454148688124</v>
      </c>
      <c r="JZ42" s="305">
        <f t="shared" si="184"/>
        <v>0.13397881676155321</v>
      </c>
      <c r="KA42" s="305">
        <f t="shared" si="184"/>
        <v>0.55656433224122004</v>
      </c>
      <c r="KB42" s="305">
        <f t="shared" si="184"/>
        <v>8.8230951034548718E-4</v>
      </c>
      <c r="KC42" s="305">
        <f t="shared" si="184"/>
        <v>0</v>
      </c>
      <c r="KD42" s="38">
        <f t="shared" si="184"/>
        <v>0</v>
      </c>
      <c r="KE42" s="38">
        <f t="shared" si="184"/>
        <v>0</v>
      </c>
      <c r="KF42" s="38">
        <f t="shared" si="184"/>
        <v>0</v>
      </c>
      <c r="KG42" s="38">
        <f t="shared" si="184"/>
        <v>0</v>
      </c>
      <c r="KH42" s="38">
        <f t="shared" si="184"/>
        <v>0</v>
      </c>
      <c r="KI42" s="38">
        <f t="shared" si="184"/>
        <v>0</v>
      </c>
      <c r="KJ42" s="38">
        <f t="shared" si="184"/>
        <v>0</v>
      </c>
      <c r="KK42" s="38">
        <f t="shared" si="184"/>
        <v>0</v>
      </c>
      <c r="KL42" s="72">
        <f t="shared" si="184"/>
        <v>0</v>
      </c>
      <c r="KM42" s="72">
        <f t="shared" si="184"/>
        <v>0</v>
      </c>
      <c r="KN42" s="72">
        <f t="shared" ref="KN42:LB42" si="185">KN41</f>
        <v>7049.0304796294886</v>
      </c>
      <c r="KO42" s="38">
        <f t="shared" si="185"/>
        <v>0.78569632654212718</v>
      </c>
      <c r="KP42" s="38">
        <f t="shared" si="185"/>
        <v>3.3204304528295814</v>
      </c>
      <c r="KQ42" s="38">
        <f t="shared" si="185"/>
        <v>6.7394993051914902</v>
      </c>
      <c r="KR42" s="38">
        <f t="shared" si="185"/>
        <v>10.623367922678614</v>
      </c>
      <c r="KS42" s="72">
        <f t="shared" si="185"/>
        <v>6863.7991810936719</v>
      </c>
      <c r="KT42" s="38">
        <f t="shared" si="185"/>
        <v>2.0950153249295389</v>
      </c>
      <c r="KU42" s="38">
        <f t="shared" si="185"/>
        <v>5.6873511879554313</v>
      </c>
      <c r="KV42" s="38">
        <f t="shared" si="185"/>
        <v>6.3180319870807553</v>
      </c>
      <c r="KW42" s="38">
        <f t="shared" si="185"/>
        <v>10.31285218316807</v>
      </c>
      <c r="KX42" s="72">
        <f t="shared" si="185"/>
        <v>0</v>
      </c>
      <c r="KY42" s="38">
        <f t="shared" si="185"/>
        <v>0</v>
      </c>
      <c r="KZ42" s="38">
        <f t="shared" si="185"/>
        <v>0</v>
      </c>
      <c r="LA42" s="38">
        <f t="shared" si="185"/>
        <v>0</v>
      </c>
      <c r="LB42" s="38">
        <f t="shared" si="185"/>
        <v>0</v>
      </c>
      <c r="LC42" s="72"/>
      <c r="LD42" s="72">
        <f t="shared" ref="LD42:MI42" si="186">+LD41</f>
        <v>0</v>
      </c>
      <c r="LE42" s="72">
        <f t="shared" si="186"/>
        <v>0</v>
      </c>
      <c r="LF42" s="865">
        <f t="shared" si="186"/>
        <v>212806.3462</v>
      </c>
      <c r="LG42" s="865">
        <f t="shared" si="186"/>
        <v>30144.807799999999</v>
      </c>
      <c r="LH42" s="865">
        <f t="shared" si="186"/>
        <v>0</v>
      </c>
      <c r="LI42" s="865">
        <f t="shared" si="186"/>
        <v>242951.15399999998</v>
      </c>
      <c r="LJ42" s="72">
        <f t="shared" si="186"/>
        <v>25</v>
      </c>
      <c r="LK42" s="72">
        <f t="shared" si="186"/>
        <v>0</v>
      </c>
      <c r="LL42" s="72">
        <f t="shared" si="186"/>
        <v>41</v>
      </c>
      <c r="LM42" s="72">
        <f t="shared" si="186"/>
        <v>0</v>
      </c>
      <c r="LN42" s="72">
        <f t="shared" si="186"/>
        <v>6.1080645161290326</v>
      </c>
      <c r="LO42" s="72">
        <f t="shared" si="186"/>
        <v>0</v>
      </c>
      <c r="LP42" s="72">
        <f t="shared" si="186"/>
        <v>0</v>
      </c>
      <c r="LQ42" s="72">
        <f t="shared" si="186"/>
        <v>157643.88920000001</v>
      </c>
      <c r="LR42" s="72">
        <f t="shared" si="186"/>
        <v>5565.0447999999997</v>
      </c>
      <c r="LS42" s="72">
        <f t="shared" si="186"/>
        <v>0</v>
      </c>
      <c r="LT42" s="72">
        <f t="shared" si="186"/>
        <v>0</v>
      </c>
      <c r="LU42" s="72">
        <f t="shared" si="186"/>
        <v>0</v>
      </c>
      <c r="LV42" s="72">
        <f t="shared" si="186"/>
        <v>163208.93400000001</v>
      </c>
      <c r="LW42" s="72">
        <f t="shared" si="186"/>
        <v>55162.456999999995</v>
      </c>
      <c r="LX42" s="72">
        <f t="shared" si="186"/>
        <v>24579.763000000003</v>
      </c>
      <c r="LY42" s="72">
        <f t="shared" si="186"/>
        <v>0</v>
      </c>
      <c r="LZ42" s="72">
        <f t="shared" si="186"/>
        <v>0</v>
      </c>
      <c r="MA42" s="72">
        <f t="shared" si="186"/>
        <v>0</v>
      </c>
      <c r="MB42" s="72">
        <f t="shared" si="186"/>
        <v>79742.22</v>
      </c>
      <c r="MC42" s="72">
        <f t="shared" si="186"/>
        <v>0</v>
      </c>
      <c r="MD42" s="72">
        <f t="shared" si="186"/>
        <v>0</v>
      </c>
      <c r="ME42" s="72">
        <f t="shared" si="186"/>
        <v>0</v>
      </c>
      <c r="MF42" s="72">
        <f t="shared" si="186"/>
        <v>0</v>
      </c>
      <c r="MG42" s="72">
        <f t="shared" si="186"/>
        <v>0</v>
      </c>
      <c r="MH42" s="72">
        <f t="shared" si="186"/>
        <v>0</v>
      </c>
      <c r="MI42" s="72">
        <f t="shared" si="186"/>
        <v>0</v>
      </c>
      <c r="MJ42" s="72"/>
      <c r="MK42" s="72">
        <f>+MK41</f>
        <v>0</v>
      </c>
      <c r="ML42" s="72">
        <f>+ML41</f>
        <v>0</v>
      </c>
      <c r="MM42" s="72">
        <f>+MM41</f>
        <v>0</v>
      </c>
      <c r="MN42" s="72">
        <f>+MN41</f>
        <v>0</v>
      </c>
      <c r="MO42" s="72">
        <f>+MO41</f>
        <v>0</v>
      </c>
      <c r="MP42" s="72"/>
      <c r="MQ42" s="72">
        <f t="shared" ref="MQ42:MV42" si="187">+MQ41</f>
        <v>0</v>
      </c>
      <c r="MR42" s="72">
        <f t="shared" si="187"/>
        <v>0</v>
      </c>
      <c r="MS42" s="72">
        <f t="shared" si="187"/>
        <v>0</v>
      </c>
      <c r="MT42" s="72">
        <f t="shared" si="187"/>
        <v>0</v>
      </c>
      <c r="MU42" s="72">
        <f t="shared" si="187"/>
        <v>0</v>
      </c>
      <c r="MV42" s="72">
        <f t="shared" si="187"/>
        <v>0</v>
      </c>
      <c r="MW42" s="364">
        <f>NE42</f>
        <v>70434.809393306306</v>
      </c>
      <c r="MX42" s="364">
        <f>SUM(NR42,OE42,OR42)</f>
        <v>98602.145805138833</v>
      </c>
      <c r="MY42" s="364">
        <f>+MY41</f>
        <v>20111.74520127946</v>
      </c>
      <c r="MZ42" s="364">
        <f>MZ41</f>
        <v>427790.48855850991</v>
      </c>
      <c r="NA42" s="72">
        <f>+NA41</f>
        <v>0</v>
      </c>
      <c r="NB42" s="1086">
        <v>17801.043361311269</v>
      </c>
      <c r="NC42" s="1086">
        <v>52633.766031995037</v>
      </c>
      <c r="ND42" s="364">
        <f t="shared" si="170"/>
        <v>0</v>
      </c>
      <c r="NE42" s="364">
        <f>SUM(NB42:ND42)</f>
        <v>70434.809393306306</v>
      </c>
      <c r="NF42" s="412">
        <f>NF41</f>
        <v>0</v>
      </c>
      <c r="NG42" s="364">
        <f t="shared" ref="NG42:NM42" si="188">NG41</f>
        <v>0</v>
      </c>
      <c r="NH42" s="364">
        <f t="shared" si="188"/>
        <v>0</v>
      </c>
      <c r="NI42" s="364">
        <f t="shared" si="188"/>
        <v>0</v>
      </c>
      <c r="NJ42" s="364">
        <f>NJ41</f>
        <v>0</v>
      </c>
      <c r="NK42" s="72">
        <f t="shared" si="188"/>
        <v>0</v>
      </c>
      <c r="NL42" s="364">
        <f>NL41</f>
        <v>0</v>
      </c>
      <c r="NM42" s="364">
        <f t="shared" si="188"/>
        <v>0</v>
      </c>
      <c r="NN42" s="364">
        <v>4935.829663017792</v>
      </c>
      <c r="NO42" s="364">
        <v>26196.69549600617</v>
      </c>
      <c r="NP42" s="364">
        <v>8756.5482322711578</v>
      </c>
      <c r="NQ42" s="364">
        <v>22657.57184473833</v>
      </c>
      <c r="NR42" s="364">
        <f>SUM(NN42:NQ42)</f>
        <v>62546.645236033452</v>
      </c>
      <c r="NS42" s="364">
        <f t="shared" ref="NS42:OI42" si="189">NS41</f>
        <v>0</v>
      </c>
      <c r="NT42" s="364">
        <f t="shared" si="189"/>
        <v>0</v>
      </c>
      <c r="NU42" s="364">
        <f t="shared" si="189"/>
        <v>0</v>
      </c>
      <c r="NV42" s="364">
        <f t="shared" si="189"/>
        <v>0</v>
      </c>
      <c r="NW42" s="364">
        <f>NW41</f>
        <v>0</v>
      </c>
      <c r="NX42" s="364">
        <f t="shared" si="189"/>
        <v>0</v>
      </c>
      <c r="NY42" s="364">
        <v>3845.8354220865081</v>
      </c>
      <c r="NZ42" s="364">
        <f t="shared" si="189"/>
        <v>0</v>
      </c>
      <c r="OA42" s="364">
        <v>12653.443286874537</v>
      </c>
      <c r="OB42" s="364">
        <f t="shared" si="189"/>
        <v>0</v>
      </c>
      <c r="OC42" s="364">
        <v>500.07153230369556</v>
      </c>
      <c r="OD42" s="364">
        <f t="shared" si="189"/>
        <v>0</v>
      </c>
      <c r="OE42" s="364">
        <f>SUM(NY42:OC42)</f>
        <v>16999.350241264743</v>
      </c>
      <c r="OF42" s="364">
        <v>0</v>
      </c>
      <c r="OG42" s="364">
        <f t="shared" si="189"/>
        <v>0</v>
      </c>
      <c r="OH42" s="364">
        <f t="shared" si="189"/>
        <v>0</v>
      </c>
      <c r="OI42" s="364">
        <f t="shared" si="189"/>
        <v>0</v>
      </c>
      <c r="OJ42" s="364">
        <v>0</v>
      </c>
      <c r="OK42" s="364">
        <f>OK41</f>
        <v>0</v>
      </c>
      <c r="OL42" s="364">
        <v>0</v>
      </c>
      <c r="OM42" s="364">
        <f t="shared" ref="OM42:OQ42" si="190">OM41</f>
        <v>0</v>
      </c>
      <c r="ON42" s="364">
        <v>16973.42621802651</v>
      </c>
      <c r="OO42" s="364">
        <f t="shared" si="190"/>
        <v>0</v>
      </c>
      <c r="OP42" s="364">
        <v>2082.7241098141276</v>
      </c>
      <c r="OQ42" s="364">
        <f t="shared" si="190"/>
        <v>0</v>
      </c>
      <c r="OR42" s="364">
        <f>SUM(ON42:OP42)</f>
        <v>19056.150327840638</v>
      </c>
      <c r="OS42" s="72">
        <f t="shared" ref="OS42:PL42" si="191">+OS41</f>
        <v>0</v>
      </c>
      <c r="OT42" s="72">
        <f t="shared" si="191"/>
        <v>0</v>
      </c>
      <c r="OU42" s="72">
        <f t="shared" si="191"/>
        <v>0</v>
      </c>
      <c r="OV42" s="72">
        <f t="shared" si="191"/>
        <v>0</v>
      </c>
      <c r="OW42" s="72">
        <f t="shared" si="191"/>
        <v>0</v>
      </c>
      <c r="OX42" s="72">
        <f t="shared" si="191"/>
        <v>0</v>
      </c>
      <c r="OY42" s="72">
        <f t="shared" si="191"/>
        <v>0</v>
      </c>
      <c r="OZ42" s="72">
        <f t="shared" si="191"/>
        <v>0</v>
      </c>
      <c r="PA42" s="72">
        <f t="shared" si="191"/>
        <v>0</v>
      </c>
      <c r="PB42" s="72">
        <f t="shared" si="191"/>
        <v>0</v>
      </c>
      <c r="PC42" s="72">
        <f t="shared" si="191"/>
        <v>0</v>
      </c>
      <c r="PD42" s="72">
        <f t="shared" si="191"/>
        <v>0</v>
      </c>
      <c r="PE42" s="72">
        <f t="shared" si="191"/>
        <v>0</v>
      </c>
      <c r="PF42" s="72">
        <f t="shared" si="191"/>
        <v>0</v>
      </c>
      <c r="PG42" s="72">
        <f t="shared" si="191"/>
        <v>0</v>
      </c>
      <c r="PH42" s="72">
        <f t="shared" si="191"/>
        <v>0</v>
      </c>
      <c r="PI42" s="72">
        <f t="shared" si="191"/>
        <v>11383.62</v>
      </c>
      <c r="PJ42" s="72">
        <f t="shared" si="191"/>
        <v>1215</v>
      </c>
      <c r="PK42" s="72">
        <f t="shared" si="191"/>
        <v>506.25</v>
      </c>
      <c r="PL42" s="72">
        <f t="shared" si="191"/>
        <v>89.9</v>
      </c>
      <c r="PM42" s="72">
        <v>6830.7384593441875</v>
      </c>
      <c r="PN42" s="72">
        <v>19927.176980961227</v>
      </c>
      <c r="PO42" s="72">
        <f>+PO41</f>
        <v>0</v>
      </c>
      <c r="PP42" s="72">
        <f>+PP41</f>
        <v>0</v>
      </c>
      <c r="PQ42" s="72">
        <f>+PQ41</f>
        <v>0</v>
      </c>
      <c r="PR42" s="72">
        <f>+PR41</f>
        <v>0</v>
      </c>
      <c r="PS42" s="72"/>
      <c r="PT42" s="72"/>
      <c r="PU42" s="72">
        <f>+PU41</f>
        <v>0</v>
      </c>
      <c r="PV42" s="72">
        <f>PV41</f>
        <v>1684.88</v>
      </c>
      <c r="PW42" s="72">
        <f>+PW41</f>
        <v>0</v>
      </c>
      <c r="PX42" s="72"/>
      <c r="PY42" s="72">
        <f>+PY41</f>
        <v>11383.62</v>
      </c>
      <c r="PZ42" s="72"/>
      <c r="QA42" s="72"/>
      <c r="QB42" s="72"/>
      <c r="QC42" s="72"/>
      <c r="QD42" s="72"/>
      <c r="QE42" s="364">
        <v>29562.488999999998</v>
      </c>
      <c r="QF42" s="364">
        <v>387163.49576156994</v>
      </c>
      <c r="QG42" s="876">
        <v>1640.9422259999999</v>
      </c>
      <c r="QH42" s="876">
        <f>QH41</f>
        <v>5505.3678056099998</v>
      </c>
      <c r="RW42" s="72"/>
    </row>
    <row r="43" spans="1:500" s="311" customFormat="1">
      <c r="A43" s="312" t="s">
        <v>12</v>
      </c>
      <c r="B43" s="312"/>
      <c r="C43" s="337">
        <f>SUM(O43,S43,W43)</f>
        <v>4205000</v>
      </c>
      <c r="D43" s="337">
        <f>SUM(P43,T43,X43)</f>
        <v>265000</v>
      </c>
      <c r="E43" s="1744">
        <f>IFERROR(C43/D43,0)</f>
        <v>15.867924528301886</v>
      </c>
      <c r="F43" s="309"/>
      <c r="G43" s="309"/>
      <c r="H43" s="308"/>
      <c r="I43" s="308"/>
      <c r="J43" s="308"/>
      <c r="K43" s="308"/>
      <c r="L43" s="308"/>
      <c r="M43" s="308"/>
      <c r="N43" s="308"/>
      <c r="O43" s="337">
        <f>SUM(AQ43,AW43,BC43)</f>
        <v>2405000</v>
      </c>
      <c r="P43" s="337">
        <f>SUM(AR43,AX43,BD43)</f>
        <v>150000</v>
      </c>
      <c r="Q43" s="1084">
        <f t="shared" si="9"/>
        <v>16.033333333333335</v>
      </c>
      <c r="R43" s="308"/>
      <c r="S43" s="1085">
        <f t="shared" si="10"/>
        <v>950000</v>
      </c>
      <c r="T43" s="1085">
        <f>SUM(BG43,BJ43,BM43,BY43)</f>
        <v>45000</v>
      </c>
      <c r="U43" s="1083">
        <f t="shared" si="12"/>
        <v>21.111111111111111</v>
      </c>
      <c r="V43" s="308"/>
      <c r="W43" s="337">
        <f>SUM(BR43,BU43,CD43)</f>
        <v>850000</v>
      </c>
      <c r="X43" s="337">
        <f>BV43</f>
        <v>70000</v>
      </c>
      <c r="Y43" s="1084">
        <f t="shared" si="14"/>
        <v>12.142857142857142</v>
      </c>
      <c r="Z43" s="308"/>
      <c r="AA43" s="337"/>
      <c r="AB43" s="1085">
        <f>BS43</f>
        <v>0</v>
      </c>
      <c r="AC43" s="1084">
        <f>AC42</f>
        <v>0</v>
      </c>
      <c r="AD43" s="337"/>
      <c r="AE43" s="308"/>
      <c r="AF43" s="308"/>
      <c r="AG43" s="309"/>
      <c r="AH43" s="308"/>
      <c r="AI43" s="308">
        <f>BR43</f>
        <v>0</v>
      </c>
      <c r="AJ43" s="308">
        <f>BS43</f>
        <v>0</v>
      </c>
      <c r="AK43" s="309">
        <f t="shared" si="19"/>
        <v>0</v>
      </c>
      <c r="AL43" s="308"/>
      <c r="AM43" s="308"/>
      <c r="AN43" s="308"/>
      <c r="AO43" s="308"/>
      <c r="AP43" s="308">
        <f>IFERROR(AN43/AO43,0)</f>
        <v>0</v>
      </c>
      <c r="AQ43" s="337"/>
      <c r="AR43" s="337"/>
      <c r="AS43" s="309"/>
      <c r="AT43" s="337"/>
      <c r="AU43" s="337"/>
      <c r="AV43" s="309"/>
      <c r="AW43" s="337">
        <v>1400000</v>
      </c>
      <c r="AX43" s="337">
        <v>80000</v>
      </c>
      <c r="AY43" s="1084">
        <f>IFERROR(AW43/AX43,0)</f>
        <v>17.5</v>
      </c>
      <c r="AZ43" s="337"/>
      <c r="BA43" s="337"/>
      <c r="BB43" s="1084"/>
      <c r="BC43" s="337">
        <v>1005000</v>
      </c>
      <c r="BD43" s="337">
        <v>70000</v>
      </c>
      <c r="BE43" s="1084">
        <f>IFERROR(BC43/BD43,0)</f>
        <v>14.357142857142858</v>
      </c>
      <c r="BF43" s="337"/>
      <c r="BG43" s="337"/>
      <c r="BH43" s="309"/>
      <c r="BI43" s="337"/>
      <c r="BJ43" s="308">
        <v>0</v>
      </c>
      <c r="BK43" s="309">
        <f>IFERROR(BI43/BJ43,0)</f>
        <v>0</v>
      </c>
      <c r="BL43" s="337">
        <v>950000</v>
      </c>
      <c r="BM43" s="337">
        <v>45000</v>
      </c>
      <c r="BN43" s="1084">
        <f>IFERROR(BL43/BM43,0)</f>
        <v>21.111111111111111</v>
      </c>
      <c r="BO43" s="309">
        <v>0</v>
      </c>
      <c r="BP43" s="337">
        <v>0</v>
      </c>
      <c r="BQ43" s="309">
        <f>IFERROR(BP43/#REF!,0)</f>
        <v>0</v>
      </c>
      <c r="BR43" s="337"/>
      <c r="BS43" s="337"/>
      <c r="BT43" s="309">
        <f>IFERROR(BR43/BS43,0)</f>
        <v>0</v>
      </c>
      <c r="BU43" s="337">
        <v>850000</v>
      </c>
      <c r="BV43" s="337">
        <v>70000</v>
      </c>
      <c r="BW43" s="1084">
        <f>IFERROR(BU43/BV43,0)</f>
        <v>12.142857142857142</v>
      </c>
      <c r="BX43" s="337"/>
      <c r="BY43" s="337"/>
      <c r="BZ43" s="1083">
        <f t="shared" si="32"/>
        <v>0</v>
      </c>
      <c r="CA43" s="337"/>
      <c r="CB43" s="337"/>
      <c r="CC43" s="78">
        <f t="shared" si="33"/>
        <v>0</v>
      </c>
      <c r="CD43" s="337"/>
      <c r="CE43" s="308"/>
      <c r="CF43" s="309">
        <f>IFERROR(CD43/CE43,0)</f>
        <v>0</v>
      </c>
      <c r="CG43" s="308"/>
      <c r="CH43" s="337">
        <v>163122.30489999999</v>
      </c>
      <c r="CI43" s="337">
        <v>150000</v>
      </c>
      <c r="CJ43" s="308"/>
      <c r="CK43" s="337">
        <v>693105.08990000002</v>
      </c>
      <c r="CL43" s="337"/>
      <c r="CM43" s="337">
        <f>SUM(CH43:CK43)</f>
        <v>1006227.3948</v>
      </c>
      <c r="CN43" s="308"/>
      <c r="CO43" s="308"/>
      <c r="CP43" s="308"/>
      <c r="CQ43" s="308"/>
      <c r="CR43" s="308"/>
      <c r="CS43" s="308"/>
      <c r="CT43" s="308"/>
      <c r="CU43" s="308"/>
      <c r="CV43" s="308"/>
      <c r="CW43" s="308"/>
      <c r="CX43" s="308"/>
      <c r="CY43" s="308"/>
      <c r="CZ43" s="308"/>
      <c r="DA43" s="308"/>
      <c r="DB43" s="308"/>
      <c r="DC43" s="308"/>
      <c r="DD43" s="308"/>
      <c r="DE43" s="308"/>
      <c r="DF43" s="308"/>
      <c r="DG43" s="308"/>
      <c r="DH43" s="308"/>
      <c r="DI43" s="308"/>
      <c r="DJ43" s="308"/>
      <c r="DK43" s="308"/>
      <c r="DL43" s="308"/>
      <c r="DM43" s="308"/>
      <c r="DN43" s="308"/>
      <c r="DO43" s="308"/>
      <c r="DP43" s="308"/>
      <c r="DQ43" s="308"/>
      <c r="DR43" s="308"/>
      <c r="DS43" s="308"/>
      <c r="DT43" s="308"/>
      <c r="DU43" s="308"/>
      <c r="DV43" s="308"/>
      <c r="DW43" s="308"/>
      <c r="DX43" s="308"/>
      <c r="DY43" s="308"/>
      <c r="DZ43" s="308"/>
      <c r="EA43" s="308"/>
      <c r="EB43" s="308"/>
      <c r="EC43" s="308"/>
      <c r="ED43" s="308"/>
      <c r="EE43" s="308"/>
      <c r="EF43" s="308"/>
      <c r="EG43" s="308"/>
      <c r="EH43" s="308"/>
      <c r="EI43" s="308"/>
      <c r="EJ43" s="308"/>
      <c r="EK43" s="308"/>
      <c r="EL43" s="308"/>
      <c r="EM43" s="308"/>
      <c r="EN43" s="308"/>
      <c r="EO43" s="308"/>
      <c r="EP43" s="308"/>
      <c r="EQ43" s="308"/>
      <c r="ER43" s="308"/>
      <c r="ES43" s="308"/>
      <c r="ET43" s="308"/>
      <c r="EU43" s="308"/>
      <c r="EV43" s="308"/>
      <c r="EW43" s="308"/>
      <c r="EX43" s="308"/>
      <c r="EY43" s="308"/>
      <c r="EZ43" s="308"/>
      <c r="FA43" s="308"/>
      <c r="FB43" s="308"/>
      <c r="FC43" s="308"/>
      <c r="FD43" s="308"/>
      <c r="FE43" s="308"/>
      <c r="FF43" s="308"/>
      <c r="FG43" s="308"/>
      <c r="FH43" s="308"/>
      <c r="FI43" s="308"/>
      <c r="FJ43" s="308"/>
      <c r="FK43" s="308"/>
      <c r="FL43" s="308"/>
      <c r="FM43" s="308"/>
      <c r="FN43" s="308"/>
      <c r="FO43" s="308"/>
      <c r="FP43" s="308"/>
      <c r="FQ43" s="308"/>
      <c r="FR43" s="308"/>
      <c r="FS43" s="308"/>
      <c r="FT43" s="308"/>
      <c r="FU43" s="308"/>
      <c r="FV43" s="308"/>
      <c r="FW43" s="308"/>
      <c r="FX43" s="308"/>
      <c r="FY43" s="308"/>
      <c r="FZ43" s="308"/>
      <c r="GA43" s="308"/>
      <c r="GB43" s="308"/>
      <c r="GC43" s="308"/>
      <c r="GD43" s="308"/>
      <c r="GE43" s="308"/>
      <c r="GF43" s="308"/>
      <c r="GG43" s="308"/>
      <c r="GH43" s="308"/>
      <c r="GI43" s="308"/>
      <c r="GJ43" s="337">
        <v>44290.858719186785</v>
      </c>
      <c r="GK43" s="337">
        <v>61247.770072552768</v>
      </c>
      <c r="GL43" s="337">
        <v>114461.37120826045</v>
      </c>
      <c r="GM43" s="337">
        <f>GK43+GL43+GJ43</f>
        <v>220000</v>
      </c>
      <c r="GN43" s="308">
        <v>0</v>
      </c>
      <c r="GO43" s="308">
        <v>0</v>
      </c>
      <c r="GP43" s="308"/>
      <c r="GQ43" s="308"/>
      <c r="GR43" s="308"/>
      <c r="GS43" s="308"/>
      <c r="GT43" s="308"/>
      <c r="GU43" s="308"/>
      <c r="GV43" s="308">
        <f>SUM(GR43:GT43)</f>
        <v>0</v>
      </c>
      <c r="GW43" s="308"/>
      <c r="GX43" s="308"/>
      <c r="GY43" s="308"/>
      <c r="GZ43" s="308"/>
      <c r="HA43" s="308"/>
      <c r="HB43" s="308"/>
      <c r="HC43" s="308"/>
      <c r="HD43" s="308"/>
      <c r="HE43" s="308"/>
      <c r="HF43" s="308"/>
      <c r="HG43" s="308"/>
      <c r="HH43" s="308"/>
      <c r="HI43" s="308"/>
      <c r="HJ43" s="308"/>
      <c r="HK43" s="308"/>
      <c r="HL43" s="308"/>
      <c r="HM43" s="308"/>
      <c r="HN43" s="308"/>
      <c r="HO43" s="308"/>
      <c r="HP43" s="308"/>
      <c r="HQ43" s="308"/>
      <c r="HR43" s="308"/>
      <c r="HS43" s="308"/>
      <c r="HT43" s="308"/>
      <c r="HU43" s="308"/>
      <c r="HV43" s="308"/>
      <c r="HW43" s="308"/>
      <c r="HX43" s="308"/>
      <c r="HY43" s="308"/>
      <c r="HZ43" s="308"/>
      <c r="IA43" s="308"/>
      <c r="IB43" s="308"/>
      <c r="IC43" s="308"/>
      <c r="ID43" s="308"/>
      <c r="IE43" s="308"/>
      <c r="IF43" s="308"/>
      <c r="IG43" s="308"/>
      <c r="IH43" s="308"/>
      <c r="II43" s="308"/>
      <c r="IJ43" s="308"/>
      <c r="IK43" s="308"/>
      <c r="IL43" s="308"/>
      <c r="IM43" s="308"/>
      <c r="IN43" s="308"/>
      <c r="IO43" s="308"/>
      <c r="IP43" s="478">
        <f>SUM(IB43:IO43)</f>
        <v>0</v>
      </c>
      <c r="IQ43" s="308"/>
      <c r="IR43" s="308"/>
      <c r="IS43" s="308"/>
      <c r="IT43" s="308"/>
      <c r="IU43" s="308"/>
      <c r="IV43" s="308"/>
      <c r="IW43" s="308"/>
      <c r="IX43" s="308"/>
      <c r="IY43" s="308"/>
      <c r="IZ43" s="308"/>
      <c r="JA43" s="308"/>
      <c r="JB43" s="308"/>
      <c r="JC43" s="308"/>
      <c r="JD43" s="308"/>
      <c r="JE43" s="308">
        <f>SUM(IQ43:JD43)</f>
        <v>0</v>
      </c>
      <c r="JF43" s="308"/>
      <c r="JG43" s="308"/>
      <c r="JH43" s="337">
        <v>155000</v>
      </c>
      <c r="JI43" s="337">
        <v>65000</v>
      </c>
      <c r="JJ43" s="337"/>
      <c r="JK43" s="337">
        <f>SUM(JH43:JJ43)</f>
        <v>220000</v>
      </c>
      <c r="JL43" s="308"/>
      <c r="JM43" s="308"/>
      <c r="JN43" s="309"/>
      <c r="JO43" s="309"/>
      <c r="JP43" s="309"/>
      <c r="JQ43" s="309"/>
      <c r="JR43" s="309"/>
      <c r="JS43" s="309"/>
      <c r="JT43" s="309"/>
      <c r="JU43" s="309"/>
      <c r="JV43" s="309"/>
      <c r="JW43" s="309"/>
      <c r="JX43" s="309"/>
      <c r="JY43" s="309"/>
      <c r="JZ43" s="309"/>
      <c r="KA43" s="309"/>
      <c r="KB43" s="309"/>
      <c r="KC43" s="309"/>
      <c r="KD43" s="309">
        <v>0</v>
      </c>
      <c r="KE43" s="309">
        <v>0</v>
      </c>
      <c r="KF43" s="309">
        <v>0</v>
      </c>
      <c r="KG43" s="309">
        <v>0</v>
      </c>
      <c r="KH43" s="309">
        <v>0</v>
      </c>
      <c r="KI43" s="309">
        <v>0</v>
      </c>
      <c r="KJ43" s="309">
        <v>0</v>
      </c>
      <c r="KK43" s="309">
        <v>0</v>
      </c>
      <c r="KL43" s="308"/>
      <c r="KM43" s="308"/>
      <c r="KN43" s="337">
        <v>6891</v>
      </c>
      <c r="KO43" s="1084">
        <v>0.68</v>
      </c>
      <c r="KP43" s="1084">
        <v>5.83</v>
      </c>
      <c r="KQ43" s="1084">
        <v>6.43</v>
      </c>
      <c r="KR43" s="1084">
        <v>11.28</v>
      </c>
      <c r="KS43" s="337">
        <v>6847</v>
      </c>
      <c r="KT43" s="1084">
        <v>1.56</v>
      </c>
      <c r="KU43" s="1084">
        <v>5.4</v>
      </c>
      <c r="KV43" s="1084">
        <v>6.37</v>
      </c>
      <c r="KW43" s="1084">
        <v>11.06</v>
      </c>
      <c r="KX43" s="308"/>
      <c r="KY43" s="309"/>
      <c r="KZ43" s="309"/>
      <c r="LA43" s="309"/>
      <c r="LB43" s="309"/>
      <c r="LC43" s="308">
        <v>13.25</v>
      </c>
      <c r="LD43" s="308"/>
      <c r="LE43" s="308"/>
      <c r="LF43" s="337">
        <v>155000</v>
      </c>
      <c r="LG43" s="337">
        <v>65000</v>
      </c>
      <c r="LH43" s="337"/>
      <c r="LI43" s="337">
        <f>SUM(LF43:LH43)</f>
        <v>220000</v>
      </c>
      <c r="LJ43" s="308"/>
      <c r="LK43" s="308"/>
      <c r="LL43" s="308"/>
      <c r="LM43" s="308"/>
      <c r="LN43" s="308"/>
      <c r="LO43" s="308"/>
      <c r="LP43" s="308"/>
      <c r="LQ43" s="308"/>
      <c r="LR43" s="308"/>
      <c r="LS43" s="308"/>
      <c r="LT43" s="308"/>
      <c r="LU43" s="308"/>
      <c r="LV43" s="308"/>
      <c r="LW43" s="308"/>
      <c r="LX43" s="308"/>
      <c r="LY43" s="308"/>
      <c r="LZ43" s="308"/>
      <c r="MA43" s="308"/>
      <c r="MB43" s="308"/>
      <c r="MC43" s="308"/>
      <c r="MD43" s="308"/>
      <c r="MF43" s="308"/>
      <c r="MG43" s="308"/>
      <c r="MH43" s="308"/>
      <c r="MI43" s="308"/>
      <c r="MJ43" s="308"/>
      <c r="MK43" s="308"/>
      <c r="ML43" s="308"/>
      <c r="MM43" s="308"/>
      <c r="MN43" s="308"/>
      <c r="MO43" s="308"/>
      <c r="MP43" s="308"/>
      <c r="MQ43" s="308"/>
      <c r="MR43" s="308"/>
      <c r="MS43" s="308"/>
      <c r="MT43" s="308"/>
      <c r="MU43" s="308"/>
      <c r="MV43" s="308"/>
      <c r="MW43" s="308"/>
      <c r="MX43" s="308"/>
      <c r="MY43" s="308"/>
      <c r="MZ43" s="308"/>
      <c r="NA43" s="308"/>
      <c r="NB43" s="308"/>
      <c r="NC43" s="308"/>
      <c r="ND43" s="308"/>
      <c r="NE43" s="308"/>
      <c r="NF43" s="308"/>
      <c r="NG43" s="308"/>
      <c r="NH43" s="308"/>
      <c r="NI43" s="308"/>
      <c r="NJ43" s="308"/>
      <c r="NK43" s="308"/>
      <c r="NL43" s="308"/>
      <c r="NM43" s="308"/>
      <c r="NN43" s="308"/>
      <c r="NO43" s="308"/>
      <c r="NP43" s="308"/>
      <c r="NQ43" s="308"/>
      <c r="NR43" s="308"/>
      <c r="NS43" s="308"/>
      <c r="NT43" s="308"/>
      <c r="NU43" s="308"/>
      <c r="NV43" s="308"/>
      <c r="NW43" s="308"/>
      <c r="NX43" s="308"/>
      <c r="NY43" s="308"/>
      <c r="NZ43" s="308"/>
      <c r="OA43" s="308"/>
      <c r="OB43" s="308"/>
      <c r="OC43" s="308"/>
      <c r="OD43" s="308"/>
      <c r="OE43" s="308"/>
      <c r="OF43" s="308"/>
      <c r="OG43" s="308"/>
      <c r="OH43" s="308"/>
      <c r="OI43" s="308"/>
      <c r="OJ43" s="308"/>
      <c r="OK43" s="308"/>
      <c r="OL43" s="308"/>
      <c r="OM43" s="308"/>
      <c r="ON43" s="308"/>
      <c r="OO43" s="308"/>
      <c r="OP43" s="308"/>
      <c r="OQ43" s="308"/>
      <c r="OR43" s="308"/>
      <c r="OS43" s="308"/>
      <c r="OT43" s="308"/>
      <c r="OU43" s="308"/>
      <c r="OV43" s="308"/>
      <c r="OW43" s="308"/>
      <c r="OX43" s="308"/>
      <c r="OY43" s="308"/>
      <c r="OZ43" s="308"/>
      <c r="PA43" s="308"/>
      <c r="PB43" s="308"/>
      <c r="PC43" s="308"/>
      <c r="PD43" s="308"/>
      <c r="PE43" s="308"/>
      <c r="PF43" s="308"/>
      <c r="PG43" s="308"/>
      <c r="PH43" s="308"/>
      <c r="PI43" s="308"/>
      <c r="PJ43" s="308"/>
      <c r="PK43" s="308"/>
      <c r="PL43" s="308"/>
      <c r="PM43" s="308"/>
      <c r="PN43" s="308"/>
      <c r="PO43" s="308"/>
      <c r="PP43" s="308"/>
      <c r="PQ43" s="308"/>
      <c r="PR43" s="308"/>
      <c r="PS43" s="308"/>
      <c r="PT43" s="308"/>
      <c r="PU43" s="308"/>
      <c r="PV43" s="308"/>
      <c r="PW43" s="308"/>
      <c r="PX43" s="308"/>
      <c r="PY43" s="308"/>
      <c r="PZ43" s="308"/>
      <c r="QA43" s="308"/>
      <c r="QB43" s="308"/>
      <c r="QC43" s="308"/>
      <c r="QD43" s="308"/>
      <c r="QE43" s="308"/>
      <c r="RW43" s="1073"/>
    </row>
    <row r="44" spans="1:500">
      <c r="A44" t="s">
        <v>208</v>
      </c>
      <c r="C44" s="38">
        <f>IFERROR(C42/C43,"")</f>
        <v>0.98200905567181918</v>
      </c>
      <c r="D44" s="38">
        <f>IFERROR(D42/D43,"")</f>
        <v>0.98884538710424386</v>
      </c>
      <c r="E44" s="38">
        <f>IFERROR(E42/E43,"")</f>
        <v>0.99308655172833005</v>
      </c>
      <c r="F44" s="38"/>
      <c r="G44" s="38"/>
      <c r="H44" s="38"/>
      <c r="I44" s="38"/>
      <c r="J44" s="38" t="str">
        <f t="shared" ref="J44:T44" si="192">IFERROR(J42/J43,"")</f>
        <v/>
      </c>
      <c r="K44" s="38" t="str">
        <f t="shared" si="192"/>
        <v/>
      </c>
      <c r="L44" s="38" t="str">
        <f t="shared" si="192"/>
        <v/>
      </c>
      <c r="M44" s="38" t="str">
        <f t="shared" si="192"/>
        <v/>
      </c>
      <c r="N44" s="38" t="str">
        <f t="shared" si="192"/>
        <v/>
      </c>
      <c r="O44" s="38">
        <f t="shared" si="192"/>
        <v>1.054061509064449</v>
      </c>
      <c r="P44" s="38">
        <f t="shared" si="192"/>
        <v>1.0551542666666667</v>
      </c>
      <c r="Q44" s="38">
        <f t="shared" si="192"/>
        <v>0.9989643622390213</v>
      </c>
      <c r="R44" s="38" t="str">
        <f t="shared" si="192"/>
        <v/>
      </c>
      <c r="S44" s="1082">
        <f t="shared" si="192"/>
        <v>0.88559298599999992</v>
      </c>
      <c r="T44" s="38">
        <f t="shared" si="192"/>
        <v>0.85791404946666672</v>
      </c>
      <c r="U44" s="1081">
        <f t="shared" si="12"/>
        <v>1.0322630647563589</v>
      </c>
      <c r="V44" s="38" t="str">
        <f t="shared" ref="V44:AA44" si="193">IFERROR(V42/V43,"")</f>
        <v/>
      </c>
      <c r="W44" s="38">
        <f t="shared" si="193"/>
        <v>0.88590213305882359</v>
      </c>
      <c r="X44" s="38">
        <f t="shared" si="193"/>
        <v>0.93092507652320888</v>
      </c>
      <c r="Y44" s="38">
        <f t="shared" si="193"/>
        <v>0.95163634045337397</v>
      </c>
      <c r="Z44" s="38" t="str">
        <f t="shared" si="193"/>
        <v/>
      </c>
      <c r="AA44" s="38" t="str">
        <f t="shared" si="193"/>
        <v/>
      </c>
      <c r="AB44" s="72" t="str">
        <f>BP44</f>
        <v/>
      </c>
      <c r="AC44" s="38" t="str">
        <f>IFERROR(AC42/AC43,"")</f>
        <v/>
      </c>
      <c r="AD44" s="38"/>
      <c r="AE44" s="38" t="str">
        <f t="shared" ref="AE44:AX44" si="194">IFERROR(AE42/AE43,"")</f>
        <v/>
      </c>
      <c r="AF44" s="38" t="str">
        <f t="shared" si="194"/>
        <v/>
      </c>
      <c r="AG44" s="38" t="str">
        <f t="shared" si="194"/>
        <v/>
      </c>
      <c r="AH44" s="38" t="str">
        <f t="shared" si="194"/>
        <v/>
      </c>
      <c r="AI44" s="38" t="str">
        <f t="shared" si="194"/>
        <v/>
      </c>
      <c r="AJ44" s="38" t="str">
        <f t="shared" si="194"/>
        <v/>
      </c>
      <c r="AK44" s="38" t="str">
        <f t="shared" si="194"/>
        <v/>
      </c>
      <c r="AL44" s="38" t="str">
        <f t="shared" si="194"/>
        <v/>
      </c>
      <c r="AM44" s="38" t="str">
        <f t="shared" si="194"/>
        <v/>
      </c>
      <c r="AN44" s="38" t="str">
        <f t="shared" si="194"/>
        <v/>
      </c>
      <c r="AO44" s="38" t="str">
        <f t="shared" si="194"/>
        <v/>
      </c>
      <c r="AP44" s="38" t="str">
        <f t="shared" si="194"/>
        <v/>
      </c>
      <c r="AQ44" s="38" t="str">
        <f t="shared" si="194"/>
        <v/>
      </c>
      <c r="AR44" s="38" t="str">
        <f t="shared" si="194"/>
        <v/>
      </c>
      <c r="AS44" s="38" t="str">
        <f t="shared" si="194"/>
        <v/>
      </c>
      <c r="AT44" s="38" t="str">
        <f t="shared" si="194"/>
        <v/>
      </c>
      <c r="AU44" s="38" t="str">
        <f t="shared" si="194"/>
        <v/>
      </c>
      <c r="AV44" s="38" t="str">
        <f t="shared" si="194"/>
        <v/>
      </c>
      <c r="AW44" s="38">
        <f t="shared" si="194"/>
        <v>1.103022997214286</v>
      </c>
      <c r="AX44" s="38">
        <f t="shared" si="194"/>
        <v>1.4802678749999996</v>
      </c>
      <c r="AY44" s="38">
        <f t="shared" ref="AY44:BN44" si="195">IFERROR(AY42/AY43,"")</f>
        <v>0.72384562731352176</v>
      </c>
      <c r="AZ44" s="38" t="str">
        <f t="shared" si="195"/>
        <v/>
      </c>
      <c r="BA44" s="38" t="str">
        <f t="shared" si="195"/>
        <v/>
      </c>
      <c r="BB44" s="38" t="str">
        <f t="shared" si="195"/>
        <v/>
      </c>
      <c r="BC44" s="38">
        <f t="shared" si="195"/>
        <v>0.98585645094527352</v>
      </c>
      <c r="BD44" s="38">
        <f t="shared" si="195"/>
        <v>0.56931014285714288</v>
      </c>
      <c r="BE44" s="38">
        <f t="shared" si="195"/>
        <v>1.8208473512683627</v>
      </c>
      <c r="BF44" s="38" t="str">
        <f t="shared" si="195"/>
        <v/>
      </c>
      <c r="BG44" s="38" t="str">
        <f t="shared" si="195"/>
        <v/>
      </c>
      <c r="BH44" s="38" t="str">
        <f t="shared" si="195"/>
        <v/>
      </c>
      <c r="BI44" s="38" t="str">
        <f t="shared" si="195"/>
        <v/>
      </c>
      <c r="BJ44" s="38" t="str">
        <f t="shared" si="195"/>
        <v/>
      </c>
      <c r="BK44" s="38" t="str">
        <f t="shared" si="195"/>
        <v/>
      </c>
      <c r="BL44" s="38">
        <f t="shared" si="195"/>
        <v>0.88559298599999992</v>
      </c>
      <c r="BM44" s="38">
        <f t="shared" si="195"/>
        <v>0.85791404946666672</v>
      </c>
      <c r="BN44" s="38">
        <f t="shared" si="195"/>
        <v>1.0583648818623259</v>
      </c>
      <c r="BO44" s="38" t="str">
        <f>IFERROR(BO42/BP43,"")</f>
        <v/>
      </c>
      <c r="BP44" s="38" t="str">
        <f>IFERROR(BP42/#REF!,"")</f>
        <v/>
      </c>
      <c r="BQ44" s="38" t="str">
        <f t="shared" ref="BQ44:CQ44" si="196">IFERROR(BQ42/BQ43,"")</f>
        <v/>
      </c>
      <c r="BR44" s="38" t="str">
        <f t="shared" si="196"/>
        <v/>
      </c>
      <c r="BS44" s="38" t="str">
        <f t="shared" si="196"/>
        <v/>
      </c>
      <c r="BT44" s="38" t="str">
        <f t="shared" si="196"/>
        <v/>
      </c>
      <c r="BU44" s="38">
        <f t="shared" si="196"/>
        <v>0.88590213305882359</v>
      </c>
      <c r="BV44" s="38">
        <f t="shared" si="196"/>
        <v>0.93092507652320888</v>
      </c>
      <c r="BW44" s="38">
        <f t="shared" si="196"/>
        <v>1.0954170042672717</v>
      </c>
      <c r="BX44" s="38" t="str">
        <f t="shared" si="196"/>
        <v/>
      </c>
      <c r="BY44" s="38" t="str">
        <f t="shared" si="196"/>
        <v/>
      </c>
      <c r="BZ44" s="38" t="str">
        <f t="shared" si="196"/>
        <v/>
      </c>
      <c r="CA44" s="38" t="str">
        <f t="shared" si="196"/>
        <v/>
      </c>
      <c r="CB44" s="38" t="str">
        <f t="shared" si="196"/>
        <v/>
      </c>
      <c r="CC44" s="38" t="str">
        <f t="shared" si="196"/>
        <v/>
      </c>
      <c r="CD44" s="38" t="str">
        <f t="shared" si="196"/>
        <v/>
      </c>
      <c r="CE44" s="38" t="str">
        <f t="shared" si="196"/>
        <v/>
      </c>
      <c r="CF44" s="38" t="str">
        <f t="shared" si="196"/>
        <v/>
      </c>
      <c r="CG44" s="38" t="str">
        <f t="shared" si="196"/>
        <v/>
      </c>
      <c r="CH44" s="38">
        <f t="shared" si="196"/>
        <v>0</v>
      </c>
      <c r="CI44" s="38">
        <f t="shared" si="196"/>
        <v>2.4356916666666666E-2</v>
      </c>
      <c r="CJ44" s="38" t="str">
        <f t="shared" si="196"/>
        <v/>
      </c>
      <c r="CK44" s="38">
        <f t="shared" si="196"/>
        <v>0.22616015577466902</v>
      </c>
      <c r="CL44" s="38" t="str">
        <f t="shared" si="196"/>
        <v/>
      </c>
      <c r="CM44" s="38">
        <f t="shared" si="196"/>
        <v>0.15578263512807311</v>
      </c>
      <c r="CN44" s="38" t="str">
        <f t="shared" si="196"/>
        <v/>
      </c>
      <c r="CO44" s="38" t="str">
        <f t="shared" si="196"/>
        <v/>
      </c>
      <c r="CP44" s="38" t="str">
        <f t="shared" si="196"/>
        <v/>
      </c>
      <c r="CQ44" s="38" t="str">
        <f t="shared" si="196"/>
        <v/>
      </c>
      <c r="CR44" s="38"/>
      <c r="CS44" s="38" t="str">
        <f>IFERROR(CS42/CS43,"")</f>
        <v/>
      </c>
      <c r="CT44" s="38"/>
      <c r="CU44" s="38" t="str">
        <f>IFERROR(CU42/CU43,"")</f>
        <v/>
      </c>
      <c r="CV44" s="38"/>
      <c r="CW44" s="38" t="str">
        <f>IFERROR(CW42/CW43,"")</f>
        <v/>
      </c>
      <c r="CX44" s="38"/>
      <c r="CY44" s="38" t="str">
        <f>IFERROR(CY42/CY43,"")</f>
        <v/>
      </c>
      <c r="CZ44" s="38"/>
      <c r="DA44" s="38" t="str">
        <f>IFERROR(DA42/DA43,"")</f>
        <v/>
      </c>
      <c r="DB44" s="38"/>
      <c r="DC44" s="38" t="str">
        <f>IFERROR(DC42/DC43,"")</f>
        <v/>
      </c>
      <c r="DD44" s="38" t="str">
        <f>IFERROR(DD42/DD43,"")</f>
        <v/>
      </c>
      <c r="DE44" s="38" t="str">
        <f>IFERROR(DE42/DE43,"")</f>
        <v/>
      </c>
      <c r="DF44" s="38"/>
      <c r="DG44" s="38" t="str">
        <f>IFERROR(DG42/DG43,"")</f>
        <v/>
      </c>
      <c r="DH44" s="38"/>
      <c r="DI44" s="38" t="str">
        <f>IFERROR(DI42/DI43,"")</f>
        <v/>
      </c>
      <c r="DJ44" s="38"/>
      <c r="DK44" s="38" t="str">
        <f>IFERROR(DK42/DK43,"")</f>
        <v/>
      </c>
      <c r="DL44" s="38"/>
      <c r="DM44" s="38" t="str">
        <f>IFERROR(DM42/DM43,"")</f>
        <v/>
      </c>
      <c r="DN44" s="38"/>
      <c r="DO44" s="38" t="str">
        <f>IFERROR(DO42/DO43,"")</f>
        <v/>
      </c>
      <c r="DP44" s="38"/>
      <c r="DQ44" s="38" t="str">
        <f>IFERROR(DQ42/DQ43,"")</f>
        <v/>
      </c>
      <c r="DR44" s="38" t="str">
        <f>IFERROR(DR42/DR43,"")</f>
        <v/>
      </c>
      <c r="DS44" s="38"/>
      <c r="DT44" s="38" t="str">
        <f>IFERROR(DT42/DT43,"")</f>
        <v/>
      </c>
      <c r="DU44" s="38"/>
      <c r="DV44" s="38" t="str">
        <f>IFERROR(DV42/DV43,"")</f>
        <v/>
      </c>
      <c r="DW44" s="38"/>
      <c r="DX44" s="38" t="str">
        <f>IFERROR(DX42/DX43,"")</f>
        <v/>
      </c>
      <c r="DY44" s="38"/>
      <c r="DZ44" s="38" t="str">
        <f>IFERROR(DZ42/DZ43,"")</f>
        <v/>
      </c>
      <c r="EA44" s="38"/>
      <c r="EB44" s="38" t="str">
        <f>IFERROR(EB42/EB43,"")</f>
        <v/>
      </c>
      <c r="EC44" s="38"/>
      <c r="ED44" s="38" t="str">
        <f>IFERROR(ED42/ED43,"")</f>
        <v/>
      </c>
      <c r="EE44" s="38" t="str">
        <f>IFERROR(EE42/EE43,"")</f>
        <v/>
      </c>
      <c r="EF44" s="38"/>
      <c r="EG44" s="38"/>
      <c r="EH44" s="38"/>
      <c r="EI44" s="38" t="str">
        <f>IFERROR(EI42/EI43,"")</f>
        <v/>
      </c>
      <c r="EJ44" s="38"/>
      <c r="EK44" s="38" t="str">
        <f>IFERROR(EK42/EK43,"")</f>
        <v/>
      </c>
      <c r="EL44" s="38"/>
      <c r="EM44" s="38" t="str">
        <f>IFERROR(EM42/EM43,"")</f>
        <v/>
      </c>
      <c r="EN44" s="38"/>
      <c r="EO44" s="38" t="str">
        <f>IFERROR(EO42/EO43,"")</f>
        <v/>
      </c>
      <c r="EP44" s="38"/>
      <c r="EQ44" s="38" t="str">
        <f>IFERROR(EQ42/EQ43,"")</f>
        <v/>
      </c>
      <c r="ER44" s="38" t="str">
        <f>IFERROR(ER42/ER43,"")</f>
        <v/>
      </c>
      <c r="ES44" s="38" t="str">
        <f>IFERROR(ES42/ES43,"")</f>
        <v/>
      </c>
      <c r="ET44" s="38" t="str">
        <f>IFERROR(ET42/ET43,"")</f>
        <v/>
      </c>
      <c r="EU44" s="38" t="str">
        <f t="shared" ref="EU44:FU44" si="197">IFERROR(EU42/EU43,"")</f>
        <v/>
      </c>
      <c r="EV44" s="38" t="str">
        <f t="shared" si="197"/>
        <v/>
      </c>
      <c r="EW44" s="38" t="str">
        <f t="shared" si="197"/>
        <v/>
      </c>
      <c r="EX44" s="38" t="str">
        <f t="shared" si="197"/>
        <v/>
      </c>
      <c r="EY44" s="38" t="str">
        <f t="shared" si="197"/>
        <v/>
      </c>
      <c r="EZ44" s="38" t="str">
        <f t="shared" si="197"/>
        <v/>
      </c>
      <c r="FA44" s="38" t="str">
        <f t="shared" si="197"/>
        <v/>
      </c>
      <c r="FB44" s="38" t="str">
        <f t="shared" si="197"/>
        <v/>
      </c>
      <c r="FC44" s="38" t="str">
        <f t="shared" si="197"/>
        <v/>
      </c>
      <c r="FD44" s="38" t="str">
        <f t="shared" si="197"/>
        <v/>
      </c>
      <c r="FE44" s="38" t="str">
        <f t="shared" si="197"/>
        <v/>
      </c>
      <c r="FF44" s="38" t="str">
        <f t="shared" si="197"/>
        <v/>
      </c>
      <c r="FG44" s="38" t="str">
        <f t="shared" si="197"/>
        <v/>
      </c>
      <c r="FH44" s="38" t="str">
        <f t="shared" si="197"/>
        <v/>
      </c>
      <c r="FI44" s="38" t="str">
        <f t="shared" si="197"/>
        <v/>
      </c>
      <c r="FJ44" s="38" t="str">
        <f t="shared" si="197"/>
        <v/>
      </c>
      <c r="FK44" s="38" t="str">
        <f t="shared" si="197"/>
        <v/>
      </c>
      <c r="FL44" s="38" t="str">
        <f t="shared" si="197"/>
        <v/>
      </c>
      <c r="FM44" s="38" t="str">
        <f t="shared" si="197"/>
        <v/>
      </c>
      <c r="FN44" s="38" t="str">
        <f t="shared" si="197"/>
        <v/>
      </c>
      <c r="FO44" s="38" t="str">
        <f t="shared" si="197"/>
        <v/>
      </c>
      <c r="FP44" s="38" t="str">
        <f t="shared" si="197"/>
        <v/>
      </c>
      <c r="FQ44" s="38" t="str">
        <f t="shared" si="197"/>
        <v/>
      </c>
      <c r="FR44" s="38" t="str">
        <f t="shared" si="197"/>
        <v/>
      </c>
      <c r="FS44" s="38" t="str">
        <f t="shared" si="197"/>
        <v/>
      </c>
      <c r="FT44" s="38" t="str">
        <f t="shared" si="197"/>
        <v/>
      </c>
      <c r="FU44" s="38" t="str">
        <f t="shared" si="197"/>
        <v/>
      </c>
      <c r="FV44" s="38"/>
      <c r="FW44" s="38" t="str">
        <f>IFERROR(FW42/FW43,"")</f>
        <v/>
      </c>
      <c r="FX44" s="38"/>
      <c r="FY44" s="38" t="str">
        <f>IFERROR(FY42/FY43,"")</f>
        <v/>
      </c>
      <c r="FZ44" s="38"/>
      <c r="GA44" s="38" t="str">
        <f>IFERROR(GA42/GA43,"")</f>
        <v/>
      </c>
      <c r="GB44" s="38"/>
      <c r="GC44" s="38" t="str">
        <f>IFERROR(GC42/GC43,"")</f>
        <v/>
      </c>
      <c r="GD44" s="38"/>
      <c r="GE44" s="38" t="str">
        <f>IFERROR(GE42/GE43,"")</f>
        <v/>
      </c>
      <c r="GF44" s="38"/>
      <c r="GG44" s="38" t="str">
        <f t="shared" ref="GG44:GW44" si="198">IFERROR(GG42/GG43,"")</f>
        <v/>
      </c>
      <c r="GH44" s="38" t="str">
        <f t="shared" si="198"/>
        <v/>
      </c>
      <c r="GI44" s="38" t="str">
        <f t="shared" si="198"/>
        <v/>
      </c>
      <c r="GJ44" s="38">
        <f t="shared" si="198"/>
        <v>1.089160413570905</v>
      </c>
      <c r="GK44" s="38">
        <f t="shared" si="198"/>
        <v>1.5639227336200661</v>
      </c>
      <c r="GL44" s="38">
        <f t="shared" si="198"/>
        <v>0.70008203775752975</v>
      </c>
      <c r="GM44" s="38">
        <f t="shared" si="198"/>
        <v>1.0189044545454544</v>
      </c>
      <c r="GN44" s="38" t="str">
        <f t="shared" si="198"/>
        <v/>
      </c>
      <c r="GO44" s="38" t="str">
        <f t="shared" si="198"/>
        <v/>
      </c>
      <c r="GP44" s="38" t="str">
        <f t="shared" si="198"/>
        <v/>
      </c>
      <c r="GQ44" s="38" t="str">
        <f t="shared" si="198"/>
        <v/>
      </c>
      <c r="GR44" s="38" t="str">
        <f t="shared" si="198"/>
        <v/>
      </c>
      <c r="GS44" s="38" t="str">
        <f t="shared" si="198"/>
        <v/>
      </c>
      <c r="GT44" s="38" t="str">
        <f t="shared" si="198"/>
        <v/>
      </c>
      <c r="GU44" s="38" t="str">
        <f t="shared" si="198"/>
        <v/>
      </c>
      <c r="GV44" s="38" t="str">
        <f t="shared" si="198"/>
        <v/>
      </c>
      <c r="GW44" s="38" t="str">
        <f t="shared" si="198"/>
        <v/>
      </c>
      <c r="GX44" s="72"/>
      <c r="GY44" s="38"/>
      <c r="GZ44" s="38" t="str">
        <f>IFERROR(GZ42/GZ43,"")</f>
        <v/>
      </c>
      <c r="HA44" s="38"/>
      <c r="HB44" s="38" t="str">
        <f>IFERROR(HB42/HB43,"")</f>
        <v/>
      </c>
      <c r="HC44" s="38"/>
      <c r="HD44" s="38" t="str">
        <f>IFERROR(HD42/HD43,"")</f>
        <v/>
      </c>
      <c r="HE44" s="38"/>
      <c r="HF44" s="72">
        <f>SUM(HF42:HH42)</f>
        <v>48149.950000000004</v>
      </c>
      <c r="HG44" s="38"/>
      <c r="HH44" s="38" t="str">
        <f>IFERROR(HH42/HH43,"")</f>
        <v/>
      </c>
      <c r="HI44" s="38"/>
      <c r="HJ44" s="38" t="str">
        <f>IFERROR(HJ42/HJ43,"")</f>
        <v/>
      </c>
      <c r="HK44" s="38" t="str">
        <f>IFERROR(HK42/HK43,"")</f>
        <v/>
      </c>
      <c r="HL44" s="38" t="str">
        <f>IFERROR(HL42/HL43,"")</f>
        <v/>
      </c>
      <c r="HM44" s="38"/>
      <c r="HN44" s="38"/>
      <c r="HO44" s="38"/>
      <c r="HP44" s="38"/>
      <c r="HQ44" s="38"/>
      <c r="HR44" s="38"/>
      <c r="HS44" s="38"/>
      <c r="HT44" s="38"/>
      <c r="HU44" s="38"/>
      <c r="HV44" s="38"/>
      <c r="HW44" s="38"/>
      <c r="HX44" s="38"/>
      <c r="HY44" s="38"/>
      <c r="HZ44" s="38"/>
      <c r="IA44" s="38"/>
      <c r="IB44" s="38" t="str">
        <f>IFERROR(IB42/IB43,"")</f>
        <v/>
      </c>
      <c r="IC44" s="38"/>
      <c r="ID44" s="38" t="str">
        <f>IFERROR(ID42/ID43,"")</f>
        <v/>
      </c>
      <c r="IE44" s="38"/>
      <c r="IF44" s="38" t="str">
        <f>IFERROR(IF42/IF43,"")</f>
        <v/>
      </c>
      <c r="IG44" s="38"/>
      <c r="IH44" s="38" t="str">
        <f>IFERROR(IH42/IH43,"")</f>
        <v/>
      </c>
      <c r="II44" s="38"/>
      <c r="IJ44" s="38" t="str">
        <f>IFERROR(IJ42/IJ43,"")</f>
        <v/>
      </c>
      <c r="IK44" s="38"/>
      <c r="IL44" s="38" t="str">
        <f>IFERROR(IL42/IL43,"")</f>
        <v/>
      </c>
      <c r="IM44" s="38"/>
      <c r="IN44" s="38" t="str">
        <f>IFERROR(IN42/IN43,"")</f>
        <v/>
      </c>
      <c r="IO44" s="38" t="str">
        <f>IFERROR(IO42/IO43,"")</f>
        <v/>
      </c>
      <c r="IP44" s="38" t="str">
        <f>IFERROR(IP42/IP43,"")</f>
        <v/>
      </c>
      <c r="IQ44" s="38"/>
      <c r="IR44" s="38"/>
      <c r="IS44" s="38" t="str">
        <f>IFERROR(IS42/IS43,"")</f>
        <v/>
      </c>
      <c r="IT44" s="38"/>
      <c r="IU44" s="38" t="str">
        <f>IFERROR(IU42/IU43,"")</f>
        <v/>
      </c>
      <c r="IV44" s="38"/>
      <c r="IW44" s="38" t="str">
        <f>IFERROR(IW42/IW43,"")</f>
        <v/>
      </c>
      <c r="IX44" s="38"/>
      <c r="IY44" s="38" t="str">
        <f>IFERROR(IY42/IY43,"")</f>
        <v/>
      </c>
      <c r="IZ44" s="38"/>
      <c r="JA44" s="38" t="str">
        <f>IFERROR(JA42/JA43,"")</f>
        <v/>
      </c>
      <c r="JB44" s="38"/>
      <c r="JC44" s="38" t="str">
        <f t="shared" ref="JC44:JM44" si="199">IFERROR(JC42/JC43,"")</f>
        <v/>
      </c>
      <c r="JD44" s="38" t="str">
        <f t="shared" si="199"/>
        <v/>
      </c>
      <c r="JE44" s="38" t="str">
        <f t="shared" si="199"/>
        <v/>
      </c>
      <c r="JF44" s="38" t="str">
        <f t="shared" si="199"/>
        <v/>
      </c>
      <c r="JG44" s="38" t="str">
        <f t="shared" si="199"/>
        <v/>
      </c>
      <c r="JH44" s="1973">
        <f t="shared" si="199"/>
        <v>1.0378759999999998</v>
      </c>
      <c r="JI44" s="1973">
        <f t="shared" si="199"/>
        <v>0.97366461538461524</v>
      </c>
      <c r="JJ44" s="1973" t="str">
        <f t="shared" si="199"/>
        <v/>
      </c>
      <c r="JK44" s="1973">
        <f t="shared" si="199"/>
        <v>1.0189044545454544</v>
      </c>
      <c r="JL44" s="38" t="str">
        <f t="shared" si="199"/>
        <v/>
      </c>
      <c r="JM44" s="38" t="str">
        <f t="shared" si="199"/>
        <v/>
      </c>
      <c r="JN44" s="38">
        <f t="shared" ref="JN44:KK44" si="200">IFERROR(IF(1-ABS(1-(JN42/JN43))&lt;0,0,1-ABS(1-(JN42/JN43))),0)</f>
        <v>0</v>
      </c>
      <c r="JO44" s="38">
        <f t="shared" si="200"/>
        <v>0</v>
      </c>
      <c r="JP44" s="38">
        <f t="shared" si="200"/>
        <v>0</v>
      </c>
      <c r="JQ44" s="38">
        <f t="shared" si="200"/>
        <v>0</v>
      </c>
      <c r="JR44" s="38">
        <f t="shared" si="200"/>
        <v>0</v>
      </c>
      <c r="JS44" s="38">
        <f t="shared" si="200"/>
        <v>0</v>
      </c>
      <c r="JT44" s="38">
        <f t="shared" si="200"/>
        <v>0</v>
      </c>
      <c r="JU44" s="38">
        <f t="shared" si="200"/>
        <v>0</v>
      </c>
      <c r="JV44" s="38">
        <f t="shared" si="200"/>
        <v>0</v>
      </c>
      <c r="JW44" s="38">
        <f t="shared" si="200"/>
        <v>0</v>
      </c>
      <c r="JX44" s="38">
        <f t="shared" si="200"/>
        <v>0</v>
      </c>
      <c r="JY44" s="38">
        <f t="shared" si="200"/>
        <v>0</v>
      </c>
      <c r="JZ44" s="38">
        <f t="shared" si="200"/>
        <v>0</v>
      </c>
      <c r="KA44" s="38">
        <f t="shared" si="200"/>
        <v>0</v>
      </c>
      <c r="KB44" s="38">
        <f t="shared" si="200"/>
        <v>0</v>
      </c>
      <c r="KC44" s="38">
        <f t="shared" si="200"/>
        <v>0</v>
      </c>
      <c r="KD44" s="38">
        <f t="shared" si="200"/>
        <v>0</v>
      </c>
      <c r="KE44" s="38">
        <f t="shared" si="200"/>
        <v>0</v>
      </c>
      <c r="KF44" s="38">
        <f t="shared" si="200"/>
        <v>0</v>
      </c>
      <c r="KG44" s="38">
        <f t="shared" si="200"/>
        <v>0</v>
      </c>
      <c r="KH44" s="38">
        <f t="shared" si="200"/>
        <v>0</v>
      </c>
      <c r="KI44" s="38">
        <f t="shared" si="200"/>
        <v>0</v>
      </c>
      <c r="KJ44" s="38">
        <f t="shared" si="200"/>
        <v>0</v>
      </c>
      <c r="KK44" s="38">
        <f t="shared" si="200"/>
        <v>0</v>
      </c>
      <c r="KL44" s="38" t="str">
        <f t="shared" ref="KL44:LE44" si="201">IFERROR(KL42/KL43,"")</f>
        <v/>
      </c>
      <c r="KM44" s="38" t="str">
        <f t="shared" si="201"/>
        <v/>
      </c>
      <c r="KN44" s="38">
        <f t="shared" si="201"/>
        <v>1.0229328805150906</v>
      </c>
      <c r="KO44" s="38">
        <f t="shared" si="201"/>
        <v>1.1554357743266574</v>
      </c>
      <c r="KP44" s="38">
        <f t="shared" si="201"/>
        <v>0.56954210168603459</v>
      </c>
      <c r="KQ44" s="38">
        <f t="shared" si="201"/>
        <v>1.0481336399986767</v>
      </c>
      <c r="KR44" s="38">
        <f t="shared" si="201"/>
        <v>0.94178793640767866</v>
      </c>
      <c r="KS44" s="38">
        <f t="shared" si="201"/>
        <v>1.0024535097259635</v>
      </c>
      <c r="KT44" s="38">
        <f t="shared" si="201"/>
        <v>1.3429585416214993</v>
      </c>
      <c r="KU44" s="38">
        <f t="shared" si="201"/>
        <v>1.0532131829547093</v>
      </c>
      <c r="KV44" s="38">
        <f t="shared" si="201"/>
        <v>0.99184175621361936</v>
      </c>
      <c r="KW44" s="38">
        <f t="shared" si="201"/>
        <v>0.93244594784521428</v>
      </c>
      <c r="KX44" s="38" t="str">
        <f t="shared" si="201"/>
        <v/>
      </c>
      <c r="KY44" s="38" t="str">
        <f t="shared" si="201"/>
        <v/>
      </c>
      <c r="KZ44" s="38" t="str">
        <f t="shared" si="201"/>
        <v/>
      </c>
      <c r="LA44" s="38" t="str">
        <f t="shared" si="201"/>
        <v/>
      </c>
      <c r="LB44" s="38" t="str">
        <f t="shared" si="201"/>
        <v/>
      </c>
      <c r="LC44" s="38">
        <f t="shared" si="201"/>
        <v>0</v>
      </c>
      <c r="LD44" s="38" t="str">
        <f t="shared" si="201"/>
        <v/>
      </c>
      <c r="LE44" s="38" t="str">
        <f t="shared" si="201"/>
        <v/>
      </c>
      <c r="LF44" s="38"/>
      <c r="LG44" s="38"/>
      <c r="LH44" s="38"/>
      <c r="LI44" s="38"/>
      <c r="LJ44" s="38"/>
      <c r="LK44" s="38"/>
      <c r="LL44" s="38" t="str">
        <f t="shared" ref="LL44:LQ44" si="202">IFERROR(LL42/LL43,"")</f>
        <v/>
      </c>
      <c r="LM44" s="38" t="str">
        <f t="shared" si="202"/>
        <v/>
      </c>
      <c r="LN44" s="38" t="str">
        <f t="shared" si="202"/>
        <v/>
      </c>
      <c r="LO44" s="38" t="str">
        <f t="shared" si="202"/>
        <v/>
      </c>
      <c r="LP44" s="38" t="str">
        <f t="shared" si="202"/>
        <v/>
      </c>
      <c r="LQ44" s="38" t="str">
        <f t="shared" si="202"/>
        <v/>
      </c>
      <c r="LR44" s="38"/>
      <c r="LS44" s="38" t="str">
        <f>IFERROR(LS42/LS43,"")</f>
        <v/>
      </c>
      <c r="LT44" s="38" t="str">
        <f>IFERROR(LT42/LT43,"")</f>
        <v/>
      </c>
      <c r="LU44" s="38" t="str">
        <f>IFERROR(LU42/LU43,"")</f>
        <v/>
      </c>
      <c r="LV44" s="38" t="str">
        <f>IFERROR(LV42/LV43,"")</f>
        <v/>
      </c>
      <c r="LW44" s="38" t="str">
        <f>IFERROR(LW42/LW43,"")</f>
        <v/>
      </c>
      <c r="LX44" s="38"/>
      <c r="LY44" s="38" t="str">
        <f>IFERROR(LY42/LY43,"")</f>
        <v/>
      </c>
      <c r="LZ44" s="38" t="str">
        <f>IFERROR(LZ42/LZ43,"")</f>
        <v/>
      </c>
      <c r="MA44" s="38"/>
      <c r="MB44" s="38" t="str">
        <f>IFERROR(MB42/MB43,"")</f>
        <v/>
      </c>
      <c r="MC44" s="38" t="str">
        <f>IFERROR(MC42/MC43,"")</f>
        <v/>
      </c>
      <c r="MD44" s="38"/>
      <c r="ME44" s="38"/>
      <c r="MF44" s="38" t="str">
        <f>IFERROR(MF42/MF43,"")</f>
        <v/>
      </c>
      <c r="MG44" s="38" t="str">
        <f>IFERROR(MG42/MG43,"")</f>
        <v/>
      </c>
      <c r="MH44" s="38" t="str">
        <f>IFERROR(MH42/MH43,"")</f>
        <v/>
      </c>
      <c r="MI44" s="38" t="str">
        <f>IFERROR(MI42/MI43,"")</f>
        <v/>
      </c>
      <c r="MJ44" s="38"/>
      <c r="MK44" s="38" t="str">
        <f>IFERROR(MK42/MK43,"")</f>
        <v/>
      </c>
      <c r="ML44" s="38" t="str">
        <f>IFERROR(ML42/ML43,"")</f>
        <v/>
      </c>
      <c r="MM44" s="38" t="str">
        <f>IFERROR(MM42/MM43,"")</f>
        <v/>
      </c>
      <c r="MN44" s="38" t="str">
        <f>IFERROR(MN42/MN43,"")</f>
        <v/>
      </c>
      <c r="MO44" s="38" t="str">
        <f>IFERROR(MO42/MO43,"")</f>
        <v/>
      </c>
      <c r="MP44" s="38"/>
      <c r="MQ44" s="38" t="str">
        <f t="shared" ref="MQ44:NB44" si="203">IFERROR(MQ42/MQ43,"")</f>
        <v/>
      </c>
      <c r="MR44" s="38" t="str">
        <f t="shared" si="203"/>
        <v/>
      </c>
      <c r="MS44" s="38" t="str">
        <f t="shared" si="203"/>
        <v/>
      </c>
      <c r="MT44" s="38" t="str">
        <f t="shared" si="203"/>
        <v/>
      </c>
      <c r="MU44" s="38" t="str">
        <f t="shared" si="203"/>
        <v/>
      </c>
      <c r="MV44" s="38" t="str">
        <f t="shared" si="203"/>
        <v/>
      </c>
      <c r="MW44" s="38" t="str">
        <f t="shared" si="203"/>
        <v/>
      </c>
      <c r="MX44" s="38" t="str">
        <f t="shared" si="203"/>
        <v/>
      </c>
      <c r="MY44" s="38" t="str">
        <f t="shared" si="203"/>
        <v/>
      </c>
      <c r="MZ44" s="38" t="str">
        <f t="shared" si="203"/>
        <v/>
      </c>
      <c r="NA44" s="38" t="str">
        <f t="shared" si="203"/>
        <v/>
      </c>
      <c r="NB44" s="38" t="str">
        <f t="shared" si="203"/>
        <v/>
      </c>
      <c r="NC44" s="38"/>
      <c r="ND44" s="38" t="str">
        <f>IFERROR(ND42/ND43,"")</f>
        <v/>
      </c>
      <c r="NE44" s="38" t="str">
        <f>IFERROR(NE42/NE43,"")</f>
        <v/>
      </c>
      <c r="NF44" s="38" t="str">
        <f>IFERROR(NF42/NF43,"")</f>
        <v/>
      </c>
      <c r="NG44" s="38"/>
      <c r="NH44" s="38" t="str">
        <f>IFERROR(NH42/NH43,"")</f>
        <v/>
      </c>
      <c r="NI44" s="38"/>
      <c r="NJ44" s="38" t="str">
        <f>IFERROR(NJ42/NJ43,"")</f>
        <v/>
      </c>
      <c r="NK44" s="38"/>
      <c r="NL44" s="38" t="str">
        <f>IFERROR(NL42/NL43,"")</f>
        <v/>
      </c>
      <c r="NM44" s="38"/>
      <c r="NN44" s="38" t="str">
        <f>IFERROR(NN42/NN43,"")</f>
        <v/>
      </c>
      <c r="NO44" s="38"/>
      <c r="NP44" s="38" t="str">
        <f>IFERROR(NP42/NP43,"")</f>
        <v/>
      </c>
      <c r="NQ44" s="38"/>
      <c r="NR44" s="38" t="str">
        <f>IFERROR(NR42/NR43,"")</f>
        <v/>
      </c>
      <c r="NS44" s="38" t="str">
        <f>IFERROR(NS42/NS43,"")</f>
        <v/>
      </c>
      <c r="NT44" s="38"/>
      <c r="NU44" s="38" t="str">
        <f>IFERROR(NU42/NU43,"")</f>
        <v/>
      </c>
      <c r="NV44" s="38"/>
      <c r="NW44" s="38" t="str">
        <f>IFERROR(NW42/NW43,"")</f>
        <v/>
      </c>
      <c r="NX44" s="38"/>
      <c r="NY44" s="38" t="str">
        <f>IFERROR(NY42/NY43,"")</f>
        <v/>
      </c>
      <c r="NZ44" s="38"/>
      <c r="OA44" s="38" t="str">
        <f>IFERROR(OA42/OA43,"")</f>
        <v/>
      </c>
      <c r="OB44" s="38"/>
      <c r="OC44" s="38" t="str">
        <f>IFERROR(OC42/OC43,"")</f>
        <v/>
      </c>
      <c r="OD44" s="38"/>
      <c r="OE44" s="38" t="str">
        <f>IFERROR(OE42/OE43,"")</f>
        <v/>
      </c>
      <c r="OF44" s="38" t="str">
        <f>IFERROR(OF42/OF43,"")</f>
        <v/>
      </c>
      <c r="OG44" s="38"/>
      <c r="OH44" s="38" t="str">
        <f>IFERROR(OH42/OH43,"")</f>
        <v/>
      </c>
      <c r="OI44" s="38"/>
      <c r="OJ44" s="38" t="str">
        <f>IFERROR(OJ42/OJ43,"")</f>
        <v/>
      </c>
      <c r="OK44" s="38"/>
      <c r="OL44" s="38" t="str">
        <f>IFERROR(OL42/OL43,"")</f>
        <v/>
      </c>
      <c r="OM44" s="38"/>
      <c r="ON44" s="38" t="str">
        <f>IFERROR(ON42/ON43,"")</f>
        <v/>
      </c>
      <c r="OO44" s="38"/>
      <c r="OP44" s="38" t="str">
        <f>IFERROR(OP42/OP43,"")</f>
        <v/>
      </c>
      <c r="OQ44" s="38"/>
      <c r="OR44" s="38" t="str">
        <f t="shared" ref="OR44:PJ44" si="204">IFERROR(OR42/OR43,"")</f>
        <v/>
      </c>
      <c r="OS44" s="38" t="str">
        <f t="shared" si="204"/>
        <v/>
      </c>
      <c r="OT44" s="38" t="str">
        <f t="shared" si="204"/>
        <v/>
      </c>
      <c r="OU44" s="38" t="str">
        <f t="shared" si="204"/>
        <v/>
      </c>
      <c r="OV44" s="38" t="str">
        <f t="shared" si="204"/>
        <v/>
      </c>
      <c r="OW44" s="38" t="str">
        <f t="shared" si="204"/>
        <v/>
      </c>
      <c r="OX44" s="38" t="str">
        <f t="shared" si="204"/>
        <v/>
      </c>
      <c r="OY44" s="38" t="str">
        <f t="shared" si="204"/>
        <v/>
      </c>
      <c r="OZ44" s="38" t="str">
        <f t="shared" si="204"/>
        <v/>
      </c>
      <c r="PA44" s="38" t="str">
        <f t="shared" si="204"/>
        <v/>
      </c>
      <c r="PB44" s="38" t="str">
        <f t="shared" si="204"/>
        <v/>
      </c>
      <c r="PC44" s="38" t="str">
        <f t="shared" si="204"/>
        <v/>
      </c>
      <c r="PD44" s="38" t="str">
        <f t="shared" si="204"/>
        <v/>
      </c>
      <c r="PE44" s="38" t="str">
        <f t="shared" si="204"/>
        <v/>
      </c>
      <c r="PF44" s="38" t="str">
        <f t="shared" si="204"/>
        <v/>
      </c>
      <c r="PG44" s="38" t="str">
        <f t="shared" si="204"/>
        <v/>
      </c>
      <c r="PH44" s="38" t="str">
        <f t="shared" si="204"/>
        <v/>
      </c>
      <c r="PI44" s="38" t="str">
        <f t="shared" si="204"/>
        <v/>
      </c>
      <c r="PJ44" s="38" t="str">
        <f t="shared" si="204"/>
        <v/>
      </c>
      <c r="PK44" s="38"/>
      <c r="PL44" s="38"/>
      <c r="PM44" s="38" t="str">
        <f t="shared" ref="PM44:PR44" si="205">IFERROR(PM42/PM43,"")</f>
        <v/>
      </c>
      <c r="PN44" s="38" t="str">
        <f t="shared" si="205"/>
        <v/>
      </c>
      <c r="PO44" s="38" t="str">
        <f t="shared" si="205"/>
        <v/>
      </c>
      <c r="PP44" s="38" t="str">
        <f t="shared" si="205"/>
        <v/>
      </c>
      <c r="PQ44" s="38" t="str">
        <f t="shared" si="205"/>
        <v/>
      </c>
      <c r="PR44" s="38" t="str">
        <f t="shared" si="205"/>
        <v/>
      </c>
      <c r="PS44" s="38"/>
      <c r="PT44" s="38"/>
      <c r="PU44" s="38" t="str">
        <f>IFERROR(PU42/PU43,"")</f>
        <v/>
      </c>
      <c r="PV44" s="38"/>
      <c r="PW44" s="38" t="str">
        <f>IFERROR(PW42/PW43,"")</f>
        <v/>
      </c>
      <c r="PX44" s="38"/>
      <c r="PY44" s="38" t="str">
        <f>IFERROR(PY42/PY43,"")</f>
        <v/>
      </c>
      <c r="PZ44" s="38" t="str">
        <f>IFERROR(PZ42/PZ43,"")</f>
        <v/>
      </c>
      <c r="QA44" s="38"/>
      <c r="QB44" s="38"/>
      <c r="QC44" s="38"/>
      <c r="QD44" s="38"/>
      <c r="QE44" s="38" t="str">
        <f>IFERROR(QE42/QE43,"")</f>
        <v/>
      </c>
      <c r="RW44" s="1"/>
    </row>
    <row r="45" spans="1:500">
      <c r="D45" s="1"/>
      <c r="O45" t="e">
        <f ca="1">IF(VALUE(MONTH(DATEVALUE(MID(CELL("filename",A1),FIND("]",CELL("filename",A1))+1,255)&amp;"1")))&lt;&gt;MONTH(TODAY()),O43/(DAY(EOMONTH(DATE(YEAR(TODAY()),VALUE(MONTH(DATEVALUE(MID(CELL("filename",A1),FIND("]",CELL("filename",A1))+1,255)&amp;"1"))),1),0))),(O43-O42)/('[1]Summary TCM'!$AB$140-DAY(TODAY()-1)))</f>
        <v>#VALUE!</v>
      </c>
      <c r="P45" t="e">
        <f ca="1">IF(VALUE(MONTH(DATEVALUE(MID(CELL("filename",B1),FIND("]",CELL("filename",B1))+1,255)&amp;"1")))&lt;&gt;MONTH(TODAY()),P43/(DAY(EOMONTH(DATE(YEAR(TODAY()),VALUE(MONTH(DATEVALUE(MID(CELL("filename",B1),FIND("]",CELL("filename",B1))+1,255)&amp;"1"))),1),0))),(P43-P42)/('[1]Summary TCM'!$AB$140-DAY(TODAY()-1)))</f>
        <v>#VALUE!</v>
      </c>
      <c r="Q45" t="e">
        <f ca="1">IF(VALUE(MONTH(DATEVALUE(MID(CELL("filename",C1),FIND("]",CELL("filename",C1))+1,255)&amp;"1")))&lt;&gt;MONTH(TODAY()),Q43/(DAY(EOMONTH(DATE(YEAR(TODAY()),VALUE(MONTH(DATEVALUE(MID(CELL("filename",C1),FIND("]",CELL("filename",C1))+1,255)&amp;"1"))),1),0))),(Q43-Q42)/('[1]Summary TCM'!$AB$140-DAY(TODAY()-1)))</f>
        <v>#VALUE!</v>
      </c>
      <c r="R45" t="e">
        <f ca="1">IF(VALUE(MONTH(DATEVALUE(MID(CELL("filename",D1),FIND("]",CELL("filename",D1))+1,255)&amp;"1")))&lt;&gt;MONTH(TODAY()),R43/(DAY(EOMONTH(DATE(YEAR(TODAY()),VALUE(MONTH(DATEVALUE(MID(CELL("filename",D1),FIND("]",CELL("filename",D1))+1,255)&amp;"1"))),1),0))),(R43-R42)/('[1]Summary TCM'!$AB$140-DAY(TODAY()-1)))</f>
        <v>#VALUE!</v>
      </c>
      <c r="S45" s="72" t="e">
        <f ca="1">SUM(BF45,BI45,BL45,BX45)</f>
        <v>#VALUE!</v>
      </c>
      <c r="T45" t="e">
        <f ca="1">IF(VALUE(MONTH(DATEVALUE(MID(CELL("filename",H1),FIND("]",CELL("filename",H1))+1,255)&amp;"1")))&lt;&gt;MONTH(TODAY()),T43/(DAY(EOMONTH(DATE(YEAR(TODAY()),VALUE(MONTH(DATEVALUE(MID(CELL("filename",H1),FIND("]",CELL("filename",H1))+1,255)&amp;"1"))),1),0))),(T43-T42)/('[1]Summary TCM'!$AB$140-DAY(TODAY()-1)))</f>
        <v>#VALUE!</v>
      </c>
      <c r="U45" t="e">
        <f ca="1">IF(VALUE(MONTH(DATEVALUE(MID(CELL("filename",I1),FIND("]",CELL("filename",I1))+1,255)&amp;"1")))&lt;&gt;MONTH(TODAY()),U43/(DAY(EOMONTH(DATE(YEAR(TODAY()),VALUE(MONTH(DATEVALUE(MID(CELL("filename",I1),FIND("]",CELL("filename",I1))+1,255)&amp;"1"))),1),0))),(U43-U42)/('[1]Summary TCM'!$AB$140-DAY(TODAY()-1)))</f>
        <v>#VALUE!</v>
      </c>
      <c r="V45" t="e">
        <f ca="1">IF(VALUE(MONTH(DATEVALUE(MID(CELL("filename",L1),FIND("]",CELL("filename",L1))+1,255)&amp;"1")))&lt;&gt;MONTH(TODAY()),V43/(DAY(EOMONTH(DATE(YEAR(TODAY()),VALUE(MONTH(DATEVALUE(MID(CELL("filename",L1),FIND("]",CELL("filename",L1))+1,255)&amp;"1"))),1),0))),(V43-V42)/('[1]Summary TCM'!$AB$140-DAY(TODAY()-1)))</f>
        <v>#VALUE!</v>
      </c>
      <c r="W45" t="e">
        <f ca="1">IF(VALUE(MONTH(DATEVALUE(MID(CELL("filename",M1),FIND("]",CELL("filename",M1))+1,255)&amp;"1")))&lt;&gt;MONTH(TODAY()),W43/(DAY(EOMONTH(DATE(YEAR(TODAY()),VALUE(MONTH(DATEVALUE(MID(CELL("filename",M1),FIND("]",CELL("filename",M1))+1,255)&amp;"1"))),1),0))),(W43-W42)/('[1]Summary TCM'!$AB$140-DAY(TODAY()-1)))</f>
        <v>#VALUE!</v>
      </c>
      <c r="X45" t="e">
        <f ca="1">IF(VALUE(MONTH(DATEVALUE(MID(CELL("filename",N1),FIND("]",CELL("filename",N1))+1,255)&amp;"1")))&lt;&gt;MONTH(TODAY()),X43/(DAY(EOMONTH(DATE(YEAR(TODAY()),VALUE(MONTH(DATEVALUE(MID(CELL("filename",N1),FIND("]",CELL("filename",N1))+1,255)&amp;"1"))),1),0))),(X43-X42)/('[1]Summary TCM'!$AB$140-DAY(TODAY()-1)))</f>
        <v>#VALUE!</v>
      </c>
      <c r="Y45" t="e">
        <f ca="1">IF(VALUE(MONTH(DATEVALUE(MID(CELL("filename",O1),FIND("]",CELL("filename",O1))+1,255)&amp;"1")))&lt;&gt;MONTH(TODAY()),Y43/(DAY(EOMONTH(DATE(YEAR(TODAY()),VALUE(MONTH(DATEVALUE(MID(CELL("filename",O1),FIND("]",CELL("filename",O1))+1,255)&amp;"1"))),1),0))),(Y43-Y42)/('[1]Summary TCM'!$AB$140-DAY(TODAY()-1)))</f>
        <v>#VALUE!</v>
      </c>
      <c r="Z45" t="e">
        <f ca="1">IF(VALUE(MONTH(DATEVALUE(MID(CELL("filename",P1),FIND("]",CELL("filename",P1))+1,255)&amp;"1")))&lt;&gt;MONTH(TODAY()),Z43/(DAY(EOMONTH(DATE(YEAR(TODAY()),VALUE(MONTH(DATEVALUE(MID(CELL("filename",P1),FIND("]",CELL("filename",P1))+1,255)&amp;"1"))),1),0))),(Z43-Z42)/('[1]Summary TCM'!$AB$140-DAY(TODAY()-1)))</f>
        <v>#VALUE!</v>
      </c>
      <c r="AE45" t="e">
        <f ca="1">IF(VALUE(MONTH(DATEVALUE(MID(CELL("filename",Q1),FIND("]",CELL("filename",Q1))+1,255)&amp;"1")))&lt;&gt;MONTH(TODAY()),AE43/(DAY(EOMONTH(DATE(YEAR(TODAY()),VALUE(MONTH(DATEVALUE(MID(CELL("filename",Q1),FIND("]",CELL("filename",Q1))+1,255)&amp;"1"))),1),0))),(AE43-AE42)/('[1]Summary TCM'!$AB$140-DAY(TODAY()-1)))</f>
        <v>#VALUE!</v>
      </c>
      <c r="AF45" t="e">
        <f ca="1">IF(VALUE(MONTH(DATEVALUE(MID(CELL("filename",R1),FIND("]",CELL("filename",R1))+1,255)&amp;"1")))&lt;&gt;MONTH(TODAY()),AF43/(DAY(EOMONTH(DATE(YEAR(TODAY()),VALUE(MONTH(DATEVALUE(MID(CELL("filename",R1),FIND("]",CELL("filename",R1))+1,255)&amp;"1"))),1),0))),(AF43-AF42)/('[1]Summary TCM'!$AB$140-DAY(TODAY()-1)))</f>
        <v>#VALUE!</v>
      </c>
      <c r="AG45" t="e">
        <f ca="1">IF(VALUE(MONTH(DATEVALUE(MID(CELL("filename",S1),FIND("]",CELL("filename",S1))+1,255)&amp;"1")))&lt;&gt;MONTH(TODAY()),AG43/(DAY(EOMONTH(DATE(YEAR(TODAY()),VALUE(MONTH(DATEVALUE(MID(CELL("filename",S1),FIND("]",CELL("filename",S1))+1,255)&amp;"1"))),1),0))),(AG43-AG42)/('[1]Summary TCM'!$AB$140-DAY(TODAY()-1)))</f>
        <v>#VALUE!</v>
      </c>
      <c r="AH45" t="e">
        <f ca="1">IF(VALUE(MONTH(DATEVALUE(MID(CELL("filename",T1),FIND("]",CELL("filename",T1))+1,255)&amp;"1")))&lt;&gt;MONTH(TODAY()),AH43/(DAY(EOMONTH(DATE(YEAR(TODAY()),VALUE(MONTH(DATEVALUE(MID(CELL("filename",T1),FIND("]",CELL("filename",T1))+1,255)&amp;"1"))),1),0))),(AH43-AH42)/('[1]Summary TCM'!$AB$140-DAY(TODAY()-1)))</f>
        <v>#VALUE!</v>
      </c>
      <c r="AI45" t="e">
        <f ca="1">IF(VALUE(MONTH(DATEVALUE(MID(CELL("filename",U1),FIND("]",CELL("filename",U1))+1,255)&amp;"1")))&lt;&gt;MONTH(TODAY()),AI43/(DAY(EOMONTH(DATE(YEAR(TODAY()),VALUE(MONTH(DATEVALUE(MID(CELL("filename",U1),FIND("]",CELL("filename",U1))+1,255)&amp;"1"))),1),0))),(AI43-AI42)/('[1]Summary TCM'!$AB$140-DAY(TODAY()-1)))</f>
        <v>#VALUE!</v>
      </c>
      <c r="AJ45" t="e">
        <f ca="1">IF(VALUE(MONTH(DATEVALUE(MID(CELL("filename",V1),FIND("]",CELL("filename",V1))+1,255)&amp;"1")))&lt;&gt;MONTH(TODAY()),AJ43/(DAY(EOMONTH(DATE(YEAR(TODAY()),VALUE(MONTH(DATEVALUE(MID(CELL("filename",V1),FIND("]",CELL("filename",V1))+1,255)&amp;"1"))),1),0))),(AJ43-AJ42)/('[1]Summary TCM'!$AB$140-DAY(TODAY()-1)))</f>
        <v>#VALUE!</v>
      </c>
      <c r="AK45" t="e">
        <f ca="1">IF(VALUE(MONTH(DATEVALUE(MID(CELL("filename",W1),FIND("]",CELL("filename",W1))+1,255)&amp;"1")))&lt;&gt;MONTH(TODAY()),AK43/(DAY(EOMONTH(DATE(YEAR(TODAY()),VALUE(MONTH(DATEVALUE(MID(CELL("filename",W1),FIND("]",CELL("filename",W1))+1,255)&amp;"1"))),1),0))),(AK43-AK42)/('[1]Summary TCM'!$AB$140-DAY(TODAY()-1)))</f>
        <v>#VALUE!</v>
      </c>
      <c r="AL45" t="e">
        <f ca="1">IF(VALUE(MONTH(DATEVALUE(MID(CELL("filename",X1),FIND("]",CELL("filename",X1))+1,255)&amp;"1")))&lt;&gt;MONTH(TODAY()),AL43/(DAY(EOMONTH(DATE(YEAR(TODAY()),VALUE(MONTH(DATEVALUE(MID(CELL("filename",X1),FIND("]",CELL("filename",X1))+1,255)&amp;"1"))),1),0))),(AL43-AL42)/('[1]Summary TCM'!$AB$140-DAY(TODAY()-1)))</f>
        <v>#VALUE!</v>
      </c>
      <c r="AN45" t="e">
        <f ca="1">IF(VALUE(MONTH(DATEVALUE(MID(CELL("filename",Z1),FIND("]",CELL("filename",Z1))+1,255)&amp;"1")))&lt;&gt;MONTH(TODAY()),AN43/(DAY(EOMONTH(DATE(YEAR(TODAY()),VALUE(MONTH(DATEVALUE(MID(CELL("filename",Z1),FIND("]",CELL("filename",Z1))+1,255)&amp;"1"))),1),0))),(AN43-AN42)/('[1]Summary TCM'!$AB$140-DAY(TODAY()-1)))</f>
        <v>#VALUE!</v>
      </c>
      <c r="AO45" t="e">
        <f ca="1">IF(VALUE(MONTH(DATEVALUE(MID(CELL("filename",AE1),FIND("]",CELL("filename",AE1))+1,255)&amp;"1")))&lt;&gt;MONTH(TODAY()),AO43/(DAY(EOMONTH(DATE(YEAR(TODAY()),VALUE(MONTH(DATEVALUE(MID(CELL("filename",AE1),FIND("]",CELL("filename",AE1))+1,255)&amp;"1"))),1),0))),(AO43-AO42)/('[1]Summary TCM'!$AB$140-DAY(TODAY()-1)))</f>
        <v>#VALUE!</v>
      </c>
      <c r="AP45" t="e">
        <f ca="1">IF(VALUE(MONTH(DATEVALUE(MID(CELL("filename",AF1),FIND("]",CELL("filename",AF1))+1,255)&amp;"1")))&lt;&gt;MONTH(TODAY()),AP43/(DAY(EOMONTH(DATE(YEAR(TODAY()),VALUE(MONTH(DATEVALUE(MID(CELL("filename",AF1),FIND("]",CELL("filename",AF1))+1,255)&amp;"1"))),1),0))),(AP43-AP42)/('[1]Summary TCM'!$AB$140-DAY(TODAY()-1)))</f>
        <v>#VALUE!</v>
      </c>
      <c r="AQ45" t="e">
        <f ca="1">IF(VALUE(MONTH(DATEVALUE(MID(CELL("filename",AG1),FIND("]",CELL("filename",AG1))+1,255)&amp;"1")))&lt;&gt;MONTH(TODAY()),AQ43/(DAY(EOMONTH(DATE(YEAR(TODAY()),VALUE(MONTH(DATEVALUE(MID(CELL("filename",AG1),FIND("]",CELL("filename",AG1))+1,255)&amp;"1"))),1),0))),(AQ43-AQ42)/('[1]Summary TCM'!$AB$140-DAY(TODAY()-1)))</f>
        <v>#VALUE!</v>
      </c>
      <c r="AR45" t="e">
        <f ca="1">IF(VALUE(MONTH(DATEVALUE(MID(CELL("filename",AH1),FIND("]",CELL("filename",AH1))+1,255)&amp;"1")))&lt;&gt;MONTH(TODAY()),AR43/(DAY(EOMONTH(DATE(YEAR(TODAY()),VALUE(MONTH(DATEVALUE(MID(CELL("filename",AH1),FIND("]",CELL("filename",AH1))+1,255)&amp;"1"))),1),0))),(AR43-AR42)/('[1]Summary TCM'!$AB$140-DAY(TODAY()-1)))</f>
        <v>#VALUE!</v>
      </c>
      <c r="AS45" t="e">
        <f ca="1">IF(VALUE(MONTH(DATEVALUE(MID(CELL("filename",AI1),FIND("]",CELL("filename",AI1))+1,255)&amp;"1")))&lt;&gt;MONTH(TODAY()),AS43/(DAY(EOMONTH(DATE(YEAR(TODAY()),VALUE(MONTH(DATEVALUE(MID(CELL("filename",AI1),FIND("]",CELL("filename",AI1))+1,255)&amp;"1"))),1),0))),(AS43-AS42)/('[1]Summary TCM'!$AB$140-DAY(TODAY()-1)))</f>
        <v>#VALUE!</v>
      </c>
      <c r="AT45" t="e">
        <f ca="1">IF(VALUE(MONTH(DATEVALUE(MID(CELL("filename",AJ1),FIND("]",CELL("filename",AJ1))+1,255)&amp;"1")))&lt;&gt;MONTH(TODAY()),AT43/(DAY(EOMONTH(DATE(YEAR(TODAY()),VALUE(MONTH(DATEVALUE(MID(CELL("filename",AJ1),FIND("]",CELL("filename",AJ1))+1,255)&amp;"1"))),1),0))),(AT43-AT42)/('[1]Summary TCM'!$AB$140-DAY(TODAY()-1)))</f>
        <v>#VALUE!</v>
      </c>
      <c r="AU45" t="e">
        <f ca="1">IF(VALUE(MONTH(DATEVALUE(MID(CELL("filename",AK1),FIND("]",CELL("filename",AK1))+1,255)&amp;"1")))&lt;&gt;MONTH(TODAY()),AU43/(DAY(EOMONTH(DATE(YEAR(TODAY()),VALUE(MONTH(DATEVALUE(MID(CELL("filename",AK1),FIND("]",CELL("filename",AK1))+1,255)&amp;"1"))),1),0))),(AU43-AU42)/('[1]Summary TCM'!$AB$140-DAY(TODAY()-1)))</f>
        <v>#VALUE!</v>
      </c>
      <c r="AV45" t="e">
        <f ca="1">IF(VALUE(MONTH(DATEVALUE(MID(CELL("filename",AL1),FIND("]",CELL("filename",AL1))+1,255)&amp;"1")))&lt;&gt;MONTH(TODAY()),AV43/(DAY(EOMONTH(DATE(YEAR(TODAY()),VALUE(MONTH(DATEVALUE(MID(CELL("filename",AL1),FIND("]",CELL("filename",AL1))+1,255)&amp;"1"))),1),0))),(AV43-AV42)/('[1]Summary TCM'!$AB$140-DAY(TODAY()-1)))</f>
        <v>#VALUE!</v>
      </c>
      <c r="AW45" t="e">
        <f ca="1">IF(VALUE(MONTH(DATEVALUE(MID(CELL("filename",AM1),FIND("]",CELL("filename",AM1))+1,255)&amp;"1")))&lt;&gt;MONTH(TODAY()),AW43/(DAY(EOMONTH(DATE(YEAR(TODAY()),VALUE(MONTH(DATEVALUE(MID(CELL("filename",AM1),FIND("]",CELL("filename",AM1))+1,255)&amp;"1"))),1),0))),(AW43-AW42)/('[1]Summary TCM'!$AB$140-DAY(TODAY()-1)))</f>
        <v>#VALUE!</v>
      </c>
      <c r="AX45" t="e">
        <f ca="1">IF(VALUE(MONTH(DATEVALUE(MID(CELL("filename",AN1),FIND("]",CELL("filename",AN1))+1,255)&amp;"1")))&lt;&gt;MONTH(TODAY()),AX43/(DAY(EOMONTH(DATE(YEAR(TODAY()),VALUE(MONTH(DATEVALUE(MID(CELL("filename",AN1),FIND("]",CELL("filename",AN1))+1,255)&amp;"1"))),1),0))),(AX43-AX42)/('[1]Summary TCM'!$AB$140-DAY(TODAY()-1)))</f>
        <v>#VALUE!</v>
      </c>
      <c r="AY45" t="e">
        <f ca="1">IF(VALUE(MONTH(DATEVALUE(MID(CELL("filename",AO1),FIND("]",CELL("filename",AO1))+1,255)&amp;"1")))&lt;&gt;MONTH(TODAY()),AY43/(DAY(EOMONTH(DATE(YEAR(TODAY()),VALUE(MONTH(DATEVALUE(MID(CELL("filename",AO1),FIND("]",CELL("filename",AO1))+1,255)&amp;"1"))),1),0))),(AY43-AY42)/('[1]Summary TCM'!$AB$140-DAY(TODAY()-1)))</f>
        <v>#VALUE!</v>
      </c>
      <c r="AZ45" t="e">
        <f ca="1">IF(VALUE(MONTH(DATEVALUE(MID(CELL("filename",AP1),FIND("]",CELL("filename",AP1))+1,255)&amp;"1")))&lt;&gt;MONTH(TODAY()),AZ43/(DAY(EOMONTH(DATE(YEAR(TODAY()),VALUE(MONTH(DATEVALUE(MID(CELL("filename",AP1),FIND("]",CELL("filename",AP1))+1,255)&amp;"1"))),1),0))),(AZ43-AZ42)/('[1]Summary TCM'!$AB$140-DAY(TODAY()-1)))</f>
        <v>#VALUE!</v>
      </c>
      <c r="BA45" t="e">
        <f ca="1">IF(VALUE(MONTH(DATEVALUE(MID(CELL("filename",AQ1),FIND("]",CELL("filename",AQ1))+1,255)&amp;"1")))&lt;&gt;MONTH(TODAY()),BA43/(DAY(EOMONTH(DATE(YEAR(TODAY()),VALUE(MONTH(DATEVALUE(MID(CELL("filename",AQ1),FIND("]",CELL("filename",AQ1))+1,255)&amp;"1"))),1),0))),(BA43-BA42)/('[1]Summary TCM'!$AB$140-DAY(TODAY()-1)))</f>
        <v>#VALUE!</v>
      </c>
      <c r="BB45" t="e">
        <f ca="1">IF(VALUE(MONTH(DATEVALUE(MID(CELL("filename",AR1),FIND("]",CELL("filename",AR1))+1,255)&amp;"1")))&lt;&gt;MONTH(TODAY()),BB43/(DAY(EOMONTH(DATE(YEAR(TODAY()),VALUE(MONTH(DATEVALUE(MID(CELL("filename",AR1),FIND("]",CELL("filename",AR1))+1,255)&amp;"1"))),1),0))),(BB43-BB42)/('[1]Summary TCM'!$AB$140-DAY(TODAY()-1)))</f>
        <v>#VALUE!</v>
      </c>
      <c r="BC45" t="e">
        <f ca="1">IF(VALUE(MONTH(DATEVALUE(MID(CELL("filename",AS1),FIND("]",CELL("filename",AS1))+1,255)&amp;"1")))&lt;&gt;MONTH(TODAY()),BC43/(DAY(EOMONTH(DATE(YEAR(TODAY()),VALUE(MONTH(DATEVALUE(MID(CELL("filename",AS1),FIND("]",CELL("filename",AS1))+1,255)&amp;"1"))),1),0))),(BC43-BC42)/('[1]Summary TCM'!$AB$140-DAY(TODAY()-1)))</f>
        <v>#VALUE!</v>
      </c>
      <c r="BD45" t="e">
        <f ca="1">IF(VALUE(MONTH(DATEVALUE(MID(CELL("filename",AT1),FIND("]",CELL("filename",AT1))+1,255)&amp;"1")))&lt;&gt;MONTH(TODAY()),BD43/(DAY(EOMONTH(DATE(YEAR(TODAY()),VALUE(MONTH(DATEVALUE(MID(CELL("filename",AT1),FIND("]",CELL("filename",AT1))+1,255)&amp;"1"))),1),0))),(BD43-BD42)/('[1]Summary TCM'!$AB$140-DAY(TODAY()-1)))</f>
        <v>#VALUE!</v>
      </c>
      <c r="BE45" t="e">
        <f ca="1">IF(VALUE(MONTH(DATEVALUE(MID(CELL("filename",AU1),FIND("]",CELL("filename",AU1))+1,255)&amp;"1")))&lt;&gt;MONTH(TODAY()),BE43/(DAY(EOMONTH(DATE(YEAR(TODAY()),VALUE(MONTH(DATEVALUE(MID(CELL("filename",AU1),FIND("]",CELL("filename",AU1))+1,255)&amp;"1"))),1),0))),(BE43-BE42)/('[1]Summary TCM'!$AB$140-DAY(TODAY()-1)))</f>
        <v>#VALUE!</v>
      </c>
      <c r="BF45" t="e">
        <f ca="1">IF(VALUE(MONTH(DATEVALUE(MID(CELL("filename",AV1),FIND("]",CELL("filename",AV1))+1,255)&amp;"1")))&lt;&gt;MONTH(TODAY()),BF43/(DAY(EOMONTH(DATE(YEAR(TODAY()),VALUE(MONTH(DATEVALUE(MID(CELL("filename",AV1),FIND("]",CELL("filename",AV1))+1,255)&amp;"1"))),1),0))),(BF43-BF42)/('[1]Summary TCM'!$AB$140-DAY(TODAY()-1)))</f>
        <v>#VALUE!</v>
      </c>
      <c r="BG45" t="e">
        <f ca="1">IF(VALUE(MONTH(DATEVALUE(MID(CELL("filename",AW1),FIND("]",CELL("filename",AW1))+1,255)&amp;"1")))&lt;&gt;MONTH(TODAY()),BG43/(DAY(EOMONTH(DATE(YEAR(TODAY()),VALUE(MONTH(DATEVALUE(MID(CELL("filename",AW1),FIND("]",CELL("filename",AW1))+1,255)&amp;"1"))),1),0))),(BG43-BG42)/('[1]Summary TCM'!$AB$140-DAY(TODAY()-1)))</f>
        <v>#VALUE!</v>
      </c>
      <c r="BH45" t="e">
        <f ca="1">IF(VALUE(MONTH(DATEVALUE(MID(CELL("filename",AX1),FIND("]",CELL("filename",AX1))+1,255)&amp;"1")))&lt;&gt;MONTH(TODAY()),BH43/(DAY(EOMONTH(DATE(YEAR(TODAY()),VALUE(MONTH(DATEVALUE(MID(CELL("filename",AX1),FIND("]",CELL("filename",AX1))+1,255)&amp;"1"))),1),0))),(BH43-BH42)/('[1]Summary TCM'!$AB$140-DAY(TODAY()-1)))</f>
        <v>#VALUE!</v>
      </c>
      <c r="BI45" t="e">
        <f ca="1">IF(VALUE(MONTH(DATEVALUE(MID(CELL("filename",AY1),FIND("]",CELL("filename",AY1))+1,255)&amp;"1")))&lt;&gt;MONTH(TODAY()),BI43/(DAY(EOMONTH(DATE(YEAR(TODAY()),VALUE(MONTH(DATEVALUE(MID(CELL("filename",AY1),FIND("]",CELL("filename",AY1))+1,255)&amp;"1"))),1),0))),(BI43-BI42)/('[1]Summary TCM'!$AB$140-DAY(TODAY()-1)))</f>
        <v>#VALUE!</v>
      </c>
      <c r="BJ45" t="e">
        <f ca="1">IF(VALUE(MONTH(DATEVALUE(MID(CELL("filename",AZ1),FIND("]",CELL("filename",AZ1))+1,255)&amp;"1")))&lt;&gt;MONTH(TODAY()),BJ43/(DAY(EOMONTH(DATE(YEAR(TODAY()),VALUE(MONTH(DATEVALUE(MID(CELL("filename",AZ1),FIND("]",CELL("filename",AZ1))+1,255)&amp;"1"))),1),0))),(BJ43-BJ42)/('[1]Summary TCM'!$AB$140-DAY(TODAY()-1)))</f>
        <v>#VALUE!</v>
      </c>
      <c r="BK45" t="e">
        <f ca="1">IF(VALUE(MONTH(DATEVALUE(MID(CELL("filename",BA1),FIND("]",CELL("filename",BA1))+1,255)&amp;"1")))&lt;&gt;MONTH(TODAY()),BK43/(DAY(EOMONTH(DATE(YEAR(TODAY()),VALUE(MONTH(DATEVALUE(MID(CELL("filename",BA1),FIND("]",CELL("filename",BA1))+1,255)&amp;"1"))),1),0))),(BK43-BK42)/('[1]Summary TCM'!$AB$140-DAY(TODAY()-1)))</f>
        <v>#VALUE!</v>
      </c>
      <c r="BL45" t="e">
        <f ca="1">IF(VALUE(MONTH(DATEVALUE(MID(CELL("filename",BB1),FIND("]",CELL("filename",BB1))+1,255)&amp;"1")))&lt;&gt;MONTH(TODAY()),BL43/(DAY(EOMONTH(DATE(YEAR(TODAY()),VALUE(MONTH(DATEVALUE(MID(CELL("filename",BB1),FIND("]",CELL("filename",BB1))+1,255)&amp;"1"))),1),0))),(BL43-BL42)/('[1]Summary TCM'!$AB$140-DAY(TODAY()-1)))</f>
        <v>#VALUE!</v>
      </c>
      <c r="BM45" t="e">
        <f ca="1">IF(VALUE(MONTH(DATEVALUE(MID(CELL("filename",BC1),FIND("]",CELL("filename",BC1))+1,255)&amp;"1")))&lt;&gt;MONTH(TODAY()),BM43/(DAY(EOMONTH(DATE(YEAR(TODAY()),VALUE(MONTH(DATEVALUE(MID(CELL("filename",BC1),FIND("]",CELL("filename",BC1))+1,255)&amp;"1"))),1),0))),(BM43-BM42)/('[1]Summary TCM'!$AB$140-DAY(TODAY()-1)))</f>
        <v>#VALUE!</v>
      </c>
      <c r="BN45" t="e">
        <f ca="1">IF(VALUE(MONTH(DATEVALUE(MID(CELL("filename",BD1),FIND("]",CELL("filename",BD1))+1,255)&amp;"1")))&lt;&gt;MONTH(TODAY()),BN43/(DAY(EOMONTH(DATE(YEAR(TODAY()),VALUE(MONTH(DATEVALUE(MID(CELL("filename",BD1),FIND("]",CELL("filename",BD1))+1,255)&amp;"1"))),1),0))),(BN43-BN42)/('[1]Summary TCM'!$AB$140-DAY(TODAY()-1)))</f>
        <v>#VALUE!</v>
      </c>
      <c r="BO45" t="e">
        <f ca="1">IF(VALUE(MONTH(DATEVALUE(MID(CELL("filename",BE1),FIND("]",CELL("filename",BE1))+1,255)&amp;"1")))&lt;&gt;MONTH(TODAY()),BP43/(DAY(EOMONTH(DATE(YEAR(TODAY()),VALUE(MONTH(DATEVALUE(MID(CELL("filename",BE1),FIND("]",CELL("filename",BE1))+1,255)&amp;"1"))),1),0))),(BP43-BO42)/('[1]Summary TCM'!$AB$140-DAY(TODAY()-1)))</f>
        <v>#VALUE!</v>
      </c>
      <c r="BP45" t="e">
        <f ca="1">IF(VALUE(MONTH(DATEVALUE(MID(CELL("filename",BF1),FIND("]",CELL("filename",BF1))+1,255)&amp;"1")))&lt;&gt;MONTH(TODAY()),#REF!/(DAY(EOMONTH(DATE(YEAR(TODAY()),VALUE(MONTH(DATEVALUE(MID(CELL("filename",BF1),FIND("]",CELL("filename",BF1))+1,255)&amp;"1"))),1),0))),(#REF!-BP42)/('[1]Summary TCM'!$AB$140-DAY(TODAY()-1)))</f>
        <v>#VALUE!</v>
      </c>
      <c r="BQ45" t="e">
        <f ca="1">IF(VALUE(MONTH(DATEVALUE(MID(CELL("filename",BG1),FIND("]",CELL("filename",BG1))+1,255)&amp;"1")))&lt;&gt;MONTH(TODAY()),BQ43/(DAY(EOMONTH(DATE(YEAR(TODAY()),VALUE(MONTH(DATEVALUE(MID(CELL("filename",BG1),FIND("]",CELL("filename",BG1))+1,255)&amp;"1"))),1),0))),(BQ43-BQ42)/('[1]Summary TCM'!$AB$140-DAY(TODAY()-1)))</f>
        <v>#VALUE!</v>
      </c>
      <c r="BR45" t="e">
        <f ca="1">IF(VALUE(MONTH(DATEVALUE(MID(CELL("filename",BE1),FIND("]",CELL("filename",BE1))+1,255)&amp;"1")))&lt;&gt;MONTH(TODAY()),BR43/(DAY(EOMONTH(DATE(YEAR(TODAY()),VALUE(MONTH(DATEVALUE(MID(CELL("filename",BE1),FIND("]",CELL("filename",BE1))+1,255)&amp;"1"))),1),0))),(BR43-BR42)/('[1]Summary TCM'!$AB$140-DAY(TODAY()-1)))</f>
        <v>#VALUE!</v>
      </c>
      <c r="BS45" t="e">
        <f ca="1">IF(VALUE(MONTH(DATEVALUE(MID(CELL("filename",BF1),FIND("]",CELL("filename",BF1))+1,255)&amp;"1")))&lt;&gt;MONTH(TODAY()),BS43/(DAY(EOMONTH(DATE(YEAR(TODAY()),VALUE(MONTH(DATEVALUE(MID(CELL("filename",BF1),FIND("]",CELL("filename",BF1))+1,255)&amp;"1"))),1),0))),(BS43-BS42)/('[1]Summary TCM'!$AB$140-DAY(TODAY()-1)))</f>
        <v>#VALUE!</v>
      </c>
      <c r="BT45" t="e">
        <f ca="1">IF(VALUE(MONTH(DATEVALUE(MID(CELL("filename",BG1),FIND("]",CELL("filename",BG1))+1,255)&amp;"1")))&lt;&gt;MONTH(TODAY()),BT43/(DAY(EOMONTH(DATE(YEAR(TODAY()),VALUE(MONTH(DATEVALUE(MID(CELL("filename",BG1),FIND("]",CELL("filename",BG1))+1,255)&amp;"1"))),1),0))),(BT43-BT42)/('[1]Summary TCM'!$AB$140-DAY(TODAY()-1)))</f>
        <v>#VALUE!</v>
      </c>
      <c r="BU45" t="e">
        <f ca="1">IF(VALUE(MONTH(DATEVALUE(MID(CELL("filename",BH1),FIND("]",CELL("filename",BH1))+1,255)&amp;"1")))&lt;&gt;MONTH(TODAY()),BU43/(DAY(EOMONTH(DATE(YEAR(TODAY()),VALUE(MONTH(DATEVALUE(MID(CELL("filename",BH1),FIND("]",CELL("filename",BH1))+1,255)&amp;"1"))),1),0))),(BU43-BU42)/('[1]Summary TCM'!$AB$140-DAY(TODAY()-1)))</f>
        <v>#VALUE!</v>
      </c>
      <c r="BV45" t="e">
        <f ca="1">IF(VALUE(MONTH(DATEVALUE(MID(CELL("filename",BI1),FIND("]",CELL("filename",BI1))+1,255)&amp;"1")))&lt;&gt;MONTH(TODAY()),BV43/(DAY(EOMONTH(DATE(YEAR(TODAY()),VALUE(MONTH(DATEVALUE(MID(CELL("filename",BI1),FIND("]",CELL("filename",BI1))+1,255)&amp;"1"))),1),0))),(BV43-BV42)/('[1]Summary TCM'!$AB$140-DAY(TODAY()-1)))</f>
        <v>#VALUE!</v>
      </c>
      <c r="BW45" t="e">
        <f ca="1">IF(VALUE(MONTH(DATEVALUE(MID(CELL("filename",BJ1),FIND("]",CELL("filename",BJ1))+1,255)&amp;"1")))&lt;&gt;MONTH(TODAY()),BW43/(DAY(EOMONTH(DATE(YEAR(TODAY()),VALUE(MONTH(DATEVALUE(MID(CELL("filename",BJ1),FIND("]",CELL("filename",BJ1))+1,255)&amp;"1"))),1),0))),(BW43-BW42)/('[1]Summary TCM'!$AB$140-DAY(TODAY()-1)))</f>
        <v>#VALUE!</v>
      </c>
      <c r="CD45" t="e">
        <f ca="1">IF(VALUE(MONTH(DATEVALUE(MID(CELL("filename",BK1),FIND("]",CELL("filename",BK1))+1,255)&amp;"1")))&lt;&gt;MONTH(TODAY()),CD43/(DAY(EOMONTH(DATE(YEAR(TODAY()),VALUE(MONTH(DATEVALUE(MID(CELL("filename",BK1),FIND("]",CELL("filename",BK1))+1,255)&amp;"1"))),1),0))),(CD43-CD42)/('[1]Summary TCM'!$AB$140-DAY(TODAY()-1)))</f>
        <v>#VALUE!</v>
      </c>
      <c r="CE45" t="e">
        <f ca="1">IF(VALUE(MONTH(DATEVALUE(MID(CELL("filename",BL1),FIND("]",CELL("filename",BL1))+1,255)&amp;"1")))&lt;&gt;MONTH(TODAY()),CE43/(DAY(EOMONTH(DATE(YEAR(TODAY()),VALUE(MONTH(DATEVALUE(MID(CELL("filename",BL1),FIND("]",CELL("filename",BL1))+1,255)&amp;"1"))),1),0))),(CE43-CE42)/('[1]Summary TCM'!$AB$140-DAY(TODAY()-1)))</f>
        <v>#VALUE!</v>
      </c>
      <c r="CF45" t="e">
        <f ca="1">IF(VALUE(MONTH(DATEVALUE(MID(CELL("filename",BM1),FIND("]",CELL("filename",BM1))+1,255)&amp;"1")))&lt;&gt;MONTH(TODAY()),CF43/(DAY(EOMONTH(DATE(YEAR(TODAY()),VALUE(MONTH(DATEVALUE(MID(CELL("filename",BM1),FIND("]",CELL("filename",BM1))+1,255)&amp;"1"))),1),0))),(CF43-CF42)/('[1]Summary TCM'!$AB$140-DAY(TODAY()-1)))</f>
        <v>#VALUE!</v>
      </c>
      <c r="DK45" s="281"/>
      <c r="IH45" s="1">
        <f>SUM(IH42:IJ42)</f>
        <v>95525.78</v>
      </c>
      <c r="JN45">
        <f>SUMPRODUCT(JN43:JU43,JN44:JU44)</f>
        <v>0</v>
      </c>
      <c r="JV45">
        <f>SUMPRODUCT(JV43:KC43,JV44:KC44)</f>
        <v>0</v>
      </c>
      <c r="KD45">
        <f>SUMPRODUCT(KD43:KK43,KD44:KK44)</f>
        <v>0</v>
      </c>
      <c r="LW45" s="314"/>
      <c r="LY45" s="314"/>
      <c r="MA45" s="1"/>
      <c r="OC45" s="95"/>
      <c r="QL45" s="1"/>
      <c r="QM45" s="1"/>
      <c r="QO45" s="1"/>
      <c r="QP45" s="1"/>
      <c r="RW45" s="1"/>
    </row>
    <row r="46" spans="1:500">
      <c r="D46" s="1"/>
      <c r="E46" s="1"/>
      <c r="F46" s="1"/>
      <c r="G46" s="1"/>
      <c r="H46" s="95"/>
      <c r="I46" s="1"/>
      <c r="AB46" s="887"/>
      <c r="DK46" s="1"/>
      <c r="GP46" s="887">
        <f>GK41+GL41</f>
        <v>175919.13</v>
      </c>
      <c r="JK46" s="95"/>
      <c r="JL46" s="1"/>
      <c r="LJ46" s="330"/>
      <c r="LR46" s="314"/>
      <c r="NN46" s="1"/>
      <c r="NW46" s="1"/>
      <c r="NX46" s="1"/>
      <c r="OC46" s="95"/>
      <c r="RW46" s="1"/>
    </row>
    <row r="47" spans="1:500">
      <c r="C47" s="1"/>
      <c r="D47" s="887"/>
      <c r="E47" s="1"/>
      <c r="F47" s="1"/>
      <c r="G47" s="1"/>
      <c r="H47" s="887"/>
      <c r="I47" s="1"/>
      <c r="P47" s="887"/>
      <c r="T47" s="887"/>
      <c r="AB47" s="887"/>
      <c r="AQ47" s="95"/>
      <c r="AR47" s="95"/>
      <c r="AS47" s="95"/>
      <c r="AT47" s="95"/>
      <c r="AU47" s="95"/>
      <c r="AV47" s="95"/>
      <c r="AW47" s="95"/>
      <c r="AX47" s="95"/>
      <c r="AY47" s="95"/>
      <c r="AZ47" s="95"/>
      <c r="BA47" s="95"/>
      <c r="BB47" s="95"/>
      <c r="BC47" s="95"/>
      <c r="BD47" s="95"/>
      <c r="BE47" s="95"/>
      <c r="BF47" s="95"/>
      <c r="BG47" s="95"/>
      <c r="BH47" s="95"/>
      <c r="BI47" s="95"/>
      <c r="BJ47" s="95"/>
      <c r="BK47" s="95"/>
      <c r="BL47" s="95"/>
      <c r="BM47" s="95"/>
      <c r="BN47" s="95"/>
      <c r="BO47" s="95">
        <f ca="1">BO47</f>
        <v>0</v>
      </c>
      <c r="BP47" s="95"/>
      <c r="BQ47" s="95"/>
      <c r="BR47" s="95"/>
      <c r="BS47" s="95"/>
      <c r="BT47" s="95"/>
      <c r="BU47" s="95"/>
      <c r="BV47" s="95"/>
      <c r="BW47" s="95"/>
      <c r="BX47" s="95"/>
      <c r="BY47" s="95"/>
      <c r="BZ47" s="95"/>
      <c r="CA47" s="95"/>
      <c r="CB47" s="95"/>
      <c r="CC47" s="95"/>
      <c r="DW47" s="1">
        <f>DV28+DR28</f>
        <v>0</v>
      </c>
      <c r="GM47" s="887"/>
      <c r="GP47" s="887"/>
      <c r="JH47" s="887"/>
      <c r="JI47" s="887"/>
      <c r="JK47" s="887">
        <f>JK43-JK41</f>
        <v>-4158.9799999999523</v>
      </c>
      <c r="JL47" s="887"/>
      <c r="LH47" s="329"/>
      <c r="LJ47" s="1447"/>
      <c r="LK47" s="314"/>
      <c r="LL47" s="314"/>
      <c r="LO47" s="314"/>
      <c r="LP47" s="314">
        <v>5222.3980000000001</v>
      </c>
      <c r="LR47" s="314"/>
      <c r="NN47" s="1"/>
      <c r="RW47" s="1"/>
    </row>
    <row r="48" spans="1:500">
      <c r="D48" s="887"/>
      <c r="E48" s="1"/>
      <c r="F48" s="1"/>
      <c r="G48" s="1"/>
      <c r="I48" s="95"/>
      <c r="O48" s="887"/>
      <c r="P48" s="887"/>
      <c r="S48" s="887"/>
      <c r="T48" s="887"/>
      <c r="AB48" s="887"/>
      <c r="AC48" s="1"/>
      <c r="AD48" s="1"/>
      <c r="AE48" s="1"/>
      <c r="AQ48" s="887"/>
      <c r="AR48" s="887"/>
      <c r="AW48" s="1">
        <f>AW43-AW42</f>
        <v>-144232.19610000029</v>
      </c>
      <c r="BC48" s="1">
        <f>BC43-BC42</f>
        <v>14214.266800000099</v>
      </c>
      <c r="BG48" s="887"/>
      <c r="BL48" s="1">
        <f>BL43-BL42</f>
        <v>108686.66330000013</v>
      </c>
      <c r="BM48" s="887">
        <f>BM43/31</f>
        <v>1451.6129032258063</v>
      </c>
      <c r="BO48" s="887"/>
      <c r="BP48" s="887"/>
      <c r="BR48" s="421">
        <f>BR43-BR42</f>
        <v>0</v>
      </c>
      <c r="BS48" s="95"/>
      <c r="BU48" s="1">
        <f>BU43-BU42</f>
        <v>96983.186899999972</v>
      </c>
      <c r="BV48" s="1">
        <f>BV43-BV41</f>
        <v>4660</v>
      </c>
      <c r="BX48" s="1">
        <f>BX43-BX42</f>
        <v>0</v>
      </c>
      <c r="CD48" s="421">
        <f>CD43-CD42</f>
        <v>0</v>
      </c>
      <c r="CG48" s="887"/>
      <c r="IL48" s="1"/>
      <c r="JH48" s="887">
        <v>160870.77999999997</v>
      </c>
      <c r="JI48" s="887">
        <v>63288.19999999999</v>
      </c>
      <c r="JJ48" s="887"/>
      <c r="JL48" s="887"/>
      <c r="JN48" s="2715"/>
      <c r="JO48" s="2715"/>
      <c r="LF48" s="328"/>
      <c r="LG48" s="328"/>
      <c r="LH48" s="331"/>
      <c r="LK48" s="328"/>
      <c r="LL48" s="314"/>
      <c r="LP48" s="314">
        <v>7444.732</v>
      </c>
      <c r="LR48" s="314"/>
      <c r="NN48" s="1"/>
      <c r="RW48" s="1"/>
    </row>
    <row r="49" spans="2:491" ht="25.2" hidden="1" customHeight="1">
      <c r="D49" s="887"/>
      <c r="O49" s="1">
        <f>O43-O42</f>
        <v>-130017.92929999996</v>
      </c>
      <c r="P49" s="887">
        <f>P43-P41</f>
        <v>-8273.140000000014</v>
      </c>
      <c r="S49" s="887">
        <f>S43-S42</f>
        <v>108686.66330000013</v>
      </c>
      <c r="T49" s="887">
        <f>T43-T41</f>
        <v>8034.8100000000049</v>
      </c>
      <c r="X49" s="887">
        <f>X43-X42</f>
        <v>4835.2446433753794</v>
      </c>
      <c r="Y49" s="887"/>
      <c r="Z49" s="1"/>
      <c r="AA49" s="887">
        <f>P41+T41+AB41</f>
        <v>195238.33000000002</v>
      </c>
      <c r="AB49" s="887"/>
      <c r="AD49" s="1"/>
      <c r="AE49" s="1"/>
      <c r="BG49" s="887"/>
      <c r="BV49" s="887">
        <f>BV43/31</f>
        <v>2258.0645161290322</v>
      </c>
      <c r="BY49" s="887"/>
      <c r="DS49" s="1"/>
      <c r="EL49" s="1"/>
      <c r="GX49" s="887">
        <f>GV38-GM38</f>
        <v>0</v>
      </c>
      <c r="JH49" s="887"/>
      <c r="JK49" s="887"/>
      <c r="JL49" s="887"/>
      <c r="LF49" s="306"/>
      <c r="LG49" s="887"/>
      <c r="LH49" s="887"/>
      <c r="LI49" s="327"/>
      <c r="LL49" s="314"/>
      <c r="LP49" s="314">
        <v>7339.2969999999996</v>
      </c>
      <c r="NN49" s="1"/>
      <c r="OA49" s="1"/>
      <c r="RW49" s="1"/>
    </row>
    <row r="50" spans="2:491" hidden="1">
      <c r="M50" s="92"/>
      <c r="O50">
        <f>'Summary TCM'!AW21</f>
        <v>2745000</v>
      </c>
      <c r="P50" s="887">
        <f>'Summary TCM'!AW38</f>
        <v>170000</v>
      </c>
      <c r="S50">
        <f>'Summary TCM'!AW26/31</f>
        <v>30645.16129032258</v>
      </c>
      <c r="T50" s="887">
        <f>T49/12</f>
        <v>669.56750000000045</v>
      </c>
      <c r="U50" s="887"/>
      <c r="W50">
        <f>'Summary TCM'!AV29+'Summary TCM'!AV99</f>
        <v>920000</v>
      </c>
      <c r="X50" s="887">
        <f>'Summary TCM'!AV46+'Summary TCM'!AV113</f>
        <v>90000</v>
      </c>
      <c r="AB50" s="887"/>
      <c r="AD50" s="887"/>
      <c r="AX50" s="887"/>
      <c r="BD50" s="887"/>
      <c r="BM50" s="887"/>
      <c r="BP50" s="887"/>
      <c r="BV50" s="887"/>
      <c r="GM50" s="1079"/>
      <c r="GR50" s="887">
        <f>GR43/31</f>
        <v>0</v>
      </c>
      <c r="JH50" s="887"/>
      <c r="JK50" s="95"/>
      <c r="JL50" s="887"/>
      <c r="JN50" s="95"/>
      <c r="JP50" s="887"/>
      <c r="LG50" s="887"/>
      <c r="LH50" s="95"/>
      <c r="LK50" s="314"/>
      <c r="LL50" s="314"/>
      <c r="LX50" s="1078"/>
      <c r="NN50" s="1"/>
      <c r="RW50" s="1"/>
    </row>
    <row r="51" spans="2:491" ht="22.95" hidden="1" customHeight="1">
      <c r="M51" s="39"/>
      <c r="O51" s="1">
        <f>O50/31</f>
        <v>88548.387096774197</v>
      </c>
      <c r="P51" s="887">
        <f>P50/31</f>
        <v>5483.8709677419356</v>
      </c>
      <c r="Y51" s="887"/>
      <c r="AB51" s="887"/>
      <c r="JK51" s="485"/>
      <c r="LJ51" s="95"/>
      <c r="NN51" s="1"/>
      <c r="RW51" s="1"/>
    </row>
    <row r="52" spans="2:491" s="145" customFormat="1" hidden="1">
      <c r="M52" s="982"/>
      <c r="O52" s="1717">
        <v>88548.387096774197</v>
      </c>
      <c r="P52" s="1686">
        <v>5483.8709677419356</v>
      </c>
      <c r="S52" s="1716">
        <v>29032.258064516129</v>
      </c>
      <c r="T52" s="1715">
        <v>1612.9032258064517</v>
      </c>
      <c r="W52" s="1716">
        <v>29354.83870967742</v>
      </c>
      <c r="X52" s="1716">
        <v>2903.2258064516127</v>
      </c>
      <c r="AB52" s="489">
        <f>P43-P41</f>
        <v>-8273.140000000014</v>
      </c>
      <c r="AW52" s="145">
        <f>114433+880303+87096</f>
        <v>1081832</v>
      </c>
      <c r="AX52" s="145">
        <f>14516+24194+16935</f>
        <v>55645</v>
      </c>
      <c r="BC52" s="145">
        <f>10391+32968</f>
        <v>43359</v>
      </c>
      <c r="JL52" s="432"/>
      <c r="NN52" s="1"/>
      <c r="RW52" s="459"/>
    </row>
    <row r="53" spans="2:491" s="145" customFormat="1" hidden="1">
      <c r="B53" s="145">
        <v>1</v>
      </c>
      <c r="C53" s="459"/>
      <c r="D53" s="459"/>
      <c r="M53" s="982"/>
      <c r="N53" s="145">
        <v>1</v>
      </c>
      <c r="O53" s="459">
        <f>O52</f>
        <v>88548.387096774197</v>
      </c>
      <c r="P53" s="986">
        <f>P52</f>
        <v>5483.8709677419356</v>
      </c>
      <c r="R53" s="145">
        <v>1</v>
      </c>
      <c r="S53" s="459">
        <f>S52</f>
        <v>29032.258064516129</v>
      </c>
      <c r="T53" s="459">
        <f>T52</f>
        <v>1612.9032258064517</v>
      </c>
      <c r="V53" s="145">
        <v>1</v>
      </c>
      <c r="W53" s="459">
        <f>W52</f>
        <v>29354.83870967742</v>
      </c>
      <c r="X53" s="145">
        <f>X52</f>
        <v>2903.2258064516127</v>
      </c>
      <c r="Z53" s="145">
        <v>1</v>
      </c>
      <c r="AB53" s="145">
        <v>30</v>
      </c>
      <c r="BF53" s="145">
        <v>121506</v>
      </c>
      <c r="NN53" s="1"/>
      <c r="RW53" s="459"/>
    </row>
    <row r="54" spans="2:491" s="145" customFormat="1" hidden="1">
      <c r="B54" s="145">
        <v>2</v>
      </c>
      <c r="C54" s="459"/>
      <c r="D54" s="459"/>
      <c r="M54" s="982"/>
      <c r="N54" s="145">
        <v>2</v>
      </c>
      <c r="O54" s="459">
        <f t="shared" ref="O54:O83" si="206">O53+($O$52)</f>
        <v>177096.77419354839</v>
      </c>
      <c r="P54" s="986">
        <f t="shared" ref="P54:P83" si="207">P53+($P$52)</f>
        <v>10967.741935483871</v>
      </c>
      <c r="R54" s="145">
        <v>2</v>
      </c>
      <c r="S54" s="459">
        <f t="shared" ref="S54:S83" si="208">S53+($S$52)</f>
        <v>58064.516129032258</v>
      </c>
      <c r="T54" s="459">
        <f t="shared" ref="T54:T83" si="209">T53+$T$52</f>
        <v>3225.8064516129034</v>
      </c>
      <c r="V54" s="145">
        <v>2</v>
      </c>
      <c r="W54" s="459">
        <f t="shared" ref="W54:W83" si="210">W53+($W$52)</f>
        <v>58709.677419354841</v>
      </c>
      <c r="X54" s="459">
        <f t="shared" ref="X54:X83" si="211">X53+$X$52</f>
        <v>5806.4516129032254</v>
      </c>
      <c r="Z54" s="145">
        <v>2</v>
      </c>
      <c r="AB54" s="489">
        <f>AB52/AB53</f>
        <v>-275.77133333333381</v>
      </c>
      <c r="BF54" s="145">
        <v>896260</v>
      </c>
      <c r="NN54" s="1"/>
      <c r="RW54" s="459"/>
    </row>
    <row r="55" spans="2:491" s="145" customFormat="1" hidden="1">
      <c r="B55" s="145">
        <v>3</v>
      </c>
      <c r="C55" s="459"/>
      <c r="D55" s="459"/>
      <c r="M55" s="982"/>
      <c r="N55" s="145">
        <v>3</v>
      </c>
      <c r="O55" s="459">
        <f t="shared" si="206"/>
        <v>265645.16129032261</v>
      </c>
      <c r="P55" s="986">
        <f t="shared" si="207"/>
        <v>16451.612903225807</v>
      </c>
      <c r="R55" s="145">
        <v>3</v>
      </c>
      <c r="S55" s="459">
        <f t="shared" si="208"/>
        <v>87096.774193548394</v>
      </c>
      <c r="T55" s="459">
        <f t="shared" si="209"/>
        <v>4838.7096774193551</v>
      </c>
      <c r="V55" s="145">
        <v>3</v>
      </c>
      <c r="W55" s="459">
        <f t="shared" si="210"/>
        <v>88064.516129032258</v>
      </c>
      <c r="X55" s="459">
        <f t="shared" si="211"/>
        <v>8709.6774193548372</v>
      </c>
      <c r="Z55" s="145">
        <v>3</v>
      </c>
      <c r="BF55" s="145">
        <v>24906</v>
      </c>
      <c r="NN55" s="1"/>
      <c r="RW55" s="459"/>
    </row>
    <row r="56" spans="2:491" s="145" customFormat="1" hidden="1">
      <c r="B56" s="145">
        <v>4</v>
      </c>
      <c r="C56" s="459"/>
      <c r="D56" s="459"/>
      <c r="M56" s="982"/>
      <c r="N56" s="145">
        <v>4</v>
      </c>
      <c r="O56" s="459">
        <f t="shared" si="206"/>
        <v>354193.54838709679</v>
      </c>
      <c r="P56" s="986">
        <f t="shared" si="207"/>
        <v>21935.483870967742</v>
      </c>
      <c r="R56" s="145">
        <v>4</v>
      </c>
      <c r="S56" s="459">
        <f t="shared" si="208"/>
        <v>116129.03225806452</v>
      </c>
      <c r="T56" s="459">
        <f t="shared" si="209"/>
        <v>6451.6129032258068</v>
      </c>
      <c r="V56" s="145">
        <v>4</v>
      </c>
      <c r="W56" s="459">
        <f t="shared" si="210"/>
        <v>117419.35483870968</v>
      </c>
      <c r="X56" s="459">
        <f t="shared" si="211"/>
        <v>11612.903225806451</v>
      </c>
      <c r="Z56" s="145">
        <v>4</v>
      </c>
      <c r="NN56" s="1"/>
      <c r="RW56" s="459"/>
    </row>
    <row r="57" spans="2:491" s="145" customFormat="1" hidden="1">
      <c r="B57" s="145">
        <v>5</v>
      </c>
      <c r="C57" s="459"/>
      <c r="D57" s="459"/>
      <c r="M57" s="982"/>
      <c r="N57" s="145">
        <v>5</v>
      </c>
      <c r="O57" s="459">
        <f t="shared" si="206"/>
        <v>442741.93548387097</v>
      </c>
      <c r="P57" s="986">
        <f t="shared" si="207"/>
        <v>27419.354838709678</v>
      </c>
      <c r="R57" s="145">
        <v>5</v>
      </c>
      <c r="S57" s="459">
        <f t="shared" si="208"/>
        <v>145161.29032258064</v>
      </c>
      <c r="T57" s="459">
        <f t="shared" si="209"/>
        <v>8064.5161290322585</v>
      </c>
      <c r="V57" s="145">
        <v>5</v>
      </c>
      <c r="W57" s="459">
        <f t="shared" si="210"/>
        <v>146774.19354838709</v>
      </c>
      <c r="X57" s="459">
        <f t="shared" si="211"/>
        <v>14516.129032258064</v>
      </c>
      <c r="Z57" s="145">
        <v>5</v>
      </c>
      <c r="BF57" s="1005">
        <f>SUM(BF53:BF56)</f>
        <v>1042672</v>
      </c>
      <c r="NN57" s="1"/>
      <c r="RW57" s="459"/>
    </row>
    <row r="58" spans="2:491" s="145" customFormat="1" hidden="1">
      <c r="B58" s="145">
        <v>6</v>
      </c>
      <c r="C58" s="459"/>
      <c r="D58" s="459"/>
      <c r="M58" s="982"/>
      <c r="N58" s="145">
        <v>6</v>
      </c>
      <c r="O58" s="459">
        <f t="shared" si="206"/>
        <v>531290.32258064521</v>
      </c>
      <c r="P58" s="986">
        <f t="shared" si="207"/>
        <v>32903.225806451614</v>
      </c>
      <c r="R58" s="145">
        <v>6</v>
      </c>
      <c r="S58" s="459">
        <f t="shared" si="208"/>
        <v>174193.54838709676</v>
      </c>
      <c r="T58" s="459">
        <f t="shared" si="209"/>
        <v>9677.4193548387102</v>
      </c>
      <c r="V58" s="145">
        <v>6</v>
      </c>
      <c r="W58" s="459">
        <f t="shared" si="210"/>
        <v>176129.03225806452</v>
      </c>
      <c r="X58" s="459">
        <f t="shared" si="211"/>
        <v>17419.354838709678</v>
      </c>
      <c r="Z58" s="145">
        <v>6</v>
      </c>
      <c r="BF58" s="145">
        <f>1038834-1017766</f>
        <v>21068</v>
      </c>
      <c r="NN58" s="1"/>
      <c r="RW58" s="459"/>
    </row>
    <row r="59" spans="2:491" s="145" customFormat="1" hidden="1">
      <c r="B59" s="145">
        <v>7</v>
      </c>
      <c r="C59" s="459"/>
      <c r="D59" s="459"/>
      <c r="M59" s="982"/>
      <c r="N59" s="145">
        <v>7</v>
      </c>
      <c r="O59" s="459">
        <f t="shared" si="206"/>
        <v>619838.70967741939</v>
      </c>
      <c r="P59" s="986">
        <f t="shared" si="207"/>
        <v>38387.096774193546</v>
      </c>
      <c r="R59" s="145">
        <v>7</v>
      </c>
      <c r="S59" s="459">
        <f t="shared" si="208"/>
        <v>203225.80645161288</v>
      </c>
      <c r="T59" s="459">
        <f t="shared" si="209"/>
        <v>11290.322580645163</v>
      </c>
      <c r="V59" s="145">
        <v>7</v>
      </c>
      <c r="W59" s="459">
        <f t="shared" si="210"/>
        <v>205483.87096774194</v>
      </c>
      <c r="X59" s="459">
        <f t="shared" si="211"/>
        <v>20322.580645161292</v>
      </c>
      <c r="Z59" s="145">
        <v>7</v>
      </c>
      <c r="BF59" s="145">
        <f>BF57-1038834</f>
        <v>3838</v>
      </c>
      <c r="NN59" s="1"/>
      <c r="RW59" s="459"/>
    </row>
    <row r="60" spans="2:491" s="145" customFormat="1" hidden="1">
      <c r="B60" s="145">
        <v>8</v>
      </c>
      <c r="C60" s="459"/>
      <c r="D60" s="459"/>
      <c r="M60" s="982"/>
      <c r="N60" s="145">
        <v>8</v>
      </c>
      <c r="O60" s="459">
        <f t="shared" si="206"/>
        <v>708387.09677419357</v>
      </c>
      <c r="P60" s="986">
        <f t="shared" si="207"/>
        <v>43870.967741935485</v>
      </c>
      <c r="R60" s="145">
        <v>8</v>
      </c>
      <c r="S60" s="459">
        <f t="shared" si="208"/>
        <v>232258.064516129</v>
      </c>
      <c r="T60" s="459">
        <f t="shared" si="209"/>
        <v>12903.225806451614</v>
      </c>
      <c r="V60" s="145">
        <v>8</v>
      </c>
      <c r="W60" s="459">
        <f t="shared" si="210"/>
        <v>234838.70967741936</v>
      </c>
      <c r="X60" s="459">
        <f t="shared" si="211"/>
        <v>23225.806451612905</v>
      </c>
      <c r="Z60" s="145">
        <v>8</v>
      </c>
      <c r="AP60" s="145">
        <v>37911.700000000004</v>
      </c>
      <c r="NN60" s="1"/>
      <c r="RW60" s="459"/>
    </row>
    <row r="61" spans="2:491" s="145" customFormat="1" hidden="1">
      <c r="B61" s="145">
        <v>9</v>
      </c>
      <c r="C61" s="459"/>
      <c r="D61" s="459"/>
      <c r="M61" s="982"/>
      <c r="N61" s="145">
        <v>9</v>
      </c>
      <c r="O61" s="459">
        <f t="shared" si="206"/>
        <v>796935.48387096776</v>
      </c>
      <c r="P61" s="986">
        <f t="shared" si="207"/>
        <v>49354.838709677424</v>
      </c>
      <c r="R61" s="145">
        <v>9</v>
      </c>
      <c r="S61" s="459">
        <f t="shared" si="208"/>
        <v>261290.32258064512</v>
      </c>
      <c r="T61" s="459">
        <f t="shared" si="209"/>
        <v>14516.129032258064</v>
      </c>
      <c r="V61" s="145">
        <v>9</v>
      </c>
      <c r="W61" s="459">
        <f t="shared" si="210"/>
        <v>264193.54838709679</v>
      </c>
      <c r="X61" s="459">
        <f t="shared" si="211"/>
        <v>26129.032258064519</v>
      </c>
      <c r="Z61" s="145">
        <v>9</v>
      </c>
      <c r="NN61" s="1"/>
      <c r="RW61" s="459"/>
    </row>
    <row r="62" spans="2:491" s="145" customFormat="1" hidden="1">
      <c r="B62" s="145">
        <v>10</v>
      </c>
      <c r="C62" s="459"/>
      <c r="D62" s="459"/>
      <c r="M62" s="982"/>
      <c r="N62" s="145">
        <v>10</v>
      </c>
      <c r="O62" s="459">
        <f t="shared" si="206"/>
        <v>885483.87096774194</v>
      </c>
      <c r="P62" s="986">
        <f t="shared" si="207"/>
        <v>54838.709677419363</v>
      </c>
      <c r="R62" s="145">
        <v>10</v>
      </c>
      <c r="S62" s="459">
        <f t="shared" si="208"/>
        <v>290322.58064516127</v>
      </c>
      <c r="T62" s="459">
        <f t="shared" si="209"/>
        <v>16129.032258064515</v>
      </c>
      <c r="V62" s="145">
        <v>10</v>
      </c>
      <c r="W62" s="459">
        <f t="shared" si="210"/>
        <v>293548.38709677418</v>
      </c>
      <c r="X62" s="459">
        <f t="shared" si="211"/>
        <v>29032.258064516132</v>
      </c>
      <c r="Z62" s="145">
        <v>10</v>
      </c>
      <c r="NN62" s="1"/>
      <c r="RW62" s="459"/>
    </row>
    <row r="63" spans="2:491" s="145" customFormat="1" hidden="1">
      <c r="B63" s="145">
        <v>11</v>
      </c>
      <c r="C63" s="459"/>
      <c r="D63" s="459"/>
      <c r="M63" s="982"/>
      <c r="N63" s="145">
        <v>11</v>
      </c>
      <c r="O63" s="459">
        <f t="shared" si="206"/>
        <v>974032.25806451612</v>
      </c>
      <c r="P63" s="986">
        <f t="shared" si="207"/>
        <v>60322.580645161303</v>
      </c>
      <c r="R63" s="145">
        <v>11</v>
      </c>
      <c r="S63" s="459">
        <f t="shared" si="208"/>
        <v>319354.83870967739</v>
      </c>
      <c r="T63" s="459">
        <f t="shared" si="209"/>
        <v>17741.935483870966</v>
      </c>
      <c r="V63" s="145">
        <v>11</v>
      </c>
      <c r="W63" s="459">
        <f t="shared" si="210"/>
        <v>322903.22580645158</v>
      </c>
      <c r="X63" s="459">
        <f t="shared" si="211"/>
        <v>31935.483870967746</v>
      </c>
      <c r="Z63" s="145">
        <v>11</v>
      </c>
      <c r="NN63" s="1"/>
      <c r="RW63" s="459"/>
    </row>
    <row r="64" spans="2:491" s="145" customFormat="1" hidden="1">
      <c r="B64" s="145">
        <v>12</v>
      </c>
      <c r="C64" s="459"/>
      <c r="D64" s="459"/>
      <c r="M64" s="982"/>
      <c r="N64" s="145">
        <v>12</v>
      </c>
      <c r="O64" s="459">
        <f t="shared" si="206"/>
        <v>1062580.6451612904</v>
      </c>
      <c r="P64" s="986">
        <f t="shared" si="207"/>
        <v>65806.451612903242</v>
      </c>
      <c r="R64" s="145">
        <v>12</v>
      </c>
      <c r="S64" s="459">
        <f t="shared" si="208"/>
        <v>348387.09677419352</v>
      </c>
      <c r="T64" s="459">
        <f t="shared" si="209"/>
        <v>19354.838709677417</v>
      </c>
      <c r="V64" s="145">
        <v>12</v>
      </c>
      <c r="W64" s="459">
        <f t="shared" si="210"/>
        <v>352258.06451612897</v>
      </c>
      <c r="X64" s="459">
        <f t="shared" si="211"/>
        <v>34838.709677419356</v>
      </c>
      <c r="Z64" s="145">
        <v>12</v>
      </c>
      <c r="NN64" s="1"/>
      <c r="RW64" s="459"/>
    </row>
    <row r="65" spans="2:491" s="145" customFormat="1" hidden="1">
      <c r="B65" s="145">
        <v>13</v>
      </c>
      <c r="C65" s="459"/>
      <c r="D65" s="459"/>
      <c r="M65" s="982"/>
      <c r="N65" s="145">
        <v>13</v>
      </c>
      <c r="O65" s="459">
        <f t="shared" si="206"/>
        <v>1151129.0322580647</v>
      </c>
      <c r="P65" s="986">
        <f t="shared" si="207"/>
        <v>71290.322580645181</v>
      </c>
      <c r="R65" s="145">
        <v>13</v>
      </c>
      <c r="S65" s="459">
        <f t="shared" si="208"/>
        <v>377419.35483870964</v>
      </c>
      <c r="T65" s="459">
        <f t="shared" si="209"/>
        <v>20967.741935483868</v>
      </c>
      <c r="V65" s="145">
        <v>13</v>
      </c>
      <c r="W65" s="459">
        <f t="shared" si="210"/>
        <v>381612.90322580637</v>
      </c>
      <c r="X65" s="459">
        <f t="shared" si="211"/>
        <v>37741.93548387097</v>
      </c>
      <c r="Z65" s="145">
        <v>13</v>
      </c>
      <c r="NN65" s="1"/>
      <c r="RW65" s="459"/>
    </row>
    <row r="66" spans="2:491" s="145" customFormat="1" hidden="1">
      <c r="B66" s="145">
        <v>14</v>
      </c>
      <c r="C66" s="459"/>
      <c r="D66" s="459"/>
      <c r="M66" s="982"/>
      <c r="N66" s="145">
        <v>14</v>
      </c>
      <c r="O66" s="459">
        <f t="shared" si="206"/>
        <v>1239677.419354839</v>
      </c>
      <c r="P66" s="986">
        <f t="shared" si="207"/>
        <v>76774.19354838712</v>
      </c>
      <c r="R66" s="145">
        <v>14</v>
      </c>
      <c r="S66" s="459">
        <f t="shared" si="208"/>
        <v>406451.61290322576</v>
      </c>
      <c r="T66" s="459">
        <f t="shared" si="209"/>
        <v>22580.645161290318</v>
      </c>
      <c r="V66" s="145">
        <v>14</v>
      </c>
      <c r="W66" s="459">
        <f t="shared" si="210"/>
        <v>410967.74193548376</v>
      </c>
      <c r="X66" s="459">
        <f t="shared" si="211"/>
        <v>40645.161290322583</v>
      </c>
      <c r="Z66" s="145">
        <v>14</v>
      </c>
      <c r="NN66" s="1"/>
      <c r="RW66" s="459"/>
    </row>
    <row r="67" spans="2:491" s="145" customFormat="1" hidden="1">
      <c r="B67" s="145">
        <v>15</v>
      </c>
      <c r="C67" s="459"/>
      <c r="D67" s="459"/>
      <c r="M67" s="982"/>
      <c r="N67" s="145">
        <v>15</v>
      </c>
      <c r="O67" s="459">
        <f t="shared" si="206"/>
        <v>1328225.8064516133</v>
      </c>
      <c r="P67" s="986">
        <f t="shared" si="207"/>
        <v>82258.064516129059</v>
      </c>
      <c r="R67" s="145">
        <v>15</v>
      </c>
      <c r="S67" s="459">
        <f t="shared" si="208"/>
        <v>435483.87096774188</v>
      </c>
      <c r="T67" s="459">
        <f t="shared" si="209"/>
        <v>24193.548387096769</v>
      </c>
      <c r="V67" s="145">
        <v>15</v>
      </c>
      <c r="W67" s="459">
        <f t="shared" si="210"/>
        <v>440322.58064516116</v>
      </c>
      <c r="X67" s="459">
        <f t="shared" si="211"/>
        <v>43548.387096774197</v>
      </c>
      <c r="Z67" s="145">
        <v>15</v>
      </c>
      <c r="NN67" s="1"/>
      <c r="RW67" s="459"/>
    </row>
    <row r="68" spans="2:491" s="145" customFormat="1" hidden="1">
      <c r="B68" s="145">
        <v>16</v>
      </c>
      <c r="C68" s="459"/>
      <c r="D68" s="459"/>
      <c r="M68" s="982"/>
      <c r="N68" s="145">
        <v>16</v>
      </c>
      <c r="O68" s="459">
        <f t="shared" si="206"/>
        <v>1416774.1935483876</v>
      </c>
      <c r="P68" s="986">
        <f t="shared" si="207"/>
        <v>87741.935483870999</v>
      </c>
      <c r="R68" s="145">
        <v>16</v>
      </c>
      <c r="S68" s="459">
        <f t="shared" si="208"/>
        <v>464516.129032258</v>
      </c>
      <c r="T68" s="459">
        <f t="shared" si="209"/>
        <v>25806.45161290322</v>
      </c>
      <c r="V68" s="145">
        <v>16</v>
      </c>
      <c r="W68" s="459">
        <f t="shared" si="210"/>
        <v>469677.41935483855</v>
      </c>
      <c r="X68" s="459">
        <f t="shared" si="211"/>
        <v>46451.61290322581</v>
      </c>
      <c r="Z68" s="145">
        <v>16</v>
      </c>
      <c r="NN68" s="1"/>
      <c r="RW68" s="459"/>
    </row>
    <row r="69" spans="2:491" s="145" customFormat="1" hidden="1">
      <c r="B69" s="145">
        <v>17</v>
      </c>
      <c r="C69" s="459"/>
      <c r="D69" s="459"/>
      <c r="N69" s="145">
        <v>17</v>
      </c>
      <c r="O69" s="459">
        <f t="shared" si="206"/>
        <v>1505322.5806451619</v>
      </c>
      <c r="P69" s="986">
        <f t="shared" si="207"/>
        <v>93225.806451612938</v>
      </c>
      <c r="R69" s="145">
        <v>17</v>
      </c>
      <c r="S69" s="459">
        <f t="shared" si="208"/>
        <v>493548.38709677412</v>
      </c>
      <c r="T69" s="459">
        <f t="shared" si="209"/>
        <v>27419.354838709671</v>
      </c>
      <c r="V69" s="145">
        <v>17</v>
      </c>
      <c r="W69" s="459">
        <f t="shared" si="210"/>
        <v>499032.25806451595</v>
      </c>
      <c r="X69" s="459">
        <f t="shared" si="211"/>
        <v>49354.838709677424</v>
      </c>
      <c r="Z69" s="145">
        <v>17</v>
      </c>
      <c r="NN69" s="1"/>
      <c r="RW69" s="459"/>
    </row>
    <row r="70" spans="2:491" s="145" customFormat="1" hidden="1">
      <c r="B70" s="145">
        <v>18</v>
      </c>
      <c r="C70" s="459"/>
      <c r="D70" s="459"/>
      <c r="N70" s="145">
        <v>18</v>
      </c>
      <c r="O70" s="459">
        <f t="shared" si="206"/>
        <v>1593870.9677419362</v>
      </c>
      <c r="P70" s="986">
        <f t="shared" si="207"/>
        <v>98709.677419354877</v>
      </c>
      <c r="R70" s="145">
        <v>18</v>
      </c>
      <c r="S70" s="459">
        <f t="shared" si="208"/>
        <v>522580.64516129025</v>
      </c>
      <c r="T70" s="459">
        <f t="shared" si="209"/>
        <v>29032.258064516122</v>
      </c>
      <c r="V70" s="145">
        <v>18</v>
      </c>
      <c r="W70" s="459">
        <f t="shared" si="210"/>
        <v>528387.09677419334</v>
      </c>
      <c r="X70" s="459">
        <f t="shared" si="211"/>
        <v>52258.064516129038</v>
      </c>
      <c r="Z70" s="145">
        <v>18</v>
      </c>
      <c r="NN70" s="1"/>
      <c r="RW70" s="459"/>
    </row>
    <row r="71" spans="2:491" s="145" customFormat="1" hidden="1">
      <c r="B71" s="145">
        <v>19</v>
      </c>
      <c r="C71" s="459"/>
      <c r="D71" s="459"/>
      <c r="N71" s="145">
        <v>19</v>
      </c>
      <c r="O71" s="459">
        <f t="shared" si="206"/>
        <v>1682419.3548387105</v>
      </c>
      <c r="P71" s="986">
        <f t="shared" si="207"/>
        <v>104193.54838709682</v>
      </c>
      <c r="R71" s="145">
        <v>19</v>
      </c>
      <c r="S71" s="459">
        <f t="shared" si="208"/>
        <v>551612.90322580643</v>
      </c>
      <c r="T71" s="459">
        <f t="shared" si="209"/>
        <v>30645.161290322572</v>
      </c>
      <c r="V71" s="145">
        <v>19</v>
      </c>
      <c r="W71" s="459">
        <f t="shared" si="210"/>
        <v>557741.93548387079</v>
      </c>
      <c r="X71" s="459">
        <f t="shared" si="211"/>
        <v>55161.290322580651</v>
      </c>
      <c r="Z71" s="145">
        <v>19</v>
      </c>
      <c r="NN71" s="1"/>
      <c r="RW71" s="459"/>
    </row>
    <row r="72" spans="2:491" s="145" customFormat="1" hidden="1">
      <c r="B72" s="145">
        <v>20</v>
      </c>
      <c r="C72" s="459"/>
      <c r="D72" s="459"/>
      <c r="N72" s="145">
        <v>20</v>
      </c>
      <c r="O72" s="459">
        <f t="shared" si="206"/>
        <v>1770967.7419354848</v>
      </c>
      <c r="P72" s="986">
        <f t="shared" si="207"/>
        <v>109677.41935483876</v>
      </c>
      <c r="R72" s="145">
        <v>20</v>
      </c>
      <c r="S72" s="459">
        <f t="shared" si="208"/>
        <v>580645.16129032255</v>
      </c>
      <c r="T72" s="459">
        <f t="shared" si="209"/>
        <v>32258.064516129023</v>
      </c>
      <c r="V72" s="145">
        <v>20</v>
      </c>
      <c r="W72" s="459">
        <f t="shared" si="210"/>
        <v>587096.77419354825</v>
      </c>
      <c r="X72" s="459">
        <f t="shared" si="211"/>
        <v>58064.516129032265</v>
      </c>
      <c r="Z72" s="145">
        <v>20</v>
      </c>
      <c r="NN72" s="1"/>
      <c r="RW72" s="459"/>
    </row>
    <row r="73" spans="2:491" s="145" customFormat="1" hidden="1">
      <c r="B73" s="145">
        <v>21</v>
      </c>
      <c r="C73" s="459"/>
      <c r="D73" s="459"/>
      <c r="N73" s="145">
        <v>21</v>
      </c>
      <c r="O73" s="459">
        <f t="shared" si="206"/>
        <v>1859516.1290322591</v>
      </c>
      <c r="P73" s="986">
        <f t="shared" si="207"/>
        <v>115161.29032258069</v>
      </c>
      <c r="R73" s="145">
        <v>21</v>
      </c>
      <c r="S73" s="459">
        <f t="shared" si="208"/>
        <v>609677.41935483867</v>
      </c>
      <c r="T73" s="459">
        <f t="shared" si="209"/>
        <v>33870.967741935478</v>
      </c>
      <c r="V73" s="145">
        <v>21</v>
      </c>
      <c r="W73" s="459">
        <f t="shared" si="210"/>
        <v>616451.6129032257</v>
      </c>
      <c r="X73" s="459">
        <f t="shared" si="211"/>
        <v>60967.741935483878</v>
      </c>
      <c r="Z73" s="145">
        <v>21</v>
      </c>
      <c r="NN73" s="1"/>
      <c r="RW73" s="459"/>
    </row>
    <row r="74" spans="2:491" s="145" customFormat="1" hidden="1">
      <c r="B74" s="145">
        <v>22</v>
      </c>
      <c r="C74" s="459"/>
      <c r="D74" s="459"/>
      <c r="N74" s="145">
        <v>22</v>
      </c>
      <c r="O74" s="459">
        <f t="shared" si="206"/>
        <v>1948064.5161290334</v>
      </c>
      <c r="P74" s="986">
        <f t="shared" si="207"/>
        <v>120645.16129032263</v>
      </c>
      <c r="R74" s="145">
        <v>22</v>
      </c>
      <c r="S74" s="459">
        <f t="shared" si="208"/>
        <v>638709.67741935479</v>
      </c>
      <c r="T74" s="459">
        <f t="shared" si="209"/>
        <v>35483.870967741932</v>
      </c>
      <c r="V74" s="145">
        <v>22</v>
      </c>
      <c r="W74" s="459">
        <f t="shared" si="210"/>
        <v>645806.45161290315</v>
      </c>
      <c r="X74" s="459">
        <f t="shared" si="211"/>
        <v>63870.967741935492</v>
      </c>
      <c r="Z74" s="145">
        <v>22</v>
      </c>
      <c r="NN74" s="1"/>
      <c r="RW74" s="459"/>
    </row>
    <row r="75" spans="2:491" s="145" customFormat="1" hidden="1">
      <c r="B75" s="145">
        <v>23</v>
      </c>
      <c r="C75" s="459"/>
      <c r="D75" s="459"/>
      <c r="N75" s="145">
        <v>23</v>
      </c>
      <c r="O75" s="459">
        <f t="shared" si="206"/>
        <v>2036612.9032258077</v>
      </c>
      <c r="P75" s="986">
        <f t="shared" si="207"/>
        <v>126129.03225806457</v>
      </c>
      <c r="R75" s="145">
        <v>23</v>
      </c>
      <c r="S75" s="459">
        <f t="shared" si="208"/>
        <v>667741.93548387091</v>
      </c>
      <c r="T75" s="459">
        <f t="shared" si="209"/>
        <v>37096.774193548386</v>
      </c>
      <c r="V75" s="145">
        <v>23</v>
      </c>
      <c r="W75" s="459">
        <f t="shared" si="210"/>
        <v>675161.29032258061</v>
      </c>
      <c r="X75" s="459">
        <f t="shared" si="211"/>
        <v>66774.193548387106</v>
      </c>
      <c r="Y75" s="459"/>
      <c r="Z75" s="145">
        <v>23</v>
      </c>
      <c r="NN75" s="1"/>
      <c r="RW75" s="459"/>
    </row>
    <row r="76" spans="2:491" s="145" customFormat="1" hidden="1">
      <c r="B76" s="145">
        <v>24</v>
      </c>
      <c r="C76" s="459"/>
      <c r="D76" s="459"/>
      <c r="N76" s="145">
        <v>24</v>
      </c>
      <c r="O76" s="459">
        <f t="shared" si="206"/>
        <v>2125161.2903225818</v>
      </c>
      <c r="P76" s="986">
        <f t="shared" si="207"/>
        <v>131612.90322580651</v>
      </c>
      <c r="R76" s="145">
        <v>24</v>
      </c>
      <c r="S76" s="459">
        <f t="shared" si="208"/>
        <v>696774.19354838703</v>
      </c>
      <c r="T76" s="459">
        <f t="shared" si="209"/>
        <v>38709.677419354841</v>
      </c>
      <c r="V76" s="145">
        <v>24</v>
      </c>
      <c r="W76" s="459">
        <f t="shared" si="210"/>
        <v>704516.12903225806</v>
      </c>
      <c r="X76" s="459">
        <f t="shared" si="211"/>
        <v>69677.419354838712</v>
      </c>
      <c r="Z76" s="145">
        <v>24</v>
      </c>
      <c r="NN76" s="1"/>
      <c r="RW76" s="459"/>
    </row>
    <row r="77" spans="2:491" s="145" customFormat="1" hidden="1">
      <c r="B77" s="145">
        <v>25</v>
      </c>
      <c r="C77" s="459"/>
      <c r="D77" s="459"/>
      <c r="N77" s="145">
        <v>25</v>
      </c>
      <c r="O77" s="459">
        <f t="shared" si="206"/>
        <v>2213709.6774193561</v>
      </c>
      <c r="P77" s="986">
        <f t="shared" si="207"/>
        <v>137096.77419354845</v>
      </c>
      <c r="R77" s="145">
        <v>25</v>
      </c>
      <c r="S77" s="459">
        <f t="shared" si="208"/>
        <v>725806.45161290315</v>
      </c>
      <c r="T77" s="459">
        <f t="shared" si="209"/>
        <v>40322.580645161295</v>
      </c>
      <c r="V77" s="145">
        <v>25</v>
      </c>
      <c r="W77" s="459">
        <f t="shared" si="210"/>
        <v>733870.96774193551</v>
      </c>
      <c r="X77" s="459">
        <f t="shared" si="211"/>
        <v>72580.645161290318</v>
      </c>
      <c r="Z77" s="145">
        <v>25</v>
      </c>
      <c r="NN77" s="1"/>
      <c r="RW77" s="459"/>
    </row>
    <row r="78" spans="2:491" s="145" customFormat="1" hidden="1">
      <c r="B78" s="145">
        <v>26</v>
      </c>
      <c r="C78" s="459"/>
      <c r="D78" s="459"/>
      <c r="N78" s="145">
        <v>26</v>
      </c>
      <c r="O78" s="459">
        <f t="shared" si="206"/>
        <v>2302258.0645161304</v>
      </c>
      <c r="P78" s="986">
        <f t="shared" si="207"/>
        <v>142580.64516129039</v>
      </c>
      <c r="R78" s="145">
        <v>26</v>
      </c>
      <c r="S78" s="459">
        <f t="shared" si="208"/>
        <v>754838.70967741928</v>
      </c>
      <c r="T78" s="459">
        <f t="shared" si="209"/>
        <v>41935.48387096775</v>
      </c>
      <c r="V78" s="145">
        <v>26</v>
      </c>
      <c r="W78" s="459">
        <f t="shared" si="210"/>
        <v>763225.80645161297</v>
      </c>
      <c r="X78" s="459">
        <f t="shared" si="211"/>
        <v>75483.870967741925</v>
      </c>
      <c r="Z78" s="145">
        <v>26</v>
      </c>
      <c r="NN78" s="1"/>
      <c r="RW78" s="459"/>
    </row>
    <row r="79" spans="2:491" s="145" customFormat="1" hidden="1">
      <c r="B79" s="145">
        <v>27</v>
      </c>
      <c r="C79" s="459"/>
      <c r="D79" s="459"/>
      <c r="N79" s="145">
        <v>27</v>
      </c>
      <c r="O79" s="459">
        <f t="shared" si="206"/>
        <v>2390806.4516129047</v>
      </c>
      <c r="P79" s="986">
        <f t="shared" si="207"/>
        <v>148064.51612903233</v>
      </c>
      <c r="R79" s="145">
        <v>27</v>
      </c>
      <c r="S79" s="459">
        <f t="shared" si="208"/>
        <v>783870.9677419354</v>
      </c>
      <c r="T79" s="459">
        <f t="shared" si="209"/>
        <v>43548.387096774204</v>
      </c>
      <c r="V79" s="145">
        <v>27</v>
      </c>
      <c r="W79" s="459">
        <f t="shared" si="210"/>
        <v>792580.64516129042</v>
      </c>
      <c r="X79" s="459">
        <f t="shared" si="211"/>
        <v>78387.096774193531</v>
      </c>
      <c r="Z79" s="145">
        <v>27</v>
      </c>
      <c r="NN79" s="1"/>
      <c r="RW79" s="459"/>
    </row>
    <row r="80" spans="2:491" s="145" customFormat="1" hidden="1">
      <c r="B80" s="145">
        <v>28</v>
      </c>
      <c r="C80" s="459"/>
      <c r="D80" s="459"/>
      <c r="N80" s="145">
        <v>28</v>
      </c>
      <c r="O80" s="459">
        <f t="shared" si="206"/>
        <v>2479354.838709679</v>
      </c>
      <c r="P80" s="986">
        <f t="shared" si="207"/>
        <v>153548.38709677427</v>
      </c>
      <c r="R80" s="145">
        <v>28</v>
      </c>
      <c r="S80" s="459">
        <f t="shared" si="208"/>
        <v>812903.22580645152</v>
      </c>
      <c r="T80" s="459">
        <f t="shared" si="209"/>
        <v>45161.290322580659</v>
      </c>
      <c r="V80" s="145">
        <v>28</v>
      </c>
      <c r="W80" s="459">
        <f t="shared" si="210"/>
        <v>821935.48387096787</v>
      </c>
      <c r="X80" s="459">
        <f t="shared" si="211"/>
        <v>81290.322580645137</v>
      </c>
      <c r="Z80" s="145">
        <v>28</v>
      </c>
      <c r="NN80" s="1"/>
      <c r="RW80" s="459"/>
    </row>
    <row r="81" spans="2:491" s="145" customFormat="1" hidden="1">
      <c r="B81" s="145">
        <v>29</v>
      </c>
      <c r="C81" s="459"/>
      <c r="D81" s="459"/>
      <c r="N81" s="145">
        <v>29</v>
      </c>
      <c r="O81" s="459">
        <f t="shared" si="206"/>
        <v>2567903.2258064533</v>
      </c>
      <c r="P81" s="986">
        <f t="shared" si="207"/>
        <v>159032.25806451621</v>
      </c>
      <c r="R81" s="145">
        <v>29</v>
      </c>
      <c r="S81" s="459">
        <f t="shared" si="208"/>
        <v>841935.48387096764</v>
      </c>
      <c r="T81" s="459">
        <f t="shared" si="209"/>
        <v>46774.193548387113</v>
      </c>
      <c r="V81" s="145">
        <v>29</v>
      </c>
      <c r="W81" s="459">
        <f t="shared" si="210"/>
        <v>851290.32258064533</v>
      </c>
      <c r="X81" s="459">
        <f t="shared" si="211"/>
        <v>84193.548387096744</v>
      </c>
      <c r="Z81" s="145">
        <v>29</v>
      </c>
      <c r="NN81" s="1"/>
      <c r="RW81" s="459"/>
    </row>
    <row r="82" spans="2:491" s="145" customFormat="1" hidden="1">
      <c r="B82" s="145">
        <v>30</v>
      </c>
      <c r="C82" s="459"/>
      <c r="D82" s="459"/>
      <c r="N82" s="145">
        <v>30</v>
      </c>
      <c r="O82" s="459">
        <f t="shared" si="206"/>
        <v>2656451.6129032276</v>
      </c>
      <c r="P82" s="986">
        <f t="shared" si="207"/>
        <v>164516.12903225815</v>
      </c>
      <c r="R82" s="145">
        <v>30</v>
      </c>
      <c r="S82" s="459">
        <f t="shared" si="208"/>
        <v>870967.74193548376</v>
      </c>
      <c r="T82" s="459">
        <f t="shared" si="209"/>
        <v>48387.096774193567</v>
      </c>
      <c r="V82" s="145">
        <v>30</v>
      </c>
      <c r="W82" s="459">
        <f t="shared" si="210"/>
        <v>880645.16129032278</v>
      </c>
      <c r="X82" s="459">
        <f t="shared" si="211"/>
        <v>87096.77419354835</v>
      </c>
      <c r="NN82" s="1"/>
      <c r="RW82" s="459"/>
    </row>
    <row r="83" spans="2:491" s="145" customFormat="1" hidden="1">
      <c r="B83" s="145">
        <v>31</v>
      </c>
      <c r="C83" s="459"/>
      <c r="D83" s="459"/>
      <c r="N83" s="145">
        <v>31</v>
      </c>
      <c r="O83" s="459">
        <f t="shared" si="206"/>
        <v>2745000.0000000019</v>
      </c>
      <c r="P83" s="986">
        <f t="shared" si="207"/>
        <v>170000.00000000009</v>
      </c>
      <c r="Q83" s="982"/>
      <c r="R83" s="145">
        <v>31</v>
      </c>
      <c r="S83" s="459">
        <f t="shared" si="208"/>
        <v>899999.99999999988</v>
      </c>
      <c r="T83" s="459">
        <f t="shared" si="209"/>
        <v>50000.000000000022</v>
      </c>
      <c r="U83" s="982"/>
      <c r="V83" s="145">
        <v>31</v>
      </c>
      <c r="W83" s="459">
        <f t="shared" si="210"/>
        <v>910000.00000000023</v>
      </c>
      <c r="X83" s="459">
        <f t="shared" si="211"/>
        <v>89999.999999999956</v>
      </c>
      <c r="NN83" s="1"/>
      <c r="RW83" s="459"/>
    </row>
    <row r="84" spans="2:491" s="145" customFormat="1" hidden="1">
      <c r="NN84" s="1"/>
      <c r="RW84" s="459"/>
    </row>
    <row r="85" spans="2:491" s="145" customFormat="1" hidden="1">
      <c r="NN85" s="1"/>
      <c r="RW85" s="459"/>
    </row>
    <row r="86" spans="2:491" s="145" customFormat="1" hidden="1">
      <c r="NN86" s="1"/>
      <c r="RW86" s="459"/>
    </row>
    <row r="87" spans="2:491" s="145" customFormat="1" hidden="1">
      <c r="NN87" s="1"/>
      <c r="RW87" s="459"/>
    </row>
    <row r="88" spans="2:491" s="145" customFormat="1" hidden="1">
      <c r="W88" s="459"/>
      <c r="X88" s="459"/>
      <c r="NN88" s="1"/>
      <c r="RW88" s="459"/>
    </row>
    <row r="89" spans="2:491" s="145" customFormat="1" hidden="1">
      <c r="O89" s="489"/>
      <c r="P89" s="489"/>
      <c r="S89" s="489"/>
      <c r="T89" s="489"/>
      <c r="W89" s="489"/>
      <c r="X89" s="489"/>
      <c r="NN89" s="1"/>
      <c r="RW89" s="459"/>
    </row>
    <row r="90" spans="2:491" s="145" customFormat="1" hidden="1">
      <c r="O90" s="489">
        <f>O43/31</f>
        <v>77580.645161290318</v>
      </c>
      <c r="P90" s="489">
        <f>P43/31</f>
        <v>4838.7096774193551</v>
      </c>
      <c r="S90" s="489">
        <f>S43/31</f>
        <v>30645.16129032258</v>
      </c>
      <c r="T90" s="489">
        <f>T43/31</f>
        <v>1451.6129032258063</v>
      </c>
      <c r="W90" s="489">
        <f>W43/31</f>
        <v>27419.354838709678</v>
      </c>
      <c r="X90" s="489">
        <f>X43/31</f>
        <v>2258.0645161290322</v>
      </c>
      <c r="NN90" s="1"/>
      <c r="RW90" s="459"/>
    </row>
    <row r="91" spans="2:491" s="145" customFormat="1" hidden="1">
      <c r="NN91" s="1"/>
      <c r="RW91" s="459"/>
    </row>
    <row r="92" spans="2:491" s="145" customFormat="1" hidden="1">
      <c r="NN92" s="1"/>
      <c r="RW92" s="459"/>
    </row>
    <row r="93" spans="2:491" s="145" customFormat="1" hidden="1">
      <c r="NN93" s="1"/>
      <c r="RW93" s="459"/>
    </row>
    <row r="94" spans="2:491" s="145" customFormat="1" hidden="1">
      <c r="M94" s="982"/>
      <c r="O94" s="1076">
        <v>77580.645161290318</v>
      </c>
      <c r="P94" s="1076">
        <v>4838.7096774193551</v>
      </c>
      <c r="Q94" s="459"/>
      <c r="R94" s="459"/>
      <c r="S94" s="983">
        <v>30645.16129032258</v>
      </c>
      <c r="T94" s="983">
        <v>1451.6129032258063</v>
      </c>
      <c r="U94" s="984"/>
      <c r="V94" s="984"/>
      <c r="W94" s="1076">
        <v>27419.354838709678</v>
      </c>
      <c r="X94" s="983">
        <v>2258.0645161290322</v>
      </c>
      <c r="Y94" s="985"/>
      <c r="Z94" s="985"/>
      <c r="AB94" s="459">
        <f>P94*31</f>
        <v>150000</v>
      </c>
      <c r="JL94" s="432"/>
      <c r="NN94" s="1"/>
      <c r="RW94" s="459"/>
    </row>
    <row r="95" spans="2:491" s="145" customFormat="1" hidden="1">
      <c r="B95" s="145">
        <v>1</v>
      </c>
      <c r="C95" s="459"/>
      <c r="D95" s="459"/>
      <c r="M95" s="982"/>
      <c r="N95" s="145">
        <v>1</v>
      </c>
      <c r="O95" s="459">
        <f>O94</f>
        <v>77580.645161290318</v>
      </c>
      <c r="P95" s="459">
        <f>P94</f>
        <v>4838.7096774193551</v>
      </c>
      <c r="R95" s="145">
        <v>1</v>
      </c>
      <c r="S95" s="459">
        <f>S94</f>
        <v>30645.16129032258</v>
      </c>
      <c r="T95" s="145">
        <f>T94</f>
        <v>1451.6129032258063</v>
      </c>
      <c r="V95" s="145">
        <v>1</v>
      </c>
      <c r="W95" s="459">
        <f>W94</f>
        <v>27419.354838709678</v>
      </c>
      <c r="X95" s="459">
        <f>X94</f>
        <v>2258.0645161290322</v>
      </c>
      <c r="Z95" s="145">
        <v>1</v>
      </c>
      <c r="NN95" s="1"/>
      <c r="RW95" s="459"/>
    </row>
    <row r="96" spans="2:491" s="145" customFormat="1" hidden="1">
      <c r="B96" s="145">
        <v>2</v>
      </c>
      <c r="C96" s="459"/>
      <c r="D96" s="459"/>
      <c r="M96" s="982"/>
      <c r="N96" s="145">
        <v>2</v>
      </c>
      <c r="O96" s="459">
        <f t="shared" ref="O96:O125" si="212">O95+($O$94)</f>
        <v>155161.29032258064</v>
      </c>
      <c r="P96" s="459">
        <f t="shared" ref="P96:P125" si="213">P95+($P$94)</f>
        <v>9677.4193548387102</v>
      </c>
      <c r="R96" s="145">
        <v>2</v>
      </c>
      <c r="S96" s="459">
        <f t="shared" ref="S96:S125" si="214">S95+($S$94)</f>
        <v>61290.322580645159</v>
      </c>
      <c r="T96" s="489">
        <f t="shared" ref="T96:T125" si="215">T95+($T$94)</f>
        <v>2903.2258064516127</v>
      </c>
      <c r="V96" s="145">
        <v>2</v>
      </c>
      <c r="W96" s="459">
        <f t="shared" ref="W96:W125" si="216">W95+($W$94)</f>
        <v>54838.709677419356</v>
      </c>
      <c r="X96" s="459">
        <f t="shared" ref="X96:X125" si="217">X95+$X$94</f>
        <v>4516.1290322580644</v>
      </c>
      <c r="Z96" s="145">
        <v>2</v>
      </c>
      <c r="NN96" s="1"/>
      <c r="RW96" s="459"/>
    </row>
    <row r="97" spans="2:491" s="145" customFormat="1" hidden="1">
      <c r="B97" s="145">
        <v>3</v>
      </c>
      <c r="C97" s="459"/>
      <c r="D97" s="459"/>
      <c r="M97" s="982"/>
      <c r="N97" s="145">
        <v>3</v>
      </c>
      <c r="O97" s="459">
        <f t="shared" si="212"/>
        <v>232741.93548387097</v>
      </c>
      <c r="P97" s="459">
        <f t="shared" si="213"/>
        <v>14516.129032258064</v>
      </c>
      <c r="R97" s="145">
        <v>3</v>
      </c>
      <c r="S97" s="459">
        <f t="shared" si="214"/>
        <v>91935.483870967742</v>
      </c>
      <c r="T97" s="489">
        <f t="shared" si="215"/>
        <v>4354.8387096774186</v>
      </c>
      <c r="V97" s="145">
        <v>3</v>
      </c>
      <c r="W97" s="459">
        <f t="shared" si="216"/>
        <v>82258.06451612903</v>
      </c>
      <c r="X97" s="459">
        <f t="shared" si="217"/>
        <v>6774.1935483870966</v>
      </c>
      <c r="Z97" s="145">
        <v>3</v>
      </c>
      <c r="NN97" s="1"/>
      <c r="RW97" s="459"/>
    </row>
    <row r="98" spans="2:491" s="145" customFormat="1" hidden="1">
      <c r="B98" s="145">
        <v>4</v>
      </c>
      <c r="C98" s="459"/>
      <c r="D98" s="459"/>
      <c r="M98" s="982"/>
      <c r="N98" s="145">
        <v>4</v>
      </c>
      <c r="O98" s="459">
        <f t="shared" si="212"/>
        <v>310322.58064516127</v>
      </c>
      <c r="P98" s="459">
        <f t="shared" si="213"/>
        <v>19354.83870967742</v>
      </c>
      <c r="R98" s="145">
        <v>4</v>
      </c>
      <c r="S98" s="459">
        <f t="shared" si="214"/>
        <v>122580.64516129032</v>
      </c>
      <c r="T98" s="489">
        <f t="shared" si="215"/>
        <v>5806.4516129032254</v>
      </c>
      <c r="V98" s="145">
        <v>4</v>
      </c>
      <c r="W98" s="459">
        <f t="shared" si="216"/>
        <v>109677.41935483871</v>
      </c>
      <c r="X98" s="459">
        <f t="shared" si="217"/>
        <v>9032.2580645161288</v>
      </c>
      <c r="Z98" s="145">
        <v>4</v>
      </c>
      <c r="NN98" s="1"/>
      <c r="RW98" s="459"/>
    </row>
    <row r="99" spans="2:491" s="145" customFormat="1" hidden="1">
      <c r="B99" s="145">
        <v>5</v>
      </c>
      <c r="C99" s="459"/>
      <c r="D99" s="459"/>
      <c r="M99" s="982"/>
      <c r="N99" s="145">
        <v>5</v>
      </c>
      <c r="O99" s="459">
        <f t="shared" si="212"/>
        <v>387903.22580645158</v>
      </c>
      <c r="P99" s="459">
        <f t="shared" si="213"/>
        <v>24193.548387096776</v>
      </c>
      <c r="R99" s="145">
        <v>5</v>
      </c>
      <c r="S99" s="459">
        <f t="shared" si="214"/>
        <v>153225.80645161291</v>
      </c>
      <c r="T99" s="489">
        <f t="shared" si="215"/>
        <v>7258.0645161290322</v>
      </c>
      <c r="V99" s="145">
        <v>5</v>
      </c>
      <c r="W99" s="459">
        <f t="shared" si="216"/>
        <v>137096.77419354839</v>
      </c>
      <c r="X99" s="459">
        <f t="shared" si="217"/>
        <v>11290.322580645161</v>
      </c>
      <c r="Z99" s="145">
        <v>5</v>
      </c>
      <c r="NN99" s="1"/>
      <c r="RW99" s="459"/>
    </row>
    <row r="100" spans="2:491" s="145" customFormat="1" hidden="1">
      <c r="B100" s="145">
        <v>6</v>
      </c>
      <c r="C100" s="459"/>
      <c r="D100" s="459"/>
      <c r="M100" s="982"/>
      <c r="N100" s="145">
        <v>6</v>
      </c>
      <c r="O100" s="459">
        <f t="shared" si="212"/>
        <v>465483.87096774188</v>
      </c>
      <c r="P100" s="459">
        <f t="shared" si="213"/>
        <v>29032.258064516132</v>
      </c>
      <c r="R100" s="145">
        <v>6</v>
      </c>
      <c r="S100" s="459">
        <f t="shared" si="214"/>
        <v>183870.96774193548</v>
      </c>
      <c r="T100" s="489">
        <f t="shared" si="215"/>
        <v>8709.677419354839</v>
      </c>
      <c r="V100" s="145">
        <v>6</v>
      </c>
      <c r="W100" s="459">
        <f t="shared" si="216"/>
        <v>164516.12903225806</v>
      </c>
      <c r="X100" s="459">
        <f t="shared" si="217"/>
        <v>13548.387096774193</v>
      </c>
      <c r="Z100" s="145">
        <v>6</v>
      </c>
      <c r="NN100" s="1"/>
      <c r="RW100" s="459"/>
    </row>
    <row r="101" spans="2:491" s="145" customFormat="1" hidden="1">
      <c r="B101" s="145">
        <v>7</v>
      </c>
      <c r="C101" s="459"/>
      <c r="D101" s="459"/>
      <c r="M101" s="982"/>
      <c r="N101" s="145">
        <v>7</v>
      </c>
      <c r="O101" s="459">
        <f t="shared" si="212"/>
        <v>543064.51612903224</v>
      </c>
      <c r="P101" s="459">
        <f t="shared" si="213"/>
        <v>33870.967741935485</v>
      </c>
      <c r="R101" s="145">
        <v>7</v>
      </c>
      <c r="S101" s="459">
        <f t="shared" si="214"/>
        <v>214516.12903225806</v>
      </c>
      <c r="T101" s="489">
        <f t="shared" si="215"/>
        <v>10161.290322580646</v>
      </c>
      <c r="V101" s="145">
        <v>7</v>
      </c>
      <c r="W101" s="459">
        <f t="shared" si="216"/>
        <v>191935.48387096773</v>
      </c>
      <c r="X101" s="459">
        <f t="shared" si="217"/>
        <v>15806.451612903225</v>
      </c>
      <c r="Z101" s="145">
        <v>7</v>
      </c>
      <c r="NN101" s="1"/>
      <c r="RW101" s="459"/>
    </row>
    <row r="102" spans="2:491" s="145" customFormat="1" hidden="1">
      <c r="B102" s="145">
        <v>8</v>
      </c>
      <c r="C102" s="459"/>
      <c r="D102" s="459"/>
      <c r="M102" s="982"/>
      <c r="N102" s="145">
        <v>8</v>
      </c>
      <c r="O102" s="459">
        <f t="shared" si="212"/>
        <v>620645.16129032255</v>
      </c>
      <c r="P102" s="459">
        <f t="shared" si="213"/>
        <v>38709.677419354841</v>
      </c>
      <c r="R102" s="145">
        <v>8</v>
      </c>
      <c r="S102" s="459">
        <f t="shared" si="214"/>
        <v>245161.29032258064</v>
      </c>
      <c r="T102" s="489">
        <f t="shared" si="215"/>
        <v>11612.903225806453</v>
      </c>
      <c r="V102" s="145">
        <v>8</v>
      </c>
      <c r="W102" s="459">
        <f t="shared" si="216"/>
        <v>219354.83870967739</v>
      </c>
      <c r="X102" s="459">
        <f t="shared" si="217"/>
        <v>18064.516129032258</v>
      </c>
      <c r="Z102" s="145">
        <v>8</v>
      </c>
      <c r="AP102" s="145">
        <v>37911.700000000004</v>
      </c>
      <c r="NN102" s="1"/>
      <c r="RW102" s="459"/>
    </row>
    <row r="103" spans="2:491" s="145" customFormat="1" hidden="1">
      <c r="B103" s="145">
        <v>9</v>
      </c>
      <c r="C103" s="459"/>
      <c r="D103" s="459"/>
      <c r="M103" s="982"/>
      <c r="N103" s="145">
        <v>9</v>
      </c>
      <c r="O103" s="459">
        <f t="shared" si="212"/>
        <v>698225.80645161285</v>
      </c>
      <c r="P103" s="459">
        <f t="shared" si="213"/>
        <v>43548.387096774197</v>
      </c>
      <c r="R103" s="145">
        <v>9</v>
      </c>
      <c r="S103" s="459">
        <f t="shared" si="214"/>
        <v>275806.45161290321</v>
      </c>
      <c r="T103" s="489">
        <f t="shared" si="215"/>
        <v>13064.516129032259</v>
      </c>
      <c r="V103" s="145">
        <v>9</v>
      </c>
      <c r="W103" s="459">
        <f t="shared" si="216"/>
        <v>246774.19354838706</v>
      </c>
      <c r="X103" s="459">
        <f t="shared" si="217"/>
        <v>20322.580645161288</v>
      </c>
      <c r="Z103" s="145">
        <v>9</v>
      </c>
      <c r="NN103" s="1"/>
      <c r="RW103" s="459"/>
    </row>
    <row r="104" spans="2:491" s="145" customFormat="1" hidden="1">
      <c r="B104" s="145">
        <v>10</v>
      </c>
      <c r="C104" s="459"/>
      <c r="D104" s="459"/>
      <c r="M104" s="982"/>
      <c r="N104" s="145">
        <v>10</v>
      </c>
      <c r="O104" s="459">
        <f t="shared" si="212"/>
        <v>775806.45161290315</v>
      </c>
      <c r="P104" s="459">
        <f t="shared" si="213"/>
        <v>48387.096774193553</v>
      </c>
      <c r="R104" s="145">
        <v>10</v>
      </c>
      <c r="S104" s="459">
        <f t="shared" si="214"/>
        <v>306451.61290322582</v>
      </c>
      <c r="T104" s="489">
        <f t="shared" si="215"/>
        <v>14516.129032258066</v>
      </c>
      <c r="V104" s="145">
        <v>10</v>
      </c>
      <c r="W104" s="459">
        <f t="shared" si="216"/>
        <v>274193.54838709673</v>
      </c>
      <c r="X104" s="459">
        <f t="shared" si="217"/>
        <v>22580.645161290318</v>
      </c>
      <c r="Z104" s="145">
        <v>10</v>
      </c>
      <c r="NN104" s="1"/>
      <c r="RW104" s="459"/>
    </row>
    <row r="105" spans="2:491" s="145" customFormat="1" hidden="1">
      <c r="B105" s="145">
        <v>11</v>
      </c>
      <c r="C105" s="459"/>
      <c r="D105" s="459"/>
      <c r="M105" s="982"/>
      <c r="N105" s="145">
        <v>11</v>
      </c>
      <c r="O105" s="459">
        <f t="shared" si="212"/>
        <v>853387.09677419346</v>
      </c>
      <c r="P105" s="459">
        <f t="shared" si="213"/>
        <v>53225.806451612909</v>
      </c>
      <c r="R105" s="145">
        <v>11</v>
      </c>
      <c r="S105" s="459">
        <f t="shared" si="214"/>
        <v>337096.77419354842</v>
      </c>
      <c r="T105" s="489">
        <f t="shared" si="215"/>
        <v>15967.741935483873</v>
      </c>
      <c r="V105" s="145">
        <v>11</v>
      </c>
      <c r="W105" s="459">
        <f t="shared" si="216"/>
        <v>301612.90322580643</v>
      </c>
      <c r="X105" s="459">
        <f t="shared" si="217"/>
        <v>24838.709677419349</v>
      </c>
      <c r="Z105" s="145">
        <v>11</v>
      </c>
      <c r="NN105" s="1"/>
      <c r="RW105" s="459"/>
    </row>
    <row r="106" spans="2:491" s="145" customFormat="1" hidden="1">
      <c r="B106" s="145">
        <v>12</v>
      </c>
      <c r="C106" s="459"/>
      <c r="D106" s="459"/>
      <c r="M106" s="982"/>
      <c r="N106" s="145">
        <v>12</v>
      </c>
      <c r="O106" s="459">
        <f t="shared" si="212"/>
        <v>930967.74193548376</v>
      </c>
      <c r="P106" s="459">
        <f t="shared" si="213"/>
        <v>58064.516129032265</v>
      </c>
      <c r="R106" s="145">
        <v>12</v>
      </c>
      <c r="S106" s="459">
        <f t="shared" si="214"/>
        <v>367741.93548387103</v>
      </c>
      <c r="T106" s="489">
        <f t="shared" si="215"/>
        <v>17419.354838709678</v>
      </c>
      <c r="V106" s="145">
        <v>12</v>
      </c>
      <c r="W106" s="459">
        <f t="shared" si="216"/>
        <v>329032.25806451612</v>
      </c>
      <c r="X106" s="459">
        <f t="shared" si="217"/>
        <v>27096.774193548379</v>
      </c>
      <c r="Z106" s="145">
        <v>12</v>
      </c>
      <c r="NN106" s="1"/>
      <c r="RW106" s="459"/>
    </row>
    <row r="107" spans="2:491" s="145" customFormat="1" hidden="1">
      <c r="B107" s="145">
        <v>13</v>
      </c>
      <c r="C107" s="459"/>
      <c r="D107" s="459"/>
      <c r="M107" s="982"/>
      <c r="N107" s="145">
        <v>13</v>
      </c>
      <c r="O107" s="459">
        <f t="shared" si="212"/>
        <v>1008548.3870967741</v>
      </c>
      <c r="P107" s="459">
        <f t="shared" si="213"/>
        <v>62903.225806451621</v>
      </c>
      <c r="R107" s="145">
        <v>13</v>
      </c>
      <c r="S107" s="459">
        <f t="shared" si="214"/>
        <v>398387.09677419363</v>
      </c>
      <c r="T107" s="489">
        <f t="shared" si="215"/>
        <v>18870.967741935485</v>
      </c>
      <c r="V107" s="145">
        <v>13</v>
      </c>
      <c r="W107" s="459">
        <f t="shared" si="216"/>
        <v>356451.61290322582</v>
      </c>
      <c r="X107" s="459">
        <f t="shared" si="217"/>
        <v>29354.838709677409</v>
      </c>
      <c r="Z107" s="145">
        <v>13</v>
      </c>
      <c r="NN107" s="1"/>
      <c r="RW107" s="459"/>
    </row>
    <row r="108" spans="2:491" s="145" customFormat="1" hidden="1">
      <c r="B108" s="145">
        <v>14</v>
      </c>
      <c r="C108" s="459"/>
      <c r="D108" s="459"/>
      <c r="M108" s="982"/>
      <c r="N108" s="145">
        <v>14</v>
      </c>
      <c r="O108" s="459">
        <f t="shared" si="212"/>
        <v>1086129.0322580645</v>
      </c>
      <c r="P108" s="459">
        <f t="shared" si="213"/>
        <v>67741.93548387097</v>
      </c>
      <c r="R108" s="145">
        <v>14</v>
      </c>
      <c r="S108" s="459">
        <f t="shared" si="214"/>
        <v>429032.25806451624</v>
      </c>
      <c r="T108" s="489">
        <f t="shared" si="215"/>
        <v>20322.580645161292</v>
      </c>
      <c r="V108" s="145">
        <v>14</v>
      </c>
      <c r="W108" s="459">
        <f t="shared" si="216"/>
        <v>383870.96774193551</v>
      </c>
      <c r="X108" s="459">
        <f t="shared" si="217"/>
        <v>31612.90322580644</v>
      </c>
      <c r="Z108" s="145">
        <v>14</v>
      </c>
      <c r="NN108" s="1"/>
      <c r="RW108" s="459"/>
    </row>
    <row r="109" spans="2:491" s="145" customFormat="1" hidden="1">
      <c r="B109" s="145">
        <v>15</v>
      </c>
      <c r="C109" s="459"/>
      <c r="D109" s="459"/>
      <c r="M109" s="982"/>
      <c r="N109" s="145">
        <v>15</v>
      </c>
      <c r="O109" s="459">
        <f t="shared" si="212"/>
        <v>1163709.6774193549</v>
      </c>
      <c r="P109" s="459">
        <f t="shared" si="213"/>
        <v>72580.645161290318</v>
      </c>
      <c r="R109" s="145">
        <v>15</v>
      </c>
      <c r="S109" s="459">
        <f t="shared" si="214"/>
        <v>459677.41935483884</v>
      </c>
      <c r="T109" s="489">
        <f t="shared" si="215"/>
        <v>21774.193548387098</v>
      </c>
      <c r="V109" s="145">
        <v>15</v>
      </c>
      <c r="W109" s="459">
        <f t="shared" si="216"/>
        <v>411290.32258064521</v>
      </c>
      <c r="X109" s="459">
        <f t="shared" si="217"/>
        <v>33870.96774193547</v>
      </c>
      <c r="Z109" s="145">
        <v>15</v>
      </c>
      <c r="NN109" s="1"/>
      <c r="RW109" s="459"/>
    </row>
    <row r="110" spans="2:491" s="145" customFormat="1" hidden="1">
      <c r="B110" s="145">
        <v>16</v>
      </c>
      <c r="C110" s="459"/>
      <c r="D110" s="459"/>
      <c r="M110" s="982"/>
      <c r="N110" s="145">
        <v>16</v>
      </c>
      <c r="O110" s="459">
        <f t="shared" si="212"/>
        <v>1241290.3225806453</v>
      </c>
      <c r="P110" s="459">
        <f t="shared" si="213"/>
        <v>77419.354838709667</v>
      </c>
      <c r="R110" s="145">
        <v>16</v>
      </c>
      <c r="S110" s="459">
        <f t="shared" si="214"/>
        <v>490322.58064516145</v>
      </c>
      <c r="T110" s="489">
        <f t="shared" si="215"/>
        <v>23225.806451612905</v>
      </c>
      <c r="V110" s="145">
        <v>16</v>
      </c>
      <c r="W110" s="459">
        <f t="shared" si="216"/>
        <v>438709.67741935491</v>
      </c>
      <c r="X110" s="459">
        <f t="shared" si="217"/>
        <v>36129.032258064501</v>
      </c>
      <c r="Z110" s="145">
        <v>16</v>
      </c>
      <c r="NN110" s="1"/>
      <c r="RW110" s="459"/>
    </row>
    <row r="111" spans="2:491" s="145" customFormat="1" hidden="1">
      <c r="B111" s="145">
        <v>17</v>
      </c>
      <c r="C111" s="459"/>
      <c r="D111" s="459"/>
      <c r="N111" s="145">
        <v>17</v>
      </c>
      <c r="O111" s="459">
        <f t="shared" si="212"/>
        <v>1318870.9677419357</v>
      </c>
      <c r="P111" s="459">
        <f t="shared" si="213"/>
        <v>82258.064516129016</v>
      </c>
      <c r="R111" s="145">
        <v>17</v>
      </c>
      <c r="S111" s="459">
        <f t="shared" si="214"/>
        <v>520967.74193548405</v>
      </c>
      <c r="T111" s="489">
        <f t="shared" si="215"/>
        <v>24677.419354838712</v>
      </c>
      <c r="V111" s="145">
        <v>17</v>
      </c>
      <c r="W111" s="459">
        <f t="shared" si="216"/>
        <v>466129.0322580646</v>
      </c>
      <c r="X111" s="459">
        <f t="shared" si="217"/>
        <v>38387.096774193531</v>
      </c>
      <c r="Z111" s="145">
        <v>17</v>
      </c>
      <c r="NN111" s="1"/>
      <c r="RW111" s="459"/>
    </row>
    <row r="112" spans="2:491" s="145" customFormat="1" hidden="1">
      <c r="B112" s="145">
        <v>18</v>
      </c>
      <c r="C112" s="459"/>
      <c r="D112" s="459"/>
      <c r="N112" s="145">
        <v>18</v>
      </c>
      <c r="O112" s="459">
        <f t="shared" si="212"/>
        <v>1396451.6129032262</v>
      </c>
      <c r="P112" s="459">
        <f t="shared" si="213"/>
        <v>87096.774193548365</v>
      </c>
      <c r="R112" s="145">
        <v>18</v>
      </c>
      <c r="S112" s="459">
        <f t="shared" si="214"/>
        <v>551612.90322580666</v>
      </c>
      <c r="T112" s="489">
        <f t="shared" si="215"/>
        <v>26129.032258064519</v>
      </c>
      <c r="V112" s="145">
        <v>18</v>
      </c>
      <c r="W112" s="459">
        <f t="shared" si="216"/>
        <v>493548.3870967743</v>
      </c>
      <c r="X112" s="459">
        <f t="shared" si="217"/>
        <v>40645.161290322561</v>
      </c>
      <c r="Z112" s="145">
        <v>18</v>
      </c>
      <c r="NN112" s="1"/>
      <c r="RW112" s="459"/>
    </row>
    <row r="113" spans="2:491" s="145" customFormat="1" hidden="1">
      <c r="B113" s="145">
        <v>19</v>
      </c>
      <c r="C113" s="459"/>
      <c r="D113" s="459"/>
      <c r="N113" s="145">
        <v>19</v>
      </c>
      <c r="O113" s="459">
        <f t="shared" si="212"/>
        <v>1474032.2580645166</v>
      </c>
      <c r="P113" s="459">
        <f t="shared" si="213"/>
        <v>91935.483870967713</v>
      </c>
      <c r="R113" s="145">
        <v>19</v>
      </c>
      <c r="S113" s="459">
        <f t="shared" si="214"/>
        <v>582258.06451612921</v>
      </c>
      <c r="T113" s="489">
        <f t="shared" si="215"/>
        <v>27580.645161290326</v>
      </c>
      <c r="V113" s="145">
        <v>19</v>
      </c>
      <c r="W113" s="459">
        <f t="shared" si="216"/>
        <v>520967.74193548399</v>
      </c>
      <c r="X113" s="459">
        <f t="shared" si="217"/>
        <v>42903.225806451592</v>
      </c>
      <c r="Z113" s="145">
        <v>19</v>
      </c>
      <c r="NN113" s="1"/>
      <c r="RW113" s="459"/>
    </row>
    <row r="114" spans="2:491" s="145" customFormat="1" hidden="1">
      <c r="B114" s="145">
        <v>20</v>
      </c>
      <c r="C114" s="459"/>
      <c r="D114" s="459"/>
      <c r="N114" s="145">
        <v>20</v>
      </c>
      <c r="O114" s="459">
        <f t="shared" si="212"/>
        <v>1551612.903225807</v>
      </c>
      <c r="P114" s="459">
        <f t="shared" si="213"/>
        <v>96774.193548387062</v>
      </c>
      <c r="R114" s="145">
        <v>20</v>
      </c>
      <c r="S114" s="459">
        <f t="shared" si="214"/>
        <v>612903.22580645175</v>
      </c>
      <c r="T114" s="489">
        <f t="shared" si="215"/>
        <v>29032.258064516132</v>
      </c>
      <c r="V114" s="145">
        <v>20</v>
      </c>
      <c r="W114" s="459">
        <f t="shared" si="216"/>
        <v>548387.09677419369</v>
      </c>
      <c r="X114" s="459">
        <f t="shared" si="217"/>
        <v>45161.290322580622</v>
      </c>
      <c r="Z114" s="145">
        <v>20</v>
      </c>
      <c r="NN114" s="1"/>
      <c r="RW114" s="459"/>
    </row>
    <row r="115" spans="2:491" s="145" customFormat="1" hidden="1">
      <c r="B115" s="145">
        <v>21</v>
      </c>
      <c r="C115" s="459"/>
      <c r="D115" s="459"/>
      <c r="N115" s="145">
        <v>21</v>
      </c>
      <c r="O115" s="459">
        <f t="shared" si="212"/>
        <v>1629193.5483870974</v>
      </c>
      <c r="P115" s="459">
        <f t="shared" si="213"/>
        <v>101612.90322580641</v>
      </c>
      <c r="R115" s="145">
        <v>21</v>
      </c>
      <c r="S115" s="459">
        <f t="shared" si="214"/>
        <v>643548.3870967743</v>
      </c>
      <c r="T115" s="489">
        <f t="shared" si="215"/>
        <v>30483.870967741939</v>
      </c>
      <c r="V115" s="145">
        <v>21</v>
      </c>
      <c r="W115" s="459">
        <f t="shared" si="216"/>
        <v>575806.45161290339</v>
      </c>
      <c r="X115" s="459">
        <f t="shared" si="217"/>
        <v>47419.354838709653</v>
      </c>
      <c r="Z115" s="145">
        <v>21</v>
      </c>
      <c r="NN115" s="1"/>
      <c r="RW115" s="459"/>
    </row>
    <row r="116" spans="2:491" s="145" customFormat="1" hidden="1">
      <c r="B116" s="145">
        <v>22</v>
      </c>
      <c r="C116" s="459"/>
      <c r="D116" s="459"/>
      <c r="N116" s="145">
        <v>22</v>
      </c>
      <c r="O116" s="459">
        <f t="shared" si="212"/>
        <v>1706774.1935483878</v>
      </c>
      <c r="P116" s="459">
        <f t="shared" si="213"/>
        <v>106451.61290322576</v>
      </c>
      <c r="R116" s="145">
        <v>22</v>
      </c>
      <c r="S116" s="459">
        <f t="shared" si="214"/>
        <v>674193.54838709685</v>
      </c>
      <c r="T116" s="489">
        <f t="shared" si="215"/>
        <v>31935.483870967746</v>
      </c>
      <c r="V116" s="145">
        <v>22</v>
      </c>
      <c r="W116" s="459">
        <f t="shared" si="216"/>
        <v>603225.80645161308</v>
      </c>
      <c r="X116" s="459">
        <f t="shared" si="217"/>
        <v>49677.419354838683</v>
      </c>
      <c r="Z116" s="145">
        <v>22</v>
      </c>
      <c r="NN116" s="1"/>
      <c r="RW116" s="459"/>
    </row>
    <row r="117" spans="2:491" s="145" customFormat="1" hidden="1">
      <c r="B117" s="145">
        <v>23</v>
      </c>
      <c r="C117" s="459"/>
      <c r="D117" s="459"/>
      <c r="N117" s="145">
        <v>23</v>
      </c>
      <c r="O117" s="459">
        <f t="shared" si="212"/>
        <v>1784354.8387096783</v>
      </c>
      <c r="P117" s="459">
        <f t="shared" si="213"/>
        <v>111290.32258064511</v>
      </c>
      <c r="R117" s="145">
        <v>23</v>
      </c>
      <c r="S117" s="459">
        <f t="shared" si="214"/>
        <v>704838.70967741939</v>
      </c>
      <c r="T117" s="489">
        <f t="shared" si="215"/>
        <v>33387.096774193553</v>
      </c>
      <c r="V117" s="145">
        <v>23</v>
      </c>
      <c r="W117" s="459">
        <f t="shared" si="216"/>
        <v>630645.16129032278</v>
      </c>
      <c r="X117" s="459">
        <f t="shared" si="217"/>
        <v>51935.483870967713</v>
      </c>
      <c r="Y117" s="459"/>
      <c r="Z117" s="145">
        <v>23</v>
      </c>
      <c r="NN117" s="1"/>
      <c r="RW117" s="459"/>
    </row>
    <row r="118" spans="2:491" s="145" customFormat="1" hidden="1">
      <c r="B118" s="145">
        <v>24</v>
      </c>
      <c r="C118" s="459"/>
      <c r="D118" s="459"/>
      <c r="N118" s="145">
        <v>24</v>
      </c>
      <c r="O118" s="459">
        <f t="shared" si="212"/>
        <v>1861935.4838709687</v>
      </c>
      <c r="P118" s="459">
        <f t="shared" si="213"/>
        <v>116129.03225806446</v>
      </c>
      <c r="R118" s="145">
        <v>24</v>
      </c>
      <c r="S118" s="459">
        <f t="shared" si="214"/>
        <v>735483.87096774194</v>
      </c>
      <c r="T118" s="489">
        <f t="shared" si="215"/>
        <v>34838.709677419356</v>
      </c>
      <c r="V118" s="145">
        <v>24</v>
      </c>
      <c r="W118" s="459">
        <f t="shared" si="216"/>
        <v>658064.51612903248</v>
      </c>
      <c r="X118" s="459">
        <f t="shared" si="217"/>
        <v>54193.548387096744</v>
      </c>
      <c r="Z118" s="145">
        <v>24</v>
      </c>
      <c r="NN118" s="1"/>
      <c r="RW118" s="459"/>
    </row>
    <row r="119" spans="2:491" s="145" customFormat="1" hidden="1">
      <c r="B119" s="145">
        <v>25</v>
      </c>
      <c r="C119" s="459"/>
      <c r="D119" s="459"/>
      <c r="N119" s="145">
        <v>25</v>
      </c>
      <c r="O119" s="459">
        <f t="shared" si="212"/>
        <v>1939516.1290322591</v>
      </c>
      <c r="P119" s="459">
        <f t="shared" si="213"/>
        <v>120967.74193548381</v>
      </c>
      <c r="R119" s="145">
        <v>25</v>
      </c>
      <c r="S119" s="459">
        <f t="shared" si="214"/>
        <v>766129.03225806449</v>
      </c>
      <c r="T119" s="489">
        <f t="shared" si="215"/>
        <v>36290.322580645159</v>
      </c>
      <c r="V119" s="145">
        <v>25</v>
      </c>
      <c r="W119" s="459">
        <f t="shared" si="216"/>
        <v>685483.87096774217</v>
      </c>
      <c r="X119" s="459">
        <f t="shared" si="217"/>
        <v>56451.612903225774</v>
      </c>
      <c r="Z119" s="145">
        <v>25</v>
      </c>
      <c r="NN119" s="1"/>
      <c r="RW119" s="459"/>
    </row>
    <row r="120" spans="2:491" s="145" customFormat="1" hidden="1">
      <c r="B120" s="145">
        <v>26</v>
      </c>
      <c r="C120" s="459"/>
      <c r="D120" s="459"/>
      <c r="N120" s="145">
        <v>26</v>
      </c>
      <c r="O120" s="459">
        <f t="shared" si="212"/>
        <v>2017096.7741935495</v>
      </c>
      <c r="P120" s="459">
        <f t="shared" si="213"/>
        <v>125806.45161290315</v>
      </c>
      <c r="R120" s="145">
        <v>26</v>
      </c>
      <c r="S120" s="459">
        <f t="shared" si="214"/>
        <v>796774.19354838703</v>
      </c>
      <c r="T120" s="489">
        <f t="shared" si="215"/>
        <v>37741.935483870962</v>
      </c>
      <c r="V120" s="145">
        <v>26</v>
      </c>
      <c r="W120" s="459">
        <f t="shared" si="216"/>
        <v>712903.22580645187</v>
      </c>
      <c r="X120" s="459">
        <f t="shared" si="217"/>
        <v>58709.677419354804</v>
      </c>
      <c r="Z120" s="145">
        <v>26</v>
      </c>
      <c r="NN120" s="1"/>
      <c r="RW120" s="459"/>
    </row>
    <row r="121" spans="2:491" s="145" customFormat="1" hidden="1">
      <c r="B121" s="145">
        <v>27</v>
      </c>
      <c r="C121" s="459"/>
      <c r="D121" s="459"/>
      <c r="N121" s="145">
        <v>27</v>
      </c>
      <c r="O121" s="459">
        <f t="shared" si="212"/>
        <v>2094677.4193548399</v>
      </c>
      <c r="P121" s="459">
        <f t="shared" si="213"/>
        <v>130645.1612903225</v>
      </c>
      <c r="R121" s="145">
        <v>27</v>
      </c>
      <c r="S121" s="459">
        <f t="shared" si="214"/>
        <v>827419.35483870958</v>
      </c>
      <c r="T121" s="489">
        <f t="shared" si="215"/>
        <v>39193.548387096766</v>
      </c>
      <c r="V121" s="145">
        <v>27</v>
      </c>
      <c r="W121" s="459">
        <f t="shared" si="216"/>
        <v>740322.58064516156</v>
      </c>
      <c r="X121" s="459">
        <f t="shared" si="217"/>
        <v>60967.741935483835</v>
      </c>
      <c r="Z121" s="145">
        <v>27</v>
      </c>
      <c r="NN121" s="1"/>
      <c r="RW121" s="459"/>
    </row>
    <row r="122" spans="2:491" s="145" customFormat="1" hidden="1">
      <c r="B122" s="145">
        <v>28</v>
      </c>
      <c r="C122" s="459"/>
      <c r="D122" s="459"/>
      <c r="N122" s="145">
        <v>28</v>
      </c>
      <c r="O122" s="459">
        <f t="shared" si="212"/>
        <v>2172258.0645161304</v>
      </c>
      <c r="P122" s="459">
        <f t="shared" si="213"/>
        <v>135483.87096774185</v>
      </c>
      <c r="R122" s="145">
        <v>28</v>
      </c>
      <c r="S122" s="459">
        <f t="shared" si="214"/>
        <v>858064.51612903213</v>
      </c>
      <c r="T122" s="489">
        <f t="shared" si="215"/>
        <v>40645.161290322569</v>
      </c>
      <c r="V122" s="145">
        <v>28</v>
      </c>
      <c r="W122" s="459">
        <f t="shared" si="216"/>
        <v>767741.93548387126</v>
      </c>
      <c r="X122" s="459">
        <f t="shared" si="217"/>
        <v>63225.806451612865</v>
      </c>
      <c r="Z122" s="145">
        <v>28</v>
      </c>
      <c r="NN122" s="1"/>
      <c r="RW122" s="459"/>
    </row>
    <row r="123" spans="2:491" s="145" customFormat="1" hidden="1">
      <c r="B123" s="145">
        <v>29</v>
      </c>
      <c r="C123" s="459"/>
      <c r="D123" s="459"/>
      <c r="N123" s="145">
        <v>29</v>
      </c>
      <c r="O123" s="459">
        <f t="shared" si="212"/>
        <v>2249838.7096774206</v>
      </c>
      <c r="P123" s="459">
        <f t="shared" si="213"/>
        <v>140322.58064516122</v>
      </c>
      <c r="R123" s="145">
        <v>29</v>
      </c>
      <c r="S123" s="459">
        <f t="shared" si="214"/>
        <v>888709.67741935467</v>
      </c>
      <c r="T123" s="489">
        <f t="shared" si="215"/>
        <v>42096.774193548372</v>
      </c>
      <c r="V123" s="145">
        <v>29</v>
      </c>
      <c r="W123" s="459">
        <f t="shared" si="216"/>
        <v>795161.29032258096</v>
      </c>
      <c r="X123" s="459">
        <f t="shared" si="217"/>
        <v>65483.870967741896</v>
      </c>
      <c r="Z123" s="145">
        <v>29</v>
      </c>
      <c r="NN123" s="1"/>
      <c r="RW123" s="459"/>
    </row>
    <row r="124" spans="2:491" s="145" customFormat="1" hidden="1">
      <c r="B124" s="145">
        <v>30</v>
      </c>
      <c r="C124" s="459"/>
      <c r="D124" s="459"/>
      <c r="N124" s="145">
        <v>30</v>
      </c>
      <c r="O124" s="459">
        <f t="shared" si="212"/>
        <v>2327419.3548387107</v>
      </c>
      <c r="P124" s="459">
        <f t="shared" si="213"/>
        <v>145161.29032258058</v>
      </c>
      <c r="R124" s="145">
        <v>30</v>
      </c>
      <c r="S124" s="459">
        <f t="shared" si="214"/>
        <v>919354.83870967722</v>
      </c>
      <c r="T124" s="489">
        <f t="shared" si="215"/>
        <v>43548.387096774175</v>
      </c>
      <c r="V124" s="145">
        <v>30</v>
      </c>
      <c r="W124" s="459">
        <f t="shared" si="216"/>
        <v>822580.64516129065</v>
      </c>
      <c r="X124" s="459">
        <f t="shared" si="217"/>
        <v>67741.935483870926</v>
      </c>
      <c r="Z124" s="145">
        <v>29</v>
      </c>
      <c r="NN124" s="1"/>
      <c r="RW124" s="459"/>
    </row>
    <row r="125" spans="2:491" hidden="1">
      <c r="B125" s="145">
        <v>31</v>
      </c>
      <c r="C125" s="459"/>
      <c r="D125" s="459"/>
      <c r="N125" s="145">
        <v>31</v>
      </c>
      <c r="O125" s="459">
        <f t="shared" si="212"/>
        <v>2405000.0000000009</v>
      </c>
      <c r="P125" s="459">
        <f t="shared" si="213"/>
        <v>149999.99999999994</v>
      </c>
      <c r="Q125" s="985"/>
      <c r="R125" s="145">
        <v>31</v>
      </c>
      <c r="S125" s="459">
        <f t="shared" si="214"/>
        <v>949999.99999999977</v>
      </c>
      <c r="T125" s="489">
        <f t="shared" si="215"/>
        <v>44999.999999999978</v>
      </c>
      <c r="U125" s="985"/>
      <c r="V125" s="145">
        <v>31</v>
      </c>
      <c r="W125" s="459">
        <f t="shared" si="216"/>
        <v>850000.00000000035</v>
      </c>
      <c r="X125" s="459">
        <f t="shared" si="217"/>
        <v>69999.999999999956</v>
      </c>
      <c r="Y125" s="145"/>
      <c r="Z125" s="145">
        <v>29</v>
      </c>
      <c r="NN125" s="1"/>
      <c r="RW125" s="1"/>
    </row>
    <row r="126" spans="2:491" hidden="1">
      <c r="NN126" s="1"/>
      <c r="RW126" s="1"/>
    </row>
    <row r="127" spans="2:491" hidden="1">
      <c r="NN127" s="1"/>
      <c r="RW127" s="1"/>
    </row>
    <row r="128" spans="2:491" hidden="1">
      <c r="NN128" s="1"/>
      <c r="RW128" s="1"/>
    </row>
    <row r="129" spans="2:491" hidden="1">
      <c r="NN129" s="1"/>
      <c r="RW129" s="1"/>
    </row>
    <row r="130" spans="2:491" hidden="1">
      <c r="NN130" s="1"/>
      <c r="RW130" s="1"/>
    </row>
    <row r="131" spans="2:491" hidden="1">
      <c r="P131" s="887"/>
      <c r="NN131" s="1"/>
      <c r="RW131" s="1"/>
    </row>
    <row r="132" spans="2:491" hidden="1">
      <c r="P132" s="887"/>
      <c r="NN132" s="1"/>
      <c r="RW132" s="1"/>
    </row>
    <row r="133" spans="2:491" hidden="1">
      <c r="NN133" s="1"/>
      <c r="RW133" s="1"/>
    </row>
    <row r="134" spans="2:491" ht="23.4" hidden="1">
      <c r="C134" s="1075"/>
      <c r="NN134" s="1"/>
      <c r="RW134" s="1"/>
    </row>
    <row r="135" spans="2:491" hidden="1">
      <c r="O135" s="479">
        <v>29562.379422798858</v>
      </c>
      <c r="P135" s="479">
        <v>1290.3225806451612</v>
      </c>
      <c r="NN135" s="1"/>
      <c r="RW135" s="1"/>
    </row>
    <row r="136" spans="2:491" hidden="1">
      <c r="B136">
        <v>1</v>
      </c>
      <c r="N136">
        <v>1</v>
      </c>
      <c r="O136">
        <f>O135</f>
        <v>29562.379422798858</v>
      </c>
      <c r="P136">
        <f>P135</f>
        <v>1290.3225806451612</v>
      </c>
      <c r="NN136" s="1"/>
      <c r="RW136" s="1"/>
    </row>
    <row r="137" spans="2:491" hidden="1">
      <c r="B137">
        <v>2</v>
      </c>
      <c r="N137">
        <v>2</v>
      </c>
      <c r="O137">
        <f t="shared" ref="O137:O166" si="218">O136+($O$135)</f>
        <v>59124.758845597717</v>
      </c>
      <c r="P137">
        <f t="shared" ref="P137:P166" si="219">P136+($P$135)</f>
        <v>2580.6451612903224</v>
      </c>
      <c r="T137">
        <f>74000/31</f>
        <v>2387.0967741935483</v>
      </c>
      <c r="NN137" s="1"/>
      <c r="RW137" s="1"/>
    </row>
    <row r="138" spans="2:491" hidden="1">
      <c r="B138">
        <v>3</v>
      </c>
      <c r="N138">
        <v>3</v>
      </c>
      <c r="O138">
        <f t="shared" si="218"/>
        <v>88687.138268396578</v>
      </c>
      <c r="P138">
        <f t="shared" si="219"/>
        <v>3870.9677419354839</v>
      </c>
      <c r="NN138" s="1"/>
      <c r="RW138" s="1"/>
    </row>
    <row r="139" spans="2:491" hidden="1">
      <c r="B139">
        <v>4</v>
      </c>
      <c r="N139">
        <v>4</v>
      </c>
      <c r="O139">
        <f t="shared" si="218"/>
        <v>118249.51769119543</v>
      </c>
      <c r="P139">
        <f t="shared" si="219"/>
        <v>5161.2903225806449</v>
      </c>
      <c r="NN139" s="1"/>
      <c r="RW139" s="1"/>
    </row>
    <row r="140" spans="2:491" hidden="1">
      <c r="B140">
        <v>5</v>
      </c>
      <c r="N140">
        <v>5</v>
      </c>
      <c r="O140">
        <f t="shared" si="218"/>
        <v>147811.89711399429</v>
      </c>
      <c r="P140">
        <f t="shared" si="219"/>
        <v>6451.6129032258059</v>
      </c>
      <c r="NN140" s="1"/>
      <c r="RW140" s="1"/>
    </row>
    <row r="141" spans="2:491" hidden="1">
      <c r="B141">
        <v>6</v>
      </c>
      <c r="N141">
        <v>6</v>
      </c>
      <c r="O141">
        <f t="shared" si="218"/>
        <v>177374.27653679316</v>
      </c>
      <c r="P141">
        <f t="shared" si="219"/>
        <v>7741.9354838709669</v>
      </c>
      <c r="NN141" s="1"/>
      <c r="RW141" s="1"/>
    </row>
    <row r="142" spans="2:491" hidden="1">
      <c r="B142">
        <v>7</v>
      </c>
      <c r="N142">
        <v>7</v>
      </c>
      <c r="O142">
        <f t="shared" si="218"/>
        <v>206936.65595959203</v>
      </c>
      <c r="P142">
        <f t="shared" si="219"/>
        <v>9032.2580645161288</v>
      </c>
      <c r="NN142" s="1"/>
      <c r="RW142" s="1"/>
    </row>
    <row r="143" spans="2:491" hidden="1">
      <c r="B143">
        <v>8</v>
      </c>
      <c r="N143">
        <v>8</v>
      </c>
      <c r="O143">
        <f t="shared" si="218"/>
        <v>236499.0353823909</v>
      </c>
      <c r="P143">
        <f t="shared" si="219"/>
        <v>10322.58064516129</v>
      </c>
      <c r="NN143" s="1"/>
      <c r="RW143" s="1"/>
    </row>
    <row r="144" spans="2:491" hidden="1">
      <c r="B144">
        <v>9</v>
      </c>
      <c r="N144">
        <v>9</v>
      </c>
      <c r="O144">
        <f t="shared" si="218"/>
        <v>266061.41480518976</v>
      </c>
      <c r="P144">
        <f t="shared" si="219"/>
        <v>11612.903225806451</v>
      </c>
      <c r="NN144" s="1"/>
      <c r="RW144" s="1"/>
    </row>
    <row r="145" spans="2:491" hidden="1">
      <c r="B145">
        <v>10</v>
      </c>
      <c r="N145">
        <v>10</v>
      </c>
      <c r="O145">
        <f t="shared" si="218"/>
        <v>295623.79422798863</v>
      </c>
      <c r="P145">
        <f t="shared" si="219"/>
        <v>12903.225806451612</v>
      </c>
      <c r="NN145" s="1"/>
      <c r="RW145" s="1"/>
    </row>
    <row r="146" spans="2:491" hidden="1">
      <c r="B146">
        <v>11</v>
      </c>
      <c r="N146">
        <v>11</v>
      </c>
      <c r="O146">
        <f t="shared" si="218"/>
        <v>325186.1736507875</v>
      </c>
      <c r="P146">
        <f t="shared" si="219"/>
        <v>14193.548387096773</v>
      </c>
      <c r="NN146" s="1"/>
      <c r="RW146" s="1"/>
    </row>
    <row r="147" spans="2:491" hidden="1">
      <c r="B147">
        <v>12</v>
      </c>
      <c r="N147">
        <v>12</v>
      </c>
      <c r="O147">
        <f t="shared" si="218"/>
        <v>354748.55307358637</v>
      </c>
      <c r="P147">
        <f t="shared" si="219"/>
        <v>15483.870967741934</v>
      </c>
      <c r="NN147" s="1"/>
      <c r="RW147" s="1"/>
    </row>
    <row r="148" spans="2:491" hidden="1">
      <c r="B148">
        <v>13</v>
      </c>
      <c r="N148">
        <v>13</v>
      </c>
      <c r="O148">
        <f t="shared" si="218"/>
        <v>384310.93249638524</v>
      </c>
      <c r="P148">
        <f t="shared" si="219"/>
        <v>16774.193548387095</v>
      </c>
      <c r="NN148" s="1"/>
      <c r="RW148" s="1"/>
    </row>
    <row r="149" spans="2:491" hidden="1">
      <c r="B149">
        <v>14</v>
      </c>
      <c r="N149">
        <v>14</v>
      </c>
      <c r="O149">
        <f t="shared" si="218"/>
        <v>413873.31191918411</v>
      </c>
      <c r="P149">
        <f t="shared" si="219"/>
        <v>18064.516129032258</v>
      </c>
      <c r="NN149" s="1"/>
      <c r="RW149" s="1"/>
    </row>
    <row r="150" spans="2:491" hidden="1">
      <c r="B150">
        <v>15</v>
      </c>
      <c r="N150">
        <v>15</v>
      </c>
      <c r="O150">
        <f t="shared" si="218"/>
        <v>443435.69134198298</v>
      </c>
      <c r="P150">
        <f t="shared" si="219"/>
        <v>19354.83870967742</v>
      </c>
      <c r="NN150" s="1"/>
      <c r="RW150" s="1"/>
    </row>
    <row r="151" spans="2:491" hidden="1">
      <c r="B151">
        <v>16</v>
      </c>
      <c r="N151">
        <v>16</v>
      </c>
      <c r="O151">
        <f t="shared" si="218"/>
        <v>472998.07076478185</v>
      </c>
      <c r="P151">
        <f t="shared" si="219"/>
        <v>20645.161290322583</v>
      </c>
      <c r="NN151" s="1"/>
      <c r="RW151" s="1"/>
    </row>
    <row r="152" spans="2:491" hidden="1">
      <c r="B152">
        <v>17</v>
      </c>
      <c r="N152">
        <v>17</v>
      </c>
      <c r="O152">
        <f t="shared" si="218"/>
        <v>502560.45018758072</v>
      </c>
      <c r="P152">
        <f t="shared" si="219"/>
        <v>21935.483870967746</v>
      </c>
      <c r="NN152" s="1"/>
      <c r="RW152" s="1"/>
    </row>
    <row r="153" spans="2:491" hidden="1">
      <c r="B153">
        <v>18</v>
      </c>
      <c r="N153">
        <v>18</v>
      </c>
      <c r="O153">
        <f t="shared" si="218"/>
        <v>532122.82961037953</v>
      </c>
      <c r="P153">
        <f t="shared" si="219"/>
        <v>23225.806451612909</v>
      </c>
      <c r="NN153" s="1"/>
      <c r="RW153" s="1"/>
    </row>
    <row r="154" spans="2:491" hidden="1">
      <c r="B154">
        <v>19</v>
      </c>
      <c r="N154">
        <v>19</v>
      </c>
      <c r="O154">
        <f t="shared" si="218"/>
        <v>561685.2090331784</v>
      </c>
      <c r="P154">
        <f t="shared" si="219"/>
        <v>24516.129032258072</v>
      </c>
      <c r="NN154" s="1"/>
      <c r="RW154" s="1"/>
    </row>
    <row r="155" spans="2:491" hidden="1">
      <c r="B155">
        <v>20</v>
      </c>
      <c r="N155">
        <v>20</v>
      </c>
      <c r="O155">
        <f t="shared" si="218"/>
        <v>591247.58845597727</v>
      </c>
      <c r="P155">
        <f t="shared" si="219"/>
        <v>25806.451612903234</v>
      </c>
      <c r="NN155" s="1"/>
      <c r="RW155" s="1"/>
    </row>
    <row r="156" spans="2:491" hidden="1">
      <c r="B156">
        <v>21</v>
      </c>
      <c r="N156">
        <v>21</v>
      </c>
      <c r="O156">
        <f t="shared" si="218"/>
        <v>620809.96787877614</v>
      </c>
      <c r="P156">
        <f t="shared" si="219"/>
        <v>27096.774193548397</v>
      </c>
      <c r="NN156" s="1"/>
      <c r="RW156" s="1"/>
    </row>
    <row r="157" spans="2:491" hidden="1">
      <c r="B157">
        <v>22</v>
      </c>
      <c r="N157">
        <v>22</v>
      </c>
      <c r="O157">
        <f t="shared" si="218"/>
        <v>650372.34730157501</v>
      </c>
      <c r="P157">
        <f t="shared" si="219"/>
        <v>28387.09677419356</v>
      </c>
      <c r="NN157" s="1"/>
      <c r="RW157" s="1"/>
    </row>
    <row r="158" spans="2:491" hidden="1">
      <c r="B158">
        <v>23</v>
      </c>
      <c r="N158">
        <v>23</v>
      </c>
      <c r="O158">
        <f t="shared" si="218"/>
        <v>679934.72672437388</v>
      </c>
      <c r="P158">
        <f t="shared" si="219"/>
        <v>29677.419354838723</v>
      </c>
      <c r="NN158" s="1"/>
      <c r="RW158" s="1"/>
    </row>
    <row r="159" spans="2:491" hidden="1">
      <c r="B159">
        <v>24</v>
      </c>
      <c r="N159">
        <v>24</v>
      </c>
      <c r="O159">
        <f t="shared" si="218"/>
        <v>709497.10614717274</v>
      </c>
      <c r="P159">
        <f t="shared" si="219"/>
        <v>30967.741935483886</v>
      </c>
      <c r="NN159" s="1"/>
      <c r="RW159" s="1"/>
    </row>
    <row r="160" spans="2:491" hidden="1">
      <c r="B160">
        <v>25</v>
      </c>
      <c r="N160">
        <v>25</v>
      </c>
      <c r="O160">
        <f t="shared" si="218"/>
        <v>739059.48556997161</v>
      </c>
      <c r="P160">
        <f t="shared" si="219"/>
        <v>32258.064516129049</v>
      </c>
      <c r="NN160" s="1"/>
      <c r="RW160" s="1"/>
    </row>
    <row r="161" spans="2:491" hidden="1">
      <c r="B161">
        <v>26</v>
      </c>
      <c r="N161">
        <v>26</v>
      </c>
      <c r="O161">
        <f t="shared" si="218"/>
        <v>768621.86499277048</v>
      </c>
      <c r="P161">
        <f t="shared" si="219"/>
        <v>33548.387096774211</v>
      </c>
      <c r="NN161" s="1"/>
      <c r="RW161" s="1"/>
    </row>
    <row r="162" spans="2:491" hidden="1">
      <c r="B162">
        <v>27</v>
      </c>
      <c r="N162">
        <v>27</v>
      </c>
      <c r="O162">
        <f t="shared" si="218"/>
        <v>798184.24441556935</v>
      </c>
      <c r="P162">
        <f t="shared" si="219"/>
        <v>34838.709677419371</v>
      </c>
      <c r="NN162" s="1"/>
      <c r="RW162" s="1"/>
    </row>
    <row r="163" spans="2:491" hidden="1">
      <c r="B163">
        <v>28</v>
      </c>
      <c r="N163">
        <v>28</v>
      </c>
      <c r="O163">
        <f t="shared" si="218"/>
        <v>827746.62383836822</v>
      </c>
      <c r="P163">
        <f t="shared" si="219"/>
        <v>36129.03225806453</v>
      </c>
      <c r="NN163" s="1"/>
      <c r="RW163" s="1"/>
    </row>
    <row r="164" spans="2:491" hidden="1">
      <c r="B164">
        <v>29</v>
      </c>
      <c r="N164">
        <v>29</v>
      </c>
      <c r="O164">
        <f t="shared" si="218"/>
        <v>857309.00326116709</v>
      </c>
      <c r="P164">
        <f t="shared" si="219"/>
        <v>37419.354838709689</v>
      </c>
      <c r="NN164" s="1"/>
      <c r="RW164" s="1"/>
    </row>
    <row r="165" spans="2:491" hidden="1">
      <c r="B165">
        <v>30</v>
      </c>
      <c r="N165">
        <v>30</v>
      </c>
      <c r="O165">
        <f t="shared" si="218"/>
        <v>886871.38268396596</v>
      </c>
      <c r="P165">
        <f t="shared" si="219"/>
        <v>38709.677419354848</v>
      </c>
      <c r="NN165" s="1"/>
      <c r="RW165" s="1"/>
    </row>
    <row r="166" spans="2:491" hidden="1">
      <c r="B166">
        <v>31</v>
      </c>
      <c r="N166">
        <v>31</v>
      </c>
      <c r="O166">
        <f t="shared" si="218"/>
        <v>916433.76210676483</v>
      </c>
      <c r="P166">
        <f t="shared" si="219"/>
        <v>40000.000000000007</v>
      </c>
      <c r="NN166" s="1"/>
      <c r="RW166" s="1"/>
    </row>
    <row r="167" spans="2:491" hidden="1">
      <c r="NN167" s="1"/>
      <c r="RW167" s="1"/>
    </row>
    <row r="168" spans="2:491" hidden="1">
      <c r="NN168" s="1"/>
    </row>
    <row r="169" spans="2:491" hidden="1">
      <c r="NN169" s="1"/>
    </row>
    <row r="170" spans="2:491" hidden="1">
      <c r="NN170" s="1"/>
    </row>
    <row r="171" spans="2:491" hidden="1">
      <c r="NN171" s="1"/>
    </row>
    <row r="172" spans="2:491" hidden="1">
      <c r="NN172" s="1"/>
    </row>
    <row r="173" spans="2:491" hidden="1">
      <c r="O173">
        <f>'March TIS'!C45/31</f>
        <v>29193.548387096773</v>
      </c>
      <c r="P173">
        <f>'March TIS'!R45/31</f>
        <v>1161.2903225806451</v>
      </c>
      <c r="NN173" s="1"/>
    </row>
    <row r="174" spans="2:491" hidden="1">
      <c r="NN174" s="1"/>
    </row>
    <row r="175" spans="2:491" hidden="1">
      <c r="NN175" s="1"/>
    </row>
    <row r="176" spans="2:491" hidden="1">
      <c r="NN176" s="1"/>
    </row>
    <row r="177" spans="2:491" hidden="1">
      <c r="O177" s="479">
        <v>29193.548387096791</v>
      </c>
      <c r="P177" s="479">
        <v>1161.2903225806451</v>
      </c>
      <c r="Q177" s="887">
        <f>P177/31</f>
        <v>37.460978147762745</v>
      </c>
      <c r="NN177" s="1"/>
      <c r="RW177" s="1"/>
    </row>
    <row r="178" spans="2:491" hidden="1">
      <c r="B178">
        <v>1</v>
      </c>
      <c r="N178">
        <v>1</v>
      </c>
      <c r="O178">
        <f>O177</f>
        <v>29193.548387096791</v>
      </c>
      <c r="P178">
        <f>P177</f>
        <v>1161.2903225806451</v>
      </c>
      <c r="NN178" s="1"/>
      <c r="RW178" s="1"/>
    </row>
    <row r="179" spans="2:491" hidden="1">
      <c r="B179">
        <v>2</v>
      </c>
      <c r="N179">
        <v>2</v>
      </c>
      <c r="O179">
        <f t="shared" ref="O179:O208" si="220">O178+($O$177)</f>
        <v>58387.096774193582</v>
      </c>
      <c r="P179">
        <f t="shared" ref="P179:P208" si="221">P178+($P$177)</f>
        <v>2322.5806451612902</v>
      </c>
      <c r="NN179" s="1"/>
      <c r="RW179" s="1"/>
    </row>
    <row r="180" spans="2:491" hidden="1">
      <c r="B180">
        <v>3</v>
      </c>
      <c r="N180">
        <v>3</v>
      </c>
      <c r="O180">
        <f t="shared" si="220"/>
        <v>87580.645161290377</v>
      </c>
      <c r="P180">
        <f t="shared" si="221"/>
        <v>3483.8709677419356</v>
      </c>
      <c r="NN180" s="1"/>
      <c r="RW180" s="1"/>
    </row>
    <row r="181" spans="2:491" hidden="1">
      <c r="B181">
        <v>4</v>
      </c>
      <c r="N181">
        <v>4</v>
      </c>
      <c r="O181">
        <f t="shared" si="220"/>
        <v>116774.19354838716</v>
      </c>
      <c r="P181">
        <f t="shared" si="221"/>
        <v>4645.1612903225805</v>
      </c>
      <c r="NN181" s="1"/>
      <c r="RW181" s="1"/>
    </row>
    <row r="182" spans="2:491" hidden="1">
      <c r="B182">
        <v>5</v>
      </c>
      <c r="N182">
        <v>5</v>
      </c>
      <c r="O182">
        <f t="shared" si="220"/>
        <v>145967.74193548397</v>
      </c>
      <c r="P182">
        <f t="shared" si="221"/>
        <v>5806.4516129032254</v>
      </c>
      <c r="NN182" s="1"/>
      <c r="RW182" s="1"/>
    </row>
    <row r="183" spans="2:491" hidden="1">
      <c r="B183">
        <v>6</v>
      </c>
      <c r="N183">
        <v>6</v>
      </c>
      <c r="O183">
        <f t="shared" si="220"/>
        <v>175161.29032258075</v>
      </c>
      <c r="P183">
        <f t="shared" si="221"/>
        <v>6967.7419354838703</v>
      </c>
      <c r="NN183" s="1"/>
      <c r="RW183" s="1"/>
    </row>
    <row r="184" spans="2:491" hidden="1">
      <c r="B184">
        <v>7</v>
      </c>
      <c r="N184">
        <v>7</v>
      </c>
      <c r="O184">
        <f t="shared" si="220"/>
        <v>204354.83870967754</v>
      </c>
      <c r="P184">
        <f t="shared" si="221"/>
        <v>8129.0322580645152</v>
      </c>
      <c r="NN184" s="1"/>
      <c r="RW184" s="1"/>
    </row>
    <row r="185" spans="2:491" hidden="1">
      <c r="B185">
        <v>8</v>
      </c>
      <c r="N185">
        <v>8</v>
      </c>
      <c r="O185">
        <f t="shared" si="220"/>
        <v>233548.38709677433</v>
      </c>
      <c r="P185">
        <f t="shared" si="221"/>
        <v>9290.322580645161</v>
      </c>
      <c r="NN185" s="1"/>
      <c r="RW185" s="1"/>
    </row>
    <row r="186" spans="2:491" hidden="1">
      <c r="B186">
        <v>9</v>
      </c>
      <c r="N186">
        <v>9</v>
      </c>
      <c r="O186">
        <f t="shared" si="220"/>
        <v>262741.93548387114</v>
      </c>
      <c r="P186">
        <f t="shared" si="221"/>
        <v>10451.612903225807</v>
      </c>
      <c r="NN186" s="1"/>
      <c r="RW186" s="1"/>
    </row>
    <row r="187" spans="2:491" hidden="1">
      <c r="B187">
        <v>10</v>
      </c>
      <c r="N187">
        <v>10</v>
      </c>
      <c r="O187">
        <f t="shared" si="220"/>
        <v>291935.48387096793</v>
      </c>
      <c r="P187">
        <f t="shared" si="221"/>
        <v>11612.903225806453</v>
      </c>
      <c r="NN187" s="1"/>
      <c r="RW187" s="1"/>
    </row>
    <row r="188" spans="2:491" hidden="1">
      <c r="B188">
        <v>11</v>
      </c>
      <c r="N188">
        <v>11</v>
      </c>
      <c r="O188">
        <f t="shared" si="220"/>
        <v>321129.03225806472</v>
      </c>
      <c r="P188">
        <f t="shared" si="221"/>
        <v>12774.193548387098</v>
      </c>
      <c r="NN188" s="1"/>
      <c r="RW188" s="1"/>
    </row>
    <row r="189" spans="2:491" hidden="1">
      <c r="B189">
        <v>12</v>
      </c>
      <c r="N189">
        <v>12</v>
      </c>
      <c r="O189">
        <f t="shared" si="220"/>
        <v>350322.58064516151</v>
      </c>
      <c r="P189">
        <f t="shared" si="221"/>
        <v>13935.483870967744</v>
      </c>
      <c r="NN189" s="1"/>
      <c r="RW189" s="1"/>
    </row>
    <row r="190" spans="2:491" hidden="1">
      <c r="B190">
        <v>13</v>
      </c>
      <c r="N190">
        <v>13</v>
      </c>
      <c r="O190">
        <f t="shared" si="220"/>
        <v>379516.12903225829</v>
      </c>
      <c r="P190">
        <f t="shared" si="221"/>
        <v>15096.77419354839</v>
      </c>
      <c r="NN190" s="1"/>
      <c r="RW190" s="1"/>
    </row>
    <row r="191" spans="2:491" hidden="1">
      <c r="B191">
        <v>14</v>
      </c>
      <c r="N191">
        <v>14</v>
      </c>
      <c r="O191">
        <f t="shared" si="220"/>
        <v>408709.67741935508</v>
      </c>
      <c r="P191">
        <f t="shared" si="221"/>
        <v>16258.064516129036</v>
      </c>
      <c r="NN191" s="1"/>
      <c r="RW191" s="1"/>
    </row>
    <row r="192" spans="2:491" hidden="1">
      <c r="B192">
        <v>15</v>
      </c>
      <c r="N192">
        <v>15</v>
      </c>
      <c r="O192">
        <f t="shared" si="220"/>
        <v>437903.22580645187</v>
      </c>
      <c r="P192">
        <f t="shared" si="221"/>
        <v>17419.354838709682</v>
      </c>
      <c r="NN192" s="1"/>
      <c r="RW192" s="1"/>
    </row>
    <row r="193" spans="2:491" hidden="1">
      <c r="B193">
        <v>16</v>
      </c>
      <c r="N193">
        <v>16</v>
      </c>
      <c r="O193">
        <f t="shared" si="220"/>
        <v>467096.77419354866</v>
      </c>
      <c r="P193">
        <f t="shared" si="221"/>
        <v>18580.645161290326</v>
      </c>
      <c r="NN193" s="1"/>
      <c r="RW193" s="1"/>
    </row>
    <row r="194" spans="2:491" hidden="1">
      <c r="B194">
        <v>17</v>
      </c>
      <c r="N194">
        <v>17</v>
      </c>
      <c r="O194">
        <f t="shared" si="220"/>
        <v>496290.32258064544</v>
      </c>
      <c r="P194">
        <f t="shared" si="221"/>
        <v>19741.93548387097</v>
      </c>
      <c r="NN194" s="1"/>
      <c r="RW194" s="1"/>
    </row>
    <row r="195" spans="2:491" hidden="1">
      <c r="B195">
        <v>18</v>
      </c>
      <c r="N195">
        <v>18</v>
      </c>
      <c r="O195">
        <f t="shared" si="220"/>
        <v>525483.87096774229</v>
      </c>
      <c r="P195">
        <f t="shared" si="221"/>
        <v>20903.225806451614</v>
      </c>
      <c r="NN195" s="1"/>
      <c r="RW195" s="1"/>
    </row>
    <row r="196" spans="2:491" hidden="1">
      <c r="B196">
        <v>19</v>
      </c>
      <c r="N196">
        <v>19</v>
      </c>
      <c r="O196">
        <f t="shared" si="220"/>
        <v>554677.41935483913</v>
      </c>
      <c r="P196">
        <f t="shared" si="221"/>
        <v>22064.516129032258</v>
      </c>
      <c r="NN196" s="1"/>
      <c r="RW196" s="1"/>
    </row>
    <row r="197" spans="2:491" hidden="1">
      <c r="B197">
        <v>20</v>
      </c>
      <c r="N197">
        <v>20</v>
      </c>
      <c r="O197">
        <f t="shared" si="220"/>
        <v>583870.96774193598</v>
      </c>
      <c r="P197">
        <f t="shared" si="221"/>
        <v>23225.806451612902</v>
      </c>
      <c r="NN197" s="1"/>
      <c r="RW197" s="1"/>
    </row>
    <row r="198" spans="2:491" hidden="1">
      <c r="B198">
        <v>21</v>
      </c>
      <c r="N198">
        <v>21</v>
      </c>
      <c r="O198">
        <f t="shared" si="220"/>
        <v>613064.51612903283</v>
      </c>
      <c r="P198">
        <f t="shared" si="221"/>
        <v>24387.096774193546</v>
      </c>
      <c r="NN198" s="1"/>
      <c r="RW198" s="1"/>
    </row>
    <row r="199" spans="2:491" hidden="1">
      <c r="B199">
        <v>22</v>
      </c>
      <c r="N199">
        <v>22</v>
      </c>
      <c r="O199">
        <f t="shared" si="220"/>
        <v>642258.06451612967</v>
      </c>
      <c r="P199">
        <f t="shared" si="221"/>
        <v>25548.38709677419</v>
      </c>
      <c r="NN199" s="1"/>
      <c r="RW199" s="1"/>
    </row>
    <row r="200" spans="2:491" hidden="1">
      <c r="B200">
        <v>23</v>
      </c>
      <c r="N200">
        <v>23</v>
      </c>
      <c r="O200">
        <f t="shared" si="220"/>
        <v>671451.61290322652</v>
      </c>
      <c r="P200">
        <f t="shared" si="221"/>
        <v>26709.677419354834</v>
      </c>
      <c r="NN200" s="1"/>
      <c r="RW200" s="1"/>
    </row>
    <row r="201" spans="2:491" hidden="1">
      <c r="B201">
        <v>24</v>
      </c>
      <c r="N201">
        <v>24</v>
      </c>
      <c r="O201">
        <f t="shared" si="220"/>
        <v>700645.16129032336</v>
      </c>
      <c r="P201">
        <f t="shared" si="221"/>
        <v>27870.967741935478</v>
      </c>
      <c r="NN201" s="1"/>
      <c r="RW201" s="1"/>
    </row>
    <row r="202" spans="2:491" hidden="1">
      <c r="B202">
        <v>25</v>
      </c>
      <c r="N202">
        <v>25</v>
      </c>
      <c r="O202">
        <f t="shared" si="220"/>
        <v>729838.70967742021</v>
      </c>
      <c r="P202">
        <f t="shared" si="221"/>
        <v>29032.258064516122</v>
      </c>
      <c r="NN202" s="1"/>
      <c r="RW202" s="1"/>
    </row>
    <row r="203" spans="2:491" hidden="1">
      <c r="B203">
        <v>26</v>
      </c>
      <c r="N203">
        <v>26</v>
      </c>
      <c r="O203">
        <f t="shared" si="220"/>
        <v>759032.25806451705</v>
      </c>
      <c r="P203">
        <f t="shared" si="221"/>
        <v>30193.548387096766</v>
      </c>
      <c r="NN203" s="1"/>
      <c r="RW203" s="1"/>
    </row>
    <row r="204" spans="2:491" hidden="1">
      <c r="B204">
        <v>27</v>
      </c>
      <c r="N204">
        <v>27</v>
      </c>
      <c r="O204">
        <f t="shared" si="220"/>
        <v>788225.8064516139</v>
      </c>
      <c r="P204">
        <f t="shared" si="221"/>
        <v>31354.838709677409</v>
      </c>
      <c r="NN204" s="1"/>
      <c r="RW204" s="1"/>
    </row>
    <row r="205" spans="2:491" hidden="1">
      <c r="B205">
        <v>28</v>
      </c>
      <c r="N205">
        <v>28</v>
      </c>
      <c r="O205">
        <f t="shared" si="220"/>
        <v>817419.35483871074</v>
      </c>
      <c r="P205">
        <f t="shared" si="221"/>
        <v>32516.129032258053</v>
      </c>
      <c r="NN205" s="1"/>
      <c r="RW205" s="1"/>
    </row>
    <row r="206" spans="2:491" hidden="1">
      <c r="B206">
        <v>29</v>
      </c>
      <c r="N206">
        <v>29</v>
      </c>
      <c r="O206">
        <f t="shared" si="220"/>
        <v>846612.90322580759</v>
      </c>
      <c r="P206">
        <f t="shared" si="221"/>
        <v>33677.419354838697</v>
      </c>
      <c r="NN206" s="1"/>
      <c r="RW206" s="1"/>
    </row>
    <row r="207" spans="2:491" hidden="1">
      <c r="B207">
        <v>30</v>
      </c>
      <c r="N207">
        <v>30</v>
      </c>
      <c r="O207">
        <f t="shared" si="220"/>
        <v>875806.45161290444</v>
      </c>
      <c r="P207">
        <f t="shared" si="221"/>
        <v>34838.709677419341</v>
      </c>
      <c r="NN207" s="1"/>
      <c r="RW207" s="1"/>
    </row>
    <row r="208" spans="2:491" hidden="1">
      <c r="B208">
        <v>31</v>
      </c>
      <c r="N208">
        <v>31</v>
      </c>
      <c r="O208">
        <f t="shared" si="220"/>
        <v>905000.00000000128</v>
      </c>
      <c r="P208">
        <f t="shared" si="221"/>
        <v>35999.999999999985</v>
      </c>
      <c r="NN208" s="1"/>
      <c r="RW208" s="1"/>
    </row>
    <row r="209" spans="16:491">
      <c r="DK209" s="1"/>
      <c r="DL209" s="1"/>
      <c r="NN209" s="1"/>
      <c r="RW209" s="1"/>
    </row>
    <row r="210" spans="16:491">
      <c r="AA210" s="1"/>
      <c r="AB210" s="887">
        <f>(AB43+X43)/30</f>
        <v>2333.3333333333335</v>
      </c>
      <c r="BM210" s="887">
        <f>BM43/30</f>
        <v>1500</v>
      </c>
      <c r="BP210" s="887" t="e">
        <f>#REF!/30</f>
        <v>#REF!</v>
      </c>
      <c r="BV210" s="887">
        <f>BV43/30</f>
        <v>2333.3333333333335</v>
      </c>
      <c r="DK210" s="1"/>
      <c r="DL210" s="1"/>
      <c r="NN210" s="1"/>
      <c r="RW210" s="1"/>
    </row>
    <row r="211" spans="16:491">
      <c r="P211" s="887"/>
      <c r="BY211" s="887">
        <f>BY43/30</f>
        <v>0</v>
      </c>
      <c r="DK211" s="1"/>
      <c r="DL211" s="1"/>
      <c r="JK211" s="887"/>
      <c r="JL211" s="1"/>
      <c r="LX211" s="1074"/>
      <c r="NN211" s="1"/>
      <c r="RW211" s="1"/>
    </row>
    <row r="212" spans="16:491">
      <c r="AB212" s="887">
        <f>X41+AB41</f>
        <v>65340</v>
      </c>
      <c r="DK212" s="1"/>
      <c r="DL212" s="1"/>
      <c r="JL212" s="887"/>
      <c r="NN212" s="1"/>
      <c r="RW212" s="1"/>
    </row>
    <row r="213" spans="16:491">
      <c r="DK213" s="1"/>
      <c r="DL213" s="1"/>
      <c r="GR213" s="887"/>
      <c r="NN213" s="1"/>
      <c r="RW213" s="1"/>
    </row>
    <row r="214" spans="16:491">
      <c r="DK214" s="1"/>
      <c r="DL214" s="1"/>
      <c r="NN214" s="1"/>
    </row>
    <row r="215" spans="16:491">
      <c r="DK215" s="1"/>
      <c r="DL215" s="1"/>
      <c r="NN215" s="1"/>
    </row>
    <row r="216" spans="16:491">
      <c r="DK216" s="1"/>
      <c r="DL216" s="1"/>
      <c r="NN216" s="1"/>
    </row>
    <row r="217" spans="16:491">
      <c r="DK217" s="1"/>
      <c r="DL217" s="1"/>
      <c r="NN217" s="1"/>
      <c r="RQ217">
        <v>2412020236</v>
      </c>
    </row>
    <row r="218" spans="16:491">
      <c r="DK218" s="1"/>
      <c r="DL218" s="1"/>
      <c r="NN218" s="1"/>
    </row>
    <row r="219" spans="16:491">
      <c r="DK219" s="1"/>
      <c r="DL219" s="1"/>
      <c r="NN219" s="1"/>
    </row>
    <row r="220" spans="16:491">
      <c r="DK220" s="1"/>
      <c r="DL220" s="1"/>
      <c r="NN220" s="1"/>
    </row>
    <row r="221" spans="16:491">
      <c r="DK221" s="1"/>
      <c r="DL221" s="1"/>
      <c r="NN221" s="1"/>
    </row>
    <row r="222" spans="16:491">
      <c r="DK222" s="1"/>
      <c r="DL222" s="1"/>
      <c r="NN222" s="1"/>
    </row>
    <row r="223" spans="16:491">
      <c r="DK223" s="1"/>
      <c r="DL223" s="1"/>
      <c r="NN223" s="1"/>
    </row>
    <row r="224" spans="16:491">
      <c r="DK224" s="1"/>
      <c r="DL224" s="1"/>
      <c r="JH224" s="887">
        <f>JH43/31</f>
        <v>5000</v>
      </c>
      <c r="NN224" s="1"/>
    </row>
    <row r="225" spans="20:378">
      <c r="DK225" s="1"/>
      <c r="DL225" s="1"/>
      <c r="NN225" s="1"/>
    </row>
    <row r="226" spans="20:378">
      <c r="DK226" s="1"/>
      <c r="DL226" s="1"/>
      <c r="NN226" s="1"/>
    </row>
    <row r="227" spans="20:378">
      <c r="DK227" s="1"/>
      <c r="DL227" s="1"/>
      <c r="NN227" s="1"/>
    </row>
    <row r="228" spans="20:378">
      <c r="T228" s="887">
        <f>P41+T41+AB41</f>
        <v>195238.33000000002</v>
      </c>
      <c r="DK228" s="1"/>
      <c r="DL228" s="1"/>
      <c r="NN228" s="1"/>
    </row>
    <row r="229" spans="20:378">
      <c r="DK229" s="1"/>
      <c r="DL229" s="1"/>
      <c r="NN229" s="1"/>
    </row>
    <row r="230" spans="20:378">
      <c r="DK230" s="1"/>
      <c r="DL230" s="1"/>
      <c r="NN230" s="1"/>
    </row>
    <row r="231" spans="20:378">
      <c r="DK231" s="1"/>
      <c r="DL231" s="1"/>
      <c r="NN231" s="1"/>
    </row>
    <row r="232" spans="20:378">
      <c r="DK232" s="1"/>
      <c r="DL232" s="1"/>
      <c r="NN232" s="1"/>
    </row>
    <row r="233" spans="20:378">
      <c r="DK233" s="1"/>
      <c r="DL233" s="1"/>
      <c r="NN233" s="1"/>
    </row>
    <row r="234" spans="20:378">
      <c r="DK234" s="1"/>
      <c r="DL234" s="1"/>
      <c r="NN234" s="1"/>
    </row>
    <row r="235" spans="20:378">
      <c r="NN235" s="1"/>
    </row>
    <row r="236" spans="20:378">
      <c r="NN236" s="1"/>
    </row>
    <row r="300" spans="28:271">
      <c r="AB300" s="1">
        <f>AB43-AB41</f>
        <v>0</v>
      </c>
      <c r="JK300" s="887"/>
    </row>
    <row r="301" spans="28:271">
      <c r="JI301" s="1">
        <f>JH41+JI41</f>
        <v>224158.97999999995</v>
      </c>
    </row>
  </sheetData>
  <mergeCells count="202">
    <mergeCell ref="RY8:SB8"/>
    <mergeCell ref="JN48:JO48"/>
    <mergeCell ref="QI6:QI7"/>
    <mergeCell ref="RH6:RJ6"/>
    <mergeCell ref="RK6:RK7"/>
    <mergeCell ref="AA8:AD9"/>
    <mergeCell ref="RM8:RR8"/>
    <mergeCell ref="RU8:RX8"/>
    <mergeCell ref="PZ6:PZ7"/>
    <mergeCell ref="QA6:QA7"/>
    <mergeCell ref="QB6:QB7"/>
    <mergeCell ref="QC6:QC7"/>
    <mergeCell ref="QD6:QD7"/>
    <mergeCell ref="QE6:QG6"/>
    <mergeCell ref="PM6:PM7"/>
    <mergeCell ref="PN6:PN7"/>
    <mergeCell ref="PO6:PO7"/>
    <mergeCell ref="PR6:PS6"/>
    <mergeCell ref="PT6:PX6"/>
    <mergeCell ref="PY6:PY7"/>
    <mergeCell ref="OF6:OP6"/>
    <mergeCell ref="OR6:OR7"/>
    <mergeCell ref="OS6:OX6"/>
    <mergeCell ref="OY6:OY7"/>
    <mergeCell ref="JL6:JL7"/>
    <mergeCell ref="JN6:JU6"/>
    <mergeCell ref="JV6:KC6"/>
    <mergeCell ref="KD6:KK6"/>
    <mergeCell ref="KL6:KL7"/>
    <mergeCell ref="KN6:KR6"/>
    <mergeCell ref="OZ6:PE6"/>
    <mergeCell ref="PF6:PF7"/>
    <mergeCell ref="NB6:ND6"/>
    <mergeCell ref="NE6:NE7"/>
    <mergeCell ref="NR6:NR7"/>
    <mergeCell ref="NS6:OC6"/>
    <mergeCell ref="OE6:OE7"/>
    <mergeCell ref="MO6:MS6"/>
    <mergeCell ref="MT6:MT7"/>
    <mergeCell ref="MW6:MW7"/>
    <mergeCell ref="MX6:MX7"/>
    <mergeCell ref="MY6:MY7"/>
    <mergeCell ref="MZ6:MZ7"/>
    <mergeCell ref="IQ6:JD6"/>
    <mergeCell ref="JE6:JE7"/>
    <mergeCell ref="JH6:JH7"/>
    <mergeCell ref="JI6:JI7"/>
    <mergeCell ref="JJ6:JJ7"/>
    <mergeCell ref="JK6:JK7"/>
    <mergeCell ref="GX6:HK6"/>
    <mergeCell ref="HL6:HL7"/>
    <mergeCell ref="HM6:HZ6"/>
    <mergeCell ref="IA6:IA7"/>
    <mergeCell ref="IB6:IO6"/>
    <mergeCell ref="IP6:IP7"/>
    <mergeCell ref="FU6:GE6"/>
    <mergeCell ref="GG6:GG7"/>
    <mergeCell ref="GJ6:GL6"/>
    <mergeCell ref="GM6:GM7"/>
    <mergeCell ref="GP6:GP7"/>
    <mergeCell ref="GR6:GR7"/>
    <mergeCell ref="EX6:EX7"/>
    <mergeCell ref="FA6:FA7"/>
    <mergeCell ref="FB6:FB7"/>
    <mergeCell ref="FC6:FC7"/>
    <mergeCell ref="FD6:FD7"/>
    <mergeCell ref="FE6:FE7"/>
    <mergeCell ref="DQ6:DQ7"/>
    <mergeCell ref="DR6:EB6"/>
    <mergeCell ref="ED6:ED7"/>
    <mergeCell ref="EE6:EO6"/>
    <mergeCell ref="EQ6:EQ7"/>
    <mergeCell ref="ER6:EW6"/>
    <mergeCell ref="CY6:CY7"/>
    <mergeCell ref="CZ6:CZ7"/>
    <mergeCell ref="DA6:DA7"/>
    <mergeCell ref="DB6:DB7"/>
    <mergeCell ref="DC6:DC7"/>
    <mergeCell ref="DE6:DO6"/>
    <mergeCell ref="CU6:CU7"/>
    <mergeCell ref="CV6:CV7"/>
    <mergeCell ref="CW6:CW7"/>
    <mergeCell ref="CX6:CX7"/>
    <mergeCell ref="CL6:CL7"/>
    <mergeCell ref="CM6:CM7"/>
    <mergeCell ref="CN6:CN7"/>
    <mergeCell ref="CO6:CO7"/>
    <mergeCell ref="CQ6:CQ7"/>
    <mergeCell ref="CR6:CR7"/>
    <mergeCell ref="CK6:CK7"/>
    <mergeCell ref="BI6:BK6"/>
    <mergeCell ref="BL6:BN6"/>
    <mergeCell ref="BO6:BQ6"/>
    <mergeCell ref="BR6:BT6"/>
    <mergeCell ref="BU6:BW6"/>
    <mergeCell ref="BX6:BZ6"/>
    <mergeCell ref="CS6:CS7"/>
    <mergeCell ref="CT6:CT7"/>
    <mergeCell ref="AA6:AD6"/>
    <mergeCell ref="AE6:AH6"/>
    <mergeCell ref="AI6:AL6"/>
    <mergeCell ref="AN6:AP6"/>
    <mergeCell ref="CA6:CC6"/>
    <mergeCell ref="CD6:CF6"/>
    <mergeCell ref="CH6:CH7"/>
    <mergeCell ref="CI6:CI7"/>
    <mergeCell ref="CJ6:CJ7"/>
    <mergeCell ref="QR5:QW5"/>
    <mergeCell ref="QY5:RD5"/>
    <mergeCell ref="C6:C7"/>
    <mergeCell ref="D6:D7"/>
    <mergeCell ref="E6:E7"/>
    <mergeCell ref="F6:G6"/>
    <mergeCell ref="H6:I6"/>
    <mergeCell ref="J6:K6"/>
    <mergeCell ref="L6:M6"/>
    <mergeCell ref="O6:R6"/>
    <mergeCell ref="PI5:PO5"/>
    <mergeCell ref="PP5:PP40"/>
    <mergeCell ref="PR5:QI5"/>
    <mergeCell ref="QJ5:QJ40"/>
    <mergeCell ref="QL5:QM5"/>
    <mergeCell ref="QO5:QP5"/>
    <mergeCell ref="PI6:PI7"/>
    <mergeCell ref="PJ6:PJ7"/>
    <mergeCell ref="PK6:PK7"/>
    <mergeCell ref="PL6:PL7"/>
    <mergeCell ref="LQ5:MT5"/>
    <mergeCell ref="MU5:MU40"/>
    <mergeCell ref="MW5:MZ5"/>
    <mergeCell ref="NA5:NA40"/>
    <mergeCell ref="NB5:PF5"/>
    <mergeCell ref="PG5:PG40"/>
    <mergeCell ref="MC6:MG6"/>
    <mergeCell ref="MH6:MH7"/>
    <mergeCell ref="MI6:MM6"/>
    <mergeCell ref="MN6:MN7"/>
    <mergeCell ref="JN5:KL5"/>
    <mergeCell ref="KM5:KM40"/>
    <mergeCell ref="KN5:LC5"/>
    <mergeCell ref="LD5:LD40"/>
    <mergeCell ref="LF5:LO5"/>
    <mergeCell ref="LP5:LP40"/>
    <mergeCell ref="KS6:KW6"/>
    <mergeCell ref="KX6:LB6"/>
    <mergeCell ref="LC6:LC7"/>
    <mergeCell ref="LF6:LI6"/>
    <mergeCell ref="LJ6:LM6"/>
    <mergeCell ref="LN6:LN7"/>
    <mergeCell ref="LO6:LO7"/>
    <mergeCell ref="LQ6:LU6"/>
    <mergeCell ref="LV6:LV7"/>
    <mergeCell ref="LW6:MB6"/>
    <mergeCell ref="NF6:NQ6"/>
    <mergeCell ref="LF4:MU4"/>
    <mergeCell ref="MW4:PG4"/>
    <mergeCell ref="PI4:PP4"/>
    <mergeCell ref="PR4:QJ4"/>
    <mergeCell ref="C5:M5"/>
    <mergeCell ref="N5:N40"/>
    <mergeCell ref="O5:AL5"/>
    <mergeCell ref="AM5:AM40"/>
    <mergeCell ref="AN5:CF5"/>
    <mergeCell ref="CH5:CN5"/>
    <mergeCell ref="FA5:FE5"/>
    <mergeCell ref="FF5:FF40"/>
    <mergeCell ref="FG5:GG5"/>
    <mergeCell ref="GH5:GH40"/>
    <mergeCell ref="GJ5:GP5"/>
    <mergeCell ref="GQ5:GQ40"/>
    <mergeCell ref="FG6:FL6"/>
    <mergeCell ref="FM6:FM7"/>
    <mergeCell ref="FN6:FS6"/>
    <mergeCell ref="FT6:FT7"/>
    <mergeCell ref="GR5:GV5"/>
    <mergeCell ref="GW5:GW40"/>
    <mergeCell ref="GX5:JE5"/>
    <mergeCell ref="JF5:JF40"/>
    <mergeCell ref="B4:B7"/>
    <mergeCell ref="C4:CO4"/>
    <mergeCell ref="CQ4:EY4"/>
    <mergeCell ref="FA4:GH4"/>
    <mergeCell ref="GJ4:JF4"/>
    <mergeCell ref="JH4:LD4"/>
    <mergeCell ref="CQ5:DC5"/>
    <mergeCell ref="DD5:DD40"/>
    <mergeCell ref="DE5:EX5"/>
    <mergeCell ref="EY5:EY40"/>
    <mergeCell ref="JH5:JL5"/>
    <mergeCell ref="JM5:JM40"/>
    <mergeCell ref="GS6:GS7"/>
    <mergeCell ref="GT6:GT7"/>
    <mergeCell ref="GU6:GU7"/>
    <mergeCell ref="GV6:GV7"/>
    <mergeCell ref="AQ6:AS6"/>
    <mergeCell ref="AT6:AV6"/>
    <mergeCell ref="AW6:AY6"/>
    <mergeCell ref="AZ6:BB6"/>
    <mergeCell ref="BC6:BE6"/>
    <mergeCell ref="BF6:BH6"/>
    <mergeCell ref="S6:V6"/>
    <mergeCell ref="W6:Z6"/>
  </mergeCells>
  <conditionalFormatting sqref="B10:B40">
    <cfRule type="expression" dxfId="234" priority="2144" stopIfTrue="1">
      <formula>SUMIFS($AQ10:$CF10,$AQ$7:$CF$7,"ROM")&lt;&gt;SUM($DQ10,$ED10,$EQ10,$PX10)</formula>
    </cfRule>
    <cfRule type="expression" dxfId="233" priority="2145" stopIfTrue="1">
      <formula>OR(SUM(GR10:GU10)&lt;&gt;SUM(HL10,IP10,JE10),SUM(HL10,IP10,JE10)&lt;&gt;SUM(JH10:JJ10))</formula>
    </cfRule>
    <cfRule type="expression" dxfId="232" priority="2146">
      <formula>OR(SUM(#REF!)&lt;&gt;SUM(P1048567,AE1048567,AT1048567),SUM(P1048567,AE1048567,AT1048567)&lt;&gt;SUM(AW1048567:AY1048567))</formula>
    </cfRule>
  </conditionalFormatting>
  <conditionalFormatting sqref="C10:AV10 AX10:CC10 CE10:JJ10 JM10:QI10 BN11:CC11 CE11:CL11 IP11:JG11 JI11:JJ11 U11:W15 NE11:NK18 X11:Z23 JM11:LU32 C11:R40 T11:T40 AA11:AA40 AC11:BM40 LV11:NA40 NL11:QI40 GK11:GK41 NB11:ND42 AB11:AB44 S11:S45 BZ12:CC18 CE12:CG18 BY12:BY19 BN12:BX29 CH12:CL37 W16:W17 U16:U20 V18:W20 BZ19:CG19 NF19:NK20 NE19:NE25 BY20:CG29 U21:W23 NG21:NK24 NF21:NF25 V24:Z40 U24:U44 NG25:NG31 NH25:NK33 NE26:NF31 BN30:CG37 NE32:NG33 JM33:KR33 KX33:LU34 KS33:KW35 JS34:KR35 JM34:JR36 NE34:NK40 KX35:LO35 LP35:LU36 JS36:LN36 JM37:LU40 BN38:CL40 T43">
    <cfRule type="expression" dxfId="231" priority="15">
      <formula>$B10=DAY(TODAY()-1)</formula>
    </cfRule>
  </conditionalFormatting>
  <conditionalFormatting sqref="S10:T10 T11:T40 S11:S45 T43">
    <cfRule type="expression" dxfId="230" priority="12">
      <formula>OR(AND(S10&lt;(S$45-(10%*S$45)),S$7="OB"),AND(S10&lt;(S$45-(10%*S$45)),S$7="ROM"))</formula>
    </cfRule>
  </conditionalFormatting>
  <conditionalFormatting sqref="V16">
    <cfRule type="expression" dxfId="229" priority="19">
      <formula>$B16=DAY(TODAY()-1)</formula>
    </cfRule>
  </conditionalFormatting>
  <conditionalFormatting sqref="W10:X40">
    <cfRule type="expression" dxfId="228" priority="9">
      <formula>OR(AND(W10&lt;(W$45-(10%*W$45)),W$7="OB"),AND(W10&lt;(W$45-(10%*W$45)),W$7="ROM"))</formula>
    </cfRule>
  </conditionalFormatting>
  <conditionalFormatting sqref="Y10:AD10 BN10:BZ10 U10:V16 BN11:BY11 Y11:AA40 AC11:AD40 AG11:AJ40 BZ11:BZ40 AB11:AB44 BN12:BW12 BX12:BY29 BN13:BR15 BS13:BW21 BO16:BR16 U17:U20 BN17:BR21 V18:V20 U21:V23 BN22:BW29 V24:V40 U24:U44 BN30:BY40 O40">
    <cfRule type="expression" dxfId="227" priority="14">
      <formula>OR(AND(O10&lt;(O$45-(10%*O$45)),O$7="OB"),AND(O10&lt;(O$45-(10%*O$45)),O$7="ROM"))</formula>
    </cfRule>
  </conditionalFormatting>
  <conditionalFormatting sqref="AE10:AF40">
    <cfRule type="expression" dxfId="226" priority="10">
      <formula>OR(AND(AE10&lt;(AE$45-(10%*AE$45)),AE$7="OB"),AND(AE10&lt;(AE$45-(10%*AE$45)),AE$7="ROM"))</formula>
    </cfRule>
  </conditionalFormatting>
  <conditionalFormatting sqref="AG10:AV10 AX10:BK10 O10:R40 AK11:BK33 BD32:BD34 AK34:BM40">
    <cfRule type="expression" dxfId="225" priority="13">
      <formula>OR(AND(O10&lt;(O$45-(10%*O$45)),O$7="OB"),AND(O10&lt;(O$45-(10%*O$45)),O$7="ROM"))</formula>
    </cfRule>
  </conditionalFormatting>
  <conditionalFormatting sqref="AW11">
    <cfRule type="expression" dxfId="224" priority="2143">
      <formula>$B10=DAY(TODAY()-1)</formula>
    </cfRule>
  </conditionalFormatting>
  <conditionalFormatting sqref="BL10:BM33">
    <cfRule type="expression" dxfId="223" priority="11">
      <formula>OR(AND(BL10&lt;(BL$45-(10%*BL$45)),BL$7="OB"),AND(BL10&lt;(BL$45-(10%*BL$45)),BL$7="ROM"))</formula>
    </cfRule>
  </conditionalFormatting>
  <conditionalFormatting sqref="CA10:CF40">
    <cfRule type="expression" dxfId="222" priority="6">
      <formula>OR(AND(CA10&lt;(CA$45-(10%*CA$45)),CA$7="OB"),AND(CA10&lt;(CA$45-(10%*CA$45)),CA$7="ROM"))</formula>
    </cfRule>
  </conditionalFormatting>
  <conditionalFormatting sqref="CD10:CD18">
    <cfRule type="expression" dxfId="221" priority="7">
      <formula>$B10=DAY(TODAY()-1)</formula>
    </cfRule>
  </conditionalFormatting>
  <conditionalFormatting sqref="CM11:GJ40 GL11:IO40 IP12:JJ40">
    <cfRule type="expression" dxfId="220" priority="3">
      <formula>$B11=DAY(TODAY()-1)</formula>
    </cfRule>
  </conditionalFormatting>
  <conditionalFormatting sqref="ED1">
    <cfRule type="expression" dxfId="219" priority="2">
      <formula>$B1=DAY(TODAY()-1)</formula>
    </cfRule>
  </conditionalFormatting>
  <conditionalFormatting sqref="EE10">
    <cfRule type="expression" dxfId="218" priority="5">
      <formula>OR(AND(EE10&lt;(EE$45-(10%*EE$45)),EE$7="OB"),AND(EE10&lt;(EE$45-(10%*EE$45)),EE$7="ROM"))</formula>
    </cfRule>
  </conditionalFormatting>
  <conditionalFormatting sqref="EG21">
    <cfRule type="expression" dxfId="217" priority="8">
      <formula>OR(AND(EG21&lt;(EG$45-(10%*EG$45)),EG$7="OB"),AND(EG21&lt;(EG$45-(10%*EG$45)),EG$7="ROM"))</formula>
    </cfRule>
  </conditionalFormatting>
  <conditionalFormatting sqref="JK10:JL40">
    <cfRule type="expression" dxfId="216" priority="4">
      <formula>$B10=DAY(TODAY()-1)</formula>
    </cfRule>
  </conditionalFormatting>
  <conditionalFormatting sqref="OI1">
    <cfRule type="expression" dxfId="215" priority="1">
      <formula>$B1=DAY(TODAY()-1)</formula>
    </cfRule>
  </conditionalFormatting>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
  <sheetViews>
    <sheetView workbookViewId="0"/>
  </sheetViews>
  <sheetFormatPr defaultRowHeight="14.4"/>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B2:SZ141"/>
  <sheetViews>
    <sheetView showGridLines="0" zoomScale="70" zoomScaleNormal="70" workbookViewId="0">
      <pane xSplit="2" ySplit="1" topLeftCell="Q7" activePane="bottomRight" state="frozen"/>
      <selection pane="topRight" activeCell="H17" sqref="H17"/>
      <selection pane="bottomLeft" activeCell="H17" sqref="H17"/>
      <selection pane="bottomRight" activeCell="AE12" sqref="AE12"/>
    </sheetView>
  </sheetViews>
  <sheetFormatPr defaultColWidth="8.6640625" defaultRowHeight="14.4"/>
  <cols>
    <col min="1" max="1" width="2.33203125" customWidth="1"/>
    <col min="2" max="2" width="7.33203125" customWidth="1"/>
    <col min="3" max="3" width="15.33203125" customWidth="1"/>
    <col min="4" max="4" width="13" customWidth="1"/>
    <col min="5" max="7" width="10.44140625" customWidth="1"/>
    <col min="8" max="8" width="13.6640625" customWidth="1"/>
    <col min="9" max="9" width="10.44140625" customWidth="1"/>
    <col min="10" max="10" width="12.33203125" hidden="1" customWidth="1"/>
    <col min="11" max="11" width="8.6640625" hidden="1" customWidth="1"/>
    <col min="12" max="12" width="14.6640625" hidden="1" customWidth="1"/>
    <col min="13" max="13" width="8.6640625" hidden="1" customWidth="1"/>
    <col min="14" max="14" width="5" customWidth="1"/>
    <col min="15" max="15" width="14.6640625" customWidth="1"/>
    <col min="16" max="16" width="12.109375" customWidth="1"/>
    <col min="17" max="17" width="12.6640625" bestFit="1" customWidth="1"/>
    <col min="18" max="18" width="11.5546875" bestFit="1" customWidth="1"/>
    <col min="19" max="19" width="11.6640625" hidden="1" customWidth="1"/>
    <col min="20" max="20" width="22.33203125" hidden="1" customWidth="1"/>
    <col min="21" max="23" width="17.44140625" customWidth="1"/>
    <col min="24" max="24" width="11.6640625" customWidth="1"/>
    <col min="25" max="25" width="1.33203125" customWidth="1"/>
    <col min="26" max="28" width="11.33203125" customWidth="1"/>
    <col min="29" max="31" width="12.33203125" customWidth="1"/>
    <col min="32" max="32" width="12.109375" customWidth="1"/>
    <col min="33" max="34" width="12.109375" hidden="1" customWidth="1"/>
    <col min="35" max="36" width="17.5546875" customWidth="1"/>
    <col min="37" max="37" width="12" customWidth="1"/>
    <col min="38" max="39" width="18.44140625" customWidth="1"/>
    <col min="40" max="40" width="18.44140625" hidden="1" customWidth="1"/>
    <col min="41" max="41" width="18.44140625" customWidth="1"/>
    <col min="42" max="42" width="12.109375" hidden="1" customWidth="1"/>
    <col min="43" max="43" width="1.33203125" customWidth="1"/>
    <col min="44" max="44" width="15" customWidth="1"/>
    <col min="45" max="45" width="15" hidden="1" customWidth="1"/>
    <col min="46" max="46" width="8" customWidth="1"/>
    <col min="47" max="51" width="8.44140625" customWidth="1"/>
    <col min="52" max="52" width="2.44140625" customWidth="1"/>
    <col min="53" max="55" width="17.88671875" hidden="1" customWidth="1"/>
    <col min="56" max="56" width="0.5546875" customWidth="1"/>
    <col min="57" max="57" width="13.88671875" customWidth="1"/>
    <col min="58" max="62" width="6.6640625" customWidth="1"/>
    <col min="63" max="63" width="19.44140625" customWidth="1"/>
    <col min="64" max="64" width="2.5546875" customWidth="1"/>
    <col min="65" max="65" width="19" customWidth="1"/>
    <col min="66" max="82" width="30.5546875" hidden="1" customWidth="1"/>
    <col min="83" max="83" width="1.6640625" customWidth="1"/>
    <col min="84" max="84" width="9.33203125" customWidth="1"/>
    <col min="85" max="85" width="8.6640625" customWidth="1"/>
    <col min="86" max="86" width="14.109375" customWidth="1"/>
    <col min="87" max="87" width="19.44140625" customWidth="1"/>
    <col min="88" max="88" width="5.44140625" customWidth="1"/>
    <col min="89" max="89" width="6.6640625" customWidth="1"/>
    <col min="90" max="90" width="12.6640625" customWidth="1"/>
    <col min="91" max="91" width="20" customWidth="1"/>
    <col min="92" max="92" width="8.6640625" customWidth="1"/>
    <col min="93" max="93" width="10.33203125" customWidth="1"/>
    <col min="94" max="94" width="9.33203125" customWidth="1"/>
    <col min="95" max="96" width="8.6640625" customWidth="1"/>
    <col min="97" max="97" width="1.33203125" customWidth="1"/>
    <col min="98" max="98" width="12" customWidth="1"/>
    <col min="99" max="99" width="8.6640625" customWidth="1"/>
    <col min="100" max="100" width="3.33203125" customWidth="1"/>
    <col min="101" max="101" width="14.5546875" bestFit="1" customWidth="1"/>
    <col min="102" max="102" width="16.33203125" customWidth="1"/>
    <col min="103" max="103" width="12.33203125" customWidth="1"/>
    <col min="104" max="104" width="14.6640625" hidden="1" customWidth="1"/>
    <col min="105" max="105" width="11.44140625" hidden="1" customWidth="1"/>
    <col min="106" max="106" width="11.6640625" hidden="1" customWidth="1"/>
    <col min="107" max="107" width="14.5546875" customWidth="1"/>
    <col min="108" max="108" width="16.33203125" customWidth="1"/>
    <col min="109" max="109" width="8.6640625" customWidth="1"/>
    <col min="110" max="110" width="8.5546875" hidden="1" customWidth="1"/>
    <col min="111" max="111" width="8.6640625" hidden="1" customWidth="1"/>
    <col min="112" max="112" width="9.33203125" hidden="1" customWidth="1"/>
    <col min="113" max="114" width="8.6640625" hidden="1" customWidth="1"/>
    <col min="115" max="115" width="8.33203125" hidden="1" customWidth="1"/>
    <col min="116" max="116" width="13.6640625" customWidth="1"/>
    <col min="117" max="117" width="15.33203125" customWidth="1"/>
    <col min="118" max="118" width="9.33203125" customWidth="1"/>
    <col min="119" max="119" width="11.6640625" customWidth="1"/>
    <col min="120" max="120" width="11.33203125" customWidth="1"/>
    <col min="121" max="121" width="8.6640625" customWidth="1"/>
    <col min="122" max="122" width="17.33203125" hidden="1" customWidth="1"/>
    <col min="123" max="123" width="18.33203125" hidden="1" customWidth="1"/>
    <col min="124" max="124" width="8.6640625" hidden="1" customWidth="1"/>
    <col min="125" max="125" width="16.44140625" customWidth="1"/>
    <col min="126" max="126" width="13.5546875" customWidth="1"/>
    <col min="127" max="127" width="10.6640625" customWidth="1"/>
    <col min="128" max="128" width="14.6640625" customWidth="1"/>
    <col min="129" max="129" width="14" customWidth="1"/>
    <col min="130" max="130" width="8.6640625" customWidth="1"/>
    <col min="131" max="131" width="13.33203125" customWidth="1"/>
    <col min="132" max="132" width="12.6640625" customWidth="1"/>
    <col min="133" max="133" width="9.33203125" customWidth="1"/>
    <col min="134" max="134" width="13.5546875" hidden="1" customWidth="1"/>
    <col min="135" max="135" width="12.33203125" hidden="1" customWidth="1"/>
    <col min="136" max="136" width="9.33203125" hidden="1" customWidth="1"/>
    <col min="137" max="137" width="12.6640625" hidden="1" customWidth="1"/>
    <col min="138" max="138" width="11.33203125" hidden="1" customWidth="1"/>
    <col min="139" max="139" width="9.33203125" hidden="1" customWidth="1"/>
    <col min="140" max="140" width="13.44140625" hidden="1" customWidth="1"/>
    <col min="141" max="141" width="13" hidden="1" customWidth="1"/>
    <col min="142" max="142" width="9.33203125" hidden="1" customWidth="1"/>
    <col min="143" max="143" width="7.6640625" customWidth="1"/>
    <col min="144" max="146" width="10.6640625" customWidth="1"/>
    <col min="150" max="150" width="0" hidden="1" customWidth="1"/>
    <col min="151" max="151" width="18.33203125" customWidth="1"/>
    <col min="152" max="152" width="6.6640625" customWidth="1"/>
    <col min="154" max="154" width="11.6640625" bestFit="1" customWidth="1"/>
    <col min="156" max="156" width="11.6640625" bestFit="1" customWidth="1"/>
    <col min="158" max="158" width="11.6640625" bestFit="1" customWidth="1"/>
    <col min="160" max="160" width="11.6640625" bestFit="1" customWidth="1"/>
    <col min="162" max="162" width="11.6640625" bestFit="1" customWidth="1"/>
    <col min="164" max="164" width="11.6640625" bestFit="1" customWidth="1"/>
    <col min="165" max="165" width="13.33203125" bestFit="1" customWidth="1"/>
    <col min="166" max="166" width="7.6640625" customWidth="1"/>
    <col min="168" max="168" width="11.6640625" bestFit="1" customWidth="1"/>
    <col min="169" max="169" width="11.6640625" customWidth="1"/>
    <col min="170" max="170" width="11.6640625" bestFit="1" customWidth="1"/>
    <col min="171" max="171" width="12.5546875" bestFit="1" customWidth="1"/>
    <col min="172" max="172" width="11.6640625" bestFit="1" customWidth="1"/>
    <col min="174" max="174" width="11.6640625" bestFit="1" customWidth="1"/>
    <col min="175" max="175" width="12.6640625" bestFit="1" customWidth="1"/>
    <col min="176" max="176" width="11.6640625" bestFit="1" customWidth="1"/>
    <col min="177" max="177" width="10.6640625" bestFit="1" customWidth="1"/>
    <col min="178" max="178" width="11.6640625" bestFit="1" customWidth="1"/>
    <col min="179" max="179" width="13.6640625" bestFit="1" customWidth="1"/>
    <col min="180" max="180" width="11.33203125" customWidth="1"/>
    <col min="181" max="181" width="16.6640625" customWidth="1"/>
    <col min="182" max="182" width="9.6640625" customWidth="1"/>
    <col min="183" max="183" width="11.6640625" bestFit="1" customWidth="1"/>
    <col min="184" max="184" width="10.33203125" bestFit="1" customWidth="1"/>
    <col min="185" max="185" width="11.6640625" bestFit="1" customWidth="1"/>
    <col min="186" max="186" width="10.33203125" customWidth="1"/>
    <col min="187" max="187" width="11.6640625" bestFit="1" customWidth="1"/>
    <col min="188" max="188" width="12.33203125" customWidth="1"/>
    <col min="189" max="189" width="10.33203125" customWidth="1"/>
    <col min="190" max="190" width="9.33203125" customWidth="1"/>
    <col min="191" max="191" width="11.6640625" bestFit="1" customWidth="1"/>
    <col min="192" max="192" width="14.6640625" customWidth="1"/>
    <col min="193" max="193" width="12.6640625" bestFit="1" customWidth="1"/>
    <col min="194" max="194" width="12.33203125" hidden="1" customWidth="1"/>
    <col min="195" max="195" width="12.6640625" bestFit="1" customWidth="1"/>
    <col min="196" max="196" width="12.33203125" hidden="1" customWidth="1"/>
    <col min="197" max="197" width="12.6640625" bestFit="1" customWidth="1"/>
    <col min="198" max="198" width="12.33203125" hidden="1" customWidth="1"/>
    <col min="199" max="199" width="12.6640625" bestFit="1" customWidth="1"/>
    <col min="200" max="200" width="12.33203125" hidden="1" customWidth="1"/>
    <col min="201" max="201" width="12.6640625" bestFit="1" customWidth="1"/>
    <col min="202" max="202" width="12.33203125" hidden="1" customWidth="1"/>
    <col min="203" max="203" width="12.6640625" bestFit="1" customWidth="1"/>
    <col min="204" max="204" width="11.6640625" hidden="1" customWidth="1"/>
    <col min="205" max="205" width="12.6640625" customWidth="1"/>
    <col min="206" max="212" width="8.6640625" hidden="1" customWidth="1"/>
    <col min="213" max="213" width="1.33203125" customWidth="1"/>
    <col min="214" max="214" width="6.6640625" customWidth="1"/>
    <col min="217" max="217" width="9.33203125" bestFit="1" customWidth="1"/>
    <col min="220" max="220" width="1.33203125" customWidth="1"/>
    <col min="221" max="234" width="8.6640625" hidden="1" customWidth="1"/>
    <col min="235" max="235" width="7.33203125" bestFit="1" customWidth="1"/>
    <col min="236" max="236" width="11.6640625" bestFit="1" customWidth="1"/>
    <col min="237" max="237" width="6.6640625" bestFit="1" customWidth="1"/>
    <col min="238" max="238" width="11.6640625" bestFit="1" customWidth="1"/>
    <col min="239" max="239" width="6.6640625" bestFit="1" customWidth="1"/>
    <col min="240" max="240" width="11.6640625" bestFit="1" customWidth="1"/>
    <col min="241" max="241" width="6.6640625" bestFit="1" customWidth="1"/>
    <col min="242" max="242" width="11.6640625" bestFit="1" customWidth="1"/>
    <col min="243" max="243" width="10.33203125" bestFit="1" customWidth="1"/>
    <col min="244" max="244" width="11.6640625" bestFit="1" customWidth="1"/>
    <col min="245" max="245" width="6.6640625" bestFit="1" customWidth="1"/>
    <col min="246" max="246" width="11.6640625" bestFit="1" customWidth="1"/>
    <col min="248" max="248" width="1.33203125" customWidth="1"/>
    <col min="249" max="249" width="6.6640625" customWidth="1"/>
    <col min="250" max="250" width="13" customWidth="1"/>
    <col min="251" max="251" width="13.44140625" customWidth="1"/>
    <col min="252" max="252" width="12" customWidth="1"/>
    <col min="253" max="253" width="12.6640625" customWidth="1"/>
    <col min="254" max="254" width="10.33203125" hidden="1" customWidth="1"/>
    <col min="255" max="255" width="0" hidden="1" customWidth="1"/>
    <col min="256" max="256" width="37.44140625" customWidth="1"/>
    <col min="257" max="257" width="1.33203125" customWidth="1"/>
    <col min="258" max="258" width="13.33203125" bestFit="1" customWidth="1"/>
    <col min="259" max="259" width="12.33203125" bestFit="1" customWidth="1"/>
    <col min="260" max="260" width="13.33203125" customWidth="1"/>
    <col min="261" max="261" width="12.33203125" hidden="1" customWidth="1"/>
    <col min="262" max="262" width="12.33203125" bestFit="1" customWidth="1"/>
    <col min="263" max="263" width="1.33203125" customWidth="1"/>
    <col min="264" max="264" width="13.5546875" hidden="1" customWidth="1"/>
    <col min="265" max="265" width="12.33203125" hidden="1" customWidth="1"/>
    <col min="266" max="266" width="13.33203125" hidden="1" customWidth="1"/>
    <col min="267" max="267" width="13" hidden="1" customWidth="1"/>
    <col min="268" max="268" width="12.6640625" hidden="1" customWidth="1"/>
    <col min="269" max="269" width="14.44140625" hidden="1" customWidth="1"/>
    <col min="270" max="270" width="12" hidden="1" customWidth="1"/>
    <col min="271" max="272" width="11.6640625" hidden="1" customWidth="1"/>
    <col min="273" max="273" width="13" hidden="1" customWidth="1"/>
    <col min="274" max="274" width="10.33203125" hidden="1" customWidth="1"/>
    <col min="275" max="275" width="11.6640625" hidden="1" customWidth="1"/>
    <col min="276" max="276" width="0" hidden="1" customWidth="1"/>
    <col min="277" max="277" width="10.33203125" hidden="1" customWidth="1"/>
    <col min="278" max="278" width="10.44140625" hidden="1" customWidth="1"/>
    <col min="279" max="279" width="11.33203125" customWidth="1"/>
    <col min="280" max="280" width="11.6640625" bestFit="1" customWidth="1"/>
    <col min="281" max="281" width="10.33203125" bestFit="1" customWidth="1"/>
    <col min="282" max="282" width="11.6640625" bestFit="1" customWidth="1"/>
    <col min="283" max="283" width="12.33203125" bestFit="1" customWidth="1"/>
    <col min="284" max="284" width="11.6640625" bestFit="1" customWidth="1"/>
    <col min="285" max="285" width="10.44140625" bestFit="1" customWidth="1"/>
    <col min="286" max="286" width="11.6640625" bestFit="1" customWidth="1"/>
    <col min="287" max="287" width="12.33203125" bestFit="1" customWidth="1"/>
    <col min="288" max="288" width="11.6640625" bestFit="1" customWidth="1"/>
    <col min="289" max="289" width="12" customWidth="1"/>
    <col min="290" max="290" width="12.33203125" bestFit="1" customWidth="1"/>
    <col min="293" max="293" width="11.6640625" bestFit="1" customWidth="1"/>
    <col min="294" max="294" width="7.33203125" bestFit="1" customWidth="1"/>
    <col min="295" max="295" width="11.6640625" bestFit="1" customWidth="1"/>
    <col min="296" max="296" width="9.44140625" customWidth="1"/>
    <col min="297" max="297" width="11.6640625" bestFit="1" customWidth="1"/>
    <col min="298" max="299" width="12" bestFit="1" customWidth="1"/>
    <col min="300" max="300" width="8.5546875" customWidth="1"/>
    <col min="301" max="301" width="11.6640625" bestFit="1" customWidth="1"/>
    <col min="302" max="302" width="10.44140625" bestFit="1" customWidth="1"/>
    <col min="303" max="303" width="12" bestFit="1" customWidth="1"/>
    <col min="304" max="304" width="9.5546875" customWidth="1"/>
    <col min="305" max="305" width="11.6640625" bestFit="1" customWidth="1"/>
    <col min="308" max="308" width="13" customWidth="1"/>
    <col min="309" max="309" width="1.33203125" customWidth="1"/>
    <col min="310" max="310" width="6.6640625" customWidth="1"/>
    <col min="311" max="311" width="21.33203125" customWidth="1"/>
    <col min="312" max="312" width="16" customWidth="1"/>
    <col min="313" max="313" width="15.5546875" bestFit="1" customWidth="1"/>
    <col min="314" max="314" width="13.33203125" bestFit="1" customWidth="1"/>
    <col min="315" max="315" width="13" bestFit="1" customWidth="1"/>
    <col min="316" max="316" width="3.6640625" customWidth="1"/>
    <col min="317" max="317" width="12.5546875" bestFit="1" customWidth="1"/>
    <col min="321" max="321" width="11.5546875" customWidth="1"/>
    <col min="325" max="332" width="8.6640625" customWidth="1"/>
    <col min="339" max="339" width="8.6640625" customWidth="1"/>
    <col min="340" max="340" width="6.33203125" customWidth="1"/>
    <col min="342" max="342" width="1.33203125" customWidth="1"/>
    <col min="348" max="348" width="12.33203125" customWidth="1"/>
    <col min="349" max="352" width="8.6640625" customWidth="1"/>
    <col min="358" max="358" width="0" hidden="1" customWidth="1"/>
    <col min="359" max="359" width="1.33203125" customWidth="1"/>
    <col min="360" max="360" width="6.6640625" customWidth="1"/>
    <col min="361" max="361" width="16.33203125" customWidth="1"/>
    <col min="362" max="362" width="13.33203125" customWidth="1"/>
    <col min="363" max="363" width="25.33203125" customWidth="1"/>
    <col min="364" max="364" width="14.33203125" bestFit="1" customWidth="1"/>
    <col min="365" max="365" width="14.44140625" customWidth="1"/>
    <col min="366" max="366" width="13.44140625" bestFit="1" customWidth="1"/>
    <col min="368" max="368" width="0" hidden="1" customWidth="1"/>
    <col min="370" max="370" width="49.33203125" customWidth="1"/>
    <col min="371" max="371" width="1.33203125" customWidth="1"/>
    <col min="372" max="372" width="15.33203125" customWidth="1"/>
    <col min="373" max="373" width="10.33203125" bestFit="1" customWidth="1"/>
    <col min="374" max="374" width="13.6640625" bestFit="1" customWidth="1"/>
    <col min="375" max="375" width="9.44140625" customWidth="1"/>
    <col min="376" max="376" width="9.6640625" customWidth="1"/>
    <col min="377" max="377" width="12.33203125" customWidth="1"/>
    <col min="378" max="378" width="10.44140625" bestFit="1" customWidth="1"/>
    <col min="379" max="379" width="9" customWidth="1"/>
    <col min="380" max="380" width="13.6640625" bestFit="1" customWidth="1"/>
    <col min="381" max="381" width="12" bestFit="1" customWidth="1"/>
    <col min="382" max="382" width="13" bestFit="1" customWidth="1"/>
    <col min="383" max="383" width="9.6640625" bestFit="1" customWidth="1"/>
    <col min="384" max="384" width="9.33203125" bestFit="1" customWidth="1"/>
    <col min="385" max="385" width="12.6640625" customWidth="1"/>
    <col min="386" max="386" width="13.6640625" bestFit="1" customWidth="1"/>
    <col min="387" max="387" width="9.44140625" bestFit="1" customWidth="1"/>
    <col min="388" max="388" width="9.6640625" bestFit="1" customWidth="1"/>
    <col min="389" max="389" width="13.5546875" bestFit="1" customWidth="1"/>
    <col min="390" max="390" width="7.6640625" customWidth="1"/>
    <col min="391" max="391" width="9.33203125" customWidth="1"/>
    <col min="392" max="392" width="15.5546875" customWidth="1"/>
    <col min="393" max="393" width="9.44140625" customWidth="1"/>
    <col min="394" max="394" width="9.6640625" customWidth="1"/>
    <col min="395" max="395" width="13.5546875" customWidth="1"/>
    <col min="396" max="397" width="9.33203125" customWidth="1"/>
    <col min="398" max="398" width="15.5546875" customWidth="1"/>
    <col min="399" max="399" width="9.44140625" customWidth="1"/>
    <col min="400" max="400" width="9.6640625" customWidth="1"/>
    <col min="401" max="401" width="8.6640625" customWidth="1"/>
    <col min="402" max="402" width="1.33203125" customWidth="1"/>
    <col min="403" max="403" width="6.6640625" customWidth="1"/>
    <col min="404" max="404" width="13" customWidth="1"/>
    <col min="405" max="405" width="12.33203125" customWidth="1"/>
    <col min="407" max="407" width="12" customWidth="1"/>
    <col min="408" max="408" width="1.33203125" customWidth="1"/>
    <col min="409" max="409" width="17.33203125" customWidth="1"/>
    <col min="410" max="411" width="17.6640625" customWidth="1"/>
    <col min="412" max="412" width="15.33203125" customWidth="1"/>
    <col min="413" max="413" width="13.6640625" customWidth="1"/>
    <col min="414" max="414" width="14.44140625" customWidth="1"/>
    <col min="415" max="415" width="12.33203125" bestFit="1" customWidth="1"/>
    <col min="416" max="416" width="11.6640625" bestFit="1" customWidth="1"/>
    <col min="417" max="417" width="12" bestFit="1" customWidth="1"/>
    <col min="418" max="418" width="11.6640625" bestFit="1" customWidth="1"/>
    <col min="419" max="419" width="13.33203125" customWidth="1"/>
    <col min="420" max="420" width="13.44140625" customWidth="1"/>
    <col min="421" max="421" width="10.33203125" customWidth="1"/>
    <col min="422" max="422" width="11.6640625" bestFit="1" customWidth="1"/>
    <col min="423" max="423" width="6.6640625" bestFit="1" customWidth="1"/>
    <col min="424" max="424" width="11.6640625" bestFit="1" customWidth="1"/>
    <col min="425" max="425" width="11.5546875" bestFit="1" customWidth="1"/>
    <col min="426" max="426" width="12.33203125" customWidth="1"/>
    <col min="427" max="427" width="11.6640625" bestFit="1" customWidth="1"/>
    <col min="428" max="428" width="11.33203125" customWidth="1"/>
    <col min="429" max="429" width="11.6640625" bestFit="1" customWidth="1"/>
    <col min="430" max="430" width="10.33203125" customWidth="1"/>
    <col min="431" max="431" width="11.6640625" bestFit="1" customWidth="1"/>
    <col min="432" max="432" width="12.33203125" customWidth="1"/>
    <col min="433" max="433" width="11.6640625" bestFit="1" customWidth="1"/>
    <col min="434" max="434" width="13.44140625" customWidth="1"/>
    <col min="435" max="435" width="14.6640625" customWidth="1"/>
    <col min="436" max="436" width="11.33203125" bestFit="1" customWidth="1"/>
    <col min="437" max="437" width="12.6640625" bestFit="1" customWidth="1"/>
    <col min="438" max="438" width="12.33203125" customWidth="1"/>
    <col min="439" max="439" width="10" customWidth="1"/>
    <col min="440" max="440" width="11.6640625" bestFit="1" customWidth="1"/>
    <col min="441" max="441" width="9.6640625" customWidth="1"/>
    <col min="442" max="442" width="11.6640625" bestFit="1" customWidth="1"/>
    <col min="443" max="443" width="11" customWidth="1"/>
    <col min="444" max="444" width="11.6640625" bestFit="1" customWidth="1"/>
    <col min="445" max="445" width="9.6640625" customWidth="1"/>
    <col min="446" max="446" width="11.6640625" bestFit="1" customWidth="1"/>
    <col min="447" max="447" width="9.33203125" bestFit="1" customWidth="1"/>
    <col min="448" max="448" width="11.6640625" bestFit="1" customWidth="1"/>
    <col min="449" max="449" width="8.33203125" customWidth="1"/>
    <col min="450" max="450" width="11.6640625" bestFit="1" customWidth="1"/>
    <col min="451" max="451" width="13.6640625" customWidth="1"/>
    <col min="452" max="452" width="9.33203125" hidden="1" customWidth="1"/>
    <col min="453" max="453" width="9.5546875" hidden="1" customWidth="1"/>
    <col min="454" max="457" width="9.33203125" hidden="1" customWidth="1"/>
    <col min="458" max="458" width="9.5546875" hidden="1" customWidth="1"/>
    <col min="459" max="462" width="8.6640625" hidden="1" customWidth="1"/>
    <col min="463" max="463" width="13.44140625" hidden="1" customWidth="1"/>
    <col min="464" max="464" width="8.6640625" hidden="1" customWidth="1"/>
    <col min="465" max="465" width="9.33203125" hidden="1" customWidth="1"/>
    <col min="466" max="466" width="1.33203125" customWidth="1"/>
    <col min="467" max="467" width="6.6640625" customWidth="1"/>
    <col min="473" max="473" width="1.33203125" customWidth="1"/>
    <col min="474" max="474" width="6.6640625" customWidth="1"/>
    <col min="475" max="476" width="14" customWidth="1"/>
    <col min="478" max="479" width="12.33203125" customWidth="1"/>
    <col min="480" max="481" width="14" customWidth="1"/>
    <col min="482" max="482" width="10.6640625" customWidth="1"/>
    <col min="483" max="483" width="12" bestFit="1" customWidth="1"/>
    <col min="484" max="487" width="12" customWidth="1"/>
    <col min="488" max="488" width="12.6640625" customWidth="1"/>
    <col min="489" max="489" width="11.5546875" customWidth="1"/>
    <col min="490" max="491" width="14.33203125" customWidth="1"/>
    <col min="501" max="516" width="0" hidden="1" customWidth="1"/>
    <col min="517" max="517" width="12.33203125" hidden="1" customWidth="1"/>
    <col min="518" max="520" width="8.6640625" hidden="1" customWidth="1"/>
    <col min="521" max="521" width="8.6640625" customWidth="1"/>
  </cols>
  <sheetData>
    <row r="2" spans="2:91">
      <c r="O2" s="887"/>
      <c r="P2" s="887"/>
      <c r="Q2" s="887"/>
      <c r="R2" s="887"/>
    </row>
    <row r="6" spans="2:91">
      <c r="G6" s="431">
        <f>+ROUND('February TIS'!H43,0)</f>
        <v>396</v>
      </c>
      <c r="AL6" s="987">
        <f>AL11+AM11</f>
        <v>111481.433902</v>
      </c>
    </row>
    <row r="7" spans="2:91" ht="27.6" customHeight="1">
      <c r="G7" s="98" t="e">
        <f>+ROUND('February TIS'!H44,0/mm)</f>
        <v>#NAME?</v>
      </c>
      <c r="AC7" s="1006"/>
      <c r="AD7" s="1006"/>
      <c r="AE7" s="1006"/>
    </row>
    <row r="8" spans="2:91" ht="14.7" customHeight="1">
      <c r="B8" s="2625" t="s">
        <v>103</v>
      </c>
      <c r="C8" s="993"/>
      <c r="D8" s="993"/>
      <c r="E8" s="993"/>
      <c r="F8" s="993"/>
      <c r="G8" s="993"/>
      <c r="H8" s="993"/>
      <c r="I8" s="993"/>
      <c r="J8" s="993"/>
      <c r="K8" s="993"/>
      <c r="L8" s="993"/>
      <c r="M8" s="993"/>
      <c r="N8" s="993"/>
      <c r="O8" s="2727" t="s">
        <v>18</v>
      </c>
      <c r="P8" s="2727"/>
      <c r="Q8" s="2727"/>
      <c r="R8" s="2727"/>
      <c r="S8" s="2727"/>
      <c r="T8" s="2728"/>
      <c r="U8" s="1221"/>
      <c r="V8" s="1221"/>
      <c r="W8" s="1221"/>
      <c r="X8" s="1222"/>
      <c r="Z8" s="2729"/>
      <c r="AA8" s="2729"/>
      <c r="AB8" s="2730"/>
      <c r="AC8" s="2731" t="s">
        <v>126</v>
      </c>
      <c r="AD8" s="2732"/>
      <c r="AE8" s="2732"/>
      <c r="AF8" s="2733"/>
      <c r="AG8" s="1269"/>
      <c r="AH8" s="1269"/>
      <c r="AI8" s="1269"/>
      <c r="AJ8" s="1269"/>
      <c r="AK8" s="1269"/>
      <c r="AL8" s="1269"/>
      <c r="AM8" s="1269"/>
      <c r="AN8" s="466"/>
      <c r="AO8" s="1007"/>
      <c r="AP8" s="1269"/>
      <c r="AR8" s="2734" t="s">
        <v>107</v>
      </c>
      <c r="AS8" s="2735"/>
      <c r="AT8" s="2735"/>
      <c r="AU8" s="2735"/>
      <c r="AV8" s="2735"/>
      <c r="AW8" s="2735"/>
      <c r="AX8" s="2736"/>
      <c r="AY8" s="41"/>
      <c r="BE8" s="2753" t="s">
        <v>108</v>
      </c>
      <c r="BF8" s="2754"/>
      <c r="BG8" s="2754"/>
      <c r="BH8" s="2754"/>
      <c r="BI8" s="2754"/>
      <c r="BJ8" s="2754"/>
      <c r="BK8" s="2755"/>
      <c r="BL8" s="42"/>
      <c r="BM8" s="2671" t="s">
        <v>181</v>
      </c>
      <c r="BN8" s="42"/>
      <c r="BO8" s="42"/>
      <c r="BP8" s="42"/>
      <c r="BQ8" s="42"/>
      <c r="BR8" s="42"/>
      <c r="BS8" s="42"/>
      <c r="BT8" s="42"/>
      <c r="BU8" s="42"/>
      <c r="BV8" s="42"/>
      <c r="BW8" s="42"/>
      <c r="BX8" s="42"/>
      <c r="BY8" s="42"/>
      <c r="BZ8" s="42"/>
      <c r="CA8" s="42"/>
      <c r="CB8" s="42"/>
      <c r="CC8" s="42"/>
      <c r="CD8" s="42"/>
      <c r="CE8" s="42"/>
    </row>
    <row r="9" spans="2:91" ht="14.4" customHeight="1">
      <c r="B9" s="2626"/>
      <c r="C9" s="2624" t="s">
        <v>111</v>
      </c>
      <c r="D9" s="2628"/>
      <c r="E9" s="2628"/>
      <c r="F9" s="2628"/>
      <c r="G9" s="2628"/>
      <c r="H9" s="2628"/>
      <c r="I9" s="2628"/>
      <c r="J9" s="2628"/>
      <c r="K9" s="2628"/>
      <c r="L9" s="2628"/>
      <c r="M9" s="2628"/>
      <c r="N9" s="993"/>
      <c r="O9" s="2740" t="s">
        <v>3</v>
      </c>
      <c r="P9" s="2742"/>
      <c r="Q9" s="2742"/>
      <c r="R9" s="2740"/>
      <c r="S9" s="2671" t="s">
        <v>127</v>
      </c>
      <c r="T9" s="2671" t="s">
        <v>145</v>
      </c>
      <c r="U9" s="42"/>
      <c r="V9" s="42"/>
      <c r="W9" s="42"/>
      <c r="X9" s="2671" t="s">
        <v>375</v>
      </c>
      <c r="Y9" s="42"/>
      <c r="Z9" s="2743" t="s">
        <v>376</v>
      </c>
      <c r="AA9" s="2744"/>
      <c r="AB9" s="2745"/>
      <c r="AC9" s="2749" t="s">
        <v>377</v>
      </c>
      <c r="AD9" s="2750"/>
      <c r="AE9" s="2750"/>
      <c r="AF9" s="2751"/>
      <c r="AG9" s="1270"/>
      <c r="AH9" s="1270"/>
      <c r="AI9" s="2752"/>
      <c r="AJ9" s="2752"/>
      <c r="AK9" s="2752"/>
      <c r="AL9" s="2752"/>
      <c r="AM9" s="1270"/>
      <c r="AN9" s="1007"/>
      <c r="AO9" s="1359" t="s">
        <v>378</v>
      </c>
      <c r="AP9" s="1270"/>
      <c r="AQ9" s="1007"/>
      <c r="AR9" s="2632" t="s">
        <v>77</v>
      </c>
      <c r="AS9" s="2671" t="s">
        <v>167</v>
      </c>
      <c r="AT9" s="2624" t="s">
        <v>379</v>
      </c>
      <c r="AU9" s="2628"/>
      <c r="AV9" s="2628"/>
      <c r="AW9" s="2628"/>
      <c r="AX9" s="2631"/>
      <c r="AY9" s="41"/>
      <c r="AZ9" s="1007"/>
      <c r="BA9" s="1007"/>
      <c r="BB9" s="1007"/>
      <c r="BC9" s="1007"/>
      <c r="BD9" s="1007"/>
      <c r="BE9" s="182" t="s">
        <v>170</v>
      </c>
      <c r="BF9" s="2619" t="s">
        <v>171</v>
      </c>
      <c r="BG9" s="2673"/>
      <c r="BH9" s="2673"/>
      <c r="BI9" s="2676"/>
      <c r="BJ9" s="2690" t="s">
        <v>172</v>
      </c>
      <c r="BK9" s="2671" t="s">
        <v>145</v>
      </c>
      <c r="BL9" s="42"/>
      <c r="BM9" s="2672"/>
      <c r="BN9" s="42"/>
      <c r="BO9" s="42"/>
      <c r="BP9" s="42"/>
      <c r="BQ9" s="42"/>
      <c r="BR9" s="42"/>
      <c r="BS9" s="42"/>
      <c r="BT9" s="42"/>
      <c r="BU9" s="42"/>
      <c r="BV9" s="42"/>
      <c r="BW9" s="42"/>
      <c r="BX9" s="42"/>
      <c r="BY9" s="42"/>
      <c r="BZ9" s="42"/>
      <c r="CA9" s="42"/>
      <c r="CB9" s="42"/>
      <c r="CC9" s="42"/>
      <c r="CD9" s="42"/>
      <c r="CE9" s="42"/>
      <c r="CF9" s="1046" t="s">
        <v>296</v>
      </c>
    </row>
    <row r="10" spans="2:91" ht="34.200000000000003" customHeight="1">
      <c r="B10" s="2626"/>
      <c r="C10" s="2632" t="s">
        <v>3</v>
      </c>
      <c r="D10" s="2632" t="s">
        <v>126</v>
      </c>
      <c r="E10" s="2632" t="s">
        <v>127</v>
      </c>
      <c r="F10" s="2632" t="s">
        <v>212</v>
      </c>
      <c r="G10" s="2632"/>
      <c r="H10" s="2632" t="s">
        <v>128</v>
      </c>
      <c r="I10" s="2632"/>
      <c r="J10" s="2633"/>
      <c r="K10" s="2634"/>
      <c r="L10" s="2633"/>
      <c r="M10" s="2635"/>
      <c r="N10" s="993"/>
      <c r="O10" s="2741"/>
      <c r="P10" s="2681"/>
      <c r="Q10" s="2681"/>
      <c r="R10" s="2682"/>
      <c r="S10" s="2737"/>
      <c r="T10" s="2737"/>
      <c r="U10" s="2738" t="s">
        <v>380</v>
      </c>
      <c r="V10" s="2739"/>
      <c r="W10" s="2739"/>
      <c r="X10" s="2737"/>
      <c r="Y10" s="42"/>
      <c r="Z10" s="2746"/>
      <c r="AA10" s="2747"/>
      <c r="AB10" s="2748"/>
      <c r="AC10" s="1008" t="s">
        <v>147</v>
      </c>
      <c r="AD10" s="1008" t="s">
        <v>69</v>
      </c>
      <c r="AE10" s="1008" t="s">
        <v>71</v>
      </c>
      <c r="AF10" s="1009"/>
      <c r="AG10" s="1413"/>
      <c r="AH10" s="1413"/>
      <c r="AI10" s="1308" t="s">
        <v>381</v>
      </c>
      <c r="AJ10" s="1308" t="s">
        <v>382</v>
      </c>
      <c r="AK10" s="1322" t="s">
        <v>7</v>
      </c>
      <c r="AL10" s="1308" t="s">
        <v>383</v>
      </c>
      <c r="AM10" s="1308" t="s">
        <v>384</v>
      </c>
      <c r="AN10" s="1007"/>
      <c r="AO10" s="1360" t="s">
        <v>385</v>
      </c>
      <c r="AP10" s="1413"/>
      <c r="AQ10" s="1007"/>
      <c r="AR10" s="2632"/>
      <c r="AS10" s="2737"/>
      <c r="AT10" s="2632" t="s">
        <v>168</v>
      </c>
      <c r="AU10" s="2632"/>
      <c r="AV10" s="2632"/>
      <c r="AW10" s="2632"/>
      <c r="AX10" s="2632"/>
      <c r="AY10" s="42"/>
      <c r="AZ10" s="1007"/>
      <c r="BA10" s="1007"/>
      <c r="BB10" s="1007"/>
      <c r="BC10" s="1007"/>
      <c r="BD10" s="1007"/>
      <c r="BE10" s="184" t="s">
        <v>168</v>
      </c>
      <c r="BF10" s="43" t="s">
        <v>198</v>
      </c>
      <c r="BG10" s="43" t="s">
        <v>199</v>
      </c>
      <c r="BH10" s="44" t="s">
        <v>200</v>
      </c>
      <c r="BI10" s="45" t="s">
        <v>201</v>
      </c>
      <c r="BJ10" s="2691"/>
      <c r="BK10" s="2672"/>
      <c r="BL10" s="42"/>
      <c r="BM10" s="181" t="s">
        <v>377</v>
      </c>
      <c r="BN10" s="42"/>
      <c r="BO10" s="42"/>
      <c r="BP10" s="42"/>
      <c r="BQ10" s="42"/>
      <c r="BR10" s="42"/>
      <c r="BS10" s="42"/>
      <c r="BT10" s="42"/>
      <c r="BU10" s="42"/>
      <c r="BV10" s="42"/>
      <c r="BW10" s="42"/>
      <c r="BX10" s="42"/>
      <c r="BY10" s="42"/>
      <c r="BZ10" s="42"/>
      <c r="CA10" s="42"/>
      <c r="CB10" s="42"/>
      <c r="CC10" s="42"/>
      <c r="CD10" s="42"/>
      <c r="CE10" s="42"/>
    </row>
    <row r="11" spans="2:91" ht="15" thickBot="1">
      <c r="B11" s="2726"/>
      <c r="C11" s="2632"/>
      <c r="D11" s="2632"/>
      <c r="E11" s="2632"/>
      <c r="F11" s="181"/>
      <c r="G11" s="181"/>
      <c r="H11" s="181" t="s">
        <v>193</v>
      </c>
      <c r="I11" s="181" t="s">
        <v>194</v>
      </c>
      <c r="J11" s="181"/>
      <c r="K11" s="181"/>
      <c r="L11" s="181"/>
      <c r="M11" s="182"/>
      <c r="N11" s="993"/>
      <c r="O11" s="2682"/>
      <c r="P11" s="1002" t="s">
        <v>69</v>
      </c>
      <c r="Q11" s="184" t="s">
        <v>71</v>
      </c>
      <c r="R11" s="184" t="s">
        <v>284</v>
      </c>
      <c r="S11" s="2672"/>
      <c r="T11" s="2672"/>
      <c r="U11" s="1411" t="s">
        <v>386</v>
      </c>
      <c r="V11" s="1010" t="s">
        <v>387</v>
      </c>
      <c r="W11" s="1010" t="s">
        <v>807</v>
      </c>
      <c r="X11" s="2672"/>
      <c r="Y11" s="42"/>
      <c r="Z11" s="888" t="s">
        <v>69</v>
      </c>
      <c r="AA11" s="184" t="s">
        <v>71</v>
      </c>
      <c r="AB11" s="184" t="s">
        <v>284</v>
      </c>
      <c r="AC11" s="1011">
        <f>'[1]September TIS'!AB44</f>
        <v>0</v>
      </c>
      <c r="AD11" s="1011">
        <f>'January TIS'!AD44</f>
        <v>712.6105597799999</v>
      </c>
      <c r="AE11" s="1011">
        <f>'January TIS'!AE44</f>
        <v>143095.88256609</v>
      </c>
      <c r="AF11" s="1012">
        <f>SUM(AC11:AE11)</f>
        <v>143808.49312587001</v>
      </c>
      <c r="AG11" s="1007"/>
      <c r="AH11" s="1007"/>
      <c r="AI11" s="1309"/>
      <c r="AJ11" s="1318">
        <v>0</v>
      </c>
      <c r="AK11" s="1318"/>
      <c r="AL11" s="1319">
        <f>'January TIS'!AL44</f>
        <v>1534.6804153455851</v>
      </c>
      <c r="AM11" s="1319">
        <f>'January TIS'!AM44</f>
        <v>109946.75348665442</v>
      </c>
      <c r="AN11" s="1007"/>
      <c r="AO11" s="1476"/>
      <c r="AP11" s="1007"/>
      <c r="AQ11" s="1013"/>
      <c r="AR11" s="2632"/>
      <c r="AS11" s="2672"/>
      <c r="AT11" s="181" t="s">
        <v>61</v>
      </c>
      <c r="AU11" s="181" t="s">
        <v>62</v>
      </c>
      <c r="AV11" s="181" t="s">
        <v>63</v>
      </c>
      <c r="AW11" s="181" t="s">
        <v>196</v>
      </c>
      <c r="AX11" s="181" t="s">
        <v>197</v>
      </c>
      <c r="AY11" s="42"/>
      <c r="AZ11" s="1013"/>
      <c r="BA11" s="1013"/>
      <c r="BB11" s="1013"/>
      <c r="BC11" s="1013"/>
      <c r="BD11" s="1013"/>
      <c r="BE11" s="1395"/>
      <c r="BF11" s="17"/>
      <c r="BG11" s="18"/>
      <c r="BH11" s="1397"/>
      <c r="BI11" s="17"/>
      <c r="BJ11" s="17"/>
      <c r="BK11" s="1014"/>
      <c r="BL11" s="89"/>
      <c r="BM11" s="1228">
        <f>'January TIS'!BM44</f>
        <v>5622.6750339999999</v>
      </c>
      <c r="BN11" s="89"/>
      <c r="BO11" s="89"/>
      <c r="BP11" s="89"/>
      <c r="BQ11" s="89"/>
      <c r="BR11" s="89"/>
      <c r="BS11" s="89"/>
      <c r="BT11" s="89"/>
      <c r="BU11" s="89"/>
      <c r="BV11" s="89"/>
      <c r="BW11" s="89"/>
      <c r="BX11" s="89"/>
      <c r="BY11" s="89"/>
      <c r="BZ11" s="89"/>
      <c r="CA11" s="89"/>
      <c r="CB11" s="89"/>
      <c r="CC11" s="89"/>
      <c r="CD11" s="89"/>
      <c r="CE11" s="89"/>
      <c r="CG11" s="1006"/>
      <c r="CH11" s="1015" t="s">
        <v>285</v>
      </c>
      <c r="CI11" s="1015" t="s">
        <v>293</v>
      </c>
      <c r="CK11" s="1006"/>
      <c r="CL11" s="1015" t="s">
        <v>286</v>
      </c>
      <c r="CM11" s="1015" t="s">
        <v>293</v>
      </c>
    </row>
    <row r="12" spans="2:91">
      <c r="B12" s="988">
        <v>1</v>
      </c>
      <c r="C12" s="488">
        <f>O12</f>
        <v>10337</v>
      </c>
      <c r="D12" s="488">
        <f>Q12+P12+AK12</f>
        <v>469.29999999999995</v>
      </c>
      <c r="E12" s="1016">
        <f t="shared" ref="E12:E42" si="0">S12</f>
        <v>22.026422331131474</v>
      </c>
      <c r="F12" s="1017"/>
      <c r="G12" s="494"/>
      <c r="H12" s="1018">
        <v>25.5</v>
      </c>
      <c r="I12" s="1019">
        <v>11.7</v>
      </c>
      <c r="N12" s="993"/>
      <c r="O12" s="26">
        <v>10337</v>
      </c>
      <c r="P12" s="1020"/>
      <c r="Q12" s="1021">
        <f t="shared" ref="Q12" si="1">W12+V12+U12</f>
        <v>469.29999999999995</v>
      </c>
      <c r="R12" s="1227">
        <f t="shared" ref="R12:R42" si="2">SUM(P12:Q12)</f>
        <v>469.29999999999995</v>
      </c>
      <c r="S12" s="27">
        <f t="shared" ref="S12:S42" si="3">IFERROR(O12/R12,0)</f>
        <v>22.026422331131474</v>
      </c>
      <c r="T12" s="33"/>
      <c r="U12" s="1479">
        <v>469.29999999999995</v>
      </c>
      <c r="V12" s="1023"/>
      <c r="W12" s="1023"/>
      <c r="X12" s="1024">
        <v>0</v>
      </c>
      <c r="Y12" s="1"/>
      <c r="Z12" s="1025"/>
      <c r="AA12" s="1025"/>
      <c r="AB12" s="1025">
        <f>SUM(Z12:AA12)</f>
        <v>0</v>
      </c>
      <c r="AC12" s="1026"/>
      <c r="AD12" s="1026">
        <f>AD11+P12-Z12</f>
        <v>712.6105597799999</v>
      </c>
      <c r="AE12" s="1026">
        <f>AE11+Q12+AO12-AA12</f>
        <v>144337.50256609</v>
      </c>
      <c r="AF12" s="1027">
        <f>SUM(AC12:AE12)</f>
        <v>145050.11312587</v>
      </c>
      <c r="AG12" s="1414"/>
      <c r="AH12" s="1414"/>
      <c r="AI12" s="1310"/>
      <c r="AJ12" s="1310"/>
      <c r="AK12" s="1320">
        <f t="shared" ref="AK12:AK42" si="4">AI12+AJ12</f>
        <v>0</v>
      </c>
      <c r="AL12" s="1312">
        <f>AL11+AI12-AN12</f>
        <v>1534.6804153455851</v>
      </c>
      <c r="AM12" s="1312">
        <f>AM11+AJ12-AO12</f>
        <v>109174.43348665441</v>
      </c>
      <c r="AN12" s="1007"/>
      <c r="AO12" s="1476">
        <v>772.32</v>
      </c>
      <c r="AP12" s="1414"/>
      <c r="AQ12" s="987"/>
      <c r="AR12" s="1028">
        <f>AB12</f>
        <v>0</v>
      </c>
      <c r="AS12" s="171"/>
      <c r="AT12" s="2">
        <v>0</v>
      </c>
      <c r="AU12" s="63">
        <v>0</v>
      </c>
      <c r="AV12" s="63">
        <v>0</v>
      </c>
      <c r="AW12" s="63">
        <v>0</v>
      </c>
      <c r="AX12" s="1029">
        <v>0</v>
      </c>
      <c r="AZ12" s="987"/>
      <c r="BA12" s="987"/>
      <c r="BB12" s="987"/>
      <c r="BC12" s="987"/>
      <c r="BD12" s="987"/>
      <c r="BE12" s="1028"/>
      <c r="BF12" s="1028"/>
      <c r="BG12" s="1028"/>
      <c r="BH12" s="1028"/>
      <c r="BI12" s="1028"/>
      <c r="BJ12" s="1030">
        <f>'February TCM'!LN10</f>
        <v>4.96</v>
      </c>
      <c r="BK12" s="1031" t="s">
        <v>334</v>
      </c>
      <c r="BL12" s="1"/>
      <c r="BM12" s="1032">
        <f t="shared" ref="BM12:BM42" si="5">+BM11+AB12-BE12</f>
        <v>5622.6750339999999</v>
      </c>
      <c r="BN12" s="1"/>
      <c r="BO12" s="1"/>
      <c r="BP12" s="1"/>
      <c r="BQ12" s="1"/>
      <c r="BR12" s="1"/>
      <c r="BS12" s="1"/>
      <c r="BT12" s="1"/>
      <c r="BU12" s="1"/>
      <c r="BV12" s="1"/>
      <c r="BW12" s="1"/>
      <c r="BX12" s="1"/>
      <c r="BY12" s="1"/>
      <c r="BZ12" s="1"/>
      <c r="CA12" s="1"/>
      <c r="CB12" s="1"/>
      <c r="CC12" s="1"/>
      <c r="CD12" s="1"/>
      <c r="CE12" s="1"/>
      <c r="CG12" s="1033">
        <v>1</v>
      </c>
      <c r="CH12" s="1">
        <f t="shared" ref="CH12:CH42" si="6">D12</f>
        <v>469.29999999999995</v>
      </c>
      <c r="CI12">
        <v>2602010055</v>
      </c>
      <c r="CK12" s="412">
        <v>1</v>
      </c>
      <c r="CL12" s="1">
        <f t="shared" ref="CL12:CL42" si="7">AB12</f>
        <v>0</v>
      </c>
    </row>
    <row r="13" spans="2:91">
      <c r="B13" s="989">
        <v>2</v>
      </c>
      <c r="C13" s="5">
        <f>O13</f>
        <v>18776</v>
      </c>
      <c r="D13" s="488">
        <f t="shared" ref="D13:D42" si="8">Q13+P13+AK13</f>
        <v>1119.3599999999999</v>
      </c>
      <c r="E13" s="15">
        <f t="shared" si="0"/>
        <v>16.773870783304748</v>
      </c>
      <c r="F13" s="363"/>
      <c r="G13" s="64"/>
      <c r="H13" s="1034">
        <v>6</v>
      </c>
      <c r="I13" s="1035">
        <v>5</v>
      </c>
      <c r="N13" s="993"/>
      <c r="O13" s="26">
        <v>18776</v>
      </c>
      <c r="P13" s="1036"/>
      <c r="Q13" s="1234">
        <f>W13+V13+U13</f>
        <v>1119.3599999999999</v>
      </c>
      <c r="R13" s="1227">
        <f t="shared" si="2"/>
        <v>1119.3599999999999</v>
      </c>
      <c r="S13" s="27">
        <f t="shared" si="3"/>
        <v>16.773870783304748</v>
      </c>
      <c r="T13" s="33"/>
      <c r="U13" s="1480">
        <v>1119.3599999999999</v>
      </c>
      <c r="V13" s="1464"/>
      <c r="W13" s="1037"/>
      <c r="X13" s="1038">
        <v>0</v>
      </c>
      <c r="Y13" s="1"/>
      <c r="Z13" s="847"/>
      <c r="AA13" s="847"/>
      <c r="AB13" s="1025">
        <f t="shared" ref="AB13:AB20" si="9">SUM(Z13:AA13)</f>
        <v>0</v>
      </c>
      <c r="AC13" s="1039"/>
      <c r="AD13" s="1026">
        <f t="shared" ref="AD13:AD28" si="10">AD12+P13-Z13</f>
        <v>712.6105597799999</v>
      </c>
      <c r="AE13" s="1026">
        <f t="shared" ref="AE13:AE42" si="11">AE12+Q13+AO13-AA13</f>
        <v>145800.60256608998</v>
      </c>
      <c r="AF13" s="1040">
        <f>SUM(AC13:AE13)</f>
        <v>146513.21312586998</v>
      </c>
      <c r="AG13" s="1414"/>
      <c r="AH13" s="1414"/>
      <c r="AI13" s="1310"/>
      <c r="AJ13" s="1310"/>
      <c r="AK13" s="1320">
        <f t="shared" si="4"/>
        <v>0</v>
      </c>
      <c r="AL13" s="1312">
        <f t="shared" ref="AL13:AM28" si="12">AL12+AI13-AN13</f>
        <v>1534.6804153455851</v>
      </c>
      <c r="AM13" s="1312">
        <f t="shared" si="12"/>
        <v>108830.6934866544</v>
      </c>
      <c r="AN13" s="1007"/>
      <c r="AO13" s="1476">
        <v>343.74</v>
      </c>
      <c r="AP13" s="1414"/>
      <c r="AQ13" s="987"/>
      <c r="AR13" s="310">
        <f t="shared" ref="AR13:AR42" si="13">AB13</f>
        <v>0</v>
      </c>
      <c r="AS13" s="998"/>
      <c r="AT13" s="4"/>
      <c r="AU13" s="64"/>
      <c r="AV13" s="64"/>
      <c r="AW13" s="64"/>
      <c r="AX13" s="482"/>
      <c r="AZ13" s="987"/>
      <c r="BA13" s="987"/>
      <c r="BB13" s="987"/>
      <c r="BC13" s="987"/>
      <c r="BD13" s="987"/>
      <c r="BE13" s="310"/>
      <c r="BF13" s="310"/>
      <c r="BG13" s="310"/>
      <c r="BH13" s="310"/>
      <c r="BI13" s="310"/>
      <c r="BJ13" s="1041">
        <f>'February TCM'!LN11</f>
        <v>4.8</v>
      </c>
      <c r="BK13" s="1042"/>
      <c r="BL13" s="1"/>
      <c r="BM13" s="1032">
        <f t="shared" si="5"/>
        <v>5622.6750339999999</v>
      </c>
      <c r="BN13" s="1"/>
      <c r="BO13" s="1"/>
      <c r="BP13" s="1"/>
      <c r="BQ13" s="1"/>
      <c r="BR13" s="1"/>
      <c r="BS13" s="1"/>
      <c r="BT13" s="1"/>
      <c r="BU13" s="1"/>
      <c r="BV13" s="1"/>
      <c r="BW13" s="1"/>
      <c r="BX13" s="1"/>
      <c r="BY13" s="1"/>
      <c r="BZ13" s="1"/>
      <c r="CA13" s="1"/>
      <c r="CB13" s="1"/>
      <c r="CC13" s="1"/>
      <c r="CD13" s="1"/>
      <c r="CE13" s="1"/>
      <c r="CG13" s="1033">
        <v>2</v>
      </c>
      <c r="CH13" s="1">
        <f t="shared" si="6"/>
        <v>1119.3599999999999</v>
      </c>
      <c r="CI13" s="1046">
        <v>2602020204</v>
      </c>
      <c r="CK13" s="412">
        <v>2</v>
      </c>
      <c r="CL13" s="1">
        <f t="shared" si="7"/>
        <v>0</v>
      </c>
    </row>
    <row r="14" spans="2:91">
      <c r="B14" s="989">
        <v>3</v>
      </c>
      <c r="C14" s="5">
        <f t="shared" ref="C14:C42" si="14">O14</f>
        <v>27488</v>
      </c>
      <c r="D14" s="488">
        <f t="shared" si="8"/>
        <v>818.42000000000007</v>
      </c>
      <c r="E14" s="15">
        <f t="shared" si="0"/>
        <v>33.586666992497733</v>
      </c>
      <c r="F14" s="363"/>
      <c r="G14" s="64"/>
      <c r="H14" s="1034"/>
      <c r="I14" s="1035"/>
      <c r="N14" s="993"/>
      <c r="O14" s="26">
        <v>27488</v>
      </c>
      <c r="P14" s="1036"/>
      <c r="Q14" s="1234">
        <f t="shared" ref="Q14:Q42" si="15">W14+V14+U14</f>
        <v>818.42000000000007</v>
      </c>
      <c r="R14" s="1227">
        <f t="shared" si="2"/>
        <v>818.42000000000007</v>
      </c>
      <c r="S14" s="27">
        <f t="shared" si="3"/>
        <v>33.586666992497733</v>
      </c>
      <c r="T14" s="33"/>
      <c r="U14" s="1480">
        <v>818.42000000000007</v>
      </c>
      <c r="V14" s="1464"/>
      <c r="W14" s="1037"/>
      <c r="X14" s="1038">
        <v>0</v>
      </c>
      <c r="Y14" s="1"/>
      <c r="Z14" s="847"/>
      <c r="AA14" s="847"/>
      <c r="AB14" s="1025">
        <f t="shared" si="9"/>
        <v>0</v>
      </c>
      <c r="AC14" s="1039"/>
      <c r="AD14" s="1026">
        <f t="shared" si="10"/>
        <v>712.6105597799999</v>
      </c>
      <c r="AE14" s="1026">
        <f t="shared" si="11"/>
        <v>148039.84256609</v>
      </c>
      <c r="AF14" s="1040">
        <f t="shared" ref="AF14:AF42" si="16">SUM(AC14:AE14)</f>
        <v>148752.45312587</v>
      </c>
      <c r="AG14" s="1414"/>
      <c r="AH14" s="1414"/>
      <c r="AI14" s="1310"/>
      <c r="AJ14" s="1310"/>
      <c r="AK14" s="1320">
        <f t="shared" si="4"/>
        <v>0</v>
      </c>
      <c r="AL14" s="1312">
        <f t="shared" si="12"/>
        <v>1534.6804153455851</v>
      </c>
      <c r="AM14" s="1312">
        <f t="shared" si="12"/>
        <v>107409.8734866544</v>
      </c>
      <c r="AN14" s="1007"/>
      <c r="AO14" s="1476">
        <v>1420.82</v>
      </c>
      <c r="AP14" s="1414"/>
      <c r="AQ14" s="987"/>
      <c r="AR14" s="310">
        <f t="shared" si="13"/>
        <v>0</v>
      </c>
      <c r="AS14" s="1043"/>
      <c r="AT14" s="4"/>
      <c r="AU14" s="64"/>
      <c r="AV14" s="64"/>
      <c r="AW14" s="64"/>
      <c r="AX14" s="482"/>
      <c r="AZ14" s="987"/>
      <c r="BA14" s="987"/>
      <c r="BB14" s="987"/>
      <c r="BC14" s="987"/>
      <c r="BD14" s="987"/>
      <c r="BE14" s="310"/>
      <c r="BF14" s="310"/>
      <c r="BG14" s="310"/>
      <c r="BH14" s="310"/>
      <c r="BI14" s="310"/>
      <c r="BJ14" s="1041">
        <f>'February TCM'!LN12</f>
        <v>4.91</v>
      </c>
      <c r="BK14" s="1042"/>
      <c r="BL14" s="1"/>
      <c r="BM14" s="1032">
        <f t="shared" si="5"/>
        <v>5622.6750339999999</v>
      </c>
      <c r="BN14" s="1"/>
      <c r="BO14" s="1"/>
      <c r="BP14" s="1"/>
      <c r="BQ14" s="1"/>
      <c r="BR14" s="1"/>
      <c r="BS14" s="1"/>
      <c r="BT14" s="1"/>
      <c r="BU14" s="1"/>
      <c r="BV14" s="1"/>
      <c r="BW14" s="1"/>
      <c r="BX14" s="1"/>
      <c r="BY14" s="1"/>
      <c r="BZ14" s="1"/>
      <c r="CA14" s="1"/>
      <c r="CB14" s="1"/>
      <c r="CC14" s="1"/>
      <c r="CD14" s="1"/>
      <c r="CE14" s="1"/>
      <c r="CG14" s="1033">
        <v>3</v>
      </c>
      <c r="CH14" s="1">
        <f t="shared" si="6"/>
        <v>818.42000000000007</v>
      </c>
      <c r="CI14">
        <v>2602030338</v>
      </c>
      <c r="CK14" s="412">
        <v>3</v>
      </c>
      <c r="CL14" s="1">
        <f t="shared" si="7"/>
        <v>0</v>
      </c>
    </row>
    <row r="15" spans="2:91">
      <c r="B15" s="989">
        <v>4</v>
      </c>
      <c r="C15" s="5">
        <f t="shared" si="14"/>
        <v>17473</v>
      </c>
      <c r="D15" s="488">
        <f t="shared" si="8"/>
        <v>673.64</v>
      </c>
      <c r="E15" s="15">
        <f t="shared" si="0"/>
        <v>25.938186568493556</v>
      </c>
      <c r="F15" s="363"/>
      <c r="G15" s="64"/>
      <c r="H15" s="1034">
        <v>11</v>
      </c>
      <c r="I15" s="1035">
        <v>7.82</v>
      </c>
      <c r="N15" s="993"/>
      <c r="O15" s="26">
        <v>17473</v>
      </c>
      <c r="P15" s="1036"/>
      <c r="Q15" s="1234">
        <f t="shared" si="15"/>
        <v>673.64</v>
      </c>
      <c r="R15" s="1227">
        <f t="shared" si="2"/>
        <v>673.64</v>
      </c>
      <c r="S15" s="27">
        <f t="shared" si="3"/>
        <v>25.938186568493556</v>
      </c>
      <c r="T15" s="33"/>
      <c r="U15" s="1481">
        <v>673.64</v>
      </c>
      <c r="V15" s="1464"/>
      <c r="W15" s="1037"/>
      <c r="X15" s="1038">
        <v>0</v>
      </c>
      <c r="Y15" s="1"/>
      <c r="Z15" s="847"/>
      <c r="AA15" s="847"/>
      <c r="AB15" s="1025">
        <f t="shared" si="9"/>
        <v>0</v>
      </c>
      <c r="AC15" s="1039"/>
      <c r="AD15" s="1026">
        <f t="shared" si="10"/>
        <v>712.6105597799999</v>
      </c>
      <c r="AE15" s="1026">
        <f t="shared" si="11"/>
        <v>149233.94256609</v>
      </c>
      <c r="AF15" s="1040">
        <f t="shared" si="16"/>
        <v>149946.55312587001</v>
      </c>
      <c r="AG15" s="1414"/>
      <c r="AH15" s="1414"/>
      <c r="AI15" s="1310"/>
      <c r="AJ15" s="1310"/>
      <c r="AK15" s="1320">
        <f t="shared" si="4"/>
        <v>0</v>
      </c>
      <c r="AL15" s="1312">
        <f t="shared" si="12"/>
        <v>1534.6804153455851</v>
      </c>
      <c r="AM15" s="1312">
        <f t="shared" si="12"/>
        <v>106889.41348665439</v>
      </c>
      <c r="AN15" s="1007"/>
      <c r="AO15" s="1476">
        <v>520.46</v>
      </c>
      <c r="AP15" s="1414"/>
      <c r="AQ15" s="987"/>
      <c r="AR15" s="310">
        <f t="shared" si="13"/>
        <v>0</v>
      </c>
      <c r="AS15" s="998"/>
      <c r="AT15" s="4"/>
      <c r="AU15" s="64"/>
      <c r="AV15" s="64"/>
      <c r="AW15" s="64"/>
      <c r="AX15" s="482"/>
      <c r="AZ15" s="987"/>
      <c r="BA15" s="987"/>
      <c r="BB15" s="987"/>
      <c r="BC15" s="987"/>
      <c r="BD15" s="987"/>
      <c r="BE15" s="310"/>
      <c r="BF15" s="310"/>
      <c r="BG15" s="310"/>
      <c r="BH15" s="310"/>
      <c r="BI15" s="310"/>
      <c r="BJ15" s="1041">
        <f>'February TCM'!LN13</f>
        <v>5.65</v>
      </c>
      <c r="BK15" s="1042"/>
      <c r="BL15" s="1"/>
      <c r="BM15" s="1032">
        <f t="shared" si="5"/>
        <v>5622.6750339999999</v>
      </c>
      <c r="BN15" s="1"/>
      <c r="BO15" s="1"/>
      <c r="BP15" s="1"/>
      <c r="BQ15" s="1"/>
      <c r="BR15" s="1"/>
      <c r="BS15" s="1"/>
      <c r="BT15" s="1"/>
      <c r="BU15" s="1"/>
      <c r="BV15" s="1"/>
      <c r="BW15" s="1"/>
      <c r="BX15" s="1"/>
      <c r="BY15" s="1"/>
      <c r="BZ15" s="1"/>
      <c r="CA15" s="1"/>
      <c r="CB15" s="1"/>
      <c r="CC15" s="1"/>
      <c r="CD15" s="1"/>
      <c r="CE15" s="1"/>
      <c r="CG15" s="1033">
        <v>4</v>
      </c>
      <c r="CH15" s="1">
        <f t="shared" si="6"/>
        <v>673.64</v>
      </c>
      <c r="CI15">
        <v>2602040576</v>
      </c>
      <c r="CK15" s="412">
        <v>4</v>
      </c>
      <c r="CL15" s="1">
        <f t="shared" si="7"/>
        <v>0</v>
      </c>
    </row>
    <row r="16" spans="2:91" ht="13.5" customHeight="1">
      <c r="B16" s="989">
        <v>5</v>
      </c>
      <c r="C16" s="5">
        <f t="shared" si="14"/>
        <v>28490</v>
      </c>
      <c r="D16" s="488">
        <f t="shared" si="8"/>
        <v>1502.6599999999999</v>
      </c>
      <c r="E16" s="15">
        <f t="shared" si="0"/>
        <v>18.95971144503747</v>
      </c>
      <c r="F16" s="363"/>
      <c r="G16" s="64"/>
      <c r="H16" s="1034">
        <v>2</v>
      </c>
      <c r="I16" s="1035">
        <v>2.27</v>
      </c>
      <c r="N16" s="993"/>
      <c r="O16" s="26">
        <v>28490</v>
      </c>
      <c r="P16" s="36"/>
      <c r="Q16" s="1234">
        <f t="shared" si="15"/>
        <v>1502.6599999999999</v>
      </c>
      <c r="R16" s="1227">
        <f t="shared" si="2"/>
        <v>1502.6599999999999</v>
      </c>
      <c r="S16" s="27">
        <f t="shared" si="3"/>
        <v>18.95971144503747</v>
      </c>
      <c r="T16" s="33"/>
      <c r="U16" s="1480">
        <v>1502.6599999999999</v>
      </c>
      <c r="V16" s="1464"/>
      <c r="W16" s="1037"/>
      <c r="X16" s="1038">
        <v>0</v>
      </c>
      <c r="Y16" s="1"/>
      <c r="Z16" s="847"/>
      <c r="AA16" s="847"/>
      <c r="AB16" s="1025">
        <f t="shared" si="9"/>
        <v>0</v>
      </c>
      <c r="AC16" s="1039"/>
      <c r="AD16" s="1026">
        <f t="shared" si="10"/>
        <v>712.6105597799999</v>
      </c>
      <c r="AE16" s="1026">
        <f t="shared" si="11"/>
        <v>151355.86256609001</v>
      </c>
      <c r="AF16" s="1040">
        <f t="shared" si="16"/>
        <v>152068.47312587002</v>
      </c>
      <c r="AG16" s="1414"/>
      <c r="AH16" s="1414"/>
      <c r="AI16" s="1310"/>
      <c r="AJ16" s="1310"/>
      <c r="AK16" s="1320">
        <f t="shared" si="4"/>
        <v>0</v>
      </c>
      <c r="AL16" s="1312">
        <f t="shared" si="12"/>
        <v>1534.6804153455851</v>
      </c>
      <c r="AM16" s="1312">
        <f t="shared" si="12"/>
        <v>106270.1534866544</v>
      </c>
      <c r="AN16" s="1007"/>
      <c r="AO16" s="1476">
        <v>619.26</v>
      </c>
      <c r="AP16" s="1414"/>
      <c r="AQ16" s="987"/>
      <c r="AR16" s="310">
        <f t="shared" si="13"/>
        <v>0</v>
      </c>
      <c r="AS16" s="998"/>
      <c r="AT16" s="4"/>
      <c r="AU16" s="64"/>
      <c r="AV16" s="64"/>
      <c r="AW16" s="64"/>
      <c r="AX16" s="482"/>
      <c r="AZ16" s="987"/>
      <c r="BA16" s="987"/>
      <c r="BB16" s="987"/>
      <c r="BC16" s="987"/>
      <c r="BD16" s="987"/>
      <c r="BE16" s="310"/>
      <c r="BF16" s="310"/>
      <c r="BG16" s="310"/>
      <c r="BH16" s="310"/>
      <c r="BI16" s="310"/>
      <c r="BJ16" s="1041">
        <f>'February TCM'!LN14</f>
        <v>6.57</v>
      </c>
      <c r="BK16" s="1042"/>
      <c r="BL16" s="1"/>
      <c r="BM16" s="1032">
        <f t="shared" si="5"/>
        <v>5622.6750339999999</v>
      </c>
      <c r="BN16" s="1"/>
      <c r="BO16" s="1"/>
      <c r="BP16" s="1"/>
      <c r="BQ16" s="1"/>
      <c r="BR16" s="1"/>
      <c r="BS16" s="1"/>
      <c r="BT16" s="1"/>
      <c r="BU16" s="1"/>
      <c r="BV16" s="1"/>
      <c r="BW16" s="1"/>
      <c r="BX16" s="1"/>
      <c r="BY16" s="1"/>
      <c r="BZ16" s="1"/>
      <c r="CA16" s="1"/>
      <c r="CB16" s="1"/>
      <c r="CC16" s="1"/>
      <c r="CD16" s="1"/>
      <c r="CE16" s="1"/>
      <c r="CG16" s="1033">
        <v>5</v>
      </c>
      <c r="CH16" s="1">
        <f t="shared" si="6"/>
        <v>1502.6599999999999</v>
      </c>
      <c r="CI16" s="1045">
        <v>2602050682</v>
      </c>
      <c r="CK16" s="412">
        <v>5</v>
      </c>
      <c r="CL16" s="1">
        <f t="shared" si="7"/>
        <v>0</v>
      </c>
      <c r="CM16" s="1046"/>
    </row>
    <row r="17" spans="2:90">
      <c r="B17" s="989">
        <v>6</v>
      </c>
      <c r="C17" s="5">
        <f t="shared" si="14"/>
        <v>16496</v>
      </c>
      <c r="D17" s="488">
        <f t="shared" si="8"/>
        <v>994.08000000000015</v>
      </c>
      <c r="E17" s="15">
        <f t="shared" si="0"/>
        <v>16.594237888298725</v>
      </c>
      <c r="F17" s="363"/>
      <c r="G17" s="64"/>
      <c r="H17" s="1034">
        <v>14</v>
      </c>
      <c r="I17" s="1035">
        <v>12.3</v>
      </c>
      <c r="N17" s="993"/>
      <c r="O17" s="26">
        <v>16496</v>
      </c>
      <c r="P17" s="36"/>
      <c r="Q17" s="1234">
        <f t="shared" si="15"/>
        <v>994.08000000000015</v>
      </c>
      <c r="R17" s="1227">
        <f>SUM(P17:Q17)</f>
        <v>994.08000000000015</v>
      </c>
      <c r="S17" s="27">
        <f t="shared" si="3"/>
        <v>16.594237888298725</v>
      </c>
      <c r="T17" s="33"/>
      <c r="U17" s="1480">
        <v>632.92000000000007</v>
      </c>
      <c r="V17" s="1464">
        <v>361.16</v>
      </c>
      <c r="W17" s="1037"/>
      <c r="X17" s="1038">
        <v>0</v>
      </c>
      <c r="Y17" s="1"/>
      <c r="Z17" s="847"/>
      <c r="AA17" s="847"/>
      <c r="AB17" s="1025">
        <f t="shared" si="9"/>
        <v>0</v>
      </c>
      <c r="AC17" s="1039"/>
      <c r="AD17" s="1026">
        <f t="shared" si="10"/>
        <v>712.6105597799999</v>
      </c>
      <c r="AE17" s="1026">
        <f t="shared" si="11"/>
        <v>152588.22256609</v>
      </c>
      <c r="AF17" s="1040">
        <f t="shared" si="16"/>
        <v>153300.83312587001</v>
      </c>
      <c r="AG17" s="1414"/>
      <c r="AH17" s="1414"/>
      <c r="AI17" s="1310"/>
      <c r="AJ17" s="1310"/>
      <c r="AK17" s="1320">
        <f t="shared" si="4"/>
        <v>0</v>
      </c>
      <c r="AL17" s="1312">
        <f t="shared" si="12"/>
        <v>1534.6804153455851</v>
      </c>
      <c r="AM17" s="1312">
        <f t="shared" si="12"/>
        <v>106031.8734866544</v>
      </c>
      <c r="AN17" s="1007"/>
      <c r="AO17" s="1476">
        <v>238.28</v>
      </c>
      <c r="AP17" s="1414"/>
      <c r="AQ17" s="987"/>
      <c r="AR17" s="310">
        <f t="shared" si="13"/>
        <v>0</v>
      </c>
      <c r="AS17" s="998"/>
      <c r="AT17" s="4"/>
      <c r="AU17" s="64"/>
      <c r="AV17" s="64"/>
      <c r="AW17" s="64"/>
      <c r="AX17" s="482"/>
      <c r="AZ17" s="987"/>
      <c r="BA17" s="987"/>
      <c r="BB17" s="987"/>
      <c r="BC17" s="987"/>
      <c r="BD17" s="987"/>
      <c r="BE17" s="310"/>
      <c r="BF17" s="310"/>
      <c r="BG17" s="310"/>
      <c r="BH17" s="310"/>
      <c r="BI17" s="310"/>
      <c r="BJ17" s="1041">
        <f>'February TCM'!LN15</f>
        <v>7.09</v>
      </c>
      <c r="BK17" s="1042"/>
      <c r="BL17" s="1"/>
      <c r="BM17" s="1032">
        <f t="shared" si="5"/>
        <v>5622.6750339999999</v>
      </c>
      <c r="BN17" s="1"/>
      <c r="BO17" s="1"/>
      <c r="BP17" s="1"/>
      <c r="BQ17" s="1"/>
      <c r="BR17" s="1"/>
      <c r="BS17" s="1"/>
      <c r="BT17" s="1"/>
      <c r="BU17" s="1"/>
      <c r="BV17" s="1"/>
      <c r="BW17" s="1"/>
      <c r="BX17" s="1"/>
      <c r="BY17" s="1"/>
      <c r="BZ17" s="1"/>
      <c r="CA17" s="1"/>
      <c r="CB17" s="1"/>
      <c r="CC17" s="1"/>
      <c r="CD17" s="1"/>
      <c r="CE17" s="1"/>
      <c r="CG17" s="1033">
        <v>6</v>
      </c>
      <c r="CH17" s="1">
        <f t="shared" si="6"/>
        <v>994.08000000000015</v>
      </c>
      <c r="CI17" s="1226" t="s">
        <v>866</v>
      </c>
      <c r="CK17" s="412">
        <v>6</v>
      </c>
      <c r="CL17" s="1">
        <f t="shared" si="7"/>
        <v>0</v>
      </c>
    </row>
    <row r="18" spans="2:90">
      <c r="B18" s="989">
        <v>7</v>
      </c>
      <c r="C18" s="5">
        <f t="shared" si="14"/>
        <v>19007</v>
      </c>
      <c r="D18" s="488">
        <f t="shared" si="8"/>
        <v>610.02</v>
      </c>
      <c r="E18" s="15">
        <f t="shared" si="0"/>
        <v>31.157994819841974</v>
      </c>
      <c r="F18" s="363"/>
      <c r="G18" s="64"/>
      <c r="H18" s="1034">
        <v>8</v>
      </c>
      <c r="I18" s="1035">
        <v>5.87</v>
      </c>
      <c r="N18" s="993"/>
      <c r="O18" s="26">
        <v>19007</v>
      </c>
      <c r="P18" s="36"/>
      <c r="Q18" s="1234">
        <f t="shared" si="15"/>
        <v>610.02</v>
      </c>
      <c r="R18" s="1227">
        <f t="shared" si="2"/>
        <v>610.02</v>
      </c>
      <c r="S18" s="27">
        <f t="shared" si="3"/>
        <v>31.157994819841974</v>
      </c>
      <c r="T18" s="33"/>
      <c r="U18" s="1480">
        <v>610.02</v>
      </c>
      <c r="V18" s="1464"/>
      <c r="W18" s="1037"/>
      <c r="X18" s="1038">
        <v>0</v>
      </c>
      <c r="Y18" s="1"/>
      <c r="Z18" s="847"/>
      <c r="AA18" s="847"/>
      <c r="AB18" s="1025">
        <f t="shared" si="9"/>
        <v>0</v>
      </c>
      <c r="AC18" s="1039"/>
      <c r="AD18" s="1026">
        <f t="shared" si="10"/>
        <v>712.6105597799999</v>
      </c>
      <c r="AE18" s="1026">
        <f t="shared" si="11"/>
        <v>153682.30256608999</v>
      </c>
      <c r="AF18" s="1040">
        <f t="shared" si="16"/>
        <v>154394.91312586999</v>
      </c>
      <c r="AG18" s="1414"/>
      <c r="AH18" s="1414"/>
      <c r="AI18" s="1310"/>
      <c r="AJ18" s="1310"/>
      <c r="AK18" s="1320">
        <f t="shared" si="4"/>
        <v>0</v>
      </c>
      <c r="AL18" s="1312">
        <f t="shared" si="12"/>
        <v>1534.6804153455851</v>
      </c>
      <c r="AM18" s="1312">
        <f t="shared" si="12"/>
        <v>105547.8134866544</v>
      </c>
      <c r="AN18" s="1007"/>
      <c r="AO18" s="1477">
        <v>484.06000000000006</v>
      </c>
      <c r="AP18" s="1414"/>
      <c r="AQ18" s="987"/>
      <c r="AR18" s="310">
        <f t="shared" si="13"/>
        <v>0</v>
      </c>
      <c r="AS18" s="998"/>
      <c r="AT18" s="4"/>
      <c r="AU18" s="64"/>
      <c r="AV18" s="64"/>
      <c r="AW18" s="64"/>
      <c r="AX18" s="482"/>
      <c r="AZ18" s="987"/>
      <c r="BA18" s="987"/>
      <c r="BB18" s="987"/>
      <c r="BC18" s="987"/>
      <c r="BD18" s="987"/>
      <c r="BE18" s="1047"/>
      <c r="BF18" s="310"/>
      <c r="BG18" s="310"/>
      <c r="BH18" s="310"/>
      <c r="BI18" s="310"/>
      <c r="BJ18" s="1041">
        <f>'February TCM'!LN16</f>
        <v>6.83</v>
      </c>
      <c r="BK18" s="1042"/>
      <c r="BL18" s="1"/>
      <c r="BM18" s="1032">
        <f t="shared" si="5"/>
        <v>5622.6750339999999</v>
      </c>
      <c r="BN18" s="1"/>
      <c r="BO18" s="1"/>
      <c r="BP18" s="1"/>
      <c r="BQ18" s="1"/>
      <c r="BR18" s="1"/>
      <c r="BS18" s="1"/>
      <c r="BT18" s="1"/>
      <c r="BU18" s="1"/>
      <c r="BV18" s="1"/>
      <c r="BW18" s="1"/>
      <c r="BX18" s="1"/>
      <c r="BY18" s="1"/>
      <c r="BZ18" s="1"/>
      <c r="CA18" s="1"/>
      <c r="CB18" s="1"/>
      <c r="CC18" s="1"/>
      <c r="CD18" s="1"/>
      <c r="CE18" s="1"/>
      <c r="CG18" s="1033">
        <v>7</v>
      </c>
      <c r="CH18" s="1">
        <f t="shared" si="6"/>
        <v>610.02</v>
      </c>
      <c r="CI18">
        <v>2602071083</v>
      </c>
      <c r="CK18" s="412">
        <v>7</v>
      </c>
      <c r="CL18" s="1">
        <f t="shared" si="7"/>
        <v>0</v>
      </c>
    </row>
    <row r="19" spans="2:90">
      <c r="B19" s="989">
        <v>8</v>
      </c>
      <c r="C19" s="5">
        <f t="shared" si="14"/>
        <v>19534</v>
      </c>
      <c r="D19" s="488">
        <f t="shared" si="8"/>
        <v>770</v>
      </c>
      <c r="E19" s="15">
        <f t="shared" si="0"/>
        <v>25.368831168831168</v>
      </c>
      <c r="F19" s="363"/>
      <c r="G19" s="64"/>
      <c r="H19" s="1034">
        <v>18.5</v>
      </c>
      <c r="I19" s="1035">
        <v>9.52</v>
      </c>
      <c r="N19" s="993"/>
      <c r="O19" s="26">
        <v>19534</v>
      </c>
      <c r="P19" s="36"/>
      <c r="Q19" s="1234">
        <f>W19+V19+U19</f>
        <v>770</v>
      </c>
      <c r="R19" s="1227">
        <f t="shared" si="2"/>
        <v>770</v>
      </c>
      <c r="S19" s="27">
        <f t="shared" si="3"/>
        <v>25.368831168831168</v>
      </c>
      <c r="T19" s="33"/>
      <c r="U19" s="1480">
        <v>770</v>
      </c>
      <c r="V19" s="1464"/>
      <c r="W19" s="1037"/>
      <c r="X19" s="1038">
        <v>0</v>
      </c>
      <c r="Y19" s="1"/>
      <c r="Z19" s="847"/>
      <c r="AA19" s="847"/>
      <c r="AB19" s="1025">
        <f t="shared" si="9"/>
        <v>0</v>
      </c>
      <c r="AC19" s="1039"/>
      <c r="AD19" s="1026">
        <f t="shared" si="10"/>
        <v>712.6105597799999</v>
      </c>
      <c r="AE19" s="1026">
        <f t="shared" si="11"/>
        <v>155072.52256608999</v>
      </c>
      <c r="AF19" s="1040">
        <f t="shared" si="16"/>
        <v>155785.13312586999</v>
      </c>
      <c r="AG19" s="1414"/>
      <c r="AH19" s="1414"/>
      <c r="AI19" s="1310"/>
      <c r="AJ19" s="1310"/>
      <c r="AK19" s="1320">
        <f t="shared" si="4"/>
        <v>0</v>
      </c>
      <c r="AL19" s="1312">
        <f t="shared" si="12"/>
        <v>1534.6804153455851</v>
      </c>
      <c r="AM19" s="1312">
        <f t="shared" si="12"/>
        <v>104927.5934866544</v>
      </c>
      <c r="AN19" s="1007"/>
      <c r="AO19" s="1476">
        <v>620.22</v>
      </c>
      <c r="AP19" s="1414"/>
      <c r="AQ19" s="987"/>
      <c r="AR19" s="310">
        <f t="shared" si="13"/>
        <v>0</v>
      </c>
      <c r="AS19" s="998"/>
      <c r="AT19" s="4"/>
      <c r="AU19" s="64"/>
      <c r="AV19" s="64"/>
      <c r="AW19" s="64"/>
      <c r="AX19" s="482"/>
      <c r="AZ19" s="987"/>
      <c r="BA19" s="987"/>
      <c r="BB19" s="987"/>
      <c r="BC19" s="987"/>
      <c r="BD19" s="987"/>
      <c r="BE19" s="310"/>
      <c r="BF19" s="310"/>
      <c r="BG19" s="310"/>
      <c r="BH19" s="310"/>
      <c r="BI19" s="310"/>
      <c r="BJ19" s="1041">
        <f>'February TCM'!LN17</f>
        <v>6.3</v>
      </c>
      <c r="BK19" s="1042"/>
      <c r="BL19" s="1"/>
      <c r="BM19" s="1032">
        <f t="shared" si="5"/>
        <v>5622.6750339999999</v>
      </c>
      <c r="BN19" s="1"/>
      <c r="BO19" s="1"/>
      <c r="BP19" s="1"/>
      <c r="BQ19" s="1"/>
      <c r="BR19" s="1"/>
      <c r="BS19" s="1"/>
      <c r="BT19" s="1"/>
      <c r="BU19" s="1"/>
      <c r="BV19" s="1"/>
      <c r="BW19" s="1"/>
      <c r="BX19" s="1"/>
      <c r="BY19" s="1"/>
      <c r="BZ19" s="1"/>
      <c r="CA19" s="1"/>
      <c r="CB19" s="1"/>
      <c r="CC19" s="1"/>
      <c r="CD19" s="1"/>
      <c r="CE19" s="1"/>
      <c r="CG19" s="1033">
        <v>8</v>
      </c>
      <c r="CH19" s="1">
        <f t="shared" si="6"/>
        <v>770</v>
      </c>
      <c r="CI19">
        <v>2602081210</v>
      </c>
      <c r="CK19" s="412">
        <v>8</v>
      </c>
      <c r="CL19" s="1">
        <f t="shared" si="7"/>
        <v>0</v>
      </c>
    </row>
    <row r="20" spans="2:90">
      <c r="B20" s="989">
        <v>9</v>
      </c>
      <c r="C20" s="5">
        <f t="shared" si="14"/>
        <v>28086</v>
      </c>
      <c r="D20" s="488">
        <f t="shared" si="8"/>
        <v>735.57999999999993</v>
      </c>
      <c r="E20" s="15">
        <f t="shared" si="0"/>
        <v>38.182114793768186</v>
      </c>
      <c r="F20" s="363"/>
      <c r="G20" s="64"/>
      <c r="H20" s="1034"/>
      <c r="I20" s="1034"/>
      <c r="N20" s="993"/>
      <c r="O20" s="26">
        <v>28086</v>
      </c>
      <c r="P20" s="36"/>
      <c r="Q20" s="1234">
        <f t="shared" si="15"/>
        <v>735.57999999999993</v>
      </c>
      <c r="R20" s="1227">
        <f t="shared" si="2"/>
        <v>735.57999999999993</v>
      </c>
      <c r="S20" s="27">
        <f t="shared" si="3"/>
        <v>38.182114793768186</v>
      </c>
      <c r="T20" s="33"/>
      <c r="U20" s="1480">
        <v>735.57999999999993</v>
      </c>
      <c r="V20" s="1464"/>
      <c r="W20" s="1037"/>
      <c r="X20" s="1038">
        <v>0</v>
      </c>
      <c r="Y20" s="1"/>
      <c r="Z20" s="847"/>
      <c r="AA20" s="847"/>
      <c r="AB20" s="1025">
        <f t="shared" si="9"/>
        <v>0</v>
      </c>
      <c r="AC20" s="1039"/>
      <c r="AD20" s="1026">
        <f t="shared" si="10"/>
        <v>712.6105597799999</v>
      </c>
      <c r="AE20" s="1026">
        <f t="shared" si="11"/>
        <v>157555.64256608998</v>
      </c>
      <c r="AF20" s="1040">
        <f t="shared" si="16"/>
        <v>158268.25312586999</v>
      </c>
      <c r="AG20" s="1414"/>
      <c r="AH20" s="1414"/>
      <c r="AI20" s="1310"/>
      <c r="AJ20" s="1310"/>
      <c r="AK20" s="1320">
        <f t="shared" si="4"/>
        <v>0</v>
      </c>
      <c r="AL20" s="1312">
        <f t="shared" si="12"/>
        <v>1534.6804153455851</v>
      </c>
      <c r="AM20" s="1312">
        <f t="shared" si="12"/>
        <v>103180.0534866544</v>
      </c>
      <c r="AN20" s="1007"/>
      <c r="AO20" s="1476">
        <v>1747.54</v>
      </c>
      <c r="AP20" s="1414"/>
      <c r="AQ20" s="987"/>
      <c r="AR20" s="310">
        <f t="shared" si="13"/>
        <v>0</v>
      </c>
      <c r="AS20" s="998"/>
      <c r="AT20" s="4"/>
      <c r="AU20" s="64"/>
      <c r="AV20" s="64"/>
      <c r="AW20" s="64"/>
      <c r="AX20" s="482"/>
      <c r="AZ20" s="987"/>
      <c r="BA20" s="987"/>
      <c r="BB20" s="987"/>
      <c r="BC20" s="987"/>
      <c r="BD20" s="987"/>
      <c r="BE20" s="310"/>
      <c r="BF20" s="310"/>
      <c r="BG20" s="310"/>
      <c r="BH20" s="310"/>
      <c r="BI20" s="310"/>
      <c r="BJ20" s="1041">
        <f>'February TCM'!LN18</f>
        <v>6.12</v>
      </c>
      <c r="BK20" s="1042"/>
      <c r="BL20" s="1"/>
      <c r="BM20" s="1032">
        <v>5727.0090456129601</v>
      </c>
      <c r="BN20" s="1"/>
      <c r="BO20" s="1"/>
      <c r="BP20" s="1"/>
      <c r="BQ20" s="1"/>
      <c r="BR20" s="1"/>
      <c r="BS20" s="1"/>
      <c r="BT20" s="1"/>
      <c r="BU20" s="1"/>
      <c r="BV20" s="1"/>
      <c r="BW20" s="1"/>
      <c r="BX20" s="1"/>
      <c r="BY20" s="1"/>
      <c r="BZ20" s="1"/>
      <c r="CA20" s="1"/>
      <c r="CB20" s="1"/>
      <c r="CC20" s="1"/>
      <c r="CD20" s="1"/>
      <c r="CE20" s="1"/>
      <c r="CG20" s="1033">
        <v>9</v>
      </c>
      <c r="CH20" s="1">
        <f t="shared" si="6"/>
        <v>735.57999999999993</v>
      </c>
      <c r="CI20" s="1046">
        <v>2602091363</v>
      </c>
      <c r="CK20" s="412">
        <v>9</v>
      </c>
      <c r="CL20" s="1">
        <f t="shared" si="7"/>
        <v>0</v>
      </c>
    </row>
    <row r="21" spans="2:90">
      <c r="B21" s="989">
        <v>10</v>
      </c>
      <c r="C21" s="5">
        <f t="shared" si="14"/>
        <v>8716</v>
      </c>
      <c r="D21" s="488">
        <f t="shared" si="8"/>
        <v>330.9</v>
      </c>
      <c r="E21" s="15">
        <f t="shared" si="0"/>
        <v>26.340284073738292</v>
      </c>
      <c r="F21" s="363"/>
      <c r="G21" s="64"/>
      <c r="H21" s="1034">
        <v>19</v>
      </c>
      <c r="I21" s="1034">
        <v>16.95</v>
      </c>
      <c r="N21" s="993"/>
      <c r="O21" s="26">
        <v>8716</v>
      </c>
      <c r="P21" s="36"/>
      <c r="Q21" s="1234">
        <f>W21+V21+U21</f>
        <v>330.9</v>
      </c>
      <c r="R21" s="1227">
        <f t="shared" si="2"/>
        <v>330.9</v>
      </c>
      <c r="S21" s="27">
        <f t="shared" si="3"/>
        <v>26.340284073738292</v>
      </c>
      <c r="T21" s="33"/>
      <c r="U21" s="1480">
        <v>149.06</v>
      </c>
      <c r="V21" s="95">
        <v>181.84</v>
      </c>
      <c r="W21" s="1037"/>
      <c r="X21" s="1038">
        <v>0</v>
      </c>
      <c r="Y21" s="1"/>
      <c r="Z21" s="847"/>
      <c r="AA21" s="847"/>
      <c r="AB21" s="1025">
        <f t="shared" ref="AB21:AB42" si="17">SUM(Z21:AA21)</f>
        <v>0</v>
      </c>
      <c r="AC21" s="1039"/>
      <c r="AD21" s="1026">
        <f t="shared" si="10"/>
        <v>712.6105597799999</v>
      </c>
      <c r="AE21" s="1026">
        <f t="shared" si="11"/>
        <v>158247.48256608998</v>
      </c>
      <c r="AF21" s="1040">
        <f t="shared" si="16"/>
        <v>158960.09312586999</v>
      </c>
      <c r="AG21" s="1414"/>
      <c r="AH21" s="1414"/>
      <c r="AI21" s="1310"/>
      <c r="AJ21" s="1310"/>
      <c r="AK21" s="1320">
        <f t="shared" si="4"/>
        <v>0</v>
      </c>
      <c r="AL21" s="1312">
        <f t="shared" si="12"/>
        <v>1534.6804153455851</v>
      </c>
      <c r="AM21" s="1312">
        <f t="shared" si="12"/>
        <v>102819.1134866544</v>
      </c>
      <c r="AN21" s="1007"/>
      <c r="AO21" s="1476">
        <v>360.94</v>
      </c>
      <c r="AP21" s="1414"/>
      <c r="AQ21" s="987"/>
      <c r="AR21" s="310">
        <f t="shared" si="13"/>
        <v>0</v>
      </c>
      <c r="AS21" s="998"/>
      <c r="AT21" s="4">
        <v>0</v>
      </c>
      <c r="AU21" s="64">
        <v>0</v>
      </c>
      <c r="AV21" s="64">
        <v>0</v>
      </c>
      <c r="AW21" s="64">
        <v>0</v>
      </c>
      <c r="AX21" s="482">
        <v>0</v>
      </c>
      <c r="AZ21" s="987"/>
      <c r="BA21" s="987"/>
      <c r="BB21" s="987"/>
      <c r="BC21" s="987"/>
      <c r="BD21" s="987"/>
      <c r="BE21" s="310"/>
      <c r="BF21" s="310"/>
      <c r="BG21" s="310"/>
      <c r="BH21" s="310"/>
      <c r="BI21" s="310"/>
      <c r="BJ21" s="1041">
        <f>'February TCM'!LN19</f>
        <v>5.5</v>
      </c>
      <c r="BK21" s="1042"/>
      <c r="BL21" s="1"/>
      <c r="BM21" s="1032">
        <f t="shared" si="5"/>
        <v>5727.0090456129601</v>
      </c>
      <c r="BN21" s="1"/>
      <c r="BO21" s="1"/>
      <c r="BP21" s="1"/>
      <c r="BQ21" s="1"/>
      <c r="BR21" s="1"/>
      <c r="BS21" s="1"/>
      <c r="BT21" s="1"/>
      <c r="BU21" s="1"/>
      <c r="BV21" s="1"/>
      <c r="BW21" s="1"/>
      <c r="BX21" s="1"/>
      <c r="BY21" s="1"/>
      <c r="BZ21" s="1"/>
      <c r="CA21" s="1"/>
      <c r="CB21" s="1"/>
      <c r="CC21" s="1"/>
      <c r="CD21" s="1"/>
      <c r="CE21" s="1"/>
      <c r="CG21" s="1033">
        <v>10</v>
      </c>
      <c r="CH21" s="1">
        <f t="shared" si="6"/>
        <v>330.9</v>
      </c>
      <c r="CI21">
        <v>2602101623</v>
      </c>
      <c r="CK21" s="412">
        <v>10</v>
      </c>
      <c r="CL21" s="1">
        <f t="shared" si="7"/>
        <v>0</v>
      </c>
    </row>
    <row r="22" spans="2:90">
      <c r="B22" s="989">
        <v>11</v>
      </c>
      <c r="C22" s="5">
        <f t="shared" si="14"/>
        <v>27218</v>
      </c>
      <c r="D22" s="488">
        <f t="shared" si="8"/>
        <v>720.56</v>
      </c>
      <c r="E22" s="15">
        <f t="shared" si="0"/>
        <v>37.773398467858335</v>
      </c>
      <c r="F22" s="363"/>
      <c r="G22" s="64"/>
      <c r="H22" s="1034">
        <v>3</v>
      </c>
      <c r="I22" s="1034">
        <v>2</v>
      </c>
      <c r="N22" s="993"/>
      <c r="O22" s="26">
        <v>27218</v>
      </c>
      <c r="P22" s="36"/>
      <c r="Q22" s="1234">
        <f t="shared" si="15"/>
        <v>720.56</v>
      </c>
      <c r="R22" s="1227">
        <f t="shared" si="2"/>
        <v>720.56</v>
      </c>
      <c r="S22" s="27">
        <f t="shared" si="3"/>
        <v>37.773398467858335</v>
      </c>
      <c r="T22" s="33"/>
      <c r="U22" s="1480"/>
      <c r="V22" s="1464">
        <v>720.56</v>
      </c>
      <c r="W22" s="1037"/>
      <c r="X22" s="1038">
        <v>1275</v>
      </c>
      <c r="Y22" s="1"/>
      <c r="Z22" s="847"/>
      <c r="AA22" s="847"/>
      <c r="AB22" s="1025">
        <f t="shared" si="17"/>
        <v>0</v>
      </c>
      <c r="AC22" s="1039"/>
      <c r="AD22" s="1026">
        <f t="shared" si="10"/>
        <v>712.6105597799999</v>
      </c>
      <c r="AE22" s="1026">
        <f t="shared" si="11"/>
        <v>159918.86256608999</v>
      </c>
      <c r="AF22" s="1040">
        <f t="shared" si="16"/>
        <v>160631.47312586999</v>
      </c>
      <c r="AG22" s="1414"/>
      <c r="AH22" s="1414"/>
      <c r="AI22" s="1310"/>
      <c r="AJ22" s="1310"/>
      <c r="AK22" s="1320">
        <f t="shared" si="4"/>
        <v>0</v>
      </c>
      <c r="AL22" s="1312">
        <f t="shared" si="12"/>
        <v>1534.6804153455851</v>
      </c>
      <c r="AM22" s="1312">
        <f t="shared" si="12"/>
        <v>101868.29348665439</v>
      </c>
      <c r="AN22" s="1007"/>
      <c r="AO22" s="1476">
        <v>950.82</v>
      </c>
      <c r="AP22" s="1414"/>
      <c r="AQ22" s="987"/>
      <c r="AR22" s="310">
        <f t="shared" si="13"/>
        <v>0</v>
      </c>
      <c r="AS22" s="998"/>
      <c r="AT22" s="4">
        <v>0</v>
      </c>
      <c r="AU22" s="64">
        <v>0</v>
      </c>
      <c r="AV22" s="64">
        <v>0</v>
      </c>
      <c r="AW22" s="64">
        <v>0</v>
      </c>
      <c r="AX22" s="482">
        <v>0</v>
      </c>
      <c r="AZ22" s="987"/>
      <c r="BA22" s="987"/>
      <c r="BB22" s="987"/>
      <c r="BC22" s="987"/>
      <c r="BD22" s="987"/>
      <c r="BE22" s="310"/>
      <c r="BF22" s="310"/>
      <c r="BG22" s="310"/>
      <c r="BH22" s="310"/>
      <c r="BI22" s="310"/>
      <c r="BJ22" s="1041">
        <f>'February TCM'!LN20</f>
        <v>5.04</v>
      </c>
      <c r="BK22" s="1042"/>
      <c r="BL22" s="1"/>
      <c r="BM22" s="1032">
        <f t="shared" si="5"/>
        <v>5727.0090456129601</v>
      </c>
      <c r="BN22" s="1"/>
      <c r="BO22" s="1"/>
      <c r="BP22" s="1"/>
      <c r="BQ22" s="1"/>
      <c r="BR22" s="1"/>
      <c r="BS22" s="1"/>
      <c r="BT22" s="1"/>
      <c r="BU22" s="1"/>
      <c r="BV22" s="1"/>
      <c r="BW22" s="1"/>
      <c r="BX22" s="1"/>
      <c r="BY22" s="1"/>
      <c r="BZ22" s="1"/>
      <c r="CA22" s="1"/>
      <c r="CB22" s="1"/>
      <c r="CC22" s="1"/>
      <c r="CD22" s="1"/>
      <c r="CE22" s="1"/>
      <c r="CG22" s="1033">
        <v>11</v>
      </c>
      <c r="CH22" s="1">
        <f t="shared" si="6"/>
        <v>720.56</v>
      </c>
      <c r="CI22">
        <v>2602111726</v>
      </c>
      <c r="CK22" s="412">
        <v>11</v>
      </c>
      <c r="CL22" s="1">
        <f t="shared" si="7"/>
        <v>0</v>
      </c>
    </row>
    <row r="23" spans="2:90">
      <c r="B23" s="989">
        <v>12</v>
      </c>
      <c r="C23" s="5">
        <f t="shared" si="14"/>
        <v>21586</v>
      </c>
      <c r="D23" s="488">
        <f t="shared" si="8"/>
        <v>93.2</v>
      </c>
      <c r="E23" s="15">
        <f t="shared" si="0"/>
        <v>550.66326530612241</v>
      </c>
      <c r="F23" s="363"/>
      <c r="G23" s="64"/>
      <c r="H23" s="1034">
        <v>3.5</v>
      </c>
      <c r="I23" s="1034">
        <v>5.25</v>
      </c>
      <c r="N23" s="993"/>
      <c r="O23" s="26">
        <v>21586</v>
      </c>
      <c r="P23" s="36"/>
      <c r="Q23" s="1234">
        <f t="shared" si="15"/>
        <v>39.200000000000003</v>
      </c>
      <c r="R23" s="1022">
        <f t="shared" si="2"/>
        <v>39.200000000000003</v>
      </c>
      <c r="S23" s="27">
        <f t="shared" si="3"/>
        <v>550.66326530612241</v>
      </c>
      <c r="U23" s="1480"/>
      <c r="V23" s="1468">
        <v>39.200000000000003</v>
      </c>
      <c r="W23" s="1037"/>
      <c r="X23" s="1038">
        <v>0</v>
      </c>
      <c r="Y23" s="1"/>
      <c r="Z23" s="847"/>
      <c r="AA23" s="847"/>
      <c r="AB23" s="1025">
        <f t="shared" si="17"/>
        <v>0</v>
      </c>
      <c r="AC23" s="1039"/>
      <c r="AD23" s="1026">
        <f t="shared" si="10"/>
        <v>712.6105597799999</v>
      </c>
      <c r="AE23" s="1026">
        <f t="shared" si="11"/>
        <v>161489.19256609</v>
      </c>
      <c r="AF23" s="1040">
        <f t="shared" si="16"/>
        <v>162201.80312587001</v>
      </c>
      <c r="AG23" s="1414"/>
      <c r="AH23" s="1414"/>
      <c r="AI23" s="1310"/>
      <c r="AJ23" s="1310">
        <v>54</v>
      </c>
      <c r="AK23" s="1320">
        <f t="shared" si="4"/>
        <v>54</v>
      </c>
      <c r="AL23" s="1312">
        <f t="shared" si="12"/>
        <v>1534.6804153455851</v>
      </c>
      <c r="AM23" s="1312">
        <f t="shared" si="12"/>
        <v>100391.16348665439</v>
      </c>
      <c r="AN23" s="1007"/>
      <c r="AO23" s="1476">
        <v>1531.13</v>
      </c>
      <c r="AP23" s="1414"/>
      <c r="AQ23" s="987"/>
      <c r="AR23" s="310">
        <f t="shared" si="13"/>
        <v>0</v>
      </c>
      <c r="AS23" s="998"/>
      <c r="AT23" s="4">
        <v>0</v>
      </c>
      <c r="AU23" s="64">
        <v>0</v>
      </c>
      <c r="AV23" s="64">
        <v>0</v>
      </c>
      <c r="AW23" s="64">
        <v>0</v>
      </c>
      <c r="AX23" s="482">
        <v>0</v>
      </c>
      <c r="AZ23" s="987"/>
      <c r="BA23" s="987"/>
      <c r="BB23" s="987"/>
      <c r="BC23" s="987"/>
      <c r="BD23" s="987"/>
      <c r="BE23" s="310"/>
      <c r="BF23" s="310"/>
      <c r="BG23" s="310"/>
      <c r="BH23" s="310"/>
      <c r="BI23" s="310"/>
      <c r="BJ23" s="1041">
        <f>'February TCM'!LN21</f>
        <v>6.2</v>
      </c>
      <c r="BK23" s="1042"/>
      <c r="BL23" s="1"/>
      <c r="BM23" s="1032">
        <f t="shared" si="5"/>
        <v>5727.0090456129601</v>
      </c>
      <c r="BN23" s="1"/>
      <c r="BO23" s="1"/>
      <c r="BP23" s="1"/>
      <c r="BQ23" s="1"/>
      <c r="BR23" s="1"/>
      <c r="BS23" s="1"/>
      <c r="BT23" s="1"/>
      <c r="BU23" s="1"/>
      <c r="BV23" s="1"/>
      <c r="BW23" s="1"/>
      <c r="BX23" s="1"/>
      <c r="BY23" s="1"/>
      <c r="BZ23" s="1"/>
      <c r="CA23" s="1"/>
      <c r="CB23" s="1"/>
      <c r="CC23" s="1"/>
      <c r="CD23" s="1"/>
      <c r="CE23" s="1"/>
      <c r="CG23" s="1033">
        <v>12</v>
      </c>
      <c r="CH23" s="1">
        <f t="shared" si="6"/>
        <v>93.2</v>
      </c>
      <c r="CI23">
        <v>2602121920</v>
      </c>
      <c r="CJ23" s="1048"/>
      <c r="CK23" s="412">
        <v>12</v>
      </c>
      <c r="CL23" s="1">
        <f t="shared" si="7"/>
        <v>0</v>
      </c>
    </row>
    <row r="24" spans="2:90">
      <c r="B24" s="989">
        <v>13</v>
      </c>
      <c r="C24" s="5">
        <f t="shared" si="14"/>
        <v>1127</v>
      </c>
      <c r="D24" s="488">
        <f t="shared" si="8"/>
        <v>0</v>
      </c>
      <c r="E24" s="15">
        <f t="shared" si="0"/>
        <v>0</v>
      </c>
      <c r="F24" s="363"/>
      <c r="G24" s="64"/>
      <c r="H24" s="1034">
        <v>46</v>
      </c>
      <c r="I24" s="1034">
        <v>10.42</v>
      </c>
      <c r="N24" s="993"/>
      <c r="O24" s="26">
        <v>1127</v>
      </c>
      <c r="P24" s="36"/>
      <c r="Q24" s="1234">
        <f t="shared" si="15"/>
        <v>0</v>
      </c>
      <c r="R24" s="1022">
        <f t="shared" si="2"/>
        <v>0</v>
      </c>
      <c r="S24" s="27">
        <f t="shared" si="3"/>
        <v>0</v>
      </c>
      <c r="T24" s="33"/>
      <c r="U24" s="1480"/>
      <c r="V24" s="1464"/>
      <c r="W24" s="1037"/>
      <c r="X24" s="1038">
        <v>0</v>
      </c>
      <c r="Y24" s="1"/>
      <c r="Z24" s="847"/>
      <c r="AA24" s="847"/>
      <c r="AB24" s="1025">
        <f t="shared" si="17"/>
        <v>0</v>
      </c>
      <c r="AC24" s="1039"/>
      <c r="AD24" s="1026">
        <f t="shared" si="10"/>
        <v>712.6105597799999</v>
      </c>
      <c r="AE24" s="1026">
        <f t="shared" si="11"/>
        <v>161847.29256609001</v>
      </c>
      <c r="AF24" s="1040">
        <f t="shared" si="16"/>
        <v>162559.90312587001</v>
      </c>
      <c r="AG24" s="1414"/>
      <c r="AH24" s="1414"/>
      <c r="AI24" s="1310"/>
      <c r="AJ24" s="1310"/>
      <c r="AK24" s="1320">
        <f t="shared" si="4"/>
        <v>0</v>
      </c>
      <c r="AL24" s="1312">
        <f t="shared" si="12"/>
        <v>1534.6804153455851</v>
      </c>
      <c r="AM24" s="1312">
        <f t="shared" si="12"/>
        <v>100033.06348665438</v>
      </c>
      <c r="AN24" s="1007"/>
      <c r="AO24" s="1476">
        <v>358.1</v>
      </c>
      <c r="AP24" s="1414"/>
      <c r="AQ24" s="987"/>
      <c r="AR24" s="310">
        <f t="shared" si="13"/>
        <v>0</v>
      </c>
      <c r="AS24" s="998"/>
      <c r="AT24" s="4">
        <v>0</v>
      </c>
      <c r="AU24" s="64">
        <v>0</v>
      </c>
      <c r="AV24" s="64">
        <v>0</v>
      </c>
      <c r="AW24" s="64">
        <v>0</v>
      </c>
      <c r="AX24" s="482">
        <v>0</v>
      </c>
      <c r="AZ24" s="987"/>
      <c r="BA24" s="987"/>
      <c r="BB24" s="987"/>
      <c r="BC24" s="987"/>
      <c r="BD24" s="987"/>
      <c r="BE24" s="847"/>
      <c r="BF24" s="310"/>
      <c r="BG24" s="310"/>
      <c r="BH24" s="310"/>
      <c r="BI24" s="310"/>
      <c r="BJ24" s="1041">
        <f>'February TCM'!LN22</f>
        <v>4.9800000000000004</v>
      </c>
      <c r="BK24" s="1042"/>
      <c r="BL24" s="1"/>
      <c r="BM24" s="1032">
        <f t="shared" si="5"/>
        <v>5727.0090456129601</v>
      </c>
      <c r="BN24" s="1"/>
      <c r="BO24" s="1"/>
      <c r="BP24" s="1"/>
      <c r="BQ24" s="1"/>
      <c r="BR24" s="1"/>
      <c r="BS24" s="1"/>
      <c r="BT24" s="1"/>
      <c r="BU24" s="1"/>
      <c r="BV24" s="1"/>
      <c r="BW24" s="1"/>
      <c r="BX24" s="1"/>
      <c r="BY24" s="1"/>
      <c r="BZ24" s="1"/>
      <c r="CA24" s="1"/>
      <c r="CB24" s="1"/>
      <c r="CC24" s="1"/>
      <c r="CD24" s="1"/>
      <c r="CE24" s="1"/>
      <c r="CG24" s="1033">
        <v>13</v>
      </c>
      <c r="CH24" s="1">
        <f t="shared" si="6"/>
        <v>0</v>
      </c>
      <c r="CI24" s="1048"/>
      <c r="CJ24" s="1048"/>
      <c r="CK24" s="412">
        <v>13</v>
      </c>
      <c r="CL24" s="1">
        <f t="shared" si="7"/>
        <v>0</v>
      </c>
    </row>
    <row r="25" spans="2:90">
      <c r="B25" s="989">
        <v>14</v>
      </c>
      <c r="C25" s="5">
        <f t="shared" si="14"/>
        <v>24527</v>
      </c>
      <c r="D25" s="488">
        <f t="shared" si="8"/>
        <v>192.38</v>
      </c>
      <c r="E25" s="15">
        <f t="shared" si="0"/>
        <v>127.49246283397443</v>
      </c>
      <c r="F25" s="363"/>
      <c r="G25" s="64"/>
      <c r="H25" s="1034">
        <v>9</v>
      </c>
      <c r="I25" s="1034">
        <v>4.63</v>
      </c>
      <c r="N25" s="993"/>
      <c r="O25" s="26">
        <v>24527</v>
      </c>
      <c r="P25" s="36"/>
      <c r="Q25" s="1234">
        <f t="shared" si="15"/>
        <v>192.38</v>
      </c>
      <c r="R25" s="1022">
        <f t="shared" si="2"/>
        <v>192.38</v>
      </c>
      <c r="S25" s="27">
        <f t="shared" si="3"/>
        <v>127.49246283397443</v>
      </c>
      <c r="T25" s="33"/>
      <c r="U25" s="1480">
        <v>149.41999999999999</v>
      </c>
      <c r="V25" s="1464"/>
      <c r="W25" s="1037">
        <v>42.96</v>
      </c>
      <c r="X25" s="1038">
        <v>1251</v>
      </c>
      <c r="Y25" s="1"/>
      <c r="Z25" s="847"/>
      <c r="AA25" s="847"/>
      <c r="AB25" s="1025">
        <f t="shared" si="17"/>
        <v>0</v>
      </c>
      <c r="AC25" s="1039"/>
      <c r="AD25" s="1026">
        <f t="shared" si="10"/>
        <v>712.6105597799999</v>
      </c>
      <c r="AE25" s="1026">
        <f t="shared" si="11"/>
        <v>163638.39256609001</v>
      </c>
      <c r="AF25" s="1040">
        <f t="shared" si="16"/>
        <v>164351.00312587002</v>
      </c>
      <c r="AG25" s="1414"/>
      <c r="AH25" s="1414"/>
      <c r="AI25" s="1310"/>
      <c r="AJ25" s="1310"/>
      <c r="AK25" s="1320">
        <f t="shared" si="4"/>
        <v>0</v>
      </c>
      <c r="AL25" s="1312">
        <f t="shared" si="12"/>
        <v>1534.6804153455851</v>
      </c>
      <c r="AM25" s="1312">
        <f t="shared" si="12"/>
        <v>98434.343486654383</v>
      </c>
      <c r="AN25" s="1007"/>
      <c r="AO25" s="1476">
        <v>1598.72</v>
      </c>
      <c r="AP25" s="1414"/>
      <c r="AQ25" s="987"/>
      <c r="AR25" s="310">
        <f t="shared" si="13"/>
        <v>0</v>
      </c>
      <c r="AS25" s="998"/>
      <c r="AT25" s="4">
        <v>0</v>
      </c>
      <c r="AU25" s="64">
        <v>0</v>
      </c>
      <c r="AV25" s="64">
        <v>0</v>
      </c>
      <c r="AW25" s="64">
        <v>0</v>
      </c>
      <c r="AX25" s="482">
        <v>0</v>
      </c>
      <c r="AZ25" s="987"/>
      <c r="BA25" s="987"/>
      <c r="BB25" s="987"/>
      <c r="BC25" s="987"/>
      <c r="BD25" s="987"/>
      <c r="BE25" s="847"/>
      <c r="BF25" s="310"/>
      <c r="BG25" s="310"/>
      <c r="BH25" s="310"/>
      <c r="BI25" s="310"/>
      <c r="BJ25" s="1041">
        <f>'February TCM'!LN23</f>
        <v>5.33</v>
      </c>
      <c r="BK25" s="1042"/>
      <c r="BL25" s="1"/>
      <c r="BM25" s="1032">
        <f t="shared" si="5"/>
        <v>5727.0090456129601</v>
      </c>
      <c r="BN25" s="1"/>
      <c r="BO25" s="1"/>
      <c r="BP25" s="1"/>
      <c r="BQ25" s="1"/>
      <c r="BR25" s="1"/>
      <c r="BS25" s="1"/>
      <c r="BT25" s="1"/>
      <c r="BU25" s="1"/>
      <c r="BV25" s="1"/>
      <c r="BW25" s="1"/>
      <c r="BX25" s="1"/>
      <c r="BY25" s="1"/>
      <c r="BZ25" s="1"/>
      <c r="CA25" s="1"/>
      <c r="CB25" s="1"/>
      <c r="CC25" s="1"/>
      <c r="CD25" s="1"/>
      <c r="CE25" s="1"/>
      <c r="CG25" s="1033">
        <v>14</v>
      </c>
      <c r="CH25" s="1">
        <f t="shared" si="6"/>
        <v>192.38</v>
      </c>
      <c r="CI25" s="1048">
        <v>2602142101</v>
      </c>
      <c r="CJ25" s="1048"/>
      <c r="CK25" s="412">
        <v>14</v>
      </c>
      <c r="CL25" s="1">
        <f t="shared" si="7"/>
        <v>0</v>
      </c>
    </row>
    <row r="26" spans="2:90">
      <c r="B26" s="989">
        <v>15</v>
      </c>
      <c r="C26" s="5">
        <f t="shared" si="14"/>
        <v>26130</v>
      </c>
      <c r="D26" s="488">
        <f t="shared" si="8"/>
        <v>1015.42</v>
      </c>
      <c r="E26" s="15">
        <f t="shared" si="0"/>
        <v>25.733194146264601</v>
      </c>
      <c r="F26" s="363"/>
      <c r="G26" s="64"/>
      <c r="H26" s="1034"/>
      <c r="I26" s="1034"/>
      <c r="N26" s="993"/>
      <c r="O26" s="26">
        <v>26130</v>
      </c>
      <c r="P26" s="36"/>
      <c r="Q26" s="1234">
        <f t="shared" si="15"/>
        <v>1015.42</v>
      </c>
      <c r="R26" s="1022">
        <f t="shared" si="2"/>
        <v>1015.42</v>
      </c>
      <c r="S26" s="27">
        <f t="shared" si="3"/>
        <v>25.733194146264601</v>
      </c>
      <c r="T26" s="33"/>
      <c r="U26" s="1480">
        <v>1015.42</v>
      </c>
      <c r="V26" s="1464"/>
      <c r="W26" s="1037"/>
      <c r="X26" s="1038">
        <v>2223</v>
      </c>
      <c r="Y26" s="1"/>
      <c r="Z26" s="847"/>
      <c r="AA26" s="847"/>
      <c r="AB26" s="1025">
        <f t="shared" si="17"/>
        <v>0</v>
      </c>
      <c r="AC26" s="1039"/>
      <c r="AD26" s="1026">
        <f t="shared" si="10"/>
        <v>712.6105597799999</v>
      </c>
      <c r="AE26" s="1026">
        <f t="shared" si="11"/>
        <v>165923.83256609002</v>
      </c>
      <c r="AF26" s="1040">
        <f t="shared" si="16"/>
        <v>166636.44312587002</v>
      </c>
      <c r="AG26" s="1414"/>
      <c r="AH26" s="1414"/>
      <c r="AI26" s="1310"/>
      <c r="AJ26" s="1310"/>
      <c r="AK26" s="1320">
        <f t="shared" si="4"/>
        <v>0</v>
      </c>
      <c r="AL26" s="1312">
        <f t="shared" si="12"/>
        <v>1534.6804153455851</v>
      </c>
      <c r="AM26" s="1312">
        <f t="shared" si="12"/>
        <v>97164.323486654379</v>
      </c>
      <c r="AN26" s="1007"/>
      <c r="AO26" s="1476">
        <v>1270.02</v>
      </c>
      <c r="AP26" s="1414"/>
      <c r="AQ26" s="987"/>
      <c r="AR26" s="310">
        <f t="shared" si="13"/>
        <v>0</v>
      </c>
      <c r="AS26" s="998"/>
      <c r="AT26" s="4">
        <v>0</v>
      </c>
      <c r="AU26" s="64">
        <v>0</v>
      </c>
      <c r="AV26" s="64">
        <v>0</v>
      </c>
      <c r="AW26" s="64">
        <v>0</v>
      </c>
      <c r="AX26" s="482">
        <v>0</v>
      </c>
      <c r="AZ26" s="987"/>
      <c r="BA26" s="987"/>
      <c r="BB26" s="987"/>
      <c r="BC26" s="987"/>
      <c r="BD26" s="987"/>
      <c r="BE26" s="847"/>
      <c r="BF26" s="310"/>
      <c r="BG26" s="310"/>
      <c r="BH26" s="310"/>
      <c r="BI26" s="310"/>
      <c r="BJ26" s="1041">
        <f>'February TCM'!LN24</f>
        <v>6.28</v>
      </c>
      <c r="BK26" s="1042"/>
      <c r="BL26" s="1"/>
      <c r="BM26" s="1032">
        <f t="shared" si="5"/>
        <v>5727.0090456129601</v>
      </c>
      <c r="BN26" s="1"/>
      <c r="BO26" s="1"/>
      <c r="BP26" s="1"/>
      <c r="BQ26" s="1"/>
      <c r="BR26" s="1"/>
      <c r="BS26" s="1"/>
      <c r="BT26" s="1"/>
      <c r="BU26" s="1"/>
      <c r="BV26" s="1"/>
      <c r="BW26" s="1"/>
      <c r="BX26" s="1"/>
      <c r="BY26" s="1"/>
      <c r="BZ26" s="1"/>
      <c r="CA26" s="1"/>
      <c r="CB26" s="1"/>
      <c r="CC26" s="1"/>
      <c r="CD26" s="1"/>
      <c r="CE26" s="1"/>
      <c r="CG26" s="1033">
        <v>15</v>
      </c>
      <c r="CH26" s="1">
        <f t="shared" si="6"/>
        <v>1015.42</v>
      </c>
      <c r="CI26">
        <v>2602152263</v>
      </c>
      <c r="CK26" s="412">
        <v>15</v>
      </c>
      <c r="CL26" s="1">
        <f t="shared" si="7"/>
        <v>0</v>
      </c>
    </row>
    <row r="27" spans="2:90">
      <c r="B27" s="989">
        <v>16</v>
      </c>
      <c r="C27" s="5">
        <f t="shared" si="14"/>
        <v>27303</v>
      </c>
      <c r="D27" s="488">
        <f>Q27+P27+AK27</f>
        <v>491.88</v>
      </c>
      <c r="E27" s="15">
        <f>S27</f>
        <v>57.982925586136595</v>
      </c>
      <c r="F27" s="363"/>
      <c r="G27" s="64"/>
      <c r="H27" s="1034"/>
      <c r="I27" s="1034"/>
      <c r="N27" s="993"/>
      <c r="O27" s="26">
        <v>27303</v>
      </c>
      <c r="P27" s="36"/>
      <c r="Q27" s="1234">
        <f t="shared" si="15"/>
        <v>470.88</v>
      </c>
      <c r="R27" s="1022">
        <f t="shared" si="2"/>
        <v>470.88</v>
      </c>
      <c r="S27" s="27">
        <f t="shared" si="3"/>
        <v>57.982925586136595</v>
      </c>
      <c r="T27" s="33"/>
      <c r="U27" s="1480">
        <v>200.07999999999998</v>
      </c>
      <c r="V27" s="1464"/>
      <c r="W27" s="1037">
        <v>270.8</v>
      </c>
      <c r="X27" s="1038">
        <v>747</v>
      </c>
      <c r="Y27" s="1"/>
      <c r="Z27" s="847"/>
      <c r="AA27" s="847"/>
      <c r="AB27" s="1025">
        <f t="shared" si="17"/>
        <v>0</v>
      </c>
      <c r="AC27" s="1039"/>
      <c r="AD27" s="1026">
        <f t="shared" si="10"/>
        <v>712.6105597799999</v>
      </c>
      <c r="AE27" s="1026">
        <f t="shared" si="11"/>
        <v>168257.73256609001</v>
      </c>
      <c r="AF27" s="1040">
        <f t="shared" si="16"/>
        <v>168970.34312587001</v>
      </c>
      <c r="AG27" s="1414"/>
      <c r="AH27" s="1414"/>
      <c r="AI27" s="1310"/>
      <c r="AJ27" s="1310">
        <v>21</v>
      </c>
      <c r="AK27" s="1320">
        <f t="shared" si="4"/>
        <v>21</v>
      </c>
      <c r="AL27" s="1312">
        <f t="shared" si="12"/>
        <v>1534.6804153455851</v>
      </c>
      <c r="AM27" s="1312">
        <f t="shared" si="12"/>
        <v>95322.303486654375</v>
      </c>
      <c r="AN27" s="1007"/>
      <c r="AO27" s="1476">
        <v>1863.02</v>
      </c>
      <c r="AP27" s="1414"/>
      <c r="AQ27" s="987"/>
      <c r="AR27" s="310">
        <f t="shared" si="13"/>
        <v>0</v>
      </c>
      <c r="AS27" s="998"/>
      <c r="AT27" s="4">
        <v>0</v>
      </c>
      <c r="AU27" s="64">
        <v>0</v>
      </c>
      <c r="AV27" s="64">
        <v>0</v>
      </c>
      <c r="AW27" s="64">
        <v>0</v>
      </c>
      <c r="AX27" s="482">
        <v>0</v>
      </c>
      <c r="AZ27" s="987"/>
      <c r="BA27" s="987"/>
      <c r="BB27" s="987"/>
      <c r="BC27" s="987"/>
      <c r="BD27" s="987"/>
      <c r="BE27" s="847"/>
      <c r="BF27" s="310"/>
      <c r="BG27" s="310"/>
      <c r="BH27" s="310"/>
      <c r="BI27" s="310"/>
      <c r="BJ27" s="1041">
        <f>'February TCM'!LN25</f>
        <v>6.77</v>
      </c>
      <c r="BK27" s="1042"/>
      <c r="BL27" s="1"/>
      <c r="BM27" s="1032">
        <f t="shared" si="5"/>
        <v>5727.0090456129601</v>
      </c>
      <c r="BN27" s="1"/>
      <c r="BO27" s="1"/>
      <c r="BP27" s="1"/>
      <c r="BQ27" s="1"/>
      <c r="BR27" s="1"/>
      <c r="BS27" s="1"/>
      <c r="BT27" s="1"/>
      <c r="BU27" s="1"/>
      <c r="BV27" s="1"/>
      <c r="BW27" s="1"/>
      <c r="BX27" s="1"/>
      <c r="BY27" s="1"/>
      <c r="BZ27" s="1"/>
      <c r="CA27" s="1"/>
      <c r="CB27" s="1"/>
      <c r="CC27" s="1"/>
      <c r="CD27" s="1"/>
      <c r="CE27" s="1"/>
      <c r="CG27" s="1033">
        <v>16</v>
      </c>
      <c r="CH27" s="1">
        <f t="shared" si="6"/>
        <v>491.88</v>
      </c>
      <c r="CI27">
        <v>2602162486</v>
      </c>
      <c r="CJ27" s="1048"/>
      <c r="CK27" s="412">
        <v>16</v>
      </c>
      <c r="CL27" s="1">
        <f t="shared" si="7"/>
        <v>0</v>
      </c>
    </row>
    <row r="28" spans="2:90">
      <c r="B28" s="989">
        <v>17</v>
      </c>
      <c r="C28" s="5">
        <f t="shared" si="14"/>
        <v>19029</v>
      </c>
      <c r="D28" s="488">
        <f t="shared" si="8"/>
        <v>912.3</v>
      </c>
      <c r="E28" s="15">
        <f t="shared" si="0"/>
        <v>20.858270305820454</v>
      </c>
      <c r="F28" s="363"/>
      <c r="G28" s="64"/>
      <c r="H28" s="1034">
        <v>9</v>
      </c>
      <c r="I28" s="1034">
        <v>6.5</v>
      </c>
      <c r="N28" s="993"/>
      <c r="O28" s="26">
        <v>19029</v>
      </c>
      <c r="P28" s="36"/>
      <c r="Q28" s="1234">
        <f t="shared" si="15"/>
        <v>912.3</v>
      </c>
      <c r="R28" s="1022">
        <f t="shared" si="2"/>
        <v>912.3</v>
      </c>
      <c r="S28" s="27">
        <f t="shared" si="3"/>
        <v>20.858270305820454</v>
      </c>
      <c r="T28" s="33"/>
      <c r="U28" s="1480"/>
      <c r="V28" s="1464">
        <v>387</v>
      </c>
      <c r="W28" s="1037">
        <v>525.29999999999995</v>
      </c>
      <c r="X28" s="1038">
        <v>1401</v>
      </c>
      <c r="Y28" s="1"/>
      <c r="Z28" s="847"/>
      <c r="AA28" s="847"/>
      <c r="AB28" s="1025">
        <f t="shared" si="17"/>
        <v>0</v>
      </c>
      <c r="AC28" s="1039"/>
      <c r="AD28" s="1026">
        <f t="shared" si="10"/>
        <v>712.6105597799999</v>
      </c>
      <c r="AE28" s="1026">
        <f t="shared" si="11"/>
        <v>169915.87256608999</v>
      </c>
      <c r="AF28" s="1040">
        <f t="shared" si="16"/>
        <v>170628.48312587</v>
      </c>
      <c r="AG28" s="1414"/>
      <c r="AH28" s="1414"/>
      <c r="AI28" s="1310"/>
      <c r="AJ28" s="1310"/>
      <c r="AK28" s="1320">
        <f t="shared" si="4"/>
        <v>0</v>
      </c>
      <c r="AL28" s="1312">
        <f t="shared" si="12"/>
        <v>1534.6804153455851</v>
      </c>
      <c r="AM28" s="1312">
        <f t="shared" si="12"/>
        <v>94576.463486654378</v>
      </c>
      <c r="AN28" s="1007"/>
      <c r="AO28" s="1476">
        <v>745.84</v>
      </c>
      <c r="AP28" s="1414"/>
      <c r="AQ28" s="987"/>
      <c r="AR28" s="310">
        <f t="shared" si="13"/>
        <v>0</v>
      </c>
      <c r="AS28" s="998"/>
      <c r="AT28" s="4">
        <v>0</v>
      </c>
      <c r="AU28" s="64">
        <v>0</v>
      </c>
      <c r="AV28" s="64">
        <v>0</v>
      </c>
      <c r="AW28" s="64">
        <v>0</v>
      </c>
      <c r="AX28" s="482">
        <v>0</v>
      </c>
      <c r="AZ28" s="987"/>
      <c r="BA28" s="987"/>
      <c r="BB28" s="987"/>
      <c r="BC28" s="987"/>
      <c r="BD28" s="987"/>
      <c r="BE28" s="1049"/>
      <c r="BF28" s="310"/>
      <c r="BG28" s="310"/>
      <c r="BH28" s="310"/>
      <c r="BI28" s="310"/>
      <c r="BJ28" s="1041">
        <f>'February TCM'!LN26</f>
        <v>6.47</v>
      </c>
      <c r="BK28" s="1042"/>
      <c r="BL28" s="1"/>
      <c r="BM28" s="1032">
        <f t="shared" si="5"/>
        <v>5727.0090456129601</v>
      </c>
      <c r="BN28" s="1"/>
      <c r="BO28" s="1"/>
      <c r="BP28" s="1"/>
      <c r="BQ28" s="1"/>
      <c r="BR28" s="1"/>
      <c r="BS28" s="1"/>
      <c r="BT28" s="1"/>
      <c r="BU28" s="1"/>
      <c r="BV28" s="1"/>
      <c r="BW28" s="1"/>
      <c r="BX28" s="1"/>
      <c r="BY28" s="1"/>
      <c r="BZ28" s="1"/>
      <c r="CA28" s="1"/>
      <c r="CB28" s="1"/>
      <c r="CC28" s="1"/>
      <c r="CD28" s="1"/>
      <c r="CE28" s="1"/>
      <c r="CG28" s="1033">
        <v>17</v>
      </c>
      <c r="CH28" s="1">
        <f t="shared" si="6"/>
        <v>912.3</v>
      </c>
      <c r="CI28">
        <v>2602172700</v>
      </c>
      <c r="CK28" s="412">
        <v>17</v>
      </c>
      <c r="CL28" s="1">
        <f t="shared" si="7"/>
        <v>0</v>
      </c>
    </row>
    <row r="29" spans="2:90">
      <c r="B29" s="989">
        <v>18</v>
      </c>
      <c r="C29" s="5">
        <f t="shared" si="14"/>
        <v>7794</v>
      </c>
      <c r="D29" s="488">
        <f t="shared" si="8"/>
        <v>153.56</v>
      </c>
      <c r="E29" s="15">
        <f t="shared" si="0"/>
        <v>50.755405053399322</v>
      </c>
      <c r="F29" s="363"/>
      <c r="G29" s="64"/>
      <c r="H29" s="1034">
        <v>25</v>
      </c>
      <c r="I29" s="1034">
        <v>11.17</v>
      </c>
      <c r="N29" s="993"/>
      <c r="O29" s="26">
        <v>7794</v>
      </c>
      <c r="P29" s="36"/>
      <c r="Q29" s="1234">
        <f t="shared" si="15"/>
        <v>153.56</v>
      </c>
      <c r="R29" s="1022">
        <f t="shared" si="2"/>
        <v>153.56</v>
      </c>
      <c r="S29" s="27">
        <f t="shared" si="3"/>
        <v>50.755405053399322</v>
      </c>
      <c r="T29" s="33"/>
      <c r="U29" s="1480">
        <v>112</v>
      </c>
      <c r="V29" s="1464">
        <v>41.56</v>
      </c>
      <c r="W29" s="1037"/>
      <c r="X29" s="1038">
        <v>531</v>
      </c>
      <c r="Y29" s="1"/>
      <c r="Z29" s="847"/>
      <c r="AA29" s="847"/>
      <c r="AB29" s="1025">
        <f t="shared" si="17"/>
        <v>0</v>
      </c>
      <c r="AC29" s="1039"/>
      <c r="AD29" s="1026">
        <f t="shared" ref="AD29:AD42" si="18">AD28+P29-Z29</f>
        <v>712.6105597799999</v>
      </c>
      <c r="AE29" s="1026">
        <f t="shared" si="11"/>
        <v>170587.95256608998</v>
      </c>
      <c r="AF29" s="1040">
        <f t="shared" si="16"/>
        <v>171300.56312586999</v>
      </c>
      <c r="AG29" s="1414"/>
      <c r="AH29" s="1414"/>
      <c r="AI29" s="1310"/>
      <c r="AJ29" s="1310"/>
      <c r="AK29" s="1320">
        <f t="shared" si="4"/>
        <v>0</v>
      </c>
      <c r="AL29" s="1312">
        <f t="shared" ref="AL29:AM42" si="19">AL28+AI29-AN29</f>
        <v>1534.6804153455851</v>
      </c>
      <c r="AM29" s="1312">
        <f t="shared" si="19"/>
        <v>94057.943486654374</v>
      </c>
      <c r="AN29" s="1007"/>
      <c r="AO29" s="1476">
        <v>518.52</v>
      </c>
      <c r="AP29" s="1414"/>
      <c r="AQ29" s="987"/>
      <c r="AR29" s="310">
        <f t="shared" si="13"/>
        <v>0</v>
      </c>
      <c r="AS29" s="868"/>
      <c r="AT29" s="4">
        <v>0</v>
      </c>
      <c r="AU29" s="64">
        <v>0</v>
      </c>
      <c r="AV29" s="64">
        <v>0</v>
      </c>
      <c r="AW29" s="64">
        <v>0</v>
      </c>
      <c r="AX29" s="482">
        <v>0</v>
      </c>
      <c r="AZ29" s="987"/>
      <c r="BA29" s="987"/>
      <c r="BB29" s="987"/>
      <c r="BC29" s="987"/>
      <c r="BD29" s="987"/>
      <c r="BE29" s="847"/>
      <c r="BF29" s="847"/>
      <c r="BG29" s="847"/>
      <c r="BH29" s="847"/>
      <c r="BI29" s="847"/>
      <c r="BJ29" s="1041">
        <f>'February TCM'!LN27</f>
        <v>6.31</v>
      </c>
      <c r="BK29" s="1042"/>
      <c r="BL29" s="1"/>
      <c r="BM29" s="1032">
        <f t="shared" si="5"/>
        <v>5727.0090456129601</v>
      </c>
      <c r="BN29" s="1"/>
      <c r="BO29" s="1"/>
      <c r="BP29" s="1"/>
      <c r="BQ29" s="1"/>
      <c r="BR29" s="1"/>
      <c r="BS29" s="1"/>
      <c r="BT29" s="1"/>
      <c r="BU29" s="1"/>
      <c r="BV29" s="1"/>
      <c r="BW29" s="1"/>
      <c r="BX29" s="1"/>
      <c r="BY29" s="1"/>
      <c r="BZ29" s="1"/>
      <c r="CA29" s="1"/>
      <c r="CB29" s="1"/>
      <c r="CC29" s="1"/>
      <c r="CD29" s="1"/>
      <c r="CE29" s="1"/>
      <c r="CG29" s="1033">
        <v>18</v>
      </c>
      <c r="CH29" s="1">
        <f t="shared" si="6"/>
        <v>153.56</v>
      </c>
      <c r="CI29">
        <v>2602182843</v>
      </c>
      <c r="CK29" s="412">
        <v>18</v>
      </c>
      <c r="CL29" s="1">
        <f t="shared" si="7"/>
        <v>0</v>
      </c>
    </row>
    <row r="30" spans="2:90">
      <c r="B30" s="989">
        <v>19</v>
      </c>
      <c r="C30" s="5">
        <f t="shared" si="14"/>
        <v>27035</v>
      </c>
      <c r="D30" s="488">
        <f>Q30+P30+AK30</f>
        <v>330.32</v>
      </c>
      <c r="E30" s="15">
        <f t="shared" si="0"/>
        <v>81.844877694356995</v>
      </c>
      <c r="F30" s="363"/>
      <c r="G30" s="64"/>
      <c r="H30" s="1034">
        <v>0.5</v>
      </c>
      <c r="I30" s="1034">
        <v>0.75</v>
      </c>
      <c r="N30" s="993"/>
      <c r="O30" s="26">
        <v>27035</v>
      </c>
      <c r="P30" s="36"/>
      <c r="Q30" s="1234">
        <f t="shared" si="15"/>
        <v>330.32</v>
      </c>
      <c r="R30" s="1022">
        <f t="shared" si="2"/>
        <v>330.32</v>
      </c>
      <c r="S30" s="27">
        <f t="shared" si="3"/>
        <v>81.844877694356995</v>
      </c>
      <c r="T30" s="33"/>
      <c r="U30" s="1480"/>
      <c r="V30" s="1464"/>
      <c r="W30" s="1037">
        <v>330.32</v>
      </c>
      <c r="X30" s="1038">
        <v>1730</v>
      </c>
      <c r="Y30" s="1"/>
      <c r="Z30" s="847"/>
      <c r="AA30" s="847"/>
      <c r="AB30" s="1025">
        <f t="shared" si="17"/>
        <v>0</v>
      </c>
      <c r="AC30" s="1039"/>
      <c r="AD30" s="1026">
        <f t="shared" si="18"/>
        <v>712.6105597799999</v>
      </c>
      <c r="AE30" s="1026">
        <f t="shared" si="11"/>
        <v>171931.43256608999</v>
      </c>
      <c r="AF30" s="1040">
        <f t="shared" si="16"/>
        <v>172644.04312587</v>
      </c>
      <c r="AG30" s="1414"/>
      <c r="AH30" s="1414"/>
      <c r="AI30" s="1310"/>
      <c r="AJ30" s="1310"/>
      <c r="AK30" s="1320">
        <f t="shared" si="4"/>
        <v>0</v>
      </c>
      <c r="AL30" s="1312">
        <f t="shared" si="19"/>
        <v>1534.6804153455851</v>
      </c>
      <c r="AM30" s="1312">
        <f t="shared" si="19"/>
        <v>93044.783486654371</v>
      </c>
      <c r="AN30" s="1007"/>
      <c r="AO30" s="1476">
        <v>1013.16</v>
      </c>
      <c r="AP30" s="1414"/>
      <c r="AQ30" s="987"/>
      <c r="AR30" s="310">
        <f t="shared" si="13"/>
        <v>0</v>
      </c>
      <c r="AS30" s="998"/>
      <c r="AT30" s="4">
        <v>0</v>
      </c>
      <c r="AU30" s="64">
        <v>0</v>
      </c>
      <c r="AV30" s="64">
        <v>0</v>
      </c>
      <c r="AW30" s="64">
        <v>0</v>
      </c>
      <c r="AX30" s="482">
        <v>0</v>
      </c>
      <c r="AZ30" s="987"/>
      <c r="BA30" s="987"/>
      <c r="BB30" s="987"/>
      <c r="BC30" s="987"/>
      <c r="BD30" s="987"/>
      <c r="BE30" s="847"/>
      <c r="BF30" s="310"/>
      <c r="BG30" s="310"/>
      <c r="BH30" s="310"/>
      <c r="BI30" s="310"/>
      <c r="BJ30" s="1041">
        <f>'February TCM'!LN28</f>
        <v>6.15</v>
      </c>
      <c r="BK30" s="1042"/>
      <c r="BL30" s="1"/>
      <c r="BM30" s="1032">
        <v>5362.1700976048232</v>
      </c>
      <c r="BN30" s="1"/>
      <c r="BO30" s="1"/>
      <c r="BP30" s="1"/>
      <c r="BQ30" s="1"/>
      <c r="BR30" s="1"/>
      <c r="BS30" s="1"/>
      <c r="BT30" s="1"/>
      <c r="BU30" s="1"/>
      <c r="BV30" s="1"/>
      <c r="BW30" s="1"/>
      <c r="BX30" s="1"/>
      <c r="BY30" s="1"/>
      <c r="BZ30" s="1"/>
      <c r="CA30" s="1"/>
      <c r="CB30" s="1"/>
      <c r="CC30" s="1"/>
      <c r="CD30" s="1"/>
      <c r="CE30" s="1"/>
      <c r="CG30" s="1033">
        <v>19</v>
      </c>
      <c r="CH30" s="1">
        <f t="shared" si="6"/>
        <v>330.32</v>
      </c>
      <c r="CI30">
        <v>2602192934</v>
      </c>
      <c r="CK30" s="412">
        <v>19</v>
      </c>
      <c r="CL30" s="1">
        <f t="shared" si="7"/>
        <v>0</v>
      </c>
    </row>
    <row r="31" spans="2:90">
      <c r="B31" s="989">
        <v>20</v>
      </c>
      <c r="C31" s="5">
        <f t="shared" si="14"/>
        <v>20055</v>
      </c>
      <c r="D31" s="488">
        <f t="shared" si="8"/>
        <v>1136.3800000000001</v>
      </c>
      <c r="E31" s="15">
        <f t="shared" si="0"/>
        <v>17.648145866699519</v>
      </c>
      <c r="F31" s="363"/>
      <c r="G31" s="64"/>
      <c r="H31" s="1034">
        <v>35</v>
      </c>
      <c r="I31" s="1034">
        <v>5</v>
      </c>
      <c r="N31" s="993"/>
      <c r="O31" s="26">
        <v>20055</v>
      </c>
      <c r="P31" s="36"/>
      <c r="Q31" s="1234">
        <f t="shared" si="15"/>
        <v>1136.3800000000001</v>
      </c>
      <c r="R31" s="1022">
        <f t="shared" si="2"/>
        <v>1136.3800000000001</v>
      </c>
      <c r="S31" s="5">
        <f t="shared" si="3"/>
        <v>17.648145866699519</v>
      </c>
      <c r="T31" s="12"/>
      <c r="U31" s="1480">
        <v>1136.3800000000001</v>
      </c>
      <c r="V31" s="1464"/>
      <c r="W31" s="1037"/>
      <c r="X31" s="1038">
        <v>1302</v>
      </c>
      <c r="Y31" s="1"/>
      <c r="Z31" s="847"/>
      <c r="AA31" s="847"/>
      <c r="AB31" s="1025">
        <f t="shared" si="17"/>
        <v>0</v>
      </c>
      <c r="AC31" s="1039"/>
      <c r="AD31" s="1026">
        <f t="shared" si="18"/>
        <v>712.6105597799999</v>
      </c>
      <c r="AE31" s="1026">
        <f t="shared" si="11"/>
        <v>173703.21256608999</v>
      </c>
      <c r="AF31" s="1040">
        <f t="shared" si="16"/>
        <v>174415.82312587</v>
      </c>
      <c r="AG31" s="1414"/>
      <c r="AH31" s="1414"/>
      <c r="AI31" s="1310"/>
      <c r="AJ31" s="1310"/>
      <c r="AK31" s="1320">
        <f t="shared" si="4"/>
        <v>0</v>
      </c>
      <c r="AL31" s="1312">
        <f t="shared" si="19"/>
        <v>1534.6804153455851</v>
      </c>
      <c r="AM31" s="1312">
        <f t="shared" si="19"/>
        <v>92409.383486654377</v>
      </c>
      <c r="AN31" s="1007"/>
      <c r="AO31" s="1476">
        <v>635.4</v>
      </c>
      <c r="AP31" s="1414"/>
      <c r="AQ31" s="987"/>
      <c r="AR31" s="310">
        <f t="shared" si="13"/>
        <v>0</v>
      </c>
      <c r="AS31" s="868"/>
      <c r="AT31" s="4">
        <v>0</v>
      </c>
      <c r="AU31" s="64">
        <v>0</v>
      </c>
      <c r="AV31" s="64">
        <v>0</v>
      </c>
      <c r="AW31" s="64">
        <v>0</v>
      </c>
      <c r="AX31" s="482">
        <v>0</v>
      </c>
      <c r="AZ31" s="987"/>
      <c r="BA31" s="987"/>
      <c r="BB31" s="987"/>
      <c r="BC31" s="987"/>
      <c r="BD31" s="987"/>
      <c r="BE31" s="847"/>
      <c r="BF31" s="847"/>
      <c r="BG31" s="847"/>
      <c r="BH31" s="847"/>
      <c r="BI31" s="847"/>
      <c r="BJ31" s="1041">
        <f>'February TCM'!LN29</f>
        <v>5.85</v>
      </c>
      <c r="BK31" s="1042"/>
      <c r="BL31" s="1"/>
      <c r="BM31" s="1032">
        <f t="shared" si="5"/>
        <v>5362.1700976048232</v>
      </c>
      <c r="BN31" s="1"/>
      <c r="BO31" s="1"/>
      <c r="BP31" s="1"/>
      <c r="BQ31" s="1"/>
      <c r="BR31" s="1"/>
      <c r="BS31" s="1"/>
      <c r="BT31" s="1"/>
      <c r="BU31" s="1"/>
      <c r="BV31" s="1"/>
      <c r="BW31" s="1"/>
      <c r="BX31" s="1"/>
      <c r="BY31" s="1"/>
      <c r="BZ31" s="1"/>
      <c r="CA31" s="1"/>
      <c r="CB31" s="1"/>
      <c r="CC31" s="1"/>
      <c r="CD31" s="1"/>
      <c r="CE31" s="1"/>
      <c r="CG31" s="1033">
        <v>20</v>
      </c>
      <c r="CH31" s="1">
        <f t="shared" si="6"/>
        <v>1136.3800000000001</v>
      </c>
      <c r="CI31">
        <v>2602203055</v>
      </c>
      <c r="CK31" s="412">
        <v>20</v>
      </c>
      <c r="CL31" s="1">
        <f t="shared" si="7"/>
        <v>0</v>
      </c>
    </row>
    <row r="32" spans="2:90">
      <c r="B32" s="989">
        <v>21</v>
      </c>
      <c r="C32" s="5">
        <f t="shared" si="14"/>
        <v>0</v>
      </c>
      <c r="D32" s="488">
        <f t="shared" si="8"/>
        <v>0</v>
      </c>
      <c r="E32" s="15">
        <f t="shared" si="0"/>
        <v>0</v>
      </c>
      <c r="F32" s="363"/>
      <c r="G32" s="64"/>
      <c r="H32" s="1034">
        <v>27</v>
      </c>
      <c r="I32" s="1034">
        <v>24</v>
      </c>
      <c r="N32" s="993"/>
      <c r="O32" s="26">
        <v>0</v>
      </c>
      <c r="P32" s="36"/>
      <c r="Q32" s="1234">
        <f t="shared" si="15"/>
        <v>0</v>
      </c>
      <c r="R32" s="1022">
        <f t="shared" si="2"/>
        <v>0</v>
      </c>
      <c r="S32" s="27">
        <f t="shared" si="3"/>
        <v>0</v>
      </c>
      <c r="T32" s="33"/>
      <c r="U32" s="1480"/>
      <c r="V32" s="1464"/>
      <c r="W32" s="1037"/>
      <c r="X32" s="1038">
        <v>0</v>
      </c>
      <c r="Y32" s="1"/>
      <c r="Z32" s="847"/>
      <c r="AA32" s="847"/>
      <c r="AB32" s="1025">
        <f t="shared" si="17"/>
        <v>0</v>
      </c>
      <c r="AC32" s="1039"/>
      <c r="AD32" s="1026">
        <f t="shared" si="18"/>
        <v>712.6105597799999</v>
      </c>
      <c r="AE32" s="1026">
        <f t="shared" si="11"/>
        <v>173703.21256608999</v>
      </c>
      <c r="AF32" s="1040">
        <f t="shared" si="16"/>
        <v>174415.82312587</v>
      </c>
      <c r="AG32" s="1414"/>
      <c r="AH32" s="1414"/>
      <c r="AI32" s="1310"/>
      <c r="AJ32" s="1310"/>
      <c r="AK32" s="1320">
        <f t="shared" si="4"/>
        <v>0</v>
      </c>
      <c r="AL32" s="1312">
        <f t="shared" si="19"/>
        <v>1534.6804153455851</v>
      </c>
      <c r="AM32" s="1312">
        <f t="shared" si="19"/>
        <v>92409.383486654377</v>
      </c>
      <c r="AN32" s="1007"/>
      <c r="AO32" s="1476">
        <v>0</v>
      </c>
      <c r="AP32" s="1414"/>
      <c r="AQ32" s="987"/>
      <c r="AR32" s="310">
        <f t="shared" si="13"/>
        <v>0</v>
      </c>
      <c r="AS32" s="998"/>
      <c r="AT32" s="4">
        <v>0</v>
      </c>
      <c r="AU32" s="64">
        <v>0</v>
      </c>
      <c r="AV32" s="64">
        <v>0</v>
      </c>
      <c r="AW32" s="64">
        <v>0</v>
      </c>
      <c r="AX32" s="482">
        <v>0</v>
      </c>
      <c r="AZ32" s="987"/>
      <c r="BA32" s="987"/>
      <c r="BB32" s="987"/>
      <c r="BC32" s="987"/>
      <c r="BD32" s="987"/>
      <c r="BE32" s="847"/>
      <c r="BF32" s="310"/>
      <c r="BG32" s="310"/>
      <c r="BH32" s="310"/>
      <c r="BI32" s="310"/>
      <c r="BJ32" s="1041">
        <f>'February TCM'!LN30</f>
        <v>6.69</v>
      </c>
      <c r="BK32" s="1042"/>
      <c r="BL32" s="1"/>
      <c r="BM32" s="1032">
        <f t="shared" si="5"/>
        <v>5362.1700976048232</v>
      </c>
      <c r="BN32" s="1"/>
      <c r="BO32" s="1"/>
      <c r="BP32" s="1"/>
      <c r="BQ32" s="1"/>
      <c r="BR32" s="1"/>
      <c r="BS32" s="1"/>
      <c r="BT32" s="1"/>
      <c r="BU32" s="1"/>
      <c r="BV32" s="1"/>
      <c r="BW32" s="1"/>
      <c r="BX32" s="1"/>
      <c r="BY32" s="1"/>
      <c r="BZ32" s="1"/>
      <c r="CA32" s="1"/>
      <c r="CB32" s="1"/>
      <c r="CC32" s="1"/>
      <c r="CD32" s="1"/>
      <c r="CE32" s="1"/>
      <c r="CG32" s="1033">
        <v>21</v>
      </c>
      <c r="CH32" s="1">
        <f t="shared" si="6"/>
        <v>0</v>
      </c>
      <c r="CK32" s="412">
        <v>21</v>
      </c>
      <c r="CL32" s="1">
        <f t="shared" si="7"/>
        <v>0</v>
      </c>
    </row>
    <row r="33" spans="2:90">
      <c r="B33" s="989">
        <v>22</v>
      </c>
      <c r="C33" s="5">
        <f t="shared" si="14"/>
        <v>21003</v>
      </c>
      <c r="D33" s="488">
        <f t="shared" si="8"/>
        <v>1120.7</v>
      </c>
      <c r="E33" s="15">
        <f t="shared" si="0"/>
        <v>18.740965468011062</v>
      </c>
      <c r="F33" s="363"/>
      <c r="G33" s="64"/>
      <c r="H33" s="1034">
        <v>27</v>
      </c>
      <c r="I33" s="1034">
        <v>6.67</v>
      </c>
      <c r="N33" s="993"/>
      <c r="O33" s="26">
        <v>21003</v>
      </c>
      <c r="P33" s="36"/>
      <c r="Q33" s="1234">
        <f t="shared" si="15"/>
        <v>1120.7</v>
      </c>
      <c r="R33" s="1022">
        <f t="shared" si="2"/>
        <v>1120.7</v>
      </c>
      <c r="S33" s="27">
        <f t="shared" si="3"/>
        <v>18.740965468011062</v>
      </c>
      <c r="T33" s="33"/>
      <c r="U33" s="1480">
        <v>988.32</v>
      </c>
      <c r="V33" s="1464">
        <v>132.38</v>
      </c>
      <c r="W33" s="1037"/>
      <c r="X33" s="1038">
        <v>0</v>
      </c>
      <c r="Y33" s="1"/>
      <c r="Z33" s="847"/>
      <c r="AA33" s="847"/>
      <c r="AB33" s="1025">
        <f t="shared" si="17"/>
        <v>0</v>
      </c>
      <c r="AC33" s="1039"/>
      <c r="AD33" s="1026">
        <f t="shared" si="18"/>
        <v>712.6105597799999</v>
      </c>
      <c r="AE33" s="1026">
        <f t="shared" si="11"/>
        <v>175290.53256609</v>
      </c>
      <c r="AF33" s="1040">
        <f t="shared" si="16"/>
        <v>176003.14312587</v>
      </c>
      <c r="AG33" s="1414"/>
      <c r="AH33" s="1414"/>
      <c r="AI33" s="1310"/>
      <c r="AJ33" s="1310"/>
      <c r="AK33" s="1320">
        <f t="shared" si="4"/>
        <v>0</v>
      </c>
      <c r="AL33" s="1312">
        <f t="shared" si="19"/>
        <v>1534.6804153455851</v>
      </c>
      <c r="AM33" s="1312">
        <f t="shared" si="19"/>
        <v>91942.763486654381</v>
      </c>
      <c r="AN33" s="1007"/>
      <c r="AO33" s="1476">
        <v>466.62</v>
      </c>
      <c r="AP33" s="1414"/>
      <c r="AQ33" s="987"/>
      <c r="AR33" s="310">
        <f t="shared" si="13"/>
        <v>0</v>
      </c>
      <c r="AS33" s="998"/>
      <c r="AT33" s="4">
        <v>0</v>
      </c>
      <c r="AU33" s="64">
        <v>0</v>
      </c>
      <c r="AV33" s="64">
        <v>0</v>
      </c>
      <c r="AW33" s="64">
        <v>0</v>
      </c>
      <c r="AX33" s="482">
        <v>0</v>
      </c>
      <c r="AZ33" s="987"/>
      <c r="BA33" s="987"/>
      <c r="BB33" s="987"/>
      <c r="BC33" s="987"/>
      <c r="BD33" s="987"/>
      <c r="BE33" s="847"/>
      <c r="BF33" s="310"/>
      <c r="BG33" s="310"/>
      <c r="BH33" s="310"/>
      <c r="BI33" s="310"/>
      <c r="BJ33" s="1041">
        <f>'February TCM'!LN31</f>
        <v>5.77</v>
      </c>
      <c r="BK33" s="1042"/>
      <c r="BL33" s="1"/>
      <c r="BM33" s="1032">
        <f t="shared" si="5"/>
        <v>5362.1700976048232</v>
      </c>
      <c r="BN33" s="1"/>
      <c r="BO33" s="1"/>
      <c r="BP33" s="1"/>
      <c r="BQ33" s="1"/>
      <c r="BR33" s="1"/>
      <c r="BS33" s="1"/>
      <c r="BT33" s="1"/>
      <c r="BU33" s="1"/>
      <c r="BV33" s="1"/>
      <c r="BW33" s="1"/>
      <c r="BX33" s="1"/>
      <c r="BY33" s="1"/>
      <c r="BZ33" s="1"/>
      <c r="CA33" s="1"/>
      <c r="CB33" s="1"/>
      <c r="CC33" s="1"/>
      <c r="CD33" s="1"/>
      <c r="CE33" s="1"/>
      <c r="CG33" s="1033">
        <v>22</v>
      </c>
      <c r="CH33" s="1">
        <f t="shared" si="6"/>
        <v>1120.7</v>
      </c>
      <c r="CI33" s="1048">
        <v>2602223262</v>
      </c>
      <c r="CJ33" s="1048"/>
      <c r="CK33" s="412">
        <v>22</v>
      </c>
      <c r="CL33" s="1">
        <f t="shared" si="7"/>
        <v>0</v>
      </c>
    </row>
    <row r="34" spans="2:90">
      <c r="B34" s="989">
        <v>23</v>
      </c>
      <c r="C34" s="5">
        <f t="shared" si="14"/>
        <v>0</v>
      </c>
      <c r="D34" s="488">
        <f t="shared" si="8"/>
        <v>0</v>
      </c>
      <c r="E34" s="15">
        <f t="shared" si="0"/>
        <v>0</v>
      </c>
      <c r="F34" s="363"/>
      <c r="G34" s="64"/>
      <c r="H34" s="1034">
        <v>61</v>
      </c>
      <c r="I34" s="1034">
        <v>23</v>
      </c>
      <c r="N34" s="993"/>
      <c r="O34" s="26">
        <v>0</v>
      </c>
      <c r="P34" s="36"/>
      <c r="Q34" s="1234">
        <f t="shared" si="15"/>
        <v>0</v>
      </c>
      <c r="R34" s="1022">
        <f t="shared" si="2"/>
        <v>0</v>
      </c>
      <c r="S34" s="27">
        <f t="shared" si="3"/>
        <v>0</v>
      </c>
      <c r="T34" s="33"/>
      <c r="U34" s="1480"/>
      <c r="V34" s="1464"/>
      <c r="W34" s="1037"/>
      <c r="X34" s="1038">
        <v>0</v>
      </c>
      <c r="Y34" s="1"/>
      <c r="Z34" s="847"/>
      <c r="AA34" s="847"/>
      <c r="AB34" s="1025">
        <f t="shared" si="17"/>
        <v>0</v>
      </c>
      <c r="AC34" s="1039"/>
      <c r="AD34" s="1026">
        <f t="shared" si="18"/>
        <v>712.6105597799999</v>
      </c>
      <c r="AE34" s="1026">
        <f t="shared" si="11"/>
        <v>175290.53256609</v>
      </c>
      <c r="AF34" s="1040">
        <f t="shared" si="16"/>
        <v>176003.14312587</v>
      </c>
      <c r="AG34" s="1414"/>
      <c r="AH34" s="1414"/>
      <c r="AI34" s="1310"/>
      <c r="AJ34" s="1310"/>
      <c r="AK34" s="1320">
        <f t="shared" si="4"/>
        <v>0</v>
      </c>
      <c r="AL34" s="1312">
        <f t="shared" si="19"/>
        <v>1534.6804153455851</v>
      </c>
      <c r="AM34" s="1312">
        <f t="shared" si="19"/>
        <v>91942.763486654381</v>
      </c>
      <c r="AN34" s="1007"/>
      <c r="AO34" s="1476">
        <v>0</v>
      </c>
      <c r="AP34" s="1414"/>
      <c r="AQ34" s="987"/>
      <c r="AR34" s="310">
        <f t="shared" si="13"/>
        <v>0</v>
      </c>
      <c r="AS34" s="998"/>
      <c r="AT34" s="4">
        <v>0</v>
      </c>
      <c r="AU34" s="64">
        <v>0</v>
      </c>
      <c r="AV34" s="64">
        <v>0</v>
      </c>
      <c r="AW34" s="64">
        <v>0</v>
      </c>
      <c r="AX34" s="482">
        <v>0</v>
      </c>
      <c r="AZ34" s="987"/>
      <c r="BA34" s="987"/>
      <c r="BB34" s="987"/>
      <c r="BC34" s="987"/>
      <c r="BD34" s="987"/>
      <c r="BE34" s="847"/>
      <c r="BF34" s="310"/>
      <c r="BG34" s="310"/>
      <c r="BH34" s="310"/>
      <c r="BI34" s="310"/>
      <c r="BJ34" s="1041">
        <f>'February TCM'!LN32</f>
        <v>6.3</v>
      </c>
      <c r="BK34" s="1042"/>
      <c r="BL34" s="1"/>
      <c r="BM34" s="1032">
        <f t="shared" si="5"/>
        <v>5362.1700976048232</v>
      </c>
      <c r="BN34" s="1"/>
      <c r="BO34" s="1"/>
      <c r="BP34" s="1"/>
      <c r="BQ34" s="1"/>
      <c r="BR34" s="1"/>
      <c r="BS34" s="1"/>
      <c r="BT34" s="1"/>
      <c r="BU34" s="1"/>
      <c r="BV34" s="1"/>
      <c r="BW34" s="1"/>
      <c r="BX34" s="1"/>
      <c r="BY34" s="1"/>
      <c r="BZ34" s="1"/>
      <c r="CA34" s="1"/>
      <c r="CB34" s="1"/>
      <c r="CC34" s="1"/>
      <c r="CD34" s="1"/>
      <c r="CE34" s="1"/>
      <c r="CG34" s="1033">
        <v>23</v>
      </c>
      <c r="CH34" s="1">
        <f t="shared" si="6"/>
        <v>0</v>
      </c>
      <c r="CK34" s="412">
        <v>23</v>
      </c>
      <c r="CL34" s="1">
        <f t="shared" si="7"/>
        <v>0</v>
      </c>
    </row>
    <row r="35" spans="2:90">
      <c r="B35" s="989">
        <v>24</v>
      </c>
      <c r="C35" s="5">
        <f t="shared" si="14"/>
        <v>10673</v>
      </c>
      <c r="D35" s="488">
        <f t="shared" si="8"/>
        <v>45.84</v>
      </c>
      <c r="E35" s="15">
        <f t="shared" si="0"/>
        <v>232.83158813263523</v>
      </c>
      <c r="F35" s="363"/>
      <c r="G35" s="64"/>
      <c r="H35" s="1034">
        <v>10</v>
      </c>
      <c r="I35" s="1034">
        <v>13.58</v>
      </c>
      <c r="N35" s="993"/>
      <c r="O35" s="26">
        <v>10673</v>
      </c>
      <c r="P35" s="36"/>
      <c r="Q35" s="1234">
        <f t="shared" si="15"/>
        <v>45.84</v>
      </c>
      <c r="R35" s="1022">
        <f t="shared" si="2"/>
        <v>45.84</v>
      </c>
      <c r="S35" s="27">
        <f t="shared" si="3"/>
        <v>232.83158813263523</v>
      </c>
      <c r="T35" s="33"/>
      <c r="U35" s="1480">
        <v>45.84</v>
      </c>
      <c r="V35" s="1464"/>
      <c r="W35" s="1037"/>
      <c r="X35" s="1038">
        <v>0</v>
      </c>
      <c r="Y35" s="1"/>
      <c r="Z35" s="847"/>
      <c r="AA35" s="847"/>
      <c r="AB35" s="1025">
        <f t="shared" si="17"/>
        <v>0</v>
      </c>
      <c r="AC35" s="1039"/>
      <c r="AD35" s="1026">
        <f t="shared" si="18"/>
        <v>712.6105597799999</v>
      </c>
      <c r="AE35" s="1026">
        <f t="shared" si="11"/>
        <v>176409.35256609</v>
      </c>
      <c r="AF35" s="1040">
        <f t="shared" si="16"/>
        <v>177121.96312587001</v>
      </c>
      <c r="AG35" s="1414"/>
      <c r="AH35" s="1414"/>
      <c r="AI35" s="1310"/>
      <c r="AJ35" s="1310"/>
      <c r="AK35" s="1320">
        <f t="shared" si="4"/>
        <v>0</v>
      </c>
      <c r="AL35" s="1312">
        <f t="shared" si="19"/>
        <v>1534.6804153455851</v>
      </c>
      <c r="AM35" s="1312">
        <f t="shared" si="19"/>
        <v>90869.783486654385</v>
      </c>
      <c r="AN35" s="1007"/>
      <c r="AO35" s="1476">
        <v>1072.98</v>
      </c>
      <c r="AP35" s="1414"/>
      <c r="AQ35" s="987"/>
      <c r="AR35" s="310">
        <f t="shared" si="13"/>
        <v>0</v>
      </c>
      <c r="AS35" s="998"/>
      <c r="AT35" s="4">
        <v>0</v>
      </c>
      <c r="AU35" s="64">
        <v>0</v>
      </c>
      <c r="AV35" s="64">
        <v>0</v>
      </c>
      <c r="AW35" s="64">
        <v>0</v>
      </c>
      <c r="AX35" s="482">
        <v>0</v>
      </c>
      <c r="AZ35" s="987"/>
      <c r="BA35" s="987"/>
      <c r="BB35" s="987"/>
      <c r="BC35" s="987"/>
      <c r="BD35" s="987"/>
      <c r="BE35" s="310"/>
      <c r="BF35" s="310"/>
      <c r="BG35" s="310"/>
      <c r="BH35" s="310"/>
      <c r="BI35" s="310"/>
      <c r="BJ35" s="1041">
        <f>'February TCM'!LN33</f>
        <v>6.42</v>
      </c>
      <c r="BK35" s="1042"/>
      <c r="BL35" s="1"/>
      <c r="BM35" s="1032">
        <f t="shared" si="5"/>
        <v>5362.1700976048232</v>
      </c>
      <c r="BN35" s="1"/>
      <c r="BO35" s="1"/>
      <c r="BP35" s="1"/>
      <c r="BQ35" s="1"/>
      <c r="BR35" s="1"/>
      <c r="BS35" s="1"/>
      <c r="BT35" s="1"/>
      <c r="BU35" s="1"/>
      <c r="BV35" s="1"/>
      <c r="BW35" s="1"/>
      <c r="BX35" s="1"/>
      <c r="BY35" s="1"/>
      <c r="BZ35" s="1"/>
      <c r="CA35" s="1"/>
      <c r="CB35" s="1"/>
      <c r="CC35" s="1"/>
      <c r="CD35" s="1"/>
      <c r="CE35" s="1"/>
      <c r="CG35" s="1033">
        <v>24</v>
      </c>
      <c r="CH35" s="1">
        <f t="shared" si="6"/>
        <v>45.84</v>
      </c>
      <c r="CI35" s="1050">
        <v>2602243449</v>
      </c>
      <c r="CJ35" s="1048"/>
      <c r="CK35" s="412">
        <v>24</v>
      </c>
      <c r="CL35" s="1">
        <f t="shared" si="7"/>
        <v>0</v>
      </c>
    </row>
    <row r="36" spans="2:90">
      <c r="B36" s="989">
        <v>25</v>
      </c>
      <c r="C36" s="5">
        <f t="shared" si="14"/>
        <v>21455</v>
      </c>
      <c r="D36" s="488">
        <f t="shared" si="8"/>
        <v>864.74</v>
      </c>
      <c r="E36" s="1051">
        <f t="shared" si="0"/>
        <v>24.810925827416334</v>
      </c>
      <c r="F36" s="363"/>
      <c r="G36" s="64"/>
      <c r="H36" s="1034"/>
      <c r="I36" s="1034"/>
      <c r="N36" s="993"/>
      <c r="O36" s="26">
        <v>21455</v>
      </c>
      <c r="P36" s="36"/>
      <c r="Q36" s="1234">
        <f t="shared" si="15"/>
        <v>864.74</v>
      </c>
      <c r="R36" s="1022">
        <f t="shared" si="2"/>
        <v>864.74</v>
      </c>
      <c r="S36" s="53">
        <f t="shared" si="3"/>
        <v>24.810925827416334</v>
      </c>
      <c r="T36" s="33"/>
      <c r="U36" s="1480">
        <v>864.74</v>
      </c>
      <c r="V36" s="1464"/>
      <c r="W36" s="1037"/>
      <c r="X36" s="1038">
        <v>403</v>
      </c>
      <c r="Y36" s="1"/>
      <c r="Z36" s="847"/>
      <c r="AA36" s="847"/>
      <c r="AB36" s="1025">
        <f t="shared" si="17"/>
        <v>0</v>
      </c>
      <c r="AC36" s="1039"/>
      <c r="AD36" s="1026">
        <f t="shared" si="18"/>
        <v>712.6105597799999</v>
      </c>
      <c r="AE36" s="1026">
        <f t="shared" si="11"/>
        <v>177678.91256609</v>
      </c>
      <c r="AF36" s="1040">
        <f t="shared" si="16"/>
        <v>178391.52312587001</v>
      </c>
      <c r="AG36" s="1414"/>
      <c r="AH36" s="1414"/>
      <c r="AI36" s="1310"/>
      <c r="AJ36" s="1310"/>
      <c r="AK36" s="1320">
        <f t="shared" si="4"/>
        <v>0</v>
      </c>
      <c r="AL36" s="1312">
        <f t="shared" si="19"/>
        <v>1534.6804153455851</v>
      </c>
      <c r="AM36" s="1312">
        <f t="shared" si="19"/>
        <v>90464.963486654378</v>
      </c>
      <c r="AN36" s="1007"/>
      <c r="AO36" s="1476">
        <v>404.82</v>
      </c>
      <c r="AP36" s="1414"/>
      <c r="AQ36" s="987"/>
      <c r="AR36" s="310">
        <f t="shared" si="13"/>
        <v>0</v>
      </c>
      <c r="AS36" s="998"/>
      <c r="AT36" s="4">
        <v>0</v>
      </c>
      <c r="AU36" s="64">
        <v>0</v>
      </c>
      <c r="AV36" s="64">
        <v>0</v>
      </c>
      <c r="AW36" s="64">
        <v>0</v>
      </c>
      <c r="AX36" s="482">
        <v>0</v>
      </c>
      <c r="AZ36" s="987"/>
      <c r="BA36" s="987"/>
      <c r="BB36" s="987"/>
      <c r="BC36" s="987"/>
      <c r="BD36" s="987"/>
      <c r="BE36" s="310"/>
      <c r="BF36" s="310"/>
      <c r="BG36" s="310"/>
      <c r="BH36" s="310"/>
      <c r="BI36" s="310"/>
      <c r="BJ36" s="1041">
        <f>'February TCM'!LN34</f>
        <v>6.41</v>
      </c>
      <c r="BK36" s="1042"/>
      <c r="BL36" s="1"/>
      <c r="BM36" s="1032">
        <f t="shared" si="5"/>
        <v>5362.1700976048232</v>
      </c>
      <c r="BN36" s="1"/>
      <c r="BO36" s="1"/>
      <c r="BP36" s="1"/>
      <c r="BQ36" s="1"/>
      <c r="BR36" s="1"/>
      <c r="BS36" s="1"/>
      <c r="BT36" s="1"/>
      <c r="BU36" s="1"/>
      <c r="BV36" s="1"/>
      <c r="BW36" s="1"/>
      <c r="BX36" s="1"/>
      <c r="BY36" s="1"/>
      <c r="BZ36" s="1"/>
      <c r="CA36" s="1"/>
      <c r="CB36" s="1"/>
      <c r="CC36" s="1"/>
      <c r="CD36" s="1"/>
      <c r="CE36" s="1"/>
      <c r="CG36" s="1033">
        <v>25</v>
      </c>
      <c r="CH36" s="1">
        <f t="shared" si="6"/>
        <v>864.74</v>
      </c>
      <c r="CI36">
        <v>2602253509</v>
      </c>
      <c r="CK36" s="412">
        <v>25</v>
      </c>
      <c r="CL36" s="1">
        <f t="shared" si="7"/>
        <v>0</v>
      </c>
    </row>
    <row r="37" spans="2:90">
      <c r="B37" s="989">
        <v>26</v>
      </c>
      <c r="C37" s="5">
        <f t="shared" si="14"/>
        <v>24028</v>
      </c>
      <c r="D37" s="488">
        <f t="shared" si="8"/>
        <v>666.1</v>
      </c>
      <c r="E37" s="1051">
        <f t="shared" si="0"/>
        <v>36.072661762498122</v>
      </c>
      <c r="F37" s="363"/>
      <c r="G37" s="64"/>
      <c r="H37" s="1034">
        <v>3</v>
      </c>
      <c r="I37" s="1034">
        <v>2.48</v>
      </c>
      <c r="N37" s="993"/>
      <c r="O37" s="26">
        <v>24028</v>
      </c>
      <c r="P37" s="36"/>
      <c r="Q37" s="1234">
        <f t="shared" si="15"/>
        <v>666.1</v>
      </c>
      <c r="R37" s="1022">
        <f t="shared" si="2"/>
        <v>666.1</v>
      </c>
      <c r="S37" s="53">
        <f t="shared" si="3"/>
        <v>36.072661762498122</v>
      </c>
      <c r="T37" s="33"/>
      <c r="U37" s="1480">
        <v>666.1</v>
      </c>
      <c r="V37" s="1464"/>
      <c r="W37" s="1037"/>
      <c r="X37" s="1038">
        <v>2410</v>
      </c>
      <c r="Y37" s="1"/>
      <c r="Z37" s="847"/>
      <c r="AA37" s="847"/>
      <c r="AB37" s="1025">
        <f t="shared" si="17"/>
        <v>0</v>
      </c>
      <c r="AC37" s="1039"/>
      <c r="AD37" s="1026">
        <f t="shared" si="18"/>
        <v>712.6105597799999</v>
      </c>
      <c r="AE37" s="1026">
        <f t="shared" si="11"/>
        <v>179516.89256609001</v>
      </c>
      <c r="AF37" s="1040">
        <f t="shared" si="16"/>
        <v>180229.50312587002</v>
      </c>
      <c r="AG37" s="1414"/>
      <c r="AH37" s="1414"/>
      <c r="AI37" s="1310"/>
      <c r="AJ37" s="1310"/>
      <c r="AK37" s="1320">
        <f t="shared" si="4"/>
        <v>0</v>
      </c>
      <c r="AL37" s="1312">
        <f t="shared" si="19"/>
        <v>1534.6804153455851</v>
      </c>
      <c r="AM37" s="1312">
        <f t="shared" si="19"/>
        <v>89293.083486654374</v>
      </c>
      <c r="AN37" s="1007"/>
      <c r="AO37" s="1476">
        <v>1171.8800000000001</v>
      </c>
      <c r="AP37" s="1414"/>
      <c r="AQ37" s="987"/>
      <c r="AR37" s="310">
        <f t="shared" si="13"/>
        <v>0</v>
      </c>
      <c r="AS37" s="998"/>
      <c r="AT37" s="4">
        <v>0</v>
      </c>
      <c r="AU37" s="64">
        <v>0</v>
      </c>
      <c r="AV37" s="64">
        <v>0</v>
      </c>
      <c r="AW37" s="64">
        <v>0</v>
      </c>
      <c r="AX37" s="482">
        <v>0</v>
      </c>
      <c r="AZ37" s="987"/>
      <c r="BA37" s="987"/>
      <c r="BB37" s="987"/>
      <c r="BC37" s="987"/>
      <c r="BD37" s="987"/>
      <c r="BE37" s="310"/>
      <c r="BF37" s="310"/>
      <c r="BG37" s="310"/>
      <c r="BH37" s="310"/>
      <c r="BI37" s="310"/>
      <c r="BJ37" s="1041">
        <f>'February TCM'!LN35</f>
        <v>6.65</v>
      </c>
      <c r="BK37" s="1052"/>
      <c r="BL37" s="857"/>
      <c r="BM37" s="1032">
        <f t="shared" si="5"/>
        <v>5362.1700976048232</v>
      </c>
      <c r="BN37" s="857"/>
      <c r="BO37" s="857"/>
      <c r="BP37" s="857"/>
      <c r="BQ37" s="857"/>
      <c r="BR37" s="857"/>
      <c r="BS37" s="857"/>
      <c r="BT37" s="857"/>
      <c r="BU37" s="857"/>
      <c r="BV37" s="857"/>
      <c r="BW37" s="857"/>
      <c r="BX37" s="857"/>
      <c r="BY37" s="857"/>
      <c r="BZ37" s="857"/>
      <c r="CA37" s="857"/>
      <c r="CB37" s="857"/>
      <c r="CC37" s="857"/>
      <c r="CD37" s="857"/>
      <c r="CE37" s="857"/>
      <c r="CG37" s="1033">
        <v>26</v>
      </c>
      <c r="CH37" s="1">
        <f t="shared" si="6"/>
        <v>666.1</v>
      </c>
      <c r="CI37" s="1048">
        <v>2602263688</v>
      </c>
      <c r="CJ37" s="1048"/>
      <c r="CK37" s="412">
        <v>26</v>
      </c>
      <c r="CL37" s="1">
        <f t="shared" si="7"/>
        <v>0</v>
      </c>
    </row>
    <row r="38" spans="2:90">
      <c r="B38" s="989">
        <v>27</v>
      </c>
      <c r="C38" s="5">
        <v>12776</v>
      </c>
      <c r="D38" s="488">
        <f t="shared" si="8"/>
        <v>668.7</v>
      </c>
      <c r="E38" s="1051">
        <f t="shared" si="0"/>
        <v>19.105727531030357</v>
      </c>
      <c r="F38" s="363"/>
      <c r="G38" s="64"/>
      <c r="H38" s="1034">
        <v>17</v>
      </c>
      <c r="I38" s="1034">
        <v>9.5</v>
      </c>
      <c r="N38" s="993"/>
      <c r="O38" s="26">
        <v>12776</v>
      </c>
      <c r="P38" s="36"/>
      <c r="Q38" s="1234">
        <f t="shared" si="15"/>
        <v>668.7</v>
      </c>
      <c r="R38" s="1022">
        <f t="shared" si="2"/>
        <v>668.7</v>
      </c>
      <c r="S38" s="53">
        <f t="shared" si="3"/>
        <v>19.105727531030357</v>
      </c>
      <c r="T38" s="33"/>
      <c r="U38" s="1480">
        <v>668.7</v>
      </c>
      <c r="V38" s="1464"/>
      <c r="W38" s="1037"/>
      <c r="X38" s="1038">
        <v>0</v>
      </c>
      <c r="Y38" s="1"/>
      <c r="Z38" s="847"/>
      <c r="AA38" s="847"/>
      <c r="AB38" s="1025">
        <f t="shared" si="17"/>
        <v>0</v>
      </c>
      <c r="AC38" s="1039"/>
      <c r="AD38" s="1026">
        <f t="shared" si="18"/>
        <v>712.6105597799999</v>
      </c>
      <c r="AE38" s="1026">
        <f t="shared" si="11"/>
        <v>180569.87256609002</v>
      </c>
      <c r="AF38" s="1040">
        <f t="shared" si="16"/>
        <v>181282.48312587003</v>
      </c>
      <c r="AG38" s="1414"/>
      <c r="AH38" s="1414"/>
      <c r="AI38" s="1310"/>
      <c r="AJ38" s="1310"/>
      <c r="AK38" s="1320">
        <f t="shared" si="4"/>
        <v>0</v>
      </c>
      <c r="AL38" s="1312">
        <f t="shared" si="19"/>
        <v>1534.6804153455851</v>
      </c>
      <c r="AM38" s="1312">
        <f t="shared" si="19"/>
        <v>88908.803486654375</v>
      </c>
      <c r="AN38" s="1007"/>
      <c r="AO38" s="1483">
        <v>384.28</v>
      </c>
      <c r="AP38" s="1414"/>
      <c r="AQ38" s="987"/>
      <c r="AR38" s="310">
        <f t="shared" si="13"/>
        <v>0</v>
      </c>
      <c r="AS38" s="998"/>
      <c r="AT38" s="4">
        <v>0</v>
      </c>
      <c r="AU38" s="64">
        <v>0</v>
      </c>
      <c r="AV38" s="64">
        <v>0</v>
      </c>
      <c r="AW38" s="64">
        <v>0</v>
      </c>
      <c r="AX38" s="482">
        <v>0</v>
      </c>
      <c r="AZ38" s="987"/>
      <c r="BA38" s="987"/>
      <c r="BB38" s="987"/>
      <c r="BC38" s="987"/>
      <c r="BD38" s="987"/>
      <c r="BE38" s="310"/>
      <c r="BF38" s="310"/>
      <c r="BG38" s="310"/>
      <c r="BH38" s="310"/>
      <c r="BI38" s="310"/>
      <c r="BJ38" s="1041">
        <f>'February TCM'!LN36</f>
        <v>6.65</v>
      </c>
      <c r="BK38" s="1053"/>
      <c r="BL38" s="857"/>
      <c r="BM38" s="1032">
        <f t="shared" si="5"/>
        <v>5362.1700976048232</v>
      </c>
      <c r="BN38" s="857"/>
      <c r="BO38" s="857"/>
      <c r="BP38" s="857"/>
      <c r="BQ38" s="857"/>
      <c r="BR38" s="857"/>
      <c r="BS38" s="857"/>
      <c r="BT38" s="857"/>
      <c r="BU38" s="857"/>
      <c r="BV38" s="857"/>
      <c r="BW38" s="857"/>
      <c r="BX38" s="857"/>
      <c r="BY38" s="857"/>
      <c r="BZ38" s="857"/>
      <c r="CA38" s="857"/>
      <c r="CB38" s="857"/>
      <c r="CC38" s="857"/>
      <c r="CD38" s="857"/>
      <c r="CE38" s="857"/>
      <c r="CG38" s="1033">
        <v>27</v>
      </c>
      <c r="CH38" s="1">
        <f t="shared" si="6"/>
        <v>668.7</v>
      </c>
      <c r="CI38" s="1048">
        <v>2602273894</v>
      </c>
      <c r="CJ38" s="1048"/>
      <c r="CK38" s="412">
        <v>27</v>
      </c>
      <c r="CL38" s="1">
        <f t="shared" si="7"/>
        <v>0</v>
      </c>
    </row>
    <row r="39" spans="2:90">
      <c r="B39" s="989">
        <v>28</v>
      </c>
      <c r="C39" s="5">
        <f t="shared" si="14"/>
        <v>9366</v>
      </c>
      <c r="D39" s="488">
        <f t="shared" si="8"/>
        <v>1102.02</v>
      </c>
      <c r="E39" s="1051">
        <f t="shared" si="0"/>
        <v>8.4989383132792504</v>
      </c>
      <c r="F39" s="363"/>
      <c r="G39" s="64"/>
      <c r="H39" s="1034">
        <v>16</v>
      </c>
      <c r="I39" s="1034">
        <v>10.42</v>
      </c>
      <c r="N39" s="993"/>
      <c r="O39" s="26">
        <v>9366</v>
      </c>
      <c r="P39" s="36"/>
      <c r="Q39" s="1234">
        <f t="shared" si="15"/>
        <v>1102.02</v>
      </c>
      <c r="R39" s="1022">
        <f t="shared" si="2"/>
        <v>1102.02</v>
      </c>
      <c r="S39" s="53">
        <f t="shared" si="3"/>
        <v>8.4989383132792504</v>
      </c>
      <c r="T39" s="33"/>
      <c r="U39" s="1480">
        <v>1102.02</v>
      </c>
      <c r="V39" s="1464"/>
      <c r="W39" s="1037"/>
      <c r="X39" s="1038">
        <v>0</v>
      </c>
      <c r="Y39" s="1"/>
      <c r="Z39" s="847"/>
      <c r="AA39" s="847"/>
      <c r="AB39" s="1025">
        <f t="shared" si="17"/>
        <v>0</v>
      </c>
      <c r="AC39" s="1039"/>
      <c r="AD39" s="1026">
        <f t="shared" si="18"/>
        <v>712.6105597799999</v>
      </c>
      <c r="AE39" s="1026">
        <f t="shared" si="11"/>
        <v>181671.89256609001</v>
      </c>
      <c r="AF39" s="1040">
        <f t="shared" si="16"/>
        <v>182384.50312587002</v>
      </c>
      <c r="AG39" s="1414"/>
      <c r="AH39" s="1414"/>
      <c r="AI39" s="1310"/>
      <c r="AJ39" s="1310"/>
      <c r="AK39" s="1320">
        <f t="shared" si="4"/>
        <v>0</v>
      </c>
      <c r="AL39" s="1312">
        <f t="shared" si="19"/>
        <v>1534.6804153455851</v>
      </c>
      <c r="AM39" s="1312">
        <f t="shared" si="19"/>
        <v>88908.803486654375</v>
      </c>
      <c r="AN39" s="1007"/>
      <c r="AO39" s="1476"/>
      <c r="AP39" s="1414"/>
      <c r="AQ39" s="987"/>
      <c r="AR39" s="310">
        <f t="shared" si="13"/>
        <v>0</v>
      </c>
      <c r="AS39" s="998"/>
      <c r="AT39" s="4">
        <v>0</v>
      </c>
      <c r="AU39" s="64">
        <v>0</v>
      </c>
      <c r="AV39" s="64">
        <v>0</v>
      </c>
      <c r="AW39" s="64">
        <v>0</v>
      </c>
      <c r="AX39" s="482">
        <v>0</v>
      </c>
      <c r="AZ39" s="987"/>
      <c r="BA39" s="987"/>
      <c r="BB39" s="987"/>
      <c r="BC39" s="987"/>
      <c r="BD39" s="987"/>
      <c r="BE39" s="310"/>
      <c r="BF39" s="310"/>
      <c r="BG39" s="310"/>
      <c r="BH39" s="310"/>
      <c r="BI39" s="310"/>
      <c r="BJ39" s="1041">
        <v>6.6</v>
      </c>
      <c r="BK39" s="1042"/>
      <c r="BL39" s="1"/>
      <c r="BM39" s="1032">
        <f t="shared" si="5"/>
        <v>5362.1700976048232</v>
      </c>
      <c r="BN39" s="1"/>
      <c r="BO39" s="1"/>
      <c r="BP39" s="1"/>
      <c r="BQ39" s="1"/>
      <c r="BR39" s="1"/>
      <c r="BS39" s="1"/>
      <c r="BT39" s="1"/>
      <c r="BU39" s="1"/>
      <c r="BV39" s="1"/>
      <c r="BW39" s="1"/>
      <c r="BX39" s="1"/>
      <c r="BY39" s="1"/>
      <c r="BZ39" s="1"/>
      <c r="CA39" s="1"/>
      <c r="CB39" s="1"/>
      <c r="CC39" s="1"/>
      <c r="CD39" s="1"/>
      <c r="CE39" s="1"/>
      <c r="CG39" s="1033">
        <v>28</v>
      </c>
      <c r="CH39" s="1">
        <f t="shared" si="6"/>
        <v>1102.02</v>
      </c>
      <c r="CI39" s="1045">
        <v>2602284018</v>
      </c>
      <c r="CK39" s="412">
        <v>28</v>
      </c>
      <c r="CL39" s="1">
        <f t="shared" si="7"/>
        <v>0</v>
      </c>
    </row>
    <row r="40" spans="2:90">
      <c r="B40" s="989">
        <v>29</v>
      </c>
      <c r="C40" s="5">
        <f t="shared" si="14"/>
        <v>0</v>
      </c>
      <c r="D40" s="488">
        <f t="shared" si="8"/>
        <v>0</v>
      </c>
      <c r="E40" s="1051">
        <f t="shared" si="0"/>
        <v>0</v>
      </c>
      <c r="F40" s="363"/>
      <c r="G40" s="64"/>
      <c r="H40" s="1034"/>
      <c r="I40" s="1034"/>
      <c r="N40" s="993"/>
      <c r="O40" s="26"/>
      <c r="P40" s="36"/>
      <c r="Q40" s="1234">
        <f t="shared" si="15"/>
        <v>0</v>
      </c>
      <c r="R40" s="1022">
        <f t="shared" si="2"/>
        <v>0</v>
      </c>
      <c r="S40" s="53">
        <f t="shared" si="3"/>
        <v>0</v>
      </c>
      <c r="T40" s="33"/>
      <c r="U40" s="1480"/>
      <c r="V40" s="1464"/>
      <c r="W40" s="1037"/>
      <c r="X40" s="1038"/>
      <c r="Y40" s="1"/>
      <c r="Z40" s="847"/>
      <c r="AA40" s="847"/>
      <c r="AB40" s="1025">
        <f t="shared" si="17"/>
        <v>0</v>
      </c>
      <c r="AC40" s="1039"/>
      <c r="AD40" s="1026">
        <f t="shared" si="18"/>
        <v>712.6105597799999</v>
      </c>
      <c r="AE40" s="1026">
        <f t="shared" si="11"/>
        <v>181671.89256609001</v>
      </c>
      <c r="AF40" s="1040">
        <f t="shared" si="16"/>
        <v>182384.50312587002</v>
      </c>
      <c r="AG40" s="1414"/>
      <c r="AH40" s="1414"/>
      <c r="AI40" s="1310"/>
      <c r="AJ40" s="1310"/>
      <c r="AK40" s="1320">
        <f t="shared" si="4"/>
        <v>0</v>
      </c>
      <c r="AL40" s="1312">
        <f t="shared" si="19"/>
        <v>1534.6804153455851</v>
      </c>
      <c r="AM40" s="1312">
        <f t="shared" si="19"/>
        <v>88908.803486654375</v>
      </c>
      <c r="AN40" s="1007"/>
      <c r="AO40" s="1476"/>
      <c r="AP40" s="1414"/>
      <c r="AQ40" s="987"/>
      <c r="AR40" s="310">
        <f t="shared" si="13"/>
        <v>0</v>
      </c>
      <c r="AS40" s="998"/>
      <c r="AT40" s="845">
        <v>0</v>
      </c>
      <c r="AU40" s="64">
        <v>0</v>
      </c>
      <c r="AV40" s="64">
        <v>0</v>
      </c>
      <c r="AW40" s="64">
        <v>0</v>
      </c>
      <c r="AX40" s="482">
        <v>0</v>
      </c>
      <c r="AZ40" s="987"/>
      <c r="BA40" s="987"/>
      <c r="BB40" s="987"/>
      <c r="BC40" s="987"/>
      <c r="BD40" s="987"/>
      <c r="BE40" s="310"/>
      <c r="BF40" s="310"/>
      <c r="BG40" s="310"/>
      <c r="BH40" s="310"/>
      <c r="BI40" s="310"/>
      <c r="BJ40" s="1041">
        <f>'February TCM'!LN38</f>
        <v>0</v>
      </c>
      <c r="BK40" s="1042"/>
      <c r="BL40" s="1"/>
      <c r="BM40" s="1032">
        <f t="shared" si="5"/>
        <v>5362.1700976048232</v>
      </c>
      <c r="BN40" s="1"/>
      <c r="BO40" s="1"/>
      <c r="BP40" s="1"/>
      <c r="BQ40" s="1"/>
      <c r="BR40" s="1"/>
      <c r="BS40" s="1"/>
      <c r="BT40" s="1"/>
      <c r="BU40" s="1"/>
      <c r="BV40" s="1"/>
      <c r="BW40" s="1"/>
      <c r="BX40" s="1"/>
      <c r="BY40" s="1"/>
      <c r="BZ40" s="1"/>
      <c r="CA40" s="1"/>
      <c r="CB40" s="1"/>
      <c r="CC40" s="1"/>
      <c r="CD40" s="1"/>
      <c r="CE40" s="1"/>
      <c r="CG40" s="1033">
        <v>29</v>
      </c>
      <c r="CH40" s="1">
        <f t="shared" si="6"/>
        <v>0</v>
      </c>
      <c r="CK40" s="412">
        <v>29</v>
      </c>
      <c r="CL40" s="1">
        <f t="shared" si="7"/>
        <v>0</v>
      </c>
    </row>
    <row r="41" spans="2:90">
      <c r="B41" s="990">
        <v>30</v>
      </c>
      <c r="C41" s="5">
        <f t="shared" si="14"/>
        <v>0</v>
      </c>
      <c r="D41" s="488">
        <f t="shared" si="8"/>
        <v>0</v>
      </c>
      <c r="E41" s="1051">
        <f t="shared" si="0"/>
        <v>0</v>
      </c>
      <c r="F41" s="845"/>
      <c r="G41" s="64"/>
      <c r="H41" s="1034"/>
      <c r="I41" s="1034"/>
      <c r="N41" s="1054"/>
      <c r="O41" s="26"/>
      <c r="P41" s="36"/>
      <c r="Q41" s="1234">
        <f t="shared" si="15"/>
        <v>0</v>
      </c>
      <c r="R41" s="1022">
        <f t="shared" si="2"/>
        <v>0</v>
      </c>
      <c r="S41" s="53">
        <f t="shared" si="3"/>
        <v>0</v>
      </c>
      <c r="T41" s="33"/>
      <c r="U41" s="1480"/>
      <c r="V41" s="1464"/>
      <c r="W41" s="1037"/>
      <c r="X41" s="1038"/>
      <c r="Y41" s="1"/>
      <c r="Z41" s="847"/>
      <c r="AA41" s="847"/>
      <c r="AB41" s="1025">
        <f t="shared" si="17"/>
        <v>0</v>
      </c>
      <c r="AC41" s="1039"/>
      <c r="AD41" s="1026">
        <f t="shared" si="18"/>
        <v>712.6105597799999</v>
      </c>
      <c r="AE41" s="1026">
        <f t="shared" si="11"/>
        <v>181671.89256609001</v>
      </c>
      <c r="AF41" s="1040">
        <f t="shared" si="16"/>
        <v>182384.50312587002</v>
      </c>
      <c r="AG41" s="1414"/>
      <c r="AH41" s="1414"/>
      <c r="AI41" s="1310"/>
      <c r="AJ41" s="1310"/>
      <c r="AK41" s="1320">
        <f t="shared" si="4"/>
        <v>0</v>
      </c>
      <c r="AL41" s="1312">
        <f t="shared" si="19"/>
        <v>1534.6804153455851</v>
      </c>
      <c r="AM41" s="1312">
        <f t="shared" si="19"/>
        <v>88908.803486654375</v>
      </c>
      <c r="AN41" s="1007"/>
      <c r="AO41" s="1476"/>
      <c r="AP41" s="1414"/>
      <c r="AQ41" s="987"/>
      <c r="AR41" s="310">
        <f t="shared" si="13"/>
        <v>0</v>
      </c>
      <c r="AS41" s="998"/>
      <c r="AT41" s="4">
        <v>0</v>
      </c>
      <c r="AU41" s="64">
        <v>0</v>
      </c>
      <c r="AV41" s="64">
        <v>0</v>
      </c>
      <c r="AW41" s="64">
        <v>0</v>
      </c>
      <c r="AX41" s="482">
        <v>0</v>
      </c>
      <c r="AZ41" s="987"/>
      <c r="BA41" s="987"/>
      <c r="BB41" s="987"/>
      <c r="BC41" s="987"/>
      <c r="BD41" s="987"/>
      <c r="BE41" s="310"/>
      <c r="BF41" s="310"/>
      <c r="BG41" s="310"/>
      <c r="BH41" s="310"/>
      <c r="BI41" s="310"/>
      <c r="BJ41" s="1041">
        <f>'February TCM'!LN39</f>
        <v>0</v>
      </c>
      <c r="BK41" s="275"/>
      <c r="BL41" s="1"/>
      <c r="BM41" s="1032">
        <f t="shared" si="5"/>
        <v>5362.1700976048232</v>
      </c>
      <c r="BN41" s="1"/>
      <c r="BO41" s="1"/>
      <c r="BP41" s="1"/>
      <c r="BQ41" s="1"/>
      <c r="BR41" s="1"/>
      <c r="BS41" s="1"/>
      <c r="BT41" s="1"/>
      <c r="BU41" s="1"/>
      <c r="BV41" s="1"/>
      <c r="BW41" s="1"/>
      <c r="BX41" s="1"/>
      <c r="BY41" s="1"/>
      <c r="BZ41" s="72"/>
      <c r="CA41" s="72"/>
      <c r="CB41" s="72"/>
      <c r="CC41" s="72"/>
      <c r="CD41" s="72"/>
      <c r="CE41" s="72"/>
      <c r="CG41" s="1033">
        <v>30</v>
      </c>
      <c r="CH41" s="1">
        <f t="shared" si="6"/>
        <v>0</v>
      </c>
      <c r="CK41" s="412">
        <v>30</v>
      </c>
      <c r="CL41" s="1">
        <f t="shared" si="7"/>
        <v>0</v>
      </c>
    </row>
    <row r="42" spans="2:90" ht="15" thickBot="1">
      <c r="B42" s="990">
        <v>31</v>
      </c>
      <c r="C42" s="1450">
        <f t="shared" si="14"/>
        <v>0</v>
      </c>
      <c r="D42" s="7">
        <f t="shared" si="8"/>
        <v>0</v>
      </c>
      <c r="E42" s="1452">
        <f t="shared" si="0"/>
        <v>0</v>
      </c>
      <c r="F42" s="1453"/>
      <c r="G42" s="1454"/>
      <c r="H42" s="1455"/>
      <c r="I42" s="1455"/>
      <c r="J42" s="1456"/>
      <c r="K42" s="1457"/>
      <c r="L42" s="1457"/>
      <c r="M42" s="1457"/>
      <c r="N42" s="1458"/>
      <c r="O42" s="1459"/>
      <c r="P42" s="1460"/>
      <c r="Q42" s="1461">
        <f t="shared" si="15"/>
        <v>0</v>
      </c>
      <c r="R42" s="1462">
        <f t="shared" si="2"/>
        <v>0</v>
      </c>
      <c r="S42" s="1056">
        <f t="shared" si="3"/>
        <v>0</v>
      </c>
      <c r="T42" s="1057"/>
      <c r="U42" s="1482"/>
      <c r="V42" s="1470"/>
      <c r="W42" s="1058"/>
      <c r="X42" s="1055"/>
      <c r="Y42" s="1"/>
      <c r="Z42" s="1059"/>
      <c r="AA42" s="1059"/>
      <c r="AB42" s="1059">
        <f t="shared" si="17"/>
        <v>0</v>
      </c>
      <c r="AC42" s="1060"/>
      <c r="AD42" s="1026">
        <f t="shared" si="18"/>
        <v>712.6105597799999</v>
      </c>
      <c r="AE42" s="1026">
        <f t="shared" si="11"/>
        <v>181671.89256609001</v>
      </c>
      <c r="AF42" s="1061">
        <f t="shared" si="16"/>
        <v>182384.50312587002</v>
      </c>
      <c r="AG42" s="1414"/>
      <c r="AH42" s="1414"/>
      <c r="AI42" s="1311"/>
      <c r="AJ42" s="1311"/>
      <c r="AK42" s="1321">
        <f t="shared" si="4"/>
        <v>0</v>
      </c>
      <c r="AL42" s="1313">
        <f t="shared" si="19"/>
        <v>1534.6804153455851</v>
      </c>
      <c r="AM42" s="1313">
        <f t="shared" si="19"/>
        <v>88908.803486654375</v>
      </c>
      <c r="AN42" s="1377"/>
      <c r="AO42" s="1476"/>
      <c r="AP42" s="1414"/>
      <c r="AQ42" s="987"/>
      <c r="AR42" s="310">
        <f t="shared" si="13"/>
        <v>0</v>
      </c>
      <c r="AS42" s="1062"/>
      <c r="AT42" s="1063">
        <v>0</v>
      </c>
      <c r="AU42" s="65">
        <v>0</v>
      </c>
      <c r="AV42" s="65">
        <v>0</v>
      </c>
      <c r="AW42" s="65">
        <v>0</v>
      </c>
      <c r="AX42" s="1064">
        <v>0</v>
      </c>
      <c r="AZ42" s="987"/>
      <c r="BA42" s="987"/>
      <c r="BB42" s="987"/>
      <c r="BC42" s="987"/>
      <c r="BD42" s="987"/>
      <c r="BE42" s="332"/>
      <c r="BF42" s="332"/>
      <c r="BG42" s="332"/>
      <c r="BH42" s="332"/>
      <c r="BI42" s="332"/>
      <c r="BJ42" s="1041">
        <f>'February TCM'!LN40</f>
        <v>0</v>
      </c>
      <c r="BK42" s="332"/>
      <c r="BL42" s="1"/>
      <c r="BM42" s="1032">
        <f t="shared" si="5"/>
        <v>5362.1700976048232</v>
      </c>
      <c r="BN42" s="1"/>
      <c r="BO42" s="1"/>
      <c r="BP42" s="1"/>
      <c r="BQ42" s="1"/>
      <c r="BR42" s="1"/>
      <c r="BS42" s="1"/>
      <c r="BT42" s="1"/>
      <c r="BU42" s="1"/>
      <c r="BV42" s="1"/>
      <c r="BW42" s="1"/>
      <c r="BX42" s="1"/>
      <c r="BY42" s="1"/>
      <c r="BZ42" s="72"/>
      <c r="CA42" s="72"/>
      <c r="CB42" s="72"/>
      <c r="CC42" s="72"/>
      <c r="CD42" s="72"/>
      <c r="CE42" s="72"/>
      <c r="CG42" s="1033">
        <v>31</v>
      </c>
      <c r="CH42" s="1">
        <f t="shared" si="6"/>
        <v>0</v>
      </c>
      <c r="CK42" s="412">
        <v>31</v>
      </c>
      <c r="CL42" s="1">
        <f t="shared" si="7"/>
        <v>0</v>
      </c>
    </row>
    <row r="43" spans="2:90">
      <c r="B43" s="307" t="s">
        <v>206</v>
      </c>
      <c r="C43" s="72">
        <f>O43</f>
        <v>495508</v>
      </c>
      <c r="D43" s="95">
        <f>SUM(D12:D42)</f>
        <v>17538.059999999998</v>
      </c>
      <c r="E43" s="1065">
        <f>IFERROR(C43/D43,0)</f>
        <v>28.253295974583281</v>
      </c>
      <c r="H43" s="38">
        <f>SUM(H12:H42)</f>
        <v>396</v>
      </c>
      <c r="I43" s="38">
        <f>SUM(I12:I42)</f>
        <v>206.79999999999998</v>
      </c>
      <c r="O43" s="72">
        <f>SUM(O12:O42)</f>
        <v>495508</v>
      </c>
      <c r="P43" s="72">
        <f>SUM(P12:P42)</f>
        <v>0</v>
      </c>
      <c r="Q43" s="72">
        <f>SUM(Q12:Q42)</f>
        <v>17463.059999999998</v>
      </c>
      <c r="R43" s="72">
        <f>SUM(R12:R42)</f>
        <v>17463.059999999998</v>
      </c>
      <c r="S43" s="72">
        <f>IFERROR(O43/Q43,0)</f>
        <v>28.374637663731331</v>
      </c>
      <c r="T43" s="72"/>
      <c r="U43" s="307">
        <f>SUM(U12:U42)</f>
        <v>14429.98</v>
      </c>
      <c r="V43" s="307">
        <f>SUM(V12:V42)</f>
        <v>1863.6999999999998</v>
      </c>
      <c r="W43" s="364">
        <f>SUM(W12:W42)</f>
        <v>1169.3799999999999</v>
      </c>
      <c r="X43" s="364">
        <f>SUM(X12:X42)</f>
        <v>13273</v>
      </c>
      <c r="Y43" s="1"/>
      <c r="Z43" s="39">
        <f>SUM(Z12:Z42)</f>
        <v>0</v>
      </c>
      <c r="AA43" s="39">
        <f>SUM(AA12:AA42)</f>
        <v>0</v>
      </c>
      <c r="AB43" s="39">
        <f>SUM(AB12:AB42)</f>
        <v>0</v>
      </c>
      <c r="AC43" s="39">
        <f>+AC42</f>
        <v>0</v>
      </c>
      <c r="AD43" s="39">
        <f>+AD42</f>
        <v>712.6105597799999</v>
      </c>
      <c r="AE43" s="39">
        <f>+AE42</f>
        <v>181671.89256609001</v>
      </c>
      <c r="AF43" s="1066">
        <f>AF42</f>
        <v>182384.50312587002</v>
      </c>
      <c r="AG43" s="1066"/>
      <c r="AH43" s="1066"/>
      <c r="AI43" s="1066">
        <f>SUM(AI12:AI42)</f>
        <v>0</v>
      </c>
      <c r="AJ43" s="1362">
        <f>SUM(AJ12:AJ42)</f>
        <v>75</v>
      </c>
      <c r="AK43" s="1066">
        <f>SUM(AK12:AK42)</f>
        <v>75</v>
      </c>
      <c r="AL43" s="1066">
        <f>+AL42</f>
        <v>1534.6804153455851</v>
      </c>
      <c r="AM43" s="1066">
        <f>+AM42</f>
        <v>88908.803486654375</v>
      </c>
      <c r="AN43" s="1066"/>
      <c r="AO43" s="1376">
        <f>SUM(AO11:AO42)</f>
        <v>21112.95</v>
      </c>
      <c r="AP43" s="1066"/>
      <c r="AR43" s="72">
        <f>SUM(AR12:AR42)</f>
        <v>0</v>
      </c>
      <c r="AS43" s="72"/>
      <c r="AT43" s="72">
        <f>IFERROR(SUMPRODUCT((AT12:AT42&lt;&gt;"")*AT12:AT42,$AR$12:$AR$42)/SUMIFS($AR$12:$AR$42,AT12:AT42,"&gt;"&amp;0),0)</f>
        <v>0</v>
      </c>
      <c r="AU43" s="38">
        <f>IFERROR(SUMPRODUCT((AU12:AU42&lt;&gt;"")*AU12:AU42,$AR$12:$AR$42)/SUMIFS($AR$12:$AR$42,AU12:AU42,"&gt;"&amp;0),0)</f>
        <v>0</v>
      </c>
      <c r="AV43" s="38">
        <f>IFERROR(SUMPRODUCT((AV12:AV42&lt;&gt;"")*AV12:AV42,$AR$12:$AR$42)/SUMIFS($AR$12:$AR$42,AV12:AV42,"&gt;"&amp;0),0)</f>
        <v>0</v>
      </c>
      <c r="AW43" s="38">
        <f>IFERROR(SUMPRODUCT((AW12:AW42&lt;&gt;"")*AW12:AW42,$AR$12:$AR$42)/SUMIFS($AR$12:$AR$42,AW12:AW42,"&gt;"&amp;0),0)</f>
        <v>0</v>
      </c>
      <c r="AX43" s="38">
        <f>IFERROR(SUMPRODUCT((AX12:AX42&lt;&gt;"")*AX12:AX42,$AR$12:$AR$42)/SUMIFS($AR$12:$AR$42,AX12:AX42,"&gt;"&amp;0),0)</f>
        <v>0</v>
      </c>
      <c r="AY43" s="38"/>
      <c r="BE43" s="72">
        <f>SUM(BE12:BE42)</f>
        <v>0</v>
      </c>
      <c r="BF43" s="72">
        <f>SUM(BF12:BF42)</f>
        <v>0</v>
      </c>
      <c r="BG43" s="72">
        <f>SUM(BG12:BG42)</f>
        <v>0</v>
      </c>
      <c r="BH43" s="72">
        <f>SUM(BH12:BH42)</f>
        <v>0</v>
      </c>
      <c r="BI43" s="72">
        <f>SUM(BI12:BI42)</f>
        <v>0</v>
      </c>
      <c r="BJ43" s="38">
        <f>AVERAGE(BJ12:BJ42)</f>
        <v>5.4709677419354836</v>
      </c>
      <c r="BK43" s="72">
        <f>SUM(BK12:BK42)</f>
        <v>0</v>
      </c>
      <c r="BL43" s="1"/>
      <c r="BM43" s="72">
        <f>+BM42</f>
        <v>5362.1700976048232</v>
      </c>
      <c r="BN43" s="1"/>
      <c r="BO43" s="1"/>
      <c r="BP43" s="1"/>
      <c r="BQ43" s="1"/>
      <c r="BR43" s="1"/>
      <c r="BS43" s="1"/>
      <c r="BT43" s="1"/>
      <c r="BU43" s="1"/>
      <c r="BV43" s="1"/>
      <c r="BW43" s="1"/>
      <c r="BX43" s="1"/>
      <c r="BY43" s="1"/>
      <c r="BZ43" s="72"/>
      <c r="CA43" s="72"/>
      <c r="CB43" s="72"/>
      <c r="CC43" s="72"/>
      <c r="CD43" s="72"/>
      <c r="CE43" s="72"/>
      <c r="CI43" s="281"/>
    </row>
    <row r="44" spans="2:90">
      <c r="B44" s="307" t="s">
        <v>207</v>
      </c>
      <c r="C44" s="364">
        <f>O44</f>
        <v>473133.8652</v>
      </c>
      <c r="D44" s="412">
        <f>D43</f>
        <v>17538.059999999998</v>
      </c>
      <c r="E44" s="347">
        <f>IFERROR(C44/D44,0)</f>
        <v>26.977548554401118</v>
      </c>
      <c r="H44" s="307">
        <f>H43</f>
        <v>396</v>
      </c>
      <c r="I44" s="364">
        <f>I43</f>
        <v>206.79999999999998</v>
      </c>
      <c r="O44" s="1474">
        <v>473133.8652</v>
      </c>
      <c r="P44" s="95">
        <f>P43</f>
        <v>0</v>
      </c>
      <c r="Q44" s="95">
        <f>Q43</f>
        <v>17463.059999999998</v>
      </c>
      <c r="R44" s="95">
        <f>R43</f>
        <v>17463.059999999998</v>
      </c>
      <c r="S44" s="1067">
        <f>IFERROR(O44/Q44,0)</f>
        <v>27.093411189104319</v>
      </c>
      <c r="U44" s="1068">
        <f>U43</f>
        <v>14429.98</v>
      </c>
      <c r="V44" s="1068">
        <f>V43</f>
        <v>1863.6999999999998</v>
      </c>
      <c r="W44" s="1068">
        <f>W43</f>
        <v>1169.3799999999999</v>
      </c>
      <c r="X44" s="1068">
        <v>12641.909599999999</v>
      </c>
      <c r="Y44" s="1"/>
      <c r="Z44" s="1068">
        <f t="shared" ref="Z44:AC44" si="20">Z43</f>
        <v>0</v>
      </c>
      <c r="AA44" s="1068">
        <f t="shared" si="20"/>
        <v>0</v>
      </c>
      <c r="AB44" s="1068">
        <f t="shared" si="20"/>
        <v>0</v>
      </c>
      <c r="AC44" s="1068">
        <f t="shared" si="20"/>
        <v>0</v>
      </c>
      <c r="AD44" s="1370">
        <v>712.6105597799999</v>
      </c>
      <c r="AE44" s="1068">
        <v>179147.22495408001</v>
      </c>
      <c r="AF44" s="1066">
        <f>AD44+AE44</f>
        <v>179859.83551386002</v>
      </c>
      <c r="AG44" s="1066"/>
      <c r="AH44" s="1066"/>
      <c r="AI44" s="1066">
        <f>AI43</f>
        <v>0</v>
      </c>
      <c r="AJ44" s="1066">
        <f>AJ43</f>
        <v>75</v>
      </c>
      <c r="AK44" s="1066">
        <f>AK43</f>
        <v>75</v>
      </c>
      <c r="AL44" s="1066">
        <v>1520.0060283265202</v>
      </c>
      <c r="AM44" s="1066">
        <v>88848.477873673488</v>
      </c>
      <c r="AN44" s="1066"/>
      <c r="AO44" s="1362">
        <f>AO43</f>
        <v>21112.95</v>
      </c>
      <c r="AP44" s="1066"/>
      <c r="AR44" s="72">
        <f>+AR43</f>
        <v>0</v>
      </c>
      <c r="AS44" s="72"/>
      <c r="AT44" s="72">
        <f>AT43</f>
        <v>0</v>
      </c>
      <c r="AU44" s="38">
        <f>AU43</f>
        <v>0</v>
      </c>
      <c r="AV44" s="38">
        <f>AV43</f>
        <v>0</v>
      </c>
      <c r="AW44" s="38">
        <f>AW43</f>
        <v>0</v>
      </c>
      <c r="AX44" s="38">
        <f>AX43</f>
        <v>0</v>
      </c>
      <c r="AY44" s="38"/>
      <c r="BE44" s="72">
        <f t="shared" ref="BE44:BK44" si="21">+BE43</f>
        <v>0</v>
      </c>
      <c r="BF44" s="72">
        <f t="shared" si="21"/>
        <v>0</v>
      </c>
      <c r="BG44" s="72">
        <f t="shared" si="21"/>
        <v>0</v>
      </c>
      <c r="BH44" s="72">
        <f t="shared" si="21"/>
        <v>0</v>
      </c>
      <c r="BI44" s="72">
        <f t="shared" si="21"/>
        <v>0</v>
      </c>
      <c r="BJ44" s="38">
        <f t="shared" si="21"/>
        <v>5.4709677419354836</v>
      </c>
      <c r="BK44" s="72">
        <f t="shared" si="21"/>
        <v>0</v>
      </c>
      <c r="BL44" s="1"/>
      <c r="BM44" s="364">
        <v>5364.0623950400004</v>
      </c>
      <c r="BN44" s="1"/>
      <c r="BO44" s="1"/>
      <c r="BP44" s="1"/>
      <c r="BQ44" s="1"/>
      <c r="BR44" s="1"/>
      <c r="BS44" s="1"/>
      <c r="BT44" s="1"/>
      <c r="BU44" s="1"/>
      <c r="BV44" s="1"/>
      <c r="BW44" s="1"/>
      <c r="BX44" s="1"/>
      <c r="BY44" s="1"/>
      <c r="BZ44" s="72"/>
      <c r="CA44" s="72"/>
      <c r="CB44" s="72"/>
      <c r="CC44" s="72"/>
      <c r="CD44" s="72"/>
      <c r="CE44" s="72"/>
      <c r="CI44" s="281"/>
    </row>
    <row r="45" spans="2:90">
      <c r="B45" s="312" t="s">
        <v>12</v>
      </c>
      <c r="C45" s="991">
        <f>O45</f>
        <v>802121.75999999209</v>
      </c>
      <c r="D45" s="1069">
        <f>R45</f>
        <v>29000</v>
      </c>
      <c r="E45" s="1231"/>
      <c r="F45" s="1069"/>
      <c r="G45" s="1069"/>
      <c r="H45" s="1069"/>
      <c r="I45" s="1069"/>
      <c r="J45" s="1069"/>
      <c r="K45" s="1069"/>
      <c r="L45" s="1069"/>
      <c r="M45" s="1069"/>
      <c r="N45" s="1069"/>
      <c r="O45" s="1069">
        <v>802121.75999999209</v>
      </c>
      <c r="P45" s="1069"/>
      <c r="Q45" s="1069"/>
      <c r="R45" s="1069">
        <v>29000</v>
      </c>
      <c r="S45" s="1070">
        <f>IFERROR(O45/Q45,0)</f>
        <v>0</v>
      </c>
      <c r="T45" s="1069"/>
      <c r="U45" s="1069"/>
      <c r="V45" s="1069"/>
      <c r="W45" s="1069"/>
      <c r="X45" s="1069"/>
      <c r="Y45" s="39"/>
      <c r="Z45" s="1071">
        <v>0</v>
      </c>
      <c r="AA45" s="1071"/>
      <c r="AB45" s="1071"/>
      <c r="AC45" s="1071"/>
      <c r="AD45" s="1071"/>
      <c r="AE45" s="1071"/>
      <c r="AF45" s="1072"/>
      <c r="AG45" s="1072"/>
      <c r="AH45" s="1072"/>
      <c r="AI45" s="1072"/>
      <c r="AJ45" s="1072"/>
      <c r="AK45" s="1072"/>
      <c r="AL45" s="1072"/>
      <c r="AM45" s="1072"/>
      <c r="AN45" s="1072"/>
      <c r="AO45" s="1072"/>
      <c r="AP45" s="1072"/>
      <c r="AQ45" s="887"/>
      <c r="AR45" s="337">
        <v>0</v>
      </c>
      <c r="AS45" s="337"/>
      <c r="AT45" s="72">
        <v>6824.4902225997639</v>
      </c>
      <c r="AU45" s="38">
        <v>1.6046894421393501</v>
      </c>
      <c r="AV45" s="38">
        <v>2.9538162037923059</v>
      </c>
      <c r="AW45" s="38">
        <v>4.4327769749624331</v>
      </c>
      <c r="AX45" s="38">
        <v>9.295414204357213</v>
      </c>
      <c r="AY45" s="38"/>
      <c r="AZ45" s="887"/>
      <c r="BA45" s="887"/>
      <c r="BB45" s="887"/>
      <c r="BC45" s="887"/>
      <c r="BD45" s="887"/>
      <c r="BE45" s="337">
        <v>0</v>
      </c>
      <c r="BF45" s="308"/>
      <c r="BG45" s="308"/>
      <c r="BH45" s="308"/>
      <c r="BI45" s="308"/>
      <c r="BJ45" s="308"/>
      <c r="BK45" s="308"/>
      <c r="BL45" s="1073"/>
      <c r="BM45" s="308"/>
      <c r="BN45" s="1073"/>
      <c r="BO45" s="1073"/>
      <c r="BP45" s="1073"/>
      <c r="BQ45" s="1073"/>
      <c r="BR45" s="1073"/>
      <c r="BS45" s="1073"/>
      <c r="BT45" s="1073"/>
      <c r="BU45" s="1073"/>
      <c r="BV45" s="1073"/>
      <c r="BW45" s="1073"/>
      <c r="BX45" s="1073"/>
      <c r="BY45" s="1073"/>
      <c r="BZ45" s="308"/>
      <c r="CA45" s="308"/>
      <c r="CB45" s="308"/>
      <c r="CC45" s="308"/>
      <c r="CD45" s="308"/>
      <c r="CE45" s="308"/>
      <c r="CI45" s="1"/>
    </row>
    <row r="46" spans="2:90">
      <c r="B46" t="s">
        <v>208</v>
      </c>
      <c r="U46" s="39"/>
      <c r="V46" s="39"/>
      <c r="W46" s="39"/>
      <c r="AR46" s="110" t="str">
        <f>IFERROR(AR44/AR45,"")</f>
        <v/>
      </c>
      <c r="AS46" s="110"/>
      <c r="BE46" s="38" t="str">
        <f>IFERROR(BE44/BE45,"")</f>
        <v/>
      </c>
      <c r="BF46" s="38"/>
      <c r="BG46" s="38"/>
      <c r="BH46" s="38" t="str">
        <f>IFERROR(BH44/BH45,"")</f>
        <v/>
      </c>
      <c r="BI46" s="38" t="str">
        <f>IFERROR(BI44/BI45,"")</f>
        <v/>
      </c>
      <c r="BJ46" s="38" t="str">
        <f>IFERROR(BJ44/BJ45,"")</f>
        <v/>
      </c>
      <c r="BK46" s="38" t="str">
        <f>IFERROR(BK44/BK45,"")</f>
        <v/>
      </c>
      <c r="BZ46" s="38"/>
      <c r="CA46" s="38"/>
      <c r="CB46" s="38"/>
      <c r="CC46" s="38"/>
      <c r="CD46" s="38"/>
      <c r="CE46" s="38"/>
      <c r="CI46" s="887"/>
    </row>
    <row r="47" spans="2:90">
      <c r="R47" s="95">
        <f>R43+AO43</f>
        <v>38576.009999999995</v>
      </c>
      <c r="AR47" s="110" t="str">
        <f>IFERROR(AR45/AR46,"")</f>
        <v/>
      </c>
      <c r="AS47" s="110"/>
      <c r="BE47" s="38" t="str">
        <f t="shared" ref="BE47:BK47" si="22">IFERROR(BE45/BE46,"")</f>
        <v/>
      </c>
      <c r="BF47" s="38"/>
      <c r="BG47" s="38"/>
      <c r="BH47" s="38" t="str">
        <f t="shared" si="22"/>
        <v/>
      </c>
      <c r="BI47" s="38" t="str">
        <f t="shared" si="22"/>
        <v/>
      </c>
      <c r="BJ47" s="38" t="str">
        <f t="shared" si="22"/>
        <v/>
      </c>
      <c r="BK47" s="38" t="str">
        <f t="shared" si="22"/>
        <v/>
      </c>
      <c r="BZ47" s="38"/>
      <c r="CA47" s="38"/>
      <c r="CB47" s="38"/>
      <c r="CC47" s="38"/>
      <c r="CD47" s="38"/>
      <c r="CE47" s="38"/>
      <c r="CI47" s="281"/>
    </row>
    <row r="48" spans="2:90">
      <c r="O48" s="987"/>
      <c r="P48" s="1"/>
      <c r="CI48" s="281"/>
    </row>
    <row r="49" spans="4:87">
      <c r="D49" s="1"/>
      <c r="CI49" s="1"/>
    </row>
    <row r="50" spans="4:87">
      <c r="D50" s="1">
        <f>C45/31</f>
        <v>25874.895483870714</v>
      </c>
      <c r="S50" s="1"/>
      <c r="CI50" s="887"/>
    </row>
    <row r="51" spans="4:87">
      <c r="S51" s="1"/>
    </row>
    <row r="52" spans="4:87">
      <c r="S52" s="887"/>
    </row>
    <row r="53" spans="4:87">
      <c r="G53" s="887"/>
      <c r="H53" s="887"/>
    </row>
    <row r="54" spans="4:87">
      <c r="O54" s="887"/>
      <c r="P54" s="887"/>
    </row>
    <row r="56" spans="4:87">
      <c r="O56" s="887"/>
      <c r="P56" s="887"/>
      <c r="R56" s="887"/>
    </row>
    <row r="57" spans="4:87">
      <c r="G57" s="887"/>
      <c r="H57" s="987"/>
      <c r="O57" s="39"/>
      <c r="P57" s="39"/>
      <c r="Q57" s="39"/>
      <c r="R57" s="39"/>
      <c r="X57" s="39"/>
      <c r="Y57" s="39"/>
      <c r="Z57" s="39"/>
      <c r="AA57" s="39"/>
      <c r="AB57" s="39"/>
      <c r="AC57" s="39"/>
      <c r="AD57" s="39"/>
      <c r="AE57" s="39"/>
    </row>
    <row r="59" spans="4:87">
      <c r="O59" s="987"/>
      <c r="P59" s="987"/>
      <c r="X59" s="987"/>
      <c r="Y59" s="987"/>
      <c r="Z59" s="987"/>
      <c r="AA59" s="987"/>
      <c r="AB59" s="987"/>
      <c r="AC59" s="987"/>
      <c r="AD59" s="987"/>
      <c r="AE59" s="987"/>
    </row>
    <row r="60" spans="4:87">
      <c r="O60" s="987"/>
      <c r="P60" s="987"/>
      <c r="X60" s="987"/>
      <c r="Y60" s="987"/>
      <c r="Z60" s="987"/>
      <c r="AA60" s="987"/>
      <c r="AB60" s="987"/>
      <c r="AC60" s="987"/>
      <c r="AD60" s="987"/>
      <c r="AE60" s="987"/>
    </row>
    <row r="61" spans="4:87">
      <c r="O61" s="987"/>
      <c r="P61" s="987"/>
      <c r="X61" s="987"/>
      <c r="Y61" s="987"/>
      <c r="Z61" s="987"/>
      <c r="AA61" s="987"/>
      <c r="AB61" s="987"/>
      <c r="AC61" s="987"/>
      <c r="AD61" s="987"/>
      <c r="AE61" s="987"/>
    </row>
    <row r="62" spans="4:87">
      <c r="O62" s="987"/>
      <c r="P62" s="987"/>
      <c r="X62" s="987"/>
      <c r="Y62" s="987"/>
      <c r="Z62" s="987"/>
      <c r="AA62" s="987"/>
      <c r="AB62" s="987"/>
      <c r="AC62" s="987"/>
      <c r="AD62" s="987"/>
      <c r="AE62" s="987"/>
    </row>
    <row r="63" spans="4:87">
      <c r="O63" s="987"/>
      <c r="P63" s="987"/>
      <c r="X63" s="987"/>
      <c r="Y63" s="987"/>
      <c r="Z63" s="987"/>
      <c r="AA63" s="987"/>
      <c r="AB63" s="987"/>
      <c r="AC63" s="987"/>
      <c r="AD63" s="987"/>
      <c r="AE63" s="987"/>
    </row>
    <row r="64" spans="4:87">
      <c r="O64" s="987"/>
      <c r="P64" s="987"/>
      <c r="X64" s="987"/>
      <c r="Y64" s="987"/>
      <c r="Z64" s="987"/>
      <c r="AA64" s="987"/>
      <c r="AB64" s="987"/>
      <c r="AC64" s="987"/>
      <c r="AD64" s="987"/>
      <c r="AE64" s="987"/>
    </row>
    <row r="65" spans="15:31">
      <c r="O65" s="987"/>
      <c r="P65" s="987"/>
      <c r="X65" s="987"/>
      <c r="Y65" s="987"/>
      <c r="Z65" s="987"/>
      <c r="AA65" s="987"/>
      <c r="AB65" s="987"/>
      <c r="AC65" s="987"/>
      <c r="AD65" s="987"/>
      <c r="AE65" s="987"/>
    </row>
    <row r="66" spans="15:31">
      <c r="O66" s="987"/>
      <c r="P66" s="987"/>
      <c r="X66" s="987"/>
      <c r="Y66" s="987"/>
      <c r="Z66" s="987"/>
      <c r="AA66" s="987"/>
      <c r="AB66" s="987"/>
      <c r="AC66" s="987"/>
      <c r="AD66" s="987"/>
      <c r="AE66" s="987"/>
    </row>
    <row r="67" spans="15:31">
      <c r="O67" s="987"/>
      <c r="P67" s="987"/>
      <c r="X67" s="987"/>
      <c r="Y67" s="987"/>
      <c r="Z67" s="987"/>
      <c r="AA67" s="987"/>
      <c r="AB67" s="987"/>
      <c r="AC67" s="987"/>
      <c r="AD67" s="987"/>
      <c r="AE67" s="987"/>
    </row>
    <row r="68" spans="15:31" hidden="1">
      <c r="O68" s="987"/>
      <c r="P68" s="987"/>
      <c r="X68" s="987"/>
      <c r="Y68" s="987"/>
      <c r="Z68" s="987"/>
      <c r="AA68" s="987"/>
      <c r="AB68" s="987"/>
      <c r="AC68" s="987"/>
      <c r="AD68" s="987"/>
      <c r="AE68" s="987"/>
    </row>
    <row r="69" spans="15:31" hidden="1">
      <c r="O69" s="987"/>
      <c r="P69" s="987"/>
      <c r="X69" s="987"/>
      <c r="Y69" s="987"/>
      <c r="Z69" s="987"/>
      <c r="AA69" s="987"/>
      <c r="AB69" s="987"/>
      <c r="AC69" s="987"/>
      <c r="AD69" s="987"/>
      <c r="AE69" s="987"/>
    </row>
    <row r="70" spans="15:31" hidden="1">
      <c r="O70" s="987"/>
      <c r="P70" s="987"/>
      <c r="X70" s="987"/>
      <c r="Y70" s="987"/>
      <c r="Z70" s="987"/>
      <c r="AA70" s="987"/>
      <c r="AB70" s="987"/>
      <c r="AC70" s="987"/>
      <c r="AD70" s="987"/>
      <c r="AE70" s="987"/>
    </row>
    <row r="71" spans="15:31" hidden="1">
      <c r="O71" s="987"/>
      <c r="P71" s="987"/>
      <c r="X71" s="987"/>
      <c r="Y71" s="987"/>
      <c r="Z71" s="987"/>
      <c r="AA71" s="987"/>
      <c r="AB71" s="987"/>
      <c r="AC71" s="987"/>
      <c r="AD71" s="987"/>
      <c r="AE71" s="987"/>
    </row>
    <row r="72" spans="15:31" hidden="1">
      <c r="O72" s="987"/>
      <c r="P72" s="987"/>
      <c r="X72" s="987"/>
      <c r="Y72" s="987"/>
      <c r="Z72" s="987"/>
      <c r="AA72" s="987"/>
      <c r="AB72" s="987"/>
      <c r="AC72" s="987"/>
      <c r="AD72" s="987"/>
      <c r="AE72" s="987"/>
    </row>
    <row r="73" spans="15:31" hidden="1">
      <c r="O73" s="987"/>
      <c r="P73" s="987"/>
      <c r="X73" s="987"/>
      <c r="Y73" s="987"/>
      <c r="Z73" s="987"/>
      <c r="AA73" s="987"/>
      <c r="AB73" s="987"/>
      <c r="AC73" s="987"/>
      <c r="AD73" s="987"/>
      <c r="AE73" s="987"/>
    </row>
    <row r="74" spans="15:31" hidden="1">
      <c r="O74" s="987"/>
      <c r="P74" s="987"/>
      <c r="X74" s="987"/>
      <c r="Y74" s="987"/>
      <c r="Z74" s="987"/>
      <c r="AA74" s="987"/>
      <c r="AB74" s="987"/>
      <c r="AC74" s="987"/>
      <c r="AD74" s="987"/>
      <c r="AE74" s="987"/>
    </row>
    <row r="75" spans="15:31" hidden="1">
      <c r="O75" s="987"/>
      <c r="P75" s="987"/>
      <c r="X75" s="987"/>
      <c r="Y75" s="987"/>
      <c r="Z75" s="987"/>
      <c r="AA75" s="987"/>
      <c r="AB75" s="987"/>
      <c r="AC75" s="987"/>
      <c r="AD75" s="987"/>
      <c r="AE75" s="987"/>
    </row>
    <row r="76" spans="15:31" hidden="1">
      <c r="O76" s="987"/>
      <c r="P76" s="987"/>
      <c r="X76" s="987"/>
      <c r="Y76" s="987"/>
      <c r="Z76" s="987"/>
      <c r="AA76" s="987"/>
      <c r="AB76" s="987"/>
      <c r="AC76" s="987"/>
      <c r="AD76" s="987"/>
      <c r="AE76" s="987"/>
    </row>
    <row r="77" spans="15:31" hidden="1">
      <c r="O77" s="987"/>
      <c r="P77" s="987"/>
      <c r="X77" s="987"/>
      <c r="Y77" s="987"/>
      <c r="Z77" s="987"/>
      <c r="AA77" s="987"/>
      <c r="AB77" s="987"/>
      <c r="AC77" s="987"/>
      <c r="AD77" s="987"/>
      <c r="AE77" s="987"/>
    </row>
    <row r="78" spans="15:31" hidden="1">
      <c r="O78" s="987"/>
      <c r="P78" s="987"/>
      <c r="X78" s="987"/>
      <c r="Y78" s="987"/>
      <c r="Z78" s="987"/>
      <c r="AA78" s="987"/>
      <c r="AB78" s="987"/>
      <c r="AC78" s="987"/>
      <c r="AD78" s="987"/>
      <c r="AE78" s="987"/>
    </row>
    <row r="79" spans="15:31" hidden="1">
      <c r="O79" s="987"/>
      <c r="P79" s="987"/>
      <c r="X79" s="987"/>
      <c r="Y79" s="987"/>
      <c r="Z79" s="987"/>
      <c r="AA79" s="987"/>
      <c r="AB79" s="987"/>
      <c r="AC79" s="987"/>
      <c r="AD79" s="987"/>
      <c r="AE79" s="987"/>
    </row>
    <row r="80" spans="15:31" hidden="1">
      <c r="O80" s="987"/>
      <c r="P80" s="987"/>
      <c r="X80" s="987"/>
      <c r="Y80" s="987"/>
      <c r="Z80" s="987"/>
      <c r="AA80" s="987"/>
      <c r="AB80" s="987"/>
      <c r="AC80" s="987"/>
      <c r="AD80" s="987"/>
      <c r="AE80" s="987"/>
    </row>
    <row r="81" spans="15:31" hidden="1">
      <c r="O81" s="987"/>
      <c r="P81" s="987"/>
      <c r="X81" s="987"/>
      <c r="Y81" s="987"/>
      <c r="Z81" s="987"/>
      <c r="AA81" s="987"/>
      <c r="AB81" s="987"/>
      <c r="AC81" s="987"/>
      <c r="AD81" s="987"/>
      <c r="AE81" s="987"/>
    </row>
    <row r="82" spans="15:31" hidden="1">
      <c r="O82" s="987"/>
      <c r="P82" s="987"/>
      <c r="X82" s="987"/>
      <c r="Y82" s="987"/>
      <c r="Z82" s="987"/>
      <c r="AA82" s="987"/>
      <c r="AB82" s="987"/>
      <c r="AC82" s="987"/>
      <c r="AD82" s="987"/>
      <c r="AE82" s="987"/>
    </row>
    <row r="83" spans="15:31" hidden="1">
      <c r="O83" s="987"/>
      <c r="P83" s="987"/>
      <c r="X83" s="987"/>
      <c r="Y83" s="987"/>
      <c r="Z83" s="987"/>
      <c r="AA83" s="987"/>
      <c r="AB83" s="987"/>
      <c r="AC83" s="987"/>
      <c r="AD83" s="987"/>
      <c r="AE83" s="987"/>
    </row>
    <row r="84" spans="15:31" hidden="1">
      <c r="O84" s="987"/>
      <c r="P84" s="987"/>
      <c r="X84" s="987"/>
      <c r="Y84" s="987"/>
      <c r="Z84" s="987"/>
      <c r="AA84" s="987"/>
      <c r="AB84" s="987"/>
      <c r="AC84" s="987"/>
      <c r="AD84" s="987"/>
      <c r="AE84" s="987"/>
    </row>
    <row r="85" spans="15:31" hidden="1">
      <c r="O85" s="987"/>
      <c r="P85" s="987"/>
      <c r="X85" s="987"/>
      <c r="Y85" s="987"/>
      <c r="Z85" s="987"/>
      <c r="AA85" s="987"/>
      <c r="AB85" s="987"/>
      <c r="AC85" s="987"/>
      <c r="AD85" s="987"/>
      <c r="AE85" s="987"/>
    </row>
    <row r="86" spans="15:31" hidden="1">
      <c r="O86" s="987"/>
      <c r="P86" s="987"/>
      <c r="X86" s="987"/>
      <c r="Y86" s="987"/>
      <c r="Z86" s="987"/>
      <c r="AA86" s="987"/>
      <c r="AB86" s="987"/>
      <c r="AC86" s="987"/>
      <c r="AD86" s="987"/>
      <c r="AE86" s="987"/>
    </row>
    <row r="87" spans="15:31" hidden="1">
      <c r="O87" s="987"/>
      <c r="P87" s="987"/>
      <c r="X87" s="987"/>
      <c r="Y87" s="987"/>
      <c r="Z87" s="987"/>
      <c r="AA87" s="987"/>
      <c r="AB87" s="987"/>
      <c r="AC87" s="987"/>
      <c r="AD87" s="987"/>
      <c r="AE87" s="987"/>
    </row>
    <row r="88" spans="15:31" hidden="1">
      <c r="O88" s="987"/>
      <c r="P88" s="987"/>
      <c r="X88" s="987"/>
      <c r="Y88" s="987"/>
      <c r="Z88" s="987"/>
      <c r="AA88" s="987"/>
      <c r="AB88" s="987"/>
      <c r="AC88" s="987"/>
      <c r="AD88" s="987"/>
      <c r="AE88" s="987"/>
    </row>
    <row r="89" spans="15:31" hidden="1"/>
    <row r="90" spans="15:31" hidden="1"/>
    <row r="91" spans="15:31" hidden="1"/>
    <row r="92" spans="15:31" hidden="1"/>
    <row r="93" spans="15:31" hidden="1"/>
    <row r="94" spans="15:31" hidden="1"/>
    <row r="95" spans="15:31" hidden="1"/>
    <row r="96" spans="15:31" hidden="1"/>
    <row r="97" spans="2:31" hidden="1"/>
    <row r="98" spans="2:31" hidden="1"/>
    <row r="99" spans="2:31" hidden="1">
      <c r="O99" s="39">
        <v>9677.4193548387102</v>
      </c>
      <c r="P99" s="39"/>
      <c r="Q99" s="39">
        <v>347.15938203065775</v>
      </c>
      <c r="R99" s="39"/>
      <c r="X99" s="39"/>
      <c r="Y99" s="39"/>
      <c r="Z99" s="39"/>
      <c r="AA99" s="39"/>
      <c r="AB99" s="39"/>
      <c r="AC99" s="39"/>
      <c r="AD99" s="39"/>
      <c r="AE99" s="39"/>
    </row>
    <row r="100" spans="2:31" hidden="1">
      <c r="B100">
        <v>1</v>
      </c>
      <c r="C100" t="e">
        <f>SUM(O100,#REF!,#REF!)</f>
        <v>#REF!</v>
      </c>
      <c r="D100" t="e">
        <f>SUM(Q100,#REF!,X100)</f>
        <v>#REF!</v>
      </c>
      <c r="N100">
        <v>1</v>
      </c>
      <c r="O100">
        <f>O99</f>
        <v>9677.4193548387102</v>
      </c>
    </row>
    <row r="101" spans="2:31" hidden="1">
      <c r="B101">
        <v>2</v>
      </c>
      <c r="C101" t="e">
        <f>SUM(O101,#REF!,#REF!)</f>
        <v>#REF!</v>
      </c>
      <c r="D101" t="e">
        <f>SUM(Q101,#REF!,X101)</f>
        <v>#REF!</v>
      </c>
      <c r="N101">
        <v>2</v>
      </c>
      <c r="O101">
        <f>O100+($O$99)</f>
        <v>19354.83870967742</v>
      </c>
    </row>
    <row r="102" spans="2:31" hidden="1">
      <c r="B102">
        <v>3</v>
      </c>
      <c r="C102" t="e">
        <f>SUM(O102,#REF!,#REF!)</f>
        <v>#REF!</v>
      </c>
      <c r="D102" t="e">
        <f>SUM(Q102,#REF!,X102)</f>
        <v>#REF!</v>
      </c>
      <c r="N102">
        <v>3</v>
      </c>
      <c r="O102">
        <f t="shared" ref="O102:O130" si="23">O101+($O$99)</f>
        <v>29032.258064516129</v>
      </c>
    </row>
    <row r="103" spans="2:31" hidden="1">
      <c r="B103">
        <v>4</v>
      </c>
      <c r="C103" t="e">
        <f>SUM(O103,#REF!,#REF!)</f>
        <v>#REF!</v>
      </c>
      <c r="D103" t="e">
        <f>SUM(Q103,#REF!,X103)</f>
        <v>#REF!</v>
      </c>
      <c r="N103">
        <v>4</v>
      </c>
      <c r="O103">
        <f t="shared" si="23"/>
        <v>38709.677419354841</v>
      </c>
    </row>
    <row r="104" spans="2:31" hidden="1">
      <c r="B104">
        <v>5</v>
      </c>
      <c r="C104" t="e">
        <f>SUM(O104,#REF!,#REF!)</f>
        <v>#REF!</v>
      </c>
      <c r="D104" t="e">
        <f>SUM(Q104,#REF!,X104)</f>
        <v>#REF!</v>
      </c>
      <c r="N104">
        <v>5</v>
      </c>
      <c r="O104">
        <f t="shared" si="23"/>
        <v>48387.096774193553</v>
      </c>
    </row>
    <row r="105" spans="2:31" hidden="1">
      <c r="B105">
        <v>6</v>
      </c>
      <c r="C105" t="e">
        <f>SUM(O105,#REF!,#REF!)</f>
        <v>#REF!</v>
      </c>
      <c r="D105" t="e">
        <f>SUM(Q105,#REF!,X105)</f>
        <v>#REF!</v>
      </c>
      <c r="N105">
        <v>6</v>
      </c>
      <c r="O105">
        <f t="shared" si="23"/>
        <v>58064.516129032265</v>
      </c>
    </row>
    <row r="106" spans="2:31" hidden="1">
      <c r="B106">
        <v>7</v>
      </c>
      <c r="C106" t="e">
        <f>SUM(O106,#REF!,#REF!)</f>
        <v>#REF!</v>
      </c>
      <c r="D106" t="e">
        <f>SUM(Q106,#REF!,X106)</f>
        <v>#REF!</v>
      </c>
      <c r="N106">
        <v>7</v>
      </c>
      <c r="O106">
        <f t="shared" si="23"/>
        <v>67741.93548387097</v>
      </c>
    </row>
    <row r="107" spans="2:31" hidden="1">
      <c r="B107">
        <v>8</v>
      </c>
      <c r="C107" t="e">
        <f>SUM(O107,#REF!,#REF!)</f>
        <v>#REF!</v>
      </c>
      <c r="D107" t="e">
        <f>SUM(Q107,#REF!,X107)</f>
        <v>#REF!</v>
      </c>
      <c r="N107">
        <v>8</v>
      </c>
      <c r="O107">
        <f t="shared" si="23"/>
        <v>77419.354838709682</v>
      </c>
    </row>
    <row r="108" spans="2:31" hidden="1">
      <c r="B108">
        <v>9</v>
      </c>
      <c r="C108" t="e">
        <f>SUM(O108,#REF!,#REF!)</f>
        <v>#REF!</v>
      </c>
      <c r="D108" t="e">
        <f>SUM(Q108,#REF!,X108)</f>
        <v>#REF!</v>
      </c>
      <c r="N108">
        <v>9</v>
      </c>
      <c r="O108">
        <f t="shared" si="23"/>
        <v>87096.774193548394</v>
      </c>
    </row>
    <row r="109" spans="2:31" hidden="1">
      <c r="B109">
        <v>10</v>
      </c>
      <c r="C109" t="e">
        <f>SUM(O109,#REF!,#REF!)</f>
        <v>#REF!</v>
      </c>
      <c r="D109" t="e">
        <f>SUM(Q109,#REF!,X109)</f>
        <v>#REF!</v>
      </c>
      <c r="N109">
        <v>10</v>
      </c>
      <c r="O109">
        <f t="shared" si="23"/>
        <v>96774.193548387106</v>
      </c>
    </row>
    <row r="110" spans="2:31" hidden="1">
      <c r="B110">
        <v>11</v>
      </c>
      <c r="C110" t="e">
        <f>SUM(O110,#REF!,#REF!)</f>
        <v>#REF!</v>
      </c>
      <c r="D110" t="e">
        <f>SUM(Q110,#REF!,X110)</f>
        <v>#REF!</v>
      </c>
      <c r="N110">
        <v>11</v>
      </c>
      <c r="O110">
        <f t="shared" si="23"/>
        <v>106451.61290322582</v>
      </c>
    </row>
    <row r="111" spans="2:31" hidden="1">
      <c r="B111">
        <v>12</v>
      </c>
      <c r="C111" t="e">
        <f>SUM(O111,#REF!,#REF!)</f>
        <v>#REF!</v>
      </c>
      <c r="D111" t="e">
        <f>SUM(Q111,#REF!,X111)</f>
        <v>#REF!</v>
      </c>
      <c r="N111">
        <v>12</v>
      </c>
      <c r="O111">
        <f t="shared" si="23"/>
        <v>116129.03225806453</v>
      </c>
    </row>
    <row r="112" spans="2:31" hidden="1">
      <c r="B112">
        <v>13</v>
      </c>
      <c r="C112" t="e">
        <f>SUM(O112,#REF!,#REF!)</f>
        <v>#REF!</v>
      </c>
      <c r="D112" t="e">
        <f>SUM(Q112,#REF!,X112)</f>
        <v>#REF!</v>
      </c>
      <c r="N112">
        <v>13</v>
      </c>
      <c r="O112">
        <f t="shared" si="23"/>
        <v>125806.45161290324</v>
      </c>
    </row>
    <row r="113" spans="2:15" hidden="1">
      <c r="B113">
        <v>14</v>
      </c>
      <c r="C113" t="e">
        <f>SUM(O113,#REF!,#REF!)</f>
        <v>#REF!</v>
      </c>
      <c r="D113" t="e">
        <f>SUM(Q113,#REF!,X113)</f>
        <v>#REF!</v>
      </c>
      <c r="N113">
        <v>14</v>
      </c>
      <c r="O113">
        <f t="shared" si="23"/>
        <v>135483.87096774194</v>
      </c>
    </row>
    <row r="114" spans="2:15" hidden="1">
      <c r="B114">
        <v>15</v>
      </c>
      <c r="C114" t="e">
        <f>SUM(O114,#REF!,#REF!)</f>
        <v>#REF!</v>
      </c>
      <c r="D114" t="e">
        <f>SUM(Q114,#REF!,X114)</f>
        <v>#REF!</v>
      </c>
      <c r="N114">
        <v>15</v>
      </c>
      <c r="O114">
        <f t="shared" si="23"/>
        <v>145161.29032258064</v>
      </c>
    </row>
    <row r="115" spans="2:15" hidden="1">
      <c r="B115">
        <v>16</v>
      </c>
      <c r="C115" t="e">
        <f>SUM(O115,#REF!,#REF!)</f>
        <v>#REF!</v>
      </c>
      <c r="D115" t="e">
        <f>SUM(Q115,#REF!,X115)</f>
        <v>#REF!</v>
      </c>
      <c r="N115">
        <v>16</v>
      </c>
      <c r="O115">
        <f t="shared" si="23"/>
        <v>154838.70967741933</v>
      </c>
    </row>
    <row r="116" spans="2:15" hidden="1">
      <c r="B116">
        <v>17</v>
      </c>
      <c r="C116" t="e">
        <f>SUM(O116,#REF!,#REF!)</f>
        <v>#REF!</v>
      </c>
      <c r="D116" t="e">
        <f>SUM(Q116,#REF!,X116)</f>
        <v>#REF!</v>
      </c>
      <c r="N116">
        <v>17</v>
      </c>
      <c r="O116">
        <f t="shared" si="23"/>
        <v>164516.12903225803</v>
      </c>
    </row>
    <row r="117" spans="2:15" hidden="1">
      <c r="B117">
        <v>18</v>
      </c>
      <c r="C117" t="e">
        <f>SUM(O117,#REF!,#REF!)</f>
        <v>#REF!</v>
      </c>
      <c r="D117" t="e">
        <f>SUM(Q117,#REF!,X117)</f>
        <v>#REF!</v>
      </c>
      <c r="N117">
        <v>18</v>
      </c>
      <c r="O117">
        <f t="shared" si="23"/>
        <v>174193.54838709673</v>
      </c>
    </row>
    <row r="118" spans="2:15" hidden="1">
      <c r="B118">
        <v>19</v>
      </c>
      <c r="C118" t="e">
        <f>SUM(O118,#REF!,#REF!)</f>
        <v>#REF!</v>
      </c>
      <c r="D118" t="e">
        <f>SUM(Q118,#REF!,X118)</f>
        <v>#REF!</v>
      </c>
      <c r="N118">
        <v>19</v>
      </c>
      <c r="O118">
        <f t="shared" si="23"/>
        <v>183870.96774193543</v>
      </c>
    </row>
    <row r="119" spans="2:15" hidden="1">
      <c r="B119">
        <v>20</v>
      </c>
      <c r="C119" t="e">
        <f>SUM(O119,#REF!,#REF!)</f>
        <v>#REF!</v>
      </c>
      <c r="D119" t="e">
        <f>SUM(Q119,#REF!,X119)</f>
        <v>#REF!</v>
      </c>
      <c r="N119">
        <v>20</v>
      </c>
      <c r="O119">
        <f t="shared" si="23"/>
        <v>193548.38709677412</v>
      </c>
    </row>
    <row r="120" spans="2:15" hidden="1">
      <c r="B120">
        <v>21</v>
      </c>
      <c r="C120" t="e">
        <f>SUM(O120,#REF!,#REF!)</f>
        <v>#REF!</v>
      </c>
      <c r="D120" t="e">
        <f>SUM(Q120,#REF!,X120)</f>
        <v>#REF!</v>
      </c>
      <c r="N120">
        <v>21</v>
      </c>
      <c r="O120">
        <f t="shared" si="23"/>
        <v>203225.80645161282</v>
      </c>
    </row>
    <row r="121" spans="2:15" hidden="1">
      <c r="B121">
        <v>22</v>
      </c>
      <c r="C121" t="e">
        <f>SUM(O121,#REF!,#REF!)</f>
        <v>#REF!</v>
      </c>
      <c r="D121" t="e">
        <f>SUM(Q121,#REF!,X121)</f>
        <v>#REF!</v>
      </c>
      <c r="N121">
        <v>22</v>
      </c>
      <c r="O121">
        <f t="shared" si="23"/>
        <v>212903.22580645152</v>
      </c>
    </row>
    <row r="122" spans="2:15" hidden="1">
      <c r="B122">
        <v>23</v>
      </c>
      <c r="C122" t="e">
        <f>SUM(O122,#REF!,#REF!)</f>
        <v>#REF!</v>
      </c>
      <c r="D122" t="e">
        <f>SUM(Q122,#REF!,X122)</f>
        <v>#REF!</v>
      </c>
      <c r="N122">
        <v>23</v>
      </c>
      <c r="O122">
        <f t="shared" si="23"/>
        <v>222580.64516129022</v>
      </c>
    </row>
    <row r="123" spans="2:15" hidden="1">
      <c r="B123">
        <v>24</v>
      </c>
      <c r="C123" t="e">
        <f>SUM(O123,#REF!,#REF!)</f>
        <v>#REF!</v>
      </c>
      <c r="D123" t="e">
        <f>SUM(Q123,#REF!,X123)</f>
        <v>#REF!</v>
      </c>
      <c r="N123">
        <v>24</v>
      </c>
      <c r="O123">
        <f t="shared" si="23"/>
        <v>232258.06451612891</v>
      </c>
    </row>
    <row r="124" spans="2:15" hidden="1">
      <c r="B124">
        <v>25</v>
      </c>
      <c r="C124" t="e">
        <f>SUM(O124,#REF!,#REF!)</f>
        <v>#REF!</v>
      </c>
      <c r="D124" t="e">
        <f>SUM(Q124,#REF!,X124)</f>
        <v>#REF!</v>
      </c>
      <c r="N124">
        <v>25</v>
      </c>
      <c r="O124">
        <f t="shared" si="23"/>
        <v>241935.48387096761</v>
      </c>
    </row>
    <row r="125" spans="2:15" hidden="1">
      <c r="B125">
        <v>26</v>
      </c>
      <c r="C125" t="e">
        <f>SUM(O125,#REF!,#REF!)</f>
        <v>#REF!</v>
      </c>
      <c r="D125" t="e">
        <f>SUM(Q125,#REF!,X125)</f>
        <v>#REF!</v>
      </c>
      <c r="N125">
        <v>26</v>
      </c>
      <c r="O125">
        <f t="shared" si="23"/>
        <v>251612.90322580631</v>
      </c>
    </row>
    <row r="126" spans="2:15" hidden="1">
      <c r="B126">
        <v>27</v>
      </c>
      <c r="C126" t="e">
        <f>SUM(O126,#REF!,#REF!)</f>
        <v>#REF!</v>
      </c>
      <c r="D126" t="e">
        <f>SUM(Q126,#REF!,X126)</f>
        <v>#REF!</v>
      </c>
      <c r="N126">
        <v>27</v>
      </c>
      <c r="O126">
        <f t="shared" si="23"/>
        <v>261290.32258064501</v>
      </c>
    </row>
    <row r="127" spans="2:15" hidden="1">
      <c r="B127">
        <v>28</v>
      </c>
      <c r="C127" t="e">
        <f>SUM(O127,#REF!,#REF!)</f>
        <v>#REF!</v>
      </c>
      <c r="D127" t="e">
        <f>SUM(Q127,#REF!,X127)</f>
        <v>#REF!</v>
      </c>
      <c r="N127">
        <v>28</v>
      </c>
      <c r="O127">
        <f t="shared" si="23"/>
        <v>270967.7419354837</v>
      </c>
    </row>
    <row r="128" spans="2:15" hidden="1">
      <c r="B128">
        <v>29</v>
      </c>
      <c r="C128" t="e">
        <f>SUM(O128,#REF!,#REF!)</f>
        <v>#REF!</v>
      </c>
      <c r="D128" t="e">
        <f>SUM(Q128,#REF!,X128)</f>
        <v>#REF!</v>
      </c>
      <c r="N128">
        <v>29</v>
      </c>
      <c r="O128">
        <f t="shared" si="23"/>
        <v>280645.16129032243</v>
      </c>
    </row>
    <row r="129" spans="2:15" hidden="1">
      <c r="B129">
        <v>30</v>
      </c>
      <c r="C129" t="e">
        <f>SUM(O129,#REF!,#REF!)</f>
        <v>#REF!</v>
      </c>
      <c r="D129" t="e">
        <f>SUM(Q129,#REF!,X129)</f>
        <v>#REF!</v>
      </c>
      <c r="N129">
        <v>30</v>
      </c>
      <c r="O129">
        <f t="shared" si="23"/>
        <v>290322.58064516116</v>
      </c>
    </row>
    <row r="130" spans="2:15" hidden="1">
      <c r="B130">
        <v>31</v>
      </c>
      <c r="C130" t="e">
        <f>SUM(O130,#REF!,#REF!)</f>
        <v>#REF!</v>
      </c>
      <c r="D130" t="e">
        <f>SUM(Q130,#REF!,X130)</f>
        <v>#REF!</v>
      </c>
      <c r="N130">
        <v>31</v>
      </c>
      <c r="O130">
        <f t="shared" si="23"/>
        <v>299999.99999999988</v>
      </c>
    </row>
    <row r="131" spans="2:15" hidden="1"/>
    <row r="132" spans="2:15" hidden="1"/>
    <row r="133" spans="2:15" hidden="1"/>
    <row r="134" spans="2:15" hidden="1"/>
    <row r="135" spans="2:15" hidden="1"/>
    <row r="136" spans="2:15" hidden="1"/>
    <row r="137" spans="2:15" hidden="1"/>
    <row r="138" spans="2:15" hidden="1"/>
    <row r="139" spans="2:15" hidden="1"/>
    <row r="140" spans="2:15" hidden="1"/>
    <row r="141" spans="2:15" hidden="1"/>
  </sheetData>
  <mergeCells count="31">
    <mergeCell ref="B8:B11"/>
    <mergeCell ref="O8:T8"/>
    <mergeCell ref="Z8:AB8"/>
    <mergeCell ref="AC8:AF8"/>
    <mergeCell ref="AR8:AX8"/>
    <mergeCell ref="AR9:AR11"/>
    <mergeCell ref="AS9:AS11"/>
    <mergeCell ref="AT9:AX9"/>
    <mergeCell ref="D10:D11"/>
    <mergeCell ref="E10:E11"/>
    <mergeCell ref="F10:G10"/>
    <mergeCell ref="H10:I10"/>
    <mergeCell ref="J10:K10"/>
    <mergeCell ref="L10:M10"/>
    <mergeCell ref="U10:W10"/>
    <mergeCell ref="BM8:BM9"/>
    <mergeCell ref="C9:M9"/>
    <mergeCell ref="O9:O11"/>
    <mergeCell ref="P9:R10"/>
    <mergeCell ref="S9:S11"/>
    <mergeCell ref="T9:T11"/>
    <mergeCell ref="X9:X11"/>
    <mergeCell ref="Z9:AB10"/>
    <mergeCell ref="AC9:AF9"/>
    <mergeCell ref="AI9:AL9"/>
    <mergeCell ref="BE8:BK8"/>
    <mergeCell ref="BF9:BI9"/>
    <mergeCell ref="AT10:AX10"/>
    <mergeCell ref="BJ9:BJ10"/>
    <mergeCell ref="BK9:BK10"/>
    <mergeCell ref="C10:C11"/>
  </mergeCells>
  <conditionalFormatting sqref="C43">
    <cfRule type="expression" dxfId="214" priority="13">
      <formula>OR(AND(C43&lt;(#REF!-(10%*#REF!)),#REF!="OB"),AND(C43&lt;(#REF!-(10%*#REF!)),#REF!="ROM"))</formula>
    </cfRule>
    <cfRule type="expression" dxfId="213" priority="14">
      <formula>$B43=DAY(TODAY()-1)</formula>
    </cfRule>
  </conditionalFormatting>
  <conditionalFormatting sqref="O12:U12 W12:W22 S13:U22 O13:R42 V22 S23 O43:W43">
    <cfRule type="expression" dxfId="212" priority="15">
      <formula>OR(AND(O12&lt;(#REF!-(10%*#REF!)),#REF!="OB"),AND(O12&lt;(#REF!-(10%*#REF!)),#REF!="ROM"))</formula>
    </cfRule>
  </conditionalFormatting>
  <conditionalFormatting sqref="O12:U12 AR12:AS12 W12:W22 BK12:BL37 BN12:CE37 AS13 S13:U22 O13:R42 AR13:AR42 AS15:AS18 V20 V22 S23 BK39:BL42 BN39:CE43 O43:W43 BE43:BL43">
    <cfRule type="expression" dxfId="211" priority="16">
      <formula>$B12=DAY(TODAY()-1)</formula>
    </cfRule>
  </conditionalFormatting>
  <conditionalFormatting sqref="V12:V18 S24:W42">
    <cfRule type="expression" dxfId="210" priority="6">
      <formula>$B12=DAY(TODAY()-1)</formula>
    </cfRule>
  </conditionalFormatting>
  <conditionalFormatting sqref="V12:V20 S24:W42">
    <cfRule type="expression" dxfId="209" priority="5">
      <formula>OR(AND(S12&lt;(#REF!-(10%*#REF!)),#REF!="OB"),AND(S12&lt;(#REF!-(10%*#REF!)),#REF!="ROM"))</formula>
    </cfRule>
  </conditionalFormatting>
  <conditionalFormatting sqref="V19">
    <cfRule type="expression" dxfId="208" priority="18">
      <formula>$B21=DAY(TODAY()-1)</formula>
    </cfRule>
  </conditionalFormatting>
  <conditionalFormatting sqref="X12:AE43">
    <cfRule type="expression" dxfId="207" priority="11">
      <formula>OR(AND(X12&lt;(#REF!-(10%*#REF!)),#REF!="OB"),AND(X12&lt;(#REF!-(10%*#REF!)),#REF!="ROM"))</formula>
    </cfRule>
    <cfRule type="expression" dxfId="206" priority="12">
      <formula>$B12=DAY(TODAY()-1)</formula>
    </cfRule>
  </conditionalFormatting>
  <conditionalFormatting sqref="AI1:AO100">
    <cfRule type="expression" dxfId="205" priority="3">
      <formula>OR(TEXT($A2,"dd/mm/yyyy")=TEXT(DATE(2025,4,18),"dd/mm/yyyy"), TEXT($A2,"dd/mm/yyyy")=TEXT(TODAY()-1,"dd/mm/yyyy"))</formula>
    </cfRule>
  </conditionalFormatting>
  <conditionalFormatting sqref="AI2:AO100">
    <cfRule type="expression" dxfId="204" priority="2">
      <formula>OR($B2=DAY(TODAY()-1))</formula>
    </cfRule>
  </conditionalFormatting>
  <conditionalFormatting sqref="AR43:AS43">
    <cfRule type="expression" dxfId="203" priority="9">
      <formula>$B43=DAY(TODAY()-1)</formula>
    </cfRule>
  </conditionalFormatting>
  <conditionalFormatting sqref="AS19">
    <cfRule type="expression" dxfId="202" priority="17">
      <formula>$B14=DAY(TODAY()-1)</formula>
    </cfRule>
  </conditionalFormatting>
  <conditionalFormatting sqref="AS20:AS42">
    <cfRule type="expression" dxfId="201" priority="8">
      <formula>$B20=DAY(TODAY()-1)</formula>
    </cfRule>
  </conditionalFormatting>
  <conditionalFormatting sqref="AT12:AY43">
    <cfRule type="expression" dxfId="200" priority="7">
      <formula>$B12=DAY(TODAY()-1)</formula>
    </cfRule>
  </conditionalFormatting>
  <conditionalFormatting sqref="BE12:BJ42">
    <cfRule type="expression" dxfId="199" priority="1">
      <formula>$B12=DAY(TODAY()-1)</formula>
    </cfRule>
  </conditionalFormatting>
  <conditionalFormatting sqref="BM12:BM42">
    <cfRule type="expression" dxfId="198" priority="10">
      <formula>$B12=DAY(TODAY()-1)</formula>
    </cfRule>
  </conditionalFormatting>
  <pageMargins left="0.7" right="0.7" top="0.75" bottom="0.75" header="0.3" footer="0.3"/>
  <pageSetup orientation="portrait"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B1:TF141"/>
  <sheetViews>
    <sheetView showGridLines="0" zoomScale="70" zoomScaleNormal="70" workbookViewId="0">
      <pane xSplit="2" ySplit="1" topLeftCell="Y7" activePane="bottomRight" state="frozen"/>
      <selection pane="topRight" activeCell="H17" sqref="H17"/>
      <selection pane="bottomLeft" activeCell="H17" sqref="H17"/>
      <selection pane="bottomRight" activeCell="AK12" sqref="AK12:AK42"/>
    </sheetView>
  </sheetViews>
  <sheetFormatPr defaultColWidth="8.6640625" defaultRowHeight="14.4"/>
  <cols>
    <col min="1" max="1" width="2.33203125" customWidth="1"/>
    <col min="2" max="2" width="7.33203125" customWidth="1"/>
    <col min="3" max="3" width="15.33203125" customWidth="1"/>
    <col min="4" max="4" width="13" customWidth="1"/>
    <col min="5" max="7" width="10.44140625" customWidth="1"/>
    <col min="8" max="8" width="13.6640625" customWidth="1"/>
    <col min="9" max="9" width="10.44140625" customWidth="1"/>
    <col min="10" max="10" width="12.33203125" hidden="1" customWidth="1"/>
    <col min="11" max="11" width="8.6640625" hidden="1" customWidth="1"/>
    <col min="12" max="12" width="14.6640625" hidden="1" customWidth="1"/>
    <col min="13" max="13" width="8.6640625" hidden="1" customWidth="1"/>
    <col min="14" max="14" width="5" customWidth="1"/>
    <col min="15" max="15" width="14.6640625" customWidth="1"/>
    <col min="16" max="16" width="12.109375" customWidth="1"/>
    <col min="17" max="17" width="12.6640625" bestFit="1" customWidth="1"/>
    <col min="18" max="18" width="11.5546875" bestFit="1" customWidth="1"/>
    <col min="19" max="19" width="11.6640625" hidden="1" customWidth="1"/>
    <col min="20" max="20" width="22.33203125" hidden="1" customWidth="1"/>
    <col min="21" max="23" width="17.44140625" customWidth="1"/>
    <col min="24" max="24" width="11.6640625" customWidth="1"/>
    <col min="25" max="25" width="1.33203125" customWidth="1"/>
    <col min="26" max="28" width="11.33203125" customWidth="1"/>
    <col min="29" max="29" width="17.6640625" customWidth="1"/>
    <col min="30" max="33" width="11.33203125" customWidth="1"/>
    <col min="34" max="34" width="18.6640625" customWidth="1"/>
    <col min="35" max="37" width="12.33203125" customWidth="1"/>
    <col min="38" max="38" width="12.109375" customWidth="1"/>
    <col min="39" max="40" width="12.109375" hidden="1" customWidth="1"/>
    <col min="41" max="42" width="17.5546875" customWidth="1"/>
    <col min="43" max="43" width="12" customWidth="1"/>
    <col min="44" max="45" width="18.44140625" customWidth="1"/>
    <col min="46" max="46" width="18.44140625" hidden="1" customWidth="1"/>
    <col min="47" max="47" width="18.44140625" customWidth="1"/>
    <col min="48" max="48" width="12.109375" hidden="1" customWidth="1"/>
    <col min="49" max="49" width="1.33203125" customWidth="1"/>
    <col min="50" max="50" width="15" customWidth="1"/>
    <col min="51" max="51" width="15" hidden="1" customWidth="1"/>
    <col min="52" max="52" width="8" customWidth="1"/>
    <col min="53" max="57" width="8.44140625" customWidth="1"/>
    <col min="58" max="58" width="2.44140625" customWidth="1"/>
    <col min="59" max="61" width="17.88671875" hidden="1" customWidth="1"/>
    <col min="62" max="62" width="0.5546875" customWidth="1"/>
    <col min="63" max="63" width="13.88671875" customWidth="1"/>
    <col min="64" max="68" width="6.6640625" customWidth="1"/>
    <col min="69" max="69" width="19.44140625" customWidth="1"/>
    <col min="70" max="70" width="2.5546875" customWidth="1"/>
    <col min="71" max="71" width="19" customWidth="1"/>
    <col min="72" max="88" width="30.5546875" hidden="1" customWidth="1"/>
    <col min="89" max="89" width="1.6640625" customWidth="1"/>
    <col min="90" max="90" width="9.33203125" customWidth="1"/>
    <col min="91" max="91" width="8.6640625" customWidth="1"/>
    <col min="92" max="92" width="14.109375" customWidth="1"/>
    <col min="93" max="93" width="19.44140625" customWidth="1"/>
    <col min="94" max="94" width="5.44140625" customWidth="1"/>
    <col min="95" max="95" width="6.6640625" customWidth="1"/>
    <col min="96" max="96" width="12.6640625" customWidth="1"/>
    <col min="97" max="97" width="20" customWidth="1"/>
    <col min="98" max="98" width="8.6640625" customWidth="1"/>
    <col min="99" max="99" width="10.33203125" customWidth="1"/>
    <col min="100" max="100" width="9.33203125" customWidth="1"/>
    <col min="101" max="102" width="8.6640625" customWidth="1"/>
    <col min="103" max="103" width="1.33203125" customWidth="1"/>
    <col min="104" max="104" width="12" customWidth="1"/>
    <col min="105" max="105" width="8.6640625" customWidth="1"/>
    <col min="106" max="106" width="3.33203125" customWidth="1"/>
    <col min="107" max="107" width="14.5546875" bestFit="1" customWidth="1"/>
    <col min="108" max="108" width="16.33203125" customWidth="1"/>
    <col min="109" max="109" width="12.33203125" customWidth="1"/>
    <col min="110" max="110" width="14.6640625" hidden="1" customWidth="1"/>
    <col min="111" max="111" width="11.44140625" hidden="1" customWidth="1"/>
    <col min="112" max="112" width="11.6640625" hidden="1" customWidth="1"/>
    <col min="113" max="113" width="14.5546875" customWidth="1"/>
    <col min="114" max="114" width="16.33203125" customWidth="1"/>
    <col min="115" max="115" width="8.6640625" customWidth="1"/>
    <col min="116" max="116" width="8.5546875" hidden="1" customWidth="1"/>
    <col min="117" max="117" width="8.6640625" hidden="1" customWidth="1"/>
    <col min="118" max="118" width="9.33203125" hidden="1" customWidth="1"/>
    <col min="119" max="120" width="8.6640625" hidden="1" customWidth="1"/>
    <col min="121" max="121" width="8.33203125" hidden="1" customWidth="1"/>
    <col min="122" max="122" width="13.6640625" customWidth="1"/>
    <col min="123" max="123" width="15.33203125" customWidth="1"/>
    <col min="124" max="124" width="9.33203125" customWidth="1"/>
    <col min="125" max="125" width="11.6640625" customWidth="1"/>
    <col min="126" max="126" width="11.33203125" customWidth="1"/>
    <col min="127" max="127" width="8.6640625" customWidth="1"/>
    <col min="128" max="128" width="17.33203125" hidden="1" customWidth="1"/>
    <col min="129" max="129" width="18.33203125" hidden="1" customWidth="1"/>
    <col min="130" max="130" width="8.6640625" hidden="1" customWidth="1"/>
    <col min="131" max="131" width="16.44140625" customWidth="1"/>
    <col min="132" max="132" width="13.5546875" customWidth="1"/>
    <col min="133" max="133" width="10.6640625" customWidth="1"/>
    <col min="134" max="134" width="14.6640625" customWidth="1"/>
    <col min="135" max="135" width="14" customWidth="1"/>
    <col min="136" max="136" width="8.6640625" customWidth="1"/>
    <col min="137" max="137" width="13.33203125" customWidth="1"/>
    <col min="138" max="138" width="12.6640625" customWidth="1"/>
    <col min="139" max="139" width="9.33203125" customWidth="1"/>
    <col min="140" max="140" width="13.5546875" hidden="1" customWidth="1"/>
    <col min="141" max="141" width="12.33203125" hidden="1" customWidth="1"/>
    <col min="142" max="142" width="9.33203125" hidden="1" customWidth="1"/>
    <col min="143" max="143" width="12.6640625" hidden="1" customWidth="1"/>
    <col min="144" max="144" width="11.33203125" hidden="1" customWidth="1"/>
    <col min="145" max="145" width="9.33203125" hidden="1" customWidth="1"/>
    <col min="146" max="146" width="13.44140625" hidden="1" customWidth="1"/>
    <col min="147" max="147" width="13" hidden="1" customWidth="1"/>
    <col min="148" max="148" width="9.33203125" hidden="1" customWidth="1"/>
    <col min="149" max="149" width="7.6640625" customWidth="1"/>
    <col min="150" max="152" width="10.6640625" customWidth="1"/>
    <col min="156" max="156" width="0" hidden="1" customWidth="1"/>
    <col min="157" max="157" width="18.33203125" customWidth="1"/>
    <col min="158" max="158" width="6.6640625" customWidth="1"/>
    <col min="160" max="160" width="11.6640625" bestFit="1" customWidth="1"/>
    <col min="162" max="162" width="11.6640625" bestFit="1" customWidth="1"/>
    <col min="164" max="164" width="11.6640625" bestFit="1" customWidth="1"/>
    <col min="166" max="166" width="11.6640625" bestFit="1" customWidth="1"/>
    <col min="168" max="168" width="11.6640625" bestFit="1" customWidth="1"/>
    <col min="170" max="170" width="11.6640625" bestFit="1" customWidth="1"/>
    <col min="171" max="171" width="13.33203125" bestFit="1" customWidth="1"/>
    <col min="172" max="172" width="7.6640625" customWidth="1"/>
    <col min="174" max="174" width="11.6640625" bestFit="1" customWidth="1"/>
    <col min="175" max="175" width="11.6640625" customWidth="1"/>
    <col min="176" max="176" width="11.6640625" bestFit="1" customWidth="1"/>
    <col min="177" max="177" width="12.5546875" bestFit="1" customWidth="1"/>
    <col min="178" max="178" width="11.6640625" bestFit="1" customWidth="1"/>
    <col min="180" max="180" width="11.6640625" bestFit="1" customWidth="1"/>
    <col min="181" max="181" width="12.6640625" bestFit="1" customWidth="1"/>
    <col min="182" max="182" width="11.6640625" bestFit="1" customWidth="1"/>
    <col min="183" max="183" width="10.6640625" bestFit="1" customWidth="1"/>
    <col min="184" max="184" width="11.6640625" bestFit="1" customWidth="1"/>
    <col min="185" max="185" width="13.6640625" bestFit="1" customWidth="1"/>
    <col min="186" max="186" width="11.33203125" customWidth="1"/>
    <col min="187" max="187" width="16.6640625" customWidth="1"/>
    <col min="188" max="188" width="9.6640625" customWidth="1"/>
    <col min="189" max="189" width="11.6640625" bestFit="1" customWidth="1"/>
    <col min="190" max="190" width="10.33203125" bestFit="1" customWidth="1"/>
    <col min="191" max="191" width="11.6640625" bestFit="1" customWidth="1"/>
    <col min="192" max="192" width="10.33203125" customWidth="1"/>
    <col min="193" max="193" width="11.6640625" bestFit="1" customWidth="1"/>
    <col min="194" max="194" width="12.33203125" customWidth="1"/>
    <col min="195" max="195" width="10.33203125" customWidth="1"/>
    <col min="196" max="196" width="9.33203125" customWidth="1"/>
    <col min="197" max="197" width="11.6640625" bestFit="1" customWidth="1"/>
    <col min="198" max="198" width="14.6640625" customWidth="1"/>
    <col min="199" max="199" width="12.6640625" bestFit="1" customWidth="1"/>
    <col min="200" max="200" width="12.33203125" hidden="1" customWidth="1"/>
    <col min="201" max="201" width="12.6640625" bestFit="1" customWidth="1"/>
    <col min="202" max="202" width="12.33203125" hidden="1" customWidth="1"/>
    <col min="203" max="203" width="12.6640625" bestFit="1" customWidth="1"/>
    <col min="204" max="204" width="12.33203125" hidden="1" customWidth="1"/>
    <col min="205" max="205" width="12.6640625" bestFit="1" customWidth="1"/>
    <col min="206" max="206" width="12.33203125" hidden="1" customWidth="1"/>
    <col min="207" max="207" width="12.6640625" bestFit="1" customWidth="1"/>
    <col min="208" max="208" width="12.33203125" hidden="1" customWidth="1"/>
    <col min="209" max="209" width="12.6640625" bestFit="1" customWidth="1"/>
    <col min="210" max="210" width="11.6640625" hidden="1" customWidth="1"/>
    <col min="211" max="211" width="12.6640625" customWidth="1"/>
    <col min="212" max="218" width="8.6640625" hidden="1" customWidth="1"/>
    <col min="219" max="219" width="1.33203125" customWidth="1"/>
    <col min="220" max="220" width="6.6640625" customWidth="1"/>
    <col min="223" max="223" width="9.33203125" bestFit="1" customWidth="1"/>
    <col min="226" max="226" width="1.33203125" customWidth="1"/>
    <col min="227" max="240" width="8.6640625" hidden="1" customWidth="1"/>
    <col min="241" max="241" width="7.33203125" bestFit="1" customWidth="1"/>
    <col min="242" max="242" width="11.6640625" bestFit="1" customWidth="1"/>
    <col min="243" max="243" width="6.6640625" bestFit="1" customWidth="1"/>
    <col min="244" max="244" width="11.6640625" bestFit="1" customWidth="1"/>
    <col min="245" max="245" width="6.6640625" bestFit="1" customWidth="1"/>
    <col min="246" max="246" width="11.6640625" bestFit="1" customWidth="1"/>
    <col min="247" max="247" width="6.6640625" bestFit="1" customWidth="1"/>
    <col min="248" max="248" width="11.6640625" bestFit="1" customWidth="1"/>
    <col min="249" max="249" width="10.33203125" bestFit="1" customWidth="1"/>
    <col min="250" max="250" width="11.6640625" bestFit="1" customWidth="1"/>
    <col min="251" max="251" width="6.6640625" bestFit="1" customWidth="1"/>
    <col min="252" max="252" width="11.6640625" bestFit="1" customWidth="1"/>
    <col min="254" max="254" width="1.33203125" customWidth="1"/>
    <col min="255" max="255" width="6.6640625" customWidth="1"/>
    <col min="256" max="256" width="13" customWidth="1"/>
    <col min="257" max="257" width="13.44140625" customWidth="1"/>
    <col min="258" max="258" width="12" customWidth="1"/>
    <col min="259" max="259" width="12.6640625" customWidth="1"/>
    <col min="260" max="260" width="10.33203125" hidden="1" customWidth="1"/>
    <col min="261" max="261" width="0" hidden="1" customWidth="1"/>
    <col min="262" max="262" width="37.44140625" customWidth="1"/>
    <col min="263" max="263" width="1.33203125" customWidth="1"/>
    <col min="264" max="264" width="13.33203125" bestFit="1" customWidth="1"/>
    <col min="265" max="265" width="12.33203125" bestFit="1" customWidth="1"/>
    <col min="266" max="266" width="13.33203125" customWidth="1"/>
    <col min="267" max="267" width="12.33203125" hidden="1" customWidth="1"/>
    <col min="268" max="268" width="12.33203125" bestFit="1" customWidth="1"/>
    <col min="269" max="269" width="1.33203125" customWidth="1"/>
    <col min="270" max="270" width="13.5546875" hidden="1" customWidth="1"/>
    <col min="271" max="271" width="12.33203125" hidden="1" customWidth="1"/>
    <col min="272" max="272" width="13.33203125" hidden="1" customWidth="1"/>
    <col min="273" max="273" width="13" hidden="1" customWidth="1"/>
    <col min="274" max="274" width="12.6640625" hidden="1" customWidth="1"/>
    <col min="275" max="275" width="14.44140625" hidden="1" customWidth="1"/>
    <col min="276" max="276" width="12" hidden="1" customWidth="1"/>
    <col min="277" max="278" width="11.6640625" hidden="1" customWidth="1"/>
    <col min="279" max="279" width="13" hidden="1" customWidth="1"/>
    <col min="280" max="280" width="10.33203125" hidden="1" customWidth="1"/>
    <col min="281" max="281" width="11.6640625" hidden="1" customWidth="1"/>
    <col min="282" max="282" width="0" hidden="1" customWidth="1"/>
    <col min="283" max="283" width="10.33203125" hidden="1" customWidth="1"/>
    <col min="284" max="284" width="10.44140625" hidden="1" customWidth="1"/>
    <col min="285" max="285" width="11.33203125" customWidth="1"/>
    <col min="286" max="286" width="11.6640625" bestFit="1" customWidth="1"/>
    <col min="287" max="287" width="10.33203125" bestFit="1" customWidth="1"/>
    <col min="288" max="288" width="11.6640625" bestFit="1" customWidth="1"/>
    <col min="289" max="289" width="12.33203125" bestFit="1" customWidth="1"/>
    <col min="290" max="290" width="11.6640625" bestFit="1" customWidth="1"/>
    <col min="291" max="291" width="10.44140625" bestFit="1" customWidth="1"/>
    <col min="292" max="292" width="11.6640625" bestFit="1" customWidth="1"/>
    <col min="293" max="293" width="12.33203125" bestFit="1" customWidth="1"/>
    <col min="294" max="294" width="11.6640625" bestFit="1" customWidth="1"/>
    <col min="295" max="295" width="12" customWidth="1"/>
    <col min="296" max="296" width="12.33203125" bestFit="1" customWidth="1"/>
    <col min="299" max="299" width="11.6640625" bestFit="1" customWidth="1"/>
    <col min="300" max="300" width="7.33203125" bestFit="1" customWidth="1"/>
    <col min="301" max="301" width="11.6640625" bestFit="1" customWidth="1"/>
    <col min="302" max="302" width="9.44140625" customWidth="1"/>
    <col min="303" max="303" width="11.6640625" bestFit="1" customWidth="1"/>
    <col min="304" max="305" width="12" bestFit="1" customWidth="1"/>
    <col min="306" max="306" width="8.5546875" customWidth="1"/>
    <col min="307" max="307" width="11.6640625" bestFit="1" customWidth="1"/>
    <col min="308" max="308" width="10.44140625" bestFit="1" customWidth="1"/>
    <col min="309" max="309" width="12" bestFit="1" customWidth="1"/>
    <col min="310" max="310" width="9.5546875" customWidth="1"/>
    <col min="311" max="311" width="11.6640625" bestFit="1" customWidth="1"/>
    <col min="314" max="314" width="13" customWidth="1"/>
    <col min="315" max="315" width="1.33203125" customWidth="1"/>
    <col min="316" max="316" width="6.6640625" customWidth="1"/>
    <col min="317" max="317" width="21.33203125" customWidth="1"/>
    <col min="318" max="318" width="16" customWidth="1"/>
    <col min="319" max="319" width="15.5546875" bestFit="1" customWidth="1"/>
    <col min="320" max="320" width="13.33203125" bestFit="1" customWidth="1"/>
    <col min="321" max="321" width="13" bestFit="1" customWidth="1"/>
    <col min="322" max="322" width="3.6640625" customWidth="1"/>
    <col min="323" max="323" width="12.5546875" bestFit="1" customWidth="1"/>
    <col min="327" max="327" width="11.5546875" customWidth="1"/>
    <col min="331" max="338" width="8.6640625" customWidth="1"/>
    <col min="345" max="345" width="8.6640625" customWidth="1"/>
    <col min="346" max="346" width="6.33203125" customWidth="1"/>
    <col min="348" max="348" width="1.33203125" customWidth="1"/>
    <col min="354" max="354" width="12.33203125" customWidth="1"/>
    <col min="355" max="358" width="8.6640625" customWidth="1"/>
    <col min="364" max="364" width="0" hidden="1" customWidth="1"/>
    <col min="365" max="365" width="1.33203125" customWidth="1"/>
    <col min="366" max="366" width="6.6640625" customWidth="1"/>
    <col min="367" max="367" width="16.33203125" customWidth="1"/>
    <col min="368" max="368" width="13.33203125" customWidth="1"/>
    <col min="369" max="369" width="25.33203125" customWidth="1"/>
    <col min="370" max="370" width="14.33203125" bestFit="1" customWidth="1"/>
    <col min="371" max="371" width="14.44140625" customWidth="1"/>
    <col min="372" max="372" width="13.44140625" bestFit="1" customWidth="1"/>
    <col min="374" max="374" width="0" hidden="1" customWidth="1"/>
    <col min="376" max="376" width="49.33203125" customWidth="1"/>
    <col min="377" max="377" width="1.33203125" customWidth="1"/>
    <col min="378" max="378" width="15.33203125" customWidth="1"/>
    <col min="379" max="379" width="10.33203125" bestFit="1" customWidth="1"/>
    <col min="380" max="380" width="13.6640625" bestFit="1" customWidth="1"/>
    <col min="381" max="381" width="9.44140625" customWidth="1"/>
    <col min="382" max="382" width="9.6640625" customWidth="1"/>
    <col min="383" max="383" width="12.33203125" customWidth="1"/>
    <col min="384" max="384" width="10.44140625" bestFit="1" customWidth="1"/>
    <col min="385" max="385" width="9" customWidth="1"/>
    <col min="386" max="386" width="13.6640625" bestFit="1" customWidth="1"/>
    <col min="387" max="387" width="12" bestFit="1" customWidth="1"/>
    <col min="388" max="388" width="13" bestFit="1" customWidth="1"/>
    <col min="389" max="389" width="9.6640625" bestFit="1" customWidth="1"/>
    <col min="390" max="390" width="9.33203125" bestFit="1" customWidth="1"/>
    <col min="391" max="391" width="12.6640625" customWidth="1"/>
    <col min="392" max="392" width="13.6640625" bestFit="1" customWidth="1"/>
    <col min="393" max="393" width="9.44140625" bestFit="1" customWidth="1"/>
    <col min="394" max="394" width="9.6640625" bestFit="1" customWidth="1"/>
    <col min="395" max="395" width="13.5546875" bestFit="1" customWidth="1"/>
    <col min="396" max="396" width="7.6640625" customWidth="1"/>
    <col min="397" max="397" width="9.33203125" customWidth="1"/>
    <col min="398" max="398" width="15.5546875" customWidth="1"/>
    <col min="399" max="399" width="9.44140625" customWidth="1"/>
    <col min="400" max="400" width="9.6640625" customWidth="1"/>
    <col min="401" max="401" width="13.5546875" customWidth="1"/>
    <col min="402" max="403" width="9.33203125" customWidth="1"/>
    <col min="404" max="404" width="15.5546875" customWidth="1"/>
    <col min="405" max="405" width="9.44140625" customWidth="1"/>
    <col min="406" max="406" width="9.6640625" customWidth="1"/>
    <col min="407" max="407" width="8.6640625" customWidth="1"/>
    <col min="408" max="408" width="1.33203125" customWidth="1"/>
    <col min="409" max="409" width="6.6640625" customWidth="1"/>
    <col min="410" max="410" width="13" customWidth="1"/>
    <col min="411" max="411" width="12.33203125" customWidth="1"/>
    <col min="413" max="413" width="12" customWidth="1"/>
    <col min="414" max="414" width="1.33203125" customWidth="1"/>
    <col min="415" max="415" width="17.33203125" customWidth="1"/>
    <col min="416" max="417" width="17.6640625" customWidth="1"/>
    <col min="418" max="418" width="15.33203125" customWidth="1"/>
    <col min="419" max="419" width="13.6640625" customWidth="1"/>
    <col min="420" max="420" width="14.44140625" customWidth="1"/>
    <col min="421" max="421" width="12.33203125" bestFit="1" customWidth="1"/>
    <col min="422" max="422" width="11.6640625" bestFit="1" customWidth="1"/>
    <col min="423" max="423" width="12" bestFit="1" customWidth="1"/>
    <col min="424" max="424" width="11.6640625" bestFit="1" customWidth="1"/>
    <col min="425" max="425" width="13.33203125" customWidth="1"/>
    <col min="426" max="426" width="13.44140625" customWidth="1"/>
    <col min="427" max="427" width="10.33203125" customWidth="1"/>
    <col min="428" max="428" width="11.6640625" bestFit="1" customWidth="1"/>
    <col min="429" max="429" width="6.6640625" bestFit="1" customWidth="1"/>
    <col min="430" max="430" width="11.6640625" bestFit="1" customWidth="1"/>
    <col min="431" max="431" width="11.5546875" bestFit="1" customWidth="1"/>
    <col min="432" max="432" width="12.33203125" customWidth="1"/>
    <col min="433" max="433" width="11.6640625" bestFit="1" customWidth="1"/>
    <col min="434" max="434" width="11.33203125" customWidth="1"/>
    <col min="435" max="435" width="11.6640625" bestFit="1" customWidth="1"/>
    <col min="436" max="436" width="10.33203125" customWidth="1"/>
    <col min="437" max="437" width="11.6640625" bestFit="1" customWidth="1"/>
    <col min="438" max="438" width="12.33203125" customWidth="1"/>
    <col min="439" max="439" width="11.6640625" bestFit="1" customWidth="1"/>
    <col min="440" max="440" width="13.44140625" customWidth="1"/>
    <col min="441" max="441" width="14.6640625" customWidth="1"/>
    <col min="442" max="442" width="11.33203125" bestFit="1" customWidth="1"/>
    <col min="443" max="443" width="12.6640625" bestFit="1" customWidth="1"/>
    <col min="444" max="444" width="12.33203125" customWidth="1"/>
    <col min="445" max="445" width="10" customWidth="1"/>
    <col min="446" max="446" width="11.6640625" bestFit="1" customWidth="1"/>
    <col min="447" max="447" width="9.6640625" customWidth="1"/>
    <col min="448" max="448" width="11.6640625" bestFit="1" customWidth="1"/>
    <col min="449" max="449" width="11" customWidth="1"/>
    <col min="450" max="450" width="11.6640625" bestFit="1" customWidth="1"/>
    <col min="451" max="451" width="9.6640625" customWidth="1"/>
    <col min="452" max="452" width="11.6640625" bestFit="1" customWidth="1"/>
    <col min="453" max="453" width="9.33203125" bestFit="1" customWidth="1"/>
    <col min="454" max="454" width="11.6640625" bestFit="1" customWidth="1"/>
    <col min="455" max="455" width="8.33203125" customWidth="1"/>
    <col min="456" max="456" width="11.6640625" bestFit="1" customWidth="1"/>
    <col min="457" max="457" width="13.6640625" customWidth="1"/>
    <col min="458" max="458" width="9.33203125" hidden="1" customWidth="1"/>
    <col min="459" max="459" width="9.5546875" hidden="1" customWidth="1"/>
    <col min="460" max="463" width="9.33203125" hidden="1" customWidth="1"/>
    <col min="464" max="464" width="9.5546875" hidden="1" customWidth="1"/>
    <col min="465" max="468" width="8.6640625" hidden="1" customWidth="1"/>
    <col min="469" max="469" width="13.44140625" hidden="1" customWidth="1"/>
    <col min="470" max="470" width="8.6640625" hidden="1" customWidth="1"/>
    <col min="471" max="471" width="9.33203125" hidden="1" customWidth="1"/>
    <col min="472" max="472" width="1.33203125" customWidth="1"/>
    <col min="473" max="473" width="6.6640625" customWidth="1"/>
    <col min="479" max="479" width="1.33203125" customWidth="1"/>
    <col min="480" max="480" width="6.6640625" customWidth="1"/>
    <col min="481" max="482" width="14" customWidth="1"/>
    <col min="484" max="485" width="12.33203125" customWidth="1"/>
    <col min="486" max="487" width="14" customWidth="1"/>
    <col min="488" max="488" width="10.6640625" customWidth="1"/>
    <col min="489" max="489" width="12" bestFit="1" customWidth="1"/>
    <col min="490" max="493" width="12" customWidth="1"/>
    <col min="494" max="494" width="12.6640625" customWidth="1"/>
    <col min="495" max="495" width="11.5546875" customWidth="1"/>
    <col min="496" max="497" width="14.33203125" customWidth="1"/>
    <col min="507" max="522" width="0" hidden="1" customWidth="1"/>
    <col min="523" max="523" width="12.33203125" hidden="1" customWidth="1"/>
    <col min="524" max="526" width="8.6640625" hidden="1" customWidth="1"/>
    <col min="527" max="527" width="8.6640625" customWidth="1"/>
  </cols>
  <sheetData>
    <row r="1" spans="2:97">
      <c r="AX1">
        <v>5833.63</v>
      </c>
    </row>
    <row r="2" spans="2:97">
      <c r="O2" s="887"/>
      <c r="P2" s="887"/>
      <c r="Q2" s="887"/>
      <c r="R2" s="887"/>
    </row>
    <row r="6" spans="2:97">
      <c r="G6" s="431">
        <f>+ROUND('March TIS'!H43,0)</f>
        <v>286</v>
      </c>
      <c r="AR6" s="987">
        <f>AR11+AS11</f>
        <v>90368.483902000007</v>
      </c>
    </row>
    <row r="7" spans="2:97" ht="27.6" customHeight="1">
      <c r="G7" s="98" t="e">
        <f>+ROUND('March TIS'!H44,0/mm)</f>
        <v>#NAME?</v>
      </c>
      <c r="AI7" s="1006"/>
      <c r="AJ7" s="1006"/>
      <c r="AK7" s="1006"/>
    </row>
    <row r="8" spans="2:97" ht="14.7" customHeight="1">
      <c r="B8" s="2625" t="s">
        <v>103</v>
      </c>
      <c r="C8" s="993"/>
      <c r="D8" s="993"/>
      <c r="E8" s="993"/>
      <c r="F8" s="993"/>
      <c r="G8" s="993"/>
      <c r="H8" s="993"/>
      <c r="I8" s="993"/>
      <c r="J8" s="993"/>
      <c r="K8" s="993"/>
      <c r="L8" s="993"/>
      <c r="M8" s="993"/>
      <c r="N8" s="993"/>
      <c r="O8" s="2727" t="s">
        <v>18</v>
      </c>
      <c r="P8" s="2727"/>
      <c r="Q8" s="2727"/>
      <c r="R8" s="2727"/>
      <c r="S8" s="2727"/>
      <c r="T8" s="2728"/>
      <c r="U8" s="1221"/>
      <c r="V8" s="1221"/>
      <c r="W8" s="1221"/>
      <c r="X8" s="1222"/>
      <c r="Z8" s="2729"/>
      <c r="AA8" s="2729"/>
      <c r="AB8" s="2730"/>
      <c r="AC8" s="1702"/>
      <c r="AD8" s="1702"/>
      <c r="AE8" s="1702"/>
      <c r="AF8" s="1702"/>
      <c r="AG8" s="1702"/>
      <c r="AH8" s="1702"/>
      <c r="AI8" s="2731" t="s">
        <v>126</v>
      </c>
      <c r="AJ8" s="2732"/>
      <c r="AK8" s="2732"/>
      <c r="AL8" s="2733"/>
      <c r="AM8" s="1269"/>
      <c r="AN8" s="1269"/>
      <c r="AO8" s="1269"/>
      <c r="AP8" s="1269"/>
      <c r="AQ8" s="1269"/>
      <c r="AR8" s="1269"/>
      <c r="AS8" s="1269"/>
      <c r="AT8" s="466"/>
      <c r="AU8" s="1007"/>
      <c r="AV8" s="1269"/>
      <c r="AX8" s="2734" t="s">
        <v>107</v>
      </c>
      <c r="AY8" s="2735"/>
      <c r="AZ8" s="2735"/>
      <c r="BA8" s="2735"/>
      <c r="BB8" s="2735"/>
      <c r="BC8" s="2735"/>
      <c r="BD8" s="2736"/>
      <c r="BE8" s="41"/>
      <c r="BK8" s="2753" t="s">
        <v>108</v>
      </c>
      <c r="BL8" s="2754"/>
      <c r="BM8" s="2754"/>
      <c r="BN8" s="2754"/>
      <c r="BO8" s="2754"/>
      <c r="BP8" s="2754"/>
      <c r="BQ8" s="2755"/>
      <c r="BR8" s="42"/>
      <c r="BS8" s="2671" t="s">
        <v>181</v>
      </c>
      <c r="BT8" s="42"/>
      <c r="BU8" s="42"/>
      <c r="BV8" s="42"/>
      <c r="BW8" s="42"/>
      <c r="BX8" s="42"/>
      <c r="BY8" s="42"/>
      <c r="BZ8" s="42"/>
      <c r="CA8" s="42"/>
      <c r="CB8" s="42"/>
      <c r="CC8" s="42"/>
      <c r="CD8" s="42"/>
      <c r="CE8" s="42"/>
      <c r="CF8" s="42"/>
      <c r="CG8" s="42"/>
      <c r="CH8" s="42"/>
      <c r="CI8" s="42"/>
      <c r="CJ8" s="42"/>
      <c r="CK8" s="42"/>
    </row>
    <row r="9" spans="2:97" ht="14.4" customHeight="1">
      <c r="B9" s="2626"/>
      <c r="C9" s="2624" t="s">
        <v>111</v>
      </c>
      <c r="D9" s="2628"/>
      <c r="E9" s="2628"/>
      <c r="F9" s="2628"/>
      <c r="G9" s="2628"/>
      <c r="H9" s="2628"/>
      <c r="I9" s="2628"/>
      <c r="J9" s="2628"/>
      <c r="K9" s="2628"/>
      <c r="L9" s="2628"/>
      <c r="M9" s="2628"/>
      <c r="N9" s="993"/>
      <c r="O9" s="2740" t="s">
        <v>3</v>
      </c>
      <c r="P9" s="2742"/>
      <c r="Q9" s="2742"/>
      <c r="R9" s="2740"/>
      <c r="S9" s="2671" t="s">
        <v>127</v>
      </c>
      <c r="T9" s="2671" t="s">
        <v>145</v>
      </c>
      <c r="U9" s="42"/>
      <c r="V9" s="42"/>
      <c r="W9" s="42"/>
      <c r="X9" s="2671" t="s">
        <v>375</v>
      </c>
      <c r="Y9" s="42"/>
      <c r="Z9" s="2743" t="s">
        <v>376</v>
      </c>
      <c r="AA9" s="2744"/>
      <c r="AB9" s="2745"/>
      <c r="AC9" s="1704" t="s">
        <v>112</v>
      </c>
      <c r="AD9" s="1703"/>
      <c r="AE9" s="1703"/>
      <c r="AF9" s="1703"/>
      <c r="AG9" s="1703"/>
      <c r="AH9" s="1703"/>
      <c r="AI9" s="2749" t="s">
        <v>377</v>
      </c>
      <c r="AJ9" s="2750"/>
      <c r="AK9" s="2750"/>
      <c r="AL9" s="2751"/>
      <c r="AM9" s="1270"/>
      <c r="AN9" s="1270"/>
      <c r="AO9" s="2752"/>
      <c r="AP9" s="2752"/>
      <c r="AQ9" s="2752"/>
      <c r="AR9" s="2752"/>
      <c r="AS9" s="1270"/>
      <c r="AT9" s="1007"/>
      <c r="AU9" s="1359" t="s">
        <v>378</v>
      </c>
      <c r="AV9" s="1270"/>
      <c r="AW9" s="1007"/>
      <c r="AX9" s="2632" t="s">
        <v>77</v>
      </c>
      <c r="AY9" s="2671" t="s">
        <v>167</v>
      </c>
      <c r="AZ9" s="2624" t="s">
        <v>379</v>
      </c>
      <c r="BA9" s="2628"/>
      <c r="BB9" s="2628"/>
      <c r="BC9" s="2628"/>
      <c r="BD9" s="2631"/>
      <c r="BE9" s="41"/>
      <c r="BF9" s="1007"/>
      <c r="BG9" s="1007"/>
      <c r="BH9" s="1007"/>
      <c r="BI9" s="1007"/>
      <c r="BJ9" s="1007"/>
      <c r="BK9" s="182" t="s">
        <v>170</v>
      </c>
      <c r="BL9" s="2619" t="s">
        <v>171</v>
      </c>
      <c r="BM9" s="2673"/>
      <c r="BN9" s="2673"/>
      <c r="BO9" s="2676"/>
      <c r="BP9" s="2690" t="s">
        <v>172</v>
      </c>
      <c r="BQ9" s="2671" t="s">
        <v>145</v>
      </c>
      <c r="BR9" s="42"/>
      <c r="BS9" s="2672"/>
      <c r="BT9" s="42"/>
      <c r="BU9" s="42"/>
      <c r="BV9" s="42"/>
      <c r="BW9" s="42"/>
      <c r="BX9" s="42"/>
      <c r="BY9" s="42"/>
      <c r="BZ9" s="42"/>
      <c r="CA9" s="42"/>
      <c r="CB9" s="42"/>
      <c r="CC9" s="42"/>
      <c r="CD9" s="42"/>
      <c r="CE9" s="42"/>
      <c r="CF9" s="42"/>
      <c r="CG9" s="42"/>
      <c r="CH9" s="42"/>
      <c r="CI9" s="42"/>
      <c r="CJ9" s="42"/>
      <c r="CK9" s="42"/>
      <c r="CL9" s="1046"/>
    </row>
    <row r="10" spans="2:97" ht="34.200000000000003" customHeight="1">
      <c r="B10" s="2626"/>
      <c r="C10" s="2632" t="s">
        <v>3</v>
      </c>
      <c r="D10" s="2632" t="s">
        <v>126</v>
      </c>
      <c r="E10" s="2632" t="s">
        <v>127</v>
      </c>
      <c r="F10" s="2632" t="s">
        <v>212</v>
      </c>
      <c r="G10" s="2632"/>
      <c r="H10" s="2632" t="s">
        <v>128</v>
      </c>
      <c r="I10" s="2632"/>
      <c r="J10" s="2633"/>
      <c r="K10" s="2634"/>
      <c r="L10" s="2633"/>
      <c r="M10" s="2635"/>
      <c r="N10" s="993"/>
      <c r="O10" s="2741"/>
      <c r="P10" s="2681"/>
      <c r="Q10" s="2681"/>
      <c r="R10" s="2682"/>
      <c r="S10" s="2737"/>
      <c r="T10" s="2737"/>
      <c r="U10" s="2738" t="s">
        <v>380</v>
      </c>
      <c r="V10" s="2739"/>
      <c r="W10" s="2739"/>
      <c r="X10" s="2737"/>
      <c r="Y10" s="42"/>
      <c r="Z10" s="2746"/>
      <c r="AA10" s="2747"/>
      <c r="AB10" s="2748"/>
      <c r="AC10" s="1003" t="s">
        <v>130</v>
      </c>
      <c r="AD10" s="1003" t="s">
        <v>243</v>
      </c>
      <c r="AE10" s="1003" t="s">
        <v>244</v>
      </c>
      <c r="AF10" s="1003" t="s">
        <v>165</v>
      </c>
      <c r="AG10" s="1003" t="s">
        <v>7</v>
      </c>
      <c r="AH10" s="1003" t="s">
        <v>145</v>
      </c>
      <c r="AI10" s="1008" t="s">
        <v>147</v>
      </c>
      <c r="AJ10" s="1008" t="s">
        <v>69</v>
      </c>
      <c r="AK10" s="1008" t="s">
        <v>71</v>
      </c>
      <c r="AL10" s="1009"/>
      <c r="AM10" s="1413"/>
      <c r="AN10" s="1413"/>
      <c r="AO10" s="1308" t="s">
        <v>381</v>
      </c>
      <c r="AP10" s="1308" t="s">
        <v>382</v>
      </c>
      <c r="AQ10" s="1322" t="s">
        <v>7</v>
      </c>
      <c r="AR10" s="1308" t="s">
        <v>383</v>
      </c>
      <c r="AS10" s="1308" t="s">
        <v>384</v>
      </c>
      <c r="AT10" s="1007"/>
      <c r="AU10" s="1360" t="s">
        <v>385</v>
      </c>
      <c r="AV10" s="1413"/>
      <c r="AW10" s="1007"/>
      <c r="AX10" s="2632"/>
      <c r="AY10" s="2737"/>
      <c r="AZ10" s="2632" t="s">
        <v>168</v>
      </c>
      <c r="BA10" s="2632"/>
      <c r="BB10" s="2632"/>
      <c r="BC10" s="2632"/>
      <c r="BD10" s="2632"/>
      <c r="BE10" s="42"/>
      <c r="BF10" s="1007"/>
      <c r="BG10" s="1007"/>
      <c r="BH10" s="1007"/>
      <c r="BI10" s="1007"/>
      <c r="BJ10" s="1007"/>
      <c r="BK10" s="184" t="s">
        <v>168</v>
      </c>
      <c r="BL10" s="43" t="s">
        <v>198</v>
      </c>
      <c r="BM10" s="43" t="s">
        <v>199</v>
      </c>
      <c r="BN10" s="44" t="s">
        <v>200</v>
      </c>
      <c r="BO10" s="45" t="s">
        <v>201</v>
      </c>
      <c r="BP10" s="2691"/>
      <c r="BQ10" s="2672"/>
      <c r="BR10" s="42"/>
      <c r="BS10" s="181" t="s">
        <v>377</v>
      </c>
      <c r="BT10" s="42"/>
      <c r="BU10" s="42"/>
      <c r="BV10" s="42"/>
      <c r="BW10" s="42"/>
      <c r="BX10" s="42"/>
      <c r="BY10" s="42"/>
      <c r="BZ10" s="42"/>
      <c r="CA10" s="42"/>
      <c r="CB10" s="42"/>
      <c r="CC10" s="42"/>
      <c r="CD10" s="42"/>
      <c r="CE10" s="42"/>
      <c r="CF10" s="42"/>
      <c r="CG10" s="42"/>
      <c r="CH10" s="42"/>
      <c r="CI10" s="42"/>
      <c r="CJ10" s="42"/>
      <c r="CK10" s="42"/>
    </row>
    <row r="11" spans="2:97" ht="15" thickBot="1">
      <c r="B11" s="2726"/>
      <c r="C11" s="2632"/>
      <c r="D11" s="2632"/>
      <c r="E11" s="2632"/>
      <c r="F11" s="181"/>
      <c r="G11" s="181"/>
      <c r="H11" s="181" t="s">
        <v>193</v>
      </c>
      <c r="I11" s="181" t="s">
        <v>194</v>
      </c>
      <c r="J11" s="181"/>
      <c r="K11" s="181"/>
      <c r="L11" s="181"/>
      <c r="M11" s="182"/>
      <c r="N11" s="993"/>
      <c r="O11" s="2682"/>
      <c r="P11" s="1002" t="s">
        <v>69</v>
      </c>
      <c r="Q11" s="184" t="s">
        <v>71</v>
      </c>
      <c r="R11" s="184" t="s">
        <v>284</v>
      </c>
      <c r="S11" s="2672"/>
      <c r="T11" s="2672"/>
      <c r="U11" s="1411" t="s">
        <v>386</v>
      </c>
      <c r="V11" s="1010" t="s">
        <v>387</v>
      </c>
      <c r="W11" s="1010" t="s">
        <v>807</v>
      </c>
      <c r="X11" s="2672"/>
      <c r="Y11" s="42"/>
      <c r="Z11" s="888" t="s">
        <v>69</v>
      </c>
      <c r="AA11" s="184" t="s">
        <v>71</v>
      </c>
      <c r="AB11" s="184" t="s">
        <v>284</v>
      </c>
      <c r="AC11" s="184"/>
      <c r="AD11" s="184"/>
      <c r="AE11" s="184"/>
      <c r="AF11" s="184"/>
      <c r="AG11" s="184"/>
      <c r="AH11" s="184"/>
      <c r="AI11" s="1011">
        <f>'[1]September TIS'!AB44</f>
        <v>0</v>
      </c>
      <c r="AJ11" s="1011">
        <f>'February TIS'!AD44</f>
        <v>712.6105597799999</v>
      </c>
      <c r="AK11" s="1011">
        <f>'February TIS'!AE44</f>
        <v>179147.22495408001</v>
      </c>
      <c r="AL11" s="1932">
        <f t="shared" ref="AL11:AL42" si="0">SUM(AI11:AK11)</f>
        <v>179859.83551386002</v>
      </c>
      <c r="AM11" s="1007"/>
      <c r="AN11" s="1007"/>
      <c r="AO11" s="1309"/>
      <c r="AP11" s="1318">
        <v>0</v>
      </c>
      <c r="AQ11" s="1318"/>
      <c r="AR11" s="1728">
        <f>'February TIS'!AL44</f>
        <v>1520.0060283265202</v>
      </c>
      <c r="AS11" s="1728">
        <f>'February TIS'!AM44</f>
        <v>88848.477873673488</v>
      </c>
      <c r="AT11" s="1007"/>
      <c r="AU11" s="1476"/>
      <c r="AV11" s="1007"/>
      <c r="AW11" s="1013"/>
      <c r="AX11" s="2632"/>
      <c r="AY11" s="2672"/>
      <c r="AZ11" s="181" t="s">
        <v>61</v>
      </c>
      <c r="BA11" s="181" t="s">
        <v>62</v>
      </c>
      <c r="BB11" s="181" t="s">
        <v>63</v>
      </c>
      <c r="BC11" s="181" t="s">
        <v>196</v>
      </c>
      <c r="BD11" s="181" t="s">
        <v>197</v>
      </c>
      <c r="BE11" s="42"/>
      <c r="BF11" s="1013"/>
      <c r="BG11" s="1013"/>
      <c r="BH11" s="1013"/>
      <c r="BI11" s="1013"/>
      <c r="BJ11" s="1013"/>
      <c r="BK11" s="1395"/>
      <c r="BL11" s="17"/>
      <c r="BM11" s="18"/>
      <c r="BN11" s="1397"/>
      <c r="BO11" s="17"/>
      <c r="BP11" s="17"/>
      <c r="BQ11" s="1014"/>
      <c r="BR11" s="89"/>
      <c r="BS11" s="1228">
        <f>'February TIS'!BM44</f>
        <v>5364.0623950400004</v>
      </c>
      <c r="BT11" s="89"/>
      <c r="BU11" s="89"/>
      <c r="BV11" s="89"/>
      <c r="BW11" s="89"/>
      <c r="BX11" s="89"/>
      <c r="BY11" s="89"/>
      <c r="BZ11" s="89"/>
      <c r="CA11" s="89"/>
      <c r="CB11" s="89"/>
      <c r="CC11" s="89"/>
      <c r="CD11" s="89"/>
      <c r="CE11" s="89"/>
      <c r="CF11" s="89"/>
      <c r="CG11" s="89"/>
      <c r="CH11" s="89"/>
      <c r="CI11" s="89"/>
      <c r="CJ11" s="89"/>
      <c r="CK11" s="89"/>
      <c r="CM11" s="1006"/>
      <c r="CN11" s="1015" t="s">
        <v>285</v>
      </c>
      <c r="CO11" s="1015" t="s">
        <v>293</v>
      </c>
      <c r="CQ11" s="1006"/>
      <c r="CR11" s="1015" t="s">
        <v>286</v>
      </c>
      <c r="CS11" s="1015" t="s">
        <v>293</v>
      </c>
    </row>
    <row r="12" spans="2:97">
      <c r="B12" s="988">
        <v>1</v>
      </c>
      <c r="C12" s="488">
        <f t="shared" ref="C12:C43" si="1">O12</f>
        <v>20980</v>
      </c>
      <c r="D12" s="488">
        <f t="shared" ref="D12:D42" si="2">Q12+P12+AQ12</f>
        <v>1158.68</v>
      </c>
      <c r="E12" s="1016">
        <f t="shared" ref="E12:E42" si="3">S12</f>
        <v>18.106811198950528</v>
      </c>
      <c r="F12" s="1017"/>
      <c r="G12" s="494"/>
      <c r="H12" s="1018">
        <v>13</v>
      </c>
      <c r="I12" s="1019">
        <v>5</v>
      </c>
      <c r="N12" s="993"/>
      <c r="O12" s="26">
        <v>20980</v>
      </c>
      <c r="P12" s="1020"/>
      <c r="Q12" s="1933">
        <f t="shared" ref="Q12:Q42" si="4">W12+V12+U12</f>
        <v>1158.68</v>
      </c>
      <c r="R12" s="1227">
        <f t="shared" ref="R12:R42" si="5">SUM(P12:Q12)</f>
        <v>1158.68</v>
      </c>
      <c r="S12" s="27">
        <f t="shared" ref="S12:S42" si="6">IFERROR(O12/R12,0)</f>
        <v>18.106811198950528</v>
      </c>
      <c r="T12" s="33"/>
      <c r="U12" s="1479">
        <v>1158.68</v>
      </c>
      <c r="V12" s="1023"/>
      <c r="W12" s="1023"/>
      <c r="X12" s="1024">
        <v>3177</v>
      </c>
      <c r="Y12" s="1"/>
      <c r="Z12" s="1025"/>
      <c r="AA12" s="1025">
        <v>0</v>
      </c>
      <c r="AB12" s="1025">
        <f t="shared" ref="AB12:AB19" si="7">SUM(Z12:AA12)</f>
        <v>0</v>
      </c>
      <c r="AC12" s="1025">
        <v>0</v>
      </c>
      <c r="AD12" s="1025">
        <v>0</v>
      </c>
      <c r="AE12" s="1025">
        <v>0</v>
      </c>
      <c r="AF12" s="1025">
        <v>0</v>
      </c>
      <c r="AG12" s="1025">
        <v>0</v>
      </c>
      <c r="AH12" s="1025"/>
      <c r="AI12" s="1026"/>
      <c r="AJ12" s="1026">
        <f t="shared" ref="AJ12:AJ42" si="8">AJ11+P12-Z12</f>
        <v>712.6105597799999</v>
      </c>
      <c r="AK12" s="1026">
        <f>AK11+Q12+AU11-AA12</f>
        <v>180305.90495408</v>
      </c>
      <c r="AL12" s="1027">
        <f t="shared" si="0"/>
        <v>181018.51551386001</v>
      </c>
      <c r="AM12" s="1414"/>
      <c r="AN12" s="1414"/>
      <c r="AO12" s="1310"/>
      <c r="AP12" s="1310"/>
      <c r="AQ12" s="1934">
        <f t="shared" ref="AQ12:AQ42" si="9">AO12+AP12</f>
        <v>0</v>
      </c>
      <c r="AR12" s="1729">
        <f t="shared" ref="AR12:AR42" si="10">AR11+AO12-AT12</f>
        <v>1520.0060283265202</v>
      </c>
      <c r="AS12" s="1729">
        <f t="shared" ref="AS12:AS42" si="11">AS11+AP12-AU12</f>
        <v>88848.477873673488</v>
      </c>
      <c r="AT12" s="1007"/>
      <c r="AU12" s="1476"/>
      <c r="AV12" s="1414"/>
      <c r="AW12" s="987"/>
      <c r="AX12" s="1028">
        <f t="shared" ref="AX12:AX42" si="12">AB12</f>
        <v>0</v>
      </c>
      <c r="AY12" s="171"/>
      <c r="AZ12" s="2">
        <v>0</v>
      </c>
      <c r="BA12" s="63">
        <v>0</v>
      </c>
      <c r="BB12" s="63">
        <v>0</v>
      </c>
      <c r="BC12" s="63">
        <v>0</v>
      </c>
      <c r="BD12" s="1029">
        <v>0</v>
      </c>
      <c r="BF12" s="987"/>
      <c r="BG12" s="987"/>
      <c r="BH12" s="987"/>
      <c r="BI12" s="987"/>
      <c r="BJ12" s="987"/>
      <c r="BK12" s="1028"/>
      <c r="BL12" s="1028"/>
      <c r="BM12" s="1028"/>
      <c r="BN12" s="1028"/>
      <c r="BO12" s="1028"/>
      <c r="BP12" s="1030">
        <v>6.23</v>
      </c>
      <c r="BQ12" s="1031"/>
      <c r="BR12" s="1"/>
      <c r="BS12" s="1032">
        <f t="shared" ref="BS12:BS42" si="13">+BS11+AB12-BK12</f>
        <v>5364.0623950400004</v>
      </c>
      <c r="BT12" s="1"/>
      <c r="BU12" s="1"/>
      <c r="BV12" s="1"/>
      <c r="BW12" s="1"/>
      <c r="BX12" s="1"/>
      <c r="BY12" s="1"/>
      <c r="BZ12" s="1"/>
      <c r="CA12" s="1"/>
      <c r="CB12" s="1"/>
      <c r="CC12" s="1"/>
      <c r="CD12" s="1"/>
      <c r="CE12" s="1"/>
      <c r="CF12" s="1"/>
      <c r="CG12" s="1"/>
      <c r="CH12" s="1"/>
      <c r="CI12" s="1"/>
      <c r="CJ12" s="1"/>
      <c r="CK12" s="1"/>
      <c r="CM12" s="1033">
        <v>1</v>
      </c>
      <c r="CN12" s="1">
        <f t="shared" ref="CN12:CN42" si="14">D12</f>
        <v>1158.68</v>
      </c>
      <c r="CO12">
        <v>2603010012</v>
      </c>
      <c r="CQ12" s="412">
        <v>1</v>
      </c>
      <c r="CR12" s="1">
        <f t="shared" ref="CR12:CR42" si="15">AB12</f>
        <v>0</v>
      </c>
    </row>
    <row r="13" spans="2:97">
      <c r="B13" s="989">
        <v>2</v>
      </c>
      <c r="C13" s="5">
        <f t="shared" si="1"/>
        <v>30837</v>
      </c>
      <c r="D13" s="488">
        <f t="shared" si="2"/>
        <v>1293.58</v>
      </c>
      <c r="E13" s="15">
        <f t="shared" si="3"/>
        <v>23.838494720079161</v>
      </c>
      <c r="F13" s="363"/>
      <c r="G13" s="64"/>
      <c r="H13" s="1034">
        <v>1</v>
      </c>
      <c r="I13" s="1035">
        <v>3</v>
      </c>
      <c r="N13" s="993"/>
      <c r="O13" s="26">
        <v>30837</v>
      </c>
      <c r="P13" s="1036"/>
      <c r="Q13" s="277">
        <f t="shared" si="4"/>
        <v>1293.58</v>
      </c>
      <c r="R13" s="1227">
        <f t="shared" si="5"/>
        <v>1293.58</v>
      </c>
      <c r="S13" s="27">
        <f t="shared" si="6"/>
        <v>23.838494720079161</v>
      </c>
      <c r="T13" s="33"/>
      <c r="U13" s="1480">
        <v>1293.58</v>
      </c>
      <c r="V13" s="1464"/>
      <c r="W13" s="1037"/>
      <c r="X13" s="1038">
        <v>4129</v>
      </c>
      <c r="Y13" s="1"/>
      <c r="Z13" s="847"/>
      <c r="AA13" s="847">
        <v>3483.8900000000003</v>
      </c>
      <c r="AB13" s="1025">
        <f t="shared" si="7"/>
        <v>3483.8900000000003</v>
      </c>
      <c r="AC13" s="1025">
        <v>0</v>
      </c>
      <c r="AD13" s="1025">
        <v>0</v>
      </c>
      <c r="AE13" s="1025">
        <v>0</v>
      </c>
      <c r="AF13" s="1025">
        <v>3483.8900000000003</v>
      </c>
      <c r="AG13" s="1025">
        <v>3483.8900000000003</v>
      </c>
      <c r="AH13" s="1025"/>
      <c r="AI13" s="1039"/>
      <c r="AJ13" s="1026">
        <f t="shared" si="8"/>
        <v>712.6105597799999</v>
      </c>
      <c r="AK13" s="1026">
        <f t="shared" ref="AK13:AK42" si="16">AK12+Q13+AU12-AA13</f>
        <v>178115.59495407998</v>
      </c>
      <c r="AL13" s="1040">
        <f t="shared" si="0"/>
        <v>178828.20551385998</v>
      </c>
      <c r="AM13" s="1414"/>
      <c r="AN13" s="1414"/>
      <c r="AO13" s="1310"/>
      <c r="AP13" s="1310"/>
      <c r="AQ13" s="1934">
        <f t="shared" si="9"/>
        <v>0</v>
      </c>
      <c r="AR13" s="1729">
        <f t="shared" si="10"/>
        <v>1520.0060283265202</v>
      </c>
      <c r="AS13" s="1729">
        <f t="shared" si="11"/>
        <v>88848.477873673488</v>
      </c>
      <c r="AT13" s="1007"/>
      <c r="AU13" s="1476"/>
      <c r="AV13" s="1414"/>
      <c r="AW13" s="987"/>
      <c r="AX13" s="310">
        <f t="shared" si="12"/>
        <v>3483.8900000000003</v>
      </c>
      <c r="AY13" s="998"/>
      <c r="AZ13" s="4">
        <v>7195.3704508419341</v>
      </c>
      <c r="BA13" s="64">
        <v>1.2125746876697447</v>
      </c>
      <c r="BB13" s="64">
        <v>3.0653938077131997</v>
      </c>
      <c r="BC13" s="64">
        <v>5.1381477457903317</v>
      </c>
      <c r="BD13" s="482">
        <v>11.587253204780012</v>
      </c>
      <c r="BF13" s="987"/>
      <c r="BG13" s="987"/>
      <c r="BH13" s="987"/>
      <c r="BI13" s="987"/>
      <c r="BJ13" s="987"/>
      <c r="BK13" s="310"/>
      <c r="BL13" s="310"/>
      <c r="BM13" s="310"/>
      <c r="BN13" s="310"/>
      <c r="BO13" s="310"/>
      <c r="BP13" s="1041">
        <v>5.69</v>
      </c>
      <c r="BQ13" s="1042"/>
      <c r="BR13" s="1"/>
      <c r="BS13" s="1032">
        <f t="shared" si="13"/>
        <v>8847.9523950399998</v>
      </c>
      <c r="BT13" s="1"/>
      <c r="BU13" s="1"/>
      <c r="BV13" s="1"/>
      <c r="BW13" s="1"/>
      <c r="BX13" s="1"/>
      <c r="BY13" s="1"/>
      <c r="BZ13" s="1"/>
      <c r="CA13" s="1"/>
      <c r="CB13" s="1"/>
      <c r="CC13" s="1"/>
      <c r="CD13" s="1"/>
      <c r="CE13" s="1"/>
      <c r="CF13" s="1"/>
      <c r="CG13" s="1"/>
      <c r="CH13" s="1"/>
      <c r="CI13" s="1"/>
      <c r="CJ13" s="1"/>
      <c r="CK13" s="1"/>
      <c r="CM13" s="1033">
        <v>2</v>
      </c>
      <c r="CN13" s="1">
        <f t="shared" si="14"/>
        <v>1293.58</v>
      </c>
      <c r="CO13" s="1046">
        <v>2603020154</v>
      </c>
      <c r="CQ13" s="412">
        <v>2</v>
      </c>
      <c r="CR13" s="1">
        <f t="shared" si="15"/>
        <v>3483.8900000000003</v>
      </c>
      <c r="CS13">
        <v>2603020445</v>
      </c>
    </row>
    <row r="14" spans="2:97">
      <c r="B14" s="989">
        <v>3</v>
      </c>
      <c r="C14" s="5">
        <f t="shared" si="1"/>
        <v>20852</v>
      </c>
      <c r="D14" s="488">
        <f t="shared" si="2"/>
        <v>1129.78</v>
      </c>
      <c r="E14" s="15">
        <f t="shared" si="3"/>
        <v>18.456690683141851</v>
      </c>
      <c r="F14" s="363"/>
      <c r="G14" s="64"/>
      <c r="H14" s="1034">
        <v>23</v>
      </c>
      <c r="I14" s="1035">
        <v>8.75</v>
      </c>
      <c r="N14" s="993"/>
      <c r="O14" s="26">
        <v>20852</v>
      </c>
      <c r="P14" s="1036"/>
      <c r="Q14" s="277">
        <f t="shared" si="4"/>
        <v>1129.78</v>
      </c>
      <c r="R14" s="1227">
        <f t="shared" si="5"/>
        <v>1129.78</v>
      </c>
      <c r="S14" s="27">
        <f t="shared" si="6"/>
        <v>18.456690683141851</v>
      </c>
      <c r="T14" s="33"/>
      <c r="U14" s="2013">
        <v>1086.24</v>
      </c>
      <c r="V14" s="1464"/>
      <c r="W14" s="2011">
        <v>43.54</v>
      </c>
      <c r="X14" s="1038">
        <v>909</v>
      </c>
      <c r="Y14" s="1"/>
      <c r="Z14" s="847"/>
      <c r="AA14" s="847">
        <v>8202.5799999999981</v>
      </c>
      <c r="AB14" s="1025">
        <f t="shared" si="7"/>
        <v>8202.5799999999981</v>
      </c>
      <c r="AC14" s="1025">
        <v>0</v>
      </c>
      <c r="AD14" s="1025">
        <v>0</v>
      </c>
      <c r="AE14" s="1025">
        <v>4679.54</v>
      </c>
      <c r="AF14" s="1025">
        <v>3523.04</v>
      </c>
      <c r="AG14" s="1025">
        <v>8202.58</v>
      </c>
      <c r="AH14" s="1025"/>
      <c r="AI14" s="1039"/>
      <c r="AJ14" s="1026">
        <f t="shared" si="8"/>
        <v>712.6105597799999</v>
      </c>
      <c r="AK14" s="1026">
        <f t="shared" si="16"/>
        <v>171042.79495407999</v>
      </c>
      <c r="AL14" s="1040">
        <f t="shared" si="0"/>
        <v>171755.40551385999</v>
      </c>
      <c r="AM14" s="1414"/>
      <c r="AN14" s="1414"/>
      <c r="AO14" s="1310"/>
      <c r="AP14" s="1310"/>
      <c r="AQ14" s="1934">
        <f t="shared" si="9"/>
        <v>0</v>
      </c>
      <c r="AR14" s="1729">
        <f t="shared" si="10"/>
        <v>1520.0060283265202</v>
      </c>
      <c r="AS14" s="1729">
        <f t="shared" si="11"/>
        <v>88848.477873673488</v>
      </c>
      <c r="AT14" s="1007"/>
      <c r="AU14" s="1476"/>
      <c r="AV14" s="1414"/>
      <c r="AW14" s="987"/>
      <c r="AX14" s="310">
        <f t="shared" si="12"/>
        <v>8202.5799999999981</v>
      </c>
      <c r="AY14" s="1043"/>
      <c r="AZ14" s="4">
        <v>7107.6129032258068</v>
      </c>
      <c r="BA14" s="64">
        <v>1.3128387096774194</v>
      </c>
      <c r="BB14" s="64">
        <v>2.3261290322580646</v>
      </c>
      <c r="BC14" s="64">
        <v>5.9904516129032253</v>
      </c>
      <c r="BD14" s="482">
        <v>12.305991225806453</v>
      </c>
      <c r="BF14" s="987"/>
      <c r="BG14" s="987"/>
      <c r="BH14" s="987"/>
      <c r="BI14" s="987"/>
      <c r="BJ14" s="987"/>
      <c r="BK14" s="310">
        <v>7049.99</v>
      </c>
      <c r="BL14" s="310">
        <v>1</v>
      </c>
      <c r="BM14" s="310"/>
      <c r="BN14" s="310"/>
      <c r="BO14" s="310"/>
      <c r="BP14" s="1041">
        <v>5.99</v>
      </c>
      <c r="BQ14" s="1042"/>
      <c r="BR14" s="1"/>
      <c r="BS14" s="1032">
        <f t="shared" si="13"/>
        <v>10000.542395039998</v>
      </c>
      <c r="BT14" s="1"/>
      <c r="BU14" s="1"/>
      <c r="BV14" s="1"/>
      <c r="BW14" s="1"/>
      <c r="BX14" s="1"/>
      <c r="BY14" s="1"/>
      <c r="BZ14" s="1"/>
      <c r="CA14" s="1"/>
      <c r="CB14" s="1"/>
      <c r="CC14" s="1"/>
      <c r="CD14" s="1"/>
      <c r="CE14" s="1"/>
      <c r="CF14" s="1"/>
      <c r="CG14" s="1"/>
      <c r="CH14" s="1"/>
      <c r="CI14" s="1"/>
      <c r="CJ14" s="1"/>
      <c r="CK14" s="1"/>
      <c r="CM14" s="1033">
        <v>3</v>
      </c>
      <c r="CN14" s="1">
        <f t="shared" si="14"/>
        <v>1129.78</v>
      </c>
      <c r="CO14">
        <v>2603030372</v>
      </c>
      <c r="CQ14" s="412">
        <v>3</v>
      </c>
      <c r="CR14" s="1">
        <f t="shared" si="15"/>
        <v>8202.5799999999981</v>
      </c>
      <c r="CS14">
        <v>2603030924</v>
      </c>
    </row>
    <row r="15" spans="2:97">
      <c r="B15" s="989">
        <v>4</v>
      </c>
      <c r="C15" s="5">
        <f t="shared" si="1"/>
        <v>17845</v>
      </c>
      <c r="D15" s="488">
        <f t="shared" si="2"/>
        <v>1185.06</v>
      </c>
      <c r="E15" s="15">
        <f t="shared" si="3"/>
        <v>15.058309283918115</v>
      </c>
      <c r="F15" s="363"/>
      <c r="G15" s="64"/>
      <c r="H15" s="1034">
        <v>12</v>
      </c>
      <c r="I15" s="1035">
        <v>8.42</v>
      </c>
      <c r="N15" s="993"/>
      <c r="O15" s="26">
        <v>17845</v>
      </c>
      <c r="P15" s="1036"/>
      <c r="Q15" s="277">
        <f t="shared" si="4"/>
        <v>1185.06</v>
      </c>
      <c r="R15" s="1227">
        <f t="shared" si="5"/>
        <v>1185.06</v>
      </c>
      <c r="S15" s="27">
        <f t="shared" si="6"/>
        <v>15.058309283918115</v>
      </c>
      <c r="T15" s="33"/>
      <c r="U15" s="1481">
        <v>1185.06</v>
      </c>
      <c r="V15" s="1464"/>
      <c r="W15" s="1037"/>
      <c r="X15" s="1038"/>
      <c r="Y15" s="1"/>
      <c r="Z15" s="847"/>
      <c r="AA15" s="847">
        <v>9045.909999999998</v>
      </c>
      <c r="AB15" s="1025">
        <f t="shared" si="7"/>
        <v>9045.909999999998</v>
      </c>
      <c r="AC15" s="1025">
        <v>0</v>
      </c>
      <c r="AD15" s="1025">
        <v>0</v>
      </c>
      <c r="AE15" s="1025">
        <v>4927.8499999999995</v>
      </c>
      <c r="AF15" s="1025">
        <v>4118.0600000000004</v>
      </c>
      <c r="AG15" s="1025">
        <v>9045.91</v>
      </c>
      <c r="AH15" s="1025"/>
      <c r="AI15" s="1039"/>
      <c r="AJ15" s="1026">
        <f t="shared" si="8"/>
        <v>712.6105597799999</v>
      </c>
      <c r="AK15" s="1026">
        <f t="shared" si="16"/>
        <v>163181.94495407998</v>
      </c>
      <c r="AL15" s="1040">
        <f t="shared" si="0"/>
        <v>163894.55551385999</v>
      </c>
      <c r="AM15" s="1414"/>
      <c r="AN15" s="1414"/>
      <c r="AO15" s="1310"/>
      <c r="AP15" s="1310"/>
      <c r="AQ15" s="1934">
        <f t="shared" si="9"/>
        <v>0</v>
      </c>
      <c r="AR15" s="1729">
        <f t="shared" si="10"/>
        <v>1520.0060283265202</v>
      </c>
      <c r="AS15" s="1729">
        <f t="shared" si="11"/>
        <v>88848.477873673488</v>
      </c>
      <c r="AT15" s="1007"/>
      <c r="AU15" s="1476"/>
      <c r="AV15" s="1414"/>
      <c r="AW15" s="987"/>
      <c r="AX15" s="310">
        <f t="shared" si="12"/>
        <v>9045.909999999998</v>
      </c>
      <c r="AY15" s="998"/>
      <c r="AZ15" s="4">
        <v>7182.3824343781152</v>
      </c>
      <c r="BA15" s="64">
        <v>1.3653139882600511</v>
      </c>
      <c r="BB15" s="64">
        <v>3.5347292058921251</v>
      </c>
      <c r="BC15" s="64">
        <v>6.7890729870417532</v>
      </c>
      <c r="BD15" s="482">
        <v>11.363850177428287</v>
      </c>
      <c r="BF15" s="987"/>
      <c r="BG15" s="987"/>
      <c r="BH15" s="987"/>
      <c r="BI15" s="987"/>
      <c r="BJ15" s="987"/>
      <c r="BK15" s="310"/>
      <c r="BL15" s="310"/>
      <c r="BM15" s="310"/>
      <c r="BN15" s="310"/>
      <c r="BO15" s="310"/>
      <c r="BP15" s="1041">
        <v>6.29</v>
      </c>
      <c r="BQ15" s="1042"/>
      <c r="BR15" s="1"/>
      <c r="BS15" s="1032">
        <f t="shared" si="13"/>
        <v>19046.452395039996</v>
      </c>
      <c r="BT15" s="1"/>
      <c r="BU15" s="1"/>
      <c r="BV15" s="1"/>
      <c r="BW15" s="1"/>
      <c r="BX15" s="1"/>
      <c r="BY15" s="1"/>
      <c r="BZ15" s="1"/>
      <c r="CA15" s="1"/>
      <c r="CB15" s="1"/>
      <c r="CC15" s="1"/>
      <c r="CD15" s="1"/>
      <c r="CE15" s="1"/>
      <c r="CF15" s="1"/>
      <c r="CG15" s="1"/>
      <c r="CH15" s="1"/>
      <c r="CI15" s="1"/>
      <c r="CJ15" s="1"/>
      <c r="CK15" s="1"/>
      <c r="CM15" s="1033">
        <v>4</v>
      </c>
      <c r="CN15" s="1">
        <f t="shared" si="14"/>
        <v>1185.06</v>
      </c>
      <c r="CO15">
        <v>2603040554</v>
      </c>
      <c r="CQ15" s="412">
        <v>4</v>
      </c>
      <c r="CR15" s="1">
        <f t="shared" si="15"/>
        <v>9045.909999999998</v>
      </c>
      <c r="CS15">
        <v>2603041523</v>
      </c>
    </row>
    <row r="16" spans="2:97" ht="13.5" customHeight="1">
      <c r="B16" s="989">
        <v>5</v>
      </c>
      <c r="C16" s="5">
        <f t="shared" si="1"/>
        <v>25656</v>
      </c>
      <c r="D16" s="488">
        <f t="shared" si="2"/>
        <v>1959.56</v>
      </c>
      <c r="E16" s="15">
        <f t="shared" si="3"/>
        <v>13.092735103798812</v>
      </c>
      <c r="F16" s="363"/>
      <c r="G16" s="64"/>
      <c r="H16" s="1034"/>
      <c r="I16" s="1035"/>
      <c r="N16" s="993"/>
      <c r="O16" s="26">
        <v>25656</v>
      </c>
      <c r="P16" s="36"/>
      <c r="Q16" s="277">
        <f t="shared" si="4"/>
        <v>1959.56</v>
      </c>
      <c r="R16" s="1227">
        <f t="shared" si="5"/>
        <v>1959.56</v>
      </c>
      <c r="S16" s="27">
        <f t="shared" si="6"/>
        <v>13.092735103798812</v>
      </c>
      <c r="T16" s="33"/>
      <c r="U16" s="1480">
        <v>1959.56</v>
      </c>
      <c r="V16" s="1464"/>
      <c r="W16" s="1037"/>
      <c r="X16" s="1038">
        <v>774</v>
      </c>
      <c r="Y16" s="1"/>
      <c r="Z16" s="847"/>
      <c r="AA16" s="847">
        <v>8504.3900000000012</v>
      </c>
      <c r="AB16" s="1025">
        <f t="shared" si="7"/>
        <v>8504.3900000000012</v>
      </c>
      <c r="AC16" s="1025">
        <v>0</v>
      </c>
      <c r="AD16" s="1025">
        <v>0</v>
      </c>
      <c r="AE16" s="1025">
        <v>5224.3100000000004</v>
      </c>
      <c r="AF16" s="1025">
        <v>3280.08</v>
      </c>
      <c r="AG16" s="1025">
        <v>8504.39</v>
      </c>
      <c r="AH16" s="1025"/>
      <c r="AI16" s="1039"/>
      <c r="AJ16" s="1026">
        <f t="shared" si="8"/>
        <v>712.6105597799999</v>
      </c>
      <c r="AK16" s="1026">
        <f t="shared" si="16"/>
        <v>156637.11495407997</v>
      </c>
      <c r="AL16" s="1040">
        <f t="shared" si="0"/>
        <v>157349.72551385997</v>
      </c>
      <c r="AM16" s="1414"/>
      <c r="AN16" s="1414"/>
      <c r="AO16" s="1310"/>
      <c r="AP16" s="1310"/>
      <c r="AQ16" s="1934">
        <f t="shared" si="9"/>
        <v>0</v>
      </c>
      <c r="AR16" s="1729">
        <f t="shared" si="10"/>
        <v>1520.0060283265202</v>
      </c>
      <c r="AS16" s="1729">
        <f t="shared" si="11"/>
        <v>88848.477873673488</v>
      </c>
      <c r="AT16" s="1007"/>
      <c r="AU16" s="1476"/>
      <c r="AV16" s="1414"/>
      <c r="AW16" s="987"/>
      <c r="AX16" s="310">
        <f t="shared" si="12"/>
        <v>8504.3900000000012</v>
      </c>
      <c r="AY16" s="998"/>
      <c r="AZ16" s="4">
        <v>7166.9631460674154</v>
      </c>
      <c r="BA16" s="64">
        <v>1.3299910112359552</v>
      </c>
      <c r="BB16" s="64">
        <v>2.5504314606741567</v>
      </c>
      <c r="BC16" s="64">
        <v>5.8354898876404491</v>
      </c>
      <c r="BD16" s="482">
        <v>10.58754998516854</v>
      </c>
      <c r="BF16" s="987"/>
      <c r="BG16" s="987"/>
      <c r="BH16" s="987"/>
      <c r="BI16" s="987"/>
      <c r="BJ16" s="987"/>
      <c r="BK16" s="310"/>
      <c r="BL16" s="310"/>
      <c r="BM16" s="310">
        <v>1</v>
      </c>
      <c r="BN16" s="310"/>
      <c r="BO16" s="310">
        <v>1</v>
      </c>
      <c r="BP16" s="1041">
        <v>6.25</v>
      </c>
      <c r="BQ16" s="1042"/>
      <c r="BR16" s="1"/>
      <c r="BS16" s="1032">
        <f t="shared" si="13"/>
        <v>27550.842395039996</v>
      </c>
      <c r="BT16" s="1"/>
      <c r="BU16" s="1"/>
      <c r="BV16" s="1"/>
      <c r="BW16" s="1"/>
      <c r="BX16" s="1"/>
      <c r="BY16" s="1"/>
      <c r="BZ16" s="1"/>
      <c r="CA16" s="1"/>
      <c r="CB16" s="1"/>
      <c r="CC16" s="1"/>
      <c r="CD16" s="1"/>
      <c r="CE16" s="1"/>
      <c r="CF16" s="1"/>
      <c r="CG16" s="1"/>
      <c r="CH16" s="1"/>
      <c r="CI16" s="1"/>
      <c r="CJ16" s="1"/>
      <c r="CK16" s="1"/>
      <c r="CM16" s="1033">
        <v>5</v>
      </c>
      <c r="CN16" s="1">
        <f t="shared" si="14"/>
        <v>1959.56</v>
      </c>
      <c r="CO16" s="1045">
        <v>2603050682</v>
      </c>
      <c r="CQ16" s="412">
        <v>5</v>
      </c>
      <c r="CR16" s="1">
        <f t="shared" si="15"/>
        <v>8504.3900000000012</v>
      </c>
      <c r="CS16" s="1046">
        <v>2603051925</v>
      </c>
    </row>
    <row r="17" spans="2:97">
      <c r="B17" s="989">
        <v>6</v>
      </c>
      <c r="C17" s="5">
        <f t="shared" si="1"/>
        <v>23555</v>
      </c>
      <c r="D17" s="488">
        <f t="shared" si="2"/>
        <v>1415</v>
      </c>
      <c r="E17" s="15">
        <f t="shared" si="3"/>
        <v>16.646643109540637</v>
      </c>
      <c r="F17" s="363"/>
      <c r="G17" s="64"/>
      <c r="H17" s="1034">
        <v>27</v>
      </c>
      <c r="I17" s="1035">
        <v>8.25</v>
      </c>
      <c r="N17" s="993"/>
      <c r="O17" s="26">
        <v>23555</v>
      </c>
      <c r="P17" s="36"/>
      <c r="Q17" s="277">
        <f t="shared" si="4"/>
        <v>1415</v>
      </c>
      <c r="R17" s="1227">
        <f t="shared" si="5"/>
        <v>1415</v>
      </c>
      <c r="S17" s="27">
        <f t="shared" si="6"/>
        <v>16.646643109540637</v>
      </c>
      <c r="T17" s="33"/>
      <c r="U17" s="1480">
        <v>1415</v>
      </c>
      <c r="V17" s="1464"/>
      <c r="W17" s="1037"/>
      <c r="X17" s="1038">
        <v>144</v>
      </c>
      <c r="Y17" s="1"/>
      <c r="Z17" s="847"/>
      <c r="AA17" s="847">
        <v>8559.6400000000012</v>
      </c>
      <c r="AB17" s="1025">
        <f t="shared" si="7"/>
        <v>8559.6400000000012</v>
      </c>
      <c r="AC17" s="1025">
        <v>0</v>
      </c>
      <c r="AD17" s="1025">
        <v>0</v>
      </c>
      <c r="AE17" s="1025">
        <v>4653.28</v>
      </c>
      <c r="AF17" s="1025">
        <v>3906.3599999999997</v>
      </c>
      <c r="AG17" s="1025">
        <v>8559.64</v>
      </c>
      <c r="AH17" s="1025"/>
      <c r="AI17" s="1039"/>
      <c r="AJ17" s="1026">
        <f t="shared" si="8"/>
        <v>712.6105597799999</v>
      </c>
      <c r="AK17" s="1026">
        <f t="shared" si="16"/>
        <v>149492.47495407995</v>
      </c>
      <c r="AL17" s="1040">
        <f t="shared" si="0"/>
        <v>150205.08551385996</v>
      </c>
      <c r="AM17" s="1414"/>
      <c r="AN17" s="1414"/>
      <c r="AO17" s="1310"/>
      <c r="AP17" s="1310"/>
      <c r="AQ17" s="1934">
        <f t="shared" si="9"/>
        <v>0</v>
      </c>
      <c r="AR17" s="1729">
        <f t="shared" si="10"/>
        <v>1520.0060283265202</v>
      </c>
      <c r="AS17" s="1729">
        <f t="shared" si="11"/>
        <v>88848.477873673488</v>
      </c>
      <c r="AT17" s="1007"/>
      <c r="AU17" s="1476"/>
      <c r="AV17" s="1414"/>
      <c r="AW17" s="987"/>
      <c r="AX17" s="310">
        <f t="shared" si="12"/>
        <v>8559.6400000000012</v>
      </c>
      <c r="AY17" s="998"/>
      <c r="AZ17" s="4">
        <v>7274.2541549475836</v>
      </c>
      <c r="BA17" s="64">
        <v>1.3979059064177959</v>
      </c>
      <c r="BB17" s="64">
        <v>1.9088826387113271</v>
      </c>
      <c r="BC17" s="64">
        <v>5.4119176681155716</v>
      </c>
      <c r="BD17" s="482">
        <v>8.7253272078752246</v>
      </c>
      <c r="BF17" s="987"/>
      <c r="BG17" s="987"/>
      <c r="BH17" s="987"/>
      <c r="BI17" s="987"/>
      <c r="BJ17" s="987"/>
      <c r="BK17" s="310">
        <v>14917.06</v>
      </c>
      <c r="BL17" s="310">
        <v>2</v>
      </c>
      <c r="BM17" s="310"/>
      <c r="BN17" s="310"/>
      <c r="BO17" s="310"/>
      <c r="BP17" s="1041">
        <v>9.3699999999999992</v>
      </c>
      <c r="BQ17" s="1042"/>
      <c r="BR17" s="1"/>
      <c r="BS17" s="1032">
        <f t="shared" si="13"/>
        <v>21193.422395039997</v>
      </c>
      <c r="BT17" s="1"/>
      <c r="BU17" s="1"/>
      <c r="BV17" s="1"/>
      <c r="BW17" s="1"/>
      <c r="BX17" s="1"/>
      <c r="BY17" s="1"/>
      <c r="BZ17" s="1"/>
      <c r="CA17" s="1"/>
      <c r="CB17" s="1"/>
      <c r="CC17" s="1"/>
      <c r="CD17" s="1"/>
      <c r="CE17" s="1"/>
      <c r="CF17" s="1"/>
      <c r="CG17" s="1"/>
      <c r="CH17" s="1"/>
      <c r="CI17" s="1"/>
      <c r="CJ17" s="1"/>
      <c r="CK17" s="1"/>
      <c r="CM17" s="1033">
        <v>6</v>
      </c>
      <c r="CN17" s="1">
        <f t="shared" si="14"/>
        <v>1415</v>
      </c>
      <c r="CO17" s="1226">
        <v>2603060953</v>
      </c>
      <c r="CQ17" s="412">
        <v>6</v>
      </c>
      <c r="CR17" s="1">
        <f t="shared" si="15"/>
        <v>8559.6400000000012</v>
      </c>
      <c r="CS17">
        <v>2603062438</v>
      </c>
    </row>
    <row r="18" spans="2:97">
      <c r="B18" s="989">
        <v>7</v>
      </c>
      <c r="C18" s="5">
        <f t="shared" si="1"/>
        <v>19160</v>
      </c>
      <c r="D18" s="488">
        <f t="shared" si="2"/>
        <v>1127.76</v>
      </c>
      <c r="E18" s="15">
        <f t="shared" si="3"/>
        <v>16.989430375257147</v>
      </c>
      <c r="F18" s="363"/>
      <c r="G18" s="64"/>
      <c r="H18" s="1034"/>
      <c r="I18" s="1035"/>
      <c r="N18" s="993"/>
      <c r="O18" s="26">
        <v>19160</v>
      </c>
      <c r="P18" s="36"/>
      <c r="Q18" s="277">
        <f t="shared" si="4"/>
        <v>1127.76</v>
      </c>
      <c r="R18" s="1227">
        <f t="shared" si="5"/>
        <v>1127.76</v>
      </c>
      <c r="S18" s="27">
        <f t="shared" si="6"/>
        <v>16.989430375257147</v>
      </c>
      <c r="T18" s="33"/>
      <c r="U18" s="1480">
        <v>1127.76</v>
      </c>
      <c r="V18" s="1464"/>
      <c r="W18" s="1037"/>
      <c r="X18" s="1038">
        <v>714</v>
      </c>
      <c r="Y18" s="1"/>
      <c r="Z18" s="847"/>
      <c r="AA18" s="847">
        <v>8976.8900000000012</v>
      </c>
      <c r="AB18" s="1025">
        <f t="shared" si="7"/>
        <v>8976.8900000000012</v>
      </c>
      <c r="AC18" s="1025">
        <v>0</v>
      </c>
      <c r="AD18" s="1025">
        <v>0</v>
      </c>
      <c r="AE18" s="1025">
        <v>4949.0300000000007</v>
      </c>
      <c r="AF18" s="1025">
        <v>4027.8600000000006</v>
      </c>
      <c r="AG18" s="1025">
        <v>8976.8900000000012</v>
      </c>
      <c r="AH18" s="1025"/>
      <c r="AI18" s="1039"/>
      <c r="AJ18" s="1026">
        <f t="shared" si="8"/>
        <v>712.6105597799999</v>
      </c>
      <c r="AK18" s="1026">
        <f t="shared" si="16"/>
        <v>141643.34495407995</v>
      </c>
      <c r="AL18" s="1040">
        <f t="shared" si="0"/>
        <v>142355.95551385995</v>
      </c>
      <c r="AM18" s="1414"/>
      <c r="AN18" s="1414"/>
      <c r="AO18" s="1310"/>
      <c r="AP18" s="1310"/>
      <c r="AQ18" s="1934">
        <f t="shared" si="9"/>
        <v>0</v>
      </c>
      <c r="AR18" s="1729">
        <f t="shared" si="10"/>
        <v>1520.0060283265202</v>
      </c>
      <c r="AS18" s="1729">
        <f t="shared" si="11"/>
        <v>88687.457873673484</v>
      </c>
      <c r="AT18" s="1007"/>
      <c r="AU18" s="1929">
        <v>161.02000000000001</v>
      </c>
      <c r="AV18" s="1414"/>
      <c r="AW18" s="987"/>
      <c r="AX18" s="310">
        <f t="shared" si="12"/>
        <v>8976.8900000000012</v>
      </c>
      <c r="AY18" s="998"/>
      <c r="AZ18" s="4">
        <v>7195.1603020496223</v>
      </c>
      <c r="BA18" s="64">
        <v>1.1135490830636463</v>
      </c>
      <c r="BB18" s="64">
        <v>2.7177411003236247</v>
      </c>
      <c r="BC18" s="64">
        <v>5.993711974110032</v>
      </c>
      <c r="BD18" s="482">
        <v>10.184600509924486</v>
      </c>
      <c r="BF18" s="987"/>
      <c r="BG18" s="987"/>
      <c r="BH18" s="987"/>
      <c r="BI18" s="987"/>
      <c r="BJ18" s="987"/>
      <c r="BK18" s="1047"/>
      <c r="BL18" s="310"/>
      <c r="BM18" s="310"/>
      <c r="BN18" s="310"/>
      <c r="BO18" s="310"/>
      <c r="BP18" s="1041">
        <v>6.47</v>
      </c>
      <c r="BQ18" s="1042"/>
      <c r="BR18" s="1"/>
      <c r="BS18" s="1032">
        <f t="shared" si="13"/>
        <v>30170.312395039997</v>
      </c>
      <c r="BT18" s="1"/>
      <c r="BU18" s="1"/>
      <c r="BV18" s="1"/>
      <c r="BW18" s="1"/>
      <c r="BX18" s="1"/>
      <c r="BY18" s="1"/>
      <c r="BZ18" s="1"/>
      <c r="CA18" s="1"/>
      <c r="CB18" s="1"/>
      <c r="CC18" s="1"/>
      <c r="CD18" s="1"/>
      <c r="CE18" s="1"/>
      <c r="CF18" s="1"/>
      <c r="CG18" s="1"/>
      <c r="CH18" s="1"/>
      <c r="CI18" s="1"/>
      <c r="CJ18" s="1"/>
      <c r="CK18" s="1"/>
      <c r="CM18" s="1033">
        <v>7</v>
      </c>
      <c r="CN18" s="1">
        <f t="shared" si="14"/>
        <v>1127.76</v>
      </c>
      <c r="CO18">
        <v>2603071186</v>
      </c>
      <c r="CQ18" s="412">
        <v>7</v>
      </c>
      <c r="CR18" s="1">
        <f t="shared" si="15"/>
        <v>8976.8900000000012</v>
      </c>
      <c r="CS18">
        <v>2603073000</v>
      </c>
    </row>
    <row r="19" spans="2:97">
      <c r="B19" s="989">
        <v>8</v>
      </c>
      <c r="C19" s="5">
        <f t="shared" si="1"/>
        <v>25743</v>
      </c>
      <c r="D19" s="488">
        <f t="shared" si="2"/>
        <v>1927.24</v>
      </c>
      <c r="E19" s="15">
        <f t="shared" si="3"/>
        <v>13.357443805649529</v>
      </c>
      <c r="F19" s="363"/>
      <c r="G19" s="64"/>
      <c r="H19" s="1034"/>
      <c r="I19" s="1035"/>
      <c r="N19" s="993"/>
      <c r="O19" s="26">
        <v>25743</v>
      </c>
      <c r="P19" s="36"/>
      <c r="Q19" s="277">
        <f t="shared" si="4"/>
        <v>1927.24</v>
      </c>
      <c r="R19" s="1227">
        <f t="shared" si="5"/>
        <v>1927.24</v>
      </c>
      <c r="S19" s="27">
        <f t="shared" si="6"/>
        <v>13.357443805649529</v>
      </c>
      <c r="T19" s="33"/>
      <c r="U19" s="1480">
        <v>1927.24</v>
      </c>
      <c r="V19" s="1464"/>
      <c r="W19" s="1037"/>
      <c r="X19" s="1038">
        <v>747</v>
      </c>
      <c r="Y19" s="1"/>
      <c r="Z19" s="847"/>
      <c r="AA19" s="847">
        <v>8324.08</v>
      </c>
      <c r="AB19" s="1025">
        <f t="shared" si="7"/>
        <v>8324.08</v>
      </c>
      <c r="AC19" s="1025">
        <v>0</v>
      </c>
      <c r="AD19" s="1025">
        <v>0</v>
      </c>
      <c r="AE19" s="1025">
        <v>4677.8000000000011</v>
      </c>
      <c r="AF19" s="1025">
        <v>3646.2799999999997</v>
      </c>
      <c r="AG19" s="1025">
        <v>8324.0800000000017</v>
      </c>
      <c r="AH19" s="1025"/>
      <c r="AI19" s="1039"/>
      <c r="AJ19" s="1026">
        <f t="shared" si="8"/>
        <v>712.6105597799999</v>
      </c>
      <c r="AK19" s="1026">
        <f t="shared" si="16"/>
        <v>135407.52495407994</v>
      </c>
      <c r="AL19" s="1040">
        <f t="shared" si="0"/>
        <v>136120.13551385995</v>
      </c>
      <c r="AM19" s="1414"/>
      <c r="AN19" s="1414"/>
      <c r="AO19" s="1310"/>
      <c r="AP19" s="1310"/>
      <c r="AQ19" s="1934">
        <f t="shared" si="9"/>
        <v>0</v>
      </c>
      <c r="AR19" s="1729">
        <f t="shared" si="10"/>
        <v>1520.0060283265202</v>
      </c>
      <c r="AS19" s="1729">
        <f t="shared" si="11"/>
        <v>88687.457873673484</v>
      </c>
      <c r="AT19" s="1007"/>
      <c r="AU19" s="1930"/>
      <c r="AV19" s="1414"/>
      <c r="AW19" s="987"/>
      <c r="AX19" s="310">
        <f t="shared" si="12"/>
        <v>8324.08</v>
      </c>
      <c r="AY19" s="998"/>
      <c r="AZ19" s="4">
        <v>7267.3855592260497</v>
      </c>
      <c r="BA19" s="64">
        <v>1.2146330816422841</v>
      </c>
      <c r="BB19" s="64">
        <v>1.4802300613496933</v>
      </c>
      <c r="BC19" s="64">
        <v>5.5172392638036811</v>
      </c>
      <c r="BD19" s="482">
        <v>10.352293536573857</v>
      </c>
      <c r="BF19" s="987"/>
      <c r="BG19" s="987"/>
      <c r="BH19" s="987"/>
      <c r="BI19" s="987"/>
      <c r="BJ19" s="987"/>
      <c r="BK19" s="310"/>
      <c r="BL19" s="310"/>
      <c r="BM19" s="310"/>
      <c r="BN19" s="310"/>
      <c r="BO19" s="310"/>
      <c r="BP19" s="1041">
        <v>6.19</v>
      </c>
      <c r="BQ19" s="1042"/>
      <c r="BR19" s="1"/>
      <c r="BS19" s="1032">
        <f t="shared" si="13"/>
        <v>38494.392395039999</v>
      </c>
      <c r="BT19" s="1"/>
      <c r="BU19" s="1"/>
      <c r="BV19" s="1"/>
      <c r="BW19" s="1"/>
      <c r="BX19" s="1"/>
      <c r="BY19" s="1"/>
      <c r="BZ19" s="1"/>
      <c r="CA19" s="1"/>
      <c r="CB19" s="1"/>
      <c r="CC19" s="1"/>
      <c r="CD19" s="1"/>
      <c r="CE19" s="1"/>
      <c r="CF19" s="1"/>
      <c r="CG19" s="1"/>
      <c r="CH19" s="1"/>
      <c r="CI19" s="1"/>
      <c r="CJ19" s="1"/>
      <c r="CK19" s="1"/>
      <c r="CM19" s="1033">
        <v>8</v>
      </c>
      <c r="CN19" s="1">
        <f t="shared" si="14"/>
        <v>1927.24</v>
      </c>
      <c r="CO19">
        <v>2603081360</v>
      </c>
      <c r="CQ19" s="412">
        <v>8</v>
      </c>
      <c r="CR19" s="1">
        <f t="shared" si="15"/>
        <v>8324.08</v>
      </c>
      <c r="CS19">
        <v>2603083587</v>
      </c>
    </row>
    <row r="20" spans="2:97">
      <c r="B20" s="989">
        <v>9</v>
      </c>
      <c r="C20" s="5">
        <f t="shared" si="1"/>
        <v>29484</v>
      </c>
      <c r="D20" s="488">
        <f t="shared" si="2"/>
        <v>1987.12</v>
      </c>
      <c r="E20" s="15">
        <f t="shared" si="3"/>
        <v>14.83755384677322</v>
      </c>
      <c r="F20" s="363"/>
      <c r="G20" s="64"/>
      <c r="H20" s="1034">
        <v>6</v>
      </c>
      <c r="I20" s="1034">
        <v>4.18</v>
      </c>
      <c r="N20" s="993"/>
      <c r="O20" s="26">
        <v>29484</v>
      </c>
      <c r="P20" s="36"/>
      <c r="Q20" s="277">
        <f t="shared" si="4"/>
        <v>1987.12</v>
      </c>
      <c r="R20" s="1227">
        <f t="shared" si="5"/>
        <v>1987.12</v>
      </c>
      <c r="S20" s="27">
        <f t="shared" si="6"/>
        <v>14.83755384677322</v>
      </c>
      <c r="T20" s="33"/>
      <c r="U20" s="1480">
        <v>1987.12</v>
      </c>
      <c r="V20" s="1464"/>
      <c r="W20" s="1037"/>
      <c r="X20" s="1038">
        <v>1568</v>
      </c>
      <c r="Y20" s="1"/>
      <c r="Z20" s="847"/>
      <c r="AA20" s="847">
        <v>9113.3599999999988</v>
      </c>
      <c r="AB20" s="1025">
        <v>9113.36</v>
      </c>
      <c r="AC20" s="1025">
        <v>0</v>
      </c>
      <c r="AD20" s="1025">
        <v>0</v>
      </c>
      <c r="AE20" s="1025">
        <v>4106.6899999999996</v>
      </c>
      <c r="AF20" s="1025">
        <v>5006.67</v>
      </c>
      <c r="AG20" s="1025">
        <v>9113.36</v>
      </c>
      <c r="AH20" s="1025"/>
      <c r="AI20" s="1039"/>
      <c r="AJ20" s="1026">
        <f t="shared" si="8"/>
        <v>712.6105597799999</v>
      </c>
      <c r="AK20" s="1026">
        <f t="shared" si="16"/>
        <v>128281.28495407994</v>
      </c>
      <c r="AL20" s="1040">
        <f t="shared" si="0"/>
        <v>128993.89551385994</v>
      </c>
      <c r="AM20" s="1414"/>
      <c r="AN20" s="1414"/>
      <c r="AO20" s="1310"/>
      <c r="AP20" s="1310"/>
      <c r="AQ20" s="1934">
        <f t="shared" si="9"/>
        <v>0</v>
      </c>
      <c r="AR20" s="1729">
        <f t="shared" si="10"/>
        <v>1520.0060283265202</v>
      </c>
      <c r="AS20" s="1729">
        <f t="shared" si="11"/>
        <v>88687.457873673484</v>
      </c>
      <c r="AT20" s="1007"/>
      <c r="AU20" s="1930"/>
      <c r="AV20" s="1414"/>
      <c r="AW20" s="987"/>
      <c r="AX20" s="310">
        <f t="shared" si="12"/>
        <v>9113.36</v>
      </c>
      <c r="AY20" s="998"/>
      <c r="AZ20" s="4">
        <v>7354.7347723872626</v>
      </c>
      <c r="BA20" s="64">
        <v>1.1418892925838853</v>
      </c>
      <c r="BB20" s="64">
        <v>2.7130241504594999</v>
      </c>
      <c r="BC20" s="64">
        <v>5.5194849326779218</v>
      </c>
      <c r="BD20" s="482">
        <v>9.8036960660397519</v>
      </c>
      <c r="BF20" s="987"/>
      <c r="BG20" s="987"/>
      <c r="BH20" s="987"/>
      <c r="BI20" s="987"/>
      <c r="BJ20" s="987"/>
      <c r="BK20" s="310"/>
      <c r="BL20" s="310"/>
      <c r="BM20" s="310"/>
      <c r="BN20" s="310"/>
      <c r="BO20" s="310"/>
      <c r="BP20" s="1041">
        <v>6.07</v>
      </c>
      <c r="BQ20" s="1042"/>
      <c r="BR20" s="1"/>
      <c r="BS20" s="1032">
        <f t="shared" si="13"/>
        <v>47607.752395039999</v>
      </c>
      <c r="BT20" s="1"/>
      <c r="BU20" s="1"/>
      <c r="BV20" s="1"/>
      <c r="BW20" s="1"/>
      <c r="BX20" s="1"/>
      <c r="BY20" s="1"/>
      <c r="BZ20" s="1"/>
      <c r="CA20" s="1"/>
      <c r="CB20" s="1"/>
      <c r="CC20" s="1"/>
      <c r="CD20" s="1"/>
      <c r="CE20" s="1"/>
      <c r="CF20" s="1"/>
      <c r="CG20" s="1"/>
      <c r="CH20" s="1"/>
      <c r="CI20" s="1"/>
      <c r="CJ20" s="1"/>
      <c r="CK20" s="1"/>
      <c r="CM20" s="1033">
        <v>9</v>
      </c>
      <c r="CN20" s="1">
        <f t="shared" si="14"/>
        <v>1987.12</v>
      </c>
      <c r="CO20" s="1046">
        <v>2603091642</v>
      </c>
      <c r="CQ20" s="412">
        <v>9</v>
      </c>
      <c r="CR20" s="1">
        <f t="shared" si="15"/>
        <v>9113.36</v>
      </c>
      <c r="CS20">
        <v>2603094008</v>
      </c>
    </row>
    <row r="21" spans="2:97">
      <c r="B21" s="989">
        <v>10</v>
      </c>
      <c r="C21" s="5">
        <f t="shared" si="1"/>
        <v>14213</v>
      </c>
      <c r="D21" s="488">
        <f t="shared" si="2"/>
        <v>395.34</v>
      </c>
      <c r="E21" s="15">
        <f t="shared" si="3"/>
        <v>35.951333029797141</v>
      </c>
      <c r="F21" s="363"/>
      <c r="G21" s="64"/>
      <c r="H21" s="1034">
        <v>25</v>
      </c>
      <c r="I21" s="1034">
        <v>13</v>
      </c>
      <c r="N21" s="993"/>
      <c r="O21" s="26">
        <v>14213</v>
      </c>
      <c r="P21" s="36"/>
      <c r="Q21" s="277">
        <f t="shared" si="4"/>
        <v>395.34</v>
      </c>
      <c r="R21" s="1227">
        <f t="shared" si="5"/>
        <v>395.34</v>
      </c>
      <c r="S21" s="27">
        <f t="shared" si="6"/>
        <v>35.951333029797141</v>
      </c>
      <c r="T21" s="33"/>
      <c r="U21" s="1480">
        <v>395.34</v>
      </c>
      <c r="V21" s="95"/>
      <c r="W21" s="1037"/>
      <c r="X21" s="1038">
        <v>702</v>
      </c>
      <c r="Y21" s="1"/>
      <c r="Z21" s="847"/>
      <c r="AA21" s="847">
        <v>9276.3499999999985</v>
      </c>
      <c r="AB21" s="1025">
        <f t="shared" ref="AB21:AB42" si="17">SUM(Z21:AA21)</f>
        <v>9276.3499999999985</v>
      </c>
      <c r="AC21" s="1025">
        <v>0</v>
      </c>
      <c r="AD21" s="1025">
        <v>0</v>
      </c>
      <c r="AE21" s="1025">
        <v>4943.8099999999995</v>
      </c>
      <c r="AF21" s="1025">
        <v>4332.54</v>
      </c>
      <c r="AG21" s="1025">
        <v>9276.3499999999985</v>
      </c>
      <c r="AH21" s="1025"/>
      <c r="AI21" s="1039"/>
      <c r="AJ21" s="1026">
        <f t="shared" si="8"/>
        <v>712.6105597799999</v>
      </c>
      <c r="AK21" s="1026">
        <f t="shared" si="16"/>
        <v>119400.27495407994</v>
      </c>
      <c r="AL21" s="1040">
        <f t="shared" si="0"/>
        <v>120112.88551385995</v>
      </c>
      <c r="AM21" s="1414"/>
      <c r="AN21" s="1414"/>
      <c r="AO21" s="1310"/>
      <c r="AP21" s="1310"/>
      <c r="AQ21" s="1934">
        <f t="shared" si="9"/>
        <v>0</v>
      </c>
      <c r="AR21" s="1729">
        <f t="shared" si="10"/>
        <v>1520.0060283265202</v>
      </c>
      <c r="AS21" s="1729">
        <f t="shared" si="11"/>
        <v>88149.877873673482</v>
      </c>
      <c r="AT21" s="1007"/>
      <c r="AU21" s="1930">
        <v>537.58000000000004</v>
      </c>
      <c r="AV21" s="1414"/>
      <c r="AW21" s="987"/>
      <c r="AX21" s="310">
        <f t="shared" si="12"/>
        <v>9276.3499999999985</v>
      </c>
      <c r="AY21" s="998"/>
      <c r="AZ21" s="4">
        <v>7356.3727694687987</v>
      </c>
      <c r="BA21" s="64">
        <v>1.14889221248066</v>
      </c>
      <c r="BB21" s="64">
        <v>2.210029912325941</v>
      </c>
      <c r="BC21" s="64">
        <v>5.3441392470345539</v>
      </c>
      <c r="BD21" s="482">
        <v>9.5189705497679231</v>
      </c>
      <c r="BF21" s="987"/>
      <c r="BG21" s="987"/>
      <c r="BH21" s="987"/>
      <c r="BI21" s="987"/>
      <c r="BJ21" s="987"/>
      <c r="BK21" s="310">
        <v>15262.44</v>
      </c>
      <c r="BL21" s="310">
        <v>2</v>
      </c>
      <c r="BM21" s="310"/>
      <c r="BN21" s="310"/>
      <c r="BO21" s="310"/>
      <c r="BP21" s="1041">
        <v>6.18</v>
      </c>
      <c r="BQ21" s="1042"/>
      <c r="BR21" s="1"/>
      <c r="BS21" s="1032">
        <f t="shared" si="13"/>
        <v>41621.662395039995</v>
      </c>
      <c r="BT21" s="1"/>
      <c r="BU21" s="1"/>
      <c r="BV21" s="1"/>
      <c r="BW21" s="1"/>
      <c r="BX21" s="1"/>
      <c r="BY21" s="1"/>
      <c r="BZ21" s="1"/>
      <c r="CA21" s="1"/>
      <c r="CB21" s="1"/>
      <c r="CC21" s="1"/>
      <c r="CD21" s="1"/>
      <c r="CE21" s="1"/>
      <c r="CF21" s="1"/>
      <c r="CG21" s="1"/>
      <c r="CH21" s="1"/>
      <c r="CI21" s="1"/>
      <c r="CJ21" s="1"/>
      <c r="CK21" s="1"/>
      <c r="CM21" s="1033">
        <v>10</v>
      </c>
      <c r="CN21" s="1">
        <f t="shared" si="14"/>
        <v>395.34</v>
      </c>
      <c r="CO21">
        <v>2603101860</v>
      </c>
      <c r="CQ21" s="412">
        <v>10</v>
      </c>
      <c r="CR21" s="1">
        <f t="shared" si="15"/>
        <v>9276.3499999999985</v>
      </c>
      <c r="CS21">
        <v>2603104576</v>
      </c>
    </row>
    <row r="22" spans="2:97">
      <c r="B22" s="989">
        <v>11</v>
      </c>
      <c r="C22" s="5">
        <f t="shared" si="1"/>
        <v>15730</v>
      </c>
      <c r="D22" s="488">
        <f t="shared" si="2"/>
        <v>0</v>
      </c>
      <c r="E22" s="15">
        <f t="shared" si="3"/>
        <v>0</v>
      </c>
      <c r="F22" s="363"/>
      <c r="G22" s="64"/>
      <c r="H22" s="1034"/>
      <c r="I22" s="1034"/>
      <c r="N22" s="993"/>
      <c r="O22" s="26">
        <v>15730</v>
      </c>
      <c r="P22" s="36"/>
      <c r="Q22" s="277">
        <f t="shared" si="4"/>
        <v>0</v>
      </c>
      <c r="R22" s="1227">
        <f t="shared" si="5"/>
        <v>0</v>
      </c>
      <c r="S22" s="27">
        <f t="shared" si="6"/>
        <v>0</v>
      </c>
      <c r="T22" s="33"/>
      <c r="U22" s="1480"/>
      <c r="V22" s="1464"/>
      <c r="W22" s="1037"/>
      <c r="X22" s="1038">
        <v>612</v>
      </c>
      <c r="Y22" s="1"/>
      <c r="Z22" s="847"/>
      <c r="AA22" s="847">
        <v>9505.6</v>
      </c>
      <c r="AB22" s="1025">
        <f t="shared" si="17"/>
        <v>9505.6</v>
      </c>
      <c r="AC22" s="1025">
        <v>0</v>
      </c>
      <c r="AD22" s="1025">
        <v>0</v>
      </c>
      <c r="AE22" s="1025">
        <v>5557.12</v>
      </c>
      <c r="AF22" s="1025">
        <v>3948.48</v>
      </c>
      <c r="AG22" s="1025">
        <v>9505.6</v>
      </c>
      <c r="AH22" s="1025"/>
      <c r="AI22" s="1039"/>
      <c r="AJ22" s="1026">
        <f t="shared" si="8"/>
        <v>712.6105597799999</v>
      </c>
      <c r="AK22" s="1026">
        <f t="shared" si="16"/>
        <v>110432.25495407994</v>
      </c>
      <c r="AL22" s="1040">
        <f t="shared" si="0"/>
        <v>111144.86551385994</v>
      </c>
      <c r="AM22" s="1414"/>
      <c r="AN22" s="1414"/>
      <c r="AO22" s="1310"/>
      <c r="AP22" s="1310"/>
      <c r="AQ22" s="1934">
        <f t="shared" si="9"/>
        <v>0</v>
      </c>
      <c r="AR22" s="1729">
        <f t="shared" si="10"/>
        <v>1520.0060283265202</v>
      </c>
      <c r="AS22" s="1729">
        <f t="shared" si="11"/>
        <v>87339.877873673482</v>
      </c>
      <c r="AT22" s="1007"/>
      <c r="AU22" s="1930">
        <v>810</v>
      </c>
      <c r="AV22" s="1414"/>
      <c r="AW22" s="987"/>
      <c r="AX22" s="310">
        <f t="shared" si="12"/>
        <v>9505.6</v>
      </c>
      <c r="AY22" s="998"/>
      <c r="AZ22" s="4">
        <v>7295.6735751295337</v>
      </c>
      <c r="BA22" s="64">
        <v>1.1664248704663212</v>
      </c>
      <c r="BB22" s="64">
        <v>2.0206217616580311</v>
      </c>
      <c r="BC22" s="64">
        <v>5.5900518134715025</v>
      </c>
      <c r="BD22" s="482">
        <v>10.95253687046632</v>
      </c>
      <c r="BF22" s="987"/>
      <c r="BG22" s="987"/>
      <c r="BH22" s="987"/>
      <c r="BI22" s="987"/>
      <c r="BJ22" s="987"/>
      <c r="BK22" s="310">
        <v>15262.72</v>
      </c>
      <c r="BL22" s="310">
        <v>2</v>
      </c>
      <c r="BM22" s="310"/>
      <c r="BN22" s="310"/>
      <c r="BO22" s="310"/>
      <c r="BP22" s="1041">
        <v>6.47</v>
      </c>
      <c r="BQ22" s="1042"/>
      <c r="BR22" s="1"/>
      <c r="BS22" s="1032">
        <f t="shared" si="13"/>
        <v>35864.542395039993</v>
      </c>
      <c r="BT22" s="1"/>
      <c r="BU22" s="1"/>
      <c r="BV22" s="1"/>
      <c r="BW22" s="1"/>
      <c r="BX22" s="1"/>
      <c r="BY22" s="1"/>
      <c r="BZ22" s="1"/>
      <c r="CA22" s="1"/>
      <c r="CB22" s="1"/>
      <c r="CC22" s="1"/>
      <c r="CD22" s="1"/>
      <c r="CE22" s="1"/>
      <c r="CF22" s="1"/>
      <c r="CG22" s="1"/>
      <c r="CH22" s="1"/>
      <c r="CI22" s="1"/>
      <c r="CJ22" s="1"/>
      <c r="CK22" s="1"/>
      <c r="CM22" s="1033">
        <v>11</v>
      </c>
      <c r="CN22" s="1">
        <f t="shared" si="14"/>
        <v>0</v>
      </c>
      <c r="CQ22" s="412">
        <v>11</v>
      </c>
      <c r="CR22" s="1">
        <f t="shared" si="15"/>
        <v>9505.6</v>
      </c>
      <c r="CS22">
        <v>2603115094</v>
      </c>
    </row>
    <row r="23" spans="2:97">
      <c r="B23" s="989">
        <v>12</v>
      </c>
      <c r="C23" s="5">
        <f t="shared" si="1"/>
        <v>25166</v>
      </c>
      <c r="D23" s="488">
        <f t="shared" si="2"/>
        <v>0</v>
      </c>
      <c r="E23" s="15">
        <f t="shared" si="3"/>
        <v>0</v>
      </c>
      <c r="F23" s="363"/>
      <c r="G23" s="64"/>
      <c r="H23" s="1034">
        <v>7</v>
      </c>
      <c r="I23" s="1034">
        <v>5.33</v>
      </c>
      <c r="N23" s="993"/>
      <c r="O23" s="26">
        <v>25166</v>
      </c>
      <c r="P23" s="36"/>
      <c r="Q23" s="277">
        <f t="shared" si="4"/>
        <v>0</v>
      </c>
      <c r="R23" s="1227">
        <f t="shared" si="5"/>
        <v>0</v>
      </c>
      <c r="S23" s="27">
        <f t="shared" si="6"/>
        <v>0</v>
      </c>
      <c r="U23" s="1480"/>
      <c r="V23" s="1468"/>
      <c r="W23" s="1037"/>
      <c r="X23" s="1038">
        <v>582</v>
      </c>
      <c r="Y23" s="1"/>
      <c r="Z23" s="847"/>
      <c r="AA23" s="847">
        <v>4993.9400000000005</v>
      </c>
      <c r="AB23" s="1025">
        <f t="shared" si="17"/>
        <v>4993.9400000000005</v>
      </c>
      <c r="AC23" s="1025">
        <v>0</v>
      </c>
      <c r="AD23" s="1025">
        <v>0</v>
      </c>
      <c r="AE23" s="1025">
        <v>2468.69</v>
      </c>
      <c r="AF23" s="1025">
        <v>2525.25</v>
      </c>
      <c r="AG23" s="1025">
        <v>4993.9400000000005</v>
      </c>
      <c r="AH23" s="1025"/>
      <c r="AI23" s="1039"/>
      <c r="AJ23" s="1026">
        <f t="shared" si="8"/>
        <v>712.6105597799999</v>
      </c>
      <c r="AK23" s="1026">
        <f t="shared" si="16"/>
        <v>106248.31495407993</v>
      </c>
      <c r="AL23" s="1040">
        <f t="shared" si="0"/>
        <v>106960.92551385994</v>
      </c>
      <c r="AM23" s="1414"/>
      <c r="AN23" s="1414"/>
      <c r="AO23" s="1310"/>
      <c r="AP23" s="1310"/>
      <c r="AQ23" s="1934">
        <f t="shared" si="9"/>
        <v>0</v>
      </c>
      <c r="AR23" s="1729">
        <f t="shared" si="10"/>
        <v>1520.0060283265202</v>
      </c>
      <c r="AS23" s="1729">
        <f t="shared" si="11"/>
        <v>85465.377873673482</v>
      </c>
      <c r="AT23" s="1007"/>
      <c r="AU23" s="1476">
        <v>1874.5</v>
      </c>
      <c r="AV23" s="1414"/>
      <c r="AW23" s="987"/>
      <c r="AX23" s="310">
        <f t="shared" si="12"/>
        <v>4993.9400000000005</v>
      </c>
      <c r="AY23" s="998"/>
      <c r="AZ23" s="4">
        <v>7222</v>
      </c>
      <c r="BA23" s="64">
        <v>1.34</v>
      </c>
      <c r="BB23" s="64">
        <v>2.68</v>
      </c>
      <c r="BC23" s="64">
        <v>6.08</v>
      </c>
      <c r="BD23" s="482">
        <v>10.02464</v>
      </c>
      <c r="BF23" s="987"/>
      <c r="BG23" s="987"/>
      <c r="BH23" s="987"/>
      <c r="BI23" s="987"/>
      <c r="BJ23" s="987"/>
      <c r="BK23" s="310"/>
      <c r="BL23" s="310"/>
      <c r="BM23" s="310"/>
      <c r="BN23" s="310"/>
      <c r="BO23" s="310"/>
      <c r="BP23" s="1041">
        <v>6.49</v>
      </c>
      <c r="BQ23" s="1042"/>
      <c r="BR23" s="1"/>
      <c r="BS23" s="1032">
        <f t="shared" si="13"/>
        <v>40858.482395039995</v>
      </c>
      <c r="BT23" s="1"/>
      <c r="BU23" s="1"/>
      <c r="BV23" s="1"/>
      <c r="BW23" s="1"/>
      <c r="BX23" s="1"/>
      <c r="BY23" s="1"/>
      <c r="BZ23" s="1"/>
      <c r="CA23" s="1"/>
      <c r="CB23" s="1"/>
      <c r="CC23" s="1"/>
      <c r="CD23" s="1"/>
      <c r="CE23" s="1"/>
      <c r="CF23" s="1"/>
      <c r="CG23" s="1"/>
      <c r="CH23" s="1"/>
      <c r="CI23" s="1"/>
      <c r="CJ23" s="1"/>
      <c r="CK23" s="1"/>
      <c r="CM23" s="1033">
        <v>12</v>
      </c>
      <c r="CN23" s="1">
        <f t="shared" si="14"/>
        <v>0</v>
      </c>
      <c r="CP23" s="1048"/>
      <c r="CQ23" s="412">
        <v>12</v>
      </c>
      <c r="CR23" s="1">
        <f t="shared" si="15"/>
        <v>4993.9400000000005</v>
      </c>
      <c r="CS23">
        <v>2603125819</v>
      </c>
    </row>
    <row r="24" spans="2:97">
      <c r="B24" s="989">
        <v>13</v>
      </c>
      <c r="C24" s="5">
        <f t="shared" si="1"/>
        <v>21075</v>
      </c>
      <c r="D24" s="488">
        <f t="shared" si="2"/>
        <v>0</v>
      </c>
      <c r="E24" s="15">
        <f t="shared" si="3"/>
        <v>0</v>
      </c>
      <c r="F24" s="363"/>
      <c r="G24" s="64"/>
      <c r="H24" s="1034">
        <v>13</v>
      </c>
      <c r="I24" s="1034">
        <v>4.7699999999999996</v>
      </c>
      <c r="N24" s="993"/>
      <c r="O24" s="26">
        <v>21075</v>
      </c>
      <c r="P24" s="36"/>
      <c r="Q24" s="277">
        <f t="shared" si="4"/>
        <v>0</v>
      </c>
      <c r="R24" s="1227">
        <f t="shared" si="5"/>
        <v>0</v>
      </c>
      <c r="S24" s="27">
        <f t="shared" si="6"/>
        <v>0</v>
      </c>
      <c r="T24" s="33"/>
      <c r="U24" s="1480"/>
      <c r="V24" s="1464"/>
      <c r="W24" s="1037"/>
      <c r="X24" s="1038">
        <v>894</v>
      </c>
      <c r="Y24" s="1"/>
      <c r="Z24" s="847"/>
      <c r="AA24" s="847">
        <v>8649.74</v>
      </c>
      <c r="AB24" s="1025">
        <f t="shared" si="17"/>
        <v>8649.74</v>
      </c>
      <c r="AC24" s="1025">
        <v>0</v>
      </c>
      <c r="AD24" s="1025">
        <v>0</v>
      </c>
      <c r="AE24" s="1025">
        <v>4096.3600000000006</v>
      </c>
      <c r="AF24" s="1025">
        <v>4553.38</v>
      </c>
      <c r="AG24" s="1025">
        <v>8649.7400000000016</v>
      </c>
      <c r="AH24" s="1025"/>
      <c r="AI24" s="1039"/>
      <c r="AJ24" s="1026">
        <f t="shared" si="8"/>
        <v>712.6105597799999</v>
      </c>
      <c r="AK24" s="1026">
        <f t="shared" si="16"/>
        <v>99473.07495407993</v>
      </c>
      <c r="AL24" s="1040">
        <f t="shared" si="0"/>
        <v>100185.68551385993</v>
      </c>
      <c r="AM24" s="1414"/>
      <c r="AN24" s="1414"/>
      <c r="AO24" s="1310"/>
      <c r="AP24" s="1310"/>
      <c r="AQ24" s="1934">
        <f t="shared" si="9"/>
        <v>0</v>
      </c>
      <c r="AR24" s="1729">
        <f t="shared" si="10"/>
        <v>1520.0060283265202</v>
      </c>
      <c r="AS24" s="1729">
        <f t="shared" si="11"/>
        <v>83286.117873673487</v>
      </c>
      <c r="AT24" s="1007"/>
      <c r="AU24" s="1483">
        <v>2179.2600000000002</v>
      </c>
      <c r="AV24" s="1414"/>
      <c r="AW24" s="987"/>
      <c r="AX24" s="310">
        <f t="shared" si="12"/>
        <v>8649.74</v>
      </c>
      <c r="AY24" s="998"/>
      <c r="AZ24" s="4">
        <v>7345.5108205590623</v>
      </c>
      <c r="BA24" s="64">
        <v>1.4202073940486926</v>
      </c>
      <c r="BB24" s="64">
        <v>3.2160234445446347</v>
      </c>
      <c r="BC24" s="64">
        <v>5.2450991884580711</v>
      </c>
      <c r="BD24" s="482">
        <v>11.843189402164111</v>
      </c>
      <c r="BF24" s="987"/>
      <c r="BG24" s="987"/>
      <c r="BH24" s="987"/>
      <c r="BI24" s="987"/>
      <c r="BJ24" s="987"/>
      <c r="BK24" s="847"/>
      <c r="BL24" s="310"/>
      <c r="BM24" s="310"/>
      <c r="BN24" s="310"/>
      <c r="BO24" s="310"/>
      <c r="BP24" s="1041">
        <v>6.32</v>
      </c>
      <c r="BQ24" s="1042"/>
      <c r="BR24" s="1"/>
      <c r="BS24" s="1032">
        <f t="shared" si="13"/>
        <v>49508.222395039993</v>
      </c>
      <c r="BT24" s="1"/>
      <c r="BU24" s="1"/>
      <c r="BV24" s="1"/>
      <c r="BW24" s="1"/>
      <c r="BX24" s="1"/>
      <c r="BY24" s="1"/>
      <c r="BZ24" s="1"/>
      <c r="CA24" s="1"/>
      <c r="CB24" s="1"/>
      <c r="CC24" s="1"/>
      <c r="CD24" s="1"/>
      <c r="CE24" s="1"/>
      <c r="CF24" s="1"/>
      <c r="CG24" s="1"/>
      <c r="CH24" s="1"/>
      <c r="CI24" s="1"/>
      <c r="CJ24" s="1"/>
      <c r="CK24" s="1"/>
      <c r="CM24" s="1033">
        <v>13</v>
      </c>
      <c r="CN24" s="1">
        <f t="shared" si="14"/>
        <v>0</v>
      </c>
      <c r="CO24" s="1048"/>
      <c r="CP24" s="1048"/>
      <c r="CQ24" s="412">
        <v>13</v>
      </c>
      <c r="CR24" s="1">
        <f t="shared" si="15"/>
        <v>8649.74</v>
      </c>
      <c r="CS24">
        <v>2603136114</v>
      </c>
    </row>
    <row r="25" spans="2:97">
      <c r="B25" s="989">
        <v>14</v>
      </c>
      <c r="C25" s="5">
        <f t="shared" si="1"/>
        <v>24501</v>
      </c>
      <c r="D25" s="488">
        <f t="shared" si="2"/>
        <v>0</v>
      </c>
      <c r="E25" s="15">
        <f t="shared" si="3"/>
        <v>0</v>
      </c>
      <c r="F25" s="363"/>
      <c r="G25" s="64"/>
      <c r="H25" s="1034">
        <v>7</v>
      </c>
      <c r="I25" s="1034">
        <v>4.9000000000000004</v>
      </c>
      <c r="N25" s="993"/>
      <c r="O25" s="26">
        <v>24501</v>
      </c>
      <c r="P25" s="36"/>
      <c r="Q25" s="277">
        <f t="shared" si="4"/>
        <v>0</v>
      </c>
      <c r="R25" s="1227">
        <f t="shared" si="5"/>
        <v>0</v>
      </c>
      <c r="S25" s="27">
        <f t="shared" si="6"/>
        <v>0</v>
      </c>
      <c r="T25" s="33"/>
      <c r="U25" s="1480"/>
      <c r="V25" s="1464"/>
      <c r="W25" s="1037"/>
      <c r="X25" s="1038">
        <v>780</v>
      </c>
      <c r="Y25" s="1"/>
      <c r="Z25" s="847"/>
      <c r="AA25" s="847">
        <v>9694.869999999999</v>
      </c>
      <c r="AB25" s="1025">
        <f t="shared" si="17"/>
        <v>9694.869999999999</v>
      </c>
      <c r="AC25" s="1025">
        <v>0</v>
      </c>
      <c r="AD25" s="1025">
        <v>0</v>
      </c>
      <c r="AE25" s="1025">
        <v>4942.47</v>
      </c>
      <c r="AF25" s="1025">
        <v>4752.4000000000005</v>
      </c>
      <c r="AG25" s="1025">
        <v>9694.8700000000008</v>
      </c>
      <c r="AH25" s="1025"/>
      <c r="AI25" s="1039"/>
      <c r="AJ25" s="1026">
        <f t="shared" si="8"/>
        <v>712.6105597799999</v>
      </c>
      <c r="AK25" s="1026">
        <f t="shared" si="16"/>
        <v>91957.464954079929</v>
      </c>
      <c r="AL25" s="1040">
        <f t="shared" si="0"/>
        <v>92670.075513859934</v>
      </c>
      <c r="AM25" s="1414"/>
      <c r="AN25" s="1414"/>
      <c r="AO25" s="1310"/>
      <c r="AP25" s="1310"/>
      <c r="AQ25" s="1934">
        <f t="shared" si="9"/>
        <v>0</v>
      </c>
      <c r="AR25" s="1729">
        <f t="shared" si="10"/>
        <v>1520.0060283265202</v>
      </c>
      <c r="AS25" s="1729">
        <f>AS24+AP25-AU25</f>
        <v>80980.717873673493</v>
      </c>
      <c r="AT25" s="1007"/>
      <c r="AU25" s="1476">
        <v>2305.4</v>
      </c>
      <c r="AV25" s="1414"/>
      <c r="AW25" s="987"/>
      <c r="AX25" s="310">
        <f t="shared" si="12"/>
        <v>9694.869999999999</v>
      </c>
      <c r="AY25" s="998"/>
      <c r="AZ25" s="4">
        <v>7321.5205019266868</v>
      </c>
      <c r="BA25" s="64">
        <v>1.2672374271317062</v>
      </c>
      <c r="BB25" s="64">
        <v>2.6350686691038434</v>
      </c>
      <c r="BC25" s="64">
        <v>4.8123969963442352</v>
      </c>
      <c r="BD25" s="482">
        <v>9.3974111829858717</v>
      </c>
      <c r="BF25" s="987"/>
      <c r="BG25" s="987"/>
      <c r="BH25" s="987"/>
      <c r="BI25" s="987"/>
      <c r="BJ25" s="987"/>
      <c r="BK25" s="847"/>
      <c r="BL25" s="310"/>
      <c r="BM25" s="310"/>
      <c r="BN25" s="310"/>
      <c r="BO25" s="310"/>
      <c r="BP25" s="1041">
        <v>6</v>
      </c>
      <c r="BQ25" s="1042"/>
      <c r="BR25" s="1"/>
      <c r="BS25" s="1032">
        <f t="shared" si="13"/>
        <v>59203.092395039988</v>
      </c>
      <c r="BT25" s="1"/>
      <c r="BU25" s="1"/>
      <c r="BV25" s="1"/>
      <c r="BW25" s="1"/>
      <c r="BX25" s="1"/>
      <c r="BY25" s="1"/>
      <c r="BZ25" s="1"/>
      <c r="CA25" s="1"/>
      <c r="CB25" s="1"/>
      <c r="CC25" s="1"/>
      <c r="CD25" s="1"/>
      <c r="CE25" s="1"/>
      <c r="CF25" s="1"/>
      <c r="CG25" s="1"/>
      <c r="CH25" s="1"/>
      <c r="CI25" s="1"/>
      <c r="CJ25" s="1"/>
      <c r="CK25" s="1"/>
      <c r="CM25" s="1033">
        <v>14</v>
      </c>
      <c r="CN25" s="1">
        <f t="shared" si="14"/>
        <v>0</v>
      </c>
      <c r="CO25" s="1048"/>
      <c r="CP25" s="1048"/>
      <c r="CQ25" s="412">
        <v>14</v>
      </c>
      <c r="CR25" s="1">
        <f t="shared" si="15"/>
        <v>9694.869999999999</v>
      </c>
      <c r="CS25">
        <v>2603146547</v>
      </c>
    </row>
    <row r="26" spans="2:97">
      <c r="B26" s="989">
        <v>15</v>
      </c>
      <c r="C26" s="5">
        <f t="shared" si="1"/>
        <v>22821</v>
      </c>
      <c r="D26" s="488">
        <f t="shared" si="2"/>
        <v>0</v>
      </c>
      <c r="E26" s="15">
        <f t="shared" si="3"/>
        <v>0</v>
      </c>
      <c r="F26" s="363"/>
      <c r="G26" s="64"/>
      <c r="H26" s="1034">
        <v>9</v>
      </c>
      <c r="I26" s="1034">
        <v>6.67</v>
      </c>
      <c r="N26" s="993"/>
      <c r="O26" s="26">
        <v>22821</v>
      </c>
      <c r="P26" s="36"/>
      <c r="Q26" s="277">
        <f t="shared" si="4"/>
        <v>0</v>
      </c>
      <c r="R26" s="1227">
        <f t="shared" si="5"/>
        <v>0</v>
      </c>
      <c r="S26" s="27">
        <f t="shared" si="6"/>
        <v>0</v>
      </c>
      <c r="T26" s="33"/>
      <c r="U26" s="1480"/>
      <c r="V26" s="1464"/>
      <c r="W26" s="1037"/>
      <c r="X26" s="1038">
        <v>576</v>
      </c>
      <c r="Y26" s="1"/>
      <c r="Z26" s="847"/>
      <c r="AA26" s="847">
        <v>2169.02</v>
      </c>
      <c r="AB26" s="1025">
        <f t="shared" si="17"/>
        <v>2169.02</v>
      </c>
      <c r="AC26" s="1025">
        <v>0</v>
      </c>
      <c r="AD26" s="1025">
        <v>0</v>
      </c>
      <c r="AE26" s="1025">
        <v>1225.6400000000001</v>
      </c>
      <c r="AF26" s="1025">
        <v>943.38</v>
      </c>
      <c r="AG26" s="1025">
        <v>2169.02</v>
      </c>
      <c r="AH26" s="1025"/>
      <c r="AI26" s="1039"/>
      <c r="AJ26" s="1026">
        <f t="shared" si="8"/>
        <v>712.6105597799999</v>
      </c>
      <c r="AK26" s="1026">
        <f t="shared" si="16"/>
        <v>92093.844954079919</v>
      </c>
      <c r="AL26" s="1040">
        <f t="shared" si="0"/>
        <v>92806.455513859924</v>
      </c>
      <c r="AM26" s="1414"/>
      <c r="AN26" s="1414"/>
      <c r="AO26" s="1310"/>
      <c r="AP26" s="1310"/>
      <c r="AQ26" s="1934">
        <f t="shared" si="9"/>
        <v>0</v>
      </c>
      <c r="AR26" s="1729">
        <f t="shared" si="10"/>
        <v>1520.0060283265202</v>
      </c>
      <c r="AS26" s="1729">
        <f>AS25+AP26-AU26</f>
        <v>79003.497873673492</v>
      </c>
      <c r="AT26" s="1007"/>
      <c r="AU26" s="1476">
        <v>1977.2200000000003</v>
      </c>
      <c r="AV26" s="1414"/>
      <c r="AW26" s="987"/>
      <c r="AX26" s="310">
        <f t="shared" si="12"/>
        <v>2169.02</v>
      </c>
      <c r="AY26" s="998"/>
      <c r="AZ26" s="4">
        <v>7122</v>
      </c>
      <c r="BA26" s="64">
        <v>1.22</v>
      </c>
      <c r="BB26" s="64">
        <v>6.13</v>
      </c>
      <c r="BC26" s="64">
        <v>5.72</v>
      </c>
      <c r="BD26" s="482">
        <v>9.9437439999999988</v>
      </c>
      <c r="BF26" s="987"/>
      <c r="BG26" s="987"/>
      <c r="BH26" s="987"/>
      <c r="BI26" s="987"/>
      <c r="BJ26" s="987"/>
      <c r="BK26" s="847"/>
      <c r="BL26" s="310"/>
      <c r="BM26" s="310"/>
      <c r="BN26" s="310"/>
      <c r="BO26" s="310"/>
      <c r="BP26" s="1041">
        <v>6</v>
      </c>
      <c r="BQ26" s="1042"/>
      <c r="BR26" s="1"/>
      <c r="BS26" s="1032">
        <f t="shared" si="13"/>
        <v>61372.112395039985</v>
      </c>
      <c r="BT26" s="1"/>
      <c r="BU26" s="1"/>
      <c r="BV26" s="1"/>
      <c r="BW26" s="1"/>
      <c r="BX26" s="1"/>
      <c r="BY26" s="1"/>
      <c r="BZ26" s="1"/>
      <c r="CA26" s="1"/>
      <c r="CB26" s="1"/>
      <c r="CC26" s="1"/>
      <c r="CD26" s="1"/>
      <c r="CE26" s="1"/>
      <c r="CF26" s="1"/>
      <c r="CG26" s="1"/>
      <c r="CH26" s="1"/>
      <c r="CI26" s="1"/>
      <c r="CJ26" s="1"/>
      <c r="CK26" s="1"/>
      <c r="CM26" s="1033">
        <v>15</v>
      </c>
      <c r="CN26" s="1">
        <f t="shared" si="14"/>
        <v>0</v>
      </c>
      <c r="CQ26" s="412">
        <v>15</v>
      </c>
      <c r="CR26" s="1">
        <f t="shared" si="15"/>
        <v>2169.02</v>
      </c>
      <c r="CS26">
        <v>2603157209</v>
      </c>
    </row>
    <row r="27" spans="2:97">
      <c r="B27" s="989">
        <v>16</v>
      </c>
      <c r="C27" s="5">
        <f t="shared" si="1"/>
        <v>13418</v>
      </c>
      <c r="D27" s="488">
        <f t="shared" si="2"/>
        <v>44.72</v>
      </c>
      <c r="E27" s="15">
        <f t="shared" si="3"/>
        <v>300.0447227191413</v>
      </c>
      <c r="F27" s="363"/>
      <c r="G27" s="64"/>
      <c r="H27" s="1034">
        <v>16</v>
      </c>
      <c r="I27" s="1034">
        <v>14.58</v>
      </c>
      <c r="N27" s="993"/>
      <c r="O27" s="26">
        <v>13418</v>
      </c>
      <c r="P27" s="36"/>
      <c r="Q27" s="277">
        <f t="shared" si="4"/>
        <v>44.72</v>
      </c>
      <c r="R27" s="1227">
        <f t="shared" si="5"/>
        <v>44.72</v>
      </c>
      <c r="S27" s="27">
        <f t="shared" si="6"/>
        <v>300.0447227191413</v>
      </c>
      <c r="T27" s="33"/>
      <c r="U27" s="1480">
        <v>44.72</v>
      </c>
      <c r="V27" s="1464"/>
      <c r="W27" s="1037"/>
      <c r="X27" s="1038">
        <v>390</v>
      </c>
      <c r="Y27" s="1"/>
      <c r="Z27" s="847"/>
      <c r="AA27" s="847">
        <v>0</v>
      </c>
      <c r="AB27" s="1025">
        <f t="shared" si="17"/>
        <v>0</v>
      </c>
      <c r="AC27" s="1025">
        <v>0</v>
      </c>
      <c r="AD27" s="1025">
        <v>0</v>
      </c>
      <c r="AE27" s="1025">
        <v>0</v>
      </c>
      <c r="AF27" s="1025">
        <v>0</v>
      </c>
      <c r="AG27" s="1025">
        <v>0</v>
      </c>
      <c r="AH27" s="1025"/>
      <c r="AI27" s="1039"/>
      <c r="AJ27" s="1026">
        <f t="shared" si="8"/>
        <v>712.6105597799999</v>
      </c>
      <c r="AK27" s="1026">
        <f t="shared" si="16"/>
        <v>94115.784954079922</v>
      </c>
      <c r="AL27" s="1040">
        <f t="shared" si="0"/>
        <v>94828.395513859927</v>
      </c>
      <c r="AM27" s="1414"/>
      <c r="AN27" s="1414"/>
      <c r="AO27" s="1310"/>
      <c r="AP27" s="1310"/>
      <c r="AQ27" s="1934">
        <f t="shared" si="9"/>
        <v>0</v>
      </c>
      <c r="AR27" s="1729">
        <f t="shared" si="10"/>
        <v>1520.0060283265202</v>
      </c>
      <c r="AS27" s="1729">
        <f t="shared" si="11"/>
        <v>78147.997873673492</v>
      </c>
      <c r="AT27" s="1007"/>
      <c r="AU27" s="1476">
        <v>855.5</v>
      </c>
      <c r="AV27" s="1414"/>
      <c r="AW27" s="987"/>
      <c r="AX27" s="310">
        <f t="shared" si="12"/>
        <v>0</v>
      </c>
      <c r="AY27" s="998"/>
      <c r="AZ27" s="4">
        <v>0</v>
      </c>
      <c r="BA27" s="64">
        <v>0</v>
      </c>
      <c r="BB27" s="64">
        <v>0</v>
      </c>
      <c r="BC27" s="64">
        <v>0</v>
      </c>
      <c r="BD27" s="482">
        <v>0</v>
      </c>
      <c r="BF27" s="987"/>
      <c r="BG27" s="987"/>
      <c r="BH27" s="987"/>
      <c r="BI27" s="987"/>
      <c r="BJ27" s="987"/>
      <c r="BK27" s="847"/>
      <c r="BL27" s="310"/>
      <c r="BM27" s="310"/>
      <c r="BN27" s="310"/>
      <c r="BO27" s="310"/>
      <c r="BP27" s="1041">
        <v>6.06</v>
      </c>
      <c r="BQ27" s="1042"/>
      <c r="BR27" s="1"/>
      <c r="BS27" s="1032">
        <f t="shared" si="13"/>
        <v>61372.112395039985</v>
      </c>
      <c r="BT27" s="1"/>
      <c r="BU27" s="1"/>
      <c r="BV27" s="1"/>
      <c r="BW27" s="1"/>
      <c r="BX27" s="1"/>
      <c r="BY27" s="1"/>
      <c r="BZ27" s="1"/>
      <c r="CA27" s="1"/>
      <c r="CB27" s="1"/>
      <c r="CC27" s="1"/>
      <c r="CD27" s="1"/>
      <c r="CE27" s="1"/>
      <c r="CF27" s="1"/>
      <c r="CG27" s="1"/>
      <c r="CH27" s="1"/>
      <c r="CI27" s="1"/>
      <c r="CJ27" s="1"/>
      <c r="CK27" s="1"/>
      <c r="CM27" s="1033">
        <v>16</v>
      </c>
      <c r="CN27" s="1">
        <f t="shared" si="14"/>
        <v>44.72</v>
      </c>
      <c r="CO27">
        <v>2603163058</v>
      </c>
      <c r="CP27" s="1048"/>
      <c r="CQ27" s="412">
        <v>16</v>
      </c>
      <c r="CR27" s="1">
        <f t="shared" si="15"/>
        <v>0</v>
      </c>
    </row>
    <row r="28" spans="2:97">
      <c r="B28" s="989">
        <v>17</v>
      </c>
      <c r="C28" s="5">
        <f t="shared" si="1"/>
        <v>14770</v>
      </c>
      <c r="D28" s="488">
        <f t="shared" si="2"/>
        <v>1002.82</v>
      </c>
      <c r="E28" s="15">
        <f t="shared" si="3"/>
        <v>14.728465726650844</v>
      </c>
      <c r="F28" s="363"/>
      <c r="G28" s="64"/>
      <c r="H28" s="1034">
        <v>32</v>
      </c>
      <c r="I28" s="1034">
        <v>13.98</v>
      </c>
      <c r="N28" s="993"/>
      <c r="O28" s="26">
        <v>14770</v>
      </c>
      <c r="P28" s="36"/>
      <c r="Q28" s="277">
        <f t="shared" si="4"/>
        <v>1002.82</v>
      </c>
      <c r="R28" s="1227">
        <f t="shared" si="5"/>
        <v>1002.82</v>
      </c>
      <c r="S28" s="27">
        <f t="shared" si="6"/>
        <v>14.728465726650844</v>
      </c>
      <c r="T28" s="33"/>
      <c r="U28" s="1480">
        <v>1002.82</v>
      </c>
      <c r="V28" s="1464"/>
      <c r="W28" s="1037"/>
      <c r="X28" s="1038">
        <v>552</v>
      </c>
      <c r="Y28" s="1"/>
      <c r="Z28" s="847"/>
      <c r="AA28" s="847">
        <v>0</v>
      </c>
      <c r="AB28" s="1025">
        <f t="shared" si="17"/>
        <v>0</v>
      </c>
      <c r="AC28" s="1025">
        <v>0</v>
      </c>
      <c r="AD28" s="1025">
        <v>0</v>
      </c>
      <c r="AE28" s="1025">
        <v>0</v>
      </c>
      <c r="AF28" s="1025">
        <v>0</v>
      </c>
      <c r="AG28" s="1025">
        <v>0</v>
      </c>
      <c r="AH28" s="1025"/>
      <c r="AI28" s="1039"/>
      <c r="AJ28" s="1026">
        <f t="shared" si="8"/>
        <v>712.6105597799999</v>
      </c>
      <c r="AK28" s="1026">
        <f t="shared" si="16"/>
        <v>95974.104954079929</v>
      </c>
      <c r="AL28" s="1040">
        <f t="shared" si="0"/>
        <v>96686.715513859934</v>
      </c>
      <c r="AM28" s="1414"/>
      <c r="AN28" s="1414"/>
      <c r="AO28" s="1310"/>
      <c r="AP28" s="1310"/>
      <c r="AQ28" s="1934">
        <f t="shared" si="9"/>
        <v>0</v>
      </c>
      <c r="AR28" s="1729">
        <f t="shared" si="10"/>
        <v>1520.0060283265202</v>
      </c>
      <c r="AS28" s="1729">
        <f t="shared" si="11"/>
        <v>77973.257873673487</v>
      </c>
      <c r="AT28" s="1007"/>
      <c r="AU28" s="1476">
        <v>174.74</v>
      </c>
      <c r="AV28" s="1414"/>
      <c r="AW28" s="987"/>
      <c r="AX28" s="310">
        <f t="shared" si="12"/>
        <v>0</v>
      </c>
      <c r="AY28" s="998"/>
      <c r="AZ28" s="4">
        <v>0</v>
      </c>
      <c r="BA28" s="64">
        <v>0</v>
      </c>
      <c r="BB28" s="64">
        <v>0</v>
      </c>
      <c r="BC28" s="64">
        <v>0</v>
      </c>
      <c r="BD28" s="482">
        <v>0</v>
      </c>
      <c r="BF28" s="987"/>
      <c r="BG28" s="987"/>
      <c r="BH28" s="987"/>
      <c r="BI28" s="987"/>
      <c r="BJ28" s="987"/>
      <c r="BK28" s="1049"/>
      <c r="BL28" s="310"/>
      <c r="BM28" s="310"/>
      <c r="BN28" s="310"/>
      <c r="BO28" s="310"/>
      <c r="BP28" s="1041">
        <v>6.22</v>
      </c>
      <c r="BQ28" s="1042"/>
      <c r="BR28" s="1"/>
      <c r="BS28" s="1032">
        <f t="shared" si="13"/>
        <v>61372.112395039985</v>
      </c>
      <c r="BT28" s="1"/>
      <c r="BU28" s="1"/>
      <c r="BV28" s="1"/>
      <c r="BW28" s="1"/>
      <c r="BX28" s="1"/>
      <c r="BY28" s="1"/>
      <c r="BZ28" s="1"/>
      <c r="CA28" s="1"/>
      <c r="CB28" s="1"/>
      <c r="CC28" s="1"/>
      <c r="CD28" s="1"/>
      <c r="CE28" s="1"/>
      <c r="CF28" s="1"/>
      <c r="CG28" s="1"/>
      <c r="CH28" s="1"/>
      <c r="CI28" s="1"/>
      <c r="CJ28" s="1"/>
      <c r="CK28" s="1"/>
      <c r="CM28" s="1033">
        <v>17</v>
      </c>
      <c r="CN28" s="1">
        <f t="shared" si="14"/>
        <v>1002.82</v>
      </c>
      <c r="CO28">
        <v>2603173205</v>
      </c>
      <c r="CQ28" s="412">
        <v>17</v>
      </c>
      <c r="CR28" s="1">
        <f t="shared" si="15"/>
        <v>0</v>
      </c>
    </row>
    <row r="29" spans="2:97">
      <c r="B29" s="989">
        <v>18</v>
      </c>
      <c r="C29" s="5">
        <f t="shared" si="1"/>
        <v>11590</v>
      </c>
      <c r="D29" s="488">
        <f t="shared" si="2"/>
        <v>179.45999999999998</v>
      </c>
      <c r="E29" s="15">
        <f t="shared" si="3"/>
        <v>64.58263679928676</v>
      </c>
      <c r="F29" s="363"/>
      <c r="G29" s="64"/>
      <c r="H29" s="1034">
        <v>28</v>
      </c>
      <c r="I29" s="1034">
        <v>13.52</v>
      </c>
      <c r="N29" s="993"/>
      <c r="O29" s="26">
        <v>11590</v>
      </c>
      <c r="P29" s="36"/>
      <c r="Q29" s="277">
        <f t="shared" si="4"/>
        <v>179.45999999999998</v>
      </c>
      <c r="R29" s="1227">
        <f t="shared" si="5"/>
        <v>179.45999999999998</v>
      </c>
      <c r="S29" s="27">
        <f t="shared" si="6"/>
        <v>64.58263679928676</v>
      </c>
      <c r="T29" s="33"/>
      <c r="U29" s="1480">
        <v>179.45999999999998</v>
      </c>
      <c r="V29" s="1464"/>
      <c r="W29" s="1037"/>
      <c r="X29" s="1038">
        <v>498</v>
      </c>
      <c r="Y29" s="1"/>
      <c r="Z29" s="847"/>
      <c r="AA29" s="847">
        <v>0</v>
      </c>
      <c r="AB29" s="1025">
        <f t="shared" si="17"/>
        <v>0</v>
      </c>
      <c r="AC29" s="1025">
        <v>0</v>
      </c>
      <c r="AD29" s="1025">
        <v>0</v>
      </c>
      <c r="AE29" s="1025">
        <v>0</v>
      </c>
      <c r="AF29" s="1025">
        <v>0</v>
      </c>
      <c r="AG29" s="1025">
        <v>0</v>
      </c>
      <c r="AH29" s="1025"/>
      <c r="AI29" s="1039"/>
      <c r="AJ29" s="1026">
        <f t="shared" si="8"/>
        <v>712.6105597799999</v>
      </c>
      <c r="AK29" s="1026">
        <f t="shared" si="16"/>
        <v>96328.30495407994</v>
      </c>
      <c r="AL29" s="1040">
        <f t="shared" si="0"/>
        <v>97040.915513859945</v>
      </c>
      <c r="AM29" s="1414"/>
      <c r="AN29" s="1414"/>
      <c r="AO29" s="1310"/>
      <c r="AP29" s="1310"/>
      <c r="AQ29" s="1934">
        <f t="shared" si="9"/>
        <v>0</v>
      </c>
      <c r="AR29" s="1729">
        <f t="shared" si="10"/>
        <v>1520.0060283265202</v>
      </c>
      <c r="AS29" s="1729">
        <f t="shared" si="11"/>
        <v>76947.477873673488</v>
      </c>
      <c r="AT29" s="1007"/>
      <c r="AU29" s="1476">
        <v>1025.78</v>
      </c>
      <c r="AV29" s="1414"/>
      <c r="AW29" s="987"/>
      <c r="AX29" s="310">
        <f t="shared" si="12"/>
        <v>0</v>
      </c>
      <c r="AY29" s="868"/>
      <c r="AZ29" s="4">
        <v>0</v>
      </c>
      <c r="BA29" s="64">
        <v>0</v>
      </c>
      <c r="BB29" s="64">
        <v>0</v>
      </c>
      <c r="BC29" s="64">
        <v>0</v>
      </c>
      <c r="BD29" s="482">
        <v>0</v>
      </c>
      <c r="BF29" s="987"/>
      <c r="BG29" s="987"/>
      <c r="BH29" s="987"/>
      <c r="BI29" s="987"/>
      <c r="BJ29" s="987"/>
      <c r="BK29" s="847"/>
      <c r="BL29" s="847"/>
      <c r="BM29" s="847"/>
      <c r="BN29" s="847"/>
      <c r="BO29" s="847">
        <v>1</v>
      </c>
      <c r="BP29" s="1041">
        <v>6.75</v>
      </c>
      <c r="BQ29" s="1042"/>
      <c r="BR29" s="1"/>
      <c r="BS29" s="1032">
        <f t="shared" si="13"/>
        <v>61372.112395039985</v>
      </c>
      <c r="BT29" s="1"/>
      <c r="BU29" s="1"/>
      <c r="BV29" s="1"/>
      <c r="BW29" s="1"/>
      <c r="BX29" s="1"/>
      <c r="BY29" s="1"/>
      <c r="BZ29" s="1"/>
      <c r="CA29" s="1"/>
      <c r="CB29" s="1"/>
      <c r="CC29" s="1"/>
      <c r="CD29" s="1"/>
      <c r="CE29" s="1"/>
      <c r="CF29" s="1"/>
      <c r="CG29" s="1"/>
      <c r="CH29" s="1"/>
      <c r="CI29" s="1"/>
      <c r="CJ29" s="1"/>
      <c r="CK29" s="1"/>
      <c r="CM29" s="1033">
        <v>18</v>
      </c>
      <c r="CN29" s="1">
        <f t="shared" si="14"/>
        <v>179.45999999999998</v>
      </c>
      <c r="CO29">
        <v>2603183379</v>
      </c>
      <c r="CQ29" s="412">
        <v>18</v>
      </c>
      <c r="CR29" s="1">
        <f t="shared" si="15"/>
        <v>0</v>
      </c>
    </row>
    <row r="30" spans="2:97">
      <c r="B30" s="989">
        <v>19</v>
      </c>
      <c r="C30" s="5">
        <f t="shared" si="1"/>
        <v>19176</v>
      </c>
      <c r="D30" s="488">
        <f t="shared" si="2"/>
        <v>108.16000000000001</v>
      </c>
      <c r="E30" s="15">
        <f t="shared" si="3"/>
        <v>177.292899408284</v>
      </c>
      <c r="F30" s="363"/>
      <c r="G30" s="64"/>
      <c r="H30" s="1034">
        <v>14</v>
      </c>
      <c r="I30" s="1034">
        <v>8.7200000000000006</v>
      </c>
      <c r="N30" s="993"/>
      <c r="O30" s="26">
        <v>19176</v>
      </c>
      <c r="P30" s="36"/>
      <c r="Q30" s="277">
        <f t="shared" si="4"/>
        <v>108.16000000000001</v>
      </c>
      <c r="R30" s="1227">
        <f t="shared" si="5"/>
        <v>108.16000000000001</v>
      </c>
      <c r="S30" s="27">
        <f t="shared" si="6"/>
        <v>177.292899408284</v>
      </c>
      <c r="T30" s="33"/>
      <c r="U30" s="1480">
        <v>86.04</v>
      </c>
      <c r="V30" s="1464">
        <v>22.12</v>
      </c>
      <c r="W30" s="1037"/>
      <c r="X30" s="1038"/>
      <c r="Y30" s="1"/>
      <c r="Z30" s="847"/>
      <c r="AA30" s="847">
        <v>0</v>
      </c>
      <c r="AB30" s="1025">
        <f t="shared" si="17"/>
        <v>0</v>
      </c>
      <c r="AC30" s="1025">
        <v>0</v>
      </c>
      <c r="AD30" s="1025">
        <v>0</v>
      </c>
      <c r="AE30" s="1025">
        <v>0</v>
      </c>
      <c r="AF30" s="1025">
        <v>0</v>
      </c>
      <c r="AG30" s="1025">
        <v>0</v>
      </c>
      <c r="AH30" s="1025"/>
      <c r="AI30" s="1039"/>
      <c r="AJ30" s="1026">
        <f t="shared" si="8"/>
        <v>712.6105597799999</v>
      </c>
      <c r="AK30" s="1026">
        <f t="shared" si="16"/>
        <v>97462.244954079943</v>
      </c>
      <c r="AL30" s="1040">
        <f t="shared" si="0"/>
        <v>98174.855513859948</v>
      </c>
      <c r="AM30" s="1414"/>
      <c r="AN30" s="1414"/>
      <c r="AO30" s="1310"/>
      <c r="AP30" s="1310"/>
      <c r="AQ30" s="1934">
        <f t="shared" si="9"/>
        <v>0</v>
      </c>
      <c r="AR30" s="1729">
        <f t="shared" si="10"/>
        <v>1520.0060283265202</v>
      </c>
      <c r="AS30" s="1729">
        <f t="shared" si="11"/>
        <v>75731.037873673486</v>
      </c>
      <c r="AT30" s="1007"/>
      <c r="AU30" s="1476">
        <v>1216.44</v>
      </c>
      <c r="AV30" s="1414"/>
      <c r="AW30" s="987"/>
      <c r="AX30" s="310">
        <f t="shared" si="12"/>
        <v>0</v>
      </c>
      <c r="AY30" s="998"/>
      <c r="AZ30" s="4">
        <v>0</v>
      </c>
      <c r="BA30" s="64">
        <v>0</v>
      </c>
      <c r="BB30" s="64">
        <v>0</v>
      </c>
      <c r="BC30" s="64">
        <v>0</v>
      </c>
      <c r="BD30" s="482">
        <v>0</v>
      </c>
      <c r="BF30" s="987"/>
      <c r="BG30" s="987"/>
      <c r="BH30" s="987"/>
      <c r="BI30" s="987"/>
      <c r="BJ30" s="987"/>
      <c r="BK30" s="847">
        <v>7604.24</v>
      </c>
      <c r="BL30" s="310"/>
      <c r="BM30" s="310"/>
      <c r="BN30" s="310"/>
      <c r="BO30" s="310"/>
      <c r="BP30" s="1041">
        <v>6.94</v>
      </c>
      <c r="BQ30" s="1042"/>
      <c r="BR30" s="1"/>
      <c r="BS30" s="1032">
        <f t="shared" si="13"/>
        <v>53767.872395039987</v>
      </c>
      <c r="BT30" s="1"/>
      <c r="BU30" s="1"/>
      <c r="BV30" s="1"/>
      <c r="BW30" s="1"/>
      <c r="BX30" s="1"/>
      <c r="BY30" s="1"/>
      <c r="BZ30" s="1"/>
      <c r="CA30" s="1"/>
      <c r="CB30" s="1"/>
      <c r="CC30" s="1"/>
      <c r="CD30" s="1"/>
      <c r="CE30" s="1"/>
      <c r="CF30" s="1"/>
      <c r="CG30" s="1"/>
      <c r="CH30" s="1"/>
      <c r="CI30" s="1"/>
      <c r="CJ30" s="1"/>
      <c r="CK30" s="1"/>
      <c r="CM30" s="1033">
        <v>19</v>
      </c>
      <c r="CN30" s="1">
        <f t="shared" si="14"/>
        <v>108.16000000000001</v>
      </c>
      <c r="CO30">
        <v>2603193532</v>
      </c>
      <c r="CQ30" s="412">
        <v>19</v>
      </c>
      <c r="CR30" s="1">
        <f t="shared" si="15"/>
        <v>0</v>
      </c>
    </row>
    <row r="31" spans="2:97">
      <c r="B31" s="989">
        <v>20</v>
      </c>
      <c r="C31" s="5">
        <f t="shared" si="1"/>
        <v>19718</v>
      </c>
      <c r="D31" s="488">
        <f t="shared" si="2"/>
        <v>465.18</v>
      </c>
      <c r="E31" s="15">
        <f t="shared" si="3"/>
        <v>42.387892858678363</v>
      </c>
      <c r="F31" s="363"/>
      <c r="G31" s="64"/>
      <c r="H31" s="1034">
        <v>21</v>
      </c>
      <c r="I31" s="1034">
        <v>9.33</v>
      </c>
      <c r="N31" s="993"/>
      <c r="O31" s="26">
        <v>19718</v>
      </c>
      <c r="P31" s="36"/>
      <c r="Q31" s="277">
        <f t="shared" si="4"/>
        <v>465.18</v>
      </c>
      <c r="R31" s="1227">
        <f t="shared" si="5"/>
        <v>465.18</v>
      </c>
      <c r="S31" s="5">
        <f t="shared" si="6"/>
        <v>42.387892858678363</v>
      </c>
      <c r="T31" s="12"/>
      <c r="U31" s="2013">
        <v>465.18</v>
      </c>
      <c r="V31" s="1464"/>
      <c r="W31" s="1037"/>
      <c r="X31" s="1038">
        <v>732</v>
      </c>
      <c r="Y31" s="1"/>
      <c r="Z31" s="847"/>
      <c r="AA31" s="847">
        <v>0</v>
      </c>
      <c r="AB31" s="1025">
        <f t="shared" si="17"/>
        <v>0</v>
      </c>
      <c r="AC31" s="1025">
        <v>0</v>
      </c>
      <c r="AD31" s="1025">
        <v>0</v>
      </c>
      <c r="AE31" s="1025">
        <v>0</v>
      </c>
      <c r="AF31" s="1025">
        <v>0</v>
      </c>
      <c r="AG31" s="1025">
        <v>0</v>
      </c>
      <c r="AH31" s="1025"/>
      <c r="AI31" s="1039"/>
      <c r="AJ31" s="1026">
        <f t="shared" si="8"/>
        <v>712.6105597799999</v>
      </c>
      <c r="AK31" s="1026">
        <f t="shared" si="16"/>
        <v>99143.864954079938</v>
      </c>
      <c r="AL31" s="1040">
        <f t="shared" si="0"/>
        <v>99856.475513859943</v>
      </c>
      <c r="AM31" s="1414"/>
      <c r="AN31" s="1414"/>
      <c r="AO31" s="1310"/>
      <c r="AP31" s="1310"/>
      <c r="AQ31" s="1934">
        <f t="shared" si="9"/>
        <v>0</v>
      </c>
      <c r="AR31" s="1729">
        <f t="shared" si="10"/>
        <v>1520.0060283265202</v>
      </c>
      <c r="AS31" s="1729">
        <f t="shared" si="11"/>
        <v>75348.037873673486</v>
      </c>
      <c r="AT31" s="1007"/>
      <c r="AU31" s="1483">
        <v>383</v>
      </c>
      <c r="AV31" s="1414"/>
      <c r="AW31" s="987"/>
      <c r="AX31" s="310">
        <f t="shared" si="12"/>
        <v>0</v>
      </c>
      <c r="AY31" s="868"/>
      <c r="AZ31" s="4">
        <v>0</v>
      </c>
      <c r="BA31" s="64">
        <v>0</v>
      </c>
      <c r="BB31" s="64">
        <v>0</v>
      </c>
      <c r="BC31" s="64">
        <v>0</v>
      </c>
      <c r="BD31" s="482">
        <v>0</v>
      </c>
      <c r="BF31" s="987"/>
      <c r="BG31" s="987"/>
      <c r="BH31" s="987"/>
      <c r="BI31" s="987"/>
      <c r="BJ31" s="987"/>
      <c r="BK31" s="847"/>
      <c r="BL31" s="847"/>
      <c r="BM31" s="847"/>
      <c r="BN31" s="847"/>
      <c r="BO31" s="847"/>
      <c r="BP31" s="1041">
        <v>7</v>
      </c>
      <c r="BQ31" s="1042"/>
      <c r="BR31" s="1"/>
      <c r="BS31" s="1032">
        <f t="shared" si="13"/>
        <v>53767.872395039987</v>
      </c>
      <c r="BT31" s="1"/>
      <c r="BU31" s="1"/>
      <c r="BV31" s="1"/>
      <c r="BW31" s="1"/>
      <c r="BX31" s="1"/>
      <c r="BY31" s="1"/>
      <c r="BZ31" s="1"/>
      <c r="CA31" s="1"/>
      <c r="CB31" s="1"/>
      <c r="CC31" s="1"/>
      <c r="CD31" s="1"/>
      <c r="CE31" s="1"/>
      <c r="CF31" s="1"/>
      <c r="CG31" s="1"/>
      <c r="CH31" s="1"/>
      <c r="CI31" s="1"/>
      <c r="CJ31" s="1"/>
      <c r="CK31" s="1"/>
      <c r="CM31" s="1033">
        <v>20</v>
      </c>
      <c r="CN31" s="1">
        <f t="shared" si="14"/>
        <v>465.18</v>
      </c>
      <c r="CQ31" s="412">
        <v>20</v>
      </c>
      <c r="CR31" s="1">
        <f t="shared" si="15"/>
        <v>0</v>
      </c>
    </row>
    <row r="32" spans="2:97">
      <c r="B32" s="989">
        <v>21</v>
      </c>
      <c r="C32" s="5">
        <f t="shared" si="1"/>
        <v>0</v>
      </c>
      <c r="D32" s="488">
        <f t="shared" si="2"/>
        <v>0</v>
      </c>
      <c r="E32" s="15">
        <f t="shared" si="3"/>
        <v>0</v>
      </c>
      <c r="F32" s="363"/>
      <c r="G32" s="64"/>
      <c r="H32" s="1034"/>
      <c r="I32" s="1034"/>
      <c r="N32" s="993"/>
      <c r="O32" s="26">
        <v>0</v>
      </c>
      <c r="P32" s="36"/>
      <c r="Q32" s="277">
        <f t="shared" si="4"/>
        <v>0</v>
      </c>
      <c r="R32" s="1227">
        <f t="shared" si="5"/>
        <v>0</v>
      </c>
      <c r="S32" s="27">
        <f t="shared" si="6"/>
        <v>0</v>
      </c>
      <c r="T32" s="33"/>
      <c r="U32" s="1480"/>
      <c r="V32" s="1464"/>
      <c r="W32" s="1037"/>
      <c r="X32" s="1038"/>
      <c r="Y32" s="1"/>
      <c r="Z32" s="847"/>
      <c r="AA32" s="847">
        <v>0</v>
      </c>
      <c r="AB32" s="1025">
        <f t="shared" si="17"/>
        <v>0</v>
      </c>
      <c r="AC32" s="1025">
        <v>0</v>
      </c>
      <c r="AD32" s="1025">
        <v>0</v>
      </c>
      <c r="AE32" s="1025">
        <v>0</v>
      </c>
      <c r="AF32" s="1025">
        <v>0</v>
      </c>
      <c r="AG32" s="1025">
        <v>0</v>
      </c>
      <c r="AH32" s="1025"/>
      <c r="AI32" s="1039"/>
      <c r="AJ32" s="1026">
        <f t="shared" si="8"/>
        <v>712.6105597799999</v>
      </c>
      <c r="AK32" s="1026">
        <f t="shared" si="16"/>
        <v>99526.864954079938</v>
      </c>
      <c r="AL32" s="1040">
        <f t="shared" si="0"/>
        <v>100239.47551385994</v>
      </c>
      <c r="AM32" s="1414"/>
      <c r="AN32" s="1414"/>
      <c r="AO32" s="1310"/>
      <c r="AP32" s="1310"/>
      <c r="AQ32" s="1934">
        <f t="shared" si="9"/>
        <v>0</v>
      </c>
      <c r="AR32" s="1729">
        <f t="shared" si="10"/>
        <v>1520.0060283265202</v>
      </c>
      <c r="AS32" s="1729">
        <f t="shared" si="11"/>
        <v>75348.037873673486</v>
      </c>
      <c r="AT32" s="1007"/>
      <c r="AU32" s="1476"/>
      <c r="AV32" s="1414"/>
      <c r="AW32" s="987"/>
      <c r="AX32" s="310">
        <f t="shared" si="12"/>
        <v>0</v>
      </c>
      <c r="AY32" s="998"/>
      <c r="AZ32" s="4">
        <v>0</v>
      </c>
      <c r="BA32" s="64">
        <v>0</v>
      </c>
      <c r="BB32" s="64">
        <v>0</v>
      </c>
      <c r="BC32" s="64">
        <v>0</v>
      </c>
      <c r="BD32" s="482">
        <v>0</v>
      </c>
      <c r="BF32" s="987"/>
      <c r="BG32" s="987"/>
      <c r="BH32" s="987"/>
      <c r="BI32" s="987"/>
      <c r="BJ32" s="987"/>
      <c r="BK32" s="847"/>
      <c r="BL32" s="310"/>
      <c r="BM32" s="310"/>
      <c r="BN32" s="310"/>
      <c r="BO32" s="310"/>
      <c r="BP32" s="1041">
        <v>7.18</v>
      </c>
      <c r="BQ32" s="1042"/>
      <c r="BR32" s="1"/>
      <c r="BS32" s="1032">
        <f t="shared" si="13"/>
        <v>53767.872395039987</v>
      </c>
      <c r="BT32" s="1"/>
      <c r="BU32" s="1"/>
      <c r="BV32" s="1"/>
      <c r="BW32" s="1"/>
      <c r="BX32" s="1"/>
      <c r="BY32" s="1"/>
      <c r="BZ32" s="1"/>
      <c r="CA32" s="1"/>
      <c r="CB32" s="1"/>
      <c r="CC32" s="1"/>
      <c r="CD32" s="1"/>
      <c r="CE32" s="1"/>
      <c r="CF32" s="1"/>
      <c r="CG32" s="1"/>
      <c r="CH32" s="1"/>
      <c r="CI32" s="1"/>
      <c r="CJ32" s="1"/>
      <c r="CK32" s="1"/>
      <c r="CM32" s="1033">
        <v>21</v>
      </c>
      <c r="CN32" s="1">
        <f t="shared" si="14"/>
        <v>0</v>
      </c>
      <c r="CQ32" s="412">
        <v>21</v>
      </c>
      <c r="CR32" s="1">
        <f t="shared" si="15"/>
        <v>0</v>
      </c>
    </row>
    <row r="33" spans="2:97">
      <c r="B33" s="989">
        <v>22</v>
      </c>
      <c r="C33" s="5">
        <f t="shared" si="1"/>
        <v>21428</v>
      </c>
      <c r="D33" s="488">
        <f t="shared" si="2"/>
        <v>108.06</v>
      </c>
      <c r="E33" s="15">
        <f t="shared" si="3"/>
        <v>198.29724227281139</v>
      </c>
      <c r="F33" s="363"/>
      <c r="G33" s="64"/>
      <c r="H33" s="1034">
        <v>7</v>
      </c>
      <c r="I33" s="1034">
        <v>4.92</v>
      </c>
      <c r="N33" s="993"/>
      <c r="O33" s="26">
        <v>21428</v>
      </c>
      <c r="P33" s="36"/>
      <c r="Q33" s="277">
        <f t="shared" si="4"/>
        <v>108.06</v>
      </c>
      <c r="R33" s="1227">
        <f t="shared" si="5"/>
        <v>108.06</v>
      </c>
      <c r="S33" s="27">
        <f t="shared" si="6"/>
        <v>198.29724227281139</v>
      </c>
      <c r="T33" s="33"/>
      <c r="U33" s="1480"/>
      <c r="V33" s="2012">
        <v>108.06</v>
      </c>
      <c r="W33" s="1037"/>
      <c r="X33" s="1038">
        <v>450</v>
      </c>
      <c r="Y33" s="1"/>
      <c r="Z33" s="847"/>
      <c r="AA33" s="847">
        <v>0</v>
      </c>
      <c r="AB33" s="1025">
        <f t="shared" si="17"/>
        <v>0</v>
      </c>
      <c r="AC33" s="1025">
        <v>0</v>
      </c>
      <c r="AD33" s="1025">
        <v>0</v>
      </c>
      <c r="AE33" s="1025">
        <v>0</v>
      </c>
      <c r="AF33" s="1025">
        <v>0</v>
      </c>
      <c r="AG33" s="1025">
        <v>0</v>
      </c>
      <c r="AH33" s="1025"/>
      <c r="AI33" s="1039"/>
      <c r="AJ33" s="1026">
        <f t="shared" si="8"/>
        <v>712.6105597799999</v>
      </c>
      <c r="AK33" s="1026">
        <f t="shared" si="16"/>
        <v>99634.924954079936</v>
      </c>
      <c r="AL33" s="1040">
        <f t="shared" si="0"/>
        <v>100347.53551385994</v>
      </c>
      <c r="AM33" s="1414"/>
      <c r="AN33" s="1414"/>
      <c r="AO33" s="1310"/>
      <c r="AP33" s="1310"/>
      <c r="AQ33" s="1934">
        <f t="shared" si="9"/>
        <v>0</v>
      </c>
      <c r="AR33" s="1729">
        <f t="shared" si="10"/>
        <v>1520.0060283265202</v>
      </c>
      <c r="AS33" s="1729">
        <f t="shared" si="11"/>
        <v>74406.997873673492</v>
      </c>
      <c r="AT33" s="1007"/>
      <c r="AU33" s="1483">
        <v>941.04</v>
      </c>
      <c r="AV33" s="1414"/>
      <c r="AW33" s="987"/>
      <c r="AX33" s="310">
        <f t="shared" si="12"/>
        <v>0</v>
      </c>
      <c r="AY33" s="998"/>
      <c r="AZ33" s="4">
        <v>0</v>
      </c>
      <c r="BA33" s="64">
        <v>0</v>
      </c>
      <c r="BB33" s="64">
        <v>0</v>
      </c>
      <c r="BC33" s="64">
        <v>0</v>
      </c>
      <c r="BD33" s="482">
        <v>0</v>
      </c>
      <c r="BF33" s="987"/>
      <c r="BG33" s="987"/>
      <c r="BH33" s="987"/>
      <c r="BI33" s="987"/>
      <c r="BJ33" s="987"/>
      <c r="BK33" s="847"/>
      <c r="BL33" s="310"/>
      <c r="BM33" s="310"/>
      <c r="BN33" s="310"/>
      <c r="BO33" s="310"/>
      <c r="BP33" s="1041">
        <v>6.88</v>
      </c>
      <c r="BQ33" s="1042"/>
      <c r="BR33" s="1"/>
      <c r="BS33" s="1032">
        <f t="shared" si="13"/>
        <v>53767.872395039987</v>
      </c>
      <c r="BT33" s="1"/>
      <c r="BU33" s="1"/>
      <c r="BV33" s="1"/>
      <c r="BW33" s="1"/>
      <c r="BX33" s="1"/>
      <c r="BY33" s="1"/>
      <c r="BZ33" s="1"/>
      <c r="CA33" s="1"/>
      <c r="CB33" s="1"/>
      <c r="CC33" s="1"/>
      <c r="CD33" s="1"/>
      <c r="CE33" s="1"/>
      <c r="CF33" s="1"/>
      <c r="CG33" s="1"/>
      <c r="CH33" s="1"/>
      <c r="CI33" s="1"/>
      <c r="CJ33" s="1"/>
      <c r="CK33" s="1"/>
      <c r="CM33" s="1033">
        <v>22</v>
      </c>
      <c r="CN33" s="1">
        <f t="shared" si="14"/>
        <v>108.06</v>
      </c>
      <c r="CO33" s="1048">
        <v>2603223772</v>
      </c>
      <c r="CP33" s="1048"/>
      <c r="CQ33" s="412">
        <v>22</v>
      </c>
      <c r="CR33" s="1">
        <f t="shared" si="15"/>
        <v>0</v>
      </c>
    </row>
    <row r="34" spans="2:97">
      <c r="B34" s="989">
        <v>23</v>
      </c>
      <c r="C34" s="5">
        <f t="shared" si="1"/>
        <v>14130</v>
      </c>
      <c r="D34" s="488">
        <f t="shared" si="2"/>
        <v>478.74</v>
      </c>
      <c r="E34" s="15">
        <f t="shared" si="3"/>
        <v>29.51497681413711</v>
      </c>
      <c r="F34" s="363"/>
      <c r="G34" s="64"/>
      <c r="H34" s="1034">
        <v>4</v>
      </c>
      <c r="I34" s="1034">
        <v>4.5</v>
      </c>
      <c r="N34" s="993"/>
      <c r="O34" s="26">
        <v>14130</v>
      </c>
      <c r="P34" s="36"/>
      <c r="Q34" s="277">
        <f t="shared" si="4"/>
        <v>478.74</v>
      </c>
      <c r="R34" s="1227">
        <f t="shared" si="5"/>
        <v>478.74</v>
      </c>
      <c r="S34" s="27">
        <f t="shared" si="6"/>
        <v>29.51497681413711</v>
      </c>
      <c r="T34" s="33"/>
      <c r="U34" s="1480">
        <v>478.74</v>
      </c>
      <c r="V34" s="1464"/>
      <c r="W34" s="1037"/>
      <c r="X34" s="1038"/>
      <c r="Y34" s="1"/>
      <c r="Z34" s="847"/>
      <c r="AA34" s="847">
        <v>0</v>
      </c>
      <c r="AB34" s="1025">
        <f t="shared" si="17"/>
        <v>0</v>
      </c>
      <c r="AC34" s="1025">
        <v>0</v>
      </c>
      <c r="AD34" s="1025">
        <v>0</v>
      </c>
      <c r="AE34" s="1025">
        <v>0</v>
      </c>
      <c r="AF34" s="1025">
        <v>0</v>
      </c>
      <c r="AG34" s="1025">
        <v>0</v>
      </c>
      <c r="AH34" s="1025"/>
      <c r="AI34" s="1039"/>
      <c r="AJ34" s="1026">
        <f t="shared" si="8"/>
        <v>712.6105597799999</v>
      </c>
      <c r="AK34" s="1026">
        <f t="shared" si="16"/>
        <v>101054.70495407993</v>
      </c>
      <c r="AL34" s="1040">
        <f t="shared" si="0"/>
        <v>101767.31551385994</v>
      </c>
      <c r="AM34" s="1414"/>
      <c r="AN34" s="1414"/>
      <c r="AO34" s="1310"/>
      <c r="AP34" s="1310"/>
      <c r="AQ34" s="1934">
        <f t="shared" si="9"/>
        <v>0</v>
      </c>
      <c r="AR34" s="1729">
        <f t="shared" si="10"/>
        <v>1520.0060283265202</v>
      </c>
      <c r="AS34" s="1729">
        <f t="shared" si="11"/>
        <v>74274.437873673494</v>
      </c>
      <c r="AT34" s="1007"/>
      <c r="AU34" s="1476">
        <v>132.56</v>
      </c>
      <c r="AV34" s="1414"/>
      <c r="AW34" s="987"/>
      <c r="AX34" s="310">
        <f t="shared" si="12"/>
        <v>0</v>
      </c>
      <c r="AY34" s="998"/>
      <c r="AZ34" s="4">
        <v>0</v>
      </c>
      <c r="BA34" s="64">
        <v>0</v>
      </c>
      <c r="BB34" s="64">
        <v>0</v>
      </c>
      <c r="BC34" s="64">
        <v>0</v>
      </c>
      <c r="BD34" s="482">
        <v>0</v>
      </c>
      <c r="BF34" s="987"/>
      <c r="BG34" s="987"/>
      <c r="BH34" s="987"/>
      <c r="BI34" s="987"/>
      <c r="BJ34" s="987"/>
      <c r="BK34" s="847"/>
      <c r="BL34" s="310"/>
      <c r="BM34" s="310"/>
      <c r="BN34" s="310"/>
      <c r="BO34" s="310"/>
      <c r="BP34" s="1041">
        <v>6.87</v>
      </c>
      <c r="BQ34" s="1042"/>
      <c r="BR34" s="1"/>
      <c r="BS34" s="1032">
        <f t="shared" si="13"/>
        <v>53767.872395039987</v>
      </c>
      <c r="BT34" s="1"/>
      <c r="BU34" s="1"/>
      <c r="BV34" s="1"/>
      <c r="BW34" s="1"/>
      <c r="BX34" s="1"/>
      <c r="BY34" s="1"/>
      <c r="BZ34" s="1"/>
      <c r="CA34" s="1"/>
      <c r="CB34" s="1"/>
      <c r="CC34" s="1"/>
      <c r="CD34" s="1"/>
      <c r="CE34" s="1"/>
      <c r="CF34" s="1"/>
      <c r="CG34" s="1"/>
      <c r="CH34" s="1"/>
      <c r="CI34" s="1"/>
      <c r="CJ34" s="1"/>
      <c r="CK34" s="1"/>
      <c r="CM34" s="1033">
        <v>23</v>
      </c>
      <c r="CN34" s="1">
        <f t="shared" si="14"/>
        <v>478.74</v>
      </c>
      <c r="CO34">
        <v>2603233872</v>
      </c>
      <c r="CQ34" s="412">
        <v>23</v>
      </c>
      <c r="CR34" s="1">
        <f t="shared" si="15"/>
        <v>0</v>
      </c>
    </row>
    <row r="35" spans="2:97">
      <c r="B35" s="989">
        <v>24</v>
      </c>
      <c r="C35" s="5">
        <f t="shared" si="1"/>
        <v>32039</v>
      </c>
      <c r="D35" s="488">
        <f t="shared" si="2"/>
        <v>2299.7200000000003</v>
      </c>
      <c r="E35" s="15">
        <f t="shared" si="3"/>
        <v>13.931696032560485</v>
      </c>
      <c r="F35" s="363"/>
      <c r="G35" s="64"/>
      <c r="H35" s="1034"/>
      <c r="I35" s="1034"/>
      <c r="N35" s="993"/>
      <c r="O35" s="26">
        <v>32039</v>
      </c>
      <c r="P35" s="36"/>
      <c r="Q35" s="277">
        <f t="shared" si="4"/>
        <v>2299.7200000000003</v>
      </c>
      <c r="R35" s="1227">
        <f t="shared" si="5"/>
        <v>2299.7200000000003</v>
      </c>
      <c r="S35" s="27">
        <f t="shared" si="6"/>
        <v>13.931696032560485</v>
      </c>
      <c r="T35" s="33"/>
      <c r="U35" s="1480">
        <v>2163.7800000000002</v>
      </c>
      <c r="V35" s="1464">
        <v>135.94</v>
      </c>
      <c r="W35" s="1037"/>
      <c r="X35" s="1038">
        <v>582</v>
      </c>
      <c r="Y35" s="1"/>
      <c r="Z35" s="847"/>
      <c r="AA35" s="847">
        <v>0</v>
      </c>
      <c r="AB35" s="1025">
        <f t="shared" si="17"/>
        <v>0</v>
      </c>
      <c r="AC35" s="1025">
        <v>0</v>
      </c>
      <c r="AD35" s="1025">
        <v>0</v>
      </c>
      <c r="AE35" s="1025">
        <v>0</v>
      </c>
      <c r="AF35" s="1025">
        <v>0</v>
      </c>
      <c r="AG35" s="1025">
        <v>0</v>
      </c>
      <c r="AH35" s="1025"/>
      <c r="AI35" s="1039"/>
      <c r="AJ35" s="1026">
        <f t="shared" si="8"/>
        <v>712.6105597799999</v>
      </c>
      <c r="AK35" s="1026">
        <f t="shared" si="16"/>
        <v>103486.98495407993</v>
      </c>
      <c r="AL35" s="1040">
        <f t="shared" si="0"/>
        <v>104199.59551385994</v>
      </c>
      <c r="AM35" s="1414"/>
      <c r="AN35" s="1414"/>
      <c r="AO35" s="1310"/>
      <c r="AP35" s="1310"/>
      <c r="AQ35" s="1934">
        <f t="shared" si="9"/>
        <v>0</v>
      </c>
      <c r="AR35" s="1729">
        <f t="shared" si="10"/>
        <v>1520.0060283265202</v>
      </c>
      <c r="AS35" s="1729">
        <f t="shared" si="11"/>
        <v>74252.457873673498</v>
      </c>
      <c r="AT35" s="1007"/>
      <c r="AU35" s="1476">
        <v>21.98</v>
      </c>
      <c r="AV35" s="1414"/>
      <c r="AW35" s="987"/>
      <c r="AX35" s="310">
        <f t="shared" si="12"/>
        <v>0</v>
      </c>
      <c r="AY35" s="998"/>
      <c r="AZ35" s="4">
        <v>0</v>
      </c>
      <c r="BA35" s="64">
        <v>0</v>
      </c>
      <c r="BB35" s="64">
        <v>0</v>
      </c>
      <c r="BC35" s="64">
        <v>0</v>
      </c>
      <c r="BD35" s="482">
        <v>0</v>
      </c>
      <c r="BF35" s="987"/>
      <c r="BG35" s="987"/>
      <c r="BH35" s="987"/>
      <c r="BI35" s="987"/>
      <c r="BJ35" s="987"/>
      <c r="BK35" s="310"/>
      <c r="BL35" s="310"/>
      <c r="BM35" s="310"/>
      <c r="BN35" s="310"/>
      <c r="BO35" s="310"/>
      <c r="BP35" s="1041">
        <v>6.28</v>
      </c>
      <c r="BQ35" s="1042"/>
      <c r="BR35" s="1"/>
      <c r="BS35" s="1032">
        <f t="shared" si="13"/>
        <v>53767.872395039987</v>
      </c>
      <c r="BT35" s="1"/>
      <c r="BU35" s="1"/>
      <c r="BV35" s="1"/>
      <c r="BW35" s="1"/>
      <c r="BX35" s="1"/>
      <c r="BY35" s="1"/>
      <c r="BZ35" s="1"/>
      <c r="CA35" s="1"/>
      <c r="CB35" s="1"/>
      <c r="CC35" s="1"/>
      <c r="CD35" s="1"/>
      <c r="CE35" s="1"/>
      <c r="CF35" s="1"/>
      <c r="CG35" s="1"/>
      <c r="CH35" s="1"/>
      <c r="CI35" s="1"/>
      <c r="CJ35" s="1"/>
      <c r="CK35" s="1"/>
      <c r="CM35" s="1033">
        <v>24</v>
      </c>
      <c r="CN35" s="1">
        <f t="shared" si="14"/>
        <v>2299.7200000000003</v>
      </c>
      <c r="CO35" s="1050">
        <v>2603244027</v>
      </c>
      <c r="CP35" s="1048"/>
      <c r="CQ35" s="412">
        <v>24</v>
      </c>
      <c r="CR35" s="1">
        <f t="shared" si="15"/>
        <v>0</v>
      </c>
    </row>
    <row r="36" spans="2:97">
      <c r="B36" s="989">
        <v>25</v>
      </c>
      <c r="C36" s="5">
        <f t="shared" si="1"/>
        <v>31966</v>
      </c>
      <c r="D36" s="488">
        <f t="shared" si="2"/>
        <v>2308.2799999999997</v>
      </c>
      <c r="E36" s="1051">
        <f t="shared" si="3"/>
        <v>13.848406605784396</v>
      </c>
      <c r="F36" s="363"/>
      <c r="G36" s="64"/>
      <c r="H36" s="1034"/>
      <c r="I36" s="1034"/>
      <c r="N36" s="993"/>
      <c r="O36" s="26">
        <v>31966</v>
      </c>
      <c r="P36" s="36"/>
      <c r="Q36" s="277">
        <f t="shared" si="4"/>
        <v>2308.2799999999997</v>
      </c>
      <c r="R36" s="1227">
        <f t="shared" si="5"/>
        <v>2308.2799999999997</v>
      </c>
      <c r="S36" s="53">
        <f t="shared" si="6"/>
        <v>13.848406605784396</v>
      </c>
      <c r="T36" s="33"/>
      <c r="U36" s="1480">
        <v>1285.58</v>
      </c>
      <c r="V36" s="1464">
        <v>1022.7</v>
      </c>
      <c r="W36" s="1037"/>
      <c r="X36" s="1038">
        <v>1218</v>
      </c>
      <c r="Y36" s="1"/>
      <c r="Z36" s="847"/>
      <c r="AA36" s="847">
        <v>0</v>
      </c>
      <c r="AB36" s="1025">
        <f t="shared" si="17"/>
        <v>0</v>
      </c>
      <c r="AC36" s="1025">
        <v>0</v>
      </c>
      <c r="AD36" s="1025">
        <v>0</v>
      </c>
      <c r="AE36" s="1025">
        <v>0</v>
      </c>
      <c r="AF36" s="1025">
        <v>0</v>
      </c>
      <c r="AG36" s="1025">
        <v>0</v>
      </c>
      <c r="AH36" s="1025"/>
      <c r="AI36" s="1039"/>
      <c r="AJ36" s="1026">
        <f t="shared" si="8"/>
        <v>712.6105597799999</v>
      </c>
      <c r="AK36" s="1026">
        <f t="shared" si="16"/>
        <v>105817.24495407993</v>
      </c>
      <c r="AL36" s="1040">
        <f t="shared" si="0"/>
        <v>106529.85551385993</v>
      </c>
      <c r="AM36" s="1414"/>
      <c r="AN36" s="1414"/>
      <c r="AO36" s="1310"/>
      <c r="AP36" s="1310"/>
      <c r="AQ36" s="1934">
        <f t="shared" si="9"/>
        <v>0</v>
      </c>
      <c r="AR36" s="1729">
        <f t="shared" si="10"/>
        <v>1520.0060283265202</v>
      </c>
      <c r="AS36" s="1729">
        <f t="shared" si="11"/>
        <v>74252.457873673498</v>
      </c>
      <c r="AT36" s="1007"/>
      <c r="AU36" s="1476"/>
      <c r="AV36" s="1414"/>
      <c r="AW36" s="987"/>
      <c r="AX36" s="310">
        <f t="shared" si="12"/>
        <v>0</v>
      </c>
      <c r="AY36" s="998"/>
      <c r="AZ36" s="4">
        <v>0</v>
      </c>
      <c r="BA36" s="64">
        <v>0</v>
      </c>
      <c r="BB36" s="64">
        <v>0</v>
      </c>
      <c r="BC36" s="64">
        <v>0</v>
      </c>
      <c r="BD36" s="482">
        <v>0</v>
      </c>
      <c r="BF36" s="987"/>
      <c r="BG36" s="987"/>
      <c r="BH36" s="987"/>
      <c r="BI36" s="987"/>
      <c r="BJ36" s="987"/>
      <c r="BK36" s="310"/>
      <c r="BL36" s="310"/>
      <c r="BM36" s="310"/>
      <c r="BN36" s="310"/>
      <c r="BO36" s="310"/>
      <c r="BP36" s="1041">
        <v>5.74</v>
      </c>
      <c r="BQ36" s="1042"/>
      <c r="BR36" s="1"/>
      <c r="BS36" s="1032">
        <f t="shared" si="13"/>
        <v>53767.872395039987</v>
      </c>
      <c r="BT36" s="1"/>
      <c r="BU36" s="1"/>
      <c r="BV36" s="1"/>
      <c r="BW36" s="1"/>
      <c r="BX36" s="1"/>
      <c r="BY36" s="1"/>
      <c r="BZ36" s="1"/>
      <c r="CA36" s="1"/>
      <c r="CB36" s="1"/>
      <c r="CC36" s="1"/>
      <c r="CD36" s="1"/>
      <c r="CE36" s="1"/>
      <c r="CF36" s="1"/>
      <c r="CG36" s="1"/>
      <c r="CH36" s="1"/>
      <c r="CI36" s="1"/>
      <c r="CJ36" s="1"/>
      <c r="CK36" s="1"/>
      <c r="CM36" s="1033">
        <v>25</v>
      </c>
      <c r="CN36" s="1">
        <f t="shared" si="14"/>
        <v>2308.2799999999997</v>
      </c>
      <c r="CO36">
        <v>2603254222</v>
      </c>
      <c r="CQ36" s="412">
        <v>25</v>
      </c>
      <c r="CR36" s="1">
        <f t="shared" si="15"/>
        <v>0</v>
      </c>
    </row>
    <row r="37" spans="2:97">
      <c r="B37" s="989">
        <v>26</v>
      </c>
      <c r="C37" s="5">
        <f t="shared" si="1"/>
        <v>32510</v>
      </c>
      <c r="D37" s="488">
        <f t="shared" si="2"/>
        <v>2541.9899999999998</v>
      </c>
      <c r="E37" s="1051">
        <f t="shared" si="3"/>
        <v>12.789192719090163</v>
      </c>
      <c r="F37" s="363"/>
      <c r="G37" s="64"/>
      <c r="H37" s="1034"/>
      <c r="I37" s="1034"/>
      <c r="N37" s="993"/>
      <c r="O37" s="26">
        <v>32510</v>
      </c>
      <c r="P37" s="36"/>
      <c r="Q37" s="277">
        <f t="shared" si="4"/>
        <v>2541.9899999999998</v>
      </c>
      <c r="R37" s="1227">
        <f t="shared" si="5"/>
        <v>2541.9899999999998</v>
      </c>
      <c r="S37" s="53">
        <f t="shared" si="6"/>
        <v>12.789192719090163</v>
      </c>
      <c r="T37" s="33"/>
      <c r="U37" s="1480">
        <v>1771.03</v>
      </c>
      <c r="V37" s="1464"/>
      <c r="W37" s="2011">
        <v>770.96</v>
      </c>
      <c r="X37" s="1038">
        <v>864</v>
      </c>
      <c r="Y37" s="1"/>
      <c r="Z37" s="847"/>
      <c r="AA37" s="847">
        <v>0</v>
      </c>
      <c r="AB37" s="1025">
        <f t="shared" si="17"/>
        <v>0</v>
      </c>
      <c r="AC37" s="1025">
        <v>0</v>
      </c>
      <c r="AD37" s="1025">
        <v>0</v>
      </c>
      <c r="AE37" s="1025">
        <v>0</v>
      </c>
      <c r="AF37" s="1025">
        <v>0</v>
      </c>
      <c r="AG37" s="1025">
        <v>0</v>
      </c>
      <c r="AH37" s="1025"/>
      <c r="AI37" s="1039"/>
      <c r="AJ37" s="1026">
        <f t="shared" si="8"/>
        <v>712.6105597799999</v>
      </c>
      <c r="AK37" s="1026">
        <f t="shared" si="16"/>
        <v>108359.23495407993</v>
      </c>
      <c r="AL37" s="1040">
        <f t="shared" si="0"/>
        <v>109071.84551385994</v>
      </c>
      <c r="AM37" s="1414"/>
      <c r="AN37" s="1414"/>
      <c r="AO37" s="1310"/>
      <c r="AP37" s="1310"/>
      <c r="AQ37" s="1934">
        <f t="shared" si="9"/>
        <v>0</v>
      </c>
      <c r="AR37" s="1729">
        <f t="shared" si="10"/>
        <v>1520.0060283265202</v>
      </c>
      <c r="AS37" s="1729">
        <f t="shared" si="11"/>
        <v>74252.457873673498</v>
      </c>
      <c r="AT37" s="1007"/>
      <c r="AU37" s="1476"/>
      <c r="AV37" s="1414"/>
      <c r="AW37" s="987"/>
      <c r="AX37" s="310">
        <f t="shared" si="12"/>
        <v>0</v>
      </c>
      <c r="AY37" s="998"/>
      <c r="AZ37" s="4">
        <v>0</v>
      </c>
      <c r="BA37" s="64">
        <v>0</v>
      </c>
      <c r="BB37" s="64">
        <v>0</v>
      </c>
      <c r="BC37" s="64">
        <v>0</v>
      </c>
      <c r="BD37" s="482">
        <v>0</v>
      </c>
      <c r="BF37" s="987"/>
      <c r="BG37" s="987"/>
      <c r="BH37" s="987"/>
      <c r="BI37" s="987"/>
      <c r="BJ37" s="987"/>
      <c r="BK37" s="310"/>
      <c r="BL37" s="310"/>
      <c r="BM37" s="310"/>
      <c r="BN37" s="310"/>
      <c r="BO37" s="310"/>
      <c r="BP37" s="1041">
        <v>5.29</v>
      </c>
      <c r="BQ37" s="1052"/>
      <c r="BR37" s="857"/>
      <c r="BS37" s="1032">
        <f t="shared" si="13"/>
        <v>53767.872395039987</v>
      </c>
      <c r="BT37" s="857"/>
      <c r="BU37" s="857"/>
      <c r="BV37" s="857"/>
      <c r="BW37" s="857"/>
      <c r="BX37" s="857"/>
      <c r="BY37" s="857"/>
      <c r="BZ37" s="857"/>
      <c r="CA37" s="857"/>
      <c r="CB37" s="857"/>
      <c r="CC37" s="857"/>
      <c r="CD37" s="857"/>
      <c r="CE37" s="857"/>
      <c r="CF37" s="857"/>
      <c r="CG37" s="857"/>
      <c r="CH37" s="857"/>
      <c r="CI37" s="857"/>
      <c r="CJ37" s="857"/>
      <c r="CK37" s="857"/>
      <c r="CM37" s="1033">
        <v>26</v>
      </c>
      <c r="CN37" s="1">
        <f t="shared" si="14"/>
        <v>2541.9899999999998</v>
      </c>
      <c r="CO37" s="1048">
        <v>2603264444</v>
      </c>
      <c r="CP37" s="1048"/>
      <c r="CQ37" s="412">
        <v>26</v>
      </c>
      <c r="CR37" s="1">
        <f t="shared" si="15"/>
        <v>0</v>
      </c>
    </row>
    <row r="38" spans="2:97">
      <c r="B38" s="989">
        <v>27</v>
      </c>
      <c r="C38" s="5">
        <f t="shared" si="1"/>
        <v>24980</v>
      </c>
      <c r="D38" s="488">
        <f t="shared" si="2"/>
        <v>2020.5</v>
      </c>
      <c r="E38" s="1051">
        <f t="shared" si="3"/>
        <v>12.363276416728533</v>
      </c>
      <c r="F38" s="363"/>
      <c r="G38" s="64"/>
      <c r="H38" s="1034">
        <v>15</v>
      </c>
      <c r="I38" s="1034">
        <v>4</v>
      </c>
      <c r="N38" s="993"/>
      <c r="O38" s="26">
        <v>24980</v>
      </c>
      <c r="P38" s="36"/>
      <c r="Q38" s="277">
        <f t="shared" si="4"/>
        <v>2020.5</v>
      </c>
      <c r="R38" s="1227">
        <f t="shared" si="5"/>
        <v>2020.5</v>
      </c>
      <c r="S38" s="53">
        <f t="shared" si="6"/>
        <v>12.363276416728533</v>
      </c>
      <c r="T38" s="33"/>
      <c r="U38" s="1480">
        <v>1319.8999999999999</v>
      </c>
      <c r="V38" s="1464">
        <v>700.6</v>
      </c>
      <c r="W38" s="1037"/>
      <c r="X38" s="1038">
        <v>528</v>
      </c>
      <c r="Y38" s="1"/>
      <c r="Z38" s="847"/>
      <c r="AA38" s="847">
        <v>7321.4000000000005</v>
      </c>
      <c r="AB38" s="1025">
        <f t="shared" si="17"/>
        <v>7321.4000000000005</v>
      </c>
      <c r="AC38" s="1025">
        <v>0</v>
      </c>
      <c r="AD38" s="1025">
        <v>0</v>
      </c>
      <c r="AE38" s="1025">
        <v>3635.11</v>
      </c>
      <c r="AF38" s="1025">
        <v>3686.29</v>
      </c>
      <c r="AG38" s="1025">
        <v>7321.4</v>
      </c>
      <c r="AH38" s="1025"/>
      <c r="AI38" s="1039"/>
      <c r="AJ38" s="1026">
        <f t="shared" si="8"/>
        <v>712.6105597799999</v>
      </c>
      <c r="AK38" s="1026">
        <f t="shared" si="16"/>
        <v>103058.33495407994</v>
      </c>
      <c r="AL38" s="1040">
        <f t="shared" si="0"/>
        <v>103770.94551385994</v>
      </c>
      <c r="AM38" s="1414"/>
      <c r="AN38" s="1414"/>
      <c r="AO38" s="1310"/>
      <c r="AP38" s="1310"/>
      <c r="AQ38" s="1934">
        <f t="shared" si="9"/>
        <v>0</v>
      </c>
      <c r="AR38" s="1729">
        <f t="shared" si="10"/>
        <v>1520.0060283265202</v>
      </c>
      <c r="AS38" s="1729">
        <f t="shared" si="11"/>
        <v>74252.457873673498</v>
      </c>
      <c r="AT38" s="1007"/>
      <c r="AU38" s="1476"/>
      <c r="AV38" s="1414"/>
      <c r="AW38" s="987"/>
      <c r="AX38" s="310">
        <f t="shared" si="12"/>
        <v>7321.4000000000005</v>
      </c>
      <c r="AY38" s="998"/>
      <c r="AZ38" s="4">
        <v>7396.9893560404471</v>
      </c>
      <c r="BA38" s="64">
        <v>1.3721287919105909</v>
      </c>
      <c r="BB38" s="64">
        <v>2.1490154337413516</v>
      </c>
      <c r="BC38" s="64">
        <v>5.178461947844597</v>
      </c>
      <c r="BD38" s="482">
        <v>8.6553051623203832</v>
      </c>
      <c r="BF38" s="987"/>
      <c r="BG38" s="987"/>
      <c r="BH38" s="987"/>
      <c r="BI38" s="987"/>
      <c r="BJ38" s="987"/>
      <c r="BK38" s="310"/>
      <c r="BL38" s="310"/>
      <c r="BM38" s="310">
        <v>1</v>
      </c>
      <c r="BN38" s="310"/>
      <c r="BO38" s="310">
        <v>1</v>
      </c>
      <c r="BP38" s="1041">
        <v>4.96</v>
      </c>
      <c r="BQ38" s="1053"/>
      <c r="BR38" s="857"/>
      <c r="BS38" s="1032">
        <f t="shared" si="13"/>
        <v>61089.272395039989</v>
      </c>
      <c r="BT38" s="857"/>
      <c r="BU38" s="857"/>
      <c r="BV38" s="857"/>
      <c r="BW38" s="857"/>
      <c r="BX38" s="857"/>
      <c r="BY38" s="857"/>
      <c r="BZ38" s="857"/>
      <c r="CA38" s="857"/>
      <c r="CB38" s="857"/>
      <c r="CC38" s="857"/>
      <c r="CD38" s="857"/>
      <c r="CE38" s="857"/>
      <c r="CF38" s="857"/>
      <c r="CG38" s="857"/>
      <c r="CH38" s="857"/>
      <c r="CI38" s="857"/>
      <c r="CJ38" s="857"/>
      <c r="CK38" s="857"/>
      <c r="CM38" s="1033">
        <v>27</v>
      </c>
      <c r="CN38" s="1">
        <f t="shared" si="14"/>
        <v>2020.5</v>
      </c>
      <c r="CO38" s="1048">
        <v>2603274665</v>
      </c>
      <c r="CP38" s="1048"/>
      <c r="CQ38" s="412">
        <v>27</v>
      </c>
      <c r="CR38" s="1">
        <f t="shared" si="15"/>
        <v>7321.4000000000005</v>
      </c>
      <c r="CS38">
        <v>26032711896</v>
      </c>
    </row>
    <row r="39" spans="2:97">
      <c r="B39" s="989">
        <v>28</v>
      </c>
      <c r="C39" s="5">
        <f t="shared" si="1"/>
        <v>23109</v>
      </c>
      <c r="D39" s="488">
        <f t="shared" si="2"/>
        <v>1553</v>
      </c>
      <c r="E39" s="1051">
        <f t="shared" si="3"/>
        <v>14.88023180940116</v>
      </c>
      <c r="F39" s="363"/>
      <c r="G39" s="64"/>
      <c r="H39" s="1034">
        <v>6</v>
      </c>
      <c r="I39" s="1034">
        <v>6.13</v>
      </c>
      <c r="N39" s="993"/>
      <c r="O39" s="26">
        <v>23109</v>
      </c>
      <c r="P39" s="36"/>
      <c r="Q39" s="277">
        <f t="shared" si="4"/>
        <v>1553</v>
      </c>
      <c r="R39" s="1227">
        <f t="shared" si="5"/>
        <v>1553</v>
      </c>
      <c r="S39" s="53">
        <f t="shared" si="6"/>
        <v>14.88023180940116</v>
      </c>
      <c r="T39" s="33"/>
      <c r="U39" s="1480">
        <v>1387.6200000000001</v>
      </c>
      <c r="V39" s="1464"/>
      <c r="W39" s="1037">
        <v>165.38</v>
      </c>
      <c r="X39" s="1038"/>
      <c r="Y39" s="1"/>
      <c r="Z39" s="847"/>
      <c r="AA39" s="847">
        <v>5833.6299999999992</v>
      </c>
      <c r="AB39" s="1025">
        <f t="shared" si="17"/>
        <v>5833.6299999999992</v>
      </c>
      <c r="AC39" s="1025">
        <v>0</v>
      </c>
      <c r="AD39" s="1025">
        <v>0</v>
      </c>
      <c r="AE39" s="1025">
        <v>3127.62</v>
      </c>
      <c r="AF39" s="1025">
        <v>2706.0099999999998</v>
      </c>
      <c r="AG39" s="1025">
        <v>5833.6299999999992</v>
      </c>
      <c r="AH39" s="1025"/>
      <c r="AI39" s="1039"/>
      <c r="AJ39" s="1026">
        <f t="shared" si="8"/>
        <v>712.6105597799999</v>
      </c>
      <c r="AK39" s="1026">
        <f t="shared" si="16"/>
        <v>98777.704954079934</v>
      </c>
      <c r="AL39" s="1040">
        <f t="shared" si="0"/>
        <v>99490.31551385994</v>
      </c>
      <c r="AM39" s="1414"/>
      <c r="AN39" s="1414"/>
      <c r="AO39" s="1310"/>
      <c r="AP39" s="1310"/>
      <c r="AQ39" s="1934">
        <f t="shared" si="9"/>
        <v>0</v>
      </c>
      <c r="AR39" s="1729">
        <f t="shared" si="10"/>
        <v>1520.0060283265202</v>
      </c>
      <c r="AS39" s="1729">
        <f t="shared" si="11"/>
        <v>74252.457873673498</v>
      </c>
      <c r="AT39" s="1007"/>
      <c r="AU39" s="1476"/>
      <c r="AV39" s="1414"/>
      <c r="AW39" s="987"/>
      <c r="AX39" s="2056">
        <f t="shared" si="12"/>
        <v>5833.6299999999992</v>
      </c>
      <c r="AY39" s="998"/>
      <c r="AZ39" s="4">
        <v>7356.5</v>
      </c>
      <c r="BA39" s="64">
        <v>1.5066666666666666</v>
      </c>
      <c r="BB39" s="64">
        <v>1.94</v>
      </c>
      <c r="BC39" s="64">
        <v>5.0333333333333332</v>
      </c>
      <c r="BD39" s="482">
        <v>8.2414858333333321</v>
      </c>
      <c r="BF39" s="987"/>
      <c r="BG39" s="987"/>
      <c r="BH39" s="987"/>
      <c r="BI39" s="987"/>
      <c r="BJ39" s="987"/>
      <c r="BK39" s="310">
        <v>15242.62</v>
      </c>
      <c r="BL39" s="310"/>
      <c r="BM39" s="310">
        <v>2</v>
      </c>
      <c r="BN39" s="310"/>
      <c r="BO39" s="310"/>
      <c r="BP39" s="1041">
        <v>4.55</v>
      </c>
      <c r="BQ39" s="1042"/>
      <c r="BR39" s="1"/>
      <c r="BS39" s="1032">
        <f t="shared" si="13"/>
        <v>51680.282395039983</v>
      </c>
      <c r="BT39" s="1"/>
      <c r="BU39" s="1"/>
      <c r="BV39" s="1"/>
      <c r="BW39" s="1"/>
      <c r="BX39" s="1"/>
      <c r="BY39" s="1"/>
      <c r="BZ39" s="1"/>
      <c r="CA39" s="1"/>
      <c r="CB39" s="1"/>
      <c r="CC39" s="1"/>
      <c r="CD39" s="1"/>
      <c r="CE39" s="1"/>
      <c r="CF39" s="1"/>
      <c r="CG39" s="1"/>
      <c r="CH39" s="1"/>
      <c r="CI39" s="1"/>
      <c r="CJ39" s="1"/>
      <c r="CK39" s="1"/>
      <c r="CM39" s="1033">
        <v>28</v>
      </c>
      <c r="CN39" s="1">
        <f t="shared" si="14"/>
        <v>1553</v>
      </c>
      <c r="CO39" s="1045">
        <v>2603284890</v>
      </c>
      <c r="CQ39" s="412">
        <v>28</v>
      </c>
      <c r="CR39" s="1">
        <f t="shared" si="15"/>
        <v>5833.6299999999992</v>
      </c>
      <c r="CS39">
        <v>26032812657</v>
      </c>
    </row>
    <row r="40" spans="2:97">
      <c r="B40" s="989">
        <v>29</v>
      </c>
      <c r="C40" s="5">
        <f t="shared" si="1"/>
        <v>31279</v>
      </c>
      <c r="D40" s="488">
        <f t="shared" si="2"/>
        <v>1969.2</v>
      </c>
      <c r="E40" s="1051">
        <f t="shared" si="3"/>
        <v>15.884115376802763</v>
      </c>
      <c r="F40" s="363"/>
      <c r="G40" s="64"/>
      <c r="H40" s="1034"/>
      <c r="I40" s="1034"/>
      <c r="N40" s="993"/>
      <c r="O40" s="26">
        <v>31279</v>
      </c>
      <c r="P40" s="36"/>
      <c r="Q40" s="277">
        <f t="shared" si="4"/>
        <v>1969.2</v>
      </c>
      <c r="R40" s="1227">
        <f t="shared" si="5"/>
        <v>1969.2</v>
      </c>
      <c r="S40" s="53">
        <f t="shared" si="6"/>
        <v>15.884115376802763</v>
      </c>
      <c r="T40" s="33"/>
      <c r="U40" s="1480">
        <v>1710.76</v>
      </c>
      <c r="V40" s="1464"/>
      <c r="W40" s="1037">
        <v>258.44</v>
      </c>
      <c r="X40" s="1038"/>
      <c r="Y40" s="1"/>
      <c r="Z40" s="847"/>
      <c r="AA40" s="847">
        <v>5882.1</v>
      </c>
      <c r="AB40" s="1025">
        <f t="shared" si="17"/>
        <v>5882.1</v>
      </c>
      <c r="AC40" s="1025">
        <v>0</v>
      </c>
      <c r="AD40" s="1025">
        <v>0</v>
      </c>
      <c r="AE40" s="1025">
        <v>3691.95</v>
      </c>
      <c r="AF40" s="1025">
        <v>2190.15</v>
      </c>
      <c r="AG40" s="1025">
        <v>5882.1</v>
      </c>
      <c r="AH40" s="1025"/>
      <c r="AI40" s="1039"/>
      <c r="AJ40" s="1026">
        <f t="shared" si="8"/>
        <v>712.6105597799999</v>
      </c>
      <c r="AK40" s="1026">
        <f t="shared" si="16"/>
        <v>94864.804954079926</v>
      </c>
      <c r="AL40" s="1040">
        <f t="shared" si="0"/>
        <v>95577.415513859931</v>
      </c>
      <c r="AM40" s="1414"/>
      <c r="AN40" s="1414"/>
      <c r="AO40" s="1310"/>
      <c r="AP40" s="1310"/>
      <c r="AQ40" s="1934">
        <f t="shared" si="9"/>
        <v>0</v>
      </c>
      <c r="AR40" s="1729">
        <f t="shared" si="10"/>
        <v>1520.0060283265202</v>
      </c>
      <c r="AS40" s="1729">
        <f t="shared" si="11"/>
        <v>73894.957873673498</v>
      </c>
      <c r="AT40" s="1007"/>
      <c r="AU40" s="1476">
        <v>357.5</v>
      </c>
      <c r="AV40" s="1414"/>
      <c r="AW40" s="987"/>
      <c r="AX40" s="310">
        <f t="shared" si="12"/>
        <v>5882.1</v>
      </c>
      <c r="AY40" s="998"/>
      <c r="AZ40" s="845">
        <v>7281</v>
      </c>
      <c r="BA40" s="64">
        <v>1.44</v>
      </c>
      <c r="BB40" s="64">
        <v>1.65</v>
      </c>
      <c r="BC40" s="64">
        <v>5.45</v>
      </c>
      <c r="BD40" s="482">
        <v>9.0050799999999995</v>
      </c>
      <c r="BF40" s="987"/>
      <c r="BG40" s="987"/>
      <c r="BH40" s="987"/>
      <c r="BI40" s="987"/>
      <c r="BJ40" s="987"/>
      <c r="BK40" s="310">
        <v>7387.08</v>
      </c>
      <c r="BL40" s="310">
        <v>1</v>
      </c>
      <c r="BM40" s="310"/>
      <c r="BN40" s="310"/>
      <c r="BO40" s="310">
        <v>1</v>
      </c>
      <c r="BP40" s="1041">
        <v>4.09</v>
      </c>
      <c r="BQ40" s="1042"/>
      <c r="BR40" s="1"/>
      <c r="BS40" s="1032">
        <f t="shared" si="13"/>
        <v>50175.30239503998</v>
      </c>
      <c r="BT40" s="1"/>
      <c r="BU40" s="1"/>
      <c r="BV40" s="1"/>
      <c r="BW40" s="1"/>
      <c r="BX40" s="1"/>
      <c r="BY40" s="1"/>
      <c r="BZ40" s="1"/>
      <c r="CA40" s="1"/>
      <c r="CB40" s="1"/>
      <c r="CC40" s="1"/>
      <c r="CD40" s="1"/>
      <c r="CE40" s="1"/>
      <c r="CF40" s="1"/>
      <c r="CG40" s="1"/>
      <c r="CH40" s="1"/>
      <c r="CI40" s="1"/>
      <c r="CJ40" s="1"/>
      <c r="CK40" s="1"/>
      <c r="CM40" s="1033">
        <v>29</v>
      </c>
      <c r="CN40" s="1">
        <f t="shared" si="14"/>
        <v>1969.2</v>
      </c>
      <c r="CO40">
        <v>2603295086</v>
      </c>
      <c r="CQ40" s="412">
        <v>29</v>
      </c>
      <c r="CR40" s="1">
        <f t="shared" si="15"/>
        <v>5882.1</v>
      </c>
      <c r="CS40">
        <v>26032913153</v>
      </c>
    </row>
    <row r="41" spans="2:97">
      <c r="B41" s="990">
        <v>30</v>
      </c>
      <c r="C41" s="5">
        <f t="shared" si="1"/>
        <v>25519</v>
      </c>
      <c r="D41" s="488">
        <f t="shared" si="2"/>
        <v>86.18</v>
      </c>
      <c r="E41" s="1051">
        <f t="shared" si="3"/>
        <v>296.11278718960313</v>
      </c>
      <c r="F41" s="845"/>
      <c r="G41" s="64"/>
      <c r="H41" s="1034"/>
      <c r="I41" s="1034"/>
      <c r="N41" s="1054"/>
      <c r="O41" s="26">
        <v>25519</v>
      </c>
      <c r="P41" s="36"/>
      <c r="Q41" s="277">
        <f t="shared" si="4"/>
        <v>86.18</v>
      </c>
      <c r="R41" s="1227">
        <f t="shared" si="5"/>
        <v>86.18</v>
      </c>
      <c r="S41" s="53">
        <f t="shared" si="6"/>
        <v>296.11278718960313</v>
      </c>
      <c r="T41" s="33"/>
      <c r="U41" s="1480">
        <v>86.18</v>
      </c>
      <c r="V41" s="1464"/>
      <c r="W41" s="1037"/>
      <c r="X41" s="1038"/>
      <c r="Y41" s="1"/>
      <c r="Z41" s="847"/>
      <c r="AA41" s="847">
        <v>9098.1799999999985</v>
      </c>
      <c r="AB41" s="1025">
        <f t="shared" si="17"/>
        <v>9098.1799999999985</v>
      </c>
      <c r="AC41" s="1025">
        <v>0</v>
      </c>
      <c r="AD41" s="1025">
        <v>0</v>
      </c>
      <c r="AE41" s="1025">
        <v>5057.1299999999992</v>
      </c>
      <c r="AF41" s="1025">
        <v>4041.05</v>
      </c>
      <c r="AG41" s="1025">
        <v>9098.18</v>
      </c>
      <c r="AH41" s="1025"/>
      <c r="AI41" s="1039"/>
      <c r="AJ41" s="1026">
        <f t="shared" si="8"/>
        <v>712.6105597799999</v>
      </c>
      <c r="AK41" s="1026">
        <f t="shared" si="16"/>
        <v>86210.304954079926</v>
      </c>
      <c r="AL41" s="1040">
        <f t="shared" si="0"/>
        <v>86922.915513859931</v>
      </c>
      <c r="AM41" s="1414"/>
      <c r="AN41" s="1414"/>
      <c r="AO41" s="1310"/>
      <c r="AP41" s="1310"/>
      <c r="AQ41" s="1934">
        <f t="shared" si="9"/>
        <v>0</v>
      </c>
      <c r="AR41" s="1729">
        <f t="shared" si="10"/>
        <v>1520.0060283265202</v>
      </c>
      <c r="AS41" s="1729">
        <f t="shared" si="11"/>
        <v>71639.687873673494</v>
      </c>
      <c r="AT41" s="1007"/>
      <c r="AU41" s="1476">
        <v>2255.27</v>
      </c>
      <c r="AV41" s="1414"/>
      <c r="AW41" s="987"/>
      <c r="AX41" s="310">
        <f t="shared" si="12"/>
        <v>9098.1799999999985</v>
      </c>
      <c r="AY41" s="998"/>
      <c r="AZ41" s="4">
        <v>7292.3389066109339</v>
      </c>
      <c r="BA41" s="64">
        <v>1.3569233307666924</v>
      </c>
      <c r="BB41" s="64">
        <v>2.7565779342206582</v>
      </c>
      <c r="BC41" s="64">
        <v>6.0911912880871197</v>
      </c>
      <c r="BD41" s="482">
        <v>11.25544934902651</v>
      </c>
      <c r="BF41" s="987"/>
      <c r="BG41" s="987"/>
      <c r="BH41" s="987"/>
      <c r="BI41" s="987"/>
      <c r="BJ41" s="987"/>
      <c r="BK41" s="310">
        <v>7495.92</v>
      </c>
      <c r="BL41" s="310">
        <v>1</v>
      </c>
      <c r="BM41" s="310"/>
      <c r="BN41" s="310"/>
      <c r="BO41" s="310"/>
      <c r="BP41" s="1041">
        <v>4.26</v>
      </c>
      <c r="BQ41" s="275"/>
      <c r="BR41" s="1"/>
      <c r="BS41" s="1032">
        <f t="shared" si="13"/>
        <v>51777.562395039982</v>
      </c>
      <c r="BT41" s="1"/>
      <c r="BU41" s="1"/>
      <c r="BV41" s="1"/>
      <c r="BW41" s="1"/>
      <c r="BX41" s="1"/>
      <c r="BY41" s="1"/>
      <c r="BZ41" s="1"/>
      <c r="CA41" s="1"/>
      <c r="CB41" s="1"/>
      <c r="CC41" s="1"/>
      <c r="CD41" s="1"/>
      <c r="CE41" s="1"/>
      <c r="CF41" s="72"/>
      <c r="CG41" s="72"/>
      <c r="CH41" s="72"/>
      <c r="CI41" s="72"/>
      <c r="CJ41" s="72"/>
      <c r="CK41" s="72"/>
      <c r="CM41" s="1033">
        <v>30</v>
      </c>
      <c r="CN41" s="1">
        <f t="shared" si="14"/>
        <v>86.18</v>
      </c>
      <c r="CO41">
        <v>2603305419</v>
      </c>
      <c r="CQ41" s="412">
        <v>30</v>
      </c>
      <c r="CR41" s="1">
        <f t="shared" si="15"/>
        <v>9098.1799999999985</v>
      </c>
      <c r="CS41">
        <v>26033013492</v>
      </c>
    </row>
    <row r="42" spans="2:97" ht="15" thickBot="1">
      <c r="B42" s="990">
        <v>31</v>
      </c>
      <c r="C42" s="1450">
        <f t="shared" si="1"/>
        <v>33739</v>
      </c>
      <c r="D42" s="7">
        <f t="shared" si="2"/>
        <v>203.2</v>
      </c>
      <c r="E42" s="1452">
        <f t="shared" si="3"/>
        <v>166.03838582677167</v>
      </c>
      <c r="F42" s="1453"/>
      <c r="G42" s="1454"/>
      <c r="H42" s="1455"/>
      <c r="I42" s="1455"/>
      <c r="J42" s="1456"/>
      <c r="K42" s="1457"/>
      <c r="L42" s="1457"/>
      <c r="M42" s="1457"/>
      <c r="N42" s="1458"/>
      <c r="O42" s="1459">
        <v>33739</v>
      </c>
      <c r="P42" s="1460"/>
      <c r="Q42" s="1935">
        <f t="shared" si="4"/>
        <v>203.2</v>
      </c>
      <c r="R42" s="1936">
        <f t="shared" si="5"/>
        <v>203.2</v>
      </c>
      <c r="S42" s="1056">
        <f t="shared" si="6"/>
        <v>166.03838582677167</v>
      </c>
      <c r="T42" s="1057"/>
      <c r="U42" s="1482">
        <v>21.58</v>
      </c>
      <c r="V42" s="1470"/>
      <c r="W42" s="1058">
        <v>181.62</v>
      </c>
      <c r="X42" s="1055"/>
      <c r="Y42" s="1"/>
      <c r="Z42" s="1059"/>
      <c r="AA42" s="1059">
        <v>6694.130000000001</v>
      </c>
      <c r="AB42" s="1059">
        <f t="shared" si="17"/>
        <v>6694.130000000001</v>
      </c>
      <c r="AC42" s="1059">
        <v>0</v>
      </c>
      <c r="AD42" s="1059">
        <v>0</v>
      </c>
      <c r="AE42" s="1059">
        <v>3714.9000000000005</v>
      </c>
      <c r="AF42" s="1059">
        <v>2979.23</v>
      </c>
      <c r="AG42" s="1059">
        <v>6694.130000000001</v>
      </c>
      <c r="AH42" s="1059"/>
      <c r="AI42" s="1060"/>
      <c r="AJ42" s="1026">
        <f t="shared" si="8"/>
        <v>712.6105597799999</v>
      </c>
      <c r="AK42" s="1026">
        <f t="shared" si="16"/>
        <v>81974.644954079922</v>
      </c>
      <c r="AL42" s="1061">
        <f t="shared" si="0"/>
        <v>82687.255513859927</v>
      </c>
      <c r="AM42" s="1414"/>
      <c r="AN42" s="1414"/>
      <c r="AO42" s="1311"/>
      <c r="AP42" s="1311"/>
      <c r="AQ42" s="1937">
        <f t="shared" si="9"/>
        <v>0</v>
      </c>
      <c r="AR42" s="1730">
        <f t="shared" si="10"/>
        <v>1520.0060283265202</v>
      </c>
      <c r="AS42" s="1730">
        <f t="shared" si="11"/>
        <v>69346.347873673498</v>
      </c>
      <c r="AT42" s="1377"/>
      <c r="AU42" s="1476">
        <v>2293.34</v>
      </c>
      <c r="AV42" s="1414"/>
      <c r="AW42" s="987"/>
      <c r="AX42" s="310">
        <f t="shared" si="12"/>
        <v>6694.130000000001</v>
      </c>
      <c r="AY42" s="1062"/>
      <c r="AZ42" s="1063">
        <v>7129.565217391304</v>
      </c>
      <c r="BA42" s="65">
        <v>1.4663337250293771</v>
      </c>
      <c r="BB42" s="65">
        <v>3.4961075205640424</v>
      </c>
      <c r="BC42" s="65">
        <v>6.4328495887191535</v>
      </c>
      <c r="BD42" s="1064">
        <v>12.003452374265569</v>
      </c>
      <c r="BF42" s="987"/>
      <c r="BG42" s="987"/>
      <c r="BH42" s="987"/>
      <c r="BI42" s="987"/>
      <c r="BJ42" s="987"/>
      <c r="BK42" s="332"/>
      <c r="BL42" s="332"/>
      <c r="BM42" s="332"/>
      <c r="BN42" s="332"/>
      <c r="BO42" s="332"/>
      <c r="BP42" s="1041">
        <v>4.2699999999999996</v>
      </c>
      <c r="BQ42" s="332"/>
      <c r="BR42" s="1"/>
      <c r="BS42" s="1032">
        <f t="shared" si="13"/>
        <v>58471.69239503998</v>
      </c>
      <c r="BT42" s="1"/>
      <c r="BU42" s="1"/>
      <c r="BV42" s="1"/>
      <c r="BW42" s="1"/>
      <c r="BX42" s="1"/>
      <c r="BY42" s="1"/>
      <c r="BZ42" s="1"/>
      <c r="CA42" s="1"/>
      <c r="CB42" s="1"/>
      <c r="CC42" s="1"/>
      <c r="CD42" s="1"/>
      <c r="CE42" s="1"/>
      <c r="CF42" s="72"/>
      <c r="CG42" s="72"/>
      <c r="CH42" s="72"/>
      <c r="CI42" s="72"/>
      <c r="CJ42" s="72"/>
      <c r="CK42" s="72"/>
      <c r="CM42" s="1033">
        <v>31</v>
      </c>
      <c r="CN42" s="1">
        <f t="shared" si="14"/>
        <v>203.2</v>
      </c>
      <c r="CO42">
        <v>2603315682</v>
      </c>
      <c r="CQ42" s="412">
        <v>31</v>
      </c>
      <c r="CR42" s="1">
        <f t="shared" si="15"/>
        <v>6694.130000000001</v>
      </c>
      <c r="CS42">
        <v>2604010001</v>
      </c>
    </row>
    <row r="43" spans="2:97">
      <c r="B43" s="307" t="s">
        <v>206</v>
      </c>
      <c r="C43" s="72">
        <f t="shared" si="1"/>
        <v>686989</v>
      </c>
      <c r="D43" s="95">
        <f>SUM(D12:D42)</f>
        <v>28948.329999999994</v>
      </c>
      <c r="E43" s="1065">
        <f>IFERROR(C43/D43,0)</f>
        <v>23.731558953487131</v>
      </c>
      <c r="H43" s="38">
        <f>SUM(H12:H42)</f>
        <v>286</v>
      </c>
      <c r="I43" s="1904">
        <f>SUM(I12:I42)</f>
        <v>151.94999999999999</v>
      </c>
      <c r="O43" s="72">
        <f>SUM(O12:O42)</f>
        <v>686989</v>
      </c>
      <c r="P43" s="72">
        <f>SUM(P12:P42)</f>
        <v>0</v>
      </c>
      <c r="Q43" s="72">
        <f>SUM(Q12:Q42)</f>
        <v>28948.329999999994</v>
      </c>
      <c r="R43" s="72">
        <f>SUM(R12:R42)</f>
        <v>28948.329999999994</v>
      </c>
      <c r="S43" s="72">
        <f>IFERROR(O43/Q43,0)</f>
        <v>23.731558953487131</v>
      </c>
      <c r="T43" s="72"/>
      <c r="U43" s="364">
        <f>SUM(U12:U42)</f>
        <v>25538.969999999994</v>
      </c>
      <c r="V43" s="307">
        <f>SUM(V12:V42)</f>
        <v>1989.42</v>
      </c>
      <c r="W43" s="364">
        <f>SUM(W12:W42)</f>
        <v>1419.94</v>
      </c>
      <c r="X43" s="72">
        <f>SUM(X12:X42)</f>
        <v>22122</v>
      </c>
      <c r="Y43" s="1"/>
      <c r="Z43" s="1068">
        <f t="shared" ref="Z43:AF43" si="18">SUM(Z12:Z42)</f>
        <v>0</v>
      </c>
      <c r="AA43" s="2022">
        <f t="shared" si="18"/>
        <v>143329.70000000001</v>
      </c>
      <c r="AB43" s="1068">
        <f t="shared" si="18"/>
        <v>143329.70000000001</v>
      </c>
      <c r="AC43" s="1068">
        <f t="shared" si="18"/>
        <v>0</v>
      </c>
      <c r="AD43" s="1068">
        <f t="shared" si="18"/>
        <v>0</v>
      </c>
      <c r="AE43" s="1068">
        <f t="shared" si="18"/>
        <v>75679.300000000017</v>
      </c>
      <c r="AF43" s="1068">
        <f t="shared" si="18"/>
        <v>67650.400000000009</v>
      </c>
      <c r="AG43" s="1068">
        <f t="shared" ref="AG43" si="19">SUM(AC43:AF43)</f>
        <v>143329.70000000001</v>
      </c>
      <c r="AH43" s="39"/>
      <c r="AI43" s="1068">
        <f>+AI42</f>
        <v>0</v>
      </c>
      <c r="AJ43" s="1068">
        <f>+AJ42</f>
        <v>712.6105597799999</v>
      </c>
      <c r="AK43" s="1068">
        <f>+AK42</f>
        <v>81974.644954079922</v>
      </c>
      <c r="AL43" s="1066">
        <f>AL42</f>
        <v>82687.255513859927</v>
      </c>
      <c r="AM43" s="1066"/>
      <c r="AN43" s="1066"/>
      <c r="AO43" s="1066">
        <f>SUM(AO12:AO42)</f>
        <v>0</v>
      </c>
      <c r="AP43" s="1362">
        <f>SUM(AP12:AP42)</f>
        <v>0</v>
      </c>
      <c r="AQ43" s="1066">
        <f>SUM(AQ12:AQ42)</f>
        <v>0</v>
      </c>
      <c r="AR43" s="1066">
        <f>+AR42</f>
        <v>1520.0060283265202</v>
      </c>
      <c r="AS43" s="1066">
        <f>+AS42</f>
        <v>69346.347873673498</v>
      </c>
      <c r="AT43" s="1066"/>
      <c r="AU43" s="1376">
        <f>SUM(AU11:AU42)</f>
        <v>19502.129999999997</v>
      </c>
      <c r="AV43" s="1066"/>
      <c r="AX43" s="72">
        <f>SUM(AX12:AX42)</f>
        <v>143329.70000000001</v>
      </c>
      <c r="AY43" s="72"/>
      <c r="AZ43" s="72" cm="1">
        <f t="array" ref="AZ43">IFERROR(SUMPRODUCT((AZ12:AZ42&lt;&gt;"")*AZ12:AZ42,$AX$12:$AX$42)/SUMIFS($AX$12:$AX$42,AZ12:AZ42,"&gt;"&amp;0),0)</f>
        <v>7264.7923170984932</v>
      </c>
      <c r="BA43" s="38" cm="1">
        <f t="array" ref="BA43">IFERROR(SUMPRODUCT((BA12:BA42&lt;&gt;"")*BA12:BA42,$AX$12:$AX$42)/SUMIFS($AX$12:$AX$42,BA12:BA42,"&gt;"&amp;0),0)</f>
        <v>1.2994757639898902</v>
      </c>
      <c r="BB43" s="38" cm="1">
        <f t="array" ref="BB43">IFERROR(SUMPRODUCT((BB12:BB42&lt;&gt;"")*BB12:BB42,$AX$12:$AX$42)/SUMIFS($AX$12:$AX$42,BB12:BB42,"&gt;"&amp;0),0)</f>
        <v>2.5549431819250912</v>
      </c>
      <c r="BC43" s="38" cm="1">
        <f t="array" ref="BC43">IFERROR(SUMPRODUCT((BC12:BC42&lt;&gt;"")*BC12:BC42,$AX$12:$AX$42)/SUMIFS($AX$12:$AX$42,BC12:BC42,"&gt;"&amp;0),0)</f>
        <v>5.6495922758064046</v>
      </c>
      <c r="BD43" s="38" cm="1">
        <f t="array" ref="BD43">IFERROR(SUMPRODUCT((BD12:BD42&lt;&gt;"")*BD12:BD42,$AX$12:$AX$42)/SUMIFS($AX$12:$AX$42,BD12:BD42,"&gt;"&amp;0),0)</f>
        <v>10.329597318891395</v>
      </c>
      <c r="BE43" s="38"/>
      <c r="BK43" s="72">
        <f>SUM(BK12:BK42)</f>
        <v>90222.069999999992</v>
      </c>
      <c r="BL43" s="72">
        <f>SUM(BL12:BL42)</f>
        <v>9</v>
      </c>
      <c r="BM43" s="72">
        <f>SUM(BM12:BM42)</f>
        <v>4</v>
      </c>
      <c r="BN43" s="72">
        <f>SUM(BN12:BN42)</f>
        <v>0</v>
      </c>
      <c r="BO43" s="72">
        <f>SUM(BO12:BO42)</f>
        <v>4</v>
      </c>
      <c r="BP43" s="38">
        <f>AVERAGE(BP12:BP42)</f>
        <v>6.1080645161290326</v>
      </c>
      <c r="BQ43" s="72">
        <f>SUM(BQ12:BQ42)</f>
        <v>0</v>
      </c>
      <c r="BR43" s="1"/>
      <c r="BS43" s="72">
        <f>+BS42</f>
        <v>58471.69239503998</v>
      </c>
      <c r="BT43" s="1"/>
      <c r="BU43" s="1"/>
      <c r="BV43" s="1"/>
      <c r="BW43" s="1"/>
      <c r="BX43" s="1"/>
      <c r="BY43" s="1"/>
      <c r="BZ43" s="1"/>
      <c r="CA43" s="1"/>
      <c r="CB43" s="1"/>
      <c r="CC43" s="1"/>
      <c r="CD43" s="1"/>
      <c r="CE43" s="1"/>
      <c r="CF43" s="72"/>
      <c r="CG43" s="72"/>
      <c r="CH43" s="72"/>
      <c r="CI43" s="72"/>
      <c r="CJ43" s="72"/>
      <c r="CK43" s="72"/>
      <c r="CO43" s="281"/>
    </row>
    <row r="44" spans="2:97">
      <c r="B44" s="307" t="s">
        <v>207</v>
      </c>
      <c r="C44" s="364">
        <f>C43</f>
        <v>686989</v>
      </c>
      <c r="D44" s="412">
        <f>D43</f>
        <v>28948.329999999994</v>
      </c>
      <c r="E44" s="347">
        <f>IFERROR(C44/D44,0)</f>
        <v>23.731558953487131</v>
      </c>
      <c r="H44" s="307">
        <f>H43</f>
        <v>286</v>
      </c>
      <c r="I44" s="364">
        <f>I43</f>
        <v>151.94999999999999</v>
      </c>
      <c r="O44" s="1">
        <v>652038.50010000006</v>
      </c>
      <c r="P44" s="95">
        <f>P43</f>
        <v>0</v>
      </c>
      <c r="Q44" s="95">
        <f>Q43</f>
        <v>28948.329999999994</v>
      </c>
      <c r="R44" s="95">
        <f>R43</f>
        <v>28948.329999999994</v>
      </c>
      <c r="S44" s="1067">
        <f>IFERROR(O44/Q44,0)</f>
        <v>22.52421815351698</v>
      </c>
      <c r="U44" s="1068">
        <f>U43</f>
        <v>25538.969999999994</v>
      </c>
      <c r="V44" s="1068">
        <f>V43</f>
        <v>1989.42</v>
      </c>
      <c r="W44" s="1068">
        <f>W43</f>
        <v>1419.94</v>
      </c>
      <c r="X44" s="1">
        <v>25567.1999</v>
      </c>
      <c r="Y44" s="1"/>
      <c r="Z44" s="1068">
        <f t="shared" ref="Z44:AG44" si="20">Z43</f>
        <v>0</v>
      </c>
      <c r="AA44" s="1068">
        <f t="shared" si="20"/>
        <v>143329.70000000001</v>
      </c>
      <c r="AB44" s="1068">
        <f t="shared" si="20"/>
        <v>143329.70000000001</v>
      </c>
      <c r="AC44" s="1068">
        <f t="shared" si="20"/>
        <v>0</v>
      </c>
      <c r="AD44" s="1068">
        <f t="shared" si="20"/>
        <v>0</v>
      </c>
      <c r="AE44" s="1068">
        <f t="shared" si="20"/>
        <v>75679.300000000017</v>
      </c>
      <c r="AF44" s="1068">
        <f t="shared" si="20"/>
        <v>67650.400000000009</v>
      </c>
      <c r="AG44" s="1068">
        <f t="shared" si="20"/>
        <v>143329.70000000001</v>
      </c>
      <c r="AH44" s="1068"/>
      <c r="AI44" s="1068">
        <f>AI43</f>
        <v>0</v>
      </c>
      <c r="AJ44" s="1370">
        <v>735.18469649999997</v>
      </c>
      <c r="AK44" s="1068">
        <v>87400.197746999998</v>
      </c>
      <c r="AL44" s="1066">
        <f>AL43</f>
        <v>82687.255513859927</v>
      </c>
      <c r="AM44" s="1066"/>
      <c r="AN44" s="1066"/>
      <c r="AO44" s="1066">
        <f>AO43</f>
        <v>0</v>
      </c>
      <c r="AP44" s="1066">
        <f>AP43</f>
        <v>0</v>
      </c>
      <c r="AQ44" s="1066">
        <f>AQ43</f>
        <v>0</v>
      </c>
      <c r="AR44" s="1066">
        <v>1520.0060283265202</v>
      </c>
      <c r="AS44" s="1066">
        <v>69346.347873673483</v>
      </c>
      <c r="AT44" s="1066"/>
      <c r="AU44" s="1362">
        <f>AU43</f>
        <v>19502.129999999997</v>
      </c>
      <c r="AV44" s="1066"/>
      <c r="AX44" s="72">
        <f>+AX43</f>
        <v>143329.70000000001</v>
      </c>
      <c r="AY44" s="72"/>
      <c r="AZ44" s="72">
        <f>AZ43</f>
        <v>7264.7923170984932</v>
      </c>
      <c r="BA44" s="38">
        <f>BA43</f>
        <v>1.2994757639898902</v>
      </c>
      <c r="BB44" s="38">
        <f>BB43</f>
        <v>2.5549431819250912</v>
      </c>
      <c r="BC44" s="38">
        <f>BC43</f>
        <v>5.6495922758064046</v>
      </c>
      <c r="BD44" s="38">
        <f>BD43</f>
        <v>10.329597318891395</v>
      </c>
      <c r="BE44" s="38"/>
      <c r="BK44" s="72">
        <f t="shared" ref="BK44:BQ44" si="21">+BK43</f>
        <v>90222.069999999992</v>
      </c>
      <c r="BL44" s="72">
        <f t="shared" si="21"/>
        <v>9</v>
      </c>
      <c r="BM44" s="72">
        <f t="shared" si="21"/>
        <v>4</v>
      </c>
      <c r="BN44" s="72">
        <f t="shared" si="21"/>
        <v>0</v>
      </c>
      <c r="BO44" s="72">
        <f t="shared" si="21"/>
        <v>4</v>
      </c>
      <c r="BP44" s="38">
        <f t="shared" si="21"/>
        <v>6.1080645161290326</v>
      </c>
      <c r="BQ44" s="72">
        <f t="shared" si="21"/>
        <v>0</v>
      </c>
      <c r="BR44" s="1"/>
      <c r="BS44" s="364">
        <v>64727.211333530002</v>
      </c>
      <c r="BT44" s="1"/>
      <c r="BU44" s="1"/>
      <c r="BV44" s="1"/>
      <c r="BW44" s="1"/>
      <c r="BX44" s="1"/>
      <c r="BY44" s="1"/>
      <c r="BZ44" s="1"/>
      <c r="CA44" s="1"/>
      <c r="CB44" s="1"/>
      <c r="CC44" s="1"/>
      <c r="CD44" s="1"/>
      <c r="CE44" s="1"/>
      <c r="CF44" s="72"/>
      <c r="CG44" s="72"/>
      <c r="CH44" s="72"/>
      <c r="CI44" s="72"/>
      <c r="CJ44" s="72"/>
      <c r="CK44" s="72"/>
      <c r="CO44" s="281"/>
    </row>
    <row r="45" spans="2:97">
      <c r="B45" s="312" t="s">
        <v>12</v>
      </c>
      <c r="C45" s="991">
        <f>O45</f>
        <v>905000</v>
      </c>
      <c r="D45" s="1069">
        <f>R45</f>
        <v>36000</v>
      </c>
      <c r="E45" s="1231"/>
      <c r="F45" s="1069"/>
      <c r="G45" s="1069"/>
      <c r="H45" s="1069"/>
      <c r="I45" s="1069"/>
      <c r="J45" s="1069"/>
      <c r="K45" s="1069"/>
      <c r="L45" s="1069"/>
      <c r="M45" s="1069"/>
      <c r="N45" s="1069"/>
      <c r="O45" s="1069">
        <v>905000</v>
      </c>
      <c r="P45" s="1069"/>
      <c r="Q45" s="1069"/>
      <c r="R45" s="1069">
        <v>36000</v>
      </c>
      <c r="S45" s="1070">
        <f>IFERROR(O45/Q45,0)</f>
        <v>0</v>
      </c>
      <c r="T45" s="1069"/>
      <c r="U45" s="1069"/>
      <c r="V45" s="1069"/>
      <c r="W45" s="1069"/>
      <c r="X45" s="1069"/>
      <c r="Y45" s="39"/>
      <c r="Z45" s="1071">
        <v>100000</v>
      </c>
      <c r="AA45" s="1071"/>
      <c r="AB45" s="1071"/>
      <c r="AC45" s="1071"/>
      <c r="AD45" s="1071"/>
      <c r="AE45" s="1071"/>
      <c r="AF45" s="1071"/>
      <c r="AG45" s="1071"/>
      <c r="AH45" s="1071"/>
      <c r="AI45" s="1071"/>
      <c r="AJ45" s="1071"/>
      <c r="AK45" s="1071"/>
      <c r="AL45" s="1072"/>
      <c r="AM45" s="1072"/>
      <c r="AN45" s="1072"/>
      <c r="AO45" s="1072"/>
      <c r="AP45" s="1072"/>
      <c r="AQ45" s="1072"/>
      <c r="AR45" s="1072"/>
      <c r="AS45" s="1072"/>
      <c r="AT45" s="1072"/>
      <c r="AU45" s="1072"/>
      <c r="AV45" s="1072"/>
      <c r="AW45" s="887"/>
      <c r="AX45" s="337">
        <v>100000</v>
      </c>
      <c r="AY45" s="337"/>
      <c r="AZ45" s="72">
        <v>6824.4902225997603</v>
      </c>
      <c r="BA45" s="38">
        <v>1.6046894421393501</v>
      </c>
      <c r="BB45" s="38">
        <v>2.9538162037923099</v>
      </c>
      <c r="BC45" s="38">
        <v>4.4327769749624304</v>
      </c>
      <c r="BD45" s="38">
        <v>9.2954142043572094</v>
      </c>
      <c r="BE45" s="38"/>
      <c r="BF45" s="887"/>
      <c r="BG45" s="887"/>
      <c r="BH45" s="887"/>
      <c r="BI45" s="887"/>
      <c r="BJ45" s="887"/>
      <c r="BK45" s="337">
        <v>30000</v>
      </c>
      <c r="BL45" s="308"/>
      <c r="BM45" s="308"/>
      <c r="BN45" s="308"/>
      <c r="BO45" s="308"/>
      <c r="BP45" s="308"/>
      <c r="BQ45" s="308"/>
      <c r="BR45" s="1073"/>
      <c r="BS45" s="308"/>
      <c r="BT45" s="1073"/>
      <c r="BU45" s="1073"/>
      <c r="BV45" s="1073"/>
      <c r="BW45" s="1073"/>
      <c r="BX45" s="1073"/>
      <c r="BY45" s="1073"/>
      <c r="BZ45" s="1073"/>
      <c r="CA45" s="1073"/>
      <c r="CB45" s="1073"/>
      <c r="CC45" s="1073"/>
      <c r="CD45" s="1073"/>
      <c r="CE45" s="1073"/>
      <c r="CF45" s="308"/>
      <c r="CG45" s="308"/>
      <c r="CH45" s="308"/>
      <c r="CI45" s="308"/>
      <c r="CJ45" s="308"/>
      <c r="CK45" s="308"/>
      <c r="CO45" s="1"/>
    </row>
    <row r="46" spans="2:97">
      <c r="B46" t="s">
        <v>208</v>
      </c>
      <c r="U46" s="39"/>
      <c r="V46" s="39"/>
      <c r="W46" s="39"/>
      <c r="AX46" s="110">
        <f>IFERROR(AX44/AX45,"")</f>
        <v>1.433297</v>
      </c>
      <c r="AY46" s="110"/>
      <c r="BK46" s="38">
        <f>IFERROR(BK44/BK45,"")</f>
        <v>3.0074023333333333</v>
      </c>
      <c r="BL46" s="38"/>
      <c r="BM46" s="38"/>
      <c r="BN46" s="38" t="str">
        <f t="shared" ref="BN46:BQ47" si="22">IFERROR(BN44/BN45,"")</f>
        <v/>
      </c>
      <c r="BO46" s="38" t="str">
        <f t="shared" si="22"/>
        <v/>
      </c>
      <c r="BP46" s="38" t="str">
        <f t="shared" si="22"/>
        <v/>
      </c>
      <c r="BQ46" s="38" t="str">
        <f t="shared" si="22"/>
        <v/>
      </c>
      <c r="CF46" s="38"/>
      <c r="CG46" s="38"/>
      <c r="CH46" s="38"/>
      <c r="CI46" s="38"/>
      <c r="CJ46" s="38"/>
      <c r="CK46" s="38"/>
      <c r="CO46" s="887"/>
    </row>
    <row r="47" spans="2:97">
      <c r="R47" s="95">
        <f>R43+AU43</f>
        <v>48450.459999999992</v>
      </c>
      <c r="AX47" s="110">
        <v>143329.70000000001</v>
      </c>
      <c r="AY47" s="110"/>
      <c r="BK47" s="38">
        <f>IFERROR(BK45/BK46,"")</f>
        <v>9975.386288521202</v>
      </c>
      <c r="BL47" s="38"/>
      <c r="BM47" s="38"/>
      <c r="BN47" s="38" t="str">
        <f t="shared" si="22"/>
        <v/>
      </c>
      <c r="BO47" s="38" t="str">
        <f t="shared" si="22"/>
        <v/>
      </c>
      <c r="BP47" s="38" t="str">
        <f t="shared" si="22"/>
        <v/>
      </c>
      <c r="BQ47" s="38" t="str">
        <f t="shared" si="22"/>
        <v/>
      </c>
      <c r="CF47" s="38"/>
      <c r="CG47" s="38"/>
      <c r="CH47" s="38"/>
      <c r="CI47" s="38"/>
      <c r="CJ47" s="38"/>
      <c r="CK47" s="38"/>
      <c r="CO47" s="281"/>
    </row>
    <row r="48" spans="2:97">
      <c r="O48" s="987"/>
      <c r="P48" s="1"/>
      <c r="CO48" s="281"/>
    </row>
    <row r="49" spans="4:93">
      <c r="D49" s="1"/>
      <c r="CO49" s="1"/>
    </row>
    <row r="50" spans="4:93">
      <c r="D50" s="1">
        <f>C45/31</f>
        <v>29193.548387096773</v>
      </c>
      <c r="S50" s="1"/>
      <c r="CO50" s="887"/>
    </row>
    <row r="51" spans="4:93">
      <c r="S51" s="1"/>
    </row>
    <row r="52" spans="4:93">
      <c r="S52" s="887"/>
    </row>
    <row r="53" spans="4:93">
      <c r="G53" s="887"/>
      <c r="H53" s="887"/>
    </row>
    <row r="54" spans="4:93">
      <c r="O54" s="887"/>
      <c r="P54" s="887"/>
    </row>
    <row r="56" spans="4:93">
      <c r="O56" s="887"/>
      <c r="P56" s="887"/>
      <c r="R56" s="887"/>
    </row>
    <row r="57" spans="4:93">
      <c r="G57" s="887"/>
      <c r="H57" s="987"/>
      <c r="O57" s="39"/>
      <c r="P57" s="39"/>
      <c r="Q57" s="39"/>
      <c r="R57" s="39"/>
      <c r="X57" s="39"/>
      <c r="Y57" s="39"/>
      <c r="Z57" s="39"/>
      <c r="AA57" s="39"/>
      <c r="AB57" s="39"/>
      <c r="AC57" s="39"/>
      <c r="AD57" s="39"/>
      <c r="AE57" s="39"/>
      <c r="AF57" s="39"/>
      <c r="AG57" s="39"/>
      <c r="AH57" s="39"/>
      <c r="AI57" s="39"/>
      <c r="AJ57" s="39"/>
      <c r="AK57" s="39"/>
    </row>
    <row r="59" spans="4:93">
      <c r="O59" s="987"/>
      <c r="P59" s="987"/>
      <c r="X59" s="987"/>
      <c r="Y59" s="987"/>
      <c r="Z59" s="987"/>
      <c r="AA59" s="987"/>
      <c r="AB59" s="987"/>
      <c r="AC59" s="987"/>
      <c r="AD59" s="987"/>
      <c r="AE59" s="987"/>
      <c r="AF59" s="987"/>
      <c r="AG59" s="987"/>
      <c r="AH59" s="987"/>
      <c r="AI59" s="987"/>
      <c r="AJ59" s="987"/>
      <c r="AK59" s="987"/>
    </row>
    <row r="60" spans="4:93">
      <c r="O60" s="987"/>
      <c r="P60" s="987"/>
      <c r="X60" s="987"/>
      <c r="Y60" s="987"/>
      <c r="Z60" s="987"/>
      <c r="AA60" s="987"/>
      <c r="AB60" s="987"/>
      <c r="AC60" s="987"/>
      <c r="AD60" s="987"/>
      <c r="AE60" s="987"/>
      <c r="AF60" s="987"/>
      <c r="AG60" s="987"/>
      <c r="AH60" s="987"/>
      <c r="AI60" s="987"/>
      <c r="AJ60" s="987"/>
      <c r="AK60" s="987"/>
    </row>
    <row r="61" spans="4:93">
      <c r="O61" s="987"/>
      <c r="P61" s="987"/>
      <c r="X61" s="987"/>
      <c r="Y61" s="987"/>
      <c r="Z61" s="987"/>
      <c r="AA61" s="987"/>
      <c r="AB61" s="987"/>
      <c r="AC61" s="987"/>
      <c r="AD61" s="987"/>
      <c r="AE61" s="987"/>
      <c r="AF61" s="987"/>
      <c r="AG61" s="987"/>
      <c r="AH61" s="987"/>
      <c r="AI61" s="987"/>
      <c r="AJ61" s="987"/>
      <c r="AK61" s="987"/>
    </row>
    <row r="62" spans="4:93">
      <c r="O62" s="987"/>
      <c r="P62" s="987"/>
      <c r="X62" s="987"/>
      <c r="Y62" s="987"/>
      <c r="Z62" s="987"/>
      <c r="AA62" s="987"/>
      <c r="AB62" s="987"/>
      <c r="AC62" s="987"/>
      <c r="AD62" s="987"/>
      <c r="AE62" s="987"/>
      <c r="AF62" s="987"/>
      <c r="AG62" s="987"/>
      <c r="AH62" s="987"/>
      <c r="AI62" s="987"/>
      <c r="AJ62" s="987"/>
      <c r="AK62" s="987"/>
    </row>
    <row r="63" spans="4:93">
      <c r="O63" s="987"/>
      <c r="P63" s="987"/>
      <c r="X63" s="987"/>
      <c r="Y63" s="987"/>
      <c r="Z63" s="987"/>
      <c r="AA63" s="987"/>
      <c r="AB63" s="987"/>
      <c r="AC63" s="987"/>
      <c r="AD63" s="987"/>
      <c r="AE63" s="987"/>
      <c r="AF63" s="987"/>
      <c r="AG63" s="987"/>
      <c r="AH63" s="987"/>
      <c r="AI63" s="987"/>
      <c r="AJ63" s="987"/>
      <c r="AK63" s="987"/>
    </row>
    <row r="64" spans="4:93">
      <c r="O64" s="987"/>
      <c r="P64" s="987"/>
      <c r="X64" s="987"/>
      <c r="Y64" s="987"/>
      <c r="Z64" s="987"/>
      <c r="AA64" s="987"/>
      <c r="AB64" s="987"/>
      <c r="AC64" s="987"/>
      <c r="AD64" s="987"/>
      <c r="AE64" s="987"/>
      <c r="AF64" s="987"/>
      <c r="AG64" s="987"/>
      <c r="AH64" s="987"/>
      <c r="AI64" s="987"/>
      <c r="AJ64" s="987"/>
      <c r="AK64" s="987"/>
    </row>
    <row r="65" spans="15:37">
      <c r="O65" s="987"/>
      <c r="P65" s="987"/>
      <c r="X65" s="987"/>
      <c r="Y65" s="987"/>
      <c r="Z65" s="987"/>
      <c r="AA65" s="987"/>
      <c r="AB65" s="987"/>
      <c r="AC65" s="987"/>
      <c r="AD65" s="987"/>
      <c r="AE65" s="987"/>
      <c r="AF65" s="987"/>
      <c r="AG65" s="987"/>
      <c r="AH65" s="987"/>
      <c r="AI65" s="987"/>
      <c r="AJ65" s="987"/>
      <c r="AK65" s="987"/>
    </row>
    <row r="66" spans="15:37">
      <c r="O66" s="987"/>
      <c r="P66" s="987"/>
      <c r="X66" s="987"/>
      <c r="Y66" s="987"/>
      <c r="Z66" s="987"/>
      <c r="AA66" s="987"/>
      <c r="AB66" s="987"/>
      <c r="AC66" s="987"/>
      <c r="AD66" s="987"/>
      <c r="AE66" s="987"/>
      <c r="AF66" s="987"/>
      <c r="AG66" s="987"/>
      <c r="AH66" s="987"/>
      <c r="AI66" s="987"/>
      <c r="AJ66" s="987"/>
      <c r="AK66" s="987"/>
    </row>
    <row r="67" spans="15:37">
      <c r="O67" s="987"/>
      <c r="P67" s="987"/>
      <c r="X67" s="987"/>
      <c r="Y67" s="987"/>
      <c r="Z67" s="987"/>
      <c r="AA67" s="987"/>
      <c r="AB67" s="987"/>
      <c r="AC67" s="987"/>
      <c r="AD67" s="987"/>
      <c r="AE67" s="987"/>
      <c r="AF67" s="987"/>
      <c r="AG67" s="987"/>
      <c r="AH67" s="987"/>
      <c r="AI67" s="987"/>
      <c r="AJ67" s="987"/>
      <c r="AK67" s="987"/>
    </row>
    <row r="68" spans="15:37" hidden="1">
      <c r="O68" s="987"/>
      <c r="P68" s="987"/>
      <c r="X68" s="987"/>
      <c r="Y68" s="987"/>
      <c r="Z68" s="987"/>
      <c r="AA68" s="987"/>
      <c r="AB68" s="987"/>
      <c r="AC68" s="987"/>
      <c r="AD68" s="987"/>
      <c r="AE68" s="987"/>
      <c r="AF68" s="987"/>
      <c r="AG68" s="987"/>
      <c r="AH68" s="987"/>
      <c r="AI68" s="987"/>
      <c r="AJ68" s="987"/>
      <c r="AK68" s="987"/>
    </row>
    <row r="69" spans="15:37" hidden="1">
      <c r="O69" s="987"/>
      <c r="P69" s="987"/>
      <c r="X69" s="987"/>
      <c r="Y69" s="987"/>
      <c r="Z69" s="987"/>
      <c r="AA69" s="987"/>
      <c r="AB69" s="987"/>
      <c r="AC69" s="987"/>
      <c r="AD69" s="987"/>
      <c r="AE69" s="987"/>
      <c r="AF69" s="987"/>
      <c r="AG69" s="987"/>
      <c r="AH69" s="987"/>
      <c r="AI69" s="987"/>
      <c r="AJ69" s="987"/>
      <c r="AK69" s="987"/>
    </row>
    <row r="70" spans="15:37" hidden="1">
      <c r="O70" s="987"/>
      <c r="P70" s="987"/>
      <c r="X70" s="987"/>
      <c r="Y70" s="987"/>
      <c r="Z70" s="987"/>
      <c r="AA70" s="987"/>
      <c r="AB70" s="987"/>
      <c r="AC70" s="987"/>
      <c r="AD70" s="987"/>
      <c r="AE70" s="987"/>
      <c r="AF70" s="987"/>
      <c r="AG70" s="987"/>
      <c r="AH70" s="987"/>
      <c r="AI70" s="987"/>
      <c r="AJ70" s="987"/>
      <c r="AK70" s="987"/>
    </row>
    <row r="71" spans="15:37" hidden="1">
      <c r="O71" s="987"/>
      <c r="P71" s="987"/>
      <c r="X71" s="987"/>
      <c r="Y71" s="987"/>
      <c r="Z71" s="987"/>
      <c r="AA71" s="987"/>
      <c r="AB71" s="987"/>
      <c r="AC71" s="987"/>
      <c r="AD71" s="987"/>
      <c r="AE71" s="987"/>
      <c r="AF71" s="987"/>
      <c r="AG71" s="987"/>
      <c r="AH71" s="987"/>
      <c r="AI71" s="987"/>
      <c r="AJ71" s="987"/>
      <c r="AK71" s="987"/>
    </row>
    <row r="72" spans="15:37" hidden="1">
      <c r="O72" s="987"/>
      <c r="P72" s="987"/>
      <c r="X72" s="987"/>
      <c r="Y72" s="987"/>
      <c r="Z72" s="987"/>
      <c r="AA72" s="987"/>
      <c r="AB72" s="987"/>
      <c r="AC72" s="987"/>
      <c r="AD72" s="987"/>
      <c r="AE72" s="987"/>
      <c r="AF72" s="987"/>
      <c r="AG72" s="987"/>
      <c r="AH72" s="987"/>
      <c r="AI72" s="987"/>
      <c r="AJ72" s="987"/>
      <c r="AK72" s="987"/>
    </row>
    <row r="73" spans="15:37" hidden="1">
      <c r="O73" s="987"/>
      <c r="P73" s="987"/>
      <c r="X73" s="987"/>
      <c r="Y73" s="987"/>
      <c r="Z73" s="987"/>
      <c r="AA73" s="987"/>
      <c r="AB73" s="987"/>
      <c r="AC73" s="987"/>
      <c r="AD73" s="987"/>
      <c r="AE73" s="987"/>
      <c r="AF73" s="987"/>
      <c r="AG73" s="987"/>
      <c r="AH73" s="987"/>
      <c r="AI73" s="987"/>
      <c r="AJ73" s="987"/>
      <c r="AK73" s="987"/>
    </row>
    <row r="74" spans="15:37" hidden="1">
      <c r="O74" s="987"/>
      <c r="P74" s="987"/>
      <c r="X74" s="987"/>
      <c r="Y74" s="987"/>
      <c r="Z74" s="987"/>
      <c r="AA74" s="987"/>
      <c r="AB74" s="987"/>
      <c r="AC74" s="987"/>
      <c r="AD74" s="987"/>
      <c r="AE74" s="987"/>
      <c r="AF74" s="987"/>
      <c r="AG74" s="987"/>
      <c r="AH74" s="987"/>
      <c r="AI74" s="987"/>
      <c r="AJ74" s="987"/>
      <c r="AK74" s="987"/>
    </row>
    <row r="75" spans="15:37" hidden="1">
      <c r="O75" s="987"/>
      <c r="P75" s="987"/>
      <c r="X75" s="987"/>
      <c r="Y75" s="987"/>
      <c r="Z75" s="987"/>
      <c r="AA75" s="987"/>
      <c r="AB75" s="987"/>
      <c r="AC75" s="987"/>
      <c r="AD75" s="987"/>
      <c r="AE75" s="987"/>
      <c r="AF75" s="987"/>
      <c r="AG75" s="987"/>
      <c r="AH75" s="987"/>
      <c r="AI75" s="987"/>
      <c r="AJ75" s="987"/>
      <c r="AK75" s="987"/>
    </row>
    <row r="76" spans="15:37" hidden="1">
      <c r="O76" s="987"/>
      <c r="P76" s="987"/>
      <c r="X76" s="987"/>
      <c r="Y76" s="987"/>
      <c r="Z76" s="987"/>
      <c r="AA76" s="987"/>
      <c r="AB76" s="987"/>
      <c r="AC76" s="987"/>
      <c r="AD76" s="987"/>
      <c r="AE76" s="987"/>
      <c r="AF76" s="987"/>
      <c r="AG76" s="987"/>
      <c r="AH76" s="987"/>
      <c r="AI76" s="987"/>
      <c r="AJ76" s="987"/>
      <c r="AK76" s="987"/>
    </row>
    <row r="77" spans="15:37" hidden="1">
      <c r="O77" s="987"/>
      <c r="P77" s="987"/>
      <c r="X77" s="987"/>
      <c r="Y77" s="987"/>
      <c r="Z77" s="987"/>
      <c r="AA77" s="987"/>
      <c r="AB77" s="987"/>
      <c r="AC77" s="987"/>
      <c r="AD77" s="987"/>
      <c r="AE77" s="987"/>
      <c r="AF77" s="987"/>
      <c r="AG77" s="987"/>
      <c r="AH77" s="987"/>
      <c r="AI77" s="987"/>
      <c r="AJ77" s="987"/>
      <c r="AK77" s="987"/>
    </row>
    <row r="78" spans="15:37" hidden="1">
      <c r="O78" s="987"/>
      <c r="P78" s="987"/>
      <c r="X78" s="987"/>
      <c r="Y78" s="987"/>
      <c r="Z78" s="987"/>
      <c r="AA78" s="987"/>
      <c r="AB78" s="987"/>
      <c r="AC78" s="987"/>
      <c r="AD78" s="987"/>
      <c r="AE78" s="987"/>
      <c r="AF78" s="987"/>
      <c r="AG78" s="987"/>
      <c r="AH78" s="987"/>
      <c r="AI78" s="987"/>
      <c r="AJ78" s="987"/>
      <c r="AK78" s="987"/>
    </row>
    <row r="79" spans="15:37" hidden="1">
      <c r="O79" s="987"/>
      <c r="P79" s="987"/>
      <c r="X79" s="987"/>
      <c r="Y79" s="987"/>
      <c r="Z79" s="987"/>
      <c r="AA79" s="987"/>
      <c r="AB79" s="987"/>
      <c r="AC79" s="987"/>
      <c r="AD79" s="987"/>
      <c r="AE79" s="987"/>
      <c r="AF79" s="987"/>
      <c r="AG79" s="987"/>
      <c r="AH79" s="987"/>
      <c r="AI79" s="987"/>
      <c r="AJ79" s="987"/>
      <c r="AK79" s="987"/>
    </row>
    <row r="80" spans="15:37" hidden="1">
      <c r="O80" s="987"/>
      <c r="P80" s="987"/>
      <c r="X80" s="987"/>
      <c r="Y80" s="987"/>
      <c r="Z80" s="987"/>
      <c r="AA80" s="987"/>
      <c r="AB80" s="987"/>
      <c r="AC80" s="987"/>
      <c r="AD80" s="987"/>
      <c r="AE80" s="987"/>
      <c r="AF80" s="987"/>
      <c r="AG80" s="987"/>
      <c r="AH80" s="987"/>
      <c r="AI80" s="987"/>
      <c r="AJ80" s="987"/>
      <c r="AK80" s="987"/>
    </row>
    <row r="81" spans="15:37" hidden="1">
      <c r="O81" s="987"/>
      <c r="P81" s="987"/>
      <c r="X81" s="987"/>
      <c r="Y81" s="987"/>
      <c r="Z81" s="987"/>
      <c r="AA81" s="987"/>
      <c r="AB81" s="987"/>
      <c r="AC81" s="987"/>
      <c r="AD81" s="987"/>
      <c r="AE81" s="987"/>
      <c r="AF81" s="987"/>
      <c r="AG81" s="987"/>
      <c r="AH81" s="987"/>
      <c r="AI81" s="987"/>
      <c r="AJ81" s="987"/>
      <c r="AK81" s="987"/>
    </row>
    <row r="82" spans="15:37" hidden="1">
      <c r="O82" s="987"/>
      <c r="P82" s="987"/>
      <c r="X82" s="987"/>
      <c r="Y82" s="987"/>
      <c r="Z82" s="987"/>
      <c r="AA82" s="987"/>
      <c r="AB82" s="987"/>
      <c r="AC82" s="987"/>
      <c r="AD82" s="987"/>
      <c r="AE82" s="987"/>
      <c r="AF82" s="987"/>
      <c r="AG82" s="987"/>
      <c r="AH82" s="987"/>
      <c r="AI82" s="987"/>
      <c r="AJ82" s="987"/>
      <c r="AK82" s="987"/>
    </row>
    <row r="83" spans="15:37" hidden="1">
      <c r="O83" s="987"/>
      <c r="P83" s="987"/>
      <c r="X83" s="987"/>
      <c r="Y83" s="987"/>
      <c r="Z83" s="987"/>
      <c r="AA83" s="987"/>
      <c r="AB83" s="987"/>
      <c r="AC83" s="987"/>
      <c r="AD83" s="987"/>
      <c r="AE83" s="987"/>
      <c r="AF83" s="987"/>
      <c r="AG83" s="987"/>
      <c r="AH83" s="987"/>
      <c r="AI83" s="987"/>
      <c r="AJ83" s="987"/>
      <c r="AK83" s="987"/>
    </row>
    <row r="84" spans="15:37" hidden="1">
      <c r="O84" s="987"/>
      <c r="P84" s="987"/>
      <c r="X84" s="987"/>
      <c r="Y84" s="987"/>
      <c r="Z84" s="987"/>
      <c r="AA84" s="987"/>
      <c r="AB84" s="987"/>
      <c r="AC84" s="987"/>
      <c r="AD84" s="987"/>
      <c r="AE84" s="987"/>
      <c r="AF84" s="987"/>
      <c r="AG84" s="987"/>
      <c r="AH84" s="987"/>
      <c r="AI84" s="987"/>
      <c r="AJ84" s="987"/>
      <c r="AK84" s="987"/>
    </row>
    <row r="85" spans="15:37" hidden="1">
      <c r="O85" s="987"/>
      <c r="P85" s="987"/>
      <c r="X85" s="987"/>
      <c r="Y85" s="987"/>
      <c r="Z85" s="987"/>
      <c r="AA85" s="987"/>
      <c r="AB85" s="987"/>
      <c r="AC85" s="987"/>
      <c r="AD85" s="987"/>
      <c r="AE85" s="987"/>
      <c r="AF85" s="987"/>
      <c r="AG85" s="987"/>
      <c r="AH85" s="987"/>
      <c r="AI85" s="987"/>
      <c r="AJ85" s="987"/>
      <c r="AK85" s="987"/>
    </row>
    <row r="86" spans="15:37" hidden="1">
      <c r="O86" s="987"/>
      <c r="P86" s="987"/>
      <c r="X86" s="987"/>
      <c r="Y86" s="987"/>
      <c r="Z86" s="987"/>
      <c r="AA86" s="987"/>
      <c r="AB86" s="987"/>
      <c r="AC86" s="987"/>
      <c r="AD86" s="987"/>
      <c r="AE86" s="987"/>
      <c r="AF86" s="987"/>
      <c r="AG86" s="987"/>
      <c r="AH86" s="987"/>
      <c r="AI86" s="987"/>
      <c r="AJ86" s="987"/>
      <c r="AK86" s="987"/>
    </row>
    <row r="87" spans="15:37" hidden="1">
      <c r="O87" s="987"/>
      <c r="P87" s="987"/>
      <c r="X87" s="987"/>
      <c r="Y87" s="987"/>
      <c r="Z87" s="987"/>
      <c r="AA87" s="987"/>
      <c r="AB87" s="987"/>
      <c r="AC87" s="987"/>
      <c r="AD87" s="987"/>
      <c r="AE87" s="987"/>
      <c r="AF87" s="987"/>
      <c r="AG87" s="987"/>
      <c r="AH87" s="987"/>
      <c r="AI87" s="987"/>
      <c r="AJ87" s="987"/>
      <c r="AK87" s="987"/>
    </row>
    <row r="88" spans="15:37" hidden="1">
      <c r="O88" s="987"/>
      <c r="P88" s="987"/>
      <c r="X88" s="987"/>
      <c r="Y88" s="987"/>
      <c r="Z88" s="987"/>
      <c r="AA88" s="987"/>
      <c r="AB88" s="987"/>
      <c r="AC88" s="987"/>
      <c r="AD88" s="987"/>
      <c r="AE88" s="987"/>
      <c r="AF88" s="987"/>
      <c r="AG88" s="987"/>
      <c r="AH88" s="987"/>
      <c r="AI88" s="987"/>
      <c r="AJ88" s="987"/>
      <c r="AK88" s="987"/>
    </row>
    <row r="89" spans="15:37" hidden="1"/>
    <row r="90" spans="15:37" hidden="1"/>
    <row r="91" spans="15:37" hidden="1"/>
    <row r="92" spans="15:37" hidden="1"/>
    <row r="93" spans="15:37" hidden="1"/>
    <row r="94" spans="15:37" hidden="1"/>
    <row r="95" spans="15:37" hidden="1"/>
    <row r="96" spans="15:37" hidden="1"/>
    <row r="97" spans="2:37" hidden="1"/>
    <row r="98" spans="2:37" hidden="1"/>
    <row r="99" spans="2:37" hidden="1">
      <c r="O99" s="39">
        <v>9677.4193548387102</v>
      </c>
      <c r="P99" s="39"/>
      <c r="Q99" s="39">
        <v>347.15938203065798</v>
      </c>
      <c r="R99" s="39"/>
      <c r="X99" s="39"/>
      <c r="Y99" s="39"/>
      <c r="Z99" s="39"/>
      <c r="AA99" s="39"/>
      <c r="AB99" s="39"/>
      <c r="AC99" s="39"/>
      <c r="AD99" s="39"/>
      <c r="AE99" s="39"/>
      <c r="AF99" s="39"/>
      <c r="AG99" s="39"/>
      <c r="AH99" s="39"/>
      <c r="AI99" s="39"/>
      <c r="AJ99" s="39"/>
      <c r="AK99" s="39"/>
    </row>
    <row r="100" spans="2:37" hidden="1">
      <c r="B100">
        <v>1</v>
      </c>
      <c r="C100" t="e">
        <f>SUM(O100,#REF!,#REF!)</f>
        <v>#REF!</v>
      </c>
      <c r="D100" t="e">
        <f>SUM(Q100,#REF!,X100)</f>
        <v>#REF!</v>
      </c>
      <c r="N100">
        <v>1</v>
      </c>
      <c r="O100">
        <f>O99</f>
        <v>9677.4193548387102</v>
      </c>
    </row>
    <row r="101" spans="2:37" hidden="1">
      <c r="B101">
        <v>2</v>
      </c>
      <c r="C101" t="e">
        <f>SUM(O101,#REF!,#REF!)</f>
        <v>#REF!</v>
      </c>
      <c r="D101" t="e">
        <f>SUM(Q101,#REF!,X101)</f>
        <v>#REF!</v>
      </c>
      <c r="N101">
        <v>2</v>
      </c>
      <c r="O101">
        <f t="shared" ref="O101:O130" si="23">O100+($O$99)</f>
        <v>19354.83870967742</v>
      </c>
    </row>
    <row r="102" spans="2:37" hidden="1">
      <c r="B102">
        <v>3</v>
      </c>
      <c r="C102" t="e">
        <f>SUM(O102,#REF!,#REF!)</f>
        <v>#REF!</v>
      </c>
      <c r="D102" t="e">
        <f>SUM(Q102,#REF!,X102)</f>
        <v>#REF!</v>
      </c>
      <c r="N102">
        <v>3</v>
      </c>
      <c r="O102">
        <f t="shared" si="23"/>
        <v>29032.258064516129</v>
      </c>
    </row>
    <row r="103" spans="2:37" hidden="1">
      <c r="B103">
        <v>4</v>
      </c>
      <c r="C103" t="e">
        <f>SUM(O103,#REF!,#REF!)</f>
        <v>#REF!</v>
      </c>
      <c r="D103" t="e">
        <f>SUM(Q103,#REF!,X103)</f>
        <v>#REF!</v>
      </c>
      <c r="N103">
        <v>4</v>
      </c>
      <c r="O103">
        <f t="shared" si="23"/>
        <v>38709.677419354841</v>
      </c>
    </row>
    <row r="104" spans="2:37" hidden="1">
      <c r="B104">
        <v>5</v>
      </c>
      <c r="C104" t="e">
        <f>SUM(O104,#REF!,#REF!)</f>
        <v>#REF!</v>
      </c>
      <c r="D104" t="e">
        <f>SUM(Q104,#REF!,X104)</f>
        <v>#REF!</v>
      </c>
      <c r="N104">
        <v>5</v>
      </c>
      <c r="O104">
        <f t="shared" si="23"/>
        <v>48387.096774193553</v>
      </c>
    </row>
    <row r="105" spans="2:37" hidden="1">
      <c r="B105">
        <v>6</v>
      </c>
      <c r="C105" t="e">
        <f>SUM(O105,#REF!,#REF!)</f>
        <v>#REF!</v>
      </c>
      <c r="D105" t="e">
        <f>SUM(Q105,#REF!,X105)</f>
        <v>#REF!</v>
      </c>
      <c r="N105">
        <v>6</v>
      </c>
      <c r="O105">
        <f t="shared" si="23"/>
        <v>58064.516129032265</v>
      </c>
    </row>
    <row r="106" spans="2:37" hidden="1">
      <c r="B106">
        <v>7</v>
      </c>
      <c r="C106" t="e">
        <f>SUM(O106,#REF!,#REF!)</f>
        <v>#REF!</v>
      </c>
      <c r="D106" t="e">
        <f>SUM(Q106,#REF!,X106)</f>
        <v>#REF!</v>
      </c>
      <c r="N106">
        <v>7</v>
      </c>
      <c r="O106">
        <f t="shared" si="23"/>
        <v>67741.93548387097</v>
      </c>
    </row>
    <row r="107" spans="2:37" hidden="1">
      <c r="B107">
        <v>8</v>
      </c>
      <c r="C107" t="e">
        <f>SUM(O107,#REF!,#REF!)</f>
        <v>#REF!</v>
      </c>
      <c r="D107" t="e">
        <f>SUM(Q107,#REF!,X107)</f>
        <v>#REF!</v>
      </c>
      <c r="N107">
        <v>8</v>
      </c>
      <c r="O107">
        <f t="shared" si="23"/>
        <v>77419.354838709682</v>
      </c>
    </row>
    <row r="108" spans="2:37" hidden="1">
      <c r="B108">
        <v>9</v>
      </c>
      <c r="C108" t="e">
        <f>SUM(O108,#REF!,#REF!)</f>
        <v>#REF!</v>
      </c>
      <c r="D108" t="e">
        <f>SUM(Q108,#REF!,X108)</f>
        <v>#REF!</v>
      </c>
      <c r="N108">
        <v>9</v>
      </c>
      <c r="O108">
        <f t="shared" si="23"/>
        <v>87096.774193548394</v>
      </c>
    </row>
    <row r="109" spans="2:37" hidden="1">
      <c r="B109">
        <v>10</v>
      </c>
      <c r="C109" t="e">
        <f>SUM(O109,#REF!,#REF!)</f>
        <v>#REF!</v>
      </c>
      <c r="D109" t="e">
        <f>SUM(Q109,#REF!,X109)</f>
        <v>#REF!</v>
      </c>
      <c r="N109">
        <v>10</v>
      </c>
      <c r="O109">
        <f t="shared" si="23"/>
        <v>96774.193548387106</v>
      </c>
    </row>
    <row r="110" spans="2:37" hidden="1">
      <c r="B110">
        <v>11</v>
      </c>
      <c r="C110" t="e">
        <f>SUM(O110,#REF!,#REF!)</f>
        <v>#REF!</v>
      </c>
      <c r="D110" t="e">
        <f>SUM(Q110,#REF!,X110)</f>
        <v>#REF!</v>
      </c>
      <c r="N110">
        <v>11</v>
      </c>
      <c r="O110">
        <f t="shared" si="23"/>
        <v>106451.61290322582</v>
      </c>
    </row>
    <row r="111" spans="2:37" hidden="1">
      <c r="B111">
        <v>12</v>
      </c>
      <c r="C111" t="e">
        <f>SUM(O111,#REF!,#REF!)</f>
        <v>#REF!</v>
      </c>
      <c r="D111" t="e">
        <f>SUM(Q111,#REF!,X111)</f>
        <v>#REF!</v>
      </c>
      <c r="N111">
        <v>12</v>
      </c>
      <c r="O111">
        <f t="shared" si="23"/>
        <v>116129.03225806453</v>
      </c>
    </row>
    <row r="112" spans="2:37" hidden="1">
      <c r="B112">
        <v>13</v>
      </c>
      <c r="C112" t="e">
        <f>SUM(O112,#REF!,#REF!)</f>
        <v>#REF!</v>
      </c>
      <c r="D112" t="e">
        <f>SUM(Q112,#REF!,X112)</f>
        <v>#REF!</v>
      </c>
      <c r="N112">
        <v>13</v>
      </c>
      <c r="O112">
        <f t="shared" si="23"/>
        <v>125806.45161290324</v>
      </c>
    </row>
    <row r="113" spans="2:15" hidden="1">
      <c r="B113">
        <v>14</v>
      </c>
      <c r="C113" t="e">
        <f>SUM(O113,#REF!,#REF!)</f>
        <v>#REF!</v>
      </c>
      <c r="D113" t="e">
        <f>SUM(Q113,#REF!,X113)</f>
        <v>#REF!</v>
      </c>
      <c r="N113">
        <v>14</v>
      </c>
      <c r="O113">
        <f t="shared" si="23"/>
        <v>135483.87096774194</v>
      </c>
    </row>
    <row r="114" spans="2:15" hidden="1">
      <c r="B114">
        <v>15</v>
      </c>
      <c r="C114" t="e">
        <f>SUM(O114,#REF!,#REF!)</f>
        <v>#REF!</v>
      </c>
      <c r="D114" t="e">
        <f>SUM(Q114,#REF!,X114)</f>
        <v>#REF!</v>
      </c>
      <c r="N114">
        <v>15</v>
      </c>
      <c r="O114">
        <f t="shared" si="23"/>
        <v>145161.29032258064</v>
      </c>
    </row>
    <row r="115" spans="2:15" hidden="1">
      <c r="B115">
        <v>16</v>
      </c>
      <c r="C115" t="e">
        <f>SUM(O115,#REF!,#REF!)</f>
        <v>#REF!</v>
      </c>
      <c r="D115" t="e">
        <f>SUM(Q115,#REF!,X115)</f>
        <v>#REF!</v>
      </c>
      <c r="N115">
        <v>16</v>
      </c>
      <c r="O115">
        <f t="shared" si="23"/>
        <v>154838.70967741933</v>
      </c>
    </row>
    <row r="116" spans="2:15" hidden="1">
      <c r="B116">
        <v>17</v>
      </c>
      <c r="C116" t="e">
        <f>SUM(O116,#REF!,#REF!)</f>
        <v>#REF!</v>
      </c>
      <c r="D116" t="e">
        <f>SUM(Q116,#REF!,X116)</f>
        <v>#REF!</v>
      </c>
      <c r="N116">
        <v>17</v>
      </c>
      <c r="O116">
        <f t="shared" si="23"/>
        <v>164516.12903225803</v>
      </c>
    </row>
    <row r="117" spans="2:15" hidden="1">
      <c r="B117">
        <v>18</v>
      </c>
      <c r="C117" t="e">
        <f>SUM(O117,#REF!,#REF!)</f>
        <v>#REF!</v>
      </c>
      <c r="D117" t="e">
        <f>SUM(Q117,#REF!,X117)</f>
        <v>#REF!</v>
      </c>
      <c r="N117">
        <v>18</v>
      </c>
      <c r="O117">
        <f t="shared" si="23"/>
        <v>174193.54838709673</v>
      </c>
    </row>
    <row r="118" spans="2:15" hidden="1">
      <c r="B118">
        <v>19</v>
      </c>
      <c r="C118" t="e">
        <f>SUM(O118,#REF!,#REF!)</f>
        <v>#REF!</v>
      </c>
      <c r="D118" t="e">
        <f>SUM(Q118,#REF!,X118)</f>
        <v>#REF!</v>
      </c>
      <c r="N118">
        <v>19</v>
      </c>
      <c r="O118">
        <f t="shared" si="23"/>
        <v>183870.96774193543</v>
      </c>
    </row>
    <row r="119" spans="2:15" hidden="1">
      <c r="B119">
        <v>20</v>
      </c>
      <c r="C119" t="e">
        <f>SUM(O119,#REF!,#REF!)</f>
        <v>#REF!</v>
      </c>
      <c r="D119" t="e">
        <f>SUM(Q119,#REF!,X119)</f>
        <v>#REF!</v>
      </c>
      <c r="N119">
        <v>20</v>
      </c>
      <c r="O119">
        <f t="shared" si="23"/>
        <v>193548.38709677412</v>
      </c>
    </row>
    <row r="120" spans="2:15" hidden="1">
      <c r="B120">
        <v>21</v>
      </c>
      <c r="C120" t="e">
        <f>SUM(O120,#REF!,#REF!)</f>
        <v>#REF!</v>
      </c>
      <c r="D120" t="e">
        <f>SUM(Q120,#REF!,X120)</f>
        <v>#REF!</v>
      </c>
      <c r="N120">
        <v>21</v>
      </c>
      <c r="O120">
        <f t="shared" si="23"/>
        <v>203225.80645161282</v>
      </c>
    </row>
    <row r="121" spans="2:15" hidden="1">
      <c r="B121">
        <v>22</v>
      </c>
      <c r="C121" t="e">
        <f>SUM(O121,#REF!,#REF!)</f>
        <v>#REF!</v>
      </c>
      <c r="D121" t="e">
        <f>SUM(Q121,#REF!,X121)</f>
        <v>#REF!</v>
      </c>
      <c r="N121">
        <v>22</v>
      </c>
      <c r="O121">
        <f t="shared" si="23"/>
        <v>212903.22580645152</v>
      </c>
    </row>
    <row r="122" spans="2:15" hidden="1">
      <c r="B122">
        <v>23</v>
      </c>
      <c r="C122" t="e">
        <f>SUM(O122,#REF!,#REF!)</f>
        <v>#REF!</v>
      </c>
      <c r="D122" t="e">
        <f>SUM(Q122,#REF!,X122)</f>
        <v>#REF!</v>
      </c>
      <c r="N122">
        <v>23</v>
      </c>
      <c r="O122">
        <f t="shared" si="23"/>
        <v>222580.64516129022</v>
      </c>
    </row>
    <row r="123" spans="2:15" hidden="1">
      <c r="B123">
        <v>24</v>
      </c>
      <c r="C123" t="e">
        <f>SUM(O123,#REF!,#REF!)</f>
        <v>#REF!</v>
      </c>
      <c r="D123" t="e">
        <f>SUM(Q123,#REF!,X123)</f>
        <v>#REF!</v>
      </c>
      <c r="N123">
        <v>24</v>
      </c>
      <c r="O123">
        <f t="shared" si="23"/>
        <v>232258.06451612891</v>
      </c>
    </row>
    <row r="124" spans="2:15" hidden="1">
      <c r="B124">
        <v>25</v>
      </c>
      <c r="C124" t="e">
        <f>SUM(O124,#REF!,#REF!)</f>
        <v>#REF!</v>
      </c>
      <c r="D124" t="e">
        <f>SUM(Q124,#REF!,X124)</f>
        <v>#REF!</v>
      </c>
      <c r="N124">
        <v>25</v>
      </c>
      <c r="O124">
        <f t="shared" si="23"/>
        <v>241935.48387096761</v>
      </c>
    </row>
    <row r="125" spans="2:15" hidden="1">
      <c r="B125">
        <v>26</v>
      </c>
      <c r="C125" t="e">
        <f>SUM(O125,#REF!,#REF!)</f>
        <v>#REF!</v>
      </c>
      <c r="D125" t="e">
        <f>SUM(Q125,#REF!,X125)</f>
        <v>#REF!</v>
      </c>
      <c r="N125">
        <v>26</v>
      </c>
      <c r="O125">
        <f t="shared" si="23"/>
        <v>251612.90322580631</v>
      </c>
    </row>
    <row r="126" spans="2:15" hidden="1">
      <c r="B126">
        <v>27</v>
      </c>
      <c r="C126" t="e">
        <f>SUM(O126,#REF!,#REF!)</f>
        <v>#REF!</v>
      </c>
      <c r="D126" t="e">
        <f>SUM(Q126,#REF!,X126)</f>
        <v>#REF!</v>
      </c>
      <c r="N126">
        <v>27</v>
      </c>
      <c r="O126">
        <f t="shared" si="23"/>
        <v>261290.32258064501</v>
      </c>
    </row>
    <row r="127" spans="2:15" hidden="1">
      <c r="B127">
        <v>28</v>
      </c>
      <c r="C127" t="e">
        <f>SUM(O127,#REF!,#REF!)</f>
        <v>#REF!</v>
      </c>
      <c r="D127" t="e">
        <f>SUM(Q127,#REF!,X127)</f>
        <v>#REF!</v>
      </c>
      <c r="N127">
        <v>28</v>
      </c>
      <c r="O127">
        <f t="shared" si="23"/>
        <v>270967.7419354837</v>
      </c>
    </row>
    <row r="128" spans="2:15" hidden="1">
      <c r="B128">
        <v>29</v>
      </c>
      <c r="C128" t="e">
        <f>SUM(O128,#REF!,#REF!)</f>
        <v>#REF!</v>
      </c>
      <c r="D128" t="e">
        <f>SUM(Q128,#REF!,X128)</f>
        <v>#REF!</v>
      </c>
      <c r="N128">
        <v>29</v>
      </c>
      <c r="O128">
        <f t="shared" si="23"/>
        <v>280645.16129032243</v>
      </c>
    </row>
    <row r="129" spans="2:15" hidden="1">
      <c r="B129">
        <v>30</v>
      </c>
      <c r="C129" t="e">
        <f>SUM(O129,#REF!,#REF!)</f>
        <v>#REF!</v>
      </c>
      <c r="D129" t="e">
        <f>SUM(Q129,#REF!,X129)</f>
        <v>#REF!</v>
      </c>
      <c r="N129">
        <v>30</v>
      </c>
      <c r="O129">
        <f t="shared" si="23"/>
        <v>290322.58064516116</v>
      </c>
    </row>
    <row r="130" spans="2:15" hidden="1">
      <c r="B130">
        <v>31</v>
      </c>
      <c r="C130" t="e">
        <f>SUM(O130,#REF!,#REF!)</f>
        <v>#REF!</v>
      </c>
      <c r="D130" t="e">
        <f>SUM(Q130,#REF!,X130)</f>
        <v>#REF!</v>
      </c>
      <c r="N130">
        <v>31</v>
      </c>
      <c r="O130">
        <f t="shared" si="23"/>
        <v>299999.99999999988</v>
      </c>
    </row>
    <row r="131" spans="2:15" hidden="1"/>
    <row r="132" spans="2:15" hidden="1"/>
    <row r="133" spans="2:15" hidden="1"/>
    <row r="134" spans="2:15" hidden="1"/>
    <row r="135" spans="2:15" hidden="1"/>
    <row r="136" spans="2:15" hidden="1"/>
    <row r="137" spans="2:15" hidden="1"/>
    <row r="138" spans="2:15" hidden="1"/>
    <row r="139" spans="2:15" hidden="1"/>
    <row r="140" spans="2:15" hidden="1"/>
    <row r="141" spans="2:15" hidden="1"/>
  </sheetData>
  <mergeCells count="31">
    <mergeCell ref="BS8:BS9"/>
    <mergeCell ref="C9:M9"/>
    <mergeCell ref="O9:O11"/>
    <mergeCell ref="P9:R10"/>
    <mergeCell ref="S9:S11"/>
    <mergeCell ref="T9:T11"/>
    <mergeCell ref="X9:X11"/>
    <mergeCell ref="Z9:AB10"/>
    <mergeCell ref="AI9:AL9"/>
    <mergeCell ref="AO9:AR9"/>
    <mergeCell ref="BK8:BQ8"/>
    <mergeCell ref="BL9:BO9"/>
    <mergeCell ref="AZ10:BD10"/>
    <mergeCell ref="BP9:BP10"/>
    <mergeCell ref="BQ9:BQ10"/>
    <mergeCell ref="C10:C11"/>
    <mergeCell ref="B8:B11"/>
    <mergeCell ref="O8:T8"/>
    <mergeCell ref="Z8:AB8"/>
    <mergeCell ref="AI8:AL8"/>
    <mergeCell ref="AX8:BD8"/>
    <mergeCell ref="AX9:AX11"/>
    <mergeCell ref="AY9:AY11"/>
    <mergeCell ref="AZ9:BD9"/>
    <mergeCell ref="D10:D11"/>
    <mergeCell ref="E10:E11"/>
    <mergeCell ref="F10:G10"/>
    <mergeCell ref="H10:I10"/>
    <mergeCell ref="J10:K10"/>
    <mergeCell ref="L10:M10"/>
    <mergeCell ref="U10:W10"/>
  </mergeCells>
  <conditionalFormatting sqref="C43">
    <cfRule type="expression" dxfId="197" priority="13">
      <formula>OR(AND(C43&lt;(#REF!-(10%*#REF!)),#REF!="OB"),AND(C43&lt;(#REF!-(10%*#REF!)),#REF!="ROM"))</formula>
    </cfRule>
    <cfRule type="expression" dxfId="196" priority="14">
      <formula>$B43=DAY(TODAY()-1)</formula>
    </cfRule>
  </conditionalFormatting>
  <conditionalFormatting sqref="O12:U12 W12:W22 S13:U22 O13:R42 V22 S23 O43:W43">
    <cfRule type="expression" dxfId="195" priority="15">
      <formula>OR(AND(O12&lt;(#REF!-(10%*#REF!)),#REF!="OB"),AND(O12&lt;(#REF!-(10%*#REF!)),#REF!="ROM"))</formula>
    </cfRule>
  </conditionalFormatting>
  <conditionalFormatting sqref="O12:U12 AX12:AY12 W12:W22 BQ12:BR37 BT12:CK37 AY13 S13:U22 O13:R42 AX13:AX42 AY15:AY18 V20 V22 S23 BQ39:BR42 BT39:CK43 O43:W43 BK43:BR43">
    <cfRule type="expression" dxfId="194" priority="16">
      <formula>$B12=DAY(TODAY()-1)</formula>
    </cfRule>
  </conditionalFormatting>
  <conditionalFormatting sqref="V12:V18 S24:W42">
    <cfRule type="expression" dxfId="193" priority="6">
      <formula>$B12=DAY(TODAY()-1)</formula>
    </cfRule>
  </conditionalFormatting>
  <conditionalFormatting sqref="V12:V20 S24:W42">
    <cfRule type="expression" dxfId="192" priority="5">
      <formula>OR(AND(S12&lt;(#REF!-(10%*#REF!)),#REF!="OB"),AND(S12&lt;(#REF!-(10%*#REF!)),#REF!="ROM"))</formula>
    </cfRule>
  </conditionalFormatting>
  <conditionalFormatting sqref="V19">
    <cfRule type="expression" dxfId="191" priority="18">
      <formula>$B21=DAY(TODAY()-1)</formula>
    </cfRule>
  </conditionalFormatting>
  <conditionalFormatting sqref="X12:AK43">
    <cfRule type="expression" dxfId="190" priority="11">
      <formula>OR(AND(X12&lt;(#REF!-(10%*#REF!)),#REF!="OB"),AND(X12&lt;(#REF!-(10%*#REF!)),#REF!="ROM"))</formula>
    </cfRule>
    <cfRule type="expression" dxfId="189" priority="12">
      <formula>$B12=DAY(TODAY()-1)</formula>
    </cfRule>
  </conditionalFormatting>
  <conditionalFormatting sqref="AO1:AU100">
    <cfRule type="expression" dxfId="188" priority="3">
      <formula>OR(TEXT($A2,"dd/mm/yyyy")=TEXT(DATE(2025,4,18),"dd/mm/yyyy"), TEXT($A2,"dd/mm/yyyy")=TEXT(TODAY()-1,"dd/mm/yyyy"))</formula>
    </cfRule>
  </conditionalFormatting>
  <conditionalFormatting sqref="AO2:AU100">
    <cfRule type="expression" dxfId="187" priority="2">
      <formula>OR($B2=DAY(TODAY()-1))</formula>
    </cfRule>
  </conditionalFormatting>
  <conditionalFormatting sqref="AX43:AY43">
    <cfRule type="expression" dxfId="186" priority="9">
      <formula>$B43=DAY(TODAY()-1)</formula>
    </cfRule>
  </conditionalFormatting>
  <conditionalFormatting sqref="AY19">
    <cfRule type="expression" dxfId="185" priority="17">
      <formula>$B14=DAY(TODAY()-1)</formula>
    </cfRule>
  </conditionalFormatting>
  <conditionalFormatting sqref="AY20:AY42">
    <cfRule type="expression" dxfId="184" priority="8">
      <formula>$B20=DAY(TODAY()-1)</formula>
    </cfRule>
  </conditionalFormatting>
  <conditionalFormatting sqref="AZ12:BE43">
    <cfRule type="expression" dxfId="183" priority="7">
      <formula>$B12=DAY(TODAY()-1)</formula>
    </cfRule>
  </conditionalFormatting>
  <conditionalFormatting sqref="BK12:BP42">
    <cfRule type="expression" dxfId="182" priority="4">
      <formula>$B12=DAY(TODAY()-1)</formula>
    </cfRule>
  </conditionalFormatting>
  <conditionalFormatting sqref="BS12:BS42">
    <cfRule type="expression" dxfId="181" priority="10">
      <formula>$B12=DAY(TODAY()-1)</formula>
    </cfRule>
  </conditionalFormatting>
  <pageMargins left="0.7" right="0.7" top="0.75" bottom="0.75" header="0.3" footer="0.3"/>
  <pageSetup orientation="portrait"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1:SF301"/>
  <sheetViews>
    <sheetView showGridLines="0" zoomScale="65" zoomScaleNormal="65" workbookViewId="0">
      <pane xSplit="2" ySplit="9" topLeftCell="GA31" activePane="bottomRight" state="frozen"/>
      <selection pane="topRight" activeCell="O48" sqref="O48"/>
      <selection pane="bottomLeft" activeCell="O48" sqref="O48"/>
      <selection pane="bottomRight" activeCell="PN42" sqref="PN42"/>
    </sheetView>
  </sheetViews>
  <sheetFormatPr defaultColWidth="8.6640625" defaultRowHeight="14.4"/>
  <cols>
    <col min="1" max="1" width="2.33203125" customWidth="1"/>
    <col min="2" max="2" width="7.33203125" customWidth="1"/>
    <col min="3" max="3" width="15.33203125" customWidth="1"/>
    <col min="4" max="4" width="13" customWidth="1"/>
    <col min="5" max="5" width="10.44140625" customWidth="1"/>
    <col min="6" max="7" width="10.44140625" hidden="1" customWidth="1"/>
    <col min="8" max="8" width="13.6640625" customWidth="1"/>
    <col min="9" max="9" width="10.44140625" customWidth="1"/>
    <col min="10" max="10" width="12.33203125" customWidth="1"/>
    <col min="11" max="11" width="11.5546875" customWidth="1"/>
    <col min="12" max="12" width="10" customWidth="1"/>
    <col min="13" max="13" width="8.6640625" customWidth="1"/>
    <col min="14" max="14" width="5" customWidth="1"/>
    <col min="15" max="15" width="14.6640625" customWidth="1"/>
    <col min="16" max="16" width="16.6640625" customWidth="1"/>
    <col min="17" max="17" width="11.6640625" customWidth="1"/>
    <col min="18" max="18" width="8.33203125" customWidth="1"/>
    <col min="19" max="19" width="12.6640625" customWidth="1"/>
    <col min="20" max="20" width="15.33203125" customWidth="1"/>
    <col min="21" max="21" width="10.33203125" customWidth="1"/>
    <col min="22" max="22" width="8.6640625" customWidth="1"/>
    <col min="23" max="23" width="13" customWidth="1"/>
    <col min="24" max="24" width="13.6640625" customWidth="1"/>
    <col min="25" max="26" width="9.33203125" customWidth="1"/>
    <col min="27" max="27" width="15.44140625" hidden="1" customWidth="1"/>
    <col min="28" max="28" width="12.6640625" hidden="1" customWidth="1"/>
    <col min="29" max="30" width="9.33203125" hidden="1" customWidth="1"/>
    <col min="31" max="31" width="14.33203125" hidden="1" customWidth="1"/>
    <col min="32" max="33" width="12.6640625" hidden="1" customWidth="1"/>
    <col min="34" max="34" width="8.6640625" hidden="1" customWidth="1"/>
    <col min="35" max="35" width="10.33203125" hidden="1" customWidth="1"/>
    <col min="36" max="36" width="9.33203125" hidden="1" customWidth="1"/>
    <col min="37" max="38" width="8.6640625" hidden="1" customWidth="1"/>
    <col min="39" max="39" width="1.33203125" customWidth="1"/>
    <col min="40" max="40" width="12" hidden="1" customWidth="1"/>
    <col min="41" max="42" width="8.6640625" hidden="1" customWidth="1"/>
    <col min="43" max="43" width="14.5546875" hidden="1" customWidth="1"/>
    <col min="44" max="45" width="12.33203125" hidden="1" customWidth="1"/>
    <col min="46" max="46" width="14.6640625" hidden="1" customWidth="1"/>
    <col min="47" max="47" width="11.44140625" hidden="1" customWidth="1"/>
    <col min="48" max="48" width="11.6640625" hidden="1" customWidth="1"/>
    <col min="49" max="49" width="14.5546875" customWidth="1"/>
    <col min="50" max="50" width="12.33203125" customWidth="1"/>
    <col min="51" max="51" width="11.33203125" customWidth="1"/>
    <col min="52" max="52" width="8.5546875" hidden="1" customWidth="1"/>
    <col min="53" max="53" width="8.6640625" hidden="1" customWidth="1"/>
    <col min="54" max="54" width="9.33203125" hidden="1" customWidth="1"/>
    <col min="55" max="55" width="11.5546875" customWidth="1"/>
    <col min="56" max="56" width="11.44140625" customWidth="1"/>
    <col min="57" max="57" width="10.44140625" customWidth="1"/>
    <col min="58" max="58" width="13.6640625" hidden="1" customWidth="1"/>
    <col min="59" max="59" width="15.33203125" hidden="1" customWidth="1"/>
    <col min="60" max="60" width="9.33203125" hidden="1" customWidth="1"/>
    <col min="61" max="61" width="11.6640625" hidden="1" customWidth="1"/>
    <col min="62" max="62" width="12.33203125" hidden="1" customWidth="1"/>
    <col min="63" max="63" width="8.6640625" hidden="1" customWidth="1"/>
    <col min="64" max="64" width="13.109375" customWidth="1"/>
    <col min="65" max="65" width="12.33203125" customWidth="1"/>
    <col min="66" max="66" width="8.6640625" customWidth="1"/>
    <col min="67" max="67" width="11.44140625" hidden="1" customWidth="1"/>
    <col min="68" max="68" width="14.6640625" hidden="1" customWidth="1"/>
    <col min="69" max="69" width="10.6640625" hidden="1" customWidth="1"/>
    <col min="70" max="71" width="11.44140625" hidden="1" customWidth="1"/>
    <col min="72" max="72" width="8.6640625" hidden="1" customWidth="1"/>
    <col min="73" max="73" width="13.33203125" customWidth="1"/>
    <col min="74" max="74" width="12.6640625" customWidth="1"/>
    <col min="75" max="75" width="11.88671875" customWidth="1"/>
    <col min="76" max="76" width="13.5546875" hidden="1" customWidth="1"/>
    <col min="77" max="77" width="12.33203125" hidden="1" customWidth="1"/>
    <col min="78" max="78" width="9.33203125" hidden="1" customWidth="1"/>
    <col min="79" max="79" width="12.6640625" hidden="1" customWidth="1"/>
    <col min="80" max="80" width="11.33203125" hidden="1" customWidth="1"/>
    <col min="81" max="81" width="9.33203125" hidden="1" customWidth="1"/>
    <col min="82" max="82" width="13.44140625" hidden="1" customWidth="1"/>
    <col min="83" max="83" width="13" hidden="1" customWidth="1"/>
    <col min="84" max="84" width="9.33203125" hidden="1" customWidth="1"/>
    <col min="85" max="85" width="7.6640625" customWidth="1"/>
    <col min="86" max="87" width="10.6640625" customWidth="1"/>
    <col min="88" max="88" width="12.33203125" customWidth="1"/>
    <col min="89" max="89" width="11" customWidth="1"/>
    <col min="90" max="90" width="0" hidden="1" customWidth="1"/>
    <col min="91" max="91" width="11.6640625" customWidth="1"/>
    <col min="92" max="92" width="0" hidden="1" customWidth="1"/>
    <col min="93" max="93" width="18.33203125" customWidth="1"/>
    <col min="94" max="94" width="6.6640625" customWidth="1"/>
    <col min="96" max="96" width="11.6640625" bestFit="1" customWidth="1"/>
    <col min="98" max="98" width="11.6640625" bestFit="1" customWidth="1"/>
    <col min="100" max="100" width="11.6640625" bestFit="1" customWidth="1"/>
    <col min="102" max="102" width="11.6640625" bestFit="1" customWidth="1"/>
    <col min="103" max="103" width="11.5546875" customWidth="1"/>
    <col min="104" max="104" width="11.6640625" bestFit="1" customWidth="1"/>
    <col min="105" max="105" width="10.33203125" customWidth="1"/>
    <col min="106" max="106" width="11.6640625" bestFit="1" customWidth="1"/>
    <col min="107" max="107" width="13.33203125" bestFit="1" customWidth="1"/>
    <col min="108" max="108" width="7.6640625" customWidth="1"/>
    <col min="109" max="109" width="12.33203125" customWidth="1"/>
    <col min="110" max="110" width="11.6640625" bestFit="1" customWidth="1"/>
    <col min="111" max="111" width="11.6640625" customWidth="1"/>
    <col min="112" max="112" width="11.6640625" bestFit="1" customWidth="1"/>
    <col min="113" max="113" width="12.5546875" bestFit="1" customWidth="1"/>
    <col min="114" max="114" width="11.6640625" bestFit="1" customWidth="1"/>
    <col min="115" max="115" width="12.5546875" customWidth="1"/>
    <col min="116" max="116" width="11.6640625" bestFit="1" customWidth="1"/>
    <col min="117" max="117" width="12.6640625" bestFit="1" customWidth="1"/>
    <col min="118" max="118" width="11.6640625" bestFit="1" customWidth="1"/>
    <col min="119" max="119" width="12.33203125" customWidth="1"/>
    <col min="120" max="120" width="11.6640625" bestFit="1" customWidth="1"/>
    <col min="121" max="121" width="13.6640625" bestFit="1" customWidth="1"/>
    <col min="122" max="122" width="11.33203125" customWidth="1"/>
    <col min="123" max="123" width="16.6640625" customWidth="1"/>
    <col min="124" max="124" width="9.6640625" customWidth="1"/>
    <col min="125" max="125" width="11.6640625" bestFit="1" customWidth="1"/>
    <col min="126" max="126" width="10.33203125" bestFit="1" customWidth="1"/>
    <col min="127" max="127" width="11.6640625" bestFit="1" customWidth="1"/>
    <col min="128" max="128" width="10.33203125" customWidth="1"/>
    <col min="129" max="129" width="11.6640625" bestFit="1" customWidth="1"/>
    <col min="130" max="130" width="12.33203125" customWidth="1"/>
    <col min="131" max="131" width="10.33203125" customWidth="1"/>
    <col min="132" max="132" width="9.33203125" customWidth="1"/>
    <col min="133" max="133" width="11.6640625" bestFit="1" customWidth="1"/>
    <col min="134" max="134" width="14.6640625" customWidth="1"/>
    <col min="135" max="135" width="12.6640625" bestFit="1" customWidth="1"/>
    <col min="136" max="136" width="12.33203125" customWidth="1"/>
    <col min="137" max="137" width="12.6640625" bestFit="1" customWidth="1"/>
    <col min="138" max="138" width="12.33203125" customWidth="1"/>
    <col min="139" max="139" width="12.6640625" bestFit="1" customWidth="1"/>
    <col min="140" max="140" width="12.33203125" customWidth="1"/>
    <col min="141" max="141" width="12.6640625" bestFit="1" customWidth="1"/>
    <col min="142" max="142" width="12.33203125" customWidth="1"/>
    <col min="143" max="143" width="12.6640625" bestFit="1" customWidth="1"/>
    <col min="144" max="144" width="12.33203125" customWidth="1"/>
    <col min="145" max="145" width="12.6640625" bestFit="1" customWidth="1"/>
    <col min="146" max="146" width="11.6640625" customWidth="1"/>
    <col min="147" max="147" width="12.6640625" customWidth="1"/>
    <col min="148" max="154" width="8.6640625" hidden="1" customWidth="1"/>
    <col min="155" max="155" width="1.33203125" customWidth="1"/>
    <col min="156" max="156" width="6.6640625" customWidth="1"/>
    <col min="159" max="159" width="9.33203125" bestFit="1" customWidth="1"/>
    <col min="162" max="162" width="1.33203125" customWidth="1"/>
    <col min="163" max="176" width="8.6640625" hidden="1" customWidth="1"/>
    <col min="177" max="177" width="7.33203125" bestFit="1" customWidth="1"/>
    <col min="178" max="178" width="11.6640625" bestFit="1" customWidth="1"/>
    <col min="179" max="179" width="6.6640625" bestFit="1" customWidth="1"/>
    <col min="180" max="180" width="11.6640625" bestFit="1" customWidth="1"/>
    <col min="181" max="181" width="6.6640625" bestFit="1" customWidth="1"/>
    <col min="182" max="182" width="11.6640625" bestFit="1" customWidth="1"/>
    <col min="183" max="183" width="6.6640625" bestFit="1" customWidth="1"/>
    <col min="184" max="184" width="11.6640625" bestFit="1" customWidth="1"/>
    <col min="185" max="185" width="10.33203125" bestFit="1" customWidth="1"/>
    <col min="186" max="186" width="11.6640625" bestFit="1" customWidth="1"/>
    <col min="187" max="187" width="6.6640625" bestFit="1" customWidth="1"/>
    <col min="188" max="188" width="11.6640625" bestFit="1" customWidth="1"/>
    <col min="190" max="190" width="1.33203125" customWidth="1"/>
    <col min="191" max="191" width="6.6640625" customWidth="1"/>
    <col min="192" max="192" width="13" customWidth="1"/>
    <col min="193" max="193" width="13.44140625" customWidth="1"/>
    <col min="194" max="194" width="14.33203125" customWidth="1"/>
    <col min="195" max="195" width="17.33203125" customWidth="1"/>
    <col min="196" max="196" width="10.33203125" hidden="1" customWidth="1"/>
    <col min="197" max="197" width="8.6640625" hidden="1" customWidth="1"/>
    <col min="198" max="198" width="45.33203125" customWidth="1"/>
    <col min="199" max="199" width="1.33203125" customWidth="1"/>
    <col min="200" max="200" width="15.44140625" customWidth="1"/>
    <col min="201" max="202" width="13.33203125" customWidth="1"/>
    <col min="203" max="203" width="12.33203125" customWidth="1"/>
    <col min="204" max="204" width="15.33203125" customWidth="1"/>
    <col min="205" max="205" width="1.33203125" customWidth="1"/>
    <col min="206" max="206" width="13.5546875" customWidth="1"/>
    <col min="207" max="207" width="12.33203125" customWidth="1"/>
    <col min="208" max="208" width="13.33203125" customWidth="1"/>
    <col min="209" max="209" width="13" customWidth="1"/>
    <col min="210" max="210" width="12.6640625" customWidth="1"/>
    <col min="211" max="211" width="14.44140625" customWidth="1"/>
    <col min="212" max="212" width="12" customWidth="1"/>
    <col min="213" max="214" width="11.6640625" customWidth="1"/>
    <col min="215" max="215" width="13" customWidth="1"/>
    <col min="216" max="216" width="11.5546875" customWidth="1"/>
    <col min="217" max="217" width="11.6640625" customWidth="1"/>
    <col min="218" max="218" width="10.44140625" customWidth="1"/>
    <col min="219" max="219" width="10.33203125" customWidth="1"/>
    <col min="220" max="220" width="11.44140625" customWidth="1"/>
    <col min="221" max="234" width="10.44140625" hidden="1" customWidth="1"/>
    <col min="235" max="235" width="0.5546875" hidden="1" customWidth="1"/>
    <col min="236" max="236" width="11.33203125" customWidth="1"/>
    <col min="237" max="237" width="11.6640625" customWidth="1"/>
    <col min="238" max="238" width="10.33203125" customWidth="1"/>
    <col min="239" max="239" width="11.6640625" customWidth="1"/>
    <col min="240" max="240" width="12.33203125" bestFit="1" customWidth="1"/>
    <col min="241" max="241" width="11.6640625" bestFit="1" customWidth="1"/>
    <col min="242" max="242" width="12" customWidth="1"/>
    <col min="243" max="243" width="11.6640625" bestFit="1" customWidth="1"/>
    <col min="244" max="244" width="12.33203125" bestFit="1" customWidth="1"/>
    <col min="245" max="245" width="11.6640625" bestFit="1" customWidth="1"/>
    <col min="246" max="246" width="13.33203125" customWidth="1"/>
    <col min="247" max="247" width="12.33203125" customWidth="1"/>
    <col min="248" max="249" width="8.6640625" customWidth="1"/>
    <col min="250" max="250" width="13" customWidth="1"/>
    <col min="251" max="251" width="10.6640625" customWidth="1"/>
    <col min="252" max="252" width="11.6640625" bestFit="1" customWidth="1"/>
    <col min="253" max="253" width="9.44140625" customWidth="1"/>
    <col min="254" max="254" width="11.6640625" bestFit="1" customWidth="1"/>
    <col min="255" max="256" width="12" bestFit="1" customWidth="1"/>
    <col min="257" max="257" width="10.5546875" customWidth="1"/>
    <col min="258" max="258" width="11.6640625" bestFit="1" customWidth="1"/>
    <col min="259" max="259" width="12.5546875" bestFit="1" customWidth="1"/>
    <col min="260" max="260" width="12" bestFit="1" customWidth="1"/>
    <col min="261" max="261" width="11.6640625" customWidth="1"/>
    <col min="262" max="262" width="11.6640625" bestFit="1" customWidth="1"/>
    <col min="265" max="265" width="13" customWidth="1"/>
    <col min="266" max="266" width="1.33203125" customWidth="1"/>
    <col min="267" max="267" width="6.6640625" customWidth="1"/>
    <col min="268" max="268" width="15.33203125" customWidth="1"/>
    <col min="269" max="269" width="16" customWidth="1"/>
    <col min="270" max="270" width="15.5546875" bestFit="1" customWidth="1"/>
    <col min="271" max="271" width="13.6640625" customWidth="1"/>
    <col min="272" max="272" width="13" bestFit="1" customWidth="1"/>
    <col min="273" max="273" width="3.6640625" customWidth="1"/>
    <col min="274" max="274" width="9.6640625" customWidth="1"/>
    <col min="276" max="276" width="12.33203125" bestFit="1" customWidth="1"/>
    <col min="277" max="277" width="12.44140625" customWidth="1"/>
    <col min="278" max="278" width="11.5546875" customWidth="1"/>
    <col min="282" max="286" width="8.6640625" customWidth="1"/>
    <col min="287" max="287" width="9.33203125" customWidth="1"/>
    <col min="288" max="289" width="8.6640625" customWidth="1"/>
    <col min="296" max="296" width="8.6640625" customWidth="1"/>
    <col min="297" max="297" width="6.33203125" customWidth="1"/>
    <col min="299" max="299" width="1.33203125" customWidth="1"/>
    <col min="300" max="300" width="10.6640625" bestFit="1" customWidth="1"/>
    <col min="301" max="301" width="8.88671875" bestFit="1" customWidth="1"/>
    <col min="302" max="304" width="8.6640625" bestFit="1" customWidth="1"/>
    <col min="305" max="305" width="10.33203125" customWidth="1"/>
    <col min="306" max="306" width="8.33203125" customWidth="1"/>
    <col min="307" max="309" width="8.6640625" customWidth="1"/>
    <col min="315" max="315" width="0" hidden="1" customWidth="1"/>
    <col min="316" max="316" width="1.33203125" customWidth="1"/>
    <col min="317" max="317" width="6.6640625" customWidth="1"/>
    <col min="318" max="318" width="16.33203125" customWidth="1"/>
    <col min="319" max="319" width="15.33203125" customWidth="1"/>
    <col min="320" max="320" width="15.109375" customWidth="1"/>
    <col min="321" max="321" width="14.33203125" bestFit="1" customWidth="1"/>
    <col min="322" max="322" width="15.88671875" customWidth="1"/>
    <col min="323" max="323" width="13.44140625" bestFit="1" customWidth="1"/>
    <col min="325" max="325" width="0" hidden="1" customWidth="1"/>
    <col min="327" max="327" width="49.33203125" customWidth="1"/>
    <col min="328" max="328" width="1.33203125" customWidth="1"/>
    <col min="329" max="329" width="15.33203125" customWidth="1"/>
    <col min="330" max="330" width="10.33203125" bestFit="1" customWidth="1"/>
    <col min="331" max="331" width="13.6640625" bestFit="1" customWidth="1"/>
    <col min="332" max="332" width="9.44140625" customWidth="1"/>
    <col min="333" max="333" width="9.6640625" customWidth="1"/>
    <col min="334" max="334" width="12.33203125" customWidth="1"/>
    <col min="335" max="335" width="10.44140625" bestFit="1" customWidth="1"/>
    <col min="336" max="336" width="11.33203125" customWidth="1"/>
    <col min="337" max="337" width="13.6640625" bestFit="1" customWidth="1"/>
    <col min="338" max="338" width="12" bestFit="1" customWidth="1"/>
    <col min="339" max="339" width="13" bestFit="1" customWidth="1"/>
    <col min="340" max="340" width="9.6640625" bestFit="1" customWidth="1"/>
    <col min="341" max="341" width="9.33203125" bestFit="1" customWidth="1"/>
    <col min="342" max="342" width="12.6640625" customWidth="1"/>
    <col min="343" max="343" width="13.6640625" bestFit="1" customWidth="1"/>
    <col min="344" max="344" width="9.44140625" bestFit="1" customWidth="1"/>
    <col min="345" max="345" width="9.6640625" bestFit="1" customWidth="1"/>
    <col min="346" max="346" width="13.5546875" bestFit="1" customWidth="1"/>
    <col min="347" max="347" width="7.6640625" customWidth="1"/>
    <col min="348" max="348" width="9.33203125" customWidth="1"/>
    <col min="349" max="349" width="15.5546875" customWidth="1"/>
    <col min="350" max="350" width="9.44140625" customWidth="1"/>
    <col min="351" max="351" width="9.6640625" customWidth="1"/>
    <col min="352" max="352" width="13.5546875" customWidth="1"/>
    <col min="353" max="354" width="9.33203125" customWidth="1"/>
    <col min="355" max="355" width="15.5546875" customWidth="1"/>
    <col min="356" max="356" width="9.44140625" customWidth="1"/>
    <col min="357" max="357" width="9.6640625" customWidth="1"/>
    <col min="358" max="358" width="8.6640625" customWidth="1"/>
    <col min="359" max="359" width="1.33203125" customWidth="1"/>
    <col min="360" max="360" width="6.6640625" customWidth="1"/>
    <col min="361" max="361" width="13" customWidth="1"/>
    <col min="362" max="362" width="12.33203125" customWidth="1"/>
    <col min="364" max="364" width="12" customWidth="1"/>
    <col min="365" max="365" width="1.33203125" customWidth="1"/>
    <col min="366" max="366" width="17.33203125" customWidth="1"/>
    <col min="367" max="367" width="17.6640625" customWidth="1"/>
    <col min="368" max="368" width="17.6640625" hidden="1" customWidth="1"/>
    <col min="369" max="369" width="15.33203125" customWidth="1"/>
    <col min="370" max="370" width="13.6640625" hidden="1" customWidth="1"/>
    <col min="371" max="371" width="14.44140625" hidden="1" customWidth="1"/>
    <col min="372" max="372" width="12.33203125" hidden="1" customWidth="1"/>
    <col min="373" max="373" width="11.6640625" hidden="1" customWidth="1"/>
    <col min="374" max="374" width="12" hidden="1" customWidth="1"/>
    <col min="375" max="375" width="11.6640625" hidden="1" customWidth="1"/>
    <col min="376" max="376" width="13.33203125" hidden="1" customWidth="1"/>
    <col min="377" max="377" width="13.44140625" hidden="1" customWidth="1"/>
    <col min="378" max="378" width="10.33203125" customWidth="1"/>
    <col min="379" max="379" width="11.6640625" customWidth="1"/>
    <col min="380" max="380" width="9.33203125" customWidth="1"/>
    <col min="381" max="381" width="11.6640625" bestFit="1" customWidth="1"/>
    <col min="382" max="382" width="11.5546875" bestFit="1" customWidth="1"/>
    <col min="383" max="383" width="12.33203125" hidden="1" customWidth="1"/>
    <col min="384" max="384" width="11.6640625" hidden="1" customWidth="1"/>
    <col min="385" max="385" width="11.33203125" hidden="1" customWidth="1"/>
    <col min="386" max="386" width="11.6640625" hidden="1" customWidth="1"/>
    <col min="387" max="387" width="10.33203125" hidden="1" customWidth="1"/>
    <col min="388" max="388" width="11.6640625" hidden="1" customWidth="1"/>
    <col min="389" max="389" width="12.33203125" customWidth="1"/>
    <col min="390" max="390" width="11.6640625" hidden="1" customWidth="1"/>
    <col min="391" max="391" width="13.44140625" customWidth="1"/>
    <col min="392" max="392" width="14.6640625" hidden="1" customWidth="1"/>
    <col min="393" max="393" width="11.33203125" bestFit="1" customWidth="1"/>
    <col min="394" max="394" width="12.6640625" hidden="1" customWidth="1"/>
    <col min="395" max="395" width="12.33203125" customWidth="1"/>
    <col min="396" max="396" width="10" hidden="1" customWidth="1"/>
    <col min="397" max="397" width="11.6640625" hidden="1" customWidth="1"/>
    <col min="398" max="398" width="9.6640625" hidden="1" customWidth="1"/>
    <col min="399" max="399" width="11.6640625" hidden="1" customWidth="1"/>
    <col min="400" max="400" width="11" hidden="1" customWidth="1"/>
    <col min="401" max="401" width="11.6640625" hidden="1" customWidth="1"/>
    <col min="402" max="402" width="9.6640625" hidden="1" customWidth="1"/>
    <col min="403" max="403" width="11.6640625" hidden="1" customWidth="1"/>
    <col min="404" max="404" width="10.6640625" customWidth="1"/>
    <col min="405" max="405" width="11.6640625" hidden="1" customWidth="1"/>
    <col min="406" max="406" width="8.33203125" customWidth="1"/>
    <col min="407" max="407" width="11.6640625" hidden="1" customWidth="1"/>
    <col min="408" max="408" width="13.6640625" customWidth="1"/>
    <col min="409" max="409" width="9.33203125" hidden="1" customWidth="1"/>
    <col min="410" max="410" width="9.5546875" hidden="1" customWidth="1"/>
    <col min="411" max="414" width="9.33203125" hidden="1" customWidth="1"/>
    <col min="415" max="415" width="9.5546875" hidden="1" customWidth="1"/>
    <col min="416" max="419" width="8.6640625" hidden="1" customWidth="1"/>
    <col min="420" max="420" width="13.44140625" hidden="1" customWidth="1"/>
    <col min="421" max="421" width="8.6640625" hidden="1" customWidth="1"/>
    <col min="422" max="422" width="9.33203125" hidden="1" customWidth="1"/>
    <col min="423" max="423" width="1.33203125" customWidth="1"/>
    <col min="424" max="424" width="10.44140625" customWidth="1"/>
    <col min="425" max="425" width="11.6640625" customWidth="1"/>
    <col min="426" max="428" width="9.5546875" customWidth="1"/>
    <col min="429" max="429" width="11.5546875" customWidth="1"/>
    <col min="430" max="430" width="11.88671875" customWidth="1"/>
    <col min="431" max="431" width="15.6640625" customWidth="1"/>
    <col min="432" max="432" width="1.33203125" customWidth="1"/>
    <col min="433" max="433" width="6.6640625" customWidth="1"/>
    <col min="434" max="435" width="14" customWidth="1"/>
    <col min="437" max="438" width="12.33203125" customWidth="1"/>
    <col min="439" max="440" width="14" customWidth="1"/>
    <col min="441" max="441" width="10.6640625" customWidth="1"/>
    <col min="442" max="442" width="12" bestFit="1" customWidth="1"/>
    <col min="443" max="443" width="11.33203125" customWidth="1"/>
    <col min="444" max="446" width="12" customWidth="1"/>
    <col min="447" max="447" width="12.6640625" customWidth="1"/>
    <col min="448" max="448" width="11.5546875" customWidth="1"/>
    <col min="449" max="449" width="14.33203125" customWidth="1"/>
    <col min="450" max="450" width="14.33203125" hidden="1" customWidth="1"/>
    <col min="460" max="475" width="0" hidden="1" customWidth="1"/>
    <col min="476" max="476" width="12.33203125" hidden="1" customWidth="1"/>
    <col min="477" max="479" width="8.6640625" hidden="1" customWidth="1"/>
    <col min="480" max="480" width="8.6640625" customWidth="1"/>
    <col min="481" max="482" width="11.33203125" customWidth="1"/>
    <col min="483" max="483" width="10" bestFit="1" customWidth="1"/>
    <col min="484" max="484" width="10" customWidth="1"/>
    <col min="485" max="485" width="18.33203125" bestFit="1" customWidth="1"/>
    <col min="486" max="486" width="19.5546875" bestFit="1" customWidth="1"/>
    <col min="490" max="490" width="11.6640625" customWidth="1"/>
    <col min="491" max="491" width="19.5546875" bestFit="1" customWidth="1"/>
    <col min="500" max="500" width="16.88671875" customWidth="1"/>
  </cols>
  <sheetData>
    <row r="1" spans="1:500">
      <c r="AQ1" s="887"/>
      <c r="AR1" s="887"/>
      <c r="AW1" s="887"/>
      <c r="AX1" s="887"/>
      <c r="BF1" s="887"/>
      <c r="BG1" s="887"/>
      <c r="BI1" s="887"/>
      <c r="BJ1" s="887"/>
      <c r="BO1" s="887"/>
      <c r="BP1" s="887"/>
      <c r="BR1" s="887"/>
      <c r="BS1" s="887"/>
      <c r="CI1" s="1">
        <f>CE28+CB28</f>
        <v>0</v>
      </c>
      <c r="ED1" s="28"/>
      <c r="EJ1" s="281"/>
      <c r="GM1">
        <v>6835.7999999999993</v>
      </c>
      <c r="GO1" s="314"/>
      <c r="HH1" s="1">
        <v>89.9</v>
      </c>
      <c r="IJ1" s="1692"/>
      <c r="JH1" s="106"/>
      <c r="JI1" s="106"/>
      <c r="JJ1" s="106"/>
      <c r="LM1" s="106"/>
      <c r="ND1" s="98"/>
      <c r="NE1" s="98"/>
      <c r="NF1" s="145"/>
      <c r="NK1" s="1"/>
      <c r="NO1" s="1"/>
      <c r="OI1" s="72"/>
      <c r="PO1" s="1"/>
      <c r="PR1" s="1"/>
      <c r="RW1" s="1"/>
    </row>
    <row r="2" spans="1:500">
      <c r="BS2" s="1"/>
      <c r="BV2" s="1"/>
      <c r="CE2" s="1"/>
      <c r="DE2">
        <v>214.42</v>
      </c>
      <c r="DM2" s="852"/>
      <c r="DQ2" s="25"/>
      <c r="EG2" s="281"/>
      <c r="EH2" s="281"/>
      <c r="GO2" s="314"/>
      <c r="IY2" s="106"/>
      <c r="LZ2">
        <v>3250.7799999997887</v>
      </c>
      <c r="ND2" s="145"/>
      <c r="NE2" s="98"/>
      <c r="NH2" s="1"/>
      <c r="NL2" s="98"/>
      <c r="NM2" s="98"/>
      <c r="NN2" s="98"/>
      <c r="NQ2" s="1"/>
      <c r="NU2" s="1"/>
      <c r="OO2" s="1"/>
      <c r="OR2" s="1"/>
      <c r="PI2">
        <v>2299.4900000000002</v>
      </c>
      <c r="QL2" t="s">
        <v>209</v>
      </c>
      <c r="RW2" s="1"/>
    </row>
    <row r="3" spans="1:500">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489"/>
      <c r="AR3" s="489"/>
      <c r="AS3" s="145"/>
      <c r="AT3" s="489"/>
      <c r="AU3" s="489"/>
      <c r="AV3" s="145"/>
      <c r="AW3" s="489"/>
      <c r="AX3" s="489"/>
      <c r="AY3" s="145"/>
      <c r="AZ3" s="145"/>
      <c r="BA3" s="145"/>
      <c r="BB3" s="145"/>
      <c r="BC3" s="145"/>
      <c r="BD3" s="145"/>
      <c r="BE3" s="145"/>
      <c r="BF3" s="489"/>
      <c r="BG3" s="489"/>
      <c r="BH3" s="145"/>
      <c r="BI3" s="489"/>
      <c r="BJ3" s="489"/>
      <c r="BK3" s="145"/>
      <c r="BL3" s="489"/>
      <c r="BM3" s="489"/>
      <c r="BN3" s="145"/>
      <c r="BO3" s="489"/>
      <c r="BP3" s="489"/>
      <c r="BQ3" s="145"/>
      <c r="BR3" s="489"/>
      <c r="BS3" s="489"/>
      <c r="BT3" s="145"/>
      <c r="BU3" s="489"/>
      <c r="BV3" s="489"/>
      <c r="BW3" s="145"/>
      <c r="BX3" s="489"/>
      <c r="BY3" s="489"/>
      <c r="BZ3" s="145"/>
      <c r="CA3" s="489"/>
      <c r="CB3" s="489">
        <f>CB43/31</f>
        <v>0</v>
      </c>
      <c r="CC3" s="145"/>
      <c r="CD3" s="489">
        <f>CD43/31</f>
        <v>0</v>
      </c>
      <c r="CE3" s="489">
        <f>CE43/31</f>
        <v>0</v>
      </c>
      <c r="CF3" s="145"/>
      <c r="CG3" s="145"/>
      <c r="CH3" s="145"/>
      <c r="CI3" s="145"/>
      <c r="CJ3" s="145"/>
      <c r="CK3" s="145"/>
      <c r="CL3" s="145"/>
      <c r="CM3" s="145"/>
      <c r="CN3" s="145"/>
      <c r="CO3" s="145"/>
      <c r="DM3" s="95"/>
      <c r="DO3" s="95"/>
      <c r="EE3" s="1"/>
      <c r="EF3" s="1"/>
      <c r="GO3" s="314"/>
      <c r="ND3" s="145">
        <v>10013.654684596553</v>
      </c>
      <c r="NE3" s="98"/>
      <c r="NH3" s="1"/>
      <c r="NR3" s="1"/>
      <c r="NY3" s="1"/>
      <c r="OC3" s="1"/>
      <c r="RW3" s="1"/>
    </row>
    <row r="4" spans="1:500" s="39" customFormat="1" ht="36" customHeight="1">
      <c r="B4" s="2625" t="s">
        <v>103</v>
      </c>
      <c r="C4" s="2692" t="s">
        <v>104</v>
      </c>
      <c r="D4" s="2693"/>
      <c r="E4" s="2693"/>
      <c r="F4" s="2693"/>
      <c r="G4" s="2693"/>
      <c r="H4" s="2693"/>
      <c r="I4" s="2693"/>
      <c r="J4" s="2693"/>
      <c r="K4" s="2693"/>
      <c r="L4" s="2693"/>
      <c r="M4" s="2693"/>
      <c r="N4" s="2693"/>
      <c r="O4" s="2693"/>
      <c r="P4" s="2693"/>
      <c r="Q4" s="2693"/>
      <c r="R4" s="2693"/>
      <c r="S4" s="2693"/>
      <c r="T4" s="2693"/>
      <c r="U4" s="2693"/>
      <c r="V4" s="2693"/>
      <c r="W4" s="2693"/>
      <c r="X4" s="2693"/>
      <c r="Y4" s="2693"/>
      <c r="Z4" s="2693"/>
      <c r="AA4" s="2693"/>
      <c r="AB4" s="2693"/>
      <c r="AC4" s="2693"/>
      <c r="AD4" s="2693"/>
      <c r="AE4" s="2693"/>
      <c r="AF4" s="2693"/>
      <c r="AG4" s="2693"/>
      <c r="AH4" s="2693"/>
      <c r="AI4" s="2693"/>
      <c r="AJ4" s="2693"/>
      <c r="AK4" s="2693"/>
      <c r="AL4" s="2693"/>
      <c r="AM4" s="2693"/>
      <c r="AN4" s="2693"/>
      <c r="AO4" s="2693"/>
      <c r="AP4" s="2693"/>
      <c r="AQ4" s="2693"/>
      <c r="AR4" s="2693"/>
      <c r="AS4" s="2693"/>
      <c r="AT4" s="2693"/>
      <c r="AU4" s="2693"/>
      <c r="AV4" s="2693"/>
      <c r="AW4" s="2693"/>
      <c r="AX4" s="2693"/>
      <c r="AY4" s="2693"/>
      <c r="AZ4" s="2693"/>
      <c r="BA4" s="2693"/>
      <c r="BB4" s="2693"/>
      <c r="BC4" s="2693"/>
      <c r="BD4" s="2693"/>
      <c r="BE4" s="2693"/>
      <c r="BF4" s="2693"/>
      <c r="BG4" s="2693"/>
      <c r="BH4" s="2693"/>
      <c r="BI4" s="2693"/>
      <c r="BJ4" s="2693"/>
      <c r="BK4" s="2693"/>
      <c r="BL4" s="2693"/>
      <c r="BM4" s="2693"/>
      <c r="BN4" s="2693"/>
      <c r="BO4" s="2693"/>
      <c r="BP4" s="2693"/>
      <c r="BQ4" s="2693"/>
      <c r="BR4" s="2693"/>
      <c r="BS4" s="2693"/>
      <c r="BT4" s="2693"/>
      <c r="BU4" s="2693"/>
      <c r="BV4" s="2693"/>
      <c r="BW4" s="2693"/>
      <c r="BX4" s="2693"/>
      <c r="BY4" s="2693"/>
      <c r="BZ4" s="2693"/>
      <c r="CA4" s="2693"/>
      <c r="CB4" s="2693"/>
      <c r="CC4" s="2693"/>
      <c r="CD4" s="2693"/>
      <c r="CE4" s="2693"/>
      <c r="CF4" s="2693"/>
      <c r="CG4" s="2693"/>
      <c r="CH4" s="2693"/>
      <c r="CI4" s="2693"/>
      <c r="CJ4" s="2693"/>
      <c r="CK4" s="2693"/>
      <c r="CL4" s="2693"/>
      <c r="CM4" s="2693"/>
      <c r="CN4" s="2693"/>
      <c r="CO4" s="2694"/>
      <c r="CQ4" s="2646" t="s">
        <v>105</v>
      </c>
      <c r="CR4" s="2647"/>
      <c r="CS4" s="2647"/>
      <c r="CT4" s="2647"/>
      <c r="CU4" s="2647"/>
      <c r="CV4" s="2647"/>
      <c r="CW4" s="2647"/>
      <c r="CX4" s="2647"/>
      <c r="CY4" s="2647"/>
      <c r="CZ4" s="2647"/>
      <c r="DA4" s="2647"/>
      <c r="DB4" s="2647"/>
      <c r="DC4" s="2647"/>
      <c r="DD4" s="2647"/>
      <c r="DE4" s="2647"/>
      <c r="DF4" s="2647"/>
      <c r="DG4" s="2647"/>
      <c r="DH4" s="2647"/>
      <c r="DI4" s="2647"/>
      <c r="DJ4" s="2647"/>
      <c r="DK4" s="2647"/>
      <c r="DL4" s="2647"/>
      <c r="DM4" s="2647"/>
      <c r="DN4" s="2647"/>
      <c r="DO4" s="2647"/>
      <c r="DP4" s="2647"/>
      <c r="DQ4" s="2647"/>
      <c r="DR4" s="2647"/>
      <c r="DS4" s="2647"/>
      <c r="DT4" s="2647"/>
      <c r="DU4" s="2647"/>
      <c r="DV4" s="2647"/>
      <c r="DW4" s="2647"/>
      <c r="DX4" s="2647"/>
      <c r="DY4" s="2647"/>
      <c r="DZ4" s="2647"/>
      <c r="EA4" s="2647"/>
      <c r="EB4" s="2647"/>
      <c r="EC4" s="2647"/>
      <c r="ED4" s="2647"/>
      <c r="EE4" s="2647"/>
      <c r="EF4" s="2647"/>
      <c r="EG4" s="2647"/>
      <c r="EH4" s="2647"/>
      <c r="EI4" s="2647"/>
      <c r="EJ4" s="2647"/>
      <c r="EK4" s="2647"/>
      <c r="EL4" s="2647"/>
      <c r="EM4" s="2647"/>
      <c r="EN4" s="2647"/>
      <c r="EO4" s="2647"/>
      <c r="EP4" s="2647"/>
      <c r="EQ4" s="2647"/>
      <c r="ER4" s="2647"/>
      <c r="ES4" s="2647"/>
      <c r="ET4" s="2647"/>
      <c r="EU4" s="2647"/>
      <c r="EV4" s="2647"/>
      <c r="EW4" s="2647"/>
      <c r="EX4" s="2647"/>
      <c r="EY4" s="2648"/>
      <c r="FA4" s="2649" t="s">
        <v>106</v>
      </c>
      <c r="FB4" s="2650"/>
      <c r="FC4" s="2650"/>
      <c r="FD4" s="2650"/>
      <c r="FE4" s="2650"/>
      <c r="FF4" s="2650"/>
      <c r="FG4" s="2650"/>
      <c r="FH4" s="2650"/>
      <c r="FI4" s="2650"/>
      <c r="FJ4" s="2650"/>
      <c r="FK4" s="2650"/>
      <c r="FL4" s="2650"/>
      <c r="FM4" s="2650"/>
      <c r="FN4" s="2650"/>
      <c r="FO4" s="2650"/>
      <c r="FP4" s="2650"/>
      <c r="FQ4" s="2650"/>
      <c r="FR4" s="2650"/>
      <c r="FS4" s="2650"/>
      <c r="FT4" s="2650"/>
      <c r="FU4" s="2650"/>
      <c r="FV4" s="2650"/>
      <c r="FW4" s="2650"/>
      <c r="FX4" s="2650"/>
      <c r="FY4" s="2650"/>
      <c r="FZ4" s="2650"/>
      <c r="GA4" s="2650"/>
      <c r="GB4" s="2650"/>
      <c r="GC4" s="2650"/>
      <c r="GD4" s="2650"/>
      <c r="GE4" s="2650"/>
      <c r="GF4" s="2650"/>
      <c r="GG4" s="2650"/>
      <c r="GH4" s="2651"/>
      <c r="GJ4" s="2652" t="s">
        <v>22</v>
      </c>
      <c r="GK4" s="2653"/>
      <c r="GL4" s="2653"/>
      <c r="GM4" s="2653"/>
      <c r="GN4" s="2653"/>
      <c r="GO4" s="2653"/>
      <c r="GP4" s="2653"/>
      <c r="GQ4" s="2653"/>
      <c r="GR4" s="2653"/>
      <c r="GS4" s="2653"/>
      <c r="GT4" s="2653"/>
      <c r="GU4" s="2653"/>
      <c r="GV4" s="2653"/>
      <c r="GW4" s="2653"/>
      <c r="GX4" s="2653"/>
      <c r="GY4" s="2653"/>
      <c r="GZ4" s="2653"/>
      <c r="HA4" s="2653"/>
      <c r="HB4" s="2653"/>
      <c r="HC4" s="2653"/>
      <c r="HD4" s="2653"/>
      <c r="HE4" s="2653"/>
      <c r="HF4" s="2653"/>
      <c r="HG4" s="2653"/>
      <c r="HH4" s="2653"/>
      <c r="HI4" s="2653"/>
      <c r="HJ4" s="2653"/>
      <c r="HK4" s="2653"/>
      <c r="HL4" s="2653"/>
      <c r="HM4" s="2653"/>
      <c r="HN4" s="2653"/>
      <c r="HO4" s="2653"/>
      <c r="HP4" s="2653"/>
      <c r="HQ4" s="2653"/>
      <c r="HR4" s="2653"/>
      <c r="HS4" s="2653"/>
      <c r="HT4" s="2653"/>
      <c r="HU4" s="2653"/>
      <c r="HV4" s="2653"/>
      <c r="HW4" s="2653"/>
      <c r="HX4" s="2653"/>
      <c r="HY4" s="2653"/>
      <c r="HZ4" s="2653"/>
      <c r="IA4" s="2653"/>
      <c r="IB4" s="2653"/>
      <c r="IC4" s="2653"/>
      <c r="ID4" s="2653"/>
      <c r="IE4" s="2653"/>
      <c r="IF4" s="2653"/>
      <c r="IG4" s="2653"/>
      <c r="IH4" s="2653"/>
      <c r="II4" s="2653"/>
      <c r="IJ4" s="2653"/>
      <c r="IK4" s="2653"/>
      <c r="IL4" s="2653"/>
      <c r="IM4" s="2653"/>
      <c r="IN4" s="2653"/>
      <c r="IO4" s="2653"/>
      <c r="IP4" s="2653"/>
      <c r="IQ4" s="2653"/>
      <c r="IR4" s="2653"/>
      <c r="IS4" s="2653"/>
      <c r="IT4" s="2653"/>
      <c r="IU4" s="2653"/>
      <c r="IV4" s="2653"/>
      <c r="IW4" s="2653"/>
      <c r="IX4" s="2653"/>
      <c r="IY4" s="2653"/>
      <c r="IZ4" s="2653"/>
      <c r="JA4" s="2653"/>
      <c r="JB4" s="2653"/>
      <c r="JC4" s="2653"/>
      <c r="JD4" s="2653"/>
      <c r="JE4" s="2653"/>
      <c r="JF4" s="2654"/>
      <c r="JH4" s="2655" t="s">
        <v>107</v>
      </c>
      <c r="JI4" s="2656"/>
      <c r="JJ4" s="2656"/>
      <c r="JK4" s="2656"/>
      <c r="JL4" s="2656"/>
      <c r="JM4" s="2656"/>
      <c r="JN4" s="2656"/>
      <c r="JO4" s="2656"/>
      <c r="JP4" s="2656"/>
      <c r="JQ4" s="2656"/>
      <c r="JR4" s="2656"/>
      <c r="JS4" s="2656"/>
      <c r="JT4" s="2656"/>
      <c r="JU4" s="2656"/>
      <c r="JV4" s="2656"/>
      <c r="JW4" s="2656"/>
      <c r="JX4" s="2656"/>
      <c r="JY4" s="2656"/>
      <c r="JZ4" s="2656"/>
      <c r="KA4" s="2656"/>
      <c r="KB4" s="2656"/>
      <c r="KC4" s="2656"/>
      <c r="KD4" s="2656"/>
      <c r="KE4" s="2656"/>
      <c r="KF4" s="2656"/>
      <c r="KG4" s="2656"/>
      <c r="KH4" s="2656"/>
      <c r="KI4" s="2656"/>
      <c r="KJ4" s="2656"/>
      <c r="KK4" s="2656"/>
      <c r="KL4" s="2656"/>
      <c r="KM4" s="2656"/>
      <c r="KN4" s="2656"/>
      <c r="KO4" s="2656"/>
      <c r="KP4" s="2656"/>
      <c r="KQ4" s="2656"/>
      <c r="KR4" s="2656"/>
      <c r="KS4" s="2656"/>
      <c r="KT4" s="2656"/>
      <c r="KU4" s="2656"/>
      <c r="KV4" s="2656"/>
      <c r="KW4" s="2656"/>
      <c r="KX4" s="2656"/>
      <c r="KY4" s="2656"/>
      <c r="KZ4" s="2656"/>
      <c r="LA4" s="2656"/>
      <c r="LB4" s="2656"/>
      <c r="LC4" s="2656"/>
      <c r="LD4" s="2657"/>
      <c r="LF4" s="2658" t="s">
        <v>108</v>
      </c>
      <c r="LG4" s="2659"/>
      <c r="LH4" s="2659"/>
      <c r="LI4" s="2659"/>
      <c r="LJ4" s="2659"/>
      <c r="LK4" s="2659"/>
      <c r="LL4" s="2659"/>
      <c r="LM4" s="2659"/>
      <c r="LN4" s="2659"/>
      <c r="LO4" s="2659"/>
      <c r="LP4" s="2659"/>
      <c r="LQ4" s="2659"/>
      <c r="LR4" s="2659"/>
      <c r="LS4" s="2659"/>
      <c r="LT4" s="2659"/>
      <c r="LU4" s="2659"/>
      <c r="LV4" s="2659"/>
      <c r="LW4" s="2659"/>
      <c r="LX4" s="2659"/>
      <c r="LY4" s="2659"/>
      <c r="LZ4" s="2659"/>
      <c r="MA4" s="2659"/>
      <c r="MB4" s="2659"/>
      <c r="MC4" s="2659"/>
      <c r="MD4" s="2659"/>
      <c r="ME4" s="2659"/>
      <c r="MF4" s="2659"/>
      <c r="MG4" s="2659"/>
      <c r="MH4" s="2659"/>
      <c r="MI4" s="2659"/>
      <c r="MJ4" s="2659"/>
      <c r="MK4" s="2659"/>
      <c r="ML4" s="2659"/>
      <c r="MM4" s="2659"/>
      <c r="MN4" s="2659"/>
      <c r="MO4" s="2659"/>
      <c r="MP4" s="2659"/>
      <c r="MQ4" s="2659"/>
      <c r="MR4" s="2659"/>
      <c r="MS4" s="2659"/>
      <c r="MT4" s="2659"/>
      <c r="MU4" s="2660"/>
      <c r="MW4" s="2661"/>
      <c r="MX4" s="2662"/>
      <c r="MY4" s="2662"/>
      <c r="MZ4" s="2662"/>
      <c r="NA4" s="2662"/>
      <c r="NB4" s="2662"/>
      <c r="NC4" s="2662"/>
      <c r="ND4" s="2662"/>
      <c r="NE4" s="2662"/>
      <c r="NF4" s="2662"/>
      <c r="NG4" s="2662"/>
      <c r="NH4" s="2662"/>
      <c r="NI4" s="2662"/>
      <c r="NJ4" s="2662"/>
      <c r="NK4" s="2662"/>
      <c r="NL4" s="2662"/>
      <c r="NM4" s="2662"/>
      <c r="NN4" s="2662"/>
      <c r="NO4" s="2662"/>
      <c r="NP4" s="2662"/>
      <c r="NQ4" s="2662"/>
      <c r="NR4" s="2662"/>
      <c r="NS4" s="2662"/>
      <c r="NT4" s="2662"/>
      <c r="NU4" s="2662"/>
      <c r="NV4" s="2662"/>
      <c r="NW4" s="2662"/>
      <c r="NX4" s="2662"/>
      <c r="NY4" s="2662"/>
      <c r="NZ4" s="2662"/>
      <c r="OA4" s="2662"/>
      <c r="OB4" s="2662"/>
      <c r="OC4" s="2662"/>
      <c r="OD4" s="2662"/>
      <c r="OE4" s="2662"/>
      <c r="OF4" s="2662"/>
      <c r="OG4" s="2662"/>
      <c r="OH4" s="2662"/>
      <c r="OI4" s="2662"/>
      <c r="OJ4" s="2662"/>
      <c r="OK4" s="2662"/>
      <c r="OL4" s="2662"/>
      <c r="OM4" s="2662"/>
      <c r="ON4" s="2662"/>
      <c r="OO4" s="2662"/>
      <c r="OP4" s="2662"/>
      <c r="OQ4" s="2662"/>
      <c r="OR4" s="2662"/>
      <c r="OS4" s="2662"/>
      <c r="OT4" s="2662"/>
      <c r="OU4" s="2662"/>
      <c r="OV4" s="2662"/>
      <c r="OW4" s="2662"/>
      <c r="OX4" s="2662"/>
      <c r="OY4" s="2662"/>
      <c r="OZ4" s="2662"/>
      <c r="PA4" s="2662"/>
      <c r="PB4" s="2662"/>
      <c r="PC4" s="2662"/>
      <c r="PD4" s="2662"/>
      <c r="PE4" s="2662"/>
      <c r="PF4" s="2662"/>
      <c r="PG4" s="2663"/>
      <c r="PI4" s="2664" t="s">
        <v>110</v>
      </c>
      <c r="PJ4" s="2665"/>
      <c r="PK4" s="2665"/>
      <c r="PL4" s="2665"/>
      <c r="PM4" s="2665"/>
      <c r="PN4" s="2665"/>
      <c r="PO4" s="2665"/>
      <c r="PP4" s="2666"/>
      <c r="PR4" s="2677" t="s">
        <v>30</v>
      </c>
      <c r="PS4" s="2678"/>
      <c r="PT4" s="2678"/>
      <c r="PU4" s="2678"/>
      <c r="PV4" s="2678"/>
      <c r="PW4" s="2678"/>
      <c r="PX4" s="2678"/>
      <c r="PY4" s="2678"/>
      <c r="PZ4" s="2678"/>
      <c r="QA4" s="2678"/>
      <c r="QB4" s="2678"/>
      <c r="QC4" s="2678"/>
      <c r="QD4" s="2678"/>
      <c r="QE4" s="2678"/>
      <c r="QF4" s="2678"/>
      <c r="QG4" s="2678"/>
      <c r="QH4" s="2678"/>
      <c r="QI4" s="2678"/>
      <c r="QJ4" s="2679"/>
      <c r="RW4" s="1068"/>
    </row>
    <row r="5" spans="1:500" s="40" customFormat="1" ht="12.75" customHeight="1">
      <c r="B5" s="2626"/>
      <c r="C5" s="2624" t="s">
        <v>111</v>
      </c>
      <c r="D5" s="2628"/>
      <c r="E5" s="2628"/>
      <c r="F5" s="2628"/>
      <c r="G5" s="2628"/>
      <c r="H5" s="2628"/>
      <c r="I5" s="2628"/>
      <c r="J5" s="2628"/>
      <c r="K5" s="2628"/>
      <c r="L5" s="2628"/>
      <c r="M5" s="2628"/>
      <c r="N5" s="2629"/>
      <c r="O5" s="2631" t="s">
        <v>112</v>
      </c>
      <c r="P5" s="2623"/>
      <c r="Q5" s="2623"/>
      <c r="R5" s="2623"/>
      <c r="S5" s="2623"/>
      <c r="T5" s="2623"/>
      <c r="U5" s="2623"/>
      <c r="V5" s="2623"/>
      <c r="W5" s="2623"/>
      <c r="X5" s="2623"/>
      <c r="Y5" s="2623"/>
      <c r="Z5" s="2623"/>
      <c r="AA5" s="2623"/>
      <c r="AB5" s="2623"/>
      <c r="AC5" s="2623"/>
      <c r="AD5" s="2623"/>
      <c r="AE5" s="2623"/>
      <c r="AF5" s="2623"/>
      <c r="AG5" s="2623"/>
      <c r="AH5" s="2623"/>
      <c r="AI5" s="2623"/>
      <c r="AJ5" s="2623"/>
      <c r="AK5" s="2623"/>
      <c r="AL5" s="2624"/>
      <c r="AM5" s="2629"/>
      <c r="AN5" s="2680" t="s">
        <v>113</v>
      </c>
      <c r="AO5" s="2681"/>
      <c r="AP5" s="2681"/>
      <c r="AQ5" s="2681"/>
      <c r="AR5" s="2681"/>
      <c r="AS5" s="2681"/>
      <c r="AT5" s="2681"/>
      <c r="AU5" s="2681"/>
      <c r="AV5" s="2681"/>
      <c r="AW5" s="2681"/>
      <c r="AX5" s="2681"/>
      <c r="AY5" s="2681"/>
      <c r="AZ5" s="2681"/>
      <c r="BA5" s="2681"/>
      <c r="BB5" s="2681"/>
      <c r="BC5" s="2681"/>
      <c r="BD5" s="2681"/>
      <c r="BE5" s="2681"/>
      <c r="BF5" s="2681"/>
      <c r="BG5" s="2681"/>
      <c r="BH5" s="2681"/>
      <c r="BI5" s="2681"/>
      <c r="BJ5" s="2681"/>
      <c r="BK5" s="2681"/>
      <c r="BL5" s="2681"/>
      <c r="BM5" s="2681"/>
      <c r="BN5" s="2681"/>
      <c r="BO5" s="2681"/>
      <c r="BP5" s="2681"/>
      <c r="BQ5" s="2681"/>
      <c r="BR5" s="2681"/>
      <c r="BS5" s="2681"/>
      <c r="BT5" s="2681"/>
      <c r="BU5" s="2681"/>
      <c r="BV5" s="2681"/>
      <c r="BW5" s="2681"/>
      <c r="BX5" s="2681"/>
      <c r="BY5" s="2681"/>
      <c r="BZ5" s="2681"/>
      <c r="CA5" s="2681"/>
      <c r="CB5" s="2681"/>
      <c r="CC5" s="2681"/>
      <c r="CD5" s="2681"/>
      <c r="CE5" s="2681"/>
      <c r="CF5" s="2682"/>
      <c r="CG5" s="147"/>
      <c r="CH5" s="2633" t="s">
        <v>114</v>
      </c>
      <c r="CI5" s="2635"/>
      <c r="CJ5" s="2635"/>
      <c r="CK5" s="2635"/>
      <c r="CL5" s="2635"/>
      <c r="CM5" s="2635"/>
      <c r="CN5" s="2634"/>
      <c r="CO5" s="348" t="s">
        <v>210</v>
      </c>
      <c r="CP5" s="41"/>
      <c r="CQ5" s="2623" t="s">
        <v>111</v>
      </c>
      <c r="CR5" s="2623"/>
      <c r="CS5" s="2623"/>
      <c r="CT5" s="2623"/>
      <c r="CU5" s="2623"/>
      <c r="CV5" s="2623"/>
      <c r="CW5" s="2623"/>
      <c r="CX5" s="2623"/>
      <c r="CY5" s="2623"/>
      <c r="CZ5" s="2623"/>
      <c r="DA5" s="2623"/>
      <c r="DB5" s="2624"/>
      <c r="DC5" s="2624"/>
      <c r="DD5" s="2685"/>
      <c r="DE5" s="2624" t="s">
        <v>115</v>
      </c>
      <c r="DF5" s="2628"/>
      <c r="DG5" s="2628"/>
      <c r="DH5" s="2628"/>
      <c r="DI5" s="2628"/>
      <c r="DJ5" s="2628"/>
      <c r="DK5" s="2628"/>
      <c r="DL5" s="2628"/>
      <c r="DM5" s="2628"/>
      <c r="DN5" s="2628"/>
      <c r="DO5" s="2628"/>
      <c r="DP5" s="2628"/>
      <c r="DQ5" s="2628"/>
      <c r="DR5" s="2628"/>
      <c r="DS5" s="2628"/>
      <c r="DT5" s="2628"/>
      <c r="DU5" s="2628"/>
      <c r="DV5" s="2628"/>
      <c r="DW5" s="2628"/>
      <c r="DX5" s="2628"/>
      <c r="DY5" s="2628"/>
      <c r="DZ5" s="2628"/>
      <c r="EA5" s="2628"/>
      <c r="EB5" s="2628"/>
      <c r="EC5" s="2628"/>
      <c r="ED5" s="2628"/>
      <c r="EE5" s="2628"/>
      <c r="EF5" s="2628"/>
      <c r="EG5" s="2628"/>
      <c r="EH5" s="2628"/>
      <c r="EI5" s="2628"/>
      <c r="EJ5" s="2628"/>
      <c r="EK5" s="2628"/>
      <c r="EL5" s="2628"/>
      <c r="EM5" s="2628"/>
      <c r="EN5" s="2628"/>
      <c r="EO5" s="2628"/>
      <c r="EP5" s="2628"/>
      <c r="EQ5" s="2628"/>
      <c r="ER5" s="2628"/>
      <c r="ES5" s="2628"/>
      <c r="ET5" s="2628"/>
      <c r="EU5" s="2628"/>
      <c r="EV5" s="2628"/>
      <c r="EW5" s="2628"/>
      <c r="EX5" s="2631"/>
      <c r="EY5" s="2685"/>
      <c r="FA5" s="2624" t="s">
        <v>111</v>
      </c>
      <c r="FB5" s="2628"/>
      <c r="FC5" s="2628"/>
      <c r="FD5" s="2628"/>
      <c r="FE5" s="2631"/>
      <c r="FF5" s="2674"/>
      <c r="FG5" s="2631" t="s">
        <v>116</v>
      </c>
      <c r="FH5" s="2623"/>
      <c r="FI5" s="2623"/>
      <c r="FJ5" s="2623"/>
      <c r="FK5" s="2623"/>
      <c r="FL5" s="2623"/>
      <c r="FM5" s="2623"/>
      <c r="FN5" s="2623"/>
      <c r="FO5" s="2623"/>
      <c r="FP5" s="2623"/>
      <c r="FQ5" s="2623"/>
      <c r="FR5" s="2623"/>
      <c r="FS5" s="2623"/>
      <c r="FT5" s="2623"/>
      <c r="FU5" s="2623"/>
      <c r="FV5" s="2623"/>
      <c r="FW5" s="2623"/>
      <c r="FX5" s="2623"/>
      <c r="FY5" s="2623"/>
      <c r="FZ5" s="2623"/>
      <c r="GA5" s="2623"/>
      <c r="GB5" s="2623"/>
      <c r="GC5" s="2623"/>
      <c r="GD5" s="2623"/>
      <c r="GE5" s="2623"/>
      <c r="GF5" s="2624"/>
      <c r="GG5" s="2624"/>
      <c r="GH5" s="2674"/>
      <c r="GJ5" s="2623" t="s">
        <v>111</v>
      </c>
      <c r="GK5" s="2623"/>
      <c r="GL5" s="2623"/>
      <c r="GM5" s="2623"/>
      <c r="GN5" s="2623"/>
      <c r="GO5" s="2623"/>
      <c r="GP5" s="2624"/>
      <c r="GQ5" s="2667"/>
      <c r="GR5" s="2631" t="s">
        <v>112</v>
      </c>
      <c r="GS5" s="2623"/>
      <c r="GT5" s="2623"/>
      <c r="GU5" s="2623"/>
      <c r="GV5" s="2624"/>
      <c r="GW5" s="2667"/>
      <c r="GX5" s="2631" t="s">
        <v>117</v>
      </c>
      <c r="GY5" s="2631"/>
      <c r="GZ5" s="2623"/>
      <c r="HA5" s="2623"/>
      <c r="HB5" s="2623"/>
      <c r="HC5" s="2623"/>
      <c r="HD5" s="2623"/>
      <c r="HE5" s="2623"/>
      <c r="HF5" s="2623"/>
      <c r="HG5" s="2623"/>
      <c r="HH5" s="2623"/>
      <c r="HI5" s="2623"/>
      <c r="HJ5" s="2623"/>
      <c r="HK5" s="2623"/>
      <c r="HL5" s="2623"/>
      <c r="HM5" s="2623"/>
      <c r="HN5" s="2623"/>
      <c r="HO5" s="2623"/>
      <c r="HP5" s="2623"/>
      <c r="HQ5" s="2623"/>
      <c r="HR5" s="2623"/>
      <c r="HS5" s="2623"/>
      <c r="HT5" s="2623"/>
      <c r="HU5" s="2623"/>
      <c r="HV5" s="2623"/>
      <c r="HW5" s="2623"/>
      <c r="HX5" s="2623"/>
      <c r="HY5" s="2623"/>
      <c r="HZ5" s="2623"/>
      <c r="IA5" s="2623"/>
      <c r="IB5" s="2623"/>
      <c r="IC5" s="2623"/>
      <c r="ID5" s="2623"/>
      <c r="IE5" s="2623"/>
      <c r="IF5" s="2623"/>
      <c r="IG5" s="2623"/>
      <c r="IH5" s="2623"/>
      <c r="II5" s="2623"/>
      <c r="IJ5" s="2623"/>
      <c r="IK5" s="2623"/>
      <c r="IL5" s="2623"/>
      <c r="IM5" s="2623"/>
      <c r="IN5" s="2623"/>
      <c r="IO5" s="2623"/>
      <c r="IP5" s="2623"/>
      <c r="IQ5" s="2623"/>
      <c r="IR5" s="2623"/>
      <c r="IS5" s="2623"/>
      <c r="IT5" s="2623"/>
      <c r="IU5" s="2623"/>
      <c r="IV5" s="2623"/>
      <c r="IW5" s="2623"/>
      <c r="IX5" s="2623"/>
      <c r="IY5" s="2623"/>
      <c r="IZ5" s="2623"/>
      <c r="JA5" s="2623"/>
      <c r="JB5" s="2623"/>
      <c r="JC5" s="2623"/>
      <c r="JD5" s="2623"/>
      <c r="JE5" s="2624"/>
      <c r="JF5" s="2667"/>
      <c r="JH5" s="2623" t="s">
        <v>111</v>
      </c>
      <c r="JI5" s="2623"/>
      <c r="JJ5" s="2623"/>
      <c r="JK5" s="2623"/>
      <c r="JL5" s="2624"/>
      <c r="JM5" s="2669"/>
      <c r="JN5" s="2631" t="s">
        <v>118</v>
      </c>
      <c r="JO5" s="2623"/>
      <c r="JP5" s="2623"/>
      <c r="JQ5" s="2623"/>
      <c r="JR5" s="2623"/>
      <c r="JS5" s="2623"/>
      <c r="JT5" s="2623"/>
      <c r="JU5" s="2623"/>
      <c r="JV5" s="2623"/>
      <c r="JW5" s="2623"/>
      <c r="JX5" s="2623"/>
      <c r="JY5" s="2623"/>
      <c r="JZ5" s="2623"/>
      <c r="KA5" s="2623"/>
      <c r="KB5" s="2623"/>
      <c r="KC5" s="2623"/>
      <c r="KD5" s="2623"/>
      <c r="KE5" s="2623"/>
      <c r="KF5" s="2623"/>
      <c r="KG5" s="2623"/>
      <c r="KH5" s="2623"/>
      <c r="KI5" s="2623"/>
      <c r="KJ5" s="2623"/>
      <c r="KK5" s="2623"/>
      <c r="KL5" s="2624"/>
      <c r="KM5" s="2669"/>
      <c r="KN5" s="2631" t="s">
        <v>119</v>
      </c>
      <c r="KO5" s="2623"/>
      <c r="KP5" s="2623"/>
      <c r="KQ5" s="2623"/>
      <c r="KR5" s="2623"/>
      <c r="KS5" s="2623"/>
      <c r="KT5" s="2623"/>
      <c r="KU5" s="2623"/>
      <c r="KV5" s="2623"/>
      <c r="KW5" s="2623"/>
      <c r="KX5" s="2623"/>
      <c r="KY5" s="2623"/>
      <c r="KZ5" s="2623"/>
      <c r="LA5" s="2623"/>
      <c r="LB5" s="2623"/>
      <c r="LC5" s="2624"/>
      <c r="LD5" s="2669"/>
      <c r="LF5" s="2623" t="s">
        <v>111</v>
      </c>
      <c r="LG5" s="2623"/>
      <c r="LH5" s="2623"/>
      <c r="LI5" s="2623"/>
      <c r="LJ5" s="2623"/>
      <c r="LK5" s="2623"/>
      <c r="LL5" s="2623"/>
      <c r="LM5" s="2623"/>
      <c r="LN5" s="2623"/>
      <c r="LO5" s="2624"/>
      <c r="LP5" s="2688"/>
      <c r="LQ5" s="2631" t="s">
        <v>120</v>
      </c>
      <c r="LR5" s="2631"/>
      <c r="LS5" s="2623"/>
      <c r="LT5" s="2623"/>
      <c r="LU5" s="2623"/>
      <c r="LV5" s="2623"/>
      <c r="LW5" s="2623"/>
      <c r="LX5" s="2623"/>
      <c r="LY5" s="2623"/>
      <c r="LZ5" s="2623"/>
      <c r="MA5" s="2623"/>
      <c r="MB5" s="2623"/>
      <c r="MC5" s="2623"/>
      <c r="MD5" s="2623"/>
      <c r="ME5" s="2623"/>
      <c r="MF5" s="2623"/>
      <c r="MG5" s="2623"/>
      <c r="MH5" s="2623"/>
      <c r="MI5" s="2623"/>
      <c r="MJ5" s="2623"/>
      <c r="MK5" s="2623"/>
      <c r="ML5" s="2623"/>
      <c r="MM5" s="2623"/>
      <c r="MN5" s="2623"/>
      <c r="MO5" s="2623"/>
      <c r="MP5" s="2623"/>
      <c r="MQ5" s="2623"/>
      <c r="MR5" s="2623"/>
      <c r="MS5" s="2623"/>
      <c r="MT5" s="2624"/>
      <c r="MU5" s="2688"/>
      <c r="MW5" s="2623" t="s">
        <v>111</v>
      </c>
      <c r="MX5" s="2623"/>
      <c r="MY5" s="2623"/>
      <c r="MZ5" s="2624"/>
      <c r="NA5" s="2621"/>
      <c r="NB5" s="2631" t="s">
        <v>121</v>
      </c>
      <c r="NC5" s="2631"/>
      <c r="ND5" s="2623"/>
      <c r="NE5" s="2623"/>
      <c r="NF5" s="2623"/>
      <c r="NG5" s="2623"/>
      <c r="NH5" s="2623"/>
      <c r="NI5" s="2623"/>
      <c r="NJ5" s="2623"/>
      <c r="NK5" s="2623"/>
      <c r="NL5" s="2623"/>
      <c r="NM5" s="2623"/>
      <c r="NN5" s="2623"/>
      <c r="NO5" s="2623"/>
      <c r="NP5" s="2623"/>
      <c r="NQ5" s="2623"/>
      <c r="NR5" s="2623"/>
      <c r="NS5" s="2623"/>
      <c r="NT5" s="2623"/>
      <c r="NU5" s="2623"/>
      <c r="NV5" s="2623"/>
      <c r="NW5" s="2623"/>
      <c r="NX5" s="2623"/>
      <c r="NY5" s="2623"/>
      <c r="NZ5" s="2623"/>
      <c r="OA5" s="2623"/>
      <c r="OB5" s="2623"/>
      <c r="OC5" s="2623"/>
      <c r="OD5" s="2623"/>
      <c r="OE5" s="2623"/>
      <c r="OF5" s="2623"/>
      <c r="OG5" s="2623"/>
      <c r="OH5" s="2623"/>
      <c r="OI5" s="2623"/>
      <c r="OJ5" s="2623"/>
      <c r="OK5" s="2623"/>
      <c r="OL5" s="2623"/>
      <c r="OM5" s="2623"/>
      <c r="ON5" s="2623"/>
      <c r="OO5" s="2623"/>
      <c r="OP5" s="2623"/>
      <c r="OQ5" s="2623"/>
      <c r="OR5" s="2623"/>
      <c r="OS5" s="2623"/>
      <c r="OT5" s="2623"/>
      <c r="OU5" s="2623"/>
      <c r="OV5" s="2623"/>
      <c r="OW5" s="2623"/>
      <c r="OX5" s="2623"/>
      <c r="OY5" s="2623"/>
      <c r="OZ5" s="2623"/>
      <c r="PA5" s="2623"/>
      <c r="PB5" s="2623"/>
      <c r="PC5" s="2623"/>
      <c r="PD5" s="2623"/>
      <c r="PE5" s="2623"/>
      <c r="PF5" s="2624"/>
      <c r="PG5" s="2621"/>
      <c r="PI5" s="2623" t="s">
        <v>111</v>
      </c>
      <c r="PJ5" s="2623"/>
      <c r="PK5" s="2623"/>
      <c r="PL5" s="2623"/>
      <c r="PM5" s="2623"/>
      <c r="PN5" s="2624"/>
      <c r="PO5" s="2624"/>
      <c r="PP5" s="2615"/>
      <c r="PR5" s="2633" t="s">
        <v>211</v>
      </c>
      <c r="PS5" s="2635"/>
      <c r="PT5" s="2635"/>
      <c r="PU5" s="2635"/>
      <c r="PV5" s="2635"/>
      <c r="PW5" s="2635"/>
      <c r="PX5" s="2635"/>
      <c r="PY5" s="2635"/>
      <c r="PZ5" s="2635"/>
      <c r="QA5" s="2635"/>
      <c r="QB5" s="2635"/>
      <c r="QC5" s="2635"/>
      <c r="QD5" s="2635"/>
      <c r="QE5" s="2635"/>
      <c r="QF5" s="2635"/>
      <c r="QG5" s="2635"/>
      <c r="QH5" s="2635"/>
      <c r="QI5" s="2634"/>
      <c r="QJ5" s="2615"/>
      <c r="QL5" s="2617" t="s">
        <v>122</v>
      </c>
      <c r="QM5" s="2617"/>
      <c r="QO5" s="2617" t="s">
        <v>123</v>
      </c>
      <c r="QP5" s="2617"/>
      <c r="QR5" s="2618" t="s">
        <v>124</v>
      </c>
      <c r="QS5" s="2618"/>
      <c r="QT5" s="2618"/>
      <c r="QU5" s="2618"/>
      <c r="QV5" s="2618"/>
      <c r="QW5" s="2618"/>
      <c r="QX5" s="89"/>
      <c r="QY5" s="2618" t="s">
        <v>125</v>
      </c>
      <c r="QZ5" s="2618"/>
      <c r="RA5" s="2618"/>
      <c r="RB5" s="2618"/>
      <c r="RC5" s="2618"/>
      <c r="RD5" s="2618"/>
      <c r="RW5" s="1148"/>
    </row>
    <row r="6" spans="1:500" s="42" customFormat="1" ht="31.2" customHeight="1">
      <c r="B6" s="2626"/>
      <c r="C6" s="2632" t="s">
        <v>3</v>
      </c>
      <c r="D6" s="2632" t="s">
        <v>126</v>
      </c>
      <c r="E6" s="2632" t="s">
        <v>127</v>
      </c>
      <c r="F6" s="2633" t="s">
        <v>212</v>
      </c>
      <c r="G6" s="2634"/>
      <c r="H6" s="2633" t="s">
        <v>212</v>
      </c>
      <c r="I6" s="2634"/>
      <c r="J6" s="2633" t="s">
        <v>128</v>
      </c>
      <c r="K6" s="2634"/>
      <c r="L6" s="2633" t="s">
        <v>129</v>
      </c>
      <c r="M6" s="2635"/>
      <c r="N6" s="2629"/>
      <c r="O6" s="2636" t="s">
        <v>16</v>
      </c>
      <c r="P6" s="2637"/>
      <c r="Q6" s="2637"/>
      <c r="R6" s="2559"/>
      <c r="S6" s="2638" t="s">
        <v>17</v>
      </c>
      <c r="T6" s="2638"/>
      <c r="U6" s="2638"/>
      <c r="V6" s="2638"/>
      <c r="W6" s="2697" t="s">
        <v>213</v>
      </c>
      <c r="X6" s="2698"/>
      <c r="Y6" s="2698"/>
      <c r="Z6" s="2698"/>
      <c r="AA6" s="2699" t="s">
        <v>18</v>
      </c>
      <c r="AB6" s="2700"/>
      <c r="AC6" s="2700"/>
      <c r="AD6" s="2700"/>
      <c r="AE6" s="2701" t="s">
        <v>66</v>
      </c>
      <c r="AF6" s="2701"/>
      <c r="AG6" s="2701"/>
      <c r="AH6" s="2701"/>
      <c r="AI6" s="2640" t="s">
        <v>214</v>
      </c>
      <c r="AJ6" s="2640"/>
      <c r="AK6" s="2640"/>
      <c r="AL6" s="2641"/>
      <c r="AM6" s="2629"/>
      <c r="AN6" s="2636" t="s">
        <v>215</v>
      </c>
      <c r="AO6" s="2637"/>
      <c r="AP6" s="2637"/>
      <c r="AQ6" s="2637" t="s">
        <v>216</v>
      </c>
      <c r="AR6" s="2637"/>
      <c r="AS6" s="2637"/>
      <c r="AT6" s="2637" t="s">
        <v>217</v>
      </c>
      <c r="AU6" s="2637"/>
      <c r="AV6" s="2559"/>
      <c r="AW6" s="2637" t="s">
        <v>218</v>
      </c>
      <c r="AX6" s="2637"/>
      <c r="AY6" s="2637"/>
      <c r="AZ6" s="2637" t="s">
        <v>219</v>
      </c>
      <c r="BA6" s="2637"/>
      <c r="BB6" s="2637"/>
      <c r="BC6" s="2637" t="s">
        <v>220</v>
      </c>
      <c r="BD6" s="2637"/>
      <c r="BE6" s="2637"/>
      <c r="BF6" s="2638" t="s">
        <v>221</v>
      </c>
      <c r="BG6" s="2708"/>
      <c r="BH6" s="2709"/>
      <c r="BI6" s="2638" t="s">
        <v>222</v>
      </c>
      <c r="BJ6" s="2638"/>
      <c r="BK6" s="2638"/>
      <c r="BL6" s="2638" t="s">
        <v>223</v>
      </c>
      <c r="BM6" s="2638"/>
      <c r="BN6" s="2638"/>
      <c r="BO6" s="2706" t="s">
        <v>224</v>
      </c>
      <c r="BP6" s="2706"/>
      <c r="BQ6" s="2706"/>
      <c r="BR6" s="2698" t="s">
        <v>225</v>
      </c>
      <c r="BS6" s="2698"/>
      <c r="BT6" s="2698"/>
      <c r="BU6" s="2698" t="s">
        <v>226</v>
      </c>
      <c r="BV6" s="2707"/>
      <c r="BW6" s="2697"/>
      <c r="BX6" s="2638" t="s">
        <v>227</v>
      </c>
      <c r="BY6" s="2638"/>
      <c r="BZ6" s="2645"/>
      <c r="CA6" s="2698" t="s">
        <v>228</v>
      </c>
      <c r="CB6" s="2698"/>
      <c r="CC6" s="2710"/>
      <c r="CD6" s="2698" t="s">
        <v>229</v>
      </c>
      <c r="CE6" s="2698"/>
      <c r="CF6" s="2710"/>
      <c r="CG6" s="147"/>
      <c r="CH6" s="2634" t="s">
        <v>16</v>
      </c>
      <c r="CI6" s="2632" t="s">
        <v>17</v>
      </c>
      <c r="CJ6" s="2632" t="s">
        <v>18</v>
      </c>
      <c r="CK6" s="2632" t="s">
        <v>83</v>
      </c>
      <c r="CL6" s="2632" t="s">
        <v>130</v>
      </c>
      <c r="CM6" s="2671" t="s">
        <v>7</v>
      </c>
      <c r="CN6" s="2633" t="s">
        <v>145</v>
      </c>
      <c r="CO6" s="2632" t="s">
        <v>18</v>
      </c>
      <c r="CQ6" s="2632" t="s">
        <v>146</v>
      </c>
      <c r="CR6" s="2632" t="s">
        <v>230</v>
      </c>
      <c r="CS6" s="2632" t="s">
        <v>147</v>
      </c>
      <c r="CT6" s="2632" t="s">
        <v>231</v>
      </c>
      <c r="CU6" s="2632" t="s">
        <v>148</v>
      </c>
      <c r="CV6" s="2632" t="s">
        <v>232</v>
      </c>
      <c r="CW6" s="2632" t="s">
        <v>149</v>
      </c>
      <c r="CX6" s="2632" t="s">
        <v>233</v>
      </c>
      <c r="CY6" s="2632" t="s">
        <v>69</v>
      </c>
      <c r="CZ6" s="2632" t="s">
        <v>234</v>
      </c>
      <c r="DA6" s="2632" t="s">
        <v>71</v>
      </c>
      <c r="DB6" s="2632" t="s">
        <v>235</v>
      </c>
      <c r="DC6" s="2633" t="s">
        <v>7</v>
      </c>
      <c r="DD6" s="2685"/>
      <c r="DE6" s="2633" t="s">
        <v>236</v>
      </c>
      <c r="DF6" s="2635"/>
      <c r="DG6" s="2635"/>
      <c r="DH6" s="2635"/>
      <c r="DI6" s="2635"/>
      <c r="DJ6" s="2635"/>
      <c r="DK6" s="2635"/>
      <c r="DL6" s="2635"/>
      <c r="DM6" s="2635"/>
      <c r="DN6" s="2635"/>
      <c r="DO6" s="2635"/>
      <c r="DP6" s="1394"/>
      <c r="DQ6" s="2711" t="s">
        <v>151</v>
      </c>
      <c r="DR6" s="2633" t="s">
        <v>237</v>
      </c>
      <c r="DS6" s="2635"/>
      <c r="DT6" s="2635"/>
      <c r="DU6" s="2635"/>
      <c r="DV6" s="2635"/>
      <c r="DW6" s="2635"/>
      <c r="DX6" s="2635"/>
      <c r="DY6" s="2635"/>
      <c r="DZ6" s="2635"/>
      <c r="EA6" s="2635"/>
      <c r="EB6" s="2635"/>
      <c r="EC6" s="1394"/>
      <c r="ED6" s="2711" t="s">
        <v>151</v>
      </c>
      <c r="EE6" s="2633" t="s">
        <v>238</v>
      </c>
      <c r="EF6" s="2635"/>
      <c r="EG6" s="2635"/>
      <c r="EH6" s="2635"/>
      <c r="EI6" s="2635"/>
      <c r="EJ6" s="2635"/>
      <c r="EK6" s="2635"/>
      <c r="EL6" s="2635"/>
      <c r="EM6" s="2635"/>
      <c r="EN6" s="2635"/>
      <c r="EO6" s="2635"/>
      <c r="EP6" s="1394"/>
      <c r="EQ6" s="2711" t="s">
        <v>151</v>
      </c>
      <c r="ER6" s="2633" t="s">
        <v>154</v>
      </c>
      <c r="ES6" s="2635"/>
      <c r="ET6" s="2635"/>
      <c r="EU6" s="2635"/>
      <c r="EV6" s="2635"/>
      <c r="EW6" s="2635"/>
      <c r="EX6" s="2711" t="s">
        <v>151</v>
      </c>
      <c r="EY6" s="2685"/>
      <c r="FA6" s="2690" t="s">
        <v>239</v>
      </c>
      <c r="FB6" s="2690" t="s">
        <v>240</v>
      </c>
      <c r="FC6" s="2690" t="s">
        <v>241</v>
      </c>
      <c r="FD6" s="2671" t="s">
        <v>7</v>
      </c>
      <c r="FE6" s="2671" t="s">
        <v>145</v>
      </c>
      <c r="FF6" s="2674"/>
      <c r="FG6" s="2634" t="s">
        <v>158</v>
      </c>
      <c r="FH6" s="2632"/>
      <c r="FI6" s="2632"/>
      <c r="FJ6" s="2632"/>
      <c r="FK6" s="2632"/>
      <c r="FL6" s="2633"/>
      <c r="FM6" s="2676" t="s">
        <v>151</v>
      </c>
      <c r="FN6" s="2632" t="s">
        <v>159</v>
      </c>
      <c r="FO6" s="2632"/>
      <c r="FP6" s="2632"/>
      <c r="FQ6" s="2632"/>
      <c r="FR6" s="2632"/>
      <c r="FS6" s="2633"/>
      <c r="FT6" s="2676" t="s">
        <v>151</v>
      </c>
      <c r="FU6" s="2632" t="s">
        <v>660</v>
      </c>
      <c r="FV6" s="2632"/>
      <c r="FW6" s="2632"/>
      <c r="FX6" s="2632"/>
      <c r="FY6" s="2632"/>
      <c r="FZ6" s="2632"/>
      <c r="GA6" s="2632"/>
      <c r="GB6" s="2632"/>
      <c r="GC6" s="2632"/>
      <c r="GD6" s="2633"/>
      <c r="GE6" s="2633"/>
      <c r="GF6" s="1394"/>
      <c r="GG6" s="2673" t="s">
        <v>151</v>
      </c>
      <c r="GH6" s="2674"/>
      <c r="GJ6" s="2632" t="s">
        <v>161</v>
      </c>
      <c r="GK6" s="2632"/>
      <c r="GL6" s="2633"/>
      <c r="GM6" s="2634" t="s">
        <v>7</v>
      </c>
      <c r="GN6" s="181" t="s">
        <v>162</v>
      </c>
      <c r="GO6" s="181" t="s">
        <v>163</v>
      </c>
      <c r="GP6" s="2633" t="s">
        <v>145</v>
      </c>
      <c r="GQ6" s="2667"/>
      <c r="GR6" s="2634" t="s">
        <v>130</v>
      </c>
      <c r="GS6" s="2632" t="s">
        <v>243</v>
      </c>
      <c r="GT6" s="2632" t="s">
        <v>244</v>
      </c>
      <c r="GU6" s="2632" t="s">
        <v>165</v>
      </c>
      <c r="GV6" s="2619" t="s">
        <v>7</v>
      </c>
      <c r="GW6" s="2667"/>
      <c r="GX6" s="2634" t="s">
        <v>35</v>
      </c>
      <c r="GY6" s="2634"/>
      <c r="GZ6" s="2632"/>
      <c r="HA6" s="2632"/>
      <c r="HB6" s="2632"/>
      <c r="HC6" s="2632"/>
      <c r="HD6" s="2632"/>
      <c r="HE6" s="2632"/>
      <c r="HF6" s="2632"/>
      <c r="HG6" s="2632"/>
      <c r="HH6" s="2632"/>
      <c r="HI6" s="2632"/>
      <c r="HJ6" s="2632"/>
      <c r="HK6" s="2633"/>
      <c r="HL6" s="2676" t="s">
        <v>151</v>
      </c>
      <c r="HM6" s="2619" t="s">
        <v>110</v>
      </c>
      <c r="HN6" s="2673"/>
      <c r="HO6" s="2673"/>
      <c r="HP6" s="2673"/>
      <c r="HQ6" s="2673"/>
      <c r="HR6" s="2673"/>
      <c r="HS6" s="2673"/>
      <c r="HT6" s="2673"/>
      <c r="HU6" s="2673"/>
      <c r="HV6" s="2673"/>
      <c r="HW6" s="2673"/>
      <c r="HX6" s="2673"/>
      <c r="HY6" s="2673"/>
      <c r="HZ6" s="2673"/>
      <c r="IA6" s="2711" t="s">
        <v>151</v>
      </c>
      <c r="IB6" s="2632" t="s">
        <v>245</v>
      </c>
      <c r="IC6" s="2632"/>
      <c r="ID6" s="2632"/>
      <c r="IE6" s="2632"/>
      <c r="IF6" s="2632"/>
      <c r="IG6" s="2632"/>
      <c r="IH6" s="2632"/>
      <c r="II6" s="2632"/>
      <c r="IJ6" s="2632"/>
      <c r="IK6" s="2632"/>
      <c r="IL6" s="2632"/>
      <c r="IM6" s="2632"/>
      <c r="IN6" s="2632"/>
      <c r="IO6" s="2633"/>
      <c r="IP6" s="2676" t="s">
        <v>151</v>
      </c>
      <c r="IQ6" s="2632" t="s">
        <v>246</v>
      </c>
      <c r="IR6" s="2632"/>
      <c r="IS6" s="2632"/>
      <c r="IT6" s="2632"/>
      <c r="IU6" s="2632"/>
      <c r="IV6" s="2632"/>
      <c r="IW6" s="2632"/>
      <c r="IX6" s="2632"/>
      <c r="IY6" s="2632"/>
      <c r="IZ6" s="2632"/>
      <c r="JA6" s="2632"/>
      <c r="JB6" s="2632"/>
      <c r="JC6" s="2632"/>
      <c r="JD6" s="2633"/>
      <c r="JE6" s="2673" t="s">
        <v>151</v>
      </c>
      <c r="JF6" s="2667"/>
      <c r="JH6" s="2632" t="s">
        <v>76</v>
      </c>
      <c r="JI6" s="2671" t="s">
        <v>77</v>
      </c>
      <c r="JJ6" s="2632" t="s">
        <v>247</v>
      </c>
      <c r="JK6" s="2632" t="s">
        <v>7</v>
      </c>
      <c r="JL6" s="2633" t="s">
        <v>145</v>
      </c>
      <c r="JM6" s="2669"/>
      <c r="JN6" s="2634" t="str">
        <f>JH6</f>
        <v>TCM.HCV.LS</v>
      </c>
      <c r="JO6" s="2632"/>
      <c r="JP6" s="2632"/>
      <c r="JQ6" s="2632"/>
      <c r="JR6" s="2632"/>
      <c r="JS6" s="2632"/>
      <c r="JT6" s="2632"/>
      <c r="JU6" s="2632"/>
      <c r="JV6" s="2634" t="str">
        <f>JI6</f>
        <v>TCM.HCV.HS</v>
      </c>
      <c r="JW6" s="2632"/>
      <c r="JX6" s="2632"/>
      <c r="JY6" s="2632"/>
      <c r="JZ6" s="2632"/>
      <c r="KA6" s="2632"/>
      <c r="KB6" s="2632"/>
      <c r="KC6" s="2632"/>
      <c r="KD6" s="2632" t="str">
        <f>JJ6</f>
        <v>LCV.MS.HA</v>
      </c>
      <c r="KE6" s="2632"/>
      <c r="KF6" s="2632"/>
      <c r="KG6" s="2632"/>
      <c r="KH6" s="2632"/>
      <c r="KI6" s="2632"/>
      <c r="KJ6" s="2632"/>
      <c r="KK6" s="2632"/>
      <c r="KL6" s="2633" t="s">
        <v>145</v>
      </c>
      <c r="KM6" s="2669"/>
      <c r="KN6" s="2634" t="s">
        <v>167</v>
      </c>
      <c r="KO6" s="2632"/>
      <c r="KP6" s="2632"/>
      <c r="KQ6" s="2632"/>
      <c r="KR6" s="2632"/>
      <c r="KS6" s="2634" t="s">
        <v>168</v>
      </c>
      <c r="KT6" s="2632"/>
      <c r="KU6" s="2632"/>
      <c r="KV6" s="2632"/>
      <c r="KW6" s="2632"/>
      <c r="KX6" s="2632" t="s">
        <v>247</v>
      </c>
      <c r="KY6" s="2632"/>
      <c r="KZ6" s="2632"/>
      <c r="LA6" s="2632"/>
      <c r="LB6" s="2632"/>
      <c r="LC6" s="2633" t="s">
        <v>145</v>
      </c>
      <c r="LD6" s="2669"/>
      <c r="LF6" s="2633" t="s">
        <v>170</v>
      </c>
      <c r="LG6" s="2635"/>
      <c r="LH6" s="2635"/>
      <c r="LI6" s="2634"/>
      <c r="LJ6" s="2619" t="s">
        <v>171</v>
      </c>
      <c r="LK6" s="2673"/>
      <c r="LL6" s="2673"/>
      <c r="LM6" s="2673"/>
      <c r="LN6" s="2690" t="s">
        <v>172</v>
      </c>
      <c r="LO6" s="2633" t="s">
        <v>145</v>
      </c>
      <c r="LP6" s="2688"/>
      <c r="LQ6" s="2634" t="s">
        <v>173</v>
      </c>
      <c r="LR6" s="2634"/>
      <c r="LS6" s="2632"/>
      <c r="LT6" s="2632"/>
      <c r="LU6" s="2632"/>
      <c r="LV6" s="2620" t="s">
        <v>151</v>
      </c>
      <c r="LW6" s="2632" t="s">
        <v>174</v>
      </c>
      <c r="LX6" s="2632"/>
      <c r="LY6" s="2632"/>
      <c r="LZ6" s="2632"/>
      <c r="MA6" s="2632"/>
      <c r="MB6" s="2632"/>
      <c r="MC6" s="2632" t="s">
        <v>175</v>
      </c>
      <c r="MD6" s="2632"/>
      <c r="ME6" s="2632"/>
      <c r="MF6" s="2632"/>
      <c r="MG6" s="2632"/>
      <c r="MH6" s="2620" t="s">
        <v>151</v>
      </c>
      <c r="MI6" s="2632" t="s">
        <v>176</v>
      </c>
      <c r="MJ6" s="2632"/>
      <c r="MK6" s="2632"/>
      <c r="ML6" s="2632"/>
      <c r="MM6" s="2632"/>
      <c r="MN6" s="2620" t="s">
        <v>151</v>
      </c>
      <c r="MO6" s="2632" t="s">
        <v>248</v>
      </c>
      <c r="MP6" s="2632"/>
      <c r="MQ6" s="2632"/>
      <c r="MR6" s="2632"/>
      <c r="MS6" s="2632"/>
      <c r="MT6" s="2619" t="s">
        <v>151</v>
      </c>
      <c r="MU6" s="2688"/>
      <c r="MW6" s="2632" t="s">
        <v>178</v>
      </c>
      <c r="MX6" s="2632" t="s">
        <v>126</v>
      </c>
      <c r="MY6" s="2632" t="s">
        <v>179</v>
      </c>
      <c r="MZ6" s="2633" t="s">
        <v>249</v>
      </c>
      <c r="NA6" s="2621"/>
      <c r="NB6" s="2634" t="s">
        <v>181</v>
      </c>
      <c r="NC6" s="2634"/>
      <c r="ND6" s="2632"/>
      <c r="NE6" s="2632" t="s">
        <v>7</v>
      </c>
      <c r="NF6" s="2633" t="s">
        <v>35</v>
      </c>
      <c r="NG6" s="2635"/>
      <c r="NH6" s="2635"/>
      <c r="NI6" s="2635"/>
      <c r="NJ6" s="2635"/>
      <c r="NK6" s="2635"/>
      <c r="NL6" s="2635"/>
      <c r="NM6" s="2635"/>
      <c r="NN6" s="2635"/>
      <c r="NO6" s="2635"/>
      <c r="NP6" s="2635"/>
      <c r="NQ6" s="2634"/>
      <c r="NR6" s="2620" t="s">
        <v>151</v>
      </c>
      <c r="NS6" s="2632" t="s">
        <v>245</v>
      </c>
      <c r="NT6" s="2632"/>
      <c r="NU6" s="2632"/>
      <c r="NV6" s="2632"/>
      <c r="NW6" s="2632"/>
      <c r="NX6" s="2632"/>
      <c r="NY6" s="2632"/>
      <c r="NZ6" s="2632"/>
      <c r="OA6" s="2632"/>
      <c r="OB6" s="2632"/>
      <c r="OC6" s="2632"/>
      <c r="OD6" s="181"/>
      <c r="OE6" s="2620" t="s">
        <v>151</v>
      </c>
      <c r="OF6" s="2632" t="s">
        <v>246</v>
      </c>
      <c r="OG6" s="2632"/>
      <c r="OH6" s="2632"/>
      <c r="OI6" s="2632"/>
      <c r="OJ6" s="2632"/>
      <c r="OK6" s="2632"/>
      <c r="OL6" s="2632"/>
      <c r="OM6" s="2632"/>
      <c r="ON6" s="2632"/>
      <c r="OO6" s="2632"/>
      <c r="OP6" s="2632"/>
      <c r="OQ6" s="181"/>
      <c r="OR6" s="2620" t="s">
        <v>151</v>
      </c>
      <c r="OS6" s="2632" t="s">
        <v>250</v>
      </c>
      <c r="OT6" s="2632"/>
      <c r="OU6" s="2632"/>
      <c r="OV6" s="2632"/>
      <c r="OW6" s="2632"/>
      <c r="OX6" s="2632"/>
      <c r="OY6" s="2620" t="s">
        <v>151</v>
      </c>
      <c r="OZ6" s="2632" t="s">
        <v>251</v>
      </c>
      <c r="PA6" s="2632"/>
      <c r="PB6" s="2632"/>
      <c r="PC6" s="2632"/>
      <c r="PD6" s="2632"/>
      <c r="PE6" s="2632"/>
      <c r="PF6" s="2619" t="s">
        <v>151</v>
      </c>
      <c r="PG6" s="2621"/>
      <c r="PI6" s="2620" t="s">
        <v>184</v>
      </c>
      <c r="PJ6" s="2620" t="s">
        <v>252</v>
      </c>
      <c r="PK6" s="2703" t="s">
        <v>253</v>
      </c>
      <c r="PL6" s="2705" t="s">
        <v>186</v>
      </c>
      <c r="PM6" s="2619" t="s">
        <v>91</v>
      </c>
      <c r="PN6" s="2619" t="s">
        <v>254</v>
      </c>
      <c r="PO6" s="2619" t="s">
        <v>145</v>
      </c>
      <c r="PP6" s="2615"/>
      <c r="PR6" s="2619" t="s">
        <v>255</v>
      </c>
      <c r="PS6" s="2676"/>
      <c r="PT6" s="2619" t="s">
        <v>256</v>
      </c>
      <c r="PU6" s="2673"/>
      <c r="PV6" s="2673"/>
      <c r="PW6" s="2673"/>
      <c r="PX6" s="2676"/>
      <c r="PY6" s="2620" t="s">
        <v>184</v>
      </c>
      <c r="PZ6" s="2620" t="s">
        <v>189</v>
      </c>
      <c r="QA6" s="2620" t="s">
        <v>189</v>
      </c>
      <c r="QB6" s="2690" t="s">
        <v>257</v>
      </c>
      <c r="QC6" s="2690" t="s">
        <v>258</v>
      </c>
      <c r="QD6" s="2620" t="s">
        <v>259</v>
      </c>
      <c r="QE6" s="2716" t="s">
        <v>191</v>
      </c>
      <c r="QF6" s="2717"/>
      <c r="QG6" s="2711"/>
      <c r="QH6" s="1405"/>
      <c r="QI6" s="2619" t="s">
        <v>145</v>
      </c>
      <c r="QJ6" s="2615"/>
      <c r="QO6" s="105" t="s">
        <v>192</v>
      </c>
      <c r="QP6" s="105">
        <v>13000</v>
      </c>
      <c r="RH6" s="2718" t="s">
        <v>261</v>
      </c>
      <c r="RI6" s="2718"/>
      <c r="RJ6" s="2719"/>
      <c r="RK6" s="2719" t="s">
        <v>7</v>
      </c>
      <c r="RW6" s="1134"/>
    </row>
    <row r="7" spans="1:500" s="42" customFormat="1" ht="46.2" customHeight="1">
      <c r="B7" s="2627"/>
      <c r="C7" s="2632"/>
      <c r="D7" s="2632"/>
      <c r="E7" s="2632"/>
      <c r="F7" s="181"/>
      <c r="G7" s="181"/>
      <c r="H7" s="181" t="s">
        <v>193</v>
      </c>
      <c r="I7" s="181" t="s">
        <v>194</v>
      </c>
      <c r="J7" s="181" t="s">
        <v>193</v>
      </c>
      <c r="K7" s="181" t="s">
        <v>194</v>
      </c>
      <c r="L7" s="181" t="s">
        <v>193</v>
      </c>
      <c r="M7" s="182" t="s">
        <v>194</v>
      </c>
      <c r="N7" s="2629"/>
      <c r="O7" s="183" t="s">
        <v>3</v>
      </c>
      <c r="P7" s="181" t="s">
        <v>126</v>
      </c>
      <c r="Q7" s="181" t="s">
        <v>127</v>
      </c>
      <c r="R7" s="182" t="s">
        <v>145</v>
      </c>
      <c r="S7" s="181" t="s">
        <v>3</v>
      </c>
      <c r="T7" s="181" t="s">
        <v>126</v>
      </c>
      <c r="U7" s="181" t="s">
        <v>127</v>
      </c>
      <c r="V7" s="181" t="s">
        <v>145</v>
      </c>
      <c r="W7" s="183" t="s">
        <v>3</v>
      </c>
      <c r="X7" s="181" t="s">
        <v>126</v>
      </c>
      <c r="Y7" s="181" t="s">
        <v>127</v>
      </c>
      <c r="Z7" s="181" t="s">
        <v>145</v>
      </c>
      <c r="AA7" s="183" t="s">
        <v>3</v>
      </c>
      <c r="AB7" s="181" t="s">
        <v>126</v>
      </c>
      <c r="AC7" s="181" t="s">
        <v>127</v>
      </c>
      <c r="AD7" s="181" t="s">
        <v>145</v>
      </c>
      <c r="AE7" s="181" t="s">
        <v>3</v>
      </c>
      <c r="AF7" s="181" t="s">
        <v>126</v>
      </c>
      <c r="AG7" s="181" t="s">
        <v>127</v>
      </c>
      <c r="AH7" s="181" t="s">
        <v>145</v>
      </c>
      <c r="AI7" s="181" t="s">
        <v>3</v>
      </c>
      <c r="AJ7" s="181" t="s">
        <v>126</v>
      </c>
      <c r="AK7" s="181" t="s">
        <v>127</v>
      </c>
      <c r="AL7" s="182" t="s">
        <v>145</v>
      </c>
      <c r="AM7" s="2629"/>
      <c r="AN7" s="183" t="s">
        <v>3</v>
      </c>
      <c r="AO7" s="181" t="s">
        <v>126</v>
      </c>
      <c r="AP7" s="181" t="s">
        <v>127</v>
      </c>
      <c r="AQ7" s="181" t="s">
        <v>3</v>
      </c>
      <c r="AR7" s="181" t="s">
        <v>126</v>
      </c>
      <c r="AS7" s="181" t="s">
        <v>127</v>
      </c>
      <c r="AT7" s="181" t="s">
        <v>3</v>
      </c>
      <c r="AU7" s="181" t="s">
        <v>126</v>
      </c>
      <c r="AV7" s="182" t="s">
        <v>127</v>
      </c>
      <c r="AW7" s="181" t="s">
        <v>3</v>
      </c>
      <c r="AX7" s="181" t="s">
        <v>126</v>
      </c>
      <c r="AY7" s="181" t="s">
        <v>127</v>
      </c>
      <c r="AZ7" s="181" t="s">
        <v>3</v>
      </c>
      <c r="BA7" s="181" t="s">
        <v>126</v>
      </c>
      <c r="BB7" s="181" t="s">
        <v>127</v>
      </c>
      <c r="BC7" s="181" t="s">
        <v>3</v>
      </c>
      <c r="BD7" s="181" t="s">
        <v>126</v>
      </c>
      <c r="BE7" s="181" t="s">
        <v>127</v>
      </c>
      <c r="BF7" s="181" t="s">
        <v>3</v>
      </c>
      <c r="BG7" s="181" t="s">
        <v>126</v>
      </c>
      <c r="BH7" s="181" t="s">
        <v>127</v>
      </c>
      <c r="BI7" s="181" t="s">
        <v>3</v>
      </c>
      <c r="BJ7" s="181" t="s">
        <v>126</v>
      </c>
      <c r="BK7" s="181" t="s">
        <v>127</v>
      </c>
      <c r="BL7" s="181" t="s">
        <v>3</v>
      </c>
      <c r="BM7" s="181" t="s">
        <v>126</v>
      </c>
      <c r="BN7" s="181" t="s">
        <v>127</v>
      </c>
      <c r="BO7" s="181" t="s">
        <v>3</v>
      </c>
      <c r="BP7" s="181" t="s">
        <v>126</v>
      </c>
      <c r="BQ7" s="181" t="s">
        <v>127</v>
      </c>
      <c r="BR7" s="181" t="s">
        <v>3</v>
      </c>
      <c r="BS7" s="181" t="s">
        <v>126</v>
      </c>
      <c r="BT7" s="181" t="s">
        <v>127</v>
      </c>
      <c r="BU7" s="181" t="s">
        <v>3</v>
      </c>
      <c r="BV7" s="181" t="s">
        <v>126</v>
      </c>
      <c r="BW7" s="182" t="s">
        <v>127</v>
      </c>
      <c r="BX7" s="182" t="s">
        <v>3</v>
      </c>
      <c r="BY7" s="182" t="s">
        <v>126</v>
      </c>
      <c r="BZ7" s="182" t="s">
        <v>127</v>
      </c>
      <c r="CA7" s="181" t="s">
        <v>3</v>
      </c>
      <c r="CB7" s="181" t="s">
        <v>126</v>
      </c>
      <c r="CC7" s="182" t="s">
        <v>127</v>
      </c>
      <c r="CD7" s="181" t="s">
        <v>3</v>
      </c>
      <c r="CE7" s="181" t="s">
        <v>126</v>
      </c>
      <c r="CF7" s="182" t="s">
        <v>127</v>
      </c>
      <c r="CG7" s="148"/>
      <c r="CH7" s="2634"/>
      <c r="CI7" s="2632"/>
      <c r="CJ7" s="2632"/>
      <c r="CK7" s="2632"/>
      <c r="CL7" s="2632"/>
      <c r="CM7" s="2672"/>
      <c r="CN7" s="2633"/>
      <c r="CO7" s="2632"/>
      <c r="CQ7" s="2632"/>
      <c r="CR7" s="2632"/>
      <c r="CS7" s="2632"/>
      <c r="CT7" s="2632"/>
      <c r="CU7" s="2632"/>
      <c r="CV7" s="2632"/>
      <c r="CW7" s="2632"/>
      <c r="CX7" s="2632"/>
      <c r="CY7" s="2632"/>
      <c r="CZ7" s="2632"/>
      <c r="DA7" s="2632"/>
      <c r="DB7" s="2632"/>
      <c r="DC7" s="2633"/>
      <c r="DD7" s="2685"/>
      <c r="DE7" s="183" t="s">
        <v>146</v>
      </c>
      <c r="DF7" s="183" t="s">
        <v>230</v>
      </c>
      <c r="DG7" s="181" t="s">
        <v>147</v>
      </c>
      <c r="DH7" s="181" t="s">
        <v>231</v>
      </c>
      <c r="DI7" s="181" t="s">
        <v>148</v>
      </c>
      <c r="DJ7" s="181" t="s">
        <v>232</v>
      </c>
      <c r="DK7" s="181" t="s">
        <v>149</v>
      </c>
      <c r="DL7" s="181" t="s">
        <v>233</v>
      </c>
      <c r="DM7" s="181" t="s">
        <v>69</v>
      </c>
      <c r="DN7" s="181" t="s">
        <v>234</v>
      </c>
      <c r="DO7" s="181" t="s">
        <v>71</v>
      </c>
      <c r="DP7" s="181" t="s">
        <v>235</v>
      </c>
      <c r="DQ7" s="2712"/>
      <c r="DR7" s="183" t="s">
        <v>146</v>
      </c>
      <c r="DS7" s="183" t="s">
        <v>230</v>
      </c>
      <c r="DT7" s="181" t="s">
        <v>147</v>
      </c>
      <c r="DU7" s="181" t="s">
        <v>231</v>
      </c>
      <c r="DV7" s="181" t="s">
        <v>148</v>
      </c>
      <c r="DW7" s="181" t="s">
        <v>232</v>
      </c>
      <c r="DX7" s="181" t="s">
        <v>149</v>
      </c>
      <c r="DY7" s="181" t="s">
        <v>233</v>
      </c>
      <c r="DZ7" s="181" t="s">
        <v>69</v>
      </c>
      <c r="EA7" s="181" t="s">
        <v>234</v>
      </c>
      <c r="EB7" s="181" t="s">
        <v>71</v>
      </c>
      <c r="EC7" s="181" t="s">
        <v>235</v>
      </c>
      <c r="ED7" s="2712"/>
      <c r="EE7" s="183" t="s">
        <v>263</v>
      </c>
      <c r="EF7" s="181" t="s">
        <v>264</v>
      </c>
      <c r="EG7" s="181" t="s">
        <v>265</v>
      </c>
      <c r="EH7" s="181" t="s">
        <v>266</v>
      </c>
      <c r="EI7" s="181" t="s">
        <v>267</v>
      </c>
      <c r="EJ7" s="181" t="s">
        <v>268</v>
      </c>
      <c r="EK7" s="181" t="s">
        <v>269</v>
      </c>
      <c r="EL7" s="181" t="s">
        <v>270</v>
      </c>
      <c r="EM7" s="181" t="s">
        <v>271</v>
      </c>
      <c r="EN7" s="181" t="s">
        <v>272</v>
      </c>
      <c r="EO7" s="181" t="s">
        <v>273</v>
      </c>
      <c r="EP7" s="181" t="s">
        <v>274</v>
      </c>
      <c r="EQ7" s="2712"/>
      <c r="ER7" s="181" t="s">
        <v>146</v>
      </c>
      <c r="ES7" s="181" t="s">
        <v>147</v>
      </c>
      <c r="ET7" s="181" t="s">
        <v>148</v>
      </c>
      <c r="EU7" s="181" t="s">
        <v>149</v>
      </c>
      <c r="EV7" s="181" t="s">
        <v>69</v>
      </c>
      <c r="EW7" s="181" t="s">
        <v>71</v>
      </c>
      <c r="EX7" s="2712"/>
      <c r="EY7" s="2685"/>
      <c r="FA7" s="2691"/>
      <c r="FB7" s="2691"/>
      <c r="FC7" s="2691"/>
      <c r="FD7" s="2672"/>
      <c r="FE7" s="2672"/>
      <c r="FF7" s="2674"/>
      <c r="FG7" s="183" t="s">
        <v>146</v>
      </c>
      <c r="FH7" s="181" t="s">
        <v>147</v>
      </c>
      <c r="FI7" s="181" t="s">
        <v>148</v>
      </c>
      <c r="FJ7" s="181" t="s">
        <v>149</v>
      </c>
      <c r="FK7" s="181" t="s">
        <v>69</v>
      </c>
      <c r="FL7" s="181" t="s">
        <v>71</v>
      </c>
      <c r="FM7" s="2620"/>
      <c r="FN7" s="181" t="s">
        <v>146</v>
      </c>
      <c r="FO7" s="181" t="s">
        <v>147</v>
      </c>
      <c r="FP7" s="181" t="s">
        <v>148</v>
      </c>
      <c r="FQ7" s="181" t="s">
        <v>149</v>
      </c>
      <c r="FR7" s="181" t="s">
        <v>69</v>
      </c>
      <c r="FS7" s="181" t="s">
        <v>71</v>
      </c>
      <c r="FT7" s="2620"/>
      <c r="FU7" s="181" t="s">
        <v>275</v>
      </c>
      <c r="FV7" s="181" t="s">
        <v>230</v>
      </c>
      <c r="FW7" s="181" t="s">
        <v>147</v>
      </c>
      <c r="FX7" s="181" t="s">
        <v>231</v>
      </c>
      <c r="FY7" s="181" t="s">
        <v>148</v>
      </c>
      <c r="FZ7" s="181" t="s">
        <v>232</v>
      </c>
      <c r="GA7" s="181" t="s">
        <v>149</v>
      </c>
      <c r="GB7" s="181" t="s">
        <v>233</v>
      </c>
      <c r="GC7" s="181" t="s">
        <v>69</v>
      </c>
      <c r="GD7" s="181" t="s">
        <v>234</v>
      </c>
      <c r="GE7" s="181" t="s">
        <v>71</v>
      </c>
      <c r="GF7" s="182" t="s">
        <v>235</v>
      </c>
      <c r="GG7" s="2619"/>
      <c r="GH7" s="2674"/>
      <c r="GJ7" s="181" t="s">
        <v>276</v>
      </c>
      <c r="GK7" s="181" t="s">
        <v>81</v>
      </c>
      <c r="GL7" s="181" t="s">
        <v>37</v>
      </c>
      <c r="GM7" s="2632"/>
      <c r="GN7" s="181" t="s">
        <v>277</v>
      </c>
      <c r="GO7" s="181" t="s">
        <v>277</v>
      </c>
      <c r="GP7" s="2633"/>
      <c r="GQ7" s="2667"/>
      <c r="GR7" s="2634"/>
      <c r="GS7" s="2632"/>
      <c r="GT7" s="2632"/>
      <c r="GU7" s="2632"/>
      <c r="GV7" s="2619"/>
      <c r="GW7" s="2667"/>
      <c r="GX7" s="183" t="s">
        <v>263</v>
      </c>
      <c r="GY7" s="181" t="s">
        <v>264</v>
      </c>
      <c r="GZ7" s="181" t="s">
        <v>265</v>
      </c>
      <c r="HA7" s="181" t="s">
        <v>266</v>
      </c>
      <c r="HB7" s="181" t="s">
        <v>267</v>
      </c>
      <c r="HC7" s="181" t="s">
        <v>268</v>
      </c>
      <c r="HD7" s="181" t="s">
        <v>269</v>
      </c>
      <c r="HE7" s="181" t="s">
        <v>270</v>
      </c>
      <c r="HF7" s="181" t="s">
        <v>271</v>
      </c>
      <c r="HG7" s="181" t="s">
        <v>272</v>
      </c>
      <c r="HH7" s="181" t="s">
        <v>273</v>
      </c>
      <c r="HI7" s="181" t="s">
        <v>274</v>
      </c>
      <c r="HJ7" s="181" t="s">
        <v>179</v>
      </c>
      <c r="HK7" s="181" t="s">
        <v>278</v>
      </c>
      <c r="HL7" s="2620"/>
      <c r="HM7" s="1001" t="s">
        <v>275</v>
      </c>
      <c r="HN7" s="1001" t="s">
        <v>230</v>
      </c>
      <c r="HO7" s="1001" t="s">
        <v>147</v>
      </c>
      <c r="HP7" s="1001" t="s">
        <v>231</v>
      </c>
      <c r="HQ7" s="1001" t="s">
        <v>148</v>
      </c>
      <c r="HR7" s="1001" t="s">
        <v>232</v>
      </c>
      <c r="HS7" s="1001" t="s">
        <v>149</v>
      </c>
      <c r="HT7" s="1001" t="s">
        <v>233</v>
      </c>
      <c r="HU7" s="1001" t="s">
        <v>69</v>
      </c>
      <c r="HV7" s="1001" t="s">
        <v>234</v>
      </c>
      <c r="HW7" s="1001" t="s">
        <v>71</v>
      </c>
      <c r="HX7" s="1001" t="s">
        <v>235</v>
      </c>
      <c r="HY7" s="1001" t="s">
        <v>179</v>
      </c>
      <c r="HZ7" s="1001" t="s">
        <v>30</v>
      </c>
      <c r="IA7" s="2712"/>
      <c r="IB7" s="183" t="s">
        <v>275</v>
      </c>
      <c r="IC7" s="181" t="s">
        <v>230</v>
      </c>
      <c r="ID7" s="181" t="s">
        <v>147</v>
      </c>
      <c r="IE7" s="181" t="s">
        <v>231</v>
      </c>
      <c r="IF7" s="181" t="s">
        <v>148</v>
      </c>
      <c r="IG7" s="181" t="s">
        <v>232</v>
      </c>
      <c r="IH7" s="181" t="s">
        <v>149</v>
      </c>
      <c r="II7" s="181" t="s">
        <v>233</v>
      </c>
      <c r="IJ7" s="181" t="s">
        <v>69</v>
      </c>
      <c r="IK7" s="181" t="s">
        <v>234</v>
      </c>
      <c r="IL7" s="181" t="s">
        <v>71</v>
      </c>
      <c r="IM7" s="181" t="s">
        <v>235</v>
      </c>
      <c r="IN7" s="181" t="s">
        <v>179</v>
      </c>
      <c r="IO7" s="181" t="s">
        <v>30</v>
      </c>
      <c r="IP7" s="2620"/>
      <c r="IQ7" s="183" t="s">
        <v>275</v>
      </c>
      <c r="IR7" s="181" t="s">
        <v>230</v>
      </c>
      <c r="IS7" s="181" t="s">
        <v>147</v>
      </c>
      <c r="IT7" s="181" t="s">
        <v>231</v>
      </c>
      <c r="IU7" s="181" t="s">
        <v>148</v>
      </c>
      <c r="IV7" s="181" t="s">
        <v>232</v>
      </c>
      <c r="IW7" s="181" t="s">
        <v>149</v>
      </c>
      <c r="IX7" s="181" t="s">
        <v>233</v>
      </c>
      <c r="IY7" s="181" t="s">
        <v>69</v>
      </c>
      <c r="IZ7" s="181" t="s">
        <v>234</v>
      </c>
      <c r="JA7" s="181" t="s">
        <v>71</v>
      </c>
      <c r="JB7" s="181" t="s">
        <v>235</v>
      </c>
      <c r="JC7" s="181" t="s">
        <v>179</v>
      </c>
      <c r="JD7" s="181" t="s">
        <v>30</v>
      </c>
      <c r="JE7" s="2619"/>
      <c r="JF7" s="2667"/>
      <c r="JH7" s="2632"/>
      <c r="JI7" s="2672"/>
      <c r="JJ7" s="2632"/>
      <c r="JK7" s="2632"/>
      <c r="JL7" s="2633"/>
      <c r="JM7" s="2669"/>
      <c r="JN7" s="183" t="s">
        <v>146</v>
      </c>
      <c r="JO7" s="181" t="s">
        <v>147</v>
      </c>
      <c r="JP7" s="181" t="s">
        <v>148</v>
      </c>
      <c r="JQ7" s="181" t="s">
        <v>149</v>
      </c>
      <c r="JR7" s="181" t="s">
        <v>69</v>
      </c>
      <c r="JS7" s="181" t="s">
        <v>71</v>
      </c>
      <c r="JT7" s="181" t="s">
        <v>179</v>
      </c>
      <c r="JU7" s="181" t="s">
        <v>30</v>
      </c>
      <c r="JV7" s="183" t="s">
        <v>146</v>
      </c>
      <c r="JW7" s="181" t="s">
        <v>147</v>
      </c>
      <c r="JX7" s="181" t="s">
        <v>148</v>
      </c>
      <c r="JY7" s="181" t="s">
        <v>149</v>
      </c>
      <c r="JZ7" s="181" t="s">
        <v>69</v>
      </c>
      <c r="KA7" s="181" t="s">
        <v>71</v>
      </c>
      <c r="KB7" s="181" t="s">
        <v>179</v>
      </c>
      <c r="KC7" s="181" t="s">
        <v>30</v>
      </c>
      <c r="KD7" s="181" t="s">
        <v>146</v>
      </c>
      <c r="KE7" s="181" t="s">
        <v>147</v>
      </c>
      <c r="KF7" s="181" t="s">
        <v>148</v>
      </c>
      <c r="KG7" s="181" t="s">
        <v>149</v>
      </c>
      <c r="KH7" s="181" t="s">
        <v>69</v>
      </c>
      <c r="KI7" s="181" t="s">
        <v>71</v>
      </c>
      <c r="KJ7" s="181" t="s">
        <v>179</v>
      </c>
      <c r="KK7" s="181" t="s">
        <v>30</v>
      </c>
      <c r="KL7" s="2633"/>
      <c r="KM7" s="2669"/>
      <c r="KN7" s="183" t="s">
        <v>61</v>
      </c>
      <c r="KO7" s="181" t="s">
        <v>62</v>
      </c>
      <c r="KP7" s="181" t="s">
        <v>63</v>
      </c>
      <c r="KQ7" s="181" t="s">
        <v>196</v>
      </c>
      <c r="KR7" s="181" t="s">
        <v>197</v>
      </c>
      <c r="KS7" s="183" t="s">
        <v>61</v>
      </c>
      <c r="KT7" s="181" t="s">
        <v>62</v>
      </c>
      <c r="KU7" s="181" t="s">
        <v>63</v>
      </c>
      <c r="KV7" s="181" t="s">
        <v>196</v>
      </c>
      <c r="KW7" s="181" t="s">
        <v>197</v>
      </c>
      <c r="KX7" s="181" t="s">
        <v>61</v>
      </c>
      <c r="KY7" s="181" t="s">
        <v>62</v>
      </c>
      <c r="KZ7" s="181" t="s">
        <v>63</v>
      </c>
      <c r="LA7" s="181" t="s">
        <v>196</v>
      </c>
      <c r="LB7" s="181" t="s">
        <v>197</v>
      </c>
      <c r="LC7" s="2633"/>
      <c r="LD7" s="2669"/>
      <c r="LF7" s="184" t="s">
        <v>167</v>
      </c>
      <c r="LG7" s="184" t="s">
        <v>168</v>
      </c>
      <c r="LH7" s="184" t="s">
        <v>279</v>
      </c>
      <c r="LI7" s="184" t="s">
        <v>7</v>
      </c>
      <c r="LJ7" s="43" t="s">
        <v>198</v>
      </c>
      <c r="LK7" s="43" t="s">
        <v>199</v>
      </c>
      <c r="LL7" s="44" t="s">
        <v>200</v>
      </c>
      <c r="LM7" s="45" t="s">
        <v>201</v>
      </c>
      <c r="LN7" s="2691"/>
      <c r="LO7" s="2633"/>
      <c r="LP7" s="2688"/>
      <c r="LQ7" s="183" t="s">
        <v>167</v>
      </c>
      <c r="LR7" s="184" t="s">
        <v>168</v>
      </c>
      <c r="LS7" s="181" t="s">
        <v>169</v>
      </c>
      <c r="LT7" s="181" t="s">
        <v>202</v>
      </c>
      <c r="LU7" s="181" t="s">
        <v>280</v>
      </c>
      <c r="LV7" s="2620"/>
      <c r="LW7" s="181" t="s">
        <v>167</v>
      </c>
      <c r="LX7" s="184" t="s">
        <v>168</v>
      </c>
      <c r="LY7" s="181" t="s">
        <v>169</v>
      </c>
      <c r="LZ7" s="181" t="s">
        <v>202</v>
      </c>
      <c r="MA7" s="181" t="s">
        <v>280</v>
      </c>
      <c r="MB7" s="181" t="s">
        <v>151</v>
      </c>
      <c r="MC7" s="181" t="s">
        <v>167</v>
      </c>
      <c r="MD7" s="184" t="s">
        <v>168</v>
      </c>
      <c r="ME7" s="181" t="s">
        <v>169</v>
      </c>
      <c r="MF7" s="181" t="s">
        <v>202</v>
      </c>
      <c r="MG7" s="181" t="s">
        <v>203</v>
      </c>
      <c r="MH7" s="2620"/>
      <c r="MI7" s="181" t="s">
        <v>167</v>
      </c>
      <c r="MJ7" s="181" t="s">
        <v>168</v>
      </c>
      <c r="MK7" s="181" t="s">
        <v>169</v>
      </c>
      <c r="ML7" s="181" t="s">
        <v>202</v>
      </c>
      <c r="MM7" s="181" t="s">
        <v>203</v>
      </c>
      <c r="MN7" s="2620"/>
      <c r="MO7" s="181" t="s">
        <v>167</v>
      </c>
      <c r="MP7" s="184" t="s">
        <v>168</v>
      </c>
      <c r="MQ7" s="181" t="s">
        <v>169</v>
      </c>
      <c r="MR7" s="181" t="s">
        <v>202</v>
      </c>
      <c r="MS7" s="181" t="s">
        <v>280</v>
      </c>
      <c r="MT7" s="2619"/>
      <c r="MU7" s="2688"/>
      <c r="MW7" s="2632"/>
      <c r="MX7" s="2632"/>
      <c r="MY7" s="2632"/>
      <c r="MZ7" s="2633"/>
      <c r="NA7" s="2621"/>
      <c r="NB7" s="183" t="s">
        <v>167</v>
      </c>
      <c r="NC7" s="183" t="s">
        <v>168</v>
      </c>
      <c r="ND7" s="181" t="s">
        <v>169</v>
      </c>
      <c r="NE7" s="2632"/>
      <c r="NF7" s="183" t="s">
        <v>263</v>
      </c>
      <c r="NG7" s="181" t="s">
        <v>230</v>
      </c>
      <c r="NH7" s="181" t="s">
        <v>265</v>
      </c>
      <c r="NI7" s="181" t="s">
        <v>231</v>
      </c>
      <c r="NJ7" s="181" t="s">
        <v>267</v>
      </c>
      <c r="NK7" s="181" t="s">
        <v>232</v>
      </c>
      <c r="NL7" s="181" t="s">
        <v>269</v>
      </c>
      <c r="NM7" s="181" t="s">
        <v>233</v>
      </c>
      <c r="NN7" s="181" t="s">
        <v>69</v>
      </c>
      <c r="NO7" s="999" t="s">
        <v>281</v>
      </c>
      <c r="NP7" s="181" t="s">
        <v>146</v>
      </c>
      <c r="NQ7" s="181" t="s">
        <v>71</v>
      </c>
      <c r="NR7" s="2620"/>
      <c r="NS7" s="183" t="s">
        <v>275</v>
      </c>
      <c r="NT7" s="181" t="s">
        <v>230</v>
      </c>
      <c r="NU7" s="181" t="s">
        <v>147</v>
      </c>
      <c r="NV7" s="181" t="s">
        <v>231</v>
      </c>
      <c r="NW7" s="181" t="s">
        <v>148</v>
      </c>
      <c r="NX7" s="181" t="s">
        <v>232</v>
      </c>
      <c r="NY7" s="181" t="s">
        <v>149</v>
      </c>
      <c r="NZ7" s="181" t="s">
        <v>233</v>
      </c>
      <c r="OA7" s="181" t="s">
        <v>69</v>
      </c>
      <c r="OB7" s="181" t="s">
        <v>234</v>
      </c>
      <c r="OC7" s="181" t="s">
        <v>71</v>
      </c>
      <c r="OD7" s="181" t="s">
        <v>235</v>
      </c>
      <c r="OE7" s="2620"/>
      <c r="OF7" s="183" t="s">
        <v>275</v>
      </c>
      <c r="OG7" s="181" t="s">
        <v>230</v>
      </c>
      <c r="OH7" s="181" t="s">
        <v>147</v>
      </c>
      <c r="OI7" s="181" t="s">
        <v>231</v>
      </c>
      <c r="OJ7" s="181" t="s">
        <v>148</v>
      </c>
      <c r="OK7" s="181" t="s">
        <v>232</v>
      </c>
      <c r="OL7" s="181" t="s">
        <v>149</v>
      </c>
      <c r="OM7" s="181" t="s">
        <v>233</v>
      </c>
      <c r="ON7" s="181" t="s">
        <v>69</v>
      </c>
      <c r="OO7" s="181" t="s">
        <v>234</v>
      </c>
      <c r="OP7" s="181" t="s">
        <v>71</v>
      </c>
      <c r="OQ7" s="181" t="s">
        <v>235</v>
      </c>
      <c r="OR7" s="2620"/>
      <c r="OS7" s="181" t="s">
        <v>146</v>
      </c>
      <c r="OT7" s="181" t="s">
        <v>147</v>
      </c>
      <c r="OU7" s="181" t="s">
        <v>148</v>
      </c>
      <c r="OV7" s="181" t="s">
        <v>149</v>
      </c>
      <c r="OW7" s="181" t="s">
        <v>69</v>
      </c>
      <c r="OX7" s="181" t="s">
        <v>71</v>
      </c>
      <c r="OY7" s="2620"/>
      <c r="OZ7" s="181" t="s">
        <v>146</v>
      </c>
      <c r="PA7" s="181" t="s">
        <v>147</v>
      </c>
      <c r="PB7" s="181" t="s">
        <v>148</v>
      </c>
      <c r="PC7" s="181" t="s">
        <v>149</v>
      </c>
      <c r="PD7" s="181" t="s">
        <v>69</v>
      </c>
      <c r="PE7" s="181" t="s">
        <v>71</v>
      </c>
      <c r="PF7" s="2619"/>
      <c r="PG7" s="2621"/>
      <c r="PI7" s="2620"/>
      <c r="PJ7" s="2620"/>
      <c r="PK7" s="2704"/>
      <c r="PL7" s="2705"/>
      <c r="PM7" s="2619"/>
      <c r="PN7" s="2619"/>
      <c r="PO7" s="2619"/>
      <c r="PP7" s="2615"/>
      <c r="PR7" s="999" t="s">
        <v>243</v>
      </c>
      <c r="PS7" s="999" t="s">
        <v>72</v>
      </c>
      <c r="PT7" s="999" t="s">
        <v>35</v>
      </c>
      <c r="PU7" s="999" t="s">
        <v>81</v>
      </c>
      <c r="PV7" s="999" t="s">
        <v>282</v>
      </c>
      <c r="PW7" s="999" t="s">
        <v>283</v>
      </c>
      <c r="PX7" s="999" t="s">
        <v>284</v>
      </c>
      <c r="PY7" s="2620"/>
      <c r="PZ7" s="2620"/>
      <c r="QA7" s="2620"/>
      <c r="QB7" s="2691"/>
      <c r="QC7" s="2691"/>
      <c r="QD7" s="2620"/>
      <c r="QE7" s="999" t="s">
        <v>35</v>
      </c>
      <c r="QF7" s="999" t="s">
        <v>81</v>
      </c>
      <c r="QG7" s="999" t="s">
        <v>37</v>
      </c>
      <c r="QH7" s="1000"/>
      <c r="QI7" s="2619"/>
      <c r="QJ7" s="2615"/>
      <c r="QL7" s="181" t="s">
        <v>204</v>
      </c>
      <c r="QM7" s="181" t="s">
        <v>205</v>
      </c>
      <c r="QO7" s="181" t="s">
        <v>204</v>
      </c>
      <c r="QP7" s="181" t="s">
        <v>205</v>
      </c>
      <c r="QR7" s="89" t="s">
        <v>146</v>
      </c>
      <c r="QS7" s="89" t="s">
        <v>147</v>
      </c>
      <c r="QT7" s="89" t="s">
        <v>148</v>
      </c>
      <c r="QU7" s="89" t="s">
        <v>149</v>
      </c>
      <c r="QV7" s="89" t="s">
        <v>69</v>
      </c>
      <c r="QW7" s="89" t="s">
        <v>71</v>
      </c>
      <c r="QX7" s="89"/>
      <c r="QY7" s="89" t="s">
        <v>146</v>
      </c>
      <c r="QZ7" s="89" t="s">
        <v>147</v>
      </c>
      <c r="RA7" s="89" t="s">
        <v>148</v>
      </c>
      <c r="RB7" s="89" t="s">
        <v>149</v>
      </c>
      <c r="RC7" s="89" t="s">
        <v>69</v>
      </c>
      <c r="RD7" s="89" t="s">
        <v>71</v>
      </c>
      <c r="RH7" s="1004" t="s">
        <v>167</v>
      </c>
      <c r="RI7" s="1004" t="s">
        <v>168</v>
      </c>
      <c r="RJ7" s="1003" t="s">
        <v>169</v>
      </c>
      <c r="RK7" s="2719"/>
      <c r="RW7" s="1134"/>
    </row>
    <row r="8" spans="1:500" s="89" customFormat="1" ht="15" customHeight="1">
      <c r="C8" s="1395"/>
      <c r="D8" s="1395"/>
      <c r="E8" s="1395"/>
      <c r="F8" s="1395"/>
      <c r="G8" s="1395"/>
      <c r="H8" s="1395"/>
      <c r="I8" s="1395"/>
      <c r="J8" s="1395"/>
      <c r="K8" s="1395"/>
      <c r="L8" s="1395"/>
      <c r="M8" s="1395"/>
      <c r="N8" s="2629"/>
      <c r="O8" s="1395"/>
      <c r="P8" s="1395"/>
      <c r="Q8" s="1395"/>
      <c r="R8" s="1395"/>
      <c r="S8" s="1147"/>
      <c r="T8" s="1395"/>
      <c r="U8" s="1406"/>
      <c r="V8" s="1146"/>
      <c r="W8" s="1395"/>
      <c r="X8" s="1395"/>
      <c r="Y8" s="1395"/>
      <c r="Z8" s="1395"/>
      <c r="AA8" s="2720"/>
      <c r="AB8" s="2721"/>
      <c r="AC8" s="2721"/>
      <c r="AD8" s="2722"/>
      <c r="AE8" s="1395"/>
      <c r="AF8" s="1395"/>
      <c r="AG8" s="1395"/>
      <c r="AH8" s="1395"/>
      <c r="AI8" s="1395"/>
      <c r="AJ8" s="1395"/>
      <c r="AK8" s="1395"/>
      <c r="AL8" s="1395"/>
      <c r="AM8" s="2629"/>
      <c r="AN8" s="1395"/>
      <c r="AO8" s="1395"/>
      <c r="AP8" s="1395"/>
      <c r="AQ8" s="1395"/>
      <c r="AR8" s="1395"/>
      <c r="AS8" s="1395"/>
      <c r="AT8" s="1395"/>
      <c r="AU8" s="1395"/>
      <c r="AV8" s="1395"/>
      <c r="AW8" s="1147"/>
      <c r="AX8" s="1395"/>
      <c r="AY8" s="1395"/>
      <c r="AZ8" s="1395"/>
      <c r="BA8" s="1395"/>
      <c r="BB8" s="1395"/>
      <c r="BC8" s="1395"/>
      <c r="BD8" s="1395"/>
      <c r="BE8" s="1395"/>
      <c r="BF8" s="1395"/>
      <c r="BG8" s="1395"/>
      <c r="BH8" s="1395"/>
      <c r="BI8" s="1395"/>
      <c r="BJ8" s="1395"/>
      <c r="BK8" s="1395"/>
      <c r="BL8" s="1395"/>
      <c r="BM8" s="1395"/>
      <c r="BN8" s="1395"/>
      <c r="BO8" s="1395"/>
      <c r="BP8" s="1395"/>
      <c r="BQ8" s="1395"/>
      <c r="BR8" s="1395"/>
      <c r="BS8" s="1395"/>
      <c r="BT8" s="1395"/>
      <c r="BU8" s="1395"/>
      <c r="BV8" s="1395"/>
      <c r="BW8" s="1395"/>
      <c r="CG8" s="147"/>
      <c r="CH8" s="1395"/>
      <c r="CI8" s="1395"/>
      <c r="CJ8" s="1395"/>
      <c r="CK8" s="1395"/>
      <c r="CL8" s="1395"/>
      <c r="CN8" s="1395"/>
      <c r="CO8" s="323"/>
      <c r="CQ8" s="1395"/>
      <c r="CR8" s="1395"/>
      <c r="CS8" s="1395"/>
      <c r="CT8" s="1395"/>
      <c r="CU8" s="1395"/>
      <c r="CV8" s="1395"/>
      <c r="CW8" s="1395"/>
      <c r="CX8" s="1395"/>
      <c r="CY8" s="1395"/>
      <c r="CZ8" s="1395"/>
      <c r="DA8" s="1395"/>
      <c r="DB8" s="1395"/>
      <c r="DC8" s="1395"/>
      <c r="DD8" s="2685"/>
      <c r="DE8" s="1395"/>
      <c r="DF8" s="1395"/>
      <c r="DG8" s="1395"/>
      <c r="DH8" s="1395"/>
      <c r="DI8" s="1395"/>
      <c r="DJ8" s="1395"/>
      <c r="DK8" s="1395"/>
      <c r="DL8" s="1395"/>
      <c r="DM8" s="1395"/>
      <c r="DN8" s="1395"/>
      <c r="DO8" s="1395"/>
      <c r="DP8" s="1395"/>
      <c r="DQ8" s="1396"/>
      <c r="DR8" s="1395"/>
      <c r="DS8" s="1395"/>
      <c r="DT8" s="1395"/>
      <c r="DU8" s="1395"/>
      <c r="DV8" s="1395"/>
      <c r="DW8" s="1395"/>
      <c r="DX8" s="1395"/>
      <c r="DY8" s="1395"/>
      <c r="DZ8" s="1395"/>
      <c r="EA8" s="1395"/>
      <c r="EB8" s="1395"/>
      <c r="EC8" s="1395"/>
      <c r="ED8" s="1396"/>
      <c r="EE8" s="1395"/>
      <c r="EF8" s="1395"/>
      <c r="EG8" s="1395"/>
      <c r="EH8" s="1395"/>
      <c r="EI8" s="1395"/>
      <c r="EJ8" s="1395"/>
      <c r="EK8" s="1395"/>
      <c r="EL8" s="1395"/>
      <c r="EM8" s="1395"/>
      <c r="EN8" s="1395"/>
      <c r="EO8" s="1395"/>
      <c r="EP8" s="1395"/>
      <c r="EQ8" s="1396"/>
      <c r="ER8" s="1395"/>
      <c r="ES8" s="1395"/>
      <c r="ET8" s="1395"/>
      <c r="EU8" s="1395"/>
      <c r="EV8" s="1395"/>
      <c r="EW8" s="1395"/>
      <c r="EX8" s="1396"/>
      <c r="EY8" s="2685"/>
      <c r="FA8" s="1396"/>
      <c r="FB8" s="1396"/>
      <c r="FC8" s="1396"/>
      <c r="FD8" s="1395"/>
      <c r="FE8" s="1395"/>
      <c r="FF8" s="2674"/>
      <c r="FG8" s="1395"/>
      <c r="FH8" s="1395"/>
      <c r="FI8" s="1395"/>
      <c r="FJ8" s="1395"/>
      <c r="FK8" s="1395"/>
      <c r="FL8" s="1395"/>
      <c r="FM8" s="1396"/>
      <c r="FN8" s="1395"/>
      <c r="FO8" s="1395"/>
      <c r="FP8" s="1395"/>
      <c r="FQ8" s="1395"/>
      <c r="FR8" s="1395"/>
      <c r="FS8" s="1395"/>
      <c r="FT8" s="1396"/>
      <c r="FU8" s="1395"/>
      <c r="FV8" s="1395"/>
      <c r="FW8" s="1395"/>
      <c r="FX8" s="1395"/>
      <c r="FY8" s="1395"/>
      <c r="FZ8" s="1395"/>
      <c r="GA8" s="1395"/>
      <c r="GB8" s="1395"/>
      <c r="GC8" s="1395"/>
      <c r="GD8" s="1395"/>
      <c r="GE8" s="1395"/>
      <c r="GF8" s="1395"/>
      <c r="GG8" s="1396"/>
      <c r="GH8" s="2674"/>
      <c r="GJ8" s="1395"/>
      <c r="GK8" s="1395"/>
      <c r="GL8" s="1395"/>
      <c r="GM8" s="1395"/>
      <c r="GN8" s="1395"/>
      <c r="GO8" s="1395"/>
      <c r="GP8" s="1395"/>
      <c r="GQ8" s="2667"/>
      <c r="GR8" s="1395"/>
      <c r="GS8" s="1395"/>
      <c r="GT8" s="1395"/>
      <c r="GU8" s="1395"/>
      <c r="GV8" s="1396"/>
      <c r="GW8" s="2667"/>
      <c r="GX8" s="1395"/>
      <c r="GY8" s="1395"/>
      <c r="GZ8" s="1395"/>
      <c r="HA8" s="1395"/>
      <c r="HB8" s="1395"/>
      <c r="HC8" s="1395"/>
      <c r="HD8" s="1395"/>
      <c r="HE8" s="1395"/>
      <c r="HF8" s="1395"/>
      <c r="HG8" s="1395"/>
      <c r="HH8" s="1395"/>
      <c r="HI8" s="1395"/>
      <c r="HJ8" s="1395"/>
      <c r="HK8" s="1395"/>
      <c r="HL8" s="1396"/>
      <c r="HM8" s="1145"/>
      <c r="HN8" s="1407"/>
      <c r="HO8" s="1407"/>
      <c r="HP8" s="1407"/>
      <c r="HQ8" s="1407"/>
      <c r="HR8" s="1407"/>
      <c r="HS8" s="1407"/>
      <c r="HT8" s="1407"/>
      <c r="HU8" s="1407"/>
      <c r="HV8" s="1407"/>
      <c r="HW8" s="1407"/>
      <c r="HX8" s="1407"/>
      <c r="HY8" s="1407"/>
      <c r="HZ8" s="1407"/>
      <c r="IA8" s="1144"/>
      <c r="IB8" s="1395"/>
      <c r="IC8" s="1395"/>
      <c r="ID8" s="1395"/>
      <c r="IE8" s="1395"/>
      <c r="IF8" s="1395"/>
      <c r="IG8" s="1395"/>
      <c r="IH8" s="1395"/>
      <c r="II8" s="1395"/>
      <c r="IJ8" s="1395"/>
      <c r="IK8" s="1395"/>
      <c r="IL8" s="1395"/>
      <c r="IM8" s="1395"/>
      <c r="IN8" s="1395"/>
      <c r="IO8" s="1395"/>
      <c r="IP8" s="1396"/>
      <c r="IQ8" s="1395"/>
      <c r="IR8" s="1395"/>
      <c r="IS8" s="1395"/>
      <c r="IT8" s="1395"/>
      <c r="IU8" s="1395"/>
      <c r="IV8" s="1395"/>
      <c r="IW8" s="1395"/>
      <c r="IX8" s="1395"/>
      <c r="IY8" s="1395"/>
      <c r="IZ8" s="1395"/>
      <c r="JA8" s="1395"/>
      <c r="JB8" s="1395"/>
      <c r="JC8" s="1395"/>
      <c r="JD8" s="1395"/>
      <c r="JE8" s="1396"/>
      <c r="JF8" s="2667"/>
      <c r="JH8" s="1395"/>
      <c r="JI8" s="1395"/>
      <c r="JJ8" s="1395"/>
      <c r="JK8" s="1395"/>
      <c r="JL8" s="1395"/>
      <c r="JM8" s="2669"/>
      <c r="JN8" s="1395"/>
      <c r="JO8" s="1395"/>
      <c r="JP8" s="1395"/>
      <c r="JQ8" s="1395"/>
      <c r="JR8" s="1395"/>
      <c r="JS8" s="1395"/>
      <c r="JT8" s="1395"/>
      <c r="JU8" s="1395"/>
      <c r="JV8" s="1395"/>
      <c r="JW8" s="1395"/>
      <c r="JX8" s="1395"/>
      <c r="JY8" s="1395"/>
      <c r="JZ8" s="1395"/>
      <c r="KA8" s="1395"/>
      <c r="KB8" s="1395"/>
      <c r="KC8" s="1395"/>
      <c r="KE8" s="1395"/>
      <c r="KF8" s="1395"/>
      <c r="KG8" s="1395"/>
      <c r="KH8" s="1395"/>
      <c r="KI8" s="1395"/>
      <c r="KJ8" s="1395"/>
      <c r="KK8" s="1395"/>
      <c r="KL8" s="1395"/>
      <c r="KM8" s="2669"/>
      <c r="KN8" s="1395"/>
      <c r="KO8" s="1395"/>
      <c r="KP8" s="1395"/>
      <c r="KQ8" s="1395"/>
      <c r="KR8" s="1395"/>
      <c r="KS8" s="1395"/>
      <c r="KT8" s="1395"/>
      <c r="KU8" s="1395"/>
      <c r="KV8" s="1395"/>
      <c r="KW8" s="1395"/>
      <c r="KX8" s="1395"/>
      <c r="KY8" s="1395"/>
      <c r="KZ8" s="1395"/>
      <c r="LA8" s="1395"/>
      <c r="LB8" s="1395"/>
      <c r="LC8" s="1395"/>
      <c r="LD8" s="2669"/>
      <c r="LF8" s="1395"/>
      <c r="LG8" s="1395"/>
      <c r="LH8" s="1395"/>
      <c r="LI8" s="1395"/>
      <c r="LJ8" s="17"/>
      <c r="LK8" s="18"/>
      <c r="LL8" s="1397"/>
      <c r="LM8" s="17"/>
      <c r="LN8" s="17"/>
      <c r="LO8" s="1395"/>
      <c r="LP8" s="2688"/>
      <c r="LQ8" s="1395"/>
      <c r="LR8" s="1395"/>
      <c r="LS8" s="1395"/>
      <c r="LT8" s="1395"/>
      <c r="LU8" s="1395"/>
      <c r="LV8" s="1396"/>
      <c r="LW8" s="1395"/>
      <c r="LX8" s="1395"/>
      <c r="LY8" s="1395"/>
      <c r="LZ8" s="1395"/>
      <c r="MA8" s="1395"/>
      <c r="MB8" s="1395"/>
      <c r="MC8" s="1395"/>
      <c r="MD8" s="1395"/>
      <c r="ME8" s="1395"/>
      <c r="MF8" s="1395"/>
      <c r="MG8" s="1395"/>
      <c r="MH8" s="1396"/>
      <c r="MI8" s="1395"/>
      <c r="MJ8" s="1395"/>
      <c r="MK8" s="1395"/>
      <c r="ML8" s="1395"/>
      <c r="MM8" s="1395"/>
      <c r="MN8" s="1396"/>
      <c r="MO8" s="1395"/>
      <c r="MP8" s="1395"/>
      <c r="MQ8" s="1395"/>
      <c r="MR8" s="1395"/>
      <c r="MS8" s="1395"/>
      <c r="MT8" s="1396"/>
      <c r="MU8" s="2688"/>
      <c r="NA8" s="2621"/>
      <c r="NB8" s="303"/>
      <c r="NC8" s="303"/>
      <c r="ND8" s="303"/>
      <c r="NR8" s="298">
        <f t="shared" ref="NR8:NR40" si="0">SUM(NF8:NQ8)</f>
        <v>0</v>
      </c>
      <c r="NS8" s="105"/>
      <c r="NT8" s="105"/>
      <c r="NU8" s="105"/>
      <c r="NV8" s="105"/>
      <c r="NW8" s="105"/>
      <c r="NX8" s="105"/>
      <c r="NY8" s="105"/>
      <c r="NZ8" s="105"/>
      <c r="OA8" s="105"/>
      <c r="OB8" s="105"/>
      <c r="OC8" s="105"/>
      <c r="OD8" s="105"/>
      <c r="OE8" s="298">
        <f t="shared" ref="OE8:OE40" si="1">SUM(NS8:OD8)</f>
        <v>0</v>
      </c>
      <c r="OJ8" s="304"/>
      <c r="OK8" s="304"/>
      <c r="ON8" s="304"/>
      <c r="OO8" s="304"/>
      <c r="OR8" s="298">
        <f t="shared" ref="OR8:OR40" si="2">SUM(OF8:OQ8)</f>
        <v>0</v>
      </c>
      <c r="OY8" s="19"/>
      <c r="PF8" s="298">
        <f t="shared" ref="PF8:PF40" si="3">SUM(OZ8:PE8)</f>
        <v>0</v>
      </c>
      <c r="PG8" s="2621"/>
      <c r="PP8" s="2615"/>
      <c r="QJ8" s="2615"/>
      <c r="RM8" s="2713" t="s">
        <v>285</v>
      </c>
      <c r="RN8" s="2713"/>
      <c r="RO8" s="2713"/>
      <c r="RP8" s="2713"/>
      <c r="RQ8" s="2713"/>
      <c r="RR8" s="2713"/>
      <c r="RU8" s="2713" t="s">
        <v>286</v>
      </c>
      <c r="RV8" s="2713"/>
      <c r="RW8" s="2713"/>
      <c r="RX8" s="2713"/>
      <c r="RY8" s="2714" t="s">
        <v>287</v>
      </c>
      <c r="RZ8" s="2714"/>
      <c r="SA8" s="2714"/>
      <c r="SB8" s="2714"/>
      <c r="SD8" s="1143" t="s">
        <v>288</v>
      </c>
      <c r="SE8" s="1143"/>
      <c r="SF8" s="1143"/>
    </row>
    <row r="9" spans="1:500" s="89" customFormat="1" ht="15" customHeight="1">
      <c r="B9" s="89">
        <f>COUNTIF(MW10:QD40,"&lt;"&amp;0)</f>
        <v>0</v>
      </c>
      <c r="N9" s="2629"/>
      <c r="S9" s="300"/>
      <c r="U9" s="105"/>
      <c r="V9" s="301"/>
      <c r="AA9" s="2723"/>
      <c r="AB9" s="2724"/>
      <c r="AC9" s="2724"/>
      <c r="AD9" s="2725"/>
      <c r="AM9" s="2629"/>
      <c r="AW9" s="300"/>
      <c r="CG9" s="147"/>
      <c r="CO9" s="323"/>
      <c r="DD9" s="2685"/>
      <c r="DE9" s="105"/>
      <c r="DF9" s="105"/>
      <c r="DG9" s="105"/>
      <c r="DH9" s="105"/>
      <c r="DI9" s="105"/>
      <c r="DJ9" s="105"/>
      <c r="DK9" s="105"/>
      <c r="DL9" s="105"/>
      <c r="DM9" s="105"/>
      <c r="DN9" s="105"/>
      <c r="DO9" s="105"/>
      <c r="DP9" s="105"/>
      <c r="DQ9" s="1142"/>
      <c r="ED9" s="19"/>
      <c r="EQ9" s="19"/>
      <c r="EX9" s="19"/>
      <c r="EY9" s="2685"/>
      <c r="FA9" s="19"/>
      <c r="FB9" s="19"/>
      <c r="FC9" s="19"/>
      <c r="FF9" s="2674"/>
      <c r="FM9" s="19"/>
      <c r="FT9" s="19"/>
      <c r="GG9" s="19"/>
      <c r="GH9" s="2674"/>
      <c r="GQ9" s="2667"/>
      <c r="GV9" s="19"/>
      <c r="GW9" s="2667"/>
      <c r="HL9" s="19"/>
      <c r="HM9" s="1141"/>
      <c r="HN9" s="1140"/>
      <c r="HO9" s="1140"/>
      <c r="HP9" s="1140"/>
      <c r="HQ9" s="1140"/>
      <c r="HR9" s="1140"/>
      <c r="HS9" s="1140"/>
      <c r="HT9" s="1140"/>
      <c r="HU9" s="1140"/>
      <c r="HV9" s="1140"/>
      <c r="HW9" s="1140"/>
      <c r="HX9" s="1140"/>
      <c r="HY9" s="1140"/>
      <c r="HZ9" s="1140"/>
      <c r="IA9" s="1139"/>
      <c r="IP9" s="19"/>
      <c r="JE9" s="19"/>
      <c r="JF9" s="2667"/>
      <c r="JM9" s="2669"/>
      <c r="KM9" s="2669"/>
      <c r="LD9" s="2669"/>
      <c r="LJ9" s="17"/>
      <c r="LK9" s="18"/>
      <c r="LL9" s="180"/>
      <c r="LM9" s="17"/>
      <c r="LN9" s="17"/>
      <c r="LP9" s="2688"/>
      <c r="LV9" s="19"/>
      <c r="MH9" s="19"/>
      <c r="MN9" s="19"/>
      <c r="MT9" s="19"/>
      <c r="MU9" s="2688"/>
      <c r="NA9" s="2621"/>
      <c r="NB9" s="1138">
        <f>'March TCM'!NB42</f>
        <v>17801.043361311269</v>
      </c>
      <c r="NC9" s="1138">
        <f>'March TCM'!NC42</f>
        <v>52633.766031995037</v>
      </c>
      <c r="ND9" s="866">
        <v>0</v>
      </c>
      <c r="NE9" s="349">
        <f t="shared" ref="NE9:NE40" si="4">SUM(NB9:ND9)</f>
        <v>70434.809393306306</v>
      </c>
      <c r="NF9" s="349"/>
      <c r="NG9" s="349"/>
      <c r="NH9" s="349"/>
      <c r="NI9" s="349"/>
      <c r="NJ9" s="349">
        <v>0</v>
      </c>
      <c r="NK9" s="349"/>
      <c r="NL9" s="349">
        <v>0</v>
      </c>
      <c r="NM9" s="349"/>
      <c r="NN9" s="349">
        <v>16122.830566563145</v>
      </c>
      <c r="NO9" s="349">
        <f>'March TCM'!NO41</f>
        <v>26196.69549600617</v>
      </c>
      <c r="NP9" s="349">
        <f>'March TCM'!NP41</f>
        <v>8756.5482322711578</v>
      </c>
      <c r="NQ9" s="349">
        <f>'March TCM'!NQ41</f>
        <v>11360.874118033411</v>
      </c>
      <c r="NR9" s="362">
        <f t="shared" si="0"/>
        <v>62436.948412873891</v>
      </c>
      <c r="NS9" s="349"/>
      <c r="NT9" s="349"/>
      <c r="NU9" s="349"/>
      <c r="NV9" s="349"/>
      <c r="NW9" s="349"/>
      <c r="NX9" s="349"/>
      <c r="NY9" s="349">
        <f>'March TCM'!NY41</f>
        <v>4449.8636022929131</v>
      </c>
      <c r="NZ9" s="349">
        <f>'March TCM'!NZ41</f>
        <v>0</v>
      </c>
      <c r="OA9" s="349">
        <f>'March TCM'!OA41</f>
        <v>11531.208066782838</v>
      </c>
      <c r="OB9" s="349">
        <f>'March TCM'!OB41</f>
        <v>0</v>
      </c>
      <c r="OC9" s="349">
        <f>'March TCM'!OC41</f>
        <v>349.54339982995594</v>
      </c>
      <c r="OD9" s="349"/>
      <c r="OE9" s="349">
        <f t="shared" si="1"/>
        <v>16330.615068905707</v>
      </c>
      <c r="OF9" s="349">
        <v>0</v>
      </c>
      <c r="OG9" s="349"/>
      <c r="OH9" s="349">
        <v>0</v>
      </c>
      <c r="OI9" s="349"/>
      <c r="OJ9" s="349">
        <v>0</v>
      </c>
      <c r="OK9" s="349"/>
      <c r="OL9" s="349">
        <v>0</v>
      </c>
      <c r="OM9" s="349"/>
      <c r="ON9" s="349">
        <f>'March TCM'!ON42</f>
        <v>16973.42621802651</v>
      </c>
      <c r="OO9" s="349">
        <f>'March TCM'!OO42</f>
        <v>0</v>
      </c>
      <c r="OP9" s="349">
        <f>'March TCM'!OP42</f>
        <v>2082.7241098141276</v>
      </c>
      <c r="OQ9" s="349"/>
      <c r="OR9" s="349">
        <f t="shared" si="2"/>
        <v>19056.150327840638</v>
      </c>
      <c r="OZ9" s="42"/>
      <c r="PA9" s="42"/>
      <c r="PB9" s="42"/>
      <c r="PC9" s="42"/>
      <c r="PD9" s="42"/>
      <c r="PE9" s="42"/>
      <c r="PF9" s="298">
        <f t="shared" si="3"/>
        <v>0</v>
      </c>
      <c r="PG9" s="2621"/>
      <c r="PM9" s="2028">
        <f>'March TCM'!PM42</f>
        <v>6830.7384593441875</v>
      </c>
      <c r="PN9" s="2028">
        <f>'March TCM'!PN42</f>
        <v>19927.176980961227</v>
      </c>
      <c r="PP9" s="2615"/>
      <c r="QE9" s="1137">
        <f>'February TCM'!QE42</f>
        <v>29562.488999999998</v>
      </c>
      <c r="QF9" s="1925">
        <f>'February TCM'!QF42</f>
        <v>406502.85955851001</v>
      </c>
      <c r="QG9" s="1137">
        <f>'February TCM'!QG42</f>
        <v>0</v>
      </c>
      <c r="QH9" s="1136">
        <v>5505.3678056099998</v>
      </c>
      <c r="QJ9" s="2615"/>
      <c r="QL9" s="105"/>
      <c r="QM9" s="105"/>
      <c r="RH9" s="42">
        <v>45424.161751083164</v>
      </c>
      <c r="RI9" s="42">
        <v>3925.5835498622801</v>
      </c>
      <c r="RJ9" s="42">
        <v>9178.5689913333827</v>
      </c>
      <c r="RK9" s="42">
        <f t="shared" ref="RK9:RK40" si="5">SUM(RH9:RJ9)</f>
        <v>58528.314292278832</v>
      </c>
      <c r="RM9" s="866" t="s">
        <v>81</v>
      </c>
      <c r="RN9" s="866" t="s">
        <v>289</v>
      </c>
      <c r="RO9" s="1135" t="s">
        <v>290</v>
      </c>
      <c r="RP9" s="1135" t="s">
        <v>37</v>
      </c>
      <c r="RQ9" s="42" t="s">
        <v>291</v>
      </c>
      <c r="RR9" s="42" t="s">
        <v>292</v>
      </c>
      <c r="RW9" s="1134" t="s">
        <v>293</v>
      </c>
      <c r="RY9" s="1133"/>
      <c r="RZ9" s="1133" t="s">
        <v>294</v>
      </c>
      <c r="SA9" s="1133"/>
      <c r="SB9" s="1133" t="s">
        <v>178</v>
      </c>
      <c r="SF9" s="89" t="s">
        <v>293</v>
      </c>
    </row>
    <row r="10" spans="1:500" s="1" customFormat="1" ht="15" customHeight="1">
      <c r="B10" s="471">
        <v>1</v>
      </c>
      <c r="C10" s="4">
        <f t="shared" ref="C10:C40" si="6">+O10+S10+W10+AE10+AI10+AA10</f>
        <v>147441</v>
      </c>
      <c r="D10" s="1590">
        <f>P10+T10+X10+AB10</f>
        <v>8198.66</v>
      </c>
      <c r="E10" s="1895">
        <f t="shared" ref="E10:E42" si="7">IFERROR(C10/D10,0)</f>
        <v>17.983548531101423</v>
      </c>
      <c r="F10" s="870"/>
      <c r="G10" s="870"/>
      <c r="H10" s="295"/>
      <c r="I10" s="299"/>
      <c r="J10" s="48"/>
      <c r="K10" s="50"/>
      <c r="L10" s="48">
        <v>1</v>
      </c>
      <c r="M10" s="60">
        <v>4</v>
      </c>
      <c r="N10" s="2629"/>
      <c r="O10" s="4">
        <f>+SUM(AQ10,BC10,AW10)</f>
        <v>88284</v>
      </c>
      <c r="P10" s="1225">
        <f t="shared" ref="P10:P40" si="8">+SUM(AR10,AU10,AX10,BD10)</f>
        <v>4901.38</v>
      </c>
      <c r="Q10" s="1950">
        <f t="shared" ref="Q10:Q43" si="9">IFERROR(O10/P10,0)</f>
        <v>18.012070070061899</v>
      </c>
      <c r="R10" s="32"/>
      <c r="S10" s="26">
        <f t="shared" ref="S10:S43" si="10">SUM(BF10,BI10,BL10,BX10)</f>
        <v>25194</v>
      </c>
      <c r="T10" s="27">
        <f t="shared" ref="T10:T40" si="11">+SUM(BY10,BJ10,BM10,BG10)</f>
        <v>597.28</v>
      </c>
      <c r="U10" s="1919">
        <f t="shared" ref="U10:U44" si="12">IFERROR(S10/T10,0)</f>
        <v>42.181221537637292</v>
      </c>
      <c r="V10" s="25"/>
      <c r="W10" s="1742">
        <f t="shared" ref="W10:X40" si="13">BU10+CD10+BR10</f>
        <v>33963</v>
      </c>
      <c r="X10" s="5">
        <f t="shared" si="13"/>
        <v>2700</v>
      </c>
      <c r="Y10" s="1737">
        <f t="shared" ref="Y10:Y43" si="14">IFERROR(W10/X10,0)</f>
        <v>12.578888888888889</v>
      </c>
      <c r="Z10" s="32"/>
      <c r="AA10" s="26">
        <f t="shared" ref="AA10:AA39" si="15">SUM(BO10)</f>
        <v>0</v>
      </c>
      <c r="AB10" s="27">
        <f t="shared" ref="AB10:AB41" si="16">BP10+CB10</f>
        <v>0</v>
      </c>
      <c r="AC10" s="53">
        <f t="shared" ref="AC10:AC41" si="17">IFERROR(AA10/AB10,0)</f>
        <v>0</v>
      </c>
      <c r="AD10" s="28"/>
      <c r="AE10" s="36"/>
      <c r="AF10" s="36"/>
      <c r="AG10" s="49">
        <f t="shared" ref="AG10:AG42" si="18">IFERROR(AE10/AF10,0)</f>
        <v>0</v>
      </c>
      <c r="AH10" s="25"/>
      <c r="AI10" s="23"/>
      <c r="AJ10" s="24"/>
      <c r="AK10" s="49">
        <f t="shared" ref="AK10:AK43" si="19">IFERROR(AI10/AJ10,0)</f>
        <v>0</v>
      </c>
      <c r="AL10" s="25"/>
      <c r="AM10" s="2629"/>
      <c r="AN10" s="8"/>
      <c r="AO10" s="3"/>
      <c r="AP10" s="60">
        <f t="shared" ref="AP10:AP41" si="20">IFERROR(AN10/AO10,0)</f>
        <v>0</v>
      </c>
      <c r="AQ10" s="35"/>
      <c r="AR10" s="49"/>
      <c r="AS10" s="60">
        <f t="shared" ref="AS10:AS42" si="21">IFERROR(AQ10/AR10,0)</f>
        <v>0</v>
      </c>
      <c r="AT10" s="35"/>
      <c r="AU10" s="24"/>
      <c r="AV10" s="50">
        <f t="shared" ref="AV10:AV41" si="22">IFERROR(AT10/AU10,0)</f>
        <v>0</v>
      </c>
      <c r="AW10" s="1108">
        <v>44310</v>
      </c>
      <c r="AX10" s="24">
        <v>4901.38</v>
      </c>
      <c r="AY10" s="1734">
        <v>0</v>
      </c>
      <c r="AZ10" s="35"/>
      <c r="BA10" s="24"/>
      <c r="BB10" s="60">
        <v>0</v>
      </c>
      <c r="BC10" s="1739">
        <v>43974</v>
      </c>
      <c r="BD10" s="1926">
        <v>0</v>
      </c>
      <c r="BE10" s="1734">
        <v>0</v>
      </c>
      <c r="BF10" s="35"/>
      <c r="BG10" s="49"/>
      <c r="BH10" s="60">
        <v>0</v>
      </c>
      <c r="BI10" s="35">
        <v>0</v>
      </c>
      <c r="BJ10" s="49">
        <v>0</v>
      </c>
      <c r="BK10" s="60">
        <v>0</v>
      </c>
      <c r="BL10" s="1742">
        <v>25194</v>
      </c>
      <c r="BM10" s="1909">
        <v>597.28</v>
      </c>
      <c r="BN10" s="1734">
        <v>42.181221537637292</v>
      </c>
      <c r="BO10" s="1132"/>
      <c r="BP10" s="49"/>
      <c r="BQ10" s="60">
        <v>0</v>
      </c>
      <c r="BR10" s="35"/>
      <c r="BS10" s="49"/>
      <c r="BT10" s="60">
        <v>0</v>
      </c>
      <c r="BU10" s="35">
        <v>33963</v>
      </c>
      <c r="BV10" s="24">
        <v>2700</v>
      </c>
      <c r="BW10" s="1905">
        <v>12.578888888888889</v>
      </c>
      <c r="BX10" s="26"/>
      <c r="BY10" s="24"/>
      <c r="BZ10" s="61">
        <f t="shared" ref="BZ10:BZ43" si="23">IFERROR(BX10/BY10,0)</f>
        <v>0</v>
      </c>
      <c r="CA10" s="35"/>
      <c r="CB10" s="24"/>
      <c r="CC10" s="60">
        <f t="shared" ref="CC10:CC43" si="24">IFERROR(CA10/CB10,0)</f>
        <v>0</v>
      </c>
      <c r="CD10" s="23"/>
      <c r="CE10" s="1345"/>
      <c r="CF10" s="25">
        <f t="shared" ref="CF10:CF41" si="25">IFERROR(CD10/CE10,0)</f>
        <v>0</v>
      </c>
      <c r="CG10" s="149"/>
      <c r="CH10" s="1131"/>
      <c r="CI10" s="3"/>
      <c r="CJ10" s="3"/>
      <c r="CK10" s="3"/>
      <c r="CL10" s="3"/>
      <c r="CM10" s="3">
        <f t="shared" ref="CM10:CM40" si="26">SUM(CH10:CL10)</f>
        <v>0</v>
      </c>
      <c r="CN10" s="32"/>
      <c r="CO10" s="366"/>
      <c r="CQ10" s="2">
        <f t="shared" ref="CQ10:DB31" si="27">SUM(DE10,DR10,EE10)</f>
        <v>0</v>
      </c>
      <c r="CR10" s="8">
        <f t="shared" si="27"/>
        <v>0</v>
      </c>
      <c r="CS10" s="3">
        <f t="shared" si="27"/>
        <v>0</v>
      </c>
      <c r="CT10" s="3">
        <f t="shared" si="27"/>
        <v>0</v>
      </c>
      <c r="CU10" s="3">
        <f t="shared" si="27"/>
        <v>0</v>
      </c>
      <c r="CV10" s="3">
        <f t="shared" si="27"/>
        <v>0</v>
      </c>
      <c r="CW10" s="1408">
        <f t="shared" si="27"/>
        <v>0</v>
      </c>
      <c r="CX10" s="3">
        <f t="shared" si="27"/>
        <v>0</v>
      </c>
      <c r="CY10" s="3">
        <f t="shared" si="27"/>
        <v>5718.66</v>
      </c>
      <c r="CZ10" s="3">
        <f t="shared" si="27"/>
        <v>0</v>
      </c>
      <c r="DA10" s="1408">
        <f t="shared" si="27"/>
        <v>2480</v>
      </c>
      <c r="DB10" s="11">
        <f t="shared" si="27"/>
        <v>0</v>
      </c>
      <c r="DC10" s="310">
        <f t="shared" ref="DC10:DC31" si="28">SUM(CQ10:DB10,PV10,PW10)</f>
        <v>8198.66</v>
      </c>
      <c r="DD10" s="2695"/>
      <c r="DE10" s="8"/>
      <c r="DF10" s="8"/>
      <c r="DG10" s="3"/>
      <c r="DH10" s="3"/>
      <c r="DI10" s="3"/>
      <c r="DJ10" s="3"/>
      <c r="DK10" s="3">
        <v>0</v>
      </c>
      <c r="DL10" s="3"/>
      <c r="DM10" s="3">
        <v>4901.38</v>
      </c>
      <c r="DN10" s="3"/>
      <c r="DO10" s="3"/>
      <c r="DP10" s="11"/>
      <c r="DQ10" s="1905">
        <f t="shared" ref="DQ10:DQ40" si="29">SUM(DE10:DP10)</f>
        <v>4901.38</v>
      </c>
      <c r="DR10" s="35"/>
      <c r="DS10" s="35"/>
      <c r="DT10" s="24"/>
      <c r="DU10" s="24"/>
      <c r="DV10" s="3"/>
      <c r="DW10" s="3"/>
      <c r="DX10" s="3"/>
      <c r="DY10" s="3"/>
      <c r="DZ10" s="3">
        <v>597.28</v>
      </c>
      <c r="EA10" s="49"/>
      <c r="EB10" s="24">
        <v>0</v>
      </c>
      <c r="EC10" s="32"/>
      <c r="ED10" s="28">
        <f t="shared" ref="ED10:ED40" si="30">SUM(DR10:EC10)</f>
        <v>597.28</v>
      </c>
      <c r="EE10" s="24"/>
      <c r="EF10" s="35"/>
      <c r="EG10" s="3"/>
      <c r="EH10" s="24"/>
      <c r="EI10" s="24"/>
      <c r="EJ10" s="24"/>
      <c r="EK10" s="24"/>
      <c r="EL10" s="24"/>
      <c r="EM10" s="3">
        <v>220</v>
      </c>
      <c r="EN10" s="3"/>
      <c r="EO10" s="2106">
        <v>2480</v>
      </c>
      <c r="EP10" s="32"/>
      <c r="EQ10" s="25">
        <f t="shared" ref="EQ10:EQ40" si="31">SUM(EE10:EO10)</f>
        <v>2700</v>
      </c>
      <c r="ER10" s="35"/>
      <c r="ES10" s="24"/>
      <c r="ET10" s="24"/>
      <c r="EU10" s="24"/>
      <c r="EV10" s="24"/>
      <c r="EW10" s="24"/>
      <c r="EX10" s="32">
        <f t="shared" ref="EX10:EX40" si="32">SUM(ER10:EW10)</f>
        <v>0</v>
      </c>
      <c r="EY10" s="2685"/>
      <c r="FA10" s="2">
        <f t="shared" ref="FA10:FA40" si="33">+FM10</f>
        <v>0</v>
      </c>
      <c r="FB10" s="3">
        <f t="shared" ref="FB10:FB40" si="34">+FT10</f>
        <v>0</v>
      </c>
      <c r="FC10" s="3">
        <f t="shared" ref="FC10:FC40" si="35">+GG10</f>
        <v>0</v>
      </c>
      <c r="FD10" s="11">
        <f t="shared" ref="FD10:FD40" si="36">SUM(FA10:FC10)</f>
        <v>0</v>
      </c>
      <c r="FE10" s="32"/>
      <c r="FF10" s="2674"/>
      <c r="FG10" s="8"/>
      <c r="FH10" s="3"/>
      <c r="FI10" s="3"/>
      <c r="FJ10" s="3"/>
      <c r="FK10" s="3"/>
      <c r="FL10" s="24"/>
      <c r="FM10" s="25">
        <f t="shared" ref="FM10:FM40" si="37">SUM(FG10:FL10)</f>
        <v>0</v>
      </c>
      <c r="FN10" s="35"/>
      <c r="FO10" s="24"/>
      <c r="FP10" s="24"/>
      <c r="FQ10" s="24"/>
      <c r="FR10" s="24"/>
      <c r="FS10" s="24"/>
      <c r="FT10" s="25">
        <f t="shared" ref="FT10:FT40" si="38">SUM(FN10:FS10)</f>
        <v>0</v>
      </c>
      <c r="FU10" s="35"/>
      <c r="FV10" s="35"/>
      <c r="FW10" s="24"/>
      <c r="FX10" s="24"/>
      <c r="FY10" s="24"/>
      <c r="FZ10" s="24"/>
      <c r="GA10" s="24"/>
      <c r="GB10" s="24"/>
      <c r="GC10" s="24"/>
      <c r="GD10" s="24"/>
      <c r="GE10" s="24"/>
      <c r="GF10" s="32"/>
      <c r="GG10" s="32">
        <f t="shared" ref="GG10:GG40" si="39">SUM(FU10:GE10)</f>
        <v>0</v>
      </c>
      <c r="GH10" s="2674"/>
      <c r="GJ10" s="2">
        <f>+HL10</f>
        <v>0</v>
      </c>
      <c r="GK10" s="63">
        <f>+IP10</f>
        <v>0</v>
      </c>
      <c r="GL10" s="24">
        <f>+JE10</f>
        <v>0</v>
      </c>
      <c r="GM10" s="1926">
        <f t="shared" ref="GM10:GM40" si="40">SUM(GJ10:GL10)</f>
        <v>0</v>
      </c>
      <c r="GN10" s="140"/>
      <c r="GO10" s="140"/>
      <c r="GP10" s="1130" t="s">
        <v>295</v>
      </c>
      <c r="GQ10" s="2667"/>
      <c r="GR10" s="1739">
        <v>0</v>
      </c>
      <c r="GS10" s="1926">
        <v>0</v>
      </c>
      <c r="GT10" s="1926">
        <v>0</v>
      </c>
      <c r="GU10" s="1926">
        <v>0</v>
      </c>
      <c r="GV10" s="1722">
        <f t="shared" ref="GV10:GV40" si="41">SUM(GR10:GU10)</f>
        <v>0</v>
      </c>
      <c r="GW10" s="2667"/>
      <c r="GX10" s="35"/>
      <c r="GY10" s="35"/>
      <c r="GZ10" s="24"/>
      <c r="HA10" s="24"/>
      <c r="HB10" s="24"/>
      <c r="HC10" s="24"/>
      <c r="HD10" s="24"/>
      <c r="HE10" s="24"/>
      <c r="HF10" s="24">
        <v>0</v>
      </c>
      <c r="HG10" s="24"/>
      <c r="HH10" s="24">
        <v>0</v>
      </c>
      <c r="HI10" s="24"/>
      <c r="HJ10" s="24">
        <v>0</v>
      </c>
      <c r="HK10" s="24"/>
      <c r="HL10" s="25">
        <f t="shared" ref="HL10:HL16" si="42">SUM(GX10:HK10)</f>
        <v>0</v>
      </c>
      <c r="HM10" s="35"/>
      <c r="HN10" s="24"/>
      <c r="HO10" s="24"/>
      <c r="HP10" s="24"/>
      <c r="HQ10" s="24"/>
      <c r="HR10" s="24"/>
      <c r="HS10" s="24" cm="1">
        <f t="array" ref="HS10">SUMPRODUCT(('Data Base hauling'!$C$2:$C$216="TCM-ROM SB1 BK05-ROM 4")*(ISNUMBER(SEARCH(TEXT('April TCM'!$B10,"00")&amp;"/03/2026",'Data Base hauling'!$E$2:$E$216)))*'Data Base hauling'!$N$2:$N$216)</f>
        <v>0</v>
      </c>
      <c r="HT10" s="24"/>
      <c r="HU10" s="24" cm="1">
        <f t="array" ref="HU10">SUMPRODUCT(('Data Base hauling'!$C$2:$C$216="TCM-ROM SB1 BK05-ROM 5")*(ISNUMBER(SEARCH(TEXT('April TCM'!$B10,"00")&amp;"/03/2026",'Data Base hauling'!$E$2:$E$216)))*'Data Base hauling'!$N$2:$N$216)</f>
        <v>0</v>
      </c>
      <c r="HV10" s="24"/>
      <c r="HW10" s="24"/>
      <c r="HX10" s="24"/>
      <c r="HY10" s="24"/>
      <c r="HZ10" s="24"/>
      <c r="IA10" s="32">
        <f t="shared" ref="IA10:IA42" si="43">SUM(HM10:HZ10)</f>
        <v>0</v>
      </c>
      <c r="IB10" s="48"/>
      <c r="IC10" s="1129"/>
      <c r="ID10" s="49"/>
      <c r="IE10" s="49"/>
      <c r="IF10" s="49"/>
      <c r="IG10" s="49"/>
      <c r="IH10" s="49">
        <v>0</v>
      </c>
      <c r="II10" s="49"/>
      <c r="IJ10" s="1926">
        <v>0</v>
      </c>
      <c r="IK10" s="49"/>
      <c r="IL10" s="49">
        <v>0</v>
      </c>
      <c r="IM10" s="49"/>
      <c r="IN10" s="49"/>
      <c r="IO10" s="49">
        <v>0</v>
      </c>
      <c r="IP10" s="61">
        <f t="shared" ref="IP10:IP16" si="44">SUM(IB10:IO10)</f>
        <v>0</v>
      </c>
      <c r="IQ10" s="35"/>
      <c r="IR10" s="35"/>
      <c r="IS10" s="24"/>
      <c r="IT10" s="24"/>
      <c r="IU10" s="49"/>
      <c r="IV10" s="24"/>
      <c r="IW10" s="24">
        <v>0</v>
      </c>
      <c r="IX10" s="24"/>
      <c r="IY10" s="24">
        <v>0</v>
      </c>
      <c r="IZ10" s="24"/>
      <c r="JA10" s="24">
        <v>0</v>
      </c>
      <c r="JB10" s="24"/>
      <c r="JC10" s="24"/>
      <c r="JD10" s="24"/>
      <c r="JE10" s="32">
        <f t="shared" ref="JE10" si="45">SUM(IQ10:JD10)</f>
        <v>0</v>
      </c>
      <c r="JF10" s="2667"/>
      <c r="JH10" s="2014">
        <v>0</v>
      </c>
      <c r="JI10" s="2015">
        <v>0</v>
      </c>
      <c r="JJ10" s="49"/>
      <c r="JK10" s="1736">
        <f t="shared" ref="JK10:JK18" si="46">+JH10+JJ10+JI10</f>
        <v>0</v>
      </c>
      <c r="JL10" s="32"/>
      <c r="JM10" s="2669"/>
      <c r="JN10" s="66" t="s">
        <v>296</v>
      </c>
      <c r="JO10" s="67" t="s">
        <v>296</v>
      </c>
      <c r="JP10" s="67" t="s">
        <v>296</v>
      </c>
      <c r="JQ10" s="67" t="s">
        <v>296</v>
      </c>
      <c r="JR10" s="67" t="s">
        <v>296</v>
      </c>
      <c r="JS10" s="67" t="s">
        <v>296</v>
      </c>
      <c r="JT10" s="67" t="s">
        <v>296</v>
      </c>
      <c r="JU10" s="1921">
        <v>0</v>
      </c>
      <c r="JV10" s="66" t="s">
        <v>296</v>
      </c>
      <c r="JW10" s="67" t="s">
        <v>296</v>
      </c>
      <c r="JX10" s="67" t="s">
        <v>296</v>
      </c>
      <c r="JY10" s="67" t="s">
        <v>296</v>
      </c>
      <c r="JZ10" s="67" t="s">
        <v>296</v>
      </c>
      <c r="KA10" s="67" t="s">
        <v>296</v>
      </c>
      <c r="KB10" s="67" t="s">
        <v>296</v>
      </c>
      <c r="KC10" s="68" t="s">
        <v>296</v>
      </c>
      <c r="KD10" s="66"/>
      <c r="KE10" s="67"/>
      <c r="KF10" s="67"/>
      <c r="KG10" s="67"/>
      <c r="KH10" s="67"/>
      <c r="KI10" s="67"/>
      <c r="KJ10" s="67"/>
      <c r="KK10" s="67"/>
      <c r="KL10" s="32"/>
      <c r="KM10" s="2669"/>
      <c r="KN10" s="1739">
        <v>0</v>
      </c>
      <c r="KO10" s="1721">
        <v>0</v>
      </c>
      <c r="KP10" s="1721">
        <v>0</v>
      </c>
      <c r="KQ10" s="1721">
        <v>0</v>
      </c>
      <c r="KR10" s="1722">
        <v>0</v>
      </c>
      <c r="KS10" s="1958">
        <v>0</v>
      </c>
      <c r="KT10" s="1961">
        <v>0</v>
      </c>
      <c r="KU10" s="1961">
        <v>0</v>
      </c>
      <c r="KV10" s="1961">
        <v>0</v>
      </c>
      <c r="KW10" s="1962">
        <v>0</v>
      </c>
      <c r="KX10" s="35"/>
      <c r="KY10" s="49"/>
      <c r="KZ10" s="49"/>
      <c r="LA10" s="49"/>
      <c r="LB10" s="49"/>
      <c r="LC10" s="32"/>
      <c r="LD10" s="2669"/>
      <c r="LF10" s="998">
        <f t="shared" ref="LF10:LH40" si="47">SUM(LQ10,LW10,MI10,MO10+MC10)</f>
        <v>0</v>
      </c>
      <c r="LG10" s="27">
        <f t="shared" si="47"/>
        <v>0</v>
      </c>
      <c r="LH10" s="27">
        <f t="shared" si="47"/>
        <v>0</v>
      </c>
      <c r="LI10" s="28">
        <f t="shared" ref="LI10:LI40" si="48">SUM(LF10:LH10)</f>
        <v>0</v>
      </c>
      <c r="LJ10" s="35"/>
      <c r="LK10" s="24"/>
      <c r="LL10" s="24">
        <v>2</v>
      </c>
      <c r="LM10" s="32"/>
      <c r="LN10" s="1030">
        <v>4.1500000000000004</v>
      </c>
      <c r="LO10" s="1128" t="s">
        <v>867</v>
      </c>
      <c r="LP10" s="2688"/>
      <c r="LQ10" s="35"/>
      <c r="LR10" s="35"/>
      <c r="LS10" s="24"/>
      <c r="LT10" s="24"/>
      <c r="LU10" s="24"/>
      <c r="LV10" s="1117">
        <f t="shared" ref="LV10:LV40" si="49">SUM(LQ10:LU10)</f>
        <v>0</v>
      </c>
      <c r="LW10" s="35"/>
      <c r="LX10" s="35"/>
      <c r="LY10" s="24"/>
      <c r="LZ10" s="24"/>
      <c r="MA10" s="417"/>
      <c r="MB10" s="28">
        <f t="shared" ref="MB10:MB40" si="50">SUM(LW10:MA10)</f>
        <v>0</v>
      </c>
      <c r="MC10" s="23"/>
      <c r="MD10" s="35"/>
      <c r="ME10" s="24"/>
      <c r="MF10" s="24"/>
      <c r="MG10" s="24"/>
      <c r="MH10" s="25"/>
      <c r="MI10" s="35"/>
      <c r="MJ10" s="35"/>
      <c r="MK10" s="24"/>
      <c r="ML10" s="24"/>
      <c r="MM10" s="24"/>
      <c r="MN10" s="25"/>
      <c r="MO10" s="35"/>
      <c r="MP10" s="35"/>
      <c r="MQ10" s="24"/>
      <c r="MR10" s="24"/>
      <c r="MS10" s="24"/>
      <c r="MT10" s="32">
        <f t="shared" ref="MT10:MT40" si="51">SUM(MO10:MS10)</f>
        <v>0</v>
      </c>
      <c r="MU10" s="2688"/>
      <c r="MW10" s="23">
        <f t="shared" ref="MW10:MW40" si="52">+NE10</f>
        <v>70434.809393306306</v>
      </c>
      <c r="MX10" s="24">
        <f t="shared" ref="MX10:MX40" si="53">+SUM(NR10,OE10,OR10,OY10,PF10)</f>
        <v>106022.37380962024</v>
      </c>
      <c r="MY10" s="24">
        <f t="shared" ref="MY10:MY40" si="54">+PN10</f>
        <v>19927.176980961227</v>
      </c>
      <c r="MZ10" s="333">
        <f t="shared" ref="MZ10:MZ40" si="55">+SUM(QE10,QF10,QG10)</f>
        <v>434564.40855851001</v>
      </c>
      <c r="NA10" s="2621"/>
      <c r="NB10" s="23">
        <f t="shared" ref="NB10:NB40" si="56">+NB9+JH10-LF10-LH10</f>
        <v>17801.043361311269</v>
      </c>
      <c r="NC10" s="1655">
        <f t="shared" ref="NC10:NC40" si="57">+NC9+JI10-LG10</f>
        <v>52633.766031995037</v>
      </c>
      <c r="ND10" s="60">
        <f t="shared" ref="ND10:ND40" si="58">+ND9+JJ10</f>
        <v>0</v>
      </c>
      <c r="NE10" s="274">
        <f t="shared" si="4"/>
        <v>70434.809393306306</v>
      </c>
      <c r="NF10" s="23">
        <f t="shared" ref="NF10:NO25" si="59">+NF9+EE10-GX10</f>
        <v>0</v>
      </c>
      <c r="NG10" s="23">
        <f t="shared" si="59"/>
        <v>0</v>
      </c>
      <c r="NH10" s="24">
        <f t="shared" si="59"/>
        <v>0</v>
      </c>
      <c r="NI10" s="24">
        <f t="shared" si="59"/>
        <v>0</v>
      </c>
      <c r="NJ10" s="24">
        <f t="shared" si="59"/>
        <v>0</v>
      </c>
      <c r="NK10" s="24">
        <f t="shared" si="59"/>
        <v>0</v>
      </c>
      <c r="NL10" s="24">
        <f>+NL9+EK10-HD10</f>
        <v>0</v>
      </c>
      <c r="NM10" s="24">
        <f t="shared" si="59"/>
        <v>0</v>
      </c>
      <c r="NN10" s="24">
        <f>+NN9+EM10-HF10</f>
        <v>16342.830566563145</v>
      </c>
      <c r="NO10" s="24">
        <f t="shared" si="59"/>
        <v>26196.69549600617</v>
      </c>
      <c r="NP10" s="24">
        <f>+NP9+EE10-GX10</f>
        <v>8756.5482322711578</v>
      </c>
      <c r="NQ10" s="24">
        <f>+NQ9+EO10-HH10</f>
        <v>13840.874118033411</v>
      </c>
      <c r="NR10" s="24">
        <f t="shared" si="0"/>
        <v>65136.948412873891</v>
      </c>
      <c r="NS10" s="27">
        <f t="shared" ref="NS10:OA25" si="60">+NS9+DE10-IB10</f>
        <v>0</v>
      </c>
      <c r="NT10" s="280">
        <f t="shared" si="60"/>
        <v>0</v>
      </c>
      <c r="NU10" s="1127">
        <f t="shared" si="60"/>
        <v>0</v>
      </c>
      <c r="NV10" s="280">
        <f t="shared" si="60"/>
        <v>0</v>
      </c>
      <c r="NW10" s="27">
        <f t="shared" si="60"/>
        <v>0</v>
      </c>
      <c r="NX10" s="27">
        <f t="shared" si="60"/>
        <v>0</v>
      </c>
      <c r="NY10" s="27">
        <f t="shared" si="60"/>
        <v>4449.8636022929131</v>
      </c>
      <c r="NZ10" s="27">
        <f t="shared" si="60"/>
        <v>0</v>
      </c>
      <c r="OA10" s="27">
        <f t="shared" si="60"/>
        <v>16432.588066782839</v>
      </c>
      <c r="OB10" s="280"/>
      <c r="OC10" s="24">
        <f t="shared" ref="OC10:OD25" si="61">+OC9+DO10-IL10</f>
        <v>349.54339982995594</v>
      </c>
      <c r="OD10" s="24">
        <f t="shared" si="61"/>
        <v>0</v>
      </c>
      <c r="OE10" s="24">
        <f t="shared" si="1"/>
        <v>21231.995068905708</v>
      </c>
      <c r="OF10" s="24">
        <f t="shared" ref="OF10:OQ25" si="62">+OF9+DR10+FU10-IQ10</f>
        <v>0</v>
      </c>
      <c r="OG10" s="24">
        <f t="shared" si="62"/>
        <v>0</v>
      </c>
      <c r="OH10" s="24">
        <f t="shared" si="62"/>
        <v>0</v>
      </c>
      <c r="OI10" s="24">
        <f t="shared" si="62"/>
        <v>0</v>
      </c>
      <c r="OJ10" s="27">
        <f t="shared" si="62"/>
        <v>0</v>
      </c>
      <c r="OK10" s="24">
        <f t="shared" si="62"/>
        <v>0</v>
      </c>
      <c r="OL10" s="24">
        <f t="shared" si="62"/>
        <v>0</v>
      </c>
      <c r="OM10" s="24">
        <f t="shared" si="62"/>
        <v>0</v>
      </c>
      <c r="ON10" s="24">
        <f>+ON9+DZ10+GC10-IY10</f>
        <v>17570.706218026509</v>
      </c>
      <c r="OO10" s="24">
        <f t="shared" si="62"/>
        <v>0</v>
      </c>
      <c r="OP10" s="24">
        <f t="shared" si="62"/>
        <v>2082.7241098141276</v>
      </c>
      <c r="OQ10" s="24">
        <f t="shared" si="62"/>
        <v>0</v>
      </c>
      <c r="OR10" s="25">
        <f t="shared" si="2"/>
        <v>19653.430327840637</v>
      </c>
      <c r="OS10" s="35"/>
      <c r="OT10" s="24"/>
      <c r="OU10" s="24"/>
      <c r="OV10" s="24"/>
      <c r="OW10" s="24"/>
      <c r="OX10" s="24"/>
      <c r="OY10" s="25">
        <f t="shared" ref="OY10:OY40" si="63">SUM(OS10:OX10)</f>
        <v>0</v>
      </c>
      <c r="OZ10" s="35">
        <f t="shared" ref="OZ10:OZ40" si="64">+OZ9+ER10-FU10</f>
        <v>0</v>
      </c>
      <c r="PA10" s="24">
        <f t="shared" ref="PA10:PA40" si="65">+PA9+ES10-FW10</f>
        <v>0</v>
      </c>
      <c r="PB10" s="24">
        <f t="shared" ref="PB10:PB40" si="66">+PB9+ET10-FY10</f>
        <v>0</v>
      </c>
      <c r="PC10" s="24">
        <f t="shared" ref="PC10:PC40" si="67">+PC9+EU10-GA10</f>
        <v>0</v>
      </c>
      <c r="PD10" s="24">
        <f t="shared" ref="PD10:PD40" si="68">+PD9+EV10-GC10</f>
        <v>0</v>
      </c>
      <c r="PE10" s="24">
        <f t="shared" ref="PE10:PE40" si="69">+PE9+EW10-GE10</f>
        <v>0</v>
      </c>
      <c r="PF10" s="32">
        <f t="shared" si="3"/>
        <v>0</v>
      </c>
      <c r="PG10" s="2621"/>
      <c r="PI10" s="1907">
        <v>1500.94</v>
      </c>
      <c r="PJ10" s="3"/>
      <c r="PK10" s="3"/>
      <c r="PL10" s="3">
        <f t="shared" ref="PL10:PL40" si="70">HJ10</f>
        <v>0</v>
      </c>
      <c r="PM10" s="3">
        <f t="shared" ref="PM10:PM40" si="71">PM9+PI10-PJ10</f>
        <v>8331.678459344188</v>
      </c>
      <c r="PN10" s="11">
        <f t="shared" ref="PN10:PN40" si="72">PN9+PK10-PL10</f>
        <v>19927.176980961227</v>
      </c>
      <c r="PO10" s="14"/>
      <c r="PP10" s="2615"/>
      <c r="PR10" s="2"/>
      <c r="PS10" s="8"/>
      <c r="PT10" s="8"/>
      <c r="PU10" s="8"/>
      <c r="PV10" s="8">
        <v>0</v>
      </c>
      <c r="PW10" s="8"/>
      <c r="PX10" s="8">
        <f t="shared" ref="PX10:PX40" si="73">SUM(PU10:PW10)</f>
        <v>0</v>
      </c>
      <c r="PY10" s="3">
        <f t="shared" ref="PY10:PY40" si="74">+PI10</f>
        <v>1500.94</v>
      </c>
      <c r="PZ10" s="3"/>
      <c r="QA10" s="3"/>
      <c r="QB10" s="3"/>
      <c r="QC10" s="3"/>
      <c r="QD10" s="3"/>
      <c r="QE10" s="11">
        <f t="shared" ref="QE10:QE40" si="75">+QE9+PR10-HK10</f>
        <v>29562.488999999998</v>
      </c>
      <c r="QF10" s="420">
        <f t="shared" ref="QF10:QF40" si="76">+QF9+PU10+PV10-IO10-PY10</f>
        <v>405001.91955851001</v>
      </c>
      <c r="QG10" s="1106">
        <f t="shared" ref="QG10:QG40" si="77">+QG9+PX10-QD10</f>
        <v>0</v>
      </c>
      <c r="QH10" s="484">
        <f t="shared" ref="QH10:QH40" si="78">QH9-QC10</f>
        <v>5505.3678056099998</v>
      </c>
      <c r="QI10" s="11"/>
      <c r="QJ10" s="2615"/>
      <c r="QL10" s="139" t="str">
        <f t="shared" ref="QL10:QL40" si="79">IF(JH10=0,"",(IFERROR(IF(1-ABS(1-(JN10/JN$43))&lt;0,0,1-ABS(1-(JN10/JN$43))),0)*JN$43)+(IFERROR(IF(1-ABS(1-(JO10/JO$43))&lt;0,0,1-ABS(1-(JO10/JO$43))),0)*JO$43)+(IFERROR(IF(1-ABS(1-(JP10/JP$43))&lt;0,0,1-ABS(1-(JP10/JP$43))),0)*JP$43)+(IFERROR(IF(1-ABS(1-(JQ10/JQ$43))&lt;0,0,1-ABS(1-(JQ10/JQ$43))),0)*JQ$43)+(IFERROR(IF(1-ABS(1-(JR10/JR$43))&lt;0,0,1-ABS(1-(JR10/JR$43))),0)*JR$43)+(IFERROR(IF(1-ABS(1-(JS10/JS$43))&lt;0,0,1-ABS(1-(JS10/JS$43))),0)*JS$43)+(IFERROR(IF(1-ABS(1-(JT10/JT$43))&lt;0,0,1-ABS(1-(JT10/JT$43))),0)*JT$43)+(IFERROR(IF(1-ABS(1-(JU10/JU$43))&lt;0,0,1-ABS(1-(JU10/JU$43))),0)*JU$43))</f>
        <v/>
      </c>
      <c r="QM10" s="139" t="str">
        <f t="shared" ref="QM10:QM40" si="80">IF(JJ10=0,"",(IFERROR(IF(1-ABS(1-(KD10/KD$43))&lt;0,0,1-ABS(1-(KD10/KD$43))),0)*KD$43)+(IFERROR(IF(1-ABS(1-(KE10/KE$43))&lt;0,0,1-ABS(1-(KE10/KE$43))),0)*KE$43)+(IFERROR(IF(1-ABS(1-(KF10/KF$43))&lt;0,0,1-ABS(1-(KF10/KF$43))),0)*KF$43)+(IFERROR(IF(1-ABS(1-(KG10/KG$43))&lt;0,0,1-ABS(1-(KG10/KG$43))),0)*KG$43)+(IFERROR(IF(1-ABS(1-(KH10/KH$43))&lt;0,0,1-ABS(1-(KH10/KH$43))),0)*KH$43)+(IFERROR(IF(1-ABS(1-(KI10/KI$43))&lt;0,0,1-ABS(1-(KI10/KI$43))),0)*KI$43)+(IFERROR(IF(1-ABS(1-(KJ10/KJ$43))&lt;0,0,1-ABS(1-(KJ10/KJ$43))),0)*KJ$43)+(IFERROR(IF(1-ABS(1-(KK10/KK$43))&lt;0,0,1-ABS(1-(KK10/KK$43))),0)*KK$43))</f>
        <v/>
      </c>
      <c r="QO10" s="139" t="str">
        <f t="shared" ref="QO10:QO40" si="81">IF(JK10&gt;0,SUMPRODUCT(QR10:QW10,$JN$43:$JS$43),"")</f>
        <v/>
      </c>
      <c r="QP10" s="139" t="str">
        <f t="shared" ref="QP10:QP40" si="82">IF(JK10&gt;0,SUMPRODUCT(QY10:RD10,$KD$43:$KI$43),"")</f>
        <v/>
      </c>
      <c r="QR10" s="1">
        <f t="shared" ref="QR10:QR40" si="83">IF(NS$43=0,0,IF(SUM(NS10,OF10)-NS$8-OF$8&gt;NS$43,1,(SUM(NS10,OF10)-NS$8-OF$8)/NS$43))</f>
        <v>0</v>
      </c>
      <c r="QS10" s="1">
        <f t="shared" ref="QS10:QS40" si="84">IF(NU$43=0,0,IF(SUM(NU10,OH10)-NU$8-OH$8&gt;NU$43,1,(SUM(NU10,OH10)-NU$8-OH$8)/NU$43))</f>
        <v>0</v>
      </c>
      <c r="QT10" s="1">
        <f t="shared" ref="QT10:QT40" si="85">IF(NW$43=0,0,IF(SUM(NW10,OJ10)-NW$8-OJ$8&gt;NW$43,1,(SUM(NW10,OJ10)-NW$8-OJ$8)/NW$43))</f>
        <v>0</v>
      </c>
      <c r="QU10" s="1">
        <f t="shared" ref="QU10:QU40" si="86">IF(NY$43=0,0,IF(SUM(NY10,OL10)-NY$8-OL$8&gt;NY$43,1,(SUM(NY10,OL10)-NY$8-OL$8)/NY$43))</f>
        <v>0</v>
      </c>
      <c r="QV10" s="1">
        <f t="shared" ref="QV10:QV40" si="87">IF(OA$43=0,0,IF(SUM(OA10,ON10)-OA$8-ON$8&gt;OA$43,1,(SUM(OA10,ON10)-OA$8-ON$8)/OA$43))</f>
        <v>0</v>
      </c>
      <c r="QW10" s="1">
        <f t="shared" ref="QW10:QW40" si="88">IF(OC$43=0,0,IF(SUM(OC10,OP10)-OC$8-OP$8&gt;OC$43,1,(SUM(OC10,OP10)-OC$8-OP$8)/OC$43))</f>
        <v>0</v>
      </c>
      <c r="QY10" s="1">
        <f t="shared" ref="QY10:QY40" si="89">+IF(NS$43=0,0,IF(SUM(NS10,OF10)-NS$8-OF$8&gt;NS$43,1,(SUM(NS10,OF10)-NS$8-OF$8)/NS$43))</f>
        <v>0</v>
      </c>
      <c r="QZ10" s="1">
        <f t="shared" ref="QZ10:QZ40" si="90">+IF(NU$43=0,0,IF(SUM(NU10,OH10)-NU$8-OH$8&gt;NU$43,1,(SUM(NU10,OH10)-NU$8-OH$8)/NU$43))</f>
        <v>0</v>
      </c>
      <c r="RA10" s="1">
        <f t="shared" ref="RA10:RA40" si="91">+IF(NW$43=0,0,IF(SUM(NW10,OJ10)-NW$8-OJ$8&gt;NW$43,1,(SUM(NW10,OJ10)-NW$8-OJ$8)/NW$43))</f>
        <v>0</v>
      </c>
      <c r="RB10" s="1">
        <f t="shared" ref="RB10:RB40" si="92">+IF(NY$43=0,0,IF(SUM(NY10,OL10)-NY$8-OL$8&gt;NY$43,1,(SUM(NY10,OL10)-NY$8-OL$8)/NY$43))</f>
        <v>0</v>
      </c>
      <c r="RC10" s="1">
        <f t="shared" ref="RC10:RC40" si="93">+IF(OA$43=0,0,IF(SUM(OA10,ON10)-OA$8-ON$8&gt;OA$43,1,(SUM(OA10,ON10)-OA$8-ON$8)/OA$43))</f>
        <v>0</v>
      </c>
      <c r="RD10" s="1">
        <f t="shared" ref="RD10:RD40" si="94">+IF(OC$43=0,0,IF(SUM(OC10,OP10)-OC$8-OP$8&gt;OC$43,1,(SUM(OC10,OP10)-OC$8-OP$8)/OC$43))</f>
        <v>0</v>
      </c>
      <c r="RG10" s="1">
        <v>1</v>
      </c>
      <c r="RH10" s="1">
        <f t="shared" ref="RH10:RJ17" si="95">+RH9+JH10-LF10</f>
        <v>45424.161751083164</v>
      </c>
      <c r="RI10" s="1">
        <f t="shared" si="95"/>
        <v>3925.5835498622801</v>
      </c>
      <c r="RJ10" s="1">
        <f t="shared" si="95"/>
        <v>9178.5689913333827</v>
      </c>
      <c r="RK10" s="89">
        <f t="shared" si="5"/>
        <v>58528.314292278832</v>
      </c>
      <c r="RL10" s="1033">
        <v>1</v>
      </c>
      <c r="RM10" s="1098">
        <f t="shared" ref="RM10:RM40" si="96">BP10</f>
        <v>0</v>
      </c>
      <c r="RN10" s="1098">
        <f t="shared" ref="RN10:RO40" si="97">PV10</f>
        <v>0</v>
      </c>
      <c r="RO10" s="1097">
        <f t="shared" si="97"/>
        <v>0</v>
      </c>
      <c r="RP10" s="1097">
        <f t="shared" ref="RP10:RP40" si="98">BG10+AX10+BJ10+BM10+BY10+BD10-PW10</f>
        <v>5498.66</v>
      </c>
      <c r="RQ10" s="1094"/>
      <c r="RR10" s="1094" t="s">
        <v>868</v>
      </c>
      <c r="RU10" s="421">
        <v>1</v>
      </c>
      <c r="RV10" s="1095">
        <f t="shared" ref="RV10:RV40" si="99">GV10</f>
        <v>0</v>
      </c>
      <c r="RW10" s="1094"/>
      <c r="RY10" s="1090"/>
      <c r="RZ10" s="1090">
        <f t="shared" ref="RZ10:RZ40" si="100">(DQ10+ED10)-(RM10+RP10)</f>
        <v>0</v>
      </c>
      <c r="SA10" s="1090"/>
      <c r="SB10" s="1090">
        <f t="shared" ref="SB10:SB40" si="101">JK10-RV10</f>
        <v>0</v>
      </c>
      <c r="SD10" s="1">
        <v>1</v>
      </c>
      <c r="SE10" s="1">
        <f t="shared" ref="SE10:SE40" si="102">PL10</f>
        <v>0</v>
      </c>
    </row>
    <row r="11" spans="1:500" s="1" customFormat="1">
      <c r="B11" s="471">
        <v>2</v>
      </c>
      <c r="C11" s="4">
        <f>+O11+S11+W11+AE11+AI11+AA11</f>
        <v>96479.040000000008</v>
      </c>
      <c r="D11" s="1590">
        <f t="shared" ref="D11:D15" si="103">P11+T11+X11+AB11</f>
        <v>5793</v>
      </c>
      <c r="E11" s="1895">
        <f t="shared" si="7"/>
        <v>16.65441740031072</v>
      </c>
      <c r="F11" s="870"/>
      <c r="G11" s="870"/>
      <c r="H11" s="52">
        <v>5</v>
      </c>
      <c r="I11" s="61">
        <v>2.02</v>
      </c>
      <c r="J11" s="52"/>
      <c r="K11" s="54"/>
      <c r="L11" s="52">
        <v>21.17</v>
      </c>
      <c r="M11" s="61">
        <v>11.84</v>
      </c>
      <c r="N11" s="2629"/>
      <c r="O11" s="4">
        <f t="shared" ref="O11:O22" si="104">+SUM(AQ11,BC11,AW11)</f>
        <v>57797.04</v>
      </c>
      <c r="P11" s="1225">
        <f t="shared" si="8"/>
        <v>3933</v>
      </c>
      <c r="Q11" s="1951">
        <f t="shared" si="9"/>
        <v>14.695408085430969</v>
      </c>
      <c r="R11" s="33"/>
      <c r="S11" s="26">
        <f t="shared" si="10"/>
        <v>8130</v>
      </c>
      <c r="T11" s="27">
        <f>+SUM(BY11,BJ11,BM11,BG11)</f>
        <v>0</v>
      </c>
      <c r="U11" s="1909">
        <f t="shared" si="12"/>
        <v>0</v>
      </c>
      <c r="V11" s="28"/>
      <c r="W11" s="1742">
        <f t="shared" si="13"/>
        <v>30552</v>
      </c>
      <c r="X11" s="5">
        <f t="shared" si="13"/>
        <v>1860</v>
      </c>
      <c r="Y11" s="1738">
        <f t="shared" si="14"/>
        <v>16.425806451612903</v>
      </c>
      <c r="Z11" s="33"/>
      <c r="AA11" s="26">
        <f t="shared" si="15"/>
        <v>0</v>
      </c>
      <c r="AB11" s="27">
        <f t="shared" si="16"/>
        <v>0</v>
      </c>
      <c r="AC11" s="53">
        <f t="shared" si="17"/>
        <v>0</v>
      </c>
      <c r="AD11" s="28"/>
      <c r="AE11" s="36"/>
      <c r="AF11" s="36"/>
      <c r="AG11" s="53">
        <f t="shared" si="18"/>
        <v>0</v>
      </c>
      <c r="AH11" s="28"/>
      <c r="AI11" s="26"/>
      <c r="AJ11" s="27"/>
      <c r="AK11" s="53">
        <f t="shared" si="19"/>
        <v>0</v>
      </c>
      <c r="AL11" s="28"/>
      <c r="AM11" s="2629"/>
      <c r="AN11" s="9"/>
      <c r="AO11" s="5"/>
      <c r="AP11" s="61">
        <f t="shared" si="20"/>
        <v>0</v>
      </c>
      <c r="AQ11" s="36"/>
      <c r="AR11" s="53"/>
      <c r="AS11" s="61">
        <f t="shared" si="21"/>
        <v>0</v>
      </c>
      <c r="AT11" s="36"/>
      <c r="AU11" s="27"/>
      <c r="AV11" s="54">
        <f t="shared" si="22"/>
        <v>0</v>
      </c>
      <c r="AW11" s="1121">
        <v>25835.040000000001</v>
      </c>
      <c r="AX11" s="27">
        <v>2791.58</v>
      </c>
      <c r="AY11" s="1735">
        <v>9.2546299944834107</v>
      </c>
      <c r="AZ11" s="36"/>
      <c r="BA11" s="27"/>
      <c r="BB11" s="61">
        <v>0</v>
      </c>
      <c r="BC11" s="1740">
        <v>31962</v>
      </c>
      <c r="BD11" s="1736">
        <v>1141.42</v>
      </c>
      <c r="BE11" s="1735">
        <v>28.00196246780326</v>
      </c>
      <c r="BF11" s="36"/>
      <c r="BG11" s="53"/>
      <c r="BH11" s="61">
        <v>0</v>
      </c>
      <c r="BI11" s="36">
        <v>0</v>
      </c>
      <c r="BJ11" s="53">
        <v>0</v>
      </c>
      <c r="BK11" s="61">
        <v>0</v>
      </c>
      <c r="BL11" s="1742">
        <v>8130</v>
      </c>
      <c r="BM11" s="1909">
        <v>0</v>
      </c>
      <c r="BN11" s="1735">
        <v>0</v>
      </c>
      <c r="BO11" s="1126"/>
      <c r="BP11" s="53"/>
      <c r="BQ11" s="61">
        <v>0</v>
      </c>
      <c r="BR11" s="36"/>
      <c r="BS11" s="53"/>
      <c r="BT11" s="61">
        <v>0</v>
      </c>
      <c r="BU11" s="36">
        <v>30552</v>
      </c>
      <c r="BV11" s="27">
        <v>1860</v>
      </c>
      <c r="BW11" s="1906">
        <v>16.425806451612903</v>
      </c>
      <c r="BX11" s="26"/>
      <c r="BY11" s="419"/>
      <c r="BZ11" s="61">
        <f t="shared" si="23"/>
        <v>0</v>
      </c>
      <c r="CA11" s="36"/>
      <c r="CB11" s="5"/>
      <c r="CC11" s="482">
        <f t="shared" si="24"/>
        <v>0</v>
      </c>
      <c r="CD11" s="4"/>
      <c r="CE11" s="27"/>
      <c r="CF11" s="28">
        <f t="shared" si="25"/>
        <v>0</v>
      </c>
      <c r="CG11" s="149"/>
      <c r="CH11" s="4"/>
      <c r="CI11" s="5"/>
      <c r="CJ11" s="5"/>
      <c r="CK11" s="5"/>
      <c r="CL11" s="5"/>
      <c r="CM11" s="5">
        <f t="shared" si="26"/>
        <v>0</v>
      </c>
      <c r="CN11" s="33"/>
      <c r="CO11" s="366"/>
      <c r="CQ11" s="4">
        <f t="shared" si="27"/>
        <v>0</v>
      </c>
      <c r="CR11" s="9">
        <f t="shared" si="27"/>
        <v>0</v>
      </c>
      <c r="CS11" s="5">
        <f t="shared" si="27"/>
        <v>0</v>
      </c>
      <c r="CT11" s="5">
        <f t="shared" si="27"/>
        <v>0</v>
      </c>
      <c r="CU11" s="5">
        <f t="shared" si="27"/>
        <v>0</v>
      </c>
      <c r="CV11" s="12">
        <f t="shared" si="27"/>
        <v>0</v>
      </c>
      <c r="CW11" s="486">
        <f t="shared" si="27"/>
        <v>0</v>
      </c>
      <c r="CX11" s="9">
        <f t="shared" si="27"/>
        <v>0</v>
      </c>
      <c r="CY11" s="5">
        <f t="shared" si="27"/>
        <v>2791.58</v>
      </c>
      <c r="CZ11" s="12">
        <f t="shared" si="27"/>
        <v>0</v>
      </c>
      <c r="DA11" s="486">
        <f t="shared" si="27"/>
        <v>3001.42</v>
      </c>
      <c r="DB11" s="486">
        <f t="shared" si="27"/>
        <v>0</v>
      </c>
      <c r="DC11" s="310">
        <f t="shared" si="28"/>
        <v>5793</v>
      </c>
      <c r="DD11" s="2695"/>
      <c r="DE11" s="8"/>
      <c r="DF11" s="9"/>
      <c r="DG11" s="5"/>
      <c r="DH11" s="5"/>
      <c r="DI11" s="5"/>
      <c r="DJ11" s="5"/>
      <c r="DK11" s="5">
        <v>0</v>
      </c>
      <c r="DL11" s="5"/>
      <c r="DM11" s="5">
        <v>2791.58</v>
      </c>
      <c r="DN11" s="5"/>
      <c r="DO11" s="5"/>
      <c r="DP11" s="12"/>
      <c r="DQ11" s="1906">
        <f t="shared" si="29"/>
        <v>2791.58</v>
      </c>
      <c r="DR11" s="36"/>
      <c r="DS11" s="36"/>
      <c r="DT11" s="27"/>
      <c r="DU11" s="27"/>
      <c r="DV11" s="5"/>
      <c r="DW11" s="5"/>
      <c r="DX11" s="64"/>
      <c r="DY11" s="5"/>
      <c r="DZ11" s="5">
        <v>0</v>
      </c>
      <c r="EA11" s="53"/>
      <c r="EB11" s="27">
        <v>1141.42</v>
      </c>
      <c r="EC11" s="33"/>
      <c r="ED11" s="28">
        <f t="shared" si="30"/>
        <v>1141.42</v>
      </c>
      <c r="EE11" s="9"/>
      <c r="EF11" s="9"/>
      <c r="EG11" s="5"/>
      <c r="EH11" s="5"/>
      <c r="EI11" s="27"/>
      <c r="EJ11" s="27"/>
      <c r="EK11" s="27"/>
      <c r="EL11" s="27"/>
      <c r="EM11" s="5"/>
      <c r="EN11" s="5"/>
      <c r="EO11" s="5">
        <v>1860</v>
      </c>
      <c r="EP11" s="33"/>
      <c r="EQ11" s="28">
        <f t="shared" si="31"/>
        <v>1860</v>
      </c>
      <c r="ER11" s="36"/>
      <c r="ES11" s="27"/>
      <c r="ET11" s="27"/>
      <c r="EU11" s="27"/>
      <c r="EV11" s="27"/>
      <c r="EW11" s="27"/>
      <c r="EX11" s="33">
        <f t="shared" si="32"/>
        <v>0</v>
      </c>
      <c r="EY11" s="2685"/>
      <c r="FA11" s="4">
        <f t="shared" si="33"/>
        <v>0</v>
      </c>
      <c r="FB11" s="5">
        <f t="shared" si="34"/>
        <v>0</v>
      </c>
      <c r="FC11" s="5">
        <f t="shared" si="35"/>
        <v>0</v>
      </c>
      <c r="FD11" s="12">
        <f t="shared" si="36"/>
        <v>0</v>
      </c>
      <c r="FE11" s="33"/>
      <c r="FF11" s="2674"/>
      <c r="FG11" s="9"/>
      <c r="FH11" s="5"/>
      <c r="FI11" s="5"/>
      <c r="FJ11" s="5"/>
      <c r="FK11" s="5"/>
      <c r="FL11" s="27"/>
      <c r="FM11" s="28">
        <f t="shared" si="37"/>
        <v>0</v>
      </c>
      <c r="FN11" s="36"/>
      <c r="FO11" s="27"/>
      <c r="FP11" s="27"/>
      <c r="FQ11" s="27"/>
      <c r="FR11" s="27"/>
      <c r="FS11" s="27"/>
      <c r="FT11" s="28">
        <f t="shared" si="38"/>
        <v>0</v>
      </c>
      <c r="FU11" s="36"/>
      <c r="FV11" s="36"/>
      <c r="FW11" s="27"/>
      <c r="FX11" s="27"/>
      <c r="FY11" s="27"/>
      <c r="FZ11" s="27"/>
      <c r="GA11" s="27"/>
      <c r="GB11" s="27"/>
      <c r="GC11" s="27"/>
      <c r="GD11" s="27"/>
      <c r="GE11" s="27"/>
      <c r="GF11" s="33"/>
      <c r="GG11" s="33">
        <f t="shared" si="39"/>
        <v>0</v>
      </c>
      <c r="GH11" s="2674"/>
      <c r="GJ11" s="2">
        <f t="shared" ref="GJ11:GJ40" si="105">+HL11</f>
        <v>1165.8999999999999</v>
      </c>
      <c r="GK11" s="63">
        <f t="shared" ref="GK11:GK41" si="106">+IP11</f>
        <v>939.15</v>
      </c>
      <c r="GL11" s="24">
        <f t="shared" ref="GL11:GL40" si="107">+JE11</f>
        <v>1975.02</v>
      </c>
      <c r="GM11" s="1736">
        <f t="shared" si="40"/>
        <v>4080.0699999999997</v>
      </c>
      <c r="GN11" s="141"/>
      <c r="GO11" s="141"/>
      <c r="GP11" s="33"/>
      <c r="GQ11" s="2667"/>
      <c r="GR11" s="1740">
        <v>4080.07</v>
      </c>
      <c r="GS11" s="1736">
        <v>0</v>
      </c>
      <c r="GT11" s="1736">
        <v>0</v>
      </c>
      <c r="GU11" s="1736">
        <v>0</v>
      </c>
      <c r="GV11" s="1724">
        <f t="shared" si="41"/>
        <v>4080.07</v>
      </c>
      <c r="GW11" s="2667"/>
      <c r="GX11" s="36"/>
      <c r="GY11" s="36"/>
      <c r="GZ11" s="27"/>
      <c r="HA11" s="27"/>
      <c r="HB11" s="27"/>
      <c r="HC11" s="27"/>
      <c r="HD11" s="27"/>
      <c r="HE11" s="27"/>
      <c r="HF11" s="27">
        <v>1084.3499999999999</v>
      </c>
      <c r="HG11" s="27"/>
      <c r="HH11" s="27">
        <v>81.55</v>
      </c>
      <c r="HI11" s="27"/>
      <c r="HJ11" s="27">
        <v>0</v>
      </c>
      <c r="HK11" s="27"/>
      <c r="HL11" s="28">
        <f t="shared" si="42"/>
        <v>1165.8999999999999</v>
      </c>
      <c r="HM11" s="36"/>
      <c r="HN11" s="27"/>
      <c r="HO11" s="27"/>
      <c r="HP11" s="27"/>
      <c r="HQ11" s="27"/>
      <c r="HR11" s="27"/>
      <c r="HS11" s="27" cm="1">
        <f t="array" ref="HS11">SUMPRODUCT(('Data Base hauling'!$C$2:$C$216="TCM-ROM SB1 BK05-ROM 4")*(ISNUMBER(SEARCH(TEXT('April TCM'!$B11,"00")&amp;"/03/2026",'Data Base hauling'!$E$2:$E$216)))*'Data Base hauling'!$N$2:$N$216)</f>
        <v>0</v>
      </c>
      <c r="HT11" s="27"/>
      <c r="HU11" s="27" cm="1">
        <f t="array" ref="HU11">SUMPRODUCT(('Data Base hauling'!$C$2:$C$216="TCM-ROM SB1 BK05-ROM 5")*(ISNUMBER(SEARCH(TEXT('April TCM'!$B11,"00")&amp;"/03/2026",'Data Base hauling'!$E$2:$E$216)))*'Data Base hauling'!$N$2:$N$216)</f>
        <v>0</v>
      </c>
      <c r="HV11" s="27"/>
      <c r="HW11" s="27"/>
      <c r="HX11" s="27"/>
      <c r="HY11" s="27"/>
      <c r="HZ11" s="27"/>
      <c r="IA11" s="33">
        <f t="shared" si="43"/>
        <v>0</v>
      </c>
      <c r="IB11" s="52"/>
      <c r="IC11" s="152"/>
      <c r="ID11" s="53"/>
      <c r="IE11" s="53"/>
      <c r="IF11" s="53"/>
      <c r="IG11" s="53"/>
      <c r="IH11" s="53">
        <v>0</v>
      </c>
      <c r="II11" s="53"/>
      <c r="IJ11" s="1736">
        <v>939.15</v>
      </c>
      <c r="IK11" s="53"/>
      <c r="IL11" s="53">
        <v>0</v>
      </c>
      <c r="IM11" s="53"/>
      <c r="IN11" s="53"/>
      <c r="IO11" s="49">
        <v>0</v>
      </c>
      <c r="IP11" s="61">
        <f t="shared" si="44"/>
        <v>939.15</v>
      </c>
      <c r="IQ11" s="36"/>
      <c r="IR11" s="36"/>
      <c r="IS11" s="27"/>
      <c r="IT11" s="27"/>
      <c r="IU11" s="53"/>
      <c r="IV11" s="27"/>
      <c r="IW11" s="27">
        <v>0</v>
      </c>
      <c r="IX11" s="27"/>
      <c r="IY11" s="27">
        <v>1975.02</v>
      </c>
      <c r="IZ11" s="27"/>
      <c r="JA11" s="27">
        <v>0</v>
      </c>
      <c r="JB11" s="27"/>
      <c r="JC11" s="27"/>
      <c r="JD11" s="27"/>
      <c r="JE11" s="33">
        <f>SUM(IQ11:JD11)</f>
        <v>1975.02</v>
      </c>
      <c r="JF11" s="2667"/>
      <c r="JH11" s="2016">
        <v>4080.07</v>
      </c>
      <c r="JI11" s="2017">
        <v>0</v>
      </c>
      <c r="JJ11" s="53"/>
      <c r="JK11" s="1736">
        <f t="shared" si="46"/>
        <v>4080.07</v>
      </c>
      <c r="JL11" s="33"/>
      <c r="JM11" s="2669"/>
      <c r="JN11" s="69">
        <v>0</v>
      </c>
      <c r="JO11" s="70">
        <v>0</v>
      </c>
      <c r="JP11" s="70">
        <v>0</v>
      </c>
      <c r="JQ11" s="70">
        <v>0</v>
      </c>
      <c r="JR11" s="70">
        <v>0.98001259782307648</v>
      </c>
      <c r="JS11" s="70">
        <v>1.9987402176923432E-2</v>
      </c>
      <c r="JT11" s="70">
        <v>0</v>
      </c>
      <c r="JU11" s="1922">
        <v>0</v>
      </c>
      <c r="JV11" s="69" t="s">
        <v>296</v>
      </c>
      <c r="JW11" s="70" t="s">
        <v>296</v>
      </c>
      <c r="JX11" s="70" t="s">
        <v>296</v>
      </c>
      <c r="JY11" s="70" t="s">
        <v>296</v>
      </c>
      <c r="JZ11" s="70" t="s">
        <v>296</v>
      </c>
      <c r="KA11" s="70" t="s">
        <v>296</v>
      </c>
      <c r="KB11" s="70" t="s">
        <v>296</v>
      </c>
      <c r="KC11" s="71" t="s">
        <v>296</v>
      </c>
      <c r="KD11" s="69"/>
      <c r="KE11" s="70"/>
      <c r="KF11" s="70"/>
      <c r="KG11" s="70"/>
      <c r="KH11" s="70"/>
      <c r="KI11" s="70"/>
      <c r="KJ11" s="70"/>
      <c r="KK11" s="70"/>
      <c r="KL11" s="33"/>
      <c r="KM11" s="2669"/>
      <c r="KN11" s="1739">
        <v>6937.757575757576</v>
      </c>
      <c r="KO11" s="1721">
        <v>0.49727272727272726</v>
      </c>
      <c r="KP11" s="1721">
        <v>4.4675757575757578</v>
      </c>
      <c r="KQ11" s="1721">
        <v>6.1563636363636371</v>
      </c>
      <c r="KR11" s="1722">
        <v>10.691697454545455</v>
      </c>
      <c r="KS11" s="1958">
        <v>0</v>
      </c>
      <c r="KT11" s="1961">
        <v>0</v>
      </c>
      <c r="KU11" s="1961">
        <v>0</v>
      </c>
      <c r="KV11" s="1961">
        <v>0</v>
      </c>
      <c r="KW11" s="1962">
        <v>0</v>
      </c>
      <c r="KX11" s="36"/>
      <c r="KY11" s="53"/>
      <c r="KZ11" s="53"/>
      <c r="LA11" s="53"/>
      <c r="LB11" s="53"/>
      <c r="LC11" s="33"/>
      <c r="LD11" s="2669"/>
      <c r="LF11" s="998">
        <f t="shared" si="47"/>
        <v>0</v>
      </c>
      <c r="LG11" s="27">
        <f t="shared" si="47"/>
        <v>0</v>
      </c>
      <c r="LH11" s="27">
        <f t="shared" si="47"/>
        <v>0</v>
      </c>
      <c r="LI11" s="28">
        <f t="shared" si="48"/>
        <v>0</v>
      </c>
      <c r="LJ11" s="36"/>
      <c r="LK11" s="27"/>
      <c r="LL11" s="27"/>
      <c r="LM11" s="33"/>
      <c r="LN11" s="1044">
        <v>4.58</v>
      </c>
      <c r="LO11" s="486"/>
      <c r="LP11" s="2688"/>
      <c r="LQ11" s="36"/>
      <c r="LR11" s="36"/>
      <c r="LS11" s="27"/>
      <c r="LT11" s="27"/>
      <c r="LU11" s="27"/>
      <c r="LV11" s="1117">
        <f t="shared" si="49"/>
        <v>0</v>
      </c>
      <c r="LW11" s="36"/>
      <c r="LX11" s="36"/>
      <c r="LY11" s="27"/>
      <c r="LZ11" s="27"/>
      <c r="MA11" s="33"/>
      <c r="MB11" s="28">
        <f t="shared" si="50"/>
        <v>0</v>
      </c>
      <c r="MC11" s="26"/>
      <c r="MD11" s="36"/>
      <c r="ME11" s="27"/>
      <c r="MF11" s="27"/>
      <c r="MG11" s="27"/>
      <c r="MH11" s="28"/>
      <c r="MI11" s="36"/>
      <c r="MJ11" s="36"/>
      <c r="MK11" s="27"/>
      <c r="ML11" s="27"/>
      <c r="MM11" s="27"/>
      <c r="MN11" s="28"/>
      <c r="MO11" s="36"/>
      <c r="MP11" s="36"/>
      <c r="MQ11" s="27"/>
      <c r="MR11" s="27"/>
      <c r="MS11" s="27"/>
      <c r="MT11" s="33">
        <f t="shared" si="51"/>
        <v>0</v>
      </c>
      <c r="MU11" s="2688"/>
      <c r="MW11" s="26">
        <f t="shared" si="52"/>
        <v>74514.879393306299</v>
      </c>
      <c r="MX11" s="27">
        <f t="shared" si="53"/>
        <v>107735.30380962024</v>
      </c>
      <c r="MY11" s="27">
        <f t="shared" si="54"/>
        <v>19927.176980961227</v>
      </c>
      <c r="MZ11" s="28">
        <f t="shared" si="55"/>
        <v>434003.34855851001</v>
      </c>
      <c r="NA11" s="2621"/>
      <c r="NB11" s="23">
        <f t="shared" si="56"/>
        <v>21881.113361311269</v>
      </c>
      <c r="NC11" s="1579">
        <f t="shared" si="57"/>
        <v>52633.766031995037</v>
      </c>
      <c r="ND11" s="60">
        <f t="shared" si="58"/>
        <v>0</v>
      </c>
      <c r="NE11" s="275">
        <f t="shared" si="4"/>
        <v>74514.879393306299</v>
      </c>
      <c r="NF11" s="26">
        <f t="shared" si="59"/>
        <v>0</v>
      </c>
      <c r="NG11" s="27">
        <f t="shared" si="59"/>
        <v>0</v>
      </c>
      <c r="NH11" s="27">
        <f t="shared" si="59"/>
        <v>0</v>
      </c>
      <c r="NI11" s="27">
        <f t="shared" si="59"/>
        <v>0</v>
      </c>
      <c r="NJ11" s="27">
        <f t="shared" si="59"/>
        <v>0</v>
      </c>
      <c r="NK11" s="33">
        <f t="shared" si="59"/>
        <v>0</v>
      </c>
      <c r="NL11" s="280">
        <f t="shared" si="59"/>
        <v>0</v>
      </c>
      <c r="NM11" s="36">
        <f t="shared" si="59"/>
        <v>0</v>
      </c>
      <c r="NN11" s="24">
        <f t="shared" si="59"/>
        <v>15258.480566563145</v>
      </c>
      <c r="NO11" s="27">
        <f t="shared" si="59"/>
        <v>26196.69549600617</v>
      </c>
      <c r="NP11" s="24">
        <f t="shared" ref="NP11:NP40" si="108">+NP10+EE11-GX11</f>
        <v>8756.5482322711578</v>
      </c>
      <c r="NQ11" s="24">
        <f t="shared" ref="NQ11:NQ40" si="109">+NQ10+EO11-HH11</f>
        <v>15619.324118033412</v>
      </c>
      <c r="NR11" s="27">
        <f t="shared" si="0"/>
        <v>65831.04841287389</v>
      </c>
      <c r="NS11" s="27">
        <f t="shared" si="60"/>
        <v>0</v>
      </c>
      <c r="NT11" s="27">
        <f t="shared" si="60"/>
        <v>0</v>
      </c>
      <c r="NU11" s="27">
        <f t="shared" si="60"/>
        <v>0</v>
      </c>
      <c r="NV11" s="27">
        <f t="shared" si="60"/>
        <v>0</v>
      </c>
      <c r="NW11" s="27">
        <f t="shared" si="60"/>
        <v>0</v>
      </c>
      <c r="NX11" s="27">
        <f t="shared" si="60"/>
        <v>0</v>
      </c>
      <c r="NY11" s="27">
        <f t="shared" si="60"/>
        <v>4449.8636022929131</v>
      </c>
      <c r="NZ11" s="27">
        <f t="shared" si="60"/>
        <v>0</v>
      </c>
      <c r="OA11" s="27">
        <f t="shared" si="60"/>
        <v>18285.018066782839</v>
      </c>
      <c r="OB11" s="280"/>
      <c r="OC11" s="24">
        <f t="shared" si="61"/>
        <v>349.54339982995594</v>
      </c>
      <c r="OD11" s="27">
        <f t="shared" si="61"/>
        <v>0</v>
      </c>
      <c r="OE11" s="27">
        <f t="shared" si="1"/>
        <v>23084.425068905708</v>
      </c>
      <c r="OF11" s="27">
        <f t="shared" si="62"/>
        <v>0</v>
      </c>
      <c r="OG11" s="27">
        <f t="shared" si="62"/>
        <v>0</v>
      </c>
      <c r="OH11" s="27">
        <f t="shared" si="62"/>
        <v>0</v>
      </c>
      <c r="OI11" s="27">
        <f t="shared" si="62"/>
        <v>0</v>
      </c>
      <c r="OJ11" s="27">
        <f t="shared" si="62"/>
        <v>0</v>
      </c>
      <c r="OK11" s="27">
        <f t="shared" si="62"/>
        <v>0</v>
      </c>
      <c r="OL11" s="24">
        <f t="shared" si="62"/>
        <v>0</v>
      </c>
      <c r="OM11" s="27">
        <f t="shared" si="62"/>
        <v>0</v>
      </c>
      <c r="ON11" s="24">
        <f t="shared" si="62"/>
        <v>15595.686218026509</v>
      </c>
      <c r="OO11" s="27">
        <f t="shared" si="62"/>
        <v>0</v>
      </c>
      <c r="OP11" s="27">
        <f t="shared" si="62"/>
        <v>3224.1441098141277</v>
      </c>
      <c r="OQ11" s="27">
        <f t="shared" si="62"/>
        <v>0</v>
      </c>
      <c r="OR11" s="28">
        <f t="shared" si="2"/>
        <v>18819.830327840638</v>
      </c>
      <c r="OS11" s="36"/>
      <c r="OT11" s="27"/>
      <c r="OU11" s="27"/>
      <c r="OV11" s="27"/>
      <c r="OW11" s="27"/>
      <c r="OX11" s="27"/>
      <c r="OY11" s="28">
        <f t="shared" si="63"/>
        <v>0</v>
      </c>
      <c r="OZ11" s="36">
        <f t="shared" si="64"/>
        <v>0</v>
      </c>
      <c r="PA11" s="27">
        <f t="shared" si="65"/>
        <v>0</v>
      </c>
      <c r="PB11" s="27">
        <f t="shared" si="66"/>
        <v>0</v>
      </c>
      <c r="PC11" s="27">
        <f t="shared" si="67"/>
        <v>0</v>
      </c>
      <c r="PD11" s="27">
        <f t="shared" si="68"/>
        <v>0</v>
      </c>
      <c r="PE11" s="27">
        <f t="shared" si="69"/>
        <v>0</v>
      </c>
      <c r="PF11" s="33">
        <f t="shared" si="3"/>
        <v>0</v>
      </c>
      <c r="PG11" s="2621"/>
      <c r="PI11" s="1907">
        <v>561.05999999999995</v>
      </c>
      <c r="PJ11" s="3"/>
      <c r="PK11" s="3"/>
      <c r="PL11" s="3">
        <f t="shared" si="70"/>
        <v>0</v>
      </c>
      <c r="PM11" s="3">
        <f t="shared" si="71"/>
        <v>8892.7384593441875</v>
      </c>
      <c r="PN11" s="11">
        <f t="shared" si="72"/>
        <v>19927.176980961227</v>
      </c>
      <c r="PO11" s="15"/>
      <c r="PP11" s="2615"/>
      <c r="PR11" s="4"/>
      <c r="PS11" s="9"/>
      <c r="PT11" s="9"/>
      <c r="PU11" s="9"/>
      <c r="PV11" s="9">
        <v>0</v>
      </c>
      <c r="PW11" s="9"/>
      <c r="PX11" s="8">
        <f t="shared" si="73"/>
        <v>0</v>
      </c>
      <c r="PY11" s="5">
        <f t="shared" si="74"/>
        <v>561.05999999999995</v>
      </c>
      <c r="PZ11" s="5"/>
      <c r="QA11" s="5"/>
      <c r="QB11" s="5"/>
      <c r="QC11" s="5"/>
      <c r="QD11" s="5"/>
      <c r="QE11" s="12">
        <f t="shared" si="75"/>
        <v>29562.488999999998</v>
      </c>
      <c r="QF11" s="420">
        <f t="shared" si="76"/>
        <v>404440.85955851001</v>
      </c>
      <c r="QG11" s="1106">
        <f t="shared" si="77"/>
        <v>0</v>
      </c>
      <c r="QH11" s="484">
        <f t="shared" si="78"/>
        <v>5505.3678056099998</v>
      </c>
      <c r="QI11" s="12"/>
      <c r="QJ11" s="2615"/>
      <c r="QL11" s="139">
        <f t="shared" si="79"/>
        <v>0</v>
      </c>
      <c r="QM11" s="139" t="str">
        <f t="shared" si="80"/>
        <v/>
      </c>
      <c r="QO11" s="139">
        <f t="shared" si="81"/>
        <v>0</v>
      </c>
      <c r="QP11" s="139">
        <f t="shared" si="82"/>
        <v>0</v>
      </c>
      <c r="QR11" s="1">
        <f t="shared" si="83"/>
        <v>0</v>
      </c>
      <c r="QS11" s="1">
        <f t="shared" si="84"/>
        <v>0</v>
      </c>
      <c r="QT11" s="1">
        <f t="shared" si="85"/>
        <v>0</v>
      </c>
      <c r="QU11" s="1">
        <f t="shared" si="86"/>
        <v>0</v>
      </c>
      <c r="QV11" s="1">
        <f t="shared" si="87"/>
        <v>0</v>
      </c>
      <c r="QW11" s="1">
        <f t="shared" si="88"/>
        <v>0</v>
      </c>
      <c r="QY11" s="1">
        <f t="shared" si="89"/>
        <v>0</v>
      </c>
      <c r="QZ11" s="1">
        <f t="shared" si="90"/>
        <v>0</v>
      </c>
      <c r="RA11" s="1">
        <f t="shared" si="91"/>
        <v>0</v>
      </c>
      <c r="RB11" s="1">
        <f t="shared" si="92"/>
        <v>0</v>
      </c>
      <c r="RC11" s="1">
        <f t="shared" si="93"/>
        <v>0</v>
      </c>
      <c r="RD11" s="1">
        <f t="shared" si="94"/>
        <v>0</v>
      </c>
      <c r="RG11" s="1">
        <v>2</v>
      </c>
      <c r="RH11" s="1">
        <f t="shared" si="95"/>
        <v>49504.231751083164</v>
      </c>
      <c r="RI11" s="1">
        <f t="shared" si="95"/>
        <v>3925.5835498622801</v>
      </c>
      <c r="RJ11" s="1">
        <f t="shared" si="95"/>
        <v>9178.5689913333827</v>
      </c>
      <c r="RK11" s="89">
        <f t="shared" si="5"/>
        <v>62608.384292278824</v>
      </c>
      <c r="RL11" s="1033">
        <v>2</v>
      </c>
      <c r="RM11" s="1098">
        <f t="shared" si="96"/>
        <v>0</v>
      </c>
      <c r="RN11" s="1098">
        <f t="shared" si="97"/>
        <v>0</v>
      </c>
      <c r="RO11" s="1097">
        <f t="shared" si="97"/>
        <v>0</v>
      </c>
      <c r="RP11" s="1097">
        <f t="shared" si="98"/>
        <v>3933</v>
      </c>
      <c r="RQ11" s="1094"/>
      <c r="RR11" s="1094" t="s">
        <v>869</v>
      </c>
      <c r="RU11" s="421">
        <v>2</v>
      </c>
      <c r="RV11" s="1095">
        <f t="shared" si="99"/>
        <v>4080.07</v>
      </c>
      <c r="RW11" s="1096" t="s">
        <v>870</v>
      </c>
      <c r="RY11" s="1090"/>
      <c r="RZ11" s="1090">
        <f t="shared" si="100"/>
        <v>0</v>
      </c>
      <c r="SA11" s="1090"/>
      <c r="SB11" s="1090">
        <f t="shared" si="101"/>
        <v>0</v>
      </c>
      <c r="SD11" s="1">
        <v>2</v>
      </c>
      <c r="SE11" s="1">
        <f t="shared" si="102"/>
        <v>0</v>
      </c>
      <c r="SF11" s="1094"/>
    </row>
    <row r="12" spans="1:500" s="1" customFormat="1">
      <c r="A12" s="1">
        <v>1630.7189913362533</v>
      </c>
      <c r="B12" s="471">
        <v>3</v>
      </c>
      <c r="C12" s="4">
        <f t="shared" si="6"/>
        <v>138723.32</v>
      </c>
      <c r="D12" s="1590">
        <f t="shared" si="103"/>
        <v>7019.0399999999991</v>
      </c>
      <c r="E12" s="1895">
        <f t="shared" si="7"/>
        <v>19.763859445166293</v>
      </c>
      <c r="F12" s="870"/>
      <c r="G12" s="870"/>
      <c r="H12" s="52"/>
      <c r="I12" s="61"/>
      <c r="J12" s="52"/>
      <c r="K12" s="54"/>
      <c r="L12" s="52">
        <v>4.5</v>
      </c>
      <c r="M12" s="61">
        <v>2.4700000000000002</v>
      </c>
      <c r="N12" s="2629"/>
      <c r="O12" s="4">
        <f t="shared" si="104"/>
        <v>81394.320000000007</v>
      </c>
      <c r="P12" s="1225">
        <f t="shared" si="8"/>
        <v>4966.0399999999991</v>
      </c>
      <c r="Q12" s="1913">
        <f t="shared" si="9"/>
        <v>16.390186144292034</v>
      </c>
      <c r="R12" s="33"/>
      <c r="S12" s="26">
        <f t="shared" si="10"/>
        <v>21902</v>
      </c>
      <c r="T12" s="27">
        <f t="shared" si="11"/>
        <v>273</v>
      </c>
      <c r="U12" s="1909">
        <f t="shared" si="12"/>
        <v>80.227106227106233</v>
      </c>
      <c r="V12" s="28"/>
      <c r="W12" s="1742">
        <f t="shared" si="13"/>
        <v>35427</v>
      </c>
      <c r="X12" s="5">
        <f t="shared" si="13"/>
        <v>1780</v>
      </c>
      <c r="Y12" s="1738">
        <f t="shared" si="14"/>
        <v>19.902808988764043</v>
      </c>
      <c r="Z12" s="33"/>
      <c r="AA12" s="26">
        <f t="shared" si="15"/>
        <v>0</v>
      </c>
      <c r="AB12" s="27">
        <f t="shared" si="16"/>
        <v>0</v>
      </c>
      <c r="AC12" s="53">
        <f t="shared" si="17"/>
        <v>0</v>
      </c>
      <c r="AD12" s="28"/>
      <c r="AE12" s="36"/>
      <c r="AF12" s="36"/>
      <c r="AG12" s="53">
        <f t="shared" si="18"/>
        <v>0</v>
      </c>
      <c r="AH12" s="28"/>
      <c r="AI12" s="23"/>
      <c r="AJ12" s="27"/>
      <c r="AK12" s="53">
        <f t="shared" si="19"/>
        <v>0</v>
      </c>
      <c r="AL12" s="28"/>
      <c r="AM12" s="2629"/>
      <c r="AN12" s="9"/>
      <c r="AO12" s="5"/>
      <c r="AP12" s="61">
        <f t="shared" si="20"/>
        <v>0</v>
      </c>
      <c r="AQ12" s="36"/>
      <c r="AR12" s="53"/>
      <c r="AS12" s="61">
        <f t="shared" si="21"/>
        <v>0</v>
      </c>
      <c r="AT12" s="36"/>
      <c r="AU12" s="27"/>
      <c r="AV12" s="54">
        <f t="shared" si="22"/>
        <v>0</v>
      </c>
      <c r="AW12" s="26">
        <v>42880.32</v>
      </c>
      <c r="AX12" s="27">
        <v>4279.0599999999995</v>
      </c>
      <c r="AY12" s="1735">
        <v>10.020967221773008</v>
      </c>
      <c r="AZ12" s="36"/>
      <c r="BA12" s="27"/>
      <c r="BB12" s="61">
        <v>0</v>
      </c>
      <c r="BC12" s="1740">
        <v>38514</v>
      </c>
      <c r="BD12" s="1736">
        <v>686.98</v>
      </c>
      <c r="BE12" s="1735">
        <v>56.062767475035663</v>
      </c>
      <c r="BF12" s="36"/>
      <c r="BG12" s="53"/>
      <c r="BH12" s="61">
        <v>0</v>
      </c>
      <c r="BI12" s="36">
        <v>0</v>
      </c>
      <c r="BJ12" s="53">
        <v>0</v>
      </c>
      <c r="BK12" s="61">
        <v>0</v>
      </c>
      <c r="BL12" s="1742">
        <v>21902</v>
      </c>
      <c r="BM12" s="1909">
        <v>273</v>
      </c>
      <c r="BN12" s="1735">
        <v>80.227106227106233</v>
      </c>
      <c r="BO12" s="1125"/>
      <c r="BP12" s="53"/>
      <c r="BQ12" s="61">
        <v>0</v>
      </c>
      <c r="BR12" s="36"/>
      <c r="BS12" s="53"/>
      <c r="BT12" s="61">
        <v>0</v>
      </c>
      <c r="BU12" s="36">
        <v>35427</v>
      </c>
      <c r="BV12" s="27">
        <v>1780</v>
      </c>
      <c r="BW12" s="1906">
        <v>19.902808988764043</v>
      </c>
      <c r="BX12" s="26"/>
      <c r="BY12" s="27"/>
      <c r="BZ12" s="61">
        <f t="shared" si="23"/>
        <v>0</v>
      </c>
      <c r="CA12" s="36"/>
      <c r="CB12" s="5"/>
      <c r="CC12" s="482">
        <f t="shared" si="24"/>
        <v>0</v>
      </c>
      <c r="CD12" s="4"/>
      <c r="CE12" s="280"/>
      <c r="CF12" s="28">
        <f t="shared" si="25"/>
        <v>0</v>
      </c>
      <c r="CG12" s="150"/>
      <c r="CH12" s="4"/>
      <c r="CI12" s="5"/>
      <c r="CJ12" s="5"/>
      <c r="CK12" s="5"/>
      <c r="CL12" s="5"/>
      <c r="CM12" s="5">
        <f t="shared" si="26"/>
        <v>0</v>
      </c>
      <c r="CN12" s="33"/>
      <c r="CO12" s="366"/>
      <c r="CQ12" s="4">
        <f t="shared" si="27"/>
        <v>0</v>
      </c>
      <c r="CR12" s="9">
        <f t="shared" si="27"/>
        <v>0</v>
      </c>
      <c r="CS12" s="5">
        <f t="shared" si="27"/>
        <v>0</v>
      </c>
      <c r="CT12" s="5">
        <f t="shared" si="27"/>
        <v>0</v>
      </c>
      <c r="CU12" s="5">
        <f t="shared" si="27"/>
        <v>0</v>
      </c>
      <c r="CV12" s="5">
        <f t="shared" si="27"/>
        <v>0</v>
      </c>
      <c r="CW12" s="488">
        <f t="shared" si="27"/>
        <v>0</v>
      </c>
      <c r="CX12" s="5">
        <f t="shared" si="27"/>
        <v>0</v>
      </c>
      <c r="CY12" s="5">
        <f t="shared" si="27"/>
        <v>6332.0599999999995</v>
      </c>
      <c r="CZ12" s="5">
        <f t="shared" si="27"/>
        <v>0</v>
      </c>
      <c r="DA12" s="488">
        <f t="shared" si="27"/>
        <v>686.98</v>
      </c>
      <c r="DB12" s="12">
        <f t="shared" si="27"/>
        <v>0</v>
      </c>
      <c r="DC12" s="310">
        <f t="shared" si="28"/>
        <v>7019.0399999999991</v>
      </c>
      <c r="DD12" s="2695"/>
      <c r="DE12" s="8"/>
      <c r="DF12" s="9"/>
      <c r="DG12" s="5"/>
      <c r="DH12" s="5"/>
      <c r="DI12" s="5"/>
      <c r="DJ12" s="5"/>
      <c r="DK12" s="5">
        <v>0</v>
      </c>
      <c r="DL12" s="5"/>
      <c r="DM12" s="5">
        <v>4279.0599999999995</v>
      </c>
      <c r="DN12" s="5"/>
      <c r="DO12" s="5"/>
      <c r="DP12" s="12"/>
      <c r="DQ12" s="1906">
        <f t="shared" si="29"/>
        <v>4279.0599999999995</v>
      </c>
      <c r="DR12" s="36"/>
      <c r="DS12" s="36"/>
      <c r="DT12" s="27"/>
      <c r="DU12" s="27"/>
      <c r="DV12" s="5"/>
      <c r="DW12" s="5"/>
      <c r="DX12" s="64"/>
      <c r="DY12" s="5"/>
      <c r="DZ12" s="5">
        <v>273</v>
      </c>
      <c r="EA12" s="53"/>
      <c r="EB12" s="27">
        <v>686.98</v>
      </c>
      <c r="EC12" s="33"/>
      <c r="ED12" s="28">
        <f t="shared" si="30"/>
        <v>959.98</v>
      </c>
      <c r="EE12" s="9"/>
      <c r="EF12" s="9"/>
      <c r="EG12" s="491"/>
      <c r="EH12" s="5"/>
      <c r="EI12" s="27"/>
      <c r="EJ12" s="27"/>
      <c r="EK12" s="27"/>
      <c r="EL12" s="27"/>
      <c r="EM12" s="5">
        <v>1780</v>
      </c>
      <c r="EN12" s="5"/>
      <c r="EO12" s="5"/>
      <c r="EP12" s="33"/>
      <c r="EQ12" s="28">
        <f t="shared" si="31"/>
        <v>1780</v>
      </c>
      <c r="ER12" s="36"/>
      <c r="ES12" s="27"/>
      <c r="ET12" s="27"/>
      <c r="EU12" s="27"/>
      <c r="EV12" s="27"/>
      <c r="EW12" s="27"/>
      <c r="EX12" s="33">
        <f t="shared" si="32"/>
        <v>0</v>
      </c>
      <c r="EY12" s="2685"/>
      <c r="FA12" s="4">
        <f t="shared" si="33"/>
        <v>0</v>
      </c>
      <c r="FB12" s="5">
        <f t="shared" si="34"/>
        <v>0</v>
      </c>
      <c r="FC12" s="5">
        <f t="shared" si="35"/>
        <v>0</v>
      </c>
      <c r="FD12" s="12">
        <f t="shared" si="36"/>
        <v>0</v>
      </c>
      <c r="FE12" s="33"/>
      <c r="FF12" s="2674"/>
      <c r="FG12" s="9"/>
      <c r="FH12" s="5"/>
      <c r="FI12" s="5"/>
      <c r="FJ12" s="5"/>
      <c r="FK12" s="5"/>
      <c r="FL12" s="27"/>
      <c r="FM12" s="28">
        <f t="shared" si="37"/>
        <v>0</v>
      </c>
      <c r="FN12" s="36"/>
      <c r="FO12" s="27"/>
      <c r="FP12" s="27"/>
      <c r="FQ12" s="27"/>
      <c r="FR12" s="27"/>
      <c r="FS12" s="27"/>
      <c r="FT12" s="28">
        <f t="shared" si="38"/>
        <v>0</v>
      </c>
      <c r="FU12" s="36"/>
      <c r="FV12" s="36"/>
      <c r="FW12" s="27"/>
      <c r="FX12" s="27"/>
      <c r="FY12" s="27"/>
      <c r="FZ12" s="27"/>
      <c r="GA12" s="27"/>
      <c r="GB12" s="27"/>
      <c r="GC12" s="27"/>
      <c r="GD12" s="27"/>
      <c r="GE12" s="27"/>
      <c r="GF12" s="33"/>
      <c r="GG12" s="33">
        <f t="shared" si="39"/>
        <v>0</v>
      </c>
      <c r="GH12" s="2674"/>
      <c r="GJ12" s="2">
        <f t="shared" si="105"/>
        <v>2167.6</v>
      </c>
      <c r="GK12" s="63">
        <f t="shared" si="106"/>
        <v>1388.15</v>
      </c>
      <c r="GL12" s="24">
        <f t="shared" si="107"/>
        <v>2123.42</v>
      </c>
      <c r="GM12" s="1736">
        <f t="shared" si="40"/>
        <v>5679.17</v>
      </c>
      <c r="GN12" s="141"/>
      <c r="GO12" s="141"/>
      <c r="GP12" s="33"/>
      <c r="GQ12" s="2667"/>
      <c r="GR12" s="1740">
        <v>5679.17</v>
      </c>
      <c r="GS12" s="1736">
        <v>0</v>
      </c>
      <c r="GT12" s="1736">
        <v>0</v>
      </c>
      <c r="GU12" s="1736">
        <v>0</v>
      </c>
      <c r="GV12" s="1724">
        <f t="shared" si="41"/>
        <v>5679.17</v>
      </c>
      <c r="GW12" s="2667"/>
      <c r="GX12" s="36"/>
      <c r="GY12" s="36"/>
      <c r="GZ12" s="27"/>
      <c r="HA12" s="27"/>
      <c r="HB12" s="27"/>
      <c r="HC12" s="27"/>
      <c r="HD12" s="27"/>
      <c r="HE12" s="27"/>
      <c r="HF12" s="27">
        <v>2167.6</v>
      </c>
      <c r="HG12" s="27"/>
      <c r="HH12" s="27">
        <v>0</v>
      </c>
      <c r="HI12" s="27"/>
      <c r="HJ12" s="27">
        <v>0</v>
      </c>
      <c r="HK12" s="27"/>
      <c r="HL12" s="28">
        <f t="shared" si="42"/>
        <v>2167.6</v>
      </c>
      <c r="HM12" s="36"/>
      <c r="HN12" s="27"/>
      <c r="HO12" s="27"/>
      <c r="HP12" s="27"/>
      <c r="HQ12" s="27"/>
      <c r="HR12" s="27"/>
      <c r="HS12" s="27" cm="1">
        <f t="array" ref="HS12">SUMPRODUCT(('Data Base hauling'!$C$2:$C$216="TCM-ROM SB1 BK05-ROM 4")*(ISNUMBER(SEARCH(TEXT('April TCM'!$B12,"00")&amp;"/03/2026",'Data Base hauling'!$E$2:$E$216)))*'Data Base hauling'!$N$2:$N$216)</f>
        <v>0</v>
      </c>
      <c r="HT12" s="27"/>
      <c r="HU12" s="27" cm="1">
        <f t="array" ref="HU12">SUMPRODUCT(('Data Base hauling'!$C$2:$C$216="TCM-ROM SB1 BK05-ROM 5")*(ISNUMBER(SEARCH(TEXT('April TCM'!$B12,"00")&amp;"/03/2026",'Data Base hauling'!$E$2:$E$216)))*'Data Base hauling'!$N$2:$N$216)</f>
        <v>0</v>
      </c>
      <c r="HV12" s="27"/>
      <c r="HW12" s="27"/>
      <c r="HX12" s="27"/>
      <c r="HY12" s="27"/>
      <c r="HZ12" s="27"/>
      <c r="IA12" s="33">
        <f t="shared" si="43"/>
        <v>0</v>
      </c>
      <c r="IB12" s="52"/>
      <c r="IC12" s="152"/>
      <c r="ID12" s="53"/>
      <c r="IE12" s="53"/>
      <c r="IF12" s="53"/>
      <c r="IG12" s="53"/>
      <c r="IH12" s="53">
        <v>0</v>
      </c>
      <c r="II12" s="53"/>
      <c r="IJ12" s="1736">
        <v>1388.15</v>
      </c>
      <c r="IK12" s="53"/>
      <c r="IL12" s="64">
        <v>0</v>
      </c>
      <c r="IM12" s="53"/>
      <c r="IN12" s="53"/>
      <c r="IO12" s="49">
        <v>0</v>
      </c>
      <c r="IP12" s="61">
        <f t="shared" si="44"/>
        <v>1388.15</v>
      </c>
      <c r="IQ12" s="36"/>
      <c r="IR12" s="36"/>
      <c r="IS12" s="27"/>
      <c r="IT12" s="27"/>
      <c r="IU12" s="53"/>
      <c r="IV12" s="27"/>
      <c r="IW12" s="27">
        <v>0</v>
      </c>
      <c r="IX12" s="27"/>
      <c r="IY12" s="27">
        <v>2123.42</v>
      </c>
      <c r="IZ12" s="27"/>
      <c r="JA12" s="5">
        <v>0</v>
      </c>
      <c r="JB12" s="27"/>
      <c r="JC12" s="27"/>
      <c r="JD12" s="27"/>
      <c r="JE12" s="33">
        <f t="shared" ref="JE12:JE16" si="110">SUM(IQ12:JD12)</f>
        <v>2123.42</v>
      </c>
      <c r="JF12" s="2667"/>
      <c r="JH12" s="2018">
        <v>5679.17</v>
      </c>
      <c r="JI12" s="2017">
        <v>0</v>
      </c>
      <c r="JJ12" s="53"/>
      <c r="JK12" s="1736">
        <f t="shared" si="46"/>
        <v>5679.17</v>
      </c>
      <c r="JL12" s="33"/>
      <c r="JM12" s="2669"/>
      <c r="JN12" s="69">
        <v>0</v>
      </c>
      <c r="JO12" s="70">
        <v>0</v>
      </c>
      <c r="JP12" s="70">
        <v>0</v>
      </c>
      <c r="JQ12" s="70">
        <v>0</v>
      </c>
      <c r="JR12" s="70">
        <v>1</v>
      </c>
      <c r="JS12" s="70">
        <v>0</v>
      </c>
      <c r="JT12" s="70">
        <v>0</v>
      </c>
      <c r="JU12" s="1922">
        <v>0</v>
      </c>
      <c r="JV12" s="69" t="s">
        <v>296</v>
      </c>
      <c r="JW12" s="70" t="s">
        <v>296</v>
      </c>
      <c r="JX12" s="70" t="s">
        <v>296</v>
      </c>
      <c r="JY12" s="70" t="s">
        <v>296</v>
      </c>
      <c r="JZ12" s="70" t="s">
        <v>296</v>
      </c>
      <c r="KA12" s="70" t="s">
        <v>296</v>
      </c>
      <c r="KB12" s="70" t="s">
        <v>296</v>
      </c>
      <c r="KC12" s="71" t="s">
        <v>296</v>
      </c>
      <c r="KD12" s="69"/>
      <c r="KE12" s="70"/>
      <c r="KF12" s="70"/>
      <c r="KG12" s="70"/>
      <c r="KH12" s="70"/>
      <c r="KI12" s="70"/>
      <c r="KJ12" s="70"/>
      <c r="KK12" s="70"/>
      <c r="KL12" s="33"/>
      <c r="KM12" s="2669"/>
      <c r="KN12" s="1739">
        <v>7289.7730870712403</v>
      </c>
      <c r="KO12" s="1721">
        <v>0.84222691292875984</v>
      </c>
      <c r="KP12" s="1721">
        <v>2.3389498680738785</v>
      </c>
      <c r="KQ12" s="1721">
        <v>5.6570589270008789</v>
      </c>
      <c r="KR12" s="1722">
        <v>9.4519931623570805</v>
      </c>
      <c r="KS12" s="1958">
        <v>0</v>
      </c>
      <c r="KT12" s="1961">
        <v>0</v>
      </c>
      <c r="KU12" s="1961">
        <v>0</v>
      </c>
      <c r="KV12" s="1961">
        <v>0</v>
      </c>
      <c r="KW12" s="1962">
        <v>0</v>
      </c>
      <c r="KX12" s="36"/>
      <c r="KY12" s="53"/>
      <c r="KZ12" s="53"/>
      <c r="LA12" s="53"/>
      <c r="LB12" s="53"/>
      <c r="LC12" s="33"/>
      <c r="LD12" s="2669"/>
      <c r="LF12" s="998">
        <f t="shared" si="47"/>
        <v>15161.26</v>
      </c>
      <c r="LG12" s="27">
        <f t="shared" si="47"/>
        <v>0</v>
      </c>
      <c r="LH12" s="27">
        <f t="shared" si="47"/>
        <v>0</v>
      </c>
      <c r="LI12" s="28">
        <f t="shared" si="48"/>
        <v>15161.26</v>
      </c>
      <c r="LJ12" s="36">
        <v>2</v>
      </c>
      <c r="LK12" s="27"/>
      <c r="LL12" s="27"/>
      <c r="LM12" s="33"/>
      <c r="LN12" s="1041">
        <v>4.63</v>
      </c>
      <c r="LO12" s="486"/>
      <c r="LP12" s="2688"/>
      <c r="LQ12" s="36">
        <v>15161.26</v>
      </c>
      <c r="LR12" s="36"/>
      <c r="LS12" s="27"/>
      <c r="LT12" s="27"/>
      <c r="LU12" s="27"/>
      <c r="LV12" s="1117">
        <f t="shared" si="49"/>
        <v>15161.26</v>
      </c>
      <c r="LW12" s="36"/>
      <c r="LX12" s="36"/>
      <c r="LY12" s="27"/>
      <c r="LZ12" s="27"/>
      <c r="MA12" s="33"/>
      <c r="MB12" s="28">
        <f t="shared" si="50"/>
        <v>0</v>
      </c>
      <c r="MC12" s="26"/>
      <c r="MD12" s="36"/>
      <c r="ME12" s="27"/>
      <c r="MF12" s="27"/>
      <c r="MG12" s="27"/>
      <c r="MH12" s="28"/>
      <c r="MI12" s="36"/>
      <c r="MJ12" s="36"/>
      <c r="MK12" s="27"/>
      <c r="ML12" s="27"/>
      <c r="MM12" s="27"/>
      <c r="MN12" s="28"/>
      <c r="MO12" s="36"/>
      <c r="MP12" s="36"/>
      <c r="MQ12" s="27"/>
      <c r="MR12" s="27"/>
      <c r="MS12" s="27"/>
      <c r="MT12" s="33">
        <f t="shared" si="51"/>
        <v>0</v>
      </c>
      <c r="MU12" s="2688"/>
      <c r="MW12" s="26">
        <f t="shared" si="52"/>
        <v>65032.789393306302</v>
      </c>
      <c r="MX12" s="27">
        <f t="shared" si="53"/>
        <v>109075.17380962023</v>
      </c>
      <c r="MY12" s="27">
        <f t="shared" si="54"/>
        <v>19927.176980961227</v>
      </c>
      <c r="MZ12" s="28">
        <f t="shared" si="55"/>
        <v>432886.67855851003</v>
      </c>
      <c r="NA12" s="2621"/>
      <c r="NB12" s="23">
        <f t="shared" si="56"/>
        <v>12399.023361311267</v>
      </c>
      <c r="NC12" s="1579">
        <f t="shared" si="57"/>
        <v>52633.766031995037</v>
      </c>
      <c r="ND12" s="60">
        <f t="shared" si="58"/>
        <v>0</v>
      </c>
      <c r="NE12" s="275">
        <f t="shared" si="4"/>
        <v>65032.789393306302</v>
      </c>
      <c r="NF12" s="26">
        <f t="shared" si="59"/>
        <v>0</v>
      </c>
      <c r="NG12" s="27">
        <f t="shared" si="59"/>
        <v>0</v>
      </c>
      <c r="NH12" s="27">
        <f t="shared" si="59"/>
        <v>0</v>
      </c>
      <c r="NI12" s="27">
        <f t="shared" si="59"/>
        <v>0</v>
      </c>
      <c r="NJ12" s="27">
        <f t="shared" si="59"/>
        <v>0</v>
      </c>
      <c r="NK12" s="33">
        <f t="shared" si="59"/>
        <v>0</v>
      </c>
      <c r="NL12" s="27">
        <f t="shared" si="59"/>
        <v>0</v>
      </c>
      <c r="NM12" s="36">
        <f t="shared" si="59"/>
        <v>0</v>
      </c>
      <c r="NN12" s="24">
        <f t="shared" si="59"/>
        <v>14870.880566563143</v>
      </c>
      <c r="NO12" s="27">
        <f t="shared" si="59"/>
        <v>26196.69549600617</v>
      </c>
      <c r="NP12" s="24">
        <f t="shared" si="108"/>
        <v>8756.5482322711578</v>
      </c>
      <c r="NQ12" s="24">
        <f t="shared" si="109"/>
        <v>15619.324118033412</v>
      </c>
      <c r="NR12" s="27">
        <f t="shared" si="0"/>
        <v>65443.448412873884</v>
      </c>
      <c r="NS12" s="27">
        <f t="shared" si="60"/>
        <v>0</v>
      </c>
      <c r="NT12" s="27">
        <f t="shared" si="60"/>
        <v>0</v>
      </c>
      <c r="NU12" s="27">
        <f t="shared" si="60"/>
        <v>0</v>
      </c>
      <c r="NV12" s="27">
        <f t="shared" si="60"/>
        <v>0</v>
      </c>
      <c r="NW12" s="27">
        <f t="shared" si="60"/>
        <v>0</v>
      </c>
      <c r="NX12" s="27">
        <f t="shared" si="60"/>
        <v>0</v>
      </c>
      <c r="NY12" s="27">
        <f t="shared" si="60"/>
        <v>4449.8636022929131</v>
      </c>
      <c r="NZ12" s="27">
        <f t="shared" si="60"/>
        <v>0</v>
      </c>
      <c r="OA12" s="27">
        <f t="shared" si="60"/>
        <v>21175.928066782835</v>
      </c>
      <c r="OB12" s="280"/>
      <c r="OC12" s="24">
        <f t="shared" si="61"/>
        <v>349.54339982995594</v>
      </c>
      <c r="OD12" s="27">
        <f t="shared" si="61"/>
        <v>0</v>
      </c>
      <c r="OE12" s="28">
        <f t="shared" si="1"/>
        <v>25975.335068905704</v>
      </c>
      <c r="OF12" s="27">
        <f t="shared" si="62"/>
        <v>0</v>
      </c>
      <c r="OG12" s="27">
        <f t="shared" si="62"/>
        <v>0</v>
      </c>
      <c r="OH12" s="27">
        <f t="shared" si="62"/>
        <v>0</v>
      </c>
      <c r="OI12" s="27">
        <f t="shared" si="62"/>
        <v>0</v>
      </c>
      <c r="OJ12" s="27">
        <f t="shared" si="62"/>
        <v>0</v>
      </c>
      <c r="OK12" s="27">
        <f t="shared" si="62"/>
        <v>0</v>
      </c>
      <c r="OL12" s="24">
        <f t="shared" si="62"/>
        <v>0</v>
      </c>
      <c r="OM12" s="27">
        <f t="shared" si="62"/>
        <v>0</v>
      </c>
      <c r="ON12" s="24">
        <f t="shared" si="62"/>
        <v>13745.266218026509</v>
      </c>
      <c r="OO12" s="27">
        <f t="shared" si="62"/>
        <v>0</v>
      </c>
      <c r="OP12" s="27">
        <f t="shared" si="62"/>
        <v>3911.1241098141277</v>
      </c>
      <c r="OQ12" s="27">
        <f t="shared" si="62"/>
        <v>0</v>
      </c>
      <c r="OR12" s="28">
        <f t="shared" si="2"/>
        <v>17656.390327840636</v>
      </c>
      <c r="OS12" s="36"/>
      <c r="OT12" s="27"/>
      <c r="OU12" s="27"/>
      <c r="OV12" s="27"/>
      <c r="OW12" s="27"/>
      <c r="OX12" s="27"/>
      <c r="OY12" s="28">
        <f t="shared" si="63"/>
        <v>0</v>
      </c>
      <c r="OZ12" s="36">
        <f t="shared" si="64"/>
        <v>0</v>
      </c>
      <c r="PA12" s="27">
        <f t="shared" si="65"/>
        <v>0</v>
      </c>
      <c r="PB12" s="27">
        <f t="shared" si="66"/>
        <v>0</v>
      </c>
      <c r="PC12" s="27">
        <f t="shared" si="67"/>
        <v>0</v>
      </c>
      <c r="PD12" s="27">
        <f t="shared" si="68"/>
        <v>0</v>
      </c>
      <c r="PE12" s="27">
        <f t="shared" si="69"/>
        <v>0</v>
      </c>
      <c r="PF12" s="33">
        <f t="shared" si="3"/>
        <v>0</v>
      </c>
      <c r="PG12" s="2621"/>
      <c r="PI12" s="1907">
        <v>1116.67</v>
      </c>
      <c r="PJ12" s="3"/>
      <c r="PK12" s="3"/>
      <c r="PL12" s="3">
        <f t="shared" si="70"/>
        <v>0</v>
      </c>
      <c r="PM12" s="3">
        <f t="shared" si="71"/>
        <v>10009.408459344188</v>
      </c>
      <c r="PN12" s="11">
        <f t="shared" si="72"/>
        <v>19927.176980961227</v>
      </c>
      <c r="PO12" s="15"/>
      <c r="PP12" s="2615"/>
      <c r="PR12" s="4"/>
      <c r="PS12" s="9"/>
      <c r="PT12" s="9"/>
      <c r="PU12" s="9"/>
      <c r="PV12" s="9">
        <v>0</v>
      </c>
      <c r="PW12" s="9"/>
      <c r="PX12" s="8">
        <f t="shared" si="73"/>
        <v>0</v>
      </c>
      <c r="PY12" s="5">
        <f t="shared" si="74"/>
        <v>1116.67</v>
      </c>
      <c r="PZ12" s="5"/>
      <c r="QA12" s="5"/>
      <c r="QB12" s="5"/>
      <c r="QC12" s="5"/>
      <c r="QD12" s="5"/>
      <c r="QE12" s="12">
        <f t="shared" si="75"/>
        <v>29562.488999999998</v>
      </c>
      <c r="QF12" s="420">
        <f t="shared" si="76"/>
        <v>403324.18955851003</v>
      </c>
      <c r="QG12" s="1106">
        <f t="shared" si="77"/>
        <v>0</v>
      </c>
      <c r="QH12" s="484">
        <f t="shared" si="78"/>
        <v>5505.3678056099998</v>
      </c>
      <c r="QI12" s="12"/>
      <c r="QJ12" s="2615"/>
      <c r="QL12" s="139">
        <f t="shared" si="79"/>
        <v>0</v>
      </c>
      <c r="QM12" s="139" t="str">
        <f t="shared" si="80"/>
        <v/>
      </c>
      <c r="QO12" s="139">
        <f t="shared" si="81"/>
        <v>0</v>
      </c>
      <c r="QP12" s="139">
        <f t="shared" si="82"/>
        <v>0</v>
      </c>
      <c r="QR12" s="1">
        <f t="shared" si="83"/>
        <v>0</v>
      </c>
      <c r="QS12" s="1">
        <f t="shared" si="84"/>
        <v>0</v>
      </c>
      <c r="QT12" s="1">
        <f t="shared" si="85"/>
        <v>0</v>
      </c>
      <c r="QU12" s="1">
        <f t="shared" si="86"/>
        <v>0</v>
      </c>
      <c r="QV12" s="1">
        <f t="shared" si="87"/>
        <v>0</v>
      </c>
      <c r="QW12" s="1">
        <f t="shared" si="88"/>
        <v>0</v>
      </c>
      <c r="QY12" s="1">
        <f t="shared" si="89"/>
        <v>0</v>
      </c>
      <c r="QZ12" s="1">
        <f t="shared" si="90"/>
        <v>0</v>
      </c>
      <c r="RA12" s="1">
        <f t="shared" si="91"/>
        <v>0</v>
      </c>
      <c r="RB12" s="1">
        <f t="shared" si="92"/>
        <v>0</v>
      </c>
      <c r="RC12" s="1">
        <f t="shared" si="93"/>
        <v>0</v>
      </c>
      <c r="RD12" s="1">
        <f t="shared" si="94"/>
        <v>0</v>
      </c>
      <c r="RG12" s="1">
        <v>3</v>
      </c>
      <c r="RH12" s="1">
        <f t="shared" si="95"/>
        <v>40022.14175108316</v>
      </c>
      <c r="RI12" s="1">
        <f t="shared" si="95"/>
        <v>3925.5835498622801</v>
      </c>
      <c r="RJ12" s="1">
        <f t="shared" si="95"/>
        <v>9178.5689913333827</v>
      </c>
      <c r="RK12" s="89">
        <f t="shared" si="5"/>
        <v>53126.294292278828</v>
      </c>
      <c r="RL12" s="1033">
        <v>3</v>
      </c>
      <c r="RM12" s="1098">
        <f t="shared" si="96"/>
        <v>0</v>
      </c>
      <c r="RN12" s="1098">
        <f t="shared" si="97"/>
        <v>0</v>
      </c>
      <c r="RO12" s="1097">
        <f t="shared" si="97"/>
        <v>0</v>
      </c>
      <c r="RP12" s="1097">
        <f t="shared" si="98"/>
        <v>5239.0399999999991</v>
      </c>
      <c r="RQ12" s="1094"/>
      <c r="RR12" s="1094" t="s">
        <v>871</v>
      </c>
      <c r="RU12" s="421">
        <v>3</v>
      </c>
      <c r="RV12" s="1095">
        <f t="shared" si="99"/>
        <v>5679.17</v>
      </c>
      <c r="RW12" s="1094" t="s">
        <v>872</v>
      </c>
      <c r="RY12" s="1090"/>
      <c r="RZ12" s="1090">
        <f t="shared" si="100"/>
        <v>0</v>
      </c>
      <c r="SA12" s="1090"/>
      <c r="SB12" s="1090">
        <f t="shared" si="101"/>
        <v>0</v>
      </c>
      <c r="SD12" s="1">
        <v>3</v>
      </c>
      <c r="SE12" s="1">
        <f t="shared" si="102"/>
        <v>0</v>
      </c>
      <c r="SF12" s="1094"/>
    </row>
    <row r="13" spans="1:500" s="1" customFormat="1" ht="16.95" customHeight="1">
      <c r="B13" s="471">
        <v>4</v>
      </c>
      <c r="C13" s="4">
        <f t="shared" si="6"/>
        <v>172021</v>
      </c>
      <c r="D13" s="1590">
        <f t="shared" si="103"/>
        <v>10092.74</v>
      </c>
      <c r="E13" s="1895">
        <f t="shared" si="7"/>
        <v>17.044033632095942</v>
      </c>
      <c r="F13" s="870"/>
      <c r="G13" s="870"/>
      <c r="H13" s="52"/>
      <c r="I13" s="61"/>
      <c r="J13" s="52"/>
      <c r="K13" s="61"/>
      <c r="L13" s="52"/>
      <c r="M13" s="61"/>
      <c r="N13" s="2629"/>
      <c r="O13" s="4">
        <f t="shared" si="104"/>
        <v>113484</v>
      </c>
      <c r="P13" s="1225">
        <f t="shared" si="8"/>
        <v>5696.5</v>
      </c>
      <c r="Q13" s="1913">
        <f t="shared" si="9"/>
        <v>19.921706310892652</v>
      </c>
      <c r="R13" s="33"/>
      <c r="S13" s="26">
        <f t="shared" si="10"/>
        <v>27467</v>
      </c>
      <c r="T13" s="27">
        <f t="shared" si="11"/>
        <v>956.2399999999999</v>
      </c>
      <c r="U13" s="1909">
        <f t="shared" si="12"/>
        <v>28.723960512005359</v>
      </c>
      <c r="V13" s="28"/>
      <c r="W13" s="1742">
        <f t="shared" si="13"/>
        <v>31070</v>
      </c>
      <c r="X13" s="5">
        <f t="shared" si="13"/>
        <v>3440</v>
      </c>
      <c r="Y13" s="1738">
        <f t="shared" si="14"/>
        <v>9.0319767441860463</v>
      </c>
      <c r="Z13" s="33"/>
      <c r="AA13" s="26">
        <f t="shared" si="15"/>
        <v>0</v>
      </c>
      <c r="AB13" s="27">
        <f t="shared" si="16"/>
        <v>0</v>
      </c>
      <c r="AC13" s="53">
        <f t="shared" si="17"/>
        <v>0</v>
      </c>
      <c r="AD13" s="28"/>
      <c r="AE13" s="36"/>
      <c r="AF13" s="36"/>
      <c r="AG13" s="53">
        <f t="shared" si="18"/>
        <v>0</v>
      </c>
      <c r="AH13" s="28"/>
      <c r="AI13" s="26"/>
      <c r="AJ13" s="27"/>
      <c r="AK13" s="53">
        <f t="shared" si="19"/>
        <v>0</v>
      </c>
      <c r="AL13" s="28"/>
      <c r="AM13" s="2629"/>
      <c r="AN13" s="9"/>
      <c r="AO13" s="5"/>
      <c r="AP13" s="61">
        <f t="shared" si="20"/>
        <v>0</v>
      </c>
      <c r="AQ13" s="36"/>
      <c r="AR13" s="53"/>
      <c r="AS13" s="61">
        <f t="shared" si="21"/>
        <v>0</v>
      </c>
      <c r="AT13" s="36"/>
      <c r="AU13" s="27"/>
      <c r="AV13" s="54">
        <f t="shared" si="22"/>
        <v>0</v>
      </c>
      <c r="AW13" s="26">
        <v>60900</v>
      </c>
      <c r="AX13" s="27">
        <v>5274.2</v>
      </c>
      <c r="AY13" s="1735">
        <v>11.546774866330439</v>
      </c>
      <c r="AZ13" s="36"/>
      <c r="BA13" s="27"/>
      <c r="BB13" s="61">
        <v>0</v>
      </c>
      <c r="BC13" s="1740">
        <v>52584</v>
      </c>
      <c r="BD13" s="1736">
        <v>422.29999999999995</v>
      </c>
      <c r="BE13" s="1735">
        <v>124.51811508406348</v>
      </c>
      <c r="BF13" s="36"/>
      <c r="BG13" s="53"/>
      <c r="BH13" s="61">
        <v>0</v>
      </c>
      <c r="BI13" s="36">
        <v>0</v>
      </c>
      <c r="BJ13" s="53">
        <v>0</v>
      </c>
      <c r="BK13" s="61">
        <v>0</v>
      </c>
      <c r="BL13" s="1742">
        <v>27467</v>
      </c>
      <c r="BM13" s="1909">
        <v>956.2399999999999</v>
      </c>
      <c r="BN13" s="1735">
        <v>28.723960512005359</v>
      </c>
      <c r="BO13" s="1125"/>
      <c r="BP13" s="53"/>
      <c r="BQ13" s="61">
        <v>0</v>
      </c>
      <c r="BR13" s="36"/>
      <c r="BS13" s="53"/>
      <c r="BT13" s="61">
        <v>0</v>
      </c>
      <c r="BU13" s="36">
        <v>31070</v>
      </c>
      <c r="BV13" s="5">
        <v>3440</v>
      </c>
      <c r="BW13" s="1906">
        <v>9.0319767441860463</v>
      </c>
      <c r="BX13" s="26"/>
      <c r="BY13" s="27"/>
      <c r="BZ13" s="61">
        <f t="shared" si="23"/>
        <v>0</v>
      </c>
      <c r="CA13" s="36"/>
      <c r="CB13" s="5"/>
      <c r="CC13" s="482">
        <f t="shared" si="24"/>
        <v>0</v>
      </c>
      <c r="CD13" s="4"/>
      <c r="CE13" s="5"/>
      <c r="CF13" s="28">
        <f t="shared" si="25"/>
        <v>0</v>
      </c>
      <c r="CG13" s="150"/>
      <c r="CH13" s="4"/>
      <c r="CI13" s="5"/>
      <c r="CJ13" s="5"/>
      <c r="CK13" s="5"/>
      <c r="CL13" s="5"/>
      <c r="CM13" s="5">
        <f t="shared" si="26"/>
        <v>0</v>
      </c>
      <c r="CN13" s="33"/>
      <c r="CO13" s="366"/>
      <c r="CQ13" s="4">
        <f t="shared" si="27"/>
        <v>0</v>
      </c>
      <c r="CR13" s="9">
        <f t="shared" si="27"/>
        <v>0</v>
      </c>
      <c r="CS13" s="5">
        <f t="shared" si="27"/>
        <v>0</v>
      </c>
      <c r="CT13" s="5">
        <f t="shared" si="27"/>
        <v>0</v>
      </c>
      <c r="CU13" s="5">
        <f t="shared" si="27"/>
        <v>0</v>
      </c>
      <c r="CV13" s="5">
        <f t="shared" si="27"/>
        <v>0</v>
      </c>
      <c r="CW13" s="5">
        <f t="shared" si="27"/>
        <v>208.18</v>
      </c>
      <c r="CX13" s="5">
        <f t="shared" si="27"/>
        <v>0</v>
      </c>
      <c r="CY13" s="5">
        <f t="shared" si="27"/>
        <v>6647.8399999999992</v>
      </c>
      <c r="CZ13" s="5">
        <f t="shared" si="27"/>
        <v>0</v>
      </c>
      <c r="DA13" s="5">
        <f t="shared" si="27"/>
        <v>2742.3</v>
      </c>
      <c r="DB13" s="12">
        <f t="shared" si="27"/>
        <v>0</v>
      </c>
      <c r="DC13" s="310">
        <f t="shared" si="28"/>
        <v>10092.74</v>
      </c>
      <c r="DD13" s="2695"/>
      <c r="DE13" s="8"/>
      <c r="DF13" s="9"/>
      <c r="DG13" s="5"/>
      <c r="DH13" s="5"/>
      <c r="DI13" s="5"/>
      <c r="DJ13" s="5"/>
      <c r="DK13" s="5">
        <v>208.18</v>
      </c>
      <c r="DL13" s="5"/>
      <c r="DM13" s="5">
        <v>4571.5999999999995</v>
      </c>
      <c r="DN13" s="5"/>
      <c r="DO13" s="5"/>
      <c r="DP13" s="12"/>
      <c r="DQ13" s="1906">
        <f t="shared" si="29"/>
        <v>4779.78</v>
      </c>
      <c r="DR13" s="36"/>
      <c r="DS13" s="36"/>
      <c r="DT13" s="27"/>
      <c r="DU13" s="27"/>
      <c r="DV13" s="5"/>
      <c r="DW13" s="5"/>
      <c r="DX13" s="64"/>
      <c r="DY13" s="5"/>
      <c r="DZ13" s="5">
        <v>956.2399999999999</v>
      </c>
      <c r="EA13" s="27"/>
      <c r="EB13" s="27">
        <v>422.29999999999995</v>
      </c>
      <c r="EC13" s="33"/>
      <c r="ED13" s="28">
        <f t="shared" si="30"/>
        <v>1378.54</v>
      </c>
      <c r="EE13" s="9"/>
      <c r="EF13" s="9"/>
      <c r="EG13" s="5"/>
      <c r="EH13" s="5"/>
      <c r="EI13" s="27"/>
      <c r="EJ13" s="27"/>
      <c r="EK13" s="27"/>
      <c r="EL13" s="27"/>
      <c r="EM13" s="5">
        <v>1120</v>
      </c>
      <c r="EN13" s="5"/>
      <c r="EO13" s="1448">
        <v>2320</v>
      </c>
      <c r="EP13" s="33"/>
      <c r="EQ13" s="28">
        <f t="shared" si="31"/>
        <v>3440</v>
      </c>
      <c r="ER13" s="36"/>
      <c r="ES13" s="27"/>
      <c r="ET13" s="27"/>
      <c r="EU13" s="27"/>
      <c r="EV13" s="27"/>
      <c r="EW13" s="27"/>
      <c r="EX13" s="33">
        <f t="shared" si="32"/>
        <v>0</v>
      </c>
      <c r="EY13" s="2685"/>
      <c r="FA13" s="4">
        <f t="shared" si="33"/>
        <v>0</v>
      </c>
      <c r="FB13" s="5">
        <f t="shared" si="34"/>
        <v>0</v>
      </c>
      <c r="FC13" s="5">
        <f t="shared" si="35"/>
        <v>0</v>
      </c>
      <c r="FD13" s="12">
        <f t="shared" si="36"/>
        <v>0</v>
      </c>
      <c r="FE13" s="33"/>
      <c r="FF13" s="2674"/>
      <c r="FG13" s="9"/>
      <c r="FH13" s="5"/>
      <c r="FI13" s="5"/>
      <c r="FJ13" s="5"/>
      <c r="FK13" s="5"/>
      <c r="FL13" s="27"/>
      <c r="FM13" s="28">
        <f t="shared" si="37"/>
        <v>0</v>
      </c>
      <c r="FN13" s="36"/>
      <c r="FO13" s="27"/>
      <c r="FP13" s="27"/>
      <c r="FQ13" s="27"/>
      <c r="FR13" s="27"/>
      <c r="FS13" s="27"/>
      <c r="FT13" s="28">
        <f t="shared" si="38"/>
        <v>0</v>
      </c>
      <c r="FU13" s="36"/>
      <c r="FV13" s="36"/>
      <c r="FW13" s="27"/>
      <c r="FX13" s="27"/>
      <c r="FY13" s="27"/>
      <c r="FZ13" s="27"/>
      <c r="GA13" s="27"/>
      <c r="GB13" s="27"/>
      <c r="GC13" s="27"/>
      <c r="GD13" s="27"/>
      <c r="GE13" s="27"/>
      <c r="GF13" s="33"/>
      <c r="GG13" s="33">
        <f t="shared" si="39"/>
        <v>0</v>
      </c>
      <c r="GH13" s="2674"/>
      <c r="GJ13" s="2">
        <f t="shared" si="105"/>
        <v>533.09999999999991</v>
      </c>
      <c r="GK13" s="63">
        <f t="shared" si="106"/>
        <v>3821.9999999999995</v>
      </c>
      <c r="GL13" s="24">
        <f t="shared" si="107"/>
        <v>1408.5</v>
      </c>
      <c r="GM13" s="1736">
        <f t="shared" si="40"/>
        <v>5763.5999999999995</v>
      </c>
      <c r="GN13" s="141"/>
      <c r="GO13" s="141"/>
      <c r="GP13" s="33"/>
      <c r="GQ13" s="2667"/>
      <c r="GR13" s="1740">
        <v>5563.65</v>
      </c>
      <c r="GS13" s="1736">
        <v>199.95</v>
      </c>
      <c r="GT13" s="1736">
        <v>0</v>
      </c>
      <c r="GU13" s="1736">
        <v>0</v>
      </c>
      <c r="GV13" s="1724">
        <f t="shared" si="41"/>
        <v>5763.5999999999995</v>
      </c>
      <c r="GW13" s="2667"/>
      <c r="GX13" s="36"/>
      <c r="GY13" s="36"/>
      <c r="GZ13" s="27"/>
      <c r="HA13" s="27"/>
      <c r="HB13" s="27"/>
      <c r="HC13" s="27"/>
      <c r="HD13" s="27"/>
      <c r="HE13" s="27"/>
      <c r="HF13" s="27">
        <v>0</v>
      </c>
      <c r="HG13" s="27"/>
      <c r="HH13" s="27">
        <v>333.15</v>
      </c>
      <c r="HI13" s="27"/>
      <c r="HJ13" s="27">
        <v>199.95</v>
      </c>
      <c r="HK13" s="27"/>
      <c r="HL13" s="28">
        <f t="shared" si="42"/>
        <v>533.09999999999991</v>
      </c>
      <c r="HM13" s="36"/>
      <c r="HN13" s="27"/>
      <c r="HO13" s="27"/>
      <c r="HP13" s="27"/>
      <c r="HQ13" s="27"/>
      <c r="HR13" s="27"/>
      <c r="HS13" s="27" cm="1">
        <f t="array" ref="HS13">SUMPRODUCT(('Data Base hauling'!$C$2:$C$216="TCM-ROM SB1 BK05-ROM 4")*(ISNUMBER(SEARCH(TEXT('April TCM'!$B13,"00")&amp;"/03/2026",'Data Base hauling'!$E$2:$E$216)))*'Data Base hauling'!$N$2:$N$216)</f>
        <v>0</v>
      </c>
      <c r="HT13" s="27"/>
      <c r="HU13" s="27" cm="1">
        <f t="array" ref="HU13">SUMPRODUCT(('Data Base hauling'!$C$2:$C$216="TCM-ROM SB1 BK05-ROM 5")*(ISNUMBER(SEARCH(TEXT('April TCM'!$B13,"00")&amp;"/03/2026",'Data Base hauling'!$E$2:$E$216)))*'Data Base hauling'!$N$2:$N$216)</f>
        <v>0</v>
      </c>
      <c r="HV13" s="27"/>
      <c r="HW13" s="27"/>
      <c r="HX13" s="27"/>
      <c r="HY13" s="27"/>
      <c r="HZ13" s="27"/>
      <c r="IA13" s="33">
        <f t="shared" si="43"/>
        <v>0</v>
      </c>
      <c r="IB13" s="845"/>
      <c r="IC13" s="363"/>
      <c r="ID13" s="64"/>
      <c r="IE13" s="64"/>
      <c r="IF13" s="64"/>
      <c r="IG13" s="64"/>
      <c r="IH13" s="64">
        <v>802.35</v>
      </c>
      <c r="II13" s="64"/>
      <c r="IJ13" s="1590">
        <v>3019.6499999999996</v>
      </c>
      <c r="IK13" s="64"/>
      <c r="IL13" s="64">
        <v>0</v>
      </c>
      <c r="IM13" s="64"/>
      <c r="IN13" s="64"/>
      <c r="IO13" s="49">
        <v>0</v>
      </c>
      <c r="IP13" s="61">
        <f t="shared" si="44"/>
        <v>3821.9999999999995</v>
      </c>
      <c r="IQ13" s="36"/>
      <c r="IR13" s="36"/>
      <c r="IS13" s="27"/>
      <c r="IT13" s="27"/>
      <c r="IU13" s="53"/>
      <c r="IV13" s="27"/>
      <c r="IW13" s="27">
        <v>0</v>
      </c>
      <c r="IX13" s="27"/>
      <c r="IY13" s="27">
        <v>1083.7</v>
      </c>
      <c r="IZ13" s="27"/>
      <c r="JA13" s="27">
        <v>324.8</v>
      </c>
      <c r="JB13" s="27"/>
      <c r="JC13" s="27"/>
      <c r="JD13" s="27"/>
      <c r="JE13" s="33">
        <f t="shared" si="110"/>
        <v>1408.5</v>
      </c>
      <c r="JF13" s="2667"/>
      <c r="JH13" s="2018">
        <v>3291.85</v>
      </c>
      <c r="JI13" s="2017">
        <v>2471.75</v>
      </c>
      <c r="JJ13" s="53"/>
      <c r="JK13" s="1736">
        <f t="shared" si="46"/>
        <v>5763.6</v>
      </c>
      <c r="JL13" s="33"/>
      <c r="JM13" s="2669"/>
      <c r="JN13" s="69">
        <v>0</v>
      </c>
      <c r="JO13" s="70">
        <v>0</v>
      </c>
      <c r="JP13" s="70">
        <v>0</v>
      </c>
      <c r="JQ13" s="70">
        <v>0</v>
      </c>
      <c r="JR13" s="70">
        <v>0.95959718699211694</v>
      </c>
      <c r="JS13" s="70">
        <v>0</v>
      </c>
      <c r="JT13" s="70">
        <v>4.0402813007883107E-2</v>
      </c>
      <c r="JU13" s="1922">
        <v>0</v>
      </c>
      <c r="JV13" s="69">
        <v>0</v>
      </c>
      <c r="JW13" s="70">
        <v>0</v>
      </c>
      <c r="JX13" s="70">
        <v>0</v>
      </c>
      <c r="JY13" s="70">
        <v>0.3246080712046121</v>
      </c>
      <c r="JZ13" s="70">
        <v>0.38211793263881866</v>
      </c>
      <c r="KA13" s="70">
        <v>0.26618792353595633</v>
      </c>
      <c r="KB13" s="70">
        <v>2.7086072620612928E-2</v>
      </c>
      <c r="KC13" s="71">
        <v>0</v>
      </c>
      <c r="KD13" s="69"/>
      <c r="KE13" s="70"/>
      <c r="KF13" s="70"/>
      <c r="KG13" s="70"/>
      <c r="KH13" s="70"/>
      <c r="KI13" s="70"/>
      <c r="KJ13" s="70"/>
      <c r="KK13" s="70"/>
      <c r="KL13" s="33"/>
      <c r="KM13" s="2669"/>
      <c r="KN13" s="1739">
        <v>6908</v>
      </c>
      <c r="KO13" s="1721">
        <v>1.1599999999999999</v>
      </c>
      <c r="KP13" s="1721">
        <v>4.46</v>
      </c>
      <c r="KQ13" s="1721">
        <v>6.57</v>
      </c>
      <c r="KR13" s="1722">
        <v>9.466330000000001</v>
      </c>
      <c r="KS13" s="1958">
        <v>6913</v>
      </c>
      <c r="KT13" s="1961">
        <v>1.84</v>
      </c>
      <c r="KU13" s="1961">
        <v>2.2200000000000002</v>
      </c>
      <c r="KV13" s="1961">
        <v>7.33</v>
      </c>
      <c r="KW13" s="1962">
        <v>10.082299000000001</v>
      </c>
      <c r="KX13" s="36"/>
      <c r="KY13" s="53"/>
      <c r="KZ13" s="53"/>
      <c r="LA13" s="53"/>
      <c r="LB13" s="53"/>
      <c r="LC13" s="33"/>
      <c r="LD13" s="2669"/>
      <c r="LF13" s="998">
        <f t="shared" si="47"/>
        <v>5363.4979999999996</v>
      </c>
      <c r="LG13" s="27">
        <f t="shared" si="47"/>
        <v>2298.6419999999998</v>
      </c>
      <c r="LH13" s="27">
        <f t="shared" si="47"/>
        <v>0</v>
      </c>
      <c r="LI13" s="28">
        <f t="shared" si="48"/>
        <v>7662.1399999999994</v>
      </c>
      <c r="LJ13" s="36">
        <v>1</v>
      </c>
      <c r="LK13" s="27"/>
      <c r="LL13" s="27"/>
      <c r="LM13" s="33"/>
      <c r="LN13" s="1041">
        <v>5.1100000000000003</v>
      </c>
      <c r="LO13" s="486"/>
      <c r="LP13" s="2688"/>
      <c r="LQ13" s="21">
        <v>5363.4979999999996</v>
      </c>
      <c r="LR13" s="2103">
        <v>2298.6419999999998</v>
      </c>
      <c r="LS13" s="27"/>
      <c r="LT13" s="27"/>
      <c r="LU13" s="27"/>
      <c r="LV13" s="1117">
        <f t="shared" si="49"/>
        <v>7662.1399999999994</v>
      </c>
      <c r="LW13" s="36"/>
      <c r="LX13" s="36"/>
      <c r="LY13" s="27"/>
      <c r="LZ13" s="27"/>
      <c r="MA13" s="33"/>
      <c r="MB13" s="28">
        <f t="shared" si="50"/>
        <v>0</v>
      </c>
      <c r="MC13" s="26"/>
      <c r="MD13" s="36"/>
      <c r="ME13" s="27"/>
      <c r="MF13" s="27"/>
      <c r="MG13" s="27"/>
      <c r="MH13" s="28"/>
      <c r="MI13" s="36"/>
      <c r="MJ13" s="36"/>
      <c r="MK13" s="27"/>
      <c r="ML13" s="27"/>
      <c r="MM13" s="27"/>
      <c r="MN13" s="28"/>
      <c r="MO13" s="36"/>
      <c r="MP13" s="36"/>
      <c r="MQ13" s="27"/>
      <c r="MR13" s="27"/>
      <c r="MS13" s="27"/>
      <c r="MT13" s="33">
        <f t="shared" si="51"/>
        <v>0</v>
      </c>
      <c r="MU13" s="2688"/>
      <c r="MW13" s="26">
        <f t="shared" si="52"/>
        <v>63134.249393306309</v>
      </c>
      <c r="MX13" s="27">
        <f t="shared" si="53"/>
        <v>113109.84380962022</v>
      </c>
      <c r="MY13" s="27">
        <f t="shared" si="54"/>
        <v>19727.226980961226</v>
      </c>
      <c r="MZ13" s="28">
        <f t="shared" si="55"/>
        <v>432604.79855851003</v>
      </c>
      <c r="NA13" s="2621"/>
      <c r="NB13" s="23">
        <f t="shared" si="56"/>
        <v>10327.375361311268</v>
      </c>
      <c r="NC13" s="1579">
        <f t="shared" si="57"/>
        <v>52806.874031995038</v>
      </c>
      <c r="ND13" s="60">
        <f t="shared" si="58"/>
        <v>0</v>
      </c>
      <c r="NE13" s="275">
        <f t="shared" si="4"/>
        <v>63134.249393306309</v>
      </c>
      <c r="NF13" s="26">
        <f t="shared" si="59"/>
        <v>0</v>
      </c>
      <c r="NG13" s="27">
        <f t="shared" si="59"/>
        <v>0</v>
      </c>
      <c r="NH13" s="27">
        <f t="shared" si="59"/>
        <v>0</v>
      </c>
      <c r="NI13" s="27">
        <f t="shared" si="59"/>
        <v>0</v>
      </c>
      <c r="NJ13" s="27">
        <f t="shared" si="59"/>
        <v>0</v>
      </c>
      <c r="NK13" s="33">
        <f t="shared" si="59"/>
        <v>0</v>
      </c>
      <c r="NL13" s="27">
        <f t="shared" si="59"/>
        <v>0</v>
      </c>
      <c r="NM13" s="36">
        <f t="shared" si="59"/>
        <v>0</v>
      </c>
      <c r="NN13" s="24">
        <f t="shared" si="59"/>
        <v>15990.880566563143</v>
      </c>
      <c r="NO13" s="27">
        <f t="shared" si="59"/>
        <v>26196.69549600617</v>
      </c>
      <c r="NP13" s="24">
        <f t="shared" si="108"/>
        <v>8756.5482322711578</v>
      </c>
      <c r="NQ13" s="24">
        <f t="shared" si="109"/>
        <v>17606.17411803341</v>
      </c>
      <c r="NR13" s="27">
        <f t="shared" si="0"/>
        <v>68550.298412873875</v>
      </c>
      <c r="NS13" s="27">
        <f t="shared" si="60"/>
        <v>0</v>
      </c>
      <c r="NT13" s="27">
        <f t="shared" si="60"/>
        <v>0</v>
      </c>
      <c r="NU13" s="27">
        <f t="shared" si="60"/>
        <v>0</v>
      </c>
      <c r="NV13" s="27">
        <f t="shared" si="60"/>
        <v>0</v>
      </c>
      <c r="NW13" s="27">
        <f t="shared" si="60"/>
        <v>0</v>
      </c>
      <c r="NX13" s="27">
        <f t="shared" si="60"/>
        <v>0</v>
      </c>
      <c r="NY13" s="27">
        <f t="shared" si="60"/>
        <v>3855.6936022929135</v>
      </c>
      <c r="NZ13" s="27">
        <f t="shared" si="60"/>
        <v>0</v>
      </c>
      <c r="OA13" s="27">
        <f t="shared" si="60"/>
        <v>22727.878066782832</v>
      </c>
      <c r="OB13" s="280"/>
      <c r="OC13" s="24">
        <f t="shared" si="61"/>
        <v>349.54339982995594</v>
      </c>
      <c r="OD13" s="27">
        <f t="shared" si="61"/>
        <v>0</v>
      </c>
      <c r="OE13" s="28">
        <f t="shared" si="1"/>
        <v>26933.115068905703</v>
      </c>
      <c r="OF13" s="27">
        <f t="shared" si="62"/>
        <v>0</v>
      </c>
      <c r="OG13" s="27">
        <f t="shared" si="62"/>
        <v>0</v>
      </c>
      <c r="OH13" s="27">
        <f t="shared" si="62"/>
        <v>0</v>
      </c>
      <c r="OI13" s="27">
        <f t="shared" si="62"/>
        <v>0</v>
      </c>
      <c r="OJ13" s="27">
        <f t="shared" si="62"/>
        <v>0</v>
      </c>
      <c r="OK13" s="27">
        <f t="shared" si="62"/>
        <v>0</v>
      </c>
      <c r="OL13" s="24">
        <f t="shared" si="62"/>
        <v>0</v>
      </c>
      <c r="OM13" s="27">
        <f t="shared" si="62"/>
        <v>0</v>
      </c>
      <c r="ON13" s="24">
        <f t="shared" si="62"/>
        <v>13617.806218026508</v>
      </c>
      <c r="OO13" s="27">
        <f t="shared" si="62"/>
        <v>0</v>
      </c>
      <c r="OP13" s="27">
        <f t="shared" si="62"/>
        <v>4008.6241098141272</v>
      </c>
      <c r="OQ13" s="27">
        <f t="shared" si="62"/>
        <v>0</v>
      </c>
      <c r="OR13" s="28">
        <f t="shared" si="2"/>
        <v>17626.430327840637</v>
      </c>
      <c r="OS13" s="36"/>
      <c r="OT13" s="27"/>
      <c r="OU13" s="27"/>
      <c r="OV13" s="27"/>
      <c r="OW13" s="27"/>
      <c r="OX13" s="27"/>
      <c r="OY13" s="28">
        <f t="shared" si="63"/>
        <v>0</v>
      </c>
      <c r="OZ13" s="36">
        <f t="shared" si="64"/>
        <v>0</v>
      </c>
      <c r="PA13" s="27">
        <f t="shared" si="65"/>
        <v>0</v>
      </c>
      <c r="PB13" s="27">
        <f t="shared" si="66"/>
        <v>0</v>
      </c>
      <c r="PC13" s="27">
        <f t="shared" si="67"/>
        <v>0</v>
      </c>
      <c r="PD13" s="27">
        <f t="shared" si="68"/>
        <v>0</v>
      </c>
      <c r="PE13" s="27">
        <f t="shared" si="69"/>
        <v>0</v>
      </c>
      <c r="PF13" s="33">
        <f t="shared" si="3"/>
        <v>0</v>
      </c>
      <c r="PG13" s="2621"/>
      <c r="PI13" s="1907">
        <v>1270.72</v>
      </c>
      <c r="PJ13" s="3"/>
      <c r="PK13" s="3"/>
      <c r="PL13" s="3">
        <f t="shared" si="70"/>
        <v>199.95</v>
      </c>
      <c r="PM13" s="3">
        <f t="shared" si="71"/>
        <v>11280.128459344187</v>
      </c>
      <c r="PN13" s="11">
        <f t="shared" si="72"/>
        <v>19727.226980961226</v>
      </c>
      <c r="PO13" s="15"/>
      <c r="PP13" s="2615"/>
      <c r="PR13" s="4"/>
      <c r="PS13" s="9"/>
      <c r="PT13" s="9"/>
      <c r="PU13" s="9"/>
      <c r="PV13" s="9">
        <v>494.41999999999996</v>
      </c>
      <c r="PW13" s="9"/>
      <c r="PX13" s="8">
        <f t="shared" si="73"/>
        <v>494.41999999999996</v>
      </c>
      <c r="PY13" s="5">
        <f t="shared" si="74"/>
        <v>1270.72</v>
      </c>
      <c r="PZ13" s="5"/>
      <c r="QA13" s="5"/>
      <c r="QB13" s="5"/>
      <c r="QC13" s="5"/>
      <c r="QD13" s="5"/>
      <c r="QE13" s="12">
        <f t="shared" si="75"/>
        <v>29562.488999999998</v>
      </c>
      <c r="QF13" s="420">
        <f t="shared" si="76"/>
        <v>402547.88955851004</v>
      </c>
      <c r="QG13" s="1106">
        <f t="shared" si="77"/>
        <v>494.41999999999996</v>
      </c>
      <c r="QH13" s="484">
        <f t="shared" si="78"/>
        <v>5505.3678056099998</v>
      </c>
      <c r="QI13" s="12"/>
      <c r="QJ13" s="2615"/>
      <c r="QL13" s="139">
        <f t="shared" si="79"/>
        <v>0</v>
      </c>
      <c r="QM13" s="139" t="str">
        <f t="shared" si="80"/>
        <v/>
      </c>
      <c r="QO13" s="139">
        <f t="shared" si="81"/>
        <v>0</v>
      </c>
      <c r="QP13" s="139">
        <f t="shared" si="82"/>
        <v>0</v>
      </c>
      <c r="QR13" s="1">
        <f t="shared" si="83"/>
        <v>0</v>
      </c>
      <c r="QS13" s="1">
        <f t="shared" si="84"/>
        <v>0</v>
      </c>
      <c r="QT13" s="1">
        <f t="shared" si="85"/>
        <v>0</v>
      </c>
      <c r="QU13" s="1">
        <f t="shared" si="86"/>
        <v>0</v>
      </c>
      <c r="QV13" s="1">
        <f t="shared" si="87"/>
        <v>0</v>
      </c>
      <c r="QW13" s="1">
        <f t="shared" si="88"/>
        <v>0</v>
      </c>
      <c r="QY13" s="1">
        <f t="shared" si="89"/>
        <v>0</v>
      </c>
      <c r="QZ13" s="1">
        <f t="shared" si="90"/>
        <v>0</v>
      </c>
      <c r="RA13" s="1">
        <f t="shared" si="91"/>
        <v>0</v>
      </c>
      <c r="RB13" s="1">
        <f t="shared" si="92"/>
        <v>0</v>
      </c>
      <c r="RC13" s="1">
        <f t="shared" si="93"/>
        <v>0</v>
      </c>
      <c r="RD13" s="1">
        <f t="shared" si="94"/>
        <v>0</v>
      </c>
      <c r="RG13" s="1">
        <v>4</v>
      </c>
      <c r="RH13" s="1">
        <f t="shared" si="95"/>
        <v>37950.493751083159</v>
      </c>
      <c r="RI13" s="1">
        <f t="shared" si="95"/>
        <v>4098.6915498622802</v>
      </c>
      <c r="RJ13" s="1">
        <f t="shared" si="95"/>
        <v>9178.5689913333827</v>
      </c>
      <c r="RK13" s="89">
        <f t="shared" si="5"/>
        <v>51227.75429227882</v>
      </c>
      <c r="RL13" s="1033">
        <v>4</v>
      </c>
      <c r="RM13" s="1098">
        <f t="shared" si="96"/>
        <v>0</v>
      </c>
      <c r="RN13" s="1098">
        <f t="shared" si="97"/>
        <v>494.41999999999996</v>
      </c>
      <c r="RO13" s="1097">
        <f t="shared" si="97"/>
        <v>0</v>
      </c>
      <c r="RP13" s="1097">
        <f t="shared" si="98"/>
        <v>6652.74</v>
      </c>
      <c r="RQ13" s="1094"/>
      <c r="RR13" s="1094" t="s">
        <v>873</v>
      </c>
      <c r="RU13" s="421">
        <v>4</v>
      </c>
      <c r="RV13" s="1095">
        <f t="shared" si="99"/>
        <v>5763.5999999999995</v>
      </c>
      <c r="RW13" s="1094" t="s">
        <v>874</v>
      </c>
      <c r="RY13" s="1090"/>
      <c r="RZ13" s="1090">
        <f t="shared" si="100"/>
        <v>-494.42000000000007</v>
      </c>
      <c r="SA13" s="1090"/>
      <c r="SB13" s="1090">
        <f t="shared" si="101"/>
        <v>0</v>
      </c>
      <c r="SD13" s="1">
        <v>4</v>
      </c>
      <c r="SE13" s="1">
        <f t="shared" si="102"/>
        <v>199.95</v>
      </c>
      <c r="SF13" s="1094">
        <v>2604041425</v>
      </c>
    </row>
    <row r="14" spans="1:500" s="1" customFormat="1" ht="13.5" customHeight="1">
      <c r="B14" s="471">
        <v>5</v>
      </c>
      <c r="C14" s="4">
        <f t="shared" si="6"/>
        <v>141720</v>
      </c>
      <c r="D14" s="1590">
        <f t="shared" si="103"/>
        <v>9767.76</v>
      </c>
      <c r="E14" s="1895">
        <f t="shared" si="7"/>
        <v>14.508955994004767</v>
      </c>
      <c r="F14" s="870"/>
      <c r="G14" s="870"/>
      <c r="H14" s="52">
        <v>44</v>
      </c>
      <c r="I14" s="61">
        <v>8.2799999999999994</v>
      </c>
      <c r="J14" s="52"/>
      <c r="K14" s="54"/>
      <c r="L14" s="52">
        <v>79.33</v>
      </c>
      <c r="M14" s="61">
        <v>3.77</v>
      </c>
      <c r="N14" s="2629"/>
      <c r="O14" s="4">
        <f t="shared" si="104"/>
        <v>92862</v>
      </c>
      <c r="P14" s="1225">
        <f t="shared" si="8"/>
        <v>5666.3200000000006</v>
      </c>
      <c r="Q14" s="1913">
        <f t="shared" si="9"/>
        <v>16.388414350054354</v>
      </c>
      <c r="R14" s="33"/>
      <c r="S14" s="26">
        <f t="shared" si="10"/>
        <v>26419</v>
      </c>
      <c r="T14" s="27">
        <f t="shared" si="11"/>
        <v>821.43999999999994</v>
      </c>
      <c r="U14" s="1909">
        <f t="shared" si="12"/>
        <v>32.161813400857035</v>
      </c>
      <c r="V14" s="28"/>
      <c r="W14" s="1742">
        <f t="shared" si="13"/>
        <v>22439</v>
      </c>
      <c r="X14" s="5">
        <f t="shared" si="13"/>
        <v>3280</v>
      </c>
      <c r="Y14" s="1738">
        <f t="shared" si="14"/>
        <v>6.8411585365853655</v>
      </c>
      <c r="Z14" s="33"/>
      <c r="AA14" s="26">
        <f t="shared" si="15"/>
        <v>0</v>
      </c>
      <c r="AB14" s="27">
        <f t="shared" si="16"/>
        <v>0</v>
      </c>
      <c r="AC14" s="53">
        <f t="shared" si="17"/>
        <v>0</v>
      </c>
      <c r="AD14" s="28"/>
      <c r="AE14" s="36"/>
      <c r="AF14" s="36"/>
      <c r="AG14" s="53">
        <f t="shared" si="18"/>
        <v>0</v>
      </c>
      <c r="AH14" s="28"/>
      <c r="AI14" s="23"/>
      <c r="AJ14" s="27"/>
      <c r="AK14" s="53">
        <f t="shared" si="19"/>
        <v>0</v>
      </c>
      <c r="AL14" s="28"/>
      <c r="AM14" s="2629"/>
      <c r="AN14" s="9"/>
      <c r="AO14" s="5"/>
      <c r="AP14" s="61">
        <f t="shared" si="20"/>
        <v>0</v>
      </c>
      <c r="AQ14" s="36"/>
      <c r="AR14" s="53"/>
      <c r="AS14" s="61">
        <f t="shared" si="21"/>
        <v>0</v>
      </c>
      <c r="AT14" s="36"/>
      <c r="AU14" s="27"/>
      <c r="AV14" s="54">
        <f t="shared" si="22"/>
        <v>0</v>
      </c>
      <c r="AW14" s="26">
        <v>52920</v>
      </c>
      <c r="AX14" s="27">
        <v>4396.1100000000006</v>
      </c>
      <c r="AY14" s="1735">
        <v>12.037915338788155</v>
      </c>
      <c r="AZ14" s="36"/>
      <c r="BA14" s="27"/>
      <c r="BB14" s="61">
        <v>0</v>
      </c>
      <c r="BC14" s="1740">
        <v>39942</v>
      </c>
      <c r="BD14" s="1736">
        <v>1270.21</v>
      </c>
      <c r="BE14" s="1735">
        <v>31.445194101762699</v>
      </c>
      <c r="BF14" s="36"/>
      <c r="BG14" s="53"/>
      <c r="BH14" s="61">
        <v>0</v>
      </c>
      <c r="BI14" s="36">
        <v>0</v>
      </c>
      <c r="BJ14" s="53">
        <v>0</v>
      </c>
      <c r="BK14" s="61">
        <v>0</v>
      </c>
      <c r="BL14" s="1742">
        <v>26419</v>
      </c>
      <c r="BM14" s="1909">
        <v>821.43999999999994</v>
      </c>
      <c r="BN14" s="1735">
        <v>32.161813400857035</v>
      </c>
      <c r="BO14" s="36"/>
      <c r="BP14" s="53"/>
      <c r="BQ14" s="61">
        <v>0</v>
      </c>
      <c r="BR14" s="36"/>
      <c r="BS14" s="53"/>
      <c r="BT14" s="61">
        <v>0</v>
      </c>
      <c r="BU14" s="36">
        <v>22439</v>
      </c>
      <c r="BV14" s="5">
        <v>3280</v>
      </c>
      <c r="BW14" s="1906">
        <v>6.8411585365853655</v>
      </c>
      <c r="BX14" s="26"/>
      <c r="BY14" s="27"/>
      <c r="BZ14" s="61">
        <f t="shared" si="23"/>
        <v>0</v>
      </c>
      <c r="CA14" s="36"/>
      <c r="CB14" s="481"/>
      <c r="CC14" s="482">
        <f t="shared" si="24"/>
        <v>0</v>
      </c>
      <c r="CD14" s="4"/>
      <c r="CE14" s="5"/>
      <c r="CF14" s="28">
        <f t="shared" si="25"/>
        <v>0</v>
      </c>
      <c r="CG14" s="150"/>
      <c r="CH14" s="4"/>
      <c r="CI14" s="5"/>
      <c r="CJ14" s="5"/>
      <c r="CK14" s="5"/>
      <c r="CL14" s="5"/>
      <c r="CM14" s="5">
        <f t="shared" si="26"/>
        <v>0</v>
      </c>
      <c r="CN14" s="33"/>
      <c r="CO14" s="366"/>
      <c r="CQ14" s="4">
        <f t="shared" si="27"/>
        <v>0</v>
      </c>
      <c r="CR14" s="9">
        <f t="shared" si="27"/>
        <v>0</v>
      </c>
      <c r="CS14" s="5">
        <f t="shared" si="27"/>
        <v>0</v>
      </c>
      <c r="CT14" s="5">
        <f t="shared" si="27"/>
        <v>0</v>
      </c>
      <c r="CU14" s="5">
        <f t="shared" si="27"/>
        <v>0</v>
      </c>
      <c r="CV14" s="5">
        <f t="shared" si="27"/>
        <v>0</v>
      </c>
      <c r="CW14" s="5">
        <f t="shared" si="27"/>
        <v>1851.1599999999999</v>
      </c>
      <c r="CX14" s="5">
        <f t="shared" si="27"/>
        <v>0</v>
      </c>
      <c r="CY14" s="5">
        <f t="shared" si="27"/>
        <v>4636.5999999999995</v>
      </c>
      <c r="CZ14" s="5">
        <f t="shared" si="27"/>
        <v>0</v>
      </c>
      <c r="DA14" s="5">
        <f t="shared" si="27"/>
        <v>3280</v>
      </c>
      <c r="DB14" s="12">
        <f t="shared" si="27"/>
        <v>0</v>
      </c>
      <c r="DC14" s="310">
        <f t="shared" si="28"/>
        <v>9767.7599999999984</v>
      </c>
      <c r="DD14" s="2695"/>
      <c r="DE14" s="8"/>
      <c r="DF14" s="9"/>
      <c r="DG14" s="5"/>
      <c r="DH14" s="5"/>
      <c r="DI14" s="5"/>
      <c r="DJ14" s="5"/>
      <c r="DK14" s="5">
        <v>1851.1599999999999</v>
      </c>
      <c r="DL14" s="5"/>
      <c r="DM14" s="5">
        <v>2015.87</v>
      </c>
      <c r="DN14" s="5"/>
      <c r="DO14" s="5"/>
      <c r="DP14" s="12"/>
      <c r="DQ14" s="1906">
        <f t="shared" si="29"/>
        <v>3867.0299999999997</v>
      </c>
      <c r="DR14" s="36"/>
      <c r="DS14" s="36"/>
      <c r="DT14" s="27"/>
      <c r="DU14" s="27"/>
      <c r="DV14" s="5"/>
      <c r="DW14" s="5"/>
      <c r="DX14" s="5"/>
      <c r="DY14" s="5"/>
      <c r="DZ14" s="5">
        <v>2620.7299999999996</v>
      </c>
      <c r="EA14" s="53"/>
      <c r="EB14" s="27">
        <v>0</v>
      </c>
      <c r="EC14" s="33"/>
      <c r="ED14" s="28">
        <f t="shared" si="30"/>
        <v>2620.7299999999996</v>
      </c>
      <c r="EE14" s="9"/>
      <c r="EF14" s="9"/>
      <c r="EG14" s="5"/>
      <c r="EH14" s="5"/>
      <c r="EI14" s="27"/>
      <c r="EJ14" s="27"/>
      <c r="EK14" s="27"/>
      <c r="EL14" s="27"/>
      <c r="EM14" s="5"/>
      <c r="EN14" s="5"/>
      <c r="EO14" s="5">
        <v>3280</v>
      </c>
      <c r="EP14" s="33"/>
      <c r="EQ14" s="28">
        <f t="shared" si="31"/>
        <v>3280</v>
      </c>
      <c r="ER14" s="36"/>
      <c r="ES14" s="27"/>
      <c r="ET14" s="27"/>
      <c r="EU14" s="27"/>
      <c r="EV14" s="27"/>
      <c r="EW14" s="27"/>
      <c r="EX14" s="33">
        <f t="shared" si="32"/>
        <v>0</v>
      </c>
      <c r="EY14" s="2685"/>
      <c r="FA14" s="4">
        <f t="shared" si="33"/>
        <v>0</v>
      </c>
      <c r="FB14" s="5">
        <f t="shared" si="34"/>
        <v>0</v>
      </c>
      <c r="FC14" s="5">
        <f t="shared" si="35"/>
        <v>0</v>
      </c>
      <c r="FD14" s="12">
        <f t="shared" si="36"/>
        <v>0</v>
      </c>
      <c r="FE14" s="33"/>
      <c r="FF14" s="2674"/>
      <c r="FG14" s="9"/>
      <c r="FH14" s="5"/>
      <c r="FI14" s="5"/>
      <c r="FJ14" s="5"/>
      <c r="FK14" s="5"/>
      <c r="FL14" s="27"/>
      <c r="FM14" s="28">
        <f t="shared" si="37"/>
        <v>0</v>
      </c>
      <c r="FN14" s="36"/>
      <c r="FO14" s="27"/>
      <c r="FP14" s="27"/>
      <c r="FQ14" s="27"/>
      <c r="FR14" s="27"/>
      <c r="FS14" s="27"/>
      <c r="FT14" s="28">
        <f t="shared" si="38"/>
        <v>0</v>
      </c>
      <c r="FU14" s="36"/>
      <c r="FV14" s="36"/>
      <c r="FW14" s="27"/>
      <c r="FX14" s="27"/>
      <c r="FY14" s="27"/>
      <c r="FZ14" s="27"/>
      <c r="GA14" s="27"/>
      <c r="GB14" s="27"/>
      <c r="GC14" s="27"/>
      <c r="GD14" s="27"/>
      <c r="GE14" s="27"/>
      <c r="GF14" s="33"/>
      <c r="GG14" s="33">
        <f t="shared" si="39"/>
        <v>0</v>
      </c>
      <c r="GH14" s="2674"/>
      <c r="GJ14" s="2">
        <f t="shared" si="105"/>
        <v>1722.15</v>
      </c>
      <c r="GK14" s="63">
        <f t="shared" si="106"/>
        <v>2191.5</v>
      </c>
      <c r="GL14" s="24">
        <f t="shared" si="107"/>
        <v>2384.8000000000002</v>
      </c>
      <c r="GM14" s="1736">
        <f t="shared" si="40"/>
        <v>6298.4500000000007</v>
      </c>
      <c r="GN14" s="141"/>
      <c r="GO14" s="141"/>
      <c r="GP14" s="33"/>
      <c r="GQ14" s="2667"/>
      <c r="GR14" s="1938">
        <v>6298.4500000000007</v>
      </c>
      <c r="GS14" s="2153">
        <v>0</v>
      </c>
      <c r="GT14" s="2153">
        <v>0</v>
      </c>
      <c r="GU14" s="1736">
        <v>0</v>
      </c>
      <c r="GV14" s="1724">
        <f t="shared" si="41"/>
        <v>6298.4500000000007</v>
      </c>
      <c r="GW14" s="2667"/>
      <c r="GX14" s="9"/>
      <c r="GY14" s="9"/>
      <c r="GZ14" s="5"/>
      <c r="HA14" s="5"/>
      <c r="HB14" s="5"/>
      <c r="HC14" s="5"/>
      <c r="HD14" s="5"/>
      <c r="HE14" s="5"/>
      <c r="HF14" s="5">
        <v>1722.15</v>
      </c>
      <c r="HG14" s="5"/>
      <c r="HH14" s="5">
        <v>0</v>
      </c>
      <c r="HI14" s="5"/>
      <c r="HJ14" s="5">
        <v>0</v>
      </c>
      <c r="HK14" s="5"/>
      <c r="HL14" s="15">
        <f t="shared" si="42"/>
        <v>1722.15</v>
      </c>
      <c r="HM14" s="9"/>
      <c r="HN14" s="5"/>
      <c r="HO14" s="5"/>
      <c r="HP14" s="5"/>
      <c r="HQ14" s="5"/>
      <c r="HR14" s="5"/>
      <c r="HS14" s="5" cm="1">
        <f t="array" ref="HS14">SUMPRODUCT(('Data Base hauling'!$C$2:$C$216="TCM-ROM SB1 BK05-ROM 4")*(ISNUMBER(SEARCH(TEXT('April TCM'!$B14,"00")&amp;"/03/2026",'Data Base hauling'!$E$2:$E$216)))*'Data Base hauling'!$N$2:$N$216)</f>
        <v>0</v>
      </c>
      <c r="HT14" s="5"/>
      <c r="HU14" s="5" cm="1">
        <f t="array" ref="HU14">SUMPRODUCT(('Data Base hauling'!$C$2:$C$216="TCM-ROM SB1 BK05-ROM 5")*(ISNUMBER(SEARCH(TEXT('April TCM'!$B14,"00")&amp;"/03/2026",'Data Base hauling'!$E$2:$E$216)))*'Data Base hauling'!$N$2:$N$216)</f>
        <v>0</v>
      </c>
      <c r="HV14" s="5"/>
      <c r="HW14" s="5"/>
      <c r="HX14" s="5"/>
      <c r="HY14" s="5"/>
      <c r="HZ14" s="5"/>
      <c r="IA14" s="12">
        <f t="shared" si="43"/>
        <v>0</v>
      </c>
      <c r="IB14" s="845"/>
      <c r="IC14" s="363"/>
      <c r="ID14" s="64"/>
      <c r="IE14" s="64"/>
      <c r="IF14" s="64"/>
      <c r="IG14" s="64"/>
      <c r="IH14" s="64">
        <v>0</v>
      </c>
      <c r="II14" s="64"/>
      <c r="IJ14" s="1590">
        <v>2191.5</v>
      </c>
      <c r="IK14" s="64"/>
      <c r="IL14" s="64">
        <v>0</v>
      </c>
      <c r="IM14" s="64"/>
      <c r="IN14" s="64"/>
      <c r="IO14" s="49">
        <v>0</v>
      </c>
      <c r="IP14" s="61">
        <f t="shared" si="44"/>
        <v>2191.5</v>
      </c>
      <c r="IQ14" s="9"/>
      <c r="IR14" s="9"/>
      <c r="IS14" s="5"/>
      <c r="IT14" s="5"/>
      <c r="IU14" s="64"/>
      <c r="IV14" s="5"/>
      <c r="IW14" s="5">
        <v>0</v>
      </c>
      <c r="IX14" s="5"/>
      <c r="IY14" s="5">
        <v>2384.8000000000002</v>
      </c>
      <c r="IZ14" s="5"/>
      <c r="JA14" s="5">
        <v>0</v>
      </c>
      <c r="JB14" s="5"/>
      <c r="JC14" s="5"/>
      <c r="JD14" s="5"/>
      <c r="JE14" s="12">
        <f t="shared" si="110"/>
        <v>2384.8000000000002</v>
      </c>
      <c r="JF14" s="2667"/>
      <c r="JH14" s="2018">
        <v>6298.4500000000007</v>
      </c>
      <c r="JI14" s="2017">
        <v>0</v>
      </c>
      <c r="JJ14" s="53"/>
      <c r="JK14" s="1736">
        <f t="shared" si="46"/>
        <v>6298.4500000000007</v>
      </c>
      <c r="JL14" s="33"/>
      <c r="JM14" s="2669"/>
      <c r="JN14" s="69">
        <v>0</v>
      </c>
      <c r="JO14" s="70">
        <v>0</v>
      </c>
      <c r="JP14" s="70">
        <v>0</v>
      </c>
      <c r="JQ14" s="850">
        <v>0</v>
      </c>
      <c r="JR14" s="850">
        <v>1</v>
      </c>
      <c r="JS14" s="850">
        <v>0</v>
      </c>
      <c r="JT14" s="70">
        <v>0</v>
      </c>
      <c r="JU14" s="1922">
        <v>0</v>
      </c>
      <c r="JV14" s="69" t="s">
        <v>296</v>
      </c>
      <c r="JW14" s="70" t="s">
        <v>296</v>
      </c>
      <c r="JX14" s="70" t="s">
        <v>296</v>
      </c>
      <c r="JY14" s="70" t="s">
        <v>296</v>
      </c>
      <c r="JZ14" s="70" t="s">
        <v>296</v>
      </c>
      <c r="KA14" s="70" t="s">
        <v>296</v>
      </c>
      <c r="KB14" s="70" t="s">
        <v>296</v>
      </c>
      <c r="KC14" s="71" t="s">
        <v>296</v>
      </c>
      <c r="KD14" s="69"/>
      <c r="KE14" s="70"/>
      <c r="KF14" s="70"/>
      <c r="KG14" s="70"/>
      <c r="KH14" s="70"/>
      <c r="KI14" s="70"/>
      <c r="KJ14" s="70"/>
      <c r="KK14" s="70"/>
      <c r="KL14" s="33"/>
      <c r="KM14" s="2669"/>
      <c r="KN14" s="1739">
        <v>7073.2032102228459</v>
      </c>
      <c r="KO14" s="1721">
        <v>0.52324762350007792</v>
      </c>
      <c r="KP14" s="1721">
        <v>4.1268271778089449</v>
      </c>
      <c r="KQ14" s="1721">
        <v>6.2381626928471245</v>
      </c>
      <c r="KR14" s="1722">
        <v>9.8852512205080245</v>
      </c>
      <c r="KS14" s="1958">
        <v>0</v>
      </c>
      <c r="KT14" s="1961">
        <v>0</v>
      </c>
      <c r="KU14" s="1961">
        <v>0</v>
      </c>
      <c r="KV14" s="1961">
        <v>0</v>
      </c>
      <c r="KW14" s="1962">
        <v>0</v>
      </c>
      <c r="KX14" s="36"/>
      <c r="KY14" s="53"/>
      <c r="KZ14" s="53"/>
      <c r="LA14" s="53"/>
      <c r="LB14" s="53"/>
      <c r="LC14" s="33"/>
      <c r="LD14" s="2669"/>
      <c r="LF14" s="998">
        <f t="shared" si="47"/>
        <v>4183.036000000001</v>
      </c>
      <c r="LG14" s="27">
        <f t="shared" si="47"/>
        <v>3422.4840000000004</v>
      </c>
      <c r="LH14" s="27">
        <f t="shared" si="47"/>
        <v>0</v>
      </c>
      <c r="LI14" s="28">
        <f t="shared" si="48"/>
        <v>7605.5200000000013</v>
      </c>
      <c r="LJ14" s="36">
        <v>1</v>
      </c>
      <c r="LK14" s="27">
        <v>1</v>
      </c>
      <c r="LL14" s="27"/>
      <c r="LM14" s="33"/>
      <c r="LN14" s="1041">
        <v>5.1100000000000003</v>
      </c>
      <c r="LO14" s="486"/>
      <c r="LP14" s="2688"/>
      <c r="LQ14" s="21">
        <v>4183.036000000001</v>
      </c>
      <c r="LR14" s="27">
        <v>3422.4840000000004</v>
      </c>
      <c r="LS14" s="27"/>
      <c r="LT14" s="27"/>
      <c r="LU14" s="27"/>
      <c r="LV14" s="1117">
        <f t="shared" si="49"/>
        <v>7605.5200000000013</v>
      </c>
      <c r="LW14" s="36"/>
      <c r="LX14" s="36"/>
      <c r="LY14" s="27"/>
      <c r="LZ14" s="27"/>
      <c r="MA14" s="33"/>
      <c r="MB14" s="28">
        <f t="shared" si="50"/>
        <v>0</v>
      </c>
      <c r="MC14" s="26"/>
      <c r="MD14" s="36"/>
      <c r="ME14" s="27"/>
      <c r="MF14" s="27"/>
      <c r="MG14" s="27"/>
      <c r="MH14" s="28"/>
      <c r="MI14" s="36"/>
      <c r="MJ14" s="36"/>
      <c r="MK14" s="27"/>
      <c r="ML14" s="27"/>
      <c r="MM14" s="27"/>
      <c r="MN14" s="28"/>
      <c r="MO14" s="36"/>
      <c r="MP14" s="36"/>
      <c r="MQ14" s="27"/>
      <c r="MR14" s="27"/>
      <c r="MS14" s="27"/>
      <c r="MT14" s="33">
        <f t="shared" si="51"/>
        <v>0</v>
      </c>
      <c r="MU14" s="2688"/>
      <c r="MW14" s="26">
        <f t="shared" si="52"/>
        <v>61827.179393306302</v>
      </c>
      <c r="MX14" s="27">
        <f t="shared" si="53"/>
        <v>116579.15380962021</v>
      </c>
      <c r="MY14" s="27">
        <f t="shared" si="54"/>
        <v>19727.226980961226</v>
      </c>
      <c r="MZ14" s="28">
        <f t="shared" si="55"/>
        <v>431146.25855851005</v>
      </c>
      <c r="NA14" s="2621"/>
      <c r="NB14" s="23">
        <f t="shared" si="56"/>
        <v>12442.789361311268</v>
      </c>
      <c r="NC14" s="1579">
        <f t="shared" si="57"/>
        <v>49384.390031995033</v>
      </c>
      <c r="ND14" s="60">
        <f t="shared" si="58"/>
        <v>0</v>
      </c>
      <c r="NE14" s="275">
        <f t="shared" si="4"/>
        <v>61827.179393306302</v>
      </c>
      <c r="NF14" s="26">
        <f t="shared" si="59"/>
        <v>0</v>
      </c>
      <c r="NG14" s="27">
        <f t="shared" si="59"/>
        <v>0</v>
      </c>
      <c r="NH14" s="27">
        <f t="shared" si="59"/>
        <v>0</v>
      </c>
      <c r="NI14" s="27">
        <f t="shared" si="59"/>
        <v>0</v>
      </c>
      <c r="NJ14" s="27">
        <f t="shared" si="59"/>
        <v>0</v>
      </c>
      <c r="NK14" s="33">
        <f t="shared" si="59"/>
        <v>0</v>
      </c>
      <c r="NL14" s="27">
        <f t="shared" si="59"/>
        <v>0</v>
      </c>
      <c r="NM14" s="36">
        <f t="shared" si="59"/>
        <v>0</v>
      </c>
      <c r="NN14" s="24">
        <f t="shared" si="59"/>
        <v>14268.730566563143</v>
      </c>
      <c r="NO14" s="27">
        <f t="shared" si="59"/>
        <v>26196.69549600617</v>
      </c>
      <c r="NP14" s="24">
        <f t="shared" si="108"/>
        <v>8756.5482322711578</v>
      </c>
      <c r="NQ14" s="24">
        <f t="shared" si="109"/>
        <v>20886.17411803341</v>
      </c>
      <c r="NR14" s="27">
        <f t="shared" si="0"/>
        <v>70108.148412873881</v>
      </c>
      <c r="NS14" s="27">
        <f t="shared" si="60"/>
        <v>0</v>
      </c>
      <c r="NT14" s="27">
        <f t="shared" si="60"/>
        <v>0</v>
      </c>
      <c r="NU14" s="27">
        <f t="shared" si="60"/>
        <v>0</v>
      </c>
      <c r="NV14" s="27">
        <f t="shared" si="60"/>
        <v>0</v>
      </c>
      <c r="NW14" s="27">
        <f t="shared" si="60"/>
        <v>0</v>
      </c>
      <c r="NX14" s="27">
        <f t="shared" si="60"/>
        <v>0</v>
      </c>
      <c r="NY14" s="27">
        <f t="shared" si="60"/>
        <v>5706.8536022929129</v>
      </c>
      <c r="NZ14" s="27">
        <f t="shared" si="60"/>
        <v>0</v>
      </c>
      <c r="OA14" s="27">
        <f t="shared" si="60"/>
        <v>22552.248066782831</v>
      </c>
      <c r="OB14" s="280"/>
      <c r="OC14" s="24">
        <f t="shared" si="61"/>
        <v>349.54339982995594</v>
      </c>
      <c r="OD14" s="27">
        <f t="shared" si="61"/>
        <v>0</v>
      </c>
      <c r="OE14" s="28">
        <f t="shared" si="1"/>
        <v>28608.645068905702</v>
      </c>
      <c r="OF14" s="27">
        <f t="shared" si="62"/>
        <v>0</v>
      </c>
      <c r="OG14" s="27">
        <f t="shared" si="62"/>
        <v>0</v>
      </c>
      <c r="OH14" s="27">
        <f t="shared" si="62"/>
        <v>0</v>
      </c>
      <c r="OI14" s="27">
        <f t="shared" si="62"/>
        <v>0</v>
      </c>
      <c r="OJ14" s="27">
        <f t="shared" si="62"/>
        <v>0</v>
      </c>
      <c r="OK14" s="27">
        <f t="shared" si="62"/>
        <v>0</v>
      </c>
      <c r="OL14" s="24">
        <f t="shared" si="62"/>
        <v>0</v>
      </c>
      <c r="OM14" s="27">
        <f t="shared" si="62"/>
        <v>0</v>
      </c>
      <c r="ON14" s="24">
        <f t="shared" si="62"/>
        <v>13853.736218026508</v>
      </c>
      <c r="OO14" s="27">
        <f t="shared" si="62"/>
        <v>0</v>
      </c>
      <c r="OP14" s="27">
        <f t="shared" si="62"/>
        <v>4008.6241098141272</v>
      </c>
      <c r="OQ14" s="27">
        <f t="shared" si="62"/>
        <v>0</v>
      </c>
      <c r="OR14" s="28">
        <f t="shared" si="2"/>
        <v>17862.360327840637</v>
      </c>
      <c r="OS14" s="36"/>
      <c r="OT14" s="27"/>
      <c r="OU14" s="27"/>
      <c r="OV14" s="27"/>
      <c r="OW14" s="27"/>
      <c r="OX14" s="27"/>
      <c r="OY14" s="28">
        <f t="shared" si="63"/>
        <v>0</v>
      </c>
      <c r="OZ14" s="36">
        <f t="shared" si="64"/>
        <v>0</v>
      </c>
      <c r="PA14" s="27">
        <f t="shared" si="65"/>
        <v>0</v>
      </c>
      <c r="PB14" s="27">
        <f t="shared" si="66"/>
        <v>0</v>
      </c>
      <c r="PC14" s="27">
        <f t="shared" si="67"/>
        <v>0</v>
      </c>
      <c r="PD14" s="27">
        <f t="shared" si="68"/>
        <v>0</v>
      </c>
      <c r="PE14" s="27">
        <f t="shared" si="69"/>
        <v>0</v>
      </c>
      <c r="PF14" s="33">
        <f t="shared" si="3"/>
        <v>0</v>
      </c>
      <c r="PG14" s="2621"/>
      <c r="PI14" s="1907">
        <v>1458.54</v>
      </c>
      <c r="PJ14" s="3"/>
      <c r="PK14" s="3"/>
      <c r="PL14" s="3">
        <f t="shared" si="70"/>
        <v>0</v>
      </c>
      <c r="PM14" s="3">
        <f t="shared" si="71"/>
        <v>12738.668459344186</v>
      </c>
      <c r="PN14" s="11">
        <f t="shared" si="72"/>
        <v>19727.226980961226</v>
      </c>
      <c r="PO14" s="15"/>
      <c r="PP14" s="2615"/>
      <c r="PR14" s="4"/>
      <c r="PS14" s="9"/>
      <c r="PT14" s="9"/>
      <c r="PU14" s="9"/>
      <c r="PV14" s="9">
        <v>0</v>
      </c>
      <c r="PW14" s="9"/>
      <c r="PX14" s="8">
        <f t="shared" si="73"/>
        <v>0</v>
      </c>
      <c r="PY14" s="5">
        <f t="shared" si="74"/>
        <v>1458.54</v>
      </c>
      <c r="PZ14" s="5"/>
      <c r="QA14" s="5"/>
      <c r="QB14" s="5"/>
      <c r="QC14" s="5"/>
      <c r="QD14" s="5"/>
      <c r="QE14" s="12">
        <f t="shared" si="75"/>
        <v>29562.488999999998</v>
      </c>
      <c r="QF14" s="420">
        <f t="shared" si="76"/>
        <v>401089.34955851006</v>
      </c>
      <c r="QG14" s="1106">
        <f t="shared" si="77"/>
        <v>494.41999999999996</v>
      </c>
      <c r="QH14" s="484">
        <f t="shared" si="78"/>
        <v>5505.3678056099998</v>
      </c>
      <c r="QI14" s="12"/>
      <c r="QJ14" s="2615"/>
      <c r="QL14" s="139">
        <f t="shared" si="79"/>
        <v>0</v>
      </c>
      <c r="QM14" s="139" t="str">
        <f t="shared" si="80"/>
        <v/>
      </c>
      <c r="QO14" s="139">
        <f t="shared" si="81"/>
        <v>0</v>
      </c>
      <c r="QP14" s="139">
        <f t="shared" si="82"/>
        <v>0</v>
      </c>
      <c r="QR14" s="1">
        <f t="shared" si="83"/>
        <v>0</v>
      </c>
      <c r="QS14" s="1">
        <f t="shared" si="84"/>
        <v>0</v>
      </c>
      <c r="QT14" s="1">
        <f t="shared" si="85"/>
        <v>0</v>
      </c>
      <c r="QU14" s="1">
        <f t="shared" si="86"/>
        <v>0</v>
      </c>
      <c r="QV14" s="1">
        <f t="shared" si="87"/>
        <v>0</v>
      </c>
      <c r="QW14" s="1">
        <f t="shared" si="88"/>
        <v>0</v>
      </c>
      <c r="QY14" s="1">
        <f t="shared" si="89"/>
        <v>0</v>
      </c>
      <c r="QZ14" s="1">
        <f t="shared" si="90"/>
        <v>0</v>
      </c>
      <c r="RA14" s="1">
        <f t="shared" si="91"/>
        <v>0</v>
      </c>
      <c r="RB14" s="1">
        <f t="shared" si="92"/>
        <v>0</v>
      </c>
      <c r="RC14" s="1">
        <f t="shared" si="93"/>
        <v>0</v>
      </c>
      <c r="RD14" s="1">
        <f t="shared" si="94"/>
        <v>0</v>
      </c>
      <c r="RG14" s="1">
        <v>5</v>
      </c>
      <c r="RH14" s="1">
        <f t="shared" si="95"/>
        <v>40065.907751083163</v>
      </c>
      <c r="RI14" s="1">
        <f t="shared" si="95"/>
        <v>676.20754986227985</v>
      </c>
      <c r="RJ14" s="1">
        <f t="shared" si="95"/>
        <v>9178.5689913333827</v>
      </c>
      <c r="RK14" s="89">
        <f t="shared" si="5"/>
        <v>49920.684292278827</v>
      </c>
      <c r="RL14" s="1033">
        <v>5</v>
      </c>
      <c r="RM14" s="1098">
        <f t="shared" si="96"/>
        <v>0</v>
      </c>
      <c r="RN14" s="1098">
        <f t="shared" si="97"/>
        <v>0</v>
      </c>
      <c r="RO14" s="1097">
        <f t="shared" si="97"/>
        <v>0</v>
      </c>
      <c r="RP14" s="1097">
        <f t="shared" si="98"/>
        <v>6487.76</v>
      </c>
      <c r="RQ14" s="1094"/>
      <c r="RR14" s="1123" t="s">
        <v>875</v>
      </c>
      <c r="RU14" s="421">
        <v>5</v>
      </c>
      <c r="RV14" s="1095">
        <f t="shared" si="99"/>
        <v>6298.4500000000007</v>
      </c>
      <c r="RW14" s="1094" t="s">
        <v>876</v>
      </c>
      <c r="RY14" s="1090"/>
      <c r="RZ14" s="1090">
        <f t="shared" si="100"/>
        <v>0</v>
      </c>
      <c r="SA14" s="1090"/>
      <c r="SB14" s="1090">
        <f t="shared" si="101"/>
        <v>0</v>
      </c>
      <c r="SD14" s="1">
        <v>5</v>
      </c>
      <c r="SE14" s="1">
        <f t="shared" si="102"/>
        <v>0</v>
      </c>
      <c r="SF14" s="1094"/>
    </row>
    <row r="15" spans="1:500" s="1" customFormat="1">
      <c r="B15" s="471">
        <v>6</v>
      </c>
      <c r="C15" s="4">
        <f t="shared" si="6"/>
        <v>109640</v>
      </c>
      <c r="D15" s="1736">
        <f t="shared" si="103"/>
        <v>3907.26</v>
      </c>
      <c r="E15" s="1895">
        <f t="shared" si="7"/>
        <v>28.060584655231541</v>
      </c>
      <c r="F15" s="870"/>
      <c r="G15" s="870"/>
      <c r="H15" s="52">
        <v>7</v>
      </c>
      <c r="I15" s="61">
        <v>4.7699999999999996</v>
      </c>
      <c r="J15" s="52"/>
      <c r="K15" s="54"/>
      <c r="L15" s="52">
        <v>8.83</v>
      </c>
      <c r="M15" s="61">
        <v>9.67</v>
      </c>
      <c r="N15" s="2629"/>
      <c r="O15" s="4">
        <f t="shared" si="104"/>
        <v>64302</v>
      </c>
      <c r="P15" s="1225">
        <f t="shared" si="8"/>
        <v>316.44</v>
      </c>
      <c r="Q15" s="1913">
        <f t="shared" si="9"/>
        <v>203.20439893818732</v>
      </c>
      <c r="R15" s="33"/>
      <c r="S15" s="26">
        <f t="shared" si="10"/>
        <v>16009</v>
      </c>
      <c r="T15" s="27">
        <f t="shared" si="11"/>
        <v>230.82</v>
      </c>
      <c r="U15" s="1909">
        <f t="shared" si="12"/>
        <v>69.357074776882428</v>
      </c>
      <c r="V15" s="28"/>
      <c r="W15" s="1742">
        <f t="shared" si="13"/>
        <v>29329</v>
      </c>
      <c r="X15" s="5">
        <f t="shared" si="13"/>
        <v>3360</v>
      </c>
      <c r="Y15" s="1738">
        <f t="shared" si="14"/>
        <v>8.7288690476190478</v>
      </c>
      <c r="Z15" s="33"/>
      <c r="AA15" s="26">
        <f t="shared" si="15"/>
        <v>0</v>
      </c>
      <c r="AB15" s="27">
        <f t="shared" si="16"/>
        <v>0</v>
      </c>
      <c r="AC15" s="53">
        <f t="shared" si="17"/>
        <v>0</v>
      </c>
      <c r="AD15" s="28"/>
      <c r="AE15" s="36"/>
      <c r="AF15" s="36"/>
      <c r="AG15" s="53">
        <f t="shared" si="18"/>
        <v>0</v>
      </c>
      <c r="AH15" s="28"/>
      <c r="AI15" s="26"/>
      <c r="AJ15" s="27"/>
      <c r="AK15" s="53">
        <f t="shared" si="19"/>
        <v>0</v>
      </c>
      <c r="AL15" s="28"/>
      <c r="AM15" s="2629"/>
      <c r="AN15" s="9"/>
      <c r="AO15" s="5"/>
      <c r="AP15" s="61">
        <f t="shared" si="20"/>
        <v>0</v>
      </c>
      <c r="AQ15" s="36"/>
      <c r="AR15" s="53"/>
      <c r="AS15" s="61">
        <f t="shared" si="21"/>
        <v>0</v>
      </c>
      <c r="AT15" s="36"/>
      <c r="AU15" s="27"/>
      <c r="AV15" s="54">
        <f t="shared" si="22"/>
        <v>0</v>
      </c>
      <c r="AW15" s="26">
        <v>23394</v>
      </c>
      <c r="AX15" s="27">
        <v>59.92</v>
      </c>
      <c r="AY15" s="1735">
        <v>390.42056074766356</v>
      </c>
      <c r="AZ15" s="36"/>
      <c r="BA15" s="27"/>
      <c r="BB15" s="61">
        <v>0</v>
      </c>
      <c r="BC15" s="1740">
        <v>40908</v>
      </c>
      <c r="BD15" s="1736">
        <v>256.52</v>
      </c>
      <c r="BE15" s="1735">
        <v>159.47294557929209</v>
      </c>
      <c r="BF15" s="36"/>
      <c r="BG15" s="53"/>
      <c r="BH15" s="61">
        <v>0</v>
      </c>
      <c r="BI15" s="36">
        <v>0</v>
      </c>
      <c r="BJ15" s="53">
        <v>0</v>
      </c>
      <c r="BK15" s="61">
        <v>0</v>
      </c>
      <c r="BL15" s="1742">
        <v>16009</v>
      </c>
      <c r="BM15" s="1909">
        <v>230.82</v>
      </c>
      <c r="BN15" s="1735">
        <v>69.357074776882428</v>
      </c>
      <c r="BO15" s="36"/>
      <c r="BP15" s="53"/>
      <c r="BQ15" s="61">
        <v>0</v>
      </c>
      <c r="BR15" s="36"/>
      <c r="BS15" s="53"/>
      <c r="BT15" s="61">
        <v>0</v>
      </c>
      <c r="BU15" s="36">
        <v>29329</v>
      </c>
      <c r="BV15" s="5">
        <v>3360</v>
      </c>
      <c r="BW15" s="1906">
        <v>8.7288690476190478</v>
      </c>
      <c r="BX15" s="26"/>
      <c r="BY15" s="27"/>
      <c r="BZ15" s="61">
        <f t="shared" si="23"/>
        <v>0</v>
      </c>
      <c r="CA15" s="36"/>
      <c r="CB15" s="481"/>
      <c r="CC15" s="482">
        <f t="shared" si="24"/>
        <v>0</v>
      </c>
      <c r="CD15" s="4"/>
      <c r="CE15" s="5"/>
      <c r="CF15" s="28">
        <f t="shared" si="25"/>
        <v>0</v>
      </c>
      <c r="CG15" s="149"/>
      <c r="CH15" s="4">
        <v>1890</v>
      </c>
      <c r="CI15" s="5"/>
      <c r="CJ15" s="5"/>
      <c r="CK15" s="5"/>
      <c r="CL15" s="5"/>
      <c r="CM15" s="5">
        <f t="shared" si="26"/>
        <v>1890</v>
      </c>
      <c r="CN15" s="33"/>
      <c r="CO15" s="366"/>
      <c r="CQ15" s="4">
        <f t="shared" si="27"/>
        <v>0</v>
      </c>
      <c r="CR15" s="9">
        <f t="shared" si="27"/>
        <v>0</v>
      </c>
      <c r="CS15" s="5">
        <f t="shared" si="27"/>
        <v>0</v>
      </c>
      <c r="CT15" s="5">
        <f t="shared" si="27"/>
        <v>0</v>
      </c>
      <c r="CU15" s="5">
        <f t="shared" si="27"/>
        <v>0</v>
      </c>
      <c r="CV15" s="5">
        <f t="shared" si="27"/>
        <v>0</v>
      </c>
      <c r="CW15" s="5">
        <f t="shared" si="27"/>
        <v>59.92</v>
      </c>
      <c r="CX15" s="5">
        <f t="shared" si="27"/>
        <v>0</v>
      </c>
      <c r="CY15" s="5">
        <f t="shared" si="27"/>
        <v>487.34</v>
      </c>
      <c r="CZ15" s="5">
        <f t="shared" si="27"/>
        <v>0</v>
      </c>
      <c r="DA15" s="5">
        <f t="shared" si="27"/>
        <v>3360</v>
      </c>
      <c r="DB15" s="12">
        <f t="shared" si="27"/>
        <v>0</v>
      </c>
      <c r="DC15" s="310">
        <f t="shared" si="28"/>
        <v>3907.26</v>
      </c>
      <c r="DD15" s="2695"/>
      <c r="DE15" s="8"/>
      <c r="DF15" s="9"/>
      <c r="DG15" s="5"/>
      <c r="DH15" s="5"/>
      <c r="DI15" s="5"/>
      <c r="DJ15" s="5"/>
      <c r="DK15" s="5">
        <v>59.92</v>
      </c>
      <c r="DL15" s="5"/>
      <c r="DM15" s="5">
        <v>0</v>
      </c>
      <c r="DN15" s="5"/>
      <c r="DO15" s="5"/>
      <c r="DP15" s="12"/>
      <c r="DQ15" s="1906">
        <f t="shared" si="29"/>
        <v>59.92</v>
      </c>
      <c r="DR15" s="36"/>
      <c r="DS15" s="36"/>
      <c r="DT15" s="27"/>
      <c r="DU15" s="27"/>
      <c r="DV15" s="5"/>
      <c r="DW15" s="5"/>
      <c r="DX15" s="5"/>
      <c r="DY15" s="5"/>
      <c r="DZ15" s="5">
        <v>487.34</v>
      </c>
      <c r="EA15" s="53"/>
      <c r="EB15" s="27">
        <v>0</v>
      </c>
      <c r="EC15" s="33"/>
      <c r="ED15" s="28">
        <f t="shared" si="30"/>
        <v>487.34</v>
      </c>
      <c r="EE15" s="9"/>
      <c r="EF15" s="9"/>
      <c r="EG15" s="5"/>
      <c r="EH15" s="5"/>
      <c r="EI15" s="27"/>
      <c r="EJ15" s="27"/>
      <c r="EK15" s="27"/>
      <c r="EL15" s="27"/>
      <c r="EM15" s="5"/>
      <c r="EN15" s="5"/>
      <c r="EO15" s="5">
        <v>3360</v>
      </c>
      <c r="EP15" s="33"/>
      <c r="EQ15" s="28">
        <f t="shared" si="31"/>
        <v>3360</v>
      </c>
      <c r="ER15" s="36"/>
      <c r="ES15" s="27"/>
      <c r="ET15" s="27"/>
      <c r="EU15" s="27"/>
      <c r="EV15" s="27"/>
      <c r="EW15" s="27"/>
      <c r="EX15" s="33">
        <f t="shared" si="32"/>
        <v>0</v>
      </c>
      <c r="EY15" s="2685"/>
      <c r="FA15" s="4">
        <f t="shared" si="33"/>
        <v>0</v>
      </c>
      <c r="FB15" s="5">
        <f t="shared" si="34"/>
        <v>0</v>
      </c>
      <c r="FC15" s="5">
        <f t="shared" si="35"/>
        <v>0</v>
      </c>
      <c r="FD15" s="12">
        <f t="shared" si="36"/>
        <v>0</v>
      </c>
      <c r="FE15" s="33"/>
      <c r="FF15" s="2674"/>
      <c r="FG15" s="9"/>
      <c r="FH15" s="5"/>
      <c r="FI15" s="5"/>
      <c r="FJ15" s="5"/>
      <c r="FK15" s="5"/>
      <c r="FL15" s="27"/>
      <c r="FM15" s="28">
        <f t="shared" si="37"/>
        <v>0</v>
      </c>
      <c r="FN15" s="36"/>
      <c r="FO15" s="27"/>
      <c r="FP15" s="27"/>
      <c r="FQ15" s="27"/>
      <c r="FR15" s="27"/>
      <c r="FS15" s="27"/>
      <c r="FT15" s="28">
        <f t="shared" si="38"/>
        <v>0</v>
      </c>
      <c r="FU15" s="36"/>
      <c r="FV15" s="36"/>
      <c r="FW15" s="27"/>
      <c r="FX15" s="27"/>
      <c r="FY15" s="27"/>
      <c r="FZ15" s="27"/>
      <c r="GA15" s="27"/>
      <c r="GB15" s="27"/>
      <c r="GC15" s="27"/>
      <c r="GD15" s="27"/>
      <c r="GE15" s="27"/>
      <c r="GF15" s="33"/>
      <c r="GG15" s="33">
        <f t="shared" si="39"/>
        <v>0</v>
      </c>
      <c r="GH15" s="2674"/>
      <c r="GJ15" s="2">
        <f t="shared" si="105"/>
        <v>1675.85</v>
      </c>
      <c r="GK15" s="63">
        <f t="shared" si="106"/>
        <v>2473.25</v>
      </c>
      <c r="GL15" s="24">
        <f t="shared" si="107"/>
        <v>2065.21</v>
      </c>
      <c r="GM15" s="1736">
        <f t="shared" si="40"/>
        <v>6214.31</v>
      </c>
      <c r="GN15" s="141"/>
      <c r="GO15" s="141"/>
      <c r="GP15" s="33"/>
      <c r="GQ15" s="2702"/>
      <c r="GR15" s="1741">
        <v>6214.3099999999995</v>
      </c>
      <c r="GS15" s="1590">
        <v>0</v>
      </c>
      <c r="GT15" s="1590">
        <v>0</v>
      </c>
      <c r="GU15" s="1736">
        <v>0</v>
      </c>
      <c r="GV15" s="1724">
        <f t="shared" si="41"/>
        <v>6214.3099999999995</v>
      </c>
      <c r="GW15" s="2667"/>
      <c r="GX15" s="9"/>
      <c r="GY15" s="9"/>
      <c r="GZ15" s="5"/>
      <c r="HA15" s="5"/>
      <c r="HB15" s="5"/>
      <c r="HC15" s="5"/>
      <c r="HD15" s="5"/>
      <c r="HE15" s="5"/>
      <c r="HF15" s="5">
        <v>856.5</v>
      </c>
      <c r="HG15" s="5"/>
      <c r="HH15" s="5">
        <v>819.35</v>
      </c>
      <c r="HI15" s="5"/>
      <c r="HJ15" s="5">
        <v>0</v>
      </c>
      <c r="HK15" s="5"/>
      <c r="HL15" s="15">
        <f t="shared" si="42"/>
        <v>1675.85</v>
      </c>
      <c r="HM15" s="9"/>
      <c r="HN15" s="5"/>
      <c r="HO15" s="5"/>
      <c r="HP15" s="5"/>
      <c r="HQ15" s="5"/>
      <c r="HR15" s="5"/>
      <c r="HS15" s="5" cm="1">
        <f t="array" ref="HS15">SUMPRODUCT(('Data Base hauling'!$C$2:$C$216="TCM-ROM SB1 BK05-ROM 4")*(ISNUMBER(SEARCH(TEXT('April TCM'!$B15,"00")&amp;"/03/2026",'Data Base hauling'!$E$2:$E$216)))*'Data Base hauling'!$N$2:$N$216)</f>
        <v>0</v>
      </c>
      <c r="HT15" s="5"/>
      <c r="HU15" s="5" cm="1">
        <f t="array" ref="HU15">SUMPRODUCT(('Data Base hauling'!$C$2:$C$216="TCM-ROM SB1 BK05-ROM 5")*(ISNUMBER(SEARCH(TEXT('April TCM'!$B15,"00")&amp;"/03/2026",'Data Base hauling'!$E$2:$E$216)))*'Data Base hauling'!$N$2:$N$216)</f>
        <v>0</v>
      </c>
      <c r="HV15" s="5"/>
      <c r="HW15" s="5"/>
      <c r="HX15" s="5"/>
      <c r="HY15" s="5"/>
      <c r="HZ15" s="5"/>
      <c r="IA15" s="12">
        <f t="shared" si="43"/>
        <v>0</v>
      </c>
      <c r="IB15" s="845"/>
      <c r="IC15" s="363"/>
      <c r="ID15" s="64"/>
      <c r="IE15" s="64"/>
      <c r="IF15" s="64"/>
      <c r="IG15" s="64"/>
      <c r="IH15" s="64">
        <v>892.2</v>
      </c>
      <c r="II15" s="64"/>
      <c r="IJ15" s="1590">
        <v>1581.0500000000002</v>
      </c>
      <c r="IK15" s="64"/>
      <c r="IL15" s="64">
        <v>0</v>
      </c>
      <c r="IM15" s="64"/>
      <c r="IN15" s="64"/>
      <c r="IO15" s="49">
        <v>0</v>
      </c>
      <c r="IP15" s="61">
        <f t="shared" si="44"/>
        <v>2473.25</v>
      </c>
      <c r="IQ15" s="9"/>
      <c r="IR15" s="9"/>
      <c r="IS15" s="5"/>
      <c r="IT15" s="5"/>
      <c r="IU15" s="64"/>
      <c r="IV15" s="5"/>
      <c r="IW15" s="5">
        <v>0</v>
      </c>
      <c r="IX15" s="5"/>
      <c r="IY15" s="5">
        <v>1124.5999999999999</v>
      </c>
      <c r="IZ15" s="5"/>
      <c r="JA15" s="5">
        <v>940.61</v>
      </c>
      <c r="JB15" s="5"/>
      <c r="JC15" s="5"/>
      <c r="JD15" s="5"/>
      <c r="JE15" s="12">
        <f t="shared" si="110"/>
        <v>2065.21</v>
      </c>
      <c r="JF15" s="2667"/>
      <c r="JH15" s="2018">
        <v>3088.0000000000005</v>
      </c>
      <c r="JI15" s="2017">
        <v>3126.31</v>
      </c>
      <c r="JJ15" s="53"/>
      <c r="JK15" s="1736">
        <f t="shared" si="46"/>
        <v>6214.31</v>
      </c>
      <c r="JL15" s="33"/>
      <c r="JM15" s="2669"/>
      <c r="JN15" s="69">
        <v>0</v>
      </c>
      <c r="JO15" s="70">
        <v>0</v>
      </c>
      <c r="JP15" s="70">
        <v>0</v>
      </c>
      <c r="JQ15" s="850">
        <v>0</v>
      </c>
      <c r="JR15" s="850">
        <v>0.97443329015544033</v>
      </c>
      <c r="JS15" s="850">
        <v>2.5566709844559582E-2</v>
      </c>
      <c r="JT15" s="70">
        <v>0</v>
      </c>
      <c r="JU15" s="1922">
        <v>0</v>
      </c>
      <c r="JV15" s="69">
        <v>0</v>
      </c>
      <c r="JW15" s="70">
        <v>0</v>
      </c>
      <c r="JX15" s="70">
        <v>0</v>
      </c>
      <c r="JY15" s="70">
        <v>0.28538436687340668</v>
      </c>
      <c r="JZ15" s="70">
        <v>0.17691783604313072</v>
      </c>
      <c r="KA15" s="70">
        <v>0.53769779708346255</v>
      </c>
      <c r="KB15" s="70">
        <v>0</v>
      </c>
      <c r="KC15" s="71">
        <v>0</v>
      </c>
      <c r="KD15" s="69"/>
      <c r="KE15" s="70"/>
      <c r="KF15" s="70"/>
      <c r="KG15" s="70"/>
      <c r="KH15" s="70"/>
      <c r="KI15" s="70"/>
      <c r="KJ15" s="70"/>
      <c r="KK15" s="70"/>
      <c r="KL15" s="33"/>
      <c r="KM15" s="2669"/>
      <c r="KN15" s="1739">
        <v>6803</v>
      </c>
      <c r="KO15" s="1721">
        <v>0.79</v>
      </c>
      <c r="KP15" s="1721">
        <v>2.19</v>
      </c>
      <c r="KQ15" s="1721">
        <v>7.79</v>
      </c>
      <c r="KR15" s="1722">
        <v>11.386189999999999</v>
      </c>
      <c r="KS15" s="1958">
        <v>6910</v>
      </c>
      <c r="KT15" s="1961">
        <v>1.91</v>
      </c>
      <c r="KU15" s="1961">
        <v>6.69</v>
      </c>
      <c r="KV15" s="1961">
        <v>5.7799999999999994</v>
      </c>
      <c r="KW15" s="1962">
        <v>9.1530760000000004</v>
      </c>
      <c r="KX15" s="36"/>
      <c r="KY15" s="53"/>
      <c r="KZ15" s="53"/>
      <c r="LA15" s="53"/>
      <c r="LB15" s="53"/>
      <c r="LC15" s="33"/>
      <c r="LD15" s="2669"/>
      <c r="LF15" s="998">
        <f t="shared" si="47"/>
        <v>2857.36</v>
      </c>
      <c r="LG15" s="27">
        <f t="shared" si="47"/>
        <v>2337.84</v>
      </c>
      <c r="LH15" s="27">
        <f t="shared" si="47"/>
        <v>0</v>
      </c>
      <c r="LI15" s="28">
        <f t="shared" si="48"/>
        <v>5195.2000000000007</v>
      </c>
      <c r="LJ15" s="36">
        <v>1</v>
      </c>
      <c r="LK15" s="27"/>
      <c r="LL15" s="27"/>
      <c r="LM15" s="33"/>
      <c r="LN15" s="1041">
        <v>5</v>
      </c>
      <c r="LO15" s="486"/>
      <c r="LP15" s="2688"/>
      <c r="LQ15" s="1122"/>
      <c r="LR15" s="27"/>
      <c r="LS15" s="27"/>
      <c r="LT15" s="27"/>
      <c r="LU15" s="27"/>
      <c r="LV15" s="1117">
        <f t="shared" si="49"/>
        <v>0</v>
      </c>
      <c r="LW15" s="36">
        <v>2857.36</v>
      </c>
      <c r="LX15" s="36">
        <v>2337.84</v>
      </c>
      <c r="LY15" s="27"/>
      <c r="LZ15" s="27"/>
      <c r="MA15" s="33"/>
      <c r="MB15" s="28">
        <f t="shared" si="50"/>
        <v>5195.2000000000007</v>
      </c>
      <c r="MC15" s="26"/>
      <c r="MD15" s="36"/>
      <c r="ME15" s="27"/>
      <c r="MF15" s="27"/>
      <c r="MG15" s="27"/>
      <c r="MH15" s="28"/>
      <c r="MI15" s="36"/>
      <c r="MJ15" s="36"/>
      <c r="MK15" s="27"/>
      <c r="ML15" s="27"/>
      <c r="MM15" s="27"/>
      <c r="MN15" s="28"/>
      <c r="MO15" s="36"/>
      <c r="MP15" s="36"/>
      <c r="MQ15" s="27"/>
      <c r="MR15" s="27"/>
      <c r="MS15" s="27"/>
      <c r="MT15" s="33">
        <f t="shared" si="51"/>
        <v>0</v>
      </c>
      <c r="MU15" s="2688"/>
      <c r="MW15" s="26">
        <f t="shared" si="52"/>
        <v>62846.289393306302</v>
      </c>
      <c r="MX15" s="27">
        <f t="shared" si="53"/>
        <v>114272.10380962022</v>
      </c>
      <c r="MY15" s="27">
        <f t="shared" si="54"/>
        <v>19727.226980961226</v>
      </c>
      <c r="MZ15" s="28">
        <f t="shared" si="55"/>
        <v>430209.75855851005</v>
      </c>
      <c r="NA15" s="2621"/>
      <c r="NB15" s="23">
        <f t="shared" si="56"/>
        <v>12673.429361311268</v>
      </c>
      <c r="NC15" s="1579">
        <f t="shared" si="57"/>
        <v>50172.860031995035</v>
      </c>
      <c r="ND15" s="60">
        <f t="shared" si="58"/>
        <v>0</v>
      </c>
      <c r="NE15" s="275">
        <f t="shared" si="4"/>
        <v>62846.289393306302</v>
      </c>
      <c r="NF15" s="26">
        <f t="shared" si="59"/>
        <v>0</v>
      </c>
      <c r="NG15" s="27">
        <f t="shared" si="59"/>
        <v>0</v>
      </c>
      <c r="NH15" s="27">
        <f t="shared" si="59"/>
        <v>0</v>
      </c>
      <c r="NI15" s="27">
        <f t="shared" si="59"/>
        <v>0</v>
      </c>
      <c r="NJ15" s="27">
        <f t="shared" si="59"/>
        <v>0</v>
      </c>
      <c r="NK15" s="33">
        <f t="shared" si="59"/>
        <v>0</v>
      </c>
      <c r="NL15" s="27">
        <f t="shared" si="59"/>
        <v>0</v>
      </c>
      <c r="NM15" s="36">
        <f t="shared" si="59"/>
        <v>0</v>
      </c>
      <c r="NN15" s="24">
        <f t="shared" si="59"/>
        <v>13412.230566563143</v>
      </c>
      <c r="NO15" s="27">
        <f t="shared" si="59"/>
        <v>26196.69549600617</v>
      </c>
      <c r="NP15" s="24">
        <f t="shared" si="108"/>
        <v>8756.5482322711578</v>
      </c>
      <c r="NQ15" s="24">
        <f t="shared" si="109"/>
        <v>23426.824118033412</v>
      </c>
      <c r="NR15" s="27">
        <f t="shared" si="0"/>
        <v>71792.29841287389</v>
      </c>
      <c r="NS15" s="27">
        <f t="shared" si="60"/>
        <v>0</v>
      </c>
      <c r="NT15" s="27">
        <f t="shared" si="60"/>
        <v>0</v>
      </c>
      <c r="NU15" s="27">
        <f t="shared" si="60"/>
        <v>0</v>
      </c>
      <c r="NV15" s="27">
        <f t="shared" si="60"/>
        <v>0</v>
      </c>
      <c r="NW15" s="27">
        <f t="shared" si="60"/>
        <v>0</v>
      </c>
      <c r="NX15" s="27">
        <f t="shared" si="60"/>
        <v>0</v>
      </c>
      <c r="NY15" s="27">
        <f t="shared" si="60"/>
        <v>4874.5736022929132</v>
      </c>
      <c r="NZ15" s="27">
        <f t="shared" si="60"/>
        <v>0</v>
      </c>
      <c r="OA15" s="27">
        <f t="shared" si="60"/>
        <v>20971.198066782832</v>
      </c>
      <c r="OB15" s="280"/>
      <c r="OC15" s="24">
        <f t="shared" si="61"/>
        <v>349.54339982995594</v>
      </c>
      <c r="OD15" s="27">
        <f t="shared" si="61"/>
        <v>0</v>
      </c>
      <c r="OE15" s="28">
        <f t="shared" si="1"/>
        <v>26195.3150689057</v>
      </c>
      <c r="OF15" s="27">
        <f t="shared" si="62"/>
        <v>0</v>
      </c>
      <c r="OG15" s="27">
        <f t="shared" si="62"/>
        <v>0</v>
      </c>
      <c r="OH15" s="27">
        <f t="shared" si="62"/>
        <v>0</v>
      </c>
      <c r="OI15" s="27">
        <f t="shared" si="62"/>
        <v>0</v>
      </c>
      <c r="OJ15" s="27">
        <f t="shared" si="62"/>
        <v>0</v>
      </c>
      <c r="OK15" s="27">
        <f t="shared" si="62"/>
        <v>0</v>
      </c>
      <c r="OL15" s="24">
        <v>0</v>
      </c>
      <c r="OM15" s="27">
        <f t="shared" si="62"/>
        <v>0</v>
      </c>
      <c r="ON15" s="24">
        <f t="shared" si="62"/>
        <v>13216.476218026508</v>
      </c>
      <c r="OO15" s="27">
        <f t="shared" si="62"/>
        <v>0</v>
      </c>
      <c r="OP15" s="27">
        <f t="shared" si="62"/>
        <v>3068.0141098141271</v>
      </c>
      <c r="OQ15" s="27">
        <f t="shared" si="62"/>
        <v>0</v>
      </c>
      <c r="OR15" s="28">
        <f t="shared" si="2"/>
        <v>16284.490327840635</v>
      </c>
      <c r="OS15" s="36"/>
      <c r="OT15" s="27"/>
      <c r="OU15" s="27"/>
      <c r="OV15" s="27"/>
      <c r="OW15" s="27"/>
      <c r="OX15" s="27"/>
      <c r="OY15" s="28">
        <f t="shared" si="63"/>
        <v>0</v>
      </c>
      <c r="OZ15" s="36">
        <f t="shared" si="64"/>
        <v>0</v>
      </c>
      <c r="PA15" s="27">
        <f t="shared" si="65"/>
        <v>0</v>
      </c>
      <c r="PB15" s="27">
        <f t="shared" si="66"/>
        <v>0</v>
      </c>
      <c r="PC15" s="27">
        <f t="shared" si="67"/>
        <v>0</v>
      </c>
      <c r="PD15" s="27">
        <f t="shared" si="68"/>
        <v>0</v>
      </c>
      <c r="PE15" s="27">
        <f t="shared" si="69"/>
        <v>0</v>
      </c>
      <c r="PF15" s="33">
        <f t="shared" si="3"/>
        <v>0</v>
      </c>
      <c r="PG15" s="2621"/>
      <c r="PI15" s="1907">
        <v>936.5</v>
      </c>
      <c r="PJ15" s="3"/>
      <c r="PK15" s="3"/>
      <c r="PL15" s="3">
        <f t="shared" si="70"/>
        <v>0</v>
      </c>
      <c r="PM15" s="3">
        <f t="shared" si="71"/>
        <v>13675.168459344186</v>
      </c>
      <c r="PN15" s="11">
        <f t="shared" si="72"/>
        <v>19727.226980961226</v>
      </c>
      <c r="PO15" s="15"/>
      <c r="PP15" s="2615"/>
      <c r="PR15" s="4"/>
      <c r="PS15" s="9"/>
      <c r="PT15" s="9"/>
      <c r="PU15" s="9"/>
      <c r="PV15" s="9">
        <v>0</v>
      </c>
      <c r="PW15" s="9"/>
      <c r="PX15" s="8">
        <f t="shared" si="73"/>
        <v>0</v>
      </c>
      <c r="PY15" s="5">
        <f t="shared" si="74"/>
        <v>936.5</v>
      </c>
      <c r="PZ15" s="5"/>
      <c r="QA15" s="5"/>
      <c r="QB15" s="5"/>
      <c r="QC15" s="5"/>
      <c r="QD15" s="5"/>
      <c r="QE15" s="12">
        <f t="shared" si="75"/>
        <v>29562.488999999998</v>
      </c>
      <c r="QF15" s="420">
        <f t="shared" si="76"/>
        <v>400152.84955851006</v>
      </c>
      <c r="QG15" s="1106">
        <f t="shared" si="77"/>
        <v>494.41999999999996</v>
      </c>
      <c r="QH15" s="484">
        <f t="shared" si="78"/>
        <v>5505.3678056099998</v>
      </c>
      <c r="QI15" s="12"/>
      <c r="QJ15" s="2615"/>
      <c r="QL15" s="139">
        <f t="shared" si="79"/>
        <v>0</v>
      </c>
      <c r="QM15" s="139" t="str">
        <f t="shared" si="80"/>
        <v/>
      </c>
      <c r="QO15" s="139">
        <f t="shared" si="81"/>
        <v>0</v>
      </c>
      <c r="QP15" s="139">
        <f t="shared" si="82"/>
        <v>0</v>
      </c>
      <c r="QR15" s="1">
        <f t="shared" si="83"/>
        <v>0</v>
      </c>
      <c r="QS15" s="1">
        <f t="shared" si="84"/>
        <v>0</v>
      </c>
      <c r="QT15" s="1">
        <f t="shared" si="85"/>
        <v>0</v>
      </c>
      <c r="QU15" s="1">
        <f t="shared" si="86"/>
        <v>0</v>
      </c>
      <c r="QV15" s="1">
        <f t="shared" si="87"/>
        <v>0</v>
      </c>
      <c r="QW15" s="1">
        <f t="shared" si="88"/>
        <v>0</v>
      </c>
      <c r="QY15" s="1">
        <f t="shared" si="89"/>
        <v>0</v>
      </c>
      <c r="QZ15" s="1">
        <f t="shared" si="90"/>
        <v>0</v>
      </c>
      <c r="RA15" s="1">
        <f t="shared" si="91"/>
        <v>0</v>
      </c>
      <c r="RB15" s="1">
        <f t="shared" si="92"/>
        <v>0</v>
      </c>
      <c r="RC15" s="1">
        <f t="shared" si="93"/>
        <v>0</v>
      </c>
      <c r="RD15" s="1">
        <f t="shared" si="94"/>
        <v>0</v>
      </c>
      <c r="RG15" s="1">
        <v>6</v>
      </c>
      <c r="RH15" s="1">
        <f t="shared" si="95"/>
        <v>40296.547751083162</v>
      </c>
      <c r="RI15" s="1">
        <f t="shared" si="95"/>
        <v>1464.6775498622796</v>
      </c>
      <c r="RJ15" s="1">
        <f t="shared" si="95"/>
        <v>9178.5689913333827</v>
      </c>
      <c r="RK15" s="89">
        <f t="shared" si="5"/>
        <v>50939.794292278828</v>
      </c>
      <c r="RL15" s="1033">
        <v>6</v>
      </c>
      <c r="RM15" s="1098">
        <f t="shared" si="96"/>
        <v>0</v>
      </c>
      <c r="RN15" s="1098">
        <f t="shared" si="97"/>
        <v>0</v>
      </c>
      <c r="RO15" s="1097">
        <f t="shared" si="97"/>
        <v>0</v>
      </c>
      <c r="RP15" s="1097">
        <f t="shared" si="98"/>
        <v>547.26</v>
      </c>
      <c r="RQ15" s="1094"/>
      <c r="RR15" s="1094" t="s">
        <v>877</v>
      </c>
      <c r="RU15" s="421">
        <v>6</v>
      </c>
      <c r="RV15" s="1095">
        <f t="shared" si="99"/>
        <v>6214.3099999999995</v>
      </c>
      <c r="RW15" s="1094" t="s">
        <v>878</v>
      </c>
      <c r="RY15" s="1090"/>
      <c r="RZ15" s="1090">
        <f t="shared" si="100"/>
        <v>0</v>
      </c>
      <c r="SA15" s="1090"/>
      <c r="SB15" s="1090">
        <f t="shared" si="101"/>
        <v>0</v>
      </c>
      <c r="SD15" s="1">
        <v>6</v>
      </c>
      <c r="SE15" s="1">
        <f t="shared" si="102"/>
        <v>0</v>
      </c>
      <c r="SF15" s="1094"/>
    </row>
    <row r="16" spans="1:500" s="1" customFormat="1">
      <c r="B16" s="471">
        <v>7</v>
      </c>
      <c r="C16" s="4">
        <f t="shared" si="6"/>
        <v>175041</v>
      </c>
      <c r="D16" s="1590">
        <f>P16+T16+X16+AB16</f>
        <v>9733</v>
      </c>
      <c r="E16" s="1895">
        <f t="shared" si="7"/>
        <v>17.984280283571355</v>
      </c>
      <c r="F16" s="870"/>
      <c r="G16" s="870"/>
      <c r="H16" s="52"/>
      <c r="I16" s="61"/>
      <c r="J16" s="52"/>
      <c r="K16" s="54"/>
      <c r="L16" s="52">
        <v>1.5</v>
      </c>
      <c r="M16" s="61">
        <v>0.52</v>
      </c>
      <c r="N16" s="2629"/>
      <c r="O16" s="4">
        <f t="shared" si="104"/>
        <v>102312</v>
      </c>
      <c r="P16" s="1225">
        <f t="shared" si="8"/>
        <v>6495.3200000000006</v>
      </c>
      <c r="Q16" s="1913">
        <f t="shared" si="9"/>
        <v>15.751648879500932</v>
      </c>
      <c r="R16" s="33"/>
      <c r="S16" s="26">
        <f t="shared" si="10"/>
        <v>32610</v>
      </c>
      <c r="T16" s="27">
        <f t="shared" si="11"/>
        <v>537.67999999999995</v>
      </c>
      <c r="U16" s="1909">
        <f t="shared" si="12"/>
        <v>60.649456926052679</v>
      </c>
      <c r="V16" s="15"/>
      <c r="W16" s="1742">
        <f t="shared" si="13"/>
        <v>40119</v>
      </c>
      <c r="X16" s="5">
        <f t="shared" si="13"/>
        <v>2700</v>
      </c>
      <c r="Y16" s="1738">
        <f t="shared" si="14"/>
        <v>14.858888888888888</v>
      </c>
      <c r="Z16" s="33"/>
      <c r="AA16" s="26">
        <f t="shared" si="15"/>
        <v>0</v>
      </c>
      <c r="AB16" s="27">
        <f t="shared" si="16"/>
        <v>0</v>
      </c>
      <c r="AC16" s="53">
        <f t="shared" si="17"/>
        <v>0</v>
      </c>
      <c r="AD16" s="28"/>
      <c r="AE16" s="36"/>
      <c r="AF16" s="36"/>
      <c r="AG16" s="53">
        <f t="shared" si="18"/>
        <v>0</v>
      </c>
      <c r="AH16" s="28"/>
      <c r="AI16" s="23"/>
      <c r="AJ16" s="27"/>
      <c r="AK16" s="53">
        <f t="shared" si="19"/>
        <v>0</v>
      </c>
      <c r="AL16" s="28"/>
      <c r="AM16" s="2629"/>
      <c r="AN16" s="9"/>
      <c r="AO16" s="5"/>
      <c r="AP16" s="61">
        <f t="shared" si="20"/>
        <v>0</v>
      </c>
      <c r="AQ16" s="36"/>
      <c r="AR16" s="53"/>
      <c r="AS16" s="61">
        <f t="shared" si="21"/>
        <v>0</v>
      </c>
      <c r="AT16" s="36">
        <v>0</v>
      </c>
      <c r="AU16" s="27"/>
      <c r="AV16" s="54">
        <f t="shared" si="22"/>
        <v>0</v>
      </c>
      <c r="AW16" s="26">
        <v>44730</v>
      </c>
      <c r="AX16" s="27">
        <v>3852.7000000000003</v>
      </c>
      <c r="AY16" s="1735">
        <v>11.610039712409478</v>
      </c>
      <c r="AZ16" s="36"/>
      <c r="BA16" s="27"/>
      <c r="BB16" s="61">
        <v>0</v>
      </c>
      <c r="BC16" s="1740">
        <v>57582</v>
      </c>
      <c r="BD16" s="1736">
        <v>2642.6200000000003</v>
      </c>
      <c r="BE16" s="1735">
        <v>21.789738971172547</v>
      </c>
      <c r="BF16" s="36"/>
      <c r="BG16" s="53"/>
      <c r="BH16" s="61">
        <v>0</v>
      </c>
      <c r="BI16" s="36">
        <v>0</v>
      </c>
      <c r="BJ16" s="53">
        <v>0</v>
      </c>
      <c r="BK16" s="61">
        <v>0</v>
      </c>
      <c r="BL16" s="1742">
        <v>32610</v>
      </c>
      <c r="BM16" s="1909">
        <v>537.67999999999995</v>
      </c>
      <c r="BN16" s="1735">
        <v>60.649456926052679</v>
      </c>
      <c r="BO16" s="36"/>
      <c r="BP16" s="53"/>
      <c r="BQ16" s="61">
        <v>0</v>
      </c>
      <c r="BR16" s="36"/>
      <c r="BS16" s="53"/>
      <c r="BT16" s="61">
        <v>0</v>
      </c>
      <c r="BU16" s="36">
        <v>40119</v>
      </c>
      <c r="BV16" s="27">
        <v>2700</v>
      </c>
      <c r="BW16" s="1906">
        <v>14.858888888888888</v>
      </c>
      <c r="BX16" s="26"/>
      <c r="BY16" s="27"/>
      <c r="BZ16" s="61">
        <f t="shared" si="23"/>
        <v>0</v>
      </c>
      <c r="CA16" s="36"/>
      <c r="CB16" s="481"/>
      <c r="CC16" s="482">
        <f t="shared" si="24"/>
        <v>0</v>
      </c>
      <c r="CD16" s="4"/>
      <c r="CE16" s="5"/>
      <c r="CF16" s="28">
        <f t="shared" si="25"/>
        <v>0</v>
      </c>
      <c r="CG16" s="150"/>
      <c r="CH16" s="4">
        <v>7980</v>
      </c>
      <c r="CI16" s="5"/>
      <c r="CJ16" s="5"/>
      <c r="CK16" s="5"/>
      <c r="CL16" s="5"/>
      <c r="CM16" s="5">
        <f t="shared" si="26"/>
        <v>7980</v>
      </c>
      <c r="CN16" s="33"/>
      <c r="CO16" s="366"/>
      <c r="CQ16" s="4">
        <f t="shared" si="27"/>
        <v>0</v>
      </c>
      <c r="CR16" s="9">
        <f t="shared" si="27"/>
        <v>0</v>
      </c>
      <c r="CS16" s="5">
        <f t="shared" si="27"/>
        <v>0</v>
      </c>
      <c r="CT16" s="5">
        <f t="shared" si="27"/>
        <v>0</v>
      </c>
      <c r="CU16" s="5">
        <f t="shared" si="27"/>
        <v>0</v>
      </c>
      <c r="CV16" s="5">
        <f t="shared" si="27"/>
        <v>0</v>
      </c>
      <c r="CW16" s="5">
        <f t="shared" si="27"/>
        <v>1450.8</v>
      </c>
      <c r="CX16" s="5">
        <f t="shared" si="27"/>
        <v>0</v>
      </c>
      <c r="CY16" s="5">
        <f t="shared" si="27"/>
        <v>5073.1200000000008</v>
      </c>
      <c r="CZ16" s="5">
        <f t="shared" si="27"/>
        <v>0</v>
      </c>
      <c r="DA16" s="5">
        <f t="shared" ref="DA16:DB23" si="111">SUM(DO16,EB16,EO16)</f>
        <v>3209.08</v>
      </c>
      <c r="DB16" s="12">
        <f t="shared" si="111"/>
        <v>0</v>
      </c>
      <c r="DC16" s="310">
        <f t="shared" si="28"/>
        <v>9733</v>
      </c>
      <c r="DD16" s="2695"/>
      <c r="DE16" s="8"/>
      <c r="DF16" s="9"/>
      <c r="DG16" s="5"/>
      <c r="DH16" s="5"/>
      <c r="DI16" s="5"/>
      <c r="DJ16" s="5"/>
      <c r="DK16" s="5">
        <v>1450.8</v>
      </c>
      <c r="DL16" s="5"/>
      <c r="DM16" s="5">
        <v>2401.9</v>
      </c>
      <c r="DN16" s="5"/>
      <c r="DO16" s="5"/>
      <c r="DP16" s="12"/>
      <c r="DQ16" s="1906">
        <f t="shared" si="29"/>
        <v>3852.7</v>
      </c>
      <c r="DR16" s="36"/>
      <c r="DS16" s="36"/>
      <c r="DT16" s="27"/>
      <c r="DU16" s="27"/>
      <c r="DV16" s="5"/>
      <c r="DW16" s="5"/>
      <c r="DX16" s="5"/>
      <c r="DY16" s="5"/>
      <c r="DZ16" s="5">
        <v>2671.2200000000003</v>
      </c>
      <c r="EA16" s="53"/>
      <c r="EB16" s="27">
        <v>509.08000000000004</v>
      </c>
      <c r="EC16" s="33"/>
      <c r="ED16" s="28">
        <f t="shared" si="30"/>
        <v>3180.3</v>
      </c>
      <c r="EE16" s="9"/>
      <c r="EF16" s="9"/>
      <c r="EG16" s="5"/>
      <c r="EH16" s="492"/>
      <c r="EI16" s="27"/>
      <c r="EJ16" s="27"/>
      <c r="EK16" s="27"/>
      <c r="EL16" s="27"/>
      <c r="EM16" s="5"/>
      <c r="EN16" s="5"/>
      <c r="EO16" s="5">
        <v>2700</v>
      </c>
      <c r="EP16" s="33"/>
      <c r="EQ16" s="28">
        <v>2700</v>
      </c>
      <c r="ER16" s="36"/>
      <c r="ES16" s="27"/>
      <c r="ET16" s="27"/>
      <c r="EU16" s="27"/>
      <c r="EV16" s="27"/>
      <c r="EW16" s="27"/>
      <c r="EX16" s="33">
        <f t="shared" si="32"/>
        <v>0</v>
      </c>
      <c r="EY16" s="2685"/>
      <c r="FA16" s="4">
        <f t="shared" si="33"/>
        <v>0</v>
      </c>
      <c r="FB16" s="5">
        <f t="shared" si="34"/>
        <v>0</v>
      </c>
      <c r="FC16" s="5">
        <f t="shared" si="35"/>
        <v>0</v>
      </c>
      <c r="FD16" s="12">
        <f t="shared" si="36"/>
        <v>0</v>
      </c>
      <c r="FE16" s="33"/>
      <c r="FF16" s="2674"/>
      <c r="FG16" s="9"/>
      <c r="FH16" s="5"/>
      <c r="FI16" s="5"/>
      <c r="FJ16" s="5"/>
      <c r="FK16" s="5"/>
      <c r="FL16" s="27"/>
      <c r="FM16" s="28">
        <f t="shared" si="37"/>
        <v>0</v>
      </c>
      <c r="FN16" s="36"/>
      <c r="FO16" s="27"/>
      <c r="FP16" s="27"/>
      <c r="FQ16" s="27"/>
      <c r="FR16" s="27"/>
      <c r="FS16" s="27"/>
      <c r="FT16" s="28">
        <f t="shared" si="38"/>
        <v>0</v>
      </c>
      <c r="FU16" s="36"/>
      <c r="FV16" s="36"/>
      <c r="FW16" s="27"/>
      <c r="FX16" s="27"/>
      <c r="FY16" s="27"/>
      <c r="FZ16" s="27"/>
      <c r="GA16" s="27"/>
      <c r="GB16" s="27"/>
      <c r="GC16" s="27"/>
      <c r="GD16" s="27"/>
      <c r="GE16" s="27"/>
      <c r="GF16" s="33"/>
      <c r="GG16" s="33">
        <f t="shared" si="39"/>
        <v>0</v>
      </c>
      <c r="GH16" s="2674"/>
      <c r="GJ16" s="2">
        <f t="shared" si="105"/>
        <v>0</v>
      </c>
      <c r="GK16" s="63">
        <f t="shared" si="106"/>
        <v>2900.2</v>
      </c>
      <c r="GL16" s="24">
        <f t="shared" si="107"/>
        <v>3652.1800000000003</v>
      </c>
      <c r="GM16" s="1736">
        <f t="shared" si="40"/>
        <v>6552.38</v>
      </c>
      <c r="GN16" s="141"/>
      <c r="GO16" s="141"/>
      <c r="GP16" s="33"/>
      <c r="GQ16" s="2667"/>
      <c r="GR16" s="1939">
        <v>6552.3799999999992</v>
      </c>
      <c r="GS16" s="2154">
        <v>0</v>
      </c>
      <c r="GT16" s="2154">
        <v>0</v>
      </c>
      <c r="GU16" s="1736">
        <v>0</v>
      </c>
      <c r="GV16" s="1724">
        <f t="shared" si="41"/>
        <v>6552.3799999999992</v>
      </c>
      <c r="GW16" s="2667"/>
      <c r="GX16" s="36"/>
      <c r="GY16" s="36"/>
      <c r="GZ16" s="27"/>
      <c r="HA16" s="27"/>
      <c r="HB16" s="27"/>
      <c r="HC16" s="27"/>
      <c r="HD16" s="27"/>
      <c r="HE16" s="27"/>
      <c r="HF16" s="27">
        <v>0</v>
      </c>
      <c r="HG16" s="27"/>
      <c r="HH16" s="27">
        <v>0</v>
      </c>
      <c r="HI16" s="27"/>
      <c r="HJ16" s="27">
        <v>0</v>
      </c>
      <c r="HK16" s="27"/>
      <c r="HL16" s="28">
        <f t="shared" si="42"/>
        <v>0</v>
      </c>
      <c r="HM16" s="36"/>
      <c r="HN16" s="27"/>
      <c r="HO16" s="27"/>
      <c r="HP16" s="27"/>
      <c r="HQ16" s="27"/>
      <c r="HR16" s="27"/>
      <c r="HS16" s="27" cm="1">
        <f t="array" ref="HS16">SUMPRODUCT(('Data Base hauling'!$C$2:$C$216="TCM-ROM SB1 BK05-ROM 4")*(ISNUMBER(SEARCH(TEXT('April TCM'!$B16,"00")&amp;"/03/2026",'Data Base hauling'!$E$2:$E$216)))*'Data Base hauling'!$N$2:$N$216)</f>
        <v>0</v>
      </c>
      <c r="HT16" s="27"/>
      <c r="HU16" s="27" cm="1">
        <f t="array" ref="HU16">SUMPRODUCT(('Data Base hauling'!$C$2:$C$216="TCM-ROM SB1 BK05-ROM 5")*(ISNUMBER(SEARCH(TEXT('April TCM'!$B16,"00")&amp;"/03/2026",'Data Base hauling'!$E$2:$E$216)))*'Data Base hauling'!$N$2:$N$216)</f>
        <v>0</v>
      </c>
      <c r="HV16" s="27"/>
      <c r="HW16" s="27"/>
      <c r="HX16" s="27"/>
      <c r="HY16" s="27"/>
      <c r="HZ16" s="27"/>
      <c r="IA16" s="33">
        <f t="shared" si="43"/>
        <v>0</v>
      </c>
      <c r="IB16" s="52"/>
      <c r="IC16" s="152"/>
      <c r="ID16" s="53"/>
      <c r="IE16" s="53"/>
      <c r="IF16" s="53"/>
      <c r="IG16" s="53"/>
      <c r="IH16" s="53">
        <v>0</v>
      </c>
      <c r="II16" s="53"/>
      <c r="IJ16" s="1736">
        <v>2900.2</v>
      </c>
      <c r="IK16" s="53"/>
      <c r="IL16" s="53">
        <v>0</v>
      </c>
      <c r="IM16" s="53"/>
      <c r="IN16" s="53"/>
      <c r="IO16" s="49">
        <v>0</v>
      </c>
      <c r="IP16" s="61">
        <f t="shared" si="44"/>
        <v>2900.2</v>
      </c>
      <c r="IQ16" s="36"/>
      <c r="IR16" s="36"/>
      <c r="IS16" s="27"/>
      <c r="IT16" s="27"/>
      <c r="IU16" s="53"/>
      <c r="IV16" s="27"/>
      <c r="IW16" s="27">
        <v>0</v>
      </c>
      <c r="IX16" s="27"/>
      <c r="IY16" s="27">
        <v>3652.1800000000003</v>
      </c>
      <c r="IZ16" s="27"/>
      <c r="JA16" s="27">
        <v>0</v>
      </c>
      <c r="JB16" s="27"/>
      <c r="JC16" s="27"/>
      <c r="JD16" s="27"/>
      <c r="JE16" s="54">
        <f t="shared" si="110"/>
        <v>3652.1800000000003</v>
      </c>
      <c r="JF16" s="2667"/>
      <c r="JH16" s="2019">
        <v>6552.3799999999992</v>
      </c>
      <c r="JI16" s="2017">
        <v>0</v>
      </c>
      <c r="JJ16" s="53"/>
      <c r="JK16" s="1736">
        <f t="shared" si="46"/>
        <v>6552.3799999999992</v>
      </c>
      <c r="JL16" s="33"/>
      <c r="JM16" s="2669"/>
      <c r="JN16" s="69">
        <v>0</v>
      </c>
      <c r="JO16" s="70">
        <v>0</v>
      </c>
      <c r="JP16" s="70">
        <v>0</v>
      </c>
      <c r="JQ16" s="850">
        <v>0</v>
      </c>
      <c r="JR16" s="850">
        <v>1</v>
      </c>
      <c r="JS16" s="850">
        <v>0</v>
      </c>
      <c r="JT16" s="850">
        <v>0</v>
      </c>
      <c r="JU16" s="1923">
        <v>0</v>
      </c>
      <c r="JV16" s="849" t="s">
        <v>296</v>
      </c>
      <c r="JW16" s="850" t="s">
        <v>296</v>
      </c>
      <c r="JX16" s="850" t="s">
        <v>296</v>
      </c>
      <c r="JY16" s="850" t="s">
        <v>296</v>
      </c>
      <c r="JZ16" s="850" t="s">
        <v>296</v>
      </c>
      <c r="KA16" s="70" t="s">
        <v>296</v>
      </c>
      <c r="KB16" s="70" t="s">
        <v>296</v>
      </c>
      <c r="KC16" s="71" t="s">
        <v>296</v>
      </c>
      <c r="KD16" s="21"/>
      <c r="KE16" s="70"/>
      <c r="KF16" s="70"/>
      <c r="KG16" s="70"/>
      <c r="KH16" s="70"/>
      <c r="KI16" s="70"/>
      <c r="KJ16" s="70"/>
      <c r="KK16" s="70"/>
      <c r="KL16" s="33"/>
      <c r="KM16" s="2669"/>
      <c r="KN16" s="1739">
        <v>7036.1289261142683</v>
      </c>
      <c r="KO16" s="1721">
        <v>1.0543374214777146</v>
      </c>
      <c r="KP16" s="1721">
        <v>2.4517469338917142</v>
      </c>
      <c r="KQ16" s="1721">
        <v>6.9656266826204005</v>
      </c>
      <c r="KR16" s="1722">
        <v>11.105049230032902</v>
      </c>
      <c r="KS16" s="1958">
        <v>0</v>
      </c>
      <c r="KT16" s="1961">
        <v>0</v>
      </c>
      <c r="KU16" s="1961">
        <v>0</v>
      </c>
      <c r="KV16" s="1961">
        <v>0</v>
      </c>
      <c r="KW16" s="1962">
        <v>0</v>
      </c>
      <c r="KX16" s="36"/>
      <c r="KY16" s="53"/>
      <c r="KZ16" s="53"/>
      <c r="LA16" s="53"/>
      <c r="LB16" s="53"/>
      <c r="LC16" s="33"/>
      <c r="LD16" s="2669"/>
      <c r="LF16" s="1121">
        <f t="shared" si="47"/>
        <v>0</v>
      </c>
      <c r="LG16" s="280">
        <f t="shared" si="47"/>
        <v>0</v>
      </c>
      <c r="LH16" s="280">
        <f t="shared" si="47"/>
        <v>0</v>
      </c>
      <c r="LI16" s="844">
        <f t="shared" si="48"/>
        <v>0</v>
      </c>
      <c r="LJ16" s="36"/>
      <c r="LK16" s="27"/>
      <c r="LL16" s="27"/>
      <c r="LM16" s="33"/>
      <c r="LN16" s="1041">
        <v>5.95</v>
      </c>
      <c r="LO16" s="486" t="s">
        <v>879</v>
      </c>
      <c r="LP16" s="2688"/>
      <c r="LQ16" s="867"/>
      <c r="LR16" s="27"/>
      <c r="LS16" s="27"/>
      <c r="LT16" s="27"/>
      <c r="LU16" s="27"/>
      <c r="LV16" s="1117">
        <f t="shared" si="49"/>
        <v>0</v>
      </c>
      <c r="LW16" s="36"/>
      <c r="LX16" s="36"/>
      <c r="LY16" s="27"/>
      <c r="LZ16" s="27"/>
      <c r="MA16" s="33"/>
      <c r="MB16" s="28">
        <f t="shared" si="50"/>
        <v>0</v>
      </c>
      <c r="MC16" s="36"/>
      <c r="MD16" s="36"/>
      <c r="ME16" s="27"/>
      <c r="MF16" s="27"/>
      <c r="MG16" s="33"/>
      <c r="MH16" s="28"/>
      <c r="MI16" s="36"/>
      <c r="MJ16" s="36"/>
      <c r="MK16" s="27"/>
      <c r="ML16" s="27"/>
      <c r="MM16" s="27"/>
      <c r="MN16" s="28"/>
      <c r="MO16" s="36"/>
      <c r="MP16" s="36"/>
      <c r="MQ16" s="27"/>
      <c r="MR16" s="27"/>
      <c r="MS16" s="27"/>
      <c r="MT16" s="33">
        <f t="shared" si="51"/>
        <v>0</v>
      </c>
      <c r="MU16" s="2688"/>
      <c r="MW16" s="26">
        <f t="shared" si="52"/>
        <v>69398.669393306307</v>
      </c>
      <c r="MX16" s="27">
        <f t="shared" si="53"/>
        <v>117452.72380962022</v>
      </c>
      <c r="MY16" s="27">
        <f t="shared" si="54"/>
        <v>19727.226980961226</v>
      </c>
      <c r="MZ16" s="28">
        <f t="shared" si="55"/>
        <v>430209.75855851005</v>
      </c>
      <c r="NA16" s="2621"/>
      <c r="NB16" s="23">
        <f t="shared" si="56"/>
        <v>19225.809361311265</v>
      </c>
      <c r="NC16" s="1579">
        <f t="shared" si="57"/>
        <v>50172.860031995035</v>
      </c>
      <c r="ND16" s="60">
        <f t="shared" si="58"/>
        <v>0</v>
      </c>
      <c r="NE16" s="275">
        <f t="shared" si="4"/>
        <v>69398.669393306307</v>
      </c>
      <c r="NF16" s="26">
        <f t="shared" si="59"/>
        <v>0</v>
      </c>
      <c r="NG16" s="27">
        <f t="shared" si="59"/>
        <v>0</v>
      </c>
      <c r="NH16" s="27">
        <f t="shared" si="59"/>
        <v>0</v>
      </c>
      <c r="NI16" s="27">
        <f t="shared" si="59"/>
        <v>0</v>
      </c>
      <c r="NJ16" s="27">
        <f t="shared" si="59"/>
        <v>0</v>
      </c>
      <c r="NK16" s="33">
        <f t="shared" si="59"/>
        <v>0</v>
      </c>
      <c r="NL16" s="27">
        <f t="shared" si="59"/>
        <v>0</v>
      </c>
      <c r="NM16" s="36">
        <f t="shared" si="59"/>
        <v>0</v>
      </c>
      <c r="NN16" s="24">
        <f t="shared" si="59"/>
        <v>13412.230566563143</v>
      </c>
      <c r="NO16" s="27">
        <f t="shared" si="59"/>
        <v>26196.69549600617</v>
      </c>
      <c r="NP16" s="24">
        <f t="shared" si="108"/>
        <v>8756.5482322711578</v>
      </c>
      <c r="NQ16" s="24">
        <f t="shared" ref="NQ16:NQ23" si="112">+NQ15+EO16-HH16</f>
        <v>26126.824118033412</v>
      </c>
      <c r="NR16" s="27">
        <f t="shared" si="0"/>
        <v>74492.29841287389</v>
      </c>
      <c r="NS16" s="27">
        <f t="shared" si="60"/>
        <v>0</v>
      </c>
      <c r="NT16" s="27">
        <f t="shared" si="60"/>
        <v>0</v>
      </c>
      <c r="NU16" s="27">
        <f t="shared" si="60"/>
        <v>0</v>
      </c>
      <c r="NV16" s="27">
        <f t="shared" si="60"/>
        <v>0</v>
      </c>
      <c r="NW16" s="27">
        <f t="shared" si="60"/>
        <v>0</v>
      </c>
      <c r="NX16" s="27">
        <f t="shared" si="60"/>
        <v>0</v>
      </c>
      <c r="NY16" s="27">
        <f t="shared" si="60"/>
        <v>6325.3736022929133</v>
      </c>
      <c r="NZ16" s="27">
        <f t="shared" si="60"/>
        <v>0</v>
      </c>
      <c r="OA16" s="27">
        <f t="shared" si="60"/>
        <v>20472.898066782833</v>
      </c>
      <c r="OB16" s="280"/>
      <c r="OC16" s="24">
        <f t="shared" si="61"/>
        <v>349.54339982995594</v>
      </c>
      <c r="OD16" s="27">
        <f t="shared" si="61"/>
        <v>0</v>
      </c>
      <c r="OE16" s="28">
        <f t="shared" si="1"/>
        <v>27147.8150689057</v>
      </c>
      <c r="OF16" s="27">
        <f t="shared" si="62"/>
        <v>0</v>
      </c>
      <c r="OG16" s="27">
        <f t="shared" si="62"/>
        <v>0</v>
      </c>
      <c r="OH16" s="27">
        <f t="shared" si="62"/>
        <v>0</v>
      </c>
      <c r="OI16" s="27">
        <f t="shared" si="62"/>
        <v>0</v>
      </c>
      <c r="OJ16" s="27">
        <f t="shared" si="62"/>
        <v>0</v>
      </c>
      <c r="OK16" s="27">
        <f t="shared" si="62"/>
        <v>0</v>
      </c>
      <c r="OL16" s="24">
        <v>0</v>
      </c>
      <c r="OM16" s="27">
        <f t="shared" si="62"/>
        <v>0</v>
      </c>
      <c r="ON16" s="24">
        <f t="shared" si="62"/>
        <v>12235.516218026507</v>
      </c>
      <c r="OO16" s="27">
        <f t="shared" si="62"/>
        <v>0</v>
      </c>
      <c r="OP16" s="27">
        <f t="shared" si="62"/>
        <v>3577.094109814127</v>
      </c>
      <c r="OQ16" s="27">
        <f t="shared" si="62"/>
        <v>0</v>
      </c>
      <c r="OR16" s="28">
        <f t="shared" si="2"/>
        <v>15812.610327840634</v>
      </c>
      <c r="OS16" s="36"/>
      <c r="OT16" s="27"/>
      <c r="OU16" s="27"/>
      <c r="OV16" s="27"/>
      <c r="OW16" s="27"/>
      <c r="OX16" s="27"/>
      <c r="OY16" s="28">
        <f t="shared" si="63"/>
        <v>0</v>
      </c>
      <c r="OZ16" s="36">
        <f t="shared" ref="OZ16:OZ23" si="113">+OZ15+ER16-FU16</f>
        <v>0</v>
      </c>
      <c r="PA16" s="27">
        <f t="shared" ref="PA16:PA23" si="114">+PA15+ES16-FW16</f>
        <v>0</v>
      </c>
      <c r="PB16" s="27">
        <f t="shared" ref="PB16:PB23" si="115">+PB15+ET16-FY16</f>
        <v>0</v>
      </c>
      <c r="PC16" s="27">
        <f t="shared" ref="PC16:PC23" si="116">+PC15+EU16-GA16</f>
        <v>0</v>
      </c>
      <c r="PD16" s="27">
        <f t="shared" ref="PD16:PD23" si="117">+PD15+EV16-GC16</f>
        <v>0</v>
      </c>
      <c r="PE16" s="27">
        <f t="shared" ref="PE16:PE23" si="118">+PE15+EW16-GE16</f>
        <v>0</v>
      </c>
      <c r="PF16" s="33">
        <f t="shared" si="3"/>
        <v>0</v>
      </c>
      <c r="PG16" s="2621"/>
      <c r="PI16" s="1907">
        <v>0</v>
      </c>
      <c r="PJ16" s="3"/>
      <c r="PK16" s="3"/>
      <c r="PL16" s="3">
        <f t="shared" si="70"/>
        <v>0</v>
      </c>
      <c r="PM16" s="3">
        <f t="shared" si="71"/>
        <v>13675.168459344186</v>
      </c>
      <c r="PN16" s="11">
        <f t="shared" si="72"/>
        <v>19727.226980961226</v>
      </c>
      <c r="PO16" s="15"/>
      <c r="PP16" s="2615"/>
      <c r="PR16" s="4"/>
      <c r="PS16" s="9"/>
      <c r="PT16" s="9"/>
      <c r="PU16" s="9"/>
      <c r="PV16" s="9">
        <v>0</v>
      </c>
      <c r="PW16" s="9"/>
      <c r="PX16" s="8">
        <f t="shared" si="73"/>
        <v>0</v>
      </c>
      <c r="PY16" s="5">
        <f t="shared" si="74"/>
        <v>0</v>
      </c>
      <c r="PZ16" s="5"/>
      <c r="QA16" s="5"/>
      <c r="QB16" s="5"/>
      <c r="QC16" s="5"/>
      <c r="QD16" s="5"/>
      <c r="QE16" s="12">
        <f t="shared" si="75"/>
        <v>29562.488999999998</v>
      </c>
      <c r="QF16" s="420">
        <f t="shared" si="76"/>
        <v>400152.84955851006</v>
      </c>
      <c r="QG16" s="1106">
        <f t="shared" si="77"/>
        <v>494.41999999999996</v>
      </c>
      <c r="QH16" s="484">
        <f t="shared" si="78"/>
        <v>5505.3678056099998</v>
      </c>
      <c r="QI16" s="12"/>
      <c r="QJ16" s="2615"/>
      <c r="QL16" s="139">
        <f t="shared" si="79"/>
        <v>0</v>
      </c>
      <c r="QM16" s="139" t="str">
        <f t="shared" si="80"/>
        <v/>
      </c>
      <c r="QO16" s="139">
        <f t="shared" si="81"/>
        <v>0</v>
      </c>
      <c r="QP16" s="139">
        <f t="shared" si="82"/>
        <v>0</v>
      </c>
      <c r="QR16" s="1">
        <f t="shared" si="83"/>
        <v>0</v>
      </c>
      <c r="QS16" s="1">
        <f t="shared" si="84"/>
        <v>0</v>
      </c>
      <c r="QT16" s="1">
        <f t="shared" si="85"/>
        <v>0</v>
      </c>
      <c r="QU16" s="1">
        <f t="shared" si="86"/>
        <v>0</v>
      </c>
      <c r="QV16" s="1">
        <f t="shared" si="87"/>
        <v>0</v>
      </c>
      <c r="QW16" s="1">
        <f t="shared" si="88"/>
        <v>0</v>
      </c>
      <c r="QY16" s="1">
        <f t="shared" si="89"/>
        <v>0</v>
      </c>
      <c r="QZ16" s="1">
        <f t="shared" si="90"/>
        <v>0</v>
      </c>
      <c r="RA16" s="1">
        <f t="shared" si="91"/>
        <v>0</v>
      </c>
      <c r="RB16" s="1">
        <f t="shared" si="92"/>
        <v>0</v>
      </c>
      <c r="RC16" s="1">
        <f t="shared" si="93"/>
        <v>0</v>
      </c>
      <c r="RD16" s="1">
        <f t="shared" si="94"/>
        <v>0</v>
      </c>
      <c r="RG16" s="1">
        <v>7</v>
      </c>
      <c r="RH16" s="1">
        <f t="shared" si="95"/>
        <v>46848.92775108316</v>
      </c>
      <c r="RI16" s="1">
        <f t="shared" si="95"/>
        <v>1464.6775498622796</v>
      </c>
      <c r="RJ16" s="1">
        <f t="shared" si="95"/>
        <v>9178.5689913333827</v>
      </c>
      <c r="RK16" s="89">
        <f t="shared" si="5"/>
        <v>57492.174292278825</v>
      </c>
      <c r="RL16" s="1033">
        <v>7</v>
      </c>
      <c r="RM16" s="1098">
        <f t="shared" si="96"/>
        <v>0</v>
      </c>
      <c r="RN16" s="1098">
        <f t="shared" si="97"/>
        <v>0</v>
      </c>
      <c r="RO16" s="1097">
        <f t="shared" si="97"/>
        <v>0</v>
      </c>
      <c r="RP16" s="1097">
        <f t="shared" si="98"/>
        <v>7033</v>
      </c>
      <c r="RQ16" s="1094"/>
      <c r="RR16" s="1094" t="s">
        <v>880</v>
      </c>
      <c r="RU16" s="421">
        <v>7</v>
      </c>
      <c r="RV16" s="1095">
        <f t="shared" si="99"/>
        <v>6552.3799999999992</v>
      </c>
      <c r="RW16" s="1094" t="s">
        <v>881</v>
      </c>
      <c r="RY16" s="1090"/>
      <c r="RZ16" s="1090">
        <f t="shared" si="100"/>
        <v>0</v>
      </c>
      <c r="SA16" s="1090"/>
      <c r="SB16" s="1090">
        <f t="shared" si="101"/>
        <v>0</v>
      </c>
      <c r="SD16" s="1">
        <v>7</v>
      </c>
      <c r="SE16" s="1">
        <f t="shared" si="102"/>
        <v>0</v>
      </c>
      <c r="SF16" s="1094"/>
    </row>
    <row r="17" spans="1:500" s="1" customFormat="1">
      <c r="B17" s="471">
        <v>8</v>
      </c>
      <c r="C17" s="4">
        <f t="shared" si="6"/>
        <v>108814</v>
      </c>
      <c r="D17" s="1590">
        <f t="shared" ref="D17:D39" si="119">P17+T17+X17+AB17</f>
        <v>6472.9</v>
      </c>
      <c r="E17" s="1895">
        <f t="shared" si="7"/>
        <v>16.810703085170481</v>
      </c>
      <c r="F17" s="870"/>
      <c r="G17" s="870"/>
      <c r="H17" s="52">
        <v>45</v>
      </c>
      <c r="I17" s="61">
        <v>5.83</v>
      </c>
      <c r="J17" s="52"/>
      <c r="K17" s="54"/>
      <c r="L17" s="52">
        <v>37.33</v>
      </c>
      <c r="M17" s="61">
        <v>9.2200000000000006</v>
      </c>
      <c r="N17" s="2629"/>
      <c r="O17" s="4">
        <f t="shared" si="104"/>
        <v>62790</v>
      </c>
      <c r="P17" s="1225">
        <f t="shared" si="8"/>
        <v>4345.96</v>
      </c>
      <c r="Q17" s="1913">
        <f t="shared" si="9"/>
        <v>14.447901039125993</v>
      </c>
      <c r="R17" s="33"/>
      <c r="S17" s="26">
        <f t="shared" si="10"/>
        <v>15048</v>
      </c>
      <c r="T17" s="27">
        <f t="shared" si="11"/>
        <v>306.94</v>
      </c>
      <c r="U17" s="1909">
        <f t="shared" si="12"/>
        <v>49.025868247866036</v>
      </c>
      <c r="W17" s="1742">
        <f t="shared" si="13"/>
        <v>30976</v>
      </c>
      <c r="X17" s="5">
        <f t="shared" si="13"/>
        <v>1820</v>
      </c>
      <c r="Y17" s="1738">
        <f t="shared" si="14"/>
        <v>17.01978021978022</v>
      </c>
      <c r="Z17" s="33"/>
      <c r="AA17" s="26">
        <f t="shared" si="15"/>
        <v>0</v>
      </c>
      <c r="AB17" s="27">
        <f t="shared" si="16"/>
        <v>0</v>
      </c>
      <c r="AC17" s="53">
        <f t="shared" si="17"/>
        <v>0</v>
      </c>
      <c r="AD17" s="28"/>
      <c r="AE17" s="36"/>
      <c r="AF17" s="36"/>
      <c r="AG17" s="53">
        <f t="shared" si="18"/>
        <v>0</v>
      </c>
      <c r="AH17" s="28"/>
      <c r="AI17" s="26"/>
      <c r="AJ17" s="27"/>
      <c r="AK17" s="53">
        <f t="shared" si="19"/>
        <v>0</v>
      </c>
      <c r="AL17" s="28"/>
      <c r="AM17" s="2629"/>
      <c r="AN17" s="9"/>
      <c r="AO17" s="5"/>
      <c r="AP17" s="61">
        <f t="shared" si="20"/>
        <v>0</v>
      </c>
      <c r="AQ17" s="36"/>
      <c r="AR17" s="53"/>
      <c r="AS17" s="61">
        <f t="shared" si="21"/>
        <v>0</v>
      </c>
      <c r="AT17" s="36">
        <v>0</v>
      </c>
      <c r="AU17" s="27"/>
      <c r="AV17" s="54">
        <f t="shared" si="22"/>
        <v>0</v>
      </c>
      <c r="AW17" s="26">
        <v>37044</v>
      </c>
      <c r="AX17" s="27">
        <v>2516.14</v>
      </c>
      <c r="AY17" s="1735">
        <v>14.722551209392165</v>
      </c>
      <c r="AZ17" s="36"/>
      <c r="BA17" s="27"/>
      <c r="BB17" s="61">
        <v>0</v>
      </c>
      <c r="BC17" s="1740">
        <v>25746</v>
      </c>
      <c r="BD17" s="1736">
        <v>1829.8200000000002</v>
      </c>
      <c r="BE17" s="1735">
        <v>14.070236416696723</v>
      </c>
      <c r="BF17" s="36"/>
      <c r="BG17" s="53"/>
      <c r="BH17" s="61">
        <v>0</v>
      </c>
      <c r="BI17" s="36">
        <v>0</v>
      </c>
      <c r="BJ17" s="53">
        <v>0</v>
      </c>
      <c r="BK17" s="61">
        <v>0</v>
      </c>
      <c r="BL17" s="1742">
        <v>15048</v>
      </c>
      <c r="BM17" s="1909">
        <v>306.94</v>
      </c>
      <c r="BN17" s="1735">
        <v>49.025868247866036</v>
      </c>
      <c r="BO17" s="36"/>
      <c r="BP17" s="53"/>
      <c r="BQ17" s="61">
        <v>0</v>
      </c>
      <c r="BR17" s="36"/>
      <c r="BS17" s="53"/>
      <c r="BT17" s="61">
        <v>0</v>
      </c>
      <c r="BU17" s="36">
        <v>30976</v>
      </c>
      <c r="BV17" s="27">
        <v>1820</v>
      </c>
      <c r="BW17" s="1906">
        <v>17.01978021978022</v>
      </c>
      <c r="BX17" s="26"/>
      <c r="BY17" s="27"/>
      <c r="BZ17" s="61">
        <f t="shared" si="23"/>
        <v>0</v>
      </c>
      <c r="CA17" s="36"/>
      <c r="CB17" s="481"/>
      <c r="CC17" s="482">
        <f t="shared" si="24"/>
        <v>0</v>
      </c>
      <c r="CD17" s="4"/>
      <c r="CE17" s="5"/>
      <c r="CF17" s="28">
        <f t="shared" si="25"/>
        <v>0</v>
      </c>
      <c r="CG17" s="150"/>
      <c r="CH17" s="4"/>
      <c r="CI17" s="5"/>
      <c r="CJ17" s="5"/>
      <c r="CK17" s="5"/>
      <c r="CL17" s="5"/>
      <c r="CM17" s="5">
        <f t="shared" si="26"/>
        <v>0</v>
      </c>
      <c r="CN17" s="33"/>
      <c r="CO17" s="366"/>
      <c r="CQ17" s="4">
        <f t="shared" si="27"/>
        <v>0</v>
      </c>
      <c r="CR17" s="9">
        <f t="shared" si="27"/>
        <v>0</v>
      </c>
      <c r="CS17" s="5">
        <f t="shared" si="27"/>
        <v>0</v>
      </c>
      <c r="CT17" s="5">
        <f t="shared" si="27"/>
        <v>0</v>
      </c>
      <c r="CU17" s="5">
        <f t="shared" si="27"/>
        <v>0</v>
      </c>
      <c r="CV17" s="5">
        <f t="shared" si="27"/>
        <v>0</v>
      </c>
      <c r="CW17" s="5">
        <f t="shared" si="27"/>
        <v>894.07999999999993</v>
      </c>
      <c r="CX17" s="5">
        <f t="shared" si="27"/>
        <v>0</v>
      </c>
      <c r="CY17" s="5">
        <f t="shared" si="27"/>
        <v>3758.8199999999997</v>
      </c>
      <c r="CZ17" s="5">
        <f t="shared" si="27"/>
        <v>0</v>
      </c>
      <c r="DA17" s="5">
        <f t="shared" si="111"/>
        <v>1820</v>
      </c>
      <c r="DB17" s="12">
        <f t="shared" si="111"/>
        <v>0</v>
      </c>
      <c r="DC17" s="310">
        <f t="shared" si="28"/>
        <v>6472.9</v>
      </c>
      <c r="DD17" s="2695"/>
      <c r="DE17" s="8"/>
      <c r="DF17" s="9"/>
      <c r="DG17" s="5"/>
      <c r="DH17" s="5"/>
      <c r="DI17" s="5"/>
      <c r="DJ17" s="5"/>
      <c r="DK17" s="5">
        <v>894.07999999999993</v>
      </c>
      <c r="DL17" s="5"/>
      <c r="DM17" s="5">
        <v>1622.0599999999997</v>
      </c>
      <c r="DN17" s="5"/>
      <c r="DO17" s="5"/>
      <c r="DP17" s="12"/>
      <c r="DQ17" s="1906">
        <f t="shared" si="29"/>
        <v>2516.1399999999994</v>
      </c>
      <c r="DR17" s="36"/>
      <c r="DS17" s="36"/>
      <c r="DT17" s="27"/>
      <c r="DU17" s="27"/>
      <c r="DV17" s="5"/>
      <c r="DW17" s="5"/>
      <c r="DX17" s="5"/>
      <c r="DY17" s="5"/>
      <c r="DZ17" s="5">
        <v>2136.7599999999998</v>
      </c>
      <c r="EA17" s="53"/>
      <c r="EB17" s="27">
        <v>0</v>
      </c>
      <c r="EC17" s="33"/>
      <c r="ED17" s="28">
        <f t="shared" si="30"/>
        <v>2136.7599999999998</v>
      </c>
      <c r="EE17" s="9"/>
      <c r="EF17" s="9"/>
      <c r="EG17" s="5"/>
      <c r="EH17" s="492"/>
      <c r="EI17" s="27"/>
      <c r="EJ17" s="27"/>
      <c r="EK17" s="27"/>
      <c r="EL17" s="27"/>
      <c r="EM17" s="5"/>
      <c r="EN17" s="5"/>
      <c r="EO17" s="5">
        <v>1820</v>
      </c>
      <c r="EP17" s="33"/>
      <c r="EQ17" s="28">
        <f t="shared" si="31"/>
        <v>1820</v>
      </c>
      <c r="ER17" s="36"/>
      <c r="ES17" s="27"/>
      <c r="ET17" s="27"/>
      <c r="EU17" s="27"/>
      <c r="EV17" s="27"/>
      <c r="EW17" s="27"/>
      <c r="EX17" s="33">
        <f t="shared" si="32"/>
        <v>0</v>
      </c>
      <c r="EY17" s="2685"/>
      <c r="FA17" s="4">
        <f t="shared" si="33"/>
        <v>0</v>
      </c>
      <c r="FB17" s="5">
        <f t="shared" si="34"/>
        <v>0</v>
      </c>
      <c r="FC17" s="5">
        <f t="shared" si="35"/>
        <v>0</v>
      </c>
      <c r="FD17" s="12">
        <f t="shared" si="36"/>
        <v>0</v>
      </c>
      <c r="FE17" s="33"/>
      <c r="FF17" s="2674"/>
      <c r="FG17" s="9"/>
      <c r="FH17" s="5"/>
      <c r="FI17" s="5"/>
      <c r="FJ17" s="5"/>
      <c r="FK17" s="5"/>
      <c r="FL17" s="27"/>
      <c r="FM17" s="28">
        <f t="shared" si="37"/>
        <v>0</v>
      </c>
      <c r="FN17" s="36"/>
      <c r="FO17" s="27"/>
      <c r="FP17" s="27"/>
      <c r="FQ17" s="27"/>
      <c r="FR17" s="27"/>
      <c r="FS17" s="27"/>
      <c r="FT17" s="28">
        <f t="shared" si="38"/>
        <v>0</v>
      </c>
      <c r="FU17" s="36"/>
      <c r="FV17" s="36"/>
      <c r="FW17" s="27"/>
      <c r="FX17" s="27"/>
      <c r="FY17" s="27"/>
      <c r="FZ17" s="27"/>
      <c r="GA17" s="27"/>
      <c r="GB17" s="27"/>
      <c r="GC17" s="27"/>
      <c r="GD17" s="27"/>
      <c r="GE17" s="27"/>
      <c r="GF17" s="33"/>
      <c r="GG17" s="33">
        <f t="shared" si="39"/>
        <v>0</v>
      </c>
      <c r="GH17" s="2674"/>
      <c r="GJ17" s="2">
        <f t="shared" si="105"/>
        <v>1318.21</v>
      </c>
      <c r="GK17" s="63">
        <f t="shared" si="106"/>
        <v>2705.0499999999997</v>
      </c>
      <c r="GL17" s="24">
        <f t="shared" si="107"/>
        <v>2546.33</v>
      </c>
      <c r="GM17" s="1736">
        <f t="shared" si="40"/>
        <v>6569.59</v>
      </c>
      <c r="GN17" s="141"/>
      <c r="GO17" s="141"/>
      <c r="GP17" s="33"/>
      <c r="GQ17" s="2667"/>
      <c r="GR17" s="1939">
        <v>6569.5900000000011</v>
      </c>
      <c r="GS17" s="2154">
        <v>0</v>
      </c>
      <c r="GT17" s="1736">
        <v>0</v>
      </c>
      <c r="GU17" s="1736">
        <v>0</v>
      </c>
      <c r="GV17" s="54">
        <f t="shared" si="41"/>
        <v>6569.5900000000011</v>
      </c>
      <c r="GW17" s="2667"/>
      <c r="GX17" s="36"/>
      <c r="GY17" s="36"/>
      <c r="GZ17" s="27"/>
      <c r="HA17" s="27"/>
      <c r="HB17" s="27"/>
      <c r="HC17" s="27"/>
      <c r="HD17" s="27"/>
      <c r="HE17" s="27"/>
      <c r="HF17" s="27">
        <v>82.55</v>
      </c>
      <c r="HG17" s="27"/>
      <c r="HH17" s="27">
        <v>1235.6600000000001</v>
      </c>
      <c r="HI17" s="27"/>
      <c r="HJ17" s="27">
        <v>0</v>
      </c>
      <c r="HK17" s="27"/>
      <c r="HL17" s="28">
        <f>SUM(GX17:HK17)</f>
        <v>1318.21</v>
      </c>
      <c r="HM17" s="36"/>
      <c r="HN17" s="27"/>
      <c r="HO17" s="27"/>
      <c r="HP17" s="27"/>
      <c r="HQ17" s="27"/>
      <c r="HR17" s="27"/>
      <c r="HS17" s="27" cm="1">
        <f t="array" ref="HS17">SUMPRODUCT(('Data Base hauling'!$C$2:$C$216="TCM-ROM SB1 BK05-ROM 4")*(ISNUMBER(SEARCH(TEXT('April TCM'!$B17,"00")&amp;"/03/2026",'Data Base hauling'!$E$2:$E$216)))*'Data Base hauling'!$N$2:$N$216)</f>
        <v>0</v>
      </c>
      <c r="HT17" s="27"/>
      <c r="HU17" s="27" cm="1">
        <f t="array" ref="HU17">SUMPRODUCT(('Data Base hauling'!$C$2:$C$216="TCM-ROM SB1 BK05-ROM 5")*(ISNUMBER(SEARCH(TEXT('April TCM'!$B17,"00")&amp;"/03/2026",'Data Base hauling'!$E$2:$E$216)))*'Data Base hauling'!$N$2:$N$216)</f>
        <v>0</v>
      </c>
      <c r="HV17" s="27"/>
      <c r="HW17" s="27"/>
      <c r="HX17" s="27"/>
      <c r="HY17" s="27"/>
      <c r="HZ17" s="27"/>
      <c r="IA17" s="33">
        <f t="shared" si="43"/>
        <v>0</v>
      </c>
      <c r="IB17" s="52"/>
      <c r="IC17" s="152"/>
      <c r="ID17" s="53"/>
      <c r="IE17" s="53"/>
      <c r="IF17" s="64"/>
      <c r="IG17" s="64"/>
      <c r="IH17" s="64">
        <v>248.85</v>
      </c>
      <c r="II17" s="64"/>
      <c r="IJ17" s="1736">
        <v>2456.1999999999998</v>
      </c>
      <c r="IK17" s="53"/>
      <c r="IL17" s="53">
        <v>0</v>
      </c>
      <c r="IM17" s="53"/>
      <c r="IN17" s="53"/>
      <c r="IO17" s="49">
        <v>0</v>
      </c>
      <c r="IP17" s="61">
        <f>SUM(IB17:IO17)</f>
        <v>2705.0499999999997</v>
      </c>
      <c r="IQ17" s="36"/>
      <c r="IR17" s="36"/>
      <c r="IS17" s="27"/>
      <c r="IT17" s="27"/>
      <c r="IU17" s="53"/>
      <c r="IV17" s="27"/>
      <c r="IW17" s="53">
        <v>0</v>
      </c>
      <c r="IX17" s="27"/>
      <c r="IY17" s="27">
        <v>1437.9</v>
      </c>
      <c r="IZ17" s="27"/>
      <c r="JA17" s="27">
        <v>1108.4299999999998</v>
      </c>
      <c r="JB17" s="27"/>
      <c r="JC17" s="27"/>
      <c r="JD17" s="27"/>
      <c r="JE17" s="33">
        <f>SUM(IQ17:JD17)</f>
        <v>2546.33</v>
      </c>
      <c r="JF17" s="2667"/>
      <c r="JH17" s="2019">
        <v>3445.1</v>
      </c>
      <c r="JI17" s="2017">
        <v>3124.4900000000002</v>
      </c>
      <c r="JJ17" s="53"/>
      <c r="JK17" s="1736">
        <f t="shared" si="46"/>
        <v>6569.59</v>
      </c>
      <c r="JL17" s="33"/>
      <c r="JM17" s="2669"/>
      <c r="JN17" s="69">
        <v>0</v>
      </c>
      <c r="JO17" s="70">
        <v>0</v>
      </c>
      <c r="JP17" s="70">
        <v>0</v>
      </c>
      <c r="JQ17" s="850">
        <v>0</v>
      </c>
      <c r="JR17" s="850">
        <v>0.97573365069228757</v>
      </c>
      <c r="JS17" s="850">
        <v>2.4266349307712404E-2</v>
      </c>
      <c r="JT17" s="70">
        <v>0</v>
      </c>
      <c r="JU17" s="1922">
        <v>0</v>
      </c>
      <c r="JV17" s="69">
        <v>0</v>
      </c>
      <c r="JW17" s="70">
        <v>0</v>
      </c>
      <c r="JX17" s="70">
        <v>0</v>
      </c>
      <c r="JY17" s="70">
        <v>7.9644998063683983E-2</v>
      </c>
      <c r="JZ17" s="70">
        <v>0.19688013083735267</v>
      </c>
      <c r="KA17" s="70">
        <v>0.72347487109896325</v>
      </c>
      <c r="KB17" s="70">
        <v>0</v>
      </c>
      <c r="KC17" s="71">
        <v>0</v>
      </c>
      <c r="KD17" s="69"/>
      <c r="KE17" s="70"/>
      <c r="KF17" s="70"/>
      <c r="KG17" s="70"/>
      <c r="KH17" s="70"/>
      <c r="KI17" s="70"/>
      <c r="KJ17" s="70"/>
      <c r="KK17" s="70"/>
      <c r="KL17" s="33"/>
      <c r="KM17" s="2669"/>
      <c r="KN17" s="1739">
        <v>7134</v>
      </c>
      <c r="KO17" s="1721">
        <v>0.8</v>
      </c>
      <c r="KP17" s="1721">
        <v>2.57</v>
      </c>
      <c r="KQ17" s="1721">
        <v>6.8</v>
      </c>
      <c r="KR17" s="1722">
        <v>11.5532</v>
      </c>
      <c r="KS17" s="1958">
        <v>6712</v>
      </c>
      <c r="KT17" s="1961">
        <v>1.93</v>
      </c>
      <c r="KU17" s="1961">
        <v>9.06</v>
      </c>
      <c r="KV17" s="1961">
        <v>5.0599999999999996</v>
      </c>
      <c r="KW17" s="1962">
        <v>8.5727799999999998</v>
      </c>
      <c r="KX17" s="36"/>
      <c r="KY17" s="53"/>
      <c r="KZ17" s="53"/>
      <c r="LA17" s="53"/>
      <c r="LB17" s="53"/>
      <c r="LC17" s="33"/>
      <c r="LD17" s="2669"/>
      <c r="LF17" s="26">
        <f t="shared" si="47"/>
        <v>0</v>
      </c>
      <c r="LG17" s="27">
        <f t="shared" si="47"/>
        <v>0</v>
      </c>
      <c r="LH17" s="27">
        <f t="shared" si="47"/>
        <v>0</v>
      </c>
      <c r="LI17" s="28">
        <f t="shared" si="48"/>
        <v>0</v>
      </c>
      <c r="LJ17" s="36"/>
      <c r="LK17" s="27"/>
      <c r="LL17" s="27">
        <v>2</v>
      </c>
      <c r="LM17" s="33"/>
      <c r="LN17" s="1041">
        <v>6.51</v>
      </c>
      <c r="LO17" s="486" t="s">
        <v>882</v>
      </c>
      <c r="LP17" s="2688"/>
      <c r="LQ17" s="21"/>
      <c r="LR17" s="27"/>
      <c r="LS17" s="27"/>
      <c r="LT17" s="27"/>
      <c r="LU17" s="27"/>
      <c r="LV17" s="1117">
        <f t="shared" si="49"/>
        <v>0</v>
      </c>
      <c r="LW17" s="36"/>
      <c r="LX17" s="36"/>
      <c r="LY17" s="27"/>
      <c r="LZ17" s="27"/>
      <c r="MA17" s="33"/>
      <c r="MB17" s="28">
        <f t="shared" si="50"/>
        <v>0</v>
      </c>
      <c r="MC17" s="26"/>
      <c r="MD17" s="36"/>
      <c r="ME17" s="27"/>
      <c r="MF17" s="27"/>
      <c r="MG17" s="27"/>
      <c r="MH17" s="28"/>
      <c r="MI17" s="36"/>
      <c r="MJ17" s="36"/>
      <c r="MK17" s="27"/>
      <c r="ML17" s="27"/>
      <c r="MM17" s="27"/>
      <c r="MN17" s="28"/>
      <c r="MO17" s="36"/>
      <c r="MP17" s="36"/>
      <c r="MQ17" s="27"/>
      <c r="MR17" s="27"/>
      <c r="MS17" s="27"/>
      <c r="MT17" s="33">
        <f t="shared" si="51"/>
        <v>0</v>
      </c>
      <c r="MU17" s="2688"/>
      <c r="MW17" s="26">
        <f t="shared" si="52"/>
        <v>75968.259393306304</v>
      </c>
      <c r="MX17" s="27">
        <f t="shared" si="53"/>
        <v>117356.03380962022</v>
      </c>
      <c r="MY17" s="27">
        <f t="shared" si="54"/>
        <v>19727.226980961226</v>
      </c>
      <c r="MZ17" s="28">
        <f t="shared" si="55"/>
        <v>429693.27855851006</v>
      </c>
      <c r="NA17" s="2621"/>
      <c r="NB17" s="23">
        <f t="shared" si="56"/>
        <v>22670.909361311264</v>
      </c>
      <c r="NC17" s="1579">
        <f t="shared" si="57"/>
        <v>53297.350031995033</v>
      </c>
      <c r="ND17" s="60">
        <f t="shared" si="58"/>
        <v>0</v>
      </c>
      <c r="NE17" s="275">
        <f t="shared" si="4"/>
        <v>75968.259393306304</v>
      </c>
      <c r="NF17" s="26">
        <f t="shared" si="59"/>
        <v>0</v>
      </c>
      <c r="NG17" s="27">
        <f t="shared" si="59"/>
        <v>0</v>
      </c>
      <c r="NH17" s="27">
        <f t="shared" si="59"/>
        <v>0</v>
      </c>
      <c r="NI17" s="27">
        <f t="shared" si="59"/>
        <v>0</v>
      </c>
      <c r="NJ17" s="27">
        <f t="shared" si="59"/>
        <v>0</v>
      </c>
      <c r="NK17" s="33">
        <f t="shared" si="59"/>
        <v>0</v>
      </c>
      <c r="NL17" s="27">
        <f t="shared" si="59"/>
        <v>0</v>
      </c>
      <c r="NM17" s="36">
        <f t="shared" si="59"/>
        <v>0</v>
      </c>
      <c r="NN17" s="24">
        <f t="shared" si="59"/>
        <v>13329.680566563144</v>
      </c>
      <c r="NO17" s="27">
        <f t="shared" si="59"/>
        <v>26196.69549600617</v>
      </c>
      <c r="NP17" s="24">
        <f t="shared" si="108"/>
        <v>8756.5482322711578</v>
      </c>
      <c r="NQ17" s="24">
        <f t="shared" si="112"/>
        <v>26711.164118033412</v>
      </c>
      <c r="NR17" s="27">
        <f t="shared" si="0"/>
        <v>74994.088412873883</v>
      </c>
      <c r="NS17" s="27">
        <f t="shared" si="60"/>
        <v>0</v>
      </c>
      <c r="NT17" s="27">
        <f t="shared" si="60"/>
        <v>0</v>
      </c>
      <c r="NU17" s="27">
        <f t="shared" si="60"/>
        <v>0</v>
      </c>
      <c r="NV17" s="27">
        <f t="shared" si="60"/>
        <v>0</v>
      </c>
      <c r="NW17" s="27">
        <f t="shared" si="60"/>
        <v>0</v>
      </c>
      <c r="NX17" s="27">
        <f t="shared" si="60"/>
        <v>0</v>
      </c>
      <c r="NY17" s="27">
        <f t="shared" si="60"/>
        <v>6970.6036022929129</v>
      </c>
      <c r="NZ17" s="27">
        <f t="shared" si="60"/>
        <v>0</v>
      </c>
      <c r="OA17" s="27">
        <f t="shared" si="60"/>
        <v>19638.758066782833</v>
      </c>
      <c r="OB17" s="280"/>
      <c r="OC17" s="24">
        <f t="shared" si="61"/>
        <v>349.54339982995594</v>
      </c>
      <c r="OD17" s="27">
        <f t="shared" si="61"/>
        <v>0</v>
      </c>
      <c r="OE17" s="28">
        <f t="shared" si="1"/>
        <v>26958.905068905704</v>
      </c>
      <c r="OF17" s="27">
        <f t="shared" si="62"/>
        <v>0</v>
      </c>
      <c r="OG17" s="27">
        <f t="shared" si="62"/>
        <v>0</v>
      </c>
      <c r="OH17" s="27">
        <f t="shared" si="62"/>
        <v>0</v>
      </c>
      <c r="OI17" s="27">
        <f t="shared" si="62"/>
        <v>0</v>
      </c>
      <c r="OJ17" s="27">
        <f t="shared" si="62"/>
        <v>0</v>
      </c>
      <c r="OK17" s="27">
        <f t="shared" si="62"/>
        <v>0</v>
      </c>
      <c r="OL17" s="24">
        <f t="shared" si="62"/>
        <v>0</v>
      </c>
      <c r="OM17" s="27">
        <f t="shared" si="62"/>
        <v>0</v>
      </c>
      <c r="ON17" s="24">
        <f t="shared" si="62"/>
        <v>12934.376218026508</v>
      </c>
      <c r="OO17" s="27">
        <f t="shared" si="62"/>
        <v>0</v>
      </c>
      <c r="OP17" s="27">
        <f t="shared" si="62"/>
        <v>2468.6641098141272</v>
      </c>
      <c r="OQ17" s="27">
        <f t="shared" si="62"/>
        <v>0</v>
      </c>
      <c r="OR17" s="28">
        <f t="shared" si="2"/>
        <v>15403.040327840634</v>
      </c>
      <c r="OS17" s="36"/>
      <c r="OT17" s="27"/>
      <c r="OU17" s="27"/>
      <c r="OV17" s="27"/>
      <c r="OW17" s="27"/>
      <c r="OX17" s="27"/>
      <c r="OY17" s="28">
        <f t="shared" si="63"/>
        <v>0</v>
      </c>
      <c r="OZ17" s="36">
        <f t="shared" si="113"/>
        <v>0</v>
      </c>
      <c r="PA17" s="27">
        <f t="shared" si="114"/>
        <v>0</v>
      </c>
      <c r="PB17" s="27">
        <f t="shared" si="115"/>
        <v>0</v>
      </c>
      <c r="PC17" s="27">
        <f t="shared" si="116"/>
        <v>0</v>
      </c>
      <c r="PD17" s="27">
        <f t="shared" si="117"/>
        <v>0</v>
      </c>
      <c r="PE17" s="27">
        <f t="shared" si="118"/>
        <v>0</v>
      </c>
      <c r="PF17" s="33">
        <f t="shared" si="3"/>
        <v>0</v>
      </c>
      <c r="PG17" s="2621"/>
      <c r="PI17" s="1907">
        <v>516.48</v>
      </c>
      <c r="PJ17" s="3"/>
      <c r="PK17" s="3"/>
      <c r="PL17" s="3">
        <f t="shared" si="70"/>
        <v>0</v>
      </c>
      <c r="PM17" s="3">
        <f t="shared" si="71"/>
        <v>14191.648459344186</v>
      </c>
      <c r="PN17" s="11">
        <f t="shared" si="72"/>
        <v>19727.226980961226</v>
      </c>
      <c r="PO17" s="15"/>
      <c r="PP17" s="2615"/>
      <c r="PR17" s="4"/>
      <c r="PS17" s="9"/>
      <c r="PT17" s="9"/>
      <c r="PU17" s="9"/>
      <c r="PV17" s="9">
        <v>0</v>
      </c>
      <c r="PW17" s="9"/>
      <c r="PX17" s="8">
        <f t="shared" si="73"/>
        <v>0</v>
      </c>
      <c r="PY17" s="5">
        <f t="shared" si="74"/>
        <v>516.48</v>
      </c>
      <c r="PZ17" s="5"/>
      <c r="QA17" s="5"/>
      <c r="QB17" s="5"/>
      <c r="QC17" s="5"/>
      <c r="QD17" s="5"/>
      <c r="QE17" s="12">
        <f t="shared" si="75"/>
        <v>29562.488999999998</v>
      </c>
      <c r="QF17" s="420">
        <f t="shared" si="76"/>
        <v>399636.36955851008</v>
      </c>
      <c r="QG17" s="1106">
        <f t="shared" si="77"/>
        <v>494.41999999999996</v>
      </c>
      <c r="QH17" s="484">
        <f t="shared" si="78"/>
        <v>5505.3678056099998</v>
      </c>
      <c r="QI17" s="12"/>
      <c r="QJ17" s="2615"/>
      <c r="QL17" s="139">
        <f t="shared" si="79"/>
        <v>0</v>
      </c>
      <c r="QM17" s="139" t="str">
        <f t="shared" si="80"/>
        <v/>
      </c>
      <c r="QO17" s="139">
        <f t="shared" si="81"/>
        <v>0</v>
      </c>
      <c r="QP17" s="139">
        <f t="shared" si="82"/>
        <v>0</v>
      </c>
      <c r="QR17" s="1">
        <f t="shared" si="83"/>
        <v>0</v>
      </c>
      <c r="QS17" s="1">
        <f t="shared" si="84"/>
        <v>0</v>
      </c>
      <c r="QT17" s="1">
        <f t="shared" si="85"/>
        <v>0</v>
      </c>
      <c r="QU17" s="1">
        <f t="shared" si="86"/>
        <v>0</v>
      </c>
      <c r="QV17" s="1">
        <f t="shared" si="87"/>
        <v>0</v>
      </c>
      <c r="QW17" s="1">
        <f t="shared" si="88"/>
        <v>0</v>
      </c>
      <c r="QY17" s="1">
        <f t="shared" si="89"/>
        <v>0</v>
      </c>
      <c r="QZ17" s="1">
        <f t="shared" si="90"/>
        <v>0</v>
      </c>
      <c r="RA17" s="1">
        <f t="shared" si="91"/>
        <v>0</v>
      </c>
      <c r="RB17" s="1">
        <f t="shared" si="92"/>
        <v>0</v>
      </c>
      <c r="RC17" s="1">
        <f t="shared" si="93"/>
        <v>0</v>
      </c>
      <c r="RD17" s="1">
        <f t="shared" si="94"/>
        <v>0</v>
      </c>
      <c r="RG17" s="1">
        <v>8</v>
      </c>
      <c r="RH17" s="1">
        <f t="shared" si="95"/>
        <v>50294.027751083158</v>
      </c>
      <c r="RI17" s="1">
        <f t="shared" si="95"/>
        <v>4589.1675498622799</v>
      </c>
      <c r="RJ17" s="1">
        <f t="shared" si="95"/>
        <v>9178.5689913333827</v>
      </c>
      <c r="RK17" s="89">
        <f t="shared" si="5"/>
        <v>64061.764292278822</v>
      </c>
      <c r="RL17" s="1033">
        <v>8</v>
      </c>
      <c r="RM17" s="1098">
        <f t="shared" si="96"/>
        <v>0</v>
      </c>
      <c r="RN17" s="1098">
        <f t="shared" si="97"/>
        <v>0</v>
      </c>
      <c r="RO17" s="1097">
        <f t="shared" si="97"/>
        <v>0</v>
      </c>
      <c r="RP17" s="1097">
        <f t="shared" si="98"/>
        <v>4652.8999999999996</v>
      </c>
      <c r="RQ17" s="1096"/>
      <c r="RR17" s="1050" t="s">
        <v>883</v>
      </c>
      <c r="RS17" s="1048"/>
      <c r="RU17" s="421">
        <v>8</v>
      </c>
      <c r="RV17" s="1095">
        <f t="shared" si="99"/>
        <v>6569.5900000000011</v>
      </c>
      <c r="RW17" s="1119" t="s">
        <v>884</v>
      </c>
      <c r="RX17" s="1048"/>
      <c r="RY17" s="1090"/>
      <c r="RZ17" s="1090">
        <f t="shared" si="100"/>
        <v>0</v>
      </c>
      <c r="SA17" s="1090"/>
      <c r="SB17" s="1090">
        <f t="shared" si="101"/>
        <v>0</v>
      </c>
      <c r="SD17" s="1">
        <v>8</v>
      </c>
      <c r="SE17" s="1">
        <f t="shared" si="102"/>
        <v>0</v>
      </c>
    </row>
    <row r="18" spans="1:500" s="1" customFormat="1">
      <c r="B18" s="471">
        <v>9</v>
      </c>
      <c r="C18" s="4">
        <f t="shared" si="6"/>
        <v>126680</v>
      </c>
      <c r="D18" s="1590">
        <f t="shared" si="119"/>
        <v>6170.52</v>
      </c>
      <c r="E18" s="1895">
        <f t="shared" si="7"/>
        <v>20.529874305569059</v>
      </c>
      <c r="F18" s="870"/>
      <c r="G18" s="870"/>
      <c r="H18" s="52">
        <v>12</v>
      </c>
      <c r="I18" s="61">
        <v>5.58</v>
      </c>
      <c r="J18" s="52"/>
      <c r="K18" s="54"/>
      <c r="L18" s="52">
        <v>2.33</v>
      </c>
      <c r="M18" s="61">
        <v>6.14</v>
      </c>
      <c r="N18" s="2629"/>
      <c r="O18" s="4">
        <f t="shared" si="104"/>
        <v>70896</v>
      </c>
      <c r="P18" s="1225">
        <f t="shared" si="8"/>
        <v>3858.98</v>
      </c>
      <c r="Q18" s="1952">
        <f t="shared" si="9"/>
        <v>18.371694074600025</v>
      </c>
      <c r="R18" s="33"/>
      <c r="S18" s="26">
        <f t="shared" si="10"/>
        <v>23417</v>
      </c>
      <c r="T18" s="27">
        <f t="shared" si="11"/>
        <v>251.53999999999996</v>
      </c>
      <c r="U18" s="1909">
        <f t="shared" si="12"/>
        <v>93.094537648087794</v>
      </c>
      <c r="V18" s="15"/>
      <c r="W18" s="1742">
        <f t="shared" si="13"/>
        <v>32367</v>
      </c>
      <c r="X18" s="1918">
        <f t="shared" si="13"/>
        <v>2060</v>
      </c>
      <c r="Y18" s="1738">
        <f t="shared" si="14"/>
        <v>15.712135922330097</v>
      </c>
      <c r="Z18" s="33"/>
      <c r="AA18" s="26">
        <f t="shared" si="15"/>
        <v>0</v>
      </c>
      <c r="AB18" s="27">
        <f t="shared" si="16"/>
        <v>0</v>
      </c>
      <c r="AC18" s="53">
        <f t="shared" si="17"/>
        <v>0</v>
      </c>
      <c r="AD18" s="28"/>
      <c r="AE18" s="36"/>
      <c r="AF18" s="36"/>
      <c r="AG18" s="53">
        <f t="shared" si="18"/>
        <v>0</v>
      </c>
      <c r="AH18" s="28"/>
      <c r="AI18" s="23"/>
      <c r="AJ18" s="27"/>
      <c r="AK18" s="53">
        <f t="shared" si="19"/>
        <v>0</v>
      </c>
      <c r="AL18" s="28"/>
      <c r="AM18" s="2629"/>
      <c r="AN18" s="9"/>
      <c r="AO18" s="5"/>
      <c r="AP18" s="61">
        <f t="shared" si="20"/>
        <v>0</v>
      </c>
      <c r="AQ18" s="36"/>
      <c r="AR18" s="53"/>
      <c r="AS18" s="61">
        <f t="shared" si="21"/>
        <v>0</v>
      </c>
      <c r="AT18" s="36">
        <v>0</v>
      </c>
      <c r="AU18" s="27"/>
      <c r="AV18" s="54">
        <f t="shared" si="22"/>
        <v>0</v>
      </c>
      <c r="AW18" s="26">
        <v>44226</v>
      </c>
      <c r="AX18" s="27">
        <v>1795.98</v>
      </c>
      <c r="AY18" s="1735">
        <v>24.624995824006948</v>
      </c>
      <c r="AZ18" s="36"/>
      <c r="BA18" s="27"/>
      <c r="BB18" s="61">
        <v>0</v>
      </c>
      <c r="BC18" s="1740">
        <v>26670</v>
      </c>
      <c r="BD18" s="1736">
        <v>2063</v>
      </c>
      <c r="BE18" s="1735">
        <v>12.927775084827921</v>
      </c>
      <c r="BF18" s="36"/>
      <c r="BG18" s="53"/>
      <c r="BH18" s="61">
        <v>0</v>
      </c>
      <c r="BI18" s="36">
        <v>0</v>
      </c>
      <c r="BJ18" s="53">
        <v>0</v>
      </c>
      <c r="BK18" s="61">
        <v>0</v>
      </c>
      <c r="BL18" s="1742">
        <v>23417</v>
      </c>
      <c r="BM18" s="1927">
        <v>251.53999999999996</v>
      </c>
      <c r="BN18" s="1920">
        <v>93.094537648087794</v>
      </c>
      <c r="BO18" s="9"/>
      <c r="BP18" s="64"/>
      <c r="BQ18" s="482">
        <v>0</v>
      </c>
      <c r="BR18" s="9"/>
      <c r="BS18" s="53"/>
      <c r="BT18" s="482">
        <v>0</v>
      </c>
      <c r="BU18" s="9">
        <v>32367</v>
      </c>
      <c r="BV18" s="27">
        <v>2060</v>
      </c>
      <c r="BW18" s="1051">
        <v>15.712135922330097</v>
      </c>
      <c r="BX18" s="26"/>
      <c r="BY18" s="27"/>
      <c r="BZ18" s="869">
        <f t="shared" si="23"/>
        <v>0</v>
      </c>
      <c r="CA18" s="9"/>
      <c r="CB18" s="481"/>
      <c r="CC18" s="482">
        <f t="shared" si="24"/>
        <v>0</v>
      </c>
      <c r="CD18" s="4"/>
      <c r="CE18" s="5"/>
      <c r="CF18" s="28">
        <f t="shared" si="25"/>
        <v>0</v>
      </c>
      <c r="CG18" s="150"/>
      <c r="CH18" s="4">
        <v>0</v>
      </c>
      <c r="CI18" s="5">
        <v>0</v>
      </c>
      <c r="CJ18" s="5"/>
      <c r="CK18" s="5"/>
      <c r="CL18" s="5"/>
      <c r="CM18" s="5">
        <f t="shared" si="26"/>
        <v>0</v>
      </c>
      <c r="CN18" s="33"/>
      <c r="CO18" s="366"/>
      <c r="CQ18" s="4">
        <f t="shared" si="27"/>
        <v>0</v>
      </c>
      <c r="CR18" s="9">
        <f t="shared" si="27"/>
        <v>0</v>
      </c>
      <c r="CS18" s="5">
        <f t="shared" si="27"/>
        <v>0</v>
      </c>
      <c r="CT18" s="5">
        <f t="shared" si="27"/>
        <v>0</v>
      </c>
      <c r="CU18" s="5">
        <f t="shared" si="27"/>
        <v>0</v>
      </c>
      <c r="CV18" s="5">
        <f t="shared" si="27"/>
        <v>0</v>
      </c>
      <c r="CW18" s="5">
        <f t="shared" si="27"/>
        <v>472.9</v>
      </c>
      <c r="CX18" s="5">
        <f t="shared" si="27"/>
        <v>0</v>
      </c>
      <c r="CY18" s="5">
        <f t="shared" si="27"/>
        <v>3637.62</v>
      </c>
      <c r="CZ18" s="5">
        <f t="shared" si="27"/>
        <v>0</v>
      </c>
      <c r="DA18" s="5">
        <f t="shared" si="111"/>
        <v>2060</v>
      </c>
      <c r="DB18" s="12">
        <f t="shared" si="111"/>
        <v>0</v>
      </c>
      <c r="DC18" s="310">
        <f t="shared" si="28"/>
        <v>6170.5199999999995</v>
      </c>
      <c r="DD18" s="2695"/>
      <c r="DE18" s="8"/>
      <c r="DF18" s="9"/>
      <c r="DG18" s="5"/>
      <c r="DH18" s="5"/>
      <c r="DI18" s="5"/>
      <c r="DJ18" s="5"/>
      <c r="DK18" s="5">
        <v>472.9</v>
      </c>
      <c r="DL18" s="5"/>
      <c r="DM18" s="5">
        <v>1323.08</v>
      </c>
      <c r="DN18" s="5"/>
      <c r="DO18" s="5"/>
      <c r="DP18" s="12"/>
      <c r="DQ18" s="1906">
        <f t="shared" si="29"/>
        <v>1795.98</v>
      </c>
      <c r="DR18" s="36"/>
      <c r="DS18" s="36"/>
      <c r="DT18" s="27"/>
      <c r="DU18" s="27"/>
      <c r="DV18" s="5"/>
      <c r="DW18" s="5"/>
      <c r="DX18" s="5"/>
      <c r="DY18" s="5"/>
      <c r="DZ18" s="5">
        <v>2314.54</v>
      </c>
      <c r="EA18" s="53"/>
      <c r="EB18" s="27">
        <v>0</v>
      </c>
      <c r="EC18" s="33"/>
      <c r="ED18" s="28">
        <f t="shared" si="30"/>
        <v>2314.54</v>
      </c>
      <c r="EE18" s="9"/>
      <c r="EF18" s="36"/>
      <c r="EG18" s="5"/>
      <c r="EH18" s="313"/>
      <c r="EI18" s="27"/>
      <c r="EJ18" s="27"/>
      <c r="EK18" s="27"/>
      <c r="EL18" s="27"/>
      <c r="EM18" s="5"/>
      <c r="EN18" s="5"/>
      <c r="EO18" s="1448">
        <v>2060</v>
      </c>
      <c r="EP18" s="33"/>
      <c r="EQ18" s="28">
        <f t="shared" si="31"/>
        <v>2060</v>
      </c>
      <c r="ER18" s="36"/>
      <c r="ES18" s="27"/>
      <c r="ET18" s="27"/>
      <c r="EU18" s="27"/>
      <c r="EV18" s="27"/>
      <c r="EW18" s="27"/>
      <c r="EX18" s="33">
        <f t="shared" si="32"/>
        <v>0</v>
      </c>
      <c r="EY18" s="2685"/>
      <c r="FA18" s="4">
        <f t="shared" si="33"/>
        <v>0</v>
      </c>
      <c r="FB18" s="5">
        <f t="shared" si="34"/>
        <v>0</v>
      </c>
      <c r="FC18" s="5">
        <f t="shared" si="35"/>
        <v>0</v>
      </c>
      <c r="FD18" s="12">
        <f t="shared" si="36"/>
        <v>0</v>
      </c>
      <c r="FE18" s="33"/>
      <c r="FF18" s="2674"/>
      <c r="FG18" s="9"/>
      <c r="FH18" s="5"/>
      <c r="FI18" s="5"/>
      <c r="FJ18" s="5"/>
      <c r="FK18" s="5"/>
      <c r="FL18" s="27"/>
      <c r="FM18" s="28">
        <f t="shared" si="37"/>
        <v>0</v>
      </c>
      <c r="FN18" s="36"/>
      <c r="FO18" s="27"/>
      <c r="FP18" s="27"/>
      <c r="FQ18" s="27"/>
      <c r="FR18" s="27"/>
      <c r="FS18" s="27"/>
      <c r="FT18" s="28">
        <f t="shared" si="38"/>
        <v>0</v>
      </c>
      <c r="FU18" s="36"/>
      <c r="FV18" s="36"/>
      <c r="FW18" s="27"/>
      <c r="FX18" s="27"/>
      <c r="FY18" s="27"/>
      <c r="FZ18" s="27"/>
      <c r="GA18" s="27"/>
      <c r="GB18" s="27"/>
      <c r="GC18" s="27"/>
      <c r="GD18" s="27"/>
      <c r="GE18" s="27"/>
      <c r="GF18" s="33"/>
      <c r="GG18" s="33">
        <f t="shared" si="39"/>
        <v>0</v>
      </c>
      <c r="GH18" s="2674"/>
      <c r="GJ18" s="2">
        <f t="shared" si="105"/>
        <v>0</v>
      </c>
      <c r="GK18" s="63">
        <f t="shared" si="106"/>
        <v>3198.9</v>
      </c>
      <c r="GL18" s="24">
        <f t="shared" si="107"/>
        <v>2849</v>
      </c>
      <c r="GM18" s="1736">
        <f t="shared" si="40"/>
        <v>6047.9</v>
      </c>
      <c r="GN18" s="141"/>
      <c r="GO18" s="141"/>
      <c r="GP18" s="33"/>
      <c r="GQ18" s="2667"/>
      <c r="GR18" s="1940">
        <v>6047.9</v>
      </c>
      <c r="GS18" s="1590">
        <v>0</v>
      </c>
      <c r="GT18" s="1590">
        <v>0</v>
      </c>
      <c r="GU18" s="1736">
        <v>0</v>
      </c>
      <c r="GV18" s="54">
        <f t="shared" si="41"/>
        <v>6047.9</v>
      </c>
      <c r="GW18" s="2667"/>
      <c r="GX18" s="36"/>
      <c r="GY18" s="36"/>
      <c r="GZ18" s="27"/>
      <c r="HA18" s="27"/>
      <c r="HB18" s="27"/>
      <c r="HC18" s="27"/>
      <c r="HD18" s="27"/>
      <c r="HE18" s="27"/>
      <c r="HF18" s="27">
        <v>0</v>
      </c>
      <c r="HG18" s="27"/>
      <c r="HH18" s="27">
        <v>0</v>
      </c>
      <c r="HI18" s="27"/>
      <c r="HJ18" s="27">
        <v>0</v>
      </c>
      <c r="HK18" s="27"/>
      <c r="HL18" s="28">
        <f t="shared" ref="HL18:HL42" si="120">SUM(GX18:HK18)</f>
        <v>0</v>
      </c>
      <c r="HM18" s="36"/>
      <c r="HN18" s="27"/>
      <c r="HO18" s="27"/>
      <c r="HP18" s="27"/>
      <c r="HQ18" s="27"/>
      <c r="HR18" s="27"/>
      <c r="HS18" s="27" cm="1">
        <f t="array" ref="HS18">SUMPRODUCT(('Data Base hauling'!$C$2:$C$216="TCM-ROM SB1 BK05-ROM 4")*(ISNUMBER(SEARCH(TEXT('April TCM'!$B18,"00")&amp;"/03/2026",'Data Base hauling'!$E$2:$E$216)))*'Data Base hauling'!$N$2:$N$216)</f>
        <v>0</v>
      </c>
      <c r="HT18" s="27"/>
      <c r="HU18" s="27" cm="1">
        <f t="array" ref="HU18">SUMPRODUCT(('Data Base hauling'!$C$2:$C$216="TCM-ROM SB1 BK05-ROM 5")*(ISNUMBER(SEARCH(TEXT('April TCM'!$B18,"00")&amp;"/03/2026",'Data Base hauling'!$E$2:$E$216)))*'Data Base hauling'!$N$2:$N$216)</f>
        <v>0</v>
      </c>
      <c r="HV18" s="27"/>
      <c r="HW18" s="27"/>
      <c r="HX18" s="27"/>
      <c r="HY18" s="27"/>
      <c r="HZ18" s="27"/>
      <c r="IA18" s="33">
        <f t="shared" si="43"/>
        <v>0</v>
      </c>
      <c r="IB18" s="52"/>
      <c r="IC18" s="152"/>
      <c r="ID18" s="53"/>
      <c r="IE18" s="53"/>
      <c r="IF18" s="53"/>
      <c r="IG18" s="53"/>
      <c r="IH18" s="53">
        <v>0</v>
      </c>
      <c r="II18" s="53"/>
      <c r="IJ18" s="1736">
        <v>3198.9</v>
      </c>
      <c r="IK18" s="53"/>
      <c r="IL18" s="53">
        <v>0</v>
      </c>
      <c r="IM18" s="53"/>
      <c r="IN18" s="53"/>
      <c r="IO18" s="49">
        <v>0</v>
      </c>
      <c r="IP18" s="61">
        <f t="shared" ref="IP18:IP40" si="121">SUM(IB18:IO18)</f>
        <v>3198.9</v>
      </c>
      <c r="IQ18" s="36"/>
      <c r="IR18" s="36"/>
      <c r="IS18" s="27"/>
      <c r="IT18" s="27"/>
      <c r="IU18" s="53"/>
      <c r="IV18" s="27"/>
      <c r="IW18" s="53">
        <v>0</v>
      </c>
      <c r="IX18" s="27"/>
      <c r="IY18" s="27">
        <v>2849</v>
      </c>
      <c r="IZ18" s="27"/>
      <c r="JA18" s="27">
        <v>0</v>
      </c>
      <c r="JB18" s="27"/>
      <c r="JC18" s="27"/>
      <c r="JD18" s="27"/>
      <c r="JE18" s="33">
        <f t="shared" ref="JE18:JE40" si="122">SUM(IQ18:JD18)</f>
        <v>2849</v>
      </c>
      <c r="JF18" s="2667"/>
      <c r="JH18" s="2019">
        <v>6047.9</v>
      </c>
      <c r="JI18" s="2017">
        <v>0</v>
      </c>
      <c r="JJ18" s="53"/>
      <c r="JK18" s="1736">
        <f t="shared" si="46"/>
        <v>6047.9</v>
      </c>
      <c r="JL18" s="33"/>
      <c r="JM18" s="2669"/>
      <c r="JN18" s="69">
        <v>0</v>
      </c>
      <c r="JO18" s="70">
        <v>0</v>
      </c>
      <c r="JP18" s="70">
        <v>0</v>
      </c>
      <c r="JQ18" s="850">
        <v>0</v>
      </c>
      <c r="JR18" s="850">
        <v>1</v>
      </c>
      <c r="JS18" s="850">
        <v>0</v>
      </c>
      <c r="JT18" s="70">
        <v>0</v>
      </c>
      <c r="JU18" s="1922">
        <v>0</v>
      </c>
      <c r="JV18" s="69" t="s">
        <v>296</v>
      </c>
      <c r="JW18" s="70" t="s">
        <v>296</v>
      </c>
      <c r="JX18" s="70" t="s">
        <v>296</v>
      </c>
      <c r="JY18" s="70" t="s">
        <v>296</v>
      </c>
      <c r="JZ18" s="70" t="s">
        <v>296</v>
      </c>
      <c r="KA18" s="70" t="s">
        <v>296</v>
      </c>
      <c r="KB18" s="70" t="s">
        <v>296</v>
      </c>
      <c r="KC18" s="71" t="s">
        <v>296</v>
      </c>
      <c r="KD18" s="69"/>
      <c r="KE18" s="70"/>
      <c r="KF18" s="70"/>
      <c r="KG18" s="70"/>
      <c r="KH18" s="70"/>
      <c r="KI18" s="70"/>
      <c r="KJ18" s="70"/>
      <c r="KK18" s="70"/>
      <c r="KL18" s="33"/>
      <c r="KM18" s="2669"/>
      <c r="KN18" s="1739">
        <v>0</v>
      </c>
      <c r="KO18" s="1721">
        <v>0</v>
      </c>
      <c r="KP18" s="1721">
        <v>0</v>
      </c>
      <c r="KQ18" s="1721">
        <v>0</v>
      </c>
      <c r="KR18" s="1722">
        <v>0</v>
      </c>
      <c r="KS18" s="1958">
        <v>0</v>
      </c>
      <c r="KT18" s="1961">
        <v>0</v>
      </c>
      <c r="KU18" s="1961">
        <v>0</v>
      </c>
      <c r="KV18" s="1961">
        <v>0</v>
      </c>
      <c r="KW18" s="1962">
        <v>0</v>
      </c>
      <c r="KX18" s="36"/>
      <c r="KY18" s="53"/>
      <c r="KZ18" s="53"/>
      <c r="LA18" s="53"/>
      <c r="LB18" s="53"/>
      <c r="LC18" s="33"/>
      <c r="LD18" s="2669"/>
      <c r="LF18" s="26">
        <f t="shared" si="47"/>
        <v>15687.256000000001</v>
      </c>
      <c r="LG18" s="27">
        <f t="shared" si="47"/>
        <v>3921.8140000000003</v>
      </c>
      <c r="LH18" s="27">
        <f t="shared" si="47"/>
        <v>0</v>
      </c>
      <c r="LI18" s="28">
        <f t="shared" si="48"/>
        <v>19609.07</v>
      </c>
      <c r="LJ18" s="36">
        <v>2</v>
      </c>
      <c r="LK18" s="27"/>
      <c r="LL18" s="27">
        <v>1</v>
      </c>
      <c r="LM18" s="33"/>
      <c r="LN18" s="1041">
        <v>6.54</v>
      </c>
      <c r="LO18" s="486"/>
      <c r="LP18" s="2688"/>
      <c r="LQ18" s="21">
        <v>15687.256000000001</v>
      </c>
      <c r="LR18" s="27">
        <v>3921.8140000000003</v>
      </c>
      <c r="LS18" s="27"/>
      <c r="LT18" s="27"/>
      <c r="LU18" s="27"/>
      <c r="LV18" s="1117">
        <f t="shared" si="49"/>
        <v>19609.07</v>
      </c>
      <c r="LW18" s="36"/>
      <c r="LX18" s="36"/>
      <c r="LY18" s="27"/>
      <c r="LZ18" s="27"/>
      <c r="MA18" s="33"/>
      <c r="MB18" s="28">
        <f t="shared" si="50"/>
        <v>0</v>
      </c>
      <c r="MC18" s="26"/>
      <c r="MD18" s="36"/>
      <c r="ME18" s="27"/>
      <c r="MF18" s="27"/>
      <c r="MG18" s="27"/>
      <c r="MH18" s="28"/>
      <c r="MI18" s="36"/>
      <c r="MJ18" s="36"/>
      <c r="MK18" s="27"/>
      <c r="ML18" s="27"/>
      <c r="MM18" s="27"/>
      <c r="MN18" s="28"/>
      <c r="MO18" s="36"/>
      <c r="MP18" s="36"/>
      <c r="MQ18" s="27"/>
      <c r="MR18" s="27"/>
      <c r="MS18" s="27"/>
      <c r="MT18" s="33">
        <f t="shared" si="51"/>
        <v>0</v>
      </c>
      <c r="MU18" s="2688"/>
      <c r="MW18" s="26">
        <f t="shared" si="52"/>
        <v>62407.089393306298</v>
      </c>
      <c r="MX18" s="27">
        <f t="shared" si="53"/>
        <v>117478.65380962021</v>
      </c>
      <c r="MY18" s="27">
        <f t="shared" si="54"/>
        <v>19727.226980961226</v>
      </c>
      <c r="MZ18" s="28">
        <f t="shared" si="55"/>
        <v>429693.27855851006</v>
      </c>
      <c r="NA18" s="2621"/>
      <c r="NB18" s="23">
        <f t="shared" si="56"/>
        <v>13031.553361311264</v>
      </c>
      <c r="NC18" s="1579">
        <f t="shared" si="57"/>
        <v>49375.536031995034</v>
      </c>
      <c r="ND18" s="60">
        <f t="shared" si="58"/>
        <v>0</v>
      </c>
      <c r="NE18" s="1110">
        <f t="shared" si="4"/>
        <v>62407.089393306298</v>
      </c>
      <c r="NF18" s="26">
        <f t="shared" si="59"/>
        <v>0</v>
      </c>
      <c r="NG18" s="27">
        <f t="shared" si="59"/>
        <v>0</v>
      </c>
      <c r="NH18" s="27">
        <f t="shared" si="59"/>
        <v>0</v>
      </c>
      <c r="NI18" s="27">
        <f t="shared" si="59"/>
        <v>0</v>
      </c>
      <c r="NJ18" s="27">
        <f t="shared" si="59"/>
        <v>0</v>
      </c>
      <c r="NK18" s="33">
        <f t="shared" si="59"/>
        <v>0</v>
      </c>
      <c r="NL18" s="27">
        <f t="shared" si="59"/>
        <v>0</v>
      </c>
      <c r="NM18" s="36">
        <f t="shared" si="59"/>
        <v>0</v>
      </c>
      <c r="NN18" s="24">
        <f t="shared" si="59"/>
        <v>13329.680566563144</v>
      </c>
      <c r="NO18" s="27">
        <f t="shared" si="59"/>
        <v>26196.69549600617</v>
      </c>
      <c r="NP18" s="24">
        <f t="shared" si="108"/>
        <v>8756.5482322711578</v>
      </c>
      <c r="NQ18" s="24">
        <f t="shared" si="112"/>
        <v>28771.164118033412</v>
      </c>
      <c r="NR18" s="27">
        <f t="shared" si="0"/>
        <v>77054.088412873883</v>
      </c>
      <c r="NS18" s="27">
        <f t="shared" si="60"/>
        <v>0</v>
      </c>
      <c r="NT18" s="27">
        <f t="shared" si="60"/>
        <v>0</v>
      </c>
      <c r="NU18" s="27">
        <f t="shared" si="60"/>
        <v>0</v>
      </c>
      <c r="NV18" s="27">
        <f t="shared" si="60"/>
        <v>0</v>
      </c>
      <c r="NW18" s="27">
        <f t="shared" si="60"/>
        <v>0</v>
      </c>
      <c r="NX18" s="27">
        <f t="shared" si="60"/>
        <v>0</v>
      </c>
      <c r="NY18" s="27">
        <f t="shared" si="60"/>
        <v>7443.5036022929125</v>
      </c>
      <c r="NZ18" s="27">
        <f t="shared" si="60"/>
        <v>0</v>
      </c>
      <c r="OA18" s="27">
        <f t="shared" si="60"/>
        <v>17762.93806678283</v>
      </c>
      <c r="OB18" s="280"/>
      <c r="OC18" s="24">
        <f t="shared" si="61"/>
        <v>349.54339982995594</v>
      </c>
      <c r="OD18" s="27">
        <f t="shared" si="61"/>
        <v>0</v>
      </c>
      <c r="OE18" s="28">
        <f t="shared" si="1"/>
        <v>25555.985068905698</v>
      </c>
      <c r="OF18" s="27">
        <f t="shared" si="62"/>
        <v>0</v>
      </c>
      <c r="OG18" s="27">
        <f t="shared" si="62"/>
        <v>0</v>
      </c>
      <c r="OH18" s="27">
        <f t="shared" si="62"/>
        <v>0</v>
      </c>
      <c r="OI18" s="27">
        <f t="shared" si="62"/>
        <v>0</v>
      </c>
      <c r="OJ18" s="27">
        <f t="shared" si="62"/>
        <v>0</v>
      </c>
      <c r="OK18" s="27">
        <f t="shared" si="62"/>
        <v>0</v>
      </c>
      <c r="OL18" s="24">
        <f t="shared" si="62"/>
        <v>0</v>
      </c>
      <c r="OM18" s="27">
        <f t="shared" si="62"/>
        <v>0</v>
      </c>
      <c r="ON18" s="24">
        <f t="shared" si="62"/>
        <v>12399.916218026508</v>
      </c>
      <c r="OO18" s="27">
        <f t="shared" si="62"/>
        <v>0</v>
      </c>
      <c r="OP18" s="27">
        <f t="shared" si="62"/>
        <v>2468.6641098141272</v>
      </c>
      <c r="OQ18" s="27">
        <f t="shared" si="62"/>
        <v>0</v>
      </c>
      <c r="OR18" s="28">
        <f t="shared" si="2"/>
        <v>14868.580327840635</v>
      </c>
      <c r="OS18" s="36"/>
      <c r="OT18" s="27"/>
      <c r="OU18" s="27"/>
      <c r="OV18" s="27"/>
      <c r="OW18" s="27"/>
      <c r="OX18" s="27"/>
      <c r="OY18" s="28">
        <f t="shared" si="63"/>
        <v>0</v>
      </c>
      <c r="OZ18" s="36">
        <f t="shared" si="113"/>
        <v>0</v>
      </c>
      <c r="PA18" s="27">
        <f t="shared" si="114"/>
        <v>0</v>
      </c>
      <c r="PB18" s="27">
        <f t="shared" si="115"/>
        <v>0</v>
      </c>
      <c r="PC18" s="27">
        <f t="shared" si="116"/>
        <v>0</v>
      </c>
      <c r="PD18" s="27">
        <f t="shared" si="117"/>
        <v>0</v>
      </c>
      <c r="PE18" s="27">
        <f t="shared" si="118"/>
        <v>0</v>
      </c>
      <c r="PF18" s="33">
        <f t="shared" si="3"/>
        <v>0</v>
      </c>
      <c r="PG18" s="2621"/>
      <c r="PI18" s="1907">
        <v>0</v>
      </c>
      <c r="PJ18" s="3"/>
      <c r="PK18" s="3"/>
      <c r="PL18" s="3">
        <f t="shared" si="70"/>
        <v>0</v>
      </c>
      <c r="PM18" s="3">
        <f t="shared" si="71"/>
        <v>14191.648459344186</v>
      </c>
      <c r="PN18" s="11">
        <f t="shared" si="72"/>
        <v>19727.226980961226</v>
      </c>
      <c r="PO18" s="15"/>
      <c r="PP18" s="2615"/>
      <c r="PR18" s="4"/>
      <c r="PS18" s="9"/>
      <c r="PT18" s="9"/>
      <c r="PU18" s="9"/>
      <c r="PV18" s="9">
        <v>0</v>
      </c>
      <c r="PW18" s="9"/>
      <c r="PX18" s="8">
        <f t="shared" si="73"/>
        <v>0</v>
      </c>
      <c r="PY18" s="5">
        <f t="shared" si="74"/>
        <v>0</v>
      </c>
      <c r="PZ18" s="5"/>
      <c r="QA18" s="5"/>
      <c r="QB18" s="5"/>
      <c r="QC18" s="5"/>
      <c r="QD18" s="5"/>
      <c r="QE18" s="12">
        <f t="shared" si="75"/>
        <v>29562.488999999998</v>
      </c>
      <c r="QF18" s="420">
        <f t="shared" si="76"/>
        <v>399636.36955851008</v>
      </c>
      <c r="QG18" s="1106">
        <f t="shared" si="77"/>
        <v>494.41999999999996</v>
      </c>
      <c r="QH18" s="484">
        <f t="shared" si="78"/>
        <v>5505.3678056099998</v>
      </c>
      <c r="QI18" s="12"/>
      <c r="QJ18" s="2615"/>
      <c r="QL18" s="139">
        <f t="shared" si="79"/>
        <v>0</v>
      </c>
      <c r="QM18" s="139" t="str">
        <f t="shared" si="80"/>
        <v/>
      </c>
      <c r="QO18" s="139">
        <f t="shared" si="81"/>
        <v>0</v>
      </c>
      <c r="QP18" s="139">
        <f t="shared" si="82"/>
        <v>0</v>
      </c>
      <c r="QR18" s="1">
        <f t="shared" si="83"/>
        <v>0</v>
      </c>
      <c r="QS18" s="1">
        <f t="shared" si="84"/>
        <v>0</v>
      </c>
      <c r="QT18" s="1">
        <f t="shared" si="85"/>
        <v>0</v>
      </c>
      <c r="QU18" s="1">
        <f t="shared" si="86"/>
        <v>0</v>
      </c>
      <c r="QV18" s="1">
        <f t="shared" si="87"/>
        <v>0</v>
      </c>
      <c r="QW18" s="1">
        <f t="shared" si="88"/>
        <v>0</v>
      </c>
      <c r="QY18" s="1">
        <f t="shared" si="89"/>
        <v>0</v>
      </c>
      <c r="QZ18" s="1">
        <f t="shared" si="90"/>
        <v>0</v>
      </c>
      <c r="RA18" s="1">
        <f t="shared" si="91"/>
        <v>0</v>
      </c>
      <c r="RB18" s="1">
        <f t="shared" si="92"/>
        <v>0</v>
      </c>
      <c r="RC18" s="1">
        <f t="shared" si="93"/>
        <v>0</v>
      </c>
      <c r="RD18" s="1">
        <f t="shared" si="94"/>
        <v>0</v>
      </c>
      <c r="RG18" s="1">
        <v>9</v>
      </c>
      <c r="RH18" s="421">
        <v>5984.4452097170979</v>
      </c>
      <c r="RI18" s="421">
        <v>5074.1017804837184</v>
      </c>
      <c r="RJ18" s="421">
        <v>13404.263703387322</v>
      </c>
      <c r="RK18" s="490">
        <f t="shared" si="5"/>
        <v>24462.810693588137</v>
      </c>
      <c r="RL18" s="1033">
        <v>9</v>
      </c>
      <c r="RM18" s="1098">
        <f t="shared" si="96"/>
        <v>0</v>
      </c>
      <c r="RN18" s="1098">
        <f t="shared" si="97"/>
        <v>0</v>
      </c>
      <c r="RO18" s="1097">
        <f t="shared" si="97"/>
        <v>0</v>
      </c>
      <c r="RP18" s="1097">
        <f t="shared" si="98"/>
        <v>4110.5200000000004</v>
      </c>
      <c r="RQ18" s="1046"/>
      <c r="RR18" s="1046" t="s">
        <v>885</v>
      </c>
      <c r="RU18" s="421">
        <v>9</v>
      </c>
      <c r="RV18" s="1095">
        <f t="shared" si="99"/>
        <v>6047.9</v>
      </c>
      <c r="RW18" s="1046" t="s">
        <v>886</v>
      </c>
      <c r="RY18" s="1090"/>
      <c r="RZ18" s="1090">
        <f t="shared" si="100"/>
        <v>0</v>
      </c>
      <c r="SA18" s="1090"/>
      <c r="SB18" s="1090">
        <f>JK18-RV18</f>
        <v>0</v>
      </c>
      <c r="SD18" s="1">
        <v>9</v>
      </c>
      <c r="SE18" s="1">
        <f t="shared" si="102"/>
        <v>0</v>
      </c>
      <c r="SF18" s="1094"/>
    </row>
    <row r="19" spans="1:500" s="1" customFormat="1">
      <c r="B19" s="471">
        <v>10</v>
      </c>
      <c r="C19" s="4">
        <f t="shared" si="6"/>
        <v>168723</v>
      </c>
      <c r="D19" s="1590">
        <f t="shared" si="119"/>
        <v>9042.1899999999987</v>
      </c>
      <c r="E19" s="1895">
        <f t="shared" si="7"/>
        <v>18.659528277994603</v>
      </c>
      <c r="F19" s="870"/>
      <c r="G19" s="870"/>
      <c r="H19" s="52">
        <v>4</v>
      </c>
      <c r="I19" s="61">
        <v>2.4</v>
      </c>
      <c r="J19" s="52"/>
      <c r="K19" s="54"/>
      <c r="L19" s="52">
        <v>5</v>
      </c>
      <c r="M19" s="61">
        <v>1.28</v>
      </c>
      <c r="N19" s="2629"/>
      <c r="O19" s="4">
        <f t="shared" si="104"/>
        <v>98196</v>
      </c>
      <c r="P19" s="1225">
        <f t="shared" si="8"/>
        <v>5810.95</v>
      </c>
      <c r="Q19" s="1952">
        <f t="shared" si="9"/>
        <v>16.898441735000301</v>
      </c>
      <c r="R19" s="33"/>
      <c r="S19" s="26">
        <f t="shared" si="10"/>
        <v>34939</v>
      </c>
      <c r="T19" s="27">
        <f t="shared" si="11"/>
        <v>391.23999999999995</v>
      </c>
      <c r="U19" s="1909">
        <f t="shared" si="12"/>
        <v>89.303240977405181</v>
      </c>
      <c r="V19" s="15"/>
      <c r="W19" s="1742">
        <f t="shared" si="13"/>
        <v>35588</v>
      </c>
      <c r="X19" s="1918">
        <f t="shared" si="13"/>
        <v>2840</v>
      </c>
      <c r="Y19" s="1738">
        <f t="shared" si="14"/>
        <v>12.530985915492957</v>
      </c>
      <c r="Z19" s="33"/>
      <c r="AA19" s="26">
        <f t="shared" si="15"/>
        <v>0</v>
      </c>
      <c r="AB19" s="27">
        <f t="shared" si="16"/>
        <v>0</v>
      </c>
      <c r="AC19" s="53">
        <f t="shared" si="17"/>
        <v>0</v>
      </c>
      <c r="AD19" s="28"/>
      <c r="AE19" s="36"/>
      <c r="AF19" s="36"/>
      <c r="AG19" s="53">
        <f t="shared" si="18"/>
        <v>0</v>
      </c>
      <c r="AH19" s="28"/>
      <c r="AI19" s="26"/>
      <c r="AJ19" s="27"/>
      <c r="AK19" s="53">
        <f t="shared" si="19"/>
        <v>0</v>
      </c>
      <c r="AL19" s="28"/>
      <c r="AM19" s="2629"/>
      <c r="AN19" s="9"/>
      <c r="AO19" s="5"/>
      <c r="AP19" s="61">
        <f t="shared" si="20"/>
        <v>0</v>
      </c>
      <c r="AQ19" s="36"/>
      <c r="AR19" s="53"/>
      <c r="AS19" s="61">
        <f t="shared" si="21"/>
        <v>0</v>
      </c>
      <c r="AT19" s="36">
        <v>0</v>
      </c>
      <c r="AU19" s="27"/>
      <c r="AV19" s="54">
        <f t="shared" si="22"/>
        <v>0</v>
      </c>
      <c r="AW19" s="26">
        <v>49182</v>
      </c>
      <c r="AX19" s="27">
        <v>2880.37</v>
      </c>
      <c r="AY19" s="1735">
        <v>17.07488968431139</v>
      </c>
      <c r="AZ19" s="36"/>
      <c r="BA19" s="27"/>
      <c r="BB19" s="61">
        <v>0</v>
      </c>
      <c r="BC19" s="1740">
        <v>49014</v>
      </c>
      <c r="BD19" s="1736">
        <v>2930.58</v>
      </c>
      <c r="BE19" s="1735">
        <v>16.72501689085437</v>
      </c>
      <c r="BF19" s="36"/>
      <c r="BG19" s="53"/>
      <c r="BH19" s="61">
        <v>0</v>
      </c>
      <c r="BI19" s="36">
        <v>0</v>
      </c>
      <c r="BJ19" s="53">
        <v>0</v>
      </c>
      <c r="BK19" s="61">
        <v>0</v>
      </c>
      <c r="BL19" s="1742">
        <v>34939</v>
      </c>
      <c r="BM19" s="1909">
        <v>391.23999999999995</v>
      </c>
      <c r="BN19" s="1920">
        <v>89.303240977405181</v>
      </c>
      <c r="BO19" s="9"/>
      <c r="BP19" s="64"/>
      <c r="BQ19" s="482">
        <v>0</v>
      </c>
      <c r="BR19" s="9"/>
      <c r="BS19" s="53"/>
      <c r="BT19" s="482">
        <v>0</v>
      </c>
      <c r="BU19" s="9">
        <v>35588</v>
      </c>
      <c r="BV19" s="27">
        <v>2840</v>
      </c>
      <c r="BW19" s="1051">
        <v>12.530985915492957</v>
      </c>
      <c r="BX19" s="26"/>
      <c r="BY19" s="27"/>
      <c r="BZ19" s="482">
        <f t="shared" si="23"/>
        <v>0</v>
      </c>
      <c r="CA19" s="9"/>
      <c r="CB19" s="481"/>
      <c r="CC19" s="482">
        <f t="shared" si="24"/>
        <v>0</v>
      </c>
      <c r="CD19" s="4"/>
      <c r="CE19" s="5"/>
      <c r="CF19" s="28">
        <f t="shared" si="25"/>
        <v>0</v>
      </c>
      <c r="CG19" s="150"/>
      <c r="CH19" s="4"/>
      <c r="CI19" s="5"/>
      <c r="CJ19" s="5"/>
      <c r="CK19" s="5"/>
      <c r="CL19" s="5"/>
      <c r="CM19" s="5">
        <f t="shared" si="26"/>
        <v>0</v>
      </c>
      <c r="CN19" s="5"/>
      <c r="CO19" s="5"/>
      <c r="CQ19" s="4">
        <f t="shared" si="27"/>
        <v>0</v>
      </c>
      <c r="CR19" s="9">
        <f t="shared" si="27"/>
        <v>0</v>
      </c>
      <c r="CS19" s="5">
        <f t="shared" si="27"/>
        <v>0</v>
      </c>
      <c r="CT19" s="5">
        <f t="shared" si="27"/>
        <v>0</v>
      </c>
      <c r="CU19" s="5">
        <f t="shared" si="27"/>
        <v>0</v>
      </c>
      <c r="CV19" s="5">
        <f t="shared" si="27"/>
        <v>0</v>
      </c>
      <c r="CW19" s="5">
        <f t="shared" si="27"/>
        <v>32.18</v>
      </c>
      <c r="CX19" s="5">
        <f t="shared" si="27"/>
        <v>0</v>
      </c>
      <c r="CY19" s="5">
        <f t="shared" si="27"/>
        <v>6170.01</v>
      </c>
      <c r="CZ19" s="5">
        <f t="shared" si="27"/>
        <v>0</v>
      </c>
      <c r="DA19" s="5">
        <f t="shared" si="111"/>
        <v>2840</v>
      </c>
      <c r="DB19" s="12">
        <f t="shared" si="111"/>
        <v>0</v>
      </c>
      <c r="DC19" s="310">
        <f t="shared" si="28"/>
        <v>9042.19</v>
      </c>
      <c r="DD19" s="2695"/>
      <c r="DE19" s="8"/>
      <c r="DF19" s="9"/>
      <c r="DG19" s="5"/>
      <c r="DH19" s="5"/>
      <c r="DI19" s="5"/>
      <c r="DJ19" s="5"/>
      <c r="DK19" s="5">
        <v>32.18</v>
      </c>
      <c r="DL19" s="5"/>
      <c r="DM19" s="5">
        <v>2848.19</v>
      </c>
      <c r="DN19" s="5"/>
      <c r="DO19" s="5"/>
      <c r="DP19" s="12"/>
      <c r="DQ19" s="1906">
        <f t="shared" si="29"/>
        <v>2880.37</v>
      </c>
      <c r="DR19" s="36"/>
      <c r="DS19" s="36"/>
      <c r="DT19" s="27"/>
      <c r="DU19" s="27"/>
      <c r="DV19" s="5"/>
      <c r="DW19" s="5"/>
      <c r="DX19" s="5"/>
      <c r="DY19" s="5"/>
      <c r="DZ19" s="5">
        <v>3321.82</v>
      </c>
      <c r="EA19" s="27"/>
      <c r="EB19" s="27">
        <v>0</v>
      </c>
      <c r="EC19" s="33"/>
      <c r="ED19" s="28">
        <f t="shared" si="30"/>
        <v>3321.82</v>
      </c>
      <c r="EE19" s="9"/>
      <c r="EF19" s="36"/>
      <c r="EG19" s="5"/>
      <c r="EH19" s="313"/>
      <c r="EI19" s="27"/>
      <c r="EJ19" s="27"/>
      <c r="EK19" s="27"/>
      <c r="EL19" s="27"/>
      <c r="EM19" s="5"/>
      <c r="EN19" s="5"/>
      <c r="EO19" s="1448">
        <v>2840</v>
      </c>
      <c r="EP19" s="33"/>
      <c r="EQ19" s="28">
        <f t="shared" si="31"/>
        <v>2840</v>
      </c>
      <c r="ER19" s="36"/>
      <c r="ES19" s="27"/>
      <c r="ET19" s="27"/>
      <c r="EU19" s="27"/>
      <c r="EV19" s="27"/>
      <c r="EW19" s="27"/>
      <c r="EX19" s="33">
        <f t="shared" si="32"/>
        <v>0</v>
      </c>
      <c r="EY19" s="2685"/>
      <c r="FA19" s="4">
        <f t="shared" si="33"/>
        <v>0</v>
      </c>
      <c r="FB19" s="5">
        <f t="shared" si="34"/>
        <v>0</v>
      </c>
      <c r="FC19" s="5">
        <f t="shared" si="35"/>
        <v>0</v>
      </c>
      <c r="FD19" s="12">
        <f t="shared" si="36"/>
        <v>0</v>
      </c>
      <c r="FE19" s="33"/>
      <c r="FF19" s="2674"/>
      <c r="FG19" s="9"/>
      <c r="FH19" s="5"/>
      <c r="FI19" s="5"/>
      <c r="FJ19" s="5"/>
      <c r="FK19" s="5"/>
      <c r="FL19" s="27"/>
      <c r="FM19" s="28">
        <f t="shared" si="37"/>
        <v>0</v>
      </c>
      <c r="FN19" s="36"/>
      <c r="FO19" s="27"/>
      <c r="FP19" s="27"/>
      <c r="FQ19" s="27"/>
      <c r="FR19" s="27"/>
      <c r="FS19" s="27"/>
      <c r="FT19" s="28">
        <f t="shared" si="38"/>
        <v>0</v>
      </c>
      <c r="FU19" s="36"/>
      <c r="FV19" s="36"/>
      <c r="FW19" s="27"/>
      <c r="FX19" s="27"/>
      <c r="FY19" s="27"/>
      <c r="FZ19" s="27"/>
      <c r="GA19" s="27"/>
      <c r="GB19" s="27"/>
      <c r="GC19" s="27"/>
      <c r="GD19" s="27"/>
      <c r="GE19" s="27"/>
      <c r="GF19" s="33"/>
      <c r="GG19" s="33">
        <f t="shared" si="39"/>
        <v>0</v>
      </c>
      <c r="GH19" s="2674"/>
      <c r="GJ19" s="2">
        <f t="shared" si="105"/>
        <v>0</v>
      </c>
      <c r="GK19" s="63">
        <f t="shared" si="106"/>
        <v>3749.6</v>
      </c>
      <c r="GL19" s="24">
        <f t="shared" si="107"/>
        <v>2592.4499999999998</v>
      </c>
      <c r="GM19" s="1736">
        <f t="shared" si="40"/>
        <v>6342.0499999999993</v>
      </c>
      <c r="GN19" s="141"/>
      <c r="GO19" s="141"/>
      <c r="GP19" s="33"/>
      <c r="GQ19" s="2667"/>
      <c r="GR19" s="1940">
        <v>6342.05</v>
      </c>
      <c r="GS19" s="1590">
        <v>0</v>
      </c>
      <c r="GT19" s="1590">
        <v>0</v>
      </c>
      <c r="GU19" s="1736">
        <v>0</v>
      </c>
      <c r="GV19" s="54">
        <f t="shared" si="41"/>
        <v>6342.05</v>
      </c>
      <c r="GW19" s="2667"/>
      <c r="GX19" s="36"/>
      <c r="GY19" s="36"/>
      <c r="GZ19" s="27"/>
      <c r="HA19" s="27"/>
      <c r="HB19" s="27"/>
      <c r="HC19" s="27"/>
      <c r="HD19" s="27"/>
      <c r="HE19" s="27"/>
      <c r="HF19" s="27">
        <v>0</v>
      </c>
      <c r="HG19" s="27"/>
      <c r="HH19" s="27">
        <v>0</v>
      </c>
      <c r="HI19" s="27"/>
      <c r="HJ19" s="27">
        <v>0</v>
      </c>
      <c r="HK19" s="27"/>
      <c r="HL19" s="28">
        <f t="shared" si="120"/>
        <v>0</v>
      </c>
      <c r="HM19" s="36"/>
      <c r="HN19" s="27"/>
      <c r="HO19" s="27"/>
      <c r="HP19" s="27"/>
      <c r="HQ19" s="27"/>
      <c r="HR19" s="27"/>
      <c r="HS19" s="27" cm="1">
        <f t="array" ref="HS19">SUMPRODUCT(('Data Base hauling'!$C$2:$C$216="TCM-ROM SB1 BK05-ROM 4")*(ISNUMBER(SEARCH(TEXT('April TCM'!$B19,"00")&amp;"/03/2026",'Data Base hauling'!$E$2:$E$216)))*'Data Base hauling'!$N$2:$N$216)</f>
        <v>0</v>
      </c>
      <c r="HT19" s="27"/>
      <c r="HU19" s="27" cm="1">
        <f t="array" ref="HU19">SUMPRODUCT(('Data Base hauling'!$C$2:$C$216="TCM-ROM SB1 BK05-ROM 5")*(ISNUMBER(SEARCH(TEXT('April TCM'!$B19,"00")&amp;"/03/2026",'Data Base hauling'!$E$2:$E$216)))*'Data Base hauling'!$N$2:$N$216)</f>
        <v>0</v>
      </c>
      <c r="HV19" s="27"/>
      <c r="HW19" s="27"/>
      <c r="HX19" s="27"/>
      <c r="HY19" s="27"/>
      <c r="HZ19" s="27"/>
      <c r="IA19" s="33">
        <f t="shared" si="43"/>
        <v>0</v>
      </c>
      <c r="IB19" s="52"/>
      <c r="IC19" s="152"/>
      <c r="ID19" s="53"/>
      <c r="IE19" s="53"/>
      <c r="IF19" s="53"/>
      <c r="IG19" s="53"/>
      <c r="IH19" s="53">
        <v>0</v>
      </c>
      <c r="II19" s="53"/>
      <c r="IJ19" s="1736">
        <v>3749.6</v>
      </c>
      <c r="IK19" s="53"/>
      <c r="IL19" s="53">
        <v>0</v>
      </c>
      <c r="IM19" s="53"/>
      <c r="IN19" s="53"/>
      <c r="IO19" s="49">
        <v>0</v>
      </c>
      <c r="IP19" s="61">
        <f t="shared" si="121"/>
        <v>3749.6</v>
      </c>
      <c r="IQ19" s="36"/>
      <c r="IR19" s="36"/>
      <c r="IS19" s="27"/>
      <c r="IT19" s="27"/>
      <c r="IU19" s="53"/>
      <c r="IV19" s="27"/>
      <c r="IW19" s="53">
        <v>0</v>
      </c>
      <c r="IX19" s="27"/>
      <c r="IY19" s="27">
        <v>2592.4499999999998</v>
      </c>
      <c r="IZ19" s="27"/>
      <c r="JA19" s="27">
        <v>0</v>
      </c>
      <c r="JB19" s="27"/>
      <c r="JC19" s="27"/>
      <c r="JD19" s="27"/>
      <c r="JE19" s="33">
        <f t="shared" si="122"/>
        <v>2592.4499999999998</v>
      </c>
      <c r="JF19" s="2667"/>
      <c r="JH19" s="2019">
        <v>6342.05</v>
      </c>
      <c r="JI19" s="2017">
        <v>0</v>
      </c>
      <c r="JJ19" s="53"/>
      <c r="JK19" s="53">
        <f t="shared" ref="JK19:JK40" si="123">+JH19+JJ19+JI19</f>
        <v>6342.05</v>
      </c>
      <c r="JL19" s="33"/>
      <c r="JM19" s="2669"/>
      <c r="JN19" s="69">
        <v>0</v>
      </c>
      <c r="JO19" s="70">
        <v>0</v>
      </c>
      <c r="JP19" s="70">
        <v>0</v>
      </c>
      <c r="JQ19" s="850">
        <v>0</v>
      </c>
      <c r="JR19" s="850">
        <v>1</v>
      </c>
      <c r="JS19" s="850">
        <v>0</v>
      </c>
      <c r="JT19" s="70">
        <v>0</v>
      </c>
      <c r="JU19" s="1922">
        <v>0</v>
      </c>
      <c r="JV19" s="69" t="s">
        <v>296</v>
      </c>
      <c r="JW19" s="70" t="s">
        <v>296</v>
      </c>
      <c r="JX19" s="70" t="s">
        <v>296</v>
      </c>
      <c r="JY19" s="70" t="s">
        <v>296</v>
      </c>
      <c r="JZ19" s="70" t="s">
        <v>296</v>
      </c>
      <c r="KA19" s="70" t="s">
        <v>296</v>
      </c>
      <c r="KB19" s="70" t="s">
        <v>296</v>
      </c>
      <c r="KC19" s="71" t="s">
        <v>296</v>
      </c>
      <c r="KD19" s="69"/>
      <c r="KE19" s="70"/>
      <c r="KF19" s="70"/>
      <c r="KG19" s="70"/>
      <c r="KH19" s="70"/>
      <c r="KI19" s="70"/>
      <c r="KJ19" s="70"/>
      <c r="KK19" s="70"/>
      <c r="KL19" s="33"/>
      <c r="KM19" s="2669"/>
      <c r="KN19" s="1739">
        <v>7119.0223048327134</v>
      </c>
      <c r="KO19" s="1721">
        <v>0.85570631970260236</v>
      </c>
      <c r="KP19" s="1721">
        <v>1.7771468401486989</v>
      </c>
      <c r="KQ19" s="1721">
        <v>7.2500650557620814</v>
      </c>
      <c r="KR19" s="1722">
        <v>11.670552682156133</v>
      </c>
      <c r="KS19" s="1958">
        <v>0</v>
      </c>
      <c r="KT19" s="1961">
        <v>0</v>
      </c>
      <c r="KU19" s="1961">
        <v>0</v>
      </c>
      <c r="KV19" s="1961">
        <v>0</v>
      </c>
      <c r="KW19" s="1962">
        <v>0</v>
      </c>
      <c r="KX19" s="36"/>
      <c r="KY19" s="53"/>
      <c r="KZ19" s="53"/>
      <c r="LA19" s="53"/>
      <c r="LB19" s="53"/>
      <c r="LC19" s="33"/>
      <c r="LD19" s="2669"/>
      <c r="LF19" s="26">
        <f t="shared" si="47"/>
        <v>0</v>
      </c>
      <c r="LG19" s="27">
        <f t="shared" si="47"/>
        <v>0</v>
      </c>
      <c r="LH19" s="27">
        <f t="shared" si="47"/>
        <v>0</v>
      </c>
      <c r="LI19" s="28">
        <f t="shared" si="48"/>
        <v>0</v>
      </c>
      <c r="LJ19" s="36"/>
      <c r="LK19" s="27">
        <v>1</v>
      </c>
      <c r="LL19" s="27">
        <v>1</v>
      </c>
      <c r="LM19" s="33"/>
      <c r="LN19" s="1041">
        <v>7.19</v>
      </c>
      <c r="LO19" s="486" t="s">
        <v>680</v>
      </c>
      <c r="LP19" s="2688"/>
      <c r="LQ19" s="36"/>
      <c r="LR19" s="36"/>
      <c r="LS19" s="27"/>
      <c r="LT19" s="27"/>
      <c r="LU19" s="27"/>
      <c r="LV19" s="1117">
        <f t="shared" si="49"/>
        <v>0</v>
      </c>
      <c r="LW19" s="36"/>
      <c r="LX19" s="36"/>
      <c r="LY19" s="27"/>
      <c r="LZ19" s="27"/>
      <c r="MA19" s="33"/>
      <c r="MB19" s="28">
        <f t="shared" si="50"/>
        <v>0</v>
      </c>
      <c r="MC19" s="26"/>
      <c r="MD19" s="36"/>
      <c r="ME19" s="27"/>
      <c r="MF19" s="27"/>
      <c r="MG19" s="27"/>
      <c r="MH19" s="28"/>
      <c r="MI19" s="36"/>
      <c r="MJ19" s="36"/>
      <c r="MK19" s="27"/>
      <c r="ML19" s="27"/>
      <c r="MM19" s="27"/>
      <c r="MN19" s="28"/>
      <c r="MO19" s="36"/>
      <c r="MP19" s="36"/>
      <c r="MQ19" s="27"/>
      <c r="MR19" s="27"/>
      <c r="MS19" s="27"/>
      <c r="MT19" s="33">
        <f t="shared" si="51"/>
        <v>0</v>
      </c>
      <c r="MU19" s="2688"/>
      <c r="MW19" s="26">
        <f t="shared" si="52"/>
        <v>68749.139393306294</v>
      </c>
      <c r="MX19" s="27">
        <f t="shared" si="53"/>
        <v>120178.79380962021</v>
      </c>
      <c r="MY19" s="27">
        <f t="shared" si="54"/>
        <v>19727.226980961226</v>
      </c>
      <c r="MZ19" s="28">
        <f t="shared" si="55"/>
        <v>429693.27855851006</v>
      </c>
      <c r="NA19" s="2621"/>
      <c r="NB19" s="23">
        <f t="shared" si="56"/>
        <v>19373.603361311263</v>
      </c>
      <c r="NC19" s="1579">
        <f t="shared" si="57"/>
        <v>49375.536031995034</v>
      </c>
      <c r="ND19" s="60">
        <f t="shared" si="58"/>
        <v>0</v>
      </c>
      <c r="NE19" s="275">
        <f t="shared" si="4"/>
        <v>68749.139393306294</v>
      </c>
      <c r="NF19" s="26">
        <f t="shared" si="59"/>
        <v>0</v>
      </c>
      <c r="NG19" s="27">
        <f t="shared" si="59"/>
        <v>0</v>
      </c>
      <c r="NH19" s="27">
        <f t="shared" si="59"/>
        <v>0</v>
      </c>
      <c r="NI19" s="27">
        <f t="shared" si="59"/>
        <v>0</v>
      </c>
      <c r="NJ19" s="27">
        <f t="shared" si="59"/>
        <v>0</v>
      </c>
      <c r="NK19" s="33">
        <f t="shared" si="59"/>
        <v>0</v>
      </c>
      <c r="NL19" s="27">
        <f t="shared" si="59"/>
        <v>0</v>
      </c>
      <c r="NM19" s="36">
        <f t="shared" si="59"/>
        <v>0</v>
      </c>
      <c r="NN19" s="24">
        <f t="shared" si="59"/>
        <v>13329.680566563144</v>
      </c>
      <c r="NO19" s="27">
        <f t="shared" si="59"/>
        <v>26196.69549600617</v>
      </c>
      <c r="NP19" s="24">
        <f t="shared" si="108"/>
        <v>8756.5482322711578</v>
      </c>
      <c r="NQ19" s="24">
        <f t="shared" si="112"/>
        <v>31611.164118033412</v>
      </c>
      <c r="NR19" s="27">
        <f t="shared" si="0"/>
        <v>79894.088412873883</v>
      </c>
      <c r="NS19" s="27">
        <f t="shared" si="60"/>
        <v>0</v>
      </c>
      <c r="NT19" s="27">
        <f t="shared" si="60"/>
        <v>0</v>
      </c>
      <c r="NU19" s="27">
        <f t="shared" si="60"/>
        <v>0</v>
      </c>
      <c r="NV19" s="27">
        <f t="shared" si="60"/>
        <v>0</v>
      </c>
      <c r="NW19" s="27">
        <f t="shared" si="60"/>
        <v>0</v>
      </c>
      <c r="NX19" s="27">
        <f t="shared" si="60"/>
        <v>0</v>
      </c>
      <c r="NY19" s="27">
        <f t="shared" si="60"/>
        <v>7475.6836022929128</v>
      </c>
      <c r="NZ19" s="27">
        <f t="shared" si="60"/>
        <v>0</v>
      </c>
      <c r="OA19" s="27">
        <f t="shared" si="60"/>
        <v>16861.52806678283</v>
      </c>
      <c r="OB19" s="280"/>
      <c r="OC19" s="24">
        <f t="shared" si="61"/>
        <v>349.54339982995594</v>
      </c>
      <c r="OD19" s="27">
        <f t="shared" si="61"/>
        <v>0</v>
      </c>
      <c r="OE19" s="28">
        <f t="shared" si="1"/>
        <v>24686.755068905699</v>
      </c>
      <c r="OF19" s="27">
        <f t="shared" si="62"/>
        <v>0</v>
      </c>
      <c r="OG19" s="27">
        <f t="shared" si="62"/>
        <v>0</v>
      </c>
      <c r="OH19" s="27">
        <f t="shared" si="62"/>
        <v>0</v>
      </c>
      <c r="OI19" s="27">
        <f t="shared" si="62"/>
        <v>0</v>
      </c>
      <c r="OJ19" s="27">
        <f t="shared" si="62"/>
        <v>0</v>
      </c>
      <c r="OK19" s="27">
        <f t="shared" si="62"/>
        <v>0</v>
      </c>
      <c r="OL19" s="24">
        <f t="shared" si="62"/>
        <v>0</v>
      </c>
      <c r="OM19" s="27">
        <f t="shared" si="62"/>
        <v>0</v>
      </c>
      <c r="ON19" s="24">
        <f t="shared" si="62"/>
        <v>13129.286218026507</v>
      </c>
      <c r="OO19" s="27">
        <f t="shared" si="62"/>
        <v>0</v>
      </c>
      <c r="OP19" s="27">
        <f t="shared" si="62"/>
        <v>2468.6641098141272</v>
      </c>
      <c r="OQ19" s="27">
        <f t="shared" si="62"/>
        <v>0</v>
      </c>
      <c r="OR19" s="28">
        <f t="shared" si="2"/>
        <v>15597.950327840634</v>
      </c>
      <c r="OS19" s="36"/>
      <c r="OT19" s="27"/>
      <c r="OU19" s="27"/>
      <c r="OV19" s="27"/>
      <c r="OW19" s="27"/>
      <c r="OX19" s="27"/>
      <c r="OY19" s="28">
        <f t="shared" si="63"/>
        <v>0</v>
      </c>
      <c r="OZ19" s="36">
        <f t="shared" si="113"/>
        <v>0</v>
      </c>
      <c r="PA19" s="27">
        <f t="shared" si="114"/>
        <v>0</v>
      </c>
      <c r="PB19" s="27">
        <f t="shared" si="115"/>
        <v>0</v>
      </c>
      <c r="PC19" s="27">
        <f t="shared" si="116"/>
        <v>0</v>
      </c>
      <c r="PD19" s="27">
        <f t="shared" si="117"/>
        <v>0</v>
      </c>
      <c r="PE19" s="27">
        <f t="shared" si="118"/>
        <v>0</v>
      </c>
      <c r="PF19" s="33">
        <f t="shared" si="3"/>
        <v>0</v>
      </c>
      <c r="PG19" s="2621"/>
      <c r="PI19" s="1907">
        <v>0</v>
      </c>
      <c r="PJ19" s="3"/>
      <c r="PK19" s="3"/>
      <c r="PL19" s="3">
        <f t="shared" si="70"/>
        <v>0</v>
      </c>
      <c r="PM19" s="3">
        <f t="shared" si="71"/>
        <v>14191.648459344186</v>
      </c>
      <c r="PN19" s="11">
        <f t="shared" si="72"/>
        <v>19727.226980961226</v>
      </c>
      <c r="PO19" s="15"/>
      <c r="PP19" s="2615"/>
      <c r="PR19" s="4"/>
      <c r="PS19" s="9"/>
      <c r="PT19" s="9"/>
      <c r="PU19" s="9"/>
      <c r="PV19" s="9">
        <v>0</v>
      </c>
      <c r="PW19" s="9"/>
      <c r="PX19" s="8">
        <f t="shared" si="73"/>
        <v>0</v>
      </c>
      <c r="PY19" s="5">
        <f t="shared" si="74"/>
        <v>0</v>
      </c>
      <c r="PZ19" s="5"/>
      <c r="QA19" s="5"/>
      <c r="QB19" s="5"/>
      <c r="QC19" s="5"/>
      <c r="QD19" s="5"/>
      <c r="QE19" s="12">
        <f t="shared" si="75"/>
        <v>29562.488999999998</v>
      </c>
      <c r="QF19" s="420">
        <f t="shared" si="76"/>
        <v>399636.36955851008</v>
      </c>
      <c r="QG19" s="1106">
        <f t="shared" si="77"/>
        <v>494.41999999999996</v>
      </c>
      <c r="QH19" s="484">
        <f t="shared" si="78"/>
        <v>5505.3678056099998</v>
      </c>
      <c r="QI19" s="12"/>
      <c r="QJ19" s="2615"/>
      <c r="QL19" s="139">
        <f t="shared" si="79"/>
        <v>0</v>
      </c>
      <c r="QM19" s="139" t="str">
        <f t="shared" si="80"/>
        <v/>
      </c>
      <c r="QO19" s="139">
        <f t="shared" si="81"/>
        <v>0</v>
      </c>
      <c r="QP19" s="139">
        <f t="shared" si="82"/>
        <v>0</v>
      </c>
      <c r="QR19" s="1">
        <f t="shared" si="83"/>
        <v>0</v>
      </c>
      <c r="QS19" s="1">
        <f t="shared" si="84"/>
        <v>0</v>
      </c>
      <c r="QT19" s="1">
        <f t="shared" si="85"/>
        <v>0</v>
      </c>
      <c r="QU19" s="1">
        <f t="shared" si="86"/>
        <v>0</v>
      </c>
      <c r="QV19" s="1">
        <f t="shared" si="87"/>
        <v>0</v>
      </c>
      <c r="QW19" s="1">
        <f t="shared" si="88"/>
        <v>0</v>
      </c>
      <c r="QY19" s="1">
        <f t="shared" si="89"/>
        <v>0</v>
      </c>
      <c r="QZ19" s="1">
        <f t="shared" si="90"/>
        <v>0</v>
      </c>
      <c r="RA19" s="1">
        <f t="shared" si="91"/>
        <v>0</v>
      </c>
      <c r="RB19" s="1">
        <f t="shared" si="92"/>
        <v>0</v>
      </c>
      <c r="RC19" s="1">
        <f t="shared" si="93"/>
        <v>0</v>
      </c>
      <c r="RD19" s="1">
        <f t="shared" si="94"/>
        <v>0</v>
      </c>
      <c r="RG19" s="1">
        <v>10</v>
      </c>
      <c r="RH19" s="1">
        <f t="shared" ref="RH19:RJ34" si="124">+RH18+JH19-LF19</f>
        <v>12326.495209717097</v>
      </c>
      <c r="RI19" s="1">
        <f t="shared" si="124"/>
        <v>5074.1017804837184</v>
      </c>
      <c r="RJ19" s="1">
        <f t="shared" si="124"/>
        <v>13404.263703387322</v>
      </c>
      <c r="RK19" s="89">
        <f t="shared" si="5"/>
        <v>30804.860693588136</v>
      </c>
      <c r="RL19" s="1033">
        <v>10</v>
      </c>
      <c r="RM19" s="1098">
        <f t="shared" si="96"/>
        <v>0</v>
      </c>
      <c r="RN19" s="1098">
        <f t="shared" si="97"/>
        <v>0</v>
      </c>
      <c r="RO19" s="1097">
        <f t="shared" si="97"/>
        <v>0</v>
      </c>
      <c r="RP19" s="1097">
        <f t="shared" si="98"/>
        <v>6202.19</v>
      </c>
      <c r="RQ19" s="1109"/>
      <c r="RR19" s="1050" t="s">
        <v>887</v>
      </c>
      <c r="RS19" s="1048"/>
      <c r="RU19" s="421">
        <v>10</v>
      </c>
      <c r="RV19" s="1095">
        <f t="shared" si="99"/>
        <v>6342.05</v>
      </c>
      <c r="RW19" s="1046" t="s">
        <v>888</v>
      </c>
      <c r="RY19" s="1090"/>
      <c r="RZ19" s="1090">
        <f t="shared" si="100"/>
        <v>0</v>
      </c>
      <c r="SA19" s="1090"/>
      <c r="SB19" s="1090">
        <f t="shared" si="101"/>
        <v>0</v>
      </c>
      <c r="SD19" s="1">
        <v>10</v>
      </c>
      <c r="SE19" s="1">
        <f t="shared" si="102"/>
        <v>0</v>
      </c>
    </row>
    <row r="20" spans="1:500" s="1" customFormat="1">
      <c r="B20" s="471">
        <v>11</v>
      </c>
      <c r="C20" s="4">
        <f t="shared" si="6"/>
        <v>133804</v>
      </c>
      <c r="D20" s="1590">
        <f t="shared" si="119"/>
        <v>7033.21</v>
      </c>
      <c r="E20" s="1895">
        <f t="shared" si="7"/>
        <v>19.024599009556091</v>
      </c>
      <c r="F20" s="870"/>
      <c r="G20" s="870"/>
      <c r="H20" s="52"/>
      <c r="I20" s="61"/>
      <c r="J20" s="52"/>
      <c r="K20" s="54"/>
      <c r="L20" s="52">
        <v>8.83</v>
      </c>
      <c r="M20" s="61">
        <v>8.51</v>
      </c>
      <c r="N20" s="2629"/>
      <c r="O20" s="4">
        <f t="shared" si="104"/>
        <v>75222</v>
      </c>
      <c r="P20" s="1225">
        <f t="shared" si="8"/>
        <v>4940.33</v>
      </c>
      <c r="Q20" s="1952">
        <f t="shared" si="9"/>
        <v>15.226108377375601</v>
      </c>
      <c r="R20" s="33"/>
      <c r="S20" s="26">
        <f t="shared" si="10"/>
        <v>21274</v>
      </c>
      <c r="T20" s="27">
        <f t="shared" si="11"/>
        <v>332.88</v>
      </c>
      <c r="U20" s="1909">
        <f t="shared" si="12"/>
        <v>63.90891612593127</v>
      </c>
      <c r="V20" s="28"/>
      <c r="W20" s="1742">
        <f t="shared" si="13"/>
        <v>37308</v>
      </c>
      <c r="X20" s="1918">
        <f t="shared" si="13"/>
        <v>1760</v>
      </c>
      <c r="Y20" s="1738">
        <f t="shared" si="14"/>
        <v>21.197727272727274</v>
      </c>
      <c r="Z20" s="33"/>
      <c r="AA20" s="26">
        <f t="shared" si="15"/>
        <v>0</v>
      </c>
      <c r="AB20" s="27">
        <f t="shared" si="16"/>
        <v>0</v>
      </c>
      <c r="AC20" s="53">
        <f t="shared" si="17"/>
        <v>0</v>
      </c>
      <c r="AD20" s="28"/>
      <c r="AE20" s="36"/>
      <c r="AF20" s="36"/>
      <c r="AG20" s="53">
        <f t="shared" si="18"/>
        <v>0</v>
      </c>
      <c r="AH20" s="28"/>
      <c r="AI20" s="23"/>
      <c r="AJ20" s="27"/>
      <c r="AK20" s="53">
        <f t="shared" si="19"/>
        <v>0</v>
      </c>
      <c r="AL20" s="28"/>
      <c r="AM20" s="2629"/>
      <c r="AN20" s="9"/>
      <c r="AO20" s="5"/>
      <c r="AP20" s="61">
        <f t="shared" si="20"/>
        <v>0</v>
      </c>
      <c r="AQ20" s="36"/>
      <c r="AR20" s="53"/>
      <c r="AS20" s="61">
        <f t="shared" si="21"/>
        <v>0</v>
      </c>
      <c r="AT20" s="36">
        <v>0</v>
      </c>
      <c r="AU20" s="27"/>
      <c r="AV20" s="54">
        <f t="shared" si="22"/>
        <v>0</v>
      </c>
      <c r="AW20" s="26">
        <v>39732</v>
      </c>
      <c r="AX20" s="27">
        <v>2699.2799999999997</v>
      </c>
      <c r="AY20" s="1735">
        <v>14.719480750422337</v>
      </c>
      <c r="AZ20" s="1908"/>
      <c r="BA20" s="1909"/>
      <c r="BB20" s="1895">
        <v>0</v>
      </c>
      <c r="BC20" s="1740">
        <v>35490</v>
      </c>
      <c r="BD20" s="1736">
        <v>2241.0500000000002</v>
      </c>
      <c r="BE20" s="1895">
        <v>15.836326721849131</v>
      </c>
      <c r="BF20" s="1908"/>
      <c r="BG20" s="1909"/>
      <c r="BH20" s="1895">
        <v>0</v>
      </c>
      <c r="BI20" s="1908">
        <v>0</v>
      </c>
      <c r="BJ20" s="1909">
        <v>0</v>
      </c>
      <c r="BK20" s="1895">
        <v>0</v>
      </c>
      <c r="BL20" s="1742">
        <v>21274</v>
      </c>
      <c r="BM20" s="1909">
        <v>332.88</v>
      </c>
      <c r="BN20" s="1920">
        <v>63.90891612593127</v>
      </c>
      <c r="BO20" s="9"/>
      <c r="BP20" s="64"/>
      <c r="BQ20" s="482">
        <v>0</v>
      </c>
      <c r="BR20" s="9"/>
      <c r="BS20" s="53"/>
      <c r="BT20" s="482">
        <v>0</v>
      </c>
      <c r="BU20" s="9">
        <v>37308</v>
      </c>
      <c r="BV20" s="27">
        <v>1760</v>
      </c>
      <c r="BW20" s="1051">
        <v>21.197727272727274</v>
      </c>
      <c r="BX20" s="26"/>
      <c r="BY20" s="27"/>
      <c r="BZ20" s="482">
        <f t="shared" si="23"/>
        <v>0</v>
      </c>
      <c r="CA20" s="9"/>
      <c r="CB20" s="481"/>
      <c r="CC20" s="482">
        <f t="shared" si="24"/>
        <v>0</v>
      </c>
      <c r="CD20" s="4"/>
      <c r="CE20" s="5"/>
      <c r="CF20" s="28">
        <f t="shared" si="25"/>
        <v>0</v>
      </c>
      <c r="CG20" s="150"/>
      <c r="CH20" s="4"/>
      <c r="CI20" s="5"/>
      <c r="CJ20" s="5"/>
      <c r="CK20" s="5"/>
      <c r="CL20" s="5"/>
      <c r="CM20" s="5">
        <f t="shared" si="26"/>
        <v>0</v>
      </c>
      <c r="CN20" s="33"/>
      <c r="CO20" s="366"/>
      <c r="CQ20" s="4">
        <f t="shared" si="27"/>
        <v>0</v>
      </c>
      <c r="CR20" s="9">
        <f t="shared" si="27"/>
        <v>0</v>
      </c>
      <c r="CS20" s="5">
        <f t="shared" si="27"/>
        <v>0</v>
      </c>
      <c r="CT20" s="5">
        <f t="shared" si="27"/>
        <v>0</v>
      </c>
      <c r="CU20" s="5">
        <f t="shared" si="27"/>
        <v>0</v>
      </c>
      <c r="CV20" s="5">
        <f t="shared" si="27"/>
        <v>0</v>
      </c>
      <c r="CW20" s="5">
        <f t="shared" si="27"/>
        <v>308.02</v>
      </c>
      <c r="CX20" s="5">
        <f t="shared" si="27"/>
        <v>0</v>
      </c>
      <c r="CY20" s="5">
        <f t="shared" si="27"/>
        <v>4965.1900000000005</v>
      </c>
      <c r="CZ20" s="5">
        <f t="shared" si="27"/>
        <v>0</v>
      </c>
      <c r="DA20" s="5">
        <f t="shared" si="111"/>
        <v>1760</v>
      </c>
      <c r="DB20" s="12">
        <f t="shared" si="111"/>
        <v>0</v>
      </c>
      <c r="DC20" s="310">
        <f t="shared" si="28"/>
        <v>7033.2100000000009</v>
      </c>
      <c r="DD20" s="2695"/>
      <c r="DE20" s="8"/>
      <c r="DF20" s="9"/>
      <c r="DG20" s="5"/>
      <c r="DH20" s="5"/>
      <c r="DI20" s="5"/>
      <c r="DJ20" s="5"/>
      <c r="DK20" s="5">
        <v>308.02</v>
      </c>
      <c r="DL20" s="5"/>
      <c r="DM20" s="27">
        <v>2391.2599999999998</v>
      </c>
      <c r="DN20" s="27"/>
      <c r="DO20" s="27"/>
      <c r="DP20" s="12"/>
      <c r="DQ20" s="1906">
        <f t="shared" si="29"/>
        <v>2699.2799999999997</v>
      </c>
      <c r="DR20" s="36"/>
      <c r="DS20" s="36"/>
      <c r="DT20" s="27"/>
      <c r="DU20" s="27"/>
      <c r="DV20" s="5"/>
      <c r="DW20" s="5"/>
      <c r="DX20" s="5"/>
      <c r="DY20" s="5"/>
      <c r="DZ20" s="5">
        <v>2573.9300000000003</v>
      </c>
      <c r="EA20" s="27"/>
      <c r="EB20" s="27">
        <v>0</v>
      </c>
      <c r="EC20" s="33"/>
      <c r="ED20" s="28">
        <f t="shared" si="30"/>
        <v>2573.9300000000003</v>
      </c>
      <c r="EE20" s="9"/>
      <c r="EF20" s="416"/>
      <c r="EG20" s="5"/>
      <c r="EH20" s="313"/>
      <c r="EI20" s="27"/>
      <c r="EJ20" s="27"/>
      <c r="EK20" s="27"/>
      <c r="EL20" s="27"/>
      <c r="EM20" s="5"/>
      <c r="EN20" s="5"/>
      <c r="EO20" s="1448">
        <v>1760</v>
      </c>
      <c r="EP20" s="33"/>
      <c r="EQ20" s="28">
        <f t="shared" si="31"/>
        <v>1760</v>
      </c>
      <c r="ER20" s="36"/>
      <c r="ES20" s="27"/>
      <c r="ET20" s="27"/>
      <c r="EU20" s="27"/>
      <c r="EV20" s="27"/>
      <c r="EW20" s="27"/>
      <c r="EX20" s="33">
        <f t="shared" si="32"/>
        <v>0</v>
      </c>
      <c r="EY20" s="2685"/>
      <c r="FA20" s="4">
        <f t="shared" si="33"/>
        <v>0</v>
      </c>
      <c r="FB20" s="5">
        <f t="shared" si="34"/>
        <v>0</v>
      </c>
      <c r="FC20" s="5">
        <f t="shared" si="35"/>
        <v>0</v>
      </c>
      <c r="FD20" s="12">
        <f t="shared" si="36"/>
        <v>0</v>
      </c>
      <c r="FE20" s="33"/>
      <c r="FF20" s="2674"/>
      <c r="FG20" s="9"/>
      <c r="FH20" s="5"/>
      <c r="FI20" s="5"/>
      <c r="FJ20" s="5"/>
      <c r="FK20" s="5"/>
      <c r="FL20" s="27"/>
      <c r="FM20" s="28">
        <f t="shared" si="37"/>
        <v>0</v>
      </c>
      <c r="FN20" s="36"/>
      <c r="FO20" s="27"/>
      <c r="FP20" s="27"/>
      <c r="FQ20" s="27"/>
      <c r="FR20" s="27"/>
      <c r="FS20" s="27"/>
      <c r="FT20" s="28">
        <f t="shared" si="38"/>
        <v>0</v>
      </c>
      <c r="FU20" s="36"/>
      <c r="FV20" s="36"/>
      <c r="FW20" s="27"/>
      <c r="FX20" s="27"/>
      <c r="FY20" s="27"/>
      <c r="FZ20" s="27"/>
      <c r="GA20" s="27"/>
      <c r="GB20" s="27"/>
      <c r="GC20" s="27"/>
      <c r="GD20" s="27"/>
      <c r="GE20" s="27"/>
      <c r="GF20" s="33"/>
      <c r="GG20" s="33">
        <f t="shared" si="39"/>
        <v>0</v>
      </c>
      <c r="GH20" s="2674"/>
      <c r="GJ20" s="2">
        <f t="shared" si="105"/>
        <v>1577.9499999999998</v>
      </c>
      <c r="GK20" s="63">
        <f t="shared" si="106"/>
        <v>3708.3999999999996</v>
      </c>
      <c r="GL20" s="24">
        <f t="shared" si="107"/>
        <v>2581.65</v>
      </c>
      <c r="GM20" s="1736">
        <f t="shared" si="40"/>
        <v>7868</v>
      </c>
      <c r="GN20" s="141"/>
      <c r="GO20" s="141"/>
      <c r="GP20" s="33"/>
      <c r="GQ20" s="2667"/>
      <c r="GR20" s="1940">
        <v>7868</v>
      </c>
      <c r="GS20" s="1590">
        <v>0</v>
      </c>
      <c r="GT20" s="1590">
        <v>0</v>
      </c>
      <c r="GU20" s="1736">
        <v>0</v>
      </c>
      <c r="GV20" s="54">
        <f t="shared" si="41"/>
        <v>7868</v>
      </c>
      <c r="GW20" s="2667"/>
      <c r="GX20" s="36"/>
      <c r="GY20" s="36"/>
      <c r="GZ20" s="27"/>
      <c r="HA20" s="27"/>
      <c r="HB20" s="27"/>
      <c r="HC20" s="27"/>
      <c r="HD20" s="27"/>
      <c r="HE20" s="27"/>
      <c r="HF20" s="27">
        <v>0</v>
      </c>
      <c r="HG20" s="27"/>
      <c r="HH20" s="27">
        <v>1577.9499999999998</v>
      </c>
      <c r="HI20" s="27"/>
      <c r="HJ20" s="27">
        <v>0</v>
      </c>
      <c r="HK20" s="27"/>
      <c r="HL20" s="28">
        <f t="shared" si="120"/>
        <v>1577.9499999999998</v>
      </c>
      <c r="HM20" s="36"/>
      <c r="HN20" s="27"/>
      <c r="HO20" s="27"/>
      <c r="HP20" s="27"/>
      <c r="HQ20" s="27"/>
      <c r="HR20" s="27"/>
      <c r="HS20" s="27" cm="1">
        <f t="array" ref="HS20">SUMPRODUCT(('Data Base hauling'!$C$2:$C$216="TCM-ROM SB1 BK05-ROM 4")*(ISNUMBER(SEARCH(TEXT('April TCM'!$B20,"00")&amp;"/03/2026",'Data Base hauling'!$E$2:$E$216)))*'Data Base hauling'!$N$2:$N$216)</f>
        <v>0</v>
      </c>
      <c r="HT20" s="27"/>
      <c r="HU20" s="27" cm="1">
        <f t="array" ref="HU20">SUMPRODUCT(('Data Base hauling'!$C$2:$C$216="TCM-ROM SB1 BK05-ROM 5")*(ISNUMBER(SEARCH(TEXT('April TCM'!$B20,"00")&amp;"/03/2026",'Data Base hauling'!$E$2:$E$216)))*'Data Base hauling'!$N$2:$N$216)</f>
        <v>0</v>
      </c>
      <c r="HV20" s="27"/>
      <c r="HW20" s="27"/>
      <c r="HX20" s="27"/>
      <c r="HY20" s="27"/>
      <c r="HZ20" s="27"/>
      <c r="IA20" s="33">
        <f t="shared" si="43"/>
        <v>0</v>
      </c>
      <c r="IB20" s="52"/>
      <c r="IC20" s="152"/>
      <c r="ID20" s="53"/>
      <c r="IE20" s="53"/>
      <c r="IF20" s="53"/>
      <c r="IG20" s="53"/>
      <c r="IH20" s="53">
        <v>1481.6499999999999</v>
      </c>
      <c r="II20" s="53"/>
      <c r="IJ20" s="1736">
        <v>2226.75</v>
      </c>
      <c r="IK20" s="53"/>
      <c r="IL20" s="53">
        <v>0</v>
      </c>
      <c r="IM20" s="53"/>
      <c r="IN20" s="53"/>
      <c r="IO20" s="49">
        <v>0</v>
      </c>
      <c r="IP20" s="61">
        <f t="shared" si="121"/>
        <v>3708.3999999999996</v>
      </c>
      <c r="IQ20" s="36"/>
      <c r="IR20" s="36"/>
      <c r="IS20" s="27"/>
      <c r="IT20" s="27"/>
      <c r="IU20" s="53"/>
      <c r="IV20" s="27"/>
      <c r="IW20" s="27">
        <v>0</v>
      </c>
      <c r="IX20" s="27"/>
      <c r="IY20" s="27">
        <v>2339.25</v>
      </c>
      <c r="IZ20" s="27"/>
      <c r="JA20" s="27">
        <v>242.4</v>
      </c>
      <c r="JB20" s="27"/>
      <c r="JC20" s="27"/>
      <c r="JD20" s="27"/>
      <c r="JE20" s="33">
        <f t="shared" si="122"/>
        <v>2581.65</v>
      </c>
      <c r="JF20" s="2667"/>
      <c r="JH20" s="2019">
        <v>3770.7</v>
      </c>
      <c r="JI20" s="2017">
        <v>4097.3</v>
      </c>
      <c r="JJ20" s="53"/>
      <c r="JK20" s="53">
        <f t="shared" si="123"/>
        <v>7868</v>
      </c>
      <c r="JL20" s="33"/>
      <c r="JM20" s="2669"/>
      <c r="JN20" s="69">
        <v>0</v>
      </c>
      <c r="JO20" s="70">
        <v>0</v>
      </c>
      <c r="JP20" s="70">
        <v>0</v>
      </c>
      <c r="JQ20" s="850">
        <v>4.3625851963826345E-2</v>
      </c>
      <c r="JR20" s="850">
        <v>0.9563741480361736</v>
      </c>
      <c r="JS20" s="850">
        <v>0</v>
      </c>
      <c r="JT20" s="70">
        <v>0</v>
      </c>
      <c r="JU20" s="1922">
        <v>0</v>
      </c>
      <c r="JV20" s="69">
        <v>0</v>
      </c>
      <c r="JW20" s="70">
        <v>0</v>
      </c>
      <c r="JX20" s="70">
        <v>0</v>
      </c>
      <c r="JY20" s="70">
        <v>0.32146779586556995</v>
      </c>
      <c r="JZ20" s="70">
        <v>0.23425182437214748</v>
      </c>
      <c r="KA20" s="70">
        <v>0.44428037976228246</v>
      </c>
      <c r="KB20" s="70">
        <v>0</v>
      </c>
      <c r="KC20" s="71">
        <v>0</v>
      </c>
      <c r="KD20" s="69"/>
      <c r="KE20" s="70"/>
      <c r="KF20" s="70"/>
      <c r="KG20" s="70"/>
      <c r="KH20" s="70"/>
      <c r="KI20" s="70"/>
      <c r="KJ20" s="70"/>
      <c r="KK20" s="70"/>
      <c r="KL20" s="33"/>
      <c r="KM20" s="2669"/>
      <c r="KN20" s="1739">
        <v>7026</v>
      </c>
      <c r="KO20" s="1721">
        <v>0.83999999999999986</v>
      </c>
      <c r="KP20" s="1721">
        <v>1.46</v>
      </c>
      <c r="KQ20" s="1721">
        <v>7.74</v>
      </c>
      <c r="KR20" s="1722">
        <v>10.812258</v>
      </c>
      <c r="KS20" s="1958">
        <v>6694</v>
      </c>
      <c r="KT20" s="1961">
        <v>1.59</v>
      </c>
      <c r="KU20" s="1961">
        <v>8.36</v>
      </c>
      <c r="KV20" s="1961">
        <v>5.68</v>
      </c>
      <c r="KW20" s="1962">
        <v>9.5659840000000003</v>
      </c>
      <c r="KX20" s="36"/>
      <c r="KY20" s="53"/>
      <c r="KZ20" s="53"/>
      <c r="LA20" s="53"/>
      <c r="LB20" s="53"/>
      <c r="LC20" s="33"/>
      <c r="LD20" s="2669"/>
      <c r="LF20" s="26">
        <f t="shared" si="47"/>
        <v>7438.67</v>
      </c>
      <c r="LG20" s="27">
        <f t="shared" si="47"/>
        <v>0</v>
      </c>
      <c r="LH20" s="27">
        <f t="shared" si="47"/>
        <v>0</v>
      </c>
      <c r="LI20" s="28">
        <f t="shared" si="48"/>
        <v>7438.67</v>
      </c>
      <c r="LJ20" s="36">
        <v>1</v>
      </c>
      <c r="LK20" s="27"/>
      <c r="LL20" s="27">
        <v>1</v>
      </c>
      <c r="LM20" s="33"/>
      <c r="LN20" s="1041">
        <v>6.87</v>
      </c>
      <c r="LO20" s="486"/>
      <c r="LP20" s="2688"/>
      <c r="LQ20" s="36">
        <v>7438.67</v>
      </c>
      <c r="LR20" s="36"/>
      <c r="LS20" s="27"/>
      <c r="LT20" s="27"/>
      <c r="LU20" s="27"/>
      <c r="LV20" s="1117">
        <f t="shared" si="49"/>
        <v>7438.67</v>
      </c>
      <c r="LW20" s="36"/>
      <c r="LX20" s="36"/>
      <c r="LY20" s="277"/>
      <c r="LZ20" s="27"/>
      <c r="MA20" s="33"/>
      <c r="MB20" s="28">
        <f t="shared" si="50"/>
        <v>0</v>
      </c>
      <c r="MC20" s="26"/>
      <c r="MD20" s="36"/>
      <c r="ME20" s="27"/>
      <c r="MF20" s="27"/>
      <c r="MG20" s="27"/>
      <c r="MH20" s="28"/>
      <c r="MI20" s="36"/>
      <c r="MJ20" s="36"/>
      <c r="MK20" s="27"/>
      <c r="ML20" s="27"/>
      <c r="MM20" s="27"/>
      <c r="MN20" s="28"/>
      <c r="MO20" s="36"/>
      <c r="MP20" s="36"/>
      <c r="MQ20" s="27"/>
      <c r="MR20" s="27"/>
      <c r="MS20" s="27"/>
      <c r="MT20" s="33">
        <f t="shared" si="51"/>
        <v>0</v>
      </c>
      <c r="MU20" s="2688"/>
      <c r="MW20" s="26">
        <f t="shared" si="52"/>
        <v>69178.469393306295</v>
      </c>
      <c r="MX20" s="27">
        <f t="shared" si="53"/>
        <v>119344.00380962022</v>
      </c>
      <c r="MY20" s="27">
        <f t="shared" si="54"/>
        <v>19727.226980961226</v>
      </c>
      <c r="MZ20" s="28">
        <f t="shared" si="55"/>
        <v>427838.33855851006</v>
      </c>
      <c r="NA20" s="2621"/>
      <c r="NB20" s="23">
        <f t="shared" si="56"/>
        <v>15705.633361311264</v>
      </c>
      <c r="NC20" s="1579">
        <f t="shared" si="57"/>
        <v>53472.836031995037</v>
      </c>
      <c r="ND20" s="60">
        <f t="shared" si="58"/>
        <v>0</v>
      </c>
      <c r="NE20" s="275">
        <f t="shared" si="4"/>
        <v>69178.469393306295</v>
      </c>
      <c r="NF20" s="26">
        <f t="shared" si="59"/>
        <v>0</v>
      </c>
      <c r="NG20" s="27">
        <f t="shared" si="59"/>
        <v>0</v>
      </c>
      <c r="NH20" s="27">
        <f t="shared" si="59"/>
        <v>0</v>
      </c>
      <c r="NI20" s="27">
        <f t="shared" si="59"/>
        <v>0</v>
      </c>
      <c r="NJ20" s="27">
        <f t="shared" si="59"/>
        <v>0</v>
      </c>
      <c r="NK20" s="33">
        <f t="shared" si="59"/>
        <v>0</v>
      </c>
      <c r="NL20" s="27">
        <f t="shared" si="59"/>
        <v>0</v>
      </c>
      <c r="NM20" s="36">
        <f t="shared" si="59"/>
        <v>0</v>
      </c>
      <c r="NN20" s="24">
        <f t="shared" si="59"/>
        <v>13329.680566563144</v>
      </c>
      <c r="NO20" s="27">
        <f t="shared" si="59"/>
        <v>26196.69549600617</v>
      </c>
      <c r="NP20" s="24">
        <f t="shared" si="108"/>
        <v>8756.5482322711578</v>
      </c>
      <c r="NQ20" s="24">
        <f t="shared" si="112"/>
        <v>31793.214118033411</v>
      </c>
      <c r="NR20" s="27">
        <f t="shared" si="0"/>
        <v>80076.138412873886</v>
      </c>
      <c r="NS20" s="27">
        <f t="shared" si="60"/>
        <v>0</v>
      </c>
      <c r="NT20" s="27">
        <f t="shared" si="60"/>
        <v>0</v>
      </c>
      <c r="NU20" s="27">
        <f t="shared" si="60"/>
        <v>0</v>
      </c>
      <c r="NV20" s="27">
        <f t="shared" si="60"/>
        <v>0</v>
      </c>
      <c r="NW20" s="27">
        <f t="shared" si="60"/>
        <v>0</v>
      </c>
      <c r="NX20" s="27">
        <f t="shared" si="60"/>
        <v>0</v>
      </c>
      <c r="NY20" s="27">
        <f t="shared" si="60"/>
        <v>6302.0536022929136</v>
      </c>
      <c r="NZ20" s="27">
        <f t="shared" si="60"/>
        <v>0</v>
      </c>
      <c r="OA20" s="27">
        <f t="shared" si="60"/>
        <v>17026.038066782829</v>
      </c>
      <c r="OB20" s="280"/>
      <c r="OC20" s="24">
        <f t="shared" si="61"/>
        <v>349.54339982995594</v>
      </c>
      <c r="OD20" s="27">
        <f t="shared" si="61"/>
        <v>0</v>
      </c>
      <c r="OE20" s="28">
        <f t="shared" si="1"/>
        <v>23677.6350689057</v>
      </c>
      <c r="OF20" s="27">
        <f t="shared" si="62"/>
        <v>0</v>
      </c>
      <c r="OG20" s="27">
        <f t="shared" si="62"/>
        <v>0</v>
      </c>
      <c r="OH20" s="27">
        <v>0</v>
      </c>
      <c r="OI20" s="27">
        <f t="shared" si="62"/>
        <v>0</v>
      </c>
      <c r="OJ20" s="27">
        <f t="shared" si="62"/>
        <v>0</v>
      </c>
      <c r="OK20" s="27">
        <f t="shared" si="62"/>
        <v>0</v>
      </c>
      <c r="OL20" s="24">
        <f t="shared" si="62"/>
        <v>0</v>
      </c>
      <c r="OM20" s="27">
        <f t="shared" si="62"/>
        <v>0</v>
      </c>
      <c r="ON20" s="24">
        <f t="shared" si="62"/>
        <v>13363.966218026508</v>
      </c>
      <c r="OO20" s="27">
        <f t="shared" si="62"/>
        <v>0</v>
      </c>
      <c r="OP20" s="27">
        <f t="shared" si="62"/>
        <v>2226.2641098141271</v>
      </c>
      <c r="OQ20" s="27">
        <f t="shared" si="62"/>
        <v>0</v>
      </c>
      <c r="OR20" s="28">
        <f t="shared" si="2"/>
        <v>15590.230327840634</v>
      </c>
      <c r="OS20" s="36"/>
      <c r="OT20" s="27"/>
      <c r="OU20" s="27"/>
      <c r="OV20" s="27"/>
      <c r="OW20" s="27"/>
      <c r="OX20" s="27"/>
      <c r="OY20" s="28">
        <f t="shared" si="63"/>
        <v>0</v>
      </c>
      <c r="OZ20" s="36">
        <f t="shared" si="113"/>
        <v>0</v>
      </c>
      <c r="PA20" s="27">
        <f t="shared" si="114"/>
        <v>0</v>
      </c>
      <c r="PB20" s="27">
        <f t="shared" si="115"/>
        <v>0</v>
      </c>
      <c r="PC20" s="27">
        <f t="shared" si="116"/>
        <v>0</v>
      </c>
      <c r="PD20" s="27">
        <f t="shared" si="117"/>
        <v>0</v>
      </c>
      <c r="PE20" s="27">
        <f t="shared" si="118"/>
        <v>0</v>
      </c>
      <c r="PF20" s="33">
        <f t="shared" si="3"/>
        <v>0</v>
      </c>
      <c r="PG20" s="2621"/>
      <c r="PI20" s="2115">
        <v>1854.94</v>
      </c>
      <c r="PJ20" s="3"/>
      <c r="PK20" s="3"/>
      <c r="PL20" s="3">
        <f t="shared" si="70"/>
        <v>0</v>
      </c>
      <c r="PM20" s="3">
        <f t="shared" si="71"/>
        <v>16046.588459344186</v>
      </c>
      <c r="PN20" s="11">
        <f t="shared" si="72"/>
        <v>19727.226980961226</v>
      </c>
      <c r="PO20" s="15"/>
      <c r="PP20" s="2615"/>
      <c r="PR20" s="4"/>
      <c r="PS20" s="9"/>
      <c r="PT20" s="9"/>
      <c r="PU20" s="9"/>
      <c r="PV20" s="9">
        <v>0</v>
      </c>
      <c r="PW20" s="9"/>
      <c r="PX20" s="8">
        <f t="shared" si="73"/>
        <v>0</v>
      </c>
      <c r="PY20" s="5">
        <f t="shared" si="74"/>
        <v>1854.94</v>
      </c>
      <c r="PZ20" s="5"/>
      <c r="QA20" s="5"/>
      <c r="QB20" s="5"/>
      <c r="QC20" s="5"/>
      <c r="QD20" s="5"/>
      <c r="QE20" s="12">
        <f t="shared" si="75"/>
        <v>29562.488999999998</v>
      </c>
      <c r="QF20" s="420">
        <f t="shared" si="76"/>
        <v>397781.42955851008</v>
      </c>
      <c r="QG20" s="1106">
        <f t="shared" si="77"/>
        <v>494.41999999999996</v>
      </c>
      <c r="QH20" s="484">
        <f t="shared" si="78"/>
        <v>5505.3678056099998</v>
      </c>
      <c r="QI20" s="12"/>
      <c r="QJ20" s="2615"/>
      <c r="QL20" s="139">
        <f t="shared" si="79"/>
        <v>0</v>
      </c>
      <c r="QM20" s="139" t="str">
        <f t="shared" si="80"/>
        <v/>
      </c>
      <c r="QO20" s="139">
        <f t="shared" si="81"/>
        <v>0</v>
      </c>
      <c r="QP20" s="139">
        <f t="shared" si="82"/>
        <v>0</v>
      </c>
      <c r="QR20" s="1">
        <f t="shared" si="83"/>
        <v>0</v>
      </c>
      <c r="QS20" s="1">
        <f t="shared" si="84"/>
        <v>0</v>
      </c>
      <c r="QT20" s="1">
        <f t="shared" si="85"/>
        <v>0</v>
      </c>
      <c r="QU20" s="1">
        <f t="shared" si="86"/>
        <v>0</v>
      </c>
      <c r="QV20" s="1">
        <f t="shared" si="87"/>
        <v>0</v>
      </c>
      <c r="QW20" s="1">
        <f t="shared" si="88"/>
        <v>0</v>
      </c>
      <c r="QY20" s="1">
        <f t="shared" si="89"/>
        <v>0</v>
      </c>
      <c r="QZ20" s="1">
        <f t="shared" si="90"/>
        <v>0</v>
      </c>
      <c r="RA20" s="1">
        <f t="shared" si="91"/>
        <v>0</v>
      </c>
      <c r="RB20" s="1">
        <f t="shared" si="92"/>
        <v>0</v>
      </c>
      <c r="RC20" s="1">
        <f t="shared" si="93"/>
        <v>0</v>
      </c>
      <c r="RD20" s="1">
        <f t="shared" si="94"/>
        <v>0</v>
      </c>
      <c r="RG20" s="1">
        <v>11</v>
      </c>
      <c r="RH20" s="1">
        <f t="shared" si="124"/>
        <v>8658.5252097170978</v>
      </c>
      <c r="RI20" s="1">
        <f t="shared" si="124"/>
        <v>9171.4017804837185</v>
      </c>
      <c r="RJ20" s="1">
        <f t="shared" si="124"/>
        <v>13404.263703387322</v>
      </c>
      <c r="RK20" s="89">
        <f t="shared" si="5"/>
        <v>31234.190693588138</v>
      </c>
      <c r="RL20" s="1033">
        <v>11</v>
      </c>
      <c r="RM20" s="1098">
        <f t="shared" si="96"/>
        <v>0</v>
      </c>
      <c r="RN20" s="1098">
        <f t="shared" si="97"/>
        <v>0</v>
      </c>
      <c r="RO20" s="1097">
        <f t="shared" si="97"/>
        <v>0</v>
      </c>
      <c r="RP20" s="1097">
        <f t="shared" si="98"/>
        <v>5273.21</v>
      </c>
      <c r="RQ20" s="1109"/>
      <c r="RR20" s="1046" t="s">
        <v>889</v>
      </c>
      <c r="RU20" s="421">
        <v>11</v>
      </c>
      <c r="RV20" s="1095">
        <f t="shared" si="99"/>
        <v>7868</v>
      </c>
      <c r="RW20" s="1046" t="s">
        <v>890</v>
      </c>
      <c r="RY20" s="1090"/>
      <c r="RZ20" s="1090">
        <f t="shared" si="100"/>
        <v>0</v>
      </c>
      <c r="SA20" s="1090"/>
      <c r="SB20" s="1090">
        <f t="shared" si="101"/>
        <v>0</v>
      </c>
      <c r="SD20" s="1">
        <v>11</v>
      </c>
      <c r="SE20" s="1">
        <f t="shared" si="102"/>
        <v>0</v>
      </c>
      <c r="SF20" s="1094"/>
    </row>
    <row r="21" spans="1:500" s="1" customFormat="1" ht="16.95" customHeight="1">
      <c r="B21" s="471">
        <v>12</v>
      </c>
      <c r="C21" s="4">
        <f t="shared" si="6"/>
        <v>103883</v>
      </c>
      <c r="D21" s="1590">
        <f t="shared" si="119"/>
        <v>4449.0599999999995</v>
      </c>
      <c r="E21" s="1895">
        <f t="shared" si="7"/>
        <v>23.349426620454661</v>
      </c>
      <c r="F21" s="870"/>
      <c r="G21" s="870"/>
      <c r="H21" s="52">
        <v>51</v>
      </c>
      <c r="I21" s="61">
        <v>7.67</v>
      </c>
      <c r="J21" s="52"/>
      <c r="K21" s="54"/>
      <c r="L21" s="52">
        <v>52.17</v>
      </c>
      <c r="M21" s="61">
        <v>12.04</v>
      </c>
      <c r="N21" s="2629"/>
      <c r="O21" s="4">
        <f t="shared" si="104"/>
        <v>60102</v>
      </c>
      <c r="P21" s="1225">
        <f t="shared" si="8"/>
        <v>2911.9199999999996</v>
      </c>
      <c r="Q21" s="1913">
        <f t="shared" si="9"/>
        <v>20.639990109618399</v>
      </c>
      <c r="R21" s="33"/>
      <c r="S21" s="26">
        <f t="shared" si="10"/>
        <v>18668</v>
      </c>
      <c r="T21" s="27">
        <f t="shared" si="11"/>
        <v>297.14</v>
      </c>
      <c r="U21" s="1909">
        <f t="shared" si="12"/>
        <v>62.825604092347042</v>
      </c>
      <c r="V21" s="28"/>
      <c r="W21" s="1742">
        <f t="shared" si="13"/>
        <v>25113</v>
      </c>
      <c r="X21" s="5">
        <f t="shared" si="13"/>
        <v>1240</v>
      </c>
      <c r="Y21" s="325">
        <f t="shared" si="14"/>
        <v>20.252419354838711</v>
      </c>
      <c r="Z21" s="33"/>
      <c r="AA21" s="26">
        <f t="shared" si="15"/>
        <v>0</v>
      </c>
      <c r="AB21" s="27">
        <f t="shared" si="16"/>
        <v>0</v>
      </c>
      <c r="AC21" s="53">
        <f t="shared" si="17"/>
        <v>0</v>
      </c>
      <c r="AD21" s="28"/>
      <c r="AE21" s="36"/>
      <c r="AF21" s="36"/>
      <c r="AG21" s="53">
        <f t="shared" si="18"/>
        <v>0</v>
      </c>
      <c r="AH21" s="28"/>
      <c r="AI21" s="26"/>
      <c r="AJ21" s="27"/>
      <c r="AK21" s="53">
        <f t="shared" si="19"/>
        <v>0</v>
      </c>
      <c r="AL21" s="28"/>
      <c r="AM21" s="2629"/>
      <c r="AN21" s="9"/>
      <c r="AO21" s="5"/>
      <c r="AP21" s="61">
        <f t="shared" si="20"/>
        <v>0</v>
      </c>
      <c r="AQ21" s="36"/>
      <c r="AR21" s="53"/>
      <c r="AS21" s="61">
        <f t="shared" si="21"/>
        <v>0</v>
      </c>
      <c r="AT21" s="36">
        <v>0</v>
      </c>
      <c r="AU21" s="27"/>
      <c r="AV21" s="54">
        <f t="shared" si="22"/>
        <v>0</v>
      </c>
      <c r="AW21" s="26">
        <v>33432</v>
      </c>
      <c r="AX21" s="27">
        <v>2627.9999999999995</v>
      </c>
      <c r="AY21" s="1895">
        <v>12.721461187214613</v>
      </c>
      <c r="AZ21" s="1908"/>
      <c r="BA21" s="1909"/>
      <c r="BB21" s="1895">
        <v>0</v>
      </c>
      <c r="BC21" s="1740">
        <v>26670</v>
      </c>
      <c r="BD21" s="1736">
        <v>283.92</v>
      </c>
      <c r="BE21" s="1895">
        <v>93.934911242603548</v>
      </c>
      <c r="BF21" s="1908"/>
      <c r="BG21" s="1909"/>
      <c r="BH21" s="1895">
        <v>0</v>
      </c>
      <c r="BI21" s="1908">
        <v>0</v>
      </c>
      <c r="BJ21" s="1909">
        <v>0</v>
      </c>
      <c r="BK21" s="1895">
        <v>0</v>
      </c>
      <c r="BL21" s="1742">
        <v>18668</v>
      </c>
      <c r="BM21" s="1909">
        <v>297.14</v>
      </c>
      <c r="BN21" s="1911">
        <v>62.825604092347042</v>
      </c>
      <c r="BO21" s="9"/>
      <c r="BP21" s="64"/>
      <c r="BQ21" s="482">
        <v>0</v>
      </c>
      <c r="BR21" s="9"/>
      <c r="BS21" s="53"/>
      <c r="BT21" s="482">
        <v>0</v>
      </c>
      <c r="BU21" s="9">
        <v>25113</v>
      </c>
      <c r="BV21" s="27">
        <v>1240</v>
      </c>
      <c r="BW21" s="1051">
        <v>20.252419354838711</v>
      </c>
      <c r="BX21" s="26"/>
      <c r="BY21" s="27"/>
      <c r="BZ21" s="482">
        <f t="shared" si="23"/>
        <v>0</v>
      </c>
      <c r="CA21" s="9"/>
      <c r="CB21" s="481"/>
      <c r="CC21" s="482">
        <f t="shared" si="24"/>
        <v>0</v>
      </c>
      <c r="CD21" s="4"/>
      <c r="CE21" s="5"/>
      <c r="CF21" s="28">
        <f t="shared" si="25"/>
        <v>0</v>
      </c>
      <c r="CG21" s="150"/>
      <c r="CH21" s="4"/>
      <c r="CI21" s="5"/>
      <c r="CJ21" s="5">
        <v>972</v>
      </c>
      <c r="CK21" s="5"/>
      <c r="CL21" s="5"/>
      <c r="CM21" s="5">
        <f t="shared" si="26"/>
        <v>972</v>
      </c>
      <c r="CN21" s="33"/>
      <c r="CO21" s="366"/>
      <c r="CQ21" s="4">
        <f t="shared" si="27"/>
        <v>0</v>
      </c>
      <c r="CR21" s="9">
        <f t="shared" si="27"/>
        <v>0</v>
      </c>
      <c r="CS21" s="5">
        <f t="shared" si="27"/>
        <v>0</v>
      </c>
      <c r="CT21" s="5">
        <f t="shared" si="27"/>
        <v>0</v>
      </c>
      <c r="CU21" s="5">
        <f t="shared" si="27"/>
        <v>0</v>
      </c>
      <c r="CV21" s="5">
        <f t="shared" si="27"/>
        <v>0</v>
      </c>
      <c r="CW21" s="5">
        <f t="shared" si="27"/>
        <v>1164.92</v>
      </c>
      <c r="CX21" s="5">
        <f t="shared" si="27"/>
        <v>0</v>
      </c>
      <c r="CY21" s="5">
        <f t="shared" si="27"/>
        <v>2044.14</v>
      </c>
      <c r="CZ21" s="5">
        <f t="shared" si="27"/>
        <v>0</v>
      </c>
      <c r="DA21" s="5">
        <f t="shared" si="111"/>
        <v>1240</v>
      </c>
      <c r="DB21" s="12">
        <f t="shared" si="111"/>
        <v>0</v>
      </c>
      <c r="DC21" s="310">
        <f t="shared" si="28"/>
        <v>4449.0600000000004</v>
      </c>
      <c r="DD21" s="2695"/>
      <c r="DE21" s="8"/>
      <c r="DF21" s="9"/>
      <c r="DG21" s="5"/>
      <c r="DH21" s="5"/>
      <c r="DI21" s="5"/>
      <c r="DJ21" s="5"/>
      <c r="DK21" s="5">
        <v>1164.92</v>
      </c>
      <c r="DL21" s="5"/>
      <c r="DM21" s="5">
        <v>1463.0800000000002</v>
      </c>
      <c r="DN21" s="5"/>
      <c r="DO21" s="5"/>
      <c r="DP21" s="12"/>
      <c r="DQ21" s="28">
        <f t="shared" si="29"/>
        <v>2628</v>
      </c>
      <c r="DR21" s="36"/>
      <c r="DS21" s="36"/>
      <c r="DT21" s="53"/>
      <c r="DU21" s="27"/>
      <c r="DV21" s="5"/>
      <c r="DW21" s="5"/>
      <c r="DX21" s="5"/>
      <c r="DY21" s="5"/>
      <c r="DZ21" s="5">
        <v>581.05999999999995</v>
      </c>
      <c r="EA21" s="27"/>
      <c r="EB21" s="27">
        <v>0</v>
      </c>
      <c r="EC21" s="33"/>
      <c r="ED21" s="28">
        <f t="shared" si="30"/>
        <v>581.05999999999995</v>
      </c>
      <c r="EE21" s="9"/>
      <c r="EF21" s="36"/>
      <c r="EG21" s="5"/>
      <c r="EH21" s="313"/>
      <c r="EI21" s="27"/>
      <c r="EJ21" s="27"/>
      <c r="EK21" s="27"/>
      <c r="EL21" s="27"/>
      <c r="EM21" s="5"/>
      <c r="EN21" s="5"/>
      <c r="EO21" s="5">
        <v>1240</v>
      </c>
      <c r="EP21" s="33"/>
      <c r="EQ21" s="28">
        <f t="shared" si="31"/>
        <v>1240</v>
      </c>
      <c r="ER21" s="36"/>
      <c r="ES21" s="27"/>
      <c r="ET21" s="27"/>
      <c r="EU21" s="27"/>
      <c r="EV21" s="27"/>
      <c r="EW21" s="27"/>
      <c r="EX21" s="33">
        <f t="shared" si="32"/>
        <v>0</v>
      </c>
      <c r="EY21" s="2685"/>
      <c r="FA21" s="4">
        <f t="shared" si="33"/>
        <v>0</v>
      </c>
      <c r="FB21" s="5">
        <f t="shared" si="34"/>
        <v>0</v>
      </c>
      <c r="FC21" s="5">
        <f t="shared" si="35"/>
        <v>0</v>
      </c>
      <c r="FD21" s="12">
        <f t="shared" si="36"/>
        <v>0</v>
      </c>
      <c r="FE21" s="33"/>
      <c r="FF21" s="2674"/>
      <c r="FG21" s="9"/>
      <c r="FH21" s="5"/>
      <c r="FI21" s="5"/>
      <c r="FJ21" s="5"/>
      <c r="FK21" s="5"/>
      <c r="FL21" s="27"/>
      <c r="FM21" s="28">
        <f t="shared" si="37"/>
        <v>0</v>
      </c>
      <c r="FN21" s="36"/>
      <c r="FO21" s="27"/>
      <c r="FP21" s="27"/>
      <c r="FQ21" s="27"/>
      <c r="FR21" s="27"/>
      <c r="FS21" s="27"/>
      <c r="FT21" s="28">
        <f t="shared" si="38"/>
        <v>0</v>
      </c>
      <c r="FU21" s="36"/>
      <c r="FV21" s="36"/>
      <c r="FW21" s="27"/>
      <c r="FX21" s="27"/>
      <c r="FY21" s="27"/>
      <c r="FZ21" s="27"/>
      <c r="GA21" s="27"/>
      <c r="GB21" s="27"/>
      <c r="GC21" s="27"/>
      <c r="GD21" s="27"/>
      <c r="GE21" s="27"/>
      <c r="GF21" s="33"/>
      <c r="GG21" s="33">
        <f t="shared" si="39"/>
        <v>0</v>
      </c>
      <c r="GH21" s="2674"/>
      <c r="GJ21" s="2">
        <f t="shared" si="105"/>
        <v>0</v>
      </c>
      <c r="GK21" s="63">
        <f t="shared" si="106"/>
        <v>3349.3</v>
      </c>
      <c r="GL21" s="24">
        <f t="shared" si="107"/>
        <v>2775.7200000000003</v>
      </c>
      <c r="GM21" s="1736">
        <f t="shared" si="40"/>
        <v>6125.02</v>
      </c>
      <c r="GN21" s="141"/>
      <c r="GO21" s="141"/>
      <c r="GP21" s="33"/>
      <c r="GQ21" s="2667"/>
      <c r="GR21" s="1940">
        <v>6125.02</v>
      </c>
      <c r="GS21" s="1590">
        <v>0</v>
      </c>
      <c r="GT21" s="1590">
        <v>0</v>
      </c>
      <c r="GU21" s="1736">
        <v>0</v>
      </c>
      <c r="GV21" s="54">
        <f t="shared" si="41"/>
        <v>6125.02</v>
      </c>
      <c r="GW21" s="2667"/>
      <c r="GX21" s="36"/>
      <c r="GY21" s="36"/>
      <c r="GZ21" s="27"/>
      <c r="HA21" s="27"/>
      <c r="HB21" s="27"/>
      <c r="HC21" s="27"/>
      <c r="HD21" s="27"/>
      <c r="HE21" s="27"/>
      <c r="HF21" s="27">
        <v>0</v>
      </c>
      <c r="HG21" s="27"/>
      <c r="HH21" s="27">
        <v>0</v>
      </c>
      <c r="HI21" s="27"/>
      <c r="HJ21" s="27">
        <v>0</v>
      </c>
      <c r="HK21" s="27"/>
      <c r="HL21" s="28">
        <f t="shared" si="120"/>
        <v>0</v>
      </c>
      <c r="HM21" s="36"/>
      <c r="HN21" s="27"/>
      <c r="HO21" s="27"/>
      <c r="HP21" s="27"/>
      <c r="HQ21" s="27"/>
      <c r="HR21" s="27"/>
      <c r="HS21" s="27" cm="1">
        <f t="array" ref="HS21">SUMPRODUCT(('Data Base hauling'!$C$2:$C$216="TCM-ROM SB1 BK05-ROM 4")*(ISNUMBER(SEARCH(TEXT('April TCM'!$B21,"00")&amp;"/03/2026",'Data Base hauling'!$E$2:$E$216)))*'Data Base hauling'!$N$2:$N$216)</f>
        <v>0</v>
      </c>
      <c r="HT21" s="27"/>
      <c r="HU21" s="27" cm="1">
        <f t="array" ref="HU21">SUMPRODUCT(('Data Base hauling'!$C$2:$C$216="TCM-ROM SB1 BK05-ROM 5")*(ISNUMBER(SEARCH(TEXT('April TCM'!$B21,"00")&amp;"/03/2026",'Data Base hauling'!$E$2:$E$216)))*'Data Base hauling'!$N$2:$N$216)</f>
        <v>0</v>
      </c>
      <c r="HV21" s="27"/>
      <c r="HW21" s="27"/>
      <c r="HX21" s="27"/>
      <c r="HY21" s="27"/>
      <c r="HZ21" s="27"/>
      <c r="IA21" s="33">
        <f t="shared" si="43"/>
        <v>0</v>
      </c>
      <c r="IB21" s="52"/>
      <c r="IC21" s="152"/>
      <c r="ID21" s="53"/>
      <c r="IE21" s="53"/>
      <c r="IF21" s="53"/>
      <c r="IG21" s="53"/>
      <c r="IH21" s="53">
        <v>0</v>
      </c>
      <c r="II21" s="53"/>
      <c r="IJ21" s="1736">
        <v>3349.3</v>
      </c>
      <c r="IK21" s="53"/>
      <c r="IL21" s="53">
        <v>0</v>
      </c>
      <c r="IM21" s="53"/>
      <c r="IN21" s="53"/>
      <c r="IO21" s="49">
        <v>0</v>
      </c>
      <c r="IP21" s="61">
        <f t="shared" si="121"/>
        <v>3349.3</v>
      </c>
      <c r="IQ21" s="36"/>
      <c r="IR21" s="36"/>
      <c r="IS21" s="27"/>
      <c r="IT21" s="27"/>
      <c r="IU21" s="53"/>
      <c r="IV21" s="27"/>
      <c r="IW21" s="27">
        <v>0</v>
      </c>
      <c r="IX21" s="27"/>
      <c r="IY21" s="27">
        <v>2775.7200000000003</v>
      </c>
      <c r="IZ21" s="27"/>
      <c r="JA21" s="27">
        <v>0</v>
      </c>
      <c r="JB21" s="27"/>
      <c r="JC21" s="27"/>
      <c r="JD21" s="27"/>
      <c r="JE21" s="33">
        <f t="shared" si="122"/>
        <v>2775.7200000000003</v>
      </c>
      <c r="JF21" s="2667"/>
      <c r="JH21" s="2019">
        <v>6125.02</v>
      </c>
      <c r="JI21" s="2017">
        <v>0</v>
      </c>
      <c r="JJ21" s="53"/>
      <c r="JK21" s="53">
        <f t="shared" si="123"/>
        <v>6125.02</v>
      </c>
      <c r="JL21" s="33"/>
      <c r="JM21" s="2669"/>
      <c r="JN21" s="69">
        <v>0</v>
      </c>
      <c r="JO21" s="70">
        <v>0</v>
      </c>
      <c r="JP21" s="70">
        <v>0</v>
      </c>
      <c r="JQ21" s="850">
        <v>0</v>
      </c>
      <c r="JR21" s="850">
        <v>1</v>
      </c>
      <c r="JS21" s="850">
        <v>0</v>
      </c>
      <c r="JT21" s="70">
        <v>0</v>
      </c>
      <c r="JU21" s="1922">
        <v>0</v>
      </c>
      <c r="JV21" s="69" t="s">
        <v>296</v>
      </c>
      <c r="JW21" s="70" t="s">
        <v>296</v>
      </c>
      <c r="JX21" s="70" t="s">
        <v>296</v>
      </c>
      <c r="JY21" s="70" t="s">
        <v>296</v>
      </c>
      <c r="JZ21" s="70" t="s">
        <v>296</v>
      </c>
      <c r="KA21" s="70" t="s">
        <v>296</v>
      </c>
      <c r="KB21" s="70" t="s">
        <v>296</v>
      </c>
      <c r="KC21" s="71" t="s">
        <v>296</v>
      </c>
      <c r="KD21" s="69"/>
      <c r="KE21" s="70"/>
      <c r="KF21" s="70"/>
      <c r="KG21" s="70"/>
      <c r="KH21" s="70"/>
      <c r="KI21" s="70"/>
      <c r="KJ21" s="70"/>
      <c r="KK21" s="70"/>
      <c r="KL21" s="33"/>
      <c r="KM21" s="2669"/>
      <c r="KN21" s="1739">
        <v>7095.6085004009619</v>
      </c>
      <c r="KO21" s="1721">
        <v>0.9508163592622294</v>
      </c>
      <c r="KP21" s="1721">
        <v>2.2121283079390537</v>
      </c>
      <c r="KQ21" s="1721">
        <v>7.433677626303127</v>
      </c>
      <c r="KR21" s="1722">
        <v>13.575777854691259</v>
      </c>
      <c r="KS21" s="1958">
        <v>0</v>
      </c>
      <c r="KT21" s="1961">
        <v>0</v>
      </c>
      <c r="KU21" s="1961">
        <v>0</v>
      </c>
      <c r="KV21" s="1961">
        <v>0</v>
      </c>
      <c r="KW21" s="1962">
        <v>0</v>
      </c>
      <c r="KX21" s="36"/>
      <c r="KY21" s="53"/>
      <c r="KZ21" s="53"/>
      <c r="LA21" s="53"/>
      <c r="LB21" s="53"/>
      <c r="LC21" s="33"/>
      <c r="LD21" s="2669"/>
      <c r="LF21" s="26">
        <f t="shared" si="47"/>
        <v>0</v>
      </c>
      <c r="LG21" s="27">
        <f t="shared" si="47"/>
        <v>0</v>
      </c>
      <c r="LH21" s="27">
        <f t="shared" si="47"/>
        <v>0</v>
      </c>
      <c r="LI21" s="28">
        <f t="shared" si="48"/>
        <v>0</v>
      </c>
      <c r="LJ21" s="36"/>
      <c r="LK21" s="27"/>
      <c r="LL21" s="27">
        <v>1</v>
      </c>
      <c r="LM21" s="33"/>
      <c r="LN21" s="1041">
        <v>6.97</v>
      </c>
      <c r="LO21" s="486" t="s">
        <v>680</v>
      </c>
      <c r="LP21" s="2688"/>
      <c r="LQ21" s="36"/>
      <c r="LR21" s="36"/>
      <c r="LS21" s="27"/>
      <c r="LT21" s="27"/>
      <c r="LU21" s="27"/>
      <c r="LV21" s="1117">
        <f t="shared" si="49"/>
        <v>0</v>
      </c>
      <c r="LW21" s="36"/>
      <c r="LX21" s="36"/>
      <c r="LY21" s="27"/>
      <c r="LZ21" s="27"/>
      <c r="MA21" s="33"/>
      <c r="MB21" s="28">
        <f t="shared" si="50"/>
        <v>0</v>
      </c>
      <c r="MC21" s="26"/>
      <c r="MD21" s="36"/>
      <c r="ME21" s="27"/>
      <c r="MF21" s="27"/>
      <c r="MG21" s="27"/>
      <c r="MH21" s="28"/>
      <c r="MI21" s="36"/>
      <c r="MJ21" s="36"/>
      <c r="MK21" s="27"/>
      <c r="ML21" s="27"/>
      <c r="MM21" s="27"/>
      <c r="MN21" s="28"/>
      <c r="MO21" s="36"/>
      <c r="MP21" s="36"/>
      <c r="MQ21" s="27"/>
      <c r="MR21" s="27"/>
      <c r="MS21" s="27"/>
      <c r="MT21" s="33">
        <f t="shared" si="51"/>
        <v>0</v>
      </c>
      <c r="MU21" s="2688"/>
      <c r="MW21" s="26">
        <f t="shared" si="52"/>
        <v>75303.489393306299</v>
      </c>
      <c r="MX21" s="27">
        <f t="shared" si="53"/>
        <v>117668.04380962021</v>
      </c>
      <c r="MY21" s="27">
        <f t="shared" si="54"/>
        <v>19727.226980961226</v>
      </c>
      <c r="MZ21" s="28">
        <f t="shared" si="55"/>
        <v>426437.21855851007</v>
      </c>
      <c r="NA21" s="2621"/>
      <c r="NB21" s="23">
        <f t="shared" si="56"/>
        <v>21830.653361311262</v>
      </c>
      <c r="NC21" s="1579">
        <f t="shared" si="57"/>
        <v>53472.836031995037</v>
      </c>
      <c r="ND21" s="60">
        <f t="shared" si="58"/>
        <v>0</v>
      </c>
      <c r="NE21" s="275">
        <f t="shared" si="4"/>
        <v>75303.489393306299</v>
      </c>
      <c r="NF21" s="26">
        <f t="shared" si="59"/>
        <v>0</v>
      </c>
      <c r="NG21" s="27">
        <f t="shared" si="59"/>
        <v>0</v>
      </c>
      <c r="NH21" s="27">
        <f t="shared" si="59"/>
        <v>0</v>
      </c>
      <c r="NI21" s="27">
        <f t="shared" si="59"/>
        <v>0</v>
      </c>
      <c r="NJ21" s="27">
        <f t="shared" si="59"/>
        <v>0</v>
      </c>
      <c r="NK21" s="33">
        <f t="shared" si="59"/>
        <v>0</v>
      </c>
      <c r="NL21" s="27">
        <f t="shared" si="59"/>
        <v>0</v>
      </c>
      <c r="NM21" s="36">
        <f t="shared" si="59"/>
        <v>0</v>
      </c>
      <c r="NN21" s="24">
        <f t="shared" si="59"/>
        <v>13329.680566563144</v>
      </c>
      <c r="NO21" s="27">
        <f t="shared" si="59"/>
        <v>26196.69549600617</v>
      </c>
      <c r="NP21" s="24">
        <f t="shared" si="108"/>
        <v>8756.5482322711578</v>
      </c>
      <c r="NQ21" s="24">
        <f t="shared" si="112"/>
        <v>33033.214118033415</v>
      </c>
      <c r="NR21" s="27">
        <f t="shared" si="0"/>
        <v>81316.138412873886</v>
      </c>
      <c r="NS21" s="27">
        <f t="shared" si="60"/>
        <v>0</v>
      </c>
      <c r="NT21" s="27">
        <f t="shared" si="60"/>
        <v>0</v>
      </c>
      <c r="NU21" s="27">
        <f t="shared" si="60"/>
        <v>0</v>
      </c>
      <c r="NV21" s="27">
        <f t="shared" si="60"/>
        <v>0</v>
      </c>
      <c r="NW21" s="27">
        <f t="shared" si="60"/>
        <v>0</v>
      </c>
      <c r="NX21" s="27">
        <f t="shared" si="60"/>
        <v>0</v>
      </c>
      <c r="NY21" s="27">
        <f t="shared" si="60"/>
        <v>7466.9736022929137</v>
      </c>
      <c r="NZ21" s="27">
        <f t="shared" si="60"/>
        <v>0</v>
      </c>
      <c r="OA21" s="27">
        <f t="shared" si="60"/>
        <v>15139.818066782831</v>
      </c>
      <c r="OB21" s="280"/>
      <c r="OC21" s="24">
        <f t="shared" si="61"/>
        <v>349.54339982995594</v>
      </c>
      <c r="OD21" s="27">
        <f t="shared" si="61"/>
        <v>0</v>
      </c>
      <c r="OE21" s="28">
        <f t="shared" si="1"/>
        <v>22956.335068905701</v>
      </c>
      <c r="OF21" s="27">
        <f t="shared" si="62"/>
        <v>0</v>
      </c>
      <c r="OG21" s="27">
        <f t="shared" si="62"/>
        <v>0</v>
      </c>
      <c r="OH21" s="27">
        <f>+OH20+DT21+FW21-IS21</f>
        <v>0</v>
      </c>
      <c r="OI21" s="27">
        <f t="shared" si="62"/>
        <v>0</v>
      </c>
      <c r="OJ21" s="27">
        <f t="shared" si="62"/>
        <v>0</v>
      </c>
      <c r="OK21" s="27">
        <f t="shared" si="62"/>
        <v>0</v>
      </c>
      <c r="OL21" s="24">
        <f t="shared" si="62"/>
        <v>0</v>
      </c>
      <c r="OM21" s="27">
        <f t="shared" si="62"/>
        <v>0</v>
      </c>
      <c r="ON21" s="24">
        <f t="shared" si="62"/>
        <v>11169.306218026508</v>
      </c>
      <c r="OO21" s="27">
        <f t="shared" si="62"/>
        <v>0</v>
      </c>
      <c r="OP21" s="27">
        <f t="shared" si="62"/>
        <v>2226.2641098141271</v>
      </c>
      <c r="OQ21" s="27">
        <f t="shared" si="62"/>
        <v>0</v>
      </c>
      <c r="OR21" s="28">
        <f t="shared" si="2"/>
        <v>13395.570327840634</v>
      </c>
      <c r="OS21" s="36"/>
      <c r="OT21" s="27"/>
      <c r="OU21" s="27"/>
      <c r="OV21" s="27"/>
      <c r="OW21" s="27"/>
      <c r="OX21" s="27"/>
      <c r="OY21" s="28">
        <f t="shared" si="63"/>
        <v>0</v>
      </c>
      <c r="OZ21" s="36">
        <f t="shared" si="113"/>
        <v>0</v>
      </c>
      <c r="PA21" s="27">
        <f t="shared" si="114"/>
        <v>0</v>
      </c>
      <c r="PB21" s="27">
        <f t="shared" si="115"/>
        <v>0</v>
      </c>
      <c r="PC21" s="27">
        <f t="shared" si="116"/>
        <v>0</v>
      </c>
      <c r="PD21" s="27">
        <f t="shared" si="117"/>
        <v>0</v>
      </c>
      <c r="PE21" s="27">
        <f t="shared" si="118"/>
        <v>0</v>
      </c>
      <c r="PF21" s="33">
        <f t="shared" si="3"/>
        <v>0</v>
      </c>
      <c r="PG21" s="2621"/>
      <c r="PI21" s="2">
        <v>1401.12</v>
      </c>
      <c r="PJ21" s="3"/>
      <c r="PK21" s="3"/>
      <c r="PL21" s="3">
        <f t="shared" si="70"/>
        <v>0</v>
      </c>
      <c r="PM21" s="3">
        <f t="shared" si="71"/>
        <v>17447.708459344187</v>
      </c>
      <c r="PN21" s="11">
        <f t="shared" si="72"/>
        <v>19727.226980961226</v>
      </c>
      <c r="PO21" s="15"/>
      <c r="PP21" s="2615"/>
      <c r="PR21" s="4"/>
      <c r="PS21" s="9"/>
      <c r="PT21" s="9"/>
      <c r="PU21" s="9"/>
      <c r="PV21" s="9">
        <v>0</v>
      </c>
      <c r="PW21" s="9"/>
      <c r="PX21" s="8">
        <f t="shared" si="73"/>
        <v>0</v>
      </c>
      <c r="PY21" s="5">
        <f t="shared" si="74"/>
        <v>1401.12</v>
      </c>
      <c r="PZ21" s="5"/>
      <c r="QA21" s="5"/>
      <c r="QB21" s="5"/>
      <c r="QC21" s="5"/>
      <c r="QD21" s="5"/>
      <c r="QE21" s="12">
        <f t="shared" si="75"/>
        <v>29562.488999999998</v>
      </c>
      <c r="QF21" s="420">
        <f t="shared" si="76"/>
        <v>396380.30955851008</v>
      </c>
      <c r="QG21" s="1106">
        <f t="shared" si="77"/>
        <v>494.41999999999996</v>
      </c>
      <c r="QH21" s="484">
        <f t="shared" si="78"/>
        <v>5505.3678056099998</v>
      </c>
      <c r="QI21" s="12"/>
      <c r="QJ21" s="2615"/>
      <c r="QL21" s="139">
        <f t="shared" si="79"/>
        <v>0</v>
      </c>
      <c r="QM21" s="139" t="str">
        <f t="shared" si="80"/>
        <v/>
      </c>
      <c r="QO21" s="139">
        <f t="shared" si="81"/>
        <v>0</v>
      </c>
      <c r="QP21" s="139">
        <f t="shared" si="82"/>
        <v>0</v>
      </c>
      <c r="QR21" s="1">
        <f t="shared" si="83"/>
        <v>0</v>
      </c>
      <c r="QS21" s="1">
        <f t="shared" si="84"/>
        <v>0</v>
      </c>
      <c r="QT21" s="1">
        <f t="shared" si="85"/>
        <v>0</v>
      </c>
      <c r="QU21" s="1">
        <f t="shared" si="86"/>
        <v>0</v>
      </c>
      <c r="QV21" s="1">
        <f t="shared" si="87"/>
        <v>0</v>
      </c>
      <c r="QW21" s="1">
        <f t="shared" si="88"/>
        <v>0</v>
      </c>
      <c r="QY21" s="1">
        <f t="shared" si="89"/>
        <v>0</v>
      </c>
      <c r="QZ21" s="1">
        <f t="shared" si="90"/>
        <v>0</v>
      </c>
      <c r="RA21" s="1">
        <f t="shared" si="91"/>
        <v>0</v>
      </c>
      <c r="RB21" s="1">
        <f t="shared" si="92"/>
        <v>0</v>
      </c>
      <c r="RC21" s="1">
        <f t="shared" si="93"/>
        <v>0</v>
      </c>
      <c r="RD21" s="1">
        <f t="shared" si="94"/>
        <v>0</v>
      </c>
      <c r="RG21" s="1">
        <v>12</v>
      </c>
      <c r="RH21" s="1">
        <f t="shared" si="124"/>
        <v>14783.545209717098</v>
      </c>
      <c r="RI21" s="1">
        <f t="shared" si="124"/>
        <v>9171.4017804837185</v>
      </c>
      <c r="RJ21" s="1">
        <f t="shared" si="124"/>
        <v>13404.263703387322</v>
      </c>
      <c r="RK21" s="89">
        <f t="shared" si="5"/>
        <v>37359.210693588138</v>
      </c>
      <c r="RL21" s="1033">
        <v>12</v>
      </c>
      <c r="RM21" s="1098">
        <f t="shared" si="96"/>
        <v>0</v>
      </c>
      <c r="RN21" s="1098">
        <f t="shared" si="97"/>
        <v>0</v>
      </c>
      <c r="RO21" s="1097">
        <f t="shared" si="97"/>
        <v>0</v>
      </c>
      <c r="RP21" s="1097">
        <f t="shared" si="98"/>
        <v>3209.0599999999995</v>
      </c>
      <c r="RQ21" s="1109"/>
      <c r="RR21" s="1046" t="s">
        <v>891</v>
      </c>
      <c r="RS21" s="1048"/>
      <c r="RU21" s="421">
        <v>12</v>
      </c>
      <c r="RV21" s="1095">
        <f t="shared" si="99"/>
        <v>6125.02</v>
      </c>
      <c r="RW21" s="1928" t="s">
        <v>892</v>
      </c>
      <c r="RY21" s="1090"/>
      <c r="RZ21" s="1090">
        <f t="shared" si="100"/>
        <v>0</v>
      </c>
      <c r="SA21" s="1090"/>
      <c r="SB21" s="1090">
        <f t="shared" si="101"/>
        <v>0</v>
      </c>
      <c r="SD21" s="1">
        <v>12</v>
      </c>
      <c r="SE21" s="1">
        <f t="shared" si="102"/>
        <v>0</v>
      </c>
    </row>
    <row r="22" spans="1:500" s="1" customFormat="1">
      <c r="B22" s="471">
        <v>13</v>
      </c>
      <c r="C22" s="4">
        <f t="shared" si="6"/>
        <v>127278</v>
      </c>
      <c r="D22" s="1590">
        <f t="shared" si="119"/>
        <v>4884.66</v>
      </c>
      <c r="E22" s="1895">
        <f t="shared" si="7"/>
        <v>26.056675387846852</v>
      </c>
      <c r="F22" s="870"/>
      <c r="G22" s="870"/>
      <c r="H22" s="52">
        <v>7</v>
      </c>
      <c r="I22" s="61">
        <v>5</v>
      </c>
      <c r="J22" s="52"/>
      <c r="K22" s="54"/>
      <c r="L22" s="52">
        <v>2</v>
      </c>
      <c r="M22" s="61">
        <v>3.44</v>
      </c>
      <c r="N22" s="2629"/>
      <c r="O22" s="4">
        <f t="shared" si="104"/>
        <v>77700</v>
      </c>
      <c r="P22" s="1225">
        <f t="shared" si="8"/>
        <v>3660.7999999999997</v>
      </c>
      <c r="Q22" s="1913">
        <f t="shared" si="9"/>
        <v>21.224868881118883</v>
      </c>
      <c r="R22" s="33"/>
      <c r="S22" s="26">
        <f t="shared" si="10"/>
        <v>23432</v>
      </c>
      <c r="T22" s="27">
        <f t="shared" si="11"/>
        <v>43.86</v>
      </c>
      <c r="U22" s="1909">
        <f t="shared" si="12"/>
        <v>534.24532603739169</v>
      </c>
      <c r="V22" s="28"/>
      <c r="W22" s="26">
        <f t="shared" si="13"/>
        <v>26146</v>
      </c>
      <c r="X22" s="5">
        <f t="shared" si="13"/>
        <v>1180</v>
      </c>
      <c r="Y22" s="325">
        <f t="shared" si="14"/>
        <v>22.157627118644069</v>
      </c>
      <c r="Z22" s="33"/>
      <c r="AA22" s="26">
        <f t="shared" si="15"/>
        <v>0</v>
      </c>
      <c r="AB22" s="27">
        <f t="shared" si="16"/>
        <v>0</v>
      </c>
      <c r="AC22" s="53">
        <f t="shared" si="17"/>
        <v>0</v>
      </c>
      <c r="AD22" s="28"/>
      <c r="AE22" s="36"/>
      <c r="AF22" s="36"/>
      <c r="AG22" s="53">
        <f t="shared" si="18"/>
        <v>0</v>
      </c>
      <c r="AH22" s="28"/>
      <c r="AI22" s="23"/>
      <c r="AJ22" s="27"/>
      <c r="AK22" s="53">
        <f t="shared" si="19"/>
        <v>0</v>
      </c>
      <c r="AL22" s="28"/>
      <c r="AM22" s="2629"/>
      <c r="AN22" s="9"/>
      <c r="AO22" s="64"/>
      <c r="AP22" s="61">
        <f t="shared" si="20"/>
        <v>0</v>
      </c>
      <c r="AQ22" s="36"/>
      <c r="AR22" s="53"/>
      <c r="AS22" s="61">
        <f t="shared" si="21"/>
        <v>0</v>
      </c>
      <c r="AT22" s="36">
        <v>0</v>
      </c>
      <c r="AU22" s="27"/>
      <c r="AV22" s="54">
        <f t="shared" si="22"/>
        <v>0</v>
      </c>
      <c r="AW22" s="26">
        <v>37506</v>
      </c>
      <c r="AX22" s="27">
        <v>2800.7</v>
      </c>
      <c r="AY22" s="1895">
        <v>13.391652086978256</v>
      </c>
      <c r="AZ22" s="1908"/>
      <c r="BA22" s="1909"/>
      <c r="BB22" s="1895">
        <v>0</v>
      </c>
      <c r="BC22" s="1740">
        <v>40194</v>
      </c>
      <c r="BD22" s="1909">
        <v>860.1</v>
      </c>
      <c r="BE22" s="1895">
        <v>46.731775374956399</v>
      </c>
      <c r="BF22" s="1908"/>
      <c r="BG22" s="1909"/>
      <c r="BH22" s="1895">
        <v>0</v>
      </c>
      <c r="BI22" s="1908">
        <v>0</v>
      </c>
      <c r="BJ22" s="1909">
        <v>0</v>
      </c>
      <c r="BK22" s="1895">
        <v>0</v>
      </c>
      <c r="BL22" s="1742">
        <v>23432</v>
      </c>
      <c r="BM22" s="1909">
        <v>43.86</v>
      </c>
      <c r="BN22" s="1911">
        <v>534.24532603739169</v>
      </c>
      <c r="BO22" s="9"/>
      <c r="BP22" s="64"/>
      <c r="BQ22" s="482">
        <v>0</v>
      </c>
      <c r="BR22" s="9"/>
      <c r="BS22" s="64"/>
      <c r="BT22" s="482">
        <v>0</v>
      </c>
      <c r="BU22" s="9">
        <v>26146</v>
      </c>
      <c r="BV22" s="27">
        <v>1180</v>
      </c>
      <c r="BW22" s="2131">
        <v>22.157627118644069</v>
      </c>
      <c r="BX22" s="26"/>
      <c r="BY22" s="27"/>
      <c r="BZ22" s="482">
        <f t="shared" si="23"/>
        <v>0</v>
      </c>
      <c r="CA22" s="9"/>
      <c r="CB22" s="481"/>
      <c r="CC22" s="482">
        <f t="shared" si="24"/>
        <v>0</v>
      </c>
      <c r="CD22" s="4"/>
      <c r="CE22" s="5"/>
      <c r="CF22" s="28">
        <f t="shared" si="25"/>
        <v>0</v>
      </c>
      <c r="CG22" s="150"/>
      <c r="CH22" s="4"/>
      <c r="CI22" s="5"/>
      <c r="CJ22" s="5">
        <v>4632</v>
      </c>
      <c r="CK22" s="5"/>
      <c r="CL22" s="5"/>
      <c r="CM22" s="5">
        <f t="shared" si="26"/>
        <v>4632</v>
      </c>
      <c r="CN22" s="33"/>
      <c r="CO22" s="366"/>
      <c r="CQ22" s="4">
        <f t="shared" si="27"/>
        <v>0</v>
      </c>
      <c r="CR22" s="9">
        <f t="shared" si="27"/>
        <v>0</v>
      </c>
      <c r="CS22" s="5">
        <f t="shared" si="27"/>
        <v>0</v>
      </c>
      <c r="CT22" s="5">
        <f t="shared" si="27"/>
        <v>0</v>
      </c>
      <c r="CU22" s="5">
        <f t="shared" si="27"/>
        <v>0</v>
      </c>
      <c r="CV22" s="5">
        <f t="shared" si="27"/>
        <v>0</v>
      </c>
      <c r="CW22" s="5">
        <f t="shared" si="27"/>
        <v>396.59999999999997</v>
      </c>
      <c r="CX22" s="5">
        <f t="shared" si="27"/>
        <v>0</v>
      </c>
      <c r="CY22" s="5">
        <f t="shared" si="27"/>
        <v>2447.96</v>
      </c>
      <c r="CZ22" s="5">
        <f t="shared" si="27"/>
        <v>0</v>
      </c>
      <c r="DA22" s="5">
        <f t="shared" si="111"/>
        <v>2040.1</v>
      </c>
      <c r="DB22" s="12">
        <f t="shared" si="111"/>
        <v>0</v>
      </c>
      <c r="DC22" s="310">
        <f t="shared" si="28"/>
        <v>4884.66</v>
      </c>
      <c r="DD22" s="2695"/>
      <c r="DE22" s="8"/>
      <c r="DF22" s="9"/>
      <c r="DG22" s="5"/>
      <c r="DH22" s="5"/>
      <c r="DI22" s="5"/>
      <c r="DJ22" s="5"/>
      <c r="DK22" s="5">
        <v>396.59999999999997</v>
      </c>
      <c r="DL22" s="5"/>
      <c r="DM22" s="5">
        <v>2404.1</v>
      </c>
      <c r="DN22" s="5"/>
      <c r="DO22" s="5"/>
      <c r="DP22" s="12"/>
      <c r="DQ22" s="28">
        <f t="shared" si="29"/>
        <v>2800.7</v>
      </c>
      <c r="DR22" s="36"/>
      <c r="DS22" s="36"/>
      <c r="DT22" s="53"/>
      <c r="DU22" s="27"/>
      <c r="DV22" s="5"/>
      <c r="DW22" s="5"/>
      <c r="DX22" s="5"/>
      <c r="DY22" s="5"/>
      <c r="DZ22" s="5">
        <v>43.86</v>
      </c>
      <c r="EA22" s="27"/>
      <c r="EB22" s="27">
        <v>860.1</v>
      </c>
      <c r="EC22" s="33"/>
      <c r="ED22" s="28">
        <f t="shared" si="30"/>
        <v>903.96</v>
      </c>
      <c r="EE22" s="9"/>
      <c r="EF22" s="36"/>
      <c r="EG22" s="5"/>
      <c r="EH22" s="325"/>
      <c r="EI22" s="27"/>
      <c r="EJ22" s="27"/>
      <c r="EK22" s="27"/>
      <c r="EL22" s="27"/>
      <c r="EM22" s="5"/>
      <c r="EN22" s="5"/>
      <c r="EO22" s="1448">
        <v>1180</v>
      </c>
      <c r="EP22" s="33"/>
      <c r="EQ22" s="28">
        <f t="shared" si="31"/>
        <v>1180</v>
      </c>
      <c r="ER22" s="36"/>
      <c r="ES22" s="27"/>
      <c r="ET22" s="27"/>
      <c r="EU22" s="27"/>
      <c r="EV22" s="27"/>
      <c r="EW22" s="27"/>
      <c r="EX22" s="33">
        <f t="shared" si="32"/>
        <v>0</v>
      </c>
      <c r="EY22" s="2685"/>
      <c r="FA22" s="4">
        <f t="shared" si="33"/>
        <v>0</v>
      </c>
      <c r="FB22" s="5">
        <f t="shared" si="34"/>
        <v>0</v>
      </c>
      <c r="FC22" s="5">
        <f t="shared" si="35"/>
        <v>0</v>
      </c>
      <c r="FD22" s="12">
        <f t="shared" si="36"/>
        <v>0</v>
      </c>
      <c r="FE22" s="33"/>
      <c r="FF22" s="2674"/>
      <c r="FG22" s="9"/>
      <c r="FH22" s="5"/>
      <c r="FI22" s="5"/>
      <c r="FJ22" s="5"/>
      <c r="FK22" s="5"/>
      <c r="FL22" s="27"/>
      <c r="FM22" s="28">
        <f t="shared" si="37"/>
        <v>0</v>
      </c>
      <c r="FN22" s="36"/>
      <c r="FO22" s="27"/>
      <c r="FP22" s="27"/>
      <c r="FQ22" s="27"/>
      <c r="FR22" s="27"/>
      <c r="FS22" s="27"/>
      <c r="FT22" s="28">
        <f t="shared" si="38"/>
        <v>0</v>
      </c>
      <c r="FU22" s="36"/>
      <c r="FV22" s="36"/>
      <c r="FW22" s="27"/>
      <c r="FX22" s="27"/>
      <c r="FY22" s="27"/>
      <c r="FZ22" s="27"/>
      <c r="GA22" s="27"/>
      <c r="GB22" s="27"/>
      <c r="GC22" s="27"/>
      <c r="GD22" s="27"/>
      <c r="GE22" s="27"/>
      <c r="GF22" s="33"/>
      <c r="GG22" s="33">
        <f t="shared" si="39"/>
        <v>0</v>
      </c>
      <c r="GH22" s="2674"/>
      <c r="GJ22" s="2">
        <f t="shared" si="105"/>
        <v>2577.1</v>
      </c>
      <c r="GK22" s="63">
        <f t="shared" si="106"/>
        <v>10461.52</v>
      </c>
      <c r="GL22" s="24">
        <f t="shared" si="107"/>
        <v>87.1</v>
      </c>
      <c r="GM22" s="1736">
        <f t="shared" si="40"/>
        <v>13125.720000000001</v>
      </c>
      <c r="GN22" s="141"/>
      <c r="GO22" s="141"/>
      <c r="GP22" s="33"/>
      <c r="GQ22" s="2667"/>
      <c r="GR22" s="1940">
        <v>5458.45</v>
      </c>
      <c r="GS22" s="1590">
        <v>0</v>
      </c>
      <c r="GT22" s="1590">
        <v>4861.51</v>
      </c>
      <c r="GU22" s="1736">
        <v>2805.7599999999998</v>
      </c>
      <c r="GV22" s="54">
        <f t="shared" si="41"/>
        <v>13125.72</v>
      </c>
      <c r="GW22" s="2667"/>
      <c r="GX22" s="36"/>
      <c r="GY22" s="36"/>
      <c r="GZ22" s="27"/>
      <c r="HA22" s="27"/>
      <c r="HB22" s="27"/>
      <c r="HC22" s="27"/>
      <c r="HD22" s="27"/>
      <c r="HE22" s="27"/>
      <c r="HF22" s="27">
        <v>62.6</v>
      </c>
      <c r="HG22" s="27"/>
      <c r="HH22" s="27">
        <v>2514.5</v>
      </c>
      <c r="HI22" s="27"/>
      <c r="HJ22" s="27">
        <v>0</v>
      </c>
      <c r="HK22" s="27"/>
      <c r="HL22" s="28">
        <f t="shared" si="120"/>
        <v>2577.1</v>
      </c>
      <c r="HM22" s="36"/>
      <c r="HN22" s="27"/>
      <c r="HO22" s="27"/>
      <c r="HP22" s="27"/>
      <c r="HQ22" s="27"/>
      <c r="HR22" s="27"/>
      <c r="HS22" s="27" cm="1">
        <f t="array" ref="HS22">SUMPRODUCT(('Data Base hauling'!$C$2:$C$216="TCM-ROM SB1 BK05-ROM 4")*(ISNUMBER(SEARCH(TEXT('April TCM'!$B22,"00")&amp;"/03/2026",'Data Base hauling'!$E$2:$E$216)))*'Data Base hauling'!$N$2:$N$216)</f>
        <v>0</v>
      </c>
      <c r="HT22" s="27"/>
      <c r="HU22" s="27" cm="1">
        <f t="array" ref="HU22">SUMPRODUCT(('Data Base hauling'!$C$2:$C$216="TCM-ROM SB1 BK05-ROM 5")*(ISNUMBER(SEARCH(TEXT('April TCM'!$B22,"00")&amp;"/03/2026",'Data Base hauling'!$E$2:$E$216)))*'Data Base hauling'!$N$2:$N$216)</f>
        <v>0</v>
      </c>
      <c r="HV22" s="27"/>
      <c r="HW22" s="27"/>
      <c r="HX22" s="27"/>
      <c r="HY22" s="27"/>
      <c r="HZ22" s="27"/>
      <c r="IA22" s="33">
        <f t="shared" si="43"/>
        <v>0</v>
      </c>
      <c r="IB22" s="363"/>
      <c r="IC22" s="363"/>
      <c r="ID22" s="64"/>
      <c r="IE22" s="64"/>
      <c r="IF22" s="64"/>
      <c r="IG22" s="64"/>
      <c r="IH22" s="64">
        <v>1630.1</v>
      </c>
      <c r="II22" s="64"/>
      <c r="IJ22" s="1590">
        <v>8831.42</v>
      </c>
      <c r="IK22" s="64"/>
      <c r="IL22" s="64">
        <v>0</v>
      </c>
      <c r="IM22" s="53"/>
      <c r="IN22" s="53"/>
      <c r="IO22" s="49">
        <v>0</v>
      </c>
      <c r="IP22" s="61">
        <f t="shared" si="121"/>
        <v>10461.52</v>
      </c>
      <c r="IQ22" s="36"/>
      <c r="IR22" s="36"/>
      <c r="IS22" s="53"/>
      <c r="IT22" s="27"/>
      <c r="IU22" s="53"/>
      <c r="IV22" s="27"/>
      <c r="IW22" s="27">
        <v>0</v>
      </c>
      <c r="IX22" s="27"/>
      <c r="IY22" s="27">
        <v>87.1</v>
      </c>
      <c r="IZ22" s="27"/>
      <c r="JA22" s="27">
        <v>0</v>
      </c>
      <c r="JB22" s="27"/>
      <c r="JC22" s="27"/>
      <c r="JD22" s="27"/>
      <c r="JE22" s="33">
        <f t="shared" si="122"/>
        <v>87.1</v>
      </c>
      <c r="JF22" s="2667"/>
      <c r="JH22" s="2019">
        <v>6373.54</v>
      </c>
      <c r="JI22" s="2017">
        <v>6752.1799999999994</v>
      </c>
      <c r="JJ22" s="53"/>
      <c r="JK22" s="53">
        <f t="shared" si="123"/>
        <v>13125.72</v>
      </c>
      <c r="JL22" s="33"/>
      <c r="JM22" s="2669"/>
      <c r="JN22" s="69">
        <v>0</v>
      </c>
      <c r="JO22" s="70">
        <v>0</v>
      </c>
      <c r="JP22" s="70">
        <v>0</v>
      </c>
      <c r="JQ22" s="850">
        <v>2.0141083291232188E-2</v>
      </c>
      <c r="JR22" s="850">
        <v>0.95538272294517645</v>
      </c>
      <c r="JS22" s="850">
        <v>2.4476193763591347E-2</v>
      </c>
      <c r="JT22" s="70">
        <v>0</v>
      </c>
      <c r="JU22" s="1922">
        <v>0</v>
      </c>
      <c r="JV22" s="69">
        <v>0</v>
      </c>
      <c r="JW22" s="70">
        <v>0</v>
      </c>
      <c r="JX22" s="70">
        <v>0</v>
      </c>
      <c r="JY22" s="70">
        <v>0.2224066893951287</v>
      </c>
      <c r="JZ22" s="70">
        <v>0.42829871241584205</v>
      </c>
      <c r="KA22" s="70">
        <v>0.34929459818902936</v>
      </c>
      <c r="KB22" s="70">
        <v>0</v>
      </c>
      <c r="KC22" s="71">
        <v>0</v>
      </c>
      <c r="KD22" s="69"/>
      <c r="KE22" s="70"/>
      <c r="KF22" s="70"/>
      <c r="KG22" s="70"/>
      <c r="KH22" s="70"/>
      <c r="KI22" s="70"/>
      <c r="KJ22" s="70"/>
      <c r="KK22" s="70"/>
      <c r="KL22" s="33"/>
      <c r="KM22" s="2669"/>
      <c r="KN22" s="1739">
        <v>7102.4636656936545</v>
      </c>
      <c r="KO22" s="1721">
        <v>0.77131510216623134</v>
      </c>
      <c r="KP22" s="1721">
        <v>2.0519711169150407</v>
      </c>
      <c r="KQ22" s="1721">
        <v>7.0191350437855284</v>
      </c>
      <c r="KR22" s="1722">
        <v>10.198339692733139</v>
      </c>
      <c r="KS22" s="1958">
        <v>6902.2743972445469</v>
      </c>
      <c r="KT22" s="1961">
        <v>2.0291618828932263</v>
      </c>
      <c r="KU22" s="1961">
        <v>5.4720091848450059</v>
      </c>
      <c r="KV22" s="1961">
        <v>5.9390011481056266</v>
      </c>
      <c r="KW22" s="1962">
        <v>10.316466335246842</v>
      </c>
      <c r="KX22" s="36"/>
      <c r="KY22" s="53"/>
      <c r="KZ22" s="53"/>
      <c r="LA22" s="53"/>
      <c r="LB22" s="53"/>
      <c r="LC22" s="33"/>
      <c r="LD22" s="2669"/>
      <c r="LF22" s="4">
        <f t="shared" si="47"/>
        <v>0</v>
      </c>
      <c r="LG22" s="27">
        <f t="shared" si="47"/>
        <v>0</v>
      </c>
      <c r="LH22" s="27">
        <f t="shared" si="47"/>
        <v>0</v>
      </c>
      <c r="LI22" s="28">
        <f t="shared" si="48"/>
        <v>0</v>
      </c>
      <c r="LJ22" s="36"/>
      <c r="LK22" s="27"/>
      <c r="LL22" s="27">
        <v>1</v>
      </c>
      <c r="LM22" s="33"/>
      <c r="LN22" s="1041">
        <v>6.91</v>
      </c>
      <c r="LO22" s="486" t="s">
        <v>680</v>
      </c>
      <c r="LP22" s="2688"/>
      <c r="LQ22" s="36"/>
      <c r="LR22" s="36"/>
      <c r="LS22" s="27"/>
      <c r="LT22" s="27"/>
      <c r="LU22" s="27"/>
      <c r="LV22" s="1117">
        <f t="shared" si="49"/>
        <v>0</v>
      </c>
      <c r="LW22" s="36"/>
      <c r="LX22" s="36"/>
      <c r="LY22" s="27"/>
      <c r="LZ22" s="27"/>
      <c r="MA22" s="33"/>
      <c r="MB22" s="28">
        <f t="shared" si="50"/>
        <v>0</v>
      </c>
      <c r="MC22" s="26"/>
      <c r="MD22" s="36"/>
      <c r="ME22" s="27"/>
      <c r="MF22" s="27"/>
      <c r="MG22" s="27"/>
      <c r="MH22" s="28"/>
      <c r="MI22" s="36"/>
      <c r="MJ22" s="36"/>
      <c r="MK22" s="27"/>
      <c r="ML22" s="27"/>
      <c r="MM22" s="27"/>
      <c r="MN22" s="28"/>
      <c r="MO22" s="36"/>
      <c r="MP22" s="36"/>
      <c r="MQ22" s="27"/>
      <c r="MR22" s="27"/>
      <c r="MS22" s="27"/>
      <c r="MT22" s="33">
        <f t="shared" si="51"/>
        <v>0</v>
      </c>
      <c r="MU22" s="2688"/>
      <c r="MW22" s="26">
        <f t="shared" si="52"/>
        <v>88429.209393306301</v>
      </c>
      <c r="MX22" s="27">
        <f t="shared" si="53"/>
        <v>109426.98380962021</v>
      </c>
      <c r="MY22" s="27">
        <f t="shared" si="54"/>
        <v>19727.226980961226</v>
      </c>
      <c r="MZ22" s="28">
        <f t="shared" si="55"/>
        <v>426437.21855851007</v>
      </c>
      <c r="NA22" s="2621"/>
      <c r="NB22" s="23">
        <f t="shared" si="56"/>
        <v>28204.193361311263</v>
      </c>
      <c r="NC22" s="1579">
        <f t="shared" si="57"/>
        <v>60225.016031995037</v>
      </c>
      <c r="ND22" s="60">
        <f t="shared" si="58"/>
        <v>0</v>
      </c>
      <c r="NE22" s="275">
        <f t="shared" si="4"/>
        <v>88429.209393306301</v>
      </c>
      <c r="NF22" s="26">
        <f t="shared" si="59"/>
        <v>0</v>
      </c>
      <c r="NG22" s="27">
        <f t="shared" si="59"/>
        <v>0</v>
      </c>
      <c r="NH22" s="27">
        <f t="shared" si="59"/>
        <v>0</v>
      </c>
      <c r="NI22" s="27">
        <f t="shared" si="59"/>
        <v>0</v>
      </c>
      <c r="NJ22" s="27">
        <f t="shared" si="59"/>
        <v>0</v>
      </c>
      <c r="NK22" s="33">
        <f t="shared" si="59"/>
        <v>0</v>
      </c>
      <c r="NL22" s="27">
        <f t="shared" si="59"/>
        <v>0</v>
      </c>
      <c r="NM22" s="36">
        <f t="shared" si="59"/>
        <v>0</v>
      </c>
      <c r="NN22" s="24">
        <f t="shared" si="59"/>
        <v>13267.080566563143</v>
      </c>
      <c r="NO22" s="27">
        <f t="shared" si="59"/>
        <v>26196.69549600617</v>
      </c>
      <c r="NP22" s="24">
        <f t="shared" si="108"/>
        <v>8756.5482322711578</v>
      </c>
      <c r="NQ22" s="24">
        <f t="shared" si="112"/>
        <v>31698.714118033415</v>
      </c>
      <c r="NR22" s="27">
        <f t="shared" si="0"/>
        <v>79919.038412873881</v>
      </c>
      <c r="NS22" s="27">
        <f t="shared" si="60"/>
        <v>0</v>
      </c>
      <c r="NT22" s="27">
        <f t="shared" si="60"/>
        <v>0</v>
      </c>
      <c r="NU22" s="27">
        <f t="shared" si="60"/>
        <v>0</v>
      </c>
      <c r="NV22" s="27">
        <f t="shared" si="60"/>
        <v>0</v>
      </c>
      <c r="NW22" s="27">
        <f t="shared" si="60"/>
        <v>0</v>
      </c>
      <c r="NX22" s="27">
        <f t="shared" si="60"/>
        <v>0</v>
      </c>
      <c r="NY22" s="27">
        <f t="shared" si="60"/>
        <v>6233.4736022929137</v>
      </c>
      <c r="NZ22" s="27">
        <f t="shared" si="60"/>
        <v>0</v>
      </c>
      <c r="OA22" s="27">
        <f t="shared" si="60"/>
        <v>8712.4980667828295</v>
      </c>
      <c r="OB22" s="280"/>
      <c r="OC22" s="24">
        <f t="shared" si="61"/>
        <v>349.54339982995594</v>
      </c>
      <c r="OD22" s="27">
        <f t="shared" si="61"/>
        <v>0</v>
      </c>
      <c r="OE22" s="28">
        <f t="shared" si="1"/>
        <v>15295.515068905699</v>
      </c>
      <c r="OF22" s="27">
        <f t="shared" si="62"/>
        <v>0</v>
      </c>
      <c r="OG22" s="27">
        <f t="shared" si="62"/>
        <v>0</v>
      </c>
      <c r="OH22" s="27">
        <v>0</v>
      </c>
      <c r="OI22" s="27">
        <f t="shared" si="62"/>
        <v>0</v>
      </c>
      <c r="OJ22" s="27">
        <f t="shared" si="62"/>
        <v>0</v>
      </c>
      <c r="OK22" s="27">
        <f t="shared" si="62"/>
        <v>0</v>
      </c>
      <c r="OL22" s="24">
        <f t="shared" si="62"/>
        <v>0</v>
      </c>
      <c r="OM22" s="27">
        <f t="shared" si="62"/>
        <v>0</v>
      </c>
      <c r="ON22" s="24">
        <f t="shared" si="62"/>
        <v>11126.066218026508</v>
      </c>
      <c r="OO22" s="27">
        <f t="shared" si="62"/>
        <v>0</v>
      </c>
      <c r="OP22" s="27">
        <f t="shared" si="62"/>
        <v>3086.364109814127</v>
      </c>
      <c r="OQ22" s="27">
        <f t="shared" si="62"/>
        <v>0</v>
      </c>
      <c r="OR22" s="28">
        <f t="shared" si="2"/>
        <v>14212.430327840635</v>
      </c>
      <c r="OS22" s="36"/>
      <c r="OT22" s="27"/>
      <c r="OU22" s="27"/>
      <c r="OV22" s="27"/>
      <c r="OW22" s="27"/>
      <c r="OX22" s="27"/>
      <c r="OY22" s="28">
        <f t="shared" si="63"/>
        <v>0</v>
      </c>
      <c r="OZ22" s="36">
        <f t="shared" si="113"/>
        <v>0</v>
      </c>
      <c r="PA22" s="27">
        <f t="shared" si="114"/>
        <v>0</v>
      </c>
      <c r="PB22" s="27">
        <f t="shared" si="115"/>
        <v>0</v>
      </c>
      <c r="PC22" s="27">
        <f t="shared" si="116"/>
        <v>0</v>
      </c>
      <c r="PD22" s="27">
        <f t="shared" si="117"/>
        <v>0</v>
      </c>
      <c r="PE22" s="27">
        <f t="shared" si="118"/>
        <v>0</v>
      </c>
      <c r="PF22" s="33">
        <f t="shared" si="3"/>
        <v>0</v>
      </c>
      <c r="PG22" s="2621"/>
      <c r="PI22" s="2">
        <v>0</v>
      </c>
      <c r="PJ22" s="3"/>
      <c r="PK22" s="3"/>
      <c r="PL22" s="3">
        <f t="shared" si="70"/>
        <v>0</v>
      </c>
      <c r="PM22" s="3">
        <f t="shared" si="71"/>
        <v>17447.708459344187</v>
      </c>
      <c r="PN22" s="11">
        <f t="shared" si="72"/>
        <v>19727.226980961226</v>
      </c>
      <c r="PO22" s="15"/>
      <c r="PP22" s="2615"/>
      <c r="PR22" s="4"/>
      <c r="PS22" s="9"/>
      <c r="PT22" s="9"/>
      <c r="PU22" s="9"/>
      <c r="PV22" s="9">
        <v>0</v>
      </c>
      <c r="PW22" s="9"/>
      <c r="PX22" s="8">
        <f t="shared" si="73"/>
        <v>0</v>
      </c>
      <c r="PY22" s="5">
        <f t="shared" si="74"/>
        <v>0</v>
      </c>
      <c r="PZ22" s="5"/>
      <c r="QA22" s="5"/>
      <c r="QB22" s="5"/>
      <c r="QC22" s="5"/>
      <c r="QD22" s="5"/>
      <c r="QE22" s="12">
        <f t="shared" si="75"/>
        <v>29562.488999999998</v>
      </c>
      <c r="QF22" s="420">
        <f t="shared" si="76"/>
        <v>396380.30955851008</v>
      </c>
      <c r="QG22" s="1106">
        <f t="shared" si="77"/>
        <v>494.41999999999996</v>
      </c>
      <c r="QH22" s="484">
        <f t="shared" si="78"/>
        <v>5505.3678056099998</v>
      </c>
      <c r="QI22" s="12"/>
      <c r="QJ22" s="2615"/>
      <c r="QL22" s="139">
        <f t="shared" si="79"/>
        <v>0</v>
      </c>
      <c r="QM22" s="139" t="str">
        <f t="shared" si="80"/>
        <v/>
      </c>
      <c r="QO22" s="139">
        <f t="shared" si="81"/>
        <v>0</v>
      </c>
      <c r="QP22" s="139">
        <f t="shared" si="82"/>
        <v>0</v>
      </c>
      <c r="QR22" s="1">
        <f t="shared" si="83"/>
        <v>0</v>
      </c>
      <c r="QS22" s="1">
        <f t="shared" si="84"/>
        <v>0</v>
      </c>
      <c r="QT22" s="1">
        <f t="shared" si="85"/>
        <v>0</v>
      </c>
      <c r="QU22" s="1">
        <f t="shared" si="86"/>
        <v>0</v>
      </c>
      <c r="QV22" s="1">
        <f t="shared" si="87"/>
        <v>0</v>
      </c>
      <c r="QW22" s="1">
        <f t="shared" si="88"/>
        <v>0</v>
      </c>
      <c r="QY22" s="1">
        <f t="shared" si="89"/>
        <v>0</v>
      </c>
      <c r="QZ22" s="1">
        <f t="shared" si="90"/>
        <v>0</v>
      </c>
      <c r="RA22" s="1">
        <f t="shared" si="91"/>
        <v>0</v>
      </c>
      <c r="RB22" s="1">
        <f t="shared" si="92"/>
        <v>0</v>
      </c>
      <c r="RC22" s="1">
        <f t="shared" si="93"/>
        <v>0</v>
      </c>
      <c r="RD22" s="1">
        <f t="shared" si="94"/>
        <v>0</v>
      </c>
      <c r="RG22" s="1">
        <v>13</v>
      </c>
      <c r="RH22" s="1">
        <f t="shared" si="124"/>
        <v>21157.085209717097</v>
      </c>
      <c r="RI22" s="1">
        <f t="shared" si="124"/>
        <v>15923.581780483717</v>
      </c>
      <c r="RJ22" s="1">
        <f t="shared" si="124"/>
        <v>13404.263703387322</v>
      </c>
      <c r="RK22" s="89">
        <f t="shared" si="5"/>
        <v>50484.930693588132</v>
      </c>
      <c r="RL22" s="1033">
        <v>13</v>
      </c>
      <c r="RM22" s="1098">
        <f t="shared" si="96"/>
        <v>0</v>
      </c>
      <c r="RN22" s="1098">
        <f t="shared" si="97"/>
        <v>0</v>
      </c>
      <c r="RO22" s="1097">
        <f t="shared" si="97"/>
        <v>0</v>
      </c>
      <c r="RP22" s="1097">
        <f t="shared" si="98"/>
        <v>3704.66</v>
      </c>
      <c r="RQ22" s="1050"/>
      <c r="RR22" s="1050" t="s">
        <v>893</v>
      </c>
      <c r="RS22" s="1048"/>
      <c r="RU22" s="421">
        <v>13</v>
      </c>
      <c r="RV22" s="1095">
        <f t="shared" si="99"/>
        <v>13125.72</v>
      </c>
      <c r="RW22" s="1050" t="s">
        <v>894</v>
      </c>
      <c r="RX22" s="1048"/>
      <c r="RY22" s="1090"/>
      <c r="RZ22" s="1090">
        <f t="shared" si="100"/>
        <v>0</v>
      </c>
      <c r="SA22" s="1090"/>
      <c r="SB22" s="1090">
        <f t="shared" si="101"/>
        <v>0</v>
      </c>
      <c r="SD22" s="1">
        <v>13</v>
      </c>
      <c r="SE22" s="1">
        <f t="shared" si="102"/>
        <v>0</v>
      </c>
    </row>
    <row r="23" spans="1:500" s="1" customFormat="1">
      <c r="A23" s="1">
        <v>160</v>
      </c>
      <c r="B23" s="471">
        <v>14</v>
      </c>
      <c r="C23" s="4">
        <f t="shared" si="6"/>
        <v>158389</v>
      </c>
      <c r="D23" s="1590">
        <f t="shared" si="119"/>
        <v>8758.0400000000009</v>
      </c>
      <c r="E23" s="1895">
        <f t="shared" si="7"/>
        <v>18.084982484665517</v>
      </c>
      <c r="F23" s="870"/>
      <c r="G23" s="870"/>
      <c r="H23" s="52">
        <v>10</v>
      </c>
      <c r="I23" s="61">
        <v>2.5</v>
      </c>
      <c r="J23" s="52"/>
      <c r="K23" s="54"/>
      <c r="L23" s="52">
        <v>28.17</v>
      </c>
      <c r="M23" s="61">
        <v>2.56</v>
      </c>
      <c r="N23" s="2629"/>
      <c r="O23" s="4">
        <f t="shared" ref="O23:O40" si="125">+SUM(AQ23,BC23,AW23)</f>
        <v>90510</v>
      </c>
      <c r="P23" s="1225">
        <f t="shared" si="8"/>
        <v>6216.12</v>
      </c>
      <c r="Q23" s="1913">
        <f t="shared" si="9"/>
        <v>14.560529719503485</v>
      </c>
      <c r="R23" s="33"/>
      <c r="S23" s="26">
        <f t="shared" si="10"/>
        <v>35656</v>
      </c>
      <c r="T23" s="27">
        <f t="shared" si="11"/>
        <v>801.92</v>
      </c>
      <c r="U23" s="1909">
        <f t="shared" si="12"/>
        <v>44.463288108539508</v>
      </c>
      <c r="V23" s="28"/>
      <c r="W23" s="26">
        <f t="shared" si="13"/>
        <v>32223</v>
      </c>
      <c r="X23" s="5">
        <f t="shared" si="13"/>
        <v>1740</v>
      </c>
      <c r="Y23" s="325">
        <f t="shared" si="14"/>
        <v>18.51896551724138</v>
      </c>
      <c r="Z23" s="33"/>
      <c r="AA23" s="26">
        <f t="shared" si="15"/>
        <v>0</v>
      </c>
      <c r="AB23" s="27">
        <f t="shared" si="16"/>
        <v>0</v>
      </c>
      <c r="AC23" s="53">
        <f t="shared" si="17"/>
        <v>0</v>
      </c>
      <c r="AD23" s="28"/>
      <c r="AE23" s="36"/>
      <c r="AF23" s="36"/>
      <c r="AG23" s="53">
        <f t="shared" si="18"/>
        <v>0</v>
      </c>
      <c r="AH23" s="28"/>
      <c r="AI23" s="26"/>
      <c r="AJ23" s="27"/>
      <c r="AK23" s="53">
        <f t="shared" si="19"/>
        <v>0</v>
      </c>
      <c r="AL23" s="28"/>
      <c r="AM23" s="2629"/>
      <c r="AN23" s="9"/>
      <c r="AO23" s="5"/>
      <c r="AP23" s="61">
        <f t="shared" si="20"/>
        <v>0</v>
      </c>
      <c r="AQ23" s="36"/>
      <c r="AR23" s="53"/>
      <c r="AS23" s="61">
        <f t="shared" si="21"/>
        <v>0</v>
      </c>
      <c r="AT23" s="36">
        <v>0</v>
      </c>
      <c r="AU23" s="27"/>
      <c r="AV23" s="54">
        <f t="shared" si="22"/>
        <v>0</v>
      </c>
      <c r="AW23" s="26">
        <v>51618</v>
      </c>
      <c r="AX23" s="27">
        <v>4271.04</v>
      </c>
      <c r="AY23" s="1895">
        <v>12.085581029444819</v>
      </c>
      <c r="AZ23" s="1908"/>
      <c r="BA23" s="1909"/>
      <c r="BB23" s="1895">
        <v>0</v>
      </c>
      <c r="BC23" s="1740">
        <v>38892</v>
      </c>
      <c r="BD23" s="1909">
        <v>1945.08</v>
      </c>
      <c r="BE23" s="1895">
        <v>19.995064470355977</v>
      </c>
      <c r="BF23" s="1908"/>
      <c r="BG23" s="1909"/>
      <c r="BH23" s="1895">
        <v>0</v>
      </c>
      <c r="BI23" s="1908">
        <v>0</v>
      </c>
      <c r="BJ23" s="1909">
        <v>0</v>
      </c>
      <c r="BK23" s="1895">
        <v>0</v>
      </c>
      <c r="BL23" s="1742">
        <v>35656</v>
      </c>
      <c r="BM23" s="1909">
        <v>801.92</v>
      </c>
      <c r="BN23" s="1911">
        <v>44.463288108539508</v>
      </c>
      <c r="BO23" s="9"/>
      <c r="BP23" s="64"/>
      <c r="BQ23" s="482">
        <v>0</v>
      </c>
      <c r="BR23" s="9"/>
      <c r="BS23" s="64"/>
      <c r="BT23" s="482">
        <v>0</v>
      </c>
      <c r="BU23" s="9">
        <v>32223</v>
      </c>
      <c r="BV23" s="27">
        <v>1740</v>
      </c>
      <c r="BW23" s="1051">
        <v>18.51896551724138</v>
      </c>
      <c r="BX23" s="26"/>
      <c r="BY23" s="27"/>
      <c r="BZ23" s="482">
        <f t="shared" si="23"/>
        <v>0</v>
      </c>
      <c r="CA23" s="9"/>
      <c r="CB23" s="481"/>
      <c r="CC23" s="482">
        <f t="shared" si="24"/>
        <v>0</v>
      </c>
      <c r="CD23" s="4"/>
      <c r="CE23" s="5"/>
      <c r="CF23" s="28">
        <f t="shared" si="25"/>
        <v>0</v>
      </c>
      <c r="CG23" s="150"/>
      <c r="CH23" s="1108"/>
      <c r="CI23" s="5"/>
      <c r="CJ23" s="5">
        <v>5094</v>
      </c>
      <c r="CK23" s="5"/>
      <c r="CL23" s="5"/>
      <c r="CM23" s="5">
        <f t="shared" si="26"/>
        <v>5094</v>
      </c>
      <c r="CN23" s="33"/>
      <c r="CO23" s="366"/>
      <c r="CQ23" s="4">
        <f t="shared" si="27"/>
        <v>0</v>
      </c>
      <c r="CR23" s="9">
        <f t="shared" si="27"/>
        <v>0</v>
      </c>
      <c r="CS23" s="5">
        <f t="shared" si="27"/>
        <v>0</v>
      </c>
      <c r="CT23" s="5">
        <f t="shared" si="27"/>
        <v>0</v>
      </c>
      <c r="CU23" s="5">
        <f t="shared" si="27"/>
        <v>0</v>
      </c>
      <c r="CV23" s="5">
        <f t="shared" si="27"/>
        <v>0</v>
      </c>
      <c r="CW23" s="5">
        <f t="shared" si="27"/>
        <v>2414.56</v>
      </c>
      <c r="CX23" s="5">
        <f t="shared" si="27"/>
        <v>0</v>
      </c>
      <c r="CY23" s="5">
        <f t="shared" si="27"/>
        <v>4507.3600000000006</v>
      </c>
      <c r="CZ23" s="5">
        <f t="shared" si="27"/>
        <v>0</v>
      </c>
      <c r="DA23" s="5">
        <f t="shared" si="111"/>
        <v>1836.12</v>
      </c>
      <c r="DB23" s="12">
        <f t="shared" si="111"/>
        <v>0</v>
      </c>
      <c r="DC23" s="310">
        <f t="shared" si="28"/>
        <v>8758.0400000000009</v>
      </c>
      <c r="DD23" s="2695"/>
      <c r="DE23" s="8"/>
      <c r="DF23" s="9"/>
      <c r="DG23" s="5"/>
      <c r="DH23" s="5"/>
      <c r="DI23" s="5"/>
      <c r="DJ23" s="5"/>
      <c r="DK23" s="5">
        <v>2414.56</v>
      </c>
      <c r="DL23" s="5"/>
      <c r="DM23" s="5">
        <v>1856.48</v>
      </c>
      <c r="DN23" s="5"/>
      <c r="DO23" s="5"/>
      <c r="DP23" s="12"/>
      <c r="DQ23" s="28">
        <f t="shared" si="29"/>
        <v>4271.04</v>
      </c>
      <c r="DR23" s="36"/>
      <c r="DS23" s="9"/>
      <c r="DT23" s="5"/>
      <c r="DU23" s="5"/>
      <c r="DV23" s="5"/>
      <c r="DW23" s="5"/>
      <c r="DX23" s="5"/>
      <c r="DY23" s="5"/>
      <c r="DZ23" s="5">
        <v>2630.88</v>
      </c>
      <c r="EA23" s="27"/>
      <c r="EB23" s="27">
        <v>116.12</v>
      </c>
      <c r="EC23" s="33"/>
      <c r="ED23" s="28">
        <f t="shared" si="30"/>
        <v>2747</v>
      </c>
      <c r="EE23" s="9"/>
      <c r="EF23" s="36"/>
      <c r="EG23" s="5"/>
      <c r="EH23" s="27"/>
      <c r="EI23" s="27"/>
      <c r="EJ23" s="27"/>
      <c r="EK23" s="27"/>
      <c r="EL23" s="27"/>
      <c r="EM23" s="5">
        <v>20</v>
      </c>
      <c r="EN23" s="5"/>
      <c r="EO23" s="1448">
        <v>1720</v>
      </c>
      <c r="EP23" s="33"/>
      <c r="EQ23" s="28">
        <f t="shared" si="31"/>
        <v>1740</v>
      </c>
      <c r="ER23" s="36"/>
      <c r="ES23" s="27"/>
      <c r="ET23" s="27"/>
      <c r="EU23" s="27"/>
      <c r="EV23" s="27"/>
      <c r="EW23" s="27"/>
      <c r="EX23" s="33">
        <f t="shared" si="32"/>
        <v>0</v>
      </c>
      <c r="EY23" s="2685"/>
      <c r="FA23" s="4">
        <f t="shared" si="33"/>
        <v>0</v>
      </c>
      <c r="FB23" s="5">
        <f t="shared" si="34"/>
        <v>0</v>
      </c>
      <c r="FC23" s="5">
        <f t="shared" si="35"/>
        <v>0</v>
      </c>
      <c r="FD23" s="12">
        <f t="shared" si="36"/>
        <v>0</v>
      </c>
      <c r="FE23" s="33"/>
      <c r="FF23" s="2674"/>
      <c r="FG23" s="9"/>
      <c r="FH23" s="5"/>
      <c r="FI23" s="5"/>
      <c r="FJ23" s="5"/>
      <c r="FK23" s="5"/>
      <c r="FL23" s="27"/>
      <c r="FM23" s="28">
        <f t="shared" si="37"/>
        <v>0</v>
      </c>
      <c r="FN23" s="36"/>
      <c r="FO23" s="27"/>
      <c r="FP23" s="27"/>
      <c r="FQ23" s="27"/>
      <c r="FR23" s="27"/>
      <c r="FS23" s="27"/>
      <c r="FT23" s="28">
        <f t="shared" si="38"/>
        <v>0</v>
      </c>
      <c r="FU23" s="36"/>
      <c r="FV23" s="36"/>
      <c r="FW23" s="27"/>
      <c r="FX23" s="27"/>
      <c r="FY23" s="27"/>
      <c r="FZ23" s="27"/>
      <c r="GA23" s="27"/>
      <c r="GB23" s="27"/>
      <c r="GC23" s="27"/>
      <c r="GD23" s="27"/>
      <c r="GE23" s="27"/>
      <c r="GF23" s="33"/>
      <c r="GG23" s="33">
        <f t="shared" si="39"/>
        <v>0</v>
      </c>
      <c r="GH23" s="2674"/>
      <c r="GJ23" s="2">
        <f t="shared" si="105"/>
        <v>7249.9199999999983</v>
      </c>
      <c r="GK23" s="63">
        <f t="shared" si="106"/>
        <v>9983.4000000000015</v>
      </c>
      <c r="GL23" s="24">
        <f t="shared" si="107"/>
        <v>926.1400000000001</v>
      </c>
      <c r="GM23" s="1736">
        <f t="shared" si="40"/>
        <v>18159.46</v>
      </c>
      <c r="GN23" s="141"/>
      <c r="GO23" s="141"/>
      <c r="GP23" s="33"/>
      <c r="GQ23" s="2667"/>
      <c r="GR23" s="1940">
        <v>6779.3000000000011</v>
      </c>
      <c r="GS23" s="1590">
        <v>0</v>
      </c>
      <c r="GT23" s="1590">
        <v>6166.07</v>
      </c>
      <c r="GU23" s="1736">
        <v>5214.0900000000011</v>
      </c>
      <c r="GV23" s="54">
        <f t="shared" si="41"/>
        <v>18159.460000000003</v>
      </c>
      <c r="GW23" s="2667"/>
      <c r="GX23" s="36"/>
      <c r="GY23" s="36"/>
      <c r="GZ23" s="27"/>
      <c r="HA23" s="27"/>
      <c r="HB23" s="27"/>
      <c r="HC23" s="27"/>
      <c r="HD23" s="27"/>
      <c r="HE23" s="27"/>
      <c r="HF23" s="27">
        <v>0</v>
      </c>
      <c r="HG23" s="27"/>
      <c r="HH23" s="27">
        <v>7249.9199999999983</v>
      </c>
      <c r="HI23" s="27"/>
      <c r="HJ23" s="27">
        <v>0</v>
      </c>
      <c r="HK23" s="27"/>
      <c r="HL23" s="28">
        <f t="shared" si="120"/>
        <v>7249.9199999999983</v>
      </c>
      <c r="HM23" s="36"/>
      <c r="HN23" s="27"/>
      <c r="HO23" s="27"/>
      <c r="HP23" s="27"/>
      <c r="HQ23" s="27"/>
      <c r="HR23" s="27"/>
      <c r="HS23" s="27" cm="1">
        <f t="array" ref="HS23">SUMPRODUCT(('Data Base hauling'!$C$2:$C$216="TCM-ROM SB1 BK05-ROM 4")*(ISNUMBER(SEARCH(TEXT('April TCM'!$B23,"00")&amp;"/03/2026",'Data Base hauling'!$E$2:$E$216)))*'Data Base hauling'!$N$2:$N$216)</f>
        <v>0</v>
      </c>
      <c r="HT23" s="27"/>
      <c r="HU23" s="27" cm="1">
        <f t="array" ref="HU23">SUMPRODUCT(('Data Base hauling'!$C$2:$C$216="TCM-ROM SB1 BK05-ROM 5")*(ISNUMBER(SEARCH(TEXT('April TCM'!$B23,"00")&amp;"/03/2026",'Data Base hauling'!$E$2:$E$216)))*'Data Base hauling'!$N$2:$N$216)</f>
        <v>0</v>
      </c>
      <c r="HV23" s="27"/>
      <c r="HW23" s="27"/>
      <c r="HX23" s="27"/>
      <c r="HY23" s="27"/>
      <c r="HZ23" s="27"/>
      <c r="IA23" s="33">
        <f t="shared" si="43"/>
        <v>0</v>
      </c>
      <c r="IB23" s="52"/>
      <c r="IC23" s="152"/>
      <c r="ID23" s="53"/>
      <c r="IE23" s="53"/>
      <c r="IF23" s="53"/>
      <c r="IG23" s="53"/>
      <c r="IH23" s="53">
        <v>5387.9700000000012</v>
      </c>
      <c r="II23" s="53"/>
      <c r="IJ23" s="1736">
        <v>4595.43</v>
      </c>
      <c r="IK23" s="53"/>
      <c r="IL23" s="53">
        <v>0</v>
      </c>
      <c r="IM23" s="53"/>
      <c r="IN23" s="53"/>
      <c r="IO23" s="49">
        <v>0</v>
      </c>
      <c r="IP23" s="61">
        <f t="shared" si="121"/>
        <v>9983.4000000000015</v>
      </c>
      <c r="IQ23" s="36"/>
      <c r="IR23" s="36"/>
      <c r="IS23" s="27"/>
      <c r="IT23" s="27"/>
      <c r="IU23" s="53"/>
      <c r="IV23" s="27"/>
      <c r="IW23" s="27">
        <v>0</v>
      </c>
      <c r="IX23" s="27"/>
      <c r="IY23" s="27">
        <v>81</v>
      </c>
      <c r="IZ23" s="27"/>
      <c r="JA23" s="27">
        <v>845.1400000000001</v>
      </c>
      <c r="JB23" s="27"/>
      <c r="JC23" s="27"/>
      <c r="JD23" s="27"/>
      <c r="JE23" s="33">
        <f t="shared" si="122"/>
        <v>926.1400000000001</v>
      </c>
      <c r="JF23" s="2667"/>
      <c r="JH23" s="2019">
        <v>0</v>
      </c>
      <c r="JI23" s="2017">
        <v>18159.459999999995</v>
      </c>
      <c r="JJ23" s="53"/>
      <c r="JK23" s="53">
        <f t="shared" si="123"/>
        <v>18159.459999999995</v>
      </c>
      <c r="JL23" s="33"/>
      <c r="JM23" s="2669"/>
      <c r="JN23" s="69" t="s">
        <v>296</v>
      </c>
      <c r="JO23" s="70" t="s">
        <v>296</v>
      </c>
      <c r="JP23" s="70" t="s">
        <v>296</v>
      </c>
      <c r="JQ23" s="850" t="s">
        <v>296</v>
      </c>
      <c r="JR23" s="850" t="s">
        <v>296</v>
      </c>
      <c r="JS23" s="850" t="s">
        <v>296</v>
      </c>
      <c r="JT23" s="70" t="s">
        <v>296</v>
      </c>
      <c r="JU23" s="1922">
        <v>0</v>
      </c>
      <c r="JV23" s="69">
        <v>0</v>
      </c>
      <c r="JW23" s="70">
        <v>0</v>
      </c>
      <c r="JX23" s="70">
        <v>0</v>
      </c>
      <c r="JY23" s="70">
        <v>0.29670320593233512</v>
      </c>
      <c r="JZ23" s="70">
        <v>0.25752032274087455</v>
      </c>
      <c r="KA23" s="70">
        <v>0.44577647132679066</v>
      </c>
      <c r="KB23" s="70">
        <v>0</v>
      </c>
      <c r="KC23" s="71">
        <v>0</v>
      </c>
      <c r="KD23" s="69"/>
      <c r="KE23" s="70"/>
      <c r="KF23" s="70"/>
      <c r="KG23" s="70"/>
      <c r="KH23" s="70"/>
      <c r="KI23" s="70"/>
      <c r="KJ23" s="70"/>
      <c r="KK23" s="70"/>
      <c r="KL23" s="33"/>
      <c r="KM23" s="2669"/>
      <c r="KN23" s="1739">
        <v>0</v>
      </c>
      <c r="KO23" s="1721">
        <v>0</v>
      </c>
      <c r="KP23" s="1721">
        <v>0</v>
      </c>
      <c r="KQ23" s="1721">
        <v>0</v>
      </c>
      <c r="KR23" s="1722">
        <v>0</v>
      </c>
      <c r="KS23" s="1958">
        <v>6998.0704028397786</v>
      </c>
      <c r="KT23" s="1961">
        <v>2.1026316355617705</v>
      </c>
      <c r="KU23" s="1961">
        <v>4.9610353358790942</v>
      </c>
      <c r="KV23" s="1961">
        <v>6.0304894315064805</v>
      </c>
      <c r="KW23" s="1962">
        <v>10.053478192975851</v>
      </c>
      <c r="KX23" s="36"/>
      <c r="KY23" s="53"/>
      <c r="KZ23" s="53"/>
      <c r="LA23" s="53"/>
      <c r="LB23" s="53"/>
      <c r="LC23" s="33"/>
      <c r="LD23" s="2669"/>
      <c r="LF23" s="4">
        <f t="shared" si="47"/>
        <v>0</v>
      </c>
      <c r="LG23" s="27">
        <f t="shared" si="47"/>
        <v>0</v>
      </c>
      <c r="LH23" s="27">
        <f t="shared" si="47"/>
        <v>0</v>
      </c>
      <c r="LI23" s="28">
        <f t="shared" si="48"/>
        <v>0</v>
      </c>
      <c r="LJ23" s="36"/>
      <c r="LK23" s="27"/>
      <c r="LL23" s="27"/>
      <c r="LM23" s="33"/>
      <c r="LN23" s="1957">
        <v>6.79</v>
      </c>
      <c r="LO23" s="486" t="s">
        <v>680</v>
      </c>
      <c r="LP23" s="2688"/>
      <c r="LQ23" s="36"/>
      <c r="LR23" s="36"/>
      <c r="LS23" s="27"/>
      <c r="LT23" s="27"/>
      <c r="LU23" s="27"/>
      <c r="LV23" s="1117">
        <f t="shared" si="49"/>
        <v>0</v>
      </c>
      <c r="LW23" s="36"/>
      <c r="LX23" s="36"/>
      <c r="LY23" s="27"/>
      <c r="LZ23" s="27"/>
      <c r="MA23" s="33"/>
      <c r="MB23" s="28">
        <f t="shared" si="50"/>
        <v>0</v>
      </c>
      <c r="MC23" s="26"/>
      <c r="MD23" s="36"/>
      <c r="ME23" s="27"/>
      <c r="MF23" s="27"/>
      <c r="MG23" s="27"/>
      <c r="MH23" s="28"/>
      <c r="MI23" s="36"/>
      <c r="MJ23" s="36"/>
      <c r="MK23" s="27"/>
      <c r="ML23" s="27"/>
      <c r="MM23" s="27"/>
      <c r="MN23" s="28"/>
      <c r="MO23" s="36"/>
      <c r="MP23" s="36"/>
      <c r="MQ23" s="27"/>
      <c r="MR23" s="27"/>
      <c r="MS23" s="27"/>
      <c r="MT23" s="33">
        <f t="shared" si="51"/>
        <v>0</v>
      </c>
      <c r="MU23" s="2688"/>
      <c r="MW23" s="26">
        <f t="shared" si="52"/>
        <v>106588.66939330629</v>
      </c>
      <c r="MX23" s="27">
        <f t="shared" si="53"/>
        <v>100025.56380962022</v>
      </c>
      <c r="MY23" s="27">
        <f t="shared" si="54"/>
        <v>19727.226980961226</v>
      </c>
      <c r="MZ23" s="28">
        <f t="shared" si="55"/>
        <v>426403.51855851006</v>
      </c>
      <c r="NA23" s="2621"/>
      <c r="NB23" s="23">
        <f t="shared" si="56"/>
        <v>28204.193361311263</v>
      </c>
      <c r="NC23" s="1579">
        <f t="shared" si="57"/>
        <v>78384.476031995029</v>
      </c>
      <c r="ND23" s="60">
        <f t="shared" si="58"/>
        <v>0</v>
      </c>
      <c r="NE23" s="275">
        <f t="shared" si="4"/>
        <v>106588.66939330629</v>
      </c>
      <c r="NF23" s="26">
        <f t="shared" si="59"/>
        <v>0</v>
      </c>
      <c r="NG23" s="27">
        <f t="shared" si="59"/>
        <v>0</v>
      </c>
      <c r="NH23" s="27">
        <f t="shared" si="59"/>
        <v>0</v>
      </c>
      <c r="NI23" s="27">
        <f t="shared" si="59"/>
        <v>0</v>
      </c>
      <c r="NJ23" s="27">
        <f t="shared" si="59"/>
        <v>0</v>
      </c>
      <c r="NK23" s="33">
        <f t="shared" si="59"/>
        <v>0</v>
      </c>
      <c r="NL23" s="27">
        <f t="shared" si="59"/>
        <v>0</v>
      </c>
      <c r="NM23" s="36">
        <f t="shared" si="59"/>
        <v>0</v>
      </c>
      <c r="NN23" s="24">
        <f t="shared" si="59"/>
        <v>13287.080566563143</v>
      </c>
      <c r="NO23" s="27">
        <f t="shared" si="59"/>
        <v>26196.69549600617</v>
      </c>
      <c r="NP23" s="24">
        <f t="shared" si="108"/>
        <v>8756.5482322711578</v>
      </c>
      <c r="NQ23" s="24">
        <f t="shared" si="112"/>
        <v>26168.794118033416</v>
      </c>
      <c r="NR23" s="27">
        <f t="shared" si="0"/>
        <v>74409.118412873882</v>
      </c>
      <c r="NS23" s="27">
        <f t="shared" si="60"/>
        <v>0</v>
      </c>
      <c r="NT23" s="27">
        <f t="shared" si="60"/>
        <v>0</v>
      </c>
      <c r="NU23" s="27">
        <f t="shared" si="60"/>
        <v>0</v>
      </c>
      <c r="NV23" s="27">
        <f t="shared" si="60"/>
        <v>0</v>
      </c>
      <c r="NW23" s="27">
        <f t="shared" si="60"/>
        <v>0</v>
      </c>
      <c r="NX23" s="5">
        <f t="shared" si="60"/>
        <v>0</v>
      </c>
      <c r="NY23" s="27">
        <f t="shared" si="60"/>
        <v>3260.063602292912</v>
      </c>
      <c r="NZ23" s="27">
        <f t="shared" si="60"/>
        <v>0</v>
      </c>
      <c r="OA23" s="27">
        <f t="shared" si="60"/>
        <v>5973.5480667828288</v>
      </c>
      <c r="OB23" s="280"/>
      <c r="OC23" s="24">
        <f t="shared" si="61"/>
        <v>349.54339982995594</v>
      </c>
      <c r="OD23" s="27">
        <f t="shared" si="61"/>
        <v>0</v>
      </c>
      <c r="OE23" s="28">
        <f t="shared" si="1"/>
        <v>9583.1550689056967</v>
      </c>
      <c r="OF23" s="27">
        <f t="shared" si="62"/>
        <v>0</v>
      </c>
      <c r="OG23" s="27">
        <f t="shared" si="62"/>
        <v>0</v>
      </c>
      <c r="OH23" s="27">
        <v>0</v>
      </c>
      <c r="OI23" s="27">
        <f t="shared" si="62"/>
        <v>0</v>
      </c>
      <c r="OJ23" s="27">
        <f t="shared" si="62"/>
        <v>0</v>
      </c>
      <c r="OK23" s="27">
        <f t="shared" si="62"/>
        <v>0</v>
      </c>
      <c r="OL23" s="24">
        <f t="shared" si="62"/>
        <v>0</v>
      </c>
      <c r="OM23" s="27">
        <f t="shared" si="62"/>
        <v>0</v>
      </c>
      <c r="ON23" s="24">
        <f t="shared" si="62"/>
        <v>13675.946218026507</v>
      </c>
      <c r="OO23" s="27">
        <f t="shared" si="62"/>
        <v>0</v>
      </c>
      <c r="OP23" s="27">
        <f t="shared" si="62"/>
        <v>2357.3441098141266</v>
      </c>
      <c r="OQ23" s="27">
        <f t="shared" si="62"/>
        <v>0</v>
      </c>
      <c r="OR23" s="28">
        <f t="shared" si="2"/>
        <v>16033.290327840634</v>
      </c>
      <c r="OS23" s="36"/>
      <c r="OT23" s="27"/>
      <c r="OU23" s="27"/>
      <c r="OV23" s="27"/>
      <c r="OW23" s="27"/>
      <c r="OX23" s="27"/>
      <c r="OY23" s="28">
        <f t="shared" si="63"/>
        <v>0</v>
      </c>
      <c r="OZ23" s="36">
        <f t="shared" si="113"/>
        <v>0</v>
      </c>
      <c r="PA23" s="27">
        <f t="shared" si="114"/>
        <v>0</v>
      </c>
      <c r="PB23" s="27">
        <f t="shared" si="115"/>
        <v>0</v>
      </c>
      <c r="PC23" s="27">
        <f t="shared" si="116"/>
        <v>0</v>
      </c>
      <c r="PD23" s="27">
        <f t="shared" si="117"/>
        <v>0</v>
      </c>
      <c r="PE23" s="27">
        <f t="shared" si="118"/>
        <v>0</v>
      </c>
      <c r="PF23" s="33">
        <f t="shared" si="3"/>
        <v>0</v>
      </c>
      <c r="PG23" s="2621"/>
      <c r="PI23" s="2">
        <v>33.700000000000003</v>
      </c>
      <c r="PJ23" s="3"/>
      <c r="PK23" s="3"/>
      <c r="PL23" s="3">
        <f t="shared" si="70"/>
        <v>0</v>
      </c>
      <c r="PM23" s="3">
        <f t="shared" si="71"/>
        <v>17481.408459344188</v>
      </c>
      <c r="PN23" s="11">
        <f t="shared" si="72"/>
        <v>19727.226980961226</v>
      </c>
      <c r="PO23" s="15"/>
      <c r="PP23" s="2615"/>
      <c r="PR23" s="4"/>
      <c r="PS23" s="9"/>
      <c r="PT23" s="9"/>
      <c r="PU23" s="9"/>
      <c r="PV23" s="9">
        <v>0</v>
      </c>
      <c r="PW23" s="9"/>
      <c r="PX23" s="8">
        <f t="shared" si="73"/>
        <v>0</v>
      </c>
      <c r="PY23" s="5">
        <f t="shared" si="74"/>
        <v>33.700000000000003</v>
      </c>
      <c r="PZ23" s="5"/>
      <c r="QA23" s="5"/>
      <c r="QB23" s="5"/>
      <c r="QC23" s="5"/>
      <c r="QD23" s="5"/>
      <c r="QE23" s="12">
        <f t="shared" si="75"/>
        <v>29562.488999999998</v>
      </c>
      <c r="QF23" s="420">
        <f t="shared" si="76"/>
        <v>396346.60955851007</v>
      </c>
      <c r="QG23" s="1106">
        <f t="shared" si="77"/>
        <v>494.41999999999996</v>
      </c>
      <c r="QH23" s="484">
        <f t="shared" si="78"/>
        <v>5505.3678056099998</v>
      </c>
      <c r="QI23" s="12"/>
      <c r="QJ23" s="2615"/>
      <c r="QL23" s="139" t="str">
        <f t="shared" si="79"/>
        <v/>
      </c>
      <c r="QM23" s="139" t="str">
        <f t="shared" si="80"/>
        <v/>
      </c>
      <c r="QO23" s="139">
        <f t="shared" si="81"/>
        <v>0</v>
      </c>
      <c r="QP23" s="139">
        <f t="shared" si="82"/>
        <v>0</v>
      </c>
      <c r="QR23" s="1">
        <f t="shared" si="83"/>
        <v>0</v>
      </c>
      <c r="QS23" s="1">
        <f t="shared" si="84"/>
        <v>0</v>
      </c>
      <c r="QT23" s="1">
        <f t="shared" si="85"/>
        <v>0</v>
      </c>
      <c r="QU23" s="1">
        <f t="shared" si="86"/>
        <v>0</v>
      </c>
      <c r="QV23" s="1">
        <f t="shared" si="87"/>
        <v>0</v>
      </c>
      <c r="QW23" s="1">
        <f t="shared" si="88"/>
        <v>0</v>
      </c>
      <c r="QY23" s="1">
        <f t="shared" si="89"/>
        <v>0</v>
      </c>
      <c r="QZ23" s="1">
        <f t="shared" si="90"/>
        <v>0</v>
      </c>
      <c r="RA23" s="1">
        <f t="shared" si="91"/>
        <v>0</v>
      </c>
      <c r="RB23" s="1">
        <f t="shared" si="92"/>
        <v>0</v>
      </c>
      <c r="RC23" s="1">
        <f t="shared" si="93"/>
        <v>0</v>
      </c>
      <c r="RD23" s="1">
        <f t="shared" si="94"/>
        <v>0</v>
      </c>
      <c r="RG23" s="1">
        <v>14</v>
      </c>
      <c r="RH23" s="1">
        <f t="shared" si="124"/>
        <v>21157.085209717097</v>
      </c>
      <c r="RI23" s="1">
        <f t="shared" si="124"/>
        <v>34083.041780483713</v>
      </c>
      <c r="RJ23" s="1">
        <f t="shared" si="124"/>
        <v>13404.263703387322</v>
      </c>
      <c r="RK23" s="89">
        <f t="shared" si="5"/>
        <v>68644.390693588124</v>
      </c>
      <c r="RL23" s="1033">
        <v>14</v>
      </c>
      <c r="RM23" s="1098">
        <f t="shared" si="96"/>
        <v>0</v>
      </c>
      <c r="RN23" s="1098">
        <f t="shared" si="97"/>
        <v>0</v>
      </c>
      <c r="RO23" s="1097">
        <f t="shared" si="97"/>
        <v>0</v>
      </c>
      <c r="RP23" s="1097">
        <f t="shared" si="98"/>
        <v>7018.04</v>
      </c>
      <c r="RQ23" s="1050"/>
      <c r="RR23" s="1050" t="s">
        <v>895</v>
      </c>
      <c r="RS23" s="1048"/>
      <c r="RU23" s="421">
        <v>14</v>
      </c>
      <c r="RV23" s="1095">
        <f t="shared" si="99"/>
        <v>18159.460000000003</v>
      </c>
      <c r="RW23" s="1115" t="s">
        <v>896</v>
      </c>
      <c r="RX23" s="1114"/>
      <c r="RY23" s="1090"/>
      <c r="RZ23" s="1090">
        <f t="shared" si="100"/>
        <v>0</v>
      </c>
      <c r="SA23" s="1090"/>
      <c r="SB23" s="1090">
        <f t="shared" si="101"/>
        <v>0</v>
      </c>
      <c r="SD23" s="1">
        <v>14</v>
      </c>
      <c r="SE23" s="1">
        <f t="shared" si="102"/>
        <v>0</v>
      </c>
    </row>
    <row r="24" spans="1:500" s="1" customFormat="1">
      <c r="B24" s="471">
        <v>15</v>
      </c>
      <c r="C24" s="4">
        <f t="shared" si="6"/>
        <v>94031</v>
      </c>
      <c r="D24" s="1590">
        <f t="shared" si="119"/>
        <v>3515.3199999999997</v>
      </c>
      <c r="E24" s="1895">
        <f t="shared" si="7"/>
        <v>26.748916172638623</v>
      </c>
      <c r="F24" s="870"/>
      <c r="G24" s="870"/>
      <c r="H24" s="52">
        <v>42</v>
      </c>
      <c r="I24" s="61">
        <v>8.5</v>
      </c>
      <c r="J24" s="52"/>
      <c r="K24" s="54"/>
      <c r="L24" s="52">
        <v>10.5</v>
      </c>
      <c r="M24" s="61">
        <v>6.78</v>
      </c>
      <c r="N24" s="2629"/>
      <c r="O24" s="4">
        <f t="shared" si="125"/>
        <v>59304</v>
      </c>
      <c r="P24" s="1225">
        <f t="shared" si="8"/>
        <v>2076.14</v>
      </c>
      <c r="Q24" s="1913">
        <f t="shared" si="9"/>
        <v>28.564547670195655</v>
      </c>
      <c r="R24" s="33"/>
      <c r="S24" s="26">
        <f t="shared" si="10"/>
        <v>16348</v>
      </c>
      <c r="T24" s="27">
        <f t="shared" si="11"/>
        <v>159.18</v>
      </c>
      <c r="U24" s="1909">
        <f t="shared" si="12"/>
        <v>102.70134438999874</v>
      </c>
      <c r="V24" s="28"/>
      <c r="W24" s="26">
        <f t="shared" si="13"/>
        <v>18379</v>
      </c>
      <c r="X24" s="5">
        <f t="shared" si="13"/>
        <v>1280</v>
      </c>
      <c r="Y24" s="325">
        <f t="shared" si="14"/>
        <v>14.358593750000001</v>
      </c>
      <c r="Z24" s="33"/>
      <c r="AA24" s="26">
        <f t="shared" si="15"/>
        <v>0</v>
      </c>
      <c r="AB24" s="27">
        <f t="shared" si="16"/>
        <v>0</v>
      </c>
      <c r="AC24" s="53">
        <f t="shared" si="17"/>
        <v>0</v>
      </c>
      <c r="AD24" s="28"/>
      <c r="AE24" s="36"/>
      <c r="AF24" s="36"/>
      <c r="AG24" s="53">
        <f t="shared" si="18"/>
        <v>0</v>
      </c>
      <c r="AH24" s="28"/>
      <c r="AI24" s="23"/>
      <c r="AJ24" s="27"/>
      <c r="AK24" s="53">
        <f t="shared" si="19"/>
        <v>0</v>
      </c>
      <c r="AL24" s="28"/>
      <c r="AM24" s="2629"/>
      <c r="AN24" s="9"/>
      <c r="AO24" s="5"/>
      <c r="AP24" s="61">
        <f t="shared" si="20"/>
        <v>0</v>
      </c>
      <c r="AQ24" s="36"/>
      <c r="AR24" s="53"/>
      <c r="AS24" s="61">
        <f t="shared" si="21"/>
        <v>0</v>
      </c>
      <c r="AT24" s="36">
        <v>0</v>
      </c>
      <c r="AU24" s="27"/>
      <c r="AV24" s="54">
        <f t="shared" si="22"/>
        <v>0</v>
      </c>
      <c r="AW24" s="26">
        <v>30828</v>
      </c>
      <c r="AX24" s="27">
        <v>1233.8399999999999</v>
      </c>
      <c r="AY24" s="1895">
        <v>24.985411398560593</v>
      </c>
      <c r="AZ24" s="1908"/>
      <c r="BA24" s="1909"/>
      <c r="BB24" s="1895">
        <v>0</v>
      </c>
      <c r="BC24" s="1740">
        <v>28476</v>
      </c>
      <c r="BD24" s="1909">
        <v>842.30000000000007</v>
      </c>
      <c r="BE24" s="1895">
        <v>33.807432031342749</v>
      </c>
      <c r="BF24" s="1908"/>
      <c r="BG24" s="1909"/>
      <c r="BH24" s="1895">
        <v>0</v>
      </c>
      <c r="BI24" s="1908">
        <v>0</v>
      </c>
      <c r="BJ24" s="1909">
        <v>0</v>
      </c>
      <c r="BK24" s="1895">
        <v>0</v>
      </c>
      <c r="BL24" s="1742">
        <v>16348</v>
      </c>
      <c r="BM24" s="1909">
        <v>159.18</v>
      </c>
      <c r="BN24" s="1911">
        <v>102.70134438999874</v>
      </c>
      <c r="BO24" s="9"/>
      <c r="BP24" s="64"/>
      <c r="BQ24" s="482">
        <v>0</v>
      </c>
      <c r="BR24" s="9"/>
      <c r="BS24" s="64"/>
      <c r="BT24" s="482">
        <v>0</v>
      </c>
      <c r="BU24" s="9">
        <v>18379</v>
      </c>
      <c r="BV24" s="27">
        <v>1280</v>
      </c>
      <c r="BW24" s="1051">
        <v>14.358593750000001</v>
      </c>
      <c r="BX24" s="26"/>
      <c r="BY24" s="27"/>
      <c r="BZ24" s="482">
        <f t="shared" si="23"/>
        <v>0</v>
      </c>
      <c r="CA24" s="9"/>
      <c r="CB24" s="481"/>
      <c r="CC24" s="482">
        <f t="shared" si="24"/>
        <v>0</v>
      </c>
      <c r="CD24" s="4"/>
      <c r="CE24" s="5"/>
      <c r="CF24" s="28">
        <f t="shared" si="25"/>
        <v>0</v>
      </c>
      <c r="CG24" s="150"/>
      <c r="CH24" s="1108"/>
      <c r="CI24" s="5"/>
      <c r="CJ24" s="5">
        <v>3471</v>
      </c>
      <c r="CK24" s="5"/>
      <c r="CL24" s="5"/>
      <c r="CM24" s="5">
        <f t="shared" si="26"/>
        <v>3471</v>
      </c>
      <c r="CN24" s="33"/>
      <c r="CO24" s="366"/>
      <c r="CQ24" s="4">
        <f t="shared" si="27"/>
        <v>0</v>
      </c>
      <c r="CR24" s="9">
        <f t="shared" si="27"/>
        <v>0</v>
      </c>
      <c r="CS24" s="5">
        <f t="shared" si="27"/>
        <v>0</v>
      </c>
      <c r="CT24" s="5">
        <f t="shared" si="27"/>
        <v>0</v>
      </c>
      <c r="CU24" s="5">
        <f t="shared" si="27"/>
        <v>0</v>
      </c>
      <c r="CV24" s="5">
        <f t="shared" si="27"/>
        <v>0</v>
      </c>
      <c r="CW24" s="5">
        <f t="shared" si="27"/>
        <v>1168.76</v>
      </c>
      <c r="CX24" s="5">
        <f t="shared" si="27"/>
        <v>0</v>
      </c>
      <c r="CY24" s="5">
        <f t="shared" si="27"/>
        <v>1066.5600000000002</v>
      </c>
      <c r="CZ24" s="5">
        <f t="shared" si="27"/>
        <v>0</v>
      </c>
      <c r="DA24" s="5">
        <f t="shared" si="27"/>
        <v>1280</v>
      </c>
      <c r="DB24" s="12">
        <f t="shared" si="27"/>
        <v>0</v>
      </c>
      <c r="DC24" s="310">
        <f t="shared" si="28"/>
        <v>3515.32</v>
      </c>
      <c r="DD24" s="2695"/>
      <c r="DE24" s="8"/>
      <c r="DF24" s="9"/>
      <c r="DG24" s="5"/>
      <c r="DH24" s="5"/>
      <c r="DI24" s="5"/>
      <c r="DJ24" s="5"/>
      <c r="DK24" s="5">
        <v>1168.76</v>
      </c>
      <c r="DL24" s="5"/>
      <c r="DM24" s="5">
        <v>65.08</v>
      </c>
      <c r="DN24" s="5"/>
      <c r="DO24" s="5"/>
      <c r="DP24" s="12"/>
      <c r="DQ24" s="28">
        <f t="shared" si="29"/>
        <v>1233.8399999999999</v>
      </c>
      <c r="DR24" s="36"/>
      <c r="DS24" s="9"/>
      <c r="DT24" s="5"/>
      <c r="DU24" s="5"/>
      <c r="DV24" s="5"/>
      <c r="DW24" s="5"/>
      <c r="DX24" s="5"/>
      <c r="DY24" s="5"/>
      <c r="DZ24" s="5">
        <v>1001.4800000000001</v>
      </c>
      <c r="EA24" s="27"/>
      <c r="EB24" s="27">
        <v>0</v>
      </c>
      <c r="EC24" s="33"/>
      <c r="ED24" s="28">
        <f t="shared" si="30"/>
        <v>1001.4800000000001</v>
      </c>
      <c r="EE24" s="9"/>
      <c r="EF24" s="36"/>
      <c r="EG24" s="5"/>
      <c r="EH24" s="27"/>
      <c r="EI24" s="27"/>
      <c r="EJ24" s="27"/>
      <c r="EK24" s="27"/>
      <c r="EL24" s="27"/>
      <c r="EM24" s="5"/>
      <c r="EN24" s="5"/>
      <c r="EO24" s="1448">
        <v>1280</v>
      </c>
      <c r="EP24" s="33"/>
      <c r="EQ24" s="28">
        <f t="shared" si="31"/>
        <v>1280</v>
      </c>
      <c r="ER24" s="36"/>
      <c r="ES24" s="27"/>
      <c r="ET24" s="27"/>
      <c r="EU24" s="27"/>
      <c r="EV24" s="27"/>
      <c r="EW24" s="27"/>
      <c r="EX24" s="33">
        <f t="shared" si="32"/>
        <v>0</v>
      </c>
      <c r="EY24" s="2685"/>
      <c r="FA24" s="4">
        <f t="shared" si="33"/>
        <v>0</v>
      </c>
      <c r="FB24" s="5">
        <f t="shared" si="34"/>
        <v>0</v>
      </c>
      <c r="FC24" s="5">
        <f t="shared" si="35"/>
        <v>0</v>
      </c>
      <c r="FD24" s="12">
        <f t="shared" si="36"/>
        <v>0</v>
      </c>
      <c r="FE24" s="33"/>
      <c r="FF24" s="2674"/>
      <c r="FG24" s="9"/>
      <c r="FH24" s="5"/>
      <c r="FI24" s="5"/>
      <c r="FJ24" s="5"/>
      <c r="FK24" s="5"/>
      <c r="FL24" s="27"/>
      <c r="FM24" s="28">
        <f t="shared" si="37"/>
        <v>0</v>
      </c>
      <c r="FN24" s="36"/>
      <c r="FO24" s="27"/>
      <c r="FP24" s="27"/>
      <c r="FQ24" s="27"/>
      <c r="FR24" s="27"/>
      <c r="FS24" s="27"/>
      <c r="FT24" s="28">
        <f t="shared" si="38"/>
        <v>0</v>
      </c>
      <c r="FU24" s="36"/>
      <c r="FV24" s="36"/>
      <c r="FW24" s="27"/>
      <c r="FX24" s="27"/>
      <c r="FY24" s="27"/>
      <c r="FZ24" s="27"/>
      <c r="GA24" s="27"/>
      <c r="GB24" s="27"/>
      <c r="GC24" s="27"/>
      <c r="GD24" s="27"/>
      <c r="GE24" s="27"/>
      <c r="GF24" s="33"/>
      <c r="GG24" s="33">
        <f t="shared" si="39"/>
        <v>0</v>
      </c>
      <c r="GH24" s="2674"/>
      <c r="GJ24" s="2">
        <f t="shared" si="105"/>
        <v>4267.2899999999991</v>
      </c>
      <c r="GK24" s="1942">
        <f t="shared" si="106"/>
        <v>3930.9400000000005</v>
      </c>
      <c r="GL24" s="1943">
        <f t="shared" si="107"/>
        <v>0</v>
      </c>
      <c r="GM24" s="1736">
        <f t="shared" si="40"/>
        <v>8198.23</v>
      </c>
      <c r="GN24" s="141"/>
      <c r="GO24" s="141"/>
      <c r="GP24" s="33"/>
      <c r="GQ24" s="2667"/>
      <c r="GR24" s="1740">
        <v>3455.4</v>
      </c>
      <c r="GS24" s="1736">
        <v>0</v>
      </c>
      <c r="GT24" s="1736">
        <v>3309.7899999999995</v>
      </c>
      <c r="GU24" s="1736">
        <v>1433.04</v>
      </c>
      <c r="GV24" s="1941">
        <f t="shared" si="41"/>
        <v>8198.23</v>
      </c>
      <c r="GW24" s="2667"/>
      <c r="GX24" s="36"/>
      <c r="GY24" s="36"/>
      <c r="GZ24" s="27"/>
      <c r="HA24" s="27"/>
      <c r="HB24" s="27"/>
      <c r="HC24" s="27"/>
      <c r="HD24" s="27"/>
      <c r="HE24" s="27"/>
      <c r="HF24" s="27">
        <v>0</v>
      </c>
      <c r="HG24" s="27"/>
      <c r="HH24" s="27">
        <v>4267.2899999999991</v>
      </c>
      <c r="HI24" s="27"/>
      <c r="HJ24" s="27">
        <v>0</v>
      </c>
      <c r="HK24" s="27"/>
      <c r="HL24" s="1906">
        <f t="shared" si="120"/>
        <v>4267.2899999999991</v>
      </c>
      <c r="HM24" s="36"/>
      <c r="HN24" s="27"/>
      <c r="HO24" s="27"/>
      <c r="HP24" s="27"/>
      <c r="HQ24" s="27"/>
      <c r="HR24" s="27"/>
      <c r="HS24" s="27" cm="1">
        <f t="array" ref="HS24">SUMPRODUCT(('Data Base hauling'!$C$2:$C$216="TCM-ROM SB1 BK05-ROM 4")*(ISNUMBER(SEARCH(TEXT('April TCM'!$B24,"00")&amp;"/03/2026",'Data Base hauling'!$E$2:$E$216)))*'Data Base hauling'!$N$2:$N$216)</f>
        <v>0</v>
      </c>
      <c r="HT24" s="27"/>
      <c r="HU24" s="27" cm="1">
        <f t="array" ref="HU24">SUMPRODUCT(('Data Base hauling'!$C$2:$C$216="TCM-ROM SB1 BK05-ROM 5")*(ISNUMBER(SEARCH(TEXT('April TCM'!$B24,"00")&amp;"/03/2026",'Data Base hauling'!$E$2:$E$216)))*'Data Base hauling'!$N$2:$N$216)</f>
        <v>0</v>
      </c>
      <c r="HV24" s="27"/>
      <c r="HW24" s="27"/>
      <c r="HX24" s="27"/>
      <c r="HY24" s="27"/>
      <c r="HZ24" s="27"/>
      <c r="IA24" s="33">
        <f t="shared" si="43"/>
        <v>0</v>
      </c>
      <c r="IB24" s="52"/>
      <c r="IC24" s="152"/>
      <c r="ID24" s="53"/>
      <c r="IE24" s="53"/>
      <c r="IF24" s="53"/>
      <c r="IG24" s="53"/>
      <c r="IH24" s="53">
        <v>1559.74</v>
      </c>
      <c r="II24" s="53"/>
      <c r="IJ24" s="1736">
        <v>2371.2000000000003</v>
      </c>
      <c r="IK24" s="53"/>
      <c r="IL24" s="53">
        <v>0</v>
      </c>
      <c r="IM24" s="53"/>
      <c r="IN24" s="53"/>
      <c r="IO24" s="49">
        <v>0</v>
      </c>
      <c r="IP24" s="61">
        <f t="shared" si="121"/>
        <v>3930.9400000000005</v>
      </c>
      <c r="IQ24" s="36"/>
      <c r="IR24" s="36"/>
      <c r="IS24" s="53"/>
      <c r="IT24" s="27"/>
      <c r="IU24" s="53"/>
      <c r="IV24" s="27"/>
      <c r="IW24" s="27">
        <v>0</v>
      </c>
      <c r="IX24" s="27"/>
      <c r="IY24" s="27">
        <v>0</v>
      </c>
      <c r="IZ24" s="27"/>
      <c r="JA24" s="27">
        <v>0</v>
      </c>
      <c r="JB24" s="27"/>
      <c r="JC24" s="27"/>
      <c r="JD24" s="27"/>
      <c r="JE24" s="1941">
        <f t="shared" si="122"/>
        <v>0</v>
      </c>
      <c r="JF24" s="2667"/>
      <c r="JH24" s="2020">
        <v>0</v>
      </c>
      <c r="JI24" s="2021">
        <v>8198.23</v>
      </c>
      <c r="JJ24" s="53"/>
      <c r="JK24" s="53">
        <f t="shared" si="123"/>
        <v>8198.23</v>
      </c>
      <c r="JL24" s="33"/>
      <c r="JM24" s="2669"/>
      <c r="JN24" s="69" t="s">
        <v>296</v>
      </c>
      <c r="JO24" s="70" t="s">
        <v>296</v>
      </c>
      <c r="JP24" s="70" t="s">
        <v>296</v>
      </c>
      <c r="JQ24" s="850" t="s">
        <v>296</v>
      </c>
      <c r="JR24" s="850" t="s">
        <v>296</v>
      </c>
      <c r="JS24" s="850" t="s">
        <v>296</v>
      </c>
      <c r="JT24" s="70" t="s">
        <v>296</v>
      </c>
      <c r="JU24" s="1922">
        <v>0</v>
      </c>
      <c r="JV24" s="69">
        <v>0</v>
      </c>
      <c r="JW24" s="70">
        <v>0</v>
      </c>
      <c r="JX24" s="70">
        <v>0</v>
      </c>
      <c r="JY24" s="70">
        <v>0.19025326198459913</v>
      </c>
      <c r="JZ24" s="70">
        <v>0.28923316374388136</v>
      </c>
      <c r="KA24" s="70">
        <v>0.52051357427151945</v>
      </c>
      <c r="KB24" s="70">
        <v>0</v>
      </c>
      <c r="KC24" s="71">
        <v>0</v>
      </c>
      <c r="KD24" s="69"/>
      <c r="KE24" s="70"/>
      <c r="KF24" s="70"/>
      <c r="KG24" s="70"/>
      <c r="KH24" s="70"/>
      <c r="KI24" s="70"/>
      <c r="KJ24" s="70"/>
      <c r="KK24" s="70"/>
      <c r="KL24" s="33"/>
      <c r="KM24" s="2669"/>
      <c r="KN24" s="1739">
        <v>0</v>
      </c>
      <c r="KO24" s="1721">
        <v>0</v>
      </c>
      <c r="KP24" s="1721">
        <v>0</v>
      </c>
      <c r="KQ24" s="1721">
        <v>0</v>
      </c>
      <c r="KR24" s="1722">
        <v>0</v>
      </c>
      <c r="KS24" s="1958">
        <v>6953.2222092343654</v>
      </c>
      <c r="KT24" s="1961">
        <v>1.9647983635300996</v>
      </c>
      <c r="KU24" s="1961">
        <v>6.8832425482174164</v>
      </c>
      <c r="KV24" s="1961">
        <v>5.0046218585622446</v>
      </c>
      <c r="KW24" s="1962">
        <v>10.572680938398596</v>
      </c>
      <c r="KX24" s="36"/>
      <c r="KY24" s="53"/>
      <c r="KZ24" s="53"/>
      <c r="LA24" s="53"/>
      <c r="LB24" s="53"/>
      <c r="LC24" s="33"/>
      <c r="LD24" s="2669"/>
      <c r="LF24" s="4">
        <f t="shared" si="47"/>
        <v>0</v>
      </c>
      <c r="LG24" s="27">
        <f t="shared" si="47"/>
        <v>0</v>
      </c>
      <c r="LH24" s="27">
        <f t="shared" si="47"/>
        <v>0</v>
      </c>
      <c r="LI24" s="28">
        <f t="shared" si="48"/>
        <v>0</v>
      </c>
      <c r="LJ24" s="36"/>
      <c r="LK24" s="27"/>
      <c r="LL24" s="27"/>
      <c r="LM24" s="33"/>
      <c r="LN24" s="1957">
        <v>7.05</v>
      </c>
      <c r="LO24" s="486" t="s">
        <v>680</v>
      </c>
      <c r="LP24" s="2688"/>
      <c r="LQ24" s="36"/>
      <c r="LR24" s="36"/>
      <c r="LS24" s="27"/>
      <c r="LT24" s="27"/>
      <c r="LU24" s="27"/>
      <c r="LV24" s="1107">
        <f t="shared" si="49"/>
        <v>0</v>
      </c>
      <c r="LW24" s="36"/>
      <c r="LX24" s="36"/>
      <c r="LY24" s="27"/>
      <c r="LZ24" s="27"/>
      <c r="MA24" s="33"/>
      <c r="MB24" s="28">
        <f t="shared" si="50"/>
        <v>0</v>
      </c>
      <c r="MC24" s="26"/>
      <c r="MD24" s="36"/>
      <c r="ME24" s="27"/>
      <c r="MF24" s="27"/>
      <c r="MG24" s="27"/>
      <c r="MH24" s="28"/>
      <c r="MI24" s="36"/>
      <c r="MJ24" s="36"/>
      <c r="MK24" s="27"/>
      <c r="ML24" s="27"/>
      <c r="MM24" s="27"/>
      <c r="MN24" s="28"/>
      <c r="MO24" s="36"/>
      <c r="MP24" s="36"/>
      <c r="MQ24" s="27"/>
      <c r="MR24" s="27"/>
      <c r="MS24" s="27"/>
      <c r="MT24" s="33">
        <f t="shared" si="51"/>
        <v>0</v>
      </c>
      <c r="MU24" s="2688"/>
      <c r="MW24" s="26">
        <f t="shared" si="52"/>
        <v>114786.89939330629</v>
      </c>
      <c r="MX24" s="27">
        <f t="shared" si="53"/>
        <v>95342.653809620213</v>
      </c>
      <c r="MY24" s="27">
        <f t="shared" si="54"/>
        <v>19727.226980961226</v>
      </c>
      <c r="MZ24" s="28">
        <f t="shared" si="55"/>
        <v>426403.51855851006</v>
      </c>
      <c r="NA24" s="2621"/>
      <c r="NB24" s="23">
        <f t="shared" si="56"/>
        <v>28204.193361311263</v>
      </c>
      <c r="NC24" s="1579">
        <f t="shared" si="57"/>
        <v>86582.706031995025</v>
      </c>
      <c r="ND24" s="60">
        <f t="shared" si="58"/>
        <v>0</v>
      </c>
      <c r="NE24" s="275">
        <f t="shared" si="4"/>
        <v>114786.89939330629</v>
      </c>
      <c r="NF24" s="26">
        <f t="shared" si="59"/>
        <v>0</v>
      </c>
      <c r="NG24" s="27">
        <f t="shared" si="59"/>
        <v>0</v>
      </c>
      <c r="NH24" s="27">
        <f t="shared" si="59"/>
        <v>0</v>
      </c>
      <c r="NI24" s="27">
        <f t="shared" si="59"/>
        <v>0</v>
      </c>
      <c r="NJ24" s="27">
        <f t="shared" si="59"/>
        <v>0</v>
      </c>
      <c r="NK24" s="33">
        <f t="shared" si="59"/>
        <v>0</v>
      </c>
      <c r="NL24" s="27">
        <f t="shared" si="59"/>
        <v>0</v>
      </c>
      <c r="NM24" s="36">
        <f t="shared" si="59"/>
        <v>0</v>
      </c>
      <c r="NN24" s="24">
        <f t="shared" si="59"/>
        <v>13287.080566563143</v>
      </c>
      <c r="NO24" s="27">
        <f t="shared" si="59"/>
        <v>26196.69549600617</v>
      </c>
      <c r="NP24" s="24">
        <f t="shared" si="108"/>
        <v>8756.5482322711578</v>
      </c>
      <c r="NQ24" s="24">
        <f t="shared" si="109"/>
        <v>23181.504118033416</v>
      </c>
      <c r="NR24" s="27">
        <f t="shared" si="0"/>
        <v>71421.828412873874</v>
      </c>
      <c r="NS24" s="27">
        <f t="shared" si="60"/>
        <v>0</v>
      </c>
      <c r="NT24" s="27">
        <f t="shared" si="60"/>
        <v>0</v>
      </c>
      <c r="NU24" s="27">
        <f t="shared" si="60"/>
        <v>0</v>
      </c>
      <c r="NV24" s="27">
        <f t="shared" si="60"/>
        <v>0</v>
      </c>
      <c r="NW24" s="27">
        <f t="shared" si="60"/>
        <v>0</v>
      </c>
      <c r="NX24" s="5">
        <f t="shared" si="60"/>
        <v>0</v>
      </c>
      <c r="NY24" s="27">
        <f t="shared" si="60"/>
        <v>2869.0836022929125</v>
      </c>
      <c r="NZ24" s="27">
        <f t="shared" si="60"/>
        <v>0</v>
      </c>
      <c r="OA24" s="27">
        <f t="shared" si="60"/>
        <v>3667.4280667828284</v>
      </c>
      <c r="OB24" s="280"/>
      <c r="OC24" s="24">
        <f t="shared" si="61"/>
        <v>349.54339982995594</v>
      </c>
      <c r="OD24" s="27">
        <f t="shared" si="61"/>
        <v>0</v>
      </c>
      <c r="OE24" s="28">
        <f t="shared" si="1"/>
        <v>6886.0550689056963</v>
      </c>
      <c r="OF24" s="27">
        <f t="shared" si="62"/>
        <v>0</v>
      </c>
      <c r="OG24" s="27">
        <f t="shared" si="62"/>
        <v>0</v>
      </c>
      <c r="OH24" s="27">
        <f t="shared" si="62"/>
        <v>0</v>
      </c>
      <c r="OI24" s="27">
        <f t="shared" si="62"/>
        <v>0</v>
      </c>
      <c r="OJ24" s="27">
        <f t="shared" si="62"/>
        <v>0</v>
      </c>
      <c r="OK24" s="27">
        <f t="shared" si="62"/>
        <v>0</v>
      </c>
      <c r="OL24" s="24">
        <f t="shared" si="62"/>
        <v>0</v>
      </c>
      <c r="OM24" s="27">
        <f t="shared" si="62"/>
        <v>0</v>
      </c>
      <c r="ON24" s="24">
        <f t="shared" si="62"/>
        <v>14677.426218026507</v>
      </c>
      <c r="OO24" s="27">
        <f t="shared" si="62"/>
        <v>0</v>
      </c>
      <c r="OP24" s="27">
        <f t="shared" si="62"/>
        <v>2357.3441098141266</v>
      </c>
      <c r="OQ24" s="27">
        <f t="shared" si="62"/>
        <v>0</v>
      </c>
      <c r="OR24" s="28">
        <f t="shared" si="2"/>
        <v>17034.770327840633</v>
      </c>
      <c r="OS24" s="36"/>
      <c r="OT24" s="27"/>
      <c r="OU24" s="27"/>
      <c r="OV24" s="27"/>
      <c r="OW24" s="27"/>
      <c r="OX24" s="27"/>
      <c r="OY24" s="28">
        <f t="shared" si="63"/>
        <v>0</v>
      </c>
      <c r="OZ24" s="36">
        <f t="shared" si="64"/>
        <v>0</v>
      </c>
      <c r="PA24" s="27">
        <f t="shared" si="65"/>
        <v>0</v>
      </c>
      <c r="PB24" s="27">
        <f t="shared" si="66"/>
        <v>0</v>
      </c>
      <c r="PC24" s="27">
        <f t="shared" si="67"/>
        <v>0</v>
      </c>
      <c r="PD24" s="27">
        <f t="shared" si="68"/>
        <v>0</v>
      </c>
      <c r="PE24" s="27">
        <f t="shared" si="69"/>
        <v>0</v>
      </c>
      <c r="PF24" s="33">
        <f t="shared" si="3"/>
        <v>0</v>
      </c>
      <c r="PG24" s="2621"/>
      <c r="PI24" s="2">
        <v>0</v>
      </c>
      <c r="PJ24" s="3"/>
      <c r="PK24" s="3"/>
      <c r="PL24" s="3">
        <f t="shared" si="70"/>
        <v>0</v>
      </c>
      <c r="PM24" s="3">
        <f t="shared" si="71"/>
        <v>17481.408459344188</v>
      </c>
      <c r="PN24" s="11">
        <f t="shared" si="72"/>
        <v>19727.226980961226</v>
      </c>
      <c r="PO24" s="15"/>
      <c r="PP24" s="2615"/>
      <c r="PR24" s="4"/>
      <c r="PS24" s="9"/>
      <c r="PT24" s="9"/>
      <c r="PU24" s="9"/>
      <c r="PV24" s="1112">
        <v>0</v>
      </c>
      <c r="PW24" s="9"/>
      <c r="PX24" s="8">
        <f t="shared" si="73"/>
        <v>0</v>
      </c>
      <c r="PY24" s="5">
        <f t="shared" si="74"/>
        <v>0</v>
      </c>
      <c r="PZ24" s="5"/>
      <c r="QA24" s="5"/>
      <c r="QB24" s="5"/>
      <c r="QC24" s="5"/>
      <c r="QD24" s="5"/>
      <c r="QE24" s="12">
        <f t="shared" si="75"/>
        <v>29562.488999999998</v>
      </c>
      <c r="QF24" s="420">
        <f t="shared" si="76"/>
        <v>396346.60955851007</v>
      </c>
      <c r="QG24" s="1106">
        <f t="shared" si="77"/>
        <v>494.41999999999996</v>
      </c>
      <c r="QH24" s="484">
        <f t="shared" si="78"/>
        <v>5505.3678056099998</v>
      </c>
      <c r="QI24" s="12"/>
      <c r="QJ24" s="2615"/>
      <c r="QL24" s="139" t="str">
        <f t="shared" si="79"/>
        <v/>
      </c>
      <c r="QM24" s="139" t="str">
        <f t="shared" si="80"/>
        <v/>
      </c>
      <c r="QO24" s="139">
        <f t="shared" si="81"/>
        <v>0</v>
      </c>
      <c r="QP24" s="139">
        <f t="shared" si="82"/>
        <v>0</v>
      </c>
      <c r="QR24" s="1">
        <f t="shared" si="83"/>
        <v>0</v>
      </c>
      <c r="QS24" s="1">
        <f t="shared" si="84"/>
        <v>0</v>
      </c>
      <c r="QT24" s="1">
        <f t="shared" si="85"/>
        <v>0</v>
      </c>
      <c r="QU24" s="1">
        <f t="shared" si="86"/>
        <v>0</v>
      </c>
      <c r="QV24" s="1">
        <f t="shared" si="87"/>
        <v>0</v>
      </c>
      <c r="QW24" s="1">
        <f t="shared" si="88"/>
        <v>0</v>
      </c>
      <c r="QY24" s="1">
        <f t="shared" si="89"/>
        <v>0</v>
      </c>
      <c r="QZ24" s="1">
        <f t="shared" si="90"/>
        <v>0</v>
      </c>
      <c r="RA24" s="1">
        <f t="shared" si="91"/>
        <v>0</v>
      </c>
      <c r="RB24" s="1">
        <f t="shared" si="92"/>
        <v>0</v>
      </c>
      <c r="RC24" s="1">
        <f t="shared" si="93"/>
        <v>0</v>
      </c>
      <c r="RD24" s="1">
        <f t="shared" si="94"/>
        <v>0</v>
      </c>
      <c r="RG24" s="1">
        <v>15</v>
      </c>
      <c r="RH24" s="1">
        <f t="shared" si="124"/>
        <v>21157.085209717097</v>
      </c>
      <c r="RI24" s="1">
        <f t="shared" si="124"/>
        <v>42281.271780483716</v>
      </c>
      <c r="RJ24" s="1">
        <f t="shared" si="124"/>
        <v>13404.263703387322</v>
      </c>
      <c r="RK24" s="89">
        <f t="shared" si="5"/>
        <v>76842.620693588135</v>
      </c>
      <c r="RL24" s="1033">
        <v>15</v>
      </c>
      <c r="RM24" s="1098">
        <f t="shared" si="96"/>
        <v>0</v>
      </c>
      <c r="RN24" s="1098">
        <f t="shared" si="97"/>
        <v>0</v>
      </c>
      <c r="RO24" s="1097">
        <f t="shared" si="97"/>
        <v>0</v>
      </c>
      <c r="RP24" s="1097">
        <f t="shared" si="98"/>
        <v>2235.3200000000002</v>
      </c>
      <c r="RQ24" s="1050"/>
      <c r="RR24" s="1050" t="s">
        <v>897</v>
      </c>
      <c r="RS24" s="1048"/>
      <c r="RU24" s="421">
        <v>15</v>
      </c>
      <c r="RV24" s="1095">
        <f t="shared" si="99"/>
        <v>8198.23</v>
      </c>
      <c r="RW24" s="1046" t="s">
        <v>898</v>
      </c>
      <c r="RY24" s="1090"/>
      <c r="RZ24" s="1090">
        <f t="shared" si="100"/>
        <v>0</v>
      </c>
      <c r="SA24" s="1090"/>
      <c r="SB24" s="1090">
        <f t="shared" si="101"/>
        <v>0</v>
      </c>
      <c r="SD24" s="1">
        <v>15</v>
      </c>
      <c r="SE24" s="1">
        <f t="shared" si="102"/>
        <v>0</v>
      </c>
      <c r="SF24" s="1094"/>
    </row>
    <row r="25" spans="1:500" s="1" customFormat="1">
      <c r="B25" s="471">
        <v>16</v>
      </c>
      <c r="C25" s="4">
        <f t="shared" si="6"/>
        <v>123045.6</v>
      </c>
      <c r="D25" s="1590">
        <f t="shared" si="119"/>
        <v>5752.9400000000005</v>
      </c>
      <c r="E25" s="1895">
        <f t="shared" si="7"/>
        <v>21.388298852412852</v>
      </c>
      <c r="F25" s="870"/>
      <c r="G25" s="870"/>
      <c r="H25" s="52">
        <v>12</v>
      </c>
      <c r="I25" s="61">
        <v>2.17</v>
      </c>
      <c r="J25" s="52"/>
      <c r="K25" s="54"/>
      <c r="L25" s="52">
        <v>7.67</v>
      </c>
      <c r="M25" s="61">
        <v>5.56</v>
      </c>
      <c r="N25" s="2629"/>
      <c r="O25" s="4">
        <f t="shared" si="125"/>
        <v>70392</v>
      </c>
      <c r="P25" s="1225">
        <f t="shared" si="8"/>
        <v>3848.7000000000003</v>
      </c>
      <c r="Q25" s="1913">
        <f t="shared" si="9"/>
        <v>18.289812144360432</v>
      </c>
      <c r="R25" s="33"/>
      <c r="S25" s="26">
        <f t="shared" si="10"/>
        <v>24440.6</v>
      </c>
      <c r="T25" s="27">
        <f t="shared" si="11"/>
        <v>264.24</v>
      </c>
      <c r="U25" s="1909">
        <f t="shared" si="12"/>
        <v>92.493944898577041</v>
      </c>
      <c r="V25" s="28"/>
      <c r="W25" s="26">
        <f t="shared" si="13"/>
        <v>28213</v>
      </c>
      <c r="X25" s="5">
        <f t="shared" si="13"/>
        <v>1640</v>
      </c>
      <c r="Y25" s="27">
        <f t="shared" si="14"/>
        <v>17.203048780487805</v>
      </c>
      <c r="Z25" s="33"/>
      <c r="AA25" s="26">
        <f t="shared" si="15"/>
        <v>0</v>
      </c>
      <c r="AB25" s="27">
        <f t="shared" si="16"/>
        <v>0</v>
      </c>
      <c r="AC25" s="53">
        <f t="shared" si="17"/>
        <v>0</v>
      </c>
      <c r="AD25" s="28"/>
      <c r="AE25" s="36"/>
      <c r="AF25" s="36"/>
      <c r="AG25" s="53">
        <f t="shared" si="18"/>
        <v>0</v>
      </c>
      <c r="AH25" s="28"/>
      <c r="AI25" s="26"/>
      <c r="AJ25" s="27"/>
      <c r="AK25" s="53">
        <f t="shared" si="19"/>
        <v>0</v>
      </c>
      <c r="AL25" s="28"/>
      <c r="AM25" s="2629"/>
      <c r="AN25" s="9"/>
      <c r="AO25" s="5"/>
      <c r="AP25" s="61">
        <f t="shared" si="20"/>
        <v>0</v>
      </c>
      <c r="AQ25" s="36"/>
      <c r="AR25" s="53"/>
      <c r="AS25" s="61">
        <f t="shared" si="21"/>
        <v>0</v>
      </c>
      <c r="AT25" s="36">
        <v>0</v>
      </c>
      <c r="AU25" s="27"/>
      <c r="AV25" s="54">
        <f t="shared" si="22"/>
        <v>0</v>
      </c>
      <c r="AW25" s="26">
        <v>39816</v>
      </c>
      <c r="AX25" s="27">
        <v>3178.1400000000003</v>
      </c>
      <c r="AY25" s="1895">
        <v>12.528082463327605</v>
      </c>
      <c r="AZ25" s="1908"/>
      <c r="BA25" s="1909"/>
      <c r="BB25" s="1895">
        <v>0</v>
      </c>
      <c r="BC25" s="1740">
        <v>30576</v>
      </c>
      <c r="BD25" s="1909">
        <v>670.56</v>
      </c>
      <c r="BE25" s="1895">
        <v>45.597709377236939</v>
      </c>
      <c r="BF25" s="1908"/>
      <c r="BG25" s="1909"/>
      <c r="BH25" s="1895">
        <v>0</v>
      </c>
      <c r="BI25" s="1908">
        <v>0</v>
      </c>
      <c r="BJ25" s="1909">
        <v>0</v>
      </c>
      <c r="BK25" s="1895">
        <v>0</v>
      </c>
      <c r="BL25" s="1742">
        <v>24440.6</v>
      </c>
      <c r="BM25" s="1909">
        <v>264.24</v>
      </c>
      <c r="BN25" s="1911">
        <v>92.493944898577041</v>
      </c>
      <c r="BO25" s="9"/>
      <c r="BP25" s="64"/>
      <c r="BQ25" s="482">
        <v>0</v>
      </c>
      <c r="BR25" s="9"/>
      <c r="BS25" s="64"/>
      <c r="BT25" s="482">
        <v>0</v>
      </c>
      <c r="BU25" s="9">
        <v>28213</v>
      </c>
      <c r="BV25" s="27">
        <v>1640</v>
      </c>
      <c r="BW25" s="15">
        <v>17.203048780487805</v>
      </c>
      <c r="BX25" s="26"/>
      <c r="BY25" s="5"/>
      <c r="BZ25" s="482">
        <f t="shared" si="23"/>
        <v>0</v>
      </c>
      <c r="CA25" s="9"/>
      <c r="CB25" s="481"/>
      <c r="CC25" s="482">
        <f t="shared" si="24"/>
        <v>0</v>
      </c>
      <c r="CD25" s="4"/>
      <c r="CE25" s="5"/>
      <c r="CF25" s="28">
        <f t="shared" si="25"/>
        <v>0</v>
      </c>
      <c r="CG25" s="150"/>
      <c r="CH25" s="1108"/>
      <c r="CI25" s="5"/>
      <c r="CJ25" s="5">
        <v>4487</v>
      </c>
      <c r="CK25" s="5"/>
      <c r="CL25" s="5"/>
      <c r="CM25" s="5">
        <f t="shared" si="26"/>
        <v>4487</v>
      </c>
      <c r="CN25" s="33"/>
      <c r="CO25" s="366"/>
      <c r="CQ25" s="4">
        <f t="shared" si="27"/>
        <v>0</v>
      </c>
      <c r="CR25" s="9">
        <f t="shared" si="27"/>
        <v>0</v>
      </c>
      <c r="CS25" s="5">
        <f t="shared" si="27"/>
        <v>0</v>
      </c>
      <c r="CT25" s="5">
        <f t="shared" si="27"/>
        <v>0</v>
      </c>
      <c r="CU25" s="5">
        <f t="shared" si="27"/>
        <v>0</v>
      </c>
      <c r="CV25" s="5">
        <f t="shared" si="27"/>
        <v>0</v>
      </c>
      <c r="CW25" s="5">
        <f t="shared" si="27"/>
        <v>1758.12</v>
      </c>
      <c r="CX25" s="5">
        <f t="shared" si="27"/>
        <v>0</v>
      </c>
      <c r="CY25" s="5">
        <f t="shared" si="27"/>
        <v>2123.46</v>
      </c>
      <c r="CZ25" s="5">
        <f t="shared" si="27"/>
        <v>0</v>
      </c>
      <c r="DA25" s="5">
        <f t="shared" si="27"/>
        <v>1871.3600000000001</v>
      </c>
      <c r="DB25" s="12">
        <f t="shared" si="27"/>
        <v>0</v>
      </c>
      <c r="DC25" s="310">
        <f t="shared" si="28"/>
        <v>5752.9400000000005</v>
      </c>
      <c r="DD25" s="2695"/>
      <c r="DE25" s="8"/>
      <c r="DF25" s="9"/>
      <c r="DG25" s="5"/>
      <c r="DH25" s="5"/>
      <c r="DI25" s="5"/>
      <c r="DJ25" s="5"/>
      <c r="DK25" s="5">
        <v>1758.12</v>
      </c>
      <c r="DL25" s="5"/>
      <c r="DM25" s="5">
        <v>1420.02</v>
      </c>
      <c r="DN25" s="5"/>
      <c r="DO25" s="5"/>
      <c r="DP25" s="12"/>
      <c r="DQ25" s="28">
        <f t="shared" si="29"/>
        <v>3178.14</v>
      </c>
      <c r="DR25" s="36"/>
      <c r="DS25" s="9"/>
      <c r="DT25" s="5"/>
      <c r="DU25" s="5"/>
      <c r="DV25" s="5"/>
      <c r="DW25" s="5"/>
      <c r="DX25" s="5"/>
      <c r="DY25" s="5"/>
      <c r="DZ25" s="5">
        <v>703.43999999999994</v>
      </c>
      <c r="EA25" s="27"/>
      <c r="EB25" s="27">
        <v>231.36</v>
      </c>
      <c r="EC25" s="33"/>
      <c r="ED25" s="28">
        <f t="shared" si="30"/>
        <v>934.8</v>
      </c>
      <c r="EE25" s="9"/>
      <c r="EF25" s="36"/>
      <c r="EG25" s="5"/>
      <c r="EH25" s="27"/>
      <c r="EI25" s="27"/>
      <c r="EJ25" s="27"/>
      <c r="EK25" s="27"/>
      <c r="EL25" s="27"/>
      <c r="EM25" s="5"/>
      <c r="EN25" s="5"/>
      <c r="EO25" s="5">
        <v>1640</v>
      </c>
      <c r="EP25" s="33"/>
      <c r="EQ25" s="28">
        <f t="shared" si="31"/>
        <v>1640</v>
      </c>
      <c r="ER25" s="36"/>
      <c r="ES25" s="27"/>
      <c r="ET25" s="27"/>
      <c r="EU25" s="27"/>
      <c r="EV25" s="27"/>
      <c r="EW25" s="27"/>
      <c r="EX25" s="33">
        <f t="shared" si="32"/>
        <v>0</v>
      </c>
      <c r="EY25" s="2685"/>
      <c r="FA25" s="4">
        <f t="shared" si="33"/>
        <v>0</v>
      </c>
      <c r="FB25" s="5">
        <f t="shared" si="34"/>
        <v>0</v>
      </c>
      <c r="FC25" s="5">
        <f t="shared" si="35"/>
        <v>0</v>
      </c>
      <c r="FD25" s="12">
        <f t="shared" si="36"/>
        <v>0</v>
      </c>
      <c r="FE25" s="33"/>
      <c r="FF25" s="2674"/>
      <c r="FG25" s="9"/>
      <c r="FH25" s="5"/>
      <c r="FI25" s="5"/>
      <c r="FJ25" s="5"/>
      <c r="FK25" s="5"/>
      <c r="FL25" s="27"/>
      <c r="FM25" s="28">
        <f t="shared" si="37"/>
        <v>0</v>
      </c>
      <c r="FN25" s="36"/>
      <c r="FO25" s="27"/>
      <c r="FP25" s="27"/>
      <c r="FQ25" s="27"/>
      <c r="FR25" s="27"/>
      <c r="FS25" s="27"/>
      <c r="FT25" s="28">
        <f t="shared" si="38"/>
        <v>0</v>
      </c>
      <c r="FU25" s="36"/>
      <c r="FV25" s="36"/>
      <c r="FW25" s="27"/>
      <c r="FX25" s="27"/>
      <c r="FY25" s="27"/>
      <c r="FZ25" s="27"/>
      <c r="GA25" s="27"/>
      <c r="GB25" s="27"/>
      <c r="GC25" s="27"/>
      <c r="GD25" s="27"/>
      <c r="GE25" s="27"/>
      <c r="GF25" s="33"/>
      <c r="GG25" s="33">
        <f t="shared" si="39"/>
        <v>0</v>
      </c>
      <c r="GH25" s="2674"/>
      <c r="GJ25" s="2">
        <f t="shared" si="105"/>
        <v>9117.0399999999991</v>
      </c>
      <c r="GK25" s="63">
        <f t="shared" si="106"/>
        <v>2695.21</v>
      </c>
      <c r="GL25" s="24">
        <f t="shared" si="107"/>
        <v>0</v>
      </c>
      <c r="GM25" s="1736">
        <f t="shared" si="40"/>
        <v>11812.25</v>
      </c>
      <c r="GN25" s="141"/>
      <c r="GO25" s="141"/>
      <c r="GP25" s="33"/>
      <c r="GQ25" s="2667"/>
      <c r="GR25" s="1740">
        <v>4680.67</v>
      </c>
      <c r="GS25" s="1736">
        <v>0</v>
      </c>
      <c r="GT25" s="1736">
        <v>4142.0600000000004</v>
      </c>
      <c r="GU25" s="1736">
        <v>2989.52</v>
      </c>
      <c r="GV25" s="33">
        <f t="shared" si="41"/>
        <v>11812.25</v>
      </c>
      <c r="GW25" s="2667"/>
      <c r="GX25" s="26"/>
      <c r="GY25" s="27"/>
      <c r="GZ25" s="64"/>
      <c r="HA25" s="27"/>
      <c r="HB25" s="27"/>
      <c r="HC25" s="27"/>
      <c r="HD25" s="27"/>
      <c r="HE25" s="27"/>
      <c r="HF25" s="27">
        <v>0</v>
      </c>
      <c r="HG25" s="27"/>
      <c r="HH25" s="27">
        <v>9117.0399999999991</v>
      </c>
      <c r="HI25" s="27"/>
      <c r="HJ25" s="27">
        <v>0</v>
      </c>
      <c r="HK25" s="27"/>
      <c r="HL25" s="28">
        <f t="shared" si="120"/>
        <v>9117.0399999999991</v>
      </c>
      <c r="HM25" s="36"/>
      <c r="HN25" s="27"/>
      <c r="HO25" s="27"/>
      <c r="HP25" s="27"/>
      <c r="HQ25" s="27"/>
      <c r="HR25" s="27"/>
      <c r="HS25" s="27" cm="1">
        <f t="array" ref="HS25">SUMPRODUCT(('Data Base hauling'!$C$2:$C$216="TCM-ROM SB1 BK05-ROM 4")*(ISNUMBER(SEARCH(TEXT('April TCM'!$B25,"00")&amp;"/03/2026",'Data Base hauling'!$E$2:$E$216)))*'Data Base hauling'!$N$2:$N$216)</f>
        <v>0</v>
      </c>
      <c r="HT25" s="27"/>
      <c r="HU25" s="27" cm="1">
        <f t="array" ref="HU25">SUMPRODUCT(('Data Base hauling'!$C$2:$C$216="TCM-ROM SB1 BK05-ROM 5")*(ISNUMBER(SEARCH(TEXT('April TCM'!$B25,"00")&amp;"/03/2026",'Data Base hauling'!$E$2:$E$216)))*'Data Base hauling'!$N$2:$N$216)</f>
        <v>0</v>
      </c>
      <c r="HV25" s="27"/>
      <c r="HW25" s="27"/>
      <c r="HX25" s="27"/>
      <c r="HY25" s="27"/>
      <c r="HZ25" s="27"/>
      <c r="IA25" s="33">
        <f t="shared" si="43"/>
        <v>0</v>
      </c>
      <c r="IB25" s="52"/>
      <c r="IC25" s="152"/>
      <c r="ID25" s="53"/>
      <c r="IE25" s="53"/>
      <c r="IF25" s="53"/>
      <c r="IG25" s="53"/>
      <c r="IH25" s="53">
        <v>1492.12</v>
      </c>
      <c r="II25" s="53"/>
      <c r="IJ25" s="1736">
        <v>1203.0899999999999</v>
      </c>
      <c r="IK25" s="53"/>
      <c r="IL25" s="53">
        <v>0</v>
      </c>
      <c r="IM25" s="53"/>
      <c r="IN25" s="53"/>
      <c r="IO25" s="49">
        <v>0</v>
      </c>
      <c r="IP25" s="61">
        <f t="shared" si="121"/>
        <v>2695.21</v>
      </c>
      <c r="IQ25" s="36"/>
      <c r="IR25" s="36"/>
      <c r="IS25" s="27"/>
      <c r="IT25" s="27"/>
      <c r="IU25" s="53"/>
      <c r="IV25" s="27"/>
      <c r="IW25" s="27">
        <v>0</v>
      </c>
      <c r="IX25" s="27"/>
      <c r="IY25" s="27">
        <v>0</v>
      </c>
      <c r="IZ25" s="27"/>
      <c r="JA25" s="27">
        <v>0</v>
      </c>
      <c r="JB25" s="27"/>
      <c r="JC25" s="27"/>
      <c r="JD25" s="27"/>
      <c r="JE25" s="33">
        <f t="shared" si="122"/>
        <v>0</v>
      </c>
      <c r="JF25" s="2667"/>
      <c r="JH25" s="2020">
        <v>0</v>
      </c>
      <c r="JI25" s="2021">
        <v>11812.25</v>
      </c>
      <c r="JJ25" s="53"/>
      <c r="JK25" s="53">
        <f t="shared" si="123"/>
        <v>11812.25</v>
      </c>
      <c r="JL25" s="33"/>
      <c r="JM25" s="2669"/>
      <c r="JN25" s="69" t="s">
        <v>296</v>
      </c>
      <c r="JO25" s="70" t="s">
        <v>296</v>
      </c>
      <c r="JP25" s="70" t="s">
        <v>296</v>
      </c>
      <c r="JQ25" s="850" t="s">
        <v>296</v>
      </c>
      <c r="JR25" s="850" t="s">
        <v>296</v>
      </c>
      <c r="JS25" s="850" t="s">
        <v>296</v>
      </c>
      <c r="JT25" s="70" t="s">
        <v>296</v>
      </c>
      <c r="JU25" s="1922">
        <v>0</v>
      </c>
      <c r="JV25" s="69">
        <v>0</v>
      </c>
      <c r="JW25" s="70">
        <v>0</v>
      </c>
      <c r="JX25" s="70">
        <v>0</v>
      </c>
      <c r="JY25" s="70">
        <v>0.12631971047006285</v>
      </c>
      <c r="JZ25" s="70">
        <v>0.10185104446654955</v>
      </c>
      <c r="KA25" s="70">
        <v>0.77182924506338746</v>
      </c>
      <c r="KB25" s="70">
        <v>0</v>
      </c>
      <c r="KC25" s="71">
        <v>0</v>
      </c>
      <c r="KD25" s="69"/>
      <c r="KE25" s="70"/>
      <c r="KF25" s="70"/>
      <c r="KG25" s="70"/>
      <c r="KH25" s="70"/>
      <c r="KI25" s="70"/>
      <c r="KJ25" s="70"/>
      <c r="KK25" s="70"/>
      <c r="KL25" s="33"/>
      <c r="KM25" s="2669"/>
      <c r="KN25" s="1739">
        <v>0</v>
      </c>
      <c r="KO25" s="1721">
        <v>0</v>
      </c>
      <c r="KP25" s="1721">
        <v>0</v>
      </c>
      <c r="KQ25" s="1721">
        <v>0</v>
      </c>
      <c r="KR25" s="1722">
        <v>0</v>
      </c>
      <c r="KS25" s="1958">
        <v>6718.5851310985727</v>
      </c>
      <c r="KT25" s="1961">
        <v>1.9789445735147693</v>
      </c>
      <c r="KU25" s="1961">
        <v>10.172854298041818</v>
      </c>
      <c r="KV25" s="1961">
        <v>4.9503352140723536</v>
      </c>
      <c r="KW25" s="1962">
        <v>8.1295420006637897</v>
      </c>
      <c r="KX25" s="36"/>
      <c r="KY25" s="53"/>
      <c r="KZ25" s="53"/>
      <c r="LA25" s="53"/>
      <c r="LB25" s="53"/>
      <c r="LC25" s="33"/>
      <c r="LD25" s="2669"/>
      <c r="LF25" s="4">
        <f t="shared" si="47"/>
        <v>5982.06</v>
      </c>
      <c r="LG25" s="27">
        <f t="shared" si="47"/>
        <v>8973.09</v>
      </c>
      <c r="LH25" s="27">
        <f t="shared" si="47"/>
        <v>0</v>
      </c>
      <c r="LI25" s="28">
        <f t="shared" si="48"/>
        <v>14955.150000000001</v>
      </c>
      <c r="LJ25" s="36">
        <v>2</v>
      </c>
      <c r="LK25" s="27"/>
      <c r="LL25" s="27"/>
      <c r="LM25" s="33"/>
      <c r="LN25" s="1041">
        <v>6.75</v>
      </c>
      <c r="LO25" s="486"/>
      <c r="LP25" s="2688"/>
      <c r="LQ25" s="36"/>
      <c r="LR25" s="36"/>
      <c r="LS25" s="27"/>
      <c r="LT25" s="27"/>
      <c r="LU25" s="27"/>
      <c r="LV25" s="1107">
        <f t="shared" si="49"/>
        <v>0</v>
      </c>
      <c r="LW25" s="36">
        <v>5982.06</v>
      </c>
      <c r="LX25" s="36">
        <v>8973.09</v>
      </c>
      <c r="LY25" s="27"/>
      <c r="LZ25" s="27"/>
      <c r="MA25" s="33"/>
      <c r="MB25" s="28">
        <f t="shared" si="50"/>
        <v>14955.150000000001</v>
      </c>
      <c r="MC25" s="26"/>
      <c r="MD25" s="36"/>
      <c r="ME25" s="27"/>
      <c r="MF25" s="27"/>
      <c r="MG25" s="27"/>
      <c r="MH25" s="28"/>
      <c r="MI25" s="36"/>
      <c r="MJ25" s="36"/>
      <c r="MK25" s="27"/>
      <c r="ML25" s="27"/>
      <c r="MM25" s="27"/>
      <c r="MN25" s="28"/>
      <c r="MO25" s="36"/>
      <c r="MP25" s="36"/>
      <c r="MQ25" s="27"/>
      <c r="MR25" s="27"/>
      <c r="MS25" s="27"/>
      <c r="MT25" s="33">
        <f t="shared" si="51"/>
        <v>0</v>
      </c>
      <c r="MU25" s="2688"/>
      <c r="MW25" s="26">
        <f t="shared" si="52"/>
        <v>111643.99939330629</v>
      </c>
      <c r="MX25" s="27">
        <f t="shared" si="53"/>
        <v>89283.343809620201</v>
      </c>
      <c r="MY25" s="27">
        <f t="shared" si="54"/>
        <v>19727.226980961226</v>
      </c>
      <c r="MZ25" s="28">
        <f t="shared" si="55"/>
        <v>425869.71855851007</v>
      </c>
      <c r="NA25" s="2621"/>
      <c r="NB25" s="23">
        <f t="shared" si="56"/>
        <v>22222.133361311262</v>
      </c>
      <c r="NC25" s="1579">
        <f t="shared" si="57"/>
        <v>89421.866031995029</v>
      </c>
      <c r="ND25" s="60">
        <f t="shared" si="58"/>
        <v>0</v>
      </c>
      <c r="NE25" s="275">
        <f t="shared" si="4"/>
        <v>111643.99939330629</v>
      </c>
      <c r="NF25" s="26">
        <f t="shared" si="59"/>
        <v>0</v>
      </c>
      <c r="NG25" s="27">
        <f t="shared" si="59"/>
        <v>0</v>
      </c>
      <c r="NH25" s="27">
        <f t="shared" si="59"/>
        <v>0</v>
      </c>
      <c r="NI25" s="27">
        <f t="shared" si="59"/>
        <v>0</v>
      </c>
      <c r="NJ25" s="27">
        <f t="shared" si="59"/>
        <v>0</v>
      </c>
      <c r="NK25" s="33">
        <f t="shared" si="59"/>
        <v>0</v>
      </c>
      <c r="NL25" s="27">
        <f t="shared" si="59"/>
        <v>0</v>
      </c>
      <c r="NM25" s="36">
        <f t="shared" si="59"/>
        <v>0</v>
      </c>
      <c r="NN25" s="24">
        <f t="shared" si="59"/>
        <v>13287.080566563143</v>
      </c>
      <c r="NO25" s="27">
        <f t="shared" si="59"/>
        <v>26196.69549600617</v>
      </c>
      <c r="NP25" s="24">
        <f t="shared" si="108"/>
        <v>8756.5482322711578</v>
      </c>
      <c r="NQ25" s="24">
        <f t="shared" si="109"/>
        <v>15704.464118033417</v>
      </c>
      <c r="NR25" s="27">
        <f t="shared" si="0"/>
        <v>63944.788412873881</v>
      </c>
      <c r="NS25" s="27">
        <f t="shared" si="60"/>
        <v>0</v>
      </c>
      <c r="NT25" s="27">
        <f t="shared" si="60"/>
        <v>0</v>
      </c>
      <c r="NU25" s="27">
        <f t="shared" si="60"/>
        <v>0</v>
      </c>
      <c r="NV25" s="27">
        <f t="shared" si="60"/>
        <v>0</v>
      </c>
      <c r="NW25" s="27">
        <f t="shared" si="60"/>
        <v>0</v>
      </c>
      <c r="NX25" s="5">
        <f t="shared" si="60"/>
        <v>0</v>
      </c>
      <c r="NY25" s="27">
        <f t="shared" si="60"/>
        <v>3135.0836022929125</v>
      </c>
      <c r="NZ25" s="27">
        <f t="shared" si="60"/>
        <v>0</v>
      </c>
      <c r="OA25" s="27">
        <f t="shared" si="60"/>
        <v>3884.3580667828282</v>
      </c>
      <c r="OB25" s="280"/>
      <c r="OC25" s="24">
        <f t="shared" si="61"/>
        <v>349.54339982995594</v>
      </c>
      <c r="OD25" s="27">
        <f t="shared" si="61"/>
        <v>0</v>
      </c>
      <c r="OE25" s="28">
        <f t="shared" si="1"/>
        <v>7368.9850689056966</v>
      </c>
      <c r="OF25" s="27">
        <f t="shared" si="62"/>
        <v>0</v>
      </c>
      <c r="OG25" s="27">
        <f t="shared" si="62"/>
        <v>0</v>
      </c>
      <c r="OH25" s="27">
        <f t="shared" si="62"/>
        <v>0</v>
      </c>
      <c r="OI25" s="27">
        <f t="shared" si="62"/>
        <v>0</v>
      </c>
      <c r="OJ25" s="27">
        <f t="shared" si="62"/>
        <v>0</v>
      </c>
      <c r="OK25" s="27">
        <f t="shared" si="62"/>
        <v>0</v>
      </c>
      <c r="OL25" s="24">
        <f t="shared" si="62"/>
        <v>0</v>
      </c>
      <c r="OM25" s="27">
        <f t="shared" si="62"/>
        <v>0</v>
      </c>
      <c r="ON25" s="24">
        <f t="shared" si="62"/>
        <v>15380.866218026507</v>
      </c>
      <c r="OO25" s="27">
        <f t="shared" si="62"/>
        <v>0</v>
      </c>
      <c r="OP25" s="27">
        <f t="shared" si="62"/>
        <v>2588.7041098141267</v>
      </c>
      <c r="OQ25" s="27">
        <f t="shared" si="62"/>
        <v>0</v>
      </c>
      <c r="OR25" s="28">
        <f t="shared" si="2"/>
        <v>17969.570327840633</v>
      </c>
      <c r="OS25" s="36"/>
      <c r="OT25" s="27"/>
      <c r="OU25" s="27"/>
      <c r="OV25" s="27"/>
      <c r="OW25" s="27"/>
      <c r="OX25" s="27"/>
      <c r="OY25" s="28">
        <f t="shared" si="63"/>
        <v>0</v>
      </c>
      <c r="OZ25" s="36">
        <f t="shared" si="64"/>
        <v>0</v>
      </c>
      <c r="PA25" s="27">
        <f t="shared" si="65"/>
        <v>0</v>
      </c>
      <c r="PB25" s="27">
        <f t="shared" si="66"/>
        <v>0</v>
      </c>
      <c r="PC25" s="27">
        <f t="shared" si="67"/>
        <v>0</v>
      </c>
      <c r="PD25" s="27">
        <f t="shared" si="68"/>
        <v>0</v>
      </c>
      <c r="PE25" s="27">
        <f t="shared" si="69"/>
        <v>0</v>
      </c>
      <c r="PF25" s="33">
        <f t="shared" si="3"/>
        <v>0</v>
      </c>
      <c r="PG25" s="2621"/>
      <c r="PI25" s="2">
        <v>533.79999999999995</v>
      </c>
      <c r="PJ25" s="3"/>
      <c r="PK25" s="3"/>
      <c r="PL25" s="3">
        <f t="shared" si="70"/>
        <v>0</v>
      </c>
      <c r="PM25" s="3">
        <f t="shared" si="71"/>
        <v>18015.208459344187</v>
      </c>
      <c r="PN25" s="11">
        <f t="shared" si="72"/>
        <v>19727.226980961226</v>
      </c>
      <c r="PO25" s="15"/>
      <c r="PP25" s="2615"/>
      <c r="PR25" s="4"/>
      <c r="PS25" s="9"/>
      <c r="PT25" s="9"/>
      <c r="PU25" s="486"/>
      <c r="PV25" s="64">
        <v>0</v>
      </c>
      <c r="PW25" s="9"/>
      <c r="PX25" s="8">
        <f t="shared" si="73"/>
        <v>0</v>
      </c>
      <c r="PY25" s="5">
        <f t="shared" si="74"/>
        <v>533.79999999999995</v>
      </c>
      <c r="PZ25" s="5"/>
      <c r="QA25" s="5"/>
      <c r="QB25" s="5"/>
      <c r="QC25" s="5"/>
      <c r="QD25" s="5"/>
      <c r="QE25" s="12">
        <f t="shared" si="75"/>
        <v>29562.488999999998</v>
      </c>
      <c r="QF25" s="420">
        <f t="shared" si="76"/>
        <v>395812.80955851008</v>
      </c>
      <c r="QG25" s="1106">
        <f t="shared" si="77"/>
        <v>494.41999999999996</v>
      </c>
      <c r="QH25" s="484">
        <f t="shared" si="78"/>
        <v>5505.3678056099998</v>
      </c>
      <c r="QI25" s="12"/>
      <c r="QJ25" s="2615"/>
      <c r="QL25" s="139" t="str">
        <f t="shared" si="79"/>
        <v/>
      </c>
      <c r="QM25" s="139" t="str">
        <f t="shared" si="80"/>
        <v/>
      </c>
      <c r="QO25" s="139">
        <f t="shared" si="81"/>
        <v>0</v>
      </c>
      <c r="QP25" s="139">
        <f t="shared" si="82"/>
        <v>0</v>
      </c>
      <c r="QR25" s="1">
        <f t="shared" si="83"/>
        <v>0</v>
      </c>
      <c r="QS25" s="1">
        <f t="shared" si="84"/>
        <v>0</v>
      </c>
      <c r="QT25" s="1">
        <f t="shared" si="85"/>
        <v>0</v>
      </c>
      <c r="QU25" s="1">
        <f t="shared" si="86"/>
        <v>0</v>
      </c>
      <c r="QV25" s="1">
        <f t="shared" si="87"/>
        <v>0</v>
      </c>
      <c r="QW25" s="1">
        <f t="shared" si="88"/>
        <v>0</v>
      </c>
      <c r="QY25" s="1">
        <f t="shared" si="89"/>
        <v>0</v>
      </c>
      <c r="QZ25" s="1">
        <f t="shared" si="90"/>
        <v>0</v>
      </c>
      <c r="RA25" s="1">
        <f t="shared" si="91"/>
        <v>0</v>
      </c>
      <c r="RB25" s="1">
        <f t="shared" si="92"/>
        <v>0</v>
      </c>
      <c r="RC25" s="1">
        <f t="shared" si="93"/>
        <v>0</v>
      </c>
      <c r="RD25" s="1">
        <f t="shared" si="94"/>
        <v>0</v>
      </c>
      <c r="RG25" s="1">
        <v>16</v>
      </c>
      <c r="RH25" s="1">
        <f t="shared" si="124"/>
        <v>15175.025209717096</v>
      </c>
      <c r="RI25" s="1">
        <f t="shared" si="124"/>
        <v>45120.431780483719</v>
      </c>
      <c r="RJ25" s="1">
        <f t="shared" si="124"/>
        <v>13404.263703387322</v>
      </c>
      <c r="RK25" s="89">
        <f t="shared" si="5"/>
        <v>73699.72069358814</v>
      </c>
      <c r="RL25" s="1033">
        <v>16</v>
      </c>
      <c r="RM25" s="1098">
        <f t="shared" si="96"/>
        <v>0</v>
      </c>
      <c r="RN25" s="1098">
        <f t="shared" si="97"/>
        <v>0</v>
      </c>
      <c r="RO25" s="1097">
        <f t="shared" si="97"/>
        <v>0</v>
      </c>
      <c r="RP25" s="1097">
        <f t="shared" si="98"/>
        <v>4112.9400000000005</v>
      </c>
      <c r="RQ25" s="1046"/>
      <c r="RR25" s="1046" t="s">
        <v>899</v>
      </c>
      <c r="RS25" s="1048"/>
      <c r="RU25" s="421">
        <v>16</v>
      </c>
      <c r="RV25" s="1095">
        <f t="shared" si="99"/>
        <v>11812.25</v>
      </c>
      <c r="RW25" s="1050" t="s">
        <v>900</v>
      </c>
      <c r="RX25" s="1048"/>
      <c r="RY25" s="1090"/>
      <c r="RZ25" s="1090">
        <f t="shared" si="100"/>
        <v>0</v>
      </c>
      <c r="SA25" s="1090"/>
      <c r="SB25" s="1090">
        <f t="shared" si="101"/>
        <v>0</v>
      </c>
      <c r="SD25" s="1">
        <v>16</v>
      </c>
      <c r="SE25" s="1">
        <f t="shared" si="102"/>
        <v>0</v>
      </c>
      <c r="SF25" s="1094"/>
    </row>
    <row r="26" spans="1:500" s="1" customFormat="1" ht="13.95" customHeight="1">
      <c r="B26" s="471">
        <v>17</v>
      </c>
      <c r="C26" s="4">
        <f t="shared" si="6"/>
        <v>138905</v>
      </c>
      <c r="D26" s="1590">
        <f t="shared" si="119"/>
        <v>8474.1</v>
      </c>
      <c r="E26" s="1895">
        <f t="shared" si="7"/>
        <v>16.391711214170236</v>
      </c>
      <c r="F26" s="870"/>
      <c r="G26" s="870"/>
      <c r="H26" s="52"/>
      <c r="I26" s="61"/>
      <c r="J26" s="52"/>
      <c r="K26" s="54"/>
      <c r="L26" s="52"/>
      <c r="M26" s="61"/>
      <c r="N26" s="2629"/>
      <c r="O26" s="4">
        <f t="shared" si="125"/>
        <v>80388</v>
      </c>
      <c r="P26" s="1225">
        <f t="shared" si="8"/>
        <v>5202.2800000000007</v>
      </c>
      <c r="Q26" s="1913">
        <f t="shared" si="9"/>
        <v>15.452455461835962</v>
      </c>
      <c r="R26" s="33"/>
      <c r="S26" s="26">
        <f t="shared" si="10"/>
        <v>28396</v>
      </c>
      <c r="T26" s="27">
        <f t="shared" si="11"/>
        <v>851.82</v>
      </c>
      <c r="U26" s="1909">
        <f t="shared" si="12"/>
        <v>33.335681247211852</v>
      </c>
      <c r="V26" s="28"/>
      <c r="W26" s="26">
        <f t="shared" si="13"/>
        <v>30121</v>
      </c>
      <c r="X26" s="5">
        <f t="shared" si="13"/>
        <v>2420</v>
      </c>
      <c r="Y26" s="325">
        <f t="shared" si="14"/>
        <v>12.446694214876032</v>
      </c>
      <c r="Z26" s="33"/>
      <c r="AA26" s="26">
        <f t="shared" si="15"/>
        <v>0</v>
      </c>
      <c r="AB26" s="27">
        <f t="shared" si="16"/>
        <v>0</v>
      </c>
      <c r="AC26" s="53">
        <f t="shared" si="17"/>
        <v>0</v>
      </c>
      <c r="AD26" s="28"/>
      <c r="AE26" s="36"/>
      <c r="AF26" s="36"/>
      <c r="AG26" s="53">
        <f t="shared" si="18"/>
        <v>0</v>
      </c>
      <c r="AH26" s="28"/>
      <c r="AI26" s="23"/>
      <c r="AJ26" s="27"/>
      <c r="AK26" s="53">
        <f t="shared" si="19"/>
        <v>0</v>
      </c>
      <c r="AL26" s="28"/>
      <c r="AM26" s="2629"/>
      <c r="AN26" s="9"/>
      <c r="AO26" s="5"/>
      <c r="AP26" s="61">
        <f t="shared" si="20"/>
        <v>0</v>
      </c>
      <c r="AQ26" s="36"/>
      <c r="AR26" s="53"/>
      <c r="AS26" s="61">
        <f t="shared" si="21"/>
        <v>0</v>
      </c>
      <c r="AT26" s="36">
        <v>0</v>
      </c>
      <c r="AU26" s="27"/>
      <c r="AV26" s="54">
        <f t="shared" si="22"/>
        <v>0</v>
      </c>
      <c r="AW26" s="26">
        <v>46326</v>
      </c>
      <c r="AX26" s="27">
        <v>2668.22</v>
      </c>
      <c r="AY26" s="1895">
        <v>17.362136555456448</v>
      </c>
      <c r="AZ26" s="1908"/>
      <c r="BA26" s="1909"/>
      <c r="BB26" s="1895">
        <v>0</v>
      </c>
      <c r="BC26" s="1740">
        <v>34062</v>
      </c>
      <c r="BD26" s="1909">
        <v>2534.0600000000004</v>
      </c>
      <c r="BE26" s="1895">
        <v>13.441670678673747</v>
      </c>
      <c r="BF26" s="1908"/>
      <c r="BG26" s="1909"/>
      <c r="BH26" s="1895">
        <v>0</v>
      </c>
      <c r="BI26" s="1908">
        <v>0</v>
      </c>
      <c r="BJ26" s="1909">
        <v>0</v>
      </c>
      <c r="BK26" s="1895">
        <v>0</v>
      </c>
      <c r="BL26" s="1742">
        <v>28396</v>
      </c>
      <c r="BM26" s="1909">
        <v>851.82</v>
      </c>
      <c r="BN26" s="1911">
        <v>33.335681247211852</v>
      </c>
      <c r="BO26" s="9"/>
      <c r="BP26" s="64"/>
      <c r="BQ26" s="482">
        <v>0</v>
      </c>
      <c r="BR26" s="9"/>
      <c r="BS26" s="64"/>
      <c r="BT26" s="482">
        <v>0</v>
      </c>
      <c r="BU26" s="9">
        <v>30121</v>
      </c>
      <c r="BV26" s="27">
        <v>2420</v>
      </c>
      <c r="BW26" s="15">
        <v>12.446694214876032</v>
      </c>
      <c r="BX26" s="26"/>
      <c r="BY26" s="5"/>
      <c r="BZ26" s="482">
        <f t="shared" si="23"/>
        <v>0</v>
      </c>
      <c r="CA26" s="9"/>
      <c r="CB26" s="5"/>
      <c r="CC26" s="483">
        <f t="shared" si="24"/>
        <v>0</v>
      </c>
      <c r="CD26" s="4"/>
      <c r="CE26" s="5"/>
      <c r="CF26" s="28">
        <f t="shared" si="25"/>
        <v>0</v>
      </c>
      <c r="CG26" s="150"/>
      <c r="CH26" s="1108"/>
      <c r="CI26" s="5"/>
      <c r="CJ26" s="5">
        <v>6801</v>
      </c>
      <c r="CK26" s="5"/>
      <c r="CL26" s="5"/>
      <c r="CM26" s="5">
        <f t="shared" si="26"/>
        <v>6801</v>
      </c>
      <c r="CN26" s="33"/>
      <c r="CO26" s="366"/>
      <c r="CQ26" s="4">
        <f t="shared" si="27"/>
        <v>0</v>
      </c>
      <c r="CR26" s="9">
        <f t="shared" si="27"/>
        <v>0</v>
      </c>
      <c r="CS26" s="5">
        <f t="shared" si="27"/>
        <v>0</v>
      </c>
      <c r="CT26" s="5">
        <f t="shared" si="27"/>
        <v>0</v>
      </c>
      <c r="CU26" s="5">
        <f t="shared" si="27"/>
        <v>0</v>
      </c>
      <c r="CV26" s="5">
        <f t="shared" si="27"/>
        <v>0</v>
      </c>
      <c r="CW26" s="5">
        <f t="shared" si="27"/>
        <v>2668.22</v>
      </c>
      <c r="CX26" s="5">
        <f t="shared" si="27"/>
        <v>0</v>
      </c>
      <c r="CY26" s="5">
        <f t="shared" si="27"/>
        <v>3349.1800000000003</v>
      </c>
      <c r="CZ26" s="5">
        <f t="shared" si="27"/>
        <v>0</v>
      </c>
      <c r="DA26" s="5">
        <f t="shared" si="27"/>
        <v>2456.6999999999998</v>
      </c>
      <c r="DB26" s="12">
        <f t="shared" si="27"/>
        <v>0</v>
      </c>
      <c r="DC26" s="310">
        <f t="shared" si="28"/>
        <v>8474.0999999999985</v>
      </c>
      <c r="DD26" s="2695"/>
      <c r="DE26" s="8"/>
      <c r="DF26" s="9"/>
      <c r="DG26" s="5"/>
      <c r="DH26" s="5"/>
      <c r="DI26" s="5"/>
      <c r="DJ26" s="5"/>
      <c r="DK26" s="5">
        <v>2668.22</v>
      </c>
      <c r="DL26" s="5"/>
      <c r="DM26" s="5">
        <v>0</v>
      </c>
      <c r="DN26" s="5"/>
      <c r="DO26" s="487"/>
      <c r="DP26" s="12"/>
      <c r="DQ26" s="28">
        <f t="shared" si="29"/>
        <v>2668.22</v>
      </c>
      <c r="DR26" s="36"/>
      <c r="DS26" s="9"/>
      <c r="DT26" s="5"/>
      <c r="DU26" s="5"/>
      <c r="DV26" s="5"/>
      <c r="DW26" s="5"/>
      <c r="DX26" s="5"/>
      <c r="DY26" s="5"/>
      <c r="DZ26" s="5">
        <v>3349.1800000000003</v>
      </c>
      <c r="EA26" s="27"/>
      <c r="EB26" s="27">
        <v>36.700000000000003</v>
      </c>
      <c r="EC26" s="33"/>
      <c r="ED26" s="28">
        <f t="shared" si="30"/>
        <v>3385.88</v>
      </c>
      <c r="EE26" s="9"/>
      <c r="EF26" s="36"/>
      <c r="EG26" s="5"/>
      <c r="EH26" s="27"/>
      <c r="EI26" s="27"/>
      <c r="EJ26" s="27"/>
      <c r="EK26" s="27"/>
      <c r="EL26" s="27"/>
      <c r="EM26" s="5"/>
      <c r="EN26" s="5"/>
      <c r="EO26" s="5">
        <v>2420</v>
      </c>
      <c r="EP26" s="33"/>
      <c r="EQ26" s="28">
        <f t="shared" si="31"/>
        <v>2420</v>
      </c>
      <c r="ER26" s="36"/>
      <c r="ES26" s="27"/>
      <c r="ET26" s="27"/>
      <c r="EU26" s="27"/>
      <c r="EV26" s="27"/>
      <c r="EW26" s="27"/>
      <c r="EX26" s="33">
        <f t="shared" si="32"/>
        <v>0</v>
      </c>
      <c r="EY26" s="2685"/>
      <c r="FA26" s="4">
        <f t="shared" si="33"/>
        <v>0</v>
      </c>
      <c r="FB26" s="5">
        <f t="shared" si="34"/>
        <v>0</v>
      </c>
      <c r="FC26" s="5">
        <f t="shared" si="35"/>
        <v>0</v>
      </c>
      <c r="FD26" s="12">
        <f t="shared" si="36"/>
        <v>0</v>
      </c>
      <c r="FE26" s="33"/>
      <c r="FF26" s="2674"/>
      <c r="FG26" s="9"/>
      <c r="FH26" s="5"/>
      <c r="FI26" s="5"/>
      <c r="FJ26" s="5"/>
      <c r="FK26" s="5"/>
      <c r="FL26" s="27"/>
      <c r="FM26" s="28">
        <f t="shared" si="37"/>
        <v>0</v>
      </c>
      <c r="FN26" s="36"/>
      <c r="FO26" s="27"/>
      <c r="FP26" s="27"/>
      <c r="FQ26" s="27"/>
      <c r="FR26" s="27"/>
      <c r="FS26" s="27"/>
      <c r="FT26" s="28">
        <f t="shared" si="38"/>
        <v>0</v>
      </c>
      <c r="FU26" s="36"/>
      <c r="FV26" s="36"/>
      <c r="FW26" s="27"/>
      <c r="FX26" s="27"/>
      <c r="FY26" s="27"/>
      <c r="FZ26" s="27"/>
      <c r="GA26" s="27"/>
      <c r="GB26" s="27"/>
      <c r="GC26" s="27"/>
      <c r="GD26" s="27"/>
      <c r="GE26" s="27"/>
      <c r="GF26" s="33"/>
      <c r="GG26" s="33">
        <f t="shared" si="39"/>
        <v>0</v>
      </c>
      <c r="GH26" s="2674"/>
      <c r="GJ26" s="2">
        <f t="shared" si="105"/>
        <v>0</v>
      </c>
      <c r="GK26" s="63">
        <f t="shared" si="106"/>
        <v>2055.19</v>
      </c>
      <c r="GL26" s="24">
        <f t="shared" si="107"/>
        <v>4182.34</v>
      </c>
      <c r="GM26" s="1736">
        <f t="shared" si="40"/>
        <v>6237.5300000000007</v>
      </c>
      <c r="GN26" s="141"/>
      <c r="GO26" s="141"/>
      <c r="GP26" s="33"/>
      <c r="GQ26" s="2667"/>
      <c r="GR26" s="1740">
        <v>2595.3900000000003</v>
      </c>
      <c r="GS26" s="1736">
        <v>0</v>
      </c>
      <c r="GT26" s="1736">
        <v>1755.1299999999999</v>
      </c>
      <c r="GU26" s="1736">
        <v>1887.0099999999998</v>
      </c>
      <c r="GV26" s="33">
        <f t="shared" si="41"/>
        <v>6237.5300000000007</v>
      </c>
      <c r="GW26" s="2667"/>
      <c r="GX26" s="36"/>
      <c r="GY26" s="36"/>
      <c r="GZ26" s="27"/>
      <c r="HA26" s="27"/>
      <c r="HB26" s="27"/>
      <c r="HC26" s="27"/>
      <c r="HD26" s="27"/>
      <c r="HE26" s="27"/>
      <c r="HF26" s="27">
        <v>0</v>
      </c>
      <c r="HG26" s="27"/>
      <c r="HH26" s="27">
        <v>0</v>
      </c>
      <c r="HI26" s="27"/>
      <c r="HJ26" s="27">
        <v>0</v>
      </c>
      <c r="HK26" s="27"/>
      <c r="HL26" s="28">
        <f t="shared" si="120"/>
        <v>0</v>
      </c>
      <c r="HM26" s="36"/>
      <c r="HN26" s="27"/>
      <c r="HO26" s="27"/>
      <c r="HP26" s="27"/>
      <c r="HQ26" s="27"/>
      <c r="HR26" s="27"/>
      <c r="HS26" s="27" cm="1">
        <f t="array" ref="HS26">SUMPRODUCT(('Data Base hauling'!$C$2:$C$216="TCM-ROM SB1 BK05-ROM 4")*(ISNUMBER(SEARCH(TEXT('April TCM'!$B26,"00")&amp;"/03/2026",'Data Base hauling'!$E$2:$E$216)))*'Data Base hauling'!$N$2:$N$216)</f>
        <v>0</v>
      </c>
      <c r="HT26" s="27"/>
      <c r="HU26" s="27" cm="1">
        <f t="array" ref="HU26">SUMPRODUCT(('Data Base hauling'!$C$2:$C$216="TCM-ROM SB1 BK05-ROM 5")*(ISNUMBER(SEARCH(TEXT('April TCM'!$B26,"00")&amp;"/03/2026",'Data Base hauling'!$E$2:$E$216)))*'Data Base hauling'!$N$2:$N$216)</f>
        <v>0</v>
      </c>
      <c r="HV26" s="27"/>
      <c r="HW26" s="27"/>
      <c r="HX26" s="27"/>
      <c r="HY26" s="27"/>
      <c r="HZ26" s="27"/>
      <c r="IA26" s="33">
        <f t="shared" si="43"/>
        <v>0</v>
      </c>
      <c r="IB26" s="52"/>
      <c r="IC26" s="152"/>
      <c r="ID26" s="53"/>
      <c r="IE26" s="53"/>
      <c r="IF26" s="53"/>
      <c r="IG26" s="53"/>
      <c r="IH26" s="53">
        <v>0</v>
      </c>
      <c r="II26" s="53"/>
      <c r="IJ26" s="1736">
        <v>2055.19</v>
      </c>
      <c r="IK26" s="53"/>
      <c r="IL26" s="64">
        <v>0</v>
      </c>
      <c r="IM26" s="64"/>
      <c r="IN26" s="53"/>
      <c r="IO26" s="49">
        <v>0</v>
      </c>
      <c r="IP26" s="61">
        <f t="shared" si="121"/>
        <v>2055.19</v>
      </c>
      <c r="IQ26" s="36"/>
      <c r="IR26" s="36"/>
      <c r="IS26" s="53"/>
      <c r="IT26" s="27"/>
      <c r="IU26" s="53"/>
      <c r="IV26" s="27"/>
      <c r="IW26" s="27">
        <v>0</v>
      </c>
      <c r="IX26" s="27"/>
      <c r="IY26" s="27">
        <v>4182.34</v>
      </c>
      <c r="IZ26" s="27"/>
      <c r="JA26" s="27">
        <v>0</v>
      </c>
      <c r="JB26" s="27"/>
      <c r="JC26" s="27"/>
      <c r="JD26" s="27"/>
      <c r="JE26" s="33">
        <f t="shared" si="122"/>
        <v>4182.34</v>
      </c>
      <c r="JF26" s="2667"/>
      <c r="JH26" s="2020">
        <v>6237.53</v>
      </c>
      <c r="JI26" s="2021">
        <v>0</v>
      </c>
      <c r="JJ26" s="53"/>
      <c r="JK26" s="53">
        <f t="shared" si="123"/>
        <v>6237.53</v>
      </c>
      <c r="JL26" s="33"/>
      <c r="JM26" s="2669"/>
      <c r="JN26" s="69">
        <v>0</v>
      </c>
      <c r="JO26" s="70">
        <v>0</v>
      </c>
      <c r="JP26" s="70">
        <v>0</v>
      </c>
      <c r="JQ26" s="850">
        <v>0</v>
      </c>
      <c r="JR26" s="850">
        <v>1</v>
      </c>
      <c r="JS26" s="850">
        <v>0</v>
      </c>
      <c r="JT26" s="70">
        <v>0</v>
      </c>
      <c r="JU26" s="1922">
        <v>0</v>
      </c>
      <c r="JV26" s="69" t="s">
        <v>296</v>
      </c>
      <c r="JW26" s="70" t="s">
        <v>296</v>
      </c>
      <c r="JX26" s="70" t="s">
        <v>296</v>
      </c>
      <c r="JY26" s="70" t="s">
        <v>296</v>
      </c>
      <c r="JZ26" s="70" t="s">
        <v>296</v>
      </c>
      <c r="KA26" s="70" t="s">
        <v>296</v>
      </c>
      <c r="KB26" s="70" t="s">
        <v>296</v>
      </c>
      <c r="KC26" s="71" t="s">
        <v>296</v>
      </c>
      <c r="KD26" s="69"/>
      <c r="KE26" s="70"/>
      <c r="KF26" s="70"/>
      <c r="KG26" s="70"/>
      <c r="KH26" s="70"/>
      <c r="KI26" s="70"/>
      <c r="KJ26" s="70"/>
      <c r="KK26" s="70"/>
      <c r="KL26" s="33"/>
      <c r="KM26" s="2669"/>
      <c r="KN26" s="1739">
        <v>6978.2981461620957</v>
      </c>
      <c r="KO26" s="1721">
        <v>0.74403707675808184</v>
      </c>
      <c r="KP26" s="1721">
        <v>3.6533522292017775</v>
      </c>
      <c r="KQ26" s="1721">
        <v>7.0101853837904082</v>
      </c>
      <c r="KR26" s="1722">
        <v>11.951981123333844</v>
      </c>
      <c r="KS26" s="1958">
        <v>0</v>
      </c>
      <c r="KT26" s="1961">
        <v>0</v>
      </c>
      <c r="KU26" s="1961">
        <v>0</v>
      </c>
      <c r="KV26" s="1961">
        <v>0</v>
      </c>
      <c r="KW26" s="1962">
        <v>0</v>
      </c>
      <c r="KX26" s="36"/>
      <c r="KY26" s="53"/>
      <c r="KZ26" s="53"/>
      <c r="LA26" s="53"/>
      <c r="LB26" s="53"/>
      <c r="LC26" s="33"/>
      <c r="LD26" s="2669"/>
      <c r="LF26" s="853">
        <f t="shared" si="47"/>
        <v>3006.8040000000001</v>
      </c>
      <c r="LG26" s="27">
        <f t="shared" si="47"/>
        <v>4510.2060000000001</v>
      </c>
      <c r="LH26" s="27">
        <f t="shared" si="47"/>
        <v>0</v>
      </c>
      <c r="LI26" s="28">
        <f t="shared" si="48"/>
        <v>7517.01</v>
      </c>
      <c r="LJ26" s="36"/>
      <c r="LK26" s="27"/>
      <c r="LL26" s="27"/>
      <c r="LM26" s="33"/>
      <c r="LN26" s="1041">
        <v>6.5</v>
      </c>
      <c r="LO26" s="486" t="s">
        <v>901</v>
      </c>
      <c r="LP26" s="2688"/>
      <c r="LQ26" s="36"/>
      <c r="LR26" s="36"/>
      <c r="LS26" s="27"/>
      <c r="LT26" s="27"/>
      <c r="LU26" s="27"/>
      <c r="LV26" s="1107">
        <f t="shared" si="49"/>
        <v>0</v>
      </c>
      <c r="LW26" s="36">
        <v>3006.8040000000001</v>
      </c>
      <c r="LX26" s="36">
        <v>4510.2060000000001</v>
      </c>
      <c r="LY26" s="27"/>
      <c r="LZ26" s="27"/>
      <c r="MA26" s="33"/>
      <c r="MB26" s="28">
        <f t="shared" si="50"/>
        <v>7517.01</v>
      </c>
      <c r="MC26" s="26"/>
      <c r="MD26" s="36"/>
      <c r="ME26" s="27"/>
      <c r="MF26" s="27"/>
      <c r="MG26" s="27"/>
      <c r="MH26" s="28"/>
      <c r="MI26" s="36"/>
      <c r="MJ26" s="36"/>
      <c r="MK26" s="27"/>
      <c r="ML26" s="27"/>
      <c r="MM26" s="27"/>
      <c r="MN26" s="28"/>
      <c r="MO26" s="36"/>
      <c r="MP26" s="36"/>
      <c r="MQ26" s="27"/>
      <c r="MR26" s="27"/>
      <c r="MS26" s="27"/>
      <c r="MT26" s="33">
        <f t="shared" si="51"/>
        <v>0</v>
      </c>
      <c r="MU26" s="2688"/>
      <c r="MW26" s="26">
        <f t="shared" si="52"/>
        <v>110364.51939330628</v>
      </c>
      <c r="MX26" s="27">
        <f t="shared" si="53"/>
        <v>91519.913809620208</v>
      </c>
      <c r="MY26" s="27">
        <f t="shared" si="54"/>
        <v>19727.226980961226</v>
      </c>
      <c r="MZ26" s="28">
        <f t="shared" si="55"/>
        <v>424700.01855851006</v>
      </c>
      <c r="NA26" s="2621"/>
      <c r="NB26" s="23">
        <f t="shared" si="56"/>
        <v>25452.859361311261</v>
      </c>
      <c r="NC26" s="1579">
        <f t="shared" si="57"/>
        <v>84911.660031995023</v>
      </c>
      <c r="ND26" s="60">
        <f t="shared" si="58"/>
        <v>0</v>
      </c>
      <c r="NE26" s="275">
        <f t="shared" si="4"/>
        <v>110364.51939330628</v>
      </c>
      <c r="NF26" s="26">
        <f t="shared" ref="NF26:NO36" si="126">+NF25+EE26-GX26</f>
        <v>0</v>
      </c>
      <c r="NG26" s="27">
        <f t="shared" si="126"/>
        <v>0</v>
      </c>
      <c r="NH26" s="27">
        <f t="shared" si="126"/>
        <v>0</v>
      </c>
      <c r="NI26" s="27">
        <f t="shared" si="126"/>
        <v>0</v>
      </c>
      <c r="NJ26" s="27">
        <f t="shared" si="126"/>
        <v>0</v>
      </c>
      <c r="NK26" s="33">
        <f t="shared" si="126"/>
        <v>0</v>
      </c>
      <c r="NL26" s="27">
        <f t="shared" si="126"/>
        <v>0</v>
      </c>
      <c r="NM26" s="36">
        <f t="shared" si="126"/>
        <v>0</v>
      </c>
      <c r="NN26" s="24">
        <f t="shared" si="126"/>
        <v>13287.080566563143</v>
      </c>
      <c r="NO26" s="27">
        <f t="shared" si="126"/>
        <v>26196.69549600617</v>
      </c>
      <c r="NP26" s="24">
        <f t="shared" si="108"/>
        <v>8756.5482322711578</v>
      </c>
      <c r="NQ26" s="24">
        <f t="shared" si="109"/>
        <v>18124.464118033415</v>
      </c>
      <c r="NR26" s="27">
        <f t="shared" si="0"/>
        <v>66364.788412873881</v>
      </c>
      <c r="NS26" s="27">
        <f t="shared" ref="NS26:OA40" si="127">+NS25+DE26-IB26</f>
        <v>0</v>
      </c>
      <c r="NT26" s="27">
        <f t="shared" si="127"/>
        <v>0</v>
      </c>
      <c r="NU26" s="27">
        <f t="shared" si="127"/>
        <v>0</v>
      </c>
      <c r="NV26" s="27">
        <f t="shared" si="127"/>
        <v>0</v>
      </c>
      <c r="NW26" s="27">
        <f t="shared" si="127"/>
        <v>0</v>
      </c>
      <c r="NX26" s="5">
        <f t="shared" si="127"/>
        <v>0</v>
      </c>
      <c r="NY26" s="27">
        <f t="shared" si="127"/>
        <v>5803.3036022929118</v>
      </c>
      <c r="NZ26" s="27">
        <f t="shared" si="127"/>
        <v>0</v>
      </c>
      <c r="OA26" s="27">
        <f t="shared" si="127"/>
        <v>1829.1680667828282</v>
      </c>
      <c r="OB26" s="280"/>
      <c r="OC26" s="24">
        <f t="shared" ref="OC26:OD40" si="128">+OC25+DO26-IL26</f>
        <v>349.54339982995594</v>
      </c>
      <c r="OD26" s="27">
        <f t="shared" si="128"/>
        <v>0</v>
      </c>
      <c r="OE26" s="28">
        <f t="shared" si="1"/>
        <v>7982.0150689056954</v>
      </c>
      <c r="OF26" s="27">
        <f t="shared" ref="OF26:OQ40" si="129">+OF25+DR26+FU26-IQ26</f>
        <v>0</v>
      </c>
      <c r="OG26" s="27">
        <f t="shared" si="129"/>
        <v>0</v>
      </c>
      <c r="OH26" s="27">
        <f t="shared" si="129"/>
        <v>0</v>
      </c>
      <c r="OI26" s="27">
        <f t="shared" si="129"/>
        <v>0</v>
      </c>
      <c r="OJ26" s="27">
        <f t="shared" si="129"/>
        <v>0</v>
      </c>
      <c r="OK26" s="27">
        <f t="shared" si="129"/>
        <v>0</v>
      </c>
      <c r="OL26" s="24">
        <f t="shared" si="129"/>
        <v>0</v>
      </c>
      <c r="OM26" s="27">
        <f t="shared" si="129"/>
        <v>0</v>
      </c>
      <c r="ON26" s="24">
        <f t="shared" si="129"/>
        <v>14547.706218026509</v>
      </c>
      <c r="OO26" s="27">
        <f t="shared" si="129"/>
        <v>0</v>
      </c>
      <c r="OP26" s="27">
        <f t="shared" si="129"/>
        <v>2625.4041098141265</v>
      </c>
      <c r="OQ26" s="27">
        <f t="shared" si="129"/>
        <v>0</v>
      </c>
      <c r="OR26" s="28">
        <f t="shared" si="2"/>
        <v>17173.110327840637</v>
      </c>
      <c r="OS26" s="36"/>
      <c r="OT26" s="27"/>
      <c r="OU26" s="27"/>
      <c r="OV26" s="27"/>
      <c r="OW26" s="27"/>
      <c r="OX26" s="27"/>
      <c r="OY26" s="28">
        <f t="shared" si="63"/>
        <v>0</v>
      </c>
      <c r="OZ26" s="36">
        <f t="shared" si="64"/>
        <v>0</v>
      </c>
      <c r="PA26" s="27">
        <f t="shared" si="65"/>
        <v>0</v>
      </c>
      <c r="PB26" s="27">
        <f t="shared" si="66"/>
        <v>0</v>
      </c>
      <c r="PC26" s="27">
        <f t="shared" si="67"/>
        <v>0</v>
      </c>
      <c r="PD26" s="27">
        <f t="shared" si="68"/>
        <v>0</v>
      </c>
      <c r="PE26" s="27">
        <f t="shared" si="69"/>
        <v>0</v>
      </c>
      <c r="PF26" s="33">
        <f t="shared" si="3"/>
        <v>0</v>
      </c>
      <c r="PG26" s="2621"/>
      <c r="PI26" s="2">
        <v>1169.7</v>
      </c>
      <c r="PJ26" s="3"/>
      <c r="PK26" s="3"/>
      <c r="PL26" s="3">
        <f t="shared" si="70"/>
        <v>0</v>
      </c>
      <c r="PM26" s="3">
        <f t="shared" si="71"/>
        <v>19184.908459344188</v>
      </c>
      <c r="PN26" s="11">
        <f t="shared" si="72"/>
        <v>19727.226980961226</v>
      </c>
      <c r="PO26" s="15"/>
      <c r="PP26" s="2615"/>
      <c r="PR26" s="4"/>
      <c r="PS26" s="9"/>
      <c r="PT26" s="9"/>
      <c r="PU26" s="9"/>
      <c r="PV26" s="1108">
        <v>0</v>
      </c>
      <c r="PW26" s="9"/>
      <c r="PX26" s="8">
        <f t="shared" si="73"/>
        <v>0</v>
      </c>
      <c r="PY26" s="5">
        <f t="shared" si="74"/>
        <v>1169.7</v>
      </c>
      <c r="PZ26" s="5"/>
      <c r="QA26" s="5"/>
      <c r="QB26" s="5"/>
      <c r="QC26" s="5"/>
      <c r="QD26" s="5"/>
      <c r="QE26" s="12">
        <f t="shared" si="75"/>
        <v>29562.488999999998</v>
      </c>
      <c r="QF26" s="420">
        <f t="shared" si="76"/>
        <v>394643.10955851007</v>
      </c>
      <c r="QG26" s="1106">
        <f t="shared" si="77"/>
        <v>494.41999999999996</v>
      </c>
      <c r="QH26" s="484">
        <f t="shared" si="78"/>
        <v>5505.3678056099998</v>
      </c>
      <c r="QI26" s="12"/>
      <c r="QJ26" s="2615"/>
      <c r="QL26" s="139">
        <f t="shared" si="79"/>
        <v>0</v>
      </c>
      <c r="QM26" s="139" t="str">
        <f t="shared" si="80"/>
        <v/>
      </c>
      <c r="QO26" s="139">
        <f t="shared" si="81"/>
        <v>0</v>
      </c>
      <c r="QP26" s="139">
        <f t="shared" si="82"/>
        <v>0</v>
      </c>
      <c r="QR26" s="1">
        <f t="shared" si="83"/>
        <v>0</v>
      </c>
      <c r="QS26" s="1">
        <f t="shared" si="84"/>
        <v>0</v>
      </c>
      <c r="QT26" s="1">
        <f t="shared" si="85"/>
        <v>0</v>
      </c>
      <c r="QU26" s="1">
        <f t="shared" si="86"/>
        <v>0</v>
      </c>
      <c r="QV26" s="1">
        <f t="shared" si="87"/>
        <v>0</v>
      </c>
      <c r="QW26" s="1">
        <f t="shared" si="88"/>
        <v>0</v>
      </c>
      <c r="QY26" s="1">
        <f t="shared" si="89"/>
        <v>0</v>
      </c>
      <c r="QZ26" s="1">
        <f t="shared" si="90"/>
        <v>0</v>
      </c>
      <c r="RA26" s="1">
        <f t="shared" si="91"/>
        <v>0</v>
      </c>
      <c r="RB26" s="1">
        <f t="shared" si="92"/>
        <v>0</v>
      </c>
      <c r="RC26" s="1">
        <f t="shared" si="93"/>
        <v>0</v>
      </c>
      <c r="RD26" s="1">
        <f t="shared" si="94"/>
        <v>0</v>
      </c>
      <c r="RG26" s="1">
        <v>17</v>
      </c>
      <c r="RH26" s="1">
        <f t="shared" si="124"/>
        <v>18405.751209717095</v>
      </c>
      <c r="RI26" s="1">
        <f t="shared" si="124"/>
        <v>40610.225780483721</v>
      </c>
      <c r="RJ26" s="1">
        <f t="shared" si="124"/>
        <v>13404.263703387322</v>
      </c>
      <c r="RK26" s="89">
        <f t="shared" si="5"/>
        <v>72420.24069358813</v>
      </c>
      <c r="RL26" s="1033">
        <v>17</v>
      </c>
      <c r="RM26" s="1098">
        <f t="shared" si="96"/>
        <v>0</v>
      </c>
      <c r="RN26" s="1098">
        <f t="shared" si="97"/>
        <v>0</v>
      </c>
      <c r="RO26" s="1097">
        <f t="shared" si="97"/>
        <v>0</v>
      </c>
      <c r="RP26" s="1097">
        <f t="shared" si="98"/>
        <v>6054.1</v>
      </c>
      <c r="RQ26" s="1050"/>
      <c r="RR26" s="1046" t="s">
        <v>902</v>
      </c>
      <c r="RS26" s="1048"/>
      <c r="RU26" s="421">
        <v>17</v>
      </c>
      <c r="RV26" s="1095">
        <f t="shared" si="99"/>
        <v>6237.5300000000007</v>
      </c>
      <c r="RW26" s="1046" t="s">
        <v>903</v>
      </c>
      <c r="RY26" s="1090"/>
      <c r="RZ26" s="1090">
        <f t="shared" si="100"/>
        <v>0</v>
      </c>
      <c r="SA26" s="1090"/>
      <c r="SB26" s="1090">
        <f t="shared" si="101"/>
        <v>0</v>
      </c>
      <c r="SD26" s="1">
        <v>17</v>
      </c>
      <c r="SE26" s="1">
        <f t="shared" si="102"/>
        <v>0</v>
      </c>
    </row>
    <row r="27" spans="1:500" s="1" customFormat="1" ht="15.6" customHeight="1">
      <c r="B27" s="471">
        <v>18</v>
      </c>
      <c r="C27" s="4">
        <f t="shared" si="6"/>
        <v>162359.70000000001</v>
      </c>
      <c r="D27" s="1590">
        <f t="shared" si="119"/>
        <v>10265.400000000001</v>
      </c>
      <c r="E27" s="1911">
        <f t="shared" si="7"/>
        <v>15.816207843824886</v>
      </c>
      <c r="F27" s="1113"/>
      <c r="G27" s="1113"/>
      <c r="H27" s="845"/>
      <c r="I27" s="482"/>
      <c r="J27" s="845"/>
      <c r="K27" s="846"/>
      <c r="L27" s="845"/>
      <c r="M27" s="482"/>
      <c r="N27" s="2629"/>
      <c r="O27" s="4">
        <f t="shared" si="125"/>
        <v>100380</v>
      </c>
      <c r="P27" s="1225">
        <f t="shared" si="8"/>
        <v>6899.6400000000012</v>
      </c>
      <c r="Q27" s="1913">
        <f t="shared" si="9"/>
        <v>14.548585143572705</v>
      </c>
      <c r="R27" s="12"/>
      <c r="S27" s="4">
        <f t="shared" si="10"/>
        <v>30652.7</v>
      </c>
      <c r="T27" s="5">
        <f t="shared" si="11"/>
        <v>845.7600000000001</v>
      </c>
      <c r="U27" s="1913">
        <f t="shared" si="12"/>
        <v>36.242787552024211</v>
      </c>
      <c r="V27" s="15"/>
      <c r="W27" s="26">
        <f t="shared" si="13"/>
        <v>31327</v>
      </c>
      <c r="X27" s="5">
        <f t="shared" si="13"/>
        <v>2520</v>
      </c>
      <c r="Y27" s="1719">
        <f t="shared" si="14"/>
        <v>12.431349206349207</v>
      </c>
      <c r="Z27" s="12"/>
      <c r="AA27" s="26">
        <f t="shared" si="15"/>
        <v>0</v>
      </c>
      <c r="AB27" s="27">
        <f t="shared" si="16"/>
        <v>0</v>
      </c>
      <c r="AC27" s="64">
        <f t="shared" si="17"/>
        <v>0</v>
      </c>
      <c r="AD27" s="15"/>
      <c r="AE27" s="9"/>
      <c r="AF27" s="9"/>
      <c r="AG27" s="64">
        <f t="shared" si="18"/>
        <v>0</v>
      </c>
      <c r="AH27" s="15"/>
      <c r="AI27" s="4"/>
      <c r="AJ27" s="5"/>
      <c r="AK27" s="64">
        <f t="shared" si="19"/>
        <v>0</v>
      </c>
      <c r="AL27" s="15"/>
      <c r="AM27" s="2629"/>
      <c r="AN27" s="9"/>
      <c r="AO27" s="5"/>
      <c r="AP27" s="482">
        <f t="shared" si="20"/>
        <v>0</v>
      </c>
      <c r="AQ27" s="9"/>
      <c r="AR27" s="64"/>
      <c r="AS27" s="482">
        <f t="shared" si="21"/>
        <v>0</v>
      </c>
      <c r="AT27" s="9">
        <v>0</v>
      </c>
      <c r="AU27" s="5"/>
      <c r="AV27" s="846">
        <f t="shared" si="22"/>
        <v>0</v>
      </c>
      <c r="AW27" s="4">
        <v>51870</v>
      </c>
      <c r="AX27" s="5">
        <v>5147.0400000000009</v>
      </c>
      <c r="AY27" s="1911">
        <v>10.077636855357641</v>
      </c>
      <c r="AZ27" s="1912"/>
      <c r="BA27" s="1913"/>
      <c r="BB27" s="1911">
        <v>0</v>
      </c>
      <c r="BC27" s="1940">
        <v>48510</v>
      </c>
      <c r="BD27" s="1953">
        <v>1752.6000000000001</v>
      </c>
      <c r="BE27" s="1911">
        <v>27.678877096884626</v>
      </c>
      <c r="BF27" s="1908"/>
      <c r="BG27" s="1909"/>
      <c r="BH27" s="1911">
        <v>0</v>
      </c>
      <c r="BI27" s="1908">
        <v>0</v>
      </c>
      <c r="BJ27" s="1909">
        <v>0</v>
      </c>
      <c r="BK27" s="1911">
        <v>0</v>
      </c>
      <c r="BL27" s="1741">
        <v>30652.7</v>
      </c>
      <c r="BM27" s="1954">
        <v>845.7600000000001</v>
      </c>
      <c r="BN27" s="1911">
        <v>36.242787552024211</v>
      </c>
      <c r="BO27" s="9"/>
      <c r="BP27" s="64"/>
      <c r="BQ27" s="482">
        <v>0</v>
      </c>
      <c r="BR27" s="9"/>
      <c r="BS27" s="64"/>
      <c r="BT27" s="482">
        <v>0</v>
      </c>
      <c r="BU27" s="9">
        <v>31327</v>
      </c>
      <c r="BV27" s="27">
        <v>2520</v>
      </c>
      <c r="BW27" s="15">
        <v>12.431349206349207</v>
      </c>
      <c r="BX27" s="26"/>
      <c r="BY27" s="5"/>
      <c r="BZ27" s="482">
        <f t="shared" si="23"/>
        <v>0</v>
      </c>
      <c r="CA27" s="9"/>
      <c r="CB27" s="5"/>
      <c r="CC27" s="482">
        <f t="shared" si="24"/>
        <v>0</v>
      </c>
      <c r="CD27" s="4"/>
      <c r="CE27" s="5"/>
      <c r="CF27" s="15">
        <f t="shared" si="25"/>
        <v>0</v>
      </c>
      <c r="CG27" s="150"/>
      <c r="CH27" s="1108"/>
      <c r="CI27" s="5"/>
      <c r="CJ27" s="5">
        <v>7220</v>
      </c>
      <c r="CK27" s="5"/>
      <c r="CL27" s="5"/>
      <c r="CM27" s="5">
        <f t="shared" si="26"/>
        <v>7220</v>
      </c>
      <c r="CN27" s="12"/>
      <c r="CO27" s="366"/>
      <c r="CQ27" s="4">
        <f t="shared" si="27"/>
        <v>0</v>
      </c>
      <c r="CR27" s="9">
        <f t="shared" si="27"/>
        <v>0</v>
      </c>
      <c r="CS27" s="5">
        <f t="shared" si="27"/>
        <v>0</v>
      </c>
      <c r="CT27" s="5">
        <f t="shared" si="27"/>
        <v>0</v>
      </c>
      <c r="CU27" s="5">
        <f t="shared" si="27"/>
        <v>0</v>
      </c>
      <c r="CV27" s="5">
        <f t="shared" si="27"/>
        <v>0</v>
      </c>
      <c r="CW27" s="5">
        <f t="shared" si="27"/>
        <v>3249.6</v>
      </c>
      <c r="CX27" s="5">
        <f t="shared" si="27"/>
        <v>0</v>
      </c>
      <c r="CY27" s="5">
        <f t="shared" si="27"/>
        <v>3874.2000000000003</v>
      </c>
      <c r="CZ27" s="5">
        <f t="shared" si="27"/>
        <v>0</v>
      </c>
      <c r="DA27" s="5">
        <f t="shared" si="27"/>
        <v>2520</v>
      </c>
      <c r="DB27" s="12">
        <f t="shared" si="27"/>
        <v>0</v>
      </c>
      <c r="DC27" s="847">
        <f t="shared" si="28"/>
        <v>10265.4</v>
      </c>
      <c r="DD27" s="2695"/>
      <c r="DE27" s="8"/>
      <c r="DF27" s="9"/>
      <c r="DG27" s="5"/>
      <c r="DH27" s="5"/>
      <c r="DI27" s="5"/>
      <c r="DJ27" s="5"/>
      <c r="DK27" s="5">
        <v>3249.6</v>
      </c>
      <c r="DL27" s="5"/>
      <c r="DM27" s="5">
        <v>1275.8400000000001</v>
      </c>
      <c r="DN27" s="12"/>
      <c r="DO27" s="5"/>
      <c r="DP27" s="486"/>
      <c r="DQ27" s="15">
        <f t="shared" si="29"/>
        <v>4525.4400000000005</v>
      </c>
      <c r="DR27" s="9"/>
      <c r="DS27" s="9"/>
      <c r="DT27" s="5"/>
      <c r="DU27" s="5"/>
      <c r="DV27" s="5"/>
      <c r="DW27" s="5"/>
      <c r="DX27" s="5"/>
      <c r="DY27" s="5"/>
      <c r="DZ27" s="5">
        <v>2598.36</v>
      </c>
      <c r="EA27" s="5"/>
      <c r="EB27" s="5">
        <v>0</v>
      </c>
      <c r="EC27" s="12"/>
      <c r="ED27" s="15">
        <f t="shared" si="30"/>
        <v>2598.36</v>
      </c>
      <c r="EE27" s="9"/>
      <c r="EF27" s="9"/>
      <c r="EG27" s="5"/>
      <c r="EH27" s="5"/>
      <c r="EI27" s="5"/>
      <c r="EJ27" s="5"/>
      <c r="EK27" s="5"/>
      <c r="EL27" s="5"/>
      <c r="EM27" s="5"/>
      <c r="EN27" s="5"/>
      <c r="EO27" s="5">
        <v>2520</v>
      </c>
      <c r="EP27" s="12"/>
      <c r="EQ27" s="15">
        <f t="shared" si="31"/>
        <v>2520</v>
      </c>
      <c r="ER27" s="9"/>
      <c r="ES27" s="5"/>
      <c r="ET27" s="5"/>
      <c r="EU27" s="5"/>
      <c r="EV27" s="5"/>
      <c r="EW27" s="5"/>
      <c r="EX27" s="12">
        <f t="shared" si="32"/>
        <v>0</v>
      </c>
      <c r="EY27" s="2685"/>
      <c r="FA27" s="4">
        <f t="shared" si="33"/>
        <v>0</v>
      </c>
      <c r="FB27" s="5">
        <f t="shared" si="34"/>
        <v>0</v>
      </c>
      <c r="FC27" s="5">
        <f t="shared" si="35"/>
        <v>0</v>
      </c>
      <c r="FD27" s="12">
        <f t="shared" si="36"/>
        <v>0</v>
      </c>
      <c r="FE27" s="12"/>
      <c r="FF27" s="2674"/>
      <c r="FG27" s="9"/>
      <c r="FH27" s="5"/>
      <c r="FI27" s="5"/>
      <c r="FJ27" s="5"/>
      <c r="FK27" s="5"/>
      <c r="FL27" s="5"/>
      <c r="FM27" s="15">
        <f t="shared" si="37"/>
        <v>0</v>
      </c>
      <c r="FN27" s="9"/>
      <c r="FO27" s="5"/>
      <c r="FP27" s="5"/>
      <c r="FQ27" s="5"/>
      <c r="FR27" s="5"/>
      <c r="FS27" s="5"/>
      <c r="FT27" s="15">
        <f t="shared" si="38"/>
        <v>0</v>
      </c>
      <c r="FU27" s="9"/>
      <c r="FV27" s="9"/>
      <c r="FW27" s="5"/>
      <c r="FX27" s="5"/>
      <c r="FY27" s="5"/>
      <c r="FZ27" s="5"/>
      <c r="GA27" s="5"/>
      <c r="GB27" s="5"/>
      <c r="GC27" s="5"/>
      <c r="GD27" s="5"/>
      <c r="GE27" s="5"/>
      <c r="GF27" s="12"/>
      <c r="GG27" s="12">
        <f t="shared" si="39"/>
        <v>0</v>
      </c>
      <c r="GH27" s="2674"/>
      <c r="GJ27" s="2">
        <f t="shared" si="105"/>
        <v>10842.899999999998</v>
      </c>
      <c r="GK27" s="63">
        <f t="shared" si="106"/>
        <v>5144.8500000000004</v>
      </c>
      <c r="GL27" s="24">
        <f t="shared" si="107"/>
        <v>1120.98</v>
      </c>
      <c r="GM27" s="1590">
        <f t="shared" si="40"/>
        <v>17108.73</v>
      </c>
      <c r="GN27" s="848"/>
      <c r="GO27" s="848"/>
      <c r="GP27" s="12"/>
      <c r="GQ27" s="2667"/>
      <c r="GR27" s="2155">
        <v>6880.74</v>
      </c>
      <c r="GS27" s="1590">
        <v>0</v>
      </c>
      <c r="GT27" s="1590">
        <v>5623.38</v>
      </c>
      <c r="GU27" s="1590">
        <v>4604.6100000000006</v>
      </c>
      <c r="GV27" s="12">
        <f t="shared" si="41"/>
        <v>17108.73</v>
      </c>
      <c r="GW27" s="2667"/>
      <c r="GX27" s="9"/>
      <c r="GY27" s="9"/>
      <c r="GZ27" s="5"/>
      <c r="HA27" s="5"/>
      <c r="HB27" s="5"/>
      <c r="HC27" s="5"/>
      <c r="HD27" s="5"/>
      <c r="HE27" s="5"/>
      <c r="HF27" s="5">
        <v>0</v>
      </c>
      <c r="HG27" s="5"/>
      <c r="HH27" s="5">
        <v>10842.899999999998</v>
      </c>
      <c r="HI27" s="5"/>
      <c r="HJ27" s="5">
        <v>0</v>
      </c>
      <c r="HK27" s="5"/>
      <c r="HL27" s="15">
        <f t="shared" si="120"/>
        <v>10842.899999999998</v>
      </c>
      <c r="HM27" s="9"/>
      <c r="HN27" s="5"/>
      <c r="HO27" s="5"/>
      <c r="HP27" s="5"/>
      <c r="HQ27" s="5"/>
      <c r="HR27" s="5"/>
      <c r="HS27" s="5" cm="1">
        <f t="array" ref="HS27">SUMPRODUCT(('Data Base hauling'!$C$2:$C$216="TCM-ROM SB1 BK05-ROM 4")*(ISNUMBER(SEARCH(TEXT('April TCM'!$B27,"00")&amp;"/03/2026",'Data Base hauling'!$E$2:$E$216)))*'Data Base hauling'!$N$2:$N$216)</f>
        <v>0</v>
      </c>
      <c r="HT27" s="5"/>
      <c r="HU27" s="5" cm="1">
        <f t="array" ref="HU27">SUMPRODUCT(('Data Base hauling'!$C$2:$C$216="TCM-ROM SB1 BK05-ROM 5")*(ISNUMBER(SEARCH(TEXT('April TCM'!$B27,"00")&amp;"/03/2026",'Data Base hauling'!$E$2:$E$216)))*'Data Base hauling'!$N$2:$N$216)</f>
        <v>0</v>
      </c>
      <c r="HV27" s="5"/>
      <c r="HW27" s="5"/>
      <c r="HX27" s="5"/>
      <c r="HY27" s="5"/>
      <c r="HZ27" s="5"/>
      <c r="IA27" s="12">
        <f t="shared" si="43"/>
        <v>0</v>
      </c>
      <c r="IB27" s="845"/>
      <c r="IC27" s="363"/>
      <c r="ID27" s="64"/>
      <c r="IE27" s="64"/>
      <c r="IF27" s="64"/>
      <c r="IG27" s="64"/>
      <c r="IH27" s="64">
        <v>4989.8500000000004</v>
      </c>
      <c r="II27" s="64"/>
      <c r="IJ27" s="1590">
        <v>155</v>
      </c>
      <c r="IK27" s="64"/>
      <c r="IL27" s="64">
        <v>0</v>
      </c>
      <c r="IM27" s="64"/>
      <c r="IN27" s="64"/>
      <c r="IO27" s="49">
        <v>0</v>
      </c>
      <c r="IP27" s="61">
        <f t="shared" si="121"/>
        <v>5144.8500000000004</v>
      </c>
      <c r="IQ27" s="9"/>
      <c r="IR27" s="9"/>
      <c r="IS27" s="64"/>
      <c r="IT27" s="5"/>
      <c r="IU27" s="64"/>
      <c r="IV27" s="5"/>
      <c r="IW27" s="5">
        <v>0</v>
      </c>
      <c r="IX27" s="5"/>
      <c r="IY27" s="5">
        <v>494.78</v>
      </c>
      <c r="IZ27" s="5"/>
      <c r="JA27" s="5">
        <v>626.20000000000005</v>
      </c>
      <c r="JB27" s="5"/>
      <c r="JC27" s="5"/>
      <c r="JD27" s="5"/>
      <c r="JE27" s="12">
        <f t="shared" si="122"/>
        <v>1120.98</v>
      </c>
      <c r="JF27" s="2667"/>
      <c r="JH27" s="2020">
        <v>0</v>
      </c>
      <c r="JI27" s="2021">
        <v>17108.73</v>
      </c>
      <c r="JJ27" s="64"/>
      <c r="JK27" s="64">
        <f t="shared" si="123"/>
        <v>17108.73</v>
      </c>
      <c r="JL27" s="12"/>
      <c r="JM27" s="2669"/>
      <c r="JN27" s="849" t="s">
        <v>296</v>
      </c>
      <c r="JO27" s="850" t="s">
        <v>296</v>
      </c>
      <c r="JP27" s="850" t="s">
        <v>296</v>
      </c>
      <c r="JQ27" s="850" t="s">
        <v>296</v>
      </c>
      <c r="JR27" s="850" t="s">
        <v>296</v>
      </c>
      <c r="JS27" s="850" t="s">
        <v>296</v>
      </c>
      <c r="JT27" s="850" t="s">
        <v>296</v>
      </c>
      <c r="JU27" s="1923">
        <v>0</v>
      </c>
      <c r="JV27" s="849">
        <v>0</v>
      </c>
      <c r="JW27" s="850">
        <v>0</v>
      </c>
      <c r="JX27" s="850">
        <v>0</v>
      </c>
      <c r="JY27" s="850">
        <v>0.29165519591460037</v>
      </c>
      <c r="JZ27" s="850">
        <v>3.797944090531559E-2</v>
      </c>
      <c r="KA27" s="850">
        <v>0.670365363180084</v>
      </c>
      <c r="KB27" s="850">
        <v>0</v>
      </c>
      <c r="KC27" s="851">
        <v>0</v>
      </c>
      <c r="KD27" s="849"/>
      <c r="KE27" s="850"/>
      <c r="KF27" s="850"/>
      <c r="KG27" s="850"/>
      <c r="KH27" s="850"/>
      <c r="KI27" s="850"/>
      <c r="KJ27" s="850"/>
      <c r="KK27" s="850"/>
      <c r="KL27" s="12"/>
      <c r="KM27" s="2669"/>
      <c r="KN27" s="1739">
        <v>0</v>
      </c>
      <c r="KO27" s="1721">
        <v>0</v>
      </c>
      <c r="KP27" s="1721">
        <v>0</v>
      </c>
      <c r="KQ27" s="1721">
        <v>0</v>
      </c>
      <c r="KR27" s="1722">
        <v>0</v>
      </c>
      <c r="KS27" s="1958">
        <v>6811.6416362807659</v>
      </c>
      <c r="KT27" s="1961">
        <v>1.9116237465815862</v>
      </c>
      <c r="KU27" s="1961">
        <v>8.5068505013673654</v>
      </c>
      <c r="KV27" s="1961">
        <v>4.906516066545124</v>
      </c>
      <c r="KW27" s="1962">
        <v>8.8066659407474948</v>
      </c>
      <c r="KX27" s="9"/>
      <c r="KY27" s="64"/>
      <c r="KZ27" s="64"/>
      <c r="LA27" s="64"/>
      <c r="LB27" s="64"/>
      <c r="LC27" s="12"/>
      <c r="LD27" s="2669"/>
      <c r="LF27" s="4">
        <f t="shared" si="47"/>
        <v>5106.75</v>
      </c>
      <c r="LG27" s="5">
        <f t="shared" si="47"/>
        <v>0</v>
      </c>
      <c r="LH27" s="5">
        <f t="shared" si="47"/>
        <v>0</v>
      </c>
      <c r="LI27" s="15">
        <f t="shared" si="48"/>
        <v>5106.75</v>
      </c>
      <c r="LJ27" s="9">
        <v>1</v>
      </c>
      <c r="LK27" s="5"/>
      <c r="LL27" s="5"/>
      <c r="LM27" s="12"/>
      <c r="LN27" s="1111">
        <v>5</v>
      </c>
      <c r="LO27" s="486" t="s">
        <v>904</v>
      </c>
      <c r="LP27" s="2688"/>
      <c r="LQ27" s="9">
        <v>5106.75</v>
      </c>
      <c r="LR27" s="9"/>
      <c r="LS27" s="5"/>
      <c r="LT27" s="5"/>
      <c r="LU27" s="5"/>
      <c r="LV27" s="1107">
        <f t="shared" si="49"/>
        <v>5106.75</v>
      </c>
      <c r="LW27" s="9"/>
      <c r="LX27" s="9"/>
      <c r="LY27" s="5"/>
      <c r="LZ27" s="5"/>
      <c r="MA27" s="12"/>
      <c r="MB27" s="28">
        <f t="shared" si="50"/>
        <v>0</v>
      </c>
      <c r="MC27" s="4"/>
      <c r="MD27" s="9"/>
      <c r="ME27" s="5"/>
      <c r="MF27" s="5"/>
      <c r="MG27" s="5"/>
      <c r="MH27" s="15"/>
      <c r="MI27" s="9"/>
      <c r="MJ27" s="9"/>
      <c r="MK27" s="5"/>
      <c r="ML27" s="5"/>
      <c r="MM27" s="5"/>
      <c r="MN27" s="15"/>
      <c r="MO27" s="9"/>
      <c r="MP27" s="9"/>
      <c r="MQ27" s="5"/>
      <c r="MR27" s="5"/>
      <c r="MS27" s="5"/>
      <c r="MT27" s="12">
        <f t="shared" si="51"/>
        <v>0</v>
      </c>
      <c r="MU27" s="2688"/>
      <c r="MW27" s="4">
        <f t="shared" si="52"/>
        <v>122366.49939330628</v>
      </c>
      <c r="MX27" s="5">
        <f t="shared" si="53"/>
        <v>84054.983809620215</v>
      </c>
      <c r="MY27" s="5">
        <f t="shared" si="54"/>
        <v>19727.226980961226</v>
      </c>
      <c r="MZ27" s="15">
        <f t="shared" si="55"/>
        <v>424644.77855851006</v>
      </c>
      <c r="NA27" s="2621"/>
      <c r="NB27" s="23">
        <f t="shared" si="56"/>
        <v>20346.109361311261</v>
      </c>
      <c r="NC27" s="1579">
        <f t="shared" si="57"/>
        <v>102020.39003199502</v>
      </c>
      <c r="ND27" s="60">
        <f t="shared" si="58"/>
        <v>0</v>
      </c>
      <c r="NE27" s="1042">
        <f t="shared" si="4"/>
        <v>122366.49939330628</v>
      </c>
      <c r="NF27" s="4">
        <f t="shared" si="126"/>
        <v>0</v>
      </c>
      <c r="NG27" s="5">
        <f t="shared" si="126"/>
        <v>0</v>
      </c>
      <c r="NH27" s="5">
        <f t="shared" si="126"/>
        <v>0</v>
      </c>
      <c r="NI27" s="5">
        <f t="shared" si="126"/>
        <v>0</v>
      </c>
      <c r="NJ27" s="5">
        <f t="shared" si="126"/>
        <v>0</v>
      </c>
      <c r="NK27" s="12">
        <f t="shared" si="126"/>
        <v>0</v>
      </c>
      <c r="NL27" s="27">
        <f t="shared" si="126"/>
        <v>0</v>
      </c>
      <c r="NM27" s="9">
        <f t="shared" si="126"/>
        <v>0</v>
      </c>
      <c r="NN27" s="24">
        <f t="shared" si="126"/>
        <v>13287.080566563143</v>
      </c>
      <c r="NO27" s="5">
        <f t="shared" si="126"/>
        <v>26196.69549600617</v>
      </c>
      <c r="NP27" s="24">
        <f t="shared" si="108"/>
        <v>8756.5482322711578</v>
      </c>
      <c r="NQ27" s="24">
        <f t="shared" si="109"/>
        <v>9801.5641180334169</v>
      </c>
      <c r="NR27" s="5">
        <f t="shared" si="0"/>
        <v>58041.888412873886</v>
      </c>
      <c r="NS27" s="27">
        <f t="shared" si="127"/>
        <v>0</v>
      </c>
      <c r="NT27" s="5">
        <f t="shared" si="127"/>
        <v>0</v>
      </c>
      <c r="NU27" s="5">
        <f t="shared" si="127"/>
        <v>0</v>
      </c>
      <c r="NV27" s="5">
        <f t="shared" si="127"/>
        <v>0</v>
      </c>
      <c r="NW27" s="5">
        <f t="shared" si="127"/>
        <v>0</v>
      </c>
      <c r="NX27" s="5">
        <f t="shared" si="127"/>
        <v>0</v>
      </c>
      <c r="NY27" s="27">
        <f t="shared" si="127"/>
        <v>4063.0536022929118</v>
      </c>
      <c r="NZ27" s="5">
        <f t="shared" si="127"/>
        <v>0</v>
      </c>
      <c r="OA27" s="27">
        <f t="shared" si="127"/>
        <v>2950.0080667828283</v>
      </c>
      <c r="OB27" s="5"/>
      <c r="OC27" s="24">
        <f t="shared" si="128"/>
        <v>349.54339982995594</v>
      </c>
      <c r="OD27" s="5">
        <f t="shared" si="128"/>
        <v>0</v>
      </c>
      <c r="OE27" s="5">
        <f t="shared" si="1"/>
        <v>7362.6050689056956</v>
      </c>
      <c r="OF27" s="5">
        <f t="shared" si="129"/>
        <v>0</v>
      </c>
      <c r="OG27" s="5">
        <f t="shared" si="129"/>
        <v>0</v>
      </c>
      <c r="OH27" s="5">
        <f t="shared" si="129"/>
        <v>0</v>
      </c>
      <c r="OI27" s="5">
        <f t="shared" si="129"/>
        <v>0</v>
      </c>
      <c r="OJ27" s="27">
        <f t="shared" si="129"/>
        <v>0</v>
      </c>
      <c r="OK27" s="5">
        <f t="shared" si="129"/>
        <v>0</v>
      </c>
      <c r="OL27" s="24">
        <f t="shared" si="129"/>
        <v>0</v>
      </c>
      <c r="OM27" s="5">
        <f t="shared" si="129"/>
        <v>0</v>
      </c>
      <c r="ON27" s="24">
        <f t="shared" si="129"/>
        <v>16651.286218026511</v>
      </c>
      <c r="OO27" s="5">
        <f t="shared" si="129"/>
        <v>0</v>
      </c>
      <c r="OP27" s="5">
        <f t="shared" si="129"/>
        <v>1999.2041098141265</v>
      </c>
      <c r="OQ27" s="5">
        <f t="shared" si="129"/>
        <v>0</v>
      </c>
      <c r="OR27" s="15">
        <f t="shared" si="2"/>
        <v>18650.490327840638</v>
      </c>
      <c r="OS27" s="9"/>
      <c r="OT27" s="5"/>
      <c r="OU27" s="5"/>
      <c r="OV27" s="5"/>
      <c r="OW27" s="5"/>
      <c r="OX27" s="5"/>
      <c r="OY27" s="15">
        <f t="shared" si="63"/>
        <v>0</v>
      </c>
      <c r="OZ27" s="9">
        <f t="shared" si="64"/>
        <v>0</v>
      </c>
      <c r="PA27" s="5">
        <f t="shared" si="65"/>
        <v>0</v>
      </c>
      <c r="PB27" s="5">
        <f t="shared" si="66"/>
        <v>0</v>
      </c>
      <c r="PC27" s="5">
        <f t="shared" si="67"/>
        <v>0</v>
      </c>
      <c r="PD27" s="5">
        <f t="shared" si="68"/>
        <v>0</v>
      </c>
      <c r="PE27" s="5">
        <f t="shared" si="69"/>
        <v>0</v>
      </c>
      <c r="PF27" s="12">
        <f t="shared" si="3"/>
        <v>0</v>
      </c>
      <c r="PG27" s="2621"/>
      <c r="PI27" s="2">
        <v>1298.44</v>
      </c>
      <c r="PJ27" s="3"/>
      <c r="PK27" s="3"/>
      <c r="PL27" s="3">
        <f t="shared" si="70"/>
        <v>0</v>
      </c>
      <c r="PM27" s="3">
        <f t="shared" si="71"/>
        <v>20483.348459344186</v>
      </c>
      <c r="PN27" s="11">
        <f t="shared" si="72"/>
        <v>19727.226980961226</v>
      </c>
      <c r="PO27" s="15"/>
      <c r="PP27" s="2615"/>
      <c r="PR27" s="4"/>
      <c r="PS27" s="9"/>
      <c r="PT27" s="9"/>
      <c r="PU27" s="9"/>
      <c r="PV27" s="9">
        <v>621.6</v>
      </c>
      <c r="PW27" s="9"/>
      <c r="PX27" s="8">
        <f t="shared" si="73"/>
        <v>621.6</v>
      </c>
      <c r="PY27" s="5">
        <f t="shared" si="74"/>
        <v>1298.44</v>
      </c>
      <c r="PZ27" s="5"/>
      <c r="QA27" s="5"/>
      <c r="QB27" s="5"/>
      <c r="QC27" s="5"/>
      <c r="QD27" s="5"/>
      <c r="QE27" s="12">
        <f t="shared" si="75"/>
        <v>29562.488999999998</v>
      </c>
      <c r="QF27" s="420">
        <f t="shared" si="76"/>
        <v>393966.26955851004</v>
      </c>
      <c r="QG27" s="1106">
        <f t="shared" si="77"/>
        <v>1116.02</v>
      </c>
      <c r="QH27" s="484">
        <f t="shared" si="78"/>
        <v>5505.3678056099998</v>
      </c>
      <c r="QI27" s="12"/>
      <c r="QJ27" s="2615"/>
      <c r="QL27" s="139" t="str">
        <f t="shared" si="79"/>
        <v/>
      </c>
      <c r="QM27" s="139" t="str">
        <f t="shared" si="80"/>
        <v/>
      </c>
      <c r="QO27" s="139">
        <f t="shared" si="81"/>
        <v>0</v>
      </c>
      <c r="QP27" s="139">
        <f t="shared" si="82"/>
        <v>0</v>
      </c>
      <c r="QR27" s="1">
        <f t="shared" si="83"/>
        <v>0</v>
      </c>
      <c r="QS27" s="1">
        <f t="shared" si="84"/>
        <v>0</v>
      </c>
      <c r="QT27" s="1">
        <f t="shared" si="85"/>
        <v>0</v>
      </c>
      <c r="QU27" s="1">
        <f t="shared" si="86"/>
        <v>0</v>
      </c>
      <c r="QV27" s="1">
        <f t="shared" si="87"/>
        <v>0</v>
      </c>
      <c r="QW27" s="1">
        <f t="shared" si="88"/>
        <v>0</v>
      </c>
      <c r="QY27" s="1">
        <f t="shared" si="89"/>
        <v>0</v>
      </c>
      <c r="QZ27" s="1">
        <f t="shared" si="90"/>
        <v>0</v>
      </c>
      <c r="RA27" s="1">
        <f t="shared" si="91"/>
        <v>0</v>
      </c>
      <c r="RB27" s="1">
        <f t="shared" si="92"/>
        <v>0</v>
      </c>
      <c r="RC27" s="1">
        <f t="shared" si="93"/>
        <v>0</v>
      </c>
      <c r="RD27" s="1">
        <f t="shared" si="94"/>
        <v>0</v>
      </c>
      <c r="RG27" s="1">
        <v>18</v>
      </c>
      <c r="RH27" s="1">
        <f t="shared" si="124"/>
        <v>13299.001209717095</v>
      </c>
      <c r="RI27" s="1">
        <f t="shared" si="124"/>
        <v>57718.955780483724</v>
      </c>
      <c r="RJ27" s="1">
        <f t="shared" si="124"/>
        <v>13404.263703387322</v>
      </c>
      <c r="RK27" s="89">
        <f t="shared" si="5"/>
        <v>84422.22069358814</v>
      </c>
      <c r="RL27" s="1033">
        <v>18</v>
      </c>
      <c r="RM27" s="1098">
        <f t="shared" si="96"/>
        <v>0</v>
      </c>
      <c r="RN27" s="1098">
        <f t="shared" si="97"/>
        <v>621.6</v>
      </c>
      <c r="RO27" s="1097">
        <f t="shared" si="97"/>
        <v>0</v>
      </c>
      <c r="RP27" s="1097">
        <f t="shared" si="98"/>
        <v>7745.4000000000015</v>
      </c>
      <c r="RQ27" s="1050"/>
      <c r="RR27" s="1050" t="s">
        <v>905</v>
      </c>
      <c r="RS27" s="1048"/>
      <c r="RU27" s="421">
        <v>18</v>
      </c>
      <c r="RV27" s="1095">
        <f t="shared" si="99"/>
        <v>17108.73</v>
      </c>
      <c r="RW27" s="1046" t="s">
        <v>906</v>
      </c>
      <c r="RX27" s="1048"/>
      <c r="RY27" s="1090"/>
      <c r="RZ27" s="1090">
        <f t="shared" si="100"/>
        <v>-621.60000000000036</v>
      </c>
      <c r="SA27" s="1090"/>
      <c r="SB27" s="1090">
        <f t="shared" si="101"/>
        <v>0</v>
      </c>
      <c r="SD27" s="1">
        <v>18</v>
      </c>
      <c r="SE27" s="1">
        <f t="shared" si="102"/>
        <v>0</v>
      </c>
      <c r="SF27" s="1094"/>
    </row>
    <row r="28" spans="1:500" s="1" customFormat="1">
      <c r="B28" s="471">
        <v>19</v>
      </c>
      <c r="C28" s="4">
        <f t="shared" si="6"/>
        <v>154167</v>
      </c>
      <c r="D28" s="1590">
        <f t="shared" si="119"/>
        <v>10110.900000000001</v>
      </c>
      <c r="E28" s="1895">
        <f t="shared" si="7"/>
        <v>15.247604070854225</v>
      </c>
      <c r="F28" s="870"/>
      <c r="G28" s="870"/>
      <c r="H28" s="52"/>
      <c r="I28" s="61"/>
      <c r="J28" s="52"/>
      <c r="K28" s="54"/>
      <c r="L28" s="52"/>
      <c r="M28" s="61"/>
      <c r="N28" s="2629"/>
      <c r="O28" s="4">
        <f t="shared" si="125"/>
        <v>94668</v>
      </c>
      <c r="P28" s="1225">
        <f t="shared" si="8"/>
        <v>6084.9800000000005</v>
      </c>
      <c r="Q28" s="1913">
        <f t="shared" si="9"/>
        <v>15.557651791788961</v>
      </c>
      <c r="R28" s="33"/>
      <c r="S28" s="26">
        <f t="shared" si="10"/>
        <v>30396</v>
      </c>
      <c r="T28" s="27">
        <f t="shared" si="11"/>
        <v>1325.9200000000003</v>
      </c>
      <c r="U28" s="1909">
        <f t="shared" si="12"/>
        <v>22.924459997586577</v>
      </c>
      <c r="V28" s="28"/>
      <c r="W28" s="26">
        <f t="shared" si="13"/>
        <v>29103</v>
      </c>
      <c r="X28" s="5">
        <f t="shared" si="13"/>
        <v>2700</v>
      </c>
      <c r="Y28" s="325">
        <f t="shared" si="14"/>
        <v>10.778888888888888</v>
      </c>
      <c r="Z28" s="33"/>
      <c r="AA28" s="26">
        <f t="shared" si="15"/>
        <v>0</v>
      </c>
      <c r="AB28" s="27">
        <f t="shared" si="16"/>
        <v>0</v>
      </c>
      <c r="AC28" s="53">
        <f t="shared" si="17"/>
        <v>0</v>
      </c>
      <c r="AD28" s="28"/>
      <c r="AE28" s="36"/>
      <c r="AF28" s="36"/>
      <c r="AG28" s="53">
        <f t="shared" si="18"/>
        <v>0</v>
      </c>
      <c r="AH28" s="28"/>
      <c r="AI28" s="23"/>
      <c r="AJ28" s="27"/>
      <c r="AK28" s="53">
        <f t="shared" si="19"/>
        <v>0</v>
      </c>
      <c r="AL28" s="28"/>
      <c r="AM28" s="2629"/>
      <c r="AN28" s="9"/>
      <c r="AO28" s="5"/>
      <c r="AP28" s="61">
        <f t="shared" si="20"/>
        <v>0</v>
      </c>
      <c r="AQ28" s="36"/>
      <c r="AR28" s="53"/>
      <c r="AS28" s="61">
        <f t="shared" si="21"/>
        <v>0</v>
      </c>
      <c r="AT28" s="36">
        <v>0</v>
      </c>
      <c r="AU28" s="27"/>
      <c r="AV28" s="54">
        <f t="shared" si="22"/>
        <v>0</v>
      </c>
      <c r="AW28" s="26">
        <v>54684</v>
      </c>
      <c r="AX28" s="27">
        <v>6084.9800000000005</v>
      </c>
      <c r="AY28" s="1895">
        <v>8.986718115753872</v>
      </c>
      <c r="AZ28" s="1908"/>
      <c r="BA28" s="1909"/>
      <c r="BB28" s="1895">
        <v>0</v>
      </c>
      <c r="BC28" s="1740">
        <v>39984</v>
      </c>
      <c r="BD28" s="1913">
        <v>0</v>
      </c>
      <c r="BE28" s="1895">
        <v>0</v>
      </c>
      <c r="BF28" s="1908"/>
      <c r="BG28" s="1909"/>
      <c r="BH28" s="1895">
        <v>0</v>
      </c>
      <c r="BI28" s="1908">
        <v>0</v>
      </c>
      <c r="BJ28" s="1909">
        <v>0</v>
      </c>
      <c r="BK28" s="1895">
        <v>0</v>
      </c>
      <c r="BL28" s="1742">
        <v>30396</v>
      </c>
      <c r="BM28" s="1909">
        <v>1325.9200000000003</v>
      </c>
      <c r="BN28" s="1911">
        <v>22.924459997586577</v>
      </c>
      <c r="BO28" s="9"/>
      <c r="BP28" s="64"/>
      <c r="BQ28" s="482">
        <v>0</v>
      </c>
      <c r="BR28" s="9"/>
      <c r="BS28" s="64"/>
      <c r="BT28" s="482">
        <v>0</v>
      </c>
      <c r="BU28" s="9">
        <v>29103</v>
      </c>
      <c r="BV28" s="27">
        <v>2700</v>
      </c>
      <c r="BW28" s="15">
        <v>10.778888888888888</v>
      </c>
      <c r="BX28" s="26"/>
      <c r="BY28" s="5"/>
      <c r="BZ28" s="482">
        <f t="shared" si="23"/>
        <v>0</v>
      </c>
      <c r="CA28" s="9"/>
      <c r="CB28" s="5"/>
      <c r="CC28" s="482">
        <f t="shared" si="24"/>
        <v>0</v>
      </c>
      <c r="CD28" s="4"/>
      <c r="CE28" s="5"/>
      <c r="CF28" s="28">
        <f t="shared" si="25"/>
        <v>0</v>
      </c>
      <c r="CG28" s="150"/>
      <c r="CH28" s="1108"/>
      <c r="CI28" s="5"/>
      <c r="CJ28" s="5">
        <v>6835</v>
      </c>
      <c r="CK28" s="5"/>
      <c r="CL28" s="5"/>
      <c r="CM28" s="5">
        <f t="shared" si="26"/>
        <v>6835</v>
      </c>
      <c r="CN28" s="33"/>
      <c r="CO28" s="366"/>
      <c r="CQ28" s="4">
        <f t="shared" si="27"/>
        <v>0</v>
      </c>
      <c r="CR28" s="9">
        <f t="shared" si="27"/>
        <v>0</v>
      </c>
      <c r="CS28" s="5">
        <f t="shared" si="27"/>
        <v>0</v>
      </c>
      <c r="CT28" s="5">
        <f t="shared" si="27"/>
        <v>0</v>
      </c>
      <c r="CU28" s="5">
        <f t="shared" si="27"/>
        <v>0</v>
      </c>
      <c r="CV28" s="5">
        <f t="shared" si="27"/>
        <v>0</v>
      </c>
      <c r="CW28" s="5">
        <f t="shared" si="27"/>
        <v>3780.42</v>
      </c>
      <c r="CX28" s="5">
        <f t="shared" si="27"/>
        <v>0</v>
      </c>
      <c r="CY28" s="5">
        <f t="shared" si="27"/>
        <v>3630.4800000000005</v>
      </c>
      <c r="CZ28" s="5">
        <f t="shared" si="27"/>
        <v>0</v>
      </c>
      <c r="DA28" s="5">
        <f t="shared" si="27"/>
        <v>2700</v>
      </c>
      <c r="DB28" s="12">
        <f t="shared" si="27"/>
        <v>0</v>
      </c>
      <c r="DC28" s="310">
        <f t="shared" si="28"/>
        <v>10110.900000000001</v>
      </c>
      <c r="DD28" s="2695"/>
      <c r="DE28" s="8"/>
      <c r="DF28" s="9"/>
      <c r="DG28" s="5"/>
      <c r="DH28" s="5"/>
      <c r="DI28" s="5"/>
      <c r="DJ28" s="5"/>
      <c r="DK28" s="5">
        <v>3780.42</v>
      </c>
      <c r="DL28" s="5"/>
      <c r="DM28" s="5">
        <v>2304.56</v>
      </c>
      <c r="DN28" s="5"/>
      <c r="DO28" s="488"/>
      <c r="DP28" s="324"/>
      <c r="DQ28" s="28">
        <f t="shared" si="29"/>
        <v>6084.98</v>
      </c>
      <c r="DR28" s="36"/>
      <c r="DS28" s="9"/>
      <c r="DT28" s="5"/>
      <c r="DU28" s="5"/>
      <c r="DV28" s="5"/>
      <c r="DW28" s="5"/>
      <c r="DX28" s="27"/>
      <c r="DY28" s="27"/>
      <c r="DZ28" s="27">
        <v>1325.9200000000003</v>
      </c>
      <c r="EA28" s="27"/>
      <c r="EB28" s="27">
        <v>0</v>
      </c>
      <c r="EC28" s="33"/>
      <c r="ED28" s="28">
        <f t="shared" si="30"/>
        <v>1325.9200000000003</v>
      </c>
      <c r="EE28" s="856"/>
      <c r="EF28" s="36"/>
      <c r="EG28" s="27"/>
      <c r="EH28" s="27"/>
      <c r="EI28" s="27"/>
      <c r="EJ28" s="27"/>
      <c r="EK28" s="27"/>
      <c r="EL28" s="27"/>
      <c r="EM28" s="5"/>
      <c r="EN28" s="5"/>
      <c r="EO28" s="1448">
        <v>2700</v>
      </c>
      <c r="EP28" s="33"/>
      <c r="EQ28" s="28">
        <f t="shared" si="31"/>
        <v>2700</v>
      </c>
      <c r="ER28" s="36"/>
      <c r="ES28" s="27"/>
      <c r="ET28" s="27"/>
      <c r="EU28" s="27"/>
      <c r="EV28" s="27"/>
      <c r="EW28" s="27"/>
      <c r="EX28" s="33">
        <f t="shared" si="32"/>
        <v>0</v>
      </c>
      <c r="EY28" s="2685"/>
      <c r="FA28" s="4">
        <f t="shared" si="33"/>
        <v>0</v>
      </c>
      <c r="FB28" s="5">
        <f t="shared" si="34"/>
        <v>0</v>
      </c>
      <c r="FC28" s="5">
        <f t="shared" si="35"/>
        <v>0</v>
      </c>
      <c r="FD28" s="12">
        <f t="shared" si="36"/>
        <v>0</v>
      </c>
      <c r="FE28" s="33"/>
      <c r="FF28" s="2674"/>
      <c r="FG28" s="9"/>
      <c r="FH28" s="5"/>
      <c r="FI28" s="5"/>
      <c r="FJ28" s="5"/>
      <c r="FK28" s="5"/>
      <c r="FL28" s="27"/>
      <c r="FM28" s="28">
        <f t="shared" si="37"/>
        <v>0</v>
      </c>
      <c r="FN28" s="36"/>
      <c r="FO28" s="27"/>
      <c r="FP28" s="27"/>
      <c r="FQ28" s="27"/>
      <c r="FR28" s="27"/>
      <c r="FS28" s="27"/>
      <c r="FT28" s="28">
        <f t="shared" si="38"/>
        <v>0</v>
      </c>
      <c r="FU28" s="36"/>
      <c r="FV28" s="36"/>
      <c r="FW28" s="27"/>
      <c r="FX28" s="27"/>
      <c r="FY28" s="27"/>
      <c r="FZ28" s="27"/>
      <c r="GA28" s="27"/>
      <c r="GB28" s="27"/>
      <c r="GC28" s="27"/>
      <c r="GD28" s="27"/>
      <c r="GE28" s="27"/>
      <c r="GF28" s="33"/>
      <c r="GG28" s="33">
        <f t="shared" si="39"/>
        <v>0</v>
      </c>
      <c r="GH28" s="2674"/>
      <c r="GJ28" s="2">
        <f t="shared" si="105"/>
        <v>85.55</v>
      </c>
      <c r="GK28" s="63">
        <f t="shared" si="106"/>
        <v>3457.0699999999997</v>
      </c>
      <c r="GL28" s="24">
        <f t="shared" si="107"/>
        <v>3262.0699999999997</v>
      </c>
      <c r="GM28" s="27">
        <f t="shared" si="40"/>
        <v>6804.69</v>
      </c>
      <c r="GN28" s="141"/>
      <c r="GO28" s="141"/>
      <c r="GP28" s="33"/>
      <c r="GQ28" s="2667"/>
      <c r="GR28" s="1741">
        <v>2844.5499999999997</v>
      </c>
      <c r="GS28" s="1740">
        <v>0</v>
      </c>
      <c r="GT28" s="1736">
        <v>1665.2300000000002</v>
      </c>
      <c r="GU28" s="1736">
        <v>2294.91</v>
      </c>
      <c r="GV28" s="33">
        <f t="shared" si="41"/>
        <v>6804.69</v>
      </c>
      <c r="GW28" s="2667"/>
      <c r="GX28" s="36"/>
      <c r="GY28" s="36"/>
      <c r="GZ28" s="27"/>
      <c r="HA28" s="27"/>
      <c r="HB28" s="27"/>
      <c r="HC28" s="27"/>
      <c r="HD28" s="27"/>
      <c r="HE28" s="27"/>
      <c r="HF28" s="27">
        <v>85.55</v>
      </c>
      <c r="HG28" s="27"/>
      <c r="HH28" s="27">
        <v>0</v>
      </c>
      <c r="HI28" s="27"/>
      <c r="HJ28" s="27">
        <v>0</v>
      </c>
      <c r="HK28" s="27"/>
      <c r="HL28" s="28">
        <f t="shared" si="120"/>
        <v>85.55</v>
      </c>
      <c r="HM28" s="36"/>
      <c r="HN28" s="27"/>
      <c r="HO28" s="27"/>
      <c r="HP28" s="27"/>
      <c r="HQ28" s="27"/>
      <c r="HR28" s="27"/>
      <c r="HS28" s="27" cm="1">
        <f t="array" ref="HS28">SUMPRODUCT(('Data Base hauling'!$C$2:$C$216="TCM-ROM SB1 BK05-ROM 4")*(ISNUMBER(SEARCH(TEXT('April TCM'!$B28,"00")&amp;"/03/2026",'Data Base hauling'!$E$2:$E$216)))*'Data Base hauling'!$N$2:$N$216)</f>
        <v>0</v>
      </c>
      <c r="HT28" s="27"/>
      <c r="HU28" s="27" cm="1">
        <f t="array" ref="HU28">SUMPRODUCT(('Data Base hauling'!$C$2:$C$216="TCM-ROM SB1 BK05-ROM 5")*(ISNUMBER(SEARCH(TEXT('April TCM'!$B28,"00")&amp;"/03/2026",'Data Base hauling'!$E$2:$E$216)))*'Data Base hauling'!$N$2:$N$216)</f>
        <v>0</v>
      </c>
      <c r="HV28" s="27"/>
      <c r="HW28" s="27"/>
      <c r="HX28" s="27"/>
      <c r="HY28" s="27"/>
      <c r="HZ28" s="27"/>
      <c r="IA28" s="33">
        <f t="shared" si="43"/>
        <v>0</v>
      </c>
      <c r="IB28" s="52"/>
      <c r="IC28" s="152"/>
      <c r="ID28" s="53"/>
      <c r="IE28" s="53"/>
      <c r="IF28" s="53"/>
      <c r="IG28" s="53"/>
      <c r="IH28" s="53">
        <v>0</v>
      </c>
      <c r="II28" s="53"/>
      <c r="IJ28" s="1736">
        <v>3457.0699999999997</v>
      </c>
      <c r="IK28" s="53"/>
      <c r="IL28" s="53">
        <v>0</v>
      </c>
      <c r="IM28" s="53"/>
      <c r="IN28" s="53"/>
      <c r="IO28" s="49">
        <v>0</v>
      </c>
      <c r="IP28" s="61">
        <f t="shared" si="121"/>
        <v>3457.0699999999997</v>
      </c>
      <c r="IQ28" s="36"/>
      <c r="IR28" s="36"/>
      <c r="IS28" s="27"/>
      <c r="IT28" s="27"/>
      <c r="IU28" s="53"/>
      <c r="IV28" s="27"/>
      <c r="IW28" s="27">
        <v>0</v>
      </c>
      <c r="IX28" s="27"/>
      <c r="IY28" s="27">
        <v>3262.0699999999997</v>
      </c>
      <c r="IZ28" s="27"/>
      <c r="JA28" s="27">
        <v>0</v>
      </c>
      <c r="JB28" s="27"/>
      <c r="JC28" s="27"/>
      <c r="JD28" s="27"/>
      <c r="JE28" s="33">
        <f t="shared" si="122"/>
        <v>3262.0699999999997</v>
      </c>
      <c r="JF28" s="2667"/>
      <c r="JH28" s="2020">
        <v>6804.6900000000005</v>
      </c>
      <c r="JI28" s="2021">
        <v>0</v>
      </c>
      <c r="JJ28" s="53"/>
      <c r="JK28" s="53">
        <f t="shared" si="123"/>
        <v>6804.6900000000005</v>
      </c>
      <c r="JL28" s="33"/>
      <c r="JM28" s="2669"/>
      <c r="JN28" s="69">
        <v>0</v>
      </c>
      <c r="JO28" s="70">
        <v>0</v>
      </c>
      <c r="JP28" s="70">
        <v>0</v>
      </c>
      <c r="JQ28" s="850">
        <v>0</v>
      </c>
      <c r="JR28" s="850">
        <v>1</v>
      </c>
      <c r="JS28" s="850">
        <v>0</v>
      </c>
      <c r="JT28" s="70">
        <v>0</v>
      </c>
      <c r="JU28" s="1922">
        <v>0</v>
      </c>
      <c r="JV28" s="69" t="s">
        <v>296</v>
      </c>
      <c r="JW28" s="70" t="s">
        <v>296</v>
      </c>
      <c r="JX28" s="70" t="s">
        <v>296</v>
      </c>
      <c r="JY28" s="70" t="s">
        <v>296</v>
      </c>
      <c r="JZ28" s="70" t="s">
        <v>296</v>
      </c>
      <c r="KA28" s="70" t="s">
        <v>296</v>
      </c>
      <c r="KB28" s="70" t="s">
        <v>296</v>
      </c>
      <c r="KC28" s="71" t="s">
        <v>296</v>
      </c>
      <c r="KD28" s="69"/>
      <c r="KE28" s="70"/>
      <c r="KF28" s="70"/>
      <c r="KG28" s="70"/>
      <c r="KH28" s="70"/>
      <c r="KI28" s="70"/>
      <c r="KJ28" s="70"/>
      <c r="KK28" s="70"/>
      <c r="KL28" s="33"/>
      <c r="KM28" s="2669"/>
      <c r="KN28" s="1739">
        <v>6897.0280132164917</v>
      </c>
      <c r="KO28" s="1721">
        <v>0.89999999999999991</v>
      </c>
      <c r="KP28" s="1721">
        <v>4.0099525930182445</v>
      </c>
      <c r="KQ28" s="1721">
        <v>7.5566226116937223</v>
      </c>
      <c r="KR28" s="1722">
        <v>10.723389346358282</v>
      </c>
      <c r="KS28" s="1958">
        <v>0</v>
      </c>
      <c r="KT28" s="1961">
        <v>0</v>
      </c>
      <c r="KU28" s="1961">
        <v>0</v>
      </c>
      <c r="KV28" s="1961">
        <v>0</v>
      </c>
      <c r="KW28" s="1962">
        <v>0</v>
      </c>
      <c r="KX28" s="36"/>
      <c r="KY28" s="53"/>
      <c r="KZ28" s="53"/>
      <c r="LA28" s="53"/>
      <c r="LB28" s="53"/>
      <c r="LC28" s="33"/>
      <c r="LD28" s="2669"/>
      <c r="LF28" s="4">
        <f t="shared" si="47"/>
        <v>0</v>
      </c>
      <c r="LG28" s="27">
        <f t="shared" si="47"/>
        <v>0</v>
      </c>
      <c r="LH28" s="27">
        <f t="shared" si="47"/>
        <v>0</v>
      </c>
      <c r="LI28" s="28">
        <f t="shared" si="48"/>
        <v>0</v>
      </c>
      <c r="LJ28" s="36"/>
      <c r="LK28" s="27"/>
      <c r="LL28" s="27"/>
      <c r="LM28" s="33"/>
      <c r="LN28" s="1041">
        <v>5.49</v>
      </c>
      <c r="LO28" s="486" t="s">
        <v>334</v>
      </c>
      <c r="LP28" s="2688"/>
      <c r="LQ28" s="1036"/>
      <c r="LR28" s="36"/>
      <c r="LS28" s="27"/>
      <c r="LT28" s="27"/>
      <c r="LU28" s="27"/>
      <c r="LV28" s="1107">
        <f t="shared" si="49"/>
        <v>0</v>
      </c>
      <c r="LW28" s="36"/>
      <c r="LX28" s="36"/>
      <c r="LY28" s="27"/>
      <c r="LZ28" s="27"/>
      <c r="MA28" s="33"/>
      <c r="MB28" s="28">
        <f t="shared" si="50"/>
        <v>0</v>
      </c>
      <c r="MC28" s="26"/>
      <c r="MD28" s="36"/>
      <c r="ME28" s="27"/>
      <c r="MF28" s="27"/>
      <c r="MG28" s="27"/>
      <c r="MH28" s="28"/>
      <c r="MI28" s="36"/>
      <c r="MJ28" s="36"/>
      <c r="MK28" s="27"/>
      <c r="ML28" s="27"/>
      <c r="MM28" s="27"/>
      <c r="MN28" s="28"/>
      <c r="MO28" s="36"/>
      <c r="MP28" s="36"/>
      <c r="MQ28" s="27"/>
      <c r="MR28" s="27"/>
      <c r="MS28" s="27"/>
      <c r="MT28" s="33">
        <f t="shared" si="51"/>
        <v>0</v>
      </c>
      <c r="MU28" s="2688"/>
      <c r="MW28" s="26">
        <f t="shared" si="52"/>
        <v>129171.18939330628</v>
      </c>
      <c r="MX28" s="27">
        <f t="shared" si="53"/>
        <v>87361.19380962025</v>
      </c>
      <c r="MY28" s="27">
        <f t="shared" si="54"/>
        <v>19727.226980961226</v>
      </c>
      <c r="MZ28" s="28">
        <f t="shared" si="55"/>
        <v>424106.67855851009</v>
      </c>
      <c r="NA28" s="2621"/>
      <c r="NB28" s="23">
        <f t="shared" si="56"/>
        <v>27150.799361311263</v>
      </c>
      <c r="NC28" s="1579">
        <f t="shared" si="57"/>
        <v>102020.39003199502</v>
      </c>
      <c r="ND28" s="60">
        <f t="shared" si="58"/>
        <v>0</v>
      </c>
      <c r="NE28" s="1110">
        <f t="shared" si="4"/>
        <v>129171.18939330628</v>
      </c>
      <c r="NF28" s="26">
        <f t="shared" si="126"/>
        <v>0</v>
      </c>
      <c r="NG28" s="27">
        <f t="shared" si="126"/>
        <v>0</v>
      </c>
      <c r="NH28" s="27">
        <f t="shared" si="126"/>
        <v>0</v>
      </c>
      <c r="NI28" s="27">
        <f t="shared" si="126"/>
        <v>0</v>
      </c>
      <c r="NJ28" s="27">
        <f t="shared" si="126"/>
        <v>0</v>
      </c>
      <c r="NK28" s="33">
        <f t="shared" si="126"/>
        <v>0</v>
      </c>
      <c r="NL28" s="27">
        <f t="shared" si="126"/>
        <v>0</v>
      </c>
      <c r="NM28" s="36">
        <f t="shared" si="126"/>
        <v>0</v>
      </c>
      <c r="NN28" s="24">
        <f t="shared" si="126"/>
        <v>13201.530566563144</v>
      </c>
      <c r="NO28" s="27">
        <f t="shared" si="126"/>
        <v>26196.69549600617</v>
      </c>
      <c r="NP28" s="24">
        <f t="shared" si="108"/>
        <v>8756.5482322711578</v>
      </c>
      <c r="NQ28" s="24">
        <f t="shared" si="109"/>
        <v>12501.564118033417</v>
      </c>
      <c r="NR28" s="27">
        <f t="shared" si="0"/>
        <v>60656.338412873898</v>
      </c>
      <c r="NS28" s="27">
        <f t="shared" si="127"/>
        <v>0</v>
      </c>
      <c r="NT28" s="27">
        <f t="shared" si="127"/>
        <v>0</v>
      </c>
      <c r="NU28" s="27">
        <f t="shared" si="127"/>
        <v>0</v>
      </c>
      <c r="NV28" s="27">
        <f t="shared" si="127"/>
        <v>0</v>
      </c>
      <c r="NW28" s="27">
        <f t="shared" si="127"/>
        <v>0</v>
      </c>
      <c r="NX28" s="5">
        <f t="shared" si="127"/>
        <v>0</v>
      </c>
      <c r="NY28" s="27">
        <f t="shared" si="127"/>
        <v>7843.4736022929119</v>
      </c>
      <c r="NZ28" s="27">
        <f t="shared" si="127"/>
        <v>0</v>
      </c>
      <c r="OA28" s="27">
        <f t="shared" si="127"/>
        <v>1797.4980667828286</v>
      </c>
      <c r="OB28" s="27"/>
      <c r="OC28" s="24">
        <f t="shared" si="128"/>
        <v>349.54339982995594</v>
      </c>
      <c r="OD28" s="27">
        <f t="shared" si="128"/>
        <v>0</v>
      </c>
      <c r="OE28" s="28">
        <f t="shared" si="1"/>
        <v>9990.5150689056973</v>
      </c>
      <c r="OF28" s="27">
        <f t="shared" si="129"/>
        <v>0</v>
      </c>
      <c r="OG28" s="27">
        <f t="shared" si="129"/>
        <v>0</v>
      </c>
      <c r="OH28" s="27">
        <f t="shared" si="129"/>
        <v>0</v>
      </c>
      <c r="OI28" s="27">
        <f t="shared" si="129"/>
        <v>0</v>
      </c>
      <c r="OJ28" s="27">
        <f t="shared" si="129"/>
        <v>0</v>
      </c>
      <c r="OK28" s="27">
        <f t="shared" si="129"/>
        <v>0</v>
      </c>
      <c r="OL28" s="24">
        <f t="shared" si="129"/>
        <v>0</v>
      </c>
      <c r="OM28" s="27">
        <f t="shared" si="129"/>
        <v>0</v>
      </c>
      <c r="ON28" s="24">
        <f t="shared" si="129"/>
        <v>14715.136218026513</v>
      </c>
      <c r="OO28" s="27">
        <f t="shared" si="129"/>
        <v>0</v>
      </c>
      <c r="OP28" s="27">
        <f t="shared" si="129"/>
        <v>1999.2041098141265</v>
      </c>
      <c r="OQ28" s="27">
        <f t="shared" si="129"/>
        <v>0</v>
      </c>
      <c r="OR28" s="28">
        <f t="shared" si="2"/>
        <v>16714.34032784064</v>
      </c>
      <c r="OS28" s="36"/>
      <c r="OT28" s="27"/>
      <c r="OU28" s="27"/>
      <c r="OV28" s="27"/>
      <c r="OW28" s="27"/>
      <c r="OX28" s="27"/>
      <c r="OY28" s="28">
        <f t="shared" si="63"/>
        <v>0</v>
      </c>
      <c r="OZ28" s="36">
        <f t="shared" si="64"/>
        <v>0</v>
      </c>
      <c r="PA28" s="27">
        <f t="shared" si="65"/>
        <v>0</v>
      </c>
      <c r="PB28" s="27">
        <f t="shared" si="66"/>
        <v>0</v>
      </c>
      <c r="PC28" s="27">
        <f t="shared" si="67"/>
        <v>0</v>
      </c>
      <c r="PD28" s="27">
        <f t="shared" si="68"/>
        <v>0</v>
      </c>
      <c r="PE28" s="27">
        <f t="shared" si="69"/>
        <v>0</v>
      </c>
      <c r="PF28" s="33">
        <f t="shared" si="3"/>
        <v>0</v>
      </c>
      <c r="PG28" s="2621"/>
      <c r="PI28" s="2">
        <v>538.1</v>
      </c>
      <c r="PJ28" s="3"/>
      <c r="PK28" s="3"/>
      <c r="PL28" s="3">
        <f t="shared" si="70"/>
        <v>0</v>
      </c>
      <c r="PM28" s="3">
        <f t="shared" si="71"/>
        <v>21021.448459344185</v>
      </c>
      <c r="PN28" s="11">
        <f t="shared" si="72"/>
        <v>19727.226980961226</v>
      </c>
      <c r="PO28" s="15"/>
      <c r="PP28" s="2615"/>
      <c r="PR28" s="4"/>
      <c r="PS28" s="9"/>
      <c r="PT28" s="9"/>
      <c r="PU28" s="9"/>
      <c r="PV28" s="9">
        <v>0</v>
      </c>
      <c r="PW28" s="9"/>
      <c r="PX28" s="8">
        <f t="shared" si="73"/>
        <v>0</v>
      </c>
      <c r="PY28" s="5">
        <f t="shared" si="74"/>
        <v>538.1</v>
      </c>
      <c r="PZ28" s="5"/>
      <c r="QA28" s="5"/>
      <c r="QB28" s="5"/>
      <c r="QC28" s="5"/>
      <c r="QD28" s="5"/>
      <c r="QE28" s="12">
        <f t="shared" si="75"/>
        <v>29562.488999999998</v>
      </c>
      <c r="QF28" s="420">
        <f t="shared" si="76"/>
        <v>393428.16955851007</v>
      </c>
      <c r="QG28" s="1106">
        <f t="shared" si="77"/>
        <v>1116.02</v>
      </c>
      <c r="QH28" s="484">
        <f t="shared" si="78"/>
        <v>5505.3678056099998</v>
      </c>
      <c r="QI28" s="12"/>
      <c r="QJ28" s="2615"/>
      <c r="QL28" s="139">
        <f t="shared" si="79"/>
        <v>0</v>
      </c>
      <c r="QM28" s="139" t="str">
        <f t="shared" si="80"/>
        <v/>
      </c>
      <c r="QO28" s="139">
        <f t="shared" si="81"/>
        <v>0</v>
      </c>
      <c r="QP28" s="139">
        <f t="shared" si="82"/>
        <v>0</v>
      </c>
      <c r="QR28" s="1">
        <f t="shared" si="83"/>
        <v>0</v>
      </c>
      <c r="QS28" s="1">
        <f t="shared" si="84"/>
        <v>0</v>
      </c>
      <c r="QT28" s="1">
        <f t="shared" si="85"/>
        <v>0</v>
      </c>
      <c r="QU28" s="1">
        <f t="shared" si="86"/>
        <v>0</v>
      </c>
      <c r="QV28" s="1">
        <f t="shared" si="87"/>
        <v>0</v>
      </c>
      <c r="QW28" s="1">
        <f t="shared" si="88"/>
        <v>0</v>
      </c>
      <c r="QY28" s="1">
        <f t="shared" si="89"/>
        <v>0</v>
      </c>
      <c r="QZ28" s="1">
        <f t="shared" si="90"/>
        <v>0</v>
      </c>
      <c r="RA28" s="1">
        <f t="shared" si="91"/>
        <v>0</v>
      </c>
      <c r="RB28" s="1">
        <f t="shared" si="92"/>
        <v>0</v>
      </c>
      <c r="RC28" s="1">
        <f t="shared" si="93"/>
        <v>0</v>
      </c>
      <c r="RD28" s="1">
        <f t="shared" si="94"/>
        <v>0</v>
      </c>
      <c r="RG28" s="1">
        <v>19</v>
      </c>
      <c r="RH28" s="1">
        <f t="shared" si="124"/>
        <v>20103.691209717093</v>
      </c>
      <c r="RI28" s="1">
        <f t="shared" si="124"/>
        <v>57718.955780483724</v>
      </c>
      <c r="RJ28" s="1">
        <f t="shared" si="124"/>
        <v>13404.263703387322</v>
      </c>
      <c r="RK28" s="89">
        <f t="shared" si="5"/>
        <v>91226.910693588143</v>
      </c>
      <c r="RL28" s="1033">
        <v>19</v>
      </c>
      <c r="RM28" s="1098">
        <f t="shared" si="96"/>
        <v>0</v>
      </c>
      <c r="RN28" s="1098">
        <f t="shared" si="97"/>
        <v>0</v>
      </c>
      <c r="RO28" s="1097">
        <f t="shared" si="97"/>
        <v>0</v>
      </c>
      <c r="RP28" s="1097">
        <f t="shared" si="98"/>
        <v>7410.9000000000005</v>
      </c>
      <c r="RQ28" s="1050"/>
      <c r="RR28" s="1046" t="s">
        <v>907</v>
      </c>
      <c r="RS28" s="1048"/>
      <c r="RU28" s="421">
        <v>19</v>
      </c>
      <c r="RV28" s="1095">
        <f t="shared" si="99"/>
        <v>6804.69</v>
      </c>
      <c r="RW28" s="1046" t="s">
        <v>908</v>
      </c>
      <c r="RX28" s="1048"/>
      <c r="RY28" s="1090"/>
      <c r="RZ28" s="1090">
        <f t="shared" si="100"/>
        <v>0</v>
      </c>
      <c r="SA28" s="1090"/>
      <c r="SB28" s="1090">
        <f t="shared" si="101"/>
        <v>0</v>
      </c>
      <c r="SD28" s="1">
        <v>19</v>
      </c>
      <c r="SE28" s="1">
        <f t="shared" si="102"/>
        <v>0</v>
      </c>
      <c r="SF28" s="1096"/>
    </row>
    <row r="29" spans="1:500" s="1" customFormat="1">
      <c r="B29" s="471">
        <v>20</v>
      </c>
      <c r="C29" s="4">
        <f t="shared" si="6"/>
        <v>171737</v>
      </c>
      <c r="D29" s="1590">
        <f t="shared" si="119"/>
        <v>8461.380000000001</v>
      </c>
      <c r="E29" s="1911">
        <f t="shared" si="7"/>
        <v>20.296571008511613</v>
      </c>
      <c r="F29" s="870"/>
      <c r="G29" s="870"/>
      <c r="H29" s="845"/>
      <c r="I29" s="482"/>
      <c r="J29" s="845"/>
      <c r="K29" s="846"/>
      <c r="L29" s="845"/>
      <c r="M29" s="482"/>
      <c r="N29" s="2629"/>
      <c r="O29" s="4">
        <f t="shared" si="125"/>
        <v>108276</v>
      </c>
      <c r="P29" s="1225">
        <f t="shared" si="8"/>
        <v>5647.8</v>
      </c>
      <c r="Q29" s="1913">
        <f t="shared" si="9"/>
        <v>19.17135875916286</v>
      </c>
      <c r="R29" s="12"/>
      <c r="S29" s="26">
        <f t="shared" si="10"/>
        <v>31799</v>
      </c>
      <c r="T29" s="27">
        <f t="shared" si="11"/>
        <v>933.57999999999993</v>
      </c>
      <c r="U29" s="1913">
        <f t="shared" si="12"/>
        <v>34.061355213265067</v>
      </c>
      <c r="V29" s="15"/>
      <c r="W29" s="26">
        <f t="shared" si="13"/>
        <v>31662</v>
      </c>
      <c r="X29" s="5">
        <f t="shared" si="13"/>
        <v>1880</v>
      </c>
      <c r="Y29" s="1719">
        <f t="shared" si="14"/>
        <v>16.841489361702127</v>
      </c>
      <c r="Z29" s="12"/>
      <c r="AA29" s="26">
        <f t="shared" si="15"/>
        <v>0</v>
      </c>
      <c r="AB29" s="27">
        <f t="shared" si="16"/>
        <v>0</v>
      </c>
      <c r="AC29" s="64">
        <f t="shared" si="17"/>
        <v>0</v>
      </c>
      <c r="AD29" s="15"/>
      <c r="AE29" s="9"/>
      <c r="AF29" s="9"/>
      <c r="AG29" s="64">
        <f t="shared" si="18"/>
        <v>0</v>
      </c>
      <c r="AH29" s="15"/>
      <c r="AI29" s="4"/>
      <c r="AJ29" s="5"/>
      <c r="AK29" s="64">
        <f t="shared" si="19"/>
        <v>0</v>
      </c>
      <c r="AL29" s="15"/>
      <c r="AM29" s="2629"/>
      <c r="AN29" s="9"/>
      <c r="AO29" s="5"/>
      <c r="AP29" s="482">
        <f t="shared" si="20"/>
        <v>0</v>
      </c>
      <c r="AQ29" s="9"/>
      <c r="AR29" s="64"/>
      <c r="AS29" s="482">
        <f t="shared" si="21"/>
        <v>0</v>
      </c>
      <c r="AT29" s="9">
        <v>0</v>
      </c>
      <c r="AU29" s="5"/>
      <c r="AV29" s="846">
        <f t="shared" si="22"/>
        <v>0</v>
      </c>
      <c r="AW29" s="4">
        <v>58590</v>
      </c>
      <c r="AX29" s="5">
        <v>3410</v>
      </c>
      <c r="AY29" s="1911">
        <v>17.181818181818183</v>
      </c>
      <c r="AZ29" s="1912"/>
      <c r="BA29" s="1913"/>
      <c r="BB29" s="1911">
        <v>0</v>
      </c>
      <c r="BC29" s="1940">
        <v>49686</v>
      </c>
      <c r="BD29" s="1913">
        <v>2237.8000000000002</v>
      </c>
      <c r="BE29" s="1911">
        <v>22.203056573420323</v>
      </c>
      <c r="BF29" s="1908"/>
      <c r="BG29" s="1909"/>
      <c r="BH29" s="1911">
        <v>0</v>
      </c>
      <c r="BI29" s="1912">
        <v>0</v>
      </c>
      <c r="BJ29" s="1909">
        <v>0</v>
      </c>
      <c r="BK29" s="1911">
        <v>0</v>
      </c>
      <c r="BL29" s="1742">
        <v>31799</v>
      </c>
      <c r="BM29" s="1909">
        <v>933.57999999999993</v>
      </c>
      <c r="BN29" s="1911">
        <v>34.061355213265067</v>
      </c>
      <c r="BO29" s="9"/>
      <c r="BP29" s="64"/>
      <c r="BQ29" s="482">
        <v>0</v>
      </c>
      <c r="BR29" s="9"/>
      <c r="BS29" s="64"/>
      <c r="BT29" s="482">
        <v>0</v>
      </c>
      <c r="BU29" s="9">
        <v>31662</v>
      </c>
      <c r="BV29" s="27">
        <v>1880</v>
      </c>
      <c r="BW29" s="15">
        <v>16.841489361702127</v>
      </c>
      <c r="BX29" s="26"/>
      <c r="BY29" s="5"/>
      <c r="BZ29" s="482">
        <f t="shared" si="23"/>
        <v>0</v>
      </c>
      <c r="CA29" s="9"/>
      <c r="CB29" s="5"/>
      <c r="CC29" s="482">
        <f t="shared" si="24"/>
        <v>0</v>
      </c>
      <c r="CD29" s="4"/>
      <c r="CE29" s="494"/>
      <c r="CF29" s="15">
        <f t="shared" si="25"/>
        <v>0</v>
      </c>
      <c r="CG29" s="150"/>
      <c r="CH29" s="1108"/>
      <c r="CI29" s="5"/>
      <c r="CJ29" s="5">
        <v>5850</v>
      </c>
      <c r="CK29" s="5"/>
      <c r="CL29" s="5"/>
      <c r="CM29" s="5">
        <f t="shared" si="26"/>
        <v>5850</v>
      </c>
      <c r="CN29" s="12"/>
      <c r="CO29" s="366"/>
      <c r="CQ29" s="4">
        <f t="shared" si="27"/>
        <v>0</v>
      </c>
      <c r="CR29" s="9">
        <f t="shared" si="27"/>
        <v>0</v>
      </c>
      <c r="CS29" s="5">
        <f t="shared" si="27"/>
        <v>0</v>
      </c>
      <c r="CT29" s="5">
        <f t="shared" si="27"/>
        <v>0</v>
      </c>
      <c r="CU29" s="5">
        <f t="shared" si="27"/>
        <v>0</v>
      </c>
      <c r="CV29" s="5">
        <f t="shared" si="27"/>
        <v>0</v>
      </c>
      <c r="CW29" s="5">
        <f t="shared" si="27"/>
        <v>834.12</v>
      </c>
      <c r="CX29" s="5">
        <f t="shared" si="27"/>
        <v>0</v>
      </c>
      <c r="CY29" s="5">
        <f t="shared" si="27"/>
        <v>5747.26</v>
      </c>
      <c r="CZ29" s="5">
        <f t="shared" si="27"/>
        <v>0</v>
      </c>
      <c r="DA29" s="5">
        <f t="shared" si="27"/>
        <v>1880</v>
      </c>
      <c r="DB29" s="12">
        <f t="shared" si="27"/>
        <v>0</v>
      </c>
      <c r="DC29" s="847">
        <f t="shared" si="28"/>
        <v>8461.380000000001</v>
      </c>
      <c r="DD29" s="2695"/>
      <c r="DE29" s="8"/>
      <c r="DF29" s="9"/>
      <c r="DG29" s="5"/>
      <c r="DH29" s="5"/>
      <c r="DI29" s="5"/>
      <c r="DJ29" s="5"/>
      <c r="DK29" s="5">
        <v>834.12</v>
      </c>
      <c r="DL29" s="5"/>
      <c r="DM29" s="5">
        <v>2575.88</v>
      </c>
      <c r="DN29" s="5"/>
      <c r="DO29" s="5"/>
      <c r="DP29" s="12"/>
      <c r="DQ29" s="15">
        <f t="shared" si="29"/>
        <v>3410</v>
      </c>
      <c r="DR29" s="9"/>
      <c r="DS29" s="9"/>
      <c r="DT29" s="5"/>
      <c r="DU29" s="5"/>
      <c r="DV29" s="5"/>
      <c r="DW29" s="5"/>
      <c r="DX29" s="5"/>
      <c r="DY29" s="5"/>
      <c r="DZ29" s="5">
        <v>3171.38</v>
      </c>
      <c r="EA29" s="5"/>
      <c r="EB29" s="5">
        <v>0</v>
      </c>
      <c r="EC29" s="12"/>
      <c r="ED29" s="15">
        <f t="shared" si="30"/>
        <v>3171.38</v>
      </c>
      <c r="EE29" s="9"/>
      <c r="EF29" s="9"/>
      <c r="EG29" s="5"/>
      <c r="EH29" s="5"/>
      <c r="EI29" s="5"/>
      <c r="EJ29" s="5"/>
      <c r="EK29" s="5"/>
      <c r="EL29" s="5"/>
      <c r="EM29" s="5"/>
      <c r="EN29" s="5"/>
      <c r="EO29" s="1448">
        <v>1880</v>
      </c>
      <c r="EP29" s="12"/>
      <c r="EQ29" s="15">
        <f t="shared" si="31"/>
        <v>1880</v>
      </c>
      <c r="ER29" s="9"/>
      <c r="ES29" s="5"/>
      <c r="ET29" s="5"/>
      <c r="EU29" s="5"/>
      <c r="EV29" s="5"/>
      <c r="EW29" s="5"/>
      <c r="EX29" s="12">
        <f t="shared" si="32"/>
        <v>0</v>
      </c>
      <c r="EY29" s="2685"/>
      <c r="FA29" s="4">
        <f t="shared" si="33"/>
        <v>0</v>
      </c>
      <c r="FB29" s="5">
        <f t="shared" si="34"/>
        <v>0</v>
      </c>
      <c r="FC29" s="5">
        <f t="shared" si="35"/>
        <v>0</v>
      </c>
      <c r="FD29" s="12">
        <f t="shared" si="36"/>
        <v>0</v>
      </c>
      <c r="FE29" s="12"/>
      <c r="FF29" s="2674"/>
      <c r="FG29" s="9"/>
      <c r="FH29" s="5"/>
      <c r="FI29" s="5"/>
      <c r="FJ29" s="5"/>
      <c r="FK29" s="5"/>
      <c r="FL29" s="5"/>
      <c r="FM29" s="15">
        <f t="shared" si="37"/>
        <v>0</v>
      </c>
      <c r="FN29" s="9"/>
      <c r="FO29" s="5"/>
      <c r="FP29" s="5"/>
      <c r="FQ29" s="5"/>
      <c r="FR29" s="5"/>
      <c r="FS29" s="5"/>
      <c r="FT29" s="15">
        <f t="shared" si="38"/>
        <v>0</v>
      </c>
      <c r="FU29" s="9"/>
      <c r="FV29" s="9"/>
      <c r="FW29" s="5"/>
      <c r="FX29" s="5"/>
      <c r="FY29" s="5"/>
      <c r="FZ29" s="5"/>
      <c r="GA29" s="5"/>
      <c r="GB29" s="5"/>
      <c r="GC29" s="5"/>
      <c r="GD29" s="5"/>
      <c r="GE29" s="5"/>
      <c r="GF29" s="12"/>
      <c r="GG29" s="12">
        <f t="shared" si="39"/>
        <v>0</v>
      </c>
      <c r="GH29" s="2674"/>
      <c r="GJ29" s="2">
        <f t="shared" si="105"/>
        <v>6390.6900000000005</v>
      </c>
      <c r="GK29" s="63">
        <f t="shared" si="106"/>
        <v>5189.119999999999</v>
      </c>
      <c r="GL29" s="24">
        <f t="shared" si="107"/>
        <v>4219.8899999999994</v>
      </c>
      <c r="GM29" s="64">
        <f t="shared" si="40"/>
        <v>15799.699999999999</v>
      </c>
      <c r="GN29" s="848"/>
      <c r="GO29" s="848"/>
      <c r="GP29" s="12"/>
      <c r="GQ29" s="2667"/>
      <c r="GR29" s="2156">
        <v>6018.1500000000015</v>
      </c>
      <c r="GS29" s="1590">
        <v>0</v>
      </c>
      <c r="GT29" s="1590">
        <v>5826.8499999999985</v>
      </c>
      <c r="GU29" s="1590">
        <v>3954.7000000000003</v>
      </c>
      <c r="GV29" s="12">
        <f t="shared" si="41"/>
        <v>15799.7</v>
      </c>
      <c r="GW29" s="2667"/>
      <c r="GX29" s="9"/>
      <c r="GY29" s="9"/>
      <c r="GZ29" s="5"/>
      <c r="HA29" s="5"/>
      <c r="HB29" s="5"/>
      <c r="HC29" s="5"/>
      <c r="HD29" s="5"/>
      <c r="HE29" s="5"/>
      <c r="HF29" s="5">
        <v>143.9</v>
      </c>
      <c r="HG29" s="5"/>
      <c r="HH29" s="5">
        <v>6246.7900000000009</v>
      </c>
      <c r="HI29" s="5"/>
      <c r="HJ29" s="5">
        <v>0</v>
      </c>
      <c r="HK29" s="5"/>
      <c r="HL29" s="15">
        <f t="shared" si="120"/>
        <v>6390.6900000000005</v>
      </c>
      <c r="HM29" s="9"/>
      <c r="HN29" s="5"/>
      <c r="HO29" s="5"/>
      <c r="HP29" s="5"/>
      <c r="HQ29" s="5"/>
      <c r="HR29" s="5"/>
      <c r="HS29" s="5" cm="1">
        <f t="array" ref="HS29">SUMPRODUCT(('Data Base hauling'!$C$2:$C$216="TCM-ROM SB1 BK05-ROM 4")*(ISNUMBER(SEARCH(TEXT('April TCM'!$B29,"00")&amp;"/03/2026",'Data Base hauling'!$E$2:$E$216)))*'Data Base hauling'!$N$2:$N$216)</f>
        <v>0</v>
      </c>
      <c r="HT29" s="5"/>
      <c r="HU29" s="5" cm="1">
        <f t="array" ref="HU29">SUMPRODUCT(('Data Base hauling'!$C$2:$C$216="TCM-ROM SB1 BK05-ROM 5")*(ISNUMBER(SEARCH(TEXT('April TCM'!$B29,"00")&amp;"/03/2026",'Data Base hauling'!$E$2:$E$216)))*'Data Base hauling'!$N$2:$N$216)</f>
        <v>0</v>
      </c>
      <c r="HV29" s="5"/>
      <c r="HW29" s="5"/>
      <c r="HX29" s="5"/>
      <c r="HY29" s="5"/>
      <c r="HZ29" s="5"/>
      <c r="IA29" s="12">
        <f t="shared" si="43"/>
        <v>0</v>
      </c>
      <c r="IB29" s="845"/>
      <c r="IC29" s="363"/>
      <c r="ID29" s="64"/>
      <c r="IE29" s="64"/>
      <c r="IF29" s="64"/>
      <c r="IG29" s="64"/>
      <c r="IH29" s="64">
        <v>2797.7499999999995</v>
      </c>
      <c r="II29" s="64"/>
      <c r="IJ29" s="64">
        <v>2391.37</v>
      </c>
      <c r="IK29" s="64"/>
      <c r="IL29" s="64">
        <v>0</v>
      </c>
      <c r="IM29" s="64"/>
      <c r="IN29" s="64"/>
      <c r="IO29" s="49">
        <v>0</v>
      </c>
      <c r="IP29" s="61">
        <f t="shared" si="121"/>
        <v>5189.119999999999</v>
      </c>
      <c r="IQ29" s="9"/>
      <c r="IR29" s="9"/>
      <c r="IS29" s="5"/>
      <c r="IT29" s="5"/>
      <c r="IU29" s="64"/>
      <c r="IV29" s="5"/>
      <c r="IW29" s="5">
        <v>0</v>
      </c>
      <c r="IX29" s="5"/>
      <c r="IY29" s="5">
        <v>4219.8899999999994</v>
      </c>
      <c r="IZ29" s="5"/>
      <c r="JA29" s="5">
        <v>0</v>
      </c>
      <c r="JB29" s="5"/>
      <c r="JC29" s="5"/>
      <c r="JD29" s="5"/>
      <c r="JE29" s="12">
        <f t="shared" si="122"/>
        <v>4219.8899999999994</v>
      </c>
      <c r="JF29" s="2667"/>
      <c r="JH29" s="2020">
        <v>6685.9600000000019</v>
      </c>
      <c r="JI29" s="2021">
        <v>9113.74</v>
      </c>
      <c r="JJ29" s="64"/>
      <c r="JK29" s="64">
        <f t="shared" si="123"/>
        <v>15799.7</v>
      </c>
      <c r="JL29" s="12"/>
      <c r="JM29" s="2669"/>
      <c r="JN29" s="849">
        <v>0</v>
      </c>
      <c r="JO29" s="850">
        <v>0</v>
      </c>
      <c r="JP29" s="850">
        <v>0</v>
      </c>
      <c r="JQ29" s="850">
        <v>3.6038205433475509E-2</v>
      </c>
      <c r="JR29" s="850">
        <v>0.96396179456652453</v>
      </c>
      <c r="JS29" s="850">
        <v>0</v>
      </c>
      <c r="JT29" s="850">
        <v>0</v>
      </c>
      <c r="JU29" s="1923">
        <v>0</v>
      </c>
      <c r="JV29" s="849">
        <v>0</v>
      </c>
      <c r="JW29" s="850">
        <v>0</v>
      </c>
      <c r="JX29" s="850">
        <v>0</v>
      </c>
      <c r="JY29" s="850">
        <v>0.28054344319675567</v>
      </c>
      <c r="JZ29" s="850">
        <v>3.4031034460057008E-2</v>
      </c>
      <c r="KA29" s="850">
        <v>0.68542552234318743</v>
      </c>
      <c r="KB29" s="850">
        <v>0</v>
      </c>
      <c r="KC29" s="851">
        <v>0</v>
      </c>
      <c r="KD29" s="849"/>
      <c r="KE29" s="850"/>
      <c r="KF29" s="850"/>
      <c r="KG29" s="850"/>
      <c r="KH29" s="850"/>
      <c r="KI29" s="850"/>
      <c r="KJ29" s="850"/>
      <c r="KK29" s="850"/>
      <c r="KL29" s="12"/>
      <c r="KM29" s="2669"/>
      <c r="KN29" s="1739">
        <v>6767.4491863678231</v>
      </c>
      <c r="KO29" s="1721">
        <v>0.78232422474669938</v>
      </c>
      <c r="KP29" s="1721">
        <v>3.954316856002456</v>
      </c>
      <c r="KQ29" s="1721">
        <v>7.5618943813325146</v>
      </c>
      <c r="KR29" s="1722">
        <v>10.421668025790604</v>
      </c>
      <c r="KS29" s="1958">
        <v>6563.4574652777774</v>
      </c>
      <c r="KT29" s="1961">
        <v>1.904253472222222</v>
      </c>
      <c r="KU29" s="1961">
        <v>10.304574652777777</v>
      </c>
      <c r="KV29" s="1961">
        <v>4.4959375000000001</v>
      </c>
      <c r="KW29" s="1962">
        <v>7.515096455729168</v>
      </c>
      <c r="KX29" s="9"/>
      <c r="KY29" s="64"/>
      <c r="KZ29" s="64"/>
      <c r="LA29" s="64"/>
      <c r="LB29" s="64"/>
      <c r="LC29" s="12"/>
      <c r="LD29" s="2669"/>
      <c r="LF29" s="4">
        <f t="shared" si="47"/>
        <v>0</v>
      </c>
      <c r="LG29" s="5">
        <f t="shared" si="47"/>
        <v>0</v>
      </c>
      <c r="LH29" s="5">
        <f t="shared" si="47"/>
        <v>0</v>
      </c>
      <c r="LI29" s="15">
        <f t="shared" si="48"/>
        <v>0</v>
      </c>
      <c r="LJ29" s="9"/>
      <c r="LK29" s="5"/>
      <c r="LL29" s="5"/>
      <c r="LM29" s="12"/>
      <c r="LN29" s="1956">
        <v>5.8</v>
      </c>
      <c r="LO29" s="486" t="s">
        <v>334</v>
      </c>
      <c r="LP29" s="2688"/>
      <c r="LQ29" s="9"/>
      <c r="LR29" s="9"/>
      <c r="LS29" s="5"/>
      <c r="LT29" s="5"/>
      <c r="LU29" s="5"/>
      <c r="LV29" s="1107">
        <f t="shared" si="49"/>
        <v>0</v>
      </c>
      <c r="LW29" s="9"/>
      <c r="LX29" s="9"/>
      <c r="LY29" s="5"/>
      <c r="LZ29" s="5"/>
      <c r="MA29" s="12"/>
      <c r="MB29" s="28">
        <f t="shared" si="50"/>
        <v>0</v>
      </c>
      <c r="MC29" s="4"/>
      <c r="MD29" s="9"/>
      <c r="ME29" s="5"/>
      <c r="MF29" s="5"/>
      <c r="MG29" s="5"/>
      <c r="MH29" s="15"/>
      <c r="MI29" s="9"/>
      <c r="MJ29" s="9"/>
      <c r="MK29" s="5"/>
      <c r="ML29" s="5"/>
      <c r="MM29" s="5"/>
      <c r="MN29" s="15"/>
      <c r="MO29" s="9"/>
      <c r="MP29" s="9"/>
      <c r="MQ29" s="5"/>
      <c r="MR29" s="5"/>
      <c r="MS29" s="5"/>
      <c r="MT29" s="12">
        <f t="shared" si="51"/>
        <v>0</v>
      </c>
      <c r="MU29" s="2688"/>
      <c r="MW29" s="4">
        <f t="shared" si="52"/>
        <v>144970.88939330628</v>
      </c>
      <c r="MX29" s="5">
        <f t="shared" si="53"/>
        <v>80022.873809620214</v>
      </c>
      <c r="MY29" s="5">
        <f t="shared" si="54"/>
        <v>19727.226980961226</v>
      </c>
      <c r="MZ29" s="15">
        <f t="shared" si="55"/>
        <v>422736.59855851007</v>
      </c>
      <c r="NA29" s="2621"/>
      <c r="NB29" s="23">
        <f t="shared" si="56"/>
        <v>33836.759361311262</v>
      </c>
      <c r="NC29" s="1579">
        <f t="shared" si="57"/>
        <v>111134.13003199502</v>
      </c>
      <c r="ND29" s="60">
        <f t="shared" si="58"/>
        <v>0</v>
      </c>
      <c r="NE29" s="1042">
        <f t="shared" si="4"/>
        <v>144970.88939330628</v>
      </c>
      <c r="NF29" s="4">
        <f t="shared" si="126"/>
        <v>0</v>
      </c>
      <c r="NG29" s="5">
        <f t="shared" si="126"/>
        <v>0</v>
      </c>
      <c r="NH29" s="27">
        <f t="shared" si="126"/>
        <v>0</v>
      </c>
      <c r="NI29" s="5">
        <f t="shared" si="126"/>
        <v>0</v>
      </c>
      <c r="NJ29" s="5">
        <f t="shared" si="126"/>
        <v>0</v>
      </c>
      <c r="NK29" s="12">
        <f t="shared" si="126"/>
        <v>0</v>
      </c>
      <c r="NL29" s="27">
        <f t="shared" si="126"/>
        <v>0</v>
      </c>
      <c r="NM29" s="9">
        <f t="shared" si="126"/>
        <v>0</v>
      </c>
      <c r="NN29" s="24">
        <f t="shared" si="126"/>
        <v>13057.630566563144</v>
      </c>
      <c r="NO29" s="5">
        <f t="shared" si="126"/>
        <v>26196.69549600617</v>
      </c>
      <c r="NP29" s="24">
        <f t="shared" si="108"/>
        <v>8756.5482322711578</v>
      </c>
      <c r="NQ29" s="24">
        <f t="shared" si="109"/>
        <v>8134.774118033416</v>
      </c>
      <c r="NR29" s="5">
        <f t="shared" si="0"/>
        <v>56145.648412873881</v>
      </c>
      <c r="NS29" s="27">
        <f t="shared" si="127"/>
        <v>0</v>
      </c>
      <c r="NT29" s="5">
        <f t="shared" si="127"/>
        <v>0</v>
      </c>
      <c r="NU29" s="27">
        <f t="shared" si="127"/>
        <v>0</v>
      </c>
      <c r="NV29" s="5">
        <f t="shared" si="127"/>
        <v>0</v>
      </c>
      <c r="NW29" s="5">
        <f t="shared" si="127"/>
        <v>0</v>
      </c>
      <c r="NX29" s="5">
        <f t="shared" si="127"/>
        <v>0</v>
      </c>
      <c r="NY29" s="27">
        <f t="shared" si="127"/>
        <v>5879.8436022929127</v>
      </c>
      <c r="NZ29" s="5">
        <f t="shared" si="127"/>
        <v>0</v>
      </c>
      <c r="OA29" s="27">
        <f t="shared" si="127"/>
        <v>1982.0080667828288</v>
      </c>
      <c r="OB29" s="27"/>
      <c r="OC29" s="24">
        <f t="shared" si="128"/>
        <v>349.54339982995594</v>
      </c>
      <c r="OD29" s="5">
        <f t="shared" si="128"/>
        <v>0</v>
      </c>
      <c r="OE29" s="15">
        <f t="shared" si="1"/>
        <v>8211.3950689056983</v>
      </c>
      <c r="OF29" s="27">
        <f t="shared" si="129"/>
        <v>0</v>
      </c>
      <c r="OG29" s="5">
        <f t="shared" si="129"/>
        <v>0</v>
      </c>
      <c r="OH29" s="5">
        <f t="shared" si="129"/>
        <v>0</v>
      </c>
      <c r="OI29" s="5">
        <f t="shared" si="129"/>
        <v>0</v>
      </c>
      <c r="OJ29" s="27">
        <f t="shared" si="129"/>
        <v>0</v>
      </c>
      <c r="OK29" s="5">
        <f t="shared" si="129"/>
        <v>0</v>
      </c>
      <c r="OL29" s="24">
        <f t="shared" si="129"/>
        <v>0</v>
      </c>
      <c r="OM29" s="5">
        <f t="shared" si="129"/>
        <v>0</v>
      </c>
      <c r="ON29" s="24">
        <f t="shared" si="129"/>
        <v>13666.626218026515</v>
      </c>
      <c r="OO29" s="5">
        <f t="shared" si="129"/>
        <v>0</v>
      </c>
      <c r="OP29" s="5">
        <f t="shared" si="129"/>
        <v>1999.2041098141265</v>
      </c>
      <c r="OQ29" s="5">
        <f t="shared" si="129"/>
        <v>0</v>
      </c>
      <c r="OR29" s="15">
        <f t="shared" si="2"/>
        <v>15665.830327840642</v>
      </c>
      <c r="OS29" s="9"/>
      <c r="OT29" s="5"/>
      <c r="OU29" s="5"/>
      <c r="OV29" s="5"/>
      <c r="OW29" s="5"/>
      <c r="OX29" s="5"/>
      <c r="OY29" s="15">
        <f t="shared" si="63"/>
        <v>0</v>
      </c>
      <c r="OZ29" s="9">
        <f t="shared" si="64"/>
        <v>0</v>
      </c>
      <c r="PA29" s="5">
        <f t="shared" si="65"/>
        <v>0</v>
      </c>
      <c r="PB29" s="5">
        <f t="shared" si="66"/>
        <v>0</v>
      </c>
      <c r="PC29" s="5">
        <f t="shared" si="67"/>
        <v>0</v>
      </c>
      <c r="PD29" s="5">
        <f t="shared" si="68"/>
        <v>0</v>
      </c>
      <c r="PE29" s="5">
        <f t="shared" si="69"/>
        <v>0</v>
      </c>
      <c r="PF29" s="12">
        <f t="shared" si="3"/>
        <v>0</v>
      </c>
      <c r="PG29" s="2621"/>
      <c r="PI29" s="2">
        <v>1370.08</v>
      </c>
      <c r="PJ29" s="3"/>
      <c r="PK29" s="3"/>
      <c r="PL29" s="3">
        <f t="shared" si="70"/>
        <v>0</v>
      </c>
      <c r="PM29" s="3">
        <f t="shared" si="71"/>
        <v>22391.528459344183</v>
      </c>
      <c r="PN29" s="11">
        <f t="shared" si="72"/>
        <v>19727.226980961226</v>
      </c>
      <c r="PO29" s="15"/>
      <c r="PP29" s="2615"/>
      <c r="PR29" s="4"/>
      <c r="PS29" s="9"/>
      <c r="PT29" s="9"/>
      <c r="PU29" s="9"/>
      <c r="PV29" s="9">
        <v>0</v>
      </c>
      <c r="PW29" s="9"/>
      <c r="PX29" s="8">
        <f t="shared" si="73"/>
        <v>0</v>
      </c>
      <c r="PY29" s="5">
        <f t="shared" si="74"/>
        <v>1370.08</v>
      </c>
      <c r="PZ29" s="5"/>
      <c r="QA29" s="5"/>
      <c r="QB29" s="5"/>
      <c r="QC29" s="5"/>
      <c r="QD29" s="5"/>
      <c r="QE29" s="12">
        <f t="shared" si="75"/>
        <v>29562.488999999998</v>
      </c>
      <c r="QF29" s="420">
        <f t="shared" si="76"/>
        <v>392058.08955851005</v>
      </c>
      <c r="QG29" s="1106">
        <f t="shared" si="77"/>
        <v>1116.02</v>
      </c>
      <c r="QH29" s="484">
        <f t="shared" si="78"/>
        <v>5505.3678056099998</v>
      </c>
      <c r="QI29" s="12"/>
      <c r="QJ29" s="2615"/>
      <c r="QL29" s="139">
        <f t="shared" si="79"/>
        <v>0</v>
      </c>
      <c r="QM29" s="139" t="str">
        <f t="shared" si="80"/>
        <v/>
      </c>
      <c r="QO29" s="139">
        <f t="shared" si="81"/>
        <v>0</v>
      </c>
      <c r="QP29" s="139">
        <f t="shared" si="82"/>
        <v>0</v>
      </c>
      <c r="QR29" s="1">
        <f t="shared" si="83"/>
        <v>0</v>
      </c>
      <c r="QS29" s="1">
        <f t="shared" si="84"/>
        <v>0</v>
      </c>
      <c r="QT29" s="1">
        <f t="shared" si="85"/>
        <v>0</v>
      </c>
      <c r="QU29" s="1">
        <f t="shared" si="86"/>
        <v>0</v>
      </c>
      <c r="QV29" s="1">
        <f t="shared" si="87"/>
        <v>0</v>
      </c>
      <c r="QW29" s="1">
        <f t="shared" si="88"/>
        <v>0</v>
      </c>
      <c r="QY29" s="1">
        <f t="shared" si="89"/>
        <v>0</v>
      </c>
      <c r="QZ29" s="1">
        <f t="shared" si="90"/>
        <v>0</v>
      </c>
      <c r="RA29" s="1">
        <f t="shared" si="91"/>
        <v>0</v>
      </c>
      <c r="RB29" s="1">
        <f t="shared" si="92"/>
        <v>0</v>
      </c>
      <c r="RC29" s="1">
        <f t="shared" si="93"/>
        <v>0</v>
      </c>
      <c r="RD29" s="1">
        <f t="shared" si="94"/>
        <v>0</v>
      </c>
      <c r="RG29" s="1">
        <v>20</v>
      </c>
      <c r="RH29" s="1">
        <f t="shared" si="124"/>
        <v>26789.651209717096</v>
      </c>
      <c r="RI29" s="1">
        <f t="shared" si="124"/>
        <v>66832.695780483729</v>
      </c>
      <c r="RJ29" s="1">
        <f t="shared" si="124"/>
        <v>13404.263703387322</v>
      </c>
      <c r="RK29" s="89">
        <f t="shared" si="5"/>
        <v>107026.61069358814</v>
      </c>
      <c r="RL29" s="1033">
        <v>20</v>
      </c>
      <c r="RM29" s="1098">
        <f t="shared" si="96"/>
        <v>0</v>
      </c>
      <c r="RN29" s="1098">
        <f t="shared" si="97"/>
        <v>0</v>
      </c>
      <c r="RO29" s="1097">
        <f t="shared" si="97"/>
        <v>0</v>
      </c>
      <c r="RP29" s="1097">
        <f t="shared" si="98"/>
        <v>6581.38</v>
      </c>
      <c r="RQ29" s="1109"/>
      <c r="RR29" s="1046" t="s">
        <v>909</v>
      </c>
      <c r="RU29" s="421">
        <v>20</v>
      </c>
      <c r="RV29" s="1095">
        <f t="shared" si="99"/>
        <v>15799.7</v>
      </c>
      <c r="RW29" s="1050" t="s">
        <v>910</v>
      </c>
      <c r="RX29" s="1048"/>
      <c r="RY29" s="1090"/>
      <c r="RZ29" s="1090">
        <f t="shared" si="100"/>
        <v>0</v>
      </c>
      <c r="SA29" s="1090"/>
      <c r="SB29" s="1090">
        <f t="shared" si="101"/>
        <v>0</v>
      </c>
      <c r="SD29" s="1">
        <v>20</v>
      </c>
      <c r="SE29" s="1">
        <f t="shared" si="102"/>
        <v>0</v>
      </c>
      <c r="SF29" s="1094"/>
    </row>
    <row r="30" spans="1:500" s="1" customFormat="1">
      <c r="B30" s="471">
        <v>21</v>
      </c>
      <c r="C30" s="4">
        <f t="shared" si="6"/>
        <v>160551.4</v>
      </c>
      <c r="D30" s="1590">
        <f t="shared" si="119"/>
        <v>8774.68</v>
      </c>
      <c r="E30" s="1895">
        <f t="shared" si="7"/>
        <v>18.297123085970085</v>
      </c>
      <c r="F30" s="870"/>
      <c r="G30" s="870"/>
      <c r="H30" s="52"/>
      <c r="I30" s="61"/>
      <c r="J30" s="52"/>
      <c r="K30" s="54"/>
      <c r="L30" s="52">
        <v>0.5</v>
      </c>
      <c r="M30" s="61">
        <v>0.81</v>
      </c>
      <c r="N30" s="2629"/>
      <c r="O30" s="4">
        <f t="shared" si="125"/>
        <v>105188</v>
      </c>
      <c r="P30" s="1225">
        <f t="shared" si="8"/>
        <v>5910.32</v>
      </c>
      <c r="Q30" s="1913">
        <f t="shared" si="9"/>
        <v>17.79734430623046</v>
      </c>
      <c r="R30" s="33"/>
      <c r="S30" s="26">
        <f t="shared" si="10"/>
        <v>27837.4</v>
      </c>
      <c r="T30" s="27">
        <f t="shared" si="11"/>
        <v>944.3599999999999</v>
      </c>
      <c r="U30" s="1909">
        <f t="shared" si="12"/>
        <v>29.477529755601683</v>
      </c>
      <c r="V30" s="28"/>
      <c r="W30" s="26">
        <f t="shared" si="13"/>
        <v>27526</v>
      </c>
      <c r="X30" s="5">
        <f t="shared" si="13"/>
        <v>1920</v>
      </c>
      <c r="Y30" s="325">
        <f t="shared" si="14"/>
        <v>14.336458333333333</v>
      </c>
      <c r="Z30" s="33"/>
      <c r="AA30" s="26">
        <f t="shared" si="15"/>
        <v>0</v>
      </c>
      <c r="AB30" s="27">
        <f t="shared" si="16"/>
        <v>0</v>
      </c>
      <c r="AC30" s="53">
        <f t="shared" si="17"/>
        <v>0</v>
      </c>
      <c r="AD30" s="28"/>
      <c r="AE30" s="36"/>
      <c r="AF30" s="36"/>
      <c r="AG30" s="53">
        <f t="shared" si="18"/>
        <v>0</v>
      </c>
      <c r="AH30" s="28"/>
      <c r="AI30" s="23"/>
      <c r="AJ30" s="27"/>
      <c r="AK30" s="53">
        <f t="shared" si="19"/>
        <v>0</v>
      </c>
      <c r="AL30" s="28"/>
      <c r="AM30" s="2629"/>
      <c r="AN30" s="9"/>
      <c r="AO30" s="5"/>
      <c r="AP30" s="61">
        <f t="shared" si="20"/>
        <v>0</v>
      </c>
      <c r="AQ30" s="36"/>
      <c r="AR30" s="53"/>
      <c r="AS30" s="61">
        <f t="shared" si="21"/>
        <v>0</v>
      </c>
      <c r="AT30" s="36">
        <v>0</v>
      </c>
      <c r="AU30" s="27"/>
      <c r="AV30" s="54">
        <f t="shared" si="22"/>
        <v>0</v>
      </c>
      <c r="AW30" s="26">
        <v>62768</v>
      </c>
      <c r="AX30" s="27">
        <v>4936.4799999999996</v>
      </c>
      <c r="AY30" s="1895">
        <v>12.715133050270639</v>
      </c>
      <c r="AZ30" s="1908"/>
      <c r="BA30" s="1909"/>
      <c r="BB30" s="1895">
        <v>0</v>
      </c>
      <c r="BC30" s="1740">
        <v>42420</v>
      </c>
      <c r="BD30" s="1909">
        <v>973.84</v>
      </c>
      <c r="BE30" s="1895">
        <v>43.559516963772282</v>
      </c>
      <c r="BF30" s="1908"/>
      <c r="BG30" s="1909"/>
      <c r="BH30" s="1895">
        <v>0</v>
      </c>
      <c r="BI30" s="1908">
        <v>0</v>
      </c>
      <c r="BJ30" s="1909">
        <v>0</v>
      </c>
      <c r="BK30" s="1895">
        <v>0</v>
      </c>
      <c r="BL30" s="1742">
        <v>27837.4</v>
      </c>
      <c r="BM30" s="1909">
        <v>944.3599999999999</v>
      </c>
      <c r="BN30" s="1911">
        <v>29.477529755601683</v>
      </c>
      <c r="BO30" s="9"/>
      <c r="BP30" s="64"/>
      <c r="BQ30" s="482">
        <v>0</v>
      </c>
      <c r="BR30" s="9"/>
      <c r="BS30" s="64"/>
      <c r="BT30" s="482">
        <v>0</v>
      </c>
      <c r="BU30" s="9">
        <v>27526</v>
      </c>
      <c r="BV30" s="27">
        <v>1920</v>
      </c>
      <c r="BW30" s="15">
        <v>14.336458333333333</v>
      </c>
      <c r="BX30" s="4"/>
      <c r="BY30" s="5"/>
      <c r="BZ30" s="482">
        <f t="shared" si="23"/>
        <v>0</v>
      </c>
      <c r="CA30" s="9"/>
      <c r="CB30" s="5"/>
      <c r="CC30" s="482">
        <f t="shared" si="24"/>
        <v>0</v>
      </c>
      <c r="CD30" s="4"/>
      <c r="CE30" s="5"/>
      <c r="CF30" s="28">
        <f t="shared" si="25"/>
        <v>0</v>
      </c>
      <c r="CG30" s="150"/>
      <c r="CH30" s="1108"/>
      <c r="CI30" s="5"/>
      <c r="CJ30" s="5">
        <v>7589</v>
      </c>
      <c r="CK30" s="5"/>
      <c r="CL30" s="5"/>
      <c r="CM30" s="5">
        <f t="shared" si="26"/>
        <v>7589</v>
      </c>
      <c r="CN30" s="33"/>
      <c r="CO30" s="366"/>
      <c r="CQ30" s="4">
        <f t="shared" si="27"/>
        <v>0</v>
      </c>
      <c r="CR30" s="9">
        <f t="shared" si="27"/>
        <v>0</v>
      </c>
      <c r="CS30" s="5">
        <f t="shared" si="27"/>
        <v>0</v>
      </c>
      <c r="CT30" s="5">
        <f t="shared" si="27"/>
        <v>0</v>
      </c>
      <c r="CU30" s="5">
        <f t="shared" si="27"/>
        <v>0</v>
      </c>
      <c r="CV30" s="5">
        <f t="shared" si="27"/>
        <v>0</v>
      </c>
      <c r="CW30" s="5">
        <f t="shared" si="27"/>
        <v>1598.48</v>
      </c>
      <c r="CX30" s="5">
        <f t="shared" si="27"/>
        <v>0</v>
      </c>
      <c r="CY30" s="5">
        <f t="shared" si="27"/>
        <v>5256.2000000000007</v>
      </c>
      <c r="CZ30" s="5">
        <f t="shared" si="27"/>
        <v>0</v>
      </c>
      <c r="DA30" s="5">
        <f t="shared" si="27"/>
        <v>1920</v>
      </c>
      <c r="DB30" s="12">
        <f t="shared" si="27"/>
        <v>0</v>
      </c>
      <c r="DC30" s="310">
        <f t="shared" si="28"/>
        <v>8774.68</v>
      </c>
      <c r="DD30" s="2695"/>
      <c r="DE30" s="8"/>
      <c r="DF30" s="9"/>
      <c r="DG30" s="5"/>
      <c r="DH30" s="5"/>
      <c r="DI30" s="5"/>
      <c r="DJ30" s="5"/>
      <c r="DK30" s="5">
        <v>1598.48</v>
      </c>
      <c r="DL30" s="5"/>
      <c r="DM30" s="5">
        <v>3338</v>
      </c>
      <c r="DN30" s="5"/>
      <c r="DO30" s="5"/>
      <c r="DP30" s="12"/>
      <c r="DQ30" s="28">
        <f t="shared" si="29"/>
        <v>4936.4799999999996</v>
      </c>
      <c r="DR30" s="36"/>
      <c r="DS30" s="9"/>
      <c r="DT30" s="5"/>
      <c r="DU30" s="5"/>
      <c r="DV30" s="5"/>
      <c r="DW30" s="5"/>
      <c r="DX30" s="27"/>
      <c r="DY30" s="27"/>
      <c r="DZ30" s="27">
        <v>1918.2000000000003</v>
      </c>
      <c r="EA30" s="27"/>
      <c r="EB30" s="27">
        <v>0</v>
      </c>
      <c r="EC30" s="33"/>
      <c r="ED30" s="28">
        <f t="shared" si="30"/>
        <v>1918.2000000000003</v>
      </c>
      <c r="EE30" s="9"/>
      <c r="EF30" s="36"/>
      <c r="EG30" s="27"/>
      <c r="EH30" s="27"/>
      <c r="EI30" s="27"/>
      <c r="EJ30" s="27"/>
      <c r="EK30" s="27"/>
      <c r="EL30" s="27"/>
      <c r="EM30" s="5"/>
      <c r="EN30" s="5"/>
      <c r="EO30" s="5">
        <v>1920</v>
      </c>
      <c r="EP30" s="33"/>
      <c r="EQ30" s="28">
        <f t="shared" si="31"/>
        <v>1920</v>
      </c>
      <c r="ER30" s="36"/>
      <c r="ES30" s="27"/>
      <c r="ET30" s="27"/>
      <c r="EU30" s="27"/>
      <c r="EV30" s="27"/>
      <c r="EW30" s="27"/>
      <c r="EX30" s="33">
        <f t="shared" si="32"/>
        <v>0</v>
      </c>
      <c r="EY30" s="2685"/>
      <c r="FA30" s="4">
        <f t="shared" si="33"/>
        <v>0</v>
      </c>
      <c r="FB30" s="5">
        <f t="shared" si="34"/>
        <v>0</v>
      </c>
      <c r="FC30" s="5">
        <f t="shared" si="35"/>
        <v>0</v>
      </c>
      <c r="FD30" s="12">
        <f t="shared" si="36"/>
        <v>0</v>
      </c>
      <c r="FE30" s="33"/>
      <c r="FF30" s="2674"/>
      <c r="FG30" s="9"/>
      <c r="FH30" s="5"/>
      <c r="FI30" s="5"/>
      <c r="FJ30" s="5"/>
      <c r="FK30" s="5"/>
      <c r="FL30" s="27"/>
      <c r="FM30" s="28">
        <f t="shared" si="37"/>
        <v>0</v>
      </c>
      <c r="FN30" s="36"/>
      <c r="FO30" s="27"/>
      <c r="FP30" s="27"/>
      <c r="FQ30" s="27"/>
      <c r="FR30" s="27"/>
      <c r="FS30" s="27"/>
      <c r="FT30" s="28">
        <f t="shared" si="38"/>
        <v>0</v>
      </c>
      <c r="FU30" s="36"/>
      <c r="FV30" s="36"/>
      <c r="FW30" s="27"/>
      <c r="FX30" s="27"/>
      <c r="FY30" s="27"/>
      <c r="FZ30" s="27"/>
      <c r="GA30" s="27"/>
      <c r="GB30" s="27"/>
      <c r="GC30" s="27"/>
      <c r="GD30" s="27"/>
      <c r="GE30" s="27"/>
      <c r="GF30" s="33"/>
      <c r="GG30" s="33">
        <f t="shared" si="39"/>
        <v>0</v>
      </c>
      <c r="GH30" s="2674"/>
      <c r="GJ30" s="2">
        <f t="shared" si="105"/>
        <v>0</v>
      </c>
      <c r="GK30" s="63">
        <f t="shared" si="106"/>
        <v>2721.75</v>
      </c>
      <c r="GL30" s="24">
        <f t="shared" si="107"/>
        <v>4822.08</v>
      </c>
      <c r="GM30" s="53">
        <f t="shared" si="40"/>
        <v>7543.83</v>
      </c>
      <c r="GN30" s="141"/>
      <c r="GO30" s="141"/>
      <c r="GP30" s="33"/>
      <c r="GQ30" s="2667"/>
      <c r="GR30" s="1740">
        <v>3438.9</v>
      </c>
      <c r="GS30" s="1736">
        <v>0</v>
      </c>
      <c r="GT30" s="1736">
        <v>1729.05</v>
      </c>
      <c r="GU30" s="1736">
        <v>2375.8799999999997</v>
      </c>
      <c r="GV30" s="33">
        <f t="shared" si="41"/>
        <v>7543.83</v>
      </c>
      <c r="GW30" s="2667"/>
      <c r="GX30" s="36"/>
      <c r="GY30" s="36"/>
      <c r="GZ30" s="27"/>
      <c r="HA30" s="27"/>
      <c r="HB30" s="27"/>
      <c r="HC30" s="27"/>
      <c r="HD30" s="27"/>
      <c r="HE30" s="27"/>
      <c r="HF30" s="27">
        <v>0</v>
      </c>
      <c r="HG30" s="27"/>
      <c r="HH30" s="27">
        <v>0</v>
      </c>
      <c r="HI30" s="27"/>
      <c r="HJ30" s="27">
        <v>0</v>
      </c>
      <c r="HK30" s="27"/>
      <c r="HL30" s="28">
        <f t="shared" si="120"/>
        <v>0</v>
      </c>
      <c r="HM30" s="36"/>
      <c r="HN30" s="27"/>
      <c r="HO30" s="27"/>
      <c r="HP30" s="27"/>
      <c r="HQ30" s="27"/>
      <c r="HR30" s="27"/>
      <c r="HS30" s="27" cm="1">
        <f t="array" ref="HS30">SUMPRODUCT(('Data Base hauling'!$C$2:$C$216="TCM-ROM SB1 BK05-ROM 4")*(ISNUMBER(SEARCH(TEXT('April TCM'!$B30,"00")&amp;"/03/2026",'Data Base hauling'!$E$2:$E$216)))*'Data Base hauling'!$N$2:$N$216)</f>
        <v>0</v>
      </c>
      <c r="HT30" s="27"/>
      <c r="HU30" s="27" cm="1">
        <f t="array" ref="HU30">SUMPRODUCT(('Data Base hauling'!$C$2:$C$216="TCM-ROM SB1 BK05-ROM 5")*(ISNUMBER(SEARCH(TEXT('April TCM'!$B30,"00")&amp;"/03/2026",'Data Base hauling'!$E$2:$E$216)))*'Data Base hauling'!$N$2:$N$216)</f>
        <v>0</v>
      </c>
      <c r="HV30" s="27"/>
      <c r="HW30" s="27"/>
      <c r="HX30" s="27"/>
      <c r="HY30" s="27"/>
      <c r="HZ30" s="27"/>
      <c r="IA30" s="33">
        <f t="shared" si="43"/>
        <v>0</v>
      </c>
      <c r="IB30" s="52"/>
      <c r="IC30" s="152"/>
      <c r="ID30" s="53"/>
      <c r="IE30" s="53"/>
      <c r="IF30" s="53"/>
      <c r="IG30" s="53"/>
      <c r="IH30" s="53">
        <v>0</v>
      </c>
      <c r="II30" s="53"/>
      <c r="IJ30" s="53">
        <v>2721.75</v>
      </c>
      <c r="IK30" s="53"/>
      <c r="IL30" s="53">
        <v>0</v>
      </c>
      <c r="IM30" s="53"/>
      <c r="IN30" s="53"/>
      <c r="IO30" s="49">
        <v>0</v>
      </c>
      <c r="IP30" s="61">
        <f t="shared" si="121"/>
        <v>2721.75</v>
      </c>
      <c r="IQ30" s="36"/>
      <c r="IR30" s="36"/>
      <c r="IS30" s="27"/>
      <c r="IT30" s="27"/>
      <c r="IU30" s="53"/>
      <c r="IV30" s="27"/>
      <c r="IW30" s="27">
        <v>0</v>
      </c>
      <c r="IX30" s="27"/>
      <c r="IY30" s="27">
        <v>4822.08</v>
      </c>
      <c r="IZ30" s="27"/>
      <c r="JA30" s="27">
        <v>0</v>
      </c>
      <c r="JB30" s="27"/>
      <c r="JC30" s="27"/>
      <c r="JD30" s="27"/>
      <c r="JE30" s="33">
        <f t="shared" si="122"/>
        <v>4822.08</v>
      </c>
      <c r="JF30" s="2667"/>
      <c r="JH30" s="2020">
        <v>7543.83</v>
      </c>
      <c r="JI30" s="2021">
        <v>0</v>
      </c>
      <c r="JJ30" s="53"/>
      <c r="JK30" s="53">
        <f t="shared" si="123"/>
        <v>7543.83</v>
      </c>
      <c r="JL30" s="33"/>
      <c r="JM30" s="2669"/>
      <c r="JN30" s="69">
        <v>0</v>
      </c>
      <c r="JO30" s="70">
        <v>0</v>
      </c>
      <c r="JP30" s="70">
        <v>0</v>
      </c>
      <c r="JQ30" s="850">
        <v>0</v>
      </c>
      <c r="JR30" s="850">
        <v>1</v>
      </c>
      <c r="JS30" s="850">
        <v>0</v>
      </c>
      <c r="JT30" s="70">
        <v>0</v>
      </c>
      <c r="JU30" s="1922">
        <v>0</v>
      </c>
      <c r="JV30" s="69" t="s">
        <v>296</v>
      </c>
      <c r="JW30" s="70" t="s">
        <v>296</v>
      </c>
      <c r="JX30" s="70" t="s">
        <v>296</v>
      </c>
      <c r="JY30" s="70" t="s">
        <v>296</v>
      </c>
      <c r="JZ30" s="70" t="s">
        <v>296</v>
      </c>
      <c r="KA30" s="70" t="s">
        <v>296</v>
      </c>
      <c r="KB30" s="70" t="s">
        <v>296</v>
      </c>
      <c r="KC30" s="71" t="s">
        <v>296</v>
      </c>
      <c r="KD30" s="69"/>
      <c r="KE30" s="70"/>
      <c r="KF30" s="70"/>
      <c r="KG30" s="70"/>
      <c r="KH30" s="70"/>
      <c r="KI30" s="70"/>
      <c r="KJ30" s="70"/>
      <c r="KK30" s="70"/>
      <c r="KL30" s="33"/>
      <c r="KM30" s="2669"/>
      <c r="KN30" s="1739">
        <v>7066.912616405154</v>
      </c>
      <c r="KO30" s="1721">
        <v>0.86048092868988402</v>
      </c>
      <c r="KP30" s="1721">
        <v>2.4198456435769873</v>
      </c>
      <c r="KQ30" s="1721">
        <v>6.882115065697155</v>
      </c>
      <c r="KR30" s="1722">
        <v>10.828296224008165</v>
      </c>
      <c r="KS30" s="1958">
        <v>0</v>
      </c>
      <c r="KT30" s="1961">
        <v>0</v>
      </c>
      <c r="KU30" s="1961">
        <v>0</v>
      </c>
      <c r="KV30" s="1961">
        <v>0</v>
      </c>
      <c r="KW30" s="1962">
        <v>0</v>
      </c>
      <c r="KX30" s="36"/>
      <c r="KY30" s="53"/>
      <c r="KZ30" s="53"/>
      <c r="LA30" s="53"/>
      <c r="LB30" s="53"/>
      <c r="LC30" s="33"/>
      <c r="LD30" s="2669"/>
      <c r="LF30" s="4">
        <f t="shared" si="47"/>
        <v>0</v>
      </c>
      <c r="LG30" s="27">
        <f t="shared" si="47"/>
        <v>0</v>
      </c>
      <c r="LH30" s="27">
        <f t="shared" si="47"/>
        <v>0</v>
      </c>
      <c r="LI30" s="28">
        <f t="shared" si="48"/>
        <v>0</v>
      </c>
      <c r="LJ30" s="36"/>
      <c r="LK30" s="27"/>
      <c r="LL30" s="27">
        <v>1</v>
      </c>
      <c r="LM30" s="33"/>
      <c r="LN30" s="1041">
        <v>4.9000000000000004</v>
      </c>
      <c r="LO30" s="486" t="s">
        <v>334</v>
      </c>
      <c r="LP30" s="2688"/>
      <c r="LQ30" s="36"/>
      <c r="LR30" s="36"/>
      <c r="LS30" s="27"/>
      <c r="LT30" s="27"/>
      <c r="LU30" s="27"/>
      <c r="LV30" s="1107">
        <f t="shared" si="49"/>
        <v>0</v>
      </c>
      <c r="LW30" s="36"/>
      <c r="LX30" s="36"/>
      <c r="LY30" s="27"/>
      <c r="LZ30" s="27"/>
      <c r="MA30" s="33"/>
      <c r="MB30" s="28">
        <f t="shared" si="50"/>
        <v>0</v>
      </c>
      <c r="MC30" s="26"/>
      <c r="MD30" s="36"/>
      <c r="ME30" s="27"/>
      <c r="MF30" s="27"/>
      <c r="MG30" s="27"/>
      <c r="MH30" s="28"/>
      <c r="MI30" s="36"/>
      <c r="MJ30" s="36"/>
      <c r="MK30" s="27"/>
      <c r="ML30" s="27"/>
      <c r="MM30" s="27"/>
      <c r="MN30" s="28"/>
      <c r="MO30" s="36"/>
      <c r="MP30" s="36"/>
      <c r="MQ30" s="27"/>
      <c r="MR30" s="27"/>
      <c r="MS30" s="27"/>
      <c r="MT30" s="33">
        <f t="shared" si="51"/>
        <v>0</v>
      </c>
      <c r="MU30" s="2688"/>
      <c r="MW30" s="26">
        <f t="shared" si="52"/>
        <v>152514.7193933063</v>
      </c>
      <c r="MX30" s="27">
        <f t="shared" si="53"/>
        <v>81253.723809620235</v>
      </c>
      <c r="MY30" s="27">
        <f t="shared" si="54"/>
        <v>19727.226980961226</v>
      </c>
      <c r="MZ30" s="28">
        <f t="shared" si="55"/>
        <v>420670.01855851006</v>
      </c>
      <c r="NA30" s="2621"/>
      <c r="NB30" s="23">
        <f t="shared" si="56"/>
        <v>41380.589361311264</v>
      </c>
      <c r="NC30" s="1579">
        <f t="shared" si="57"/>
        <v>111134.13003199502</v>
      </c>
      <c r="ND30" s="60">
        <f t="shared" si="58"/>
        <v>0</v>
      </c>
      <c r="NE30" s="275">
        <f t="shared" si="4"/>
        <v>152514.7193933063</v>
      </c>
      <c r="NF30" s="26">
        <f t="shared" si="126"/>
        <v>0</v>
      </c>
      <c r="NG30" s="27">
        <f t="shared" si="126"/>
        <v>0</v>
      </c>
      <c r="NH30" s="27">
        <f t="shared" si="126"/>
        <v>0</v>
      </c>
      <c r="NI30" s="27">
        <v>0</v>
      </c>
      <c r="NJ30" s="27">
        <f t="shared" si="126"/>
        <v>0</v>
      </c>
      <c r="NK30" s="33">
        <f t="shared" si="126"/>
        <v>0</v>
      </c>
      <c r="NL30" s="27">
        <f t="shared" si="126"/>
        <v>0</v>
      </c>
      <c r="NM30" s="36">
        <f t="shared" si="126"/>
        <v>0</v>
      </c>
      <c r="NN30" s="24">
        <f t="shared" si="126"/>
        <v>13057.630566563144</v>
      </c>
      <c r="NO30" s="27">
        <f t="shared" si="126"/>
        <v>26196.69549600617</v>
      </c>
      <c r="NP30" s="24">
        <f t="shared" si="108"/>
        <v>8756.5482322711578</v>
      </c>
      <c r="NQ30" s="24">
        <f t="shared" si="109"/>
        <v>10054.774118033416</v>
      </c>
      <c r="NR30" s="27">
        <f t="shared" si="0"/>
        <v>58065.648412873881</v>
      </c>
      <c r="NS30" s="27">
        <f t="shared" si="127"/>
        <v>0</v>
      </c>
      <c r="NT30" s="27">
        <f t="shared" si="127"/>
        <v>0</v>
      </c>
      <c r="NU30" s="27">
        <f t="shared" si="127"/>
        <v>0</v>
      </c>
      <c r="NV30" s="27">
        <f t="shared" si="127"/>
        <v>0</v>
      </c>
      <c r="NW30" s="27">
        <f t="shared" si="127"/>
        <v>0</v>
      </c>
      <c r="NX30" s="5">
        <f t="shared" si="127"/>
        <v>0</v>
      </c>
      <c r="NY30" s="27">
        <f t="shared" si="127"/>
        <v>7478.3236022929123</v>
      </c>
      <c r="NZ30" s="27">
        <f t="shared" si="127"/>
        <v>0</v>
      </c>
      <c r="OA30" s="27">
        <f t="shared" si="127"/>
        <v>2598.2580667828288</v>
      </c>
      <c r="OB30" s="27"/>
      <c r="OC30" s="24">
        <f t="shared" si="128"/>
        <v>349.54339982995594</v>
      </c>
      <c r="OD30" s="27">
        <f t="shared" si="128"/>
        <v>0</v>
      </c>
      <c r="OE30" s="28">
        <f t="shared" si="1"/>
        <v>10426.125068905698</v>
      </c>
      <c r="OF30" s="27">
        <f t="shared" si="129"/>
        <v>0</v>
      </c>
      <c r="OG30" s="27">
        <f t="shared" si="129"/>
        <v>0</v>
      </c>
      <c r="OH30" s="27">
        <f t="shared" si="129"/>
        <v>0</v>
      </c>
      <c r="OI30" s="27">
        <f t="shared" si="129"/>
        <v>0</v>
      </c>
      <c r="OJ30" s="27">
        <f t="shared" si="129"/>
        <v>0</v>
      </c>
      <c r="OK30" s="27">
        <f t="shared" si="129"/>
        <v>0</v>
      </c>
      <c r="OL30" s="24">
        <f t="shared" si="129"/>
        <v>0</v>
      </c>
      <c r="OM30" s="27">
        <f t="shared" si="129"/>
        <v>0</v>
      </c>
      <c r="ON30" s="24">
        <f t="shared" si="129"/>
        <v>10762.746218026516</v>
      </c>
      <c r="OO30" s="27">
        <f t="shared" si="129"/>
        <v>0</v>
      </c>
      <c r="OP30" s="27">
        <f t="shared" si="129"/>
        <v>1999.2041098141265</v>
      </c>
      <c r="OQ30" s="27">
        <f t="shared" si="129"/>
        <v>0</v>
      </c>
      <c r="OR30" s="28">
        <f t="shared" si="2"/>
        <v>12761.950327840643</v>
      </c>
      <c r="OS30" s="36"/>
      <c r="OT30" s="27"/>
      <c r="OU30" s="27"/>
      <c r="OV30" s="27"/>
      <c r="OW30" s="27"/>
      <c r="OX30" s="27"/>
      <c r="OY30" s="28">
        <f t="shared" si="63"/>
        <v>0</v>
      </c>
      <c r="OZ30" s="36">
        <f t="shared" si="64"/>
        <v>0</v>
      </c>
      <c r="PA30" s="27">
        <f t="shared" si="65"/>
        <v>0</v>
      </c>
      <c r="PB30" s="27">
        <f t="shared" si="66"/>
        <v>0</v>
      </c>
      <c r="PC30" s="27">
        <f t="shared" si="67"/>
        <v>0</v>
      </c>
      <c r="PD30" s="27">
        <f t="shared" si="68"/>
        <v>0</v>
      </c>
      <c r="PE30" s="27">
        <f t="shared" si="69"/>
        <v>0</v>
      </c>
      <c r="PF30" s="33">
        <f t="shared" si="3"/>
        <v>0</v>
      </c>
      <c r="PG30" s="2621"/>
      <c r="PI30" s="2">
        <v>2066.58</v>
      </c>
      <c r="PJ30" s="3"/>
      <c r="PK30" s="3"/>
      <c r="PL30" s="3">
        <f t="shared" si="70"/>
        <v>0</v>
      </c>
      <c r="PM30" s="3">
        <f t="shared" si="71"/>
        <v>24458.108459344185</v>
      </c>
      <c r="PN30" s="11">
        <f t="shared" si="72"/>
        <v>19727.226980961226</v>
      </c>
      <c r="PO30" s="15"/>
      <c r="PP30" s="2615"/>
      <c r="PR30" s="4"/>
      <c r="PS30" s="9"/>
      <c r="PT30" s="9"/>
      <c r="PU30" s="9"/>
      <c r="PV30" s="9">
        <v>0</v>
      </c>
      <c r="PW30" s="9"/>
      <c r="PX30" s="8">
        <f t="shared" si="73"/>
        <v>0</v>
      </c>
      <c r="PY30" s="5">
        <f t="shared" si="74"/>
        <v>2066.58</v>
      </c>
      <c r="PZ30" s="5"/>
      <c r="QA30" s="5"/>
      <c r="QB30" s="5"/>
      <c r="QC30" s="5"/>
      <c r="QD30" s="5"/>
      <c r="QE30" s="12">
        <f t="shared" si="75"/>
        <v>29562.488999999998</v>
      </c>
      <c r="QF30" s="420">
        <f t="shared" si="76"/>
        <v>389991.50955851004</v>
      </c>
      <c r="QG30" s="1106">
        <f t="shared" si="77"/>
        <v>1116.02</v>
      </c>
      <c r="QH30" s="484">
        <f t="shared" si="78"/>
        <v>5505.3678056099998</v>
      </c>
      <c r="QI30" s="12"/>
      <c r="QJ30" s="2615"/>
      <c r="QL30" s="139">
        <f t="shared" si="79"/>
        <v>0</v>
      </c>
      <c r="QM30" s="139" t="str">
        <f t="shared" si="80"/>
        <v/>
      </c>
      <c r="QO30" s="139">
        <f t="shared" si="81"/>
        <v>0</v>
      </c>
      <c r="QP30" s="139">
        <f t="shared" si="82"/>
        <v>0</v>
      </c>
      <c r="QR30" s="1">
        <f t="shared" si="83"/>
        <v>0</v>
      </c>
      <c r="QS30" s="1">
        <f t="shared" si="84"/>
        <v>0</v>
      </c>
      <c r="QT30" s="1">
        <f t="shared" si="85"/>
        <v>0</v>
      </c>
      <c r="QU30" s="1">
        <f t="shared" si="86"/>
        <v>0</v>
      </c>
      <c r="QV30" s="1">
        <f t="shared" si="87"/>
        <v>0</v>
      </c>
      <c r="QW30" s="1">
        <f t="shared" si="88"/>
        <v>0</v>
      </c>
      <c r="QY30" s="1">
        <f t="shared" si="89"/>
        <v>0</v>
      </c>
      <c r="QZ30" s="1">
        <f t="shared" si="90"/>
        <v>0</v>
      </c>
      <c r="RA30" s="1">
        <f t="shared" si="91"/>
        <v>0</v>
      </c>
      <c r="RB30" s="1">
        <f t="shared" si="92"/>
        <v>0</v>
      </c>
      <c r="RC30" s="1">
        <f t="shared" si="93"/>
        <v>0</v>
      </c>
      <c r="RD30" s="1">
        <f t="shared" si="94"/>
        <v>0</v>
      </c>
      <c r="RG30" s="1">
        <v>21</v>
      </c>
      <c r="RH30" s="1">
        <f t="shared" si="124"/>
        <v>34333.481209717094</v>
      </c>
      <c r="RI30" s="1">
        <f t="shared" si="124"/>
        <v>66832.695780483729</v>
      </c>
      <c r="RJ30" s="1">
        <f t="shared" si="124"/>
        <v>13404.263703387322</v>
      </c>
      <c r="RK30" s="89">
        <f t="shared" si="5"/>
        <v>114570.44069358814</v>
      </c>
      <c r="RL30" s="1033">
        <v>21</v>
      </c>
      <c r="RM30" s="1098">
        <f t="shared" si="96"/>
        <v>0</v>
      </c>
      <c r="RN30" s="1098">
        <f t="shared" si="97"/>
        <v>0</v>
      </c>
      <c r="RO30" s="1097">
        <f t="shared" si="97"/>
        <v>0</v>
      </c>
      <c r="RP30" s="1097">
        <f t="shared" si="98"/>
        <v>6854.6799999999994</v>
      </c>
      <c r="RQ30" s="1109"/>
      <c r="RR30" s="1050" t="s">
        <v>911</v>
      </c>
      <c r="RS30" s="1048"/>
      <c r="RU30" s="421">
        <v>21</v>
      </c>
      <c r="RV30" s="1095">
        <f t="shared" si="99"/>
        <v>7543.83</v>
      </c>
      <c r="RW30" s="1050" t="s">
        <v>912</v>
      </c>
      <c r="RY30" s="1090"/>
      <c r="RZ30" s="1090">
        <f t="shared" si="100"/>
        <v>0</v>
      </c>
      <c r="SA30" s="1090"/>
      <c r="SB30" s="1090">
        <f t="shared" si="101"/>
        <v>0</v>
      </c>
      <c r="SD30" s="1">
        <v>21</v>
      </c>
      <c r="SE30" s="1">
        <f t="shared" si="102"/>
        <v>0</v>
      </c>
    </row>
    <row r="31" spans="1:500" s="1" customFormat="1">
      <c r="B31" s="471">
        <v>22</v>
      </c>
      <c r="C31" s="4">
        <f t="shared" si="6"/>
        <v>126273.8</v>
      </c>
      <c r="D31" s="1590">
        <f t="shared" si="119"/>
        <v>8792.9199999999983</v>
      </c>
      <c r="E31" s="1895">
        <f t="shared" si="7"/>
        <v>14.360849410662217</v>
      </c>
      <c r="F31" s="870"/>
      <c r="G31" s="870"/>
      <c r="H31" s="52">
        <v>25</v>
      </c>
      <c r="I31" s="61">
        <v>7.67</v>
      </c>
      <c r="J31" s="52"/>
      <c r="K31" s="54"/>
      <c r="L31" s="52">
        <v>8.17</v>
      </c>
      <c r="M31" s="61">
        <v>4.96</v>
      </c>
      <c r="N31" s="2629"/>
      <c r="O31" s="4">
        <f t="shared" si="125"/>
        <v>83324</v>
      </c>
      <c r="P31" s="1225">
        <f t="shared" si="8"/>
        <v>5486.98</v>
      </c>
      <c r="Q31" s="1913">
        <f t="shared" si="9"/>
        <v>15.185767033960394</v>
      </c>
      <c r="R31" s="33"/>
      <c r="S31" s="26">
        <f t="shared" si="10"/>
        <v>25927.8</v>
      </c>
      <c r="T31" s="27">
        <f t="shared" si="11"/>
        <v>1845.9399999999998</v>
      </c>
      <c r="U31" s="1909">
        <f t="shared" si="12"/>
        <v>14.045851977854102</v>
      </c>
      <c r="V31" s="28"/>
      <c r="W31" s="26">
        <f t="shared" si="13"/>
        <v>17022</v>
      </c>
      <c r="X31" s="5">
        <f t="shared" si="13"/>
        <v>1460</v>
      </c>
      <c r="Y31" s="325">
        <f t="shared" si="14"/>
        <v>11.658904109589042</v>
      </c>
      <c r="Z31" s="33"/>
      <c r="AA31" s="26">
        <f t="shared" si="15"/>
        <v>0</v>
      </c>
      <c r="AB31" s="27">
        <f t="shared" si="16"/>
        <v>0</v>
      </c>
      <c r="AC31" s="53">
        <f t="shared" si="17"/>
        <v>0</v>
      </c>
      <c r="AD31" s="28"/>
      <c r="AE31" s="36"/>
      <c r="AF31" s="36"/>
      <c r="AG31" s="53">
        <f t="shared" si="18"/>
        <v>0</v>
      </c>
      <c r="AH31" s="28"/>
      <c r="AI31" s="26"/>
      <c r="AJ31" s="27"/>
      <c r="AK31" s="53">
        <f t="shared" si="19"/>
        <v>0</v>
      </c>
      <c r="AL31" s="28"/>
      <c r="AM31" s="2629"/>
      <c r="AN31" s="9"/>
      <c r="AO31" s="5"/>
      <c r="AP31" s="61">
        <f t="shared" si="20"/>
        <v>0</v>
      </c>
      <c r="AQ31" s="36"/>
      <c r="AR31" s="53"/>
      <c r="AS31" s="61">
        <f t="shared" si="21"/>
        <v>0</v>
      </c>
      <c r="AT31" s="36">
        <v>0</v>
      </c>
      <c r="AU31" s="27"/>
      <c r="AV31" s="54">
        <f t="shared" si="22"/>
        <v>0</v>
      </c>
      <c r="AW31" s="26">
        <v>52076</v>
      </c>
      <c r="AX31" s="27">
        <v>4122.4799999999996</v>
      </c>
      <c r="AY31" s="1895">
        <v>12.632201975509888</v>
      </c>
      <c r="AZ31" s="1908"/>
      <c r="BA31" s="1909"/>
      <c r="BB31" s="1895">
        <v>0</v>
      </c>
      <c r="BC31" s="1740">
        <v>31248</v>
      </c>
      <c r="BD31" s="1909">
        <v>1364.5</v>
      </c>
      <c r="BE31" s="1895">
        <v>22.90069622572371</v>
      </c>
      <c r="BF31" s="1908"/>
      <c r="BG31" s="1909"/>
      <c r="BH31" s="1895">
        <v>0</v>
      </c>
      <c r="BI31" s="1908">
        <v>0</v>
      </c>
      <c r="BJ31" s="1909">
        <v>0</v>
      </c>
      <c r="BK31" s="1895">
        <v>0</v>
      </c>
      <c r="BL31" s="1742">
        <v>25927.8</v>
      </c>
      <c r="BM31" s="1909">
        <v>1845.9399999999998</v>
      </c>
      <c r="BN31" s="1911">
        <v>14.045851977854102</v>
      </c>
      <c r="BO31" s="9"/>
      <c r="BP31" s="64"/>
      <c r="BQ31" s="482">
        <v>0</v>
      </c>
      <c r="BR31" s="9"/>
      <c r="BS31" s="64"/>
      <c r="BT31" s="482">
        <v>0</v>
      </c>
      <c r="BU31" s="9">
        <v>17022</v>
      </c>
      <c r="BV31" s="27">
        <v>1460</v>
      </c>
      <c r="BW31" s="15">
        <v>11.658904109589042</v>
      </c>
      <c r="BX31" s="4"/>
      <c r="BY31" s="5"/>
      <c r="BZ31" s="482">
        <f t="shared" si="23"/>
        <v>0</v>
      </c>
      <c r="CA31" s="9"/>
      <c r="CB31" s="5"/>
      <c r="CC31" s="482">
        <f t="shared" si="24"/>
        <v>0</v>
      </c>
      <c r="CD31" s="4"/>
      <c r="CE31" s="5"/>
      <c r="CF31" s="28">
        <f t="shared" si="25"/>
        <v>0</v>
      </c>
      <c r="CG31" s="150"/>
      <c r="CH31" s="1108"/>
      <c r="CI31" s="5"/>
      <c r="CJ31" s="5">
        <v>5101</v>
      </c>
      <c r="CK31" s="5"/>
      <c r="CL31" s="5"/>
      <c r="CM31" s="5">
        <f t="shared" si="26"/>
        <v>5101</v>
      </c>
      <c r="CN31" s="33"/>
      <c r="CO31" s="366"/>
      <c r="CQ31" s="4">
        <f t="shared" si="27"/>
        <v>0</v>
      </c>
      <c r="CR31" s="9">
        <f t="shared" si="27"/>
        <v>0</v>
      </c>
      <c r="CS31" s="5">
        <f t="shared" si="27"/>
        <v>0</v>
      </c>
      <c r="CT31" s="5">
        <f t="shared" ref="CT31:DB40" si="130">SUM(DH31,DU31,EH31)</f>
        <v>0</v>
      </c>
      <c r="CU31" s="5">
        <f t="shared" si="130"/>
        <v>0</v>
      </c>
      <c r="CV31" s="5">
        <f t="shared" si="130"/>
        <v>0</v>
      </c>
      <c r="CW31" s="5">
        <f t="shared" si="130"/>
        <v>245.98</v>
      </c>
      <c r="CX31" s="5">
        <f t="shared" si="130"/>
        <v>0</v>
      </c>
      <c r="CY31" s="5">
        <f t="shared" si="130"/>
        <v>6608.4600000000009</v>
      </c>
      <c r="CZ31" s="5">
        <f t="shared" si="130"/>
        <v>0</v>
      </c>
      <c r="DA31" s="5">
        <f t="shared" si="130"/>
        <v>1938.48</v>
      </c>
      <c r="DB31" s="12">
        <f t="shared" si="130"/>
        <v>0</v>
      </c>
      <c r="DC31" s="310">
        <f t="shared" si="28"/>
        <v>8792.92</v>
      </c>
      <c r="DD31" s="2695"/>
      <c r="DE31" s="8"/>
      <c r="DF31" s="9"/>
      <c r="DG31" s="5"/>
      <c r="DH31" s="5"/>
      <c r="DI31" s="5"/>
      <c r="DJ31" s="5"/>
      <c r="DK31" s="5">
        <v>245.98</v>
      </c>
      <c r="DL31" s="5"/>
      <c r="DM31" s="487">
        <v>3876.5</v>
      </c>
      <c r="DN31" s="5"/>
      <c r="DO31" s="5"/>
      <c r="DP31" s="12"/>
      <c r="DQ31" s="28">
        <f t="shared" si="29"/>
        <v>4122.4799999999996</v>
      </c>
      <c r="DR31" s="36"/>
      <c r="DS31" s="9"/>
      <c r="DT31" s="5"/>
      <c r="DU31" s="5"/>
      <c r="DV31" s="5"/>
      <c r="DW31" s="5"/>
      <c r="DX31" s="27"/>
      <c r="DY31" s="27"/>
      <c r="DZ31" s="27">
        <v>2731.9600000000005</v>
      </c>
      <c r="EA31" s="27"/>
      <c r="EB31" s="27">
        <v>478.48</v>
      </c>
      <c r="EC31" s="33"/>
      <c r="ED31" s="28">
        <f t="shared" si="30"/>
        <v>3210.4400000000005</v>
      </c>
      <c r="EE31" s="9"/>
      <c r="EF31" s="36"/>
      <c r="EG31"/>
      <c r="EH31" s="27"/>
      <c r="EI31" s="27"/>
      <c r="EJ31" s="27"/>
      <c r="EK31" s="27"/>
      <c r="EL31" s="27"/>
      <c r="EM31" s="5"/>
      <c r="EN31" s="5"/>
      <c r="EO31" s="5">
        <v>1460</v>
      </c>
      <c r="EP31" s="33"/>
      <c r="EQ31" s="28">
        <f t="shared" si="31"/>
        <v>1460</v>
      </c>
      <c r="ER31" s="36"/>
      <c r="ES31" s="27"/>
      <c r="ET31" s="27"/>
      <c r="EU31" s="27"/>
      <c r="EV31" s="27"/>
      <c r="EW31" s="27"/>
      <c r="EX31" s="33">
        <f t="shared" si="32"/>
        <v>0</v>
      </c>
      <c r="EY31" s="2685"/>
      <c r="FA31" s="4">
        <f t="shared" si="33"/>
        <v>0</v>
      </c>
      <c r="FB31" s="5">
        <f t="shared" si="34"/>
        <v>0</v>
      </c>
      <c r="FC31" s="5">
        <f t="shared" si="35"/>
        <v>0</v>
      </c>
      <c r="FD31" s="12">
        <f t="shared" si="36"/>
        <v>0</v>
      </c>
      <c r="FE31" s="33"/>
      <c r="FF31" s="2674"/>
      <c r="FG31" s="9"/>
      <c r="FH31" s="5"/>
      <c r="FI31" s="5"/>
      <c r="FJ31" s="5"/>
      <c r="FK31" s="5"/>
      <c r="FL31" s="27"/>
      <c r="FM31" s="28">
        <f t="shared" si="37"/>
        <v>0</v>
      </c>
      <c r="FN31" s="36"/>
      <c r="FO31" s="27"/>
      <c r="FP31" s="27"/>
      <c r="FQ31" s="27"/>
      <c r="FR31" s="27"/>
      <c r="FS31" s="27"/>
      <c r="FT31" s="28">
        <f t="shared" si="38"/>
        <v>0</v>
      </c>
      <c r="FU31" s="36"/>
      <c r="FV31" s="36"/>
      <c r="FW31" s="27"/>
      <c r="FX31" s="27"/>
      <c r="FY31" s="27"/>
      <c r="FZ31" s="27"/>
      <c r="GA31" s="27"/>
      <c r="GB31" s="27"/>
      <c r="GC31" s="27"/>
      <c r="GD31" s="27"/>
      <c r="GE31" s="27"/>
      <c r="GF31" s="33"/>
      <c r="GG31" s="33">
        <f t="shared" si="39"/>
        <v>0</v>
      </c>
      <c r="GH31" s="2674"/>
      <c r="GJ31" s="2">
        <f t="shared" si="105"/>
        <v>0</v>
      </c>
      <c r="GK31" s="63">
        <f t="shared" si="106"/>
        <v>3729.88</v>
      </c>
      <c r="GL31" s="24">
        <f t="shared" si="107"/>
        <v>4440.75</v>
      </c>
      <c r="GM31" s="53">
        <f t="shared" si="40"/>
        <v>8170.63</v>
      </c>
      <c r="GN31" s="141"/>
      <c r="GO31" s="141"/>
      <c r="GP31" s="33"/>
      <c r="GQ31" s="2667"/>
      <c r="GR31" s="1740">
        <v>3523.7</v>
      </c>
      <c r="GS31" s="1736">
        <v>0</v>
      </c>
      <c r="GT31" s="1736">
        <v>1855.89</v>
      </c>
      <c r="GU31" s="1736">
        <v>2791.04</v>
      </c>
      <c r="GV31" s="33">
        <f t="shared" si="41"/>
        <v>8170.63</v>
      </c>
      <c r="GW31" s="2667"/>
      <c r="GX31" s="36"/>
      <c r="GY31" s="36"/>
      <c r="GZ31" s="27"/>
      <c r="HA31" s="27"/>
      <c r="HB31" s="27"/>
      <c r="HC31" s="27"/>
      <c r="HD31" s="27"/>
      <c r="HE31" s="27"/>
      <c r="HF31" s="27">
        <v>0</v>
      </c>
      <c r="HG31" s="27"/>
      <c r="HH31" s="27">
        <v>0</v>
      </c>
      <c r="HI31" s="27"/>
      <c r="HJ31" s="27">
        <v>0</v>
      </c>
      <c r="HK31" s="27"/>
      <c r="HL31" s="28">
        <f t="shared" si="120"/>
        <v>0</v>
      </c>
      <c r="HM31" s="36"/>
      <c r="HN31" s="27"/>
      <c r="HO31" s="27"/>
      <c r="HP31" s="27"/>
      <c r="HQ31" s="27"/>
      <c r="HR31" s="27"/>
      <c r="HS31" s="27" cm="1">
        <f t="array" ref="HS31">SUMPRODUCT(('Data Base hauling'!$C$2:$C$216="TCM-ROM SB1 BK05-ROM 4")*(ISNUMBER(SEARCH(TEXT('April TCM'!$B31,"00")&amp;"/03/2026",'Data Base hauling'!$E$2:$E$216)))*'Data Base hauling'!$N$2:$N$216)</f>
        <v>0</v>
      </c>
      <c r="HT31" s="27"/>
      <c r="HU31" s="27" cm="1">
        <f t="array" ref="HU31">SUMPRODUCT(('Data Base hauling'!$C$2:$C$216="TCM-ROM SB1 BK05-ROM 5")*(ISNUMBER(SEARCH(TEXT('April TCM'!$B31,"00")&amp;"/03/2026",'Data Base hauling'!$E$2:$E$216)))*'Data Base hauling'!$N$2:$N$216)</f>
        <v>0</v>
      </c>
      <c r="HV31" s="27"/>
      <c r="HW31" s="27"/>
      <c r="HX31" s="27"/>
      <c r="HY31" s="27"/>
      <c r="HZ31" s="27"/>
      <c r="IA31" s="33">
        <f t="shared" si="43"/>
        <v>0</v>
      </c>
      <c r="IB31" s="52"/>
      <c r="IC31" s="152"/>
      <c r="ID31" s="53"/>
      <c r="IE31" s="53"/>
      <c r="IF31" s="53"/>
      <c r="IG31" s="53"/>
      <c r="IH31" s="53">
        <v>0</v>
      </c>
      <c r="II31" s="53"/>
      <c r="IJ31" s="53">
        <v>3729.88</v>
      </c>
      <c r="IK31" s="53"/>
      <c r="IL31" s="53">
        <v>0</v>
      </c>
      <c r="IM31" s="53"/>
      <c r="IN31" s="53"/>
      <c r="IO31" s="49">
        <v>0</v>
      </c>
      <c r="IP31" s="61">
        <f t="shared" si="121"/>
        <v>3729.88</v>
      </c>
      <c r="IQ31" s="36"/>
      <c r="IR31" s="36"/>
      <c r="IS31" s="27"/>
      <c r="IT31" s="27"/>
      <c r="IU31" s="53"/>
      <c r="IV31" s="27"/>
      <c r="IW31" s="27">
        <v>0</v>
      </c>
      <c r="IX31" s="27"/>
      <c r="IY31" s="27">
        <v>4440.75</v>
      </c>
      <c r="IZ31" s="27"/>
      <c r="JA31" s="27">
        <v>0</v>
      </c>
      <c r="JB31" s="27"/>
      <c r="JC31" s="27"/>
      <c r="JD31" s="27"/>
      <c r="JE31" s="33">
        <f t="shared" si="122"/>
        <v>4440.75</v>
      </c>
      <c r="JF31" s="2667"/>
      <c r="JH31" s="2020">
        <v>8170.630000000001</v>
      </c>
      <c r="JI31" s="2021">
        <v>0</v>
      </c>
      <c r="JJ31" s="53"/>
      <c r="JK31" s="53">
        <f t="shared" si="123"/>
        <v>8170.630000000001</v>
      </c>
      <c r="JL31" s="33"/>
      <c r="JM31" s="2669"/>
      <c r="JN31" s="69">
        <v>0</v>
      </c>
      <c r="JO31" s="70">
        <v>0</v>
      </c>
      <c r="JP31" s="70">
        <v>0</v>
      </c>
      <c r="JQ31" s="850">
        <v>0</v>
      </c>
      <c r="JR31" s="850">
        <v>1</v>
      </c>
      <c r="JS31" s="850">
        <v>0</v>
      </c>
      <c r="JT31" s="70">
        <v>0</v>
      </c>
      <c r="JU31" s="1922">
        <v>0</v>
      </c>
      <c r="JV31" s="69" t="s">
        <v>296</v>
      </c>
      <c r="JW31" s="70" t="s">
        <v>296</v>
      </c>
      <c r="JX31" s="70" t="s">
        <v>296</v>
      </c>
      <c r="JY31" s="70" t="s">
        <v>296</v>
      </c>
      <c r="JZ31" s="70" t="s">
        <v>296</v>
      </c>
      <c r="KA31" s="70" t="s">
        <v>296</v>
      </c>
      <c r="KB31" s="70" t="s">
        <v>296</v>
      </c>
      <c r="KC31" s="71" t="s">
        <v>296</v>
      </c>
      <c r="KD31" s="69"/>
      <c r="KE31" s="70"/>
      <c r="KF31" s="70"/>
      <c r="KG31" s="70"/>
      <c r="KH31" s="70"/>
      <c r="KI31" s="70"/>
      <c r="KJ31" s="70"/>
      <c r="KK31" s="70"/>
      <c r="KL31" s="33"/>
      <c r="KM31" s="2669"/>
      <c r="KN31" s="1739">
        <v>6860.8293026532046</v>
      </c>
      <c r="KO31" s="1721">
        <v>0.97043907020427334</v>
      </c>
      <c r="KP31" s="1721">
        <v>2.4725686780934488</v>
      </c>
      <c r="KQ31" s="1721">
        <v>7.429560929795727</v>
      </c>
      <c r="KR31" s="1722">
        <v>10.139667997182437</v>
      </c>
      <c r="KS31" s="1958">
        <v>0</v>
      </c>
      <c r="KT31" s="1961">
        <v>0</v>
      </c>
      <c r="KU31" s="1961">
        <v>0</v>
      </c>
      <c r="KV31" s="1961">
        <v>0</v>
      </c>
      <c r="KW31" s="1962">
        <v>0</v>
      </c>
      <c r="KX31" s="36"/>
      <c r="KY31" s="53"/>
      <c r="KZ31" s="53"/>
      <c r="LA31" s="53"/>
      <c r="LB31" s="53"/>
      <c r="LC31" s="33"/>
      <c r="LD31" s="2669"/>
      <c r="LF31" s="4">
        <f t="shared" si="47"/>
        <v>0</v>
      </c>
      <c r="LG31" s="5">
        <f t="shared" si="47"/>
        <v>0</v>
      </c>
      <c r="LH31" s="27">
        <f t="shared" si="47"/>
        <v>0</v>
      </c>
      <c r="LI31" s="28">
        <f t="shared" si="48"/>
        <v>0</v>
      </c>
      <c r="LJ31" s="36"/>
      <c r="LK31" s="27"/>
      <c r="LL31" s="27">
        <v>2</v>
      </c>
      <c r="LM31" s="33"/>
      <c r="LN31" s="1041">
        <v>7.45</v>
      </c>
      <c r="LO31" s="486" t="s">
        <v>913</v>
      </c>
      <c r="LP31" s="2688"/>
      <c r="LQ31" s="36"/>
      <c r="LR31" s="36"/>
      <c r="LS31" s="27"/>
      <c r="LT31" s="27"/>
      <c r="LU31" s="27"/>
      <c r="LV31" s="1107">
        <f t="shared" si="49"/>
        <v>0</v>
      </c>
      <c r="LW31" s="36"/>
      <c r="LX31" s="36"/>
      <c r="LY31" s="27"/>
      <c r="LZ31" s="27"/>
      <c r="MA31" s="33"/>
      <c r="MB31" s="28">
        <f t="shared" si="50"/>
        <v>0</v>
      </c>
      <c r="MC31" s="26"/>
      <c r="MD31" s="36"/>
      <c r="ME31" s="27"/>
      <c r="MF31" s="27"/>
      <c r="MG31" s="27"/>
      <c r="MH31" s="28"/>
      <c r="MI31" s="36"/>
      <c r="MJ31" s="36"/>
      <c r="MK31" s="27"/>
      <c r="ML31" s="27"/>
      <c r="MM31" s="27"/>
      <c r="MN31" s="28"/>
      <c r="MO31" s="36"/>
      <c r="MP31" s="36"/>
      <c r="MQ31" s="27"/>
      <c r="MR31" s="27"/>
      <c r="MS31" s="27"/>
      <c r="MT31" s="33">
        <f t="shared" si="51"/>
        <v>0</v>
      </c>
      <c r="MU31" s="2688"/>
      <c r="MW31" s="26">
        <f t="shared" si="52"/>
        <v>160685.3493933063</v>
      </c>
      <c r="MX31" s="27">
        <f t="shared" si="53"/>
        <v>81876.013809620228</v>
      </c>
      <c r="MY31" s="27">
        <f t="shared" si="54"/>
        <v>19727.226980961226</v>
      </c>
      <c r="MZ31" s="28">
        <f t="shared" si="55"/>
        <v>418817.07855851005</v>
      </c>
      <c r="NA31" s="2621"/>
      <c r="NB31" s="23">
        <f t="shared" si="56"/>
        <v>49551.219361311261</v>
      </c>
      <c r="NC31" s="1579">
        <f t="shared" si="57"/>
        <v>111134.13003199502</v>
      </c>
      <c r="ND31" s="60">
        <f t="shared" si="58"/>
        <v>0</v>
      </c>
      <c r="NE31" s="1110">
        <f t="shared" si="4"/>
        <v>160685.3493933063</v>
      </c>
      <c r="NF31" s="26">
        <f t="shared" si="126"/>
        <v>0</v>
      </c>
      <c r="NG31" s="27">
        <f t="shared" si="126"/>
        <v>0</v>
      </c>
      <c r="NH31" s="27">
        <f t="shared" si="126"/>
        <v>0</v>
      </c>
      <c r="NI31" s="27">
        <f t="shared" si="126"/>
        <v>0</v>
      </c>
      <c r="NJ31" s="27">
        <f t="shared" si="126"/>
        <v>0</v>
      </c>
      <c r="NK31" s="33">
        <f t="shared" si="126"/>
        <v>0</v>
      </c>
      <c r="NL31" s="27">
        <f t="shared" si="126"/>
        <v>0</v>
      </c>
      <c r="NM31" s="36">
        <f t="shared" si="126"/>
        <v>0</v>
      </c>
      <c r="NN31" s="24">
        <f t="shared" si="126"/>
        <v>13057.630566563144</v>
      </c>
      <c r="NO31" s="27">
        <f t="shared" si="126"/>
        <v>26196.69549600617</v>
      </c>
      <c r="NP31" s="24">
        <f t="shared" si="108"/>
        <v>8756.5482322711578</v>
      </c>
      <c r="NQ31" s="24">
        <f t="shared" si="109"/>
        <v>11514.774118033416</v>
      </c>
      <c r="NR31" s="27">
        <f t="shared" si="0"/>
        <v>59525.648412873881</v>
      </c>
      <c r="NS31" s="27">
        <f t="shared" si="127"/>
        <v>0</v>
      </c>
      <c r="NT31" s="27">
        <f t="shared" si="127"/>
        <v>0</v>
      </c>
      <c r="NU31" s="27">
        <f t="shared" si="127"/>
        <v>0</v>
      </c>
      <c r="NV31" s="27">
        <f t="shared" si="127"/>
        <v>0</v>
      </c>
      <c r="NW31" s="27">
        <f t="shared" si="127"/>
        <v>0</v>
      </c>
      <c r="NX31" s="5">
        <f t="shared" si="127"/>
        <v>0</v>
      </c>
      <c r="NY31" s="27">
        <f t="shared" si="127"/>
        <v>7724.3036022929118</v>
      </c>
      <c r="NZ31" s="27">
        <f t="shared" si="127"/>
        <v>0</v>
      </c>
      <c r="OA31" s="27">
        <f t="shared" si="127"/>
        <v>2744.8780667828287</v>
      </c>
      <c r="OB31" s="27"/>
      <c r="OC31" s="24">
        <f t="shared" si="128"/>
        <v>349.54339982995594</v>
      </c>
      <c r="OD31" s="27">
        <f t="shared" si="128"/>
        <v>0</v>
      </c>
      <c r="OE31" s="28">
        <f t="shared" si="1"/>
        <v>10818.725068905696</v>
      </c>
      <c r="OF31" s="27">
        <f t="shared" si="129"/>
        <v>0</v>
      </c>
      <c r="OG31" s="27">
        <f t="shared" si="129"/>
        <v>0</v>
      </c>
      <c r="OH31" s="27">
        <f t="shared" si="129"/>
        <v>0</v>
      </c>
      <c r="OI31" s="27">
        <f t="shared" si="129"/>
        <v>0</v>
      </c>
      <c r="OJ31" s="27">
        <f t="shared" si="129"/>
        <v>0</v>
      </c>
      <c r="OK31" s="27">
        <f t="shared" si="129"/>
        <v>0</v>
      </c>
      <c r="OL31" s="24">
        <f t="shared" si="129"/>
        <v>0</v>
      </c>
      <c r="OM31" s="27">
        <f t="shared" si="129"/>
        <v>0</v>
      </c>
      <c r="ON31" s="24">
        <f t="shared" si="129"/>
        <v>9053.9562180265166</v>
      </c>
      <c r="OO31" s="27">
        <f t="shared" si="129"/>
        <v>0</v>
      </c>
      <c r="OP31" s="27">
        <f t="shared" si="129"/>
        <v>2477.6841098141267</v>
      </c>
      <c r="OQ31" s="27">
        <f t="shared" si="129"/>
        <v>0</v>
      </c>
      <c r="OR31" s="28">
        <f t="shared" si="2"/>
        <v>11531.640327840643</v>
      </c>
      <c r="OS31" s="36"/>
      <c r="OT31" s="27"/>
      <c r="OU31" s="27"/>
      <c r="OV31" s="27"/>
      <c r="OW31" s="27"/>
      <c r="OX31" s="27"/>
      <c r="OY31" s="28">
        <f t="shared" si="63"/>
        <v>0</v>
      </c>
      <c r="OZ31" s="36">
        <f t="shared" si="64"/>
        <v>0</v>
      </c>
      <c r="PA31" s="27">
        <f t="shared" si="65"/>
        <v>0</v>
      </c>
      <c r="PB31" s="27">
        <f t="shared" si="66"/>
        <v>0</v>
      </c>
      <c r="PC31" s="27">
        <f t="shared" si="67"/>
        <v>0</v>
      </c>
      <c r="PD31" s="27">
        <f t="shared" si="68"/>
        <v>0</v>
      </c>
      <c r="PE31" s="27">
        <f t="shared" si="69"/>
        <v>0</v>
      </c>
      <c r="PF31" s="33">
        <f t="shared" si="3"/>
        <v>0</v>
      </c>
      <c r="PG31" s="2621"/>
      <c r="PI31" s="2">
        <v>1852.94</v>
      </c>
      <c r="PJ31" s="3"/>
      <c r="PK31" s="3"/>
      <c r="PL31" s="3">
        <f t="shared" si="70"/>
        <v>0</v>
      </c>
      <c r="PM31" s="3">
        <f t="shared" si="71"/>
        <v>26311.048459344183</v>
      </c>
      <c r="PN31" s="11">
        <f t="shared" si="72"/>
        <v>19727.226980961226</v>
      </c>
      <c r="PO31" s="15"/>
      <c r="PP31" s="2615"/>
      <c r="PR31" s="4"/>
      <c r="PS31" s="9"/>
      <c r="PT31" s="9"/>
      <c r="PU31" s="9"/>
      <c r="PV31" s="9">
        <v>0</v>
      </c>
      <c r="PW31" s="9"/>
      <c r="PX31" s="8">
        <f t="shared" si="73"/>
        <v>0</v>
      </c>
      <c r="PY31" s="5">
        <f t="shared" si="74"/>
        <v>1852.94</v>
      </c>
      <c r="PZ31" s="5"/>
      <c r="QA31" s="5"/>
      <c r="QB31" s="5"/>
      <c r="QC31" s="5"/>
      <c r="QD31" s="5"/>
      <c r="QE31" s="12">
        <f t="shared" si="75"/>
        <v>29562.488999999998</v>
      </c>
      <c r="QF31" s="420">
        <f t="shared" si="76"/>
        <v>388138.56955851003</v>
      </c>
      <c r="QG31" s="1106">
        <f t="shared" si="77"/>
        <v>1116.02</v>
      </c>
      <c r="QH31" s="484">
        <f t="shared" si="78"/>
        <v>5505.3678056099998</v>
      </c>
      <c r="QI31" s="12"/>
      <c r="QJ31" s="2615"/>
      <c r="QL31" s="139">
        <f t="shared" si="79"/>
        <v>0</v>
      </c>
      <c r="QM31" s="139" t="str">
        <f t="shared" si="80"/>
        <v/>
      </c>
      <c r="QO31" s="139">
        <f t="shared" si="81"/>
        <v>0</v>
      </c>
      <c r="QP31" s="139">
        <f t="shared" si="82"/>
        <v>0</v>
      </c>
      <c r="QR31" s="1">
        <f t="shared" si="83"/>
        <v>0</v>
      </c>
      <c r="QS31" s="1">
        <f t="shared" si="84"/>
        <v>0</v>
      </c>
      <c r="QT31" s="1">
        <f t="shared" si="85"/>
        <v>0</v>
      </c>
      <c r="QU31" s="1">
        <f t="shared" si="86"/>
        <v>0</v>
      </c>
      <c r="QV31" s="1">
        <f t="shared" si="87"/>
        <v>0</v>
      </c>
      <c r="QW31" s="1">
        <f t="shared" si="88"/>
        <v>0</v>
      </c>
      <c r="QY31" s="1">
        <f t="shared" si="89"/>
        <v>0</v>
      </c>
      <c r="QZ31" s="1">
        <f t="shared" si="90"/>
        <v>0</v>
      </c>
      <c r="RA31" s="1">
        <f t="shared" si="91"/>
        <v>0</v>
      </c>
      <c r="RB31" s="1">
        <f t="shared" si="92"/>
        <v>0</v>
      </c>
      <c r="RC31" s="1">
        <f t="shared" si="93"/>
        <v>0</v>
      </c>
      <c r="RD31" s="1">
        <f t="shared" si="94"/>
        <v>0</v>
      </c>
      <c r="RG31" s="1">
        <v>22</v>
      </c>
      <c r="RH31" s="1">
        <f t="shared" si="124"/>
        <v>42504.111209717099</v>
      </c>
      <c r="RI31" s="1">
        <f t="shared" si="124"/>
        <v>66832.695780483729</v>
      </c>
      <c r="RJ31" s="1">
        <f t="shared" si="124"/>
        <v>13404.263703387322</v>
      </c>
      <c r="RK31" s="89">
        <f t="shared" si="5"/>
        <v>122741.07069358815</v>
      </c>
      <c r="RL31" s="1033">
        <v>22</v>
      </c>
      <c r="RM31" s="1098">
        <f t="shared" si="96"/>
        <v>0</v>
      </c>
      <c r="RN31" s="1098">
        <f t="shared" si="97"/>
        <v>0</v>
      </c>
      <c r="RO31" s="1097">
        <f t="shared" si="97"/>
        <v>0</v>
      </c>
      <c r="RP31" s="1097">
        <f t="shared" si="98"/>
        <v>7332.9199999999992</v>
      </c>
      <c r="RQ31" s="1109"/>
      <c r="RR31" s="1109" t="s">
        <v>914</v>
      </c>
      <c r="RS31" s="1048"/>
      <c r="RU31" s="421">
        <v>22</v>
      </c>
      <c r="RV31" s="1095">
        <f t="shared" si="99"/>
        <v>8170.63</v>
      </c>
      <c r="RW31" s="1046" t="s">
        <v>915</v>
      </c>
      <c r="RY31" s="1090"/>
      <c r="RZ31" s="1090">
        <f t="shared" si="100"/>
        <v>0</v>
      </c>
      <c r="SA31" s="1090"/>
      <c r="SB31" s="1090">
        <f t="shared" si="101"/>
        <v>0</v>
      </c>
      <c r="SD31" s="1">
        <v>22</v>
      </c>
      <c r="SE31" s="1">
        <f t="shared" si="102"/>
        <v>0</v>
      </c>
    </row>
    <row r="32" spans="1:500" s="1" customFormat="1">
      <c r="B32" s="471">
        <v>23</v>
      </c>
      <c r="C32" s="4">
        <f t="shared" si="6"/>
        <v>160537</v>
      </c>
      <c r="D32" s="1590">
        <f t="shared" si="119"/>
        <v>9605.7000000000007</v>
      </c>
      <c r="E32" s="1895">
        <f t="shared" si="7"/>
        <v>16.712681012315603</v>
      </c>
      <c r="F32" s="870"/>
      <c r="G32" s="870"/>
      <c r="H32" s="52">
        <v>5</v>
      </c>
      <c r="I32" s="61">
        <v>3.13</v>
      </c>
      <c r="J32" s="52"/>
      <c r="K32" s="54"/>
      <c r="L32" s="52">
        <v>6</v>
      </c>
      <c r="M32" s="61">
        <v>0.98</v>
      </c>
      <c r="N32" s="2629"/>
      <c r="O32" s="4">
        <f t="shared" si="125"/>
        <v>107528</v>
      </c>
      <c r="P32" s="1225">
        <f t="shared" si="8"/>
        <v>5515.2000000000007</v>
      </c>
      <c r="Q32" s="1913">
        <f t="shared" si="9"/>
        <v>19.496663765593269</v>
      </c>
      <c r="R32" s="33"/>
      <c r="S32" s="26">
        <f t="shared" si="10"/>
        <v>31691</v>
      </c>
      <c r="T32" s="27">
        <f t="shared" si="11"/>
        <v>1870.5</v>
      </c>
      <c r="U32" s="1909">
        <f t="shared" si="12"/>
        <v>16.942528735632184</v>
      </c>
      <c r="V32" s="28"/>
      <c r="W32" s="26">
        <f t="shared" si="13"/>
        <v>21318</v>
      </c>
      <c r="X32" s="5">
        <f t="shared" si="13"/>
        <v>2220</v>
      </c>
      <c r="Y32" s="325">
        <f t="shared" si="14"/>
        <v>9.6027027027027021</v>
      </c>
      <c r="Z32" s="33"/>
      <c r="AA32" s="26">
        <f t="shared" si="15"/>
        <v>0</v>
      </c>
      <c r="AB32" s="27">
        <f t="shared" si="16"/>
        <v>0</v>
      </c>
      <c r="AC32" s="53">
        <f t="shared" si="17"/>
        <v>0</v>
      </c>
      <c r="AD32" s="28"/>
      <c r="AE32" s="36"/>
      <c r="AF32" s="36"/>
      <c r="AG32" s="53">
        <f t="shared" si="18"/>
        <v>0</v>
      </c>
      <c r="AH32" s="28"/>
      <c r="AI32" s="23"/>
      <c r="AJ32" s="27"/>
      <c r="AK32" s="53">
        <f t="shared" si="19"/>
        <v>0</v>
      </c>
      <c r="AL32" s="28"/>
      <c r="AM32" s="2629"/>
      <c r="AN32" s="9"/>
      <c r="AO32" s="5"/>
      <c r="AP32" s="61">
        <f t="shared" si="20"/>
        <v>0</v>
      </c>
      <c r="AQ32" s="36"/>
      <c r="AR32" s="53"/>
      <c r="AS32" s="61">
        <f t="shared" si="21"/>
        <v>0</v>
      </c>
      <c r="AT32" s="36">
        <v>0</v>
      </c>
      <c r="AU32" s="27"/>
      <c r="AV32" s="54">
        <f t="shared" si="22"/>
        <v>0</v>
      </c>
      <c r="AW32" s="26">
        <v>63386</v>
      </c>
      <c r="AX32" s="27">
        <v>5479.02</v>
      </c>
      <c r="AY32" s="1895">
        <v>11.568857204390564</v>
      </c>
      <c r="AZ32" s="1908"/>
      <c r="BA32" s="1909"/>
      <c r="BB32" s="1895">
        <v>0</v>
      </c>
      <c r="BC32" s="1740">
        <v>44142</v>
      </c>
      <c r="BD32" s="1909">
        <v>36.18</v>
      </c>
      <c r="BE32" s="1895">
        <v>1220.0663349917081</v>
      </c>
      <c r="BF32" s="1908"/>
      <c r="BG32" s="1909"/>
      <c r="BH32" s="1895">
        <v>0</v>
      </c>
      <c r="BI32" s="1908">
        <v>0</v>
      </c>
      <c r="BJ32" s="1909">
        <v>0</v>
      </c>
      <c r="BK32" s="1895">
        <v>0</v>
      </c>
      <c r="BL32" s="1742">
        <v>31691</v>
      </c>
      <c r="BM32" s="1909">
        <v>1870.5</v>
      </c>
      <c r="BN32" s="1911">
        <v>16.942528735632184</v>
      </c>
      <c r="BO32" s="9"/>
      <c r="BP32" s="64"/>
      <c r="BQ32" s="482">
        <v>0</v>
      </c>
      <c r="BR32" s="9"/>
      <c r="BS32" s="64"/>
      <c r="BT32" s="482">
        <v>0</v>
      </c>
      <c r="BU32" s="9">
        <v>21318</v>
      </c>
      <c r="BV32" s="5">
        <v>2220</v>
      </c>
      <c r="BW32" s="15">
        <v>9.6027027027027021</v>
      </c>
      <c r="BX32" s="4"/>
      <c r="BY32" s="5"/>
      <c r="BZ32" s="482">
        <f t="shared" si="23"/>
        <v>0</v>
      </c>
      <c r="CA32" s="9"/>
      <c r="CB32" s="5"/>
      <c r="CC32" s="482">
        <f t="shared" si="24"/>
        <v>0</v>
      </c>
      <c r="CD32" s="4"/>
      <c r="CE32" s="5"/>
      <c r="CF32" s="28">
        <f t="shared" si="25"/>
        <v>0</v>
      </c>
      <c r="CG32" s="150"/>
      <c r="CH32" s="1108"/>
      <c r="CI32" s="5"/>
      <c r="CJ32" s="5">
        <v>7632</v>
      </c>
      <c r="CK32" s="5"/>
      <c r="CL32" s="5"/>
      <c r="CM32" s="5">
        <f t="shared" si="26"/>
        <v>7632</v>
      </c>
      <c r="CN32" s="33"/>
      <c r="CO32" s="368"/>
      <c r="CQ32" s="4">
        <f t="shared" ref="CQ32:CS40" si="131">SUM(DE32,DR32,EE32)</f>
        <v>0</v>
      </c>
      <c r="CR32" s="9">
        <f t="shared" si="131"/>
        <v>0</v>
      </c>
      <c r="CS32" s="5">
        <f t="shared" si="131"/>
        <v>0</v>
      </c>
      <c r="CT32" s="5">
        <f t="shared" si="130"/>
        <v>0</v>
      </c>
      <c r="CU32" s="5">
        <f t="shared" si="130"/>
        <v>0</v>
      </c>
      <c r="CV32" s="5">
        <f t="shared" si="130"/>
        <v>0</v>
      </c>
      <c r="CW32" s="5">
        <f t="shared" si="130"/>
        <v>272.84000000000003</v>
      </c>
      <c r="CX32" s="5">
        <f t="shared" si="130"/>
        <v>0</v>
      </c>
      <c r="CY32" s="5">
        <f t="shared" si="130"/>
        <v>7596.68</v>
      </c>
      <c r="CZ32" s="5">
        <f t="shared" si="130"/>
        <v>0</v>
      </c>
      <c r="DA32" s="5">
        <f t="shared" si="130"/>
        <v>1736.18</v>
      </c>
      <c r="DB32" s="12">
        <f t="shared" si="130"/>
        <v>0</v>
      </c>
      <c r="DC32" s="310">
        <f>SUM(CQ32:DB32,PV32,PW32,)</f>
        <v>9605.7000000000007</v>
      </c>
      <c r="DD32" s="2695"/>
      <c r="DE32" s="8"/>
      <c r="DF32" s="9"/>
      <c r="DG32" s="5"/>
      <c r="DH32" s="5"/>
      <c r="DI32" s="5"/>
      <c r="DJ32" s="5"/>
      <c r="DK32" s="5">
        <v>272.84000000000003</v>
      </c>
      <c r="DL32" s="12"/>
      <c r="DM32" s="487">
        <v>5206.18</v>
      </c>
      <c r="DN32" s="9"/>
      <c r="DO32" s="5"/>
      <c r="DP32" s="12"/>
      <c r="DQ32" s="28">
        <f t="shared" si="29"/>
        <v>5479.02</v>
      </c>
      <c r="DR32" s="36"/>
      <c r="DS32" s="9"/>
      <c r="DT32" s="5"/>
      <c r="DU32" s="5"/>
      <c r="DV32" s="5"/>
      <c r="DW32" s="5"/>
      <c r="DX32" s="27"/>
      <c r="DY32" s="27"/>
      <c r="DZ32" s="27">
        <v>1870.5</v>
      </c>
      <c r="EA32" s="27"/>
      <c r="EB32" s="27">
        <v>36.18</v>
      </c>
      <c r="EC32" s="33"/>
      <c r="ED32" s="28">
        <f t="shared" si="30"/>
        <v>1906.68</v>
      </c>
      <c r="EE32" s="9"/>
      <c r="EF32" s="36"/>
      <c r="EG32" s="27"/>
      <c r="EH32" s="27"/>
      <c r="EI32" s="27"/>
      <c r="EJ32" s="27"/>
      <c r="EK32" s="27"/>
      <c r="EL32" s="27"/>
      <c r="EM32" s="5">
        <v>520</v>
      </c>
      <c r="EN32" s="5"/>
      <c r="EO32" s="5">
        <v>1700</v>
      </c>
      <c r="EP32" s="33"/>
      <c r="EQ32" s="28">
        <f t="shared" si="31"/>
        <v>2220</v>
      </c>
      <c r="ER32" s="36"/>
      <c r="ES32" s="27"/>
      <c r="ET32" s="27"/>
      <c r="EU32" s="27"/>
      <c r="EV32" s="27"/>
      <c r="EW32" s="27"/>
      <c r="EX32" s="33">
        <f t="shared" si="32"/>
        <v>0</v>
      </c>
      <c r="EY32" s="2685"/>
      <c r="FA32" s="4">
        <f t="shared" si="33"/>
        <v>0</v>
      </c>
      <c r="FB32" s="5">
        <f t="shared" si="34"/>
        <v>0</v>
      </c>
      <c r="FC32" s="5">
        <f t="shared" si="35"/>
        <v>0</v>
      </c>
      <c r="FD32" s="12">
        <f t="shared" si="36"/>
        <v>0</v>
      </c>
      <c r="FE32" s="33"/>
      <c r="FF32" s="2674"/>
      <c r="FG32" s="9"/>
      <c r="FH32" s="5"/>
      <c r="FI32" s="5"/>
      <c r="FJ32" s="5"/>
      <c r="FK32" s="5"/>
      <c r="FL32" s="27"/>
      <c r="FM32" s="28">
        <f t="shared" si="37"/>
        <v>0</v>
      </c>
      <c r="FN32" s="36"/>
      <c r="FO32" s="27"/>
      <c r="FP32" s="27"/>
      <c r="FQ32" s="27"/>
      <c r="FR32" s="27"/>
      <c r="FS32" s="27"/>
      <c r="FT32" s="28">
        <f t="shared" si="38"/>
        <v>0</v>
      </c>
      <c r="FU32" s="36"/>
      <c r="FV32" s="36"/>
      <c r="FW32" s="27"/>
      <c r="FX32" s="27"/>
      <c r="FY32" s="27"/>
      <c r="FZ32" s="27"/>
      <c r="GA32" s="27"/>
      <c r="GB32" s="27"/>
      <c r="GC32" s="27"/>
      <c r="GD32" s="27"/>
      <c r="GE32" s="27"/>
      <c r="GF32" s="33"/>
      <c r="GG32" s="33">
        <f t="shared" si="39"/>
        <v>0</v>
      </c>
      <c r="GH32" s="2674"/>
      <c r="GJ32" s="2">
        <f t="shared" si="105"/>
        <v>0</v>
      </c>
      <c r="GK32" s="63">
        <f t="shared" si="106"/>
        <v>2801.0099999999998</v>
      </c>
      <c r="GL32" s="24">
        <f t="shared" si="107"/>
        <v>2650.64</v>
      </c>
      <c r="GM32" s="53">
        <f t="shared" si="40"/>
        <v>5451.65</v>
      </c>
      <c r="GN32" s="141"/>
      <c r="GO32" s="141"/>
      <c r="GP32" s="33"/>
      <c r="GQ32" s="2667"/>
      <c r="GR32" s="1740">
        <v>2386.35</v>
      </c>
      <c r="GS32" s="1736">
        <v>0</v>
      </c>
      <c r="GT32" s="1736">
        <v>1325.7099999999998</v>
      </c>
      <c r="GU32" s="1736">
        <v>1739.5899999999997</v>
      </c>
      <c r="GV32" s="33">
        <f t="shared" si="41"/>
        <v>5451.65</v>
      </c>
      <c r="GW32" s="2667"/>
      <c r="GX32" s="36"/>
      <c r="GY32" s="36"/>
      <c r="GZ32" s="27"/>
      <c r="HA32" s="27"/>
      <c r="HB32" s="27"/>
      <c r="HC32" s="27"/>
      <c r="HD32" s="27"/>
      <c r="HE32" s="27"/>
      <c r="HF32" s="27">
        <v>0</v>
      </c>
      <c r="HG32" s="27"/>
      <c r="HH32" s="27">
        <v>0</v>
      </c>
      <c r="HI32" s="27"/>
      <c r="HJ32" s="27">
        <v>0</v>
      </c>
      <c r="HK32" s="27"/>
      <c r="HL32" s="28">
        <f t="shared" si="120"/>
        <v>0</v>
      </c>
      <c r="HM32" s="36"/>
      <c r="HN32" s="27"/>
      <c r="HO32" s="27"/>
      <c r="HP32" s="27"/>
      <c r="HQ32" s="27"/>
      <c r="HR32" s="27"/>
      <c r="HS32" s="27" cm="1">
        <f t="array" ref="HS32">SUMPRODUCT(('Data Base hauling'!$C$2:$C$216="TCM-ROM SB1 BK05-ROM 4")*(ISNUMBER(SEARCH(TEXT('April TCM'!$B32,"00")&amp;"/03/2026",'Data Base hauling'!$E$2:$E$216)))*'Data Base hauling'!$N$2:$N$216)</f>
        <v>0</v>
      </c>
      <c r="HT32" s="27"/>
      <c r="HU32" s="27" cm="1">
        <f t="array" ref="HU32">SUMPRODUCT(('Data Base hauling'!$C$2:$C$216="TCM-ROM SB1 BK05-ROM 5")*(ISNUMBER(SEARCH(TEXT('April TCM'!$B32,"00")&amp;"/03/2026",'Data Base hauling'!$E$2:$E$216)))*'Data Base hauling'!$N$2:$N$216)</f>
        <v>0</v>
      </c>
      <c r="HV32" s="27"/>
      <c r="HW32" s="27"/>
      <c r="HX32" s="27"/>
      <c r="HY32" s="27"/>
      <c r="HZ32" s="27"/>
      <c r="IA32" s="33">
        <f t="shared" si="43"/>
        <v>0</v>
      </c>
      <c r="IB32" s="52"/>
      <c r="IC32" s="152"/>
      <c r="ID32" s="53"/>
      <c r="IE32" s="53"/>
      <c r="IF32" s="53"/>
      <c r="IG32" s="53"/>
      <c r="IH32" s="53">
        <v>0</v>
      </c>
      <c r="II32" s="53"/>
      <c r="IJ32" s="53">
        <v>2801.0099999999998</v>
      </c>
      <c r="IK32" s="53"/>
      <c r="IL32" s="53">
        <v>0</v>
      </c>
      <c r="IM32" s="53"/>
      <c r="IN32" s="53"/>
      <c r="IO32" s="49">
        <v>0</v>
      </c>
      <c r="IP32" s="61">
        <f t="shared" si="121"/>
        <v>2801.0099999999998</v>
      </c>
      <c r="IQ32" s="36"/>
      <c r="IR32" s="36"/>
      <c r="IS32" s="27"/>
      <c r="IT32" s="27"/>
      <c r="IU32" s="53"/>
      <c r="IV32" s="27"/>
      <c r="IW32" s="27">
        <v>0</v>
      </c>
      <c r="IX32" s="27"/>
      <c r="IY32" s="27">
        <v>2650.64</v>
      </c>
      <c r="IZ32" s="27"/>
      <c r="JA32" s="27">
        <v>0</v>
      </c>
      <c r="JB32" s="27"/>
      <c r="JC32" s="27"/>
      <c r="JD32" s="27"/>
      <c r="JE32" s="33">
        <f t="shared" si="122"/>
        <v>2650.64</v>
      </c>
      <c r="JF32" s="2667"/>
      <c r="JH32" s="2020">
        <v>5451.65</v>
      </c>
      <c r="JI32" s="2021">
        <v>0</v>
      </c>
      <c r="JJ32" s="53"/>
      <c r="JK32" s="53">
        <f t="shared" si="123"/>
        <v>5451.65</v>
      </c>
      <c r="JL32" s="33"/>
      <c r="JM32" s="2669"/>
      <c r="JN32" s="69">
        <v>0</v>
      </c>
      <c r="JO32" s="70">
        <v>0</v>
      </c>
      <c r="JP32" s="70">
        <v>0</v>
      </c>
      <c r="JQ32" s="850">
        <v>0</v>
      </c>
      <c r="JR32" s="850">
        <v>1</v>
      </c>
      <c r="JS32" s="850">
        <v>0</v>
      </c>
      <c r="JT32" s="70">
        <v>0</v>
      </c>
      <c r="JU32" s="1922">
        <v>0</v>
      </c>
      <c r="JV32" s="69" t="s">
        <v>296</v>
      </c>
      <c r="JW32" s="70" t="s">
        <v>296</v>
      </c>
      <c r="JX32" s="70" t="s">
        <v>296</v>
      </c>
      <c r="JY32" s="70" t="s">
        <v>296</v>
      </c>
      <c r="JZ32" s="70" t="s">
        <v>296</v>
      </c>
      <c r="KA32" s="70" t="s">
        <v>296</v>
      </c>
      <c r="KB32" s="70" t="s">
        <v>296</v>
      </c>
      <c r="KC32" s="71" t="s">
        <v>296</v>
      </c>
      <c r="KD32" s="69"/>
      <c r="KE32" s="70"/>
      <c r="KF32" s="70"/>
      <c r="KG32" s="70"/>
      <c r="KH32" s="70"/>
      <c r="KI32" s="70"/>
      <c r="KJ32" s="70"/>
      <c r="KK32" s="70"/>
      <c r="KL32" s="33"/>
      <c r="KM32" s="2669"/>
      <c r="KN32" s="1739">
        <v>6993</v>
      </c>
      <c r="KO32" s="1721">
        <v>0.82</v>
      </c>
      <c r="KP32" s="1721">
        <v>4.62</v>
      </c>
      <c r="KQ32" s="1721">
        <v>6.3199999999999994</v>
      </c>
      <c r="KR32" s="1722">
        <v>11.734704000000001</v>
      </c>
      <c r="KS32" s="1958">
        <v>0</v>
      </c>
      <c r="KT32" s="1961">
        <v>0</v>
      </c>
      <c r="KU32" s="1961">
        <v>0</v>
      </c>
      <c r="KV32" s="1961">
        <v>0</v>
      </c>
      <c r="KW32" s="1962">
        <v>0</v>
      </c>
      <c r="KX32" s="36"/>
      <c r="KY32" s="53"/>
      <c r="KZ32" s="53"/>
      <c r="LA32" s="53"/>
      <c r="LB32" s="53"/>
      <c r="LC32" s="33"/>
      <c r="LD32" s="2669"/>
      <c r="LF32" s="4">
        <f t="shared" si="47"/>
        <v>0</v>
      </c>
      <c r="LG32" s="5">
        <f t="shared" si="47"/>
        <v>0</v>
      </c>
      <c r="LH32" s="27">
        <f t="shared" si="47"/>
        <v>0</v>
      </c>
      <c r="LI32" s="28">
        <f t="shared" si="48"/>
        <v>0</v>
      </c>
      <c r="LJ32" s="36"/>
      <c r="LK32" s="27"/>
      <c r="LL32" s="27">
        <v>2</v>
      </c>
      <c r="LM32" s="33"/>
      <c r="LN32" s="1041">
        <v>8.9499999999999993</v>
      </c>
      <c r="LO32" s="486" t="s">
        <v>334</v>
      </c>
      <c r="LP32" s="2688"/>
      <c r="LQ32" s="36"/>
      <c r="LR32" s="36"/>
      <c r="LS32" s="27"/>
      <c r="LT32" s="27"/>
      <c r="LU32" s="27"/>
      <c r="LV32" s="1107">
        <f t="shared" si="49"/>
        <v>0</v>
      </c>
      <c r="LW32" s="36"/>
      <c r="LX32" s="36"/>
      <c r="LY32" s="27"/>
      <c r="LZ32" s="27"/>
      <c r="MA32" s="33"/>
      <c r="MB32" s="28">
        <f t="shared" si="50"/>
        <v>0</v>
      </c>
      <c r="MC32" s="26"/>
      <c r="MD32" s="36"/>
      <c r="ME32" s="27"/>
      <c r="MF32" s="27"/>
      <c r="MG32" s="27"/>
      <c r="MH32" s="28"/>
      <c r="MI32" s="36"/>
      <c r="MJ32" s="36"/>
      <c r="MK32" s="27"/>
      <c r="ML32" s="27"/>
      <c r="MM32" s="27"/>
      <c r="MN32" s="28"/>
      <c r="MO32" s="36"/>
      <c r="MP32" s="36"/>
      <c r="MQ32" s="27"/>
      <c r="MR32" s="27"/>
      <c r="MS32" s="27"/>
      <c r="MT32" s="33">
        <f t="shared" si="51"/>
        <v>0</v>
      </c>
      <c r="MU32" s="2688"/>
      <c r="MW32" s="26">
        <f t="shared" si="52"/>
        <v>166136.99939330629</v>
      </c>
      <c r="MX32" s="27">
        <f t="shared" si="53"/>
        <v>86030.063809620216</v>
      </c>
      <c r="MY32" s="27">
        <f t="shared" si="54"/>
        <v>19727.226980961226</v>
      </c>
      <c r="MZ32" s="28">
        <f t="shared" si="55"/>
        <v>417696.19855851005</v>
      </c>
      <c r="NA32" s="2621"/>
      <c r="NB32" s="23">
        <f t="shared" si="56"/>
        <v>55002.869361311263</v>
      </c>
      <c r="NC32" s="1579">
        <f t="shared" si="57"/>
        <v>111134.13003199502</v>
      </c>
      <c r="ND32" s="60">
        <f t="shared" si="58"/>
        <v>0</v>
      </c>
      <c r="NE32" s="275">
        <f t="shared" si="4"/>
        <v>166136.99939330629</v>
      </c>
      <c r="NF32" s="26">
        <f t="shared" si="126"/>
        <v>0</v>
      </c>
      <c r="NG32" s="27">
        <f t="shared" si="126"/>
        <v>0</v>
      </c>
      <c r="NH32" s="27">
        <f t="shared" si="126"/>
        <v>0</v>
      </c>
      <c r="NI32" s="27">
        <f t="shared" si="126"/>
        <v>0</v>
      </c>
      <c r="NJ32" s="27">
        <f t="shared" si="126"/>
        <v>0</v>
      </c>
      <c r="NK32" s="33">
        <f t="shared" si="126"/>
        <v>0</v>
      </c>
      <c r="NL32" s="27">
        <f t="shared" si="126"/>
        <v>0</v>
      </c>
      <c r="NM32" s="36">
        <f t="shared" si="126"/>
        <v>0</v>
      </c>
      <c r="NN32" s="24">
        <f t="shared" si="126"/>
        <v>13577.630566563144</v>
      </c>
      <c r="NO32" s="27">
        <f t="shared" si="126"/>
        <v>26196.69549600617</v>
      </c>
      <c r="NP32" s="24">
        <f t="shared" si="108"/>
        <v>8756.5482322711578</v>
      </c>
      <c r="NQ32" s="24">
        <f t="shared" si="109"/>
        <v>13214.774118033416</v>
      </c>
      <c r="NR32" s="27">
        <f t="shared" si="0"/>
        <v>61745.648412873881</v>
      </c>
      <c r="NS32" s="27">
        <f t="shared" si="127"/>
        <v>0</v>
      </c>
      <c r="NT32" s="27">
        <f t="shared" si="127"/>
        <v>0</v>
      </c>
      <c r="NU32" s="27">
        <f t="shared" si="127"/>
        <v>0</v>
      </c>
      <c r="NV32" s="27">
        <f t="shared" si="127"/>
        <v>0</v>
      </c>
      <c r="NW32" s="27">
        <f t="shared" si="127"/>
        <v>0</v>
      </c>
      <c r="NX32" s="5">
        <f t="shared" si="127"/>
        <v>0</v>
      </c>
      <c r="NY32" s="27">
        <f t="shared" si="127"/>
        <v>7997.143602292912</v>
      </c>
      <c r="NZ32" s="27">
        <f t="shared" si="127"/>
        <v>0</v>
      </c>
      <c r="OA32" s="27">
        <f t="shared" si="127"/>
        <v>5150.0480667828288</v>
      </c>
      <c r="OB32" s="27"/>
      <c r="OC32" s="24">
        <f t="shared" si="128"/>
        <v>349.54339982995594</v>
      </c>
      <c r="OD32" s="27">
        <f t="shared" si="128"/>
        <v>0</v>
      </c>
      <c r="OE32" s="28">
        <f t="shared" si="1"/>
        <v>13496.735068905697</v>
      </c>
      <c r="OF32" s="27">
        <f t="shared" si="129"/>
        <v>0</v>
      </c>
      <c r="OG32" s="27">
        <f t="shared" si="129"/>
        <v>0</v>
      </c>
      <c r="OH32" s="27">
        <f t="shared" si="129"/>
        <v>0</v>
      </c>
      <c r="OI32" s="27">
        <f t="shared" si="129"/>
        <v>0</v>
      </c>
      <c r="OJ32" s="27">
        <f t="shared" si="129"/>
        <v>0</v>
      </c>
      <c r="OK32" s="27">
        <f t="shared" si="129"/>
        <v>0</v>
      </c>
      <c r="OL32" s="24">
        <f t="shared" si="129"/>
        <v>0</v>
      </c>
      <c r="OM32" s="27">
        <f t="shared" si="129"/>
        <v>0</v>
      </c>
      <c r="ON32" s="24">
        <f t="shared" si="129"/>
        <v>8273.8162180265172</v>
      </c>
      <c r="OO32" s="27">
        <f t="shared" si="129"/>
        <v>0</v>
      </c>
      <c r="OP32" s="27">
        <f t="shared" si="129"/>
        <v>2513.8641098141266</v>
      </c>
      <c r="OQ32" s="27">
        <f t="shared" si="129"/>
        <v>0</v>
      </c>
      <c r="OR32" s="28">
        <f t="shared" si="2"/>
        <v>10787.680327840644</v>
      </c>
      <c r="OS32" s="36"/>
      <c r="OT32" s="27"/>
      <c r="OU32" s="27"/>
      <c r="OV32" s="27"/>
      <c r="OW32" s="27"/>
      <c r="OX32" s="27"/>
      <c r="OY32" s="28">
        <f t="shared" si="63"/>
        <v>0</v>
      </c>
      <c r="OZ32" s="36">
        <f t="shared" si="64"/>
        <v>0</v>
      </c>
      <c r="PA32" s="27">
        <f t="shared" si="65"/>
        <v>0</v>
      </c>
      <c r="PB32" s="27">
        <f t="shared" si="66"/>
        <v>0</v>
      </c>
      <c r="PC32" s="27">
        <f t="shared" si="67"/>
        <v>0</v>
      </c>
      <c r="PD32" s="27">
        <f t="shared" si="68"/>
        <v>0</v>
      </c>
      <c r="PE32" s="27">
        <f t="shared" si="69"/>
        <v>0</v>
      </c>
      <c r="PF32" s="33">
        <f t="shared" si="3"/>
        <v>0</v>
      </c>
      <c r="PG32" s="2621"/>
      <c r="PI32" s="2">
        <v>1120.8799999999999</v>
      </c>
      <c r="PJ32" s="3"/>
      <c r="PK32" s="3"/>
      <c r="PL32" s="3">
        <f t="shared" si="70"/>
        <v>0</v>
      </c>
      <c r="PM32" s="3">
        <f t="shared" si="71"/>
        <v>27431.928459344184</v>
      </c>
      <c r="PN32" s="11">
        <f t="shared" si="72"/>
        <v>19727.226980961226</v>
      </c>
      <c r="PO32" s="15"/>
      <c r="PP32" s="2615"/>
      <c r="PR32" s="4"/>
      <c r="PS32" s="9"/>
      <c r="PT32" s="9"/>
      <c r="PU32" s="9"/>
      <c r="PV32" s="9">
        <v>0</v>
      </c>
      <c r="PW32" s="9"/>
      <c r="PX32" s="8">
        <f t="shared" si="73"/>
        <v>0</v>
      </c>
      <c r="PY32" s="5">
        <f t="shared" si="74"/>
        <v>1120.8799999999999</v>
      </c>
      <c r="PZ32" s="5"/>
      <c r="QA32" s="5"/>
      <c r="QB32" s="5"/>
      <c r="QC32" s="5"/>
      <c r="QD32" s="5"/>
      <c r="QE32" s="12">
        <f t="shared" si="75"/>
        <v>29562.488999999998</v>
      </c>
      <c r="QF32" s="420">
        <f t="shared" si="76"/>
        <v>387017.68955851003</v>
      </c>
      <c r="QG32" s="1106">
        <f t="shared" si="77"/>
        <v>1116.02</v>
      </c>
      <c r="QH32" s="484">
        <f t="shared" si="78"/>
        <v>5505.3678056099998</v>
      </c>
      <c r="QI32" s="12"/>
      <c r="QJ32" s="2615"/>
      <c r="QL32" s="139">
        <f t="shared" si="79"/>
        <v>0</v>
      </c>
      <c r="QM32" s="139" t="str">
        <f t="shared" si="80"/>
        <v/>
      </c>
      <c r="QO32" s="139">
        <f t="shared" si="81"/>
        <v>0</v>
      </c>
      <c r="QP32" s="139">
        <f t="shared" si="82"/>
        <v>0</v>
      </c>
      <c r="QR32" s="1">
        <f t="shared" si="83"/>
        <v>0</v>
      </c>
      <c r="QS32" s="1">
        <f t="shared" si="84"/>
        <v>0</v>
      </c>
      <c r="QT32" s="1">
        <f t="shared" si="85"/>
        <v>0</v>
      </c>
      <c r="QU32" s="1">
        <f t="shared" si="86"/>
        <v>0</v>
      </c>
      <c r="QV32" s="1">
        <f t="shared" si="87"/>
        <v>0</v>
      </c>
      <c r="QW32" s="1">
        <f t="shared" si="88"/>
        <v>0</v>
      </c>
      <c r="QY32" s="1">
        <f t="shared" si="89"/>
        <v>0</v>
      </c>
      <c r="QZ32" s="1">
        <f t="shared" si="90"/>
        <v>0</v>
      </c>
      <c r="RA32" s="1">
        <f t="shared" si="91"/>
        <v>0</v>
      </c>
      <c r="RB32" s="1">
        <f t="shared" si="92"/>
        <v>0</v>
      </c>
      <c r="RC32" s="1">
        <f t="shared" si="93"/>
        <v>0</v>
      </c>
      <c r="RD32" s="1">
        <f t="shared" si="94"/>
        <v>0</v>
      </c>
      <c r="RG32" s="1">
        <v>23</v>
      </c>
      <c r="RH32" s="1">
        <f t="shared" si="124"/>
        <v>47955.7612097171</v>
      </c>
      <c r="RI32" s="1">
        <f t="shared" si="124"/>
        <v>66832.695780483729</v>
      </c>
      <c r="RJ32" s="1">
        <f t="shared" si="124"/>
        <v>13404.263703387322</v>
      </c>
      <c r="RK32" s="89">
        <f t="shared" si="5"/>
        <v>128192.72069358814</v>
      </c>
      <c r="RL32" s="1033">
        <v>23</v>
      </c>
      <c r="RM32" s="1098">
        <f t="shared" si="96"/>
        <v>0</v>
      </c>
      <c r="RN32" s="1098">
        <f t="shared" si="97"/>
        <v>0</v>
      </c>
      <c r="RO32" s="1097">
        <f t="shared" si="97"/>
        <v>0</v>
      </c>
      <c r="RP32" s="1097">
        <f t="shared" si="98"/>
        <v>7385.7000000000007</v>
      </c>
      <c r="RQ32" s="1094"/>
      <c r="RR32" s="1094" t="s">
        <v>916</v>
      </c>
      <c r="RU32" s="421">
        <v>23</v>
      </c>
      <c r="RV32" s="1095">
        <f t="shared" si="99"/>
        <v>5451.65</v>
      </c>
      <c r="RW32" s="1094" t="s">
        <v>917</v>
      </c>
      <c r="RY32" s="1090"/>
      <c r="RZ32" s="1090">
        <f t="shared" si="100"/>
        <v>0</v>
      </c>
      <c r="SA32" s="1090"/>
      <c r="SB32" s="1090">
        <f t="shared" si="101"/>
        <v>0</v>
      </c>
      <c r="SD32" s="1">
        <v>23</v>
      </c>
      <c r="SE32" s="1">
        <f t="shared" si="102"/>
        <v>0</v>
      </c>
    </row>
    <row r="33" spans="1:500" s="1" customFormat="1">
      <c r="B33" s="471">
        <v>24</v>
      </c>
      <c r="C33" s="4">
        <f t="shared" si="6"/>
        <v>161161</v>
      </c>
      <c r="D33" s="1590">
        <f t="shared" si="119"/>
        <v>11341.94</v>
      </c>
      <c r="E33" s="1895">
        <f t="shared" si="7"/>
        <v>14.209297527583464</v>
      </c>
      <c r="F33" s="870"/>
      <c r="G33" s="870"/>
      <c r="H33" s="52"/>
      <c r="I33" s="61"/>
      <c r="J33" s="52"/>
      <c r="K33" s="54"/>
      <c r="L33" s="52"/>
      <c r="M33" s="61"/>
      <c r="N33" s="2629"/>
      <c r="O33" s="4">
        <f t="shared" si="125"/>
        <v>107782</v>
      </c>
      <c r="P33" s="1225">
        <f t="shared" si="8"/>
        <v>6725.6</v>
      </c>
      <c r="Q33" s="1913">
        <f t="shared" si="9"/>
        <v>16.02563340073748</v>
      </c>
      <c r="R33" s="33"/>
      <c r="S33" s="26">
        <f t="shared" si="10"/>
        <v>29359</v>
      </c>
      <c r="T33" s="27">
        <f t="shared" si="11"/>
        <v>1976.3400000000001</v>
      </c>
      <c r="U33" s="1909">
        <f t="shared" si="12"/>
        <v>14.855237459141645</v>
      </c>
      <c r="V33" s="28"/>
      <c r="W33" s="26">
        <f t="shared" si="13"/>
        <v>24020</v>
      </c>
      <c r="X33" s="5">
        <f t="shared" si="13"/>
        <v>2640</v>
      </c>
      <c r="Y33" s="325">
        <f t="shared" si="14"/>
        <v>9.0984848484848477</v>
      </c>
      <c r="Z33" s="33"/>
      <c r="AA33" s="26">
        <f t="shared" si="15"/>
        <v>0</v>
      </c>
      <c r="AB33" s="27">
        <f t="shared" si="16"/>
        <v>0</v>
      </c>
      <c r="AC33" s="53">
        <f t="shared" si="17"/>
        <v>0</v>
      </c>
      <c r="AD33" s="28"/>
      <c r="AE33" s="36"/>
      <c r="AF33" s="36"/>
      <c r="AG33" s="53">
        <f t="shared" si="18"/>
        <v>0</v>
      </c>
      <c r="AH33" s="28"/>
      <c r="AI33" s="26"/>
      <c r="AJ33" s="27"/>
      <c r="AK33" s="53">
        <f t="shared" si="19"/>
        <v>0</v>
      </c>
      <c r="AL33" s="28"/>
      <c r="AM33" s="2629"/>
      <c r="AN33" s="9"/>
      <c r="AO33" s="5"/>
      <c r="AP33" s="61">
        <f t="shared" si="20"/>
        <v>0</v>
      </c>
      <c r="AQ33" s="36"/>
      <c r="AR33" s="53"/>
      <c r="AS33" s="61">
        <f t="shared" si="21"/>
        <v>0</v>
      </c>
      <c r="AT33" s="36">
        <v>0</v>
      </c>
      <c r="AU33" s="27"/>
      <c r="AV33" s="54">
        <f t="shared" si="22"/>
        <v>0</v>
      </c>
      <c r="AW33" s="26">
        <v>60070</v>
      </c>
      <c r="AX33" s="27">
        <v>6226.6</v>
      </c>
      <c r="AY33" s="1895">
        <v>9.6473195644492975</v>
      </c>
      <c r="AZ33" s="1908"/>
      <c r="BA33" s="1909"/>
      <c r="BB33" s="1895">
        <v>0</v>
      </c>
      <c r="BC33" s="1740">
        <v>47712</v>
      </c>
      <c r="BD33" s="1909">
        <v>499</v>
      </c>
      <c r="BE33" s="1895">
        <v>95.61523046092185</v>
      </c>
      <c r="BF33" s="1908"/>
      <c r="BG33" s="1909"/>
      <c r="BH33" s="1895">
        <v>0</v>
      </c>
      <c r="BI33" s="1908">
        <v>0</v>
      </c>
      <c r="BJ33" s="1909">
        <v>0</v>
      </c>
      <c r="BK33" s="1895">
        <v>0</v>
      </c>
      <c r="BL33" s="1742">
        <v>29359</v>
      </c>
      <c r="BM33" s="1909">
        <v>1976.3400000000001</v>
      </c>
      <c r="BN33" s="1911">
        <v>14.855237459141645</v>
      </c>
      <c r="BO33" s="9"/>
      <c r="BP33" s="64"/>
      <c r="BQ33" s="482">
        <v>0</v>
      </c>
      <c r="BR33" s="9"/>
      <c r="BS33" s="64"/>
      <c r="BT33" s="482">
        <v>0</v>
      </c>
      <c r="BU33" s="9">
        <v>24020</v>
      </c>
      <c r="BV33" s="5">
        <v>2640</v>
      </c>
      <c r="BW33" s="15">
        <v>9.0984848484848477</v>
      </c>
      <c r="BX33" s="4"/>
      <c r="BY33" s="5"/>
      <c r="BZ33" s="482">
        <f t="shared" si="23"/>
        <v>0</v>
      </c>
      <c r="CA33" s="9"/>
      <c r="CB33" s="5"/>
      <c r="CC33" s="482">
        <f t="shared" si="24"/>
        <v>0</v>
      </c>
      <c r="CD33" s="4"/>
      <c r="CE33" s="5"/>
      <c r="CF33" s="28">
        <f t="shared" si="25"/>
        <v>0</v>
      </c>
      <c r="CG33" s="150"/>
      <c r="CH33" s="1108"/>
      <c r="CI33" s="5"/>
      <c r="CJ33" s="5">
        <v>8528</v>
      </c>
      <c r="CK33" s="5"/>
      <c r="CL33" s="5"/>
      <c r="CM33" s="5">
        <f t="shared" si="26"/>
        <v>8528</v>
      </c>
      <c r="CN33" s="33"/>
      <c r="CO33" s="366"/>
      <c r="CQ33" s="4">
        <f t="shared" si="131"/>
        <v>0</v>
      </c>
      <c r="CR33" s="9">
        <f t="shared" si="131"/>
        <v>0</v>
      </c>
      <c r="CS33" s="5">
        <f t="shared" si="131"/>
        <v>0</v>
      </c>
      <c r="CT33" s="5">
        <f t="shared" si="130"/>
        <v>0</v>
      </c>
      <c r="CU33" s="5">
        <f t="shared" si="130"/>
        <v>0</v>
      </c>
      <c r="CV33" s="5">
        <f t="shared" si="130"/>
        <v>0</v>
      </c>
      <c r="CW33" s="5">
        <f t="shared" si="130"/>
        <v>533.22</v>
      </c>
      <c r="CX33" s="5">
        <f t="shared" si="130"/>
        <v>0</v>
      </c>
      <c r="CY33" s="5">
        <f t="shared" si="130"/>
        <v>9208.7200000000012</v>
      </c>
      <c r="CZ33" s="5">
        <f t="shared" si="130"/>
        <v>0</v>
      </c>
      <c r="DA33" s="5">
        <f t="shared" si="130"/>
        <v>1600</v>
      </c>
      <c r="DB33" s="12">
        <f t="shared" si="130"/>
        <v>0</v>
      </c>
      <c r="DC33" s="310">
        <f>SUM(CQ33:DB33,PV33)</f>
        <v>11341.94</v>
      </c>
      <c r="DD33" s="2695"/>
      <c r="DE33" s="8"/>
      <c r="DF33" s="9"/>
      <c r="DG33" s="5"/>
      <c r="DH33" s="5"/>
      <c r="DI33" s="5"/>
      <c r="DJ33" s="5"/>
      <c r="DK33" s="5">
        <v>533.22</v>
      </c>
      <c r="DL33" s="5"/>
      <c r="DM33" s="487">
        <v>5693.38</v>
      </c>
      <c r="DN33" s="5"/>
      <c r="DO33" s="5"/>
      <c r="DP33" s="12"/>
      <c r="DQ33" s="28">
        <f t="shared" si="29"/>
        <v>6226.6</v>
      </c>
      <c r="DR33" s="36"/>
      <c r="DS33" s="9"/>
      <c r="DT33" s="5"/>
      <c r="DU33" s="5"/>
      <c r="DV33" s="5"/>
      <c r="DW33" s="5"/>
      <c r="DX33" s="27"/>
      <c r="DY33" s="27"/>
      <c r="DZ33" s="27">
        <v>2475.34</v>
      </c>
      <c r="EA33" s="27"/>
      <c r="EB33" s="27">
        <v>0</v>
      </c>
      <c r="EC33" s="33"/>
      <c r="ED33" s="28">
        <f t="shared" si="30"/>
        <v>2475.34</v>
      </c>
      <c r="EE33" s="9"/>
      <c r="EF33" s="36"/>
      <c r="EG33" s="27"/>
      <c r="EH33" s="27"/>
      <c r="EI33" s="27"/>
      <c r="EJ33" s="27"/>
      <c r="EK33" s="27"/>
      <c r="EL33" s="27"/>
      <c r="EM33" s="5">
        <v>1040</v>
      </c>
      <c r="EN33" s="5"/>
      <c r="EO33" s="5">
        <v>1600</v>
      </c>
      <c r="EP33" s="33"/>
      <c r="EQ33" s="28">
        <f t="shared" si="31"/>
        <v>2640</v>
      </c>
      <c r="ER33" s="36"/>
      <c r="ES33" s="27"/>
      <c r="ET33" s="27"/>
      <c r="EU33" s="27"/>
      <c r="EV33" s="27"/>
      <c r="EW33" s="27"/>
      <c r="EX33" s="33">
        <f t="shared" si="32"/>
        <v>0</v>
      </c>
      <c r="EY33" s="2685"/>
      <c r="FA33" s="4">
        <f t="shared" si="33"/>
        <v>0</v>
      </c>
      <c r="FB33" s="5">
        <f t="shared" si="34"/>
        <v>0</v>
      </c>
      <c r="FC33" s="5">
        <f t="shared" si="35"/>
        <v>0</v>
      </c>
      <c r="FD33" s="12">
        <f t="shared" si="36"/>
        <v>0</v>
      </c>
      <c r="FE33" s="33"/>
      <c r="FF33" s="2674"/>
      <c r="FG33" s="9"/>
      <c r="FH33" s="5"/>
      <c r="FI33" s="5"/>
      <c r="FJ33" s="5"/>
      <c r="FK33" s="5"/>
      <c r="FL33" s="27"/>
      <c r="FM33" s="28">
        <f t="shared" si="37"/>
        <v>0</v>
      </c>
      <c r="FN33" s="36"/>
      <c r="FO33" s="27"/>
      <c r="FP33" s="27"/>
      <c r="FQ33" s="27"/>
      <c r="FR33" s="27"/>
      <c r="FS33" s="27"/>
      <c r="FT33" s="28">
        <f t="shared" si="38"/>
        <v>0</v>
      </c>
      <c r="FU33" s="36"/>
      <c r="FV33" s="36"/>
      <c r="FW33" s="27"/>
      <c r="FX33" s="27"/>
      <c r="FY33" s="27"/>
      <c r="FZ33" s="27"/>
      <c r="GA33" s="27"/>
      <c r="GB33" s="27"/>
      <c r="GC33" s="27"/>
      <c r="GD33" s="27"/>
      <c r="GE33" s="27"/>
      <c r="GF33" s="33"/>
      <c r="GG33" s="33">
        <f t="shared" si="39"/>
        <v>0</v>
      </c>
      <c r="GH33" s="2674"/>
      <c r="GJ33" s="2">
        <f t="shared" si="105"/>
        <v>1666.42</v>
      </c>
      <c r="GK33" s="63">
        <f t="shared" si="106"/>
        <v>4529.87</v>
      </c>
      <c r="GL33" s="24">
        <f t="shared" si="107"/>
        <v>3131.36</v>
      </c>
      <c r="GM33" s="53">
        <f t="shared" si="40"/>
        <v>9327.65</v>
      </c>
      <c r="GN33" s="141"/>
      <c r="GO33" s="141"/>
      <c r="GP33" s="33"/>
      <c r="GQ33" s="2667"/>
      <c r="GR33" s="1740">
        <v>3598.4500000000003</v>
      </c>
      <c r="GS33" s="1736">
        <v>518.55000000000007</v>
      </c>
      <c r="GT33" s="1736">
        <v>2716.81</v>
      </c>
      <c r="GU33" s="1736">
        <v>2493.8399999999997</v>
      </c>
      <c r="GV33" s="33">
        <f t="shared" si="41"/>
        <v>9327.65</v>
      </c>
      <c r="GW33" s="2667"/>
      <c r="GX33" s="36"/>
      <c r="GY33" s="152"/>
      <c r="GZ33" s="27"/>
      <c r="HA33" s="53"/>
      <c r="HB33" s="27"/>
      <c r="HC33" s="27"/>
      <c r="HD33" s="27"/>
      <c r="HE33" s="27"/>
      <c r="HF33" s="27">
        <v>1147.8699999999999</v>
      </c>
      <c r="HG33" s="27"/>
      <c r="HH33" s="27">
        <v>0</v>
      </c>
      <c r="HI33" s="27"/>
      <c r="HJ33" s="27">
        <v>518.55000000000007</v>
      </c>
      <c r="HK33" s="27"/>
      <c r="HL33" s="28">
        <f t="shared" si="120"/>
        <v>1666.42</v>
      </c>
      <c r="HM33" s="36"/>
      <c r="HN33" s="27"/>
      <c r="HO33" s="27"/>
      <c r="HP33" s="27"/>
      <c r="HQ33" s="27"/>
      <c r="HR33" s="27"/>
      <c r="HS33" s="27" cm="1">
        <f t="array" ref="HS33">SUMPRODUCT(('Data Base hauling'!$C$2:$C$216="TCM-ROM SB1 BK05-ROM 4")*(ISNUMBER(SEARCH(TEXT('April TCM'!$B33,"00")&amp;"/03/2026",'Data Base hauling'!$E$2:$E$216)))*'Data Base hauling'!$N$2:$N$216)</f>
        <v>0</v>
      </c>
      <c r="HT33" s="27"/>
      <c r="HU33" s="27" cm="1">
        <f t="array" ref="HU33">SUMPRODUCT(('Data Base hauling'!$C$2:$C$216="TCM-ROM SB1 BK05-ROM 5")*(ISNUMBER(SEARCH(TEXT('April TCM'!$B33,"00")&amp;"/03/2026",'Data Base hauling'!$E$2:$E$216)))*'Data Base hauling'!$N$2:$N$216)</f>
        <v>0</v>
      </c>
      <c r="HV33" s="27"/>
      <c r="HW33" s="27"/>
      <c r="HX33" s="27"/>
      <c r="HY33" s="27"/>
      <c r="HZ33" s="27"/>
      <c r="IA33" s="33">
        <f t="shared" si="43"/>
        <v>0</v>
      </c>
      <c r="IB33" s="52"/>
      <c r="IC33" s="152"/>
      <c r="ID33" s="53"/>
      <c r="IE33" s="53"/>
      <c r="IF33" s="53"/>
      <c r="IG33" s="53"/>
      <c r="IH33" s="53">
        <v>0</v>
      </c>
      <c r="II33" s="53"/>
      <c r="IJ33" s="53">
        <v>4529.87</v>
      </c>
      <c r="IK33" s="53"/>
      <c r="IL33" s="53">
        <v>0</v>
      </c>
      <c r="IM33" s="53"/>
      <c r="IN33" s="53"/>
      <c r="IO33" s="49">
        <v>0</v>
      </c>
      <c r="IP33" s="61">
        <f t="shared" si="121"/>
        <v>4529.87</v>
      </c>
      <c r="IQ33" s="152"/>
      <c r="IR33" s="152"/>
      <c r="IS33" s="53"/>
      <c r="IT33" s="53"/>
      <c r="IU33" s="53"/>
      <c r="IV33" s="27"/>
      <c r="IW33" s="27">
        <v>0</v>
      </c>
      <c r="IX33" s="27"/>
      <c r="IY33" s="27">
        <v>3131.36</v>
      </c>
      <c r="IZ33" s="27"/>
      <c r="JA33" s="27">
        <v>0</v>
      </c>
      <c r="JB33" s="27"/>
      <c r="JC33" s="27"/>
      <c r="JD33" s="27"/>
      <c r="JE33" s="33">
        <f t="shared" si="122"/>
        <v>3131.36</v>
      </c>
      <c r="JF33" s="2667"/>
      <c r="JH33" s="2020">
        <v>8894.85</v>
      </c>
      <c r="JI33" s="2021">
        <v>432.8</v>
      </c>
      <c r="JJ33" s="53"/>
      <c r="JK33" s="53">
        <f t="shared" si="123"/>
        <v>9327.65</v>
      </c>
      <c r="JL33" s="33"/>
      <c r="JM33" s="2669"/>
      <c r="JN33" s="69">
        <v>0</v>
      </c>
      <c r="JO33" s="70">
        <v>0</v>
      </c>
      <c r="JP33" s="70">
        <v>0</v>
      </c>
      <c r="JQ33" s="850">
        <v>0</v>
      </c>
      <c r="JR33" s="850">
        <v>0.99035959009988928</v>
      </c>
      <c r="JS33" s="850">
        <v>0</v>
      </c>
      <c r="JT33" s="70">
        <v>9.6404099001107385E-3</v>
      </c>
      <c r="JU33" s="1922">
        <v>0</v>
      </c>
      <c r="JV33" s="69">
        <v>0</v>
      </c>
      <c r="JW33" s="70">
        <v>0</v>
      </c>
      <c r="JX33" s="70">
        <v>0</v>
      </c>
      <c r="JY33" s="70">
        <v>0</v>
      </c>
      <c r="JZ33" s="70">
        <v>0</v>
      </c>
      <c r="KA33" s="70">
        <v>0</v>
      </c>
      <c r="KB33" s="70">
        <v>1</v>
      </c>
      <c r="KC33" s="71">
        <v>0</v>
      </c>
      <c r="KD33" s="69"/>
      <c r="KE33" s="70"/>
      <c r="KF33" s="70"/>
      <c r="KG33" s="70"/>
      <c r="KH33" s="70"/>
      <c r="KI33" s="70"/>
      <c r="KJ33" s="70"/>
      <c r="KK33" s="70"/>
      <c r="KL33" s="33"/>
      <c r="KM33" s="2669"/>
      <c r="KN33" s="1739">
        <v>6903.2043058981835</v>
      </c>
      <c r="KO33" s="1721">
        <v>0.9287867234806011</v>
      </c>
      <c r="KP33" s="1721">
        <v>4.2016730208566937</v>
      </c>
      <c r="KQ33" s="1721">
        <v>7.3289526799730886</v>
      </c>
      <c r="KR33" s="1722">
        <v>10.480856994841893</v>
      </c>
      <c r="KS33" s="1958">
        <v>0</v>
      </c>
      <c r="KT33" s="1961">
        <v>0</v>
      </c>
      <c r="KU33" s="1961">
        <v>0</v>
      </c>
      <c r="KV33" s="1961">
        <v>0</v>
      </c>
      <c r="KW33" s="1962">
        <v>0</v>
      </c>
      <c r="KX33" s="36"/>
      <c r="KY33" s="53"/>
      <c r="KZ33" s="53"/>
      <c r="LA33" s="53"/>
      <c r="LB33" s="53"/>
      <c r="LC33" s="33"/>
      <c r="LD33" s="2669"/>
      <c r="LF33" s="26">
        <f t="shared" si="47"/>
        <v>0</v>
      </c>
      <c r="LG33" s="27">
        <f t="shared" si="47"/>
        <v>0</v>
      </c>
      <c r="LH33" s="27">
        <f t="shared" si="47"/>
        <v>0</v>
      </c>
      <c r="LI33" s="28">
        <f t="shared" si="48"/>
        <v>0</v>
      </c>
      <c r="LJ33" s="36"/>
      <c r="LK33" s="27"/>
      <c r="LL33" s="27">
        <v>2</v>
      </c>
      <c r="LM33" s="33"/>
      <c r="LN33" s="1041">
        <v>4.8899999999999997</v>
      </c>
      <c r="LO33" s="486" t="s">
        <v>918</v>
      </c>
      <c r="LP33" s="2688"/>
      <c r="LQ33" s="36"/>
      <c r="LR33" s="36"/>
      <c r="LS33" s="27"/>
      <c r="LT33" s="27"/>
      <c r="LU33" s="27"/>
      <c r="LV33" s="1107">
        <f t="shared" si="49"/>
        <v>0</v>
      </c>
      <c r="LW33" s="36"/>
      <c r="LX33" s="36"/>
      <c r="LY33" s="27"/>
      <c r="LZ33" s="27"/>
      <c r="MA33" s="33"/>
      <c r="MB33" s="28">
        <f t="shared" si="50"/>
        <v>0</v>
      </c>
      <c r="MC33" s="26"/>
      <c r="MD33" s="36"/>
      <c r="ME33" s="27"/>
      <c r="MF33" s="27"/>
      <c r="MG33" s="27"/>
      <c r="MH33" s="28"/>
      <c r="MI33" s="36"/>
      <c r="MJ33" s="152"/>
      <c r="MK33" s="27"/>
      <c r="ML33" s="27"/>
      <c r="MM33" s="27"/>
      <c r="MN33" s="28"/>
      <c r="MO33" s="36"/>
      <c r="MP33" s="36"/>
      <c r="MQ33" s="27"/>
      <c r="MR33" s="27"/>
      <c r="MS33" s="27"/>
      <c r="MT33" s="33">
        <f t="shared" si="51"/>
        <v>0</v>
      </c>
      <c r="MU33" s="2688"/>
      <c r="MW33" s="26">
        <f t="shared" si="52"/>
        <v>175464.64939330629</v>
      </c>
      <c r="MX33" s="27">
        <f t="shared" si="53"/>
        <v>88562.903809620228</v>
      </c>
      <c r="MY33" s="27">
        <f t="shared" si="54"/>
        <v>19208.676980961227</v>
      </c>
      <c r="MZ33" s="28">
        <f t="shared" si="55"/>
        <v>416138.57855851005</v>
      </c>
      <c r="NA33" s="2621"/>
      <c r="NB33" s="23">
        <f t="shared" si="56"/>
        <v>63897.719361311261</v>
      </c>
      <c r="NC33" s="1579">
        <f t="shared" si="57"/>
        <v>111566.93003199503</v>
      </c>
      <c r="ND33" s="60">
        <f t="shared" si="58"/>
        <v>0</v>
      </c>
      <c r="NE33" s="275">
        <f t="shared" si="4"/>
        <v>175464.64939330629</v>
      </c>
      <c r="NF33" s="26">
        <f t="shared" si="126"/>
        <v>0</v>
      </c>
      <c r="NG33" s="27">
        <f t="shared" si="126"/>
        <v>0</v>
      </c>
      <c r="NH33" s="27">
        <f t="shared" si="126"/>
        <v>0</v>
      </c>
      <c r="NI33" s="27">
        <f t="shared" si="126"/>
        <v>0</v>
      </c>
      <c r="NJ33" s="27">
        <f t="shared" si="126"/>
        <v>0</v>
      </c>
      <c r="NK33" s="33">
        <f t="shared" si="126"/>
        <v>0</v>
      </c>
      <c r="NL33" s="27">
        <f t="shared" si="126"/>
        <v>0</v>
      </c>
      <c r="NM33" s="36">
        <f t="shared" si="126"/>
        <v>0</v>
      </c>
      <c r="NN33" s="24">
        <f t="shared" si="126"/>
        <v>13469.760566563145</v>
      </c>
      <c r="NO33" s="27">
        <f t="shared" si="126"/>
        <v>26196.69549600617</v>
      </c>
      <c r="NP33" s="24">
        <f t="shared" si="108"/>
        <v>8756.5482322711578</v>
      </c>
      <c r="NQ33" s="24">
        <f t="shared" si="109"/>
        <v>14814.774118033416</v>
      </c>
      <c r="NR33" s="27">
        <f t="shared" si="0"/>
        <v>63237.778412873886</v>
      </c>
      <c r="NS33" s="27">
        <f t="shared" si="127"/>
        <v>0</v>
      </c>
      <c r="NT33" s="27">
        <f t="shared" si="127"/>
        <v>0</v>
      </c>
      <c r="NU33" s="27">
        <f t="shared" si="127"/>
        <v>0</v>
      </c>
      <c r="NV33" s="27">
        <f t="shared" si="127"/>
        <v>0</v>
      </c>
      <c r="NW33" s="27">
        <f t="shared" si="127"/>
        <v>0</v>
      </c>
      <c r="NX33" s="5">
        <f t="shared" si="127"/>
        <v>0</v>
      </c>
      <c r="NY33" s="27">
        <f t="shared" si="127"/>
        <v>8530.3636022929113</v>
      </c>
      <c r="NZ33" s="27">
        <f t="shared" si="127"/>
        <v>0</v>
      </c>
      <c r="OA33" s="27">
        <f t="shared" si="127"/>
        <v>6313.5580667828281</v>
      </c>
      <c r="OB33" s="27"/>
      <c r="OC33" s="24">
        <f t="shared" si="128"/>
        <v>349.54339982995594</v>
      </c>
      <c r="OD33" s="27">
        <f t="shared" si="128"/>
        <v>0</v>
      </c>
      <c r="OE33" s="28">
        <f t="shared" si="1"/>
        <v>15193.465068905694</v>
      </c>
      <c r="OF33" s="27">
        <f t="shared" si="129"/>
        <v>0</v>
      </c>
      <c r="OG33" s="27">
        <f t="shared" si="129"/>
        <v>0</v>
      </c>
      <c r="OH33" s="27">
        <f t="shared" si="129"/>
        <v>0</v>
      </c>
      <c r="OI33" s="27">
        <f t="shared" si="129"/>
        <v>0</v>
      </c>
      <c r="OJ33" s="27">
        <f t="shared" si="129"/>
        <v>0</v>
      </c>
      <c r="OK33" s="27">
        <f t="shared" si="129"/>
        <v>0</v>
      </c>
      <c r="OL33" s="24">
        <f t="shared" si="129"/>
        <v>0</v>
      </c>
      <c r="OM33" s="27">
        <f t="shared" si="129"/>
        <v>0</v>
      </c>
      <c r="ON33" s="24">
        <f t="shared" si="129"/>
        <v>7617.7962180265167</v>
      </c>
      <c r="OO33" s="27">
        <f t="shared" si="129"/>
        <v>0</v>
      </c>
      <c r="OP33" s="27">
        <f t="shared" si="129"/>
        <v>2513.8641098141266</v>
      </c>
      <c r="OQ33" s="27">
        <f t="shared" si="129"/>
        <v>0</v>
      </c>
      <c r="OR33" s="28">
        <f t="shared" si="2"/>
        <v>10131.660327840644</v>
      </c>
      <c r="OS33" s="36"/>
      <c r="OT33" s="27"/>
      <c r="OU33" s="27"/>
      <c r="OV33" s="27"/>
      <c r="OW33" s="27"/>
      <c r="OX33" s="27"/>
      <c r="OY33" s="28">
        <f t="shared" si="63"/>
        <v>0</v>
      </c>
      <c r="OZ33" s="36">
        <f t="shared" si="64"/>
        <v>0</v>
      </c>
      <c r="PA33" s="27">
        <f t="shared" si="65"/>
        <v>0</v>
      </c>
      <c r="PB33" s="27">
        <f t="shared" si="66"/>
        <v>0</v>
      </c>
      <c r="PC33" s="27">
        <f t="shared" si="67"/>
        <v>0</v>
      </c>
      <c r="PD33" s="27">
        <f t="shared" si="68"/>
        <v>0</v>
      </c>
      <c r="PE33" s="27">
        <f t="shared" si="69"/>
        <v>0</v>
      </c>
      <c r="PF33" s="33">
        <f t="shared" si="3"/>
        <v>0</v>
      </c>
      <c r="PG33" s="2621"/>
      <c r="PI33" s="2">
        <v>1557.62</v>
      </c>
      <c r="PJ33" s="3"/>
      <c r="PK33" s="3"/>
      <c r="PL33" s="3">
        <f t="shared" si="70"/>
        <v>518.55000000000007</v>
      </c>
      <c r="PM33" s="3">
        <f t="shared" si="71"/>
        <v>28989.548459344183</v>
      </c>
      <c r="PN33" s="11">
        <f t="shared" si="72"/>
        <v>19208.676980961227</v>
      </c>
      <c r="PO33" s="15"/>
      <c r="PP33" s="2615"/>
      <c r="PR33" s="4"/>
      <c r="PS33" s="9"/>
      <c r="PT33" s="9"/>
      <c r="PU33" s="9"/>
      <c r="PV33" s="9">
        <v>0</v>
      </c>
      <c r="PW33" s="9"/>
      <c r="PX33" s="8">
        <f t="shared" si="73"/>
        <v>0</v>
      </c>
      <c r="PY33" s="5">
        <f t="shared" si="74"/>
        <v>1557.62</v>
      </c>
      <c r="PZ33" s="5"/>
      <c r="QA33" s="5"/>
      <c r="QB33" s="5"/>
      <c r="QC33" s="5"/>
      <c r="QD33" s="5"/>
      <c r="QE33" s="12">
        <f t="shared" si="75"/>
        <v>29562.488999999998</v>
      </c>
      <c r="QF33" s="420">
        <f t="shared" si="76"/>
        <v>385460.06955851003</v>
      </c>
      <c r="QG33" s="1106">
        <f t="shared" si="77"/>
        <v>1116.02</v>
      </c>
      <c r="QH33" s="484">
        <f t="shared" si="78"/>
        <v>5505.3678056099998</v>
      </c>
      <c r="QI33" s="12"/>
      <c r="QJ33" s="2615"/>
      <c r="QL33" s="139">
        <f t="shared" si="79"/>
        <v>0</v>
      </c>
      <c r="QM33" s="139" t="str">
        <f t="shared" si="80"/>
        <v/>
      </c>
      <c r="QO33" s="139">
        <f t="shared" si="81"/>
        <v>0</v>
      </c>
      <c r="QP33" s="139">
        <f t="shared" si="82"/>
        <v>0</v>
      </c>
      <c r="QR33" s="1">
        <f t="shared" si="83"/>
        <v>0</v>
      </c>
      <c r="QS33" s="1">
        <f t="shared" si="84"/>
        <v>0</v>
      </c>
      <c r="QT33" s="1">
        <f t="shared" si="85"/>
        <v>0</v>
      </c>
      <c r="QU33" s="1">
        <f t="shared" si="86"/>
        <v>0</v>
      </c>
      <c r="QV33" s="1">
        <f t="shared" si="87"/>
        <v>0</v>
      </c>
      <c r="QW33" s="1">
        <f t="shared" si="88"/>
        <v>0</v>
      </c>
      <c r="QY33" s="1">
        <f t="shared" si="89"/>
        <v>0</v>
      </c>
      <c r="QZ33" s="1">
        <f t="shared" si="90"/>
        <v>0</v>
      </c>
      <c r="RA33" s="1">
        <f t="shared" si="91"/>
        <v>0</v>
      </c>
      <c r="RB33" s="1">
        <f t="shared" si="92"/>
        <v>0</v>
      </c>
      <c r="RC33" s="1">
        <f t="shared" si="93"/>
        <v>0</v>
      </c>
      <c r="RD33" s="1">
        <f t="shared" si="94"/>
        <v>0</v>
      </c>
      <c r="RG33" s="1">
        <v>24</v>
      </c>
      <c r="RH33" s="1">
        <f t="shared" si="124"/>
        <v>56850.611209717099</v>
      </c>
      <c r="RI33" s="1">
        <f t="shared" si="124"/>
        <v>67265.495780483732</v>
      </c>
      <c r="RJ33" s="1">
        <f t="shared" si="124"/>
        <v>13404.263703387322</v>
      </c>
      <c r="RK33" s="89">
        <f t="shared" si="5"/>
        <v>137520.37069358816</v>
      </c>
      <c r="RL33" s="1033">
        <v>24</v>
      </c>
      <c r="RM33" s="1098">
        <f t="shared" si="96"/>
        <v>0</v>
      </c>
      <c r="RN33" s="1098">
        <f t="shared" si="97"/>
        <v>0</v>
      </c>
      <c r="RO33" s="1097">
        <f t="shared" si="97"/>
        <v>0</v>
      </c>
      <c r="RP33" s="1097">
        <f t="shared" si="98"/>
        <v>8701.94</v>
      </c>
      <c r="RQ33" s="1046"/>
      <c r="RR33" s="1046" t="s">
        <v>919</v>
      </c>
      <c r="RS33" s="1048"/>
      <c r="RU33" s="421">
        <v>24</v>
      </c>
      <c r="RV33" s="1095">
        <f t="shared" si="99"/>
        <v>9327.65</v>
      </c>
      <c r="RW33" s="1046" t="s">
        <v>920</v>
      </c>
      <c r="RX33" s="1048"/>
      <c r="RY33" s="1090"/>
      <c r="RZ33" s="1090">
        <f t="shared" si="100"/>
        <v>0</v>
      </c>
      <c r="SA33" s="1090"/>
      <c r="SB33" s="1090">
        <f t="shared" si="101"/>
        <v>0</v>
      </c>
      <c r="SD33" s="1">
        <v>24</v>
      </c>
      <c r="SE33" s="1">
        <f t="shared" si="102"/>
        <v>518.55000000000007</v>
      </c>
      <c r="SF33" s="1094"/>
    </row>
    <row r="34" spans="1:500" s="1" customFormat="1">
      <c r="B34" s="471">
        <v>25</v>
      </c>
      <c r="C34" s="4">
        <f t="shared" si="6"/>
        <v>161291</v>
      </c>
      <c r="D34" s="1590">
        <f t="shared" si="119"/>
        <v>8725.4699999999975</v>
      </c>
      <c r="E34" s="1895">
        <f t="shared" si="7"/>
        <v>18.485078740744058</v>
      </c>
      <c r="F34" s="870"/>
      <c r="G34" s="870"/>
      <c r="H34" s="52"/>
      <c r="I34" s="61"/>
      <c r="J34" s="52"/>
      <c r="K34" s="54"/>
      <c r="L34" s="52"/>
      <c r="M34" s="61"/>
      <c r="N34" s="2629"/>
      <c r="O34" s="4">
        <f t="shared" si="125"/>
        <v>105840</v>
      </c>
      <c r="P34" s="1225">
        <f t="shared" si="8"/>
        <v>5494.949999999998</v>
      </c>
      <c r="Q34" s="1913">
        <f t="shared" si="9"/>
        <v>19.261321759069698</v>
      </c>
      <c r="R34" s="33"/>
      <c r="S34" s="26">
        <f t="shared" si="10"/>
        <v>30286</v>
      </c>
      <c r="T34" s="27">
        <f t="shared" si="11"/>
        <v>1090.5200000000002</v>
      </c>
      <c r="U34" s="1909">
        <f t="shared" si="12"/>
        <v>27.772072039027247</v>
      </c>
      <c r="V34" s="28"/>
      <c r="W34" s="26">
        <f t="shared" si="13"/>
        <v>25165</v>
      </c>
      <c r="X34" s="5">
        <f t="shared" si="13"/>
        <v>2140</v>
      </c>
      <c r="Y34" s="325">
        <f t="shared" si="14"/>
        <v>11.759345794392523</v>
      </c>
      <c r="Z34" s="33"/>
      <c r="AA34" s="26">
        <f t="shared" si="15"/>
        <v>0</v>
      </c>
      <c r="AB34" s="27">
        <f t="shared" si="16"/>
        <v>0</v>
      </c>
      <c r="AC34" s="53">
        <f t="shared" si="17"/>
        <v>0</v>
      </c>
      <c r="AD34" s="28"/>
      <c r="AE34" s="36"/>
      <c r="AF34" s="36"/>
      <c r="AG34" s="53">
        <f t="shared" si="18"/>
        <v>0</v>
      </c>
      <c r="AH34" s="28"/>
      <c r="AI34" s="23"/>
      <c r="AJ34" s="27"/>
      <c r="AK34" s="53">
        <f t="shared" si="19"/>
        <v>0</v>
      </c>
      <c r="AL34" s="28"/>
      <c r="AM34" s="2629"/>
      <c r="AN34" s="9"/>
      <c r="AO34" s="5"/>
      <c r="AP34" s="61">
        <f t="shared" si="20"/>
        <v>0</v>
      </c>
      <c r="AQ34" s="36"/>
      <c r="AR34" s="53"/>
      <c r="AS34" s="61">
        <f t="shared" si="21"/>
        <v>0</v>
      </c>
      <c r="AT34" s="36">
        <v>0</v>
      </c>
      <c r="AU34" s="27"/>
      <c r="AV34" s="54">
        <f t="shared" si="22"/>
        <v>0</v>
      </c>
      <c r="AW34" s="26">
        <v>59178</v>
      </c>
      <c r="AX34" s="27">
        <v>5494.949999999998</v>
      </c>
      <c r="AY34" s="1895">
        <v>10.769524745448097</v>
      </c>
      <c r="AZ34" s="1908"/>
      <c r="BA34" s="1909"/>
      <c r="BB34" s="1895">
        <v>0</v>
      </c>
      <c r="BC34" s="1740">
        <v>46662</v>
      </c>
      <c r="BD34" s="1909">
        <v>0</v>
      </c>
      <c r="BE34" s="1895">
        <v>0</v>
      </c>
      <c r="BF34" s="1908"/>
      <c r="BG34" s="1909"/>
      <c r="BH34" s="1895">
        <v>0</v>
      </c>
      <c r="BI34" s="1908">
        <v>0</v>
      </c>
      <c r="BJ34" s="1909">
        <v>0</v>
      </c>
      <c r="BK34" s="1895">
        <v>0</v>
      </c>
      <c r="BL34" s="1742">
        <v>30286</v>
      </c>
      <c r="BM34" s="1909">
        <v>1090.5200000000002</v>
      </c>
      <c r="BN34" s="1911">
        <v>27.772072039027247</v>
      </c>
      <c r="BO34" s="9"/>
      <c r="BP34" s="64"/>
      <c r="BQ34" s="482">
        <v>0</v>
      </c>
      <c r="BR34" s="9"/>
      <c r="BS34" s="64"/>
      <c r="BT34" s="482">
        <v>0</v>
      </c>
      <c r="BU34" s="9">
        <v>25165</v>
      </c>
      <c r="BV34" s="5">
        <v>2140</v>
      </c>
      <c r="BW34" s="15">
        <v>11.759345794392523</v>
      </c>
      <c r="BX34" s="4"/>
      <c r="BY34" s="5"/>
      <c r="BZ34" s="482">
        <f t="shared" si="23"/>
        <v>0</v>
      </c>
      <c r="CA34" s="9"/>
      <c r="CB34" s="5"/>
      <c r="CC34" s="482">
        <f t="shared" si="24"/>
        <v>0</v>
      </c>
      <c r="CD34" s="4"/>
      <c r="CE34" s="5"/>
      <c r="CF34" s="28">
        <f t="shared" si="25"/>
        <v>0</v>
      </c>
      <c r="CG34" s="150"/>
      <c r="CH34" s="1108"/>
      <c r="CI34" s="5"/>
      <c r="CJ34" s="5">
        <v>7678</v>
      </c>
      <c r="CK34" s="5"/>
      <c r="CL34" s="5"/>
      <c r="CM34" s="5">
        <f t="shared" si="26"/>
        <v>7678</v>
      </c>
      <c r="CN34" s="33"/>
      <c r="CO34" s="366"/>
      <c r="CQ34" s="4">
        <f t="shared" si="131"/>
        <v>0</v>
      </c>
      <c r="CR34" s="9">
        <f t="shared" si="131"/>
        <v>0</v>
      </c>
      <c r="CS34" s="5">
        <f t="shared" si="131"/>
        <v>0</v>
      </c>
      <c r="CT34" s="5">
        <f t="shared" si="130"/>
        <v>0</v>
      </c>
      <c r="CU34" s="5">
        <f t="shared" si="130"/>
        <v>0</v>
      </c>
      <c r="CV34" s="5">
        <f t="shared" si="130"/>
        <v>0</v>
      </c>
      <c r="CW34" s="5">
        <f t="shared" si="130"/>
        <v>1595.5800000000002</v>
      </c>
      <c r="CX34" s="5">
        <f t="shared" si="130"/>
        <v>0</v>
      </c>
      <c r="CY34" s="5">
        <f t="shared" si="130"/>
        <v>5629.89</v>
      </c>
      <c r="CZ34" s="5">
        <f t="shared" si="130"/>
        <v>0</v>
      </c>
      <c r="DA34" s="5">
        <f t="shared" si="130"/>
        <v>1500</v>
      </c>
      <c r="DB34" s="12">
        <f t="shared" si="130"/>
        <v>0</v>
      </c>
      <c r="DC34" s="310">
        <f>SUM(CQ34:DB34,PV34)</f>
        <v>8725.4700000000012</v>
      </c>
      <c r="DD34" s="2695"/>
      <c r="DE34" s="8"/>
      <c r="DF34" s="9"/>
      <c r="DG34" s="5"/>
      <c r="DH34" s="5"/>
      <c r="DI34" s="5"/>
      <c r="DJ34" s="5"/>
      <c r="DK34" s="5">
        <v>1595.5800000000002</v>
      </c>
      <c r="DL34" s="5"/>
      <c r="DM34" s="487">
        <v>3899.37</v>
      </c>
      <c r="DN34" s="5"/>
      <c r="DO34" s="5"/>
      <c r="DP34" s="12"/>
      <c r="DQ34" s="28">
        <f t="shared" si="29"/>
        <v>5494.95</v>
      </c>
      <c r="DR34" s="36"/>
      <c r="DS34" s="36"/>
      <c r="DT34" s="27"/>
      <c r="DU34" s="27"/>
      <c r="DV34" s="27"/>
      <c r="DW34" s="27"/>
      <c r="DX34" s="27"/>
      <c r="DY34" s="27"/>
      <c r="DZ34" s="27">
        <v>1090.5200000000002</v>
      </c>
      <c r="EA34" s="27"/>
      <c r="EB34" s="27">
        <v>0</v>
      </c>
      <c r="EC34" s="33"/>
      <c r="ED34" s="28">
        <f t="shared" si="30"/>
        <v>1090.5200000000002</v>
      </c>
      <c r="EE34" s="9"/>
      <c r="EF34" s="36"/>
      <c r="EG34" s="27"/>
      <c r="EH34" s="27"/>
      <c r="EI34" s="27"/>
      <c r="EJ34" s="27"/>
      <c r="EK34" s="27"/>
      <c r="EL34" s="27"/>
      <c r="EM34" s="5">
        <v>640</v>
      </c>
      <c r="EN34" s="5"/>
      <c r="EO34" s="5">
        <v>1500</v>
      </c>
      <c r="EP34" s="33"/>
      <c r="EQ34" s="28">
        <f t="shared" si="31"/>
        <v>2140</v>
      </c>
      <c r="ER34" s="36"/>
      <c r="ES34" s="27"/>
      <c r="ET34" s="27"/>
      <c r="EU34" s="27"/>
      <c r="EV34" s="27"/>
      <c r="EW34" s="27"/>
      <c r="EX34" s="33">
        <f t="shared" si="32"/>
        <v>0</v>
      </c>
      <c r="EY34" s="2685"/>
      <c r="FA34" s="4">
        <f t="shared" si="33"/>
        <v>0</v>
      </c>
      <c r="FB34" s="5">
        <f t="shared" si="34"/>
        <v>0</v>
      </c>
      <c r="FC34" s="5">
        <f t="shared" si="35"/>
        <v>0</v>
      </c>
      <c r="FD34" s="12">
        <f t="shared" si="36"/>
        <v>0</v>
      </c>
      <c r="FE34" s="33"/>
      <c r="FF34" s="2674"/>
      <c r="FG34" s="9"/>
      <c r="FH34" s="5"/>
      <c r="FI34" s="5"/>
      <c r="FJ34" s="5"/>
      <c r="FK34" s="5"/>
      <c r="FL34" s="27"/>
      <c r="FM34" s="28">
        <f t="shared" si="37"/>
        <v>0</v>
      </c>
      <c r="FN34" s="36"/>
      <c r="FO34" s="27"/>
      <c r="FP34" s="27"/>
      <c r="FQ34" s="27"/>
      <c r="FR34" s="27"/>
      <c r="FS34" s="27"/>
      <c r="FT34" s="28">
        <f t="shared" si="38"/>
        <v>0</v>
      </c>
      <c r="FU34" s="36"/>
      <c r="FV34" s="36"/>
      <c r="FW34" s="27"/>
      <c r="FX34" s="27"/>
      <c r="FY34" s="27"/>
      <c r="FZ34" s="27"/>
      <c r="GA34" s="27"/>
      <c r="GB34" s="27"/>
      <c r="GC34" s="27"/>
      <c r="GD34" s="27"/>
      <c r="GE34" s="27"/>
      <c r="GF34" s="33"/>
      <c r="GG34" s="33">
        <f t="shared" si="39"/>
        <v>0</v>
      </c>
      <c r="GH34" s="2674"/>
      <c r="GJ34" s="2">
        <f t="shared" si="105"/>
        <v>773.53</v>
      </c>
      <c r="GK34" s="63">
        <f t="shared" si="106"/>
        <v>4750.4699999999993</v>
      </c>
      <c r="GL34" s="24">
        <f t="shared" si="107"/>
        <v>1702.71</v>
      </c>
      <c r="GM34" s="53">
        <f t="shared" si="40"/>
        <v>7226.7099999999991</v>
      </c>
      <c r="GN34" s="141"/>
      <c r="GO34" s="141"/>
      <c r="GP34" s="33"/>
      <c r="GQ34" s="2667"/>
      <c r="GR34" s="1740">
        <v>2899.3500000000004</v>
      </c>
      <c r="GS34" s="1736">
        <v>0</v>
      </c>
      <c r="GT34" s="1736">
        <v>2374.2999999999997</v>
      </c>
      <c r="GU34" s="1736">
        <v>1953.0599999999997</v>
      </c>
      <c r="GV34" s="33">
        <f t="shared" si="41"/>
        <v>7226.7099999999991</v>
      </c>
      <c r="GW34" s="2667"/>
      <c r="GX34" s="36"/>
      <c r="GY34" s="36"/>
      <c r="GZ34" s="27"/>
      <c r="HA34" s="27"/>
      <c r="HB34" s="27"/>
      <c r="HC34" s="27"/>
      <c r="HD34" s="27"/>
      <c r="HE34" s="27"/>
      <c r="HF34" s="27">
        <v>773.53</v>
      </c>
      <c r="HG34" s="27"/>
      <c r="HH34" s="27">
        <v>0</v>
      </c>
      <c r="HI34" s="27"/>
      <c r="HJ34" s="27">
        <v>0</v>
      </c>
      <c r="HK34" s="27"/>
      <c r="HL34" s="28">
        <f t="shared" si="120"/>
        <v>773.53</v>
      </c>
      <c r="HM34" s="36"/>
      <c r="HN34" s="27"/>
      <c r="HO34" s="27"/>
      <c r="HP34" s="27"/>
      <c r="HQ34" s="27"/>
      <c r="HR34" s="27"/>
      <c r="HS34" s="27" cm="1">
        <f t="array" ref="HS34">SUMPRODUCT(('Data Base hauling'!$C$2:$C$216="TCM-ROM SB1 BK05-ROM 4")*(ISNUMBER(SEARCH(TEXT('April TCM'!$B34,"00")&amp;"/03/2026",'Data Base hauling'!$E$2:$E$216)))*'Data Base hauling'!$N$2:$N$216)</f>
        <v>0</v>
      </c>
      <c r="HT34" s="27"/>
      <c r="HU34" s="27" cm="1">
        <f t="array" ref="HU34">SUMPRODUCT(('Data Base hauling'!$C$2:$C$216="TCM-ROM SB1 BK05-ROM 5")*(ISNUMBER(SEARCH(TEXT('April TCM'!$B34,"00")&amp;"/03/2026",'Data Base hauling'!$E$2:$E$216)))*'Data Base hauling'!$N$2:$N$216)</f>
        <v>0</v>
      </c>
      <c r="HV34" s="27"/>
      <c r="HW34" s="27"/>
      <c r="HX34" s="27"/>
      <c r="HY34" s="27"/>
      <c r="HZ34" s="27"/>
      <c r="IA34" s="33">
        <f t="shared" si="43"/>
        <v>0</v>
      </c>
      <c r="IB34" s="52"/>
      <c r="IC34" s="152"/>
      <c r="ID34" s="53"/>
      <c r="IE34" s="53"/>
      <c r="IF34" s="53"/>
      <c r="IG34" s="53"/>
      <c r="IH34" s="53">
        <v>0</v>
      </c>
      <c r="II34" s="53"/>
      <c r="IJ34" s="53">
        <v>4750.4699999999993</v>
      </c>
      <c r="IK34" s="53"/>
      <c r="IL34" s="53">
        <v>0</v>
      </c>
      <c r="IM34" s="53"/>
      <c r="IN34" s="53"/>
      <c r="IO34" s="49">
        <v>0</v>
      </c>
      <c r="IP34" s="61">
        <f t="shared" si="121"/>
        <v>4750.4699999999993</v>
      </c>
      <c r="IQ34" s="36"/>
      <c r="IR34" s="36"/>
      <c r="IS34" s="27"/>
      <c r="IT34" s="27"/>
      <c r="IU34" s="53"/>
      <c r="IV34" s="27"/>
      <c r="IW34" s="27">
        <v>0</v>
      </c>
      <c r="IX34" s="27"/>
      <c r="IY34" s="27">
        <v>1702.71</v>
      </c>
      <c r="IZ34" s="27"/>
      <c r="JA34" s="27">
        <v>0</v>
      </c>
      <c r="JB34" s="27"/>
      <c r="JC34" s="27"/>
      <c r="JD34" s="27"/>
      <c r="JE34" s="33">
        <f t="shared" si="122"/>
        <v>1702.71</v>
      </c>
      <c r="JF34" s="2667"/>
      <c r="JH34" s="2020">
        <v>7226.71</v>
      </c>
      <c r="JI34" s="2021">
        <v>0</v>
      </c>
      <c r="JJ34" s="53"/>
      <c r="JK34" s="53">
        <f t="shared" si="123"/>
        <v>7226.71</v>
      </c>
      <c r="JL34" s="33"/>
      <c r="JM34" s="2669"/>
      <c r="JN34" s="69">
        <v>0</v>
      </c>
      <c r="JO34" s="70">
        <v>0</v>
      </c>
      <c r="JP34" s="70">
        <v>0</v>
      </c>
      <c r="JQ34" s="850">
        <v>0</v>
      </c>
      <c r="JR34" s="850">
        <v>1</v>
      </c>
      <c r="JS34" s="850">
        <v>0</v>
      </c>
      <c r="JT34" s="70">
        <v>0</v>
      </c>
      <c r="JU34" s="1922">
        <v>0</v>
      </c>
      <c r="JV34" s="69" t="s">
        <v>296</v>
      </c>
      <c r="JW34" s="70" t="s">
        <v>296</v>
      </c>
      <c r="JX34" s="70" t="s">
        <v>296</v>
      </c>
      <c r="JY34" s="70" t="s">
        <v>296</v>
      </c>
      <c r="JZ34" s="70" t="s">
        <v>296</v>
      </c>
      <c r="KA34" s="70" t="s">
        <v>296</v>
      </c>
      <c r="KB34" s="70" t="s">
        <v>296</v>
      </c>
      <c r="KC34" s="71" t="s">
        <v>296</v>
      </c>
      <c r="KD34" s="69"/>
      <c r="KE34" s="70"/>
      <c r="KF34" s="70"/>
      <c r="KG34" s="70"/>
      <c r="KH34" s="70"/>
      <c r="KI34" s="70"/>
      <c r="KJ34" s="70"/>
      <c r="KK34" s="70"/>
      <c r="KL34" s="33"/>
      <c r="KM34" s="2669"/>
      <c r="KN34" s="1739">
        <v>7112.4149918522544</v>
      </c>
      <c r="KO34" s="1721">
        <v>0.93752851711026619</v>
      </c>
      <c r="KP34" s="1721">
        <v>2.8511080934274853</v>
      </c>
      <c r="KQ34" s="1721">
        <v>6.3243183052688758</v>
      </c>
      <c r="KR34" s="1722">
        <v>10.307296674633351</v>
      </c>
      <c r="KS34" s="1958">
        <v>0</v>
      </c>
      <c r="KT34" s="1961">
        <v>0</v>
      </c>
      <c r="KU34" s="1961">
        <v>0</v>
      </c>
      <c r="KV34" s="1961">
        <v>0</v>
      </c>
      <c r="KW34" s="1962">
        <v>0</v>
      </c>
      <c r="KX34" s="36"/>
      <c r="KY34" s="53"/>
      <c r="KZ34" s="53"/>
      <c r="LA34" s="53"/>
      <c r="LB34" s="53"/>
      <c r="LC34" s="33"/>
      <c r="LD34" s="2669"/>
      <c r="LF34" s="26">
        <f t="shared" si="47"/>
        <v>0</v>
      </c>
      <c r="LG34" s="27">
        <f t="shared" si="47"/>
        <v>7071.03</v>
      </c>
      <c r="LH34" s="27">
        <f t="shared" si="47"/>
        <v>0</v>
      </c>
      <c r="LI34" s="28">
        <f t="shared" si="48"/>
        <v>7071.03</v>
      </c>
      <c r="LJ34" s="36">
        <v>1</v>
      </c>
      <c r="LK34" s="27">
        <v>1</v>
      </c>
      <c r="LL34" s="27">
        <v>3</v>
      </c>
      <c r="LM34" s="33"/>
      <c r="LN34" s="1041">
        <v>4.9000000000000004</v>
      </c>
      <c r="LO34" s="486"/>
      <c r="LP34" s="2688"/>
      <c r="LQ34" s="36"/>
      <c r="LR34" s="36"/>
      <c r="LS34" s="27"/>
      <c r="LT34" s="27"/>
      <c r="LU34" s="27"/>
      <c r="LV34" s="1107">
        <f t="shared" si="49"/>
        <v>0</v>
      </c>
      <c r="LW34" s="36"/>
      <c r="LX34" s="36">
        <v>7071.03</v>
      </c>
      <c r="LY34" s="27"/>
      <c r="LZ34" s="27"/>
      <c r="MA34" s="33"/>
      <c r="MB34" s="28">
        <f t="shared" si="50"/>
        <v>7071.03</v>
      </c>
      <c r="MC34" s="26"/>
      <c r="MD34" s="36"/>
      <c r="ME34" s="27"/>
      <c r="MF34" s="27"/>
      <c r="MG34" s="27"/>
      <c r="MH34" s="28"/>
      <c r="MI34" s="36"/>
      <c r="MJ34" s="36"/>
      <c r="MK34" s="27"/>
      <c r="ML34" s="27"/>
      <c r="MM34" s="27"/>
      <c r="MN34" s="28"/>
      <c r="MO34" s="36"/>
      <c r="MP34" s="36"/>
      <c r="MQ34" s="27"/>
      <c r="MR34" s="27"/>
      <c r="MS34" s="27"/>
      <c r="MT34" s="33">
        <f t="shared" si="51"/>
        <v>0</v>
      </c>
      <c r="MU34" s="2688"/>
      <c r="MW34" s="26">
        <f t="shared" si="52"/>
        <v>175620.32939330628</v>
      </c>
      <c r="MX34" s="27">
        <f t="shared" si="53"/>
        <v>90061.663809620222</v>
      </c>
      <c r="MY34" s="27">
        <f t="shared" si="54"/>
        <v>19208.676980961227</v>
      </c>
      <c r="MZ34" s="28">
        <f t="shared" si="55"/>
        <v>413803.54855851003</v>
      </c>
      <c r="NA34" s="2621"/>
      <c r="NB34" s="23">
        <f t="shared" si="56"/>
        <v>71124.429361311268</v>
      </c>
      <c r="NC34" s="1579">
        <f t="shared" si="57"/>
        <v>104495.90003199503</v>
      </c>
      <c r="ND34" s="60">
        <f t="shared" si="58"/>
        <v>0</v>
      </c>
      <c r="NE34" s="275">
        <f t="shared" si="4"/>
        <v>175620.32939330628</v>
      </c>
      <c r="NF34" s="26">
        <f t="shared" si="126"/>
        <v>0</v>
      </c>
      <c r="NG34" s="27">
        <f t="shared" si="126"/>
        <v>0</v>
      </c>
      <c r="NH34" s="27">
        <f t="shared" si="126"/>
        <v>0</v>
      </c>
      <c r="NI34" s="27">
        <f t="shared" si="126"/>
        <v>0</v>
      </c>
      <c r="NJ34" s="27">
        <f t="shared" si="126"/>
        <v>0</v>
      </c>
      <c r="NK34" s="33">
        <f t="shared" si="126"/>
        <v>0</v>
      </c>
      <c r="NL34" s="27">
        <f t="shared" si="126"/>
        <v>0</v>
      </c>
      <c r="NM34" s="36">
        <f t="shared" si="126"/>
        <v>0</v>
      </c>
      <c r="NN34" s="24">
        <f t="shared" si="126"/>
        <v>13336.230566563145</v>
      </c>
      <c r="NO34" s="27">
        <f t="shared" si="126"/>
        <v>26196.69549600617</v>
      </c>
      <c r="NP34" s="24">
        <f t="shared" si="108"/>
        <v>8756.5482322711578</v>
      </c>
      <c r="NQ34" s="24">
        <f t="shared" si="109"/>
        <v>16314.774118033416</v>
      </c>
      <c r="NR34" s="27">
        <f t="shared" si="0"/>
        <v>64604.248412873887</v>
      </c>
      <c r="NS34" s="27">
        <f t="shared" si="127"/>
        <v>0</v>
      </c>
      <c r="NT34" s="27">
        <f t="shared" si="127"/>
        <v>0</v>
      </c>
      <c r="NU34" s="27">
        <f t="shared" si="127"/>
        <v>0</v>
      </c>
      <c r="NV34" s="27">
        <f t="shared" si="127"/>
        <v>0</v>
      </c>
      <c r="NW34" s="27">
        <f t="shared" si="127"/>
        <v>0</v>
      </c>
      <c r="NX34" s="5">
        <f t="shared" si="127"/>
        <v>0</v>
      </c>
      <c r="NY34" s="27">
        <f t="shared" si="127"/>
        <v>10125.943602292911</v>
      </c>
      <c r="NZ34" s="27">
        <f t="shared" si="127"/>
        <v>0</v>
      </c>
      <c r="OA34" s="27">
        <f t="shared" si="127"/>
        <v>5462.4580667828286</v>
      </c>
      <c r="OB34" s="27"/>
      <c r="OC34" s="24">
        <f t="shared" si="128"/>
        <v>349.54339982995594</v>
      </c>
      <c r="OD34" s="27">
        <f t="shared" si="128"/>
        <v>0</v>
      </c>
      <c r="OE34" s="28">
        <f t="shared" si="1"/>
        <v>15937.945068905696</v>
      </c>
      <c r="OF34" s="27">
        <f t="shared" si="129"/>
        <v>0</v>
      </c>
      <c r="OG34" s="27">
        <f t="shared" si="129"/>
        <v>0</v>
      </c>
      <c r="OH34" s="27">
        <f t="shared" si="129"/>
        <v>0</v>
      </c>
      <c r="OI34" s="27">
        <f t="shared" si="129"/>
        <v>0</v>
      </c>
      <c r="OJ34" s="27">
        <f t="shared" si="129"/>
        <v>0</v>
      </c>
      <c r="OK34" s="27">
        <f t="shared" si="129"/>
        <v>0</v>
      </c>
      <c r="OL34" s="24">
        <f t="shared" si="129"/>
        <v>0</v>
      </c>
      <c r="OM34" s="27">
        <f t="shared" si="129"/>
        <v>0</v>
      </c>
      <c r="ON34" s="24">
        <f t="shared" si="129"/>
        <v>7005.6062180265171</v>
      </c>
      <c r="OO34" s="27">
        <f t="shared" si="129"/>
        <v>0</v>
      </c>
      <c r="OP34" s="27">
        <f t="shared" si="129"/>
        <v>2513.8641098141266</v>
      </c>
      <c r="OQ34" s="27">
        <f t="shared" si="129"/>
        <v>0</v>
      </c>
      <c r="OR34" s="28">
        <f t="shared" si="2"/>
        <v>9519.4703278406432</v>
      </c>
      <c r="OS34" s="36"/>
      <c r="OT34" s="27"/>
      <c r="OU34" s="27"/>
      <c r="OV34" s="27"/>
      <c r="OW34" s="27"/>
      <c r="OX34" s="27"/>
      <c r="OY34" s="28">
        <f t="shared" si="63"/>
        <v>0</v>
      </c>
      <c r="OZ34" s="36">
        <f t="shared" si="64"/>
        <v>0</v>
      </c>
      <c r="PA34" s="27">
        <f t="shared" si="65"/>
        <v>0</v>
      </c>
      <c r="PB34" s="27">
        <f t="shared" si="66"/>
        <v>0</v>
      </c>
      <c r="PC34" s="27">
        <f t="shared" si="67"/>
        <v>0</v>
      </c>
      <c r="PD34" s="27">
        <f t="shared" si="68"/>
        <v>0</v>
      </c>
      <c r="PE34" s="27">
        <f t="shared" si="69"/>
        <v>0</v>
      </c>
      <c r="PF34" s="33">
        <f t="shared" si="3"/>
        <v>0</v>
      </c>
      <c r="PG34" s="2621"/>
      <c r="PI34" s="2">
        <v>2335.0299999999997</v>
      </c>
      <c r="PJ34" s="3"/>
      <c r="PK34" s="3"/>
      <c r="PL34" s="3">
        <f t="shared" si="70"/>
        <v>0</v>
      </c>
      <c r="PM34" s="3">
        <f t="shared" si="71"/>
        <v>31324.578459344182</v>
      </c>
      <c r="PN34" s="11">
        <f t="shared" si="72"/>
        <v>19208.676980961227</v>
      </c>
      <c r="PO34" s="15"/>
      <c r="PP34" s="2615"/>
      <c r="PR34" s="4"/>
      <c r="PS34" s="9"/>
      <c r="PT34" s="9"/>
      <c r="PU34" s="9"/>
      <c r="PV34" s="9">
        <v>0</v>
      </c>
      <c r="PW34" s="9"/>
      <c r="PX34" s="8">
        <f t="shared" si="73"/>
        <v>0</v>
      </c>
      <c r="PY34" s="5">
        <f t="shared" si="74"/>
        <v>2335.0299999999997</v>
      </c>
      <c r="PZ34" s="5"/>
      <c r="QA34" s="5"/>
      <c r="QB34" s="5"/>
      <c r="QC34" s="5"/>
      <c r="QD34" s="5"/>
      <c r="QE34" s="12">
        <f t="shared" si="75"/>
        <v>29562.488999999998</v>
      </c>
      <c r="QF34" s="420">
        <f t="shared" si="76"/>
        <v>383125.03955851001</v>
      </c>
      <c r="QG34" s="1106">
        <f t="shared" si="77"/>
        <v>1116.02</v>
      </c>
      <c r="QH34" s="484">
        <f t="shared" si="78"/>
        <v>5505.3678056099998</v>
      </c>
      <c r="QI34" s="12"/>
      <c r="QJ34" s="2615"/>
      <c r="QL34" s="139">
        <f t="shared" si="79"/>
        <v>0</v>
      </c>
      <c r="QM34" s="139" t="str">
        <f t="shared" si="80"/>
        <v/>
      </c>
      <c r="QO34" s="139">
        <f t="shared" si="81"/>
        <v>0</v>
      </c>
      <c r="QP34" s="139">
        <f t="shared" si="82"/>
        <v>0</v>
      </c>
      <c r="QR34" s="1">
        <f t="shared" si="83"/>
        <v>0</v>
      </c>
      <c r="QS34" s="1">
        <f t="shared" si="84"/>
        <v>0</v>
      </c>
      <c r="QT34" s="1">
        <f t="shared" si="85"/>
        <v>0</v>
      </c>
      <c r="QU34" s="1">
        <f t="shared" si="86"/>
        <v>0</v>
      </c>
      <c r="QV34" s="1">
        <f t="shared" si="87"/>
        <v>0</v>
      </c>
      <c r="QW34" s="1">
        <f t="shared" si="88"/>
        <v>0</v>
      </c>
      <c r="QY34" s="1">
        <f t="shared" si="89"/>
        <v>0</v>
      </c>
      <c r="QZ34" s="1">
        <f t="shared" si="90"/>
        <v>0</v>
      </c>
      <c r="RA34" s="1">
        <f t="shared" si="91"/>
        <v>0</v>
      </c>
      <c r="RB34" s="1">
        <f t="shared" si="92"/>
        <v>0</v>
      </c>
      <c r="RC34" s="1">
        <f t="shared" si="93"/>
        <v>0</v>
      </c>
      <c r="RD34" s="1">
        <f t="shared" si="94"/>
        <v>0</v>
      </c>
      <c r="RG34" s="1">
        <v>25</v>
      </c>
      <c r="RH34" s="1">
        <f t="shared" si="124"/>
        <v>64077.321209717098</v>
      </c>
      <c r="RI34" s="1">
        <f t="shared" si="124"/>
        <v>60194.465780483733</v>
      </c>
      <c r="RJ34" s="1">
        <f t="shared" si="124"/>
        <v>13404.263703387322</v>
      </c>
      <c r="RK34" s="89">
        <f t="shared" si="5"/>
        <v>137676.05069358816</v>
      </c>
      <c r="RL34" s="1033">
        <v>25</v>
      </c>
      <c r="RM34" s="1098">
        <f t="shared" si="96"/>
        <v>0</v>
      </c>
      <c r="RN34" s="1098">
        <f t="shared" si="97"/>
        <v>0</v>
      </c>
      <c r="RO34" s="1097">
        <f t="shared" si="97"/>
        <v>0</v>
      </c>
      <c r="RP34" s="1097">
        <f t="shared" si="98"/>
        <v>6585.4699999999984</v>
      </c>
      <c r="RQ34" s="1094"/>
      <c r="RR34" s="1094" t="s">
        <v>921</v>
      </c>
      <c r="RU34" s="421">
        <v>25</v>
      </c>
      <c r="RV34" s="1095">
        <f t="shared" si="99"/>
        <v>7226.7099999999991</v>
      </c>
      <c r="RW34" s="1046" t="s">
        <v>922</v>
      </c>
      <c r="RY34" s="1090"/>
      <c r="RZ34" s="1090">
        <f t="shared" si="100"/>
        <v>0</v>
      </c>
      <c r="SA34" s="1090"/>
      <c r="SB34" s="1090">
        <f t="shared" si="101"/>
        <v>0</v>
      </c>
      <c r="SD34" s="1">
        <v>25</v>
      </c>
      <c r="SE34" s="1">
        <f t="shared" si="102"/>
        <v>0</v>
      </c>
      <c r="SF34" s="1094"/>
    </row>
    <row r="35" spans="1:500" s="1" customFormat="1">
      <c r="B35" s="471">
        <v>26</v>
      </c>
      <c r="C35" s="4">
        <f t="shared" si="6"/>
        <v>158273</v>
      </c>
      <c r="D35" s="1590">
        <f t="shared" si="119"/>
        <v>9293.06</v>
      </c>
      <c r="E35" s="1895">
        <f t="shared" si="7"/>
        <v>17.031311537857285</v>
      </c>
      <c r="F35" s="870"/>
      <c r="G35" s="870"/>
      <c r="H35" s="52"/>
      <c r="I35" s="61"/>
      <c r="J35" s="52"/>
      <c r="K35" s="54"/>
      <c r="L35" s="52">
        <v>0.5</v>
      </c>
      <c r="M35" s="61">
        <v>1.07</v>
      </c>
      <c r="N35" s="2629"/>
      <c r="O35" s="4">
        <f t="shared" si="125"/>
        <v>104964</v>
      </c>
      <c r="P35" s="1225">
        <f t="shared" si="8"/>
        <v>5638.6399999999994</v>
      </c>
      <c r="Q35" s="1913">
        <f t="shared" si="9"/>
        <v>18.61512705191323</v>
      </c>
      <c r="R35" s="33"/>
      <c r="S35" s="26">
        <f t="shared" si="10"/>
        <v>25507</v>
      </c>
      <c r="T35" s="27">
        <f t="shared" si="11"/>
        <v>1714.42</v>
      </c>
      <c r="U35" s="1909">
        <f t="shared" si="12"/>
        <v>14.877917896431445</v>
      </c>
      <c r="V35" s="28"/>
      <c r="W35" s="26">
        <f t="shared" si="13"/>
        <v>27802</v>
      </c>
      <c r="X35" s="5">
        <f t="shared" si="13"/>
        <v>1940</v>
      </c>
      <c r="Y35" s="325">
        <f t="shared" si="14"/>
        <v>14.330927835051547</v>
      </c>
      <c r="Z35" s="33"/>
      <c r="AA35" s="26">
        <f t="shared" si="15"/>
        <v>0</v>
      </c>
      <c r="AB35" s="27">
        <f t="shared" si="16"/>
        <v>0</v>
      </c>
      <c r="AC35" s="53">
        <f t="shared" si="17"/>
        <v>0</v>
      </c>
      <c r="AD35" s="28"/>
      <c r="AE35" s="36"/>
      <c r="AF35" s="36"/>
      <c r="AG35" s="53">
        <f t="shared" si="18"/>
        <v>0</v>
      </c>
      <c r="AH35" s="28"/>
      <c r="AI35" s="26"/>
      <c r="AJ35" s="27"/>
      <c r="AK35" s="53">
        <f t="shared" si="19"/>
        <v>0</v>
      </c>
      <c r="AL35" s="28"/>
      <c r="AM35" s="2629"/>
      <c r="AN35" s="9"/>
      <c r="AO35" s="5"/>
      <c r="AP35" s="61">
        <f t="shared" si="20"/>
        <v>0</v>
      </c>
      <c r="AQ35" s="36"/>
      <c r="AR35" s="53"/>
      <c r="AS35" s="61">
        <f t="shared" si="21"/>
        <v>0</v>
      </c>
      <c r="AT35" s="36">
        <v>0</v>
      </c>
      <c r="AU35" s="27"/>
      <c r="AV35" s="54">
        <f t="shared" si="22"/>
        <v>0</v>
      </c>
      <c r="AW35" s="26">
        <v>64602</v>
      </c>
      <c r="AX35" s="27">
        <v>3224.48</v>
      </c>
      <c r="AY35" s="1895">
        <v>20.034858333746836</v>
      </c>
      <c r="AZ35" s="1908"/>
      <c r="BA35" s="1909"/>
      <c r="BB35" s="1895">
        <v>0</v>
      </c>
      <c r="BC35" s="1908">
        <v>40362</v>
      </c>
      <c r="BD35" s="1909">
        <v>2414.16</v>
      </c>
      <c r="BE35" s="1895">
        <v>16.718858733472512</v>
      </c>
      <c r="BF35" s="1908"/>
      <c r="BG35" s="1909"/>
      <c r="BH35" s="1895">
        <v>0</v>
      </c>
      <c r="BI35" s="1908">
        <v>0</v>
      </c>
      <c r="BJ35" s="1909">
        <v>0</v>
      </c>
      <c r="BK35" s="1895">
        <v>0</v>
      </c>
      <c r="BL35" s="1910">
        <v>25507</v>
      </c>
      <c r="BM35" s="1909">
        <v>1714.42</v>
      </c>
      <c r="BN35" s="1895">
        <v>14.877917896431445</v>
      </c>
      <c r="BO35" s="9"/>
      <c r="BP35" s="64"/>
      <c r="BQ35" s="61">
        <v>0</v>
      </c>
      <c r="BR35" s="36"/>
      <c r="BS35" s="53"/>
      <c r="BT35" s="61">
        <v>0</v>
      </c>
      <c r="BU35" s="36">
        <v>27802</v>
      </c>
      <c r="BV35" s="5">
        <v>1940</v>
      </c>
      <c r="BW35" s="28">
        <v>14.330927835051547</v>
      </c>
      <c r="BX35" s="4"/>
      <c r="BY35" s="5"/>
      <c r="BZ35" s="61">
        <f t="shared" si="23"/>
        <v>0</v>
      </c>
      <c r="CA35" s="36"/>
      <c r="CB35" s="5"/>
      <c r="CC35" s="61">
        <f t="shared" si="24"/>
        <v>0</v>
      </c>
      <c r="CD35" s="26"/>
      <c r="CE35" s="5"/>
      <c r="CF35" s="28">
        <f t="shared" si="25"/>
        <v>0</v>
      </c>
      <c r="CG35" s="150"/>
      <c r="CH35" s="1108"/>
      <c r="CI35" s="5"/>
      <c r="CJ35" s="5">
        <v>4561</v>
      </c>
      <c r="CK35" s="5"/>
      <c r="CL35" s="5"/>
      <c r="CM35" s="5">
        <f t="shared" si="26"/>
        <v>4561</v>
      </c>
      <c r="CN35" s="33"/>
      <c r="CO35" s="366"/>
      <c r="CQ35" s="4">
        <f t="shared" si="131"/>
        <v>0</v>
      </c>
      <c r="CR35" s="9">
        <f t="shared" si="131"/>
        <v>0</v>
      </c>
      <c r="CS35" s="5">
        <f t="shared" si="131"/>
        <v>0</v>
      </c>
      <c r="CT35" s="5">
        <f t="shared" si="130"/>
        <v>0</v>
      </c>
      <c r="CU35" s="5">
        <f t="shared" si="130"/>
        <v>0</v>
      </c>
      <c r="CV35" s="5">
        <f t="shared" si="130"/>
        <v>0</v>
      </c>
      <c r="CW35" s="5">
        <f t="shared" si="130"/>
        <v>278.72000000000003</v>
      </c>
      <c r="CX35" s="5">
        <f t="shared" si="130"/>
        <v>0</v>
      </c>
      <c r="CY35" s="5">
        <f t="shared" si="130"/>
        <v>8034.34</v>
      </c>
      <c r="CZ35" s="5">
        <f t="shared" si="130"/>
        <v>0</v>
      </c>
      <c r="DA35" s="5">
        <f t="shared" si="130"/>
        <v>980</v>
      </c>
      <c r="DB35" s="12">
        <f t="shared" si="130"/>
        <v>0</v>
      </c>
      <c r="DC35" s="310">
        <f>SUM(CQ35:DB35,PV35)</f>
        <v>9293.06</v>
      </c>
      <c r="DD35" s="2695"/>
      <c r="DE35" s="8"/>
      <c r="DF35" s="9"/>
      <c r="DG35" s="5"/>
      <c r="DH35" s="5"/>
      <c r="DI35" s="5"/>
      <c r="DJ35" s="5"/>
      <c r="DK35" s="5">
        <v>278.72000000000003</v>
      </c>
      <c r="DL35" s="5"/>
      <c r="DM35" s="5">
        <v>2945.7599999999998</v>
      </c>
      <c r="DN35" s="5"/>
      <c r="DO35" s="5"/>
      <c r="DP35" s="12"/>
      <c r="DQ35" s="28">
        <f t="shared" si="29"/>
        <v>3224.4799999999996</v>
      </c>
      <c r="DR35" s="36"/>
      <c r="DS35" s="36"/>
      <c r="DT35" s="27"/>
      <c r="DU35" s="27"/>
      <c r="DV35" s="27"/>
      <c r="DW35" s="27"/>
      <c r="DX35" s="27"/>
      <c r="DY35" s="27"/>
      <c r="DZ35" s="27">
        <v>4128.58</v>
      </c>
      <c r="EA35" s="27"/>
      <c r="EB35" s="27">
        <v>0</v>
      </c>
      <c r="EC35" s="33"/>
      <c r="ED35" s="28">
        <f t="shared" si="30"/>
        <v>4128.58</v>
      </c>
      <c r="EE35" s="9"/>
      <c r="EF35" s="36"/>
      <c r="EG35" s="27"/>
      <c r="EH35" s="27"/>
      <c r="EI35" s="27"/>
      <c r="EJ35" s="27"/>
      <c r="EK35" s="27"/>
      <c r="EL35" s="27"/>
      <c r="EM35" s="5">
        <v>960</v>
      </c>
      <c r="EN35" s="5"/>
      <c r="EO35" s="5">
        <v>980</v>
      </c>
      <c r="EP35" s="33"/>
      <c r="EQ35" s="28">
        <f t="shared" si="31"/>
        <v>1940</v>
      </c>
      <c r="ER35" s="36"/>
      <c r="ES35" s="27"/>
      <c r="ET35" s="27"/>
      <c r="EU35" s="27"/>
      <c r="EV35" s="27"/>
      <c r="EW35" s="27"/>
      <c r="EX35" s="33">
        <f t="shared" si="32"/>
        <v>0</v>
      </c>
      <c r="EY35" s="2685"/>
      <c r="FA35" s="4">
        <f t="shared" si="33"/>
        <v>0</v>
      </c>
      <c r="FB35" s="5">
        <f t="shared" si="34"/>
        <v>0</v>
      </c>
      <c r="FC35" s="5">
        <f t="shared" si="35"/>
        <v>0</v>
      </c>
      <c r="FD35" s="12">
        <f t="shared" si="36"/>
        <v>0</v>
      </c>
      <c r="FE35" s="33"/>
      <c r="FF35" s="2674"/>
      <c r="FG35" s="9"/>
      <c r="FH35" s="5"/>
      <c r="FI35" s="5"/>
      <c r="FJ35" s="5"/>
      <c r="FK35" s="5"/>
      <c r="FL35" s="27"/>
      <c r="FM35" s="28">
        <f t="shared" si="37"/>
        <v>0</v>
      </c>
      <c r="FN35" s="36"/>
      <c r="FO35" s="27"/>
      <c r="FP35" s="27"/>
      <c r="FQ35" s="27"/>
      <c r="FR35" s="27"/>
      <c r="FS35" s="27"/>
      <c r="FT35" s="28">
        <f t="shared" si="38"/>
        <v>0</v>
      </c>
      <c r="FU35" s="36"/>
      <c r="FV35" s="36"/>
      <c r="FW35" s="27"/>
      <c r="FX35" s="27"/>
      <c r="FY35" s="27"/>
      <c r="FZ35" s="27"/>
      <c r="GA35" s="27"/>
      <c r="GB35" s="27"/>
      <c r="GC35" s="27"/>
      <c r="GD35" s="27"/>
      <c r="GE35" s="27"/>
      <c r="GF35" s="33"/>
      <c r="GG35" s="33">
        <f t="shared" si="39"/>
        <v>0</v>
      </c>
      <c r="GH35" s="2674"/>
      <c r="GJ35" s="2">
        <f t="shared" si="105"/>
        <v>11043.440000000002</v>
      </c>
      <c r="GK35" s="63">
        <f t="shared" si="106"/>
        <v>6932.6</v>
      </c>
      <c r="GL35" s="24">
        <f t="shared" si="107"/>
        <v>0</v>
      </c>
      <c r="GM35" s="53">
        <f t="shared" si="40"/>
        <v>17976.04</v>
      </c>
      <c r="GN35" s="141"/>
      <c r="GO35" s="141"/>
      <c r="GP35" s="33"/>
      <c r="GQ35" s="2667"/>
      <c r="GR35" s="1740">
        <v>6292.8499999999995</v>
      </c>
      <c r="GS35" s="1736">
        <v>0</v>
      </c>
      <c r="GT35" s="1736">
        <v>6152.7800000000007</v>
      </c>
      <c r="GU35" s="1736">
        <v>5530.4099999999989</v>
      </c>
      <c r="GV35" s="33">
        <f t="shared" si="41"/>
        <v>17976.04</v>
      </c>
      <c r="GW35" s="2667"/>
      <c r="GX35" s="36"/>
      <c r="GY35" s="36"/>
      <c r="GZ35" s="27"/>
      <c r="HA35" s="27"/>
      <c r="HB35" s="27"/>
      <c r="HC35" s="27"/>
      <c r="HD35" s="27"/>
      <c r="HE35" s="27"/>
      <c r="HF35" s="27">
        <v>0</v>
      </c>
      <c r="HG35" s="27"/>
      <c r="HH35" s="27">
        <v>11043.440000000002</v>
      </c>
      <c r="HI35" s="27"/>
      <c r="HJ35" s="27">
        <v>0</v>
      </c>
      <c r="HK35" s="27"/>
      <c r="HL35" s="28">
        <f t="shared" si="120"/>
        <v>11043.440000000002</v>
      </c>
      <c r="HM35" s="36"/>
      <c r="HN35" s="27"/>
      <c r="HO35" s="27"/>
      <c r="HP35" s="27"/>
      <c r="HQ35" s="27"/>
      <c r="HR35" s="27"/>
      <c r="HS35" s="27" cm="1">
        <f t="array" ref="HS35">SUMPRODUCT(('Data Base hauling'!$C$2:$C$216="TCM-ROM SB1 BK05-ROM 4")*(ISNUMBER(SEARCH(TEXT('April TCM'!$B35,"00")&amp;"/03/2026",'Data Base hauling'!$E$2:$E$216)))*'Data Base hauling'!$N$2:$N$216)</f>
        <v>0</v>
      </c>
      <c r="HT35" s="27"/>
      <c r="HU35" s="27" cm="1">
        <f t="array" ref="HU35">SUMPRODUCT(('Data Base hauling'!$C$2:$C$216="TCM-ROM SB1 BK05-ROM 5")*(ISNUMBER(SEARCH(TEXT('April TCM'!$B35,"00")&amp;"/03/2026",'Data Base hauling'!$E$2:$E$216)))*'Data Base hauling'!$N$2:$N$216)</f>
        <v>0</v>
      </c>
      <c r="HV35" s="27"/>
      <c r="HW35" s="27"/>
      <c r="HX35" s="27"/>
      <c r="HY35" s="27"/>
      <c r="HZ35" s="27"/>
      <c r="IA35" s="33">
        <f t="shared" si="43"/>
        <v>0</v>
      </c>
      <c r="IB35" s="52"/>
      <c r="IC35" s="152"/>
      <c r="ID35" s="53"/>
      <c r="IE35" s="53"/>
      <c r="IF35" s="53"/>
      <c r="IG35" s="53"/>
      <c r="IH35" s="53">
        <v>3607.33</v>
      </c>
      <c r="II35" s="53"/>
      <c r="IJ35" s="53">
        <v>3325.2700000000004</v>
      </c>
      <c r="IK35" s="53"/>
      <c r="IL35" s="53">
        <v>0</v>
      </c>
      <c r="IM35" s="53"/>
      <c r="IN35" s="53"/>
      <c r="IO35" s="49">
        <v>0</v>
      </c>
      <c r="IP35" s="61">
        <f t="shared" si="121"/>
        <v>6932.6</v>
      </c>
      <c r="IQ35" s="36"/>
      <c r="IR35" s="36"/>
      <c r="IS35" s="27"/>
      <c r="IT35" s="27"/>
      <c r="IU35" s="53"/>
      <c r="IV35" s="27"/>
      <c r="IW35" s="27">
        <v>0</v>
      </c>
      <c r="IX35" s="27"/>
      <c r="IY35" s="27">
        <v>0</v>
      </c>
      <c r="IZ35" s="27"/>
      <c r="JA35" s="27">
        <v>0</v>
      </c>
      <c r="JB35" s="27"/>
      <c r="JC35" s="27"/>
      <c r="JD35" s="27"/>
      <c r="JE35" s="33">
        <f t="shared" si="122"/>
        <v>0</v>
      </c>
      <c r="JF35" s="2667"/>
      <c r="JH35" s="2020">
        <v>0</v>
      </c>
      <c r="JI35" s="2021">
        <v>17976.04</v>
      </c>
      <c r="JJ35" s="53"/>
      <c r="JK35" s="53">
        <f t="shared" si="123"/>
        <v>17976.04</v>
      </c>
      <c r="JL35" s="33"/>
      <c r="JM35" s="2669"/>
      <c r="JN35" s="69" t="s">
        <v>296</v>
      </c>
      <c r="JO35" s="70" t="s">
        <v>296</v>
      </c>
      <c r="JP35" s="70" t="s">
        <v>296</v>
      </c>
      <c r="JQ35" s="70" t="s">
        <v>296</v>
      </c>
      <c r="JR35" s="70" t="s">
        <v>296</v>
      </c>
      <c r="JS35" s="70" t="s">
        <v>296</v>
      </c>
      <c r="JT35" s="70" t="s">
        <v>296</v>
      </c>
      <c r="JU35" s="1922">
        <v>0</v>
      </c>
      <c r="JV35" s="69">
        <v>0</v>
      </c>
      <c r="JW35" s="70">
        <v>0</v>
      </c>
      <c r="JX35" s="70">
        <v>0</v>
      </c>
      <c r="JY35" s="70">
        <v>0.20067434206866472</v>
      </c>
      <c r="JZ35" s="70">
        <v>0.18498345575555017</v>
      </c>
      <c r="KA35" s="70">
        <v>0.61434220217578517</v>
      </c>
      <c r="KB35" s="70">
        <v>0</v>
      </c>
      <c r="KC35" s="71">
        <v>0</v>
      </c>
      <c r="KD35" s="69"/>
      <c r="KE35" s="70"/>
      <c r="KF35" s="70"/>
      <c r="KG35" s="70"/>
      <c r="KH35" s="70"/>
      <c r="KI35" s="70"/>
      <c r="KJ35" s="70"/>
      <c r="KK35" s="70"/>
      <c r="KL35" s="33"/>
      <c r="KM35" s="2669"/>
      <c r="KN35" s="1739">
        <v>0</v>
      </c>
      <c r="KO35" s="1721">
        <v>0</v>
      </c>
      <c r="KP35" s="1721">
        <v>0</v>
      </c>
      <c r="KQ35" s="1721">
        <v>0</v>
      </c>
      <c r="KR35" s="1722">
        <v>0</v>
      </c>
      <c r="KS35" s="1958">
        <v>6762.7314096653472</v>
      </c>
      <c r="KT35" s="1961">
        <v>1.9815398383684979</v>
      </c>
      <c r="KU35" s="1961">
        <v>8.4512171177523463</v>
      </c>
      <c r="KV35" s="1961">
        <v>5.4555627271248026</v>
      </c>
      <c r="KW35" s="1962">
        <v>8.4886808655421166</v>
      </c>
      <c r="KX35" s="36"/>
      <c r="KY35" s="53"/>
      <c r="KZ35" s="53"/>
      <c r="LA35" s="53"/>
      <c r="LB35" s="53"/>
      <c r="LC35" s="33"/>
      <c r="LD35" s="2669"/>
      <c r="LF35" s="26">
        <f t="shared" si="47"/>
        <v>17707.57</v>
      </c>
      <c r="LG35" s="27">
        <f t="shared" si="47"/>
        <v>17485.287</v>
      </c>
      <c r="LH35" s="27">
        <f t="shared" si="47"/>
        <v>0</v>
      </c>
      <c r="LI35" s="28">
        <f t="shared" si="48"/>
        <v>35192.857000000004</v>
      </c>
      <c r="LJ35" s="36">
        <v>5</v>
      </c>
      <c r="LK35" s="27"/>
      <c r="LL35" s="27"/>
      <c r="LM35" s="33"/>
      <c r="LN35" s="1041">
        <v>4.8899999999999997</v>
      </c>
      <c r="LO35" s="486"/>
      <c r="LP35" s="2688"/>
      <c r="LQ35" s="36">
        <v>12593.66</v>
      </c>
      <c r="LR35" s="36"/>
      <c r="LS35" s="27"/>
      <c r="LT35" s="27"/>
      <c r="LU35" s="27"/>
      <c r="LV35" s="1107">
        <f t="shared" si="49"/>
        <v>12593.66</v>
      </c>
      <c r="LW35" s="36">
        <v>5113.91</v>
      </c>
      <c r="LX35" s="36">
        <v>17485.287</v>
      </c>
      <c r="LY35" s="27"/>
      <c r="LZ35" s="27"/>
      <c r="MA35" s="33"/>
      <c r="MB35" s="28">
        <f t="shared" si="50"/>
        <v>22599.197</v>
      </c>
      <c r="MC35" s="26"/>
      <c r="MD35" s="36"/>
      <c r="ME35" s="27"/>
      <c r="MF35" s="27"/>
      <c r="MG35" s="27"/>
      <c r="MH35" s="28"/>
      <c r="MI35" s="36"/>
      <c r="MJ35" s="36"/>
      <c r="MK35" s="27"/>
      <c r="ML35" s="27"/>
      <c r="MM35" s="27"/>
      <c r="MN35" s="28"/>
      <c r="MO35" s="36"/>
      <c r="MP35" s="36"/>
      <c r="MQ35" s="27"/>
      <c r="MR35" s="27"/>
      <c r="MS35" s="27"/>
      <c r="MT35" s="33">
        <f t="shared" si="51"/>
        <v>0</v>
      </c>
      <c r="MU35" s="2688"/>
      <c r="MW35" s="26">
        <f t="shared" si="52"/>
        <v>158403.5123933063</v>
      </c>
      <c r="MX35" s="27">
        <f t="shared" si="53"/>
        <v>81378.683809620212</v>
      </c>
      <c r="MY35" s="27">
        <f t="shared" si="54"/>
        <v>19208.676980961227</v>
      </c>
      <c r="MZ35" s="28">
        <f t="shared" si="55"/>
        <v>411965.30855851003</v>
      </c>
      <c r="NA35" s="2621"/>
      <c r="NB35" s="23">
        <f t="shared" si="56"/>
        <v>53416.859361311268</v>
      </c>
      <c r="NC35" s="1579">
        <f t="shared" si="57"/>
        <v>104986.65303199504</v>
      </c>
      <c r="ND35" s="60">
        <f t="shared" si="58"/>
        <v>0</v>
      </c>
      <c r="NE35" s="275">
        <f t="shared" si="4"/>
        <v>158403.5123933063</v>
      </c>
      <c r="NF35" s="26">
        <f t="shared" si="126"/>
        <v>0</v>
      </c>
      <c r="NG35" s="27">
        <f t="shared" si="126"/>
        <v>0</v>
      </c>
      <c r="NH35" s="27">
        <f t="shared" si="126"/>
        <v>0</v>
      </c>
      <c r="NI35" s="27">
        <f t="shared" si="126"/>
        <v>0</v>
      </c>
      <c r="NJ35" s="27">
        <f t="shared" si="126"/>
        <v>0</v>
      </c>
      <c r="NK35" s="33">
        <f t="shared" si="126"/>
        <v>0</v>
      </c>
      <c r="NL35" s="27">
        <f t="shared" si="126"/>
        <v>0</v>
      </c>
      <c r="NM35" s="36">
        <f t="shared" si="126"/>
        <v>0</v>
      </c>
      <c r="NN35" s="24">
        <f t="shared" si="126"/>
        <v>14296.230566563145</v>
      </c>
      <c r="NO35" s="27">
        <f t="shared" si="126"/>
        <v>26196.69549600617</v>
      </c>
      <c r="NP35" s="24">
        <f t="shared" si="108"/>
        <v>8756.5482322711578</v>
      </c>
      <c r="NQ35" s="24">
        <f t="shared" si="109"/>
        <v>6251.3341180334137</v>
      </c>
      <c r="NR35" s="27">
        <f t="shared" si="0"/>
        <v>55500.808412873885</v>
      </c>
      <c r="NS35" s="27">
        <f t="shared" si="127"/>
        <v>0</v>
      </c>
      <c r="NT35" s="27">
        <f t="shared" si="127"/>
        <v>0</v>
      </c>
      <c r="NU35" s="27">
        <f t="shared" si="127"/>
        <v>0</v>
      </c>
      <c r="NV35" s="27">
        <f t="shared" si="127"/>
        <v>0</v>
      </c>
      <c r="NW35" s="27">
        <f t="shared" si="127"/>
        <v>0</v>
      </c>
      <c r="NX35" s="5">
        <f t="shared" si="127"/>
        <v>0</v>
      </c>
      <c r="NY35" s="27">
        <f t="shared" si="127"/>
        <v>6797.3336022929107</v>
      </c>
      <c r="NZ35" s="27">
        <f t="shared" si="127"/>
        <v>0</v>
      </c>
      <c r="OA35" s="27">
        <f t="shared" si="127"/>
        <v>5082.9480667828284</v>
      </c>
      <c r="OB35" s="27"/>
      <c r="OC35" s="24">
        <f t="shared" si="128"/>
        <v>349.54339982995594</v>
      </c>
      <c r="OD35" s="27">
        <f t="shared" si="128"/>
        <v>0</v>
      </c>
      <c r="OE35" s="28">
        <f t="shared" si="1"/>
        <v>12229.825068905695</v>
      </c>
      <c r="OF35" s="27">
        <f t="shared" si="129"/>
        <v>0</v>
      </c>
      <c r="OG35" s="27">
        <f t="shared" si="129"/>
        <v>0</v>
      </c>
      <c r="OH35" s="27">
        <f t="shared" si="129"/>
        <v>0</v>
      </c>
      <c r="OI35" s="27">
        <f t="shared" si="129"/>
        <v>0</v>
      </c>
      <c r="OJ35" s="27">
        <f t="shared" si="129"/>
        <v>0</v>
      </c>
      <c r="OK35" s="27">
        <f t="shared" si="129"/>
        <v>0</v>
      </c>
      <c r="OL35" s="24">
        <f t="shared" si="129"/>
        <v>0</v>
      </c>
      <c r="OM35" s="27">
        <f t="shared" si="129"/>
        <v>0</v>
      </c>
      <c r="ON35" s="24">
        <f t="shared" si="129"/>
        <v>11134.186218026516</v>
      </c>
      <c r="OO35" s="27">
        <f t="shared" si="129"/>
        <v>0</v>
      </c>
      <c r="OP35" s="27">
        <f t="shared" si="129"/>
        <v>2513.8641098141266</v>
      </c>
      <c r="OQ35" s="27">
        <f t="shared" si="129"/>
        <v>0</v>
      </c>
      <c r="OR35" s="28">
        <f t="shared" si="2"/>
        <v>13648.050327840643</v>
      </c>
      <c r="OS35" s="36"/>
      <c r="OT35" s="27"/>
      <c r="OU35" s="27"/>
      <c r="OV35" s="27"/>
      <c r="OW35" s="27"/>
      <c r="OX35" s="27"/>
      <c r="OY35" s="28">
        <f t="shared" si="63"/>
        <v>0</v>
      </c>
      <c r="OZ35" s="36">
        <f t="shared" si="64"/>
        <v>0</v>
      </c>
      <c r="PA35" s="27">
        <f t="shared" si="65"/>
        <v>0</v>
      </c>
      <c r="PB35" s="27">
        <f t="shared" si="66"/>
        <v>0</v>
      </c>
      <c r="PC35" s="27">
        <f t="shared" si="67"/>
        <v>0</v>
      </c>
      <c r="PD35" s="27">
        <f t="shared" si="68"/>
        <v>0</v>
      </c>
      <c r="PE35" s="27">
        <f t="shared" si="69"/>
        <v>0</v>
      </c>
      <c r="PF35" s="33">
        <f t="shared" si="3"/>
        <v>0</v>
      </c>
      <c r="PG35" s="2621"/>
      <c r="PI35" s="2">
        <v>1838.24</v>
      </c>
      <c r="PJ35" s="3"/>
      <c r="PK35" s="3"/>
      <c r="PL35" s="3">
        <f t="shared" si="70"/>
        <v>0</v>
      </c>
      <c r="PM35" s="3">
        <f t="shared" si="71"/>
        <v>33162.818459344184</v>
      </c>
      <c r="PN35" s="11">
        <f t="shared" si="72"/>
        <v>19208.676980961227</v>
      </c>
      <c r="PO35" s="15"/>
      <c r="PP35" s="2615"/>
      <c r="PR35" s="4"/>
      <c r="PS35" s="9"/>
      <c r="PT35" s="9"/>
      <c r="PU35" s="9"/>
      <c r="PV35" s="9">
        <v>0</v>
      </c>
      <c r="PW35" s="9"/>
      <c r="PX35" s="8">
        <f t="shared" si="73"/>
        <v>0</v>
      </c>
      <c r="PY35" s="5">
        <f t="shared" si="74"/>
        <v>1838.24</v>
      </c>
      <c r="PZ35" s="5"/>
      <c r="QA35" s="5"/>
      <c r="QB35" s="5"/>
      <c r="QC35" s="5"/>
      <c r="QD35" s="5"/>
      <c r="QE35" s="12">
        <f t="shared" si="75"/>
        <v>29562.488999999998</v>
      </c>
      <c r="QF35" s="420">
        <f t="shared" si="76"/>
        <v>381286.79955851001</v>
      </c>
      <c r="QG35" s="1106">
        <f t="shared" si="77"/>
        <v>1116.02</v>
      </c>
      <c r="QH35" s="484">
        <f t="shared" si="78"/>
        <v>5505.3678056099998</v>
      </c>
      <c r="QI35" s="12"/>
      <c r="QJ35" s="2615"/>
      <c r="QL35" s="139" t="str">
        <f t="shared" si="79"/>
        <v/>
      </c>
      <c r="QM35" s="139" t="str">
        <f t="shared" si="80"/>
        <v/>
      </c>
      <c r="QO35" s="139">
        <f t="shared" si="81"/>
        <v>0</v>
      </c>
      <c r="QP35" s="139">
        <f t="shared" si="82"/>
        <v>0</v>
      </c>
      <c r="QR35" s="1">
        <f t="shared" si="83"/>
        <v>0</v>
      </c>
      <c r="QS35" s="1">
        <f t="shared" si="84"/>
        <v>0</v>
      </c>
      <c r="QT35" s="1">
        <f t="shared" si="85"/>
        <v>0</v>
      </c>
      <c r="QU35" s="1">
        <f t="shared" si="86"/>
        <v>0</v>
      </c>
      <c r="QV35" s="1">
        <f t="shared" si="87"/>
        <v>0</v>
      </c>
      <c r="QW35" s="1">
        <f t="shared" si="88"/>
        <v>0</v>
      </c>
      <c r="QY35" s="1">
        <f t="shared" si="89"/>
        <v>0</v>
      </c>
      <c r="QZ35" s="1">
        <f t="shared" si="90"/>
        <v>0</v>
      </c>
      <c r="RA35" s="1">
        <f t="shared" si="91"/>
        <v>0</v>
      </c>
      <c r="RB35" s="1">
        <f t="shared" si="92"/>
        <v>0</v>
      </c>
      <c r="RC35" s="1">
        <f t="shared" si="93"/>
        <v>0</v>
      </c>
      <c r="RD35" s="1">
        <f t="shared" si="94"/>
        <v>0</v>
      </c>
      <c r="RG35" s="1">
        <v>26</v>
      </c>
      <c r="RH35" s="1">
        <f t="shared" ref="RH35:RJ40" si="132">+RH34+JH35-LF35</f>
        <v>46369.751209717098</v>
      </c>
      <c r="RI35" s="1">
        <f t="shared" si="132"/>
        <v>60685.218780483745</v>
      </c>
      <c r="RJ35" s="1">
        <f t="shared" si="132"/>
        <v>13404.263703387322</v>
      </c>
      <c r="RK35" s="89">
        <f t="shared" si="5"/>
        <v>120459.23369358816</v>
      </c>
      <c r="RL35" s="1033">
        <v>26</v>
      </c>
      <c r="RM35" s="1098">
        <f t="shared" si="96"/>
        <v>0</v>
      </c>
      <c r="RN35" s="1098">
        <f t="shared" si="97"/>
        <v>0</v>
      </c>
      <c r="RO35" s="1097">
        <f t="shared" si="97"/>
        <v>0</v>
      </c>
      <c r="RP35" s="1097">
        <f t="shared" si="98"/>
        <v>7353.0599999999995</v>
      </c>
      <c r="RQ35" s="1050"/>
      <c r="RR35" s="1050" t="s">
        <v>923</v>
      </c>
      <c r="RS35" s="1048"/>
      <c r="RU35" s="421">
        <v>26</v>
      </c>
      <c r="RV35" s="1095">
        <f t="shared" si="99"/>
        <v>17976.04</v>
      </c>
      <c r="RW35" s="1050" t="s">
        <v>924</v>
      </c>
      <c r="RX35" s="1048"/>
      <c r="RY35" s="1090"/>
      <c r="RZ35" s="1090">
        <f t="shared" si="100"/>
        <v>0</v>
      </c>
      <c r="SA35" s="1090"/>
      <c r="SB35" s="1090">
        <f t="shared" si="101"/>
        <v>0</v>
      </c>
      <c r="SD35" s="1">
        <v>26</v>
      </c>
      <c r="SE35" s="1">
        <f t="shared" si="102"/>
        <v>0</v>
      </c>
      <c r="SF35" s="1094"/>
    </row>
    <row r="36" spans="1:500" s="1" customFormat="1">
      <c r="B36" s="471">
        <v>27</v>
      </c>
      <c r="C36" s="4">
        <f t="shared" si="6"/>
        <v>164342.39999999999</v>
      </c>
      <c r="D36" s="1590">
        <f t="shared" si="119"/>
        <v>9968.68</v>
      </c>
      <c r="E36" s="1895">
        <f t="shared" si="7"/>
        <v>16.485873756605688</v>
      </c>
      <c r="F36" s="870"/>
      <c r="G36" s="870"/>
      <c r="H36" s="52"/>
      <c r="I36" s="61"/>
      <c r="J36" s="52"/>
      <c r="K36" s="54"/>
      <c r="L36" s="52">
        <v>0.5</v>
      </c>
      <c r="M36" s="61">
        <v>0.4</v>
      </c>
      <c r="N36" s="2629"/>
      <c r="O36" s="4">
        <f t="shared" si="125"/>
        <v>105088</v>
      </c>
      <c r="P36" s="5">
        <f t="shared" si="8"/>
        <v>7449.98</v>
      </c>
      <c r="Q36" s="1913">
        <f t="shared" si="9"/>
        <v>14.105809680025988</v>
      </c>
      <c r="R36" s="33"/>
      <c r="S36" s="26">
        <f t="shared" si="10"/>
        <v>33365.4</v>
      </c>
      <c r="T36" s="27">
        <f t="shared" si="11"/>
        <v>978.7</v>
      </c>
      <c r="U36" s="1909">
        <f t="shared" si="12"/>
        <v>34.091550015326455</v>
      </c>
      <c r="V36" s="28"/>
      <c r="W36" s="26">
        <f t="shared" si="13"/>
        <v>25889</v>
      </c>
      <c r="X36" s="5">
        <f t="shared" si="13"/>
        <v>1540</v>
      </c>
      <c r="Y36" s="325">
        <f t="shared" si="14"/>
        <v>16.81103896103896</v>
      </c>
      <c r="Z36" s="33"/>
      <c r="AA36" s="26">
        <f t="shared" si="15"/>
        <v>0</v>
      </c>
      <c r="AB36" s="27">
        <f t="shared" si="16"/>
        <v>0</v>
      </c>
      <c r="AC36" s="53">
        <f t="shared" si="17"/>
        <v>0</v>
      </c>
      <c r="AD36" s="28"/>
      <c r="AE36" s="36"/>
      <c r="AF36" s="36"/>
      <c r="AG36" s="53">
        <f t="shared" si="18"/>
        <v>0</v>
      </c>
      <c r="AH36" s="28"/>
      <c r="AI36" s="23"/>
      <c r="AJ36" s="27"/>
      <c r="AK36" s="53">
        <f t="shared" si="19"/>
        <v>0</v>
      </c>
      <c r="AL36" s="28"/>
      <c r="AM36" s="2629"/>
      <c r="AN36" s="9"/>
      <c r="AO36" s="5"/>
      <c r="AP36" s="61">
        <f t="shared" si="20"/>
        <v>0</v>
      </c>
      <c r="AQ36" s="36"/>
      <c r="AR36" s="53"/>
      <c r="AS36" s="61">
        <f t="shared" si="21"/>
        <v>0</v>
      </c>
      <c r="AT36" s="36"/>
      <c r="AU36" s="27"/>
      <c r="AV36" s="54">
        <f t="shared" si="22"/>
        <v>0</v>
      </c>
      <c r="AW36" s="26">
        <v>52966</v>
      </c>
      <c r="AX36" s="27">
        <v>4215.4799999999996</v>
      </c>
      <c r="AY36" s="1895">
        <v>12.564642697865962</v>
      </c>
      <c r="AZ36" s="1908"/>
      <c r="BA36" s="1909"/>
      <c r="BB36" s="1895">
        <v>0</v>
      </c>
      <c r="BC36" s="1908">
        <v>52122</v>
      </c>
      <c r="BD36" s="1909">
        <v>3234.5</v>
      </c>
      <c r="BE36" s="1895">
        <v>16.11439171432988</v>
      </c>
      <c r="BF36" s="1908"/>
      <c r="BG36" s="1909"/>
      <c r="BH36" s="1895">
        <v>0</v>
      </c>
      <c r="BI36" s="1908">
        <v>0</v>
      </c>
      <c r="BJ36" s="1909">
        <v>0</v>
      </c>
      <c r="BK36" s="1895">
        <v>0</v>
      </c>
      <c r="BL36" s="1910">
        <v>33365.4</v>
      </c>
      <c r="BM36" s="1909">
        <v>978.7</v>
      </c>
      <c r="BN36" s="1895">
        <v>34.091550015326455</v>
      </c>
      <c r="BO36" s="9"/>
      <c r="BP36" s="64"/>
      <c r="BQ36" s="61">
        <v>0</v>
      </c>
      <c r="BR36" s="36"/>
      <c r="BS36" s="53"/>
      <c r="BT36" s="61">
        <v>0</v>
      </c>
      <c r="BU36" s="9">
        <v>25889</v>
      </c>
      <c r="BV36" s="5">
        <v>1540</v>
      </c>
      <c r="BW36" s="28">
        <v>16.81103896103896</v>
      </c>
      <c r="BX36" s="4"/>
      <c r="BY36" s="5"/>
      <c r="BZ36" s="61">
        <f t="shared" si="23"/>
        <v>0</v>
      </c>
      <c r="CA36" s="36"/>
      <c r="CB36" s="5"/>
      <c r="CC36" s="61">
        <f t="shared" si="24"/>
        <v>0</v>
      </c>
      <c r="CD36" s="26"/>
      <c r="CE36" s="5"/>
      <c r="CF36" s="28">
        <f t="shared" si="25"/>
        <v>0</v>
      </c>
      <c r="CG36" s="150"/>
      <c r="CH36" s="1108"/>
      <c r="CI36" s="5"/>
      <c r="CJ36" s="5">
        <v>5916</v>
      </c>
      <c r="CK36" s="5"/>
      <c r="CL36" s="5"/>
      <c r="CM36" s="5">
        <f t="shared" si="26"/>
        <v>5916</v>
      </c>
      <c r="CN36" s="33"/>
      <c r="CO36" s="366"/>
      <c r="CQ36" s="4">
        <f t="shared" si="131"/>
        <v>0</v>
      </c>
      <c r="CR36" s="9">
        <f t="shared" si="131"/>
        <v>0</v>
      </c>
      <c r="CS36" s="5">
        <f t="shared" si="131"/>
        <v>0</v>
      </c>
      <c r="CT36" s="5">
        <f t="shared" si="130"/>
        <v>0</v>
      </c>
      <c r="CU36" s="5">
        <f t="shared" si="130"/>
        <v>0</v>
      </c>
      <c r="CV36" s="5">
        <f t="shared" si="130"/>
        <v>0</v>
      </c>
      <c r="CW36" s="5">
        <f t="shared" si="130"/>
        <v>0</v>
      </c>
      <c r="CX36" s="5">
        <f t="shared" si="130"/>
        <v>0</v>
      </c>
      <c r="CY36" s="5">
        <f t="shared" si="130"/>
        <v>8428.68</v>
      </c>
      <c r="CZ36" s="5">
        <f t="shared" si="130"/>
        <v>0</v>
      </c>
      <c r="DA36" s="5">
        <f t="shared" si="130"/>
        <v>1540</v>
      </c>
      <c r="DB36" s="12">
        <f t="shared" si="130"/>
        <v>0</v>
      </c>
      <c r="DC36" s="310">
        <f>SUM(CQ36:DB36,PV36)</f>
        <v>9968.68</v>
      </c>
      <c r="DD36" s="2695"/>
      <c r="DE36" s="8"/>
      <c r="DF36" s="9"/>
      <c r="DG36" s="5"/>
      <c r="DH36" s="5"/>
      <c r="DI36" s="5"/>
      <c r="DJ36" s="5"/>
      <c r="DK36" s="5">
        <v>0</v>
      </c>
      <c r="DL36" s="5"/>
      <c r="DM36" s="5">
        <v>4215.4799999999996</v>
      </c>
      <c r="DN36" s="5"/>
      <c r="DO36" s="5"/>
      <c r="DP36" s="12"/>
      <c r="DQ36" s="28">
        <f t="shared" si="29"/>
        <v>4215.4799999999996</v>
      </c>
      <c r="DR36" s="36"/>
      <c r="DS36" s="36"/>
      <c r="DT36" s="27"/>
      <c r="DU36" s="27"/>
      <c r="DV36" s="27"/>
      <c r="DW36" s="27"/>
      <c r="DX36" s="27"/>
      <c r="DY36" s="27"/>
      <c r="DZ36" s="27">
        <v>4213.2000000000007</v>
      </c>
      <c r="EA36" s="27"/>
      <c r="EB36" s="27">
        <v>0</v>
      </c>
      <c r="EC36" s="33"/>
      <c r="ED36" s="28">
        <f t="shared" si="30"/>
        <v>4213.2000000000007</v>
      </c>
      <c r="EE36" s="9"/>
      <c r="EF36" s="36"/>
      <c r="EG36" s="27"/>
      <c r="EH36" s="27"/>
      <c r="EI36" s="27"/>
      <c r="EJ36" s="27"/>
      <c r="EK36" s="27"/>
      <c r="EL36" s="27"/>
      <c r="EM36" s="5"/>
      <c r="EN36" s="5"/>
      <c r="EO36" s="1448">
        <v>1540</v>
      </c>
      <c r="EP36" s="33"/>
      <c r="EQ36" s="28">
        <f t="shared" si="31"/>
        <v>1540</v>
      </c>
      <c r="ER36" s="36"/>
      <c r="ES36" s="27"/>
      <c r="ET36" s="27"/>
      <c r="EU36" s="27"/>
      <c r="EV36" s="27"/>
      <c r="EW36" s="27"/>
      <c r="EX36" s="33">
        <f t="shared" si="32"/>
        <v>0</v>
      </c>
      <c r="EY36" s="2685"/>
      <c r="FA36" s="4">
        <f t="shared" si="33"/>
        <v>0</v>
      </c>
      <c r="FB36" s="5">
        <f t="shared" si="34"/>
        <v>0</v>
      </c>
      <c r="FC36" s="5">
        <f t="shared" si="35"/>
        <v>0</v>
      </c>
      <c r="FD36" s="12">
        <f t="shared" si="36"/>
        <v>0</v>
      </c>
      <c r="FE36" s="33"/>
      <c r="FF36" s="2674"/>
      <c r="FG36" s="9"/>
      <c r="FH36" s="5"/>
      <c r="FI36" s="5"/>
      <c r="FJ36" s="5"/>
      <c r="FK36" s="5"/>
      <c r="FL36" s="27"/>
      <c r="FM36" s="28">
        <f t="shared" si="37"/>
        <v>0</v>
      </c>
      <c r="FN36" s="36"/>
      <c r="FO36" s="27"/>
      <c r="FP36" s="27"/>
      <c r="FQ36" s="27"/>
      <c r="FR36" s="27"/>
      <c r="FS36" s="27"/>
      <c r="FT36" s="28">
        <f t="shared" si="38"/>
        <v>0</v>
      </c>
      <c r="FU36" s="36"/>
      <c r="FV36" s="36"/>
      <c r="FW36" s="27"/>
      <c r="FX36" s="27"/>
      <c r="FY36" s="27"/>
      <c r="FZ36" s="27"/>
      <c r="GA36" s="27"/>
      <c r="GB36" s="27"/>
      <c r="GC36" s="27"/>
      <c r="GD36" s="27"/>
      <c r="GE36" s="27"/>
      <c r="GF36" s="33"/>
      <c r="GG36" s="33">
        <f t="shared" si="39"/>
        <v>0</v>
      </c>
      <c r="GH36" s="2674"/>
      <c r="GJ36" s="2">
        <f t="shared" si="105"/>
        <v>6968.71</v>
      </c>
      <c r="GK36" s="63">
        <f t="shared" si="106"/>
        <v>7057.45</v>
      </c>
      <c r="GL36" s="24">
        <f t="shared" si="107"/>
        <v>2869.09</v>
      </c>
      <c r="GM36" s="53">
        <f t="shared" si="40"/>
        <v>16895.25</v>
      </c>
      <c r="GN36" s="141"/>
      <c r="GO36" s="141"/>
      <c r="GP36" s="33"/>
      <c r="GQ36" s="2667"/>
      <c r="GR36" s="1740">
        <v>7406.4800000000005</v>
      </c>
      <c r="GS36" s="1736">
        <v>122.8</v>
      </c>
      <c r="GT36" s="1736">
        <v>5011.5</v>
      </c>
      <c r="GU36" s="1736">
        <v>4354.47</v>
      </c>
      <c r="GV36" s="33">
        <f t="shared" si="41"/>
        <v>16895.25</v>
      </c>
      <c r="GW36" s="2667"/>
      <c r="GX36" s="36"/>
      <c r="GY36" s="36"/>
      <c r="GZ36" s="27"/>
      <c r="HA36" s="27"/>
      <c r="HB36" s="27"/>
      <c r="HC36" s="27"/>
      <c r="HD36" s="27"/>
      <c r="HE36" s="27"/>
      <c r="HF36" s="27">
        <v>1371.9199999999998</v>
      </c>
      <c r="HG36" s="27"/>
      <c r="HH36" s="27">
        <v>5473.99</v>
      </c>
      <c r="HI36" s="27"/>
      <c r="HJ36" s="27">
        <v>122.8</v>
      </c>
      <c r="HK36" s="27"/>
      <c r="HL36" s="28">
        <f t="shared" si="120"/>
        <v>6968.71</v>
      </c>
      <c r="HM36" s="36"/>
      <c r="HN36" s="27"/>
      <c r="HO36" s="27"/>
      <c r="HP36" s="27"/>
      <c r="HQ36" s="27"/>
      <c r="HR36" s="27"/>
      <c r="HS36" s="27" cm="1">
        <f t="array" ref="HS36">SUMPRODUCT(('Data Base hauling'!$C$2:$C$216="TCM-ROM SB1 BK05-ROM 4")*(ISNUMBER(SEARCH(TEXT('April TCM'!$B36,"00")&amp;"/03/2026",'Data Base hauling'!$E$2:$E$216)))*'Data Base hauling'!$N$2:$N$216)</f>
        <v>0</v>
      </c>
      <c r="HT36" s="27"/>
      <c r="HU36" s="27" cm="1">
        <f t="array" ref="HU36">SUMPRODUCT(('Data Base hauling'!$C$2:$C$216="TCM-ROM SB1 BK05-ROM 5")*(ISNUMBER(SEARCH(TEXT('April TCM'!$B36,"00")&amp;"/03/2026",'Data Base hauling'!$E$2:$E$216)))*'Data Base hauling'!$N$2:$N$216)</f>
        <v>0</v>
      </c>
      <c r="HV36" s="27"/>
      <c r="HW36" s="27"/>
      <c r="HX36" s="27"/>
      <c r="HY36" s="27"/>
      <c r="HZ36" s="27"/>
      <c r="IA36" s="33">
        <f t="shared" si="43"/>
        <v>0</v>
      </c>
      <c r="IB36" s="52"/>
      <c r="IC36" s="152"/>
      <c r="ID36" s="53"/>
      <c r="IE36" s="53"/>
      <c r="IF36" s="53"/>
      <c r="IG36" s="53"/>
      <c r="IH36" s="53">
        <v>2151.1099999999997</v>
      </c>
      <c r="II36" s="53"/>
      <c r="IJ36" s="53">
        <v>4906.34</v>
      </c>
      <c r="IK36" s="53"/>
      <c r="IL36" s="53">
        <v>0</v>
      </c>
      <c r="IM36" s="53"/>
      <c r="IN36" s="53"/>
      <c r="IO36" s="49">
        <v>0</v>
      </c>
      <c r="IP36" s="61">
        <f t="shared" si="121"/>
        <v>7057.45</v>
      </c>
      <c r="IQ36" s="36"/>
      <c r="IR36" s="36"/>
      <c r="IS36" s="27"/>
      <c r="IT36" s="27"/>
      <c r="IU36" s="53"/>
      <c r="IV36" s="27"/>
      <c r="IW36" s="27">
        <v>0</v>
      </c>
      <c r="IX36" s="27"/>
      <c r="IY36" s="27">
        <v>2869.09</v>
      </c>
      <c r="IZ36" s="27"/>
      <c r="JA36" s="27">
        <v>0</v>
      </c>
      <c r="JB36" s="27"/>
      <c r="JC36" s="27"/>
      <c r="JD36" s="27"/>
      <c r="JE36" s="33">
        <f t="shared" si="122"/>
        <v>2869.09</v>
      </c>
      <c r="JF36" s="2667"/>
      <c r="JH36" s="2020">
        <v>7918.76</v>
      </c>
      <c r="JI36" s="2021">
        <v>8976.49</v>
      </c>
      <c r="JJ36" s="53"/>
      <c r="JK36" s="53">
        <f t="shared" si="123"/>
        <v>16895.25</v>
      </c>
      <c r="JL36" s="33"/>
      <c r="JM36" s="2669"/>
      <c r="JN36" s="69">
        <v>0</v>
      </c>
      <c r="JO36" s="70">
        <v>0</v>
      </c>
      <c r="JP36" s="70">
        <v>0</v>
      </c>
      <c r="JQ36" s="70">
        <v>0</v>
      </c>
      <c r="JR36" s="70">
        <v>0.96325813637488689</v>
      </c>
      <c r="JS36" s="70">
        <v>2.1234385181518319E-2</v>
      </c>
      <c r="JT36" s="70">
        <v>1.5507478443594704E-2</v>
      </c>
      <c r="JU36" s="1922">
        <v>0</v>
      </c>
      <c r="JV36" s="69">
        <v>0</v>
      </c>
      <c r="JW36" s="70">
        <v>0</v>
      </c>
      <c r="JX36" s="70">
        <v>0</v>
      </c>
      <c r="JY36" s="70">
        <v>0.23963821048093406</v>
      </c>
      <c r="JZ36" s="70">
        <v>0.16927997468943873</v>
      </c>
      <c r="KA36" s="70">
        <v>0.59108181482962718</v>
      </c>
      <c r="KB36" s="70">
        <v>0</v>
      </c>
      <c r="KC36" s="71">
        <v>0</v>
      </c>
      <c r="KD36" s="69"/>
      <c r="KE36" s="70"/>
      <c r="KF36" s="70"/>
      <c r="KG36" s="70"/>
      <c r="KH36" s="70"/>
      <c r="KI36" s="70"/>
      <c r="KJ36" s="70"/>
      <c r="KK36" s="70"/>
      <c r="KL36" s="33"/>
      <c r="KM36" s="2669"/>
      <c r="KN36" s="1739">
        <v>7219.4755478519255</v>
      </c>
      <c r="KO36" s="1721">
        <v>0.76761792744831003</v>
      </c>
      <c r="KP36" s="1721">
        <v>2.3590454376624983</v>
      </c>
      <c r="KQ36" s="1721">
        <v>5.5961854649003344</v>
      </c>
      <c r="KR36" s="1722">
        <v>8.8599734855763295</v>
      </c>
      <c r="KS36" s="1958">
        <v>6563.0518631510131</v>
      </c>
      <c r="KT36" s="1961">
        <v>2.1402222706471998</v>
      </c>
      <c r="KU36" s="1961">
        <v>9.3705251688821107</v>
      </c>
      <c r="KV36" s="1961">
        <v>4.7680605796469813</v>
      </c>
      <c r="KW36" s="1962">
        <v>8.1788126668119414</v>
      </c>
      <c r="KX36" s="36"/>
      <c r="KY36" s="53"/>
      <c r="KZ36" s="53"/>
      <c r="LA36" s="53"/>
      <c r="LB36" s="53"/>
      <c r="LC36" s="33"/>
      <c r="LD36" s="2669"/>
      <c r="LF36" s="26">
        <f t="shared" si="47"/>
        <v>15079.17</v>
      </c>
      <c r="LG36" s="27">
        <f t="shared" si="47"/>
        <v>0</v>
      </c>
      <c r="LH36" s="27">
        <f t="shared" si="47"/>
        <v>0</v>
      </c>
      <c r="LI36" s="28">
        <f t="shared" si="48"/>
        <v>15079.17</v>
      </c>
      <c r="LJ36" s="36">
        <v>2</v>
      </c>
      <c r="LK36" s="27"/>
      <c r="LL36" s="27"/>
      <c r="LM36" s="33"/>
      <c r="LN36" s="1041">
        <v>4.2</v>
      </c>
      <c r="LO36" s="857"/>
      <c r="LP36" s="2688"/>
      <c r="LQ36" s="36">
        <v>15079.17</v>
      </c>
      <c r="LR36" s="36"/>
      <c r="LS36" s="27"/>
      <c r="LT36" s="27"/>
      <c r="LU36" s="27"/>
      <c r="LV36" s="1107">
        <f t="shared" si="49"/>
        <v>15079.17</v>
      </c>
      <c r="LW36" s="36"/>
      <c r="LX36" s="36"/>
      <c r="LY36" s="27"/>
      <c r="LZ36" s="27"/>
      <c r="MA36" s="33"/>
      <c r="MB36" s="28">
        <f t="shared" si="50"/>
        <v>0</v>
      </c>
      <c r="MC36" s="26"/>
      <c r="MD36" s="36"/>
      <c r="ME36" s="27"/>
      <c r="MF36" s="27"/>
      <c r="MG36" s="27"/>
      <c r="MH36" s="28"/>
      <c r="MI36" s="36"/>
      <c r="MJ36" s="36"/>
      <c r="MK36" s="27"/>
      <c r="ML36" s="27"/>
      <c r="MM36" s="27"/>
      <c r="MN36" s="28"/>
      <c r="MO36" s="36"/>
      <c r="MP36" s="36"/>
      <c r="MQ36" s="27"/>
      <c r="MR36" s="27"/>
      <c r="MS36" s="27"/>
      <c r="MT36" s="33">
        <f t="shared" si="51"/>
        <v>0</v>
      </c>
      <c r="MU36" s="2688"/>
      <c r="MW36" s="26">
        <f t="shared" si="52"/>
        <v>160219.59239330632</v>
      </c>
      <c r="MX36" s="27">
        <f t="shared" si="53"/>
        <v>74574.913809620222</v>
      </c>
      <c r="MY36" s="27">
        <f t="shared" si="54"/>
        <v>19085.876980961228</v>
      </c>
      <c r="MZ36" s="28">
        <f t="shared" si="55"/>
        <v>409860.04855851003</v>
      </c>
      <c r="NA36" s="2621"/>
      <c r="NB36" s="23">
        <f t="shared" si="56"/>
        <v>46256.449361311272</v>
      </c>
      <c r="NC36" s="1579">
        <f t="shared" si="57"/>
        <v>113963.14303199505</v>
      </c>
      <c r="ND36" s="60">
        <f t="shared" si="58"/>
        <v>0</v>
      </c>
      <c r="NE36" s="275">
        <f t="shared" si="4"/>
        <v>160219.59239330632</v>
      </c>
      <c r="NF36" s="26">
        <v>0</v>
      </c>
      <c r="NG36" s="27">
        <v>0</v>
      </c>
      <c r="NH36" s="27">
        <v>0</v>
      </c>
      <c r="NI36" s="27">
        <v>0</v>
      </c>
      <c r="NJ36" s="27">
        <v>0</v>
      </c>
      <c r="NK36" s="33">
        <v>0</v>
      </c>
      <c r="NL36" s="27">
        <v>0</v>
      </c>
      <c r="NM36" s="36">
        <v>0</v>
      </c>
      <c r="NN36" s="24">
        <f t="shared" si="126"/>
        <v>12924.310566563145</v>
      </c>
      <c r="NO36" s="27">
        <f t="shared" si="126"/>
        <v>26196.69549600617</v>
      </c>
      <c r="NP36" s="24">
        <f t="shared" si="108"/>
        <v>8756.5482322711578</v>
      </c>
      <c r="NQ36" s="24">
        <f t="shared" si="109"/>
        <v>2317.3441180334139</v>
      </c>
      <c r="NR36" s="27">
        <f t="shared" si="0"/>
        <v>50194.898412873888</v>
      </c>
      <c r="NS36" s="27">
        <f t="shared" si="127"/>
        <v>0</v>
      </c>
      <c r="NT36" s="27">
        <f t="shared" si="127"/>
        <v>0</v>
      </c>
      <c r="NU36" s="27">
        <f t="shared" si="127"/>
        <v>0</v>
      </c>
      <c r="NV36" s="27">
        <f t="shared" si="127"/>
        <v>0</v>
      </c>
      <c r="NW36" s="27">
        <f t="shared" si="127"/>
        <v>0</v>
      </c>
      <c r="NX36" s="5">
        <f t="shared" si="127"/>
        <v>0</v>
      </c>
      <c r="NY36" s="27">
        <f t="shared" si="127"/>
        <v>4646.223602292911</v>
      </c>
      <c r="NZ36" s="27">
        <f t="shared" si="127"/>
        <v>0</v>
      </c>
      <c r="OA36" s="27">
        <f t="shared" si="127"/>
        <v>4392.0880667828278</v>
      </c>
      <c r="OB36" s="27"/>
      <c r="OC36" s="24">
        <f t="shared" si="128"/>
        <v>349.54339982995594</v>
      </c>
      <c r="OD36" s="27">
        <f t="shared" si="128"/>
        <v>0</v>
      </c>
      <c r="OE36" s="28">
        <f t="shared" si="1"/>
        <v>9387.8550689056938</v>
      </c>
      <c r="OF36" s="27">
        <f t="shared" si="129"/>
        <v>0</v>
      </c>
      <c r="OG36" s="27">
        <f t="shared" si="129"/>
        <v>0</v>
      </c>
      <c r="OH36" s="27">
        <f t="shared" si="129"/>
        <v>0</v>
      </c>
      <c r="OI36" s="27">
        <f t="shared" si="129"/>
        <v>0</v>
      </c>
      <c r="OJ36" s="27">
        <f t="shared" si="129"/>
        <v>0</v>
      </c>
      <c r="OK36" s="27">
        <f t="shared" si="129"/>
        <v>0</v>
      </c>
      <c r="OL36" s="24">
        <f t="shared" si="129"/>
        <v>0</v>
      </c>
      <c r="OM36" s="27">
        <f t="shared" si="129"/>
        <v>0</v>
      </c>
      <c r="ON36" s="24">
        <f t="shared" si="129"/>
        <v>12478.296218026517</v>
      </c>
      <c r="OO36" s="27">
        <f t="shared" si="129"/>
        <v>0</v>
      </c>
      <c r="OP36" s="27">
        <f t="shared" si="129"/>
        <v>2513.8641098141266</v>
      </c>
      <c r="OQ36" s="27">
        <f t="shared" si="129"/>
        <v>0</v>
      </c>
      <c r="OR36" s="28">
        <f t="shared" si="2"/>
        <v>14992.160327840644</v>
      </c>
      <c r="OS36" s="36"/>
      <c r="OT36" s="27"/>
      <c r="OU36" s="27"/>
      <c r="OV36" s="27"/>
      <c r="OW36" s="27"/>
      <c r="OX36" s="27"/>
      <c r="OY36" s="28">
        <f t="shared" si="63"/>
        <v>0</v>
      </c>
      <c r="OZ36" s="36">
        <f t="shared" si="64"/>
        <v>0</v>
      </c>
      <c r="PA36" s="27">
        <f t="shared" si="65"/>
        <v>0</v>
      </c>
      <c r="PB36" s="27">
        <f t="shared" si="66"/>
        <v>0</v>
      </c>
      <c r="PC36" s="27">
        <f t="shared" si="67"/>
        <v>0</v>
      </c>
      <c r="PD36" s="27">
        <f t="shared" si="68"/>
        <v>0</v>
      </c>
      <c r="PE36" s="27">
        <f t="shared" si="69"/>
        <v>0</v>
      </c>
      <c r="PF36" s="33">
        <f t="shared" si="3"/>
        <v>0</v>
      </c>
      <c r="PG36" s="2621"/>
      <c r="PI36" s="2">
        <v>2105.2600000000002</v>
      </c>
      <c r="PJ36" s="3"/>
      <c r="PK36" s="3"/>
      <c r="PL36" s="3">
        <f t="shared" si="70"/>
        <v>122.8</v>
      </c>
      <c r="PM36" s="3">
        <f t="shared" si="71"/>
        <v>35268.078459344186</v>
      </c>
      <c r="PN36" s="11">
        <f t="shared" si="72"/>
        <v>19085.876980961228</v>
      </c>
      <c r="PO36" s="15"/>
      <c r="PP36" s="2615"/>
      <c r="PR36" s="4"/>
      <c r="PS36" s="9"/>
      <c r="PT36" s="9"/>
      <c r="PU36" s="9"/>
      <c r="PV36" s="9">
        <v>0</v>
      </c>
      <c r="PW36" s="9"/>
      <c r="PX36" s="8">
        <f t="shared" si="73"/>
        <v>0</v>
      </c>
      <c r="PY36" s="5">
        <f t="shared" si="74"/>
        <v>2105.2600000000002</v>
      </c>
      <c r="PZ36" s="5"/>
      <c r="QA36" s="5"/>
      <c r="QB36" s="5"/>
      <c r="QC36" s="5"/>
      <c r="QD36" s="5"/>
      <c r="QE36" s="12">
        <f t="shared" si="75"/>
        <v>29562.488999999998</v>
      </c>
      <c r="QF36" s="420">
        <f t="shared" si="76"/>
        <v>379181.53955851001</v>
      </c>
      <c r="QG36" s="1106">
        <f t="shared" si="77"/>
        <v>1116.02</v>
      </c>
      <c r="QH36" s="484">
        <f t="shared" si="78"/>
        <v>5505.3678056099998</v>
      </c>
      <c r="QI36" s="12"/>
      <c r="QJ36" s="2615"/>
      <c r="QL36" s="139">
        <f t="shared" si="79"/>
        <v>0</v>
      </c>
      <c r="QM36" s="139" t="str">
        <f t="shared" si="80"/>
        <v/>
      </c>
      <c r="QO36" s="139">
        <f t="shared" si="81"/>
        <v>0</v>
      </c>
      <c r="QP36" s="139">
        <f t="shared" si="82"/>
        <v>0</v>
      </c>
      <c r="QR36" s="1">
        <f t="shared" si="83"/>
        <v>0</v>
      </c>
      <c r="QS36" s="1">
        <f t="shared" si="84"/>
        <v>0</v>
      </c>
      <c r="QT36" s="1">
        <f t="shared" si="85"/>
        <v>0</v>
      </c>
      <c r="QU36" s="1">
        <f t="shared" si="86"/>
        <v>0</v>
      </c>
      <c r="QV36" s="1">
        <f t="shared" si="87"/>
        <v>0</v>
      </c>
      <c r="QW36" s="1">
        <f t="shared" si="88"/>
        <v>0</v>
      </c>
      <c r="QY36" s="1">
        <f t="shared" si="89"/>
        <v>0</v>
      </c>
      <c r="QZ36" s="1">
        <f t="shared" si="90"/>
        <v>0</v>
      </c>
      <c r="RA36" s="1">
        <f t="shared" si="91"/>
        <v>0</v>
      </c>
      <c r="RB36" s="1">
        <f t="shared" si="92"/>
        <v>0</v>
      </c>
      <c r="RC36" s="1">
        <f t="shared" si="93"/>
        <v>0</v>
      </c>
      <c r="RD36" s="1">
        <f t="shared" si="94"/>
        <v>0</v>
      </c>
      <c r="RG36" s="1">
        <v>27</v>
      </c>
      <c r="RH36" s="1">
        <f t="shared" si="132"/>
        <v>39209.341209717102</v>
      </c>
      <c r="RI36" s="1">
        <f t="shared" si="132"/>
        <v>69661.70878048375</v>
      </c>
      <c r="RJ36" s="1">
        <f t="shared" si="132"/>
        <v>13404.263703387322</v>
      </c>
      <c r="RK36" s="89">
        <f t="shared" si="5"/>
        <v>122275.31369358816</v>
      </c>
      <c r="RL36" s="1033">
        <v>27</v>
      </c>
      <c r="RM36" s="1098">
        <f t="shared" si="96"/>
        <v>0</v>
      </c>
      <c r="RN36" s="1098">
        <f t="shared" si="97"/>
        <v>0</v>
      </c>
      <c r="RO36" s="1097">
        <f t="shared" si="97"/>
        <v>0</v>
      </c>
      <c r="RP36" s="1097">
        <f t="shared" si="98"/>
        <v>8428.68</v>
      </c>
      <c r="RQ36" s="1050"/>
      <c r="RR36" s="1050" t="s">
        <v>925</v>
      </c>
      <c r="RU36" s="421">
        <v>27</v>
      </c>
      <c r="RV36" s="1095">
        <f t="shared" si="99"/>
        <v>16895.25</v>
      </c>
      <c r="RW36" s="1046" t="s">
        <v>926</v>
      </c>
      <c r="RY36" s="1090"/>
      <c r="RZ36" s="1090">
        <f t="shared" si="100"/>
        <v>0</v>
      </c>
      <c r="SA36" s="1090"/>
      <c r="SB36" s="1090">
        <f t="shared" si="101"/>
        <v>0</v>
      </c>
      <c r="SD36" s="1">
        <v>27</v>
      </c>
      <c r="SE36" s="1">
        <f t="shared" si="102"/>
        <v>122.8</v>
      </c>
      <c r="SF36" s="1094"/>
    </row>
    <row r="37" spans="1:500" s="1" customFormat="1">
      <c r="B37" s="471">
        <v>28</v>
      </c>
      <c r="C37" s="4">
        <f t="shared" si="6"/>
        <v>165660</v>
      </c>
      <c r="D37" s="1918">
        <f t="shared" si="119"/>
        <v>9523.7199999999993</v>
      </c>
      <c r="E37" s="1895">
        <f t="shared" si="7"/>
        <v>17.394463507956974</v>
      </c>
      <c r="F37" s="870"/>
      <c r="G37" s="870"/>
      <c r="H37" s="52"/>
      <c r="I37" s="61"/>
      <c r="J37" s="52"/>
      <c r="K37" s="54"/>
      <c r="L37" s="52">
        <v>1.5</v>
      </c>
      <c r="M37" s="61">
        <v>0.98</v>
      </c>
      <c r="N37" s="2629"/>
      <c r="O37" s="4">
        <f t="shared" si="125"/>
        <v>103710</v>
      </c>
      <c r="P37" s="5">
        <f t="shared" si="8"/>
        <v>6648.78</v>
      </c>
      <c r="Q37" s="1913">
        <f t="shared" si="9"/>
        <v>15.598350374053586</v>
      </c>
      <c r="R37" s="33"/>
      <c r="S37" s="26">
        <f t="shared" si="10"/>
        <v>36645</v>
      </c>
      <c r="T37" s="27">
        <f t="shared" si="11"/>
        <v>1414.94</v>
      </c>
      <c r="U37" s="1909">
        <f t="shared" si="12"/>
        <v>25.898624676664735</v>
      </c>
      <c r="V37" s="28"/>
      <c r="W37" s="26">
        <f t="shared" si="13"/>
        <v>25305</v>
      </c>
      <c r="X37" s="5">
        <f t="shared" si="13"/>
        <v>1460</v>
      </c>
      <c r="Y37" s="325">
        <f t="shared" si="14"/>
        <v>17.332191780821919</v>
      </c>
      <c r="Z37" s="33"/>
      <c r="AA37" s="26">
        <f t="shared" si="15"/>
        <v>0</v>
      </c>
      <c r="AB37" s="27">
        <f t="shared" si="16"/>
        <v>0</v>
      </c>
      <c r="AC37" s="53">
        <f t="shared" si="17"/>
        <v>0</v>
      </c>
      <c r="AD37" s="28"/>
      <c r="AE37" s="36"/>
      <c r="AF37" s="36"/>
      <c r="AG37" s="53">
        <f t="shared" si="18"/>
        <v>0</v>
      </c>
      <c r="AH37" s="28"/>
      <c r="AI37" s="26"/>
      <c r="AJ37" s="27"/>
      <c r="AK37" s="53">
        <f t="shared" si="19"/>
        <v>0</v>
      </c>
      <c r="AL37" s="28"/>
      <c r="AM37" s="2629"/>
      <c r="AN37" s="9"/>
      <c r="AO37" s="5"/>
      <c r="AP37" s="61">
        <f t="shared" si="20"/>
        <v>0</v>
      </c>
      <c r="AQ37" s="36"/>
      <c r="AR37" s="53"/>
      <c r="AS37" s="61">
        <f t="shared" si="21"/>
        <v>0</v>
      </c>
      <c r="AT37" s="36"/>
      <c r="AU37" s="27"/>
      <c r="AV37" s="54">
        <f t="shared" si="22"/>
        <v>0</v>
      </c>
      <c r="AW37" s="26">
        <v>57846</v>
      </c>
      <c r="AX37" s="27">
        <v>4155.3599999999997</v>
      </c>
      <c r="AY37" s="1895">
        <v>13.920815525008665</v>
      </c>
      <c r="AZ37" s="1908"/>
      <c r="BA37" s="1909"/>
      <c r="BB37" s="1895">
        <v>0</v>
      </c>
      <c r="BC37" s="1908">
        <v>45864</v>
      </c>
      <c r="BD37" s="1909">
        <v>2493.42</v>
      </c>
      <c r="BE37" s="1895">
        <v>18.394013042327405</v>
      </c>
      <c r="BF37" s="1908"/>
      <c r="BG37" s="1909"/>
      <c r="BH37" s="1895">
        <v>0</v>
      </c>
      <c r="BI37" s="1908">
        <v>0</v>
      </c>
      <c r="BJ37" s="1909">
        <v>0</v>
      </c>
      <c r="BK37" s="1895">
        <v>0</v>
      </c>
      <c r="BL37" s="1910">
        <v>36645</v>
      </c>
      <c r="BM37" s="1909">
        <v>1414.94</v>
      </c>
      <c r="BN37" s="1895">
        <v>25.898624676664735</v>
      </c>
      <c r="BO37" s="9"/>
      <c r="BP37" s="64"/>
      <c r="BQ37" s="61">
        <v>0</v>
      </c>
      <c r="BR37" s="36"/>
      <c r="BS37" s="53"/>
      <c r="BT37" s="61">
        <v>0</v>
      </c>
      <c r="BU37" s="36">
        <v>25305</v>
      </c>
      <c r="BV37" s="5">
        <v>1460</v>
      </c>
      <c r="BW37" s="28">
        <v>39.5390625</v>
      </c>
      <c r="BX37" s="26"/>
      <c r="BY37" s="5"/>
      <c r="BZ37" s="61">
        <f t="shared" si="23"/>
        <v>0</v>
      </c>
      <c r="CA37" s="36"/>
      <c r="CB37" s="5"/>
      <c r="CC37" s="61">
        <f t="shared" si="24"/>
        <v>0</v>
      </c>
      <c r="CD37" s="26"/>
      <c r="CE37" s="5"/>
      <c r="CF37" s="28">
        <f t="shared" si="25"/>
        <v>0</v>
      </c>
      <c r="CG37" s="150"/>
      <c r="CH37" s="1108"/>
      <c r="CI37" s="5"/>
      <c r="CJ37" s="5">
        <v>5411</v>
      </c>
      <c r="CK37" s="5"/>
      <c r="CL37" s="5"/>
      <c r="CM37" s="5">
        <f t="shared" si="26"/>
        <v>5411</v>
      </c>
      <c r="CN37" s="33"/>
      <c r="CO37" s="366"/>
      <c r="CQ37" s="4">
        <f t="shared" si="131"/>
        <v>0</v>
      </c>
      <c r="CR37" s="9">
        <f t="shared" si="131"/>
        <v>0</v>
      </c>
      <c r="CS37" s="5">
        <f t="shared" si="131"/>
        <v>0</v>
      </c>
      <c r="CT37" s="5">
        <f t="shared" si="130"/>
        <v>0</v>
      </c>
      <c r="CU37" s="5">
        <f t="shared" si="130"/>
        <v>0</v>
      </c>
      <c r="CV37" s="5">
        <f t="shared" si="130"/>
        <v>0</v>
      </c>
      <c r="CW37" s="5">
        <f t="shared" si="130"/>
        <v>713.64</v>
      </c>
      <c r="CX37" s="5">
        <f t="shared" si="130"/>
        <v>0</v>
      </c>
      <c r="CY37" s="5">
        <f t="shared" si="130"/>
        <v>8810.0799999999981</v>
      </c>
      <c r="CZ37" s="5">
        <f t="shared" si="130"/>
        <v>0</v>
      </c>
      <c r="DA37" s="5">
        <f t="shared" si="130"/>
        <v>0</v>
      </c>
      <c r="DB37" s="12">
        <f t="shared" si="130"/>
        <v>0</v>
      </c>
      <c r="DC37" s="310">
        <f>SUM(CQ37:DB37,PV37,PW37)</f>
        <v>9523.7199999999975</v>
      </c>
      <c r="DD37" s="2695"/>
      <c r="DE37" s="8"/>
      <c r="DF37" s="9"/>
      <c r="DG37" s="5"/>
      <c r="DH37" s="5"/>
      <c r="DI37" s="5"/>
      <c r="DJ37" s="5"/>
      <c r="DK37" s="5">
        <v>713.64</v>
      </c>
      <c r="DL37" s="5"/>
      <c r="DM37" s="5">
        <v>3441.7199999999993</v>
      </c>
      <c r="DN37" s="5"/>
      <c r="DO37" s="5"/>
      <c r="DP37" s="12"/>
      <c r="DQ37" s="28">
        <f t="shared" si="29"/>
        <v>4155.3599999999997</v>
      </c>
      <c r="DR37" s="36"/>
      <c r="DS37" s="36"/>
      <c r="DT37" s="27"/>
      <c r="DU37" s="27"/>
      <c r="DV37" s="27"/>
      <c r="DW37" s="27"/>
      <c r="DX37" s="27"/>
      <c r="DY37" s="27"/>
      <c r="DZ37" s="27">
        <v>3908.3599999999997</v>
      </c>
      <c r="EA37" s="27"/>
      <c r="EB37" s="27">
        <v>0</v>
      </c>
      <c r="EC37" s="33"/>
      <c r="ED37" s="28">
        <f t="shared" si="30"/>
        <v>3908.3599999999997</v>
      </c>
      <c r="EE37" s="9"/>
      <c r="EF37" s="36"/>
      <c r="EG37" s="27"/>
      <c r="EH37" s="27"/>
      <c r="EI37" s="27"/>
      <c r="EJ37" s="27"/>
      <c r="EK37" s="27"/>
      <c r="EL37" s="27"/>
      <c r="EM37" s="1448">
        <v>1460</v>
      </c>
      <c r="EN37" s="5"/>
      <c r="EO37" s="5"/>
      <c r="EP37" s="33"/>
      <c r="EQ37" s="28">
        <f t="shared" si="31"/>
        <v>1460</v>
      </c>
      <c r="ER37" s="36"/>
      <c r="ES37" s="27"/>
      <c r="ET37" s="27"/>
      <c r="EU37" s="27"/>
      <c r="EV37" s="27"/>
      <c r="EW37" s="27"/>
      <c r="EX37" s="33">
        <f t="shared" si="32"/>
        <v>0</v>
      </c>
      <c r="EY37" s="2685"/>
      <c r="FA37" s="4">
        <f t="shared" si="33"/>
        <v>0</v>
      </c>
      <c r="FB37" s="5">
        <f t="shared" si="34"/>
        <v>0</v>
      </c>
      <c r="FC37" s="5">
        <f t="shared" si="35"/>
        <v>0</v>
      </c>
      <c r="FD37" s="12">
        <f t="shared" si="36"/>
        <v>0</v>
      </c>
      <c r="FE37" s="33"/>
      <c r="FF37" s="2674"/>
      <c r="FG37" s="9"/>
      <c r="FH37" s="5"/>
      <c r="FI37" s="5"/>
      <c r="FJ37" s="5"/>
      <c r="FK37" s="5"/>
      <c r="FL37" s="27"/>
      <c r="FM37" s="28">
        <f t="shared" si="37"/>
        <v>0</v>
      </c>
      <c r="FN37" s="36"/>
      <c r="FO37" s="27"/>
      <c r="FP37" s="27"/>
      <c r="FQ37" s="27"/>
      <c r="FR37" s="27"/>
      <c r="FS37" s="27"/>
      <c r="FT37" s="28">
        <f t="shared" si="38"/>
        <v>0</v>
      </c>
      <c r="FU37" s="36"/>
      <c r="FV37" s="36"/>
      <c r="FW37" s="27"/>
      <c r="FX37" s="27"/>
      <c r="FY37" s="27"/>
      <c r="FZ37" s="27"/>
      <c r="GA37" s="27"/>
      <c r="GB37" s="27"/>
      <c r="GC37" s="27"/>
      <c r="GD37" s="27"/>
      <c r="GE37" s="27"/>
      <c r="GF37" s="33"/>
      <c r="GG37" s="33">
        <f t="shared" si="39"/>
        <v>0</v>
      </c>
      <c r="GH37" s="2674"/>
      <c r="GJ37" s="2">
        <f t="shared" si="105"/>
        <v>1269.6499999999999</v>
      </c>
      <c r="GK37" s="63">
        <f t="shared" si="106"/>
        <v>3508.07</v>
      </c>
      <c r="GL37" s="24">
        <f t="shared" si="107"/>
        <v>3523.4100000000003</v>
      </c>
      <c r="GM37" s="53">
        <f t="shared" si="40"/>
        <v>8301.130000000001</v>
      </c>
      <c r="GN37" s="141"/>
      <c r="GO37" s="141"/>
      <c r="GP37" s="33"/>
      <c r="GQ37" s="2667"/>
      <c r="GR37" s="1740">
        <v>3888.8700000000003</v>
      </c>
      <c r="GS37" s="1736">
        <v>0</v>
      </c>
      <c r="GT37" s="1736">
        <v>2127.8000000000002</v>
      </c>
      <c r="GU37" s="1736">
        <v>2284.46</v>
      </c>
      <c r="GV37" s="33">
        <f t="shared" si="41"/>
        <v>8301.130000000001</v>
      </c>
      <c r="GW37" s="2667"/>
      <c r="GX37" s="36"/>
      <c r="GY37" s="36"/>
      <c r="GZ37" s="27"/>
      <c r="HA37" s="27"/>
      <c r="HB37" s="27"/>
      <c r="HC37" s="27"/>
      <c r="HD37" s="27"/>
      <c r="HE37" s="27"/>
      <c r="HF37" s="27">
        <v>1269.6499999999999</v>
      </c>
      <c r="HG37" s="27"/>
      <c r="HH37" s="27">
        <v>0</v>
      </c>
      <c r="HI37" s="27"/>
      <c r="HJ37" s="27">
        <v>0</v>
      </c>
      <c r="HK37" s="27"/>
      <c r="HL37" s="28">
        <f t="shared" si="120"/>
        <v>1269.6499999999999</v>
      </c>
      <c r="HM37" s="36"/>
      <c r="HN37" s="27"/>
      <c r="HO37" s="27"/>
      <c r="HP37" s="27"/>
      <c r="HQ37" s="27"/>
      <c r="HR37" s="27"/>
      <c r="HS37" s="27" cm="1">
        <f t="array" ref="HS37">SUMPRODUCT(('Data Base hauling'!$C$2:$C$216="TCM-ROM SB1 BK05-ROM 4")*(ISNUMBER(SEARCH(TEXT('April TCM'!$B37,"00")&amp;"/03/2026",'Data Base hauling'!$E$2:$E$216)))*'Data Base hauling'!$N$2:$N$216)</f>
        <v>0</v>
      </c>
      <c r="HT37" s="27"/>
      <c r="HU37" s="27" cm="1">
        <f t="array" ref="HU37">SUMPRODUCT(('Data Base hauling'!$C$2:$C$216="TCM-ROM SB1 BK05-ROM 5")*(ISNUMBER(SEARCH(TEXT('April TCM'!$B37,"00")&amp;"/03/2026",'Data Base hauling'!$E$2:$E$216)))*'Data Base hauling'!$N$2:$N$216)</f>
        <v>0</v>
      </c>
      <c r="HV37" s="27"/>
      <c r="HW37" s="27"/>
      <c r="HX37" s="27"/>
      <c r="HY37" s="27"/>
      <c r="HZ37" s="27"/>
      <c r="IA37" s="33">
        <f t="shared" si="43"/>
        <v>0</v>
      </c>
      <c r="IB37" s="52"/>
      <c r="IC37" s="152"/>
      <c r="ID37" s="53"/>
      <c r="IE37" s="53"/>
      <c r="IF37" s="53"/>
      <c r="IG37" s="53"/>
      <c r="IH37" s="53">
        <v>0</v>
      </c>
      <c r="II37" s="53"/>
      <c r="IJ37" s="53">
        <v>3508.07</v>
      </c>
      <c r="IK37" s="53"/>
      <c r="IL37" s="53">
        <v>0</v>
      </c>
      <c r="IM37" s="53"/>
      <c r="IN37" s="53"/>
      <c r="IO37" s="49">
        <v>0</v>
      </c>
      <c r="IP37" s="61">
        <f t="shared" si="121"/>
        <v>3508.07</v>
      </c>
      <c r="IQ37" s="36"/>
      <c r="IR37" s="36"/>
      <c r="IS37" s="27"/>
      <c r="IT37" s="27"/>
      <c r="IU37" s="53"/>
      <c r="IV37" s="27"/>
      <c r="IW37" s="27">
        <v>0</v>
      </c>
      <c r="IX37" s="27"/>
      <c r="IY37" s="27">
        <v>3523.4100000000003</v>
      </c>
      <c r="IZ37" s="27"/>
      <c r="JA37" s="27">
        <v>0</v>
      </c>
      <c r="JB37" s="27"/>
      <c r="JC37" s="27"/>
      <c r="JD37" s="27"/>
      <c r="JE37" s="33">
        <f t="shared" si="122"/>
        <v>3523.4100000000003</v>
      </c>
      <c r="JF37" s="2667"/>
      <c r="JH37" s="2020">
        <v>8301.130000000001</v>
      </c>
      <c r="JI37" s="2021">
        <v>0</v>
      </c>
      <c r="JJ37" s="53"/>
      <c r="JK37" s="53">
        <f t="shared" si="123"/>
        <v>8301.130000000001</v>
      </c>
      <c r="JL37" s="33"/>
      <c r="JM37" s="2669"/>
      <c r="JN37" s="69">
        <v>0</v>
      </c>
      <c r="JO37" s="70">
        <v>0</v>
      </c>
      <c r="JP37" s="70">
        <v>0</v>
      </c>
      <c r="JQ37" s="70">
        <v>0</v>
      </c>
      <c r="JR37" s="70">
        <v>1</v>
      </c>
      <c r="JS37" s="70">
        <v>0</v>
      </c>
      <c r="JT37" s="70">
        <v>0</v>
      </c>
      <c r="JU37" s="1922">
        <v>0</v>
      </c>
      <c r="JV37" s="69" t="s">
        <v>296</v>
      </c>
      <c r="JW37" s="70" t="s">
        <v>296</v>
      </c>
      <c r="JX37" s="70" t="s">
        <v>296</v>
      </c>
      <c r="JY37" s="70" t="s">
        <v>296</v>
      </c>
      <c r="JZ37" s="70" t="s">
        <v>296</v>
      </c>
      <c r="KA37" s="70" t="s">
        <v>296</v>
      </c>
      <c r="KB37" s="70" t="s">
        <v>296</v>
      </c>
      <c r="KC37" s="71" t="s">
        <v>296</v>
      </c>
      <c r="KD37" s="69"/>
      <c r="KE37" s="70"/>
      <c r="KF37" s="70"/>
      <c r="KG37" s="70"/>
      <c r="KH37" s="70"/>
      <c r="KI37" s="70"/>
      <c r="KJ37" s="70"/>
      <c r="KK37" s="70"/>
      <c r="KL37" s="33"/>
      <c r="KM37" s="2669"/>
      <c r="KN37" s="1739">
        <v>7163.4397518492005</v>
      </c>
      <c r="KO37" s="1721">
        <v>0.89841803865425918</v>
      </c>
      <c r="KP37" s="1721">
        <v>2.7163278453829638</v>
      </c>
      <c r="KQ37" s="1721">
        <v>6.6856167979002619</v>
      </c>
      <c r="KR37" s="1722">
        <v>9.8324590398472917</v>
      </c>
      <c r="KS37" s="1958">
        <v>0</v>
      </c>
      <c r="KT37" s="1961">
        <v>0</v>
      </c>
      <c r="KU37" s="1961">
        <v>0</v>
      </c>
      <c r="KV37" s="1961">
        <v>0</v>
      </c>
      <c r="KW37" s="1962">
        <v>0</v>
      </c>
      <c r="KX37" s="36"/>
      <c r="KY37" s="53"/>
      <c r="KZ37" s="53"/>
      <c r="LA37" s="53"/>
      <c r="LB37" s="53"/>
      <c r="LC37" s="33"/>
      <c r="LD37" s="2669"/>
      <c r="LF37" s="26">
        <f t="shared" si="47"/>
        <v>0</v>
      </c>
      <c r="LG37" s="27">
        <f t="shared" si="47"/>
        <v>0</v>
      </c>
      <c r="LH37" s="27">
        <f t="shared" si="47"/>
        <v>0</v>
      </c>
      <c r="LI37" s="28">
        <f t="shared" si="48"/>
        <v>0</v>
      </c>
      <c r="LJ37" s="36"/>
      <c r="LK37" s="27"/>
      <c r="LL37" s="27">
        <v>1</v>
      </c>
      <c r="LM37" s="33"/>
      <c r="LN37" s="1041">
        <v>3.07</v>
      </c>
      <c r="LO37" s="486"/>
      <c r="LP37" s="2688"/>
      <c r="LQ37" s="26"/>
      <c r="LR37" s="36"/>
      <c r="LS37" s="27"/>
      <c r="LT37" s="27"/>
      <c r="LU37" s="27"/>
      <c r="LV37" s="1107">
        <f t="shared" si="49"/>
        <v>0</v>
      </c>
      <c r="LW37" s="36"/>
      <c r="LX37" s="36"/>
      <c r="LY37" s="27"/>
      <c r="LZ37" s="27"/>
      <c r="MA37" s="33"/>
      <c r="MB37" s="28">
        <f t="shared" si="50"/>
        <v>0</v>
      </c>
      <c r="MC37" s="26"/>
      <c r="MD37" s="36"/>
      <c r="ME37" s="27"/>
      <c r="MF37" s="27"/>
      <c r="MG37" s="27"/>
      <c r="MH37" s="28"/>
      <c r="MI37" s="36"/>
      <c r="MJ37" s="36"/>
      <c r="MK37" s="27"/>
      <c r="ML37" s="27"/>
      <c r="MM37" s="27"/>
      <c r="MN37" s="28"/>
      <c r="MO37" s="36"/>
      <c r="MP37" s="36"/>
      <c r="MQ37" s="27"/>
      <c r="MR37" s="27"/>
      <c r="MS37" s="27"/>
      <c r="MT37" s="33">
        <f t="shared" si="51"/>
        <v>0</v>
      </c>
      <c r="MU37" s="2688"/>
      <c r="MW37" s="26">
        <f t="shared" si="52"/>
        <v>168520.72239330632</v>
      </c>
      <c r="MX37" s="27">
        <f t="shared" si="53"/>
        <v>75797.503809620219</v>
      </c>
      <c r="MY37" s="27">
        <f t="shared" si="54"/>
        <v>19085.876980961228</v>
      </c>
      <c r="MZ37" s="28">
        <f t="shared" si="55"/>
        <v>407437.66855851002</v>
      </c>
      <c r="NA37" s="2621"/>
      <c r="NB37" s="23">
        <f t="shared" si="56"/>
        <v>54557.579361311276</v>
      </c>
      <c r="NC37" s="1579">
        <f t="shared" si="57"/>
        <v>113963.14303199505</v>
      </c>
      <c r="ND37" s="60">
        <f t="shared" si="58"/>
        <v>0</v>
      </c>
      <c r="NE37" s="275">
        <f t="shared" si="4"/>
        <v>168520.72239330632</v>
      </c>
      <c r="NF37" s="26">
        <f t="shared" ref="NF37:NO40" si="133">+NF36+EE37-GX37</f>
        <v>0</v>
      </c>
      <c r="NG37" s="27">
        <f t="shared" si="133"/>
        <v>0</v>
      </c>
      <c r="NH37" s="27">
        <f t="shared" si="133"/>
        <v>0</v>
      </c>
      <c r="NI37" s="27">
        <f t="shared" si="133"/>
        <v>0</v>
      </c>
      <c r="NJ37" s="27">
        <f t="shared" si="133"/>
        <v>0</v>
      </c>
      <c r="NK37" s="33">
        <f t="shared" si="133"/>
        <v>0</v>
      </c>
      <c r="NL37" s="27">
        <f t="shared" si="133"/>
        <v>0</v>
      </c>
      <c r="NM37" s="152">
        <f t="shared" si="133"/>
        <v>0</v>
      </c>
      <c r="NN37" s="24">
        <f t="shared" si="133"/>
        <v>13114.660566563145</v>
      </c>
      <c r="NO37" s="27">
        <f t="shared" si="133"/>
        <v>26196.69549600617</v>
      </c>
      <c r="NP37" s="24">
        <f t="shared" si="108"/>
        <v>8756.5482322711578</v>
      </c>
      <c r="NQ37" s="24">
        <f t="shared" si="109"/>
        <v>2317.3441180334139</v>
      </c>
      <c r="NR37" s="27">
        <f t="shared" si="0"/>
        <v>50385.24841287388</v>
      </c>
      <c r="NS37" s="27">
        <f t="shared" si="127"/>
        <v>0</v>
      </c>
      <c r="NT37" s="27">
        <f t="shared" si="127"/>
        <v>0</v>
      </c>
      <c r="NU37" s="27">
        <f t="shared" si="127"/>
        <v>0</v>
      </c>
      <c r="NV37" s="27">
        <f t="shared" si="127"/>
        <v>0</v>
      </c>
      <c r="NW37" s="27">
        <f t="shared" si="127"/>
        <v>0</v>
      </c>
      <c r="NX37" s="5">
        <f t="shared" si="127"/>
        <v>0</v>
      </c>
      <c r="NY37" s="27">
        <f t="shared" si="127"/>
        <v>5359.8636022929113</v>
      </c>
      <c r="NZ37" s="27">
        <f t="shared" si="127"/>
        <v>0</v>
      </c>
      <c r="OA37" s="27">
        <f t="shared" si="127"/>
        <v>4325.7380667828274</v>
      </c>
      <c r="OB37" s="27"/>
      <c r="OC37" s="24">
        <f t="shared" si="128"/>
        <v>349.54339982995594</v>
      </c>
      <c r="OD37" s="27">
        <f t="shared" si="128"/>
        <v>0</v>
      </c>
      <c r="OE37" s="28">
        <f t="shared" si="1"/>
        <v>10035.145068905695</v>
      </c>
      <c r="OF37" s="27">
        <f t="shared" si="129"/>
        <v>0</v>
      </c>
      <c r="OG37" s="27">
        <f t="shared" si="129"/>
        <v>0</v>
      </c>
      <c r="OH37" s="27">
        <f t="shared" si="129"/>
        <v>0</v>
      </c>
      <c r="OI37" s="27">
        <f t="shared" si="129"/>
        <v>0</v>
      </c>
      <c r="OJ37" s="27">
        <f t="shared" si="129"/>
        <v>0</v>
      </c>
      <c r="OK37" s="27">
        <f t="shared" si="129"/>
        <v>0</v>
      </c>
      <c r="OL37" s="24">
        <f t="shared" si="129"/>
        <v>0</v>
      </c>
      <c r="OM37" s="27">
        <f t="shared" si="129"/>
        <v>0</v>
      </c>
      <c r="ON37" s="24">
        <f t="shared" si="129"/>
        <v>12863.246218026517</v>
      </c>
      <c r="OO37" s="27">
        <f t="shared" si="129"/>
        <v>0</v>
      </c>
      <c r="OP37" s="27">
        <f t="shared" si="129"/>
        <v>2513.8641098141266</v>
      </c>
      <c r="OQ37" s="27">
        <f t="shared" si="129"/>
        <v>0</v>
      </c>
      <c r="OR37" s="28">
        <f t="shared" si="2"/>
        <v>15377.110327840644</v>
      </c>
      <c r="OS37" s="36"/>
      <c r="OT37" s="27"/>
      <c r="OU37" s="27"/>
      <c r="OV37" s="27"/>
      <c r="OW37" s="27"/>
      <c r="OX37" s="27"/>
      <c r="OY37" s="28">
        <f t="shared" si="63"/>
        <v>0</v>
      </c>
      <c r="OZ37" s="36">
        <f t="shared" si="64"/>
        <v>0</v>
      </c>
      <c r="PA37" s="27">
        <f t="shared" si="65"/>
        <v>0</v>
      </c>
      <c r="PB37" s="27">
        <f t="shared" si="66"/>
        <v>0</v>
      </c>
      <c r="PC37" s="27">
        <f t="shared" si="67"/>
        <v>0</v>
      </c>
      <c r="PD37" s="27">
        <f t="shared" si="68"/>
        <v>0</v>
      </c>
      <c r="PE37" s="27">
        <f t="shared" si="69"/>
        <v>0</v>
      </c>
      <c r="PF37" s="33">
        <f t="shared" si="3"/>
        <v>0</v>
      </c>
      <c r="PG37" s="2621"/>
      <c r="PI37" s="2">
        <v>2422.38</v>
      </c>
      <c r="PJ37" s="3"/>
      <c r="PK37" s="3"/>
      <c r="PL37" s="3">
        <f t="shared" si="70"/>
        <v>0</v>
      </c>
      <c r="PM37" s="3">
        <f t="shared" si="71"/>
        <v>37690.458459344183</v>
      </c>
      <c r="PN37" s="11">
        <f t="shared" si="72"/>
        <v>19085.876980961228</v>
      </c>
      <c r="PO37" s="15"/>
      <c r="PP37" s="2615"/>
      <c r="PR37" s="4"/>
      <c r="PS37" s="9"/>
      <c r="PT37" s="9"/>
      <c r="PU37" s="9"/>
      <c r="PV37" s="9">
        <v>0</v>
      </c>
      <c r="PW37" s="9"/>
      <c r="PX37" s="8">
        <f t="shared" si="73"/>
        <v>0</v>
      </c>
      <c r="PY37" s="5">
        <f t="shared" si="74"/>
        <v>2422.38</v>
      </c>
      <c r="PZ37" s="5"/>
      <c r="QA37" s="5"/>
      <c r="QB37" s="5"/>
      <c r="QC37" s="5"/>
      <c r="QD37" s="5"/>
      <c r="QE37" s="12">
        <f t="shared" si="75"/>
        <v>29562.488999999998</v>
      </c>
      <c r="QF37" s="420">
        <f t="shared" si="76"/>
        <v>376759.15955851</v>
      </c>
      <c r="QG37" s="1106">
        <f t="shared" si="77"/>
        <v>1116.02</v>
      </c>
      <c r="QH37" s="484">
        <f t="shared" si="78"/>
        <v>5505.3678056099998</v>
      </c>
      <c r="QI37" s="12"/>
      <c r="QJ37" s="2615"/>
      <c r="QL37" s="139">
        <f t="shared" si="79"/>
        <v>0</v>
      </c>
      <c r="QM37" s="139" t="str">
        <f t="shared" si="80"/>
        <v/>
      </c>
      <c r="QO37" s="139">
        <f t="shared" si="81"/>
        <v>0</v>
      </c>
      <c r="QP37" s="139">
        <f t="shared" si="82"/>
        <v>0</v>
      </c>
      <c r="QR37" s="1">
        <f t="shared" si="83"/>
        <v>0</v>
      </c>
      <c r="QS37" s="1">
        <f t="shared" si="84"/>
        <v>0</v>
      </c>
      <c r="QT37" s="1">
        <f t="shared" si="85"/>
        <v>0</v>
      </c>
      <c r="QU37" s="1">
        <f t="shared" si="86"/>
        <v>0</v>
      </c>
      <c r="QV37" s="1">
        <f t="shared" si="87"/>
        <v>0</v>
      </c>
      <c r="QW37" s="1">
        <f t="shared" si="88"/>
        <v>0</v>
      </c>
      <c r="QY37" s="1">
        <f t="shared" si="89"/>
        <v>0</v>
      </c>
      <c r="QZ37" s="1">
        <f t="shared" si="90"/>
        <v>0</v>
      </c>
      <c r="RA37" s="1">
        <f t="shared" si="91"/>
        <v>0</v>
      </c>
      <c r="RB37" s="1">
        <f t="shared" si="92"/>
        <v>0</v>
      </c>
      <c r="RC37" s="1">
        <f t="shared" si="93"/>
        <v>0</v>
      </c>
      <c r="RD37" s="1">
        <f t="shared" si="94"/>
        <v>0</v>
      </c>
      <c r="RG37" s="1">
        <v>28</v>
      </c>
      <c r="RH37" s="1">
        <f t="shared" si="132"/>
        <v>47510.4712097171</v>
      </c>
      <c r="RI37" s="1">
        <f t="shared" si="132"/>
        <v>69661.70878048375</v>
      </c>
      <c r="RJ37" s="1">
        <f t="shared" si="132"/>
        <v>13404.263703387322</v>
      </c>
      <c r="RK37" s="89">
        <f t="shared" si="5"/>
        <v>130576.44369358817</v>
      </c>
      <c r="RL37" s="1033">
        <v>28</v>
      </c>
      <c r="RM37" s="1098">
        <f t="shared" si="96"/>
        <v>0</v>
      </c>
      <c r="RN37" s="1098">
        <f t="shared" si="97"/>
        <v>0</v>
      </c>
      <c r="RO37" s="1097">
        <f t="shared" si="97"/>
        <v>0</v>
      </c>
      <c r="RP37" s="1097">
        <f t="shared" si="98"/>
        <v>8063.7199999999993</v>
      </c>
      <c r="RQ37" s="1046"/>
      <c r="RR37" s="1046" t="s">
        <v>927</v>
      </c>
      <c r="RU37" s="421">
        <v>28</v>
      </c>
      <c r="RV37" s="1095">
        <f t="shared" si="99"/>
        <v>8301.130000000001</v>
      </c>
      <c r="RW37" s="1050" t="s">
        <v>928</v>
      </c>
      <c r="RX37" s="1048"/>
      <c r="RY37" s="1090"/>
      <c r="RZ37" s="1090">
        <f t="shared" si="100"/>
        <v>0</v>
      </c>
      <c r="SA37" s="1090"/>
      <c r="SB37" s="1090">
        <f t="shared" si="101"/>
        <v>0</v>
      </c>
      <c r="SD37" s="1">
        <v>28</v>
      </c>
      <c r="SE37" s="1">
        <f t="shared" si="102"/>
        <v>0</v>
      </c>
    </row>
    <row r="38" spans="1:500" s="1" customFormat="1">
      <c r="B38" s="471">
        <v>29</v>
      </c>
      <c r="C38" s="4">
        <f t="shared" si="6"/>
        <v>165395</v>
      </c>
      <c r="D38" s="1918">
        <f t="shared" si="119"/>
        <v>10756.11</v>
      </c>
      <c r="E38" s="1895">
        <f t="shared" si="7"/>
        <v>15.376841627688819</v>
      </c>
      <c r="F38" s="870"/>
      <c r="G38" s="870"/>
      <c r="H38" s="52"/>
      <c r="I38" s="61"/>
      <c r="J38" s="52"/>
      <c r="K38" s="54"/>
      <c r="L38" s="52">
        <v>1</v>
      </c>
      <c r="M38" s="61">
        <v>2.23</v>
      </c>
      <c r="N38" s="2629"/>
      <c r="O38" s="4">
        <f t="shared" si="125"/>
        <v>103320</v>
      </c>
      <c r="P38" s="5">
        <f t="shared" si="8"/>
        <v>7106.32</v>
      </c>
      <c r="Q38" s="1913">
        <f t="shared" si="9"/>
        <v>14.539170766303798</v>
      </c>
      <c r="R38" s="33"/>
      <c r="S38" s="26">
        <f t="shared" si="10"/>
        <v>36055</v>
      </c>
      <c r="T38" s="27">
        <f t="shared" si="11"/>
        <v>2069.79</v>
      </c>
      <c r="U38" s="1909">
        <f t="shared" si="12"/>
        <v>17.419641606153281</v>
      </c>
      <c r="V38" s="28"/>
      <c r="W38" s="26">
        <f t="shared" si="13"/>
        <v>26020</v>
      </c>
      <c r="X38" s="5">
        <f t="shared" si="13"/>
        <v>1580</v>
      </c>
      <c r="Y38" s="325">
        <f t="shared" si="14"/>
        <v>16.468354430379748</v>
      </c>
      <c r="Z38" s="33"/>
      <c r="AA38" s="26">
        <f t="shared" si="15"/>
        <v>0</v>
      </c>
      <c r="AB38" s="27">
        <f t="shared" si="16"/>
        <v>0</v>
      </c>
      <c r="AC38" s="53">
        <f t="shared" si="17"/>
        <v>0</v>
      </c>
      <c r="AD38" s="28"/>
      <c r="AE38" s="36"/>
      <c r="AF38" s="36"/>
      <c r="AG38" s="53">
        <f t="shared" si="18"/>
        <v>0</v>
      </c>
      <c r="AH38" s="28"/>
      <c r="AI38" s="23"/>
      <c r="AJ38" s="27"/>
      <c r="AK38" s="53">
        <f t="shared" si="19"/>
        <v>0</v>
      </c>
      <c r="AL38" s="28"/>
      <c r="AM38" s="2629"/>
      <c r="AN38" s="9"/>
      <c r="AO38" s="5"/>
      <c r="AP38" s="61">
        <f t="shared" si="20"/>
        <v>0</v>
      </c>
      <c r="AQ38" s="36"/>
      <c r="AR38" s="53"/>
      <c r="AS38" s="61">
        <f t="shared" si="21"/>
        <v>0</v>
      </c>
      <c r="AT38" s="36"/>
      <c r="AU38" s="27"/>
      <c r="AV38" s="54">
        <f t="shared" si="22"/>
        <v>0</v>
      </c>
      <c r="AW38" s="26">
        <v>64344</v>
      </c>
      <c r="AX38" s="27">
        <v>4279.38</v>
      </c>
      <c r="AY38" s="1895">
        <v>15.035822946314653</v>
      </c>
      <c r="AZ38" s="1908"/>
      <c r="BA38" s="1909"/>
      <c r="BB38" s="1895">
        <v>0</v>
      </c>
      <c r="BC38" s="1908">
        <v>38976</v>
      </c>
      <c r="BD38" s="1909">
        <v>2826.9399999999996</v>
      </c>
      <c r="BE38" s="1895">
        <v>13.787346034935304</v>
      </c>
      <c r="BF38" s="1908"/>
      <c r="BG38" s="1909"/>
      <c r="BH38" s="1895">
        <v>0</v>
      </c>
      <c r="BI38" s="1908">
        <v>0</v>
      </c>
      <c r="BJ38" s="1909">
        <v>0</v>
      </c>
      <c r="BK38" s="1895">
        <v>0</v>
      </c>
      <c r="BL38" s="1910">
        <v>36055</v>
      </c>
      <c r="BM38" s="1909">
        <v>2069.79</v>
      </c>
      <c r="BN38" s="1895">
        <v>17.419641606153281</v>
      </c>
      <c r="BO38" s="36"/>
      <c r="BP38" s="53"/>
      <c r="BQ38" s="61">
        <v>0</v>
      </c>
      <c r="BR38" s="36"/>
      <c r="BS38" s="27"/>
      <c r="BT38" s="61">
        <v>0</v>
      </c>
      <c r="BU38" s="36">
        <v>26020</v>
      </c>
      <c r="BV38" s="5">
        <v>1580</v>
      </c>
      <c r="BW38" s="28">
        <v>16.468354430379748</v>
      </c>
      <c r="BX38" s="26"/>
      <c r="BY38" s="5"/>
      <c r="BZ38" s="61">
        <f t="shared" si="23"/>
        <v>0</v>
      </c>
      <c r="CA38" s="36"/>
      <c r="CB38" s="5"/>
      <c r="CC38" s="61">
        <f t="shared" si="24"/>
        <v>0</v>
      </c>
      <c r="CD38" s="26"/>
      <c r="CE38" s="5"/>
      <c r="CF38" s="28">
        <f t="shared" si="25"/>
        <v>0</v>
      </c>
      <c r="CG38" s="150"/>
      <c r="CH38" s="9"/>
      <c r="CI38" s="5"/>
      <c r="CJ38" s="5">
        <v>7718</v>
      </c>
      <c r="CK38" s="5"/>
      <c r="CL38" s="5"/>
      <c r="CM38" s="5">
        <f t="shared" si="26"/>
        <v>7718</v>
      </c>
      <c r="CN38" s="33"/>
      <c r="CO38" s="366"/>
      <c r="CQ38" s="4">
        <f t="shared" si="131"/>
        <v>0</v>
      </c>
      <c r="CR38" s="9">
        <f t="shared" si="131"/>
        <v>0</v>
      </c>
      <c r="CS38" s="5">
        <f t="shared" si="131"/>
        <v>0</v>
      </c>
      <c r="CT38" s="5">
        <f t="shared" si="130"/>
        <v>0</v>
      </c>
      <c r="CU38" s="5">
        <f t="shared" si="130"/>
        <v>0</v>
      </c>
      <c r="CV38" s="5">
        <f t="shared" si="130"/>
        <v>0</v>
      </c>
      <c r="CW38" s="5">
        <f t="shared" si="130"/>
        <v>271.08</v>
      </c>
      <c r="CX38" s="5">
        <f t="shared" si="130"/>
        <v>0</v>
      </c>
      <c r="CY38" s="5">
        <f t="shared" si="130"/>
        <v>9059.5299999999988</v>
      </c>
      <c r="CZ38" s="5">
        <f t="shared" si="130"/>
        <v>0</v>
      </c>
      <c r="DA38" s="5">
        <f t="shared" si="130"/>
        <v>1425.5</v>
      </c>
      <c r="DB38" s="12">
        <f t="shared" si="130"/>
        <v>0</v>
      </c>
      <c r="DC38" s="310">
        <f>SUM(CQ38:DB38,PV38)</f>
        <v>10756.109999999999</v>
      </c>
      <c r="DD38" s="2695"/>
      <c r="DE38" s="8"/>
      <c r="DF38" s="9"/>
      <c r="DG38" s="5"/>
      <c r="DH38" s="5"/>
      <c r="DI38" s="5"/>
      <c r="DJ38" s="5"/>
      <c r="DK38" s="5">
        <v>271.08</v>
      </c>
      <c r="DL38" s="5"/>
      <c r="DM38" s="5">
        <v>4008.2999999999997</v>
      </c>
      <c r="DN38" s="5"/>
      <c r="DO38" s="5"/>
      <c r="DP38" s="12"/>
      <c r="DQ38" s="28">
        <f t="shared" si="29"/>
        <v>4279.38</v>
      </c>
      <c r="DR38" s="36"/>
      <c r="DS38" s="36"/>
      <c r="DT38" s="27"/>
      <c r="DU38" s="27"/>
      <c r="DV38" s="27"/>
      <c r="DW38" s="27"/>
      <c r="DX38" s="27"/>
      <c r="DY38" s="27"/>
      <c r="DZ38" s="27">
        <v>4491.2299999999996</v>
      </c>
      <c r="EA38" s="27"/>
      <c r="EB38" s="27">
        <v>405.5</v>
      </c>
      <c r="EC38" s="33"/>
      <c r="ED38" s="28">
        <f t="shared" si="30"/>
        <v>4896.7299999999996</v>
      </c>
      <c r="EE38" s="36"/>
      <c r="EF38" s="36"/>
      <c r="EG38" s="27"/>
      <c r="EH38" s="27"/>
      <c r="EI38" s="27"/>
      <c r="EJ38" s="27"/>
      <c r="EK38" s="27"/>
      <c r="EL38" s="27"/>
      <c r="EM38" s="1448">
        <v>560</v>
      </c>
      <c r="EN38" s="27"/>
      <c r="EO38" s="27">
        <v>1020</v>
      </c>
      <c r="EP38" s="33"/>
      <c r="EQ38" s="28">
        <f t="shared" si="31"/>
        <v>1580</v>
      </c>
      <c r="ER38" s="36"/>
      <c r="ES38" s="27"/>
      <c r="ET38" s="27"/>
      <c r="EU38" s="27"/>
      <c r="EV38" s="27"/>
      <c r="EW38" s="27"/>
      <c r="EX38" s="33">
        <f t="shared" si="32"/>
        <v>0</v>
      </c>
      <c r="EY38" s="2685"/>
      <c r="FA38" s="4">
        <f t="shared" si="33"/>
        <v>0</v>
      </c>
      <c r="FB38" s="5">
        <f t="shared" si="34"/>
        <v>0</v>
      </c>
      <c r="FC38" s="5">
        <f t="shared" si="35"/>
        <v>0</v>
      </c>
      <c r="FD38" s="12">
        <f t="shared" si="36"/>
        <v>0</v>
      </c>
      <c r="FE38" s="33"/>
      <c r="FF38" s="2674"/>
      <c r="FG38" s="9"/>
      <c r="FH38" s="5"/>
      <c r="FI38" s="5"/>
      <c r="FJ38" s="5"/>
      <c r="FK38" s="5"/>
      <c r="FL38" s="27"/>
      <c r="FM38" s="28">
        <f t="shared" si="37"/>
        <v>0</v>
      </c>
      <c r="FN38" s="36"/>
      <c r="FO38" s="27"/>
      <c r="FP38" s="27"/>
      <c r="FQ38" s="27"/>
      <c r="FR38" s="27"/>
      <c r="FS38" s="27"/>
      <c r="FT38" s="28">
        <f t="shared" si="38"/>
        <v>0</v>
      </c>
      <c r="FU38" s="36"/>
      <c r="FV38" s="36"/>
      <c r="FW38" s="27"/>
      <c r="FX38" s="27"/>
      <c r="FY38" s="27"/>
      <c r="FZ38" s="27"/>
      <c r="GA38" s="27"/>
      <c r="GB38" s="27"/>
      <c r="GC38" s="27"/>
      <c r="GD38" s="27"/>
      <c r="GE38" s="27"/>
      <c r="GF38" s="33"/>
      <c r="GG38" s="33">
        <f t="shared" si="39"/>
        <v>0</v>
      </c>
      <c r="GH38" s="2674"/>
      <c r="GJ38" s="2">
        <f t="shared" si="105"/>
        <v>1084.3000000000002</v>
      </c>
      <c r="GK38" s="63">
        <f t="shared" si="106"/>
        <v>4325.67</v>
      </c>
      <c r="GL38" s="24">
        <f t="shared" si="107"/>
        <v>3213.2799999999997</v>
      </c>
      <c r="GM38" s="53">
        <f t="shared" si="40"/>
        <v>8623.25</v>
      </c>
      <c r="GN38" s="141"/>
      <c r="GO38" s="141"/>
      <c r="GP38" s="33"/>
      <c r="GQ38" s="2667"/>
      <c r="GR38" s="1740">
        <v>3805.25</v>
      </c>
      <c r="GS38" s="1736">
        <v>358.4</v>
      </c>
      <c r="GT38" s="1736">
        <v>2239.0500000000002</v>
      </c>
      <c r="GU38" s="1736">
        <v>2220.5500000000002</v>
      </c>
      <c r="GV38" s="33">
        <f t="shared" si="41"/>
        <v>8623.25</v>
      </c>
      <c r="GW38" s="2667"/>
      <c r="GX38" s="36"/>
      <c r="GY38" s="36"/>
      <c r="GZ38" s="27"/>
      <c r="HA38" s="27"/>
      <c r="HB38" s="27"/>
      <c r="HC38" s="27"/>
      <c r="HD38" s="27"/>
      <c r="HE38" s="27"/>
      <c r="HF38" s="27">
        <v>725.90000000000009</v>
      </c>
      <c r="HG38" s="27"/>
      <c r="HH38" s="27">
        <v>0</v>
      </c>
      <c r="HI38" s="27"/>
      <c r="HJ38" s="27">
        <v>358.4</v>
      </c>
      <c r="HK38" s="27"/>
      <c r="HL38" s="28">
        <f t="shared" si="120"/>
        <v>1084.3000000000002</v>
      </c>
      <c r="HM38" s="36"/>
      <c r="HN38" s="27"/>
      <c r="HO38" s="27"/>
      <c r="HP38" s="27"/>
      <c r="HQ38" s="27"/>
      <c r="HR38" s="27"/>
      <c r="HS38" s="27" cm="1">
        <f t="array" ref="HS38">SUMPRODUCT(('Data Base hauling'!$C$2:$C$216="TCM-ROM SB1 BK05-ROM 4")*(ISNUMBER(SEARCH(TEXT('April TCM'!$B38,"00")&amp;"/03/2026",'Data Base hauling'!$E$2:$E$216)))*'Data Base hauling'!$N$2:$N$216)</f>
        <v>0</v>
      </c>
      <c r="HT38" s="27"/>
      <c r="HU38" s="27" cm="1">
        <f t="array" ref="HU38">SUMPRODUCT(('Data Base hauling'!$C$2:$C$216="TCM-ROM SB1 BK05-ROM 5")*(ISNUMBER(SEARCH(TEXT('April TCM'!$B38,"00")&amp;"/03/2026",'Data Base hauling'!$E$2:$E$216)))*'Data Base hauling'!$N$2:$N$216)</f>
        <v>0</v>
      </c>
      <c r="HV38" s="27"/>
      <c r="HW38" s="27"/>
      <c r="HX38" s="27"/>
      <c r="HY38" s="27"/>
      <c r="HZ38" s="27"/>
      <c r="IA38" s="33">
        <f t="shared" si="43"/>
        <v>0</v>
      </c>
      <c r="IB38" s="52"/>
      <c r="IC38" s="152"/>
      <c r="ID38" s="53"/>
      <c r="IE38" s="53"/>
      <c r="IF38" s="53"/>
      <c r="IG38" s="53"/>
      <c r="IH38" s="53">
        <v>0</v>
      </c>
      <c r="II38" s="53"/>
      <c r="IJ38" s="53">
        <v>4325.67</v>
      </c>
      <c r="IK38" s="53"/>
      <c r="IL38" s="53">
        <v>0</v>
      </c>
      <c r="IM38" s="53"/>
      <c r="IN38" s="53"/>
      <c r="IO38" s="49">
        <v>0</v>
      </c>
      <c r="IP38" s="61">
        <f t="shared" si="121"/>
        <v>4325.67</v>
      </c>
      <c r="IQ38" s="36"/>
      <c r="IR38" s="36"/>
      <c r="IS38" s="27"/>
      <c r="IT38" s="27"/>
      <c r="IU38" s="53"/>
      <c r="IV38" s="53"/>
      <c r="IW38" s="53">
        <v>0</v>
      </c>
      <c r="IX38" s="53"/>
      <c r="IY38" s="27">
        <v>3213.2799999999997</v>
      </c>
      <c r="IZ38" s="53"/>
      <c r="JA38" s="27">
        <v>0</v>
      </c>
      <c r="JB38" s="27"/>
      <c r="JC38" s="27"/>
      <c r="JD38" s="27"/>
      <c r="JE38" s="33">
        <f t="shared" si="122"/>
        <v>3213.2799999999997</v>
      </c>
      <c r="JF38" s="2667"/>
      <c r="JH38" s="2020">
        <v>8264.85</v>
      </c>
      <c r="JI38" s="2021">
        <v>358.4</v>
      </c>
      <c r="JJ38" s="27"/>
      <c r="JK38" s="53">
        <f t="shared" si="123"/>
        <v>8623.25</v>
      </c>
      <c r="JL38" s="33"/>
      <c r="JM38" s="2669"/>
      <c r="JN38" s="69">
        <v>0</v>
      </c>
      <c r="JO38" s="70">
        <v>0</v>
      </c>
      <c r="JP38" s="70">
        <v>0</v>
      </c>
      <c r="JQ38" s="70">
        <v>0</v>
      </c>
      <c r="JR38" s="70">
        <v>1</v>
      </c>
      <c r="JS38" s="70">
        <v>0</v>
      </c>
      <c r="JT38" s="70">
        <v>0</v>
      </c>
      <c r="JU38" s="1922">
        <v>0</v>
      </c>
      <c r="JV38" s="69">
        <v>0</v>
      </c>
      <c r="JW38" s="70">
        <v>0</v>
      </c>
      <c r="JX38" s="70">
        <v>0</v>
      </c>
      <c r="JY38" s="70">
        <v>0</v>
      </c>
      <c r="JZ38" s="70">
        <v>0</v>
      </c>
      <c r="KA38" s="70">
        <v>0</v>
      </c>
      <c r="KB38" s="70">
        <v>1</v>
      </c>
      <c r="KC38" s="71">
        <v>0</v>
      </c>
      <c r="KD38" s="69"/>
      <c r="KE38" s="70"/>
      <c r="KF38" s="70"/>
      <c r="KG38" s="70"/>
      <c r="KH38" s="70"/>
      <c r="KI38" s="70"/>
      <c r="KJ38" s="70"/>
      <c r="KK38" s="70"/>
      <c r="KL38" s="33"/>
      <c r="KM38" s="2669"/>
      <c r="KN38" s="1739">
        <v>6942.4931773879143</v>
      </c>
      <c r="KO38" s="1721">
        <v>0.90700779727095504</v>
      </c>
      <c r="KP38" s="1721">
        <v>2.3150682261208573</v>
      </c>
      <c r="KQ38" s="1721">
        <v>6.0871442495126704</v>
      </c>
      <c r="KR38" s="1722">
        <v>9.4248245614035095</v>
      </c>
      <c r="KS38" s="1958">
        <v>0</v>
      </c>
      <c r="KT38" s="1961">
        <v>0</v>
      </c>
      <c r="KU38" s="1961">
        <v>0</v>
      </c>
      <c r="KV38" s="1961">
        <v>0</v>
      </c>
      <c r="KW38" s="1962">
        <v>0</v>
      </c>
      <c r="KX38" s="36"/>
      <c r="KY38" s="53"/>
      <c r="KZ38" s="53"/>
      <c r="LA38" s="53"/>
      <c r="LB38" s="53"/>
      <c r="LC38" s="33"/>
      <c r="LD38" s="2669"/>
      <c r="LF38" s="26">
        <f t="shared" si="47"/>
        <v>7435.14</v>
      </c>
      <c r="LG38" s="27">
        <f t="shared" si="47"/>
        <v>0</v>
      </c>
      <c r="LH38" s="27">
        <f t="shared" si="47"/>
        <v>0</v>
      </c>
      <c r="LI38" s="28">
        <f t="shared" si="48"/>
        <v>7435.14</v>
      </c>
      <c r="LJ38" s="36">
        <v>1</v>
      </c>
      <c r="LK38" s="27"/>
      <c r="LL38" s="27">
        <v>2</v>
      </c>
      <c r="LM38" s="33"/>
      <c r="LN38" s="1041">
        <v>9.0299999999999994</v>
      </c>
      <c r="LO38" s="486"/>
      <c r="LP38" s="2688"/>
      <c r="LQ38" s="26">
        <v>7435.14</v>
      </c>
      <c r="LR38" s="36"/>
      <c r="LS38" s="27"/>
      <c r="LT38" s="27"/>
      <c r="LU38" s="27"/>
      <c r="LV38" s="1107">
        <f t="shared" si="49"/>
        <v>7435.14</v>
      </c>
      <c r="LW38" s="36"/>
      <c r="LX38" s="36"/>
      <c r="LY38" s="27"/>
      <c r="LZ38" s="27"/>
      <c r="MA38" s="33"/>
      <c r="MB38" s="28">
        <f t="shared" si="50"/>
        <v>0</v>
      </c>
      <c r="MC38" s="26"/>
      <c r="MD38" s="36"/>
      <c r="ME38" s="27"/>
      <c r="MF38" s="27"/>
      <c r="MG38" s="27"/>
      <c r="MH38" s="28"/>
      <c r="MI38" s="36"/>
      <c r="MJ38" s="36"/>
      <c r="MK38" s="27"/>
      <c r="ML38" s="27"/>
      <c r="MM38" s="27"/>
      <c r="MN38" s="28"/>
      <c r="MO38" s="36"/>
      <c r="MP38" s="36"/>
      <c r="MQ38" s="27"/>
      <c r="MR38" s="27"/>
      <c r="MS38" s="27"/>
      <c r="MT38" s="33">
        <f t="shared" si="51"/>
        <v>0</v>
      </c>
      <c r="MU38" s="2688"/>
      <c r="MW38" s="26">
        <f t="shared" si="52"/>
        <v>169708.83239330631</v>
      </c>
      <c r="MX38" s="27">
        <f t="shared" si="53"/>
        <v>78288.763809620228</v>
      </c>
      <c r="MY38" s="27">
        <f t="shared" si="54"/>
        <v>18727.476980961226</v>
      </c>
      <c r="MZ38" s="28">
        <f t="shared" si="55"/>
        <v>405481.18855851004</v>
      </c>
      <c r="NA38" s="2621"/>
      <c r="NB38" s="23">
        <f t="shared" si="56"/>
        <v>55387.289361311276</v>
      </c>
      <c r="NC38" s="1579">
        <f t="shared" si="57"/>
        <v>114321.54303199504</v>
      </c>
      <c r="ND38" s="60">
        <f t="shared" si="58"/>
        <v>0</v>
      </c>
      <c r="NE38" s="275">
        <f t="shared" si="4"/>
        <v>169708.83239330631</v>
      </c>
      <c r="NF38" s="26">
        <f t="shared" si="133"/>
        <v>0</v>
      </c>
      <c r="NG38" s="27">
        <f t="shared" si="133"/>
        <v>0</v>
      </c>
      <c r="NH38" s="27">
        <f t="shared" si="133"/>
        <v>0</v>
      </c>
      <c r="NI38" s="27">
        <f t="shared" si="133"/>
        <v>0</v>
      </c>
      <c r="NJ38" s="27">
        <f t="shared" si="133"/>
        <v>0</v>
      </c>
      <c r="NK38" s="33">
        <f t="shared" si="133"/>
        <v>0</v>
      </c>
      <c r="NL38" s="27">
        <f t="shared" si="133"/>
        <v>0</v>
      </c>
      <c r="NM38" s="152">
        <f t="shared" si="133"/>
        <v>0</v>
      </c>
      <c r="NN38" s="24">
        <f t="shared" si="133"/>
        <v>12948.760566563145</v>
      </c>
      <c r="NO38" s="27">
        <f t="shared" si="133"/>
        <v>26196.69549600617</v>
      </c>
      <c r="NP38" s="24">
        <f t="shared" si="108"/>
        <v>8756.5482322711578</v>
      </c>
      <c r="NQ38" s="24">
        <f t="shared" si="109"/>
        <v>3337.3441180334139</v>
      </c>
      <c r="NR38" s="27">
        <f t="shared" si="0"/>
        <v>51239.348412873886</v>
      </c>
      <c r="NS38" s="27">
        <f t="shared" si="127"/>
        <v>0</v>
      </c>
      <c r="NT38" s="27">
        <f t="shared" si="127"/>
        <v>0</v>
      </c>
      <c r="NU38" s="27">
        <f t="shared" si="127"/>
        <v>0</v>
      </c>
      <c r="NV38" s="27">
        <f t="shared" si="127"/>
        <v>0</v>
      </c>
      <c r="NW38" s="5">
        <f t="shared" si="127"/>
        <v>0</v>
      </c>
      <c r="NX38" s="5">
        <f t="shared" si="127"/>
        <v>0</v>
      </c>
      <c r="NY38" s="27">
        <f t="shared" si="127"/>
        <v>5630.9436022929112</v>
      </c>
      <c r="NZ38" s="27">
        <f t="shared" si="127"/>
        <v>0</v>
      </c>
      <c r="OA38" s="27">
        <f t="shared" si="127"/>
        <v>4008.3680667828266</v>
      </c>
      <c r="OB38" s="27"/>
      <c r="OC38" s="24">
        <f t="shared" si="128"/>
        <v>349.54339982995594</v>
      </c>
      <c r="OD38" s="27">
        <f t="shared" si="128"/>
        <v>0</v>
      </c>
      <c r="OE38" s="28">
        <f t="shared" si="1"/>
        <v>9988.8550689056938</v>
      </c>
      <c r="OF38" s="27">
        <f t="shared" si="129"/>
        <v>0</v>
      </c>
      <c r="OG38" s="27">
        <f t="shared" si="129"/>
        <v>0</v>
      </c>
      <c r="OH38" s="27">
        <f t="shared" si="129"/>
        <v>0</v>
      </c>
      <c r="OI38" s="27">
        <f t="shared" si="129"/>
        <v>0</v>
      </c>
      <c r="OJ38" s="27">
        <f t="shared" si="129"/>
        <v>0</v>
      </c>
      <c r="OK38" s="27">
        <f t="shared" si="129"/>
        <v>0</v>
      </c>
      <c r="OL38" s="24">
        <f t="shared" si="129"/>
        <v>0</v>
      </c>
      <c r="OM38" s="27">
        <f t="shared" si="129"/>
        <v>0</v>
      </c>
      <c r="ON38" s="24">
        <f t="shared" si="129"/>
        <v>14141.196218026518</v>
      </c>
      <c r="OO38" s="27">
        <f t="shared" si="129"/>
        <v>0</v>
      </c>
      <c r="OP38" s="27">
        <f t="shared" si="129"/>
        <v>2919.3641098141266</v>
      </c>
      <c r="OQ38" s="27">
        <f t="shared" si="129"/>
        <v>0</v>
      </c>
      <c r="OR38" s="28">
        <f t="shared" si="2"/>
        <v>17060.560327840645</v>
      </c>
      <c r="OS38" s="36"/>
      <c r="OT38" s="27"/>
      <c r="OU38" s="27"/>
      <c r="OV38" s="27"/>
      <c r="OW38" s="27"/>
      <c r="OX38" s="27"/>
      <c r="OY38" s="28">
        <f t="shared" si="63"/>
        <v>0</v>
      </c>
      <c r="OZ38" s="36">
        <f t="shared" si="64"/>
        <v>0</v>
      </c>
      <c r="PA38" s="27">
        <f t="shared" si="65"/>
        <v>0</v>
      </c>
      <c r="PB38" s="27">
        <f t="shared" si="66"/>
        <v>0</v>
      </c>
      <c r="PC38" s="27">
        <f t="shared" si="67"/>
        <v>0</v>
      </c>
      <c r="PD38" s="27">
        <f t="shared" si="68"/>
        <v>0</v>
      </c>
      <c r="PE38" s="27">
        <f t="shared" si="69"/>
        <v>0</v>
      </c>
      <c r="PF38" s="33">
        <f t="shared" si="3"/>
        <v>0</v>
      </c>
      <c r="PG38" s="2621"/>
      <c r="PI38" s="2">
        <v>1956.48</v>
      </c>
      <c r="PJ38" s="3"/>
      <c r="PK38" s="3"/>
      <c r="PL38" s="3">
        <f t="shared" si="70"/>
        <v>358.4</v>
      </c>
      <c r="PM38" s="3">
        <f t="shared" si="71"/>
        <v>39646.938459344186</v>
      </c>
      <c r="PN38" s="11">
        <f t="shared" si="72"/>
        <v>18727.476980961226</v>
      </c>
      <c r="PO38" s="15"/>
      <c r="PP38" s="2615"/>
      <c r="PR38" s="4"/>
      <c r="PS38" s="9"/>
      <c r="PT38" s="9"/>
      <c r="PU38" s="9"/>
      <c r="PV38" s="9">
        <v>0</v>
      </c>
      <c r="PW38" s="9"/>
      <c r="PX38" s="8">
        <f t="shared" si="73"/>
        <v>0</v>
      </c>
      <c r="PY38" s="5">
        <f t="shared" si="74"/>
        <v>1956.48</v>
      </c>
      <c r="PZ38" s="5"/>
      <c r="QA38" s="5"/>
      <c r="QB38" s="5"/>
      <c r="QC38" s="5"/>
      <c r="QD38" s="5"/>
      <c r="QE38" s="12">
        <f t="shared" si="75"/>
        <v>29562.488999999998</v>
      </c>
      <c r="QF38" s="420">
        <f t="shared" si="76"/>
        <v>374802.67955851002</v>
      </c>
      <c r="QG38" s="1106">
        <f t="shared" si="77"/>
        <v>1116.02</v>
      </c>
      <c r="QH38" s="484">
        <f t="shared" si="78"/>
        <v>5505.3678056099998</v>
      </c>
      <c r="QI38" s="12"/>
      <c r="QJ38" s="2615"/>
      <c r="QL38" s="139">
        <f t="shared" si="79"/>
        <v>0</v>
      </c>
      <c r="QM38" s="139" t="str">
        <f t="shared" si="80"/>
        <v/>
      </c>
      <c r="QO38" s="139">
        <f t="shared" si="81"/>
        <v>0</v>
      </c>
      <c r="QP38" s="139">
        <f t="shared" si="82"/>
        <v>0</v>
      </c>
      <c r="QR38" s="1">
        <f t="shared" si="83"/>
        <v>0</v>
      </c>
      <c r="QS38" s="1">
        <f t="shared" si="84"/>
        <v>0</v>
      </c>
      <c r="QT38" s="1">
        <f t="shared" si="85"/>
        <v>0</v>
      </c>
      <c r="QU38" s="1">
        <f t="shared" si="86"/>
        <v>0</v>
      </c>
      <c r="QV38" s="1">
        <f t="shared" si="87"/>
        <v>0</v>
      </c>
      <c r="QW38" s="1">
        <f t="shared" si="88"/>
        <v>0</v>
      </c>
      <c r="QY38" s="1">
        <f t="shared" si="89"/>
        <v>0</v>
      </c>
      <c r="QZ38" s="1">
        <f t="shared" si="90"/>
        <v>0</v>
      </c>
      <c r="RA38" s="1">
        <f t="shared" si="91"/>
        <v>0</v>
      </c>
      <c r="RB38" s="1">
        <f t="shared" si="92"/>
        <v>0</v>
      </c>
      <c r="RC38" s="1">
        <f t="shared" si="93"/>
        <v>0</v>
      </c>
      <c r="RD38" s="1">
        <f t="shared" si="94"/>
        <v>0</v>
      </c>
      <c r="RG38" s="1">
        <v>29</v>
      </c>
      <c r="RH38" s="1">
        <f t="shared" si="132"/>
        <v>48340.181209717099</v>
      </c>
      <c r="RI38" s="1">
        <f t="shared" si="132"/>
        <v>70020.108780483744</v>
      </c>
      <c r="RJ38" s="1">
        <f t="shared" si="132"/>
        <v>13404.263703387322</v>
      </c>
      <c r="RK38" s="89">
        <f t="shared" si="5"/>
        <v>131764.55369358815</v>
      </c>
      <c r="RL38" s="1033">
        <v>29</v>
      </c>
      <c r="RM38" s="1098">
        <f t="shared" si="96"/>
        <v>0</v>
      </c>
      <c r="RN38" s="1098">
        <f t="shared" si="97"/>
        <v>0</v>
      </c>
      <c r="RO38" s="1097">
        <f t="shared" si="97"/>
        <v>0</v>
      </c>
      <c r="RP38" s="1097">
        <f t="shared" si="98"/>
        <v>9176.11</v>
      </c>
      <c r="RQ38" s="1094"/>
      <c r="RR38" s="1094" t="s">
        <v>929</v>
      </c>
      <c r="RU38" s="421">
        <v>29</v>
      </c>
      <c r="RV38" s="1095">
        <f t="shared" si="99"/>
        <v>8623.25</v>
      </c>
      <c r="RW38" s="1096" t="s">
        <v>930</v>
      </c>
      <c r="RY38" s="1090"/>
      <c r="RZ38" s="1090">
        <f t="shared" si="100"/>
        <v>0</v>
      </c>
      <c r="SA38" s="1090"/>
      <c r="SB38" s="1090">
        <f t="shared" si="101"/>
        <v>0</v>
      </c>
      <c r="SD38" s="1">
        <v>29</v>
      </c>
      <c r="SE38" s="1">
        <f t="shared" si="102"/>
        <v>358.4</v>
      </c>
    </row>
    <row r="39" spans="1:500" s="1" customFormat="1">
      <c r="B39" s="471">
        <v>30</v>
      </c>
      <c r="C39" s="4">
        <f t="shared" si="6"/>
        <v>134158.79999999999</v>
      </c>
      <c r="D39" s="1918">
        <f t="shared" si="119"/>
        <v>7332.9599999999991</v>
      </c>
      <c r="E39" s="1895">
        <f t="shared" si="7"/>
        <v>18.295313215945541</v>
      </c>
      <c r="F39" s="870"/>
      <c r="G39" s="870"/>
      <c r="H39" s="52"/>
      <c r="I39" s="61"/>
      <c r="J39" s="52"/>
      <c r="K39" s="54"/>
      <c r="L39" s="52">
        <v>8.33</v>
      </c>
      <c r="M39" s="61">
        <v>5.36</v>
      </c>
      <c r="N39" s="2629"/>
      <c r="O39" s="4">
        <f t="shared" si="125"/>
        <v>75912.800000000003</v>
      </c>
      <c r="P39" s="5">
        <f t="shared" si="8"/>
        <v>4331.4599999999991</v>
      </c>
      <c r="Q39" s="1913">
        <f t="shared" si="9"/>
        <v>17.525915049429067</v>
      </c>
      <c r="R39" s="33"/>
      <c r="S39" s="26">
        <f t="shared" si="10"/>
        <v>30170</v>
      </c>
      <c r="T39" s="27">
        <f t="shared" si="11"/>
        <v>1281.4999999999998</v>
      </c>
      <c r="U39" s="1909">
        <f t="shared" si="12"/>
        <v>23.542723371049554</v>
      </c>
      <c r="V39" s="28"/>
      <c r="W39" s="26">
        <f t="shared" si="13"/>
        <v>28076</v>
      </c>
      <c r="X39" s="5">
        <f t="shared" si="13"/>
        <v>1720</v>
      </c>
      <c r="Y39" s="325">
        <f t="shared" si="14"/>
        <v>16.323255813953487</v>
      </c>
      <c r="Z39" s="33"/>
      <c r="AA39" s="26">
        <f t="shared" si="15"/>
        <v>0</v>
      </c>
      <c r="AB39" s="27">
        <f t="shared" si="16"/>
        <v>0</v>
      </c>
      <c r="AC39" s="53">
        <f t="shared" si="17"/>
        <v>0</v>
      </c>
      <c r="AD39" s="28"/>
      <c r="AE39" s="36"/>
      <c r="AF39" s="36"/>
      <c r="AG39" s="53">
        <f t="shared" si="18"/>
        <v>0</v>
      </c>
      <c r="AH39" s="28"/>
      <c r="AI39" s="26"/>
      <c r="AJ39" s="27"/>
      <c r="AK39" s="53">
        <f t="shared" si="19"/>
        <v>0</v>
      </c>
      <c r="AL39" s="28"/>
      <c r="AM39" s="2629"/>
      <c r="AN39" s="9"/>
      <c r="AO39" s="5"/>
      <c r="AP39" s="61">
        <f t="shared" si="20"/>
        <v>0</v>
      </c>
      <c r="AQ39" s="36"/>
      <c r="AR39" s="53"/>
      <c r="AS39" s="61">
        <f t="shared" si="21"/>
        <v>0</v>
      </c>
      <c r="AT39" s="36"/>
      <c r="AU39" s="27"/>
      <c r="AV39" s="54">
        <f t="shared" si="22"/>
        <v>0</v>
      </c>
      <c r="AW39" s="26">
        <v>46218.8</v>
      </c>
      <c r="AX39" s="27">
        <v>2829.8399999999997</v>
      </c>
      <c r="AY39" s="1895">
        <v>16.332654849744159</v>
      </c>
      <c r="AZ39" s="1908"/>
      <c r="BA39" s="1909"/>
      <c r="BB39" s="1895">
        <v>0</v>
      </c>
      <c r="BC39" s="1908">
        <v>29694</v>
      </c>
      <c r="BD39" s="1909">
        <v>1501.62</v>
      </c>
      <c r="BE39" s="1895">
        <v>19.774643385144046</v>
      </c>
      <c r="BF39" s="1908"/>
      <c r="BG39" s="1909"/>
      <c r="BH39" s="1895">
        <v>0</v>
      </c>
      <c r="BI39" s="1908"/>
      <c r="BJ39" s="1909"/>
      <c r="BK39" s="1895">
        <v>0</v>
      </c>
      <c r="BL39" s="1910">
        <v>30170</v>
      </c>
      <c r="BM39" s="1909">
        <v>1281.4999999999998</v>
      </c>
      <c r="BN39" s="1895">
        <v>23.542723371049554</v>
      </c>
      <c r="BO39" s="36"/>
      <c r="BP39" s="53"/>
      <c r="BQ39" s="61">
        <v>0</v>
      </c>
      <c r="BR39" s="36"/>
      <c r="BS39" s="27"/>
      <c r="BT39" s="61">
        <v>0</v>
      </c>
      <c r="BU39" s="36">
        <v>28076</v>
      </c>
      <c r="BV39" s="27">
        <v>1720</v>
      </c>
      <c r="BW39" s="28">
        <v>16.323255813953487</v>
      </c>
      <c r="BX39" s="26"/>
      <c r="BY39" s="5"/>
      <c r="BZ39" s="61">
        <f t="shared" si="23"/>
        <v>0</v>
      </c>
      <c r="CA39" s="36"/>
      <c r="CB39" s="5"/>
      <c r="CC39" s="61">
        <f t="shared" si="24"/>
        <v>0</v>
      </c>
      <c r="CD39" s="26"/>
      <c r="CE39" s="27"/>
      <c r="CF39" s="28">
        <f t="shared" si="25"/>
        <v>0</v>
      </c>
      <c r="CG39" s="150"/>
      <c r="CH39" s="9"/>
      <c r="CI39" s="5"/>
      <c r="CJ39" s="5">
        <v>6700</v>
      </c>
      <c r="CK39" s="5"/>
      <c r="CL39" s="5"/>
      <c r="CM39" s="5">
        <f t="shared" si="26"/>
        <v>6700</v>
      </c>
      <c r="CN39" s="33"/>
      <c r="CO39" s="366"/>
      <c r="CQ39" s="4">
        <f t="shared" si="131"/>
        <v>0</v>
      </c>
      <c r="CR39" s="9">
        <f t="shared" si="131"/>
        <v>0</v>
      </c>
      <c r="CS39" s="5">
        <f t="shared" si="131"/>
        <v>0</v>
      </c>
      <c r="CT39" s="5">
        <f t="shared" si="130"/>
        <v>0</v>
      </c>
      <c r="CU39" s="5">
        <f t="shared" si="130"/>
        <v>0</v>
      </c>
      <c r="CV39" s="5">
        <f t="shared" si="130"/>
        <v>0</v>
      </c>
      <c r="CW39" s="5">
        <f t="shared" si="130"/>
        <v>2156.1799999999998</v>
      </c>
      <c r="CX39" s="5">
        <f t="shared" si="130"/>
        <v>0</v>
      </c>
      <c r="CY39" s="5">
        <f t="shared" si="130"/>
        <v>3291.4800000000005</v>
      </c>
      <c r="CZ39" s="5">
        <f t="shared" si="130"/>
        <v>0</v>
      </c>
      <c r="DA39" s="5">
        <f t="shared" si="130"/>
        <v>1885.3</v>
      </c>
      <c r="DB39" s="12">
        <f t="shared" si="130"/>
        <v>0</v>
      </c>
      <c r="DC39" s="310">
        <f>SUM(CQ39:DB39,PV39)</f>
        <v>7332.96</v>
      </c>
      <c r="DD39" s="2695"/>
      <c r="DE39" s="8"/>
      <c r="DF39" s="9"/>
      <c r="DG39" s="5"/>
      <c r="DH39" s="5"/>
      <c r="DI39" s="5"/>
      <c r="DJ39" s="5"/>
      <c r="DK39" s="5">
        <v>2156.1799999999998</v>
      </c>
      <c r="DL39" s="5"/>
      <c r="DM39" s="5">
        <v>673.66000000000008</v>
      </c>
      <c r="DN39" s="5"/>
      <c r="DO39" s="5"/>
      <c r="DP39" s="12"/>
      <c r="DQ39" s="28">
        <f t="shared" si="29"/>
        <v>2829.84</v>
      </c>
      <c r="DR39" s="36"/>
      <c r="DS39" s="36"/>
      <c r="DT39" s="27"/>
      <c r="DU39" s="27"/>
      <c r="DV39" s="27"/>
      <c r="DW39" s="27"/>
      <c r="DX39" s="27"/>
      <c r="DY39" s="27"/>
      <c r="DZ39" s="27">
        <v>2617.8200000000002</v>
      </c>
      <c r="EA39" s="27"/>
      <c r="EB39" s="27">
        <v>165.3</v>
      </c>
      <c r="EC39" s="33"/>
      <c r="ED39" s="28">
        <f t="shared" si="30"/>
        <v>2783.1200000000003</v>
      </c>
      <c r="EE39" s="36"/>
      <c r="EF39" s="36"/>
      <c r="EG39" s="27"/>
      <c r="EH39" s="27"/>
      <c r="EI39" s="27"/>
      <c r="EJ39" s="27"/>
      <c r="EK39" s="27"/>
      <c r="EL39" s="27"/>
      <c r="EM39" s="1448"/>
      <c r="EN39" s="27"/>
      <c r="EO39" s="27">
        <v>1720</v>
      </c>
      <c r="EP39" s="33"/>
      <c r="EQ39" s="28">
        <f t="shared" si="31"/>
        <v>1720</v>
      </c>
      <c r="ER39" s="36"/>
      <c r="ES39" s="27"/>
      <c r="ET39" s="27"/>
      <c r="EU39" s="27"/>
      <c r="EV39" s="27"/>
      <c r="EW39" s="27"/>
      <c r="EX39" s="33">
        <f t="shared" si="32"/>
        <v>0</v>
      </c>
      <c r="EY39" s="2685"/>
      <c r="FA39" s="4">
        <f t="shared" si="33"/>
        <v>0</v>
      </c>
      <c r="FB39" s="5">
        <f t="shared" si="34"/>
        <v>0</v>
      </c>
      <c r="FC39" s="5">
        <f t="shared" si="35"/>
        <v>0</v>
      </c>
      <c r="FD39" s="12">
        <f t="shared" si="36"/>
        <v>0</v>
      </c>
      <c r="FE39" s="33"/>
      <c r="FF39" s="2674"/>
      <c r="FG39" s="9"/>
      <c r="FH39" s="5"/>
      <c r="FI39" s="5"/>
      <c r="FJ39" s="5"/>
      <c r="FK39" s="5"/>
      <c r="FL39" s="27"/>
      <c r="FM39" s="28">
        <f t="shared" si="37"/>
        <v>0</v>
      </c>
      <c r="FN39" s="36"/>
      <c r="FO39" s="27"/>
      <c r="FP39" s="27"/>
      <c r="FQ39" s="27"/>
      <c r="FR39" s="27"/>
      <c r="FS39" s="27"/>
      <c r="FT39" s="28">
        <f t="shared" si="38"/>
        <v>0</v>
      </c>
      <c r="FU39" s="36"/>
      <c r="FV39" s="36"/>
      <c r="FW39" s="27"/>
      <c r="FX39" s="27"/>
      <c r="FY39" s="27"/>
      <c r="FZ39" s="27"/>
      <c r="GA39" s="27"/>
      <c r="GB39" s="27"/>
      <c r="GC39" s="27"/>
      <c r="GD39" s="27"/>
      <c r="GE39" s="27"/>
      <c r="GF39" s="33"/>
      <c r="GG39" s="33">
        <f t="shared" si="39"/>
        <v>0</v>
      </c>
      <c r="GH39" s="2674"/>
      <c r="GJ39" s="2">
        <f t="shared" si="105"/>
        <v>654.44999999999993</v>
      </c>
      <c r="GK39" s="63">
        <f t="shared" si="106"/>
        <v>2294.2600000000002</v>
      </c>
      <c r="GL39" s="24">
        <f t="shared" si="107"/>
        <v>3120.48</v>
      </c>
      <c r="GM39" s="27">
        <f t="shared" si="40"/>
        <v>6069.1900000000005</v>
      </c>
      <c r="GN39" s="141"/>
      <c r="GO39" s="141"/>
      <c r="GP39" s="33"/>
      <c r="GQ39" s="2667"/>
      <c r="GR39" s="1740">
        <v>2187.15</v>
      </c>
      <c r="GS39" s="1736">
        <v>654.44999999999993</v>
      </c>
      <c r="GT39" s="1736">
        <v>1894.38</v>
      </c>
      <c r="GU39" s="1736">
        <v>1333.2099999999998</v>
      </c>
      <c r="GV39" s="33">
        <f t="shared" si="41"/>
        <v>6069.19</v>
      </c>
      <c r="GW39" s="2667"/>
      <c r="GX39" s="36"/>
      <c r="GY39" s="36"/>
      <c r="GZ39" s="27"/>
      <c r="HA39" s="27"/>
      <c r="HB39" s="27"/>
      <c r="HC39" s="27"/>
      <c r="HD39" s="27"/>
      <c r="HE39" s="27"/>
      <c r="HF39" s="27">
        <v>0</v>
      </c>
      <c r="HG39" s="27"/>
      <c r="HH39" s="27">
        <v>0</v>
      </c>
      <c r="HI39" s="27"/>
      <c r="HJ39" s="27">
        <v>654.44999999999993</v>
      </c>
      <c r="HK39" s="27"/>
      <c r="HL39" s="28">
        <f t="shared" si="120"/>
        <v>654.44999999999993</v>
      </c>
      <c r="HM39" s="36"/>
      <c r="HN39" s="27"/>
      <c r="HO39" s="27"/>
      <c r="HP39" s="27"/>
      <c r="HQ39" s="27"/>
      <c r="HR39" s="27"/>
      <c r="HS39" s="27" cm="1">
        <f t="array" ref="HS39">SUMPRODUCT(('Data Base hauling'!$C$2:$C$216="TCM-ROM SB1 BK05-ROM 4")*(ISNUMBER(SEARCH(TEXT('April TCM'!$B39,"00")&amp;"/03/2026",'Data Base hauling'!$E$2:$E$216)))*'Data Base hauling'!$N$2:$N$216)</f>
        <v>0</v>
      </c>
      <c r="HT39" s="27"/>
      <c r="HU39" s="27" cm="1">
        <f t="array" ref="HU39">SUMPRODUCT(('Data Base hauling'!$C$2:$C$216="TCM-ROM SB1 BK05-ROM 5")*(ISNUMBER(SEARCH(TEXT('April TCM'!$B39,"00")&amp;"/03/2026",'Data Base hauling'!$E$2:$E$216)))*'Data Base hauling'!$N$2:$N$216)</f>
        <v>0</v>
      </c>
      <c r="HV39" s="27"/>
      <c r="HW39" s="27"/>
      <c r="HX39" s="27"/>
      <c r="HY39" s="27"/>
      <c r="HZ39" s="27"/>
      <c r="IA39" s="33">
        <f t="shared" si="43"/>
        <v>0</v>
      </c>
      <c r="IB39" s="52"/>
      <c r="IC39" s="152"/>
      <c r="ID39" s="53"/>
      <c r="IE39" s="53"/>
      <c r="IF39" s="53"/>
      <c r="IG39" s="53"/>
      <c r="IH39" s="53">
        <v>0</v>
      </c>
      <c r="II39" s="53"/>
      <c r="IJ39" s="53">
        <v>2294.2600000000002</v>
      </c>
      <c r="IK39" s="53"/>
      <c r="IL39" s="53">
        <v>0</v>
      </c>
      <c r="IM39" s="27"/>
      <c r="IN39" s="27"/>
      <c r="IO39" s="49">
        <v>0</v>
      </c>
      <c r="IP39" s="61">
        <f t="shared" si="121"/>
        <v>2294.2600000000002</v>
      </c>
      <c r="IQ39" s="36"/>
      <c r="IR39" s="36"/>
      <c r="IS39" s="27"/>
      <c r="IT39" s="27"/>
      <c r="IU39" s="53"/>
      <c r="IV39" s="27"/>
      <c r="IW39" s="27">
        <v>0</v>
      </c>
      <c r="IX39" s="27"/>
      <c r="IY39" s="27">
        <v>3120.48</v>
      </c>
      <c r="IZ39" s="27"/>
      <c r="JA39" s="27">
        <v>0</v>
      </c>
      <c r="JB39" s="27"/>
      <c r="JC39" s="27"/>
      <c r="JD39" s="27"/>
      <c r="JE39" s="33">
        <f t="shared" si="122"/>
        <v>3120.48</v>
      </c>
      <c r="JF39" s="2667"/>
      <c r="JH39" s="2020">
        <v>5451.34</v>
      </c>
      <c r="JI39" s="2021">
        <v>617.84999999999991</v>
      </c>
      <c r="JJ39" s="27"/>
      <c r="JK39" s="53">
        <f t="shared" si="123"/>
        <v>6069.1900000000005</v>
      </c>
      <c r="JL39" s="33"/>
      <c r="JM39" s="2669"/>
      <c r="JN39" s="69">
        <v>0</v>
      </c>
      <c r="JO39" s="70">
        <v>0</v>
      </c>
      <c r="JP39" s="70">
        <v>0</v>
      </c>
      <c r="JQ39" s="70">
        <v>0</v>
      </c>
      <c r="JR39" s="70">
        <v>0.99328605443799145</v>
      </c>
      <c r="JS39" s="70">
        <v>0</v>
      </c>
      <c r="JT39" s="70">
        <v>6.713945562008607E-3</v>
      </c>
      <c r="JU39" s="1922">
        <v>0</v>
      </c>
      <c r="JV39" s="69">
        <v>0</v>
      </c>
      <c r="JW39" s="70">
        <v>0</v>
      </c>
      <c r="JX39" s="70">
        <v>0</v>
      </c>
      <c r="JY39" s="70">
        <v>0</v>
      </c>
      <c r="JZ39" s="70">
        <v>0</v>
      </c>
      <c r="KA39" s="70">
        <v>0</v>
      </c>
      <c r="KB39" s="70">
        <v>1</v>
      </c>
      <c r="KC39" s="71">
        <v>0</v>
      </c>
      <c r="KD39" s="69"/>
      <c r="KE39" s="70"/>
      <c r="KF39" s="70"/>
      <c r="KG39" s="70"/>
      <c r="KH39" s="70"/>
      <c r="KI39" s="70"/>
      <c r="KJ39" s="70"/>
      <c r="KK39" s="70"/>
      <c r="KL39" s="33"/>
      <c r="KM39" s="2669"/>
      <c r="KN39" s="1739">
        <v>0</v>
      </c>
      <c r="KO39" s="1721">
        <v>0</v>
      </c>
      <c r="KP39" s="1721">
        <v>0</v>
      </c>
      <c r="KQ39" s="1721">
        <v>0</v>
      </c>
      <c r="KR39" s="1722">
        <v>0</v>
      </c>
      <c r="KS39" s="1958">
        <v>0</v>
      </c>
      <c r="KT39" s="1961">
        <v>0</v>
      </c>
      <c r="KU39" s="1961">
        <v>0</v>
      </c>
      <c r="KV39" s="1961">
        <v>0</v>
      </c>
      <c r="KW39" s="1962">
        <v>0</v>
      </c>
      <c r="KX39" s="36"/>
      <c r="KY39" s="53"/>
      <c r="KZ39" s="53"/>
      <c r="LA39" s="53"/>
      <c r="LB39" s="53"/>
      <c r="LC39" s="33"/>
      <c r="LD39" s="2669"/>
      <c r="LF39" s="26">
        <f t="shared" si="47"/>
        <v>2215.5329999999999</v>
      </c>
      <c r="LG39" s="27">
        <f t="shared" si="47"/>
        <v>5169.5769999999993</v>
      </c>
      <c r="LH39" s="27">
        <f t="shared" si="47"/>
        <v>0</v>
      </c>
      <c r="LI39" s="28">
        <f t="shared" si="48"/>
        <v>7385.1099999999988</v>
      </c>
      <c r="LJ39" s="36"/>
      <c r="LK39" s="27"/>
      <c r="LL39" s="27">
        <v>8</v>
      </c>
      <c r="LM39" s="33"/>
      <c r="LN39" s="1041">
        <v>8.44</v>
      </c>
      <c r="LO39" s="21"/>
      <c r="LP39" s="2688"/>
      <c r="LQ39" s="26"/>
      <c r="LR39" s="36"/>
      <c r="LS39" s="27"/>
      <c r="LT39" s="27"/>
      <c r="LU39" s="27"/>
      <c r="LV39" s="1107">
        <f t="shared" si="49"/>
        <v>0</v>
      </c>
      <c r="LW39" s="36">
        <v>2215.5329999999999</v>
      </c>
      <c r="LX39" s="36">
        <v>5169.5769999999993</v>
      </c>
      <c r="LY39" s="27"/>
      <c r="LZ39" s="27"/>
      <c r="MA39" s="33"/>
      <c r="MB39" s="28">
        <f t="shared" si="50"/>
        <v>7385.1099999999988</v>
      </c>
      <c r="MC39" s="26"/>
      <c r="MD39" s="36"/>
      <c r="ME39" s="27"/>
      <c r="MF39" s="27"/>
      <c r="MG39" s="27"/>
      <c r="MH39" s="28"/>
      <c r="MI39" s="36"/>
      <c r="MJ39" s="36"/>
      <c r="MK39" s="27"/>
      <c r="ML39" s="27"/>
      <c r="MM39" s="27"/>
      <c r="MN39" s="28"/>
      <c r="MO39" s="36"/>
      <c r="MP39" s="36"/>
      <c r="MQ39" s="27"/>
      <c r="MR39" s="27"/>
      <c r="MS39" s="27"/>
      <c r="MT39" s="33">
        <f t="shared" si="51"/>
        <v>0</v>
      </c>
      <c r="MU39" s="2688"/>
      <c r="MW39" s="26">
        <f t="shared" si="52"/>
        <v>168392.91239330632</v>
      </c>
      <c r="MX39" s="27">
        <f t="shared" si="53"/>
        <v>80206.983809620229</v>
      </c>
      <c r="MY39" s="27">
        <f t="shared" si="54"/>
        <v>18073.026980961225</v>
      </c>
      <c r="MZ39" s="28">
        <f t="shared" si="55"/>
        <v>404728.10855851002</v>
      </c>
      <c r="NA39" s="2621"/>
      <c r="NB39" s="23">
        <f t="shared" si="56"/>
        <v>58623.096361311276</v>
      </c>
      <c r="NC39" s="1579">
        <f t="shared" si="57"/>
        <v>109769.81603199504</v>
      </c>
      <c r="ND39" s="60">
        <f t="shared" si="58"/>
        <v>0</v>
      </c>
      <c r="NE39" s="275">
        <f t="shared" si="4"/>
        <v>168392.91239330632</v>
      </c>
      <c r="NF39" s="26">
        <f t="shared" si="133"/>
        <v>0</v>
      </c>
      <c r="NG39" s="27">
        <f t="shared" si="133"/>
        <v>0</v>
      </c>
      <c r="NH39" s="27">
        <f t="shared" si="133"/>
        <v>0</v>
      </c>
      <c r="NI39" s="27">
        <f t="shared" si="133"/>
        <v>0</v>
      </c>
      <c r="NJ39" s="27">
        <f t="shared" si="133"/>
        <v>0</v>
      </c>
      <c r="NK39" s="33">
        <f t="shared" si="133"/>
        <v>0</v>
      </c>
      <c r="NL39" s="27">
        <f t="shared" si="133"/>
        <v>0</v>
      </c>
      <c r="NM39" s="152">
        <f t="shared" si="133"/>
        <v>0</v>
      </c>
      <c r="NN39" s="24">
        <f t="shared" si="133"/>
        <v>12948.760566563145</v>
      </c>
      <c r="NO39" s="27">
        <f t="shared" si="133"/>
        <v>26196.69549600617</v>
      </c>
      <c r="NP39" s="24">
        <f t="shared" si="108"/>
        <v>8756.5482322711578</v>
      </c>
      <c r="NQ39" s="24">
        <f t="shared" si="109"/>
        <v>5057.3441180334139</v>
      </c>
      <c r="NR39" s="27">
        <f t="shared" si="0"/>
        <v>52959.348412873886</v>
      </c>
      <c r="NS39" s="27">
        <f t="shared" si="127"/>
        <v>0</v>
      </c>
      <c r="NT39" s="27">
        <f t="shared" si="127"/>
        <v>0</v>
      </c>
      <c r="NU39" s="27">
        <f t="shared" si="127"/>
        <v>0</v>
      </c>
      <c r="NV39" s="27">
        <f t="shared" si="127"/>
        <v>0</v>
      </c>
      <c r="NW39" s="5">
        <f t="shared" si="127"/>
        <v>0</v>
      </c>
      <c r="NX39" s="5">
        <f t="shared" si="127"/>
        <v>0</v>
      </c>
      <c r="NY39" s="27">
        <f t="shared" si="127"/>
        <v>7787.1236022929115</v>
      </c>
      <c r="NZ39" s="27">
        <f t="shared" si="127"/>
        <v>0</v>
      </c>
      <c r="OA39" s="27">
        <f t="shared" si="127"/>
        <v>2387.7680667828263</v>
      </c>
      <c r="OB39" s="27"/>
      <c r="OC39" s="24">
        <f t="shared" si="128"/>
        <v>349.54339982995594</v>
      </c>
      <c r="OD39" s="27">
        <f t="shared" si="128"/>
        <v>0</v>
      </c>
      <c r="OE39" s="28">
        <f t="shared" si="1"/>
        <v>10524.435068905694</v>
      </c>
      <c r="OF39" s="27">
        <f t="shared" si="129"/>
        <v>0</v>
      </c>
      <c r="OG39" s="27">
        <f t="shared" si="129"/>
        <v>0</v>
      </c>
      <c r="OH39" s="27">
        <f t="shared" si="129"/>
        <v>0</v>
      </c>
      <c r="OI39" s="27">
        <f t="shared" si="129"/>
        <v>0</v>
      </c>
      <c r="OJ39" s="27">
        <f t="shared" si="129"/>
        <v>0</v>
      </c>
      <c r="OK39" s="27">
        <f t="shared" si="129"/>
        <v>0</v>
      </c>
      <c r="OL39" s="24">
        <f t="shared" si="129"/>
        <v>0</v>
      </c>
      <c r="OM39" s="27">
        <f t="shared" si="129"/>
        <v>0</v>
      </c>
      <c r="ON39" s="24">
        <f t="shared" si="129"/>
        <v>13638.536218026518</v>
      </c>
      <c r="OO39" s="27">
        <f t="shared" si="129"/>
        <v>0</v>
      </c>
      <c r="OP39" s="27">
        <f t="shared" si="129"/>
        <v>3084.6641098141267</v>
      </c>
      <c r="OQ39" s="27">
        <f t="shared" si="129"/>
        <v>0</v>
      </c>
      <c r="OR39" s="28">
        <f t="shared" si="2"/>
        <v>16723.200327840645</v>
      </c>
      <c r="OS39" s="36"/>
      <c r="OT39" s="27"/>
      <c r="OU39" s="27"/>
      <c r="OV39" s="27"/>
      <c r="OW39" s="27"/>
      <c r="OX39" s="27"/>
      <c r="OY39" s="28">
        <f t="shared" si="63"/>
        <v>0</v>
      </c>
      <c r="OZ39" s="36">
        <f t="shared" si="64"/>
        <v>0</v>
      </c>
      <c r="PA39" s="27">
        <f t="shared" si="65"/>
        <v>0</v>
      </c>
      <c r="PB39" s="27">
        <f t="shared" si="66"/>
        <v>0</v>
      </c>
      <c r="PC39" s="27">
        <f t="shared" si="67"/>
        <v>0</v>
      </c>
      <c r="PD39" s="27">
        <f t="shared" si="68"/>
        <v>0</v>
      </c>
      <c r="PE39" s="27">
        <f t="shared" si="69"/>
        <v>0</v>
      </c>
      <c r="PF39" s="33">
        <f t="shared" si="3"/>
        <v>0</v>
      </c>
      <c r="PG39" s="2621"/>
      <c r="PI39" s="2">
        <v>753.07999999999993</v>
      </c>
      <c r="PJ39" s="3"/>
      <c r="PK39" s="3"/>
      <c r="PL39" s="3">
        <f t="shared" si="70"/>
        <v>654.44999999999993</v>
      </c>
      <c r="PM39" s="3">
        <f t="shared" si="71"/>
        <v>40400.018459344188</v>
      </c>
      <c r="PN39" s="11">
        <f t="shared" si="72"/>
        <v>18073.026980961225</v>
      </c>
      <c r="PO39" s="15"/>
      <c r="PP39" s="2615"/>
      <c r="PR39" s="4"/>
      <c r="PS39" s="9"/>
      <c r="PT39" s="9"/>
      <c r="PU39" s="9"/>
      <c r="PV39" s="9">
        <v>0</v>
      </c>
      <c r="PW39" s="9"/>
      <c r="PX39" s="8">
        <f t="shared" si="73"/>
        <v>0</v>
      </c>
      <c r="PY39" s="5">
        <f t="shared" si="74"/>
        <v>753.07999999999993</v>
      </c>
      <c r="PZ39" s="5"/>
      <c r="QA39" s="5"/>
      <c r="QB39" s="5"/>
      <c r="QC39" s="5"/>
      <c r="QD39" s="5"/>
      <c r="QE39" s="12">
        <f t="shared" si="75"/>
        <v>29562.488999999998</v>
      </c>
      <c r="QF39" s="420">
        <f t="shared" si="76"/>
        <v>374049.59955851</v>
      </c>
      <c r="QG39" s="1106">
        <f t="shared" si="77"/>
        <v>1116.02</v>
      </c>
      <c r="QH39" s="484">
        <f t="shared" si="78"/>
        <v>5505.3678056099998</v>
      </c>
      <c r="QI39" s="12"/>
      <c r="QJ39" s="2615"/>
      <c r="QL39" s="139">
        <f t="shared" si="79"/>
        <v>0</v>
      </c>
      <c r="QM39" s="139" t="str">
        <f t="shared" si="80"/>
        <v/>
      </c>
      <c r="QO39" s="139">
        <f t="shared" si="81"/>
        <v>0</v>
      </c>
      <c r="QP39" s="139">
        <f t="shared" si="82"/>
        <v>0</v>
      </c>
      <c r="QR39" s="1">
        <f t="shared" si="83"/>
        <v>0</v>
      </c>
      <c r="QS39" s="1">
        <f t="shared" si="84"/>
        <v>0</v>
      </c>
      <c r="QT39" s="1">
        <f t="shared" si="85"/>
        <v>0</v>
      </c>
      <c r="QU39" s="1">
        <f t="shared" si="86"/>
        <v>0</v>
      </c>
      <c r="QV39" s="1">
        <f t="shared" si="87"/>
        <v>0</v>
      </c>
      <c r="QW39" s="1">
        <f t="shared" si="88"/>
        <v>0</v>
      </c>
      <c r="QY39" s="1">
        <f t="shared" si="89"/>
        <v>0</v>
      </c>
      <c r="QZ39" s="1">
        <f t="shared" si="90"/>
        <v>0</v>
      </c>
      <c r="RA39" s="1">
        <f t="shared" si="91"/>
        <v>0</v>
      </c>
      <c r="RB39" s="1">
        <f t="shared" si="92"/>
        <v>0</v>
      </c>
      <c r="RC39" s="1">
        <f t="shared" si="93"/>
        <v>0</v>
      </c>
      <c r="RD39" s="1">
        <f t="shared" si="94"/>
        <v>0</v>
      </c>
      <c r="RG39" s="1">
        <v>30</v>
      </c>
      <c r="RH39" s="1">
        <f t="shared" si="132"/>
        <v>51575.988209717099</v>
      </c>
      <c r="RI39" s="1">
        <f t="shared" si="132"/>
        <v>65468.381780483753</v>
      </c>
      <c r="RJ39" s="1">
        <f t="shared" si="132"/>
        <v>13404.263703387322</v>
      </c>
      <c r="RK39" s="89">
        <f t="shared" si="5"/>
        <v>130448.63369358817</v>
      </c>
      <c r="RL39" s="1033">
        <v>30</v>
      </c>
      <c r="RM39" s="1098">
        <f t="shared" si="96"/>
        <v>0</v>
      </c>
      <c r="RN39" s="1098">
        <f t="shared" si="97"/>
        <v>0</v>
      </c>
      <c r="RO39" s="1097">
        <f t="shared" si="97"/>
        <v>0</v>
      </c>
      <c r="RP39" s="1097">
        <f t="shared" si="98"/>
        <v>5612.9599999999991</v>
      </c>
      <c r="RQ39" s="1094"/>
      <c r="RR39" s="1094" t="s">
        <v>931</v>
      </c>
      <c r="RU39" s="421">
        <v>30</v>
      </c>
      <c r="RV39" s="1095">
        <f t="shared" si="99"/>
        <v>6069.19</v>
      </c>
      <c r="RW39" s="1096" t="s">
        <v>932</v>
      </c>
      <c r="RY39" s="1090"/>
      <c r="RZ39" s="1090">
        <f t="shared" si="100"/>
        <v>0</v>
      </c>
      <c r="SA39" s="1090"/>
      <c r="SB39" s="1090">
        <f t="shared" si="101"/>
        <v>0</v>
      </c>
      <c r="SD39" s="1">
        <v>30</v>
      </c>
      <c r="SE39" s="1">
        <f t="shared" si="102"/>
        <v>654.44999999999993</v>
      </c>
    </row>
    <row r="40" spans="1:500" s="1" customFormat="1">
      <c r="B40" s="1105">
        <v>31</v>
      </c>
      <c r="C40" s="6">
        <f t="shared" si="6"/>
        <v>0</v>
      </c>
      <c r="D40" s="1955">
        <f>P40+T40+X40+AB40</f>
        <v>0</v>
      </c>
      <c r="E40" s="1915">
        <f t="shared" si="7"/>
        <v>0</v>
      </c>
      <c r="F40" s="1444"/>
      <c r="G40" s="1445"/>
      <c r="H40" s="56"/>
      <c r="I40" s="62"/>
      <c r="J40" s="56"/>
      <c r="K40" s="58"/>
      <c r="L40" s="56"/>
      <c r="M40" s="62"/>
      <c r="N40" s="2630"/>
      <c r="O40" s="4">
        <f t="shared" si="125"/>
        <v>0</v>
      </c>
      <c r="P40" s="5">
        <f t="shared" si="8"/>
        <v>0</v>
      </c>
      <c r="Q40" s="1955">
        <f t="shared" si="9"/>
        <v>0</v>
      </c>
      <c r="R40" s="34"/>
      <c r="S40" s="29">
        <f t="shared" si="10"/>
        <v>0</v>
      </c>
      <c r="T40" s="30">
        <f t="shared" si="11"/>
        <v>0</v>
      </c>
      <c r="U40" s="1917">
        <f t="shared" si="12"/>
        <v>0</v>
      </c>
      <c r="V40" s="31"/>
      <c r="W40" s="29">
        <f t="shared" si="13"/>
        <v>0</v>
      </c>
      <c r="X40" s="7">
        <f t="shared" si="13"/>
        <v>0</v>
      </c>
      <c r="Y40" s="1720">
        <f t="shared" si="14"/>
        <v>0</v>
      </c>
      <c r="Z40" s="34"/>
      <c r="AA40" s="29">
        <f>SUM(BO40,BR40)</f>
        <v>0</v>
      </c>
      <c r="AB40" s="30">
        <f t="shared" si="16"/>
        <v>0</v>
      </c>
      <c r="AC40" s="57">
        <f t="shared" si="17"/>
        <v>0</v>
      </c>
      <c r="AD40" s="31"/>
      <c r="AE40" s="36"/>
      <c r="AF40" s="36"/>
      <c r="AG40" s="57">
        <f t="shared" si="18"/>
        <v>0</v>
      </c>
      <c r="AH40" s="31"/>
      <c r="AI40" s="23"/>
      <c r="AJ40" s="30"/>
      <c r="AK40" s="57">
        <f t="shared" si="19"/>
        <v>0</v>
      </c>
      <c r="AL40" s="31"/>
      <c r="AM40" s="2630"/>
      <c r="AN40" s="10"/>
      <c r="AO40" s="7"/>
      <c r="AP40" s="62">
        <f t="shared" si="20"/>
        <v>0</v>
      </c>
      <c r="AQ40" s="37"/>
      <c r="AR40" s="57"/>
      <c r="AS40" s="62">
        <f t="shared" si="21"/>
        <v>0</v>
      </c>
      <c r="AT40" s="37"/>
      <c r="AU40" s="30"/>
      <c r="AV40" s="58">
        <f t="shared" si="22"/>
        <v>0</v>
      </c>
      <c r="AW40" s="29"/>
      <c r="AX40" s="27" cm="1">
        <f t="array" ref="AX40">SUMPRODUCT(ISNUMBER(SEARCH("BK20",'Data Base Coal Wining'!$C$2:$C$1000))*ISNUMBER(SEARCH("P3000",'Data Base Coal Wining'!$C$2:$C$1000))*('Data Base Coal Wining'!$H$2:$H$1000="PAMA")*('Data Base Coal Wining'!$G$2:$G$1000="Coal Winning")*ISNUMBER(SEARCH(TEXT('April TCM'!$B40,"00")&amp;"/04/2026",'Data Base Coal Wining'!$E$2:$E$1000))*'Data Base Coal Wining'!$N$2:$N$1000)</f>
        <v>0</v>
      </c>
      <c r="AY40" s="1915">
        <f t="shared" ref="AY40" si="134">IFERROR(AW40/AX40,0)</f>
        <v>0</v>
      </c>
      <c r="AZ40" s="1916"/>
      <c r="BA40" s="1917"/>
      <c r="BB40" s="1915">
        <f t="shared" ref="BB40" si="135">IFERROR(AZ40/BA40,0)</f>
        <v>0</v>
      </c>
      <c r="BC40" s="1916"/>
      <c r="BD40" s="1917" cm="1">
        <f t="array" ref="BD40">SUMPRODUCT(ISNUMBER(SEARCH("BK30",'Data Base Coal Wining'!$C$2:$C$1000))*ISNUMBER(SEARCH("P3000",'Data Base Coal Wining'!$C$2:$C$1000))*('Data Base Coal Wining'!$H$2:$H$1000="PAMA")*('Data Base Coal Wining'!$G$2:$G$1000="Coal Winning")*ISNUMBER(SEARCH(TEXT('April TCM'!$B40,"00")&amp;"/04/2026",'Data Base Coal Wining'!$E$2:$E$1000))*'Data Base Coal Wining'!$N$2:$N$1000)</f>
        <v>0</v>
      </c>
      <c r="BE40" s="1915">
        <f t="shared" ref="BE40" si="136">IFERROR(BC40/BD40,0)</f>
        <v>0</v>
      </c>
      <c r="BF40" s="1916"/>
      <c r="BG40" s="1917"/>
      <c r="BH40" s="1915">
        <f t="shared" ref="BH40" si="137">IFERROR(BF40/BG40,0)</f>
        <v>0</v>
      </c>
      <c r="BI40" s="1916"/>
      <c r="BJ40" s="1917"/>
      <c r="BK40" s="1915">
        <f t="shared" ref="BK40" si="138">IFERROR(BI40/BJ40,0)</f>
        <v>0</v>
      </c>
      <c r="BL40" s="1916"/>
      <c r="BM40" s="1917" cm="1">
        <f t="array" ref="BM40">SUMPRODUCT(ISNUMBER(SEARCH("BK26",'Data Base Coal Wining'!$C$2:$C$1000))*ISNUMBER(SEARCH("P4400",'Data Base Coal Wining'!$C$2:$C$1000))*('Data Base Coal Wining'!$H$2:$H$1000="MAP")*('Data Base Coal Wining'!$G$2:$G$1000="Coal Winning")*ISNUMBER(SEARCH(TEXT('April TCM'!$B40,"00")&amp;"/04/2026",'Data Base Coal Wining'!$E$2:$E$1000))*'Data Base Coal Wining'!$N$2:$N$1000)</f>
        <v>0</v>
      </c>
      <c r="BN40" s="1915">
        <f t="shared" ref="BN40" si="139">IFERROR(BL40/BM40,0)</f>
        <v>0</v>
      </c>
      <c r="BO40" s="37"/>
      <c r="BP40" s="57"/>
      <c r="BQ40" s="62">
        <f t="shared" ref="BQ40" si="140">IFERROR(BO40/BP40,0)</f>
        <v>0</v>
      </c>
      <c r="BR40" s="37"/>
      <c r="BS40" s="30"/>
      <c r="BT40" s="62">
        <f t="shared" ref="BT40" si="141">IFERROR(BR40/BS40,0)</f>
        <v>0</v>
      </c>
      <c r="BU40" s="37"/>
      <c r="BV40" s="30"/>
      <c r="BW40" s="31">
        <f t="shared" ref="BW40" si="142">IFERROR(BU40/BV40,0)</f>
        <v>0</v>
      </c>
      <c r="BX40" s="29"/>
      <c r="BY40" s="7"/>
      <c r="BZ40" s="62">
        <f t="shared" si="23"/>
        <v>0</v>
      </c>
      <c r="CA40" s="37"/>
      <c r="CB40" s="30"/>
      <c r="CC40" s="62">
        <f t="shared" si="24"/>
        <v>0</v>
      </c>
      <c r="CD40" s="29"/>
      <c r="CE40" s="30"/>
      <c r="CF40" s="31">
        <f t="shared" si="25"/>
        <v>0</v>
      </c>
      <c r="CG40" s="151"/>
      <c r="CH40" s="10"/>
      <c r="CI40" s="7"/>
      <c r="CJ40" s="7"/>
      <c r="CK40" s="7"/>
      <c r="CL40" s="7"/>
      <c r="CM40" s="7">
        <f t="shared" si="26"/>
        <v>0</v>
      </c>
      <c r="CN40" s="34"/>
      <c r="CO40" s="367"/>
      <c r="CQ40" s="6">
        <f t="shared" si="131"/>
        <v>0</v>
      </c>
      <c r="CR40" s="10">
        <f t="shared" si="131"/>
        <v>0</v>
      </c>
      <c r="CS40" s="7">
        <f t="shared" si="131"/>
        <v>0</v>
      </c>
      <c r="CT40" s="7">
        <f t="shared" si="130"/>
        <v>0</v>
      </c>
      <c r="CU40" s="7">
        <f t="shared" si="130"/>
        <v>0</v>
      </c>
      <c r="CV40" s="7">
        <f t="shared" si="130"/>
        <v>0</v>
      </c>
      <c r="CW40" s="7">
        <f t="shared" si="130"/>
        <v>0</v>
      </c>
      <c r="CX40" s="7">
        <f t="shared" si="130"/>
        <v>0</v>
      </c>
      <c r="CY40" s="7">
        <f t="shared" si="130"/>
        <v>0</v>
      </c>
      <c r="CZ40" s="7">
        <f t="shared" si="130"/>
        <v>0</v>
      </c>
      <c r="DA40" s="7">
        <f t="shared" si="130"/>
        <v>0</v>
      </c>
      <c r="DB40" s="13">
        <f t="shared" si="130"/>
        <v>0</v>
      </c>
      <c r="DC40" s="310">
        <f>SUM(CQ40:DB40,PV40)</f>
        <v>0</v>
      </c>
      <c r="DD40" s="2696"/>
      <c r="DE40" s="8"/>
      <c r="DF40" s="10"/>
      <c r="DG40" s="7"/>
      <c r="DH40" s="7"/>
      <c r="DI40" s="7"/>
      <c r="DJ40" s="7"/>
      <c r="DK40" s="7">
        <v>0</v>
      </c>
      <c r="DL40" s="7"/>
      <c r="DM40" s="7">
        <v>0</v>
      </c>
      <c r="DN40" s="7"/>
      <c r="DO40" s="7"/>
      <c r="DP40" s="13"/>
      <c r="DQ40" s="31">
        <f t="shared" si="29"/>
        <v>0</v>
      </c>
      <c r="DR40" s="37"/>
      <c r="DS40" s="37"/>
      <c r="DT40" s="30"/>
      <c r="DU40" s="30"/>
      <c r="DV40" s="30"/>
      <c r="DW40" s="30"/>
      <c r="DX40" s="30"/>
      <c r="DY40" s="30"/>
      <c r="DZ40" s="30">
        <v>0</v>
      </c>
      <c r="EA40" s="30"/>
      <c r="EB40" s="30">
        <v>0</v>
      </c>
      <c r="EC40" s="34"/>
      <c r="ED40" s="28">
        <f t="shared" si="30"/>
        <v>0</v>
      </c>
      <c r="EE40" s="37"/>
      <c r="EF40" s="37"/>
      <c r="EG40" s="30"/>
      <c r="EH40" s="30"/>
      <c r="EI40" s="30"/>
      <c r="EJ40" s="30"/>
      <c r="EK40" s="30"/>
      <c r="EL40" s="30"/>
      <c r="EM40" s="30"/>
      <c r="EN40" s="30"/>
      <c r="EO40" s="30"/>
      <c r="EP40" s="34"/>
      <c r="EQ40" s="31">
        <f t="shared" si="31"/>
        <v>0</v>
      </c>
      <c r="ER40" s="37"/>
      <c r="ES40" s="30"/>
      <c r="ET40" s="30"/>
      <c r="EU40" s="30"/>
      <c r="EV40" s="30"/>
      <c r="EW40" s="30"/>
      <c r="EX40" s="34">
        <f t="shared" si="32"/>
        <v>0</v>
      </c>
      <c r="EY40" s="2686"/>
      <c r="FA40" s="6">
        <f t="shared" si="33"/>
        <v>0</v>
      </c>
      <c r="FB40" s="7">
        <f t="shared" si="34"/>
        <v>0</v>
      </c>
      <c r="FC40" s="7">
        <f t="shared" si="35"/>
        <v>0</v>
      </c>
      <c r="FD40" s="13">
        <f t="shared" si="36"/>
        <v>0</v>
      </c>
      <c r="FE40" s="34"/>
      <c r="FF40" s="2675"/>
      <c r="FG40" s="10"/>
      <c r="FH40" s="7"/>
      <c r="FI40" s="7"/>
      <c r="FJ40" s="7"/>
      <c r="FK40" s="7"/>
      <c r="FL40" s="30"/>
      <c r="FM40" s="31">
        <f t="shared" si="37"/>
        <v>0</v>
      </c>
      <c r="FN40" s="37"/>
      <c r="FO40" s="30"/>
      <c r="FP40" s="30"/>
      <c r="FQ40" s="30"/>
      <c r="FR40" s="30"/>
      <c r="FS40" s="30"/>
      <c r="FT40" s="31">
        <f t="shared" si="38"/>
        <v>0</v>
      </c>
      <c r="FU40" s="37"/>
      <c r="FV40" s="37"/>
      <c r="FW40" s="30"/>
      <c r="FX40" s="30"/>
      <c r="FY40" s="30"/>
      <c r="FZ40" s="30"/>
      <c r="GA40" s="30"/>
      <c r="GB40" s="30"/>
      <c r="GC40" s="30"/>
      <c r="GD40" s="30"/>
      <c r="GE40" s="30"/>
      <c r="GF40" s="34"/>
      <c r="GG40" s="34">
        <f t="shared" si="39"/>
        <v>0</v>
      </c>
      <c r="GH40" s="2675"/>
      <c r="GJ40" s="2">
        <f t="shared" si="105"/>
        <v>0</v>
      </c>
      <c r="GK40" s="63">
        <f t="shared" si="106"/>
        <v>0</v>
      </c>
      <c r="GL40" s="24">
        <f t="shared" si="107"/>
        <v>0</v>
      </c>
      <c r="GM40" s="30">
        <f t="shared" si="40"/>
        <v>0</v>
      </c>
      <c r="GN40" s="279"/>
      <c r="GO40" s="279"/>
      <c r="GP40" s="34"/>
      <c r="GQ40" s="2668"/>
      <c r="GR40" s="1104" cm="1">
        <f t="array" ref="GR40">SUMPRODUCT(('Data Base hauling'!$H$2:$H$216="TRUST")*(ISNUMBER(SEARCH(TEXT('April TCM'!$B40,"00")&amp;"/04/2026",'Data Base hauling'!$E$2:$E$216)))*'Data Base hauling'!$N$2:$N$216)</f>
        <v>0</v>
      </c>
      <c r="GS40" s="30" cm="1">
        <f t="array" ref="GS40">SUMPRODUCT(('Data Base hauling'!$H$2:$H$216="RT")*(ISNUMBER(SEARCH(TEXT('April TCM'!$B40,"00")&amp;"/04/2026",'Data Base hauling'!$E$2:$E$216)))*'Data Base hauling'!$N$2:$N$216)</f>
        <v>0</v>
      </c>
      <c r="GT40" s="30" cm="1">
        <f t="array" ref="GT40">SUMPRODUCT(('Data Base hauling'!$H$2:$H$216="MPE")*(ISNUMBER(SEARCH(TEXT('April TCM'!$B40,"00")&amp;"/04/2026",'Data Base hauling'!$E$2:$E$216)))*'Data Base hauling'!$N$2:$N$216)</f>
        <v>0</v>
      </c>
      <c r="GU40" s="30" cm="1">
        <f t="array" ref="GU40">SUMPRODUCT(('Data Base hauling'!$H$2:$H$216="RP")*(ISNUMBER(SEARCH(TEXT('April TCM'!$B40,"00")&amp;"/04/2026",'Data Base hauling'!$E$2:$E$216)))*'Data Base hauling'!$N$2:$N$216)</f>
        <v>0</v>
      </c>
      <c r="GV40" s="31">
        <f t="shared" si="41"/>
        <v>0</v>
      </c>
      <c r="GW40" s="2668"/>
      <c r="GX40" s="37"/>
      <c r="GY40" s="37"/>
      <c r="GZ40" s="30"/>
      <c r="HA40" s="30"/>
      <c r="HB40" s="30"/>
      <c r="HC40" s="30"/>
      <c r="HD40" s="30"/>
      <c r="HE40" s="30"/>
      <c r="HF40" s="30" cm="1">
        <f t="array" ref="HF40">SUMPRODUCT(('Data Base hauling'!$C$2:$C$216="TCM-ROM NB-ROM 5")*(ISNUMBER(SEARCH(TEXT('April TCM'!$B40,"00")&amp;"/04/2026",'Data Base hauling'!$E$2:$E$216)))*'Data Base hauling'!$N$2:$N$216)</f>
        <v>0</v>
      </c>
      <c r="HG40" s="30"/>
      <c r="HH40" s="30" cm="1">
        <f t="array" ref="HH40">SUMPRODUCT(('Data Base hauling'!$C$2:$C$216="TCM-ROM NB-ROM 6")*(ISNUMBER(SEARCH(TEXT('April TCM'!$B40,"00")&amp;"/04/2026",'Data Base hauling'!$E$2:$E$216)))*'Data Base hauling'!$N$2:$N$216)</f>
        <v>0</v>
      </c>
      <c r="HI40" s="30"/>
      <c r="HJ40" s="30" cm="1">
        <f t="array" ref="HJ40">SUMPRODUCT(('Data Base hauling'!$C$2:$C$216="TCM-WASH-CR3")*(ISNUMBER(SEARCH(TEXT('April TCM'!$B40,"00")&amp;"/04/2026",'Data Base hauling'!$E$2:$E$216)))*'Data Base hauling'!$N$2:$N$216)</f>
        <v>0</v>
      </c>
      <c r="HK40" s="30"/>
      <c r="HL40" s="31">
        <f t="shared" si="120"/>
        <v>0</v>
      </c>
      <c r="HM40" s="37"/>
      <c r="HN40" s="30"/>
      <c r="HO40" s="30"/>
      <c r="HP40" s="30"/>
      <c r="HQ40" s="30"/>
      <c r="HR40" s="30"/>
      <c r="HS40" s="30" cm="1">
        <f t="array" ref="HS40">SUMPRODUCT(('Data Base hauling'!$C$2:$C$216="TCM-ROM SB1 BK05-ROM 4")*(ISNUMBER(SEARCH(TEXT('April TCM'!$B40,"00")&amp;"/03/2026",'Data Base hauling'!$E$2:$E$216)))*'Data Base hauling'!$N$2:$N$216)</f>
        <v>0</v>
      </c>
      <c r="HT40" s="30"/>
      <c r="HU40" s="30" cm="1">
        <f t="array" ref="HU40">SUMPRODUCT(('Data Base hauling'!$C$2:$C$216="TCM-ROM SB1 BK05-ROM 5")*(ISNUMBER(SEARCH(TEXT('April TCM'!$B40,"00")&amp;"/03/2026",'Data Base hauling'!$E$2:$E$216)))*'Data Base hauling'!$N$2:$N$216)</f>
        <v>0</v>
      </c>
      <c r="HV40" s="30"/>
      <c r="HW40" s="30"/>
      <c r="HX40" s="30"/>
      <c r="HY40" s="30"/>
      <c r="HZ40" s="30"/>
      <c r="IA40" s="34">
        <f t="shared" si="43"/>
        <v>0</v>
      </c>
      <c r="IB40" s="56"/>
      <c r="IC40" s="1104"/>
      <c r="ID40" s="57"/>
      <c r="IE40" s="57"/>
      <c r="IF40" s="57"/>
      <c r="IG40" s="57"/>
      <c r="IH40" s="57" cm="1">
        <f t="array" ref="IH40">SUMPRODUCT(('Data Base hauling'!$C$2:$C$216="TCM-ROM SB1 BK05-ROM 4")*(ISNUMBER(SEARCH(TEXT('April TCM'!$B40,"00")&amp;"/04/2026",'Data Base hauling'!$E$2:$E$216)))*'Data Base hauling'!$N$2:$N$216)</f>
        <v>0</v>
      </c>
      <c r="II40" s="57"/>
      <c r="IJ40" s="57" cm="1">
        <f t="array" ref="IJ40">SUMPRODUCT(('Data Base hauling'!$C$2:$C$216="TCM-ROM SB1 BK05-ROM 5")*(ISNUMBER(SEARCH(TEXT('April TCM'!$B40,"00")&amp;"/04/2026",'Data Base hauling'!$E$2:$E$216)))*'Data Base hauling'!$N$2:$N$216)</f>
        <v>0</v>
      </c>
      <c r="IK40" s="57"/>
      <c r="IL40" s="57" cm="1">
        <f t="array" ref="IL40">SUMPRODUCT(('Data Base hauling'!$C$2:$C$216="TCM-ROM SB1 BK05-ROM 6")*(ISNUMBER(SEARCH(TEXT('April TCM'!$B40,"00")&amp;"/04/2026",'Data Base hauling'!$E$2:$E$216)))*'Data Base hauling'!$N$2:$N$216)</f>
        <v>0</v>
      </c>
      <c r="IM40" s="30"/>
      <c r="IN40" s="30"/>
      <c r="IO40" s="49" cm="1">
        <f t="array" ref="IO40">SUMPRODUCT(('Data Base hauling'!$C$2:$C$216="TCM-HAC1 (Production)-ROM 2(HAC)")*(ISNUMBER(SEARCH(TEXT('April TCM'!$B40,"00")&amp;"/03/2026",'Data Base hauling'!$E$2:$E$216)))*'Data Base hauling'!$N$2:$N$216)</f>
        <v>0</v>
      </c>
      <c r="IP40" s="62">
        <f t="shared" si="121"/>
        <v>0</v>
      </c>
      <c r="IQ40" s="37"/>
      <c r="IR40" s="37"/>
      <c r="IS40" s="30"/>
      <c r="IT40" s="30"/>
      <c r="IU40" s="57"/>
      <c r="IV40" s="30"/>
      <c r="IW40" s="30" cm="1">
        <f t="array" ref="IW40">SUMPRODUCT(('Data Base hauling'!$C$2:$C$216="TCM-ROM SB2 BK24-ROM 4")*(ISNUMBER(SEARCH(TEXT('April TCM'!$B40,"00")&amp;"/04/2026",'Data Base hauling'!$E$2:$E$216)))*'Data Base hauling'!$N$2:$N$216)</f>
        <v>0</v>
      </c>
      <c r="IX40" s="30"/>
      <c r="IY40" s="30" cm="1">
        <f t="array" ref="IY40">SUMPRODUCT(('Data Base hauling'!$C$2:$C$216="TCM-ROM SB2 BK24-ROM 5")*(ISNUMBER(SEARCH(TEXT('April TCM'!$B40,"00")&amp;"/04/2026",'Data Base hauling'!$E$2:$E$216)))*'Data Base hauling'!$N$2:$N$216)</f>
        <v>0</v>
      </c>
      <c r="IZ40" s="30"/>
      <c r="JA40" s="30" cm="1">
        <f t="array" ref="JA40">SUMPRODUCT(('Data Base hauling'!$C$2:$C$216="TCM-ROM SB2 BK24-ROM 6")*(ISNUMBER(SEARCH(TEXT('April TCM'!$B40,"00")&amp;"/04/2026",'Data Base hauling'!$E$2:$E$216)))*'Data Base hauling'!$N$2:$N$216)</f>
        <v>0</v>
      </c>
      <c r="JB40" s="30"/>
      <c r="JC40" s="30"/>
      <c r="JD40" s="30"/>
      <c r="JE40" s="854">
        <f t="shared" si="122"/>
        <v>0</v>
      </c>
      <c r="JF40" s="2668"/>
      <c r="JH40" s="2020">
        <v>0</v>
      </c>
      <c r="JI40" s="1971">
        <v>0</v>
      </c>
      <c r="JJ40" s="30"/>
      <c r="JK40" s="57">
        <f t="shared" si="123"/>
        <v>0</v>
      </c>
      <c r="JL40" s="31"/>
      <c r="JM40" s="2670"/>
      <c r="JN40" s="74" t="s">
        <v>296</v>
      </c>
      <c r="JO40" s="75" t="s">
        <v>296</v>
      </c>
      <c r="JP40" s="75" t="s">
        <v>296</v>
      </c>
      <c r="JQ40" s="75" t="s">
        <v>296</v>
      </c>
      <c r="JR40" s="75" t="s">
        <v>296</v>
      </c>
      <c r="JS40" s="75" t="s">
        <v>296</v>
      </c>
      <c r="JT40" s="75" t="s">
        <v>296</v>
      </c>
      <c r="JU40" s="1924">
        <v>0</v>
      </c>
      <c r="JV40" s="74" t="s">
        <v>296</v>
      </c>
      <c r="JW40" s="75" t="s">
        <v>296</v>
      </c>
      <c r="JX40" s="75" t="s">
        <v>296</v>
      </c>
      <c r="JY40" s="75" t="s">
        <v>296</v>
      </c>
      <c r="JZ40" s="75" t="s">
        <v>296</v>
      </c>
      <c r="KA40" s="75" t="s">
        <v>296</v>
      </c>
      <c r="KB40" s="75" t="s">
        <v>296</v>
      </c>
      <c r="KC40" s="76" t="s">
        <v>296</v>
      </c>
      <c r="KD40" s="77"/>
      <c r="KE40" s="75"/>
      <c r="KF40" s="75"/>
      <c r="KG40" s="75"/>
      <c r="KH40" s="75"/>
      <c r="KI40" s="75"/>
      <c r="KJ40" s="75"/>
      <c r="KK40" s="75"/>
      <c r="KL40" s="31"/>
      <c r="KM40" s="2670"/>
      <c r="KN40" s="1739">
        <v>0</v>
      </c>
      <c r="KO40" s="1721">
        <v>0</v>
      </c>
      <c r="KP40" s="1721">
        <v>0</v>
      </c>
      <c r="KQ40" s="1721">
        <v>0</v>
      </c>
      <c r="KR40" s="1722">
        <v>0</v>
      </c>
      <c r="KS40" s="1958">
        <v>0</v>
      </c>
      <c r="KT40" s="1961">
        <v>0</v>
      </c>
      <c r="KU40" s="1961">
        <v>0</v>
      </c>
      <c r="KV40" s="1961">
        <v>0</v>
      </c>
      <c r="KW40" s="1962">
        <v>0</v>
      </c>
      <c r="KX40" s="37"/>
      <c r="KY40" s="57"/>
      <c r="KZ40" s="57"/>
      <c r="LA40" s="57"/>
      <c r="LB40" s="57"/>
      <c r="LC40" s="31"/>
      <c r="LD40" s="2670"/>
      <c r="LF40" s="29">
        <f t="shared" si="47"/>
        <v>0</v>
      </c>
      <c r="LG40" s="30">
        <f t="shared" si="47"/>
        <v>0</v>
      </c>
      <c r="LH40" s="30">
        <f t="shared" si="47"/>
        <v>0</v>
      </c>
      <c r="LI40" s="31">
        <f t="shared" si="48"/>
        <v>0</v>
      </c>
      <c r="LJ40" s="37"/>
      <c r="LK40" s="30"/>
      <c r="LL40" s="30"/>
      <c r="LM40" s="34"/>
      <c r="LN40" s="1103"/>
      <c r="LO40" s="332"/>
      <c r="LP40" s="2689"/>
      <c r="LQ40" s="29"/>
      <c r="LR40" s="37"/>
      <c r="LS40" s="30"/>
      <c r="LT40" s="30"/>
      <c r="LU40" s="30"/>
      <c r="LV40" s="1102">
        <f t="shared" si="49"/>
        <v>0</v>
      </c>
      <c r="LW40" s="37"/>
      <c r="LX40" s="37"/>
      <c r="LY40" s="30"/>
      <c r="LZ40" s="30"/>
      <c r="MA40" s="34"/>
      <c r="MB40" s="31">
        <f t="shared" si="50"/>
        <v>0</v>
      </c>
      <c r="MC40" s="29"/>
      <c r="MD40" s="37"/>
      <c r="ME40" s="30"/>
      <c r="MF40" s="30"/>
      <c r="MG40" s="30"/>
      <c r="MH40" s="31"/>
      <c r="MI40" s="37"/>
      <c r="MJ40" s="37"/>
      <c r="MK40" s="30"/>
      <c r="ML40" s="30"/>
      <c r="MM40" s="30"/>
      <c r="MN40" s="31"/>
      <c r="MO40" s="37"/>
      <c r="MP40" s="37"/>
      <c r="MQ40" s="30"/>
      <c r="MR40" s="30"/>
      <c r="MS40" s="30"/>
      <c r="MT40" s="34">
        <f t="shared" si="51"/>
        <v>0</v>
      </c>
      <c r="MU40" s="2689"/>
      <c r="MW40" s="29">
        <f t="shared" si="52"/>
        <v>168392.91239330632</v>
      </c>
      <c r="MX40" s="30">
        <f t="shared" si="53"/>
        <v>80206.983809620229</v>
      </c>
      <c r="MY40" s="30">
        <f t="shared" si="54"/>
        <v>18073.026980961225</v>
      </c>
      <c r="MZ40" s="31">
        <f t="shared" si="55"/>
        <v>404728.10855851002</v>
      </c>
      <c r="NA40" s="2622"/>
      <c r="NB40" s="23">
        <f t="shared" si="56"/>
        <v>58623.096361311276</v>
      </c>
      <c r="NC40" s="1579">
        <f t="shared" si="57"/>
        <v>109769.81603199504</v>
      </c>
      <c r="ND40" s="60">
        <f t="shared" si="58"/>
        <v>0</v>
      </c>
      <c r="NE40" s="276">
        <f t="shared" si="4"/>
        <v>168392.91239330632</v>
      </c>
      <c r="NF40" s="26">
        <f t="shared" si="133"/>
        <v>0</v>
      </c>
      <c r="NG40" s="30">
        <f t="shared" si="133"/>
        <v>0</v>
      </c>
      <c r="NH40" s="30">
        <f t="shared" si="133"/>
        <v>0</v>
      </c>
      <c r="NI40" s="30">
        <f t="shared" si="133"/>
        <v>0</v>
      </c>
      <c r="NJ40" s="30">
        <f t="shared" si="133"/>
        <v>0</v>
      </c>
      <c r="NK40" s="34">
        <f t="shared" si="133"/>
        <v>0</v>
      </c>
      <c r="NL40" s="1233">
        <f t="shared" si="133"/>
        <v>0</v>
      </c>
      <c r="NM40" s="57">
        <f t="shared" si="133"/>
        <v>0</v>
      </c>
      <c r="NN40" s="24">
        <f t="shared" si="133"/>
        <v>12948.760566563145</v>
      </c>
      <c r="NO40" s="27">
        <f t="shared" si="133"/>
        <v>26196.69549600617</v>
      </c>
      <c r="NP40" s="24">
        <f t="shared" si="108"/>
        <v>8756.5482322711578</v>
      </c>
      <c r="NQ40" s="24">
        <f t="shared" si="109"/>
        <v>5057.3441180334139</v>
      </c>
      <c r="NR40" s="30">
        <f t="shared" si="0"/>
        <v>52959.348412873886</v>
      </c>
      <c r="NS40" s="30">
        <f t="shared" si="127"/>
        <v>0</v>
      </c>
      <c r="NT40" s="30">
        <f t="shared" si="127"/>
        <v>0</v>
      </c>
      <c r="NU40" s="30">
        <f t="shared" si="127"/>
        <v>0</v>
      </c>
      <c r="NV40" s="30">
        <f t="shared" si="127"/>
        <v>0</v>
      </c>
      <c r="NW40" s="7">
        <f t="shared" si="127"/>
        <v>0</v>
      </c>
      <c r="NX40" s="7">
        <f t="shared" si="127"/>
        <v>0</v>
      </c>
      <c r="NY40" s="30">
        <f t="shared" si="127"/>
        <v>7787.1236022929115</v>
      </c>
      <c r="NZ40" s="30">
        <f t="shared" si="127"/>
        <v>0</v>
      </c>
      <c r="OA40" s="27">
        <f t="shared" si="127"/>
        <v>2387.7680667828263</v>
      </c>
      <c r="OB40" s="30"/>
      <c r="OC40" s="30">
        <f t="shared" si="128"/>
        <v>349.54339982995594</v>
      </c>
      <c r="OD40" s="30">
        <f t="shared" si="128"/>
        <v>0</v>
      </c>
      <c r="OE40" s="30">
        <f t="shared" si="1"/>
        <v>10524.435068905694</v>
      </c>
      <c r="OF40" s="30">
        <f t="shared" si="129"/>
        <v>0</v>
      </c>
      <c r="OG40" s="30">
        <f t="shared" si="129"/>
        <v>0</v>
      </c>
      <c r="OH40" s="30">
        <f t="shared" si="129"/>
        <v>0</v>
      </c>
      <c r="OI40" s="30">
        <f t="shared" si="129"/>
        <v>0</v>
      </c>
      <c r="OJ40" s="27">
        <f t="shared" si="129"/>
        <v>0</v>
      </c>
      <c r="OK40" s="30">
        <f t="shared" si="129"/>
        <v>0</v>
      </c>
      <c r="OL40" s="24">
        <f t="shared" si="129"/>
        <v>0</v>
      </c>
      <c r="OM40" s="30">
        <f t="shared" si="129"/>
        <v>0</v>
      </c>
      <c r="ON40" s="24">
        <f t="shared" si="129"/>
        <v>13638.536218026518</v>
      </c>
      <c r="OO40" s="30">
        <f t="shared" si="129"/>
        <v>0</v>
      </c>
      <c r="OP40" s="30">
        <f t="shared" si="129"/>
        <v>3084.6641098141267</v>
      </c>
      <c r="OQ40" s="30">
        <f t="shared" si="129"/>
        <v>0</v>
      </c>
      <c r="OR40" s="31">
        <f t="shared" si="2"/>
        <v>16723.200327840645</v>
      </c>
      <c r="OS40" s="37"/>
      <c r="OT40" s="30"/>
      <c r="OU40" s="30"/>
      <c r="OV40" s="30"/>
      <c r="OW40" s="30"/>
      <c r="OX40" s="30"/>
      <c r="OY40" s="31">
        <f t="shared" si="63"/>
        <v>0</v>
      </c>
      <c r="OZ40" s="37">
        <f t="shared" si="64"/>
        <v>0</v>
      </c>
      <c r="PA40" s="30">
        <f t="shared" si="65"/>
        <v>0</v>
      </c>
      <c r="PB40" s="30">
        <f t="shared" si="66"/>
        <v>0</v>
      </c>
      <c r="PC40" s="30">
        <f t="shared" si="67"/>
        <v>0</v>
      </c>
      <c r="PD40" s="30">
        <f t="shared" si="68"/>
        <v>0</v>
      </c>
      <c r="PE40" s="30">
        <f t="shared" si="69"/>
        <v>0</v>
      </c>
      <c r="PF40" s="34">
        <f t="shared" si="3"/>
        <v>0</v>
      </c>
      <c r="PG40" s="2622"/>
      <c r="PI40" s="2">
        <v>0</v>
      </c>
      <c r="PJ40" s="3"/>
      <c r="PK40" s="3"/>
      <c r="PL40" s="3">
        <f t="shared" si="70"/>
        <v>0</v>
      </c>
      <c r="PM40" s="3">
        <f t="shared" si="71"/>
        <v>40400.018459344188</v>
      </c>
      <c r="PN40" s="11">
        <f t="shared" si="72"/>
        <v>18073.026980961225</v>
      </c>
      <c r="PO40" s="16"/>
      <c r="PP40" s="2616"/>
      <c r="PR40" s="6"/>
      <c r="PS40" s="10"/>
      <c r="PT40" s="10"/>
      <c r="PU40" s="10"/>
      <c r="PV40" s="10">
        <v>0</v>
      </c>
      <c r="PW40" s="10"/>
      <c r="PX40" s="1101">
        <f t="shared" si="73"/>
        <v>0</v>
      </c>
      <c r="PY40" s="7">
        <f t="shared" si="74"/>
        <v>0</v>
      </c>
      <c r="PZ40" s="7"/>
      <c r="QA40" s="7"/>
      <c r="QB40" s="7"/>
      <c r="QC40" s="7"/>
      <c r="QD40" s="7"/>
      <c r="QE40" s="13">
        <f t="shared" si="75"/>
        <v>29562.488999999998</v>
      </c>
      <c r="QF40" s="1100">
        <f t="shared" si="76"/>
        <v>374049.59955851</v>
      </c>
      <c r="QG40" s="1099">
        <f t="shared" si="77"/>
        <v>1116.02</v>
      </c>
      <c r="QH40" s="484">
        <f t="shared" si="78"/>
        <v>5505.3678056099998</v>
      </c>
      <c r="QI40" s="13"/>
      <c r="QJ40" s="2616"/>
      <c r="QL40" s="139" t="str">
        <f t="shared" si="79"/>
        <v/>
      </c>
      <c r="QM40" s="139" t="str">
        <f t="shared" si="80"/>
        <v/>
      </c>
      <c r="QO40" s="139" t="str">
        <f t="shared" si="81"/>
        <v/>
      </c>
      <c r="QP40" s="139" t="str">
        <f t="shared" si="82"/>
        <v/>
      </c>
      <c r="QR40" s="1">
        <f t="shared" si="83"/>
        <v>0</v>
      </c>
      <c r="QS40" s="1">
        <f t="shared" si="84"/>
        <v>0</v>
      </c>
      <c r="QT40" s="1">
        <f t="shared" si="85"/>
        <v>0</v>
      </c>
      <c r="QU40" s="1">
        <f t="shared" si="86"/>
        <v>0</v>
      </c>
      <c r="QV40" s="1">
        <f t="shared" si="87"/>
        <v>0</v>
      </c>
      <c r="QW40" s="1">
        <f t="shared" si="88"/>
        <v>0</v>
      </c>
      <c r="QY40" s="1">
        <f t="shared" si="89"/>
        <v>0</v>
      </c>
      <c r="QZ40" s="1">
        <f t="shared" si="90"/>
        <v>0</v>
      </c>
      <c r="RA40" s="1">
        <f t="shared" si="91"/>
        <v>0</v>
      </c>
      <c r="RB40" s="1">
        <f t="shared" si="92"/>
        <v>0</v>
      </c>
      <c r="RC40" s="1">
        <f t="shared" si="93"/>
        <v>0</v>
      </c>
      <c r="RD40" s="1">
        <f t="shared" si="94"/>
        <v>0</v>
      </c>
      <c r="RG40" s="1">
        <v>31</v>
      </c>
      <c r="RH40" s="1">
        <f t="shared" si="132"/>
        <v>51575.988209717099</v>
      </c>
      <c r="RI40" s="1">
        <f t="shared" si="132"/>
        <v>65468.381780483753</v>
      </c>
      <c r="RJ40" s="1">
        <f t="shared" si="132"/>
        <v>13404.263703387322</v>
      </c>
      <c r="RK40" s="89">
        <f t="shared" si="5"/>
        <v>130448.63369358817</v>
      </c>
      <c r="RL40" s="1033">
        <v>31</v>
      </c>
      <c r="RM40" s="1098">
        <f t="shared" si="96"/>
        <v>0</v>
      </c>
      <c r="RN40" s="1098">
        <f t="shared" si="97"/>
        <v>0</v>
      </c>
      <c r="RO40" s="1097">
        <f t="shared" si="97"/>
        <v>0</v>
      </c>
      <c r="RP40" s="1097">
        <f t="shared" si="98"/>
        <v>0</v>
      </c>
      <c r="RQ40" s="1094"/>
      <c r="RR40" s="1096"/>
      <c r="RU40" s="421">
        <v>31</v>
      </c>
      <c r="RV40" s="1095">
        <f t="shared" si="99"/>
        <v>0</v>
      </c>
      <c r="RW40" s="1094"/>
      <c r="RY40" s="1090"/>
      <c r="RZ40" s="1090">
        <f t="shared" si="100"/>
        <v>0</v>
      </c>
      <c r="SA40" s="1090"/>
      <c r="SB40" s="1090">
        <f t="shared" si="101"/>
        <v>0</v>
      </c>
      <c r="SD40" s="1">
        <v>31</v>
      </c>
      <c r="SE40" s="1">
        <f t="shared" si="102"/>
        <v>0</v>
      </c>
      <c r="SF40" s="1094"/>
    </row>
    <row r="41" spans="1:500" s="38" customFormat="1" ht="13.95" customHeight="1">
      <c r="A41" s="307" t="s">
        <v>206</v>
      </c>
      <c r="B41" s="307"/>
      <c r="C41" s="72">
        <f>SUM(C10:C40)</f>
        <v>4310525.0599999996</v>
      </c>
      <c r="D41" s="72">
        <f>SUM(D10:D40)</f>
        <v>242017.31999999998</v>
      </c>
      <c r="E41" s="1744">
        <f t="shared" si="7"/>
        <v>17.810812300541134</v>
      </c>
      <c r="H41" s="38">
        <f t="shared" ref="H41:P41" si="143">SUM(H10:H40)</f>
        <v>269</v>
      </c>
      <c r="I41" s="38">
        <f t="shared" si="143"/>
        <v>65.52</v>
      </c>
      <c r="J41" s="38">
        <f t="shared" si="143"/>
        <v>0</v>
      </c>
      <c r="K41" s="38">
        <f t="shared" si="143"/>
        <v>0</v>
      </c>
      <c r="L41" s="38">
        <f t="shared" si="143"/>
        <v>296.83000000000004</v>
      </c>
      <c r="M41" s="38">
        <f t="shared" si="143"/>
        <v>104.59000000000002</v>
      </c>
      <c r="N41" s="72">
        <f t="shared" si="143"/>
        <v>0</v>
      </c>
      <c r="O41" s="72">
        <f t="shared" si="143"/>
        <v>2651916.1599999997</v>
      </c>
      <c r="P41" s="38">
        <f t="shared" si="143"/>
        <v>153787.83000000002</v>
      </c>
      <c r="Q41" s="38">
        <f t="shared" si="9"/>
        <v>17.243992323709875</v>
      </c>
      <c r="R41" s="72">
        <f>SUM(R10:R40)</f>
        <v>0</v>
      </c>
      <c r="S41" s="1409">
        <f t="shared" si="10"/>
        <v>799040.9</v>
      </c>
      <c r="T41" s="1410">
        <f>SUM(T10:T40)</f>
        <v>25409.490000000005</v>
      </c>
      <c r="U41" s="1410">
        <f t="shared" si="12"/>
        <v>31.446554023713183</v>
      </c>
      <c r="V41" s="72">
        <f>SUM(V10:V40)</f>
        <v>0</v>
      </c>
      <c r="W41" s="72">
        <f>SUM(W10:W40)</f>
        <v>859568</v>
      </c>
      <c r="X41" s="72">
        <f>SUM(X10:X40)</f>
        <v>62820</v>
      </c>
      <c r="Y41" s="38">
        <f t="shared" si="14"/>
        <v>13.683030881884751</v>
      </c>
      <c r="Z41" s="72">
        <f>SUM(Z10:Z40)</f>
        <v>0</v>
      </c>
      <c r="AA41" s="72">
        <f>SUM(AA10:AA40)</f>
        <v>0</v>
      </c>
      <c r="AB41" s="72">
        <f t="shared" si="16"/>
        <v>0</v>
      </c>
      <c r="AC41" s="38">
        <f t="shared" si="17"/>
        <v>0</v>
      </c>
      <c r="AD41" s="72"/>
      <c r="AE41" s="72">
        <f>SUM(AE10:AE40)</f>
        <v>0</v>
      </c>
      <c r="AF41" s="38">
        <f>SUM(AF10:AF40)</f>
        <v>0</v>
      </c>
      <c r="AG41" s="38">
        <f t="shared" si="18"/>
        <v>0</v>
      </c>
      <c r="AH41" s="72">
        <f>SUM(AH10:AH40)</f>
        <v>0</v>
      </c>
      <c r="AI41" s="72">
        <f>SUM(AI10:AI40)</f>
        <v>0</v>
      </c>
      <c r="AJ41" s="72">
        <f>SUM(AJ10:AJ40)</f>
        <v>0</v>
      </c>
      <c r="AK41" s="38">
        <f t="shared" si="19"/>
        <v>0</v>
      </c>
      <c r="AL41" s="72">
        <f>SUM(AL10:AL40)</f>
        <v>0</v>
      </c>
      <c r="AM41" s="72">
        <f>SUM(AM10:AM40)</f>
        <v>0</v>
      </c>
      <c r="AN41" s="72">
        <f>SUM(AN10:AN40)</f>
        <v>0</v>
      </c>
      <c r="AO41" s="72">
        <f>SUM(AO10:AO40)</f>
        <v>0</v>
      </c>
      <c r="AP41" s="38">
        <f t="shared" si="20"/>
        <v>0</v>
      </c>
      <c r="AQ41" s="72">
        <f>SUM(AQ10:AQ40)</f>
        <v>0</v>
      </c>
      <c r="AR41" s="38">
        <f>SUM(AR10:AR40)</f>
        <v>0</v>
      </c>
      <c r="AS41" s="38">
        <f t="shared" si="21"/>
        <v>0</v>
      </c>
      <c r="AT41" s="72">
        <f>SUM(AT10:AT40)</f>
        <v>0</v>
      </c>
      <c r="AU41" s="72">
        <f>SUM(AU10:AU40)</f>
        <v>0</v>
      </c>
      <c r="AV41" s="38">
        <f t="shared" si="22"/>
        <v>0</v>
      </c>
      <c r="AW41" s="72">
        <f>SUM(AW10:AW40)</f>
        <v>1453278.16</v>
      </c>
      <c r="AX41" s="38">
        <f>SUM(AX10:AX40)</f>
        <v>111832.74999999999</v>
      </c>
      <c r="AY41" s="1904">
        <f>IFERROR(SUM(AW11:AW40)/SUM(AX10:AX40),0)</f>
        <v>12.59888681982693</v>
      </c>
      <c r="AZ41" s="72">
        <f>SUM(AZ10:AZ40)</f>
        <v>0</v>
      </c>
      <c r="BA41" s="72">
        <f>SUM(BA10:BA40)</f>
        <v>0</v>
      </c>
      <c r="BB41" s="38">
        <f>IFERROR(SUM(AZ10:AZ40)/SUM(BA10:BA40),0)</f>
        <v>0</v>
      </c>
      <c r="BC41" s="72">
        <f>SUM(BC10:BC40)</f>
        <v>1198638</v>
      </c>
      <c r="BD41" s="865">
        <f>SUM(BD10:BD40)</f>
        <v>41955.08</v>
      </c>
      <c r="BE41" s="1904">
        <f>IFERROR(SUM(BC10:BC40)/SUM(BD10:BD40),0)</f>
        <v>28.569555820177197</v>
      </c>
      <c r="BF41" s="72">
        <f>SUM(BF10:BF40)</f>
        <v>0</v>
      </c>
      <c r="BG41" s="38">
        <f>SUM(BG10:BG40)</f>
        <v>0</v>
      </c>
      <c r="BH41" s="38">
        <f>IFERROR(SUM(BF10:BF40)/SUM(BG10:BG40),0)</f>
        <v>0</v>
      </c>
      <c r="BI41" s="72">
        <f>SUM(BI10:BI40)</f>
        <v>0</v>
      </c>
      <c r="BJ41" s="38">
        <f>SUM(BJ10:BJ40)</f>
        <v>0</v>
      </c>
      <c r="BK41" s="38">
        <f>IFERROR(SUM(BI10:BI40)/SUM(BJ10:BJ40),0)</f>
        <v>0</v>
      </c>
      <c r="BL41" s="72">
        <f>SUM(BL10:BL40)</f>
        <v>799040.9</v>
      </c>
      <c r="BM41" s="1743">
        <f>SUM(BM10:BM40)</f>
        <v>25409.490000000005</v>
      </c>
      <c r="BN41" s="1904">
        <f>IFERROR(SUM(BL10:BL40)/SUM(BM10:BM40),0)</f>
        <v>31.446554023713183</v>
      </c>
      <c r="BO41" s="72">
        <f>SUM(BO10:BO40)</f>
        <v>0</v>
      </c>
      <c r="BP41" s="38">
        <f>SUM(BP10:BP40)</f>
        <v>0</v>
      </c>
      <c r="BQ41" s="38">
        <f>IFERROR(SUM(BO10:BO40)/SUM(BP10:BP40),0)</f>
        <v>0</v>
      </c>
      <c r="BR41" s="72">
        <f>SUM(BR10:BR40)</f>
        <v>0</v>
      </c>
      <c r="BS41" s="38">
        <f>SUM(BS10:BS40)</f>
        <v>0</v>
      </c>
      <c r="BT41" s="38">
        <f>IFERROR(SUM(BR10:BR40)/SUM(BS10:BS40),0)</f>
        <v>0</v>
      </c>
      <c r="BU41" s="72">
        <f>SUM(BU10:BU40)</f>
        <v>859568</v>
      </c>
      <c r="BV41" s="72">
        <f>SUM(BV10:BV40)</f>
        <v>62820</v>
      </c>
      <c r="BW41" s="1904">
        <f>IFERROR(SUM(BU10:BU40)/SUM(BV10:BV40),0)</f>
        <v>13.683030881884751</v>
      </c>
      <c r="BX41" s="72">
        <f>SUM(BX10:BX40)</f>
        <v>0</v>
      </c>
      <c r="BY41" s="72">
        <f>SUM(BY10:BY40)</f>
        <v>0</v>
      </c>
      <c r="BZ41" s="38">
        <f t="shared" si="23"/>
        <v>0</v>
      </c>
      <c r="CA41" s="72">
        <f>SUM(CA10:CA40)</f>
        <v>0</v>
      </c>
      <c r="CB41" s="72">
        <f>SUM(CB10:CB40)</f>
        <v>0</v>
      </c>
      <c r="CC41" s="38">
        <f t="shared" si="24"/>
        <v>0</v>
      </c>
      <c r="CD41" s="72">
        <f>SUM(CD10:CD40)</f>
        <v>0</v>
      </c>
      <c r="CE41" s="278">
        <f>SUM(CE10:CE40)</f>
        <v>0</v>
      </c>
      <c r="CF41" s="38">
        <f t="shared" si="25"/>
        <v>0</v>
      </c>
      <c r="CG41" s="72">
        <f t="shared" ref="CG41:CQ41" si="144">SUM(CG10:CG40)</f>
        <v>0</v>
      </c>
      <c r="CH41" s="72">
        <f t="shared" si="144"/>
        <v>9870</v>
      </c>
      <c r="CI41" s="72">
        <f t="shared" si="144"/>
        <v>0</v>
      </c>
      <c r="CJ41" s="72">
        <f t="shared" si="144"/>
        <v>112196</v>
      </c>
      <c r="CK41" s="72">
        <f t="shared" si="144"/>
        <v>0</v>
      </c>
      <c r="CL41" s="72">
        <f t="shared" si="144"/>
        <v>0</v>
      </c>
      <c r="CM41" s="72">
        <f t="shared" si="144"/>
        <v>122066</v>
      </c>
      <c r="CN41" s="72">
        <f t="shared" si="144"/>
        <v>0</v>
      </c>
      <c r="CO41" s="72">
        <f t="shared" si="144"/>
        <v>0</v>
      </c>
      <c r="CP41" s="72">
        <f t="shared" si="144"/>
        <v>0</v>
      </c>
      <c r="CQ41" s="72">
        <f t="shared" si="144"/>
        <v>0</v>
      </c>
      <c r="CR41" s="72"/>
      <c r="CS41" s="72">
        <f>SUM(CS10:CS40)</f>
        <v>0</v>
      </c>
      <c r="CT41" s="72"/>
      <c r="CU41" s="72">
        <f>SUM(CU10:CU40)</f>
        <v>0</v>
      </c>
      <c r="CV41" s="72"/>
      <c r="CW41" s="72">
        <f>SUM(CW10:CW40)</f>
        <v>30378.280000000006</v>
      </c>
      <c r="CX41" s="72"/>
      <c r="CY41" s="72">
        <f>SUM(CY10:CY40)</f>
        <v>150933.5</v>
      </c>
      <c r="CZ41" s="72"/>
      <c r="DA41" s="72">
        <f>SUM(DA10:DA40)</f>
        <v>59589.520000000004</v>
      </c>
      <c r="DB41" s="72"/>
      <c r="DC41" s="72">
        <f>SUM(DC10:DC40)</f>
        <v>242017.32</v>
      </c>
      <c r="DD41" s="72">
        <f>SUM(DD10:DD40)</f>
        <v>0</v>
      </c>
      <c r="DE41" s="72">
        <f>SUM(DE10:DE40)</f>
        <v>0</v>
      </c>
      <c r="DF41" s="72"/>
      <c r="DG41" s="72">
        <f>SUM(DG10:DG40)</f>
        <v>0</v>
      </c>
      <c r="DH41" s="72"/>
      <c r="DI41" s="72">
        <f>SUM(DI10:DI40)</f>
        <v>0</v>
      </c>
      <c r="DJ41" s="72"/>
      <c r="DK41" s="72">
        <f>SUM(DK10:DK40)</f>
        <v>30378.280000000006</v>
      </c>
      <c r="DL41" s="72"/>
      <c r="DM41" s="72">
        <f t="shared" ref="DM41:DR41" si="145">SUM(DM10:DM40)</f>
        <v>79809.37</v>
      </c>
      <c r="DN41" s="72">
        <f t="shared" si="145"/>
        <v>0</v>
      </c>
      <c r="DO41" s="72">
        <f t="shared" si="145"/>
        <v>0</v>
      </c>
      <c r="DP41" s="72">
        <f t="shared" si="145"/>
        <v>0</v>
      </c>
      <c r="DQ41" s="72">
        <f t="shared" si="145"/>
        <v>110187.64999999998</v>
      </c>
      <c r="DR41" s="72">
        <f t="shared" si="145"/>
        <v>0</v>
      </c>
      <c r="DS41" s="72"/>
      <c r="DT41" s="72">
        <f>SUM(DT10:DT40)</f>
        <v>0</v>
      </c>
      <c r="DU41" s="72"/>
      <c r="DV41" s="72">
        <f>SUM(DV10:DV40)</f>
        <v>0</v>
      </c>
      <c r="DW41" s="72"/>
      <c r="DX41" s="72">
        <f>SUM(DX10:DX40)</f>
        <v>0</v>
      </c>
      <c r="DY41" s="72"/>
      <c r="DZ41" s="72">
        <f>SUM(DZ10:DZ40)</f>
        <v>62804.13</v>
      </c>
      <c r="EB41" s="72">
        <f>SUM(EB10:EB40)</f>
        <v>5089.5199999999995</v>
      </c>
      <c r="EC41" s="72"/>
      <c r="ED41" s="72">
        <f t="shared" ref="ED41:EI41" si="146">SUM(ED10:ED40)</f>
        <v>67893.649999999994</v>
      </c>
      <c r="EE41" s="72">
        <f t="shared" si="146"/>
        <v>0</v>
      </c>
      <c r="EF41" s="72">
        <f t="shared" si="146"/>
        <v>0</v>
      </c>
      <c r="EG41" s="72">
        <f t="shared" si="146"/>
        <v>0</v>
      </c>
      <c r="EH41" s="72">
        <f t="shared" si="146"/>
        <v>0</v>
      </c>
      <c r="EI41" s="72">
        <f t="shared" si="146"/>
        <v>0</v>
      </c>
      <c r="EJ41" s="72"/>
      <c r="EK41" s="72">
        <f>SUM(EK10:EK40)</f>
        <v>0</v>
      </c>
      <c r="EL41" s="278">
        <f>SUM(EL10:EL40)</f>
        <v>0</v>
      </c>
      <c r="EM41" s="72"/>
      <c r="EN41" s="72"/>
      <c r="EO41" s="72">
        <f>SUM(EO10:EO40)</f>
        <v>54500</v>
      </c>
      <c r="EP41" s="72"/>
      <c r="EQ41" s="72">
        <f>SUM(EQ10:EQ40)</f>
        <v>62820</v>
      </c>
      <c r="ER41" s="72">
        <f>SUM(ER10:ER40)</f>
        <v>0</v>
      </c>
      <c r="ES41" s="72">
        <f>SUM(ES10:ES40)</f>
        <v>0</v>
      </c>
      <c r="ET41" s="72">
        <f>SUM(ET10:ET40)</f>
        <v>0</v>
      </c>
      <c r="EU41" s="72">
        <f t="shared" ref="EU41:FU41" si="147">SUM(EU10:EU40)</f>
        <v>0</v>
      </c>
      <c r="EV41" s="72">
        <f t="shared" si="147"/>
        <v>0</v>
      </c>
      <c r="EW41" s="72">
        <f t="shared" si="147"/>
        <v>0</v>
      </c>
      <c r="EX41" s="72">
        <f t="shared" si="147"/>
        <v>0</v>
      </c>
      <c r="EY41" s="72">
        <f t="shared" si="147"/>
        <v>0</v>
      </c>
      <c r="EZ41" s="72">
        <f t="shared" si="147"/>
        <v>0</v>
      </c>
      <c r="FA41" s="72">
        <f t="shared" si="147"/>
        <v>0</v>
      </c>
      <c r="FB41" s="72">
        <f t="shared" si="147"/>
        <v>0</v>
      </c>
      <c r="FC41" s="72">
        <f t="shared" si="147"/>
        <v>0</v>
      </c>
      <c r="FD41" s="72">
        <f t="shared" si="147"/>
        <v>0</v>
      </c>
      <c r="FE41" s="72">
        <f t="shared" si="147"/>
        <v>0</v>
      </c>
      <c r="FF41" s="72">
        <f t="shared" si="147"/>
        <v>0</v>
      </c>
      <c r="FG41" s="72">
        <f t="shared" si="147"/>
        <v>0</v>
      </c>
      <c r="FH41" s="72">
        <f t="shared" si="147"/>
        <v>0</v>
      </c>
      <c r="FI41" s="72">
        <f t="shared" si="147"/>
        <v>0</v>
      </c>
      <c r="FJ41" s="72">
        <f t="shared" si="147"/>
        <v>0</v>
      </c>
      <c r="FK41" s="72">
        <f t="shared" si="147"/>
        <v>0</v>
      </c>
      <c r="FL41" s="72">
        <f t="shared" si="147"/>
        <v>0</v>
      </c>
      <c r="FM41" s="72">
        <f t="shared" si="147"/>
        <v>0</v>
      </c>
      <c r="FN41" s="72">
        <f t="shared" si="147"/>
        <v>0</v>
      </c>
      <c r="FO41" s="72">
        <f t="shared" si="147"/>
        <v>0</v>
      </c>
      <c r="FP41" s="72">
        <f t="shared" si="147"/>
        <v>0</v>
      </c>
      <c r="FQ41" s="72">
        <f t="shared" si="147"/>
        <v>0</v>
      </c>
      <c r="FR41" s="72">
        <f t="shared" si="147"/>
        <v>0</v>
      </c>
      <c r="FS41" s="72">
        <f t="shared" si="147"/>
        <v>0</v>
      </c>
      <c r="FT41" s="72">
        <f t="shared" si="147"/>
        <v>0</v>
      </c>
      <c r="FU41" s="72">
        <f t="shared" si="147"/>
        <v>0</v>
      </c>
      <c r="FV41" s="72"/>
      <c r="FW41" s="72">
        <f>SUM(FW10:FW40)</f>
        <v>0</v>
      </c>
      <c r="FX41" s="72"/>
      <c r="FY41" s="72">
        <f>SUM(FY10:FY40)</f>
        <v>0</v>
      </c>
      <c r="FZ41" s="72"/>
      <c r="GA41" s="72">
        <f>SUM(GA10:GA40)</f>
        <v>0</v>
      </c>
      <c r="GB41" s="72"/>
      <c r="GC41" s="72">
        <f>SUM(GC10:GC40)</f>
        <v>0</v>
      </c>
      <c r="GE41" s="72">
        <f>SUM(GE10:GE40)</f>
        <v>0</v>
      </c>
      <c r="GF41" s="72"/>
      <c r="GG41" s="72">
        <f t="shared" ref="GG41:HK41" si="148">SUM(GG10:GG40)</f>
        <v>0</v>
      </c>
      <c r="GH41" s="72">
        <f t="shared" si="148"/>
        <v>0</v>
      </c>
      <c r="GI41" s="72">
        <f t="shared" si="148"/>
        <v>0</v>
      </c>
      <c r="GJ41" s="38">
        <f t="shared" si="148"/>
        <v>74151.75</v>
      </c>
      <c r="GK41" s="63">
        <f t="shared" si="106"/>
        <v>115993.82999999999</v>
      </c>
      <c r="GL41" s="38">
        <f t="shared" si="148"/>
        <v>70226.600000000006</v>
      </c>
      <c r="GM41" s="38">
        <f t="shared" si="148"/>
        <v>260372.18</v>
      </c>
      <c r="GN41" s="72">
        <f t="shared" si="148"/>
        <v>0</v>
      </c>
      <c r="GO41" s="72">
        <f t="shared" si="148"/>
        <v>0</v>
      </c>
      <c r="GP41" s="72">
        <f t="shared" si="148"/>
        <v>0</v>
      </c>
      <c r="GQ41" s="72">
        <f t="shared" si="148"/>
        <v>0</v>
      </c>
      <c r="GR41" s="38">
        <f t="shared" si="148"/>
        <v>145480.59000000003</v>
      </c>
      <c r="GS41" s="38">
        <f t="shared" si="148"/>
        <v>1854.1499999999996</v>
      </c>
      <c r="GT41" s="38">
        <f t="shared" si="148"/>
        <v>60777.290000000008</v>
      </c>
      <c r="GU41" s="72">
        <f t="shared" si="148"/>
        <v>52260.149999999994</v>
      </c>
      <c r="GV41" s="38">
        <f t="shared" si="148"/>
        <v>260372.18000000002</v>
      </c>
      <c r="GW41" s="72">
        <f t="shared" si="148"/>
        <v>0</v>
      </c>
      <c r="GX41" s="38">
        <f t="shared" si="148"/>
        <v>0</v>
      </c>
      <c r="GY41" s="72">
        <f t="shared" si="148"/>
        <v>0</v>
      </c>
      <c r="GZ41" s="72">
        <f t="shared" si="148"/>
        <v>0</v>
      </c>
      <c r="HA41" s="72">
        <f t="shared" si="148"/>
        <v>0</v>
      </c>
      <c r="HB41" s="72">
        <f t="shared" si="148"/>
        <v>0</v>
      </c>
      <c r="HC41" s="72">
        <f t="shared" si="148"/>
        <v>0</v>
      </c>
      <c r="HD41" s="72">
        <f t="shared" si="148"/>
        <v>0</v>
      </c>
      <c r="HE41" s="72">
        <f t="shared" si="148"/>
        <v>0</v>
      </c>
      <c r="HF41" s="38">
        <f t="shared" si="148"/>
        <v>11494.07</v>
      </c>
      <c r="HG41" s="72">
        <f t="shared" si="148"/>
        <v>0</v>
      </c>
      <c r="HH41" s="38">
        <f t="shared" si="148"/>
        <v>60803.53</v>
      </c>
      <c r="HI41" s="72">
        <f t="shared" si="148"/>
        <v>0</v>
      </c>
      <c r="HJ41" s="38">
        <f t="shared" si="148"/>
        <v>1854.1499999999996</v>
      </c>
      <c r="HK41" s="72">
        <f t="shared" si="148"/>
        <v>0</v>
      </c>
      <c r="HL41" s="38">
        <f t="shared" si="120"/>
        <v>74151.75</v>
      </c>
      <c r="HM41" s="38">
        <f t="shared" ref="HM41:HZ41" si="149">SUM(HM10:HM40)</f>
        <v>0</v>
      </c>
      <c r="HN41" s="38">
        <f t="shared" si="149"/>
        <v>0</v>
      </c>
      <c r="HO41" s="38">
        <f t="shared" si="149"/>
        <v>0</v>
      </c>
      <c r="HP41" s="38">
        <f t="shared" si="149"/>
        <v>0</v>
      </c>
      <c r="HQ41" s="38">
        <f t="shared" si="149"/>
        <v>0</v>
      </c>
      <c r="HR41" s="38">
        <f t="shared" si="149"/>
        <v>0</v>
      </c>
      <c r="HS41" s="38">
        <f t="shared" si="149"/>
        <v>0</v>
      </c>
      <c r="HT41" s="38">
        <f t="shared" si="149"/>
        <v>0</v>
      </c>
      <c r="HU41" s="38">
        <f t="shared" si="149"/>
        <v>0</v>
      </c>
      <c r="HV41" s="38">
        <f t="shared" si="149"/>
        <v>0</v>
      </c>
      <c r="HW41" s="38">
        <f t="shared" si="149"/>
        <v>0</v>
      </c>
      <c r="HX41" s="38">
        <f t="shared" si="149"/>
        <v>0</v>
      </c>
      <c r="HY41" s="38">
        <f t="shared" si="149"/>
        <v>0</v>
      </c>
      <c r="HZ41" s="38">
        <f t="shared" si="149"/>
        <v>0</v>
      </c>
      <c r="IA41" s="38">
        <f t="shared" si="43"/>
        <v>0</v>
      </c>
      <c r="IB41" s="38">
        <f t="shared" ref="IB41:JM41" si="150">SUM(IB10:IB40)</f>
        <v>0</v>
      </c>
      <c r="IC41" s="38">
        <f t="shared" si="150"/>
        <v>0</v>
      </c>
      <c r="ID41" s="38">
        <f t="shared" si="150"/>
        <v>0</v>
      </c>
      <c r="IE41" s="38">
        <f t="shared" si="150"/>
        <v>0</v>
      </c>
      <c r="IF41" s="38">
        <f t="shared" si="150"/>
        <v>0</v>
      </c>
      <c r="IG41" s="38">
        <f t="shared" si="150"/>
        <v>0</v>
      </c>
      <c r="IH41" s="38">
        <f t="shared" si="150"/>
        <v>27041.020000000004</v>
      </c>
      <c r="II41" s="38">
        <f t="shared" si="150"/>
        <v>0</v>
      </c>
      <c r="IJ41" s="38">
        <f t="shared" si="150"/>
        <v>88952.81</v>
      </c>
      <c r="IK41" s="38">
        <f t="shared" si="150"/>
        <v>0</v>
      </c>
      <c r="IL41" s="38">
        <f t="shared" si="150"/>
        <v>0</v>
      </c>
      <c r="IM41" s="72">
        <f t="shared" si="150"/>
        <v>0</v>
      </c>
      <c r="IN41" s="72">
        <f t="shared" si="150"/>
        <v>0</v>
      </c>
      <c r="IO41" s="72">
        <f t="shared" si="150"/>
        <v>0</v>
      </c>
      <c r="IP41" s="38">
        <f t="shared" si="150"/>
        <v>115993.82999999999</v>
      </c>
      <c r="IQ41" s="72">
        <f t="shared" si="150"/>
        <v>0</v>
      </c>
      <c r="IR41" s="72">
        <f t="shared" si="150"/>
        <v>0</v>
      </c>
      <c r="IS41" s="72">
        <f t="shared" si="150"/>
        <v>0</v>
      </c>
      <c r="IT41" s="72">
        <f t="shared" si="150"/>
        <v>0</v>
      </c>
      <c r="IU41" s="38">
        <f t="shared" si="150"/>
        <v>0</v>
      </c>
      <c r="IV41" s="72">
        <f t="shared" si="150"/>
        <v>0</v>
      </c>
      <c r="IW41" s="72">
        <f t="shared" si="150"/>
        <v>0</v>
      </c>
      <c r="IX41" s="72">
        <f t="shared" si="150"/>
        <v>0</v>
      </c>
      <c r="IY41" s="38">
        <f t="shared" si="150"/>
        <v>66139.02</v>
      </c>
      <c r="IZ41" s="72">
        <f t="shared" si="150"/>
        <v>0</v>
      </c>
      <c r="JA41" s="38">
        <f t="shared" si="150"/>
        <v>4087.58</v>
      </c>
      <c r="JB41" s="72">
        <f t="shared" si="150"/>
        <v>0</v>
      </c>
      <c r="JC41" s="72">
        <f t="shared" si="150"/>
        <v>0</v>
      </c>
      <c r="JD41" s="72">
        <f t="shared" si="150"/>
        <v>0</v>
      </c>
      <c r="JE41" s="38">
        <f t="shared" si="150"/>
        <v>70226.600000000006</v>
      </c>
      <c r="JF41" s="72">
        <f t="shared" si="150"/>
        <v>0</v>
      </c>
      <c r="JG41" s="72">
        <f t="shared" si="150"/>
        <v>0</v>
      </c>
      <c r="JH41" s="1976">
        <f>SUM(JH10:JH40)</f>
        <v>148046.16000000003</v>
      </c>
      <c r="JI41" s="1976">
        <f t="shared" si="150"/>
        <v>112326.02</v>
      </c>
      <c r="JJ41" s="72">
        <f t="shared" si="150"/>
        <v>0</v>
      </c>
      <c r="JK41" s="38">
        <f t="shared" si="150"/>
        <v>260372.18</v>
      </c>
      <c r="JL41" s="72">
        <f t="shared" si="150"/>
        <v>0</v>
      </c>
      <c r="JM41" s="72">
        <f t="shared" si="150"/>
        <v>0</v>
      </c>
      <c r="JN41" s="305">
        <f t="shared" ref="JN41:JU41" si="151">IFERROR(SUM(JN10:JN40)/SUM($JN$10:$JU$40),"")</f>
        <v>0</v>
      </c>
      <c r="JO41" s="305">
        <f t="shared" si="151"/>
        <v>0</v>
      </c>
      <c r="JP41" s="305">
        <f t="shared" si="151"/>
        <v>0</v>
      </c>
      <c r="JQ41" s="305">
        <f t="shared" si="151"/>
        <v>4.1585475286889185E-3</v>
      </c>
      <c r="JR41" s="305">
        <f t="shared" si="151"/>
        <v>0.98801663217181501</v>
      </c>
      <c r="JS41" s="305">
        <f t="shared" si="151"/>
        <v>4.8137933447627125E-3</v>
      </c>
      <c r="JT41" s="305">
        <f t="shared" si="151"/>
        <v>3.0110269547332148E-3</v>
      </c>
      <c r="JU41" s="305">
        <f t="shared" si="151"/>
        <v>0</v>
      </c>
      <c r="JV41" s="305">
        <f t="shared" ref="JV41:KK41" si="152">IFERROR(SUM(JV10:JV40)/SUM($JV$10:$KC$40),"")</f>
        <v>0</v>
      </c>
      <c r="JW41" s="305">
        <f t="shared" si="152"/>
        <v>0</v>
      </c>
      <c r="JX41" s="305">
        <f t="shared" si="152"/>
        <v>0</v>
      </c>
      <c r="JY41" s="305">
        <f t="shared" si="152"/>
        <v>0.19061995276335691</v>
      </c>
      <c r="JZ41" s="305">
        <f t="shared" si="152"/>
        <v>0.1662229915379306</v>
      </c>
      <c r="KA41" s="305">
        <f t="shared" si="152"/>
        <v>0.44135131752400508</v>
      </c>
      <c r="KB41" s="305">
        <f t="shared" si="152"/>
        <v>0.20180573817470757</v>
      </c>
      <c r="KC41" s="305">
        <f t="shared" si="152"/>
        <v>0</v>
      </c>
      <c r="KD41" s="38">
        <f t="shared" si="152"/>
        <v>0</v>
      </c>
      <c r="KE41" s="38">
        <f t="shared" si="152"/>
        <v>0</v>
      </c>
      <c r="KF41" s="38">
        <f t="shared" si="152"/>
        <v>0</v>
      </c>
      <c r="KG41" s="38">
        <f t="shared" si="152"/>
        <v>0</v>
      </c>
      <c r="KH41" s="38">
        <f t="shared" si="152"/>
        <v>0</v>
      </c>
      <c r="KI41" s="38">
        <f t="shared" si="152"/>
        <v>0</v>
      </c>
      <c r="KJ41" s="38">
        <f t="shared" si="152"/>
        <v>0</v>
      </c>
      <c r="KK41" s="38">
        <f t="shared" si="152"/>
        <v>0</v>
      </c>
      <c r="KL41" s="72">
        <f>SUM(KL10:KL40)</f>
        <v>0</v>
      </c>
      <c r="KM41" s="72">
        <f>SUM(KM10:KM40)</f>
        <v>0</v>
      </c>
      <c r="KN41" s="72">
        <f>IFERROR(SUMPRODUCT((KN10:KN40&lt;&gt;"")*KN10:KN40,$JH$10:$JH$40)/SUMIFS($JH$10:$JH$40,KN10:KN40,"&gt;"&amp;0),0)</f>
        <v>7023.7351826874046</v>
      </c>
      <c r="KO41" s="1904">
        <f>IFERROR(SUMPRODUCT((KO10:KO40&lt;&gt;"")*KO10:KO40,$JH$10:$JH$40)/SUMIFS($JH$10:$JH$40,KO10:KO40,"&gt;"&amp;0),0)</f>
        <v>0.85187070618512017</v>
      </c>
      <c r="KP41" s="38">
        <f>IFERROR(SUMPRODUCT((KP10:KP40&lt;&gt;"")*KP10:KP40,$JH$10:$JH$40)/SUMIFS($JH$10:$JH$40,KP10:KP40,"&gt;"&amp;0),0)</f>
        <v>2.9716360165927003</v>
      </c>
      <c r="KQ41" s="38">
        <f>IFERROR(SUMPRODUCT((KQ10:KQ40&lt;&gt;"")*KQ10:KQ40,$JH$10:$JH$40)/SUMIFS($JH$10:$JH$40,KQ10:KQ40,"&gt;"&amp;0),0)</f>
        <v>6.8146463225969436</v>
      </c>
      <c r="KR41" s="38">
        <f>IFERROR(SUMPRODUCT((KR10:KR40&lt;&gt;"")*KR10:KR40,$JH$10:$JH$40)/SUMIFS($JH$10:$JH$40,KR10:KR40,"&gt;"&amp;0),0)</f>
        <v>10.578670685251351</v>
      </c>
      <c r="KS41" s="72">
        <f>IFERROR(SUMPRODUCT((KS10:KS40&lt;&gt;"")*KS10:KS40,$JI$10:$JI$40)/SUMIFS($JI$10:$JI$40,KS10:KS40,"&gt;"&amp;0),0)</f>
        <v>6797.6766400516881</v>
      </c>
      <c r="KT41" s="1904">
        <f>IFERROR(SUMPRODUCT((KT10:KT40&lt;&gt;"")*KT10:KT40,$JI$10:$JI$40)/SUMIFS($JI$10:$JI$40,KT10:KT40,"&gt;"&amp;0),0)</f>
        <v>1.9773716490598925</v>
      </c>
      <c r="KU41" s="38">
        <f>IFERROR(SUMPRODUCT((KU10:KU40&lt;&gt;"")*KU10:KU40,$JI$10:$JI$40)/SUMIFS($JI$10:$JI$40,KU10:KU40,"&gt;"&amp;0),0)</f>
        <v>7.8264352944478377</v>
      </c>
      <c r="KV41" s="38">
        <f>IFERROR(SUMPRODUCT((KV10:KV40&lt;&gt;"")*KV10:KV40,$JI$10:$JI$40)/SUMIFS($JI$10:$JI$40,KV10:KV40,"&gt;"&amp;0),0)</f>
        <v>5.320870045840234</v>
      </c>
      <c r="KW41" s="38">
        <f>IFERROR(SUMPRODUCT((KW10:KW40&lt;&gt;"")*KW10:KW40,$JI$10:$JI$40)/SUMIFS($JI$10:$JI$40,KW10:KW40,"&gt;"&amp;0),0)</f>
        <v>9.0123069028617984</v>
      </c>
      <c r="KX41" s="72">
        <f>IFERROR(SUMPRODUCT((KX10:KX40&lt;&gt;"")*KX10:KX40,$JJ$10:$JJ$40)/SUMIFS($JJ$10:$JJ$40,KX10:KX40,"&gt;"&amp;0),0)</f>
        <v>0</v>
      </c>
      <c r="KY41" s="38">
        <f>IFERROR(SUMPRODUCT((KY10:KY40&lt;&gt;"")*KY10:KY40,$JJ$10:$JJ$40)/SUMIFS($JJ$10:$JJ$40,KY10:KY40,"&gt;"&amp;0),0)</f>
        <v>0</v>
      </c>
      <c r="KZ41" s="38">
        <f>IFERROR(SUMPRODUCT((KZ10:KZ40&lt;&gt;"")*KZ10:KZ40,$JJ$10:$JJ$40)/SUMIFS($JJ$10:$JJ$40,KZ10:KZ40,"&gt;"&amp;0),0)</f>
        <v>0</v>
      </c>
      <c r="LA41" s="38">
        <f>IFERROR(SUMPRODUCT((LA10:LA40&lt;&gt;"")*LA10:LA40,$JJ$10:$JJ$40)/SUMIFS($JJ$10:$JJ$40,LA10:LA40,"&gt;"&amp;0),0)</f>
        <v>0</v>
      </c>
      <c r="LB41" s="38">
        <f>IFERROR(SUMPRODUCT((LB10:LB40&lt;&gt;"")*LB10:LB40,$JJ$10:$JJ$40)/SUMIFS($JJ$10:$JJ$40,LB10:LB40,"&gt;"&amp;0),0)</f>
        <v>0</v>
      </c>
      <c r="LC41" s="72"/>
      <c r="LD41" s="72">
        <f t="shared" ref="LD41:LM41" si="153">SUM(LD10:LD40)</f>
        <v>0</v>
      </c>
      <c r="LE41" s="72">
        <f t="shared" si="153"/>
        <v>0</v>
      </c>
      <c r="LF41" s="2104">
        <f t="shared" si="153"/>
        <v>107224.10699999999</v>
      </c>
      <c r="LG41" s="970">
        <f t="shared" si="153"/>
        <v>55189.969999999994</v>
      </c>
      <c r="LH41" s="865">
        <f t="shared" si="153"/>
        <v>0</v>
      </c>
      <c r="LI41" s="865">
        <f t="shared" si="153"/>
        <v>162414.07700000002</v>
      </c>
      <c r="LJ41" s="72">
        <f t="shared" si="153"/>
        <v>20</v>
      </c>
      <c r="LK41" s="72">
        <f t="shared" si="153"/>
        <v>3</v>
      </c>
      <c r="LL41" s="72">
        <f t="shared" si="153"/>
        <v>30</v>
      </c>
      <c r="LM41" s="72">
        <f t="shared" si="153"/>
        <v>0</v>
      </c>
      <c r="LN41" s="72">
        <f>AVERAGE(LN10:LN40)</f>
        <v>5.9873333333333312</v>
      </c>
      <c r="LO41" s="72">
        <f t="shared" ref="LO41:MI41" si="154">SUM(LO10:LO40)</f>
        <v>0</v>
      </c>
      <c r="LP41" s="72">
        <f t="shared" si="154"/>
        <v>0</v>
      </c>
      <c r="LQ41" s="38">
        <f t="shared" si="154"/>
        <v>88048.44</v>
      </c>
      <c r="LR41" s="72">
        <f t="shared" si="154"/>
        <v>9642.94</v>
      </c>
      <c r="LS41" s="72">
        <f t="shared" si="154"/>
        <v>0</v>
      </c>
      <c r="LT41" s="72">
        <f t="shared" si="154"/>
        <v>0</v>
      </c>
      <c r="LU41" s="72">
        <f t="shared" si="154"/>
        <v>0</v>
      </c>
      <c r="LV41" s="72">
        <f t="shared" si="154"/>
        <v>97691.38</v>
      </c>
      <c r="LW41" s="72">
        <f t="shared" si="154"/>
        <v>19175.666999999998</v>
      </c>
      <c r="LX41" s="72">
        <f t="shared" si="154"/>
        <v>45547.03</v>
      </c>
      <c r="LY41" s="72">
        <f t="shared" si="154"/>
        <v>0</v>
      </c>
      <c r="LZ41" s="72">
        <f t="shared" si="154"/>
        <v>0</v>
      </c>
      <c r="MA41" s="72">
        <f t="shared" si="154"/>
        <v>0</v>
      </c>
      <c r="MB41" s="72">
        <f t="shared" si="154"/>
        <v>64722.697</v>
      </c>
      <c r="MC41" s="72">
        <f t="shared" si="154"/>
        <v>0</v>
      </c>
      <c r="MD41" s="72">
        <f t="shared" si="154"/>
        <v>0</v>
      </c>
      <c r="ME41" s="72">
        <f t="shared" si="154"/>
        <v>0</v>
      </c>
      <c r="MF41" s="72">
        <f t="shared" si="154"/>
        <v>0</v>
      </c>
      <c r="MG41" s="72">
        <f t="shared" si="154"/>
        <v>0</v>
      </c>
      <c r="MH41" s="72">
        <f t="shared" si="154"/>
        <v>0</v>
      </c>
      <c r="MI41" s="72">
        <f t="shared" si="154"/>
        <v>0</v>
      </c>
      <c r="MJ41" s="72"/>
      <c r="MK41" s="72">
        <f>SUM(MK10:MK40)</f>
        <v>0</v>
      </c>
      <c r="ML41" s="72">
        <f>SUM(ML10:ML40)</f>
        <v>0</v>
      </c>
      <c r="MM41" s="72">
        <f>SUM(MM10:MM40)</f>
        <v>0</v>
      </c>
      <c r="MN41" s="72">
        <f>SUM(MN10:MN40)</f>
        <v>0</v>
      </c>
      <c r="MO41" s="72">
        <f>SUM(MO10:MO40)</f>
        <v>0</v>
      </c>
      <c r="MP41" s="72"/>
      <c r="MQ41" s="72">
        <f t="shared" ref="MQ41:MV41" si="155">SUM(MQ10:MQ40)</f>
        <v>0</v>
      </c>
      <c r="MR41" s="72">
        <f t="shared" si="155"/>
        <v>0</v>
      </c>
      <c r="MS41" s="72">
        <f t="shared" si="155"/>
        <v>0</v>
      </c>
      <c r="MT41" s="72">
        <f t="shared" si="155"/>
        <v>0</v>
      </c>
      <c r="MU41" s="72">
        <f t="shared" si="155"/>
        <v>0</v>
      </c>
      <c r="MV41" s="72">
        <f t="shared" si="155"/>
        <v>0</v>
      </c>
      <c r="MW41" s="72">
        <f>+MW40</f>
        <v>168392.91239330632</v>
      </c>
      <c r="MX41" s="72">
        <f>+MX40</f>
        <v>80206.983809620229</v>
      </c>
      <c r="MY41" s="72">
        <f>+MY40</f>
        <v>18073.026980961225</v>
      </c>
      <c r="MZ41" s="72">
        <f>+MZ40</f>
        <v>404728.10855851002</v>
      </c>
      <c r="NA41" s="72">
        <f>+NA40</f>
        <v>0</v>
      </c>
      <c r="NB41" s="1093">
        <f t="shared" ref="NB41:ND42" si="156">NB40</f>
        <v>58623.096361311276</v>
      </c>
      <c r="NC41" s="1656">
        <f t="shared" si="156"/>
        <v>109769.81603199504</v>
      </c>
      <c r="ND41" s="72">
        <f t="shared" si="156"/>
        <v>0</v>
      </c>
      <c r="NE41" s="72">
        <f t="shared" ref="NE41:PF42" si="157">+NE40</f>
        <v>168392.91239330632</v>
      </c>
      <c r="NF41" s="72">
        <f t="shared" si="157"/>
        <v>0</v>
      </c>
      <c r="NG41" s="72">
        <f t="shared" si="157"/>
        <v>0</v>
      </c>
      <c r="NH41" s="72">
        <f t="shared" si="157"/>
        <v>0</v>
      </c>
      <c r="NI41" s="72">
        <f t="shared" si="157"/>
        <v>0</v>
      </c>
      <c r="NJ41" s="72">
        <f t="shared" si="157"/>
        <v>0</v>
      </c>
      <c r="NK41" s="72">
        <f t="shared" si="157"/>
        <v>0</v>
      </c>
      <c r="NL41" s="72">
        <f t="shared" si="157"/>
        <v>0</v>
      </c>
      <c r="NM41" s="278">
        <f t="shared" si="157"/>
        <v>0</v>
      </c>
      <c r="NN41" s="72">
        <f t="shared" si="157"/>
        <v>12948.760566563145</v>
      </c>
      <c r="NO41" s="72">
        <f t="shared" si="157"/>
        <v>26196.69549600617</v>
      </c>
      <c r="NP41" s="72">
        <f t="shared" si="157"/>
        <v>8756.5482322711578</v>
      </c>
      <c r="NQ41" s="72">
        <f t="shared" si="157"/>
        <v>5057.3441180334139</v>
      </c>
      <c r="NR41" s="72">
        <f t="shared" si="157"/>
        <v>52959.348412873886</v>
      </c>
      <c r="NS41" s="72">
        <f t="shared" si="157"/>
        <v>0</v>
      </c>
      <c r="NT41" s="72">
        <f t="shared" si="157"/>
        <v>0</v>
      </c>
      <c r="NU41" s="72">
        <f t="shared" si="157"/>
        <v>0</v>
      </c>
      <c r="NV41" s="72">
        <f t="shared" si="157"/>
        <v>0</v>
      </c>
      <c r="NW41" s="72">
        <f t="shared" si="157"/>
        <v>0</v>
      </c>
      <c r="NX41" s="72">
        <f t="shared" si="157"/>
        <v>0</v>
      </c>
      <c r="NY41" s="72">
        <f t="shared" si="157"/>
        <v>7787.1236022929115</v>
      </c>
      <c r="NZ41" s="72">
        <f t="shared" si="157"/>
        <v>0</v>
      </c>
      <c r="OA41" s="72">
        <f t="shared" si="157"/>
        <v>2387.7680667828263</v>
      </c>
      <c r="OB41" s="72">
        <f t="shared" si="157"/>
        <v>0</v>
      </c>
      <c r="OC41" s="72">
        <f t="shared" si="157"/>
        <v>349.54339982995594</v>
      </c>
      <c r="OD41" s="72">
        <f t="shared" si="157"/>
        <v>0</v>
      </c>
      <c r="OE41" s="72">
        <f t="shared" si="157"/>
        <v>10524.435068905694</v>
      </c>
      <c r="OF41" s="72">
        <f t="shared" si="157"/>
        <v>0</v>
      </c>
      <c r="OG41" s="72">
        <f t="shared" si="157"/>
        <v>0</v>
      </c>
      <c r="OH41" s="72">
        <f t="shared" si="157"/>
        <v>0</v>
      </c>
      <c r="OI41" s="72">
        <f t="shared" si="157"/>
        <v>0</v>
      </c>
      <c r="OJ41" s="72">
        <f t="shared" si="157"/>
        <v>0</v>
      </c>
      <c r="OK41" s="72">
        <f t="shared" si="157"/>
        <v>0</v>
      </c>
      <c r="OL41" s="72">
        <f t="shared" si="157"/>
        <v>0</v>
      </c>
      <c r="OM41" s="72">
        <f t="shared" si="157"/>
        <v>0</v>
      </c>
      <c r="ON41" s="72">
        <f t="shared" si="157"/>
        <v>13638.536218026518</v>
      </c>
      <c r="OO41" s="72">
        <f t="shared" si="157"/>
        <v>0</v>
      </c>
      <c r="OP41" s="72">
        <f t="shared" si="157"/>
        <v>3084.6641098141267</v>
      </c>
      <c r="OQ41" s="72">
        <f t="shared" si="157"/>
        <v>0</v>
      </c>
      <c r="OR41" s="72">
        <f t="shared" si="157"/>
        <v>16723.200327840645</v>
      </c>
      <c r="OS41" s="72">
        <f t="shared" si="157"/>
        <v>0</v>
      </c>
      <c r="OT41" s="72">
        <f t="shared" si="157"/>
        <v>0</v>
      </c>
      <c r="OU41" s="72">
        <f t="shared" si="157"/>
        <v>0</v>
      </c>
      <c r="OV41" s="72">
        <f t="shared" si="157"/>
        <v>0</v>
      </c>
      <c r="OW41" s="72">
        <f t="shared" si="157"/>
        <v>0</v>
      </c>
      <c r="OX41" s="72">
        <f t="shared" si="157"/>
        <v>0</v>
      </c>
      <c r="OY41" s="72">
        <f t="shared" si="157"/>
        <v>0</v>
      </c>
      <c r="OZ41" s="72">
        <f t="shared" si="157"/>
        <v>0</v>
      </c>
      <c r="PA41" s="72">
        <f t="shared" si="157"/>
        <v>0</v>
      </c>
      <c r="PB41" s="72">
        <f t="shared" si="157"/>
        <v>0</v>
      </c>
      <c r="PC41" s="72">
        <f t="shared" si="157"/>
        <v>0</v>
      </c>
      <c r="PD41" s="72">
        <f t="shared" si="157"/>
        <v>0</v>
      </c>
      <c r="PE41" s="72">
        <f t="shared" si="157"/>
        <v>0</v>
      </c>
      <c r="PF41" s="72">
        <f t="shared" si="157"/>
        <v>0</v>
      </c>
      <c r="PG41" s="72">
        <f t="shared" ref="PG41:PL41" si="158">SUM(PG10:PG40)</f>
        <v>0</v>
      </c>
      <c r="PH41" s="72">
        <f t="shared" si="158"/>
        <v>0</v>
      </c>
      <c r="PI41" s="341">
        <f t="shared" si="158"/>
        <v>33569.280000000006</v>
      </c>
      <c r="PJ41" s="72">
        <f t="shared" si="158"/>
        <v>0</v>
      </c>
      <c r="PK41" s="72">
        <f t="shared" si="158"/>
        <v>0</v>
      </c>
      <c r="PL41" s="72">
        <f t="shared" si="158"/>
        <v>1854.1499999999996</v>
      </c>
      <c r="PM41" s="72">
        <f>PM40</f>
        <v>40400.018459344188</v>
      </c>
      <c r="PN41" s="72">
        <f>+PN40</f>
        <v>18073.026980961225</v>
      </c>
      <c r="PO41" s="72">
        <f>SUM(PO10:PO40)</f>
        <v>0</v>
      </c>
      <c r="PP41" s="72">
        <f>SUM(PP10:PP40)</f>
        <v>0</v>
      </c>
      <c r="PQ41" s="72">
        <f>SUM(PQ10:PQ40)</f>
        <v>0</v>
      </c>
      <c r="PR41" s="72">
        <f>SUM(PR10:PR40)</f>
        <v>0</v>
      </c>
      <c r="PS41" s="72">
        <f>SUM(PS10:PS40)</f>
        <v>0</v>
      </c>
      <c r="PT41" s="72"/>
      <c r="PU41" s="72">
        <f>SUM(PU10:PU40)</f>
        <v>0</v>
      </c>
      <c r="PV41" s="341">
        <f>SUM(PV10:PV40)</f>
        <v>1116.02</v>
      </c>
      <c r="PW41" s="72">
        <f>SUM(PW10:PW40)</f>
        <v>0</v>
      </c>
      <c r="PX41" s="72">
        <f>SUM(PX10:PX40)</f>
        <v>1116.02</v>
      </c>
      <c r="PY41" s="72">
        <f>SUM(PY10:PY40)</f>
        <v>33569.280000000006</v>
      </c>
      <c r="PZ41" s="72">
        <f>+PZ40</f>
        <v>0</v>
      </c>
      <c r="QA41" s="72"/>
      <c r="QB41" s="72"/>
      <c r="QC41" s="72"/>
      <c r="QD41" s="72"/>
      <c r="QE41" s="72">
        <f>+QE40</f>
        <v>29562.488999999998</v>
      </c>
      <c r="QF41" s="72">
        <f>+QF40</f>
        <v>374049.59955851</v>
      </c>
      <c r="QG41" s="72">
        <f>+QG40</f>
        <v>1116.02</v>
      </c>
      <c r="QH41" s="72">
        <f>+QH40</f>
        <v>5505.3678056099998</v>
      </c>
      <c r="RP41" s="1091"/>
      <c r="RW41" s="72"/>
      <c r="RY41" s="1089"/>
      <c r="RZ41" s="1090"/>
      <c r="SA41" s="1089"/>
      <c r="SB41" s="1089"/>
    </row>
    <row r="42" spans="1:500" s="38" customFormat="1">
      <c r="A42" s="307" t="s">
        <v>207</v>
      </c>
      <c r="B42" s="307"/>
      <c r="C42" s="412">
        <f>SUM(O42,S42,W42,AA42)</f>
        <v>4273947.8919000002</v>
      </c>
      <c r="D42" s="412">
        <f>SUM(P42,T42,X42,AB42)</f>
        <v>246956.51</v>
      </c>
      <c r="E42" s="1744">
        <f t="shared" si="7"/>
        <v>17.306479962403095</v>
      </c>
      <c r="F42" s="72"/>
      <c r="G42" s="72"/>
      <c r="H42" s="307">
        <f t="shared" ref="H42:P42" si="159">H41</f>
        <v>269</v>
      </c>
      <c r="I42" s="364">
        <f t="shared" si="159"/>
        <v>65.52</v>
      </c>
      <c r="J42" s="307">
        <f t="shared" si="159"/>
        <v>0</v>
      </c>
      <c r="K42" s="364">
        <f t="shared" si="159"/>
        <v>0</v>
      </c>
      <c r="L42" s="307">
        <f t="shared" si="159"/>
        <v>296.83000000000004</v>
      </c>
      <c r="M42" s="364">
        <f t="shared" si="159"/>
        <v>104.59000000000002</v>
      </c>
      <c r="N42" s="72">
        <f t="shared" si="159"/>
        <v>0</v>
      </c>
      <c r="O42" s="364">
        <f>AW42+BC42</f>
        <v>2678287.9853999997</v>
      </c>
      <c r="P42" s="364">
        <f t="shared" si="159"/>
        <v>153787.83000000002</v>
      </c>
      <c r="Q42" s="307">
        <f t="shared" si="9"/>
        <v>17.415474198445999</v>
      </c>
      <c r="R42" s="72">
        <f>R41</f>
        <v>0</v>
      </c>
      <c r="S42" s="364">
        <f t="shared" si="10"/>
        <v>794869.49040000001</v>
      </c>
      <c r="T42" s="364">
        <f>SUM(BG42,BM42,BJ42,BY42)</f>
        <v>27763.962799999994</v>
      </c>
      <c r="U42" s="38">
        <f t="shared" si="12"/>
        <v>28.62954024704284</v>
      </c>
      <c r="V42" s="72">
        <f>V41</f>
        <v>0</v>
      </c>
      <c r="W42" s="412">
        <f>BU42</f>
        <v>800790.41610000015</v>
      </c>
      <c r="X42" s="412">
        <f>BV42</f>
        <v>65404.717199999999</v>
      </c>
      <c r="Y42" s="38">
        <f t="shared" si="14"/>
        <v>12.243618662110814</v>
      </c>
      <c r="Z42" s="72">
        <f>Z41</f>
        <v>0</v>
      </c>
      <c r="AA42" s="364">
        <f>AA41</f>
        <v>0</v>
      </c>
      <c r="AB42" s="364">
        <f>AB41</f>
        <v>0</v>
      </c>
      <c r="AC42" s="38">
        <f>AC41</f>
        <v>0</v>
      </c>
      <c r="AD42" s="72"/>
      <c r="AE42" s="412">
        <f>AE41</f>
        <v>0</v>
      </c>
      <c r="AF42" s="412">
        <f>AF41</f>
        <v>0</v>
      </c>
      <c r="AG42" s="38">
        <f t="shared" si="18"/>
        <v>0</v>
      </c>
      <c r="AH42" s="72">
        <f>AH41</f>
        <v>0</v>
      </c>
      <c r="AI42" s="412"/>
      <c r="AJ42" s="412"/>
      <c r="AK42" s="38">
        <f t="shared" si="19"/>
        <v>0</v>
      </c>
      <c r="AL42" s="72">
        <f t="shared" ref="AL42:AR42" si="160">AL41</f>
        <v>0</v>
      </c>
      <c r="AM42" s="72">
        <f t="shared" si="160"/>
        <v>0</v>
      </c>
      <c r="AN42" s="72">
        <f t="shared" si="160"/>
        <v>0</v>
      </c>
      <c r="AO42" s="72">
        <f t="shared" si="160"/>
        <v>0</v>
      </c>
      <c r="AP42" s="72">
        <f t="shared" si="160"/>
        <v>0</v>
      </c>
      <c r="AQ42" s="364">
        <f t="shared" si="160"/>
        <v>0</v>
      </c>
      <c r="AR42" s="1088">
        <f t="shared" si="160"/>
        <v>0</v>
      </c>
      <c r="AS42" s="38">
        <f t="shared" si="21"/>
        <v>0</v>
      </c>
      <c r="AT42" s="364">
        <f t="shared" ref="AT42:BY42" si="161">AT41</f>
        <v>0</v>
      </c>
      <c r="AU42" s="364">
        <f t="shared" si="161"/>
        <v>0</v>
      </c>
      <c r="AV42" s="72">
        <f t="shared" si="161"/>
        <v>0</v>
      </c>
      <c r="AW42" s="412">
        <v>1483726.1631999998</v>
      </c>
      <c r="AX42" s="364">
        <f t="shared" si="161"/>
        <v>111832.74999999999</v>
      </c>
      <c r="AY42" s="38">
        <f t="shared" si="161"/>
        <v>12.59888681982693</v>
      </c>
      <c r="AZ42" s="72">
        <f t="shared" si="161"/>
        <v>0</v>
      </c>
      <c r="BA42" s="72">
        <f t="shared" si="161"/>
        <v>0</v>
      </c>
      <c r="BB42" s="72">
        <f t="shared" si="161"/>
        <v>0</v>
      </c>
      <c r="BC42" s="412">
        <v>1194561.8222000001</v>
      </c>
      <c r="BD42" s="364">
        <f t="shared" si="161"/>
        <v>41955.08</v>
      </c>
      <c r="BE42" s="72">
        <f t="shared" si="161"/>
        <v>28.569555820177197</v>
      </c>
      <c r="BF42" s="364">
        <f t="shared" si="161"/>
        <v>0</v>
      </c>
      <c r="BG42" s="364">
        <f t="shared" si="161"/>
        <v>0</v>
      </c>
      <c r="BH42" s="307">
        <f t="shared" si="161"/>
        <v>0</v>
      </c>
      <c r="BI42" s="364">
        <f t="shared" si="161"/>
        <v>0</v>
      </c>
      <c r="BJ42" s="38">
        <f t="shared" si="161"/>
        <v>0</v>
      </c>
      <c r="BK42" s="38">
        <f t="shared" si="161"/>
        <v>0</v>
      </c>
      <c r="BL42" s="412">
        <v>794869.49040000001</v>
      </c>
      <c r="BM42" s="412">
        <v>27763.962799999994</v>
      </c>
      <c r="BN42" s="72">
        <f t="shared" si="161"/>
        <v>31.446554023713183</v>
      </c>
      <c r="BO42" s="364">
        <f t="shared" si="161"/>
        <v>0</v>
      </c>
      <c r="BP42" s="307">
        <f t="shared" si="161"/>
        <v>0</v>
      </c>
      <c r="BQ42" s="38">
        <f t="shared" si="161"/>
        <v>0</v>
      </c>
      <c r="BR42" s="364">
        <f t="shared" si="161"/>
        <v>0</v>
      </c>
      <c r="BS42" s="307">
        <f t="shared" si="161"/>
        <v>0</v>
      </c>
      <c r="BT42" s="38">
        <f t="shared" si="161"/>
        <v>0</v>
      </c>
      <c r="BU42" s="412">
        <v>800790.41610000015</v>
      </c>
      <c r="BV42" s="412">
        <v>65404.717199999999</v>
      </c>
      <c r="BW42" s="38">
        <f t="shared" si="161"/>
        <v>13.683030881884751</v>
      </c>
      <c r="BX42" s="364">
        <f t="shared" si="161"/>
        <v>0</v>
      </c>
      <c r="BY42" s="72">
        <f t="shared" si="161"/>
        <v>0</v>
      </c>
      <c r="BZ42" s="38">
        <f t="shared" si="23"/>
        <v>0</v>
      </c>
      <c r="CA42" s="364"/>
      <c r="CB42" s="364">
        <f>CB41</f>
        <v>0</v>
      </c>
      <c r="CC42" s="38">
        <f t="shared" si="24"/>
        <v>0</v>
      </c>
      <c r="CD42" s="364">
        <f>CD41</f>
        <v>0</v>
      </c>
      <c r="CE42" s="364">
        <f>CE41</f>
        <v>0</v>
      </c>
      <c r="CF42" s="38">
        <f>CF41</f>
        <v>0</v>
      </c>
      <c r="CG42" s="72">
        <f>+CG41</f>
        <v>0</v>
      </c>
      <c r="CH42" s="412">
        <v>39571.032299999999</v>
      </c>
      <c r="CI42" s="72">
        <f t="shared" ref="CI42:CN42" si="162">+CI41</f>
        <v>0</v>
      </c>
      <c r="CJ42" s="421">
        <v>80331.649300000005</v>
      </c>
      <c r="CK42" s="72">
        <f t="shared" si="162"/>
        <v>0</v>
      </c>
      <c r="CL42" s="72">
        <f t="shared" si="162"/>
        <v>0</v>
      </c>
      <c r="CM42" s="72">
        <f t="shared" si="162"/>
        <v>122066</v>
      </c>
      <c r="CN42" s="72">
        <f t="shared" si="162"/>
        <v>0</v>
      </c>
      <c r="CO42" s="364"/>
      <c r="CP42" s="72">
        <f>+CP41</f>
        <v>0</v>
      </c>
      <c r="CQ42" s="72">
        <f>+CQ41</f>
        <v>0</v>
      </c>
      <c r="CR42" s="72"/>
      <c r="CS42" s="72">
        <f>+CS41</f>
        <v>0</v>
      </c>
      <c r="CT42" s="72"/>
      <c r="CU42" s="72">
        <f>+CU41</f>
        <v>0</v>
      </c>
      <c r="CV42" s="72"/>
      <c r="CW42" s="72">
        <f>+CW41</f>
        <v>30378.280000000006</v>
      </c>
      <c r="CX42" s="72"/>
      <c r="CY42" s="72">
        <f>+CY41</f>
        <v>150933.5</v>
      </c>
      <c r="CZ42" s="72"/>
      <c r="DA42" s="72">
        <f>+DA41</f>
        <v>59589.520000000004</v>
      </c>
      <c r="DB42" s="72"/>
      <c r="DC42" s="72">
        <f>+DC41</f>
        <v>242017.32</v>
      </c>
      <c r="DD42" s="72">
        <f>+DD41</f>
        <v>0</v>
      </c>
      <c r="DE42" s="72">
        <f>+DE41</f>
        <v>0</v>
      </c>
      <c r="DF42" s="72"/>
      <c r="DG42" s="72">
        <f>DG41</f>
        <v>0</v>
      </c>
      <c r="DH42" s="72"/>
      <c r="DI42" s="72">
        <f>+DI41</f>
        <v>0</v>
      </c>
      <c r="DJ42" s="72"/>
      <c r="DK42" s="72">
        <f>DK41</f>
        <v>30378.280000000006</v>
      </c>
      <c r="DL42" s="72"/>
      <c r="DM42" s="72">
        <f>DM41</f>
        <v>79809.37</v>
      </c>
      <c r="DN42" s="72">
        <f>+DN41</f>
        <v>0</v>
      </c>
      <c r="DO42" s="72">
        <f>+DO41</f>
        <v>0</v>
      </c>
      <c r="DP42" s="72">
        <f>+DP41</f>
        <v>0</v>
      </c>
      <c r="DQ42" s="1904">
        <f>DQ41</f>
        <v>110187.64999999998</v>
      </c>
      <c r="DR42" s="72">
        <f>+DR41</f>
        <v>0</v>
      </c>
      <c r="DS42" s="72"/>
      <c r="DT42" s="72">
        <f>+DT41</f>
        <v>0</v>
      </c>
      <c r="DU42" s="72"/>
      <c r="DV42" s="72">
        <f>+DV41</f>
        <v>0</v>
      </c>
      <c r="DW42" s="72"/>
      <c r="DX42" s="72">
        <f>+DX41</f>
        <v>0</v>
      </c>
      <c r="DY42" s="72"/>
      <c r="DZ42" s="72">
        <f>DZ41</f>
        <v>62804.13</v>
      </c>
      <c r="EA42" s="72"/>
      <c r="EB42" s="72">
        <f>EB41</f>
        <v>5089.5199999999995</v>
      </c>
      <c r="EC42" s="72"/>
      <c r="ED42" s="72">
        <f>ED41</f>
        <v>67893.649999999994</v>
      </c>
      <c r="EE42" s="72">
        <f>+EE41</f>
        <v>0</v>
      </c>
      <c r="EF42" s="72">
        <f>+EF41</f>
        <v>0</v>
      </c>
      <c r="EG42" s="72">
        <f>+EG41</f>
        <v>0</v>
      </c>
      <c r="EH42" s="72"/>
      <c r="EI42" s="72">
        <f>+EI41</f>
        <v>0</v>
      </c>
      <c r="EJ42" s="72"/>
      <c r="EK42" s="72">
        <f>+EK41</f>
        <v>0</v>
      </c>
      <c r="EL42" s="72">
        <f>+EL41</f>
        <v>0</v>
      </c>
      <c r="EM42" s="72">
        <f>+EM41</f>
        <v>0</v>
      </c>
      <c r="EN42" s="72"/>
      <c r="EO42" s="72">
        <f>+EO41</f>
        <v>54500</v>
      </c>
      <c r="EP42" s="72"/>
      <c r="EQ42" s="72">
        <f>+EQ41</f>
        <v>62820</v>
      </c>
      <c r="ER42" s="72">
        <f>+ER41</f>
        <v>0</v>
      </c>
      <c r="ES42" s="72">
        <f>+ES41</f>
        <v>0</v>
      </c>
      <c r="ET42" s="72">
        <f>+ET41</f>
        <v>0</v>
      </c>
      <c r="EU42" s="72">
        <f t="shared" ref="EU42:FU42" si="163">+EU41</f>
        <v>0</v>
      </c>
      <c r="EV42" s="72">
        <f t="shared" si="163"/>
        <v>0</v>
      </c>
      <c r="EW42" s="72">
        <f t="shared" si="163"/>
        <v>0</v>
      </c>
      <c r="EX42" s="72">
        <f t="shared" si="163"/>
        <v>0</v>
      </c>
      <c r="EY42" s="72">
        <f t="shared" si="163"/>
        <v>0</v>
      </c>
      <c r="EZ42" s="72">
        <f t="shared" si="163"/>
        <v>0</v>
      </c>
      <c r="FA42" s="72">
        <f t="shared" si="163"/>
        <v>0</v>
      </c>
      <c r="FB42" s="72">
        <f t="shared" si="163"/>
        <v>0</v>
      </c>
      <c r="FC42" s="72">
        <f t="shared" si="163"/>
        <v>0</v>
      </c>
      <c r="FD42" s="72">
        <f t="shared" si="163"/>
        <v>0</v>
      </c>
      <c r="FE42" s="72">
        <f t="shared" si="163"/>
        <v>0</v>
      </c>
      <c r="FF42" s="72">
        <f t="shared" si="163"/>
        <v>0</v>
      </c>
      <c r="FG42" s="72">
        <f t="shared" si="163"/>
        <v>0</v>
      </c>
      <c r="FH42" s="72">
        <f t="shared" si="163"/>
        <v>0</v>
      </c>
      <c r="FI42" s="72">
        <f t="shared" si="163"/>
        <v>0</v>
      </c>
      <c r="FJ42" s="72">
        <f t="shared" si="163"/>
        <v>0</v>
      </c>
      <c r="FK42" s="72">
        <f t="shared" si="163"/>
        <v>0</v>
      </c>
      <c r="FL42" s="72">
        <f t="shared" si="163"/>
        <v>0</v>
      </c>
      <c r="FM42" s="72">
        <f t="shared" si="163"/>
        <v>0</v>
      </c>
      <c r="FN42" s="72">
        <f t="shared" si="163"/>
        <v>0</v>
      </c>
      <c r="FO42" s="72">
        <f t="shared" si="163"/>
        <v>0</v>
      </c>
      <c r="FP42" s="72">
        <f t="shared" si="163"/>
        <v>0</v>
      </c>
      <c r="FQ42" s="72">
        <f t="shared" si="163"/>
        <v>0</v>
      </c>
      <c r="FR42" s="72">
        <f t="shared" si="163"/>
        <v>0</v>
      </c>
      <c r="FS42" s="72">
        <f t="shared" si="163"/>
        <v>0</v>
      </c>
      <c r="FT42" s="72">
        <f t="shared" si="163"/>
        <v>0</v>
      </c>
      <c r="FU42" s="72">
        <f t="shared" si="163"/>
        <v>0</v>
      </c>
      <c r="FV42" s="72"/>
      <c r="FW42" s="72">
        <f>+FW41</f>
        <v>0</v>
      </c>
      <c r="FX42" s="72"/>
      <c r="FY42" s="72">
        <f>+FY41</f>
        <v>0</v>
      </c>
      <c r="FZ42" s="72"/>
      <c r="GA42" s="72">
        <f>+GA41</f>
        <v>0</v>
      </c>
      <c r="GB42" s="72"/>
      <c r="GC42" s="72">
        <f>+GC41</f>
        <v>0</v>
      </c>
      <c r="GD42" s="72"/>
      <c r="GE42" s="72">
        <f>+GE41</f>
        <v>0</v>
      </c>
      <c r="GF42" s="72"/>
      <c r="GG42" s="72">
        <f t="shared" ref="GG42:HK42" si="164">+GG41</f>
        <v>0</v>
      </c>
      <c r="GH42" s="72">
        <f t="shared" si="164"/>
        <v>0</v>
      </c>
      <c r="GI42" s="72">
        <f t="shared" si="164"/>
        <v>0</v>
      </c>
      <c r="GJ42" s="72">
        <f t="shared" si="164"/>
        <v>74151.75</v>
      </c>
      <c r="GK42" s="72">
        <f t="shared" si="164"/>
        <v>115993.82999999999</v>
      </c>
      <c r="GL42" s="72">
        <f t="shared" si="164"/>
        <v>70226.600000000006</v>
      </c>
      <c r="GM42" s="72">
        <f t="shared" si="164"/>
        <v>260372.18</v>
      </c>
      <c r="GN42" s="72">
        <f t="shared" si="164"/>
        <v>0</v>
      </c>
      <c r="GO42" s="72">
        <f t="shared" si="164"/>
        <v>0</v>
      </c>
      <c r="GP42" s="72">
        <f t="shared" si="164"/>
        <v>0</v>
      </c>
      <c r="GQ42" s="72">
        <f t="shared" si="164"/>
        <v>0</v>
      </c>
      <c r="GR42" s="72">
        <f t="shared" si="164"/>
        <v>145480.59000000003</v>
      </c>
      <c r="GS42" s="72">
        <f t="shared" si="164"/>
        <v>1854.1499999999996</v>
      </c>
      <c r="GT42" s="72">
        <f t="shared" si="164"/>
        <v>60777.290000000008</v>
      </c>
      <c r="GU42" s="72">
        <f t="shared" si="164"/>
        <v>52260.149999999994</v>
      </c>
      <c r="GV42" s="72">
        <f t="shared" si="164"/>
        <v>260372.18000000002</v>
      </c>
      <c r="GW42" s="72">
        <f t="shared" si="164"/>
        <v>0</v>
      </c>
      <c r="GX42" s="72">
        <f t="shared" si="164"/>
        <v>0</v>
      </c>
      <c r="GY42" s="72">
        <f t="shared" si="164"/>
        <v>0</v>
      </c>
      <c r="GZ42" s="72">
        <f t="shared" si="164"/>
        <v>0</v>
      </c>
      <c r="HA42" s="72">
        <f t="shared" si="164"/>
        <v>0</v>
      </c>
      <c r="HB42" s="72">
        <f t="shared" si="164"/>
        <v>0</v>
      </c>
      <c r="HC42" s="72">
        <f t="shared" si="164"/>
        <v>0</v>
      </c>
      <c r="HD42" s="72">
        <f t="shared" si="164"/>
        <v>0</v>
      </c>
      <c r="HE42" s="72">
        <f t="shared" si="164"/>
        <v>0</v>
      </c>
      <c r="HF42" s="72">
        <f t="shared" si="164"/>
        <v>11494.07</v>
      </c>
      <c r="HG42" s="72">
        <f t="shared" si="164"/>
        <v>0</v>
      </c>
      <c r="HH42" s="72">
        <f t="shared" si="164"/>
        <v>60803.53</v>
      </c>
      <c r="HI42" s="72">
        <f t="shared" si="164"/>
        <v>0</v>
      </c>
      <c r="HJ42" s="72">
        <f t="shared" si="164"/>
        <v>1854.1499999999996</v>
      </c>
      <c r="HK42" s="72">
        <f t="shared" si="164"/>
        <v>0</v>
      </c>
      <c r="HL42" s="72">
        <f t="shared" si="120"/>
        <v>74151.75</v>
      </c>
      <c r="HM42" s="72">
        <f t="shared" ref="HM42:HZ42" si="165">+HM41</f>
        <v>0</v>
      </c>
      <c r="HN42" s="72">
        <f t="shared" si="165"/>
        <v>0</v>
      </c>
      <c r="HO42" s="72">
        <f t="shared" si="165"/>
        <v>0</v>
      </c>
      <c r="HP42" s="72">
        <f t="shared" si="165"/>
        <v>0</v>
      </c>
      <c r="HQ42" s="72">
        <f t="shared" si="165"/>
        <v>0</v>
      </c>
      <c r="HR42" s="72">
        <f t="shared" si="165"/>
        <v>0</v>
      </c>
      <c r="HS42" s="72">
        <f t="shared" si="165"/>
        <v>0</v>
      </c>
      <c r="HT42" s="72">
        <f t="shared" si="165"/>
        <v>0</v>
      </c>
      <c r="HU42" s="72">
        <f t="shared" si="165"/>
        <v>0</v>
      </c>
      <c r="HV42" s="72">
        <f t="shared" si="165"/>
        <v>0</v>
      </c>
      <c r="HW42" s="72">
        <f t="shared" si="165"/>
        <v>0</v>
      </c>
      <c r="HX42" s="72">
        <f t="shared" si="165"/>
        <v>0</v>
      </c>
      <c r="HY42" s="72">
        <f t="shared" si="165"/>
        <v>0</v>
      </c>
      <c r="HZ42" s="72">
        <f t="shared" si="165"/>
        <v>0</v>
      </c>
      <c r="IA42" s="72">
        <f t="shared" si="43"/>
        <v>0</v>
      </c>
      <c r="IB42" s="72">
        <f t="shared" ref="IB42:IO42" si="166">+IB41</f>
        <v>0</v>
      </c>
      <c r="IC42" s="72">
        <f t="shared" si="166"/>
        <v>0</v>
      </c>
      <c r="ID42" s="72">
        <f t="shared" si="166"/>
        <v>0</v>
      </c>
      <c r="IE42" s="72">
        <f t="shared" si="166"/>
        <v>0</v>
      </c>
      <c r="IF42" s="72">
        <f t="shared" si="166"/>
        <v>0</v>
      </c>
      <c r="IG42" s="72">
        <f t="shared" si="166"/>
        <v>0</v>
      </c>
      <c r="IH42" s="72">
        <f t="shared" si="166"/>
        <v>27041.020000000004</v>
      </c>
      <c r="II42" s="72">
        <f t="shared" si="166"/>
        <v>0</v>
      </c>
      <c r="IJ42" s="38">
        <f t="shared" si="166"/>
        <v>88952.81</v>
      </c>
      <c r="IK42" s="72">
        <f t="shared" si="166"/>
        <v>0</v>
      </c>
      <c r="IL42" s="72">
        <f t="shared" si="166"/>
        <v>0</v>
      </c>
      <c r="IM42" s="38">
        <f t="shared" si="166"/>
        <v>0</v>
      </c>
      <c r="IN42" s="72">
        <f t="shared" si="166"/>
        <v>0</v>
      </c>
      <c r="IO42" s="72">
        <f t="shared" si="166"/>
        <v>0</v>
      </c>
      <c r="IP42" s="421">
        <f>SUM(IB42:IO42)</f>
        <v>115993.83</v>
      </c>
      <c r="IQ42" s="72">
        <f t="shared" ref="IQ42:JD42" si="167">+IQ41</f>
        <v>0</v>
      </c>
      <c r="IR42" s="72">
        <f t="shared" si="167"/>
        <v>0</v>
      </c>
      <c r="IS42" s="38">
        <f t="shared" si="167"/>
        <v>0</v>
      </c>
      <c r="IT42" s="72">
        <f t="shared" si="167"/>
        <v>0</v>
      </c>
      <c r="IU42" s="38">
        <f t="shared" si="167"/>
        <v>0</v>
      </c>
      <c r="IV42" s="72">
        <f t="shared" si="167"/>
        <v>0</v>
      </c>
      <c r="IW42" s="72">
        <f t="shared" si="167"/>
        <v>0</v>
      </c>
      <c r="IX42" s="72">
        <f t="shared" si="167"/>
        <v>0</v>
      </c>
      <c r="IY42" s="72">
        <f t="shared" si="167"/>
        <v>66139.02</v>
      </c>
      <c r="IZ42" s="72">
        <f t="shared" si="167"/>
        <v>0</v>
      </c>
      <c r="JA42" s="72">
        <f t="shared" si="167"/>
        <v>4087.58</v>
      </c>
      <c r="JB42" s="72">
        <f t="shared" si="167"/>
        <v>0</v>
      </c>
      <c r="JC42" s="72">
        <f t="shared" si="167"/>
        <v>0</v>
      </c>
      <c r="JD42" s="72">
        <f t="shared" si="167"/>
        <v>0</v>
      </c>
      <c r="JE42" s="421">
        <f>SUM(IQ42:JD42)</f>
        <v>70226.600000000006</v>
      </c>
      <c r="JF42" s="72">
        <f t="shared" ref="JF42:KM42" si="168">+JF41</f>
        <v>0</v>
      </c>
      <c r="JG42" s="72">
        <f t="shared" si="168"/>
        <v>0</v>
      </c>
      <c r="JH42" s="72">
        <f t="shared" si="168"/>
        <v>148046.16000000003</v>
      </c>
      <c r="JI42" s="72">
        <f t="shared" si="168"/>
        <v>112326.02</v>
      </c>
      <c r="JJ42" s="38">
        <f t="shared" si="168"/>
        <v>0</v>
      </c>
      <c r="JK42" s="72">
        <f t="shared" si="168"/>
        <v>260372.18</v>
      </c>
      <c r="JL42" s="72">
        <f t="shared" si="168"/>
        <v>0</v>
      </c>
      <c r="JM42" s="72">
        <f t="shared" si="168"/>
        <v>0</v>
      </c>
      <c r="JN42" s="305">
        <f t="shared" si="168"/>
        <v>0</v>
      </c>
      <c r="JO42" s="305">
        <f t="shared" si="168"/>
        <v>0</v>
      </c>
      <c r="JP42" s="305">
        <f t="shared" si="168"/>
        <v>0</v>
      </c>
      <c r="JQ42" s="305">
        <f t="shared" si="168"/>
        <v>4.1585475286889185E-3</v>
      </c>
      <c r="JR42" s="305">
        <f t="shared" si="168"/>
        <v>0.98801663217181501</v>
      </c>
      <c r="JS42" s="305">
        <f t="shared" si="168"/>
        <v>4.8137933447627125E-3</v>
      </c>
      <c r="JT42" s="305">
        <f t="shared" si="168"/>
        <v>3.0110269547332148E-3</v>
      </c>
      <c r="JU42" s="305">
        <f t="shared" si="168"/>
        <v>0</v>
      </c>
      <c r="JV42" s="305">
        <f t="shared" si="168"/>
        <v>0</v>
      </c>
      <c r="JW42" s="305">
        <f t="shared" si="168"/>
        <v>0</v>
      </c>
      <c r="JX42" s="305">
        <f t="shared" si="168"/>
        <v>0</v>
      </c>
      <c r="JY42" s="305">
        <f t="shared" si="168"/>
        <v>0.19061995276335691</v>
      </c>
      <c r="JZ42" s="305">
        <f t="shared" si="168"/>
        <v>0.1662229915379306</v>
      </c>
      <c r="KA42" s="305">
        <f t="shared" si="168"/>
        <v>0.44135131752400508</v>
      </c>
      <c r="KB42" s="305">
        <f t="shared" si="168"/>
        <v>0.20180573817470757</v>
      </c>
      <c r="KC42" s="305">
        <f t="shared" si="168"/>
        <v>0</v>
      </c>
      <c r="KD42" s="38">
        <f t="shared" si="168"/>
        <v>0</v>
      </c>
      <c r="KE42" s="38">
        <f t="shared" si="168"/>
        <v>0</v>
      </c>
      <c r="KF42" s="38">
        <f t="shared" si="168"/>
        <v>0</v>
      </c>
      <c r="KG42" s="38">
        <f t="shared" si="168"/>
        <v>0</v>
      </c>
      <c r="KH42" s="38">
        <f t="shared" si="168"/>
        <v>0</v>
      </c>
      <c r="KI42" s="38">
        <f t="shared" si="168"/>
        <v>0</v>
      </c>
      <c r="KJ42" s="38">
        <f t="shared" si="168"/>
        <v>0</v>
      </c>
      <c r="KK42" s="38">
        <f t="shared" si="168"/>
        <v>0</v>
      </c>
      <c r="KL42" s="72">
        <f t="shared" si="168"/>
        <v>0</v>
      </c>
      <c r="KM42" s="72">
        <f t="shared" si="168"/>
        <v>0</v>
      </c>
      <c r="KN42" s="72">
        <f t="shared" ref="KN42:LB42" si="169">KN41</f>
        <v>7023.7351826874046</v>
      </c>
      <c r="KO42" s="1904">
        <f t="shared" si="169"/>
        <v>0.85187070618512017</v>
      </c>
      <c r="KP42" s="38">
        <f t="shared" si="169"/>
        <v>2.9716360165927003</v>
      </c>
      <c r="KQ42" s="38">
        <f t="shared" si="169"/>
        <v>6.8146463225969436</v>
      </c>
      <c r="KR42" s="38">
        <f t="shared" si="169"/>
        <v>10.578670685251351</v>
      </c>
      <c r="KS42" s="72">
        <f t="shared" si="169"/>
        <v>6797.6766400516881</v>
      </c>
      <c r="KT42" s="1904">
        <f t="shared" si="169"/>
        <v>1.9773716490598925</v>
      </c>
      <c r="KU42" s="38">
        <f t="shared" si="169"/>
        <v>7.8264352944478377</v>
      </c>
      <c r="KV42" s="38">
        <f t="shared" si="169"/>
        <v>5.320870045840234</v>
      </c>
      <c r="KW42" s="38">
        <f t="shared" si="169"/>
        <v>9.0123069028617984</v>
      </c>
      <c r="KX42" s="72">
        <f t="shared" si="169"/>
        <v>0</v>
      </c>
      <c r="KY42" s="38">
        <f t="shared" si="169"/>
        <v>0</v>
      </c>
      <c r="KZ42" s="38">
        <f t="shared" si="169"/>
        <v>0</v>
      </c>
      <c r="LA42" s="38">
        <f t="shared" si="169"/>
        <v>0</v>
      </c>
      <c r="LB42" s="38">
        <f t="shared" si="169"/>
        <v>0</v>
      </c>
      <c r="LC42" s="72"/>
      <c r="LD42" s="72">
        <f t="shared" ref="LD42:MI42" si="170">+LD41</f>
        <v>0</v>
      </c>
      <c r="LE42" s="72">
        <f t="shared" si="170"/>
        <v>0</v>
      </c>
      <c r="LF42" s="865">
        <f t="shared" si="170"/>
        <v>107224.10699999999</v>
      </c>
      <c r="LG42" s="865">
        <f t="shared" si="170"/>
        <v>55189.969999999994</v>
      </c>
      <c r="LH42" s="865">
        <f t="shared" si="170"/>
        <v>0</v>
      </c>
      <c r="LI42" s="865">
        <f t="shared" si="170"/>
        <v>162414.07700000002</v>
      </c>
      <c r="LJ42" s="72">
        <f t="shared" si="170"/>
        <v>20</v>
      </c>
      <c r="LK42" s="72">
        <f t="shared" si="170"/>
        <v>3</v>
      </c>
      <c r="LL42" s="72">
        <f t="shared" si="170"/>
        <v>30</v>
      </c>
      <c r="LM42" s="72">
        <f t="shared" si="170"/>
        <v>0</v>
      </c>
      <c r="LN42" s="72">
        <f t="shared" si="170"/>
        <v>5.9873333333333312</v>
      </c>
      <c r="LO42" s="72">
        <f t="shared" si="170"/>
        <v>0</v>
      </c>
      <c r="LP42" s="72">
        <f t="shared" si="170"/>
        <v>0</v>
      </c>
      <c r="LQ42" s="72">
        <f t="shared" si="170"/>
        <v>88048.44</v>
      </c>
      <c r="LR42" s="72">
        <f t="shared" si="170"/>
        <v>9642.94</v>
      </c>
      <c r="LS42" s="72">
        <f t="shared" si="170"/>
        <v>0</v>
      </c>
      <c r="LT42" s="72">
        <f t="shared" si="170"/>
        <v>0</v>
      </c>
      <c r="LU42" s="72">
        <f t="shared" si="170"/>
        <v>0</v>
      </c>
      <c r="LV42" s="72">
        <f t="shared" si="170"/>
        <v>97691.38</v>
      </c>
      <c r="LW42" s="72">
        <f t="shared" si="170"/>
        <v>19175.666999999998</v>
      </c>
      <c r="LX42" s="72">
        <f t="shared" si="170"/>
        <v>45547.03</v>
      </c>
      <c r="LY42" s="72">
        <f t="shared" si="170"/>
        <v>0</v>
      </c>
      <c r="LZ42" s="72">
        <f t="shared" si="170"/>
        <v>0</v>
      </c>
      <c r="MA42" s="72">
        <f t="shared" si="170"/>
        <v>0</v>
      </c>
      <c r="MB42" s="72">
        <f t="shared" si="170"/>
        <v>64722.697</v>
      </c>
      <c r="MC42" s="72">
        <f t="shared" si="170"/>
        <v>0</v>
      </c>
      <c r="MD42" s="72">
        <f t="shared" si="170"/>
        <v>0</v>
      </c>
      <c r="ME42" s="72">
        <f t="shared" si="170"/>
        <v>0</v>
      </c>
      <c r="MF42" s="72">
        <f t="shared" si="170"/>
        <v>0</v>
      </c>
      <c r="MG42" s="72">
        <f t="shared" si="170"/>
        <v>0</v>
      </c>
      <c r="MH42" s="72">
        <f t="shared" si="170"/>
        <v>0</v>
      </c>
      <c r="MI42" s="72">
        <f t="shared" si="170"/>
        <v>0</v>
      </c>
      <c r="MJ42" s="72"/>
      <c r="MK42" s="72">
        <f>+MK41</f>
        <v>0</v>
      </c>
      <c r="ML42" s="72">
        <f>+ML41</f>
        <v>0</v>
      </c>
      <c r="MM42" s="72">
        <f>+MM41</f>
        <v>0</v>
      </c>
      <c r="MN42" s="72">
        <f>+MN41</f>
        <v>0</v>
      </c>
      <c r="MO42" s="72">
        <f>+MO41</f>
        <v>0</v>
      </c>
      <c r="MP42" s="72"/>
      <c r="MQ42" s="72">
        <f t="shared" ref="MQ42:MV42" si="171">+MQ41</f>
        <v>0</v>
      </c>
      <c r="MR42" s="72">
        <f t="shared" si="171"/>
        <v>0</v>
      </c>
      <c r="MS42" s="72">
        <f t="shared" si="171"/>
        <v>0</v>
      </c>
      <c r="MT42" s="72">
        <f t="shared" si="171"/>
        <v>0</v>
      </c>
      <c r="MU42" s="72">
        <f t="shared" si="171"/>
        <v>0</v>
      </c>
      <c r="MV42" s="72">
        <f t="shared" si="171"/>
        <v>0</v>
      </c>
      <c r="MW42" s="364">
        <f>MW41</f>
        <v>168392.91239330632</v>
      </c>
      <c r="MX42" s="364">
        <f>MX41</f>
        <v>80206.983809620229</v>
      </c>
      <c r="MY42" s="364">
        <f>+MY41</f>
        <v>18073.026980961225</v>
      </c>
      <c r="MZ42" s="364">
        <f>MZ41</f>
        <v>404728.10855851002</v>
      </c>
      <c r="NA42" s="72">
        <f>+NA41</f>
        <v>0</v>
      </c>
      <c r="NB42" s="1472">
        <v>61460.905091888257</v>
      </c>
      <c r="NC42" s="1472">
        <v>111553.02700083517</v>
      </c>
      <c r="ND42" s="364">
        <f t="shared" si="156"/>
        <v>0</v>
      </c>
      <c r="NE42" s="364">
        <f>NB42+NC42</f>
        <v>173013.93209272344</v>
      </c>
      <c r="NF42" s="412">
        <f>NF41</f>
        <v>0</v>
      </c>
      <c r="NG42" s="364">
        <f t="shared" ref="NG42:NM42" si="172">NG41</f>
        <v>0</v>
      </c>
      <c r="NH42" s="364">
        <f t="shared" si="172"/>
        <v>0</v>
      </c>
      <c r="NI42" s="364">
        <f t="shared" si="172"/>
        <v>0</v>
      </c>
      <c r="NJ42" s="364">
        <f>NJ41</f>
        <v>0</v>
      </c>
      <c r="NK42" s="72">
        <f t="shared" si="172"/>
        <v>0</v>
      </c>
      <c r="NL42" s="364">
        <f>NL41</f>
        <v>0</v>
      </c>
      <c r="NM42" s="364">
        <f t="shared" si="172"/>
        <v>0</v>
      </c>
      <c r="NN42" s="421">
        <v>2565.353144332058</v>
      </c>
      <c r="NO42" s="421">
        <v>26196.696072681989</v>
      </c>
      <c r="NP42" s="412">
        <v>8756.5482322711578</v>
      </c>
      <c r="NQ42" s="421">
        <v>17889.002698058699</v>
      </c>
      <c r="NR42" s="364">
        <f>NN42+NO42+NP42+NQ42</f>
        <v>55407.600147343903</v>
      </c>
      <c r="NS42" s="364">
        <f t="shared" ref="NS42:OI42" si="173">NS41</f>
        <v>0</v>
      </c>
      <c r="NT42" s="364">
        <f t="shared" si="173"/>
        <v>0</v>
      </c>
      <c r="NU42" s="364">
        <f t="shared" si="173"/>
        <v>0</v>
      </c>
      <c r="NV42" s="364">
        <f t="shared" si="173"/>
        <v>0</v>
      </c>
      <c r="NW42" s="364">
        <f>NW41</f>
        <v>0</v>
      </c>
      <c r="NX42" s="364">
        <f t="shared" si="173"/>
        <v>0</v>
      </c>
      <c r="NY42" s="412">
        <v>6464.3827301930733</v>
      </c>
      <c r="NZ42" s="412">
        <f t="shared" si="173"/>
        <v>0</v>
      </c>
      <c r="OA42" s="412">
        <v>4177.0918418567599</v>
      </c>
      <c r="OB42" s="412">
        <f t="shared" si="173"/>
        <v>0</v>
      </c>
      <c r="OC42" s="412">
        <v>454.51223506073143</v>
      </c>
      <c r="OD42" s="364">
        <f t="shared" si="173"/>
        <v>0</v>
      </c>
      <c r="OE42" s="364">
        <f>NY42+OA42+OC42</f>
        <v>11095.986807110563</v>
      </c>
      <c r="OF42" s="364">
        <v>0</v>
      </c>
      <c r="OG42" s="364">
        <f t="shared" si="173"/>
        <v>0</v>
      </c>
      <c r="OH42" s="364">
        <f t="shared" si="173"/>
        <v>0</v>
      </c>
      <c r="OI42" s="364">
        <f t="shared" si="173"/>
        <v>0</v>
      </c>
      <c r="OJ42" s="364">
        <v>0</v>
      </c>
      <c r="OK42" s="364">
        <f>OK41</f>
        <v>0</v>
      </c>
      <c r="OL42" s="364">
        <v>0</v>
      </c>
      <c r="OM42" s="364">
        <f t="shared" ref="OM42:OQ42" si="174">OM41</f>
        <v>0</v>
      </c>
      <c r="ON42" s="412">
        <v>14426.11223531207</v>
      </c>
      <c r="OO42" s="412">
        <f t="shared" si="174"/>
        <v>0</v>
      </c>
      <c r="OP42" s="412">
        <v>3708.4576435566851</v>
      </c>
      <c r="OQ42" s="364">
        <f t="shared" si="174"/>
        <v>0</v>
      </c>
      <c r="OR42" s="364">
        <f>ON42+OP42</f>
        <v>18134.569878868755</v>
      </c>
      <c r="OS42" s="72">
        <f t="shared" si="157"/>
        <v>0</v>
      </c>
      <c r="OT42" s="72">
        <f t="shared" si="157"/>
        <v>0</v>
      </c>
      <c r="OU42" s="72">
        <f t="shared" si="157"/>
        <v>0</v>
      </c>
      <c r="OV42" s="72">
        <f t="shared" si="157"/>
        <v>0</v>
      </c>
      <c r="OW42" s="72">
        <f t="shared" si="157"/>
        <v>0</v>
      </c>
      <c r="OX42" s="72">
        <f t="shared" si="157"/>
        <v>0</v>
      </c>
      <c r="OY42" s="72">
        <f t="shared" si="157"/>
        <v>0</v>
      </c>
      <c r="OZ42" s="72">
        <f t="shared" si="157"/>
        <v>0</v>
      </c>
      <c r="PA42" s="72">
        <f t="shared" si="157"/>
        <v>0</v>
      </c>
      <c r="PB42" s="72">
        <f t="shared" si="157"/>
        <v>0</v>
      </c>
      <c r="PC42" s="72">
        <f t="shared" si="157"/>
        <v>0</v>
      </c>
      <c r="PD42" s="72">
        <f t="shared" si="157"/>
        <v>0</v>
      </c>
      <c r="PE42" s="72">
        <f t="shared" si="157"/>
        <v>0</v>
      </c>
      <c r="PF42" s="72">
        <f t="shared" si="157"/>
        <v>0</v>
      </c>
      <c r="PG42" s="72">
        <f t="shared" ref="PG42:PL42" si="175">+PG41</f>
        <v>0</v>
      </c>
      <c r="PH42" s="72">
        <f t="shared" si="175"/>
        <v>0</v>
      </c>
      <c r="PI42" s="72">
        <f t="shared" si="175"/>
        <v>33569.280000000006</v>
      </c>
      <c r="PJ42" s="72">
        <f t="shared" si="175"/>
        <v>0</v>
      </c>
      <c r="PK42" s="72">
        <f t="shared" si="175"/>
        <v>0</v>
      </c>
      <c r="PL42" s="72">
        <f t="shared" si="175"/>
        <v>1854.1499999999996</v>
      </c>
      <c r="PM42" s="421">
        <v>27076.289776580688</v>
      </c>
      <c r="PN42" s="421">
        <v>21573.87525319455</v>
      </c>
      <c r="PO42" s="72">
        <f>+PO41</f>
        <v>0</v>
      </c>
      <c r="PP42" s="72">
        <f>+PP41</f>
        <v>0</v>
      </c>
      <c r="PQ42" s="72">
        <f>+PQ41</f>
        <v>0</v>
      </c>
      <c r="PR42" s="72">
        <f>+PR41</f>
        <v>0</v>
      </c>
      <c r="PS42" s="72"/>
      <c r="PT42" s="72"/>
      <c r="PU42" s="72">
        <f>+PU41</f>
        <v>0</v>
      </c>
      <c r="PV42" s="72">
        <f>PV41</f>
        <v>1116.02</v>
      </c>
      <c r="PW42" s="72">
        <f>+PW41</f>
        <v>0</v>
      </c>
      <c r="PX42" s="72"/>
      <c r="PY42" s="72">
        <f>+PY41</f>
        <v>33569.280000000006</v>
      </c>
      <c r="PZ42" s="72"/>
      <c r="QA42" s="72"/>
      <c r="QB42" s="72"/>
      <c r="QC42" s="72"/>
      <c r="QD42" s="72"/>
      <c r="QE42" s="412">
        <v>29562.488999999998</v>
      </c>
      <c r="QF42" s="412">
        <v>362045.21321429993</v>
      </c>
      <c r="QG42" s="1473">
        <v>2928.515098515923</v>
      </c>
      <c r="QH42" s="876">
        <f>QH41</f>
        <v>5505.3678056099998</v>
      </c>
      <c r="RW42" s="72"/>
    </row>
    <row r="43" spans="1:500" s="311" customFormat="1">
      <c r="A43" s="312" t="s">
        <v>12</v>
      </c>
      <c r="B43" s="312"/>
      <c r="C43" s="337">
        <f>SUM(O43,S43,W43)</f>
        <v>4305000</v>
      </c>
      <c r="D43" s="337">
        <f>SUM(P43,T43,X43)</f>
        <v>290000</v>
      </c>
      <c r="E43" s="1744">
        <f>IFERROR(C43/D43,0)</f>
        <v>14.844827586206897</v>
      </c>
      <c r="F43" s="309"/>
      <c r="G43" s="309"/>
      <c r="H43" s="308"/>
      <c r="I43" s="308"/>
      <c r="J43" s="308"/>
      <c r="K43" s="308"/>
      <c r="L43" s="308"/>
      <c r="M43" s="308"/>
      <c r="N43" s="308"/>
      <c r="O43" s="337">
        <f>SUM(AQ43,AW43,BC43)</f>
        <v>2450000</v>
      </c>
      <c r="P43" s="337">
        <f>SUM(AR43,AX43,BD43)</f>
        <v>175000</v>
      </c>
      <c r="Q43" s="1084">
        <f t="shared" si="9"/>
        <v>14</v>
      </c>
      <c r="R43" s="308"/>
      <c r="S43" s="1085">
        <f t="shared" si="10"/>
        <v>955000</v>
      </c>
      <c r="T43" s="1085">
        <f>SUM(BG43,BJ43,BM43,BY43)</f>
        <v>50000</v>
      </c>
      <c r="U43" s="1083">
        <f t="shared" si="12"/>
        <v>19.100000000000001</v>
      </c>
      <c r="V43" s="308"/>
      <c r="W43" s="337">
        <f>SUM(BR43,BU43,CD43)</f>
        <v>900000</v>
      </c>
      <c r="X43" s="337">
        <f>BV43</f>
        <v>65000</v>
      </c>
      <c r="Y43" s="1084">
        <f t="shared" si="14"/>
        <v>13.846153846153847</v>
      </c>
      <c r="Z43" s="308"/>
      <c r="AA43" s="337"/>
      <c r="AB43" s="1085">
        <f>BS43</f>
        <v>0</v>
      </c>
      <c r="AC43" s="1084">
        <f>AC42</f>
        <v>0</v>
      </c>
      <c r="AD43" s="337"/>
      <c r="AE43" s="308"/>
      <c r="AF43" s="308"/>
      <c r="AG43" s="309"/>
      <c r="AH43" s="308"/>
      <c r="AI43" s="308">
        <f>BR43</f>
        <v>0</v>
      </c>
      <c r="AJ43" s="308">
        <f>BS43</f>
        <v>0</v>
      </c>
      <c r="AK43" s="309">
        <f t="shared" si="19"/>
        <v>0</v>
      </c>
      <c r="AL43" s="308"/>
      <c r="AM43" s="308"/>
      <c r="AN43" s="308"/>
      <c r="AO43" s="308"/>
      <c r="AP43" s="308">
        <f>IFERROR(AN43/AO43,0)</f>
        <v>0</v>
      </c>
      <c r="AQ43" s="337"/>
      <c r="AR43" s="337"/>
      <c r="AS43" s="309"/>
      <c r="AT43" s="337"/>
      <c r="AU43" s="337"/>
      <c r="AV43" s="309"/>
      <c r="AW43" s="337">
        <v>1385000</v>
      </c>
      <c r="AX43" s="337">
        <v>115000</v>
      </c>
      <c r="AY43" s="1084">
        <f>IFERROR(AW43/AX43,0)</f>
        <v>12.043478260869565</v>
      </c>
      <c r="AZ43" s="337"/>
      <c r="BA43" s="337"/>
      <c r="BB43" s="1084"/>
      <c r="BC43" s="337">
        <v>1065000</v>
      </c>
      <c r="BD43" s="337">
        <v>60000</v>
      </c>
      <c r="BE43" s="1084">
        <f>IFERROR(BC43/BD43,0)</f>
        <v>17.75</v>
      </c>
      <c r="BF43" s="337"/>
      <c r="BG43" s="337"/>
      <c r="BH43" s="309"/>
      <c r="BI43" s="337"/>
      <c r="BJ43" s="308">
        <v>0</v>
      </c>
      <c r="BK43" s="309">
        <f>IFERROR(BI43/BJ43,0)</f>
        <v>0</v>
      </c>
      <c r="BL43" s="337">
        <v>955000</v>
      </c>
      <c r="BM43" s="337">
        <v>50000</v>
      </c>
      <c r="BN43" s="1084">
        <f>IFERROR(BL43/BM43,0)</f>
        <v>19.100000000000001</v>
      </c>
      <c r="BO43" s="309">
        <v>0</v>
      </c>
      <c r="BP43" s="337">
        <v>0</v>
      </c>
      <c r="BQ43" s="309">
        <f>IFERROR(BP43/#REF!,0)</f>
        <v>0</v>
      </c>
      <c r="BR43" s="337"/>
      <c r="BS43" s="337"/>
      <c r="BT43" s="309">
        <f>IFERROR(BR43/BS43,0)</f>
        <v>0</v>
      </c>
      <c r="BU43" s="337">
        <v>900000</v>
      </c>
      <c r="BV43" s="337">
        <v>65000</v>
      </c>
      <c r="BW43" s="1084">
        <f>IFERROR(BU43/BV43,0)</f>
        <v>13.846153846153847</v>
      </c>
      <c r="BX43" s="337"/>
      <c r="BY43" s="337"/>
      <c r="BZ43" s="1083">
        <f t="shared" si="23"/>
        <v>0</v>
      </c>
      <c r="CA43" s="337"/>
      <c r="CB43" s="337"/>
      <c r="CC43" s="78">
        <f t="shared" si="24"/>
        <v>0</v>
      </c>
      <c r="CD43" s="337"/>
      <c r="CE43" s="308"/>
      <c r="CF43" s="309">
        <f>IFERROR(CD43/CE43,0)</f>
        <v>0</v>
      </c>
      <c r="CG43" s="308"/>
      <c r="CH43" s="337">
        <v>413122.30489999999</v>
      </c>
      <c r="CI43" s="337">
        <v>146346.46249999999</v>
      </c>
      <c r="CJ43" s="308"/>
      <c r="CK43" s="337">
        <v>384498.59049999987</v>
      </c>
      <c r="CL43" s="337"/>
      <c r="CM43" s="337">
        <f>SUM(CH43:CK43)</f>
        <v>943967.35789999994</v>
      </c>
      <c r="CN43" s="308"/>
      <c r="CO43" s="308"/>
      <c r="CP43" s="308"/>
      <c r="CQ43" s="308"/>
      <c r="CR43" s="308"/>
      <c r="CS43" s="308"/>
      <c r="CT43" s="308"/>
      <c r="CU43" s="308"/>
      <c r="CV43" s="308"/>
      <c r="CW43" s="308"/>
      <c r="CX43" s="308"/>
      <c r="CY43" s="308"/>
      <c r="CZ43" s="308"/>
      <c r="DA43" s="308"/>
      <c r="DB43" s="308"/>
      <c r="DC43" s="308"/>
      <c r="DD43" s="308"/>
      <c r="DE43" s="308"/>
      <c r="DF43" s="308"/>
      <c r="DG43" s="308"/>
      <c r="DH43" s="308"/>
      <c r="DI43" s="308"/>
      <c r="DJ43" s="308"/>
      <c r="DK43" s="308"/>
      <c r="DL43" s="308"/>
      <c r="DM43" s="308"/>
      <c r="DN43" s="308"/>
      <c r="DO43" s="308"/>
      <c r="DP43" s="308"/>
      <c r="DQ43" s="308"/>
      <c r="DR43" s="308"/>
      <c r="DS43" s="308"/>
      <c r="DT43" s="308"/>
      <c r="DU43" s="308"/>
      <c r="DV43" s="308"/>
      <c r="DW43" s="308"/>
      <c r="DX43" s="308"/>
      <c r="DY43" s="308"/>
      <c r="DZ43" s="308"/>
      <c r="EA43" s="308"/>
      <c r="EB43" s="308"/>
      <c r="EC43" s="308"/>
      <c r="ED43" s="308"/>
      <c r="EE43" s="308"/>
      <c r="EF43" s="308"/>
      <c r="EG43" s="308"/>
      <c r="EH43" s="308"/>
      <c r="EI43" s="308"/>
      <c r="EJ43" s="308"/>
      <c r="EK43" s="308"/>
      <c r="EL43" s="308"/>
      <c r="EM43" s="308"/>
      <c r="EN43" s="308"/>
      <c r="EO43" s="308"/>
      <c r="EP43" s="308"/>
      <c r="EQ43" s="308"/>
      <c r="ER43" s="308"/>
      <c r="ES43" s="308"/>
      <c r="ET43" s="308"/>
      <c r="EU43" s="308"/>
      <c r="EV43" s="308"/>
      <c r="EW43" s="308"/>
      <c r="EX43" s="308"/>
      <c r="EY43" s="308"/>
      <c r="EZ43" s="308"/>
      <c r="FA43" s="308"/>
      <c r="FB43" s="308"/>
      <c r="FC43" s="308"/>
      <c r="FD43" s="308"/>
      <c r="FE43" s="308"/>
      <c r="FF43" s="308"/>
      <c r="FG43" s="308"/>
      <c r="FH43" s="308"/>
      <c r="FI43" s="308"/>
      <c r="FJ43" s="308"/>
      <c r="FK43" s="308"/>
      <c r="FL43" s="308"/>
      <c r="FM43" s="308"/>
      <c r="FN43" s="308"/>
      <c r="FO43" s="308"/>
      <c r="FP43" s="308"/>
      <c r="FQ43" s="308"/>
      <c r="FR43" s="308"/>
      <c r="FS43" s="308"/>
      <c r="FT43" s="308"/>
      <c r="FU43" s="308"/>
      <c r="FV43" s="308"/>
      <c r="FW43" s="308"/>
      <c r="FX43" s="308"/>
      <c r="FY43" s="308"/>
      <c r="FZ43" s="308"/>
      <c r="GA43" s="308"/>
      <c r="GB43" s="308"/>
      <c r="GC43" s="308"/>
      <c r="GD43" s="308"/>
      <c r="GE43" s="308"/>
      <c r="GF43" s="308"/>
      <c r="GG43" s="308"/>
      <c r="GH43" s="308"/>
      <c r="GI43" s="308"/>
      <c r="GJ43" s="337">
        <v>67987.451207321865</v>
      </c>
      <c r="GK43" s="337">
        <v>88307.944299392286</v>
      </c>
      <c r="GL43" s="337">
        <v>93704.604493285849</v>
      </c>
      <c r="GM43" s="337">
        <f>GK43+GL43+GJ43</f>
        <v>250000</v>
      </c>
      <c r="GN43" s="308">
        <v>0</v>
      </c>
      <c r="GO43" s="308">
        <v>0</v>
      </c>
      <c r="GP43" s="308"/>
      <c r="GQ43" s="308"/>
      <c r="GR43" s="308"/>
      <c r="GS43" s="308"/>
      <c r="GT43" s="308"/>
      <c r="GU43" s="308"/>
      <c r="GV43" s="308">
        <f>SUM(GR43:GT43)</f>
        <v>0</v>
      </c>
      <c r="GW43" s="308"/>
      <c r="GX43" s="308"/>
      <c r="GY43" s="308"/>
      <c r="GZ43" s="308"/>
      <c r="HA43" s="308"/>
      <c r="HB43" s="308"/>
      <c r="HC43" s="308"/>
      <c r="HD43" s="308"/>
      <c r="HE43" s="308"/>
      <c r="HF43" s="308"/>
      <c r="HG43" s="308"/>
      <c r="HH43" s="308"/>
      <c r="HI43" s="308"/>
      <c r="HJ43" s="308"/>
      <c r="HK43" s="308"/>
      <c r="HL43" s="308"/>
      <c r="HM43" s="308"/>
      <c r="HN43" s="308"/>
      <c r="HO43" s="308"/>
      <c r="HP43" s="308"/>
      <c r="HQ43" s="308"/>
      <c r="HR43" s="308"/>
      <c r="HS43" s="308"/>
      <c r="HT43" s="308"/>
      <c r="HU43" s="308"/>
      <c r="HV43" s="308"/>
      <c r="HW43" s="308"/>
      <c r="HX43" s="308"/>
      <c r="HY43" s="308"/>
      <c r="HZ43" s="308"/>
      <c r="IA43" s="308"/>
      <c r="IB43" s="308"/>
      <c r="IC43" s="308"/>
      <c r="ID43" s="308"/>
      <c r="IE43" s="308"/>
      <c r="IF43" s="308"/>
      <c r="IG43" s="308"/>
      <c r="IH43" s="308"/>
      <c r="II43" s="308"/>
      <c r="IJ43" s="308"/>
      <c r="IK43" s="308"/>
      <c r="IL43" s="308"/>
      <c r="IM43" s="308"/>
      <c r="IN43" s="308"/>
      <c r="IO43" s="308"/>
      <c r="IP43" s="478">
        <f>SUM(IB43:IO43)</f>
        <v>0</v>
      </c>
      <c r="IQ43" s="308"/>
      <c r="IR43" s="308"/>
      <c r="IS43" s="308"/>
      <c r="IT43" s="308"/>
      <c r="IU43" s="308"/>
      <c r="IV43" s="308"/>
      <c r="IW43" s="308"/>
      <c r="IX43" s="308"/>
      <c r="IY43" s="308"/>
      <c r="IZ43" s="308"/>
      <c r="JA43" s="308"/>
      <c r="JB43" s="308"/>
      <c r="JC43" s="308"/>
      <c r="JD43" s="308"/>
      <c r="JE43" s="308">
        <f>SUM(IQ43:JD43)</f>
        <v>0</v>
      </c>
      <c r="JF43" s="308"/>
      <c r="JG43" s="308"/>
      <c r="JH43" s="337">
        <v>170000</v>
      </c>
      <c r="JI43" s="337">
        <v>80000</v>
      </c>
      <c r="JJ43" s="337"/>
      <c r="JK43" s="337">
        <f>SUM(JH43:JJ43)</f>
        <v>250000</v>
      </c>
      <c r="JL43" s="308"/>
      <c r="JM43" s="308"/>
      <c r="JN43" s="309"/>
      <c r="JO43" s="309"/>
      <c r="JP43" s="309"/>
      <c r="JQ43" s="309"/>
      <c r="JR43" s="309"/>
      <c r="JS43" s="309"/>
      <c r="JT43" s="309"/>
      <c r="JU43" s="309"/>
      <c r="JV43" s="309"/>
      <c r="JW43" s="309"/>
      <c r="JX43" s="309"/>
      <c r="JY43" s="309"/>
      <c r="JZ43" s="309"/>
      <c r="KA43" s="309"/>
      <c r="KB43" s="309"/>
      <c r="KC43" s="309"/>
      <c r="KD43" s="309">
        <v>0</v>
      </c>
      <c r="KE43" s="309">
        <v>0</v>
      </c>
      <c r="KF43" s="309">
        <v>0</v>
      </c>
      <c r="KG43" s="309">
        <v>0</v>
      </c>
      <c r="KH43" s="309">
        <v>0</v>
      </c>
      <c r="KI43" s="309">
        <v>0</v>
      </c>
      <c r="KJ43" s="309">
        <v>0</v>
      </c>
      <c r="KK43" s="309">
        <v>0</v>
      </c>
      <c r="KL43" s="308"/>
      <c r="KM43" s="308"/>
      <c r="KN43" s="337">
        <v>7041.8112573715034</v>
      </c>
      <c r="KO43" s="2105">
        <v>0.84533140929398509</v>
      </c>
      <c r="KP43" s="2105">
        <v>4.0937577431307481</v>
      </c>
      <c r="KQ43" s="2105">
        <v>5.7446401074309072</v>
      </c>
      <c r="KR43" s="2105">
        <v>9.5217977364354685</v>
      </c>
      <c r="KS43" s="337">
        <v>6825.0439242189314</v>
      </c>
      <c r="KT43" s="2105">
        <v>1.6450501189639932</v>
      </c>
      <c r="KU43" s="2105">
        <v>6.1938939483956981</v>
      </c>
      <c r="KV43" s="2105">
        <v>6.0557397973448959</v>
      </c>
      <c r="KW43" s="2105">
        <v>9.998356422155668</v>
      </c>
      <c r="KX43" s="308"/>
      <c r="KY43" s="309"/>
      <c r="KZ43" s="309"/>
      <c r="LA43" s="309"/>
      <c r="LB43" s="309"/>
      <c r="LC43" s="308">
        <v>13.25</v>
      </c>
      <c r="LD43" s="308"/>
      <c r="LE43" s="308"/>
      <c r="LF43" s="337">
        <v>150000</v>
      </c>
      <c r="LG43" s="337">
        <v>70000</v>
      </c>
      <c r="LH43" s="337"/>
      <c r="LI43" s="337">
        <f>SUM(LF43:LH43)</f>
        <v>220000</v>
      </c>
      <c r="LJ43" s="308"/>
      <c r="LK43" s="308"/>
      <c r="LL43" s="308"/>
      <c r="LM43" s="308"/>
      <c r="LN43" s="308"/>
      <c r="LO43" s="308"/>
      <c r="LP43" s="308"/>
      <c r="LQ43" s="308"/>
      <c r="LR43" s="308"/>
      <c r="LS43" s="308"/>
      <c r="LT43" s="308"/>
      <c r="LU43" s="308"/>
      <c r="LV43" s="308"/>
      <c r="LW43" s="308"/>
      <c r="LX43" s="308"/>
      <c r="LY43" s="308"/>
      <c r="LZ43" s="308"/>
      <c r="MA43" s="308"/>
      <c r="MB43" s="308"/>
      <c r="MC43" s="308"/>
      <c r="MD43" s="308"/>
      <c r="MF43" s="308"/>
      <c r="MG43" s="308"/>
      <c r="MH43" s="308"/>
      <c r="MI43" s="308"/>
      <c r="MJ43" s="308"/>
      <c r="MK43" s="308"/>
      <c r="ML43" s="308"/>
      <c r="MM43" s="308"/>
      <c r="MN43" s="308"/>
      <c r="MO43" s="308"/>
      <c r="MP43" s="308"/>
      <c r="MQ43" s="308"/>
      <c r="MR43" s="308"/>
      <c r="MS43" s="308"/>
      <c r="MT43" s="308"/>
      <c r="MU43" s="308"/>
      <c r="MV43" s="308"/>
      <c r="MW43" s="308"/>
      <c r="MX43" s="308"/>
      <c r="MY43" s="308"/>
      <c r="MZ43" s="308"/>
      <c r="NA43" s="308"/>
      <c r="NB43" s="308"/>
      <c r="NC43" s="308"/>
      <c r="ND43" s="308"/>
      <c r="NE43" s="308"/>
      <c r="NF43" s="308"/>
      <c r="NG43" s="308"/>
      <c r="NH43" s="308"/>
      <c r="NI43" s="308"/>
      <c r="NJ43" s="308"/>
      <c r="NK43" s="308"/>
      <c r="NL43" s="308"/>
      <c r="NM43" s="308"/>
      <c r="NN43" s="308"/>
      <c r="NO43" s="308"/>
      <c r="NP43" s="308"/>
      <c r="NQ43" s="308"/>
      <c r="NR43" s="308"/>
      <c r="NS43" s="308"/>
      <c r="NT43" s="308"/>
      <c r="NU43" s="308"/>
      <c r="NV43" s="308"/>
      <c r="NW43" s="308"/>
      <c r="NX43" s="308"/>
      <c r="NY43" s="308"/>
      <c r="NZ43" s="308"/>
      <c r="OA43" s="308"/>
      <c r="OB43" s="308"/>
      <c r="OC43" s="308"/>
      <c r="OD43" s="308"/>
      <c r="OE43" s="308"/>
      <c r="OF43" s="308"/>
      <c r="OG43" s="308"/>
      <c r="OH43" s="308"/>
      <c r="OI43" s="308"/>
      <c r="OJ43" s="308"/>
      <c r="OK43" s="308"/>
      <c r="OL43" s="308"/>
      <c r="OM43" s="308"/>
      <c r="ON43" s="308"/>
      <c r="OO43" s="308"/>
      <c r="OP43" s="308"/>
      <c r="OQ43" s="308"/>
      <c r="OR43" s="308"/>
      <c r="OS43" s="308"/>
      <c r="OT43" s="308"/>
      <c r="OU43" s="308"/>
      <c r="OV43" s="308"/>
      <c r="OW43" s="308"/>
      <c r="OX43" s="308"/>
      <c r="OY43" s="308"/>
      <c r="OZ43" s="308"/>
      <c r="PA43" s="308"/>
      <c r="PB43" s="308"/>
      <c r="PC43" s="308"/>
      <c r="PD43" s="308"/>
      <c r="PE43" s="308"/>
      <c r="PF43" s="308"/>
      <c r="PG43" s="308"/>
      <c r="PH43" s="308"/>
      <c r="PI43" s="308"/>
      <c r="PJ43" s="308"/>
      <c r="PK43" s="308"/>
      <c r="PL43" s="308"/>
      <c r="PM43" s="308"/>
      <c r="PN43" s="308"/>
      <c r="PO43" s="308"/>
      <c r="PP43" s="308"/>
      <c r="PQ43" s="308"/>
      <c r="PR43" s="308"/>
      <c r="PS43" s="308"/>
      <c r="PT43" s="308"/>
      <c r="PU43" s="308"/>
      <c r="PV43" s="308"/>
      <c r="PW43" s="308"/>
      <c r="PX43" s="308"/>
      <c r="PY43" s="308"/>
      <c r="PZ43" s="308"/>
      <c r="QA43" s="308"/>
      <c r="QB43" s="308"/>
      <c r="QC43" s="308"/>
      <c r="QD43" s="308"/>
      <c r="QE43" s="308"/>
      <c r="RW43" s="1073"/>
    </row>
    <row r="44" spans="1:500">
      <c r="A44" t="s">
        <v>208</v>
      </c>
      <c r="C44" s="38">
        <f>IFERROR(C42/C43,"")</f>
        <v>0.99278696675958189</v>
      </c>
      <c r="D44" s="38">
        <f>IFERROR(D42/D43,"")</f>
        <v>0.85157417241379318</v>
      </c>
      <c r="E44" s="38">
        <f>IFERROR(E42/E43,"")</f>
        <v>1.1658255956090355</v>
      </c>
      <c r="F44" s="38"/>
      <c r="G44" s="38"/>
      <c r="H44" s="38"/>
      <c r="I44" s="38"/>
      <c r="J44" s="38" t="str">
        <f t="shared" ref="J44:T44" si="176">IFERROR(J42/J43,"")</f>
        <v/>
      </c>
      <c r="K44" s="38" t="str">
        <f t="shared" si="176"/>
        <v/>
      </c>
      <c r="L44" s="38" t="str">
        <f t="shared" si="176"/>
        <v/>
      </c>
      <c r="M44" s="38" t="str">
        <f t="shared" si="176"/>
        <v/>
      </c>
      <c r="N44" s="38" t="str">
        <f t="shared" si="176"/>
        <v/>
      </c>
      <c r="O44" s="38">
        <f t="shared" si="176"/>
        <v>1.0931787695510202</v>
      </c>
      <c r="P44" s="38">
        <f t="shared" si="176"/>
        <v>0.87878760000000011</v>
      </c>
      <c r="Q44" s="38">
        <f t="shared" si="176"/>
        <v>1.2439624427461429</v>
      </c>
      <c r="R44" s="38" t="str">
        <f t="shared" si="176"/>
        <v/>
      </c>
      <c r="S44" s="1082">
        <f t="shared" si="176"/>
        <v>0.83232407371727746</v>
      </c>
      <c r="T44" s="38">
        <f t="shared" si="176"/>
        <v>0.55527925599999983</v>
      </c>
      <c r="U44" s="1081">
        <f t="shared" si="12"/>
        <v>1.4989288087456984</v>
      </c>
      <c r="V44" s="38" t="str">
        <f t="shared" ref="V44:AA44" si="177">IFERROR(V42/V43,"")</f>
        <v/>
      </c>
      <c r="W44" s="38">
        <f t="shared" si="177"/>
        <v>0.88976712900000021</v>
      </c>
      <c r="X44" s="38">
        <f t="shared" si="177"/>
        <v>1.0062264184615384</v>
      </c>
      <c r="Y44" s="38">
        <f t="shared" si="177"/>
        <v>0.88426134781911425</v>
      </c>
      <c r="Z44" s="38" t="str">
        <f t="shared" si="177"/>
        <v/>
      </c>
      <c r="AA44" s="38" t="str">
        <f t="shared" si="177"/>
        <v/>
      </c>
      <c r="AB44" s="72" t="str">
        <f>BP44</f>
        <v/>
      </c>
      <c r="AC44" s="38" t="str">
        <f>IFERROR(AC42/AC43,"")</f>
        <v/>
      </c>
      <c r="AD44" s="38"/>
      <c r="AE44" s="38" t="str">
        <f t="shared" ref="AE44:BN44" si="178">IFERROR(AE42/AE43,"")</f>
        <v/>
      </c>
      <c r="AF44" s="38" t="str">
        <f t="shared" si="178"/>
        <v/>
      </c>
      <c r="AG44" s="38" t="str">
        <f t="shared" si="178"/>
        <v/>
      </c>
      <c r="AH44" s="38" t="str">
        <f t="shared" si="178"/>
        <v/>
      </c>
      <c r="AI44" s="38" t="str">
        <f t="shared" si="178"/>
        <v/>
      </c>
      <c r="AJ44" s="38" t="str">
        <f t="shared" si="178"/>
        <v/>
      </c>
      <c r="AK44" s="38" t="str">
        <f t="shared" si="178"/>
        <v/>
      </c>
      <c r="AL44" s="38" t="str">
        <f t="shared" si="178"/>
        <v/>
      </c>
      <c r="AM44" s="38" t="str">
        <f t="shared" si="178"/>
        <v/>
      </c>
      <c r="AN44" s="38" t="str">
        <f t="shared" si="178"/>
        <v/>
      </c>
      <c r="AO44" s="38" t="str">
        <f t="shared" si="178"/>
        <v/>
      </c>
      <c r="AP44" s="38" t="str">
        <f t="shared" si="178"/>
        <v/>
      </c>
      <c r="AQ44" s="38" t="str">
        <f t="shared" si="178"/>
        <v/>
      </c>
      <c r="AR44" s="38" t="str">
        <f t="shared" si="178"/>
        <v/>
      </c>
      <c r="AS44" s="38" t="str">
        <f t="shared" si="178"/>
        <v/>
      </c>
      <c r="AT44" s="38" t="str">
        <f t="shared" si="178"/>
        <v/>
      </c>
      <c r="AU44" s="38" t="str">
        <f t="shared" si="178"/>
        <v/>
      </c>
      <c r="AV44" s="38" t="str">
        <f t="shared" si="178"/>
        <v/>
      </c>
      <c r="AW44" s="38">
        <f t="shared" si="178"/>
        <v>1.0712824283032489</v>
      </c>
      <c r="AX44" s="38">
        <f t="shared" si="178"/>
        <v>0.9724586956521738</v>
      </c>
      <c r="AY44" s="38">
        <f t="shared" si="178"/>
        <v>1.0461169561589148</v>
      </c>
      <c r="AZ44" s="38" t="str">
        <f t="shared" si="178"/>
        <v/>
      </c>
      <c r="BA44" s="38" t="str">
        <f t="shared" si="178"/>
        <v/>
      </c>
      <c r="BB44" s="38" t="str">
        <f t="shared" si="178"/>
        <v/>
      </c>
      <c r="BC44" s="38">
        <f t="shared" si="178"/>
        <v>1.12165429314554</v>
      </c>
      <c r="BD44" s="38">
        <f t="shared" si="178"/>
        <v>0.69925133333333334</v>
      </c>
      <c r="BE44" s="38">
        <f t="shared" si="178"/>
        <v>1.6095524405733632</v>
      </c>
      <c r="BF44" s="38" t="str">
        <f t="shared" si="178"/>
        <v/>
      </c>
      <c r="BG44" s="38" t="str">
        <f t="shared" si="178"/>
        <v/>
      </c>
      <c r="BH44" s="38" t="str">
        <f t="shared" si="178"/>
        <v/>
      </c>
      <c r="BI44" s="38" t="str">
        <f t="shared" si="178"/>
        <v/>
      </c>
      <c r="BJ44" s="38" t="str">
        <f t="shared" si="178"/>
        <v/>
      </c>
      <c r="BK44" s="38" t="str">
        <f t="shared" si="178"/>
        <v/>
      </c>
      <c r="BL44" s="38">
        <f t="shared" si="178"/>
        <v>0.83232407371727746</v>
      </c>
      <c r="BM44" s="38">
        <f t="shared" si="178"/>
        <v>0.55527925599999983</v>
      </c>
      <c r="BN44" s="38">
        <f t="shared" si="178"/>
        <v>1.6464164410321036</v>
      </c>
      <c r="BO44" s="38" t="str">
        <f>IFERROR(BO42/BP43,"")</f>
        <v/>
      </c>
      <c r="BP44" s="38" t="str">
        <f>IFERROR(BP42/#REF!,"")</f>
        <v/>
      </c>
      <c r="BQ44" s="38" t="str">
        <f t="shared" ref="BQ44:CQ44" si="179">IFERROR(BQ42/BQ43,"")</f>
        <v/>
      </c>
      <c r="BR44" s="38" t="str">
        <f t="shared" si="179"/>
        <v/>
      </c>
      <c r="BS44" s="38" t="str">
        <f t="shared" si="179"/>
        <v/>
      </c>
      <c r="BT44" s="38" t="str">
        <f t="shared" si="179"/>
        <v/>
      </c>
      <c r="BU44" s="38">
        <f t="shared" si="179"/>
        <v>0.88976712900000021</v>
      </c>
      <c r="BV44" s="38">
        <f t="shared" si="179"/>
        <v>1.0062264184615384</v>
      </c>
      <c r="BW44" s="38">
        <f t="shared" si="179"/>
        <v>0.98821889702500976</v>
      </c>
      <c r="BX44" s="38" t="str">
        <f t="shared" si="179"/>
        <v/>
      </c>
      <c r="BY44" s="38" t="str">
        <f t="shared" si="179"/>
        <v/>
      </c>
      <c r="BZ44" s="38" t="str">
        <f t="shared" si="179"/>
        <v/>
      </c>
      <c r="CA44" s="38" t="str">
        <f t="shared" si="179"/>
        <v/>
      </c>
      <c r="CB44" s="38" t="str">
        <f t="shared" si="179"/>
        <v/>
      </c>
      <c r="CC44" s="38" t="str">
        <f t="shared" si="179"/>
        <v/>
      </c>
      <c r="CD44" s="38" t="str">
        <f t="shared" si="179"/>
        <v/>
      </c>
      <c r="CE44" s="38" t="str">
        <f t="shared" si="179"/>
        <v/>
      </c>
      <c r="CF44" s="38" t="str">
        <f t="shared" si="179"/>
        <v/>
      </c>
      <c r="CG44" s="38" t="str">
        <f t="shared" si="179"/>
        <v/>
      </c>
      <c r="CH44" s="38">
        <f t="shared" si="179"/>
        <v>9.5785271893219434E-2</v>
      </c>
      <c r="CI44" s="38">
        <f t="shared" si="179"/>
        <v>0</v>
      </c>
      <c r="CJ44" s="38" t="str">
        <f t="shared" si="179"/>
        <v/>
      </c>
      <c r="CK44" s="38">
        <f t="shared" si="179"/>
        <v>0</v>
      </c>
      <c r="CL44" s="38" t="str">
        <f t="shared" si="179"/>
        <v/>
      </c>
      <c r="CM44" s="38">
        <f t="shared" si="179"/>
        <v>0.12931167479302941</v>
      </c>
      <c r="CN44" s="38" t="str">
        <f t="shared" si="179"/>
        <v/>
      </c>
      <c r="CO44" s="38" t="str">
        <f t="shared" si="179"/>
        <v/>
      </c>
      <c r="CP44" s="38" t="str">
        <f t="shared" si="179"/>
        <v/>
      </c>
      <c r="CQ44" s="38" t="str">
        <f t="shared" si="179"/>
        <v/>
      </c>
      <c r="CR44" s="38"/>
      <c r="CS44" s="38" t="str">
        <f>IFERROR(CS42/CS43,"")</f>
        <v/>
      </c>
      <c r="CT44" s="38"/>
      <c r="CU44" s="38" t="str">
        <f>IFERROR(CU42/CU43,"")</f>
        <v/>
      </c>
      <c r="CV44" s="38"/>
      <c r="CW44" s="38" t="str">
        <f>IFERROR(CW42/CW43,"")</f>
        <v/>
      </c>
      <c r="CX44" s="38"/>
      <c r="CY44" s="38" t="str">
        <f>IFERROR(CY42/CY43,"")</f>
        <v/>
      </c>
      <c r="CZ44" s="38"/>
      <c r="DA44" s="38" t="str">
        <f>IFERROR(DA42/DA43,"")</f>
        <v/>
      </c>
      <c r="DB44" s="38"/>
      <c r="DC44" s="38" t="str">
        <f>IFERROR(DC42/DC43,"")</f>
        <v/>
      </c>
      <c r="DD44" s="38" t="str">
        <f>IFERROR(DD42/DD43,"")</f>
        <v/>
      </c>
      <c r="DE44" s="38" t="str">
        <f>IFERROR(DE42/DE43,"")</f>
        <v/>
      </c>
      <c r="DF44" s="38"/>
      <c r="DG44" s="38" t="str">
        <f>IFERROR(DG42/DG43,"")</f>
        <v/>
      </c>
      <c r="DH44" s="38"/>
      <c r="DI44" s="38" t="str">
        <f>IFERROR(DI42/DI43,"")</f>
        <v/>
      </c>
      <c r="DJ44" s="38"/>
      <c r="DK44" s="38" t="str">
        <f>IFERROR(DK42/DK43,"")</f>
        <v/>
      </c>
      <c r="DL44" s="38"/>
      <c r="DM44" s="38" t="str">
        <f>IFERROR(DM42/DM43,"")</f>
        <v/>
      </c>
      <c r="DN44" s="38"/>
      <c r="DO44" s="38" t="str">
        <f>IFERROR(DO42/DO43,"")</f>
        <v/>
      </c>
      <c r="DP44" s="38"/>
      <c r="DQ44" s="38" t="str">
        <f>IFERROR(DQ42/DQ43,"")</f>
        <v/>
      </c>
      <c r="DR44" s="38" t="str">
        <f>IFERROR(DR42/DR43,"")</f>
        <v/>
      </c>
      <c r="DS44" s="38"/>
      <c r="DT44" s="38" t="str">
        <f>IFERROR(DT42/DT43,"")</f>
        <v/>
      </c>
      <c r="DU44" s="38"/>
      <c r="DV44" s="38" t="str">
        <f>IFERROR(DV42/DV43,"")</f>
        <v/>
      </c>
      <c r="DW44" s="38"/>
      <c r="DX44" s="38" t="str">
        <f>IFERROR(DX42/DX43,"")</f>
        <v/>
      </c>
      <c r="DY44" s="38"/>
      <c r="DZ44" s="38" t="str">
        <f>IFERROR(DZ42/DZ43,"")</f>
        <v/>
      </c>
      <c r="EA44" s="38"/>
      <c r="EB44" s="38" t="str">
        <f>IFERROR(EB42/EB43,"")</f>
        <v/>
      </c>
      <c r="EC44" s="38"/>
      <c r="ED44" s="38" t="str">
        <f>IFERROR(ED42/ED43,"")</f>
        <v/>
      </c>
      <c r="EE44" s="38" t="str">
        <f>IFERROR(EE42/EE43,"")</f>
        <v/>
      </c>
      <c r="EF44" s="38"/>
      <c r="EG44" s="38"/>
      <c r="EH44" s="38"/>
      <c r="EI44" s="38" t="str">
        <f>IFERROR(EI42/EI43,"")</f>
        <v/>
      </c>
      <c r="EJ44" s="38"/>
      <c r="EK44" s="38" t="str">
        <f>IFERROR(EK42/EK43,"")</f>
        <v/>
      </c>
      <c r="EL44" s="38"/>
      <c r="EM44" s="38" t="str">
        <f>IFERROR(EM42/EM43,"")</f>
        <v/>
      </c>
      <c r="EN44" s="38"/>
      <c r="EO44" s="38" t="str">
        <f>IFERROR(EO42/EO43,"")</f>
        <v/>
      </c>
      <c r="EP44" s="38"/>
      <c r="EQ44" s="38" t="str">
        <f>IFERROR(EQ42/EQ43,"")</f>
        <v/>
      </c>
      <c r="ER44" s="38" t="str">
        <f>IFERROR(ER42/ER43,"")</f>
        <v/>
      </c>
      <c r="ES44" s="38" t="str">
        <f>IFERROR(ES42/ES43,"")</f>
        <v/>
      </c>
      <c r="ET44" s="38" t="str">
        <f>IFERROR(ET42/ET43,"")</f>
        <v/>
      </c>
      <c r="EU44" s="38" t="str">
        <f t="shared" ref="EU44:FU44" si="180">IFERROR(EU42/EU43,"")</f>
        <v/>
      </c>
      <c r="EV44" s="38" t="str">
        <f t="shared" si="180"/>
        <v/>
      </c>
      <c r="EW44" s="38" t="str">
        <f t="shared" si="180"/>
        <v/>
      </c>
      <c r="EX44" s="38" t="str">
        <f t="shared" si="180"/>
        <v/>
      </c>
      <c r="EY44" s="38" t="str">
        <f t="shared" si="180"/>
        <v/>
      </c>
      <c r="EZ44" s="38" t="str">
        <f t="shared" si="180"/>
        <v/>
      </c>
      <c r="FA44" s="38" t="str">
        <f t="shared" si="180"/>
        <v/>
      </c>
      <c r="FB44" s="38" t="str">
        <f t="shared" si="180"/>
        <v/>
      </c>
      <c r="FC44" s="38" t="str">
        <f t="shared" si="180"/>
        <v/>
      </c>
      <c r="FD44" s="38" t="str">
        <f t="shared" si="180"/>
        <v/>
      </c>
      <c r="FE44" s="38" t="str">
        <f t="shared" si="180"/>
        <v/>
      </c>
      <c r="FF44" s="38" t="str">
        <f t="shared" si="180"/>
        <v/>
      </c>
      <c r="FG44" s="38" t="str">
        <f t="shared" si="180"/>
        <v/>
      </c>
      <c r="FH44" s="38" t="str">
        <f t="shared" si="180"/>
        <v/>
      </c>
      <c r="FI44" s="38" t="str">
        <f t="shared" si="180"/>
        <v/>
      </c>
      <c r="FJ44" s="38" t="str">
        <f t="shared" si="180"/>
        <v/>
      </c>
      <c r="FK44" s="38" t="str">
        <f t="shared" si="180"/>
        <v/>
      </c>
      <c r="FL44" s="38" t="str">
        <f t="shared" si="180"/>
        <v/>
      </c>
      <c r="FM44" s="38" t="str">
        <f t="shared" si="180"/>
        <v/>
      </c>
      <c r="FN44" s="38" t="str">
        <f t="shared" si="180"/>
        <v/>
      </c>
      <c r="FO44" s="38" t="str">
        <f t="shared" si="180"/>
        <v/>
      </c>
      <c r="FP44" s="38" t="str">
        <f t="shared" si="180"/>
        <v/>
      </c>
      <c r="FQ44" s="38" t="str">
        <f t="shared" si="180"/>
        <v/>
      </c>
      <c r="FR44" s="38" t="str">
        <f t="shared" si="180"/>
        <v/>
      </c>
      <c r="FS44" s="38" t="str">
        <f t="shared" si="180"/>
        <v/>
      </c>
      <c r="FT44" s="38" t="str">
        <f t="shared" si="180"/>
        <v/>
      </c>
      <c r="FU44" s="38" t="str">
        <f t="shared" si="180"/>
        <v/>
      </c>
      <c r="FV44" s="38"/>
      <c r="FW44" s="38" t="str">
        <f>IFERROR(FW42/FW43,"")</f>
        <v/>
      </c>
      <c r="FX44" s="38"/>
      <c r="FY44" s="38" t="str">
        <f>IFERROR(FY42/FY43,"")</f>
        <v/>
      </c>
      <c r="FZ44" s="38"/>
      <c r="GA44" s="38" t="str">
        <f>IFERROR(GA42/GA43,"")</f>
        <v/>
      </c>
      <c r="GB44" s="38"/>
      <c r="GC44" s="38" t="str">
        <f>IFERROR(GC42/GC43,"")</f>
        <v/>
      </c>
      <c r="GD44" s="38"/>
      <c r="GE44" s="38" t="str">
        <f>IFERROR(GE42/GE43,"")</f>
        <v/>
      </c>
      <c r="GF44" s="38"/>
      <c r="GG44" s="38" t="str">
        <f t="shared" ref="GG44:GW44" si="181">IFERROR(GG42/GG43,"")</f>
        <v/>
      </c>
      <c r="GH44" s="38" t="str">
        <f t="shared" si="181"/>
        <v/>
      </c>
      <c r="GI44" s="38" t="str">
        <f t="shared" si="181"/>
        <v/>
      </c>
      <c r="GJ44" s="38">
        <f t="shared" si="181"/>
        <v>1.0906681848372377</v>
      </c>
      <c r="GK44" s="38">
        <f t="shared" si="181"/>
        <v>1.3135152326357373</v>
      </c>
      <c r="GL44" s="38">
        <f t="shared" si="181"/>
        <v>0.74944662943464968</v>
      </c>
      <c r="GM44" s="38">
        <f t="shared" si="181"/>
        <v>1.04148872</v>
      </c>
      <c r="GN44" s="38" t="str">
        <f t="shared" si="181"/>
        <v/>
      </c>
      <c r="GO44" s="38" t="str">
        <f t="shared" si="181"/>
        <v/>
      </c>
      <c r="GP44" s="38" t="str">
        <f t="shared" si="181"/>
        <v/>
      </c>
      <c r="GQ44" s="38" t="str">
        <f t="shared" si="181"/>
        <v/>
      </c>
      <c r="GR44" s="38" t="str">
        <f t="shared" si="181"/>
        <v/>
      </c>
      <c r="GS44" s="38" t="str">
        <f t="shared" si="181"/>
        <v/>
      </c>
      <c r="GT44" s="38" t="str">
        <f t="shared" si="181"/>
        <v/>
      </c>
      <c r="GU44" s="38" t="str">
        <f t="shared" si="181"/>
        <v/>
      </c>
      <c r="GV44" s="38" t="str">
        <f t="shared" si="181"/>
        <v/>
      </c>
      <c r="GW44" s="38" t="str">
        <f t="shared" si="181"/>
        <v/>
      </c>
      <c r="GX44" s="72"/>
      <c r="GY44" s="38"/>
      <c r="GZ44" s="38" t="str">
        <f>IFERROR(GZ42/GZ43,"")</f>
        <v/>
      </c>
      <c r="HA44" s="38"/>
      <c r="HB44" s="38" t="str">
        <f>IFERROR(HB42/HB43,"")</f>
        <v/>
      </c>
      <c r="HC44" s="38"/>
      <c r="HD44" s="38" t="str">
        <f>IFERROR(HD42/HD43,"")</f>
        <v/>
      </c>
      <c r="HE44" s="38"/>
      <c r="HF44" s="38" t="str">
        <f>IFERROR(HF42/HF43,"")</f>
        <v/>
      </c>
      <c r="HG44" s="38"/>
      <c r="HH44" s="38" t="str">
        <f>IFERROR(HH42/HH43,"")</f>
        <v/>
      </c>
      <c r="HI44" s="38"/>
      <c r="HJ44" s="38" t="str">
        <f>IFERROR(HJ42/HJ43,"")</f>
        <v/>
      </c>
      <c r="HK44" s="38" t="str">
        <f>IFERROR(HK42/HK43,"")</f>
        <v/>
      </c>
      <c r="HL44" s="38" t="str">
        <f>IFERROR(HL42/HL43,"")</f>
        <v/>
      </c>
      <c r="HM44" s="38"/>
      <c r="HN44" s="38"/>
      <c r="HO44" s="38"/>
      <c r="HP44" s="38"/>
      <c r="HQ44" s="38"/>
      <c r="HR44" s="38"/>
      <c r="HS44" s="38"/>
      <c r="HT44" s="38"/>
      <c r="HU44" s="38"/>
      <c r="HV44" s="38"/>
      <c r="HW44" s="38"/>
      <c r="HX44" s="38"/>
      <c r="HY44" s="38"/>
      <c r="HZ44" s="38"/>
      <c r="IA44" s="38"/>
      <c r="IB44" s="38" t="str">
        <f>IFERROR(IB42/IB43,"")</f>
        <v/>
      </c>
      <c r="IC44" s="38"/>
      <c r="ID44" s="38" t="str">
        <f>IFERROR(ID42/ID43,"")</f>
        <v/>
      </c>
      <c r="IE44" s="38"/>
      <c r="IF44" s="38" t="str">
        <f>IFERROR(IF42/IF43,"")</f>
        <v/>
      </c>
      <c r="IG44" s="38"/>
      <c r="IH44" s="38" t="str">
        <f>IFERROR(IH42/IH43,"")</f>
        <v/>
      </c>
      <c r="II44" s="38"/>
      <c r="IJ44" s="38" t="str">
        <f>IFERROR(IJ42/IJ43,"")</f>
        <v/>
      </c>
      <c r="IK44" s="38"/>
      <c r="IL44" s="38" t="str">
        <f>IFERROR(IL42/IL43,"")</f>
        <v/>
      </c>
      <c r="IM44" s="38"/>
      <c r="IN44" s="38" t="str">
        <f>IFERROR(IN42/IN43,"")</f>
        <v/>
      </c>
      <c r="IO44" s="38" t="str">
        <f>IFERROR(IO42/IO43,"")</f>
        <v/>
      </c>
      <c r="IP44" s="38" t="str">
        <f>IFERROR(IP42/IP43,"")</f>
        <v/>
      </c>
      <c r="IQ44" s="38"/>
      <c r="IR44" s="38"/>
      <c r="IS44" s="38" t="str">
        <f>IFERROR(IS42/IS43,"")</f>
        <v/>
      </c>
      <c r="IT44" s="38"/>
      <c r="IU44" s="38" t="str">
        <f>IFERROR(IU42/IU43,"")</f>
        <v/>
      </c>
      <c r="IV44" s="38"/>
      <c r="IW44" s="38" t="str">
        <f>IFERROR(IW42/IW43,"")</f>
        <v/>
      </c>
      <c r="IX44" s="38"/>
      <c r="IY44" s="38" t="str">
        <f>IFERROR(IY42/IY43,"")</f>
        <v/>
      </c>
      <c r="IZ44" s="38"/>
      <c r="JA44" s="38" t="str">
        <f>IFERROR(JA42/JA43,"")</f>
        <v/>
      </c>
      <c r="JB44" s="38"/>
      <c r="JC44" s="38" t="str">
        <f t="shared" ref="JC44:JM44" si="182">IFERROR(JC42/JC43,"")</f>
        <v/>
      </c>
      <c r="JD44" s="38" t="str">
        <f t="shared" si="182"/>
        <v/>
      </c>
      <c r="JE44" s="38" t="str">
        <f t="shared" si="182"/>
        <v/>
      </c>
      <c r="JF44" s="38" t="str">
        <f t="shared" si="182"/>
        <v/>
      </c>
      <c r="JG44" s="38" t="str">
        <f t="shared" si="182"/>
        <v/>
      </c>
      <c r="JH44" s="1973">
        <f t="shared" si="182"/>
        <v>0.87085976470588256</v>
      </c>
      <c r="JI44" s="1973">
        <f t="shared" si="182"/>
        <v>1.40407525</v>
      </c>
      <c r="JJ44" s="1973" t="str">
        <f t="shared" si="182"/>
        <v/>
      </c>
      <c r="JK44" s="1973">
        <f t="shared" si="182"/>
        <v>1.04148872</v>
      </c>
      <c r="JL44" s="38" t="str">
        <f t="shared" si="182"/>
        <v/>
      </c>
      <c r="JM44" s="38" t="str">
        <f t="shared" si="182"/>
        <v/>
      </c>
      <c r="JN44" s="38">
        <f t="shared" ref="JN44:KK44" si="183">IFERROR(IF(1-ABS(1-(JN42/JN43))&lt;0,0,1-ABS(1-(JN42/JN43))),0)</f>
        <v>0</v>
      </c>
      <c r="JO44" s="38">
        <f t="shared" si="183"/>
        <v>0</v>
      </c>
      <c r="JP44" s="38">
        <f t="shared" si="183"/>
        <v>0</v>
      </c>
      <c r="JQ44" s="38">
        <f t="shared" si="183"/>
        <v>0</v>
      </c>
      <c r="JR44" s="38">
        <f t="shared" si="183"/>
        <v>0</v>
      </c>
      <c r="JS44" s="38">
        <f t="shared" si="183"/>
        <v>0</v>
      </c>
      <c r="JT44" s="38">
        <f t="shared" si="183"/>
        <v>0</v>
      </c>
      <c r="JU44" s="38">
        <f t="shared" si="183"/>
        <v>0</v>
      </c>
      <c r="JV44" s="38">
        <f t="shared" si="183"/>
        <v>0</v>
      </c>
      <c r="JW44" s="38">
        <f t="shared" si="183"/>
        <v>0</v>
      </c>
      <c r="JX44" s="38">
        <f t="shared" si="183"/>
        <v>0</v>
      </c>
      <c r="JY44" s="38">
        <f t="shared" si="183"/>
        <v>0</v>
      </c>
      <c r="JZ44" s="38">
        <f t="shared" si="183"/>
        <v>0</v>
      </c>
      <c r="KA44" s="38">
        <f t="shared" si="183"/>
        <v>0</v>
      </c>
      <c r="KB44" s="38">
        <f t="shared" si="183"/>
        <v>0</v>
      </c>
      <c r="KC44" s="38">
        <f t="shared" si="183"/>
        <v>0</v>
      </c>
      <c r="KD44" s="38">
        <f t="shared" si="183"/>
        <v>0</v>
      </c>
      <c r="KE44" s="38">
        <f t="shared" si="183"/>
        <v>0</v>
      </c>
      <c r="KF44" s="38">
        <f t="shared" si="183"/>
        <v>0</v>
      </c>
      <c r="KG44" s="38">
        <f t="shared" si="183"/>
        <v>0</v>
      </c>
      <c r="KH44" s="38">
        <f t="shared" si="183"/>
        <v>0</v>
      </c>
      <c r="KI44" s="38">
        <f t="shared" si="183"/>
        <v>0</v>
      </c>
      <c r="KJ44" s="38">
        <f t="shared" si="183"/>
        <v>0</v>
      </c>
      <c r="KK44" s="38">
        <f t="shared" si="183"/>
        <v>0</v>
      </c>
      <c r="KL44" s="38" t="str">
        <f t="shared" ref="KL44:LE44" si="184">IFERROR(KL42/KL43,"")</f>
        <v/>
      </c>
      <c r="KM44" s="38" t="str">
        <f t="shared" si="184"/>
        <v/>
      </c>
      <c r="KN44" s="38">
        <f t="shared" si="184"/>
        <v>0.99743303618580004</v>
      </c>
      <c r="KO44" s="38">
        <f t="shared" si="184"/>
        <v>1.007735778913736</v>
      </c>
      <c r="KP44" s="38">
        <f t="shared" si="184"/>
        <v>0.72589444785272217</v>
      </c>
      <c r="KQ44" s="38">
        <f t="shared" si="184"/>
        <v>1.1862616622026405</v>
      </c>
      <c r="KR44" s="38">
        <f t="shared" si="184"/>
        <v>1.1109951059737095</v>
      </c>
      <c r="KS44" s="38">
        <f t="shared" si="184"/>
        <v>0.99599016732037005</v>
      </c>
      <c r="KT44" s="38">
        <f t="shared" si="184"/>
        <v>1.2020130124091211</v>
      </c>
      <c r="KU44" s="38">
        <f t="shared" si="184"/>
        <v>1.2635726991216873</v>
      </c>
      <c r="KV44" s="38">
        <f t="shared" si="184"/>
        <v>0.87864905426965978</v>
      </c>
      <c r="KW44" s="38">
        <f t="shared" si="184"/>
        <v>0.90137883891507886</v>
      </c>
      <c r="KX44" s="38" t="str">
        <f t="shared" si="184"/>
        <v/>
      </c>
      <c r="KY44" s="38" t="str">
        <f t="shared" si="184"/>
        <v/>
      </c>
      <c r="KZ44" s="38" t="str">
        <f t="shared" si="184"/>
        <v/>
      </c>
      <c r="LA44" s="38" t="str">
        <f t="shared" si="184"/>
        <v/>
      </c>
      <c r="LB44" s="38" t="str">
        <f t="shared" si="184"/>
        <v/>
      </c>
      <c r="LC44" s="38">
        <f t="shared" si="184"/>
        <v>0</v>
      </c>
      <c r="LD44" s="38" t="str">
        <f t="shared" si="184"/>
        <v/>
      </c>
      <c r="LE44" s="38" t="str">
        <f t="shared" si="184"/>
        <v/>
      </c>
      <c r="LF44" s="38"/>
      <c r="LG44" s="38"/>
      <c r="LH44" s="38"/>
      <c r="LI44" s="38"/>
      <c r="LJ44" s="38"/>
      <c r="LK44" s="38"/>
      <c r="LL44" s="38" t="str">
        <f t="shared" ref="LL44:LQ44" si="185">IFERROR(LL42/LL43,"")</f>
        <v/>
      </c>
      <c r="LM44" s="38" t="str">
        <f t="shared" si="185"/>
        <v/>
      </c>
      <c r="LN44" s="38" t="str">
        <f t="shared" si="185"/>
        <v/>
      </c>
      <c r="LO44" s="38" t="str">
        <f t="shared" si="185"/>
        <v/>
      </c>
      <c r="LP44" s="38" t="str">
        <f t="shared" si="185"/>
        <v/>
      </c>
      <c r="LQ44" s="38" t="str">
        <f t="shared" si="185"/>
        <v/>
      </c>
      <c r="LR44" s="38"/>
      <c r="LS44" s="38" t="str">
        <f>IFERROR(LS42/LS43,"")</f>
        <v/>
      </c>
      <c r="LT44" s="38" t="str">
        <f>IFERROR(LT42/LT43,"")</f>
        <v/>
      </c>
      <c r="LU44" s="38" t="str">
        <f>IFERROR(LU42/LU43,"")</f>
        <v/>
      </c>
      <c r="LV44" s="38" t="str">
        <f>IFERROR(LV42/LV43,"")</f>
        <v/>
      </c>
      <c r="LW44" s="38" t="str">
        <f>IFERROR(LW42/LW43,"")</f>
        <v/>
      </c>
      <c r="LX44" s="38"/>
      <c r="LY44" s="38" t="str">
        <f>IFERROR(LY42/LY43,"")</f>
        <v/>
      </c>
      <c r="LZ44" s="38" t="str">
        <f>IFERROR(LZ42/LZ43,"")</f>
        <v/>
      </c>
      <c r="MA44" s="38"/>
      <c r="MB44" s="38" t="str">
        <f>IFERROR(MB42/MB43,"")</f>
        <v/>
      </c>
      <c r="MC44" s="38" t="str">
        <f>IFERROR(MC42/MC43,"")</f>
        <v/>
      </c>
      <c r="MD44" s="38"/>
      <c r="ME44" s="38"/>
      <c r="MF44" s="38" t="str">
        <f>IFERROR(MF42/MF43,"")</f>
        <v/>
      </c>
      <c r="MG44" s="38" t="str">
        <f>IFERROR(MG42/MG43,"")</f>
        <v/>
      </c>
      <c r="MH44" s="38" t="str">
        <f>IFERROR(MH42/MH43,"")</f>
        <v/>
      </c>
      <c r="MI44" s="38" t="str">
        <f>IFERROR(MI42/MI43,"")</f>
        <v/>
      </c>
      <c r="MJ44" s="38"/>
      <c r="MK44" s="38" t="str">
        <f>IFERROR(MK42/MK43,"")</f>
        <v/>
      </c>
      <c r="ML44" s="38" t="str">
        <f>IFERROR(ML42/ML43,"")</f>
        <v/>
      </c>
      <c r="MM44" s="38" t="str">
        <f>IFERROR(MM42/MM43,"")</f>
        <v/>
      </c>
      <c r="MN44" s="38" t="str">
        <f>IFERROR(MN42/MN43,"")</f>
        <v/>
      </c>
      <c r="MO44" s="38" t="str">
        <f>IFERROR(MO42/MO43,"")</f>
        <v/>
      </c>
      <c r="MP44" s="38"/>
      <c r="MQ44" s="38" t="str">
        <f t="shared" ref="MQ44:NB44" si="186">IFERROR(MQ42/MQ43,"")</f>
        <v/>
      </c>
      <c r="MR44" s="38" t="str">
        <f t="shared" si="186"/>
        <v/>
      </c>
      <c r="MS44" s="38" t="str">
        <f t="shared" si="186"/>
        <v/>
      </c>
      <c r="MT44" s="38" t="str">
        <f t="shared" si="186"/>
        <v/>
      </c>
      <c r="MU44" s="38" t="str">
        <f t="shared" si="186"/>
        <v/>
      </c>
      <c r="MV44" s="38" t="str">
        <f t="shared" si="186"/>
        <v/>
      </c>
      <c r="MW44" s="38" t="str">
        <f t="shared" si="186"/>
        <v/>
      </c>
      <c r="MX44" s="38" t="str">
        <f t="shared" si="186"/>
        <v/>
      </c>
      <c r="MY44" s="38" t="str">
        <f t="shared" si="186"/>
        <v/>
      </c>
      <c r="MZ44" s="38" t="str">
        <f t="shared" si="186"/>
        <v/>
      </c>
      <c r="NA44" s="38" t="str">
        <f t="shared" si="186"/>
        <v/>
      </c>
      <c r="NB44" s="38" t="str">
        <f t="shared" si="186"/>
        <v/>
      </c>
      <c r="NC44" s="38"/>
      <c r="ND44" s="38" t="str">
        <f>IFERROR(ND42/ND43,"")</f>
        <v/>
      </c>
      <c r="NE44" s="38" t="str">
        <f>IFERROR(NE42/NE43,"")</f>
        <v/>
      </c>
      <c r="NF44" s="38" t="str">
        <f>IFERROR(NF42/NF43,"")</f>
        <v/>
      </c>
      <c r="NG44" s="38"/>
      <c r="NH44" s="38" t="str">
        <f>IFERROR(NH42/NH43,"")</f>
        <v/>
      </c>
      <c r="NI44" s="38"/>
      <c r="NJ44" s="38" t="str">
        <f>IFERROR(NJ42/NJ43,"")</f>
        <v/>
      </c>
      <c r="NK44" s="38"/>
      <c r="NL44" s="38" t="str">
        <f>IFERROR(NL42/NL43,"")</f>
        <v/>
      </c>
      <c r="NM44" s="38"/>
      <c r="NN44" s="38" t="str">
        <f>IFERROR(NN42/NN43,"")</f>
        <v/>
      </c>
      <c r="NO44" s="38"/>
      <c r="NP44" s="38" t="str">
        <f>IFERROR(NP42/NP43,"")</f>
        <v/>
      </c>
      <c r="NQ44" s="38"/>
      <c r="NR44" s="38" t="str">
        <f>IFERROR(NR42/NR43,"")</f>
        <v/>
      </c>
      <c r="NS44" s="38" t="str">
        <f>IFERROR(NS42/NS43,"")</f>
        <v/>
      </c>
      <c r="NT44" s="38"/>
      <c r="NU44" s="38" t="str">
        <f>IFERROR(NU42/NU43,"")</f>
        <v/>
      </c>
      <c r="NV44" s="38"/>
      <c r="NW44" s="38" t="str">
        <f>IFERROR(NW42/NW43,"")</f>
        <v/>
      </c>
      <c r="NX44" s="38"/>
      <c r="NY44" s="38" t="str">
        <f>IFERROR(NY42/NY43,"")</f>
        <v/>
      </c>
      <c r="NZ44" s="38"/>
      <c r="OA44" s="38" t="str">
        <f>IFERROR(OA42/OA43,"")</f>
        <v/>
      </c>
      <c r="OB44" s="38"/>
      <c r="OC44" s="38" t="str">
        <f>IFERROR(OC42/OC43,"")</f>
        <v/>
      </c>
      <c r="OD44" s="38"/>
      <c r="OE44" s="38" t="str">
        <f>IFERROR(OE42/OE43,"")</f>
        <v/>
      </c>
      <c r="OF44" s="38" t="str">
        <f>IFERROR(OF42/OF43,"")</f>
        <v/>
      </c>
      <c r="OG44" s="38"/>
      <c r="OH44" s="38" t="str">
        <f>IFERROR(OH42/OH43,"")</f>
        <v/>
      </c>
      <c r="OI44" s="38"/>
      <c r="OJ44" s="38" t="str">
        <f>IFERROR(OJ42/OJ43,"")</f>
        <v/>
      </c>
      <c r="OK44" s="38"/>
      <c r="OL44" s="38" t="str">
        <f>IFERROR(OL42/OL43,"")</f>
        <v/>
      </c>
      <c r="OM44" s="38"/>
      <c r="ON44" s="38" t="str">
        <f>IFERROR(ON42/ON43,"")</f>
        <v/>
      </c>
      <c r="OO44" s="38"/>
      <c r="OP44" s="38" t="str">
        <f>IFERROR(OP42/OP43,"")</f>
        <v/>
      </c>
      <c r="OQ44" s="38"/>
      <c r="OR44" s="38" t="str">
        <f t="shared" ref="OR44:PJ44" si="187">IFERROR(OR42/OR43,"")</f>
        <v/>
      </c>
      <c r="OS44" s="38" t="str">
        <f t="shared" si="187"/>
        <v/>
      </c>
      <c r="OT44" s="38" t="str">
        <f t="shared" si="187"/>
        <v/>
      </c>
      <c r="OU44" s="38" t="str">
        <f t="shared" si="187"/>
        <v/>
      </c>
      <c r="OV44" s="38" t="str">
        <f t="shared" si="187"/>
        <v/>
      </c>
      <c r="OW44" s="38" t="str">
        <f t="shared" si="187"/>
        <v/>
      </c>
      <c r="OX44" s="38" t="str">
        <f t="shared" si="187"/>
        <v/>
      </c>
      <c r="OY44" s="38" t="str">
        <f t="shared" si="187"/>
        <v/>
      </c>
      <c r="OZ44" s="38" t="str">
        <f t="shared" si="187"/>
        <v/>
      </c>
      <c r="PA44" s="38" t="str">
        <f t="shared" si="187"/>
        <v/>
      </c>
      <c r="PB44" s="38" t="str">
        <f t="shared" si="187"/>
        <v/>
      </c>
      <c r="PC44" s="38" t="str">
        <f t="shared" si="187"/>
        <v/>
      </c>
      <c r="PD44" s="38" t="str">
        <f t="shared" si="187"/>
        <v/>
      </c>
      <c r="PE44" s="38" t="str">
        <f t="shared" si="187"/>
        <v/>
      </c>
      <c r="PF44" s="38" t="str">
        <f t="shared" si="187"/>
        <v/>
      </c>
      <c r="PG44" s="38" t="str">
        <f t="shared" si="187"/>
        <v/>
      </c>
      <c r="PH44" s="38" t="str">
        <f t="shared" si="187"/>
        <v/>
      </c>
      <c r="PI44" s="38" t="str">
        <f t="shared" si="187"/>
        <v/>
      </c>
      <c r="PJ44" s="38" t="str">
        <f t="shared" si="187"/>
        <v/>
      </c>
      <c r="PK44" s="38"/>
      <c r="PL44" s="38"/>
      <c r="PM44" s="38" t="str">
        <f t="shared" ref="PM44:PR44" si="188">IFERROR(PM42/PM43,"")</f>
        <v/>
      </c>
      <c r="PN44" s="38" t="str">
        <f t="shared" si="188"/>
        <v/>
      </c>
      <c r="PO44" s="38" t="str">
        <f t="shared" si="188"/>
        <v/>
      </c>
      <c r="PP44" s="38" t="str">
        <f t="shared" si="188"/>
        <v/>
      </c>
      <c r="PQ44" s="38" t="str">
        <f t="shared" si="188"/>
        <v/>
      </c>
      <c r="PR44" s="38" t="str">
        <f t="shared" si="188"/>
        <v/>
      </c>
      <c r="PS44" s="38"/>
      <c r="PT44" s="38"/>
      <c r="PU44" s="38" t="str">
        <f>IFERROR(PU42/PU43,"")</f>
        <v/>
      </c>
      <c r="PV44" s="38"/>
      <c r="PW44" s="38" t="str">
        <f>IFERROR(PW42/PW43,"")</f>
        <v/>
      </c>
      <c r="PX44" s="38"/>
      <c r="PY44" s="38" t="str">
        <f>IFERROR(PY42/PY43,"")</f>
        <v/>
      </c>
      <c r="PZ44" s="38" t="str">
        <f>IFERROR(PZ42/PZ43,"")</f>
        <v/>
      </c>
      <c r="QA44" s="38"/>
      <c r="QB44" s="38"/>
      <c r="QC44" s="38"/>
      <c r="QD44" s="38"/>
      <c r="QE44" s="38" t="str">
        <f>IFERROR(QE42/QE43,"")</f>
        <v/>
      </c>
      <c r="RW44" s="1"/>
    </row>
    <row r="45" spans="1:500">
      <c r="D45" s="1"/>
      <c r="O45" t="e">
        <f ca="1">IF(VALUE(MONTH(DATEVALUE(MID(CELL("filename",A1),FIND("]",CELL("filename",A1))+1,255)&amp;"1")))&lt;&gt;MONTH(TODAY()),O43/(DAY(EOMONTH(DATE(YEAR(TODAY()),VALUE(MONTH(DATEVALUE(MID(CELL("filename",A1),FIND("]",CELL("filename",A1))+1,255)&amp;"1"))),1),0))),(O43-O42)/('[1]Summary TCM'!$AB$140-DAY(TODAY()-1)))</f>
        <v>#VALUE!</v>
      </c>
      <c r="P45" t="e">
        <f ca="1">IF(VALUE(MONTH(DATEVALUE(MID(CELL("filename",B1),FIND("]",CELL("filename",B1))+1,255)&amp;"1")))&lt;&gt;MONTH(TODAY()),P43/(DAY(EOMONTH(DATE(YEAR(TODAY()),VALUE(MONTH(DATEVALUE(MID(CELL("filename",B1),FIND("]",CELL("filename",B1))+1,255)&amp;"1"))),1),0))),(P43-P42)/('[1]Summary TCM'!$AB$140-DAY(TODAY()-1)))</f>
        <v>#VALUE!</v>
      </c>
      <c r="Q45" t="e">
        <f ca="1">IF(VALUE(MONTH(DATEVALUE(MID(CELL("filename",C1),FIND("]",CELL("filename",C1))+1,255)&amp;"1")))&lt;&gt;MONTH(TODAY()),Q43/(DAY(EOMONTH(DATE(YEAR(TODAY()),VALUE(MONTH(DATEVALUE(MID(CELL("filename",C1),FIND("]",CELL("filename",C1))+1,255)&amp;"1"))),1),0))),(Q43-Q42)/('[1]Summary TCM'!$AB$140-DAY(TODAY()-1)))</f>
        <v>#VALUE!</v>
      </c>
      <c r="R45" t="e">
        <f ca="1">IF(VALUE(MONTH(DATEVALUE(MID(CELL("filename",D1),FIND("]",CELL("filename",D1))+1,255)&amp;"1")))&lt;&gt;MONTH(TODAY()),R43/(DAY(EOMONTH(DATE(YEAR(TODAY()),VALUE(MONTH(DATEVALUE(MID(CELL("filename",D1),FIND("]",CELL("filename",D1))+1,255)&amp;"1"))),1),0))),(R43-R42)/('[1]Summary TCM'!$AB$140-DAY(TODAY()-1)))</f>
        <v>#VALUE!</v>
      </c>
      <c r="S45" s="72" t="e">
        <f ca="1">SUM(BF45,BI45,BL45,BX45)</f>
        <v>#VALUE!</v>
      </c>
      <c r="T45" t="e">
        <f ca="1">IF(VALUE(MONTH(DATEVALUE(MID(CELL("filename",H1),FIND("]",CELL("filename",H1))+1,255)&amp;"1")))&lt;&gt;MONTH(TODAY()),T43/(DAY(EOMONTH(DATE(YEAR(TODAY()),VALUE(MONTH(DATEVALUE(MID(CELL("filename",H1),FIND("]",CELL("filename",H1))+1,255)&amp;"1"))),1),0))),(T43-T42)/('[1]Summary TCM'!$AB$140-DAY(TODAY()-1)))</f>
        <v>#VALUE!</v>
      </c>
      <c r="U45" t="e">
        <f ca="1">IF(VALUE(MONTH(DATEVALUE(MID(CELL("filename",I1),FIND("]",CELL("filename",I1))+1,255)&amp;"1")))&lt;&gt;MONTH(TODAY()),U43/(DAY(EOMONTH(DATE(YEAR(TODAY()),VALUE(MONTH(DATEVALUE(MID(CELL("filename",I1),FIND("]",CELL("filename",I1))+1,255)&amp;"1"))),1),0))),(U43-U42)/('[1]Summary TCM'!$AB$140-DAY(TODAY()-1)))</f>
        <v>#VALUE!</v>
      </c>
      <c r="V45" t="e">
        <f ca="1">IF(VALUE(MONTH(DATEVALUE(MID(CELL("filename",L1),FIND("]",CELL("filename",L1))+1,255)&amp;"1")))&lt;&gt;MONTH(TODAY()),V43/(DAY(EOMONTH(DATE(YEAR(TODAY()),VALUE(MONTH(DATEVALUE(MID(CELL("filename",L1),FIND("]",CELL("filename",L1))+1,255)&amp;"1"))),1),0))),(V43-V42)/('[1]Summary TCM'!$AB$140-DAY(TODAY()-1)))</f>
        <v>#VALUE!</v>
      </c>
      <c r="W45" t="e">
        <f ca="1">IF(VALUE(MONTH(DATEVALUE(MID(CELL("filename",M1),FIND("]",CELL("filename",M1))+1,255)&amp;"1")))&lt;&gt;MONTH(TODAY()),W43/(DAY(EOMONTH(DATE(YEAR(TODAY()),VALUE(MONTH(DATEVALUE(MID(CELL("filename",M1),FIND("]",CELL("filename",M1))+1,255)&amp;"1"))),1),0))),(W43-W42)/('[1]Summary TCM'!$AB$140-DAY(TODAY()-1)))</f>
        <v>#VALUE!</v>
      </c>
      <c r="X45" t="e">
        <f ca="1">IF(VALUE(MONTH(DATEVALUE(MID(CELL("filename",N1),FIND("]",CELL("filename",N1))+1,255)&amp;"1")))&lt;&gt;MONTH(TODAY()),X43/(DAY(EOMONTH(DATE(YEAR(TODAY()),VALUE(MONTH(DATEVALUE(MID(CELL("filename",N1),FIND("]",CELL("filename",N1))+1,255)&amp;"1"))),1),0))),(X43-X42)/('[1]Summary TCM'!$AB$140-DAY(TODAY()-1)))</f>
        <v>#VALUE!</v>
      </c>
      <c r="Y45" t="e">
        <f ca="1">IF(VALUE(MONTH(DATEVALUE(MID(CELL("filename",O1),FIND("]",CELL("filename",O1))+1,255)&amp;"1")))&lt;&gt;MONTH(TODAY()),Y43/(DAY(EOMONTH(DATE(YEAR(TODAY()),VALUE(MONTH(DATEVALUE(MID(CELL("filename",O1),FIND("]",CELL("filename",O1))+1,255)&amp;"1"))),1),0))),(Y43-Y42)/('[1]Summary TCM'!$AB$140-DAY(TODAY()-1)))</f>
        <v>#VALUE!</v>
      </c>
      <c r="Z45" t="e">
        <f ca="1">IF(VALUE(MONTH(DATEVALUE(MID(CELL("filename",P1),FIND("]",CELL("filename",P1))+1,255)&amp;"1")))&lt;&gt;MONTH(TODAY()),Z43/(DAY(EOMONTH(DATE(YEAR(TODAY()),VALUE(MONTH(DATEVALUE(MID(CELL("filename",P1),FIND("]",CELL("filename",P1))+1,255)&amp;"1"))),1),0))),(Z43-Z42)/('[1]Summary TCM'!$AB$140-DAY(TODAY()-1)))</f>
        <v>#VALUE!</v>
      </c>
      <c r="AE45" t="e">
        <f ca="1">IF(VALUE(MONTH(DATEVALUE(MID(CELL("filename",Q1),FIND("]",CELL("filename",Q1))+1,255)&amp;"1")))&lt;&gt;MONTH(TODAY()),AE43/(DAY(EOMONTH(DATE(YEAR(TODAY()),VALUE(MONTH(DATEVALUE(MID(CELL("filename",Q1),FIND("]",CELL("filename",Q1))+1,255)&amp;"1"))),1),0))),(AE43-AE42)/('[1]Summary TCM'!$AB$140-DAY(TODAY()-1)))</f>
        <v>#VALUE!</v>
      </c>
      <c r="AF45" t="e">
        <f ca="1">IF(VALUE(MONTH(DATEVALUE(MID(CELL("filename",R1),FIND("]",CELL("filename",R1))+1,255)&amp;"1")))&lt;&gt;MONTH(TODAY()),AF43/(DAY(EOMONTH(DATE(YEAR(TODAY()),VALUE(MONTH(DATEVALUE(MID(CELL("filename",R1),FIND("]",CELL("filename",R1))+1,255)&amp;"1"))),1),0))),(AF43-AF42)/('[1]Summary TCM'!$AB$140-DAY(TODAY()-1)))</f>
        <v>#VALUE!</v>
      </c>
      <c r="AG45" t="e">
        <f ca="1">IF(VALUE(MONTH(DATEVALUE(MID(CELL("filename",S1),FIND("]",CELL("filename",S1))+1,255)&amp;"1")))&lt;&gt;MONTH(TODAY()),AG43/(DAY(EOMONTH(DATE(YEAR(TODAY()),VALUE(MONTH(DATEVALUE(MID(CELL("filename",S1),FIND("]",CELL("filename",S1))+1,255)&amp;"1"))),1),0))),(AG43-AG42)/('[1]Summary TCM'!$AB$140-DAY(TODAY()-1)))</f>
        <v>#VALUE!</v>
      </c>
      <c r="AH45" t="e">
        <f ca="1">IF(VALUE(MONTH(DATEVALUE(MID(CELL("filename",T1),FIND("]",CELL("filename",T1))+1,255)&amp;"1")))&lt;&gt;MONTH(TODAY()),AH43/(DAY(EOMONTH(DATE(YEAR(TODAY()),VALUE(MONTH(DATEVALUE(MID(CELL("filename",T1),FIND("]",CELL("filename",T1))+1,255)&amp;"1"))),1),0))),(AH43-AH42)/('[1]Summary TCM'!$AB$140-DAY(TODAY()-1)))</f>
        <v>#VALUE!</v>
      </c>
      <c r="AI45" t="e">
        <f ca="1">IF(VALUE(MONTH(DATEVALUE(MID(CELL("filename",U1),FIND("]",CELL("filename",U1))+1,255)&amp;"1")))&lt;&gt;MONTH(TODAY()),AI43/(DAY(EOMONTH(DATE(YEAR(TODAY()),VALUE(MONTH(DATEVALUE(MID(CELL("filename",U1),FIND("]",CELL("filename",U1))+1,255)&amp;"1"))),1),0))),(AI43-AI42)/('[1]Summary TCM'!$AB$140-DAY(TODAY()-1)))</f>
        <v>#VALUE!</v>
      </c>
      <c r="AJ45" t="e">
        <f ca="1">IF(VALUE(MONTH(DATEVALUE(MID(CELL("filename",V1),FIND("]",CELL("filename",V1))+1,255)&amp;"1")))&lt;&gt;MONTH(TODAY()),AJ43/(DAY(EOMONTH(DATE(YEAR(TODAY()),VALUE(MONTH(DATEVALUE(MID(CELL("filename",V1),FIND("]",CELL("filename",V1))+1,255)&amp;"1"))),1),0))),(AJ43-AJ42)/('[1]Summary TCM'!$AB$140-DAY(TODAY()-1)))</f>
        <v>#VALUE!</v>
      </c>
      <c r="AK45" t="e">
        <f ca="1">IF(VALUE(MONTH(DATEVALUE(MID(CELL("filename",W1),FIND("]",CELL("filename",W1))+1,255)&amp;"1")))&lt;&gt;MONTH(TODAY()),AK43/(DAY(EOMONTH(DATE(YEAR(TODAY()),VALUE(MONTH(DATEVALUE(MID(CELL("filename",W1),FIND("]",CELL("filename",W1))+1,255)&amp;"1"))),1),0))),(AK43-AK42)/('[1]Summary TCM'!$AB$140-DAY(TODAY()-1)))</f>
        <v>#VALUE!</v>
      </c>
      <c r="AL45" t="e">
        <f ca="1">IF(VALUE(MONTH(DATEVALUE(MID(CELL("filename",X1),FIND("]",CELL("filename",X1))+1,255)&amp;"1")))&lt;&gt;MONTH(TODAY()),AL43/(DAY(EOMONTH(DATE(YEAR(TODAY()),VALUE(MONTH(DATEVALUE(MID(CELL("filename",X1),FIND("]",CELL("filename",X1))+1,255)&amp;"1"))),1),0))),(AL43-AL42)/('[1]Summary TCM'!$AB$140-DAY(TODAY()-1)))</f>
        <v>#VALUE!</v>
      </c>
      <c r="AN45" t="e">
        <f ca="1">IF(VALUE(MONTH(DATEVALUE(MID(CELL("filename",Z1),FIND("]",CELL("filename",Z1))+1,255)&amp;"1")))&lt;&gt;MONTH(TODAY()),AN43/(DAY(EOMONTH(DATE(YEAR(TODAY()),VALUE(MONTH(DATEVALUE(MID(CELL("filename",Z1),FIND("]",CELL("filename",Z1))+1,255)&amp;"1"))),1),0))),(AN43-AN42)/('[1]Summary TCM'!$AB$140-DAY(TODAY()-1)))</f>
        <v>#VALUE!</v>
      </c>
      <c r="AO45" t="e">
        <f ca="1">IF(VALUE(MONTH(DATEVALUE(MID(CELL("filename",AE1),FIND("]",CELL("filename",AE1))+1,255)&amp;"1")))&lt;&gt;MONTH(TODAY()),AO43/(DAY(EOMONTH(DATE(YEAR(TODAY()),VALUE(MONTH(DATEVALUE(MID(CELL("filename",AE1),FIND("]",CELL("filename",AE1))+1,255)&amp;"1"))),1),0))),(AO43-AO42)/('[1]Summary TCM'!$AB$140-DAY(TODAY()-1)))</f>
        <v>#VALUE!</v>
      </c>
      <c r="AP45" t="e">
        <f ca="1">IF(VALUE(MONTH(DATEVALUE(MID(CELL("filename",AF1),FIND("]",CELL("filename",AF1))+1,255)&amp;"1")))&lt;&gt;MONTH(TODAY()),AP43/(DAY(EOMONTH(DATE(YEAR(TODAY()),VALUE(MONTH(DATEVALUE(MID(CELL("filename",AF1),FIND("]",CELL("filename",AF1))+1,255)&amp;"1"))),1),0))),(AP43-AP42)/('[1]Summary TCM'!$AB$140-DAY(TODAY()-1)))</f>
        <v>#VALUE!</v>
      </c>
      <c r="AQ45" t="e">
        <f ca="1">IF(VALUE(MONTH(DATEVALUE(MID(CELL("filename",AG1),FIND("]",CELL("filename",AG1))+1,255)&amp;"1")))&lt;&gt;MONTH(TODAY()),AQ43/(DAY(EOMONTH(DATE(YEAR(TODAY()),VALUE(MONTH(DATEVALUE(MID(CELL("filename",AG1),FIND("]",CELL("filename",AG1))+1,255)&amp;"1"))),1),0))),(AQ43-AQ42)/('[1]Summary TCM'!$AB$140-DAY(TODAY()-1)))</f>
        <v>#VALUE!</v>
      </c>
      <c r="AR45" t="e">
        <f ca="1">IF(VALUE(MONTH(DATEVALUE(MID(CELL("filename",AH1),FIND("]",CELL("filename",AH1))+1,255)&amp;"1")))&lt;&gt;MONTH(TODAY()),AR43/(DAY(EOMONTH(DATE(YEAR(TODAY()),VALUE(MONTH(DATEVALUE(MID(CELL("filename",AH1),FIND("]",CELL("filename",AH1))+1,255)&amp;"1"))),1),0))),(AR43-AR42)/('[1]Summary TCM'!$AB$140-DAY(TODAY()-1)))</f>
        <v>#VALUE!</v>
      </c>
      <c r="AS45" t="e">
        <f ca="1">IF(VALUE(MONTH(DATEVALUE(MID(CELL("filename",AI1),FIND("]",CELL("filename",AI1))+1,255)&amp;"1")))&lt;&gt;MONTH(TODAY()),AS43/(DAY(EOMONTH(DATE(YEAR(TODAY()),VALUE(MONTH(DATEVALUE(MID(CELL("filename",AI1),FIND("]",CELL("filename",AI1))+1,255)&amp;"1"))),1),0))),(AS43-AS42)/('[1]Summary TCM'!$AB$140-DAY(TODAY()-1)))</f>
        <v>#VALUE!</v>
      </c>
      <c r="AT45" t="e">
        <f ca="1">IF(VALUE(MONTH(DATEVALUE(MID(CELL("filename",AJ1),FIND("]",CELL("filename",AJ1))+1,255)&amp;"1")))&lt;&gt;MONTH(TODAY()),AT43/(DAY(EOMONTH(DATE(YEAR(TODAY()),VALUE(MONTH(DATEVALUE(MID(CELL("filename",AJ1),FIND("]",CELL("filename",AJ1))+1,255)&amp;"1"))),1),0))),(AT43-AT42)/('[1]Summary TCM'!$AB$140-DAY(TODAY()-1)))</f>
        <v>#VALUE!</v>
      </c>
      <c r="AU45" t="e">
        <f ca="1">IF(VALUE(MONTH(DATEVALUE(MID(CELL("filename",AK1),FIND("]",CELL("filename",AK1))+1,255)&amp;"1")))&lt;&gt;MONTH(TODAY()),AU43/(DAY(EOMONTH(DATE(YEAR(TODAY()),VALUE(MONTH(DATEVALUE(MID(CELL("filename",AK1),FIND("]",CELL("filename",AK1))+1,255)&amp;"1"))),1),0))),(AU43-AU42)/('[1]Summary TCM'!$AB$140-DAY(TODAY()-1)))</f>
        <v>#VALUE!</v>
      </c>
      <c r="AV45" t="e">
        <f ca="1">IF(VALUE(MONTH(DATEVALUE(MID(CELL("filename",AL1),FIND("]",CELL("filename",AL1))+1,255)&amp;"1")))&lt;&gt;MONTH(TODAY()),AV43/(DAY(EOMONTH(DATE(YEAR(TODAY()),VALUE(MONTH(DATEVALUE(MID(CELL("filename",AL1),FIND("]",CELL("filename",AL1))+1,255)&amp;"1"))),1),0))),(AV43-AV42)/('[1]Summary TCM'!$AB$140-DAY(TODAY()-1)))</f>
        <v>#VALUE!</v>
      </c>
      <c r="AW45" t="e">
        <f ca="1">IF(VALUE(MONTH(DATEVALUE(MID(CELL("filename",AM1),FIND("]",CELL("filename",AM1))+1,255)&amp;"1")))&lt;&gt;MONTH(TODAY()),AW43/(DAY(EOMONTH(DATE(YEAR(TODAY()),VALUE(MONTH(DATEVALUE(MID(CELL("filename",AM1),FIND("]",CELL("filename",AM1))+1,255)&amp;"1"))),1),0))),(AW43-AW42)/('[1]Summary TCM'!$AB$140-DAY(TODAY()-1)))</f>
        <v>#VALUE!</v>
      </c>
      <c r="AX45" t="e">
        <f ca="1">IF(VALUE(MONTH(DATEVALUE(MID(CELL("filename",AN1),FIND("]",CELL("filename",AN1))+1,255)&amp;"1")))&lt;&gt;MONTH(TODAY()),AX43/(DAY(EOMONTH(DATE(YEAR(TODAY()),VALUE(MONTH(DATEVALUE(MID(CELL("filename",AN1),FIND("]",CELL("filename",AN1))+1,255)&amp;"1"))),1),0))),(AX43-AX42)/('[1]Summary TCM'!$AB$140-DAY(TODAY()-1)))</f>
        <v>#VALUE!</v>
      </c>
      <c r="AY45" t="e">
        <f ca="1">IF(VALUE(MONTH(DATEVALUE(MID(CELL("filename",AO1),FIND("]",CELL("filename",AO1))+1,255)&amp;"1")))&lt;&gt;MONTH(TODAY()),AY43/(DAY(EOMONTH(DATE(YEAR(TODAY()),VALUE(MONTH(DATEVALUE(MID(CELL("filename",AO1),FIND("]",CELL("filename",AO1))+1,255)&amp;"1"))),1),0))),(AY43-AY42)/('[1]Summary TCM'!$AB$140-DAY(TODAY()-1)))</f>
        <v>#VALUE!</v>
      </c>
      <c r="AZ45" t="e">
        <f ca="1">IF(VALUE(MONTH(DATEVALUE(MID(CELL("filename",AP1),FIND("]",CELL("filename",AP1))+1,255)&amp;"1")))&lt;&gt;MONTH(TODAY()),AZ43/(DAY(EOMONTH(DATE(YEAR(TODAY()),VALUE(MONTH(DATEVALUE(MID(CELL("filename",AP1),FIND("]",CELL("filename",AP1))+1,255)&amp;"1"))),1),0))),(AZ43-AZ42)/('[1]Summary TCM'!$AB$140-DAY(TODAY()-1)))</f>
        <v>#VALUE!</v>
      </c>
      <c r="BA45" t="e">
        <f ca="1">IF(VALUE(MONTH(DATEVALUE(MID(CELL("filename",AQ1),FIND("]",CELL("filename",AQ1))+1,255)&amp;"1")))&lt;&gt;MONTH(TODAY()),BA43/(DAY(EOMONTH(DATE(YEAR(TODAY()),VALUE(MONTH(DATEVALUE(MID(CELL("filename",AQ1),FIND("]",CELL("filename",AQ1))+1,255)&amp;"1"))),1),0))),(BA43-BA42)/('[1]Summary TCM'!$AB$140-DAY(TODAY()-1)))</f>
        <v>#VALUE!</v>
      </c>
      <c r="BB45" t="e">
        <f ca="1">IF(VALUE(MONTH(DATEVALUE(MID(CELL("filename",AR1),FIND("]",CELL("filename",AR1))+1,255)&amp;"1")))&lt;&gt;MONTH(TODAY()),BB43/(DAY(EOMONTH(DATE(YEAR(TODAY()),VALUE(MONTH(DATEVALUE(MID(CELL("filename",AR1),FIND("]",CELL("filename",AR1))+1,255)&amp;"1"))),1),0))),(BB43-BB42)/('[1]Summary TCM'!$AB$140-DAY(TODAY()-1)))</f>
        <v>#VALUE!</v>
      </c>
      <c r="BC45" t="e">
        <f ca="1">IF(VALUE(MONTH(DATEVALUE(MID(CELL("filename",AS1),FIND("]",CELL("filename",AS1))+1,255)&amp;"1")))&lt;&gt;MONTH(TODAY()),BC43/(DAY(EOMONTH(DATE(YEAR(TODAY()),VALUE(MONTH(DATEVALUE(MID(CELL("filename",AS1),FIND("]",CELL("filename",AS1))+1,255)&amp;"1"))),1),0))),(BC43-BC42)/('[1]Summary TCM'!$AB$140-DAY(TODAY()-1)))</f>
        <v>#VALUE!</v>
      </c>
      <c r="BD45" t="e">
        <f ca="1">IF(VALUE(MONTH(DATEVALUE(MID(CELL("filename",AT1),FIND("]",CELL("filename",AT1))+1,255)&amp;"1")))&lt;&gt;MONTH(TODAY()),BD43/(DAY(EOMONTH(DATE(YEAR(TODAY()),VALUE(MONTH(DATEVALUE(MID(CELL("filename",AT1),FIND("]",CELL("filename",AT1))+1,255)&amp;"1"))),1),0))),(BD43-BD42)/('[1]Summary TCM'!$AB$140-DAY(TODAY()-1)))</f>
        <v>#VALUE!</v>
      </c>
      <c r="BE45" t="e">
        <f ca="1">IF(VALUE(MONTH(DATEVALUE(MID(CELL("filename",AU1),FIND("]",CELL("filename",AU1))+1,255)&amp;"1")))&lt;&gt;MONTH(TODAY()),BE43/(DAY(EOMONTH(DATE(YEAR(TODAY()),VALUE(MONTH(DATEVALUE(MID(CELL("filename",AU1),FIND("]",CELL("filename",AU1))+1,255)&amp;"1"))),1),0))),(BE43-BE42)/('[1]Summary TCM'!$AB$140-DAY(TODAY()-1)))</f>
        <v>#VALUE!</v>
      </c>
      <c r="BF45" t="e">
        <f ca="1">IF(VALUE(MONTH(DATEVALUE(MID(CELL("filename",AV1),FIND("]",CELL("filename",AV1))+1,255)&amp;"1")))&lt;&gt;MONTH(TODAY()),BF43/(DAY(EOMONTH(DATE(YEAR(TODAY()),VALUE(MONTH(DATEVALUE(MID(CELL("filename",AV1),FIND("]",CELL("filename",AV1))+1,255)&amp;"1"))),1),0))),(BF43-BF42)/('[1]Summary TCM'!$AB$140-DAY(TODAY()-1)))</f>
        <v>#VALUE!</v>
      </c>
      <c r="BG45" t="e">
        <f ca="1">IF(VALUE(MONTH(DATEVALUE(MID(CELL("filename",AW1),FIND("]",CELL("filename",AW1))+1,255)&amp;"1")))&lt;&gt;MONTH(TODAY()),BG43/(DAY(EOMONTH(DATE(YEAR(TODAY()),VALUE(MONTH(DATEVALUE(MID(CELL("filename",AW1),FIND("]",CELL("filename",AW1))+1,255)&amp;"1"))),1),0))),(BG43-BG42)/('[1]Summary TCM'!$AB$140-DAY(TODAY()-1)))</f>
        <v>#VALUE!</v>
      </c>
      <c r="BH45" t="e">
        <f ca="1">IF(VALUE(MONTH(DATEVALUE(MID(CELL("filename",AX1),FIND("]",CELL("filename",AX1))+1,255)&amp;"1")))&lt;&gt;MONTH(TODAY()),BH43/(DAY(EOMONTH(DATE(YEAR(TODAY()),VALUE(MONTH(DATEVALUE(MID(CELL("filename",AX1),FIND("]",CELL("filename",AX1))+1,255)&amp;"1"))),1),0))),(BH43-BH42)/('[1]Summary TCM'!$AB$140-DAY(TODAY()-1)))</f>
        <v>#VALUE!</v>
      </c>
      <c r="BI45" t="e">
        <f ca="1">IF(VALUE(MONTH(DATEVALUE(MID(CELL("filename",AY1),FIND("]",CELL("filename",AY1))+1,255)&amp;"1")))&lt;&gt;MONTH(TODAY()),BI43/(DAY(EOMONTH(DATE(YEAR(TODAY()),VALUE(MONTH(DATEVALUE(MID(CELL("filename",AY1),FIND("]",CELL("filename",AY1))+1,255)&amp;"1"))),1),0))),(BI43-BI42)/('[1]Summary TCM'!$AB$140-DAY(TODAY()-1)))</f>
        <v>#VALUE!</v>
      </c>
      <c r="BJ45" t="e">
        <f ca="1">IF(VALUE(MONTH(DATEVALUE(MID(CELL("filename",AZ1),FIND("]",CELL("filename",AZ1))+1,255)&amp;"1")))&lt;&gt;MONTH(TODAY()),BJ43/(DAY(EOMONTH(DATE(YEAR(TODAY()),VALUE(MONTH(DATEVALUE(MID(CELL("filename",AZ1),FIND("]",CELL("filename",AZ1))+1,255)&amp;"1"))),1),0))),(BJ43-BJ42)/('[1]Summary TCM'!$AB$140-DAY(TODAY()-1)))</f>
        <v>#VALUE!</v>
      </c>
      <c r="BK45" t="e">
        <f ca="1">IF(VALUE(MONTH(DATEVALUE(MID(CELL("filename",BA1),FIND("]",CELL("filename",BA1))+1,255)&amp;"1")))&lt;&gt;MONTH(TODAY()),BK43/(DAY(EOMONTH(DATE(YEAR(TODAY()),VALUE(MONTH(DATEVALUE(MID(CELL("filename",BA1),FIND("]",CELL("filename",BA1))+1,255)&amp;"1"))),1),0))),(BK43-BK42)/('[1]Summary TCM'!$AB$140-DAY(TODAY()-1)))</f>
        <v>#VALUE!</v>
      </c>
      <c r="BL45" t="e">
        <f ca="1">IF(VALUE(MONTH(DATEVALUE(MID(CELL("filename",BB1),FIND("]",CELL("filename",BB1))+1,255)&amp;"1")))&lt;&gt;MONTH(TODAY()),BL43/(DAY(EOMONTH(DATE(YEAR(TODAY()),VALUE(MONTH(DATEVALUE(MID(CELL("filename",BB1),FIND("]",CELL("filename",BB1))+1,255)&amp;"1"))),1),0))),(BL43-BL42)/('[1]Summary TCM'!$AB$140-DAY(TODAY()-1)))</f>
        <v>#VALUE!</v>
      </c>
      <c r="BM45" t="e">
        <f ca="1">IF(VALUE(MONTH(DATEVALUE(MID(CELL("filename",BC1),FIND("]",CELL("filename",BC1))+1,255)&amp;"1")))&lt;&gt;MONTH(TODAY()),BM43/(DAY(EOMONTH(DATE(YEAR(TODAY()),VALUE(MONTH(DATEVALUE(MID(CELL("filename",BC1),FIND("]",CELL("filename",BC1))+1,255)&amp;"1"))),1),0))),(BM43-BM42)/('[1]Summary TCM'!$AB$140-DAY(TODAY()-1)))</f>
        <v>#VALUE!</v>
      </c>
      <c r="BN45" t="e">
        <f ca="1">IF(VALUE(MONTH(DATEVALUE(MID(CELL("filename",BD1),FIND("]",CELL("filename",BD1))+1,255)&amp;"1")))&lt;&gt;MONTH(TODAY()),BN43/(DAY(EOMONTH(DATE(YEAR(TODAY()),VALUE(MONTH(DATEVALUE(MID(CELL("filename",BD1),FIND("]",CELL("filename",BD1))+1,255)&amp;"1"))),1),0))),(BN43-BN42)/('[1]Summary TCM'!$AB$140-DAY(TODAY()-1)))</f>
        <v>#VALUE!</v>
      </c>
      <c r="BO45" t="e">
        <f ca="1">IF(VALUE(MONTH(DATEVALUE(MID(CELL("filename",BE1),FIND("]",CELL("filename",BE1))+1,255)&amp;"1")))&lt;&gt;MONTH(TODAY()),BP43/(DAY(EOMONTH(DATE(YEAR(TODAY()),VALUE(MONTH(DATEVALUE(MID(CELL("filename",BE1),FIND("]",CELL("filename",BE1))+1,255)&amp;"1"))),1),0))),(BP43-BO42)/('[1]Summary TCM'!$AB$140-DAY(TODAY()-1)))</f>
        <v>#VALUE!</v>
      </c>
      <c r="BP45" t="e">
        <f ca="1">IF(VALUE(MONTH(DATEVALUE(MID(CELL("filename",BF1),FIND("]",CELL("filename",BF1))+1,255)&amp;"1")))&lt;&gt;MONTH(TODAY()),#REF!/(DAY(EOMONTH(DATE(YEAR(TODAY()),VALUE(MONTH(DATEVALUE(MID(CELL("filename",BF1),FIND("]",CELL("filename",BF1))+1,255)&amp;"1"))),1),0))),(#REF!-BP42)/('[1]Summary TCM'!$AB$140-DAY(TODAY()-1)))</f>
        <v>#VALUE!</v>
      </c>
      <c r="BQ45" t="e">
        <f ca="1">IF(VALUE(MONTH(DATEVALUE(MID(CELL("filename",BG1),FIND("]",CELL("filename",BG1))+1,255)&amp;"1")))&lt;&gt;MONTH(TODAY()),BQ43/(DAY(EOMONTH(DATE(YEAR(TODAY()),VALUE(MONTH(DATEVALUE(MID(CELL("filename",BG1),FIND("]",CELL("filename",BG1))+1,255)&amp;"1"))),1),0))),(BQ43-BQ42)/('[1]Summary TCM'!$AB$140-DAY(TODAY()-1)))</f>
        <v>#VALUE!</v>
      </c>
      <c r="BR45" t="e">
        <f ca="1">IF(VALUE(MONTH(DATEVALUE(MID(CELL("filename",BE1),FIND("]",CELL("filename",BE1))+1,255)&amp;"1")))&lt;&gt;MONTH(TODAY()),BR43/(DAY(EOMONTH(DATE(YEAR(TODAY()),VALUE(MONTH(DATEVALUE(MID(CELL("filename",BE1),FIND("]",CELL("filename",BE1))+1,255)&amp;"1"))),1),0))),(BR43-BR42)/('[1]Summary TCM'!$AB$140-DAY(TODAY()-1)))</f>
        <v>#VALUE!</v>
      </c>
      <c r="BS45" t="e">
        <f ca="1">IF(VALUE(MONTH(DATEVALUE(MID(CELL("filename",BF1),FIND("]",CELL("filename",BF1))+1,255)&amp;"1")))&lt;&gt;MONTH(TODAY()),BS43/(DAY(EOMONTH(DATE(YEAR(TODAY()),VALUE(MONTH(DATEVALUE(MID(CELL("filename",BF1),FIND("]",CELL("filename",BF1))+1,255)&amp;"1"))),1),0))),(BS43-BS42)/('[1]Summary TCM'!$AB$140-DAY(TODAY()-1)))</f>
        <v>#VALUE!</v>
      </c>
      <c r="BT45" t="e">
        <f ca="1">IF(VALUE(MONTH(DATEVALUE(MID(CELL("filename",BG1),FIND("]",CELL("filename",BG1))+1,255)&amp;"1")))&lt;&gt;MONTH(TODAY()),BT43/(DAY(EOMONTH(DATE(YEAR(TODAY()),VALUE(MONTH(DATEVALUE(MID(CELL("filename",BG1),FIND("]",CELL("filename",BG1))+1,255)&amp;"1"))),1),0))),(BT43-BT42)/('[1]Summary TCM'!$AB$140-DAY(TODAY()-1)))</f>
        <v>#VALUE!</v>
      </c>
      <c r="BU45" t="e">
        <f ca="1">IF(VALUE(MONTH(DATEVALUE(MID(CELL("filename",BH1),FIND("]",CELL("filename",BH1))+1,255)&amp;"1")))&lt;&gt;MONTH(TODAY()),BU43/(DAY(EOMONTH(DATE(YEAR(TODAY()),VALUE(MONTH(DATEVALUE(MID(CELL("filename",BH1),FIND("]",CELL("filename",BH1))+1,255)&amp;"1"))),1),0))),(BU43-BU42)/('[1]Summary TCM'!$AB$140-DAY(TODAY()-1)))</f>
        <v>#VALUE!</v>
      </c>
      <c r="BV45" t="e">
        <f ca="1">IF(VALUE(MONTH(DATEVALUE(MID(CELL("filename",BI1),FIND("]",CELL("filename",BI1))+1,255)&amp;"1")))&lt;&gt;MONTH(TODAY()),BV43/(DAY(EOMONTH(DATE(YEAR(TODAY()),VALUE(MONTH(DATEVALUE(MID(CELL("filename",BI1),FIND("]",CELL("filename",BI1))+1,255)&amp;"1"))),1),0))),(BV43-BV42)/('[1]Summary TCM'!$AB$140-DAY(TODAY()-1)))</f>
        <v>#VALUE!</v>
      </c>
      <c r="BW45" t="e">
        <f ca="1">IF(VALUE(MONTH(DATEVALUE(MID(CELL("filename",BJ1),FIND("]",CELL("filename",BJ1))+1,255)&amp;"1")))&lt;&gt;MONTH(TODAY()),BW43/(DAY(EOMONTH(DATE(YEAR(TODAY()),VALUE(MONTH(DATEVALUE(MID(CELL("filename",BJ1),FIND("]",CELL("filename",BJ1))+1,255)&amp;"1"))),1),0))),(BW43-BW42)/('[1]Summary TCM'!$AB$140-DAY(TODAY()-1)))</f>
        <v>#VALUE!</v>
      </c>
      <c r="CD45" t="e">
        <f ca="1">IF(VALUE(MONTH(DATEVALUE(MID(CELL("filename",BK1),FIND("]",CELL("filename",BK1))+1,255)&amp;"1")))&lt;&gt;MONTH(TODAY()),CD43/(DAY(EOMONTH(DATE(YEAR(TODAY()),VALUE(MONTH(DATEVALUE(MID(CELL("filename",BK1),FIND("]",CELL("filename",BK1))+1,255)&amp;"1"))),1),0))),(CD43-CD42)/('[1]Summary TCM'!$AB$140-DAY(TODAY()-1)))</f>
        <v>#VALUE!</v>
      </c>
      <c r="CE45" t="e">
        <f ca="1">IF(VALUE(MONTH(DATEVALUE(MID(CELL("filename",BL1),FIND("]",CELL("filename",BL1))+1,255)&amp;"1")))&lt;&gt;MONTH(TODAY()),CE43/(DAY(EOMONTH(DATE(YEAR(TODAY()),VALUE(MONTH(DATEVALUE(MID(CELL("filename",BL1),FIND("]",CELL("filename",BL1))+1,255)&amp;"1"))),1),0))),(CE43-CE42)/('[1]Summary TCM'!$AB$140-DAY(TODAY()-1)))</f>
        <v>#VALUE!</v>
      </c>
      <c r="CF45" t="e">
        <f ca="1">IF(VALUE(MONTH(DATEVALUE(MID(CELL("filename",BM1),FIND("]",CELL("filename",BM1))+1,255)&amp;"1")))&lt;&gt;MONTH(TODAY()),CF43/(DAY(EOMONTH(DATE(YEAR(TODAY()),VALUE(MONTH(DATEVALUE(MID(CELL("filename",BM1),FIND("]",CELL("filename",BM1))+1,255)&amp;"1"))),1),0))),(CF43-CF42)/('[1]Summary TCM'!$AB$140-DAY(TODAY()-1)))</f>
        <v>#VALUE!</v>
      </c>
      <c r="DK45" s="281"/>
      <c r="JN45">
        <f>SUMPRODUCT(JN43:JU43,JN44:JU44)</f>
        <v>0</v>
      </c>
      <c r="JV45">
        <f>SUMPRODUCT(JV43:KC43,JV44:KC44)</f>
        <v>0</v>
      </c>
      <c r="KD45">
        <f>SUMPRODUCT(KD43:KK43,KD44:KK44)</f>
        <v>0</v>
      </c>
      <c r="LW45" s="314"/>
      <c r="LY45" s="314"/>
      <c r="MA45" s="1"/>
      <c r="OC45" s="95"/>
      <c r="QL45" s="1"/>
      <c r="QM45" s="1"/>
      <c r="QO45" s="1"/>
      <c r="QP45" s="1"/>
      <c r="RW45" s="1"/>
    </row>
    <row r="46" spans="1:500">
      <c r="D46" s="1"/>
      <c r="E46" s="1"/>
      <c r="F46" s="1"/>
      <c r="G46" s="1"/>
      <c r="H46" s="95"/>
      <c r="I46" s="1"/>
      <c r="AB46" s="887"/>
      <c r="DK46" s="1"/>
      <c r="GP46" s="887">
        <f>GK41+GL41</f>
        <v>186220.43</v>
      </c>
      <c r="JK46" s="95"/>
      <c r="JL46" s="1"/>
      <c r="LJ46" s="330"/>
      <c r="LR46" s="314"/>
      <c r="NN46" s="1"/>
      <c r="NW46" s="1"/>
      <c r="NX46" s="1"/>
      <c r="OC46" s="95"/>
      <c r="RW46" s="1"/>
    </row>
    <row r="47" spans="1:500">
      <c r="C47" s="1"/>
      <c r="D47" s="887"/>
      <c r="E47" s="1"/>
      <c r="F47" s="1"/>
      <c r="G47" s="1"/>
      <c r="H47" s="887"/>
      <c r="I47" s="1"/>
      <c r="P47" s="887"/>
      <c r="T47" s="887"/>
      <c r="AB47" s="887"/>
      <c r="AQ47" s="95"/>
      <c r="AR47" s="95"/>
      <c r="AS47" s="95"/>
      <c r="AT47" s="95"/>
      <c r="AU47" s="95"/>
      <c r="AV47" s="95"/>
      <c r="AW47" s="95"/>
      <c r="AX47" s="95"/>
      <c r="AY47" s="95"/>
      <c r="AZ47" s="95"/>
      <c r="BA47" s="95"/>
      <c r="BB47" s="95"/>
      <c r="BC47" s="95"/>
      <c r="BD47" s="95"/>
      <c r="BE47" s="95"/>
      <c r="BF47" s="95"/>
      <c r="BG47" s="95"/>
      <c r="BH47" s="95"/>
      <c r="BI47" s="95"/>
      <c r="BJ47" s="95"/>
      <c r="BK47" s="95"/>
      <c r="BL47" s="95"/>
      <c r="BM47" s="95"/>
      <c r="BN47" s="95"/>
      <c r="BO47" s="95">
        <f ca="1">BO47</f>
        <v>0</v>
      </c>
      <c r="BP47" s="95"/>
      <c r="BQ47" s="95"/>
      <c r="BR47" s="95"/>
      <c r="BS47" s="95"/>
      <c r="BT47" s="95"/>
      <c r="BU47" s="95"/>
      <c r="BV47" s="95"/>
      <c r="BW47" s="95"/>
      <c r="BX47" s="95"/>
      <c r="BY47" s="95"/>
      <c r="BZ47" s="95"/>
      <c r="CA47" s="95"/>
      <c r="CB47" s="95"/>
      <c r="CC47" s="95"/>
      <c r="DW47" s="1">
        <f>DV28+DR28</f>
        <v>0</v>
      </c>
      <c r="GM47" s="887"/>
      <c r="GP47" s="887"/>
      <c r="JH47" s="887"/>
      <c r="JI47" s="887"/>
      <c r="JK47" s="887">
        <f>JK43-JK41</f>
        <v>-10372.179999999993</v>
      </c>
      <c r="JL47" s="887"/>
      <c r="LH47" s="329"/>
      <c r="LJ47" s="1447"/>
      <c r="LK47" s="314"/>
      <c r="LL47" s="314"/>
      <c r="LO47" s="314"/>
      <c r="LP47" s="314">
        <v>5222.3980000000001</v>
      </c>
      <c r="LR47" s="314"/>
      <c r="NN47" s="1"/>
      <c r="RW47" s="1"/>
    </row>
    <row r="48" spans="1:500">
      <c r="D48" s="887"/>
      <c r="E48" s="1"/>
      <c r="F48" s="1"/>
      <c r="G48" s="1"/>
      <c r="I48" s="95"/>
      <c r="O48" s="887"/>
      <c r="P48" s="887"/>
      <c r="S48" s="887"/>
      <c r="T48" s="887"/>
      <c r="AB48" s="887"/>
      <c r="AC48" s="1"/>
      <c r="AD48" s="1"/>
      <c r="AE48" s="1"/>
      <c r="AQ48" s="887"/>
      <c r="AR48" s="887"/>
      <c r="AW48" s="1">
        <f>AW43-AW42</f>
        <v>-98726.163199999835</v>
      </c>
      <c r="BC48" s="1">
        <f>BC43-BC42</f>
        <v>-129561.82220000005</v>
      </c>
      <c r="BG48" s="887"/>
      <c r="BL48" s="1">
        <f>BL43-BL42</f>
        <v>160130.50959999999</v>
      </c>
      <c r="BM48" s="887">
        <f>BM43/31</f>
        <v>1612.9032258064517</v>
      </c>
      <c r="BO48" s="887"/>
      <c r="BP48" s="887"/>
      <c r="BR48" s="421">
        <f>BR43-BR42</f>
        <v>0</v>
      </c>
      <c r="BS48" s="95"/>
      <c r="BU48" s="1">
        <f>BU43-BU42</f>
        <v>99209.583899999852</v>
      </c>
      <c r="BV48" s="1">
        <f>BV43-BV41</f>
        <v>2180</v>
      </c>
      <c r="BX48" s="1">
        <f>BX43-BX42</f>
        <v>0</v>
      </c>
      <c r="CD48" s="421">
        <f>CD43-CD42</f>
        <v>0</v>
      </c>
      <c r="CG48" s="887"/>
      <c r="IL48" s="1"/>
      <c r="JH48" s="887"/>
      <c r="JI48" s="887"/>
      <c r="JJ48" s="887"/>
      <c r="JL48" s="887"/>
      <c r="JN48" s="2715"/>
      <c r="JO48" s="2715"/>
      <c r="LF48" s="328"/>
      <c r="LG48" s="328"/>
      <c r="LH48" s="331"/>
      <c r="LK48" s="328"/>
      <c r="LL48" s="314"/>
      <c r="LP48" s="314">
        <v>7444.732</v>
      </c>
      <c r="LR48" s="314"/>
      <c r="NN48" s="1"/>
      <c r="RW48" s="1"/>
    </row>
    <row r="49" spans="2:491" ht="25.2" hidden="1" customHeight="1">
      <c r="D49" s="887"/>
      <c r="O49" s="1">
        <f>O43-O42</f>
        <v>-228287.98539999966</v>
      </c>
      <c r="P49" s="887">
        <f>P43-P41</f>
        <v>21212.169999999984</v>
      </c>
      <c r="S49" s="887">
        <f>S43-S42</f>
        <v>160130.50959999999</v>
      </c>
      <c r="T49" s="887">
        <f>T43-T41</f>
        <v>24590.509999999995</v>
      </c>
      <c r="X49" s="887">
        <f>X43-X42</f>
        <v>-404.71719999999914</v>
      </c>
      <c r="Y49" s="887"/>
      <c r="Z49" s="1"/>
      <c r="AA49" s="887">
        <f>P41+T41+AB41</f>
        <v>179197.32</v>
      </c>
      <c r="AB49" s="887"/>
      <c r="AD49" s="1"/>
      <c r="AE49" s="1"/>
      <c r="BG49" s="887"/>
      <c r="BV49" s="887">
        <f>BV43/31</f>
        <v>2096.7741935483873</v>
      </c>
      <c r="BY49" s="887"/>
      <c r="DS49" s="1"/>
      <c r="EL49" s="1"/>
      <c r="GX49" s="887">
        <f>GV38-GM38</f>
        <v>0</v>
      </c>
      <c r="JH49" s="887"/>
      <c r="JK49" s="887"/>
      <c r="JL49" s="887"/>
      <c r="LF49" s="306"/>
      <c r="LG49" s="887"/>
      <c r="LH49" s="887"/>
      <c r="LI49" s="327"/>
      <c r="LL49" s="314"/>
      <c r="LP49" s="314">
        <v>7339.2969999999996</v>
      </c>
      <c r="NN49" s="1"/>
      <c r="OA49" s="1"/>
      <c r="RW49" s="1"/>
    </row>
    <row r="50" spans="2:491" hidden="1">
      <c r="M50" s="92"/>
      <c r="O50">
        <f>'Summary TCM'!AX21</f>
        <v>2535000</v>
      </c>
      <c r="P50" s="887">
        <f>'Summary TCM'!AX38</f>
        <v>190000</v>
      </c>
      <c r="S50">
        <f>'Summary TCM'!AX25/30</f>
        <v>31000</v>
      </c>
      <c r="T50" s="887">
        <f>'Summary TCM'!AX42/30</f>
        <v>1500</v>
      </c>
      <c r="U50" s="887"/>
      <c r="W50">
        <f>'Summary TCM'!AX29+'Summary TCM'!AX99</f>
        <v>920000</v>
      </c>
      <c r="X50" s="887">
        <f>'Summary TCM'!AX46+'Summary TCM'!AX113</f>
        <v>110000</v>
      </c>
      <c r="AB50" s="887"/>
      <c r="AD50" s="887"/>
      <c r="AX50" s="887"/>
      <c r="BD50" s="887"/>
      <c r="BM50" s="887"/>
      <c r="BP50" s="887"/>
      <c r="BV50" s="887"/>
      <c r="GM50" s="1079"/>
      <c r="GR50" s="887">
        <f>GR43/31</f>
        <v>0</v>
      </c>
      <c r="JH50" s="887"/>
      <c r="JK50" s="95"/>
      <c r="JL50" s="887"/>
      <c r="JN50" s="95"/>
      <c r="JP50" s="887"/>
      <c r="LG50" s="887"/>
      <c r="LH50" s="95"/>
      <c r="LK50" s="314"/>
      <c r="LL50" s="314"/>
      <c r="LX50" s="1078"/>
      <c r="NN50" s="1"/>
      <c r="RW50" s="1"/>
    </row>
    <row r="51" spans="2:491" ht="22.95" hidden="1" customHeight="1">
      <c r="M51" s="39"/>
      <c r="O51" s="1">
        <f>O50/30</f>
        <v>84500</v>
      </c>
      <c r="P51" s="887">
        <f>P50/30</f>
        <v>6333.333333333333</v>
      </c>
      <c r="W51">
        <f>W50/30</f>
        <v>30666.666666666668</v>
      </c>
      <c r="X51" s="887">
        <f>X50/30</f>
        <v>3666.6666666666665</v>
      </c>
      <c r="Y51" s="887"/>
      <c r="AB51" s="887"/>
      <c r="JK51" s="485"/>
      <c r="LJ51" s="95"/>
      <c r="NN51" s="1"/>
      <c r="RW51" s="1"/>
    </row>
    <row r="52" spans="2:491" s="145" customFormat="1" hidden="1">
      <c r="M52" s="982"/>
      <c r="O52" s="1717">
        <v>84500</v>
      </c>
      <c r="P52" s="1686">
        <v>6333.333333333333</v>
      </c>
      <c r="S52" s="1716">
        <v>31000</v>
      </c>
      <c r="T52" s="1715">
        <v>1500</v>
      </c>
      <c r="W52" s="1716">
        <v>30666.666666666668</v>
      </c>
      <c r="X52" s="1716">
        <v>3666.6666666666665</v>
      </c>
      <c r="AB52" s="489">
        <f>P43-P41</f>
        <v>21212.169999999984</v>
      </c>
      <c r="AW52" s="145">
        <f>114433+880303+87096</f>
        <v>1081832</v>
      </c>
      <c r="AX52" s="145">
        <f>14516+24194+16935</f>
        <v>55645</v>
      </c>
      <c r="BC52" s="145">
        <f>10391+32968</f>
        <v>43359</v>
      </c>
      <c r="JL52" s="432"/>
      <c r="NN52" s="1"/>
      <c r="RW52" s="459"/>
    </row>
    <row r="53" spans="2:491" s="145" customFormat="1" hidden="1">
      <c r="B53" s="145">
        <v>1</v>
      </c>
      <c r="C53" s="459"/>
      <c r="D53" s="459"/>
      <c r="M53" s="982"/>
      <c r="N53" s="145">
        <v>1</v>
      </c>
      <c r="O53" s="459">
        <f>O52</f>
        <v>84500</v>
      </c>
      <c r="P53" s="986">
        <f>P52</f>
        <v>6333.333333333333</v>
      </c>
      <c r="R53" s="145">
        <v>1</v>
      </c>
      <c r="S53" s="459">
        <f>S52</f>
        <v>31000</v>
      </c>
      <c r="T53" s="459">
        <f>T52</f>
        <v>1500</v>
      </c>
      <c r="V53" s="145">
        <v>1</v>
      </c>
      <c r="W53" s="459">
        <f>W52</f>
        <v>30666.666666666668</v>
      </c>
      <c r="X53" s="145">
        <f>X52</f>
        <v>3666.6666666666665</v>
      </c>
      <c r="Z53" s="145">
        <v>1</v>
      </c>
      <c r="AB53" s="145">
        <v>30</v>
      </c>
      <c r="BF53" s="145">
        <v>121506</v>
      </c>
      <c r="NN53" s="1"/>
      <c r="RW53" s="459"/>
    </row>
    <row r="54" spans="2:491" s="145" customFormat="1" hidden="1">
      <c r="B54" s="145">
        <v>2</v>
      </c>
      <c r="C54" s="459"/>
      <c r="D54" s="459"/>
      <c r="M54" s="982"/>
      <c r="N54" s="145">
        <v>2</v>
      </c>
      <c r="O54" s="459">
        <f t="shared" ref="O54:O83" si="189">O53+($O$52)</f>
        <v>169000</v>
      </c>
      <c r="P54" s="986">
        <f t="shared" ref="P54:P83" si="190">P53+($P$52)</f>
        <v>12666.666666666666</v>
      </c>
      <c r="R54" s="145">
        <v>2</v>
      </c>
      <c r="S54" s="459">
        <f t="shared" ref="S54:S83" si="191">S53+($S$52)</f>
        <v>62000</v>
      </c>
      <c r="T54" s="459">
        <f t="shared" ref="T54:T83" si="192">T53+$T$52</f>
        <v>3000</v>
      </c>
      <c r="V54" s="145">
        <v>2</v>
      </c>
      <c r="W54" s="459">
        <f t="shared" ref="W54:W83" si="193">W53+($W$52)</f>
        <v>61333.333333333336</v>
      </c>
      <c r="X54" s="459">
        <f t="shared" ref="X54:X83" si="194">X53+$X$52</f>
        <v>7333.333333333333</v>
      </c>
      <c r="Z54" s="145">
        <v>2</v>
      </c>
      <c r="AB54" s="489">
        <f>AB52/AB53</f>
        <v>707.07233333333284</v>
      </c>
      <c r="BF54" s="145">
        <v>896260</v>
      </c>
      <c r="NN54" s="1"/>
      <c r="RW54" s="459"/>
    </row>
    <row r="55" spans="2:491" s="145" customFormat="1" hidden="1">
      <c r="B55" s="145">
        <v>3</v>
      </c>
      <c r="C55" s="459"/>
      <c r="D55" s="459"/>
      <c r="M55" s="982"/>
      <c r="N55" s="145">
        <v>3</v>
      </c>
      <c r="O55" s="459">
        <f t="shared" si="189"/>
        <v>253500</v>
      </c>
      <c r="P55" s="986">
        <f t="shared" si="190"/>
        <v>19000</v>
      </c>
      <c r="R55" s="145">
        <v>3</v>
      </c>
      <c r="S55" s="459">
        <f t="shared" si="191"/>
        <v>93000</v>
      </c>
      <c r="T55" s="459">
        <f t="shared" si="192"/>
        <v>4500</v>
      </c>
      <c r="V55" s="145">
        <v>3</v>
      </c>
      <c r="W55" s="459">
        <f t="shared" si="193"/>
        <v>92000</v>
      </c>
      <c r="X55" s="459">
        <f t="shared" si="194"/>
        <v>11000</v>
      </c>
      <c r="Z55" s="145">
        <v>3</v>
      </c>
      <c r="BF55" s="145">
        <v>24906</v>
      </c>
      <c r="NN55" s="1"/>
      <c r="RW55" s="459"/>
    </row>
    <row r="56" spans="2:491" s="145" customFormat="1" hidden="1">
      <c r="B56" s="145">
        <v>4</v>
      </c>
      <c r="C56" s="459"/>
      <c r="D56" s="459"/>
      <c r="M56" s="982"/>
      <c r="N56" s="145">
        <v>4</v>
      </c>
      <c r="O56" s="459">
        <f t="shared" si="189"/>
        <v>338000</v>
      </c>
      <c r="P56" s="986">
        <f t="shared" si="190"/>
        <v>25333.333333333332</v>
      </c>
      <c r="R56" s="145">
        <v>4</v>
      </c>
      <c r="S56" s="459">
        <f t="shared" si="191"/>
        <v>124000</v>
      </c>
      <c r="T56" s="459">
        <f t="shared" si="192"/>
        <v>6000</v>
      </c>
      <c r="V56" s="145">
        <v>4</v>
      </c>
      <c r="W56" s="459">
        <f t="shared" si="193"/>
        <v>122666.66666666667</v>
      </c>
      <c r="X56" s="459">
        <f t="shared" si="194"/>
        <v>14666.666666666666</v>
      </c>
      <c r="Z56" s="145">
        <v>4</v>
      </c>
      <c r="NN56" s="1"/>
      <c r="RW56" s="459"/>
    </row>
    <row r="57" spans="2:491" s="145" customFormat="1" hidden="1">
      <c r="B57" s="145">
        <v>5</v>
      </c>
      <c r="C57" s="459"/>
      <c r="D57" s="459"/>
      <c r="M57" s="982"/>
      <c r="N57" s="145">
        <v>5</v>
      </c>
      <c r="O57" s="459">
        <f t="shared" si="189"/>
        <v>422500</v>
      </c>
      <c r="P57" s="986">
        <f t="shared" si="190"/>
        <v>31666.666666666664</v>
      </c>
      <c r="R57" s="145">
        <v>5</v>
      </c>
      <c r="S57" s="459">
        <f t="shared" si="191"/>
        <v>155000</v>
      </c>
      <c r="T57" s="459">
        <f t="shared" si="192"/>
        <v>7500</v>
      </c>
      <c r="V57" s="145">
        <v>5</v>
      </c>
      <c r="W57" s="459">
        <f t="shared" si="193"/>
        <v>153333.33333333334</v>
      </c>
      <c r="X57" s="459">
        <f t="shared" si="194"/>
        <v>18333.333333333332</v>
      </c>
      <c r="Z57" s="145">
        <v>5</v>
      </c>
      <c r="BF57" s="1005">
        <f>SUM(BF53:BF56)</f>
        <v>1042672</v>
      </c>
      <c r="NN57" s="1"/>
      <c r="RW57" s="459"/>
    </row>
    <row r="58" spans="2:491" s="145" customFormat="1" hidden="1">
      <c r="B58" s="145">
        <v>6</v>
      </c>
      <c r="C58" s="459"/>
      <c r="D58" s="459"/>
      <c r="M58" s="982"/>
      <c r="N58" s="145">
        <v>6</v>
      </c>
      <c r="O58" s="459">
        <f t="shared" si="189"/>
        <v>507000</v>
      </c>
      <c r="P58" s="986">
        <f t="shared" si="190"/>
        <v>38000</v>
      </c>
      <c r="R58" s="145">
        <v>6</v>
      </c>
      <c r="S58" s="459">
        <f t="shared" si="191"/>
        <v>186000</v>
      </c>
      <c r="T58" s="459">
        <f t="shared" si="192"/>
        <v>9000</v>
      </c>
      <c r="V58" s="145">
        <v>6</v>
      </c>
      <c r="W58" s="459">
        <f t="shared" si="193"/>
        <v>184000</v>
      </c>
      <c r="X58" s="459">
        <f t="shared" si="194"/>
        <v>22000</v>
      </c>
      <c r="Z58" s="145">
        <v>6</v>
      </c>
      <c r="BF58" s="145">
        <f>1038834-1017766</f>
        <v>21068</v>
      </c>
      <c r="NN58" s="1"/>
      <c r="RW58" s="459"/>
    </row>
    <row r="59" spans="2:491" s="145" customFormat="1" hidden="1">
      <c r="B59" s="145">
        <v>7</v>
      </c>
      <c r="C59" s="459"/>
      <c r="D59" s="459"/>
      <c r="M59" s="982"/>
      <c r="N59" s="145">
        <v>7</v>
      </c>
      <c r="O59" s="459">
        <f t="shared" si="189"/>
        <v>591500</v>
      </c>
      <c r="P59" s="986">
        <f t="shared" si="190"/>
        <v>44333.333333333336</v>
      </c>
      <c r="R59" s="145">
        <v>7</v>
      </c>
      <c r="S59" s="459">
        <f t="shared" si="191"/>
        <v>217000</v>
      </c>
      <c r="T59" s="459">
        <f t="shared" si="192"/>
        <v>10500</v>
      </c>
      <c r="V59" s="145">
        <v>7</v>
      </c>
      <c r="W59" s="459">
        <f t="shared" si="193"/>
        <v>214666.66666666666</v>
      </c>
      <c r="X59" s="459">
        <f t="shared" si="194"/>
        <v>25666.666666666668</v>
      </c>
      <c r="Z59" s="145">
        <v>7</v>
      </c>
      <c r="BF59" s="145">
        <f>BF57-1038834</f>
        <v>3838</v>
      </c>
      <c r="NN59" s="1"/>
      <c r="RW59" s="459"/>
    </row>
    <row r="60" spans="2:491" s="145" customFormat="1" hidden="1">
      <c r="B60" s="145">
        <v>8</v>
      </c>
      <c r="C60" s="459"/>
      <c r="D60" s="459"/>
      <c r="M60" s="982"/>
      <c r="N60" s="145">
        <v>8</v>
      </c>
      <c r="O60" s="459">
        <f t="shared" si="189"/>
        <v>676000</v>
      </c>
      <c r="P60" s="986">
        <f t="shared" si="190"/>
        <v>50666.666666666672</v>
      </c>
      <c r="R60" s="145">
        <v>8</v>
      </c>
      <c r="S60" s="459">
        <f t="shared" si="191"/>
        <v>248000</v>
      </c>
      <c r="T60" s="459">
        <f t="shared" si="192"/>
        <v>12000</v>
      </c>
      <c r="V60" s="145">
        <v>8</v>
      </c>
      <c r="W60" s="459">
        <f t="shared" si="193"/>
        <v>245333.33333333331</v>
      </c>
      <c r="X60" s="459">
        <f t="shared" si="194"/>
        <v>29333.333333333336</v>
      </c>
      <c r="Z60" s="145">
        <v>8</v>
      </c>
      <c r="AP60" s="145">
        <v>37911.700000000004</v>
      </c>
      <c r="NN60" s="1"/>
      <c r="RW60" s="459"/>
    </row>
    <row r="61" spans="2:491" s="145" customFormat="1" hidden="1">
      <c r="B61" s="145">
        <v>9</v>
      </c>
      <c r="C61" s="459"/>
      <c r="D61" s="459"/>
      <c r="M61" s="982"/>
      <c r="N61" s="145">
        <v>9</v>
      </c>
      <c r="O61" s="459">
        <f t="shared" si="189"/>
        <v>760500</v>
      </c>
      <c r="P61" s="986">
        <f t="shared" si="190"/>
        <v>57000.000000000007</v>
      </c>
      <c r="R61" s="145">
        <v>9</v>
      </c>
      <c r="S61" s="459">
        <f t="shared" si="191"/>
        <v>279000</v>
      </c>
      <c r="T61" s="459">
        <f t="shared" si="192"/>
        <v>13500</v>
      </c>
      <c r="V61" s="145">
        <v>9</v>
      </c>
      <c r="W61" s="459">
        <f t="shared" si="193"/>
        <v>276000</v>
      </c>
      <c r="X61" s="459">
        <f t="shared" si="194"/>
        <v>33000</v>
      </c>
      <c r="Z61" s="145">
        <v>9</v>
      </c>
      <c r="NN61" s="1"/>
      <c r="RW61" s="459"/>
    </row>
    <row r="62" spans="2:491" s="145" customFormat="1" hidden="1">
      <c r="B62" s="145">
        <v>10</v>
      </c>
      <c r="C62" s="459"/>
      <c r="D62" s="459"/>
      <c r="M62" s="982"/>
      <c r="N62" s="145">
        <v>10</v>
      </c>
      <c r="O62" s="459">
        <f t="shared" si="189"/>
        <v>845000</v>
      </c>
      <c r="P62" s="986">
        <f t="shared" si="190"/>
        <v>63333.333333333343</v>
      </c>
      <c r="R62" s="145">
        <v>10</v>
      </c>
      <c r="S62" s="459">
        <f t="shared" si="191"/>
        <v>310000</v>
      </c>
      <c r="T62" s="459">
        <f t="shared" si="192"/>
        <v>15000</v>
      </c>
      <c r="V62" s="145">
        <v>10</v>
      </c>
      <c r="W62" s="459">
        <f t="shared" si="193"/>
        <v>306666.66666666669</v>
      </c>
      <c r="X62" s="459">
        <f t="shared" si="194"/>
        <v>36666.666666666664</v>
      </c>
      <c r="Z62" s="145">
        <v>10</v>
      </c>
      <c r="NN62" s="1"/>
      <c r="RW62" s="459"/>
    </row>
    <row r="63" spans="2:491" s="145" customFormat="1" hidden="1">
      <c r="B63" s="145">
        <v>11</v>
      </c>
      <c r="C63" s="459"/>
      <c r="D63" s="459"/>
      <c r="M63" s="982"/>
      <c r="N63" s="145">
        <v>11</v>
      </c>
      <c r="O63" s="459">
        <f t="shared" si="189"/>
        <v>929500</v>
      </c>
      <c r="P63" s="986">
        <f t="shared" si="190"/>
        <v>69666.666666666672</v>
      </c>
      <c r="R63" s="145">
        <v>11</v>
      </c>
      <c r="S63" s="459">
        <f t="shared" si="191"/>
        <v>341000</v>
      </c>
      <c r="T63" s="459">
        <f t="shared" si="192"/>
        <v>16500</v>
      </c>
      <c r="V63" s="145">
        <v>11</v>
      </c>
      <c r="W63" s="459">
        <f t="shared" si="193"/>
        <v>337333.33333333337</v>
      </c>
      <c r="X63" s="459">
        <f t="shared" si="194"/>
        <v>40333.333333333328</v>
      </c>
      <c r="Z63" s="145">
        <v>11</v>
      </c>
      <c r="NN63" s="1"/>
      <c r="RW63" s="459"/>
    </row>
    <row r="64" spans="2:491" s="145" customFormat="1" hidden="1">
      <c r="B64" s="145">
        <v>12</v>
      </c>
      <c r="C64" s="459"/>
      <c r="D64" s="459"/>
      <c r="M64" s="982"/>
      <c r="N64" s="145">
        <v>12</v>
      </c>
      <c r="O64" s="459">
        <f t="shared" si="189"/>
        <v>1014000</v>
      </c>
      <c r="P64" s="986">
        <f t="shared" si="190"/>
        <v>76000</v>
      </c>
      <c r="R64" s="145">
        <v>12</v>
      </c>
      <c r="S64" s="459">
        <f t="shared" si="191"/>
        <v>372000</v>
      </c>
      <c r="T64" s="459">
        <f t="shared" si="192"/>
        <v>18000</v>
      </c>
      <c r="V64" s="145">
        <v>12</v>
      </c>
      <c r="W64" s="459">
        <f t="shared" si="193"/>
        <v>368000.00000000006</v>
      </c>
      <c r="X64" s="459">
        <f t="shared" si="194"/>
        <v>43999.999999999993</v>
      </c>
      <c r="Z64" s="145">
        <v>12</v>
      </c>
      <c r="NN64" s="1"/>
      <c r="RW64" s="459"/>
    </row>
    <row r="65" spans="2:491" s="145" customFormat="1" hidden="1">
      <c r="B65" s="145">
        <v>13</v>
      </c>
      <c r="C65" s="459"/>
      <c r="D65" s="459"/>
      <c r="M65" s="982"/>
      <c r="N65" s="145">
        <v>13</v>
      </c>
      <c r="O65" s="459">
        <f t="shared" si="189"/>
        <v>1098500</v>
      </c>
      <c r="P65" s="986">
        <f t="shared" si="190"/>
        <v>82333.333333333328</v>
      </c>
      <c r="R65" s="145">
        <v>13</v>
      </c>
      <c r="S65" s="459">
        <f t="shared" si="191"/>
        <v>403000</v>
      </c>
      <c r="T65" s="459">
        <f t="shared" si="192"/>
        <v>19500</v>
      </c>
      <c r="V65" s="145">
        <v>13</v>
      </c>
      <c r="W65" s="459">
        <f t="shared" si="193"/>
        <v>398666.66666666674</v>
      </c>
      <c r="X65" s="459">
        <f t="shared" si="194"/>
        <v>47666.666666666657</v>
      </c>
      <c r="Z65" s="145">
        <v>13</v>
      </c>
      <c r="NN65" s="1"/>
      <c r="RW65" s="459"/>
    </row>
    <row r="66" spans="2:491" s="145" customFormat="1" hidden="1">
      <c r="B66" s="145">
        <v>14</v>
      </c>
      <c r="C66" s="459"/>
      <c r="D66" s="459"/>
      <c r="M66" s="982"/>
      <c r="N66" s="145">
        <v>14</v>
      </c>
      <c r="O66" s="459">
        <f t="shared" si="189"/>
        <v>1183000</v>
      </c>
      <c r="P66" s="986">
        <f t="shared" si="190"/>
        <v>88666.666666666657</v>
      </c>
      <c r="R66" s="145">
        <v>14</v>
      </c>
      <c r="S66" s="459">
        <f t="shared" si="191"/>
        <v>434000</v>
      </c>
      <c r="T66" s="459">
        <f t="shared" si="192"/>
        <v>21000</v>
      </c>
      <c r="V66" s="145">
        <v>14</v>
      </c>
      <c r="W66" s="459">
        <f t="shared" si="193"/>
        <v>429333.33333333343</v>
      </c>
      <c r="X66" s="459">
        <f t="shared" si="194"/>
        <v>51333.333333333321</v>
      </c>
      <c r="Z66" s="145">
        <v>14</v>
      </c>
      <c r="NN66" s="1"/>
      <c r="RW66" s="459"/>
    </row>
    <row r="67" spans="2:491" s="145" customFormat="1" hidden="1">
      <c r="B67" s="145">
        <v>15</v>
      </c>
      <c r="C67" s="459"/>
      <c r="D67" s="459"/>
      <c r="M67" s="982"/>
      <c r="N67" s="145">
        <v>15</v>
      </c>
      <c r="O67" s="459">
        <f t="shared" si="189"/>
        <v>1267500</v>
      </c>
      <c r="P67" s="986">
        <f t="shared" si="190"/>
        <v>94999.999999999985</v>
      </c>
      <c r="R67" s="145">
        <v>15</v>
      </c>
      <c r="S67" s="459">
        <f t="shared" si="191"/>
        <v>465000</v>
      </c>
      <c r="T67" s="459">
        <f t="shared" si="192"/>
        <v>22500</v>
      </c>
      <c r="V67" s="145">
        <v>15</v>
      </c>
      <c r="W67" s="459">
        <f t="shared" si="193"/>
        <v>460000.00000000012</v>
      </c>
      <c r="X67" s="459">
        <f t="shared" si="194"/>
        <v>54999.999999999985</v>
      </c>
      <c r="Z67" s="145">
        <v>15</v>
      </c>
      <c r="NN67" s="1"/>
      <c r="RW67" s="459"/>
    </row>
    <row r="68" spans="2:491" s="145" customFormat="1" hidden="1">
      <c r="B68" s="145">
        <v>16</v>
      </c>
      <c r="C68" s="459"/>
      <c r="D68" s="459"/>
      <c r="M68" s="982"/>
      <c r="N68" s="145">
        <v>16</v>
      </c>
      <c r="O68" s="459">
        <f t="shared" si="189"/>
        <v>1352000</v>
      </c>
      <c r="P68" s="986">
        <f t="shared" si="190"/>
        <v>101333.33333333331</v>
      </c>
      <c r="R68" s="145">
        <v>16</v>
      </c>
      <c r="S68" s="459">
        <f t="shared" si="191"/>
        <v>496000</v>
      </c>
      <c r="T68" s="459">
        <f t="shared" si="192"/>
        <v>24000</v>
      </c>
      <c r="V68" s="145">
        <v>16</v>
      </c>
      <c r="W68" s="459">
        <f t="shared" si="193"/>
        <v>490666.6666666668</v>
      </c>
      <c r="X68" s="459">
        <f t="shared" si="194"/>
        <v>58666.66666666665</v>
      </c>
      <c r="Z68" s="145">
        <v>16</v>
      </c>
      <c r="NN68" s="1"/>
      <c r="RW68" s="459"/>
    </row>
    <row r="69" spans="2:491" s="145" customFormat="1" hidden="1">
      <c r="B69" s="145">
        <v>17</v>
      </c>
      <c r="C69" s="459"/>
      <c r="D69" s="459"/>
      <c r="N69" s="145">
        <v>17</v>
      </c>
      <c r="O69" s="459">
        <f t="shared" si="189"/>
        <v>1436500</v>
      </c>
      <c r="P69" s="986">
        <f t="shared" si="190"/>
        <v>107666.66666666664</v>
      </c>
      <c r="R69" s="145">
        <v>17</v>
      </c>
      <c r="S69" s="459">
        <f t="shared" si="191"/>
        <v>527000</v>
      </c>
      <c r="T69" s="459">
        <f t="shared" si="192"/>
        <v>25500</v>
      </c>
      <c r="V69" s="145">
        <v>17</v>
      </c>
      <c r="W69" s="459">
        <f t="shared" si="193"/>
        <v>521333.33333333349</v>
      </c>
      <c r="X69" s="459">
        <f t="shared" si="194"/>
        <v>62333.333333333314</v>
      </c>
      <c r="Z69" s="145">
        <v>17</v>
      </c>
      <c r="NN69" s="1"/>
      <c r="RW69" s="459"/>
    </row>
    <row r="70" spans="2:491" s="145" customFormat="1" hidden="1">
      <c r="B70" s="145">
        <v>18</v>
      </c>
      <c r="C70" s="459"/>
      <c r="D70" s="459"/>
      <c r="N70" s="145">
        <v>18</v>
      </c>
      <c r="O70" s="459">
        <f t="shared" si="189"/>
        <v>1521000</v>
      </c>
      <c r="P70" s="986">
        <f t="shared" si="190"/>
        <v>113999.99999999997</v>
      </c>
      <c r="R70" s="145">
        <v>18</v>
      </c>
      <c r="S70" s="459">
        <f t="shared" si="191"/>
        <v>558000</v>
      </c>
      <c r="T70" s="459">
        <f t="shared" si="192"/>
        <v>27000</v>
      </c>
      <c r="V70" s="145">
        <v>18</v>
      </c>
      <c r="W70" s="459">
        <f t="shared" si="193"/>
        <v>552000.00000000012</v>
      </c>
      <c r="X70" s="459">
        <f t="shared" si="194"/>
        <v>65999.999999999985</v>
      </c>
      <c r="Z70" s="145">
        <v>18</v>
      </c>
      <c r="NN70" s="1"/>
      <c r="RW70" s="459"/>
    </row>
    <row r="71" spans="2:491" s="145" customFormat="1" hidden="1">
      <c r="B71" s="145">
        <v>19</v>
      </c>
      <c r="C71" s="459"/>
      <c r="D71" s="459"/>
      <c r="N71" s="145">
        <v>19</v>
      </c>
      <c r="O71" s="459">
        <f t="shared" si="189"/>
        <v>1605500</v>
      </c>
      <c r="P71" s="986">
        <f t="shared" si="190"/>
        <v>120333.3333333333</v>
      </c>
      <c r="R71" s="145">
        <v>19</v>
      </c>
      <c r="S71" s="459">
        <f t="shared" si="191"/>
        <v>589000</v>
      </c>
      <c r="T71" s="459">
        <f t="shared" si="192"/>
        <v>28500</v>
      </c>
      <c r="V71" s="145">
        <v>19</v>
      </c>
      <c r="W71" s="459">
        <f t="shared" si="193"/>
        <v>582666.66666666674</v>
      </c>
      <c r="X71" s="459">
        <f t="shared" si="194"/>
        <v>69666.666666666657</v>
      </c>
      <c r="Z71" s="145">
        <v>19</v>
      </c>
      <c r="NN71" s="1"/>
      <c r="RW71" s="459"/>
    </row>
    <row r="72" spans="2:491" s="145" customFormat="1" hidden="1">
      <c r="B72" s="145">
        <v>20</v>
      </c>
      <c r="C72" s="459"/>
      <c r="D72" s="459"/>
      <c r="N72" s="145">
        <v>20</v>
      </c>
      <c r="O72" s="459">
        <f t="shared" si="189"/>
        <v>1690000</v>
      </c>
      <c r="P72" s="986">
        <f t="shared" si="190"/>
        <v>126666.66666666663</v>
      </c>
      <c r="R72" s="145">
        <v>20</v>
      </c>
      <c r="S72" s="459">
        <f t="shared" si="191"/>
        <v>620000</v>
      </c>
      <c r="T72" s="459">
        <f t="shared" si="192"/>
        <v>30000</v>
      </c>
      <c r="V72" s="145">
        <v>20</v>
      </c>
      <c r="W72" s="459">
        <f t="shared" si="193"/>
        <v>613333.33333333337</v>
      </c>
      <c r="X72" s="459">
        <f t="shared" si="194"/>
        <v>73333.333333333328</v>
      </c>
      <c r="Z72" s="145">
        <v>20</v>
      </c>
      <c r="NN72" s="1"/>
      <c r="RW72" s="459"/>
    </row>
    <row r="73" spans="2:491" s="145" customFormat="1" hidden="1">
      <c r="B73" s="145">
        <v>21</v>
      </c>
      <c r="C73" s="459"/>
      <c r="D73" s="459"/>
      <c r="N73" s="145">
        <v>21</v>
      </c>
      <c r="O73" s="459">
        <f t="shared" si="189"/>
        <v>1774500</v>
      </c>
      <c r="P73" s="986">
        <f t="shared" si="190"/>
        <v>132999.99999999997</v>
      </c>
      <c r="R73" s="145">
        <v>21</v>
      </c>
      <c r="S73" s="459">
        <f t="shared" si="191"/>
        <v>651000</v>
      </c>
      <c r="T73" s="459">
        <f t="shared" si="192"/>
        <v>31500</v>
      </c>
      <c r="V73" s="145">
        <v>21</v>
      </c>
      <c r="W73" s="459">
        <f t="shared" si="193"/>
        <v>644000</v>
      </c>
      <c r="X73" s="459">
        <f t="shared" si="194"/>
        <v>77000</v>
      </c>
      <c r="Z73" s="145">
        <v>21</v>
      </c>
      <c r="NN73" s="1"/>
      <c r="RW73" s="459"/>
    </row>
    <row r="74" spans="2:491" s="145" customFormat="1" hidden="1">
      <c r="B74" s="145">
        <v>22</v>
      </c>
      <c r="C74" s="459"/>
      <c r="D74" s="459"/>
      <c r="N74" s="145">
        <v>22</v>
      </c>
      <c r="O74" s="459">
        <f t="shared" si="189"/>
        <v>1859000</v>
      </c>
      <c r="P74" s="986">
        <f t="shared" si="190"/>
        <v>139333.33333333331</v>
      </c>
      <c r="R74" s="145">
        <v>22</v>
      </c>
      <c r="S74" s="459">
        <f t="shared" si="191"/>
        <v>682000</v>
      </c>
      <c r="T74" s="459">
        <f t="shared" si="192"/>
        <v>33000</v>
      </c>
      <c r="V74" s="145">
        <v>22</v>
      </c>
      <c r="W74" s="459">
        <f t="shared" si="193"/>
        <v>674666.66666666663</v>
      </c>
      <c r="X74" s="459">
        <f t="shared" si="194"/>
        <v>80666.666666666672</v>
      </c>
      <c r="Z74" s="145">
        <v>22</v>
      </c>
      <c r="NN74" s="1"/>
      <c r="RW74" s="459"/>
    </row>
    <row r="75" spans="2:491" s="145" customFormat="1" hidden="1">
      <c r="B75" s="145">
        <v>23</v>
      </c>
      <c r="C75" s="459"/>
      <c r="D75" s="459"/>
      <c r="N75" s="145">
        <v>23</v>
      </c>
      <c r="O75" s="459">
        <f t="shared" si="189"/>
        <v>1943500</v>
      </c>
      <c r="P75" s="986">
        <f t="shared" si="190"/>
        <v>145666.66666666666</v>
      </c>
      <c r="R75" s="145">
        <v>23</v>
      </c>
      <c r="S75" s="459">
        <f t="shared" si="191"/>
        <v>713000</v>
      </c>
      <c r="T75" s="459">
        <f t="shared" si="192"/>
        <v>34500</v>
      </c>
      <c r="V75" s="145">
        <v>23</v>
      </c>
      <c r="W75" s="459">
        <f t="shared" si="193"/>
        <v>705333.33333333326</v>
      </c>
      <c r="X75" s="459">
        <f t="shared" si="194"/>
        <v>84333.333333333343</v>
      </c>
      <c r="Y75" s="459"/>
      <c r="Z75" s="145">
        <v>23</v>
      </c>
      <c r="NN75" s="1"/>
      <c r="RW75" s="459"/>
    </row>
    <row r="76" spans="2:491" s="145" customFormat="1" hidden="1">
      <c r="B76" s="145">
        <v>24</v>
      </c>
      <c r="C76" s="459"/>
      <c r="D76" s="459"/>
      <c r="N76" s="145">
        <v>24</v>
      </c>
      <c r="O76" s="459">
        <f t="shared" si="189"/>
        <v>2028000</v>
      </c>
      <c r="P76" s="986">
        <f t="shared" si="190"/>
        <v>152000</v>
      </c>
      <c r="R76" s="145">
        <v>24</v>
      </c>
      <c r="S76" s="459">
        <f t="shared" si="191"/>
        <v>744000</v>
      </c>
      <c r="T76" s="459">
        <f t="shared" si="192"/>
        <v>36000</v>
      </c>
      <c r="V76" s="145">
        <v>24</v>
      </c>
      <c r="W76" s="459">
        <f t="shared" si="193"/>
        <v>735999.99999999988</v>
      </c>
      <c r="X76" s="459">
        <f t="shared" si="194"/>
        <v>88000.000000000015</v>
      </c>
      <c r="Z76" s="145">
        <v>24</v>
      </c>
      <c r="NN76" s="1"/>
      <c r="RW76" s="459"/>
    </row>
    <row r="77" spans="2:491" s="145" customFormat="1" hidden="1">
      <c r="B77" s="145">
        <v>25</v>
      </c>
      <c r="C77" s="459"/>
      <c r="D77" s="459"/>
      <c r="N77" s="145">
        <v>25</v>
      </c>
      <c r="O77" s="459">
        <f t="shared" si="189"/>
        <v>2112500</v>
      </c>
      <c r="P77" s="986">
        <f t="shared" si="190"/>
        <v>158333.33333333334</v>
      </c>
      <c r="R77" s="145">
        <v>25</v>
      </c>
      <c r="S77" s="459">
        <f t="shared" si="191"/>
        <v>775000</v>
      </c>
      <c r="T77" s="459">
        <f t="shared" si="192"/>
        <v>37500</v>
      </c>
      <c r="V77" s="145">
        <v>25</v>
      </c>
      <c r="W77" s="459">
        <f t="shared" si="193"/>
        <v>766666.66666666651</v>
      </c>
      <c r="X77" s="459">
        <f t="shared" si="194"/>
        <v>91666.666666666686</v>
      </c>
      <c r="Z77" s="145">
        <v>25</v>
      </c>
      <c r="NN77" s="1"/>
      <c r="RW77" s="459"/>
    </row>
    <row r="78" spans="2:491" s="145" customFormat="1" hidden="1">
      <c r="B78" s="145">
        <v>26</v>
      </c>
      <c r="C78" s="459"/>
      <c r="D78" s="459"/>
      <c r="N78" s="145">
        <v>26</v>
      </c>
      <c r="O78" s="459">
        <f t="shared" si="189"/>
        <v>2197000</v>
      </c>
      <c r="P78" s="986">
        <f t="shared" si="190"/>
        <v>164666.66666666669</v>
      </c>
      <c r="R78" s="145">
        <v>26</v>
      </c>
      <c r="S78" s="459">
        <f t="shared" si="191"/>
        <v>806000</v>
      </c>
      <c r="T78" s="459">
        <f t="shared" si="192"/>
        <v>39000</v>
      </c>
      <c r="V78" s="145">
        <v>26</v>
      </c>
      <c r="W78" s="459">
        <f t="shared" si="193"/>
        <v>797333.33333333314</v>
      </c>
      <c r="X78" s="459">
        <f t="shared" si="194"/>
        <v>95333.333333333358</v>
      </c>
      <c r="Z78" s="145">
        <v>26</v>
      </c>
      <c r="NN78" s="1"/>
      <c r="RW78" s="459"/>
    </row>
    <row r="79" spans="2:491" s="145" customFormat="1" hidden="1">
      <c r="B79" s="145">
        <v>27</v>
      </c>
      <c r="C79" s="459"/>
      <c r="D79" s="459"/>
      <c r="N79" s="145">
        <v>27</v>
      </c>
      <c r="O79" s="459">
        <f t="shared" si="189"/>
        <v>2281500</v>
      </c>
      <c r="P79" s="986">
        <f t="shared" si="190"/>
        <v>171000.00000000003</v>
      </c>
      <c r="R79" s="145">
        <v>27</v>
      </c>
      <c r="S79" s="459">
        <f t="shared" si="191"/>
        <v>837000</v>
      </c>
      <c r="T79" s="459">
        <f t="shared" si="192"/>
        <v>40500</v>
      </c>
      <c r="V79" s="145">
        <v>27</v>
      </c>
      <c r="W79" s="459">
        <f t="shared" si="193"/>
        <v>827999.99999999977</v>
      </c>
      <c r="X79" s="459">
        <f t="shared" si="194"/>
        <v>99000.000000000029</v>
      </c>
      <c r="Z79" s="145">
        <v>27</v>
      </c>
      <c r="NN79" s="1"/>
      <c r="RW79" s="459"/>
    </row>
    <row r="80" spans="2:491" s="145" customFormat="1" hidden="1">
      <c r="B80" s="145">
        <v>28</v>
      </c>
      <c r="C80" s="459"/>
      <c r="D80" s="459"/>
      <c r="N80" s="145">
        <v>28</v>
      </c>
      <c r="O80" s="459">
        <f t="shared" si="189"/>
        <v>2366000</v>
      </c>
      <c r="P80" s="986">
        <f t="shared" si="190"/>
        <v>177333.33333333337</v>
      </c>
      <c r="R80" s="145">
        <v>28</v>
      </c>
      <c r="S80" s="459">
        <f t="shared" si="191"/>
        <v>868000</v>
      </c>
      <c r="T80" s="459">
        <f t="shared" si="192"/>
        <v>42000</v>
      </c>
      <c r="V80" s="145">
        <v>28</v>
      </c>
      <c r="W80" s="459">
        <f t="shared" si="193"/>
        <v>858666.6666666664</v>
      </c>
      <c r="X80" s="459">
        <f t="shared" si="194"/>
        <v>102666.6666666667</v>
      </c>
      <c r="Z80" s="145">
        <v>28</v>
      </c>
      <c r="NN80" s="1"/>
      <c r="RW80" s="459"/>
    </row>
    <row r="81" spans="2:491" s="145" customFormat="1" hidden="1">
      <c r="B81" s="145">
        <v>29</v>
      </c>
      <c r="C81" s="459"/>
      <c r="D81" s="459"/>
      <c r="N81" s="145">
        <v>29</v>
      </c>
      <c r="O81" s="459">
        <f t="shared" si="189"/>
        <v>2450500</v>
      </c>
      <c r="P81" s="986">
        <f t="shared" si="190"/>
        <v>183666.66666666672</v>
      </c>
      <c r="R81" s="145">
        <v>29</v>
      </c>
      <c r="S81" s="459">
        <f t="shared" si="191"/>
        <v>899000</v>
      </c>
      <c r="T81" s="459">
        <f t="shared" si="192"/>
        <v>43500</v>
      </c>
      <c r="V81" s="145">
        <v>29</v>
      </c>
      <c r="W81" s="459">
        <f t="shared" si="193"/>
        <v>889333.33333333302</v>
      </c>
      <c r="X81" s="459">
        <f t="shared" si="194"/>
        <v>106333.33333333337</v>
      </c>
      <c r="Z81" s="145">
        <v>29</v>
      </c>
      <c r="NN81" s="1"/>
      <c r="RW81" s="459"/>
    </row>
    <row r="82" spans="2:491" s="145" customFormat="1" hidden="1">
      <c r="B82" s="145">
        <v>30</v>
      </c>
      <c r="C82" s="459"/>
      <c r="D82" s="459"/>
      <c r="N82" s="145">
        <v>30</v>
      </c>
      <c r="O82" s="459">
        <f t="shared" si="189"/>
        <v>2535000</v>
      </c>
      <c r="P82" s="986">
        <f t="shared" si="190"/>
        <v>190000.00000000006</v>
      </c>
      <c r="R82" s="145">
        <v>30</v>
      </c>
      <c r="S82" s="459">
        <f t="shared" si="191"/>
        <v>930000</v>
      </c>
      <c r="T82" s="459">
        <f t="shared" si="192"/>
        <v>45000</v>
      </c>
      <c r="V82" s="145">
        <v>30</v>
      </c>
      <c r="W82" s="459">
        <f t="shared" si="193"/>
        <v>919999.99999999965</v>
      </c>
      <c r="X82" s="459">
        <f t="shared" si="194"/>
        <v>110000.00000000004</v>
      </c>
      <c r="NN82" s="1"/>
      <c r="RW82" s="459"/>
    </row>
    <row r="83" spans="2:491" s="145" customFormat="1" hidden="1">
      <c r="B83" s="145">
        <v>31</v>
      </c>
      <c r="C83" s="459"/>
      <c r="D83" s="459"/>
      <c r="N83" s="145">
        <v>31</v>
      </c>
      <c r="O83" s="459">
        <f t="shared" si="189"/>
        <v>2619500</v>
      </c>
      <c r="P83" s="986">
        <f t="shared" si="190"/>
        <v>196333.3333333334</v>
      </c>
      <c r="Q83" s="982"/>
      <c r="R83" s="145">
        <v>31</v>
      </c>
      <c r="S83" s="459">
        <f t="shared" si="191"/>
        <v>961000</v>
      </c>
      <c r="T83" s="459">
        <f t="shared" si="192"/>
        <v>46500</v>
      </c>
      <c r="U83" s="982"/>
      <c r="V83" s="145">
        <v>31</v>
      </c>
      <c r="W83" s="459">
        <f t="shared" si="193"/>
        <v>950666.66666666628</v>
      </c>
      <c r="X83" s="459">
        <f t="shared" si="194"/>
        <v>113666.66666666672</v>
      </c>
      <c r="NN83" s="1"/>
      <c r="RW83" s="459"/>
    </row>
    <row r="84" spans="2:491" s="145" customFormat="1" hidden="1">
      <c r="NN84" s="1"/>
      <c r="RW84" s="459"/>
    </row>
    <row r="85" spans="2:491" s="145" customFormat="1" hidden="1">
      <c r="NN85" s="1"/>
      <c r="RW85" s="459"/>
    </row>
    <row r="86" spans="2:491" s="145" customFormat="1" hidden="1">
      <c r="NN86" s="1"/>
      <c r="RW86" s="459"/>
    </row>
    <row r="87" spans="2:491" s="145" customFormat="1" hidden="1">
      <c r="NN87" s="1"/>
      <c r="RW87" s="459"/>
    </row>
    <row r="88" spans="2:491" s="145" customFormat="1" hidden="1">
      <c r="W88" s="459"/>
      <c r="X88" s="459"/>
      <c r="NN88" s="1"/>
      <c r="RW88" s="459"/>
    </row>
    <row r="89" spans="2:491" s="145" customFormat="1" hidden="1">
      <c r="O89" s="489"/>
      <c r="P89" s="489"/>
      <c r="S89" s="489"/>
      <c r="T89" s="489"/>
      <c r="W89" s="489"/>
      <c r="X89" s="489"/>
      <c r="NN89" s="1"/>
      <c r="RW89" s="459"/>
    </row>
    <row r="90" spans="2:491" s="145" customFormat="1" hidden="1">
      <c r="O90" s="489">
        <f>O43/30</f>
        <v>81666.666666666672</v>
      </c>
      <c r="P90" s="489">
        <f>P43/31</f>
        <v>5645.1612903225805</v>
      </c>
      <c r="S90" s="489">
        <f>S43/30</f>
        <v>31833.333333333332</v>
      </c>
      <c r="T90" s="489">
        <f>T43/30</f>
        <v>1666.6666666666667</v>
      </c>
      <c r="W90" s="489">
        <f>W43/30</f>
        <v>30000</v>
      </c>
      <c r="X90" s="489">
        <f>X43/30</f>
        <v>2166.6666666666665</v>
      </c>
      <c r="NN90" s="1"/>
      <c r="RW90" s="459"/>
    </row>
    <row r="91" spans="2:491" s="145" customFormat="1" hidden="1">
      <c r="NN91" s="1"/>
      <c r="RW91" s="459"/>
    </row>
    <row r="92" spans="2:491" s="145" customFormat="1" hidden="1">
      <c r="NN92" s="1"/>
      <c r="RW92" s="459"/>
    </row>
    <row r="93" spans="2:491" s="145" customFormat="1" hidden="1">
      <c r="NN93" s="1"/>
      <c r="RW93" s="459"/>
    </row>
    <row r="94" spans="2:491" s="145" customFormat="1" hidden="1">
      <c r="M94" s="982"/>
      <c r="O94" s="1076">
        <v>80166.666666666672</v>
      </c>
      <c r="P94" s="1076">
        <v>4838.7096774193551</v>
      </c>
      <c r="Q94" s="459"/>
      <c r="R94" s="459"/>
      <c r="S94" s="983">
        <v>31666.666666666668</v>
      </c>
      <c r="T94" s="983">
        <v>1500</v>
      </c>
      <c r="U94" s="984"/>
      <c r="V94" s="984"/>
      <c r="W94" s="1076">
        <v>28333.333333333332</v>
      </c>
      <c r="X94" s="983">
        <v>2333.3333333333335</v>
      </c>
      <c r="Y94" s="985"/>
      <c r="Z94" s="985"/>
      <c r="AB94" s="459">
        <f>P94*31</f>
        <v>150000</v>
      </c>
      <c r="JL94" s="432"/>
      <c r="NN94" s="1"/>
      <c r="RW94" s="459"/>
    </row>
    <row r="95" spans="2:491" s="145" customFormat="1" hidden="1">
      <c r="B95" s="145">
        <v>1</v>
      </c>
      <c r="C95" s="459"/>
      <c r="D95" s="459"/>
      <c r="M95" s="982"/>
      <c r="N95" s="145">
        <v>1</v>
      </c>
      <c r="O95" s="459">
        <f>O94</f>
        <v>80166.666666666672</v>
      </c>
      <c r="P95" s="459">
        <f>P94</f>
        <v>4838.7096774193551</v>
      </c>
      <c r="R95" s="145">
        <v>1</v>
      </c>
      <c r="S95" s="459">
        <f>S94</f>
        <v>31666.666666666668</v>
      </c>
      <c r="T95" s="145">
        <f>T94</f>
        <v>1500</v>
      </c>
      <c r="V95" s="145">
        <v>1</v>
      </c>
      <c r="W95" s="459">
        <f>W94</f>
        <v>28333.333333333332</v>
      </c>
      <c r="X95" s="459">
        <f>X94</f>
        <v>2333.3333333333335</v>
      </c>
      <c r="Z95" s="145">
        <v>1</v>
      </c>
      <c r="NN95" s="1"/>
      <c r="RW95" s="459"/>
    </row>
    <row r="96" spans="2:491" s="145" customFormat="1" hidden="1">
      <c r="B96" s="145">
        <v>2</v>
      </c>
      <c r="C96" s="459"/>
      <c r="D96" s="459"/>
      <c r="M96" s="982"/>
      <c r="N96" s="145">
        <v>2</v>
      </c>
      <c r="O96" s="459">
        <f t="shared" ref="O96:O125" si="195">O95+($O$94)</f>
        <v>160333.33333333334</v>
      </c>
      <c r="P96" s="459">
        <f t="shared" ref="P96:P125" si="196">P95+($P$94)</f>
        <v>9677.4193548387102</v>
      </c>
      <c r="R96" s="145">
        <v>2</v>
      </c>
      <c r="S96" s="459">
        <f t="shared" ref="S96:S125" si="197">S95+($S$94)</f>
        <v>63333.333333333336</v>
      </c>
      <c r="T96" s="489">
        <f t="shared" ref="T96:T125" si="198">T95+($T$94)</f>
        <v>3000</v>
      </c>
      <c r="V96" s="145">
        <v>2</v>
      </c>
      <c r="W96" s="459">
        <f t="shared" ref="W96:W125" si="199">W95+($W$94)</f>
        <v>56666.666666666664</v>
      </c>
      <c r="X96" s="459">
        <f t="shared" ref="X96:X125" si="200">X95+$X$94</f>
        <v>4666.666666666667</v>
      </c>
      <c r="Z96" s="145">
        <v>2</v>
      </c>
      <c r="NN96" s="1"/>
      <c r="RW96" s="459"/>
    </row>
    <row r="97" spans="2:491" s="145" customFormat="1" hidden="1">
      <c r="B97" s="145">
        <v>3</v>
      </c>
      <c r="C97" s="459"/>
      <c r="D97" s="459"/>
      <c r="M97" s="982"/>
      <c r="N97" s="145">
        <v>3</v>
      </c>
      <c r="O97" s="459">
        <f t="shared" si="195"/>
        <v>240500</v>
      </c>
      <c r="P97" s="459">
        <f t="shared" si="196"/>
        <v>14516.129032258064</v>
      </c>
      <c r="R97" s="145">
        <v>3</v>
      </c>
      <c r="S97" s="459">
        <f t="shared" si="197"/>
        <v>95000</v>
      </c>
      <c r="T97" s="489">
        <f t="shared" si="198"/>
        <v>4500</v>
      </c>
      <c r="V97" s="145">
        <v>3</v>
      </c>
      <c r="W97" s="459">
        <f t="shared" si="199"/>
        <v>85000</v>
      </c>
      <c r="X97" s="459">
        <f t="shared" si="200"/>
        <v>7000</v>
      </c>
      <c r="Z97" s="145">
        <v>3</v>
      </c>
      <c r="NN97" s="1"/>
      <c r="RW97" s="459"/>
    </row>
    <row r="98" spans="2:491" s="145" customFormat="1" hidden="1">
      <c r="B98" s="145">
        <v>4</v>
      </c>
      <c r="C98" s="459"/>
      <c r="D98" s="459"/>
      <c r="M98" s="982"/>
      <c r="N98" s="145">
        <v>4</v>
      </c>
      <c r="O98" s="459">
        <f t="shared" si="195"/>
        <v>320666.66666666669</v>
      </c>
      <c r="P98" s="459">
        <f t="shared" si="196"/>
        <v>19354.83870967742</v>
      </c>
      <c r="R98" s="145">
        <v>4</v>
      </c>
      <c r="S98" s="459">
        <f t="shared" si="197"/>
        <v>126666.66666666667</v>
      </c>
      <c r="T98" s="489">
        <f t="shared" si="198"/>
        <v>6000</v>
      </c>
      <c r="V98" s="145">
        <v>4</v>
      </c>
      <c r="W98" s="459">
        <f t="shared" si="199"/>
        <v>113333.33333333333</v>
      </c>
      <c r="X98" s="459">
        <f t="shared" si="200"/>
        <v>9333.3333333333339</v>
      </c>
      <c r="Z98" s="145">
        <v>4</v>
      </c>
      <c r="NN98" s="1"/>
      <c r="RW98" s="459"/>
    </row>
    <row r="99" spans="2:491" s="145" customFormat="1" hidden="1">
      <c r="B99" s="145">
        <v>5</v>
      </c>
      <c r="C99" s="459"/>
      <c r="D99" s="459"/>
      <c r="M99" s="982"/>
      <c r="N99" s="145">
        <v>5</v>
      </c>
      <c r="O99" s="459">
        <f t="shared" si="195"/>
        <v>400833.33333333337</v>
      </c>
      <c r="P99" s="459">
        <f t="shared" si="196"/>
        <v>24193.548387096776</v>
      </c>
      <c r="R99" s="145">
        <v>5</v>
      </c>
      <c r="S99" s="459">
        <f t="shared" si="197"/>
        <v>158333.33333333334</v>
      </c>
      <c r="T99" s="489">
        <f t="shared" si="198"/>
        <v>7500</v>
      </c>
      <c r="V99" s="145">
        <v>5</v>
      </c>
      <c r="W99" s="459">
        <f t="shared" si="199"/>
        <v>141666.66666666666</v>
      </c>
      <c r="X99" s="459">
        <f t="shared" si="200"/>
        <v>11666.666666666668</v>
      </c>
      <c r="Z99" s="145">
        <v>5</v>
      </c>
      <c r="NN99" s="1"/>
      <c r="RW99" s="459"/>
    </row>
    <row r="100" spans="2:491" s="145" customFormat="1" hidden="1">
      <c r="B100" s="145">
        <v>6</v>
      </c>
      <c r="C100" s="459"/>
      <c r="D100" s="459"/>
      <c r="M100" s="982"/>
      <c r="N100" s="145">
        <v>6</v>
      </c>
      <c r="O100" s="459">
        <f t="shared" si="195"/>
        <v>481000.00000000006</v>
      </c>
      <c r="P100" s="459">
        <f t="shared" si="196"/>
        <v>29032.258064516132</v>
      </c>
      <c r="R100" s="145">
        <v>6</v>
      </c>
      <c r="S100" s="459">
        <f t="shared" si="197"/>
        <v>190000</v>
      </c>
      <c r="T100" s="489">
        <f t="shared" si="198"/>
        <v>9000</v>
      </c>
      <c r="V100" s="145">
        <v>6</v>
      </c>
      <c r="W100" s="459">
        <f t="shared" si="199"/>
        <v>170000</v>
      </c>
      <c r="X100" s="459">
        <f t="shared" si="200"/>
        <v>14000.000000000002</v>
      </c>
      <c r="Z100" s="145">
        <v>6</v>
      </c>
      <c r="NN100" s="1"/>
      <c r="RW100" s="459"/>
    </row>
    <row r="101" spans="2:491" s="145" customFormat="1" hidden="1">
      <c r="B101" s="145">
        <v>7</v>
      </c>
      <c r="C101" s="459"/>
      <c r="D101" s="459"/>
      <c r="M101" s="982"/>
      <c r="N101" s="145">
        <v>7</v>
      </c>
      <c r="O101" s="459">
        <f t="shared" si="195"/>
        <v>561166.66666666674</v>
      </c>
      <c r="P101" s="459">
        <f t="shared" si="196"/>
        <v>33870.967741935485</v>
      </c>
      <c r="R101" s="145">
        <v>7</v>
      </c>
      <c r="S101" s="459">
        <f t="shared" si="197"/>
        <v>221666.66666666666</v>
      </c>
      <c r="T101" s="489">
        <f t="shared" si="198"/>
        <v>10500</v>
      </c>
      <c r="V101" s="145">
        <v>7</v>
      </c>
      <c r="W101" s="459">
        <f t="shared" si="199"/>
        <v>198333.33333333334</v>
      </c>
      <c r="X101" s="459">
        <f t="shared" si="200"/>
        <v>16333.333333333336</v>
      </c>
      <c r="Z101" s="145">
        <v>7</v>
      </c>
      <c r="NN101" s="1"/>
      <c r="RW101" s="459"/>
    </row>
    <row r="102" spans="2:491" s="145" customFormat="1" hidden="1">
      <c r="B102" s="145">
        <v>8</v>
      </c>
      <c r="C102" s="459"/>
      <c r="D102" s="459"/>
      <c r="M102" s="982"/>
      <c r="N102" s="145">
        <v>8</v>
      </c>
      <c r="O102" s="459">
        <f t="shared" si="195"/>
        <v>641333.33333333337</v>
      </c>
      <c r="P102" s="459">
        <f t="shared" si="196"/>
        <v>38709.677419354841</v>
      </c>
      <c r="R102" s="145">
        <v>8</v>
      </c>
      <c r="S102" s="459">
        <f t="shared" si="197"/>
        <v>253333.33333333331</v>
      </c>
      <c r="T102" s="489">
        <f t="shared" si="198"/>
        <v>12000</v>
      </c>
      <c r="V102" s="145">
        <v>8</v>
      </c>
      <c r="W102" s="459">
        <f t="shared" si="199"/>
        <v>226666.66666666669</v>
      </c>
      <c r="X102" s="459">
        <f t="shared" si="200"/>
        <v>18666.666666666668</v>
      </c>
      <c r="Z102" s="145">
        <v>8</v>
      </c>
      <c r="AP102" s="145">
        <v>37911.700000000004</v>
      </c>
      <c r="NN102" s="1"/>
      <c r="RW102" s="459"/>
    </row>
    <row r="103" spans="2:491" s="145" customFormat="1" hidden="1">
      <c r="B103" s="145">
        <v>9</v>
      </c>
      <c r="C103" s="459"/>
      <c r="D103" s="459"/>
      <c r="M103" s="982"/>
      <c r="N103" s="145">
        <v>9</v>
      </c>
      <c r="O103" s="459">
        <f t="shared" si="195"/>
        <v>721500</v>
      </c>
      <c r="P103" s="459">
        <f t="shared" si="196"/>
        <v>43548.387096774197</v>
      </c>
      <c r="R103" s="145">
        <v>9</v>
      </c>
      <c r="S103" s="459">
        <f t="shared" si="197"/>
        <v>285000</v>
      </c>
      <c r="T103" s="489">
        <f t="shared" si="198"/>
        <v>13500</v>
      </c>
      <c r="V103" s="145">
        <v>9</v>
      </c>
      <c r="W103" s="459">
        <f t="shared" si="199"/>
        <v>255000.00000000003</v>
      </c>
      <c r="X103" s="459">
        <f t="shared" si="200"/>
        <v>21000</v>
      </c>
      <c r="Z103" s="145">
        <v>9</v>
      </c>
      <c r="NN103" s="1"/>
      <c r="RW103" s="459"/>
    </row>
    <row r="104" spans="2:491" s="145" customFormat="1" hidden="1">
      <c r="B104" s="145">
        <v>10</v>
      </c>
      <c r="C104" s="459"/>
      <c r="D104" s="459"/>
      <c r="M104" s="982"/>
      <c r="N104" s="145">
        <v>10</v>
      </c>
      <c r="O104" s="459">
        <f t="shared" si="195"/>
        <v>801666.66666666663</v>
      </c>
      <c r="P104" s="459">
        <f t="shared" si="196"/>
        <v>48387.096774193553</v>
      </c>
      <c r="R104" s="145">
        <v>10</v>
      </c>
      <c r="S104" s="459">
        <f t="shared" si="197"/>
        <v>316666.66666666669</v>
      </c>
      <c r="T104" s="489">
        <f t="shared" si="198"/>
        <v>15000</v>
      </c>
      <c r="V104" s="145">
        <v>10</v>
      </c>
      <c r="W104" s="459">
        <f t="shared" si="199"/>
        <v>283333.33333333337</v>
      </c>
      <c r="X104" s="459">
        <f t="shared" si="200"/>
        <v>23333.333333333332</v>
      </c>
      <c r="Z104" s="145">
        <v>10</v>
      </c>
      <c r="NN104" s="1"/>
      <c r="RW104" s="459"/>
    </row>
    <row r="105" spans="2:491" s="145" customFormat="1" hidden="1">
      <c r="B105" s="145">
        <v>11</v>
      </c>
      <c r="C105" s="459"/>
      <c r="D105" s="459"/>
      <c r="M105" s="982"/>
      <c r="N105" s="145">
        <v>11</v>
      </c>
      <c r="O105" s="459">
        <f t="shared" si="195"/>
        <v>881833.33333333326</v>
      </c>
      <c r="P105" s="459">
        <f t="shared" si="196"/>
        <v>53225.806451612909</v>
      </c>
      <c r="R105" s="145">
        <v>11</v>
      </c>
      <c r="S105" s="459">
        <f t="shared" si="197"/>
        <v>348333.33333333337</v>
      </c>
      <c r="T105" s="489">
        <f t="shared" si="198"/>
        <v>16500</v>
      </c>
      <c r="V105" s="145">
        <v>11</v>
      </c>
      <c r="W105" s="459">
        <f t="shared" si="199"/>
        <v>311666.66666666669</v>
      </c>
      <c r="X105" s="459">
        <f t="shared" si="200"/>
        <v>25666.666666666664</v>
      </c>
      <c r="Z105" s="145">
        <v>11</v>
      </c>
      <c r="NN105" s="1"/>
      <c r="RW105" s="459"/>
    </row>
    <row r="106" spans="2:491" s="145" customFormat="1" hidden="1">
      <c r="B106" s="145">
        <v>12</v>
      </c>
      <c r="C106" s="459"/>
      <c r="D106" s="459"/>
      <c r="M106" s="982"/>
      <c r="N106" s="145">
        <v>12</v>
      </c>
      <c r="O106" s="459">
        <f t="shared" si="195"/>
        <v>961999.99999999988</v>
      </c>
      <c r="P106" s="459">
        <f t="shared" si="196"/>
        <v>58064.516129032265</v>
      </c>
      <c r="R106" s="145">
        <v>12</v>
      </c>
      <c r="S106" s="459">
        <f t="shared" si="197"/>
        <v>380000.00000000006</v>
      </c>
      <c r="T106" s="489">
        <f t="shared" si="198"/>
        <v>18000</v>
      </c>
      <c r="V106" s="145">
        <v>12</v>
      </c>
      <c r="W106" s="459">
        <f t="shared" si="199"/>
        <v>340000</v>
      </c>
      <c r="X106" s="459">
        <f t="shared" si="200"/>
        <v>27999.999999999996</v>
      </c>
      <c r="Z106" s="145">
        <v>12</v>
      </c>
      <c r="NN106" s="1"/>
      <c r="RW106" s="459"/>
    </row>
    <row r="107" spans="2:491" s="145" customFormat="1" hidden="1">
      <c r="B107" s="145">
        <v>13</v>
      </c>
      <c r="C107" s="459"/>
      <c r="D107" s="459"/>
      <c r="M107" s="982"/>
      <c r="N107" s="145">
        <v>13</v>
      </c>
      <c r="O107" s="459">
        <f t="shared" si="195"/>
        <v>1042166.6666666665</v>
      </c>
      <c r="P107" s="459">
        <f t="shared" si="196"/>
        <v>62903.225806451621</v>
      </c>
      <c r="R107" s="145">
        <v>13</v>
      </c>
      <c r="S107" s="459">
        <f t="shared" si="197"/>
        <v>411666.66666666674</v>
      </c>
      <c r="T107" s="489">
        <f t="shared" si="198"/>
        <v>19500</v>
      </c>
      <c r="V107" s="145">
        <v>13</v>
      </c>
      <c r="W107" s="459">
        <f t="shared" si="199"/>
        <v>368333.33333333331</v>
      </c>
      <c r="X107" s="459">
        <f t="shared" si="200"/>
        <v>30333.333333333328</v>
      </c>
      <c r="Z107" s="145">
        <v>13</v>
      </c>
      <c r="NN107" s="1"/>
      <c r="RW107" s="459"/>
    </row>
    <row r="108" spans="2:491" s="145" customFormat="1" hidden="1">
      <c r="B108" s="145">
        <v>14</v>
      </c>
      <c r="C108" s="459"/>
      <c r="D108" s="459"/>
      <c r="M108" s="982"/>
      <c r="N108" s="145">
        <v>14</v>
      </c>
      <c r="O108" s="459">
        <f t="shared" si="195"/>
        <v>1122333.3333333333</v>
      </c>
      <c r="P108" s="459">
        <f t="shared" si="196"/>
        <v>67741.93548387097</v>
      </c>
      <c r="R108" s="145">
        <v>14</v>
      </c>
      <c r="S108" s="459">
        <f t="shared" si="197"/>
        <v>443333.33333333343</v>
      </c>
      <c r="T108" s="489">
        <f t="shared" si="198"/>
        <v>21000</v>
      </c>
      <c r="V108" s="145">
        <v>14</v>
      </c>
      <c r="W108" s="459">
        <f t="shared" si="199"/>
        <v>396666.66666666663</v>
      </c>
      <c r="X108" s="459">
        <f t="shared" si="200"/>
        <v>32666.666666666661</v>
      </c>
      <c r="Z108" s="145">
        <v>14</v>
      </c>
      <c r="NN108" s="1"/>
      <c r="RW108" s="459"/>
    </row>
    <row r="109" spans="2:491" s="145" customFormat="1" hidden="1">
      <c r="B109" s="145">
        <v>15</v>
      </c>
      <c r="C109" s="459"/>
      <c r="D109" s="459"/>
      <c r="M109" s="982"/>
      <c r="N109" s="145">
        <v>15</v>
      </c>
      <c r="O109" s="459">
        <f t="shared" si="195"/>
        <v>1202500</v>
      </c>
      <c r="P109" s="459">
        <f t="shared" si="196"/>
        <v>72580.645161290318</v>
      </c>
      <c r="R109" s="145">
        <v>15</v>
      </c>
      <c r="S109" s="459">
        <f t="shared" si="197"/>
        <v>475000.00000000012</v>
      </c>
      <c r="T109" s="489">
        <f t="shared" si="198"/>
        <v>22500</v>
      </c>
      <c r="V109" s="145">
        <v>15</v>
      </c>
      <c r="W109" s="459">
        <f t="shared" si="199"/>
        <v>424999.99999999994</v>
      </c>
      <c r="X109" s="459">
        <f t="shared" si="200"/>
        <v>34999.999999999993</v>
      </c>
      <c r="Z109" s="145">
        <v>15</v>
      </c>
      <c r="NN109" s="1"/>
      <c r="RW109" s="459"/>
    </row>
    <row r="110" spans="2:491" s="145" customFormat="1" hidden="1">
      <c r="B110" s="145">
        <v>16</v>
      </c>
      <c r="C110" s="459"/>
      <c r="D110" s="459"/>
      <c r="M110" s="982"/>
      <c r="N110" s="145">
        <v>16</v>
      </c>
      <c r="O110" s="459">
        <f t="shared" si="195"/>
        <v>1282666.6666666667</v>
      </c>
      <c r="P110" s="459">
        <f t="shared" si="196"/>
        <v>77419.354838709667</v>
      </c>
      <c r="R110" s="145">
        <v>16</v>
      </c>
      <c r="S110" s="459">
        <f t="shared" si="197"/>
        <v>506666.6666666668</v>
      </c>
      <c r="T110" s="489">
        <f t="shared" si="198"/>
        <v>24000</v>
      </c>
      <c r="V110" s="145">
        <v>16</v>
      </c>
      <c r="W110" s="459">
        <f t="shared" si="199"/>
        <v>453333.33333333326</v>
      </c>
      <c r="X110" s="459">
        <f t="shared" si="200"/>
        <v>37333.333333333328</v>
      </c>
      <c r="Z110" s="145">
        <v>16</v>
      </c>
      <c r="NN110" s="1"/>
      <c r="RW110" s="459"/>
    </row>
    <row r="111" spans="2:491" s="145" customFormat="1" hidden="1">
      <c r="B111" s="145">
        <v>17</v>
      </c>
      <c r="C111" s="459"/>
      <c r="D111" s="459"/>
      <c r="N111" s="145">
        <v>17</v>
      </c>
      <c r="O111" s="459">
        <f t="shared" si="195"/>
        <v>1362833.3333333335</v>
      </c>
      <c r="P111" s="459">
        <f t="shared" si="196"/>
        <v>82258.064516129016</v>
      </c>
      <c r="R111" s="145">
        <v>17</v>
      </c>
      <c r="S111" s="459">
        <f t="shared" si="197"/>
        <v>538333.33333333349</v>
      </c>
      <c r="T111" s="489">
        <f t="shared" si="198"/>
        <v>25500</v>
      </c>
      <c r="V111" s="145">
        <v>17</v>
      </c>
      <c r="W111" s="459">
        <f t="shared" si="199"/>
        <v>481666.66666666657</v>
      </c>
      <c r="X111" s="459">
        <f t="shared" si="200"/>
        <v>39666.666666666664</v>
      </c>
      <c r="Z111" s="145">
        <v>17</v>
      </c>
      <c r="NN111" s="1"/>
      <c r="RW111" s="459"/>
    </row>
    <row r="112" spans="2:491" s="145" customFormat="1" hidden="1">
      <c r="B112" s="145">
        <v>18</v>
      </c>
      <c r="C112" s="459"/>
      <c r="D112" s="459"/>
      <c r="N112" s="145">
        <v>18</v>
      </c>
      <c r="O112" s="459">
        <f t="shared" si="195"/>
        <v>1443000.0000000002</v>
      </c>
      <c r="P112" s="459">
        <f t="shared" si="196"/>
        <v>87096.774193548365</v>
      </c>
      <c r="R112" s="145">
        <v>18</v>
      </c>
      <c r="S112" s="459">
        <f t="shared" si="197"/>
        <v>570000.00000000012</v>
      </c>
      <c r="T112" s="489">
        <f t="shared" si="198"/>
        <v>27000</v>
      </c>
      <c r="V112" s="145">
        <v>18</v>
      </c>
      <c r="W112" s="459">
        <f t="shared" si="199"/>
        <v>509999.99999999988</v>
      </c>
      <c r="X112" s="459">
        <f t="shared" si="200"/>
        <v>42000</v>
      </c>
      <c r="Z112" s="145">
        <v>18</v>
      </c>
      <c r="NN112" s="1"/>
      <c r="RW112" s="459"/>
    </row>
    <row r="113" spans="2:491" s="145" customFormat="1" hidden="1">
      <c r="B113" s="145">
        <v>19</v>
      </c>
      <c r="C113" s="459"/>
      <c r="D113" s="459"/>
      <c r="N113" s="145">
        <v>19</v>
      </c>
      <c r="O113" s="459">
        <f t="shared" si="195"/>
        <v>1523166.666666667</v>
      </c>
      <c r="P113" s="459">
        <f t="shared" si="196"/>
        <v>91935.483870967713</v>
      </c>
      <c r="R113" s="145">
        <v>19</v>
      </c>
      <c r="S113" s="459">
        <f t="shared" si="197"/>
        <v>601666.66666666674</v>
      </c>
      <c r="T113" s="489">
        <f t="shared" si="198"/>
        <v>28500</v>
      </c>
      <c r="V113" s="145">
        <v>19</v>
      </c>
      <c r="W113" s="459">
        <f t="shared" si="199"/>
        <v>538333.33333333326</v>
      </c>
      <c r="X113" s="459">
        <f t="shared" si="200"/>
        <v>44333.333333333336</v>
      </c>
      <c r="Z113" s="145">
        <v>19</v>
      </c>
      <c r="NN113" s="1"/>
      <c r="RW113" s="459"/>
    </row>
    <row r="114" spans="2:491" s="145" customFormat="1" hidden="1">
      <c r="B114" s="145">
        <v>20</v>
      </c>
      <c r="C114" s="459"/>
      <c r="D114" s="459"/>
      <c r="N114" s="145">
        <v>20</v>
      </c>
      <c r="O114" s="459">
        <f t="shared" si="195"/>
        <v>1603333.3333333337</v>
      </c>
      <c r="P114" s="459">
        <f t="shared" si="196"/>
        <v>96774.193548387062</v>
      </c>
      <c r="R114" s="145">
        <v>20</v>
      </c>
      <c r="S114" s="459">
        <f t="shared" si="197"/>
        <v>633333.33333333337</v>
      </c>
      <c r="T114" s="489">
        <f t="shared" si="198"/>
        <v>30000</v>
      </c>
      <c r="V114" s="145">
        <v>20</v>
      </c>
      <c r="W114" s="459">
        <f t="shared" si="199"/>
        <v>566666.66666666663</v>
      </c>
      <c r="X114" s="459">
        <f t="shared" si="200"/>
        <v>46666.666666666672</v>
      </c>
      <c r="Z114" s="145">
        <v>20</v>
      </c>
      <c r="NN114" s="1"/>
      <c r="RW114" s="459"/>
    </row>
    <row r="115" spans="2:491" s="145" customFormat="1" hidden="1">
      <c r="B115" s="145">
        <v>21</v>
      </c>
      <c r="C115" s="459"/>
      <c r="D115" s="459"/>
      <c r="N115" s="145">
        <v>21</v>
      </c>
      <c r="O115" s="459">
        <f t="shared" si="195"/>
        <v>1683500.0000000005</v>
      </c>
      <c r="P115" s="459">
        <f t="shared" si="196"/>
        <v>101612.90322580641</v>
      </c>
      <c r="R115" s="145">
        <v>21</v>
      </c>
      <c r="S115" s="459">
        <f t="shared" si="197"/>
        <v>665000</v>
      </c>
      <c r="T115" s="489">
        <f t="shared" si="198"/>
        <v>31500</v>
      </c>
      <c r="V115" s="145">
        <v>21</v>
      </c>
      <c r="W115" s="459">
        <f t="shared" si="199"/>
        <v>595000</v>
      </c>
      <c r="X115" s="459">
        <f t="shared" si="200"/>
        <v>49000.000000000007</v>
      </c>
      <c r="Z115" s="145">
        <v>21</v>
      </c>
      <c r="NN115" s="1"/>
      <c r="RW115" s="459"/>
    </row>
    <row r="116" spans="2:491" s="145" customFormat="1" hidden="1">
      <c r="B116" s="145">
        <v>22</v>
      </c>
      <c r="C116" s="459"/>
      <c r="D116" s="459"/>
      <c r="N116" s="145">
        <v>22</v>
      </c>
      <c r="O116" s="459">
        <f t="shared" si="195"/>
        <v>1763666.6666666672</v>
      </c>
      <c r="P116" s="459">
        <f t="shared" si="196"/>
        <v>106451.61290322576</v>
      </c>
      <c r="R116" s="145">
        <v>22</v>
      </c>
      <c r="S116" s="459">
        <f t="shared" si="197"/>
        <v>696666.66666666663</v>
      </c>
      <c r="T116" s="489">
        <f t="shared" si="198"/>
        <v>33000</v>
      </c>
      <c r="V116" s="145">
        <v>22</v>
      </c>
      <c r="W116" s="459">
        <f t="shared" si="199"/>
        <v>623333.33333333337</v>
      </c>
      <c r="X116" s="459">
        <f t="shared" si="200"/>
        <v>51333.333333333343</v>
      </c>
      <c r="Z116" s="145">
        <v>22</v>
      </c>
      <c r="NN116" s="1"/>
      <c r="RW116" s="459"/>
    </row>
    <row r="117" spans="2:491" s="145" customFormat="1" hidden="1">
      <c r="B117" s="145">
        <v>23</v>
      </c>
      <c r="C117" s="459"/>
      <c r="D117" s="459"/>
      <c r="N117" s="145">
        <v>23</v>
      </c>
      <c r="O117" s="459">
        <f t="shared" si="195"/>
        <v>1843833.333333334</v>
      </c>
      <c r="P117" s="459">
        <f t="shared" si="196"/>
        <v>111290.32258064511</v>
      </c>
      <c r="R117" s="145">
        <v>23</v>
      </c>
      <c r="S117" s="459">
        <f t="shared" si="197"/>
        <v>728333.33333333326</v>
      </c>
      <c r="T117" s="489">
        <f t="shared" si="198"/>
        <v>34500</v>
      </c>
      <c r="V117" s="145">
        <v>23</v>
      </c>
      <c r="W117" s="459">
        <f t="shared" si="199"/>
        <v>651666.66666666674</v>
      </c>
      <c r="X117" s="459">
        <f t="shared" si="200"/>
        <v>53666.666666666679</v>
      </c>
      <c r="Y117" s="459"/>
      <c r="Z117" s="145">
        <v>23</v>
      </c>
      <c r="NN117" s="1"/>
      <c r="RW117" s="459"/>
    </row>
    <row r="118" spans="2:491" s="145" customFormat="1" hidden="1">
      <c r="B118" s="145">
        <v>24</v>
      </c>
      <c r="C118" s="459"/>
      <c r="D118" s="459"/>
      <c r="N118" s="145">
        <v>24</v>
      </c>
      <c r="O118" s="459">
        <f t="shared" si="195"/>
        <v>1924000.0000000007</v>
      </c>
      <c r="P118" s="459">
        <f t="shared" si="196"/>
        <v>116129.03225806446</v>
      </c>
      <c r="R118" s="145">
        <v>24</v>
      </c>
      <c r="S118" s="459">
        <f t="shared" si="197"/>
        <v>759999.99999999988</v>
      </c>
      <c r="T118" s="489">
        <f t="shared" si="198"/>
        <v>36000</v>
      </c>
      <c r="V118" s="145">
        <v>24</v>
      </c>
      <c r="W118" s="459">
        <f t="shared" si="199"/>
        <v>680000.00000000012</v>
      </c>
      <c r="X118" s="459">
        <f t="shared" si="200"/>
        <v>56000.000000000015</v>
      </c>
      <c r="Z118" s="145">
        <v>24</v>
      </c>
      <c r="NN118" s="1"/>
      <c r="RW118" s="459"/>
    </row>
    <row r="119" spans="2:491" s="145" customFormat="1" hidden="1">
      <c r="B119" s="145">
        <v>25</v>
      </c>
      <c r="C119" s="459"/>
      <c r="D119" s="459"/>
      <c r="N119" s="145">
        <v>25</v>
      </c>
      <c r="O119" s="459">
        <f t="shared" si="195"/>
        <v>2004166.6666666674</v>
      </c>
      <c r="P119" s="459">
        <f t="shared" si="196"/>
        <v>120967.74193548381</v>
      </c>
      <c r="R119" s="145">
        <v>25</v>
      </c>
      <c r="S119" s="459">
        <f t="shared" si="197"/>
        <v>791666.66666666651</v>
      </c>
      <c r="T119" s="489">
        <f t="shared" si="198"/>
        <v>37500</v>
      </c>
      <c r="V119" s="145">
        <v>25</v>
      </c>
      <c r="W119" s="459">
        <f t="shared" si="199"/>
        <v>708333.33333333349</v>
      </c>
      <c r="X119" s="459">
        <f t="shared" si="200"/>
        <v>58333.33333333335</v>
      </c>
      <c r="Z119" s="145">
        <v>25</v>
      </c>
      <c r="NN119" s="1"/>
      <c r="RW119" s="459"/>
    </row>
    <row r="120" spans="2:491" s="145" customFormat="1" hidden="1">
      <c r="B120" s="145">
        <v>26</v>
      </c>
      <c r="C120" s="459"/>
      <c r="D120" s="459"/>
      <c r="N120" s="145">
        <v>26</v>
      </c>
      <c r="O120" s="459">
        <f t="shared" si="195"/>
        <v>2084333.3333333342</v>
      </c>
      <c r="P120" s="459">
        <f t="shared" si="196"/>
        <v>125806.45161290315</v>
      </c>
      <c r="R120" s="145">
        <v>26</v>
      </c>
      <c r="S120" s="459">
        <f t="shared" si="197"/>
        <v>823333.33333333314</v>
      </c>
      <c r="T120" s="489">
        <f t="shared" si="198"/>
        <v>39000</v>
      </c>
      <c r="V120" s="145">
        <v>26</v>
      </c>
      <c r="W120" s="459">
        <f t="shared" si="199"/>
        <v>736666.66666666686</v>
      </c>
      <c r="X120" s="459">
        <f t="shared" si="200"/>
        <v>60666.666666666686</v>
      </c>
      <c r="Z120" s="145">
        <v>26</v>
      </c>
      <c r="NN120" s="1"/>
      <c r="RW120" s="459"/>
    </row>
    <row r="121" spans="2:491" s="145" customFormat="1" hidden="1">
      <c r="B121" s="145">
        <v>27</v>
      </c>
      <c r="C121" s="459"/>
      <c r="D121" s="459"/>
      <c r="N121" s="145">
        <v>27</v>
      </c>
      <c r="O121" s="459">
        <f t="shared" si="195"/>
        <v>2164500.0000000009</v>
      </c>
      <c r="P121" s="459">
        <f t="shared" si="196"/>
        <v>130645.1612903225</v>
      </c>
      <c r="R121" s="145">
        <v>27</v>
      </c>
      <c r="S121" s="459">
        <f t="shared" si="197"/>
        <v>854999.99999999977</v>
      </c>
      <c r="T121" s="489">
        <f t="shared" si="198"/>
        <v>40500</v>
      </c>
      <c r="V121" s="145">
        <v>27</v>
      </c>
      <c r="W121" s="459">
        <f t="shared" si="199"/>
        <v>765000.00000000023</v>
      </c>
      <c r="X121" s="459">
        <f t="shared" si="200"/>
        <v>63000.000000000022</v>
      </c>
      <c r="Z121" s="145">
        <v>27</v>
      </c>
      <c r="NN121" s="1"/>
      <c r="RW121" s="459"/>
    </row>
    <row r="122" spans="2:491" s="145" customFormat="1" hidden="1">
      <c r="B122" s="145">
        <v>28</v>
      </c>
      <c r="C122" s="459"/>
      <c r="D122" s="459"/>
      <c r="N122" s="145">
        <v>28</v>
      </c>
      <c r="O122" s="459">
        <f t="shared" si="195"/>
        <v>2244666.6666666674</v>
      </c>
      <c r="P122" s="459">
        <f t="shared" si="196"/>
        <v>135483.87096774185</v>
      </c>
      <c r="R122" s="145">
        <v>28</v>
      </c>
      <c r="S122" s="459">
        <f t="shared" si="197"/>
        <v>886666.6666666664</v>
      </c>
      <c r="T122" s="489">
        <f t="shared" si="198"/>
        <v>42000</v>
      </c>
      <c r="V122" s="145">
        <v>28</v>
      </c>
      <c r="W122" s="459">
        <f t="shared" si="199"/>
        <v>793333.3333333336</v>
      </c>
      <c r="X122" s="459">
        <f t="shared" si="200"/>
        <v>65333.333333333358</v>
      </c>
      <c r="Z122" s="145">
        <v>28</v>
      </c>
      <c r="NN122" s="1"/>
      <c r="RW122" s="459"/>
    </row>
    <row r="123" spans="2:491" s="145" customFormat="1" hidden="1">
      <c r="B123" s="145">
        <v>29</v>
      </c>
      <c r="C123" s="459"/>
      <c r="D123" s="459"/>
      <c r="N123" s="145">
        <v>29</v>
      </c>
      <c r="O123" s="459">
        <f t="shared" si="195"/>
        <v>2324833.333333334</v>
      </c>
      <c r="P123" s="459">
        <f t="shared" si="196"/>
        <v>140322.58064516122</v>
      </c>
      <c r="R123" s="145">
        <v>29</v>
      </c>
      <c r="S123" s="459">
        <f t="shared" si="197"/>
        <v>918333.33333333302</v>
      </c>
      <c r="T123" s="489">
        <f t="shared" si="198"/>
        <v>43500</v>
      </c>
      <c r="V123" s="145">
        <v>29</v>
      </c>
      <c r="W123" s="459">
        <f t="shared" si="199"/>
        <v>821666.66666666698</v>
      </c>
      <c r="X123" s="459">
        <f t="shared" si="200"/>
        <v>67666.666666666686</v>
      </c>
      <c r="Z123" s="145">
        <v>29</v>
      </c>
      <c r="NN123" s="1"/>
      <c r="RW123" s="459"/>
    </row>
    <row r="124" spans="2:491" s="145" customFormat="1" hidden="1">
      <c r="B124" s="145">
        <v>30</v>
      </c>
      <c r="C124" s="459"/>
      <c r="D124" s="459"/>
      <c r="N124" s="145">
        <v>30</v>
      </c>
      <c r="O124" s="459">
        <f t="shared" si="195"/>
        <v>2405000.0000000005</v>
      </c>
      <c r="P124" s="459">
        <f t="shared" si="196"/>
        <v>145161.29032258058</v>
      </c>
      <c r="R124" s="145">
        <v>30</v>
      </c>
      <c r="S124" s="459">
        <f t="shared" si="197"/>
        <v>949999.99999999965</v>
      </c>
      <c r="T124" s="489">
        <f t="shared" si="198"/>
        <v>45000</v>
      </c>
      <c r="V124" s="145">
        <v>30</v>
      </c>
      <c r="W124" s="459">
        <f t="shared" si="199"/>
        <v>850000.00000000035</v>
      </c>
      <c r="X124" s="459">
        <f t="shared" si="200"/>
        <v>70000.000000000015</v>
      </c>
      <c r="Z124" s="145">
        <v>29</v>
      </c>
      <c r="NN124" s="1"/>
      <c r="RW124" s="459"/>
    </row>
    <row r="125" spans="2:491" hidden="1">
      <c r="B125" s="145">
        <v>31</v>
      </c>
      <c r="C125" s="459"/>
      <c r="D125" s="459"/>
      <c r="N125" s="145">
        <v>31</v>
      </c>
      <c r="O125" s="459">
        <f t="shared" si="195"/>
        <v>2485166.666666667</v>
      </c>
      <c r="P125" s="459">
        <f t="shared" si="196"/>
        <v>149999.99999999994</v>
      </c>
      <c r="Q125" s="985"/>
      <c r="R125" s="145">
        <v>31</v>
      </c>
      <c r="S125" s="459">
        <f t="shared" si="197"/>
        <v>981666.66666666628</v>
      </c>
      <c r="T125" s="489">
        <f t="shared" si="198"/>
        <v>46500</v>
      </c>
      <c r="U125" s="985"/>
      <c r="V125" s="145">
        <v>31</v>
      </c>
      <c r="W125" s="459">
        <f t="shared" si="199"/>
        <v>878333.33333333372</v>
      </c>
      <c r="X125" s="459">
        <f t="shared" si="200"/>
        <v>72333.333333333343</v>
      </c>
      <c r="Y125" s="145"/>
      <c r="Z125" s="145">
        <v>29</v>
      </c>
      <c r="NN125" s="1"/>
      <c r="RW125" s="1"/>
    </row>
    <row r="126" spans="2:491" hidden="1">
      <c r="NN126" s="1"/>
      <c r="RW126" s="1"/>
    </row>
    <row r="127" spans="2:491" hidden="1">
      <c r="NN127" s="1"/>
      <c r="RW127" s="1"/>
    </row>
    <row r="128" spans="2:491" hidden="1">
      <c r="NN128" s="1"/>
      <c r="RW128" s="1"/>
    </row>
    <row r="129" spans="2:491" hidden="1">
      <c r="NN129" s="1"/>
      <c r="RW129" s="1"/>
    </row>
    <row r="130" spans="2:491" hidden="1">
      <c r="NN130" s="1"/>
      <c r="RW130" s="1"/>
    </row>
    <row r="131" spans="2:491" hidden="1">
      <c r="P131" s="887"/>
      <c r="NN131" s="1"/>
      <c r="RW131" s="1"/>
    </row>
    <row r="132" spans="2:491" hidden="1">
      <c r="O132">
        <f>'Summary TIS'!AA3/30</f>
        <v>30531.728736891455</v>
      </c>
      <c r="P132" s="887">
        <f>'Summary TIS'!AA8/30</f>
        <v>1400</v>
      </c>
      <c r="NN132" s="1"/>
      <c r="RW132" s="1"/>
    </row>
    <row r="133" spans="2:491" hidden="1">
      <c r="NN133" s="1"/>
      <c r="RW133" s="1"/>
    </row>
    <row r="134" spans="2:491" ht="23.4" hidden="1">
      <c r="C134" s="1075"/>
      <c r="NN134" s="1"/>
      <c r="RW134" s="1"/>
    </row>
    <row r="135" spans="2:491" hidden="1">
      <c r="O135" s="479">
        <v>30531.728736891455</v>
      </c>
      <c r="P135" s="479">
        <v>1400</v>
      </c>
      <c r="NN135" s="1"/>
      <c r="RW135" s="1"/>
    </row>
    <row r="136" spans="2:491" hidden="1">
      <c r="B136">
        <v>1</v>
      </c>
      <c r="N136">
        <v>1</v>
      </c>
      <c r="O136">
        <f>O135</f>
        <v>30531.728736891455</v>
      </c>
      <c r="P136">
        <f>P135</f>
        <v>1400</v>
      </c>
      <c r="NN136" s="1"/>
      <c r="RW136" s="1"/>
    </row>
    <row r="137" spans="2:491" hidden="1">
      <c r="B137">
        <v>2</v>
      </c>
      <c r="N137">
        <v>2</v>
      </c>
      <c r="O137">
        <f t="shared" ref="O137:O166" si="201">O136+($O$135)</f>
        <v>61063.45747378291</v>
      </c>
      <c r="P137">
        <f t="shared" ref="P137:P166" si="202">P136+($P$135)</f>
        <v>2800</v>
      </c>
      <c r="T137">
        <f>74000/31</f>
        <v>2387.0967741935483</v>
      </c>
      <c r="NN137" s="1"/>
      <c r="RW137" s="1"/>
    </row>
    <row r="138" spans="2:491" hidden="1">
      <c r="B138">
        <v>3</v>
      </c>
      <c r="N138">
        <v>3</v>
      </c>
      <c r="O138">
        <f t="shared" si="201"/>
        <v>91595.186210674365</v>
      </c>
      <c r="P138">
        <f t="shared" si="202"/>
        <v>4200</v>
      </c>
      <c r="NN138" s="1"/>
      <c r="RW138" s="1"/>
    </row>
    <row r="139" spans="2:491" hidden="1">
      <c r="B139">
        <v>4</v>
      </c>
      <c r="N139">
        <v>4</v>
      </c>
      <c r="O139">
        <f t="shared" si="201"/>
        <v>122126.91494756582</v>
      </c>
      <c r="P139">
        <f t="shared" si="202"/>
        <v>5600</v>
      </c>
      <c r="NN139" s="1"/>
      <c r="RW139" s="1"/>
    </row>
    <row r="140" spans="2:491" hidden="1">
      <c r="B140">
        <v>5</v>
      </c>
      <c r="N140">
        <v>5</v>
      </c>
      <c r="O140">
        <f t="shared" si="201"/>
        <v>152658.64368445729</v>
      </c>
      <c r="P140">
        <f t="shared" si="202"/>
        <v>7000</v>
      </c>
      <c r="NN140" s="1"/>
      <c r="RW140" s="1"/>
    </row>
    <row r="141" spans="2:491" hidden="1">
      <c r="B141">
        <v>6</v>
      </c>
      <c r="N141">
        <v>6</v>
      </c>
      <c r="O141">
        <f t="shared" si="201"/>
        <v>183190.37242134876</v>
      </c>
      <c r="P141">
        <f t="shared" si="202"/>
        <v>8400</v>
      </c>
      <c r="NN141" s="1"/>
      <c r="RW141" s="1"/>
    </row>
    <row r="142" spans="2:491" hidden="1">
      <c r="B142">
        <v>7</v>
      </c>
      <c r="N142">
        <v>7</v>
      </c>
      <c r="O142">
        <f t="shared" si="201"/>
        <v>213722.10115824023</v>
      </c>
      <c r="P142">
        <f t="shared" si="202"/>
        <v>9800</v>
      </c>
      <c r="NN142" s="1"/>
      <c r="RW142" s="1"/>
    </row>
    <row r="143" spans="2:491" hidden="1">
      <c r="B143">
        <v>8</v>
      </c>
      <c r="N143">
        <v>8</v>
      </c>
      <c r="O143">
        <f t="shared" si="201"/>
        <v>244253.8298951317</v>
      </c>
      <c r="P143">
        <f t="shared" si="202"/>
        <v>11200</v>
      </c>
      <c r="NN143" s="1"/>
      <c r="RW143" s="1"/>
    </row>
    <row r="144" spans="2:491" hidden="1">
      <c r="B144">
        <v>9</v>
      </c>
      <c r="N144">
        <v>9</v>
      </c>
      <c r="O144">
        <f t="shared" si="201"/>
        <v>274785.55863202317</v>
      </c>
      <c r="P144">
        <f t="shared" si="202"/>
        <v>12600</v>
      </c>
      <c r="NN144" s="1"/>
      <c r="RW144" s="1"/>
    </row>
    <row r="145" spans="2:491" hidden="1">
      <c r="B145">
        <v>10</v>
      </c>
      <c r="N145">
        <v>10</v>
      </c>
      <c r="O145">
        <f t="shared" si="201"/>
        <v>305317.28736891464</v>
      </c>
      <c r="P145">
        <f t="shared" si="202"/>
        <v>14000</v>
      </c>
      <c r="NN145" s="1"/>
      <c r="RW145" s="1"/>
    </row>
    <row r="146" spans="2:491" hidden="1">
      <c r="B146">
        <v>11</v>
      </c>
      <c r="N146">
        <v>11</v>
      </c>
      <c r="O146">
        <f t="shared" si="201"/>
        <v>335849.01610580611</v>
      </c>
      <c r="P146">
        <f t="shared" si="202"/>
        <v>15400</v>
      </c>
      <c r="NN146" s="1"/>
      <c r="RW146" s="1"/>
    </row>
    <row r="147" spans="2:491" hidden="1">
      <c r="B147">
        <v>12</v>
      </c>
      <c r="N147">
        <v>12</v>
      </c>
      <c r="O147">
        <f t="shared" si="201"/>
        <v>366380.74484269758</v>
      </c>
      <c r="P147">
        <f t="shared" si="202"/>
        <v>16800</v>
      </c>
      <c r="NN147" s="1"/>
      <c r="RW147" s="1"/>
    </row>
    <row r="148" spans="2:491" hidden="1">
      <c r="B148">
        <v>13</v>
      </c>
      <c r="N148">
        <v>13</v>
      </c>
      <c r="O148">
        <f t="shared" si="201"/>
        <v>396912.47357958904</v>
      </c>
      <c r="P148">
        <f t="shared" si="202"/>
        <v>18200</v>
      </c>
      <c r="NN148" s="1"/>
      <c r="RW148" s="1"/>
    </row>
    <row r="149" spans="2:491" hidden="1">
      <c r="B149">
        <v>14</v>
      </c>
      <c r="N149">
        <v>14</v>
      </c>
      <c r="O149">
        <f t="shared" si="201"/>
        <v>427444.20231648051</v>
      </c>
      <c r="P149">
        <f t="shared" si="202"/>
        <v>19600</v>
      </c>
      <c r="NN149" s="1"/>
      <c r="RW149" s="1"/>
    </row>
    <row r="150" spans="2:491" hidden="1">
      <c r="B150">
        <v>15</v>
      </c>
      <c r="N150">
        <v>15</v>
      </c>
      <c r="O150">
        <f t="shared" si="201"/>
        <v>457975.93105337198</v>
      </c>
      <c r="P150">
        <f t="shared" si="202"/>
        <v>21000</v>
      </c>
      <c r="NN150" s="1"/>
      <c r="RW150" s="1"/>
    </row>
    <row r="151" spans="2:491" hidden="1">
      <c r="B151">
        <v>16</v>
      </c>
      <c r="N151">
        <v>16</v>
      </c>
      <c r="O151">
        <f t="shared" si="201"/>
        <v>488507.65979026345</v>
      </c>
      <c r="P151">
        <f t="shared" si="202"/>
        <v>22400</v>
      </c>
      <c r="NN151" s="1"/>
      <c r="RW151" s="1"/>
    </row>
    <row r="152" spans="2:491" hidden="1">
      <c r="B152">
        <v>17</v>
      </c>
      <c r="N152">
        <v>17</v>
      </c>
      <c r="O152">
        <f t="shared" si="201"/>
        <v>519039.38852715492</v>
      </c>
      <c r="P152">
        <f t="shared" si="202"/>
        <v>23800</v>
      </c>
      <c r="NN152" s="1"/>
      <c r="RW152" s="1"/>
    </row>
    <row r="153" spans="2:491" hidden="1">
      <c r="B153">
        <v>18</v>
      </c>
      <c r="N153">
        <v>18</v>
      </c>
      <c r="O153">
        <f t="shared" si="201"/>
        <v>549571.11726404633</v>
      </c>
      <c r="P153">
        <f t="shared" si="202"/>
        <v>25200</v>
      </c>
      <c r="NN153" s="1"/>
      <c r="RW153" s="1"/>
    </row>
    <row r="154" spans="2:491" hidden="1">
      <c r="B154">
        <v>19</v>
      </c>
      <c r="N154">
        <v>19</v>
      </c>
      <c r="O154">
        <f t="shared" si="201"/>
        <v>580102.84600093774</v>
      </c>
      <c r="P154">
        <f t="shared" si="202"/>
        <v>26600</v>
      </c>
      <c r="NN154" s="1"/>
      <c r="RW154" s="1"/>
    </row>
    <row r="155" spans="2:491" hidden="1">
      <c r="B155">
        <v>20</v>
      </c>
      <c r="N155">
        <v>20</v>
      </c>
      <c r="O155">
        <f t="shared" si="201"/>
        <v>610634.57473782916</v>
      </c>
      <c r="P155">
        <f t="shared" si="202"/>
        <v>28000</v>
      </c>
      <c r="NN155" s="1"/>
      <c r="RW155" s="1"/>
    </row>
    <row r="156" spans="2:491" hidden="1">
      <c r="B156">
        <v>21</v>
      </c>
      <c r="N156">
        <v>21</v>
      </c>
      <c r="O156">
        <f t="shared" si="201"/>
        <v>641166.30347472057</v>
      </c>
      <c r="P156">
        <f t="shared" si="202"/>
        <v>29400</v>
      </c>
      <c r="NN156" s="1"/>
      <c r="RW156" s="1"/>
    </row>
    <row r="157" spans="2:491" hidden="1">
      <c r="B157">
        <v>22</v>
      </c>
      <c r="N157">
        <v>22</v>
      </c>
      <c r="O157">
        <f t="shared" si="201"/>
        <v>671698.03221161198</v>
      </c>
      <c r="P157">
        <f t="shared" si="202"/>
        <v>30800</v>
      </c>
      <c r="NN157" s="1"/>
      <c r="RW157" s="1"/>
    </row>
    <row r="158" spans="2:491" hidden="1">
      <c r="B158">
        <v>23</v>
      </c>
      <c r="N158">
        <v>23</v>
      </c>
      <c r="O158">
        <f t="shared" si="201"/>
        <v>702229.76094850339</v>
      </c>
      <c r="P158">
        <f t="shared" si="202"/>
        <v>32200</v>
      </c>
      <c r="NN158" s="1"/>
      <c r="RW158" s="1"/>
    </row>
    <row r="159" spans="2:491" hidden="1">
      <c r="B159">
        <v>24</v>
      </c>
      <c r="N159">
        <v>24</v>
      </c>
      <c r="O159">
        <f t="shared" si="201"/>
        <v>732761.4896853948</v>
      </c>
      <c r="P159">
        <f t="shared" si="202"/>
        <v>33600</v>
      </c>
      <c r="NN159" s="1"/>
      <c r="RW159" s="1"/>
    </row>
    <row r="160" spans="2:491" hidden="1">
      <c r="B160">
        <v>25</v>
      </c>
      <c r="N160">
        <v>25</v>
      </c>
      <c r="O160">
        <f t="shared" si="201"/>
        <v>763293.21842228621</v>
      </c>
      <c r="P160">
        <f t="shared" si="202"/>
        <v>35000</v>
      </c>
      <c r="NN160" s="1"/>
      <c r="RW160" s="1"/>
    </row>
    <row r="161" spans="2:491" hidden="1">
      <c r="B161">
        <v>26</v>
      </c>
      <c r="N161">
        <v>26</v>
      </c>
      <c r="O161">
        <f t="shared" si="201"/>
        <v>793824.94715917762</v>
      </c>
      <c r="P161">
        <f t="shared" si="202"/>
        <v>36400</v>
      </c>
      <c r="NN161" s="1"/>
      <c r="RW161" s="1"/>
    </row>
    <row r="162" spans="2:491" hidden="1">
      <c r="B162">
        <v>27</v>
      </c>
      <c r="N162">
        <v>27</v>
      </c>
      <c r="O162">
        <f t="shared" si="201"/>
        <v>824356.67589606903</v>
      </c>
      <c r="P162">
        <f t="shared" si="202"/>
        <v>37800</v>
      </c>
      <c r="NN162" s="1"/>
      <c r="RW162" s="1"/>
    </row>
    <row r="163" spans="2:491" hidden="1">
      <c r="B163">
        <v>28</v>
      </c>
      <c r="N163">
        <v>28</v>
      </c>
      <c r="O163">
        <f t="shared" si="201"/>
        <v>854888.40463296045</v>
      </c>
      <c r="P163">
        <f t="shared" si="202"/>
        <v>39200</v>
      </c>
      <c r="NN163" s="1"/>
      <c r="RW163" s="1"/>
    </row>
    <row r="164" spans="2:491" hidden="1">
      <c r="B164">
        <v>29</v>
      </c>
      <c r="N164">
        <v>29</v>
      </c>
      <c r="O164">
        <f t="shared" si="201"/>
        <v>885420.13336985186</v>
      </c>
      <c r="P164">
        <f t="shared" si="202"/>
        <v>40600</v>
      </c>
      <c r="NN164" s="1"/>
      <c r="RW164" s="1"/>
    </row>
    <row r="165" spans="2:491" hidden="1">
      <c r="B165">
        <v>30</v>
      </c>
      <c r="N165">
        <v>30</v>
      </c>
      <c r="O165">
        <f t="shared" si="201"/>
        <v>915951.86210674327</v>
      </c>
      <c r="P165">
        <f t="shared" si="202"/>
        <v>42000</v>
      </c>
      <c r="NN165" s="1"/>
      <c r="RW165" s="1"/>
    </row>
    <row r="166" spans="2:491" hidden="1">
      <c r="B166">
        <v>31</v>
      </c>
      <c r="N166">
        <v>31</v>
      </c>
      <c r="O166">
        <f t="shared" si="201"/>
        <v>946483.59084363468</v>
      </c>
      <c r="P166">
        <f t="shared" si="202"/>
        <v>43400</v>
      </c>
      <c r="NN166" s="1"/>
      <c r="RW166" s="1"/>
    </row>
    <row r="167" spans="2:491" hidden="1">
      <c r="NN167" s="1"/>
      <c r="RW167" s="1"/>
    </row>
    <row r="168" spans="2:491" hidden="1">
      <c r="NN168" s="1"/>
    </row>
    <row r="169" spans="2:491" hidden="1">
      <c r="NN169" s="1"/>
    </row>
    <row r="170" spans="2:491" hidden="1">
      <c r="NN170" s="1"/>
    </row>
    <row r="171" spans="2:491" hidden="1">
      <c r="NN171" s="1"/>
    </row>
    <row r="172" spans="2:491" hidden="1">
      <c r="NN172" s="1"/>
    </row>
    <row r="173" spans="2:491" hidden="1">
      <c r="O173">
        <f>'April TIS'!C45/30</f>
        <v>30933.333333333114</v>
      </c>
      <c r="P173">
        <f>'April TIS'!D45/30</f>
        <v>1833.3333333333333</v>
      </c>
      <c r="NN173" s="1"/>
    </row>
    <row r="174" spans="2:491" hidden="1">
      <c r="NN174" s="1"/>
    </row>
    <row r="175" spans="2:491" hidden="1">
      <c r="NN175" s="1"/>
    </row>
    <row r="176" spans="2:491" hidden="1">
      <c r="NN176" s="1"/>
    </row>
    <row r="177" spans="2:491" hidden="1">
      <c r="O177" s="479">
        <v>30166.666666666668</v>
      </c>
      <c r="P177" s="479">
        <v>1200</v>
      </c>
      <c r="Q177" s="887">
        <f>P177/31</f>
        <v>38.70967741935484</v>
      </c>
      <c r="NN177" s="1"/>
      <c r="RW177" s="1"/>
    </row>
    <row r="178" spans="2:491" hidden="1">
      <c r="B178">
        <v>1</v>
      </c>
      <c r="N178">
        <v>1</v>
      </c>
      <c r="O178">
        <f>O177</f>
        <v>30166.666666666668</v>
      </c>
      <c r="P178">
        <f>P177</f>
        <v>1200</v>
      </c>
      <c r="NN178" s="1"/>
      <c r="RW178" s="1"/>
    </row>
    <row r="179" spans="2:491" hidden="1">
      <c r="B179">
        <v>2</v>
      </c>
      <c r="N179">
        <v>2</v>
      </c>
      <c r="O179">
        <f t="shared" ref="O179:O208" si="203">O178+($O$177)</f>
        <v>60333.333333333336</v>
      </c>
      <c r="P179">
        <f t="shared" ref="P179:P208" si="204">P178+($P$177)</f>
        <v>2400</v>
      </c>
      <c r="NN179" s="1"/>
      <c r="RW179" s="1"/>
    </row>
    <row r="180" spans="2:491" hidden="1">
      <c r="B180">
        <v>3</v>
      </c>
      <c r="N180">
        <v>3</v>
      </c>
      <c r="O180">
        <f t="shared" si="203"/>
        <v>90500</v>
      </c>
      <c r="P180">
        <f t="shared" si="204"/>
        <v>3600</v>
      </c>
      <c r="NN180" s="1"/>
      <c r="RW180" s="1"/>
    </row>
    <row r="181" spans="2:491" hidden="1">
      <c r="B181">
        <v>4</v>
      </c>
      <c r="N181">
        <v>4</v>
      </c>
      <c r="O181">
        <f t="shared" si="203"/>
        <v>120666.66666666667</v>
      </c>
      <c r="P181">
        <f t="shared" si="204"/>
        <v>4800</v>
      </c>
      <c r="NN181" s="1"/>
      <c r="RW181" s="1"/>
    </row>
    <row r="182" spans="2:491" hidden="1">
      <c r="B182">
        <v>5</v>
      </c>
      <c r="N182">
        <v>5</v>
      </c>
      <c r="O182">
        <f t="shared" si="203"/>
        <v>150833.33333333334</v>
      </c>
      <c r="P182">
        <f t="shared" si="204"/>
        <v>6000</v>
      </c>
      <c r="NN182" s="1"/>
      <c r="RW182" s="1"/>
    </row>
    <row r="183" spans="2:491" hidden="1">
      <c r="B183">
        <v>6</v>
      </c>
      <c r="N183">
        <v>6</v>
      </c>
      <c r="O183">
        <f t="shared" si="203"/>
        <v>181000</v>
      </c>
      <c r="P183">
        <f t="shared" si="204"/>
        <v>7200</v>
      </c>
      <c r="NN183" s="1"/>
      <c r="RW183" s="1"/>
    </row>
    <row r="184" spans="2:491" hidden="1">
      <c r="B184">
        <v>7</v>
      </c>
      <c r="N184">
        <v>7</v>
      </c>
      <c r="O184">
        <f t="shared" si="203"/>
        <v>211166.66666666666</v>
      </c>
      <c r="P184">
        <f t="shared" si="204"/>
        <v>8400</v>
      </c>
      <c r="NN184" s="1"/>
      <c r="RW184" s="1"/>
    </row>
    <row r="185" spans="2:491" hidden="1">
      <c r="B185">
        <v>8</v>
      </c>
      <c r="N185">
        <v>8</v>
      </c>
      <c r="O185">
        <f t="shared" si="203"/>
        <v>241333.33333333331</v>
      </c>
      <c r="P185">
        <f t="shared" si="204"/>
        <v>9600</v>
      </c>
      <c r="NN185" s="1"/>
      <c r="RW185" s="1"/>
    </row>
    <row r="186" spans="2:491" hidden="1">
      <c r="B186">
        <v>9</v>
      </c>
      <c r="N186">
        <v>9</v>
      </c>
      <c r="O186">
        <f t="shared" si="203"/>
        <v>271500</v>
      </c>
      <c r="P186">
        <f t="shared" si="204"/>
        <v>10800</v>
      </c>
      <c r="NN186" s="1"/>
      <c r="RW186" s="1"/>
    </row>
    <row r="187" spans="2:491" hidden="1">
      <c r="B187">
        <v>10</v>
      </c>
      <c r="N187">
        <v>10</v>
      </c>
      <c r="O187">
        <f t="shared" si="203"/>
        <v>301666.66666666669</v>
      </c>
      <c r="P187">
        <f t="shared" si="204"/>
        <v>12000</v>
      </c>
      <c r="NN187" s="1"/>
      <c r="RW187" s="1"/>
    </row>
    <row r="188" spans="2:491" hidden="1">
      <c r="B188">
        <v>11</v>
      </c>
      <c r="N188">
        <v>11</v>
      </c>
      <c r="O188">
        <f t="shared" si="203"/>
        <v>331833.33333333337</v>
      </c>
      <c r="P188">
        <f t="shared" si="204"/>
        <v>13200</v>
      </c>
      <c r="NN188" s="1"/>
      <c r="RW188" s="1"/>
    </row>
    <row r="189" spans="2:491" hidden="1">
      <c r="B189">
        <v>12</v>
      </c>
      <c r="N189">
        <v>12</v>
      </c>
      <c r="O189">
        <f t="shared" si="203"/>
        <v>362000.00000000006</v>
      </c>
      <c r="P189">
        <f t="shared" si="204"/>
        <v>14400</v>
      </c>
      <c r="NN189" s="1"/>
      <c r="RW189" s="1"/>
    </row>
    <row r="190" spans="2:491" hidden="1">
      <c r="B190">
        <v>13</v>
      </c>
      <c r="N190">
        <v>13</v>
      </c>
      <c r="O190">
        <f t="shared" si="203"/>
        <v>392166.66666666674</v>
      </c>
      <c r="P190">
        <f t="shared" si="204"/>
        <v>15600</v>
      </c>
      <c r="NN190" s="1"/>
      <c r="RW190" s="1"/>
    </row>
    <row r="191" spans="2:491" hidden="1">
      <c r="B191">
        <v>14</v>
      </c>
      <c r="N191">
        <v>14</v>
      </c>
      <c r="O191">
        <f t="shared" si="203"/>
        <v>422333.33333333343</v>
      </c>
      <c r="P191">
        <f t="shared" si="204"/>
        <v>16800</v>
      </c>
      <c r="NN191" s="1"/>
      <c r="RW191" s="1"/>
    </row>
    <row r="192" spans="2:491" hidden="1">
      <c r="B192">
        <v>15</v>
      </c>
      <c r="N192">
        <v>15</v>
      </c>
      <c r="O192">
        <f t="shared" si="203"/>
        <v>452500.00000000012</v>
      </c>
      <c r="P192">
        <f t="shared" si="204"/>
        <v>18000</v>
      </c>
      <c r="NN192" s="1"/>
      <c r="RW192" s="1"/>
    </row>
    <row r="193" spans="2:491" hidden="1">
      <c r="B193">
        <v>16</v>
      </c>
      <c r="N193">
        <v>16</v>
      </c>
      <c r="O193">
        <f t="shared" si="203"/>
        <v>482666.6666666668</v>
      </c>
      <c r="P193">
        <f t="shared" si="204"/>
        <v>19200</v>
      </c>
      <c r="NN193" s="1"/>
      <c r="RW193" s="1"/>
    </row>
    <row r="194" spans="2:491" hidden="1">
      <c r="B194">
        <v>17</v>
      </c>
      <c r="N194">
        <v>17</v>
      </c>
      <c r="O194">
        <f t="shared" si="203"/>
        <v>512833.33333333349</v>
      </c>
      <c r="P194">
        <f t="shared" si="204"/>
        <v>20400</v>
      </c>
      <c r="NN194" s="1"/>
      <c r="RW194" s="1"/>
    </row>
    <row r="195" spans="2:491" hidden="1">
      <c r="B195">
        <v>18</v>
      </c>
      <c r="N195">
        <v>18</v>
      </c>
      <c r="O195">
        <f t="shared" si="203"/>
        <v>543000.00000000012</v>
      </c>
      <c r="P195">
        <f t="shared" si="204"/>
        <v>21600</v>
      </c>
      <c r="NN195" s="1"/>
      <c r="RW195" s="1"/>
    </row>
    <row r="196" spans="2:491" hidden="1">
      <c r="B196">
        <v>19</v>
      </c>
      <c r="N196">
        <v>19</v>
      </c>
      <c r="O196">
        <f t="shared" si="203"/>
        <v>573166.66666666674</v>
      </c>
      <c r="P196">
        <f t="shared" si="204"/>
        <v>22800</v>
      </c>
      <c r="NN196" s="1"/>
      <c r="RW196" s="1"/>
    </row>
    <row r="197" spans="2:491" hidden="1">
      <c r="B197">
        <v>20</v>
      </c>
      <c r="N197">
        <v>20</v>
      </c>
      <c r="O197">
        <f t="shared" si="203"/>
        <v>603333.33333333337</v>
      </c>
      <c r="P197">
        <f t="shared" si="204"/>
        <v>24000</v>
      </c>
      <c r="NN197" s="1"/>
      <c r="RW197" s="1"/>
    </row>
    <row r="198" spans="2:491" hidden="1">
      <c r="B198">
        <v>21</v>
      </c>
      <c r="N198">
        <v>21</v>
      </c>
      <c r="O198">
        <f t="shared" si="203"/>
        <v>633500</v>
      </c>
      <c r="P198">
        <f t="shared" si="204"/>
        <v>25200</v>
      </c>
      <c r="NN198" s="1"/>
      <c r="RW198" s="1"/>
    </row>
    <row r="199" spans="2:491" hidden="1">
      <c r="B199">
        <v>22</v>
      </c>
      <c r="N199">
        <v>22</v>
      </c>
      <c r="O199">
        <f t="shared" si="203"/>
        <v>663666.66666666663</v>
      </c>
      <c r="P199">
        <f t="shared" si="204"/>
        <v>26400</v>
      </c>
      <c r="NN199" s="1"/>
      <c r="RW199" s="1"/>
    </row>
    <row r="200" spans="2:491" hidden="1">
      <c r="B200">
        <v>23</v>
      </c>
      <c r="N200">
        <v>23</v>
      </c>
      <c r="O200">
        <f t="shared" si="203"/>
        <v>693833.33333333326</v>
      </c>
      <c r="P200">
        <f t="shared" si="204"/>
        <v>27600</v>
      </c>
      <c r="NN200" s="1"/>
      <c r="RW200" s="1"/>
    </row>
    <row r="201" spans="2:491" hidden="1">
      <c r="B201">
        <v>24</v>
      </c>
      <c r="N201">
        <v>24</v>
      </c>
      <c r="O201">
        <f t="shared" si="203"/>
        <v>723999.99999999988</v>
      </c>
      <c r="P201">
        <f t="shared" si="204"/>
        <v>28800</v>
      </c>
      <c r="NN201" s="1"/>
      <c r="RW201" s="1"/>
    </row>
    <row r="202" spans="2:491" hidden="1">
      <c r="B202">
        <v>25</v>
      </c>
      <c r="N202">
        <v>25</v>
      </c>
      <c r="O202">
        <f t="shared" si="203"/>
        <v>754166.66666666651</v>
      </c>
      <c r="P202">
        <f t="shared" si="204"/>
        <v>30000</v>
      </c>
      <c r="NN202" s="1"/>
      <c r="RW202" s="1"/>
    </row>
    <row r="203" spans="2:491" hidden="1">
      <c r="B203">
        <v>26</v>
      </c>
      <c r="N203">
        <v>26</v>
      </c>
      <c r="O203">
        <f t="shared" si="203"/>
        <v>784333.33333333314</v>
      </c>
      <c r="P203">
        <f t="shared" si="204"/>
        <v>31200</v>
      </c>
      <c r="NN203" s="1"/>
      <c r="RW203" s="1"/>
    </row>
    <row r="204" spans="2:491" hidden="1">
      <c r="B204">
        <v>27</v>
      </c>
      <c r="N204">
        <v>27</v>
      </c>
      <c r="O204">
        <f t="shared" si="203"/>
        <v>814499.99999999977</v>
      </c>
      <c r="P204">
        <f t="shared" si="204"/>
        <v>32400</v>
      </c>
      <c r="NN204" s="1"/>
      <c r="RW204" s="1"/>
    </row>
    <row r="205" spans="2:491" hidden="1">
      <c r="B205">
        <v>28</v>
      </c>
      <c r="N205">
        <v>28</v>
      </c>
      <c r="O205">
        <f t="shared" si="203"/>
        <v>844666.6666666664</v>
      </c>
      <c r="P205">
        <f t="shared" si="204"/>
        <v>33600</v>
      </c>
      <c r="NN205" s="1"/>
      <c r="RW205" s="1"/>
    </row>
    <row r="206" spans="2:491" hidden="1">
      <c r="B206">
        <v>29</v>
      </c>
      <c r="N206">
        <v>29</v>
      </c>
      <c r="O206">
        <f t="shared" si="203"/>
        <v>874833.33333333302</v>
      </c>
      <c r="P206">
        <f t="shared" si="204"/>
        <v>34800</v>
      </c>
      <c r="NN206" s="1"/>
      <c r="RW206" s="1"/>
    </row>
    <row r="207" spans="2:491" hidden="1">
      <c r="B207">
        <v>30</v>
      </c>
      <c r="N207">
        <v>30</v>
      </c>
      <c r="O207">
        <f t="shared" si="203"/>
        <v>904999.99999999965</v>
      </c>
      <c r="P207">
        <f t="shared" si="204"/>
        <v>36000</v>
      </c>
      <c r="NN207" s="1"/>
      <c r="RW207" s="1"/>
    </row>
    <row r="208" spans="2:491" hidden="1">
      <c r="B208">
        <v>31</v>
      </c>
      <c r="N208">
        <v>31</v>
      </c>
      <c r="O208">
        <f t="shared" si="203"/>
        <v>935166.66666666628</v>
      </c>
      <c r="P208">
        <f t="shared" si="204"/>
        <v>37200</v>
      </c>
      <c r="NN208" s="1"/>
      <c r="RW208" s="1"/>
    </row>
    <row r="209" spans="16:491" hidden="1">
      <c r="DK209" s="1"/>
      <c r="DL209" s="1"/>
      <c r="NN209" s="1"/>
      <c r="RW209" s="1"/>
    </row>
    <row r="210" spans="16:491">
      <c r="AA210" s="1"/>
      <c r="AB210" s="887">
        <f>(AB43+X43)/30</f>
        <v>2166.6666666666665</v>
      </c>
      <c r="BM210" s="887">
        <f>BM43/30</f>
        <v>1666.6666666666667</v>
      </c>
      <c r="BP210" s="887" t="e">
        <f>#REF!/30</f>
        <v>#REF!</v>
      </c>
      <c r="BV210" s="887">
        <f>BV43/30</f>
        <v>2166.6666666666665</v>
      </c>
      <c r="DK210" s="1"/>
      <c r="DL210" s="1"/>
      <c r="NN210" s="1"/>
      <c r="RW210" s="1"/>
    </row>
    <row r="211" spans="16:491">
      <c r="P211" s="887"/>
      <c r="BY211" s="887">
        <f>BY43/30</f>
        <v>0</v>
      </c>
      <c r="DK211" s="1"/>
      <c r="DL211" s="1"/>
      <c r="JK211" s="887"/>
      <c r="JL211" s="1"/>
      <c r="LX211" s="1074"/>
      <c r="NN211" s="1"/>
      <c r="RW211" s="1"/>
    </row>
    <row r="212" spans="16:491">
      <c r="AB212" s="887">
        <f>X41+AB41</f>
        <v>62820</v>
      </c>
      <c r="DK212" s="1"/>
      <c r="DL212" s="1"/>
      <c r="JL212" s="887"/>
      <c r="NN212" s="1"/>
      <c r="RW212" s="1"/>
    </row>
    <row r="213" spans="16:491">
      <c r="DK213" s="1"/>
      <c r="DL213" s="1"/>
      <c r="GR213" s="887"/>
      <c r="NN213" s="1"/>
      <c r="RW213" s="1"/>
    </row>
    <row r="214" spans="16:491">
      <c r="DK214" s="1"/>
      <c r="DL214" s="1"/>
      <c r="NN214" s="1"/>
    </row>
    <row r="215" spans="16:491">
      <c r="DK215" s="1"/>
      <c r="DL215" s="1"/>
      <c r="NN215" s="1"/>
    </row>
    <row r="216" spans="16:491">
      <c r="DK216" s="1"/>
      <c r="DL216" s="1"/>
      <c r="NN216" s="1"/>
    </row>
    <row r="217" spans="16:491">
      <c r="DK217" s="1"/>
      <c r="DL217" s="1"/>
      <c r="NN217" s="1"/>
    </row>
    <row r="218" spans="16:491">
      <c r="DK218" s="1"/>
      <c r="DL218" s="1"/>
      <c r="NN218" s="1"/>
    </row>
    <row r="219" spans="16:491">
      <c r="DK219" s="1"/>
      <c r="DL219" s="1"/>
      <c r="NN219" s="1"/>
    </row>
    <row r="220" spans="16:491">
      <c r="DK220" s="1"/>
      <c r="DL220" s="1"/>
      <c r="NN220" s="1"/>
    </row>
    <row r="221" spans="16:491">
      <c r="DK221" s="1"/>
      <c r="DL221" s="1"/>
      <c r="NN221" s="1"/>
    </row>
    <row r="222" spans="16:491">
      <c r="DK222" s="1"/>
      <c r="DL222" s="1"/>
      <c r="NN222" s="1"/>
    </row>
    <row r="223" spans="16:491">
      <c r="DK223" s="1"/>
      <c r="DL223" s="1"/>
      <c r="NN223" s="1"/>
    </row>
    <row r="224" spans="16:491">
      <c r="DK224" s="1"/>
      <c r="DL224" s="1"/>
      <c r="JH224" s="887">
        <f>JH43/31</f>
        <v>5483.8709677419356</v>
      </c>
      <c r="NN224" s="1"/>
    </row>
    <row r="225" spans="20:378">
      <c r="DK225" s="1"/>
      <c r="DL225" s="1"/>
      <c r="NN225" s="1"/>
    </row>
    <row r="226" spans="20:378">
      <c r="DK226" s="1"/>
      <c r="DL226" s="1"/>
      <c r="NN226" s="1"/>
    </row>
    <row r="227" spans="20:378">
      <c r="DK227" s="1"/>
      <c r="DL227" s="1"/>
      <c r="NN227" s="1"/>
    </row>
    <row r="228" spans="20:378">
      <c r="T228" s="887">
        <f>P41+T41+AB41</f>
        <v>179197.32</v>
      </c>
      <c r="DK228" s="1"/>
      <c r="DL228" s="1"/>
      <c r="NN228" s="1"/>
    </row>
    <row r="229" spans="20:378">
      <c r="DK229" s="1"/>
      <c r="DL229" s="1"/>
      <c r="NN229" s="1"/>
    </row>
    <row r="230" spans="20:378">
      <c r="DK230" s="1"/>
      <c r="DL230" s="1"/>
      <c r="NN230" s="1"/>
    </row>
    <row r="231" spans="20:378">
      <c r="DK231" s="1"/>
      <c r="DL231" s="1"/>
      <c r="NN231" s="1"/>
    </row>
    <row r="232" spans="20:378">
      <c r="DK232" s="1"/>
      <c r="DL232" s="1"/>
      <c r="NN232" s="1"/>
    </row>
    <row r="233" spans="20:378">
      <c r="DK233" s="1"/>
      <c r="DL233" s="1"/>
      <c r="NN233" s="1"/>
    </row>
    <row r="234" spans="20:378">
      <c r="DK234" s="1"/>
      <c r="DL234" s="1"/>
      <c r="NN234" s="1"/>
    </row>
    <row r="235" spans="20:378">
      <c r="NN235" s="1"/>
    </row>
    <row r="236" spans="20:378">
      <c r="NN236" s="1"/>
    </row>
    <row r="300" spans="28:271">
      <c r="AB300" s="1">
        <f>AB43-AB41</f>
        <v>0</v>
      </c>
      <c r="JK300" s="887"/>
    </row>
    <row r="301" spans="28:271">
      <c r="JI301" s="1">
        <f>JH41+JI41</f>
        <v>260372.18000000005</v>
      </c>
    </row>
  </sheetData>
  <mergeCells count="202">
    <mergeCell ref="RY8:SB8"/>
    <mergeCell ref="JN48:JO48"/>
    <mergeCell ref="QI6:QI7"/>
    <mergeCell ref="RH6:RJ6"/>
    <mergeCell ref="RK6:RK7"/>
    <mergeCell ref="AA8:AD9"/>
    <mergeCell ref="RM8:RR8"/>
    <mergeCell ref="RU8:RX8"/>
    <mergeCell ref="PZ6:PZ7"/>
    <mergeCell ref="QA6:QA7"/>
    <mergeCell ref="QB6:QB7"/>
    <mergeCell ref="QC6:QC7"/>
    <mergeCell ref="QD6:QD7"/>
    <mergeCell ref="QE6:QG6"/>
    <mergeCell ref="PM6:PM7"/>
    <mergeCell ref="PN6:PN7"/>
    <mergeCell ref="PO6:PO7"/>
    <mergeCell ref="PR6:PS6"/>
    <mergeCell ref="PT6:PX6"/>
    <mergeCell ref="PY6:PY7"/>
    <mergeCell ref="OF6:OP6"/>
    <mergeCell ref="OR6:OR7"/>
    <mergeCell ref="OS6:OX6"/>
    <mergeCell ref="OY6:OY7"/>
    <mergeCell ref="JL6:JL7"/>
    <mergeCell ref="JN6:JU6"/>
    <mergeCell ref="JV6:KC6"/>
    <mergeCell ref="KD6:KK6"/>
    <mergeCell ref="KL6:KL7"/>
    <mergeCell ref="KN6:KR6"/>
    <mergeCell ref="OZ6:PE6"/>
    <mergeCell ref="PF6:PF7"/>
    <mergeCell ref="NB6:ND6"/>
    <mergeCell ref="NE6:NE7"/>
    <mergeCell ref="NF6:NQ6"/>
    <mergeCell ref="NR6:NR7"/>
    <mergeCell ref="NS6:OC6"/>
    <mergeCell ref="OE6:OE7"/>
    <mergeCell ref="MO6:MS6"/>
    <mergeCell ref="MT6:MT7"/>
    <mergeCell ref="MW6:MW7"/>
    <mergeCell ref="MX6:MX7"/>
    <mergeCell ref="MY6:MY7"/>
    <mergeCell ref="MZ6:MZ7"/>
    <mergeCell ref="IQ6:JD6"/>
    <mergeCell ref="JE6:JE7"/>
    <mergeCell ref="JH6:JH7"/>
    <mergeCell ref="JI6:JI7"/>
    <mergeCell ref="JJ6:JJ7"/>
    <mergeCell ref="JK6:JK7"/>
    <mergeCell ref="GX6:HK6"/>
    <mergeCell ref="HL6:HL7"/>
    <mergeCell ref="HM6:HZ6"/>
    <mergeCell ref="IA6:IA7"/>
    <mergeCell ref="IB6:IO6"/>
    <mergeCell ref="IP6:IP7"/>
    <mergeCell ref="FU6:GE6"/>
    <mergeCell ref="GG6:GG7"/>
    <mergeCell ref="GJ6:GL6"/>
    <mergeCell ref="GM6:GM7"/>
    <mergeCell ref="GP6:GP7"/>
    <mergeCell ref="GR6:GR7"/>
    <mergeCell ref="EX6:EX7"/>
    <mergeCell ref="FA6:FA7"/>
    <mergeCell ref="FB6:FB7"/>
    <mergeCell ref="FC6:FC7"/>
    <mergeCell ref="FD6:FD7"/>
    <mergeCell ref="FE6:FE7"/>
    <mergeCell ref="DQ6:DQ7"/>
    <mergeCell ref="DR6:EB6"/>
    <mergeCell ref="ED6:ED7"/>
    <mergeCell ref="EE6:EO6"/>
    <mergeCell ref="EQ6:EQ7"/>
    <mergeCell ref="ER6:EW6"/>
    <mergeCell ref="CY6:CY7"/>
    <mergeCell ref="CZ6:CZ7"/>
    <mergeCell ref="DA6:DA7"/>
    <mergeCell ref="DB6:DB7"/>
    <mergeCell ref="DC6:DC7"/>
    <mergeCell ref="DE6:DO6"/>
    <mergeCell ref="CU6:CU7"/>
    <mergeCell ref="CV6:CV7"/>
    <mergeCell ref="CW6:CW7"/>
    <mergeCell ref="CX6:CX7"/>
    <mergeCell ref="CL6:CL7"/>
    <mergeCell ref="CM6:CM7"/>
    <mergeCell ref="CN6:CN7"/>
    <mergeCell ref="CO6:CO7"/>
    <mergeCell ref="CQ6:CQ7"/>
    <mergeCell ref="CR6:CR7"/>
    <mergeCell ref="CK6:CK7"/>
    <mergeCell ref="BI6:BK6"/>
    <mergeCell ref="BL6:BN6"/>
    <mergeCell ref="BO6:BQ6"/>
    <mergeCell ref="BR6:BT6"/>
    <mergeCell ref="BU6:BW6"/>
    <mergeCell ref="BX6:BZ6"/>
    <mergeCell ref="CS6:CS7"/>
    <mergeCell ref="CT6:CT7"/>
    <mergeCell ref="AA6:AD6"/>
    <mergeCell ref="AE6:AH6"/>
    <mergeCell ref="AI6:AL6"/>
    <mergeCell ref="AN6:AP6"/>
    <mergeCell ref="CA6:CC6"/>
    <mergeCell ref="CD6:CF6"/>
    <mergeCell ref="CH6:CH7"/>
    <mergeCell ref="CI6:CI7"/>
    <mergeCell ref="CJ6:CJ7"/>
    <mergeCell ref="QR5:QW5"/>
    <mergeCell ref="QY5:RD5"/>
    <mergeCell ref="C6:C7"/>
    <mergeCell ref="D6:D7"/>
    <mergeCell ref="E6:E7"/>
    <mergeCell ref="F6:G6"/>
    <mergeCell ref="H6:I6"/>
    <mergeCell ref="J6:K6"/>
    <mergeCell ref="L6:M6"/>
    <mergeCell ref="O6:R6"/>
    <mergeCell ref="PI5:PO5"/>
    <mergeCell ref="PP5:PP40"/>
    <mergeCell ref="PR5:QI5"/>
    <mergeCell ref="QJ5:QJ40"/>
    <mergeCell ref="QL5:QM5"/>
    <mergeCell ref="QO5:QP5"/>
    <mergeCell ref="PI6:PI7"/>
    <mergeCell ref="PJ6:PJ7"/>
    <mergeCell ref="PK6:PK7"/>
    <mergeCell ref="PL6:PL7"/>
    <mergeCell ref="LQ5:MT5"/>
    <mergeCell ref="MU5:MU40"/>
    <mergeCell ref="MW5:MZ5"/>
    <mergeCell ref="NA5:NA40"/>
    <mergeCell ref="NB5:PF5"/>
    <mergeCell ref="PG5:PG40"/>
    <mergeCell ref="MC6:MG6"/>
    <mergeCell ref="MH6:MH7"/>
    <mergeCell ref="MI6:MM6"/>
    <mergeCell ref="MN6:MN7"/>
    <mergeCell ref="JN5:KL5"/>
    <mergeCell ref="KM5:KM40"/>
    <mergeCell ref="KN5:LC5"/>
    <mergeCell ref="LD5:LD40"/>
    <mergeCell ref="LF5:LO5"/>
    <mergeCell ref="LP5:LP40"/>
    <mergeCell ref="KS6:KW6"/>
    <mergeCell ref="KX6:LB6"/>
    <mergeCell ref="LC6:LC7"/>
    <mergeCell ref="LF6:LI6"/>
    <mergeCell ref="LJ6:LM6"/>
    <mergeCell ref="LN6:LN7"/>
    <mergeCell ref="LO6:LO7"/>
    <mergeCell ref="LQ6:LU6"/>
    <mergeCell ref="LV6:LV7"/>
    <mergeCell ref="LW6:MB6"/>
    <mergeCell ref="LF4:MU4"/>
    <mergeCell ref="MW4:PG4"/>
    <mergeCell ref="PI4:PP4"/>
    <mergeCell ref="PR4:QJ4"/>
    <mergeCell ref="C5:M5"/>
    <mergeCell ref="N5:N40"/>
    <mergeCell ref="O5:AL5"/>
    <mergeCell ref="AM5:AM40"/>
    <mergeCell ref="AN5:CF5"/>
    <mergeCell ref="CH5:CN5"/>
    <mergeCell ref="FA5:FE5"/>
    <mergeCell ref="FF5:FF40"/>
    <mergeCell ref="FG5:GG5"/>
    <mergeCell ref="GH5:GH40"/>
    <mergeCell ref="GJ5:GP5"/>
    <mergeCell ref="GQ5:GQ40"/>
    <mergeCell ref="FG6:FL6"/>
    <mergeCell ref="FM6:FM7"/>
    <mergeCell ref="FN6:FS6"/>
    <mergeCell ref="FT6:FT7"/>
    <mergeCell ref="GR5:GV5"/>
    <mergeCell ref="GW5:GW40"/>
    <mergeCell ref="GX5:JE5"/>
    <mergeCell ref="JF5:JF40"/>
    <mergeCell ref="B4:B7"/>
    <mergeCell ref="C4:CO4"/>
    <mergeCell ref="CQ4:EY4"/>
    <mergeCell ref="FA4:GH4"/>
    <mergeCell ref="GJ4:JF4"/>
    <mergeCell ref="JH4:LD4"/>
    <mergeCell ref="CQ5:DC5"/>
    <mergeCell ref="DD5:DD40"/>
    <mergeCell ref="DE5:EX5"/>
    <mergeCell ref="EY5:EY40"/>
    <mergeCell ref="JH5:JL5"/>
    <mergeCell ref="JM5:JM40"/>
    <mergeCell ref="GS6:GS7"/>
    <mergeCell ref="GT6:GT7"/>
    <mergeCell ref="GU6:GU7"/>
    <mergeCell ref="GV6:GV7"/>
    <mergeCell ref="AQ6:AS6"/>
    <mergeCell ref="AT6:AV6"/>
    <mergeCell ref="AW6:AY6"/>
    <mergeCell ref="AZ6:BB6"/>
    <mergeCell ref="BC6:BE6"/>
    <mergeCell ref="BF6:BH6"/>
    <mergeCell ref="S6:V6"/>
    <mergeCell ref="W6:Z6"/>
  </mergeCells>
  <conditionalFormatting sqref="B10:B40">
    <cfRule type="expression" dxfId="180" priority="18" stopIfTrue="1">
      <formula>SUMIFS($AQ10:$CF10,$AQ$7:$CF$7,"ROM")&lt;&gt;SUM($DQ10,$ED10,$EQ10,$PX10)</formula>
    </cfRule>
    <cfRule type="expression" dxfId="179" priority="19" stopIfTrue="1">
      <formula>OR(SUM(GR10:GU10)&lt;&gt;SUM(HL10,IP10,JE10),SUM(HL10,IP10,JE10)&lt;&gt;SUM(JH10:JJ10))</formula>
    </cfRule>
    <cfRule type="expression" dxfId="178" priority="20">
      <formula>OR(SUM(#REF!)&lt;&gt;SUM(P1048567,AE1048567,AT1048567),SUM(P1048567,AE1048567,AT1048567)&lt;&gt;SUM(AW1048567:AY1048567))</formula>
    </cfRule>
  </conditionalFormatting>
  <conditionalFormatting sqref="C10:AV10 CE10:JJ10 JM10:QI10 AX10:CC11 AC11:AW11 CE11:CL11 IP11:JG11 JI11:JJ11 U11:W15 NE11:NK18 X11:Z23 KX11:LU34 C11:R40 T11:T40 AA11:AA40 JM11:KW40 LV11:NA40 NL11:QI40 GK11:GK41 NB11:ND42 AB11:AB44 S11:S45 BZ12:CC18 CE12:CG18 BY12:BY19 BN12:BX29 CH12:CL37 AC12:BM40 W16:W17 U16:U20 V18:W20 BZ19:CG19 NF19:NK20 NE19:NE25 BY20:CG29 U21:W23 NG21:NK24 NF21:NF25 V24:Z40 U24:U44 NG25:NG31 NH25:NK33 NE26:NF31 BN30:CG37 NE32:NG33 NE34:NK40 KX35:LO35 LP35:LU36 KX36:LN36 KX37:LU40 BN38:CL40 T43">
    <cfRule type="expression" dxfId="177" priority="15">
      <formula>$B10=DAY(TODAY()-1)</formula>
    </cfRule>
  </conditionalFormatting>
  <conditionalFormatting sqref="S10:T10 AX10:BK11 AK11:AW11 T11:T40 S11:S45 T43">
    <cfRule type="expression" dxfId="176" priority="12">
      <formula>OR(AND(S10&lt;(S$45-(10%*S$45)),S$7="OB"),AND(S10&lt;(S$45-(10%*S$45)),S$7="ROM"))</formula>
    </cfRule>
  </conditionalFormatting>
  <conditionalFormatting sqref="V16">
    <cfRule type="expression" dxfId="175" priority="16">
      <formula>$B16=DAY(TODAY()-1)</formula>
    </cfRule>
  </conditionalFormatting>
  <conditionalFormatting sqref="W10:X40">
    <cfRule type="expression" dxfId="174" priority="9">
      <formula>OR(AND(W10&lt;(W$45-(10%*W$45)),W$7="OB"),AND(W10&lt;(W$45-(10%*W$45)),W$7="ROM"))</formula>
    </cfRule>
  </conditionalFormatting>
  <conditionalFormatting sqref="Y10:AD10 BN10:BZ10 U10:V16 BN11:BY11 Y11:AA40 AC11:AD40 AG11:AJ40 BZ11:BZ40 AB11:AB44 BN12:BW12 BX12:BY29 BN13:BR15 BS13:BW21 BO16:BR16 U17:U20 BN17:BR21 V18:V20 U21:V23 BN22:BW29 V24:V40 U24:U44 BN30:BY40 O40">
    <cfRule type="expression" dxfId="173" priority="14">
      <formula>OR(AND(O10&lt;(O$45-(10%*O$45)),O$7="OB"),AND(O10&lt;(O$45-(10%*O$45)),O$7="ROM"))</formula>
    </cfRule>
  </conditionalFormatting>
  <conditionalFormatting sqref="AE10:AF40">
    <cfRule type="expression" dxfId="172" priority="10">
      <formula>OR(AND(AE10&lt;(AE$45-(10%*AE$45)),AE$7="OB"),AND(AE10&lt;(AE$45-(10%*AE$45)),AE$7="ROM"))</formula>
    </cfRule>
  </conditionalFormatting>
  <conditionalFormatting sqref="AG10:AV10 O10:R40 AK12:BK33 AK34:BM40">
    <cfRule type="expression" dxfId="171" priority="13">
      <formula>OR(AND(O10&lt;(O$45-(10%*O$45)),O$7="OB"),AND(O10&lt;(O$45-(10%*O$45)),O$7="ROM"))</formula>
    </cfRule>
  </conditionalFormatting>
  <conditionalFormatting sqref="AW11">
    <cfRule type="expression" dxfId="170" priority="2174">
      <formula>$B10=DAY(TODAY()-1)</formula>
    </cfRule>
  </conditionalFormatting>
  <conditionalFormatting sqref="BL10:BM33">
    <cfRule type="expression" dxfId="169" priority="11">
      <formula>OR(AND(BL10&lt;(BL$45-(10%*BL$45)),BL$7="OB"),AND(BL10&lt;(BL$45-(10%*BL$45)),BL$7="ROM"))</formula>
    </cfRule>
  </conditionalFormatting>
  <conditionalFormatting sqref="CA10:CF40">
    <cfRule type="expression" dxfId="168" priority="6">
      <formula>OR(AND(CA10&lt;(CA$45-(10%*CA$45)),CA$7="OB"),AND(CA10&lt;(CA$45-(10%*CA$45)),CA$7="ROM"))</formula>
    </cfRule>
  </conditionalFormatting>
  <conditionalFormatting sqref="CD10:CD18">
    <cfRule type="expression" dxfId="167" priority="7">
      <formula>$B10=DAY(TODAY()-1)</formula>
    </cfRule>
  </conditionalFormatting>
  <conditionalFormatting sqref="CM11:GJ40 GL11:IO40 IP12:JJ40">
    <cfRule type="expression" dxfId="166" priority="3">
      <formula>$B11=DAY(TODAY()-1)</formula>
    </cfRule>
  </conditionalFormatting>
  <conditionalFormatting sqref="ED1">
    <cfRule type="expression" dxfId="165" priority="2">
      <formula>$B1=DAY(TODAY()-1)</formula>
    </cfRule>
  </conditionalFormatting>
  <conditionalFormatting sqref="EE10">
    <cfRule type="expression" dxfId="164" priority="5">
      <formula>OR(AND(EE10&lt;(EE$45-(10%*EE$45)),EE$7="OB"),AND(EE10&lt;(EE$45-(10%*EE$45)),EE$7="ROM"))</formula>
    </cfRule>
  </conditionalFormatting>
  <conditionalFormatting sqref="EG21">
    <cfRule type="expression" dxfId="163" priority="8">
      <formula>OR(AND(EG21&lt;(EG$45-(10%*EG$45)),EG$7="OB"),AND(EG21&lt;(EG$45-(10%*EG$45)),EG$7="ROM"))</formula>
    </cfRule>
  </conditionalFormatting>
  <conditionalFormatting sqref="JK10:JL40">
    <cfRule type="expression" dxfId="162" priority="4">
      <formula>$B10=DAY(TODAY()-1)</formula>
    </cfRule>
  </conditionalFormatting>
  <conditionalFormatting sqref="OI1">
    <cfRule type="expression" dxfId="161" priority="1">
      <formula>$B1=DAY(TODAY()-1)</formula>
    </cfRule>
  </conditionalFormatting>
  <pageMargins left="0.7" right="0.7" top="0.75" bottom="0.75" header="0.3" footer="0.3"/>
  <pageSetup orientation="portrait" r:id="rId1"/>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B2:TF141"/>
  <sheetViews>
    <sheetView showGridLines="0" zoomScale="70" zoomScaleNormal="70" workbookViewId="0">
      <pane xSplit="2" ySplit="1" topLeftCell="C6" activePane="bottomRight" state="frozen"/>
      <selection pane="topRight" activeCell="H17" sqref="H17"/>
      <selection pane="bottomLeft" activeCell="H17" sqref="H17"/>
      <selection pane="bottomRight" activeCell="AS44" sqref="AS44"/>
    </sheetView>
  </sheetViews>
  <sheetFormatPr defaultColWidth="8.6640625" defaultRowHeight="14.4"/>
  <cols>
    <col min="1" max="1" width="2.33203125" customWidth="1"/>
    <col min="2" max="2" width="7.33203125" customWidth="1"/>
    <col min="3" max="3" width="15.33203125" customWidth="1"/>
    <col min="4" max="4" width="13" customWidth="1"/>
    <col min="5" max="7" width="10.44140625" customWidth="1"/>
    <col min="8" max="8" width="13.6640625" customWidth="1"/>
    <col min="9" max="9" width="10.44140625" customWidth="1"/>
    <col min="10" max="10" width="12.33203125" hidden="1" customWidth="1"/>
    <col min="11" max="11" width="8.6640625" hidden="1" customWidth="1"/>
    <col min="12" max="12" width="14.6640625" hidden="1" customWidth="1"/>
    <col min="13" max="13" width="8.6640625" hidden="1" customWidth="1"/>
    <col min="14" max="14" width="5" customWidth="1"/>
    <col min="15" max="15" width="14.6640625" customWidth="1"/>
    <col min="16" max="16" width="12.109375" customWidth="1"/>
    <col min="17" max="17" width="12.6640625" bestFit="1" customWidth="1"/>
    <col min="18" max="18" width="11.5546875" bestFit="1" customWidth="1"/>
    <col min="19" max="19" width="11.6640625" hidden="1" customWidth="1"/>
    <col min="20" max="20" width="22.33203125" hidden="1" customWidth="1"/>
    <col min="21" max="23" width="17.44140625" customWidth="1"/>
    <col min="24" max="24" width="11.6640625" customWidth="1"/>
    <col min="25" max="25" width="1.33203125" customWidth="1"/>
    <col min="26" max="26" width="11.33203125" customWidth="1"/>
    <col min="27" max="27" width="14.33203125" customWidth="1"/>
    <col min="28" max="28" width="11.33203125" customWidth="1"/>
    <col min="29" max="29" width="17.6640625" customWidth="1"/>
    <col min="30" max="33" width="11.33203125" customWidth="1"/>
    <col min="34" max="34" width="18.6640625" customWidth="1"/>
    <col min="35" max="37" width="12.33203125" customWidth="1"/>
    <col min="38" max="38" width="12.109375" customWidth="1"/>
    <col min="39" max="40" width="12.109375" hidden="1" customWidth="1"/>
    <col min="41" max="42" width="17.5546875" customWidth="1"/>
    <col min="43" max="43" width="12" customWidth="1"/>
    <col min="44" max="45" width="18.44140625" customWidth="1"/>
    <col min="46" max="46" width="18.44140625" hidden="1" customWidth="1"/>
    <col min="47" max="47" width="18.44140625" customWidth="1"/>
    <col min="48" max="48" width="12.109375" hidden="1" customWidth="1"/>
    <col min="49" max="49" width="1.33203125" customWidth="1"/>
    <col min="50" max="50" width="15" customWidth="1"/>
    <col min="51" max="51" width="15" hidden="1" customWidth="1"/>
    <col min="52" max="52" width="8" customWidth="1"/>
    <col min="53" max="57" width="8.44140625" customWidth="1"/>
    <col min="58" max="58" width="2.44140625" customWidth="1"/>
    <col min="59" max="61" width="17.88671875" hidden="1" customWidth="1"/>
    <col min="62" max="62" width="0.5546875" customWidth="1"/>
    <col min="63" max="63" width="13.88671875" customWidth="1"/>
    <col min="64" max="66" width="6.6640625" customWidth="1"/>
    <col min="67" max="67" width="7" customWidth="1"/>
    <col min="68" max="68" width="9.33203125" customWidth="1"/>
    <col min="69" max="69" width="19.44140625" customWidth="1"/>
    <col min="70" max="70" width="2.5546875" customWidth="1"/>
    <col min="71" max="71" width="19" customWidth="1"/>
    <col min="72" max="88" width="30.5546875" hidden="1" customWidth="1"/>
    <col min="89" max="89" width="1.6640625" customWidth="1"/>
    <col min="90" max="90" width="9.33203125" customWidth="1"/>
    <col min="91" max="91" width="8.6640625" customWidth="1"/>
    <col min="92" max="92" width="14.109375" customWidth="1"/>
    <col min="93" max="93" width="19.44140625" customWidth="1"/>
    <col min="94" max="94" width="5.44140625" customWidth="1"/>
    <col min="95" max="95" width="6.6640625" customWidth="1"/>
    <col min="96" max="96" width="12.6640625" customWidth="1"/>
    <col min="97" max="97" width="20" customWidth="1"/>
    <col min="98" max="98" width="8.6640625" customWidth="1"/>
    <col min="99" max="99" width="10.33203125" customWidth="1"/>
    <col min="100" max="100" width="9.33203125" customWidth="1"/>
    <col min="101" max="102" width="8.6640625" customWidth="1"/>
    <col min="103" max="103" width="1.33203125" customWidth="1"/>
    <col min="104" max="104" width="12" customWidth="1"/>
    <col min="105" max="105" width="8.6640625" customWidth="1"/>
    <col min="106" max="106" width="3.33203125" customWidth="1"/>
    <col min="107" max="107" width="14.5546875" bestFit="1" customWidth="1"/>
    <col min="108" max="108" width="16.33203125" customWidth="1"/>
    <col min="109" max="109" width="12.33203125" customWidth="1"/>
    <col min="110" max="110" width="14.6640625" hidden="1" customWidth="1"/>
    <col min="111" max="111" width="11.44140625" hidden="1" customWidth="1"/>
    <col min="112" max="112" width="11.6640625" hidden="1" customWidth="1"/>
    <col min="113" max="113" width="14.5546875" customWidth="1"/>
    <col min="114" max="114" width="16.33203125" customWidth="1"/>
    <col min="115" max="115" width="8.6640625" customWidth="1"/>
    <col min="116" max="116" width="8.5546875" hidden="1" customWidth="1"/>
    <col min="117" max="117" width="8.6640625" hidden="1" customWidth="1"/>
    <col min="118" max="118" width="9.33203125" hidden="1" customWidth="1"/>
    <col min="119" max="120" width="8.6640625" hidden="1" customWidth="1"/>
    <col min="121" max="121" width="8.33203125" hidden="1" customWidth="1"/>
    <col min="122" max="122" width="13.6640625" customWidth="1"/>
    <col min="123" max="123" width="15.33203125" customWidth="1"/>
    <col min="124" max="124" width="9.33203125" customWidth="1"/>
    <col min="125" max="125" width="11.6640625" customWidth="1"/>
    <col min="126" max="126" width="11.33203125" customWidth="1"/>
    <col min="127" max="127" width="8.6640625" customWidth="1"/>
    <col min="128" max="128" width="17.33203125" hidden="1" customWidth="1"/>
    <col min="129" max="129" width="18.33203125" hidden="1" customWidth="1"/>
    <col min="130" max="130" width="8.6640625" hidden="1" customWidth="1"/>
    <col min="131" max="131" width="16.44140625" customWidth="1"/>
    <col min="132" max="132" width="13.5546875" customWidth="1"/>
    <col min="133" max="133" width="10.6640625" customWidth="1"/>
    <col min="134" max="134" width="14.6640625" customWidth="1"/>
    <col min="135" max="135" width="14" customWidth="1"/>
    <col min="136" max="136" width="8.6640625" customWidth="1"/>
    <col min="137" max="137" width="13.33203125" customWidth="1"/>
    <col min="138" max="138" width="12.6640625" customWidth="1"/>
    <col min="139" max="139" width="9.33203125" customWidth="1"/>
    <col min="140" max="140" width="13.5546875" hidden="1" customWidth="1"/>
    <col min="141" max="141" width="12.33203125" hidden="1" customWidth="1"/>
    <col min="142" max="142" width="9.33203125" hidden="1" customWidth="1"/>
    <col min="143" max="143" width="12.6640625" hidden="1" customWidth="1"/>
    <col min="144" max="144" width="11.33203125" hidden="1" customWidth="1"/>
    <col min="145" max="145" width="9.33203125" hidden="1" customWidth="1"/>
    <col min="146" max="146" width="13.44140625" hidden="1" customWidth="1"/>
    <col min="147" max="147" width="13" hidden="1" customWidth="1"/>
    <col min="148" max="148" width="9.33203125" hidden="1" customWidth="1"/>
    <col min="149" max="149" width="7.6640625" customWidth="1"/>
    <col min="150" max="152" width="10.6640625" customWidth="1"/>
    <col min="156" max="156" width="0" hidden="1" customWidth="1"/>
    <col min="157" max="157" width="18.33203125" customWidth="1"/>
    <col min="158" max="158" width="6.6640625" customWidth="1"/>
    <col min="160" max="160" width="11.6640625" bestFit="1" customWidth="1"/>
    <col min="162" max="162" width="11.6640625" bestFit="1" customWidth="1"/>
    <col min="164" max="164" width="11.6640625" bestFit="1" customWidth="1"/>
    <col min="166" max="166" width="11.6640625" bestFit="1" customWidth="1"/>
    <col min="168" max="168" width="11.6640625" bestFit="1" customWidth="1"/>
    <col min="170" max="170" width="11.6640625" bestFit="1" customWidth="1"/>
    <col min="171" max="171" width="13.33203125" bestFit="1" customWidth="1"/>
    <col min="172" max="172" width="7.6640625" customWidth="1"/>
    <col min="174" max="174" width="11.6640625" bestFit="1" customWidth="1"/>
    <col min="175" max="175" width="11.6640625" customWidth="1"/>
    <col min="176" max="176" width="11.6640625" bestFit="1" customWidth="1"/>
    <col min="177" max="177" width="12.5546875" bestFit="1" customWidth="1"/>
    <col min="178" max="178" width="11.6640625" bestFit="1" customWidth="1"/>
    <col min="180" max="180" width="11.6640625" bestFit="1" customWidth="1"/>
    <col min="181" max="181" width="12.6640625" bestFit="1" customWidth="1"/>
    <col min="182" max="182" width="11.6640625" bestFit="1" customWidth="1"/>
    <col min="183" max="183" width="10.6640625" bestFit="1" customWidth="1"/>
    <col min="184" max="184" width="11.6640625" bestFit="1" customWidth="1"/>
    <col min="185" max="185" width="13.6640625" bestFit="1" customWidth="1"/>
    <col min="186" max="186" width="11.33203125" customWidth="1"/>
    <col min="187" max="187" width="16.6640625" customWidth="1"/>
    <col min="188" max="188" width="9.6640625" customWidth="1"/>
    <col min="189" max="189" width="11.6640625" bestFit="1" customWidth="1"/>
    <col min="190" max="190" width="10.33203125" bestFit="1" customWidth="1"/>
    <col min="191" max="191" width="11.6640625" bestFit="1" customWidth="1"/>
    <col min="192" max="192" width="10.33203125" customWidth="1"/>
    <col min="193" max="193" width="11.6640625" bestFit="1" customWidth="1"/>
    <col min="194" max="194" width="12.33203125" customWidth="1"/>
    <col min="195" max="195" width="10.33203125" customWidth="1"/>
    <col min="196" max="196" width="9.33203125" customWidth="1"/>
    <col min="197" max="197" width="11.6640625" bestFit="1" customWidth="1"/>
    <col min="198" max="198" width="14.6640625" customWidth="1"/>
    <col min="199" max="199" width="12.6640625" bestFit="1" customWidth="1"/>
    <col min="200" max="200" width="12.33203125" hidden="1" customWidth="1"/>
    <col min="201" max="201" width="12.6640625" bestFit="1" customWidth="1"/>
    <col min="202" max="202" width="12.33203125" hidden="1" customWidth="1"/>
    <col min="203" max="203" width="12.6640625" bestFit="1" customWidth="1"/>
    <col min="204" max="204" width="12.33203125" hidden="1" customWidth="1"/>
    <col min="205" max="205" width="12.6640625" bestFit="1" customWidth="1"/>
    <col min="206" max="206" width="12.33203125" hidden="1" customWidth="1"/>
    <col min="207" max="207" width="12.6640625" bestFit="1" customWidth="1"/>
    <col min="208" max="208" width="12.33203125" hidden="1" customWidth="1"/>
    <col min="209" max="209" width="12.6640625" bestFit="1" customWidth="1"/>
    <col min="210" max="210" width="11.6640625" hidden="1" customWidth="1"/>
    <col min="211" max="211" width="12.6640625" customWidth="1"/>
    <col min="212" max="218" width="8.6640625" hidden="1" customWidth="1"/>
    <col min="219" max="219" width="1.33203125" customWidth="1"/>
    <col min="220" max="220" width="6.6640625" customWidth="1"/>
    <col min="223" max="223" width="9.33203125" bestFit="1" customWidth="1"/>
    <col min="226" max="226" width="1.33203125" customWidth="1"/>
    <col min="227" max="240" width="8.6640625" hidden="1" customWidth="1"/>
    <col min="241" max="241" width="7.33203125" bestFit="1" customWidth="1"/>
    <col min="242" max="242" width="11.6640625" bestFit="1" customWidth="1"/>
    <col min="243" max="243" width="6.6640625" bestFit="1" customWidth="1"/>
    <col min="244" max="244" width="11.6640625" bestFit="1" customWidth="1"/>
    <col min="245" max="245" width="6.6640625" bestFit="1" customWidth="1"/>
    <col min="246" max="246" width="11.6640625" bestFit="1" customWidth="1"/>
    <col min="247" max="247" width="6.6640625" bestFit="1" customWidth="1"/>
    <col min="248" max="248" width="11.6640625" bestFit="1" customWidth="1"/>
    <col min="249" max="249" width="10.33203125" bestFit="1" customWidth="1"/>
    <col min="250" max="250" width="11.6640625" bestFit="1" customWidth="1"/>
    <col min="251" max="251" width="6.6640625" bestFit="1" customWidth="1"/>
    <col min="252" max="252" width="11.6640625" bestFit="1" customWidth="1"/>
    <col min="254" max="254" width="1.33203125" customWidth="1"/>
    <col min="255" max="255" width="6.6640625" customWidth="1"/>
    <col min="256" max="256" width="13" customWidth="1"/>
    <col min="257" max="257" width="13.44140625" customWidth="1"/>
    <col min="258" max="258" width="12" customWidth="1"/>
    <col min="259" max="259" width="12.6640625" customWidth="1"/>
    <col min="260" max="260" width="10.33203125" hidden="1" customWidth="1"/>
    <col min="261" max="261" width="0" hidden="1" customWidth="1"/>
    <col min="262" max="262" width="37.44140625" customWidth="1"/>
    <col min="263" max="263" width="1.33203125" customWidth="1"/>
    <col min="264" max="264" width="13.33203125" bestFit="1" customWidth="1"/>
    <col min="265" max="265" width="12.33203125" bestFit="1" customWidth="1"/>
    <col min="266" max="266" width="13.33203125" customWidth="1"/>
    <col min="267" max="267" width="12.33203125" hidden="1" customWidth="1"/>
    <col min="268" max="268" width="12.33203125" bestFit="1" customWidth="1"/>
    <col min="269" max="269" width="1.33203125" customWidth="1"/>
    <col min="270" max="270" width="13.5546875" hidden="1" customWidth="1"/>
    <col min="271" max="271" width="12.33203125" hidden="1" customWidth="1"/>
    <col min="272" max="272" width="13.33203125" hidden="1" customWidth="1"/>
    <col min="273" max="273" width="13" hidden="1" customWidth="1"/>
    <col min="274" max="274" width="12.6640625" hidden="1" customWidth="1"/>
    <col min="275" max="275" width="14.44140625" hidden="1" customWidth="1"/>
    <col min="276" max="276" width="12" hidden="1" customWidth="1"/>
    <col min="277" max="278" width="11.6640625" hidden="1" customWidth="1"/>
    <col min="279" max="279" width="13" hidden="1" customWidth="1"/>
    <col min="280" max="280" width="10.33203125" hidden="1" customWidth="1"/>
    <col min="281" max="281" width="11.6640625" hidden="1" customWidth="1"/>
    <col min="282" max="282" width="0" hidden="1" customWidth="1"/>
    <col min="283" max="283" width="10.33203125" hidden="1" customWidth="1"/>
    <col min="284" max="284" width="10.44140625" hidden="1" customWidth="1"/>
    <col min="285" max="285" width="11.33203125" customWidth="1"/>
    <col min="286" max="286" width="11.6640625" bestFit="1" customWidth="1"/>
    <col min="287" max="287" width="10.33203125" bestFit="1" customWidth="1"/>
    <col min="288" max="288" width="11.6640625" bestFit="1" customWidth="1"/>
    <col min="289" max="289" width="12.33203125" bestFit="1" customWidth="1"/>
    <col min="290" max="290" width="11.6640625" bestFit="1" customWidth="1"/>
    <col min="291" max="291" width="10.44140625" bestFit="1" customWidth="1"/>
    <col min="292" max="292" width="11.6640625" bestFit="1" customWidth="1"/>
    <col min="293" max="293" width="12.33203125" bestFit="1" customWidth="1"/>
    <col min="294" max="294" width="11.6640625" bestFit="1" customWidth="1"/>
    <col min="295" max="295" width="12" customWidth="1"/>
    <col min="296" max="296" width="12.33203125" bestFit="1" customWidth="1"/>
    <col min="299" max="299" width="11.6640625" bestFit="1" customWidth="1"/>
    <col min="300" max="300" width="7.33203125" bestFit="1" customWidth="1"/>
    <col min="301" max="301" width="11.6640625" bestFit="1" customWidth="1"/>
    <col min="302" max="302" width="9.44140625" customWidth="1"/>
    <col min="303" max="303" width="11.6640625" bestFit="1" customWidth="1"/>
    <col min="304" max="305" width="12" bestFit="1" customWidth="1"/>
    <col min="306" max="306" width="8.5546875" customWidth="1"/>
    <col min="307" max="307" width="11.6640625" bestFit="1" customWidth="1"/>
    <col min="308" max="308" width="10.44140625" bestFit="1" customWidth="1"/>
    <col min="309" max="309" width="12" bestFit="1" customWidth="1"/>
    <col min="310" max="310" width="9.5546875" customWidth="1"/>
    <col min="311" max="311" width="11.6640625" bestFit="1" customWidth="1"/>
    <col min="314" max="314" width="13" customWidth="1"/>
    <col min="315" max="315" width="1.33203125" customWidth="1"/>
    <col min="316" max="316" width="6.6640625" customWidth="1"/>
    <col min="317" max="317" width="21.33203125" customWidth="1"/>
    <col min="318" max="318" width="16" customWidth="1"/>
    <col min="319" max="319" width="15.5546875" bestFit="1" customWidth="1"/>
    <col min="320" max="320" width="13.33203125" bestFit="1" customWidth="1"/>
    <col min="321" max="321" width="13" bestFit="1" customWidth="1"/>
    <col min="322" max="322" width="3.6640625" customWidth="1"/>
    <col min="323" max="323" width="12.5546875" bestFit="1" customWidth="1"/>
    <col min="327" max="327" width="11.5546875" customWidth="1"/>
    <col min="331" max="338" width="8.6640625" customWidth="1"/>
    <col min="345" max="345" width="8.6640625" customWidth="1"/>
    <col min="346" max="346" width="6.33203125" customWidth="1"/>
    <col min="348" max="348" width="1.33203125" customWidth="1"/>
    <col min="354" max="354" width="12.33203125" customWidth="1"/>
    <col min="355" max="358" width="8.6640625" customWidth="1"/>
    <col min="364" max="364" width="0" hidden="1" customWidth="1"/>
    <col min="365" max="365" width="1.33203125" customWidth="1"/>
    <col min="366" max="366" width="6.6640625" customWidth="1"/>
    <col min="367" max="367" width="16.33203125" customWidth="1"/>
    <col min="368" max="368" width="13.33203125" customWidth="1"/>
    <col min="369" max="369" width="25.33203125" customWidth="1"/>
    <col min="370" max="370" width="14.33203125" bestFit="1" customWidth="1"/>
    <col min="371" max="371" width="14.44140625" customWidth="1"/>
    <col min="372" max="372" width="13.44140625" bestFit="1" customWidth="1"/>
    <col min="374" max="374" width="0" hidden="1" customWidth="1"/>
    <col min="376" max="376" width="49.33203125" customWidth="1"/>
    <col min="377" max="377" width="1.33203125" customWidth="1"/>
    <col min="378" max="378" width="15.33203125" customWidth="1"/>
    <col min="379" max="379" width="10.33203125" bestFit="1" customWidth="1"/>
    <col min="380" max="380" width="13.6640625" bestFit="1" customWidth="1"/>
    <col min="381" max="381" width="9.44140625" customWidth="1"/>
    <col min="382" max="382" width="9.6640625" customWidth="1"/>
    <col min="383" max="383" width="12.33203125" customWidth="1"/>
    <col min="384" max="384" width="10.44140625" bestFit="1" customWidth="1"/>
    <col min="385" max="385" width="9" customWidth="1"/>
    <col min="386" max="386" width="13.6640625" bestFit="1" customWidth="1"/>
    <col min="387" max="387" width="12" bestFit="1" customWidth="1"/>
    <col min="388" max="388" width="13" bestFit="1" customWidth="1"/>
    <col min="389" max="389" width="9.6640625" bestFit="1" customWidth="1"/>
    <col min="390" max="390" width="9.33203125" bestFit="1" customWidth="1"/>
    <col min="391" max="391" width="12.6640625" customWidth="1"/>
    <col min="392" max="392" width="13.6640625" bestFit="1" customWidth="1"/>
    <col min="393" max="393" width="9.44140625" bestFit="1" customWidth="1"/>
    <col min="394" max="394" width="9.6640625" bestFit="1" customWidth="1"/>
    <col min="395" max="395" width="13.5546875" bestFit="1" customWidth="1"/>
    <col min="396" max="396" width="7.6640625" customWidth="1"/>
    <col min="397" max="397" width="9.33203125" customWidth="1"/>
    <col min="398" max="398" width="15.5546875" customWidth="1"/>
    <col min="399" max="399" width="9.44140625" customWidth="1"/>
    <col min="400" max="400" width="9.6640625" customWidth="1"/>
    <col min="401" max="401" width="13.5546875" customWidth="1"/>
    <col min="402" max="403" width="9.33203125" customWidth="1"/>
    <col min="404" max="404" width="15.5546875" customWidth="1"/>
    <col min="405" max="405" width="9.44140625" customWidth="1"/>
    <col min="406" max="406" width="9.6640625" customWidth="1"/>
    <col min="407" max="407" width="8.6640625" customWidth="1"/>
    <col min="408" max="408" width="1.33203125" customWidth="1"/>
    <col min="409" max="409" width="6.6640625" customWidth="1"/>
    <col min="410" max="410" width="13" customWidth="1"/>
    <col min="411" max="411" width="12.33203125" customWidth="1"/>
    <col min="413" max="413" width="12" customWidth="1"/>
    <col min="414" max="414" width="1.33203125" customWidth="1"/>
    <col min="415" max="415" width="17.33203125" customWidth="1"/>
    <col min="416" max="417" width="17.6640625" customWidth="1"/>
    <col min="418" max="418" width="15.33203125" customWidth="1"/>
    <col min="419" max="419" width="13.6640625" customWidth="1"/>
    <col min="420" max="420" width="14.44140625" customWidth="1"/>
    <col min="421" max="421" width="12.33203125" bestFit="1" customWidth="1"/>
    <col min="422" max="422" width="11.6640625" bestFit="1" customWidth="1"/>
    <col min="423" max="423" width="12" bestFit="1" customWidth="1"/>
    <col min="424" max="424" width="11.6640625" bestFit="1" customWidth="1"/>
    <col min="425" max="425" width="13.33203125" customWidth="1"/>
    <col min="426" max="426" width="13.44140625" customWidth="1"/>
    <col min="427" max="427" width="10.33203125" customWidth="1"/>
    <col min="428" max="428" width="11.6640625" bestFit="1" customWidth="1"/>
    <col min="429" max="429" width="6.6640625" bestFit="1" customWidth="1"/>
    <col min="430" max="430" width="11.6640625" bestFit="1" customWidth="1"/>
    <col min="431" max="431" width="11.5546875" bestFit="1" customWidth="1"/>
    <col min="432" max="432" width="12.33203125" customWidth="1"/>
    <col min="433" max="433" width="11.6640625" bestFit="1" customWidth="1"/>
    <col min="434" max="434" width="11.33203125" customWidth="1"/>
    <col min="435" max="435" width="11.6640625" bestFit="1" customWidth="1"/>
    <col min="436" max="436" width="10.33203125" customWidth="1"/>
    <col min="437" max="437" width="11.6640625" bestFit="1" customWidth="1"/>
    <col min="438" max="438" width="12.33203125" customWidth="1"/>
    <col min="439" max="439" width="11.6640625" bestFit="1" customWidth="1"/>
    <col min="440" max="440" width="13.44140625" customWidth="1"/>
    <col min="441" max="441" width="14.6640625" customWidth="1"/>
    <col min="442" max="442" width="11.33203125" bestFit="1" customWidth="1"/>
    <col min="443" max="443" width="12.6640625" bestFit="1" customWidth="1"/>
    <col min="444" max="444" width="12.33203125" customWidth="1"/>
    <col min="445" max="445" width="10" customWidth="1"/>
    <col min="446" max="446" width="11.6640625" bestFit="1" customWidth="1"/>
    <col min="447" max="447" width="9.6640625" customWidth="1"/>
    <col min="448" max="448" width="11.6640625" bestFit="1" customWidth="1"/>
    <col min="449" max="449" width="11" customWidth="1"/>
    <col min="450" max="450" width="11.6640625" bestFit="1" customWidth="1"/>
    <col min="451" max="451" width="9.6640625" customWidth="1"/>
    <col min="452" max="452" width="11.6640625" bestFit="1" customWidth="1"/>
    <col min="453" max="453" width="9.33203125" bestFit="1" customWidth="1"/>
    <col min="454" max="454" width="11.6640625" bestFit="1" customWidth="1"/>
    <col min="455" max="455" width="8.33203125" customWidth="1"/>
    <col min="456" max="456" width="11.6640625" bestFit="1" customWidth="1"/>
    <col min="457" max="457" width="13.6640625" customWidth="1"/>
    <col min="458" max="458" width="9.33203125" hidden="1" customWidth="1"/>
    <col min="459" max="459" width="9.5546875" hidden="1" customWidth="1"/>
    <col min="460" max="463" width="9.33203125" hidden="1" customWidth="1"/>
    <col min="464" max="464" width="9.5546875" hidden="1" customWidth="1"/>
    <col min="465" max="468" width="8.6640625" hidden="1" customWidth="1"/>
    <col min="469" max="469" width="13.44140625" hidden="1" customWidth="1"/>
    <col min="470" max="470" width="8.6640625" hidden="1" customWidth="1"/>
    <col min="471" max="471" width="9.33203125" hidden="1" customWidth="1"/>
    <col min="472" max="472" width="1.33203125" customWidth="1"/>
    <col min="473" max="473" width="6.6640625" customWidth="1"/>
    <col min="479" max="479" width="1.33203125" customWidth="1"/>
    <col min="480" max="480" width="6.6640625" customWidth="1"/>
    <col min="481" max="482" width="14" customWidth="1"/>
    <col min="484" max="485" width="12.33203125" customWidth="1"/>
    <col min="486" max="487" width="14" customWidth="1"/>
    <col min="488" max="488" width="10.6640625" customWidth="1"/>
    <col min="489" max="489" width="12" bestFit="1" customWidth="1"/>
    <col min="490" max="493" width="12" customWidth="1"/>
    <col min="494" max="494" width="12.6640625" customWidth="1"/>
    <col min="495" max="495" width="11.5546875" customWidth="1"/>
    <col min="496" max="497" width="14.33203125" customWidth="1"/>
    <col min="507" max="522" width="0" hidden="1" customWidth="1"/>
    <col min="523" max="523" width="12.33203125" hidden="1" customWidth="1"/>
    <col min="524" max="526" width="8.6640625" hidden="1" customWidth="1"/>
    <col min="527" max="527" width="8.6640625" customWidth="1"/>
  </cols>
  <sheetData>
    <row r="2" spans="2:97">
      <c r="O2" s="887"/>
      <c r="P2" s="887"/>
      <c r="Q2" s="887"/>
      <c r="R2" s="887"/>
    </row>
    <row r="6" spans="2:97">
      <c r="G6" s="431">
        <f>+ROUND('April TIS'!H43,0)</f>
        <v>252</v>
      </c>
      <c r="AR6" s="987"/>
    </row>
    <row r="7" spans="2:97" ht="27.6" customHeight="1">
      <c r="G7" s="98" t="e">
        <f>+ROUND('April TIS'!H44,0/mm)</f>
        <v>#NAME?</v>
      </c>
      <c r="AI7" s="1006"/>
      <c r="AJ7" s="1006"/>
      <c r="AK7" s="1006"/>
    </row>
    <row r="8" spans="2:97" ht="14.7" customHeight="1">
      <c r="B8" s="2625" t="s">
        <v>103</v>
      </c>
      <c r="C8" s="993"/>
      <c r="D8" s="993"/>
      <c r="E8" s="993"/>
      <c r="F8" s="993"/>
      <c r="G8" s="993"/>
      <c r="H8" s="993"/>
      <c r="I8" s="993"/>
      <c r="J8" s="993"/>
      <c r="K8" s="993"/>
      <c r="L8" s="993"/>
      <c r="M8" s="993"/>
      <c r="N8" s="993"/>
      <c r="O8" s="2727" t="s">
        <v>18</v>
      </c>
      <c r="P8" s="2727"/>
      <c r="Q8" s="2727"/>
      <c r="R8" s="2727"/>
      <c r="S8" s="2727"/>
      <c r="T8" s="2728"/>
      <c r="U8" s="1221"/>
      <c r="V8" s="1221"/>
      <c r="W8" s="1221"/>
      <c r="X8" s="1222"/>
      <c r="Z8" s="2729"/>
      <c r="AA8" s="2729"/>
      <c r="AB8" s="2730"/>
      <c r="AC8" s="1702"/>
      <c r="AD8" s="1702"/>
      <c r="AE8" s="1702"/>
      <c r="AF8" s="1702"/>
      <c r="AG8" s="1702"/>
      <c r="AH8" s="1702"/>
      <c r="AI8" s="2731" t="s">
        <v>126</v>
      </c>
      <c r="AJ8" s="2732"/>
      <c r="AK8" s="2732"/>
      <c r="AL8" s="2733"/>
      <c r="AM8" s="1269"/>
      <c r="AN8" s="1269"/>
      <c r="AO8" s="1269"/>
      <c r="AP8" s="1269"/>
      <c r="AQ8" s="1269"/>
      <c r="AR8" s="1269"/>
      <c r="AS8" s="1269"/>
      <c r="AT8" s="466"/>
      <c r="AU8" s="1007"/>
      <c r="AV8" s="1269"/>
      <c r="AX8" s="2734" t="s">
        <v>107</v>
      </c>
      <c r="AY8" s="2735"/>
      <c r="AZ8" s="2735"/>
      <c r="BA8" s="2735"/>
      <c r="BB8" s="2735"/>
      <c r="BC8" s="2735"/>
      <c r="BD8" s="2736"/>
      <c r="BE8" s="41"/>
      <c r="BK8" s="2753" t="s">
        <v>108</v>
      </c>
      <c r="BL8" s="2754"/>
      <c r="BM8" s="2754"/>
      <c r="BN8" s="2754"/>
      <c r="BO8" s="2754"/>
      <c r="BP8" s="2754"/>
      <c r="BQ8" s="2755"/>
      <c r="BR8" s="42"/>
      <c r="BS8" s="2671" t="s">
        <v>181</v>
      </c>
      <c r="BT8" s="42"/>
      <c r="BU8" s="42"/>
      <c r="BV8" s="42"/>
      <c r="BW8" s="42"/>
      <c r="BX8" s="42"/>
      <c r="BY8" s="42"/>
      <c r="BZ8" s="42"/>
      <c r="CA8" s="42"/>
      <c r="CB8" s="42"/>
      <c r="CC8" s="42"/>
      <c r="CD8" s="42"/>
      <c r="CE8" s="42"/>
      <c r="CF8" s="42"/>
      <c r="CG8" s="42"/>
      <c r="CH8" s="42"/>
      <c r="CI8" s="42"/>
      <c r="CJ8" s="42"/>
      <c r="CK8" s="42"/>
    </row>
    <row r="9" spans="2:97" ht="14.4" customHeight="1">
      <c r="B9" s="2626"/>
      <c r="C9" s="2624" t="s">
        <v>111</v>
      </c>
      <c r="D9" s="2628"/>
      <c r="E9" s="2628"/>
      <c r="F9" s="2628"/>
      <c r="G9" s="2628"/>
      <c r="H9" s="2628"/>
      <c r="I9" s="2628"/>
      <c r="J9" s="2628"/>
      <c r="K9" s="2628"/>
      <c r="L9" s="2628"/>
      <c r="M9" s="2628"/>
      <c r="N9" s="993"/>
      <c r="O9" s="2740" t="s">
        <v>3</v>
      </c>
      <c r="P9" s="2742"/>
      <c r="Q9" s="2742"/>
      <c r="R9" s="2740"/>
      <c r="S9" s="2671" t="s">
        <v>127</v>
      </c>
      <c r="T9" s="2671" t="s">
        <v>145</v>
      </c>
      <c r="U9" s="42"/>
      <c r="V9" s="42"/>
      <c r="W9" s="42"/>
      <c r="X9" s="2671" t="s">
        <v>375</v>
      </c>
      <c r="Y9" s="42"/>
      <c r="Z9" s="2743" t="s">
        <v>376</v>
      </c>
      <c r="AA9" s="2744"/>
      <c r="AB9" s="2745"/>
      <c r="AC9" s="1704" t="s">
        <v>112</v>
      </c>
      <c r="AD9" s="1703"/>
      <c r="AE9" s="1703"/>
      <c r="AF9" s="1703"/>
      <c r="AG9" s="1703"/>
      <c r="AH9" s="1703"/>
      <c r="AI9" s="2749" t="s">
        <v>377</v>
      </c>
      <c r="AJ9" s="2750"/>
      <c r="AK9" s="2750"/>
      <c r="AL9" s="2751"/>
      <c r="AM9" s="1270"/>
      <c r="AN9" s="1270"/>
      <c r="AO9" s="2752"/>
      <c r="AP9" s="2752"/>
      <c r="AQ9" s="2752"/>
      <c r="AR9" s="2752"/>
      <c r="AS9" s="1270"/>
      <c r="AT9" s="1007"/>
      <c r="AU9" s="1359" t="s">
        <v>378</v>
      </c>
      <c r="AV9" s="1270"/>
      <c r="AW9" s="1007"/>
      <c r="AX9" s="2632" t="s">
        <v>77</v>
      </c>
      <c r="AY9" s="2671" t="s">
        <v>167</v>
      </c>
      <c r="AZ9" s="2624" t="s">
        <v>379</v>
      </c>
      <c r="BA9" s="2628"/>
      <c r="BB9" s="2628"/>
      <c r="BC9" s="2628"/>
      <c r="BD9" s="2631"/>
      <c r="BE9" s="41"/>
      <c r="BF9" s="1007"/>
      <c r="BG9" s="1007"/>
      <c r="BH9" s="1007"/>
      <c r="BI9" s="1007"/>
      <c r="BJ9" s="1007"/>
      <c r="BK9" s="182" t="s">
        <v>170</v>
      </c>
      <c r="BL9" s="2619" t="s">
        <v>171</v>
      </c>
      <c r="BM9" s="2673"/>
      <c r="BN9" s="2673"/>
      <c r="BO9" s="2676"/>
      <c r="BP9" s="2690" t="s">
        <v>172</v>
      </c>
      <c r="BQ9" s="2671" t="s">
        <v>145</v>
      </c>
      <c r="BR9" s="42"/>
      <c r="BS9" s="2672"/>
      <c r="BT9" s="42"/>
      <c r="BU9" s="42"/>
      <c r="BV9" s="42"/>
      <c r="BW9" s="42"/>
      <c r="BX9" s="42"/>
      <c r="BY9" s="42"/>
      <c r="BZ9" s="42"/>
      <c r="CA9" s="42"/>
      <c r="CB9" s="42"/>
      <c r="CC9" s="42"/>
      <c r="CD9" s="42"/>
      <c r="CE9" s="42"/>
      <c r="CF9" s="42"/>
      <c r="CG9" s="42"/>
      <c r="CH9" s="42"/>
      <c r="CI9" s="42"/>
      <c r="CJ9" s="42"/>
      <c r="CK9" s="42"/>
      <c r="CL9" s="1046"/>
    </row>
    <row r="10" spans="2:97" ht="34.200000000000003" customHeight="1">
      <c r="B10" s="2626"/>
      <c r="C10" s="2632" t="s">
        <v>3</v>
      </c>
      <c r="D10" s="2632" t="s">
        <v>126</v>
      </c>
      <c r="E10" s="2632" t="s">
        <v>127</v>
      </c>
      <c r="F10" s="2632" t="s">
        <v>212</v>
      </c>
      <c r="G10" s="2632"/>
      <c r="H10" s="2632" t="s">
        <v>128</v>
      </c>
      <c r="I10" s="2632"/>
      <c r="J10" s="2633"/>
      <c r="K10" s="2634"/>
      <c r="L10" s="2633"/>
      <c r="M10" s="2635"/>
      <c r="N10" s="993"/>
      <c r="O10" s="2741"/>
      <c r="P10" s="2681"/>
      <c r="Q10" s="2681"/>
      <c r="R10" s="2682"/>
      <c r="S10" s="2737"/>
      <c r="T10" s="2737"/>
      <c r="U10" s="2738" t="s">
        <v>380</v>
      </c>
      <c r="V10" s="2739"/>
      <c r="W10" s="2739"/>
      <c r="X10" s="2737"/>
      <c r="Y10" s="42"/>
      <c r="Z10" s="2746"/>
      <c r="AA10" s="2747"/>
      <c r="AB10" s="2748"/>
      <c r="AC10" s="1003" t="s">
        <v>130</v>
      </c>
      <c r="AD10" s="1003" t="s">
        <v>243</v>
      </c>
      <c r="AE10" s="1003" t="s">
        <v>244</v>
      </c>
      <c r="AF10" s="1003" t="s">
        <v>165</v>
      </c>
      <c r="AG10" s="1003" t="s">
        <v>7</v>
      </c>
      <c r="AH10" s="1003" t="s">
        <v>145</v>
      </c>
      <c r="AI10" s="1008" t="s">
        <v>147</v>
      </c>
      <c r="AJ10" s="1008" t="s">
        <v>69</v>
      </c>
      <c r="AK10" s="1008" t="s">
        <v>71</v>
      </c>
      <c r="AL10" s="1009"/>
      <c r="AM10" s="1413"/>
      <c r="AN10" s="1413"/>
      <c r="AO10" s="1308" t="s">
        <v>381</v>
      </c>
      <c r="AP10" s="1308" t="s">
        <v>382</v>
      </c>
      <c r="AQ10" s="1322" t="s">
        <v>7</v>
      </c>
      <c r="AR10" s="1308" t="s">
        <v>383</v>
      </c>
      <c r="AS10" s="1308" t="s">
        <v>384</v>
      </c>
      <c r="AT10" s="1007"/>
      <c r="AU10" s="1360" t="s">
        <v>385</v>
      </c>
      <c r="AV10" s="1413"/>
      <c r="AW10" s="1007"/>
      <c r="AX10" s="2632"/>
      <c r="AY10" s="2737"/>
      <c r="AZ10" s="2632" t="s">
        <v>168</v>
      </c>
      <c r="BA10" s="2632"/>
      <c r="BB10" s="2632"/>
      <c r="BC10" s="2632"/>
      <c r="BD10" s="2632"/>
      <c r="BE10" s="42"/>
      <c r="BF10" s="1007"/>
      <c r="BG10" s="1007"/>
      <c r="BH10" s="1007"/>
      <c r="BI10" s="1007"/>
      <c r="BJ10" s="1007"/>
      <c r="BK10" s="184" t="s">
        <v>168</v>
      </c>
      <c r="BL10" s="43" t="s">
        <v>198</v>
      </c>
      <c r="BM10" s="43" t="s">
        <v>199</v>
      </c>
      <c r="BN10" s="44" t="s">
        <v>200</v>
      </c>
      <c r="BO10" s="45" t="s">
        <v>201</v>
      </c>
      <c r="BP10" s="2691"/>
      <c r="BQ10" s="2672"/>
      <c r="BR10" s="42"/>
      <c r="BS10" s="181" t="s">
        <v>377</v>
      </c>
      <c r="BT10" s="42"/>
      <c r="BU10" s="42"/>
      <c r="BV10" s="42"/>
      <c r="BW10" s="42"/>
      <c r="BX10" s="42"/>
      <c r="BY10" s="42"/>
      <c r="BZ10" s="42"/>
      <c r="CA10" s="42"/>
      <c r="CB10" s="42"/>
      <c r="CC10" s="42"/>
      <c r="CD10" s="42"/>
      <c r="CE10" s="42"/>
      <c r="CF10" s="42"/>
      <c r="CG10" s="42"/>
      <c r="CH10" s="42"/>
      <c r="CI10" s="42"/>
      <c r="CJ10" s="42"/>
      <c r="CK10" s="42"/>
    </row>
    <row r="11" spans="2:97" ht="15" thickBot="1">
      <c r="B11" s="2726"/>
      <c r="C11" s="2632"/>
      <c r="D11" s="2632"/>
      <c r="E11" s="2632"/>
      <c r="F11" s="181"/>
      <c r="G11" s="181"/>
      <c r="H11" s="181" t="s">
        <v>193</v>
      </c>
      <c r="I11" s="181" t="s">
        <v>194</v>
      </c>
      <c r="J11" s="181"/>
      <c r="K11" s="181"/>
      <c r="L11" s="181"/>
      <c r="M11" s="182"/>
      <c r="N11" s="993"/>
      <c r="O11" s="2682"/>
      <c r="P11" s="1002" t="s">
        <v>69</v>
      </c>
      <c r="Q11" s="184" t="s">
        <v>71</v>
      </c>
      <c r="R11" s="184" t="s">
        <v>284</v>
      </c>
      <c r="S11" s="2672"/>
      <c r="T11" s="2672"/>
      <c r="U11" s="1411" t="s">
        <v>386</v>
      </c>
      <c r="V11" s="1010" t="s">
        <v>387</v>
      </c>
      <c r="W11" s="1010" t="s">
        <v>807</v>
      </c>
      <c r="X11" s="2672"/>
      <c r="Y11" s="42"/>
      <c r="Z11" s="888" t="s">
        <v>69</v>
      </c>
      <c r="AA11" s="184" t="s">
        <v>71</v>
      </c>
      <c r="AB11" s="184" t="s">
        <v>284</v>
      </c>
      <c r="AC11" s="184"/>
      <c r="AD11" s="184"/>
      <c r="AE11" s="184"/>
      <c r="AF11" s="184"/>
      <c r="AG11" s="184"/>
      <c r="AH11" s="184"/>
      <c r="AI11" s="1011">
        <f>'March TIS'!AI44</f>
        <v>0</v>
      </c>
      <c r="AJ11" s="1011">
        <f>'March TIS'!AJ44</f>
        <v>735.18469649999997</v>
      </c>
      <c r="AK11" s="1011">
        <f>'March TIS'!AK44</f>
        <v>87400.197746999998</v>
      </c>
      <c r="AL11" s="1932">
        <f t="shared" ref="AL11:AL42" si="0">SUM(AI11:AK11)</f>
        <v>88135.382443499999</v>
      </c>
      <c r="AM11" s="1007"/>
      <c r="AN11" s="1007"/>
      <c r="AO11" s="1309"/>
      <c r="AP11" s="1318">
        <v>0</v>
      </c>
      <c r="AQ11" s="1318"/>
      <c r="AR11" s="1728">
        <f>'March TIS'!AR44</f>
        <v>1520.0060283265202</v>
      </c>
      <c r="AS11" s="1728">
        <f>'March TIS'!AS44</f>
        <v>69346.347873673483</v>
      </c>
      <c r="AT11" s="1007"/>
      <c r="AU11" s="1476"/>
      <c r="AV11" s="1007"/>
      <c r="AW11" s="1013"/>
      <c r="AX11" s="2632"/>
      <c r="AY11" s="2672"/>
      <c r="AZ11" s="181" t="s">
        <v>61</v>
      </c>
      <c r="BA11" s="181" t="s">
        <v>62</v>
      </c>
      <c r="BB11" s="181" t="s">
        <v>63</v>
      </c>
      <c r="BC11" s="181" t="s">
        <v>196</v>
      </c>
      <c r="BD11" s="181" t="s">
        <v>197</v>
      </c>
      <c r="BE11" s="42"/>
      <c r="BF11" s="1013"/>
      <c r="BG11" s="1013"/>
      <c r="BH11" s="1013"/>
      <c r="BI11" s="1013"/>
      <c r="BJ11" s="1013"/>
      <c r="BK11" s="1395"/>
      <c r="BL11" s="17"/>
      <c r="BM11" s="18"/>
      <c r="BN11" s="1397"/>
      <c r="BO11" s="17"/>
      <c r="BP11" s="17"/>
      <c r="BQ11" s="1014"/>
      <c r="BR11" s="89"/>
      <c r="BS11" s="1228">
        <f>'March TIS'!BS44</f>
        <v>64727.211333530002</v>
      </c>
      <c r="BT11" s="89"/>
      <c r="BU11" s="89"/>
      <c r="BV11" s="89"/>
      <c r="BW11" s="89"/>
      <c r="BX11" s="89"/>
      <c r="BY11" s="89"/>
      <c r="BZ11" s="89"/>
      <c r="CA11" s="89"/>
      <c r="CB11" s="89"/>
      <c r="CC11" s="89"/>
      <c r="CD11" s="89"/>
      <c r="CE11" s="89"/>
      <c r="CF11" s="89"/>
      <c r="CG11" s="89"/>
      <c r="CH11" s="89"/>
      <c r="CI11" s="89"/>
      <c r="CJ11" s="89"/>
      <c r="CK11" s="89"/>
      <c r="CM11" s="1006"/>
      <c r="CN11" s="1015" t="s">
        <v>285</v>
      </c>
      <c r="CO11" s="1015" t="s">
        <v>293</v>
      </c>
      <c r="CQ11" s="1006"/>
      <c r="CR11" s="1015" t="s">
        <v>286</v>
      </c>
      <c r="CS11" s="1015" t="s">
        <v>293</v>
      </c>
    </row>
    <row r="12" spans="2:97" ht="15" thickBot="1">
      <c r="B12" s="988">
        <v>1</v>
      </c>
      <c r="C12" s="488">
        <f t="shared" ref="C12:C43" si="1">O12</f>
        <v>33289</v>
      </c>
      <c r="D12" s="488">
        <f t="shared" ref="D12:D41" si="2">Q12+P12+AQ12</f>
        <v>734.34</v>
      </c>
      <c r="E12" s="1016">
        <f t="shared" ref="E12:E42" si="3">S12</f>
        <v>45.331862624942126</v>
      </c>
      <c r="F12" s="1017"/>
      <c r="G12" s="494"/>
      <c r="H12" s="1018">
        <v>3</v>
      </c>
      <c r="I12" s="2109">
        <v>3.82</v>
      </c>
      <c r="N12" s="993"/>
      <c r="O12" s="26">
        <v>33289</v>
      </c>
      <c r="P12" s="1020"/>
      <c r="Q12" s="1933">
        <f t="shared" ref="Q12:Q42" si="4">W12+V12+U12</f>
        <v>734.34</v>
      </c>
      <c r="R12" s="1227">
        <f t="shared" ref="R12:R42" si="5">SUM(P12:Q12)</f>
        <v>734.34</v>
      </c>
      <c r="S12" s="27">
        <f t="shared" ref="S12:S42" si="6">IFERROR(O12/R12,0)</f>
        <v>45.331862624942126</v>
      </c>
      <c r="T12" s="33"/>
      <c r="U12" s="2023">
        <v>734.34</v>
      </c>
      <c r="V12" s="2024">
        <v>0</v>
      </c>
      <c r="W12" s="2024">
        <v>0</v>
      </c>
      <c r="X12" s="1024"/>
      <c r="Y12" s="1"/>
      <c r="Z12" s="1025"/>
      <c r="AA12" s="1025">
        <v>3858.6000000000004</v>
      </c>
      <c r="AB12" s="1025">
        <v>3858.6000000000004</v>
      </c>
      <c r="AC12" s="1025">
        <v>0</v>
      </c>
      <c r="AD12" s="1025">
        <v>0</v>
      </c>
      <c r="AE12" s="1025">
        <v>1403.45</v>
      </c>
      <c r="AF12" s="1025">
        <v>2455.15</v>
      </c>
      <c r="AG12" s="1025">
        <v>3858.6000000000004</v>
      </c>
      <c r="AH12" s="1025"/>
      <c r="AI12" s="1026"/>
      <c r="AJ12" s="1026">
        <f t="shared" ref="AJ12:AJ27" si="7">AJ11+P12-Z12</f>
        <v>735.18469649999997</v>
      </c>
      <c r="AK12" s="1026">
        <f>AK11+Q12+AU12-AA12</f>
        <v>86282.647746999995</v>
      </c>
      <c r="AL12" s="1027">
        <f t="shared" si="0"/>
        <v>87017.832443499996</v>
      </c>
      <c r="AM12" s="1414"/>
      <c r="AN12" s="1414"/>
      <c r="AO12" s="1310"/>
      <c r="AP12" s="1310"/>
      <c r="AQ12" s="1934">
        <f t="shared" ref="AQ12:AQ42" si="8">AO12+AP12</f>
        <v>0</v>
      </c>
      <c r="AR12" s="1729">
        <f t="shared" ref="AR12:AS27" si="9">AR11+AO12-AT12</f>
        <v>1520.0060283265202</v>
      </c>
      <c r="AS12" s="1729">
        <f t="shared" si="9"/>
        <v>67339.637873673477</v>
      </c>
      <c r="AT12" s="1007"/>
      <c r="AU12" s="1476">
        <v>2006.71</v>
      </c>
      <c r="AV12" s="1414"/>
      <c r="AW12" s="987"/>
      <c r="AX12" s="1028">
        <f t="shared" ref="AX12:AX42" si="10">AB12</f>
        <v>3858.6000000000004</v>
      </c>
      <c r="AY12" s="171"/>
      <c r="AZ12" s="2">
        <v>7115</v>
      </c>
      <c r="BA12" s="2110">
        <v>1.45</v>
      </c>
      <c r="BB12" s="2110">
        <v>2.2000000000000002</v>
      </c>
      <c r="BC12" s="2110">
        <v>4.79</v>
      </c>
      <c r="BD12" s="2111">
        <v>9.24</v>
      </c>
      <c r="BF12" s="987"/>
      <c r="BG12" s="987"/>
      <c r="BH12" s="987"/>
      <c r="BI12" s="987"/>
      <c r="BJ12" s="987"/>
      <c r="BK12" s="1028"/>
      <c r="BL12" s="1028"/>
      <c r="BM12" s="1028"/>
      <c r="BN12" s="1028"/>
      <c r="BO12" s="1028"/>
      <c r="BP12" s="1030">
        <f>'April TCM'!LN10</f>
        <v>4.1500000000000004</v>
      </c>
      <c r="BQ12" s="1031"/>
      <c r="BR12" s="1"/>
      <c r="BS12" s="1032">
        <f t="shared" ref="BS12:BS42" si="11">+BS11+AB12-BK12</f>
        <v>68585.81133353</v>
      </c>
      <c r="BT12" s="1"/>
      <c r="BU12" s="1"/>
      <c r="BV12" s="1"/>
      <c r="BW12" s="1"/>
      <c r="BX12" s="1"/>
      <c r="BY12" s="1"/>
      <c r="BZ12" s="1"/>
      <c r="CA12" s="1"/>
      <c r="CB12" s="1"/>
      <c r="CC12" s="1"/>
      <c r="CD12" s="1"/>
      <c r="CE12" s="1"/>
      <c r="CF12" s="1"/>
      <c r="CG12" s="1"/>
      <c r="CH12" s="1"/>
      <c r="CI12" s="1"/>
      <c r="CJ12" s="1"/>
      <c r="CK12" s="1"/>
      <c r="CM12" s="1033">
        <v>1</v>
      </c>
      <c r="CN12" s="1">
        <f t="shared" ref="CN12:CN42" si="12">D12</f>
        <v>734.34</v>
      </c>
      <c r="CO12">
        <v>2604010068</v>
      </c>
      <c r="CQ12" s="412">
        <v>1</v>
      </c>
      <c r="CR12" s="1">
        <f t="shared" ref="CR12:CR42" si="13">AB12</f>
        <v>3858.6000000000004</v>
      </c>
      <c r="CS12">
        <v>2604010085</v>
      </c>
    </row>
    <row r="13" spans="2:97" ht="15" thickBot="1">
      <c r="B13" s="989">
        <v>2</v>
      </c>
      <c r="C13" s="5">
        <f t="shared" si="1"/>
        <v>35273</v>
      </c>
      <c r="D13" s="488">
        <f t="shared" si="2"/>
        <v>1042.9100000000001</v>
      </c>
      <c r="E13" s="15">
        <f t="shared" si="3"/>
        <v>33.821710406458848</v>
      </c>
      <c r="F13" s="363"/>
      <c r="G13" s="64"/>
      <c r="H13" s="1034">
        <v>2</v>
      </c>
      <c r="I13" s="1035">
        <v>1.43</v>
      </c>
      <c r="N13" s="993"/>
      <c r="O13" s="26">
        <v>35273</v>
      </c>
      <c r="P13" s="1036"/>
      <c r="Q13" s="277">
        <f t="shared" si="4"/>
        <v>1042.9100000000001</v>
      </c>
      <c r="R13" s="1227">
        <f t="shared" si="5"/>
        <v>1042.9100000000001</v>
      </c>
      <c r="S13" s="27">
        <f t="shared" si="6"/>
        <v>33.821710406458848</v>
      </c>
      <c r="T13" s="33"/>
      <c r="U13" s="2023">
        <v>1042.9100000000001</v>
      </c>
      <c r="V13" s="2024">
        <v>0</v>
      </c>
      <c r="W13" s="2024">
        <v>0</v>
      </c>
      <c r="X13" s="1038"/>
      <c r="Y13" s="1"/>
      <c r="Z13" s="847"/>
      <c r="AA13" s="847">
        <v>5757.01</v>
      </c>
      <c r="AB13" s="1025">
        <v>5757.01</v>
      </c>
      <c r="AC13" s="1025">
        <v>0</v>
      </c>
      <c r="AD13" s="1025">
        <v>0</v>
      </c>
      <c r="AE13" s="1025">
        <v>3103.4799999999996</v>
      </c>
      <c r="AF13" s="1025">
        <v>2653.53</v>
      </c>
      <c r="AG13" s="1025">
        <v>5757.01</v>
      </c>
      <c r="AH13" s="1025"/>
      <c r="AI13" s="1039"/>
      <c r="AJ13" s="1026">
        <f t="shared" si="7"/>
        <v>735.18469649999997</v>
      </c>
      <c r="AK13" s="1026">
        <f t="shared" ref="AK13:AK42" si="14">AK12+Q13+AU13-AA13</f>
        <v>82656.247747000001</v>
      </c>
      <c r="AL13" s="1040">
        <f t="shared" si="0"/>
        <v>83391.432443500002</v>
      </c>
      <c r="AM13" s="1414"/>
      <c r="AN13" s="1414"/>
      <c r="AO13" s="1310"/>
      <c r="AP13" s="1310"/>
      <c r="AQ13" s="1934">
        <f t="shared" si="8"/>
        <v>0</v>
      </c>
      <c r="AR13" s="1729">
        <f t="shared" si="9"/>
        <v>1520.0060283265202</v>
      </c>
      <c r="AS13" s="1729">
        <f t="shared" si="9"/>
        <v>66251.93787367348</v>
      </c>
      <c r="AT13" s="1007"/>
      <c r="AU13" s="1476">
        <v>1087.7</v>
      </c>
      <c r="AV13" s="1414"/>
      <c r="AW13" s="987"/>
      <c r="AX13" s="310">
        <f t="shared" si="10"/>
        <v>5757.01</v>
      </c>
      <c r="AY13" s="998"/>
      <c r="AZ13" s="4">
        <v>7289</v>
      </c>
      <c r="BA13" s="2112">
        <v>1.4200000000000002</v>
      </c>
      <c r="BB13" s="2112">
        <v>1.47</v>
      </c>
      <c r="BC13" s="2112">
        <v>4.54</v>
      </c>
      <c r="BD13" s="1920">
        <v>8.61</v>
      </c>
      <c r="BF13" s="987"/>
      <c r="BG13" s="987"/>
      <c r="BH13" s="987"/>
      <c r="BI13" s="987"/>
      <c r="BJ13" s="987"/>
      <c r="BK13" s="310"/>
      <c r="BL13" s="310"/>
      <c r="BM13" s="310"/>
      <c r="BN13" s="310"/>
      <c r="BO13" s="310"/>
      <c r="BP13" s="1041">
        <f>'April TCM'!LN11</f>
        <v>4.58</v>
      </c>
      <c r="BQ13" s="1042"/>
      <c r="BR13" s="1"/>
      <c r="BS13" s="1032">
        <f t="shared" si="11"/>
        <v>74342.821333529995</v>
      </c>
      <c r="BT13" s="1"/>
      <c r="BU13" s="1"/>
      <c r="BV13" s="1"/>
      <c r="BW13" s="1"/>
      <c r="BX13" s="1"/>
      <c r="BY13" s="1"/>
      <c r="BZ13" s="1"/>
      <c r="CA13" s="1"/>
      <c r="CB13" s="1"/>
      <c r="CC13" s="1"/>
      <c r="CD13" s="1"/>
      <c r="CE13" s="1"/>
      <c r="CF13" s="1"/>
      <c r="CG13" s="1"/>
      <c r="CH13" s="1"/>
      <c r="CI13" s="1"/>
      <c r="CJ13" s="1"/>
      <c r="CK13" s="1"/>
      <c r="CM13" s="1033">
        <v>2</v>
      </c>
      <c r="CN13" s="1">
        <f t="shared" si="12"/>
        <v>1042.9100000000001</v>
      </c>
      <c r="CO13" s="1046">
        <v>2604020391</v>
      </c>
      <c r="CQ13" s="412">
        <v>2</v>
      </c>
      <c r="CR13" s="1">
        <f t="shared" si="13"/>
        <v>5757.01</v>
      </c>
      <c r="CS13">
        <v>2604020494</v>
      </c>
    </row>
    <row r="14" spans="2:97" ht="15" thickBot="1">
      <c r="B14" s="989">
        <v>3</v>
      </c>
      <c r="C14" s="5">
        <f t="shared" si="1"/>
        <v>36872</v>
      </c>
      <c r="D14" s="488">
        <f t="shared" si="2"/>
        <v>1277.56</v>
      </c>
      <c r="E14" s="15">
        <f t="shared" si="3"/>
        <v>28.861266789818092</v>
      </c>
      <c r="F14" s="363"/>
      <c r="G14" s="64"/>
      <c r="H14" s="1034"/>
      <c r="I14" s="1035"/>
      <c r="N14" s="993"/>
      <c r="O14" s="26">
        <v>36872</v>
      </c>
      <c r="P14" s="1036"/>
      <c r="Q14" s="277">
        <f t="shared" si="4"/>
        <v>1277.56</v>
      </c>
      <c r="R14" s="1227">
        <f t="shared" si="5"/>
        <v>1277.56</v>
      </c>
      <c r="S14" s="27">
        <f t="shared" si="6"/>
        <v>28.861266789818092</v>
      </c>
      <c r="T14" s="33"/>
      <c r="U14" s="2023">
        <v>1277.56</v>
      </c>
      <c r="V14" s="2024">
        <v>0</v>
      </c>
      <c r="W14" s="2024">
        <v>0</v>
      </c>
      <c r="X14" s="1038"/>
      <c r="Y14" s="1"/>
      <c r="Z14" s="847"/>
      <c r="AA14" s="847">
        <v>11303.75</v>
      </c>
      <c r="AB14" s="1025">
        <v>11303.75</v>
      </c>
      <c r="AC14" s="1025">
        <v>0</v>
      </c>
      <c r="AD14" s="1025">
        <v>0</v>
      </c>
      <c r="AE14" s="1025">
        <v>5992.869999999999</v>
      </c>
      <c r="AF14" s="1025">
        <v>5310.880000000001</v>
      </c>
      <c r="AG14" s="1025">
        <v>11303.75</v>
      </c>
      <c r="AH14" s="1025"/>
      <c r="AI14" s="1039"/>
      <c r="AJ14" s="1026">
        <f t="shared" si="7"/>
        <v>735.18469649999997</v>
      </c>
      <c r="AK14" s="1026">
        <f t="shared" si="14"/>
        <v>74048.737746999992</v>
      </c>
      <c r="AL14" s="1040">
        <f t="shared" si="0"/>
        <v>74783.922443499992</v>
      </c>
      <c r="AM14" s="1414"/>
      <c r="AN14" s="1414"/>
      <c r="AO14" s="1310"/>
      <c r="AP14" s="1310"/>
      <c r="AQ14" s="1934">
        <f t="shared" si="8"/>
        <v>0</v>
      </c>
      <c r="AR14" s="1729">
        <f t="shared" si="9"/>
        <v>1520.0060283265202</v>
      </c>
      <c r="AS14" s="1729">
        <f t="shared" si="9"/>
        <v>64833.257873673479</v>
      </c>
      <c r="AT14" s="1007"/>
      <c r="AU14" s="1476">
        <v>1418.68</v>
      </c>
      <c r="AV14" s="1414"/>
      <c r="AW14" s="987"/>
      <c r="AX14" s="310">
        <f t="shared" si="10"/>
        <v>11303.75</v>
      </c>
      <c r="AY14" s="1043"/>
      <c r="AZ14" s="4">
        <v>7391.3699208443268</v>
      </c>
      <c r="BA14" s="2112">
        <v>1.3156605101143362</v>
      </c>
      <c r="BB14" s="2112">
        <v>1.4596939313984167</v>
      </c>
      <c r="BC14" s="2112">
        <v>4.7132664907651716</v>
      </c>
      <c r="BD14" s="1920">
        <v>9.6754309586631475</v>
      </c>
      <c r="BF14" s="987"/>
      <c r="BG14" s="987"/>
      <c r="BH14" s="987"/>
      <c r="BI14" s="987"/>
      <c r="BJ14" s="987"/>
      <c r="BK14" s="310"/>
      <c r="BL14" s="310"/>
      <c r="BM14" s="310"/>
      <c r="BN14" s="310"/>
      <c r="BO14" s="310"/>
      <c r="BP14" s="1041">
        <f>'April TCM'!LN12</f>
        <v>4.63</v>
      </c>
      <c r="BQ14" s="1042"/>
      <c r="BR14" s="1"/>
      <c r="BS14" s="1032">
        <f t="shared" si="11"/>
        <v>85646.571333529995</v>
      </c>
      <c r="BT14" s="1"/>
      <c r="BU14" s="1"/>
      <c r="BV14" s="1"/>
      <c r="BW14" s="1"/>
      <c r="BX14" s="1"/>
      <c r="BY14" s="1"/>
      <c r="BZ14" s="1"/>
      <c r="CA14" s="1"/>
      <c r="CB14" s="1"/>
      <c r="CC14" s="1"/>
      <c r="CD14" s="1"/>
      <c r="CE14" s="1"/>
      <c r="CF14" s="1"/>
      <c r="CG14" s="1"/>
      <c r="CH14" s="1"/>
      <c r="CI14" s="1"/>
      <c r="CJ14" s="1"/>
      <c r="CK14" s="1"/>
      <c r="CM14" s="1033">
        <v>3</v>
      </c>
      <c r="CN14" s="1">
        <f t="shared" si="12"/>
        <v>1277.56</v>
      </c>
      <c r="CO14">
        <v>2604030599</v>
      </c>
      <c r="CQ14" s="412">
        <v>3</v>
      </c>
      <c r="CR14" s="1">
        <f t="shared" si="13"/>
        <v>11303.75</v>
      </c>
      <c r="CS14">
        <v>2604030715</v>
      </c>
    </row>
    <row r="15" spans="2:97" ht="15" thickBot="1">
      <c r="B15" s="989">
        <v>4</v>
      </c>
      <c r="C15" s="5">
        <f t="shared" si="1"/>
        <v>36201</v>
      </c>
      <c r="D15" s="488">
        <f t="shared" si="2"/>
        <v>1306.06</v>
      </c>
      <c r="E15" s="15">
        <f t="shared" si="3"/>
        <v>27.717715878290431</v>
      </c>
      <c r="F15" s="363"/>
      <c r="G15" s="64"/>
      <c r="H15" s="1034"/>
      <c r="I15" s="1035"/>
      <c r="N15" s="993"/>
      <c r="O15" s="26">
        <v>36201</v>
      </c>
      <c r="P15" s="1036"/>
      <c r="Q15" s="277">
        <f t="shared" si="4"/>
        <v>1306.06</v>
      </c>
      <c r="R15" s="1227">
        <f t="shared" si="5"/>
        <v>1306.06</v>
      </c>
      <c r="S15" s="27">
        <f t="shared" si="6"/>
        <v>27.717715878290431</v>
      </c>
      <c r="T15" s="33"/>
      <c r="U15" s="2023">
        <v>1192.18</v>
      </c>
      <c r="V15" s="2024">
        <v>113.88</v>
      </c>
      <c r="W15" s="2024">
        <v>0</v>
      </c>
      <c r="X15" s="1038"/>
      <c r="Y15" s="1"/>
      <c r="Z15" s="847"/>
      <c r="AA15" s="847">
        <v>9390.98</v>
      </c>
      <c r="AB15" s="1025">
        <v>9390.98</v>
      </c>
      <c r="AC15" s="1025">
        <v>0</v>
      </c>
      <c r="AD15" s="1025">
        <v>0</v>
      </c>
      <c r="AE15" s="1025">
        <v>5470.6100000000006</v>
      </c>
      <c r="AF15" s="1025">
        <v>3920.37</v>
      </c>
      <c r="AG15" s="1025">
        <v>9390.98</v>
      </c>
      <c r="AH15" s="1025"/>
      <c r="AI15" s="1039"/>
      <c r="AJ15" s="1026">
        <f t="shared" si="7"/>
        <v>735.18469649999997</v>
      </c>
      <c r="AK15" s="1026">
        <f t="shared" si="14"/>
        <v>67095.537746999995</v>
      </c>
      <c r="AL15" s="1040">
        <f t="shared" si="0"/>
        <v>67830.722443499995</v>
      </c>
      <c r="AM15" s="1414"/>
      <c r="AN15" s="1414"/>
      <c r="AO15" s="1310"/>
      <c r="AP15" s="1310"/>
      <c r="AQ15" s="1934">
        <f t="shared" si="8"/>
        <v>0</v>
      </c>
      <c r="AR15" s="1729">
        <f t="shared" si="9"/>
        <v>1520.0060283265202</v>
      </c>
      <c r="AS15" s="1729">
        <f t="shared" si="9"/>
        <v>63701.537873673478</v>
      </c>
      <c r="AT15" s="1007"/>
      <c r="AU15" s="1476">
        <v>1131.72</v>
      </c>
      <c r="AV15" s="1414"/>
      <c r="AW15" s="987"/>
      <c r="AX15" s="310">
        <f t="shared" si="10"/>
        <v>9390.98</v>
      </c>
      <c r="AY15" s="998"/>
      <c r="AZ15" s="4">
        <v>7175.0581999363931</v>
      </c>
      <c r="BA15" s="2112">
        <v>1.4685847556450757</v>
      </c>
      <c r="BB15" s="2112">
        <v>2.3873635110781302</v>
      </c>
      <c r="BC15" s="2112">
        <v>5.5610919113749597</v>
      </c>
      <c r="BD15" s="1920">
        <v>9.6520258666383967</v>
      </c>
      <c r="BF15" s="987"/>
      <c r="BG15" s="987"/>
      <c r="BH15" s="987"/>
      <c r="BI15" s="987"/>
      <c r="BJ15" s="987"/>
      <c r="BK15" s="310">
        <v>15268.41</v>
      </c>
      <c r="BL15" s="310">
        <v>2</v>
      </c>
      <c r="BM15" s="310"/>
      <c r="BN15" s="310"/>
      <c r="BO15" s="310"/>
      <c r="BP15" s="1041">
        <f>'April TCM'!LN13</f>
        <v>5.1100000000000003</v>
      </c>
      <c r="BQ15" s="1042"/>
      <c r="BR15" s="1"/>
      <c r="BS15" s="1032">
        <f t="shared" si="11"/>
        <v>79769.141333529988</v>
      </c>
      <c r="BT15" s="1"/>
      <c r="BU15" s="1"/>
      <c r="BV15" s="1"/>
      <c r="BW15" s="1"/>
      <c r="BX15" s="1"/>
      <c r="BY15" s="1"/>
      <c r="BZ15" s="1"/>
      <c r="CA15" s="1"/>
      <c r="CB15" s="1"/>
      <c r="CC15" s="1"/>
      <c r="CD15" s="1"/>
      <c r="CE15" s="1"/>
      <c r="CF15" s="1"/>
      <c r="CG15" s="1"/>
      <c r="CH15" s="1"/>
      <c r="CI15" s="1"/>
      <c r="CJ15" s="1"/>
      <c r="CK15" s="1"/>
      <c r="CM15" s="1033">
        <v>4</v>
      </c>
      <c r="CN15" s="1">
        <f t="shared" si="12"/>
        <v>1306.06</v>
      </c>
      <c r="CO15">
        <v>2604040903</v>
      </c>
      <c r="CQ15" s="412">
        <v>4</v>
      </c>
      <c r="CR15" s="1">
        <f t="shared" si="13"/>
        <v>9390.98</v>
      </c>
      <c r="CS15">
        <v>2604040903</v>
      </c>
    </row>
    <row r="16" spans="2:97" ht="13.5" customHeight="1" thickBot="1">
      <c r="B16" s="989">
        <v>5</v>
      </c>
      <c r="C16" s="5">
        <f t="shared" si="1"/>
        <v>26000</v>
      </c>
      <c r="D16" s="488">
        <f t="shared" si="2"/>
        <v>1635.1599999999999</v>
      </c>
      <c r="E16" s="15">
        <f t="shared" si="3"/>
        <v>15.900584652266446</v>
      </c>
      <c r="F16" s="363"/>
      <c r="G16" s="64"/>
      <c r="H16" s="1034">
        <v>32</v>
      </c>
      <c r="I16" s="1035">
        <v>9.5</v>
      </c>
      <c r="N16" s="993"/>
      <c r="O16" s="26">
        <v>26000</v>
      </c>
      <c r="P16" s="36"/>
      <c r="Q16" s="277">
        <f t="shared" si="4"/>
        <v>1635.1599999999999</v>
      </c>
      <c r="R16" s="1227">
        <f t="shared" si="5"/>
        <v>1635.1599999999999</v>
      </c>
      <c r="S16" s="27">
        <f t="shared" si="6"/>
        <v>15.900584652266446</v>
      </c>
      <c r="T16" s="33"/>
      <c r="U16" s="2023">
        <v>1190.06</v>
      </c>
      <c r="V16" s="2024">
        <v>445.1</v>
      </c>
      <c r="W16" s="2024">
        <v>0</v>
      </c>
      <c r="X16" s="1038"/>
      <c r="Y16" s="1"/>
      <c r="Z16" s="847"/>
      <c r="AA16" s="847">
        <v>9069.7999999999993</v>
      </c>
      <c r="AB16" s="1025">
        <v>9069.7999999999993</v>
      </c>
      <c r="AC16" s="1025">
        <v>0</v>
      </c>
      <c r="AD16" s="1025">
        <v>0</v>
      </c>
      <c r="AE16" s="1025">
        <v>5341.17</v>
      </c>
      <c r="AF16" s="1025">
        <v>3728.6299999999997</v>
      </c>
      <c r="AG16" s="1025">
        <v>9069.7999999999993</v>
      </c>
      <c r="AH16" s="1025"/>
      <c r="AI16" s="1039"/>
      <c r="AJ16" s="1026">
        <f t="shared" si="7"/>
        <v>735.18469649999997</v>
      </c>
      <c r="AK16" s="1026">
        <f t="shared" si="14"/>
        <v>59682.877746999991</v>
      </c>
      <c r="AL16" s="1040">
        <f t="shared" si="0"/>
        <v>60418.062443499992</v>
      </c>
      <c r="AM16" s="1414"/>
      <c r="AN16" s="1414"/>
      <c r="AO16" s="1310"/>
      <c r="AP16" s="1310"/>
      <c r="AQ16" s="1934">
        <f t="shared" si="8"/>
        <v>0</v>
      </c>
      <c r="AR16" s="1729">
        <f t="shared" si="9"/>
        <v>1520.0060283265202</v>
      </c>
      <c r="AS16" s="1729">
        <f t="shared" si="9"/>
        <v>63679.557873673475</v>
      </c>
      <c r="AT16" s="1007"/>
      <c r="AU16" s="1476">
        <v>21.98</v>
      </c>
      <c r="AV16" s="1414"/>
      <c r="AW16" s="987"/>
      <c r="AX16" s="310">
        <f t="shared" si="10"/>
        <v>9069.7999999999993</v>
      </c>
      <c r="AY16" s="998"/>
      <c r="AZ16" s="4">
        <v>7333.8256332210021</v>
      </c>
      <c r="BA16" s="2112">
        <v>1.3040950103272095</v>
      </c>
      <c r="BB16" s="2112">
        <v>2.2375345146211547</v>
      </c>
      <c r="BC16" s="2112">
        <v>5.3693444939667359</v>
      </c>
      <c r="BD16" s="1920">
        <v>9.6657006196325685</v>
      </c>
      <c r="BF16" s="987"/>
      <c r="BG16" s="987"/>
      <c r="BH16" s="987"/>
      <c r="BI16" s="987"/>
      <c r="BJ16" s="987"/>
      <c r="BK16" s="310">
        <v>15102.85</v>
      </c>
      <c r="BL16" s="310">
        <v>2</v>
      </c>
      <c r="BM16" s="310"/>
      <c r="BN16" s="310"/>
      <c r="BO16" s="310"/>
      <c r="BP16" s="1041">
        <f>'April TCM'!LN14</f>
        <v>5.1100000000000003</v>
      </c>
      <c r="BQ16" s="1042"/>
      <c r="BR16" s="1"/>
      <c r="BS16" s="1032">
        <f t="shared" si="11"/>
        <v>73736.091333529985</v>
      </c>
      <c r="BT16" s="1"/>
      <c r="BU16" s="1"/>
      <c r="BV16" s="1"/>
      <c r="BW16" s="1"/>
      <c r="BX16" s="1"/>
      <c r="BY16" s="1"/>
      <c r="BZ16" s="1"/>
      <c r="CA16" s="1"/>
      <c r="CB16" s="1"/>
      <c r="CC16" s="1"/>
      <c r="CD16" s="1"/>
      <c r="CE16" s="1"/>
      <c r="CF16" s="1"/>
      <c r="CG16" s="1"/>
      <c r="CH16" s="1"/>
      <c r="CI16" s="1"/>
      <c r="CJ16" s="1"/>
      <c r="CK16" s="1"/>
      <c r="CM16" s="1033">
        <v>5</v>
      </c>
      <c r="CN16" s="1">
        <f t="shared" si="12"/>
        <v>1635.1599999999999</v>
      </c>
      <c r="CO16" s="1045">
        <v>2604051221</v>
      </c>
      <c r="CQ16" s="412">
        <v>5</v>
      </c>
      <c r="CR16" s="1">
        <f t="shared" si="13"/>
        <v>9069.7999999999993</v>
      </c>
      <c r="CS16" s="1046">
        <v>2604051695</v>
      </c>
    </row>
    <row r="17" spans="2:97" ht="15" thickBot="1">
      <c r="B17" s="989">
        <v>6</v>
      </c>
      <c r="C17" s="5">
        <f t="shared" si="1"/>
        <v>17348</v>
      </c>
      <c r="D17" s="488">
        <f t="shared" si="2"/>
        <v>984.78</v>
      </c>
      <c r="E17" s="15">
        <f t="shared" si="3"/>
        <v>17.616117305388006</v>
      </c>
      <c r="F17" s="363"/>
      <c r="G17" s="64"/>
      <c r="H17" s="1034">
        <v>54</v>
      </c>
      <c r="I17" s="1035">
        <v>11.13</v>
      </c>
      <c r="N17" s="993"/>
      <c r="O17" s="26">
        <v>17348</v>
      </c>
      <c r="P17" s="36"/>
      <c r="Q17" s="277">
        <f t="shared" si="4"/>
        <v>984.78</v>
      </c>
      <c r="R17" s="1227">
        <f t="shared" si="5"/>
        <v>984.78</v>
      </c>
      <c r="S17" s="27">
        <f t="shared" si="6"/>
        <v>17.616117305388006</v>
      </c>
      <c r="T17" s="33"/>
      <c r="U17" s="2023">
        <v>698.34</v>
      </c>
      <c r="V17" s="2024">
        <v>286.44</v>
      </c>
      <c r="W17" s="2024">
        <v>0</v>
      </c>
      <c r="X17" s="1038"/>
      <c r="Y17" s="1"/>
      <c r="Z17" s="847"/>
      <c r="AA17" s="847">
        <v>8705.8700000000008</v>
      </c>
      <c r="AB17" s="1025">
        <v>8705.8700000000008</v>
      </c>
      <c r="AC17" s="1025">
        <v>0</v>
      </c>
      <c r="AD17" s="1025">
        <v>0</v>
      </c>
      <c r="AE17" s="1025">
        <v>4508.4699999999993</v>
      </c>
      <c r="AF17" s="1025">
        <v>4197.3999999999996</v>
      </c>
      <c r="AG17" s="1025">
        <v>8705.869999999999</v>
      </c>
      <c r="AH17" s="1025"/>
      <c r="AI17" s="1039"/>
      <c r="AJ17" s="1026">
        <f t="shared" si="7"/>
        <v>735.18469649999997</v>
      </c>
      <c r="AK17" s="1026">
        <f t="shared" si="14"/>
        <v>51961.787746999988</v>
      </c>
      <c r="AL17" s="1040">
        <f t="shared" si="0"/>
        <v>52696.972443499988</v>
      </c>
      <c r="AM17" s="1414"/>
      <c r="AN17" s="1414"/>
      <c r="AO17" s="1310"/>
      <c r="AP17" s="1310"/>
      <c r="AQ17" s="1934">
        <f t="shared" si="8"/>
        <v>0</v>
      </c>
      <c r="AR17" s="1729">
        <f t="shared" si="9"/>
        <v>1520.0060283265202</v>
      </c>
      <c r="AS17" s="1729">
        <f t="shared" si="9"/>
        <v>63679.557873673475</v>
      </c>
      <c r="AT17" s="1007"/>
      <c r="AU17" s="1476">
        <v>0</v>
      </c>
      <c r="AV17" s="1414"/>
      <c r="AW17" s="987"/>
      <c r="AX17" s="310">
        <f t="shared" si="10"/>
        <v>8705.8700000000008</v>
      </c>
      <c r="AY17" s="998"/>
      <c r="AZ17" s="4">
        <v>7231.1134287969335</v>
      </c>
      <c r="BA17" s="2112">
        <v>1.2844604803247266</v>
      </c>
      <c r="BB17" s="2112">
        <v>1.8891408276017589</v>
      </c>
      <c r="BC17" s="2112">
        <v>5.7225222685759389</v>
      </c>
      <c r="BD17" s="1920">
        <v>9.8239587326643374</v>
      </c>
      <c r="BF17" s="987"/>
      <c r="BG17" s="987"/>
      <c r="BH17" s="987"/>
      <c r="BI17" s="987"/>
      <c r="BJ17" s="987"/>
      <c r="BK17" s="310"/>
      <c r="BL17" s="310"/>
      <c r="BM17" s="310"/>
      <c r="BN17" s="310"/>
      <c r="BO17" s="310"/>
      <c r="BP17" s="1041">
        <f>'April TCM'!LN15</f>
        <v>5</v>
      </c>
      <c r="BQ17" s="1042"/>
      <c r="BR17" s="1"/>
      <c r="BS17" s="1032">
        <f t="shared" si="11"/>
        <v>82441.96133352998</v>
      </c>
      <c r="BT17" s="1"/>
      <c r="BU17" s="1"/>
      <c r="BV17" s="1"/>
      <c r="BW17" s="1"/>
      <c r="BX17" s="1"/>
      <c r="BY17" s="1"/>
      <c r="BZ17" s="1"/>
      <c r="CA17" s="1"/>
      <c r="CB17" s="1"/>
      <c r="CC17" s="1"/>
      <c r="CD17" s="1"/>
      <c r="CE17" s="1"/>
      <c r="CF17" s="1"/>
      <c r="CG17" s="1"/>
      <c r="CH17" s="1"/>
      <c r="CI17" s="1"/>
      <c r="CJ17" s="1"/>
      <c r="CK17" s="1"/>
      <c r="CM17" s="1033">
        <v>6</v>
      </c>
      <c r="CN17" s="1">
        <f t="shared" si="12"/>
        <v>984.78</v>
      </c>
      <c r="CO17" s="1226">
        <v>2604061464</v>
      </c>
      <c r="CQ17" s="412">
        <v>6</v>
      </c>
      <c r="CR17" s="1">
        <f t="shared" si="13"/>
        <v>8705.8700000000008</v>
      </c>
      <c r="CS17">
        <v>2604062102</v>
      </c>
    </row>
    <row r="18" spans="2:97" ht="15" thickBot="1">
      <c r="B18" s="989">
        <v>7</v>
      </c>
      <c r="C18" s="5">
        <f t="shared" si="1"/>
        <v>28343</v>
      </c>
      <c r="D18" s="488">
        <f t="shared" si="2"/>
        <v>1843.3200000000002</v>
      </c>
      <c r="E18" s="15">
        <f t="shared" si="3"/>
        <v>15.376060586333354</v>
      </c>
      <c r="F18" s="363"/>
      <c r="G18" s="64"/>
      <c r="H18" s="1034">
        <v>3</v>
      </c>
      <c r="I18" s="2107">
        <v>2.42</v>
      </c>
      <c r="N18" s="993"/>
      <c r="O18" s="26">
        <v>28343</v>
      </c>
      <c r="P18" s="36"/>
      <c r="Q18" s="277">
        <f t="shared" si="4"/>
        <v>1843.3200000000002</v>
      </c>
      <c r="R18" s="1227">
        <f t="shared" si="5"/>
        <v>1843.3200000000002</v>
      </c>
      <c r="S18" s="27">
        <f t="shared" si="6"/>
        <v>15.376060586333354</v>
      </c>
      <c r="T18" s="33"/>
      <c r="U18" s="2023">
        <v>1843.3200000000002</v>
      </c>
      <c r="V18" s="2024">
        <v>0</v>
      </c>
      <c r="W18" s="2024">
        <v>0</v>
      </c>
      <c r="X18" s="1038"/>
      <c r="Y18" s="1"/>
      <c r="Z18" s="847"/>
      <c r="AA18" s="847">
        <v>9184.7199999999993</v>
      </c>
      <c r="AB18" s="1025">
        <v>9184.7199999999993</v>
      </c>
      <c r="AC18" s="1025">
        <v>0</v>
      </c>
      <c r="AD18" s="1025">
        <v>0</v>
      </c>
      <c r="AE18" s="1025">
        <v>6398.5899999999992</v>
      </c>
      <c r="AF18" s="1025">
        <v>2786.13</v>
      </c>
      <c r="AG18" s="1025">
        <v>9184.7199999999993</v>
      </c>
      <c r="AH18" s="1025"/>
      <c r="AI18" s="1039"/>
      <c r="AJ18" s="1026">
        <f t="shared" si="7"/>
        <v>735.18469649999997</v>
      </c>
      <c r="AK18" s="1026">
        <f t="shared" si="14"/>
        <v>44978.947746999984</v>
      </c>
      <c r="AL18" s="1040">
        <f t="shared" si="0"/>
        <v>45714.132443499984</v>
      </c>
      <c r="AM18" s="1414"/>
      <c r="AN18" s="1414"/>
      <c r="AO18" s="1310"/>
      <c r="AP18" s="1310"/>
      <c r="AQ18" s="1934">
        <f t="shared" si="8"/>
        <v>0</v>
      </c>
      <c r="AR18" s="1729">
        <f t="shared" si="9"/>
        <v>1520.0060283265202</v>
      </c>
      <c r="AS18" s="1729">
        <f t="shared" si="9"/>
        <v>63320.997873673477</v>
      </c>
      <c r="AT18" s="1007"/>
      <c r="AU18" s="1476">
        <v>358.56</v>
      </c>
      <c r="AV18" s="1414"/>
      <c r="AW18" s="987"/>
      <c r="AX18" s="310">
        <f t="shared" si="10"/>
        <v>9184.7199999999993</v>
      </c>
      <c r="AY18" s="998"/>
      <c r="AZ18" s="4">
        <v>7041.0758142018149</v>
      </c>
      <c r="BA18" s="2112">
        <v>1.473625200213561</v>
      </c>
      <c r="BB18" s="2112">
        <v>1.9917512012813667</v>
      </c>
      <c r="BC18" s="2112">
        <v>4.9560010678056594</v>
      </c>
      <c r="BD18" s="1920">
        <v>9.2263427656166588</v>
      </c>
      <c r="BF18" s="987"/>
      <c r="BG18" s="987"/>
      <c r="BH18" s="987"/>
      <c r="BI18" s="987"/>
      <c r="BJ18" s="987"/>
      <c r="BK18" s="1047"/>
      <c r="BL18" s="310"/>
      <c r="BM18" s="310"/>
      <c r="BN18" s="310"/>
      <c r="BO18" s="310"/>
      <c r="BP18" s="1041">
        <f>'April TCM'!LN16</f>
        <v>5.95</v>
      </c>
      <c r="BQ18" s="1042"/>
      <c r="BR18" s="1"/>
      <c r="BS18" s="1032">
        <f t="shared" si="11"/>
        <v>91626.681333529981</v>
      </c>
      <c r="BT18" s="1"/>
      <c r="BU18" s="1"/>
      <c r="BV18" s="1"/>
      <c r="BW18" s="1"/>
      <c r="BX18" s="1"/>
      <c r="BY18" s="1"/>
      <c r="BZ18" s="1"/>
      <c r="CA18" s="1"/>
      <c r="CB18" s="1"/>
      <c r="CC18" s="1"/>
      <c r="CD18" s="1"/>
      <c r="CE18" s="1"/>
      <c r="CF18" s="1"/>
      <c r="CG18" s="1"/>
      <c r="CH18" s="1"/>
      <c r="CI18" s="1"/>
      <c r="CJ18" s="1"/>
      <c r="CK18" s="1"/>
      <c r="CM18" s="1033">
        <v>7</v>
      </c>
      <c r="CN18" s="1">
        <f t="shared" si="12"/>
        <v>1843.3200000000002</v>
      </c>
      <c r="CO18">
        <v>2604071544</v>
      </c>
      <c r="CQ18" s="412">
        <v>7</v>
      </c>
      <c r="CR18" s="1">
        <f t="shared" si="13"/>
        <v>9184.7199999999993</v>
      </c>
      <c r="CS18">
        <v>2604072613</v>
      </c>
    </row>
    <row r="19" spans="2:97" ht="15" thickBot="1">
      <c r="B19" s="989">
        <v>8</v>
      </c>
      <c r="C19" s="5">
        <f t="shared" si="1"/>
        <v>27916</v>
      </c>
      <c r="D19" s="488">
        <f t="shared" si="2"/>
        <v>1340.5800000000002</v>
      </c>
      <c r="E19" s="15">
        <f t="shared" si="3"/>
        <v>20.823822524578912</v>
      </c>
      <c r="F19" s="363"/>
      <c r="G19" s="64"/>
      <c r="H19" s="2108">
        <v>11</v>
      </c>
      <c r="I19" s="1035">
        <v>5.67</v>
      </c>
      <c r="N19" s="993"/>
      <c r="O19" s="26">
        <v>27916</v>
      </c>
      <c r="P19" s="36"/>
      <c r="Q19" s="277">
        <f t="shared" si="4"/>
        <v>1340.5800000000002</v>
      </c>
      <c r="R19" s="1227">
        <f t="shared" si="5"/>
        <v>1340.5800000000002</v>
      </c>
      <c r="S19" s="27">
        <f t="shared" si="6"/>
        <v>20.823822524578912</v>
      </c>
      <c r="T19" s="33"/>
      <c r="U19" s="2023">
        <v>1168.3800000000001</v>
      </c>
      <c r="V19" s="2024">
        <v>172.2</v>
      </c>
      <c r="W19" s="2024">
        <v>0</v>
      </c>
      <c r="X19" s="1038"/>
      <c r="Y19" s="1"/>
      <c r="Z19" s="847"/>
      <c r="AA19" s="847">
        <v>9953.6000000000022</v>
      </c>
      <c r="AB19" s="1025">
        <v>9953.6000000000022</v>
      </c>
      <c r="AC19" s="1025">
        <v>0</v>
      </c>
      <c r="AD19" s="1025">
        <v>0</v>
      </c>
      <c r="AE19" s="1025">
        <v>5491.6900000000005</v>
      </c>
      <c r="AF19" s="1025">
        <v>4461.91</v>
      </c>
      <c r="AG19" s="1025">
        <v>9953.6</v>
      </c>
      <c r="AH19" s="1025"/>
      <c r="AI19" s="1039"/>
      <c r="AJ19" s="1026">
        <f t="shared" si="7"/>
        <v>735.18469649999997</v>
      </c>
      <c r="AK19" s="1026">
        <f t="shared" si="14"/>
        <v>37355.147746999981</v>
      </c>
      <c r="AL19" s="1040">
        <f t="shared" si="0"/>
        <v>38090.332443499981</v>
      </c>
      <c r="AM19" s="1414"/>
      <c r="AN19" s="1414"/>
      <c r="AO19" s="1310"/>
      <c r="AP19" s="1310"/>
      <c r="AQ19" s="1934">
        <f t="shared" si="8"/>
        <v>0</v>
      </c>
      <c r="AR19" s="1729">
        <f t="shared" si="9"/>
        <v>1520.0060283265202</v>
      </c>
      <c r="AS19" s="1729">
        <f t="shared" si="9"/>
        <v>62331.777873673476</v>
      </c>
      <c r="AT19" s="1007"/>
      <c r="AU19" s="1476">
        <v>989.22</v>
      </c>
      <c r="AV19" s="1414"/>
      <c r="AW19" s="987"/>
      <c r="AX19" s="310">
        <f t="shared" si="10"/>
        <v>9953.6000000000022</v>
      </c>
      <c r="AY19" s="998"/>
      <c r="AZ19" s="4">
        <v>7390.7985074626868</v>
      </c>
      <c r="BA19" s="2112">
        <v>1.3025074626865671</v>
      </c>
      <c r="BB19" s="2112">
        <v>2.5954477611940296</v>
      </c>
      <c r="BC19" s="2112">
        <v>4.9175223880597017</v>
      </c>
      <c r="BD19" s="1920">
        <v>9.7776417910447773</v>
      </c>
      <c r="BF19" s="987"/>
      <c r="BG19" s="987"/>
      <c r="BH19" s="987"/>
      <c r="BI19" s="987"/>
      <c r="BJ19" s="987"/>
      <c r="BK19" s="310"/>
      <c r="BL19" s="310"/>
      <c r="BM19" s="310"/>
      <c r="BN19" s="310"/>
      <c r="BO19" s="310">
        <v>2</v>
      </c>
      <c r="BP19" s="1041">
        <f>'April TCM'!LN17</f>
        <v>6.51</v>
      </c>
      <c r="BQ19" s="1042"/>
      <c r="BR19" s="1"/>
      <c r="BS19" s="1032">
        <f t="shared" si="11"/>
        <v>101580.28133352999</v>
      </c>
      <c r="BT19" s="1"/>
      <c r="BU19" s="1"/>
      <c r="BV19" s="1"/>
      <c r="BW19" s="1"/>
      <c r="BX19" s="1"/>
      <c r="BY19" s="1"/>
      <c r="BZ19" s="1"/>
      <c r="CA19" s="1"/>
      <c r="CB19" s="1"/>
      <c r="CC19" s="1"/>
      <c r="CD19" s="1"/>
      <c r="CE19" s="1"/>
      <c r="CF19" s="1"/>
      <c r="CG19" s="1"/>
      <c r="CH19" s="1"/>
      <c r="CI19" s="1"/>
      <c r="CJ19" s="1"/>
      <c r="CK19" s="1"/>
      <c r="CM19" s="1033">
        <v>8</v>
      </c>
      <c r="CN19" s="1">
        <f t="shared" si="12"/>
        <v>1340.5800000000002</v>
      </c>
      <c r="CO19">
        <v>2604081762</v>
      </c>
      <c r="CQ19" s="412">
        <v>8</v>
      </c>
      <c r="CR19" s="1">
        <f t="shared" si="13"/>
        <v>9953.6000000000022</v>
      </c>
      <c r="CS19">
        <v>2604083122</v>
      </c>
    </row>
    <row r="20" spans="2:97" ht="15" thickBot="1">
      <c r="B20" s="989">
        <v>9</v>
      </c>
      <c r="C20" s="5">
        <f t="shared" si="1"/>
        <v>18255</v>
      </c>
      <c r="D20" s="488">
        <f t="shared" si="2"/>
        <v>694.74</v>
      </c>
      <c r="E20" s="15">
        <f t="shared" si="3"/>
        <v>26.276016927195784</v>
      </c>
      <c r="F20" s="363"/>
      <c r="G20" s="64"/>
      <c r="H20" s="1034">
        <v>12</v>
      </c>
      <c r="I20" s="1018">
        <v>9.6</v>
      </c>
      <c r="N20" s="993"/>
      <c r="O20" s="26">
        <v>18255</v>
      </c>
      <c r="P20" s="36"/>
      <c r="Q20" s="277">
        <f t="shared" si="4"/>
        <v>694.74</v>
      </c>
      <c r="R20" s="1227">
        <f t="shared" si="5"/>
        <v>694.74</v>
      </c>
      <c r="S20" s="27">
        <f t="shared" si="6"/>
        <v>26.276016927195784</v>
      </c>
      <c r="T20" s="33"/>
      <c r="U20" s="2023">
        <v>446.42</v>
      </c>
      <c r="V20" s="2024">
        <v>248.32</v>
      </c>
      <c r="W20" s="2024">
        <v>0</v>
      </c>
      <c r="X20" s="1038"/>
      <c r="Y20" s="1"/>
      <c r="Z20" s="847"/>
      <c r="AA20" s="847">
        <v>11026.890000000001</v>
      </c>
      <c r="AB20" s="1025">
        <v>11026.890000000001</v>
      </c>
      <c r="AC20" s="1025">
        <v>0</v>
      </c>
      <c r="AD20" s="1025">
        <v>0</v>
      </c>
      <c r="AE20" s="1025">
        <v>6756.93</v>
      </c>
      <c r="AF20" s="1025">
        <v>4269.96</v>
      </c>
      <c r="AG20" s="1025">
        <v>11026.89</v>
      </c>
      <c r="AH20" s="1025"/>
      <c r="AI20" s="1039"/>
      <c r="AJ20" s="1026">
        <f t="shared" si="7"/>
        <v>735.18469649999997</v>
      </c>
      <c r="AK20" s="1026">
        <f t="shared" si="14"/>
        <v>27684.757746999981</v>
      </c>
      <c r="AL20" s="1040">
        <f t="shared" si="0"/>
        <v>28419.942443499982</v>
      </c>
      <c r="AM20" s="1414"/>
      <c r="AN20" s="1414"/>
      <c r="AO20" s="1310"/>
      <c r="AP20" s="1310"/>
      <c r="AQ20" s="1934">
        <f t="shared" si="8"/>
        <v>0</v>
      </c>
      <c r="AR20" s="1729">
        <f t="shared" si="9"/>
        <v>1520.0060283265202</v>
      </c>
      <c r="AS20" s="1729">
        <f t="shared" si="9"/>
        <v>61670.017873673474</v>
      </c>
      <c r="AT20" s="1007"/>
      <c r="AU20" s="1476">
        <v>661.76</v>
      </c>
      <c r="AV20" s="1414"/>
      <c r="AW20" s="987"/>
      <c r="AX20" s="310">
        <f t="shared" si="10"/>
        <v>11026.890000000001</v>
      </c>
      <c r="AY20" s="998"/>
      <c r="AZ20" s="4">
        <v>7471.6958901567859</v>
      </c>
      <c r="BA20" s="64">
        <v>1.3432118007236293</v>
      </c>
      <c r="BB20" s="64">
        <v>1.9090147509045365</v>
      </c>
      <c r="BC20" s="64">
        <v>4.7554383523517956</v>
      </c>
      <c r="BD20" s="482">
        <v>8.8317997958994336</v>
      </c>
      <c r="BF20" s="987"/>
      <c r="BG20" s="987"/>
      <c r="BH20" s="987"/>
      <c r="BI20" s="987"/>
      <c r="BJ20" s="987"/>
      <c r="BK20" s="310"/>
      <c r="BL20" s="310"/>
      <c r="BM20" s="310"/>
      <c r="BN20" s="310"/>
      <c r="BO20" s="310">
        <v>1</v>
      </c>
      <c r="BP20" s="1041">
        <f>'April TCM'!LN18</f>
        <v>6.54</v>
      </c>
      <c r="BQ20" s="1042"/>
      <c r="BR20" s="1"/>
      <c r="BS20" s="1032">
        <f t="shared" si="11"/>
        <v>112607.17133352999</v>
      </c>
      <c r="BT20" s="1"/>
      <c r="BU20" s="1"/>
      <c r="BV20" s="1"/>
      <c r="BW20" s="1"/>
      <c r="BX20" s="1"/>
      <c r="BY20" s="1"/>
      <c r="BZ20" s="1"/>
      <c r="CA20" s="1"/>
      <c r="CB20" s="1"/>
      <c r="CC20" s="1"/>
      <c r="CD20" s="1"/>
      <c r="CE20" s="1"/>
      <c r="CF20" s="1"/>
      <c r="CG20" s="1"/>
      <c r="CH20" s="1"/>
      <c r="CI20" s="1"/>
      <c r="CJ20" s="1"/>
      <c r="CK20" s="1"/>
      <c r="CM20" s="1033">
        <v>9</v>
      </c>
      <c r="CN20" s="1">
        <f t="shared" si="12"/>
        <v>694.74</v>
      </c>
      <c r="CO20" s="1046">
        <v>2604091965</v>
      </c>
      <c r="CQ20" s="412">
        <v>9</v>
      </c>
      <c r="CR20" s="1">
        <f t="shared" si="13"/>
        <v>11026.890000000001</v>
      </c>
      <c r="CS20">
        <v>2604093639</v>
      </c>
    </row>
    <row r="21" spans="2:97" ht="15" thickBot="1">
      <c r="B21" s="989">
        <v>10</v>
      </c>
      <c r="C21" s="5">
        <f t="shared" si="1"/>
        <v>31700</v>
      </c>
      <c r="D21" s="488">
        <f t="shared" si="2"/>
        <v>44.2</v>
      </c>
      <c r="E21" s="15">
        <f t="shared" si="3"/>
        <v>717.19457013574652</v>
      </c>
      <c r="F21" s="363"/>
      <c r="G21" s="64"/>
      <c r="H21" s="1034">
        <v>3</v>
      </c>
      <c r="I21" s="1034">
        <v>2.23</v>
      </c>
      <c r="N21" s="993"/>
      <c r="O21" s="26">
        <v>31700</v>
      </c>
      <c r="P21" s="36"/>
      <c r="Q21" s="277">
        <f t="shared" si="4"/>
        <v>44.2</v>
      </c>
      <c r="R21" s="1227">
        <f t="shared" si="5"/>
        <v>44.2</v>
      </c>
      <c r="S21" s="27">
        <f t="shared" si="6"/>
        <v>717.19457013574652</v>
      </c>
      <c r="T21" s="33"/>
      <c r="U21" s="2023">
        <v>44.2</v>
      </c>
      <c r="V21" s="2024">
        <v>0</v>
      </c>
      <c r="W21" s="2024">
        <v>0</v>
      </c>
      <c r="X21" s="1038"/>
      <c r="Y21" s="1"/>
      <c r="Z21" s="847"/>
      <c r="AA21" s="847">
        <v>10291.970000000001</v>
      </c>
      <c r="AB21" s="1025">
        <v>10291.970000000001</v>
      </c>
      <c r="AC21" s="1025">
        <v>0</v>
      </c>
      <c r="AD21" s="1025">
        <v>0</v>
      </c>
      <c r="AE21" s="1025">
        <v>6112.5499999999993</v>
      </c>
      <c r="AF21" s="1025">
        <v>4179.42</v>
      </c>
      <c r="AG21" s="1025">
        <v>10291.969999999999</v>
      </c>
      <c r="AH21" s="1025"/>
      <c r="AI21" s="1039"/>
      <c r="AJ21" s="1026">
        <f t="shared" si="7"/>
        <v>735.18469649999997</v>
      </c>
      <c r="AK21" s="1026">
        <f t="shared" si="14"/>
        <v>19699.687746999982</v>
      </c>
      <c r="AL21" s="1040">
        <f t="shared" si="0"/>
        <v>20434.872443499982</v>
      </c>
      <c r="AM21" s="1414"/>
      <c r="AN21" s="1414"/>
      <c r="AO21" s="1310"/>
      <c r="AP21" s="1310"/>
      <c r="AQ21" s="1934">
        <f t="shared" si="8"/>
        <v>0</v>
      </c>
      <c r="AR21" s="1729">
        <f t="shared" si="9"/>
        <v>1520.0060283265202</v>
      </c>
      <c r="AS21" s="1729">
        <f t="shared" si="9"/>
        <v>59407.317873673477</v>
      </c>
      <c r="AT21" s="1007"/>
      <c r="AU21" s="1476">
        <v>2262.6999999999998</v>
      </c>
      <c r="AV21" s="1414"/>
      <c r="AW21" s="987"/>
      <c r="AX21" s="310">
        <f t="shared" si="10"/>
        <v>10291.970000000001</v>
      </c>
      <c r="AY21" s="998"/>
      <c r="AZ21" s="4">
        <v>7351.8897140735244</v>
      </c>
      <c r="BA21" s="64">
        <v>1.2367731154845898</v>
      </c>
      <c r="BB21" s="64">
        <v>2.3157816561455626</v>
      </c>
      <c r="BC21" s="64">
        <v>6.1849313033791313</v>
      </c>
      <c r="BD21" s="482">
        <v>10.244184923876716</v>
      </c>
      <c r="BF21" s="987"/>
      <c r="BG21" s="987"/>
      <c r="BH21" s="987"/>
      <c r="BI21" s="987"/>
      <c r="BJ21" s="987"/>
      <c r="BK21" s="310">
        <v>7615.3</v>
      </c>
      <c r="BL21" s="310">
        <v>1</v>
      </c>
      <c r="BM21" s="310"/>
      <c r="BN21" s="310"/>
      <c r="BO21" s="310">
        <v>1</v>
      </c>
      <c r="BP21" s="1041">
        <f>'April TCM'!LN19</f>
        <v>7.19</v>
      </c>
      <c r="BQ21" s="1042"/>
      <c r="BR21" s="1"/>
      <c r="BS21" s="1032">
        <f t="shared" si="11"/>
        <v>115283.84133352998</v>
      </c>
      <c r="BT21" s="1"/>
      <c r="BU21" s="1"/>
      <c r="BV21" s="1"/>
      <c r="BW21" s="1"/>
      <c r="BX21" s="1"/>
      <c r="BY21" s="1"/>
      <c r="BZ21" s="1"/>
      <c r="CA21" s="1"/>
      <c r="CB21" s="1"/>
      <c r="CC21" s="1"/>
      <c r="CD21" s="1"/>
      <c r="CE21" s="1"/>
      <c r="CF21" s="1"/>
      <c r="CG21" s="1"/>
      <c r="CH21" s="1"/>
      <c r="CI21" s="1"/>
      <c r="CJ21" s="1"/>
      <c r="CK21" s="1"/>
      <c r="CM21" s="1033">
        <v>10</v>
      </c>
      <c r="CN21" s="1">
        <f t="shared" si="12"/>
        <v>44.2</v>
      </c>
      <c r="CO21">
        <v>2604102099</v>
      </c>
      <c r="CQ21" s="412">
        <v>10</v>
      </c>
      <c r="CR21" s="1">
        <f t="shared" si="13"/>
        <v>10291.970000000001</v>
      </c>
      <c r="CS21">
        <v>2604104125</v>
      </c>
    </row>
    <row r="22" spans="2:97" ht="15" thickBot="1">
      <c r="B22" s="989">
        <v>11</v>
      </c>
      <c r="C22" s="5">
        <f t="shared" si="1"/>
        <v>23326</v>
      </c>
      <c r="D22" s="488">
        <f t="shared" si="2"/>
        <v>1111.42</v>
      </c>
      <c r="E22" s="15">
        <f t="shared" si="3"/>
        <v>20.987565456803008</v>
      </c>
      <c r="F22" s="363"/>
      <c r="G22" s="64"/>
      <c r="H22" s="1034">
        <v>20</v>
      </c>
      <c r="I22" s="1034">
        <v>7.25</v>
      </c>
      <c r="N22" s="993"/>
      <c r="O22" s="26">
        <v>23326</v>
      </c>
      <c r="P22" s="36"/>
      <c r="Q22" s="277">
        <f t="shared" si="4"/>
        <v>1111.42</v>
      </c>
      <c r="R22" s="1227">
        <f t="shared" si="5"/>
        <v>1111.42</v>
      </c>
      <c r="S22" s="27">
        <f t="shared" si="6"/>
        <v>20.987565456803008</v>
      </c>
      <c r="T22" s="33"/>
      <c r="U22" s="2023">
        <v>1111.42</v>
      </c>
      <c r="V22" s="2024">
        <v>0</v>
      </c>
      <c r="W22" s="2024">
        <v>0</v>
      </c>
      <c r="X22" s="1038"/>
      <c r="Y22" s="1"/>
      <c r="Z22" s="847"/>
      <c r="AA22" s="847">
        <v>9978.909999999998</v>
      </c>
      <c r="AB22" s="1025">
        <v>9978.909999999998</v>
      </c>
      <c r="AC22" s="1025">
        <v>0</v>
      </c>
      <c r="AD22" s="1025">
        <v>0</v>
      </c>
      <c r="AE22" s="1025">
        <v>5685.7799999999988</v>
      </c>
      <c r="AF22" s="1025">
        <v>4293.13</v>
      </c>
      <c r="AG22" s="1025">
        <v>9978.91</v>
      </c>
      <c r="AH22" s="1025"/>
      <c r="AI22" s="1039"/>
      <c r="AJ22" s="1026">
        <f t="shared" si="7"/>
        <v>735.18469649999997</v>
      </c>
      <c r="AK22" s="1026">
        <f t="shared" si="14"/>
        <v>11842.937746999984</v>
      </c>
      <c r="AL22" s="1040">
        <f t="shared" si="0"/>
        <v>12578.122443499984</v>
      </c>
      <c r="AM22" s="1414"/>
      <c r="AN22" s="1414"/>
      <c r="AO22" s="1310"/>
      <c r="AP22" s="1310"/>
      <c r="AQ22" s="1934">
        <f t="shared" si="8"/>
        <v>0</v>
      </c>
      <c r="AR22" s="1729">
        <f t="shared" si="9"/>
        <v>1520.0060283265202</v>
      </c>
      <c r="AS22" s="1729">
        <f t="shared" si="9"/>
        <v>58396.577873673479</v>
      </c>
      <c r="AT22" s="1007"/>
      <c r="AU22" s="1476">
        <v>1010.74</v>
      </c>
      <c r="AV22" s="1414"/>
      <c r="AW22" s="987"/>
      <c r="AX22" s="310">
        <f t="shared" si="10"/>
        <v>9978.909999999998</v>
      </c>
      <c r="AY22" s="998"/>
      <c r="AZ22" s="4">
        <v>7374.6653154043897</v>
      </c>
      <c r="BA22" s="64">
        <v>1.393012655724738</v>
      </c>
      <c r="BB22" s="64">
        <v>2.0330126557247379</v>
      </c>
      <c r="BC22" s="64">
        <v>5.2134447300771205</v>
      </c>
      <c r="BD22" s="482">
        <v>10.010864148704766</v>
      </c>
      <c r="BF22" s="987"/>
      <c r="BG22" s="987"/>
      <c r="BH22" s="987"/>
      <c r="BI22" s="987"/>
      <c r="BJ22" s="987"/>
      <c r="BK22" s="310">
        <v>7485.01</v>
      </c>
      <c r="BL22" s="310"/>
      <c r="BM22" s="310"/>
      <c r="BN22" s="310"/>
      <c r="BO22" s="310"/>
      <c r="BP22" s="1041">
        <f>'April TCM'!LN20</f>
        <v>6.87</v>
      </c>
      <c r="BQ22" s="1042"/>
      <c r="BR22" s="1"/>
      <c r="BS22" s="1032">
        <f t="shared" si="11"/>
        <v>117777.74133352999</v>
      </c>
      <c r="BT22" s="1"/>
      <c r="BU22" s="1"/>
      <c r="BV22" s="1"/>
      <c r="BW22" s="1"/>
      <c r="BX22" s="1"/>
      <c r="BY22" s="1"/>
      <c r="BZ22" s="1"/>
      <c r="CA22" s="1"/>
      <c r="CB22" s="1"/>
      <c r="CC22" s="1"/>
      <c r="CD22" s="1"/>
      <c r="CE22" s="1"/>
      <c r="CF22" s="1"/>
      <c r="CG22" s="1"/>
      <c r="CH22" s="1"/>
      <c r="CI22" s="1"/>
      <c r="CJ22" s="1"/>
      <c r="CK22" s="1"/>
      <c r="CM22" s="1033">
        <v>11</v>
      </c>
      <c r="CN22" s="1">
        <f t="shared" si="12"/>
        <v>1111.42</v>
      </c>
      <c r="CO22">
        <v>2604112280</v>
      </c>
      <c r="CQ22" s="412">
        <v>11</v>
      </c>
      <c r="CR22" s="1">
        <f t="shared" si="13"/>
        <v>9978.909999999998</v>
      </c>
      <c r="CS22">
        <v>2604114637</v>
      </c>
    </row>
    <row r="23" spans="2:97" ht="15" thickBot="1">
      <c r="B23" s="989">
        <v>12</v>
      </c>
      <c r="C23" s="5">
        <f t="shared" si="1"/>
        <v>14978</v>
      </c>
      <c r="D23" s="488">
        <f t="shared" si="2"/>
        <v>518.88</v>
      </c>
      <c r="E23" s="15">
        <f t="shared" si="3"/>
        <v>28.866019118100525</v>
      </c>
      <c r="F23" s="363"/>
      <c r="G23" s="64"/>
      <c r="H23" s="1034">
        <v>30.5</v>
      </c>
      <c r="I23" s="1034">
        <v>13.48</v>
      </c>
      <c r="N23" s="993"/>
      <c r="O23" s="26">
        <v>14978</v>
      </c>
      <c r="P23" s="36"/>
      <c r="Q23" s="277">
        <f t="shared" si="4"/>
        <v>518.88</v>
      </c>
      <c r="R23" s="1227">
        <f t="shared" si="5"/>
        <v>518.88</v>
      </c>
      <c r="S23" s="27">
        <f t="shared" si="6"/>
        <v>28.866019118100525</v>
      </c>
      <c r="U23" s="2023">
        <v>518.88</v>
      </c>
      <c r="V23" s="2024">
        <v>0</v>
      </c>
      <c r="W23" s="2024">
        <v>0</v>
      </c>
      <c r="X23" s="1038"/>
      <c r="Y23" s="1"/>
      <c r="Z23" s="847"/>
      <c r="AA23" s="847">
        <v>7314.33</v>
      </c>
      <c r="AB23" s="1025">
        <v>7314.33</v>
      </c>
      <c r="AC23" s="1025">
        <v>0</v>
      </c>
      <c r="AD23" s="1025">
        <v>0</v>
      </c>
      <c r="AE23" s="1025">
        <v>3746.49</v>
      </c>
      <c r="AF23" s="1025">
        <v>3567.84</v>
      </c>
      <c r="AG23" s="1025">
        <v>7314.33</v>
      </c>
      <c r="AH23" s="1025"/>
      <c r="AI23" s="1039"/>
      <c r="AJ23" s="1026">
        <f t="shared" si="7"/>
        <v>735.18469649999997</v>
      </c>
      <c r="AK23" s="1026">
        <f t="shared" si="14"/>
        <v>5851.2077469999822</v>
      </c>
      <c r="AL23" s="1040">
        <f t="shared" si="0"/>
        <v>6586.3924434999826</v>
      </c>
      <c r="AM23" s="1414"/>
      <c r="AN23" s="1414"/>
      <c r="AO23" s="1310"/>
      <c r="AP23" s="1310"/>
      <c r="AQ23" s="1934">
        <f t="shared" si="8"/>
        <v>0</v>
      </c>
      <c r="AR23" s="1729">
        <f t="shared" si="9"/>
        <v>1520.0060283265202</v>
      </c>
      <c r="AS23" s="1729">
        <f t="shared" si="9"/>
        <v>57592.857873673478</v>
      </c>
      <c r="AT23" s="1007"/>
      <c r="AU23" s="1476">
        <v>803.72</v>
      </c>
      <c r="AV23" s="1414"/>
      <c r="AW23" s="987"/>
      <c r="AX23" s="310">
        <f t="shared" si="10"/>
        <v>7314.33</v>
      </c>
      <c r="AY23" s="998"/>
      <c r="AZ23" s="4">
        <v>7224.9077299945566</v>
      </c>
      <c r="BA23" s="64">
        <v>1.5312656505171476</v>
      </c>
      <c r="BB23" s="64">
        <v>3.2288023952095806</v>
      </c>
      <c r="BC23" s="64">
        <v>5.7133179096352755</v>
      </c>
      <c r="BD23" s="482">
        <v>10.296203048448557</v>
      </c>
      <c r="BF23" s="987"/>
      <c r="BG23" s="987"/>
      <c r="BH23" s="987"/>
      <c r="BI23" s="987"/>
      <c r="BJ23" s="987"/>
      <c r="BK23" s="310"/>
      <c r="BL23" s="310"/>
      <c r="BM23" s="310"/>
      <c r="BN23" s="310"/>
      <c r="BO23" s="310"/>
      <c r="BP23" s="1041">
        <f>'April TCM'!LN21</f>
        <v>6.97</v>
      </c>
      <c r="BQ23" s="1042"/>
      <c r="BR23" s="1"/>
      <c r="BS23" s="1032">
        <f t="shared" si="11"/>
        <v>125092.07133353</v>
      </c>
      <c r="BT23" s="1"/>
      <c r="BU23" s="1"/>
      <c r="BV23" s="1"/>
      <c r="BW23" s="1"/>
      <c r="BX23" s="1"/>
      <c r="BY23" s="1"/>
      <c r="BZ23" s="1"/>
      <c r="CA23" s="1"/>
      <c r="CB23" s="1"/>
      <c r="CC23" s="1"/>
      <c r="CD23" s="1"/>
      <c r="CE23" s="1"/>
      <c r="CF23" s="1"/>
      <c r="CG23" s="1"/>
      <c r="CH23" s="1"/>
      <c r="CI23" s="1"/>
      <c r="CJ23" s="1"/>
      <c r="CK23" s="1"/>
      <c r="CM23" s="1033">
        <v>12</v>
      </c>
      <c r="CN23" s="1">
        <f t="shared" si="12"/>
        <v>518.88</v>
      </c>
      <c r="CO23">
        <v>2604122547</v>
      </c>
      <c r="CP23" s="1048"/>
      <c r="CQ23" s="412">
        <v>12</v>
      </c>
      <c r="CR23" s="1">
        <f t="shared" si="13"/>
        <v>7314.33</v>
      </c>
      <c r="CS23">
        <v>2604125157</v>
      </c>
    </row>
    <row r="24" spans="2:97" ht="15" thickBot="1">
      <c r="B24" s="989">
        <v>13</v>
      </c>
      <c r="C24" s="5">
        <f t="shared" si="1"/>
        <v>23552</v>
      </c>
      <c r="D24" s="488">
        <f t="shared" si="2"/>
        <v>710.06</v>
      </c>
      <c r="E24" s="15">
        <f t="shared" si="3"/>
        <v>33.169027969467372</v>
      </c>
      <c r="F24" s="363"/>
      <c r="G24" s="64"/>
      <c r="H24" s="1034">
        <v>6</v>
      </c>
      <c r="I24" s="1034">
        <v>6</v>
      </c>
      <c r="N24" s="993"/>
      <c r="O24" s="26">
        <v>23552</v>
      </c>
      <c r="P24" s="36"/>
      <c r="Q24" s="277">
        <f t="shared" si="4"/>
        <v>710.06</v>
      </c>
      <c r="R24" s="1227">
        <f t="shared" si="5"/>
        <v>710.06</v>
      </c>
      <c r="S24" s="27">
        <f t="shared" si="6"/>
        <v>33.169027969467372</v>
      </c>
      <c r="T24" s="33"/>
      <c r="U24" s="2023">
        <v>710.06</v>
      </c>
      <c r="V24" s="2024">
        <v>0</v>
      </c>
      <c r="W24" s="2024">
        <v>0</v>
      </c>
      <c r="X24" s="1038"/>
      <c r="Y24" s="1"/>
      <c r="Z24" s="847"/>
      <c r="AA24" s="847">
        <v>0</v>
      </c>
      <c r="AB24" s="1025">
        <v>0</v>
      </c>
      <c r="AC24" s="1025">
        <v>0</v>
      </c>
      <c r="AD24" s="1025">
        <v>0</v>
      </c>
      <c r="AE24" s="1025">
        <v>0</v>
      </c>
      <c r="AF24" s="1025">
        <v>0</v>
      </c>
      <c r="AG24" s="1025">
        <v>0</v>
      </c>
      <c r="AH24" s="1025"/>
      <c r="AI24" s="1039"/>
      <c r="AJ24" s="1026">
        <f t="shared" si="7"/>
        <v>735.18469649999997</v>
      </c>
      <c r="AK24" s="1026">
        <f t="shared" si="14"/>
        <v>7476.1077469999818</v>
      </c>
      <c r="AL24" s="1040">
        <f t="shared" si="0"/>
        <v>8211.2924434999823</v>
      </c>
      <c r="AM24" s="1414"/>
      <c r="AN24" s="1414"/>
      <c r="AO24" s="1310"/>
      <c r="AP24" s="1310"/>
      <c r="AQ24" s="1934">
        <f t="shared" si="8"/>
        <v>0</v>
      </c>
      <c r="AR24" s="1729">
        <f t="shared" si="9"/>
        <v>1520.0060283265202</v>
      </c>
      <c r="AS24" s="1729">
        <f t="shared" si="9"/>
        <v>56678.017873673482</v>
      </c>
      <c r="AT24" s="1007"/>
      <c r="AU24" s="1476">
        <v>914.83999999999992</v>
      </c>
      <c r="AV24" s="1414"/>
      <c r="AW24" s="987"/>
      <c r="AX24" s="310">
        <f t="shared" si="10"/>
        <v>0</v>
      </c>
      <c r="AY24" s="998"/>
      <c r="AZ24" s="4"/>
      <c r="BA24" s="64"/>
      <c r="BB24" s="64"/>
      <c r="BC24" s="64"/>
      <c r="BD24" s="482"/>
      <c r="BF24" s="987"/>
      <c r="BG24" s="987"/>
      <c r="BH24" s="987"/>
      <c r="BI24" s="987"/>
      <c r="BJ24" s="987"/>
      <c r="BK24" s="847"/>
      <c r="BL24" s="310"/>
      <c r="BM24" s="310"/>
      <c r="BN24" s="310"/>
      <c r="BO24" s="310"/>
      <c r="BP24" s="1041">
        <f>'April TCM'!LN22</f>
        <v>6.91</v>
      </c>
      <c r="BQ24" s="1042"/>
      <c r="BR24" s="1"/>
      <c r="BS24" s="1032">
        <f t="shared" si="11"/>
        <v>125092.07133353</v>
      </c>
      <c r="BT24" s="1"/>
      <c r="BU24" s="1"/>
      <c r="BV24" s="1"/>
      <c r="BW24" s="1"/>
      <c r="BX24" s="1"/>
      <c r="BY24" s="1"/>
      <c r="BZ24" s="1"/>
      <c r="CA24" s="1"/>
      <c r="CB24" s="1"/>
      <c r="CC24" s="1"/>
      <c r="CD24" s="1"/>
      <c r="CE24" s="1"/>
      <c r="CF24" s="1"/>
      <c r="CG24" s="1"/>
      <c r="CH24" s="1"/>
      <c r="CI24" s="1"/>
      <c r="CJ24" s="1"/>
      <c r="CK24" s="1"/>
      <c r="CM24" s="1033">
        <v>13</v>
      </c>
      <c r="CN24" s="1">
        <f t="shared" si="12"/>
        <v>710.06</v>
      </c>
      <c r="CO24" s="1048">
        <v>2604132714</v>
      </c>
      <c r="CP24" s="1048"/>
      <c r="CQ24" s="412">
        <v>13</v>
      </c>
      <c r="CR24" s="1">
        <f t="shared" si="13"/>
        <v>0</v>
      </c>
    </row>
    <row r="25" spans="2:97" ht="15" thickBot="1">
      <c r="B25" s="989">
        <v>14</v>
      </c>
      <c r="C25" s="5">
        <f t="shared" si="1"/>
        <v>27484</v>
      </c>
      <c r="D25" s="488">
        <f t="shared" si="2"/>
        <v>2335.7600000000002</v>
      </c>
      <c r="E25" s="15">
        <f t="shared" si="3"/>
        <v>11.766619858204608</v>
      </c>
      <c r="F25" s="363"/>
      <c r="G25" s="64"/>
      <c r="H25" s="1034">
        <v>2</v>
      </c>
      <c r="I25" s="1034">
        <v>3.33</v>
      </c>
      <c r="N25" s="993"/>
      <c r="O25" s="26">
        <v>27484</v>
      </c>
      <c r="P25" s="36"/>
      <c r="Q25" s="277">
        <f t="shared" si="4"/>
        <v>2335.7600000000002</v>
      </c>
      <c r="R25" s="1227">
        <f t="shared" si="5"/>
        <v>2335.7600000000002</v>
      </c>
      <c r="S25" s="27">
        <f t="shared" si="6"/>
        <v>11.766619858204608</v>
      </c>
      <c r="T25" s="33"/>
      <c r="U25" s="2023">
        <v>1682.44</v>
      </c>
      <c r="V25" s="2024">
        <v>653.31999999999994</v>
      </c>
      <c r="W25" s="2024">
        <v>0</v>
      </c>
      <c r="X25" s="1038"/>
      <c r="Y25" s="1"/>
      <c r="Z25" s="847"/>
      <c r="AA25" s="847">
        <v>0</v>
      </c>
      <c r="AB25" s="1025">
        <v>0</v>
      </c>
      <c r="AC25" s="1025">
        <v>0</v>
      </c>
      <c r="AD25" s="1025">
        <v>0</v>
      </c>
      <c r="AE25" s="1025">
        <v>0</v>
      </c>
      <c r="AF25" s="1025">
        <v>0</v>
      </c>
      <c r="AG25" s="1025">
        <v>0</v>
      </c>
      <c r="AH25" s="1025"/>
      <c r="AI25" s="1039"/>
      <c r="AJ25" s="1026">
        <f t="shared" si="7"/>
        <v>735.18469649999997</v>
      </c>
      <c r="AK25" s="1026">
        <f t="shared" si="14"/>
        <v>9955.2477469999812</v>
      </c>
      <c r="AL25" s="1040">
        <f t="shared" si="0"/>
        <v>10690.432443499982</v>
      </c>
      <c r="AM25" s="1414"/>
      <c r="AN25" s="1414"/>
      <c r="AO25" s="1310"/>
      <c r="AP25" s="1310"/>
      <c r="AQ25" s="1934">
        <f t="shared" si="8"/>
        <v>0</v>
      </c>
      <c r="AR25" s="1729">
        <f t="shared" si="9"/>
        <v>1520.0060283265202</v>
      </c>
      <c r="AS25" s="1729">
        <f>AS24+AP25-AU25</f>
        <v>56534.637873673484</v>
      </c>
      <c r="AT25" s="1007"/>
      <c r="AU25" s="1476">
        <v>143.38</v>
      </c>
      <c r="AV25" s="1414"/>
      <c r="AW25" s="987"/>
      <c r="AX25" s="310">
        <f t="shared" si="10"/>
        <v>0</v>
      </c>
      <c r="AY25" s="998"/>
      <c r="AZ25" s="4"/>
      <c r="BA25" s="64"/>
      <c r="BB25" s="64"/>
      <c r="BC25" s="64"/>
      <c r="BD25" s="482"/>
      <c r="BF25" s="987"/>
      <c r="BG25" s="987"/>
      <c r="BH25" s="987"/>
      <c r="BI25" s="987"/>
      <c r="BJ25" s="987"/>
      <c r="BK25" s="847"/>
      <c r="BL25" s="310"/>
      <c r="BM25" s="310"/>
      <c r="BN25" s="310"/>
      <c r="BO25" s="310"/>
      <c r="BP25" s="1041">
        <f>'April TCM'!LN23</f>
        <v>6.79</v>
      </c>
      <c r="BQ25" s="1042"/>
      <c r="BR25" s="1"/>
      <c r="BS25" s="1032">
        <f t="shared" si="11"/>
        <v>125092.07133353</v>
      </c>
      <c r="BT25" s="1"/>
      <c r="BU25" s="1"/>
      <c r="BV25" s="1"/>
      <c r="BW25" s="1"/>
      <c r="BX25" s="1"/>
      <c r="BY25" s="1"/>
      <c r="BZ25" s="1"/>
      <c r="CA25" s="1"/>
      <c r="CB25" s="1"/>
      <c r="CC25" s="1"/>
      <c r="CD25" s="1"/>
      <c r="CE25" s="1"/>
      <c r="CF25" s="1"/>
      <c r="CG25" s="1"/>
      <c r="CH25" s="1"/>
      <c r="CI25" s="1"/>
      <c r="CJ25" s="1"/>
      <c r="CK25" s="1"/>
      <c r="CM25" s="1033">
        <v>14</v>
      </c>
      <c r="CN25" s="1">
        <f t="shared" si="12"/>
        <v>2335.7600000000002</v>
      </c>
      <c r="CO25" s="1048">
        <v>2604142873</v>
      </c>
      <c r="CP25" s="1048"/>
      <c r="CQ25" s="412">
        <v>14</v>
      </c>
      <c r="CR25" s="1">
        <f t="shared" si="13"/>
        <v>0</v>
      </c>
    </row>
    <row r="26" spans="2:97" ht="15" thickBot="1">
      <c r="B26" s="989">
        <v>15</v>
      </c>
      <c r="C26" s="5">
        <f t="shared" si="1"/>
        <v>18218</v>
      </c>
      <c r="D26" s="488">
        <f t="shared" si="2"/>
        <v>389.72</v>
      </c>
      <c r="E26" s="15">
        <f t="shared" si="3"/>
        <v>46.74638201785897</v>
      </c>
      <c r="F26" s="363"/>
      <c r="G26" s="64"/>
      <c r="H26" s="1034">
        <v>24</v>
      </c>
      <c r="I26" s="1034">
        <v>8.2200000000000006</v>
      </c>
      <c r="N26" s="993"/>
      <c r="O26" s="26">
        <v>18218</v>
      </c>
      <c r="P26" s="36"/>
      <c r="Q26" s="277">
        <f t="shared" si="4"/>
        <v>389.72</v>
      </c>
      <c r="R26" s="1227">
        <f t="shared" si="5"/>
        <v>389.72</v>
      </c>
      <c r="S26" s="27">
        <f t="shared" si="6"/>
        <v>46.74638201785897</v>
      </c>
      <c r="T26" s="33"/>
      <c r="U26" s="2023">
        <v>389.72</v>
      </c>
      <c r="V26" s="2024">
        <v>0</v>
      </c>
      <c r="W26" s="2024">
        <v>0</v>
      </c>
      <c r="X26" s="1038"/>
      <c r="Y26" s="1"/>
      <c r="Z26" s="847"/>
      <c r="AA26" s="847">
        <v>0</v>
      </c>
      <c r="AB26" s="1025">
        <v>0</v>
      </c>
      <c r="AC26" s="1025">
        <v>0</v>
      </c>
      <c r="AD26" s="1025">
        <v>0</v>
      </c>
      <c r="AE26" s="1025">
        <v>0</v>
      </c>
      <c r="AF26" s="1025">
        <v>0</v>
      </c>
      <c r="AG26" s="1025">
        <v>0</v>
      </c>
      <c r="AH26" s="1025"/>
      <c r="AI26" s="1039"/>
      <c r="AJ26" s="1026">
        <f t="shared" si="7"/>
        <v>735.18469649999997</v>
      </c>
      <c r="AK26" s="1026">
        <f t="shared" si="14"/>
        <v>10390.147746999981</v>
      </c>
      <c r="AL26" s="1040">
        <f t="shared" si="0"/>
        <v>11125.332443499981</v>
      </c>
      <c r="AM26" s="1414"/>
      <c r="AN26" s="1414"/>
      <c r="AO26" s="1310"/>
      <c r="AP26" s="1310"/>
      <c r="AQ26" s="1934">
        <f t="shared" si="8"/>
        <v>0</v>
      </c>
      <c r="AR26" s="1729">
        <f t="shared" si="9"/>
        <v>1520.0060283265202</v>
      </c>
      <c r="AS26" s="1729">
        <f>AS25+AP26-AU26</f>
        <v>56489.457873673484</v>
      </c>
      <c r="AT26" s="1007"/>
      <c r="AU26" s="1476">
        <v>45.18</v>
      </c>
      <c r="AV26" s="1414"/>
      <c r="AW26" s="987"/>
      <c r="AX26" s="310">
        <f t="shared" si="10"/>
        <v>0</v>
      </c>
      <c r="AY26" s="998"/>
      <c r="AZ26" s="4"/>
      <c r="BA26" s="64"/>
      <c r="BB26" s="64"/>
      <c r="BC26" s="64"/>
      <c r="BD26" s="482"/>
      <c r="BF26" s="987"/>
      <c r="BG26" s="987"/>
      <c r="BH26" s="987"/>
      <c r="BI26" s="987"/>
      <c r="BJ26" s="987"/>
      <c r="BK26" s="847"/>
      <c r="BL26" s="310"/>
      <c r="BM26" s="310"/>
      <c r="BN26" s="310"/>
      <c r="BO26" s="310"/>
      <c r="BP26" s="1041">
        <f>'April TCM'!LN24</f>
        <v>7.05</v>
      </c>
      <c r="BQ26" s="1042"/>
      <c r="BR26" s="1"/>
      <c r="BS26" s="1032">
        <f t="shared" si="11"/>
        <v>125092.07133353</v>
      </c>
      <c r="BT26" s="1"/>
      <c r="BU26" s="1"/>
      <c r="BV26" s="1"/>
      <c r="BW26" s="1"/>
      <c r="BX26" s="1"/>
      <c r="BY26" s="1"/>
      <c r="BZ26" s="1"/>
      <c r="CA26" s="1"/>
      <c r="CB26" s="1"/>
      <c r="CC26" s="1"/>
      <c r="CD26" s="1"/>
      <c r="CE26" s="1"/>
      <c r="CF26" s="1"/>
      <c r="CG26" s="1"/>
      <c r="CH26" s="1"/>
      <c r="CI26" s="1"/>
      <c r="CJ26" s="1"/>
      <c r="CK26" s="1"/>
      <c r="CM26" s="1033">
        <v>15</v>
      </c>
      <c r="CN26" s="1">
        <f t="shared" si="12"/>
        <v>389.72</v>
      </c>
      <c r="CO26">
        <v>2604153122</v>
      </c>
      <c r="CQ26" s="412">
        <v>15</v>
      </c>
      <c r="CR26" s="1">
        <f t="shared" si="13"/>
        <v>0</v>
      </c>
    </row>
    <row r="27" spans="2:97" ht="15" thickBot="1">
      <c r="B27" s="989">
        <v>16</v>
      </c>
      <c r="C27" s="5">
        <f t="shared" si="1"/>
        <v>18951</v>
      </c>
      <c r="D27" s="488">
        <f t="shared" si="2"/>
        <v>1406.7200000000003</v>
      </c>
      <c r="E27" s="15">
        <f t="shared" si="3"/>
        <v>13.471764103730662</v>
      </c>
      <c r="F27" s="363"/>
      <c r="G27" s="64"/>
      <c r="H27" s="1034">
        <v>17</v>
      </c>
      <c r="I27" s="1034">
        <v>5.32</v>
      </c>
      <c r="N27" s="993"/>
      <c r="O27" s="26">
        <v>18951</v>
      </c>
      <c r="P27" s="36"/>
      <c r="Q27" s="277">
        <f t="shared" si="4"/>
        <v>1406.7200000000003</v>
      </c>
      <c r="R27" s="1227">
        <f t="shared" si="5"/>
        <v>1406.7200000000003</v>
      </c>
      <c r="S27" s="27">
        <f t="shared" si="6"/>
        <v>13.471764103730662</v>
      </c>
      <c r="T27" s="33"/>
      <c r="U27" s="2023">
        <v>1065.8200000000002</v>
      </c>
      <c r="V27" s="2024">
        <v>340.9</v>
      </c>
      <c r="W27" s="2024">
        <v>0</v>
      </c>
      <c r="X27" s="1038"/>
      <c r="Y27" s="1"/>
      <c r="Z27" s="847"/>
      <c r="AA27" s="847">
        <v>0</v>
      </c>
      <c r="AB27" s="1025">
        <v>0</v>
      </c>
      <c r="AC27" s="1025">
        <v>0</v>
      </c>
      <c r="AD27" s="1025">
        <v>0</v>
      </c>
      <c r="AE27" s="1025">
        <v>0</v>
      </c>
      <c r="AF27" s="1025">
        <v>0</v>
      </c>
      <c r="AG27" s="1025">
        <v>0</v>
      </c>
      <c r="AH27" s="1025"/>
      <c r="AI27" s="1039"/>
      <c r="AJ27" s="1026">
        <f t="shared" si="7"/>
        <v>735.18469649999997</v>
      </c>
      <c r="AK27" s="1026">
        <f t="shared" si="14"/>
        <v>11796.867746999982</v>
      </c>
      <c r="AL27" s="1040">
        <f t="shared" si="0"/>
        <v>12532.052443499982</v>
      </c>
      <c r="AM27" s="1414"/>
      <c r="AN27" s="1414"/>
      <c r="AO27" s="1310"/>
      <c r="AP27" s="1310"/>
      <c r="AQ27" s="1934">
        <f t="shared" si="8"/>
        <v>0</v>
      </c>
      <c r="AR27" s="1729">
        <f t="shared" si="9"/>
        <v>1520.0060283265202</v>
      </c>
      <c r="AS27" s="1729">
        <f t="shared" si="9"/>
        <v>56489.457873673484</v>
      </c>
      <c r="AT27" s="1007"/>
      <c r="AU27" s="1476">
        <v>0</v>
      </c>
      <c r="AV27" s="1414"/>
      <c r="AW27" s="987"/>
      <c r="AX27" s="310">
        <f t="shared" si="10"/>
        <v>0</v>
      </c>
      <c r="AY27" s="998"/>
      <c r="AZ27" s="4"/>
      <c r="BA27" s="64"/>
      <c r="BB27" s="64"/>
      <c r="BC27" s="64"/>
      <c r="BD27" s="482"/>
      <c r="BF27" s="987"/>
      <c r="BG27" s="987"/>
      <c r="BH27" s="987"/>
      <c r="BI27" s="987"/>
      <c r="BJ27" s="987"/>
      <c r="BK27" s="847"/>
      <c r="BL27" s="310"/>
      <c r="BM27" s="310"/>
      <c r="BN27" s="310"/>
      <c r="BO27" s="310"/>
      <c r="BP27" s="1041">
        <f>'April TCM'!LN25</f>
        <v>6.75</v>
      </c>
      <c r="BQ27" s="1042"/>
      <c r="BR27" s="1"/>
      <c r="BS27" s="1032">
        <f t="shared" si="11"/>
        <v>125092.07133353</v>
      </c>
      <c r="BT27" s="1"/>
      <c r="BU27" s="1"/>
      <c r="BV27" s="1"/>
      <c r="BW27" s="1"/>
      <c r="BX27" s="1"/>
      <c r="BY27" s="1"/>
      <c r="BZ27" s="1"/>
      <c r="CA27" s="1"/>
      <c r="CB27" s="1"/>
      <c r="CC27" s="1"/>
      <c r="CD27" s="1"/>
      <c r="CE27" s="1"/>
      <c r="CF27" s="1"/>
      <c r="CG27" s="1"/>
      <c r="CH27" s="1"/>
      <c r="CI27" s="1"/>
      <c r="CJ27" s="1"/>
      <c r="CK27" s="1"/>
      <c r="CM27" s="1033">
        <v>16</v>
      </c>
      <c r="CN27" s="1">
        <f t="shared" si="12"/>
        <v>1406.7200000000003</v>
      </c>
      <c r="CO27">
        <v>2604163191</v>
      </c>
      <c r="CP27" s="1048"/>
      <c r="CQ27" s="412">
        <v>16</v>
      </c>
      <c r="CR27" s="1">
        <f t="shared" si="13"/>
        <v>0</v>
      </c>
    </row>
    <row r="28" spans="2:97" ht="15" thickBot="1">
      <c r="B28" s="989">
        <v>17</v>
      </c>
      <c r="C28" s="5">
        <f t="shared" si="1"/>
        <v>29704</v>
      </c>
      <c r="D28" s="488">
        <f t="shared" si="2"/>
        <v>2405.7600000000002</v>
      </c>
      <c r="E28" s="15">
        <f t="shared" si="3"/>
        <v>12.347033785581271</v>
      </c>
      <c r="F28" s="363"/>
      <c r="G28" s="64"/>
      <c r="H28" s="1034"/>
      <c r="I28" s="1034"/>
      <c r="N28" s="993"/>
      <c r="O28" s="26">
        <v>29704</v>
      </c>
      <c r="P28" s="36"/>
      <c r="Q28" s="277">
        <f t="shared" si="4"/>
        <v>2405.7600000000002</v>
      </c>
      <c r="R28" s="1227">
        <f t="shared" si="5"/>
        <v>2405.7600000000002</v>
      </c>
      <c r="S28" s="27">
        <f t="shared" si="6"/>
        <v>12.347033785581271</v>
      </c>
      <c r="T28" s="33"/>
      <c r="U28" s="2023">
        <v>1273.94</v>
      </c>
      <c r="V28" s="2024">
        <v>1131.8200000000002</v>
      </c>
      <c r="W28" s="2024">
        <v>0</v>
      </c>
      <c r="X28" s="1038"/>
      <c r="Y28" s="1"/>
      <c r="Z28" s="847"/>
      <c r="AA28" s="847">
        <v>0</v>
      </c>
      <c r="AB28" s="1025">
        <v>0</v>
      </c>
      <c r="AC28" s="1025">
        <v>0</v>
      </c>
      <c r="AD28" s="1025">
        <v>0</v>
      </c>
      <c r="AE28" s="1025">
        <v>0</v>
      </c>
      <c r="AF28" s="1025">
        <v>0</v>
      </c>
      <c r="AG28" s="1025">
        <v>0</v>
      </c>
      <c r="AH28" s="1025"/>
      <c r="AI28" s="1039"/>
      <c r="AJ28" s="1026">
        <f t="shared" ref="AJ28:AJ42" si="15">AJ27+P28-Z28</f>
        <v>735.18469649999997</v>
      </c>
      <c r="AK28" s="1026">
        <f t="shared" si="14"/>
        <v>14202.627746999982</v>
      </c>
      <c r="AL28" s="1040">
        <f t="shared" si="0"/>
        <v>14937.812443499983</v>
      </c>
      <c r="AM28" s="1414"/>
      <c r="AN28" s="1414"/>
      <c r="AO28" s="1310"/>
      <c r="AP28" s="1310"/>
      <c r="AQ28" s="1934">
        <f t="shared" si="8"/>
        <v>0</v>
      </c>
      <c r="AR28" s="1729">
        <f t="shared" ref="AR28:AS42" si="16">AR27+AO28-AT28</f>
        <v>1520.0060283265202</v>
      </c>
      <c r="AS28" s="1729">
        <f t="shared" si="16"/>
        <v>56489.457873673484</v>
      </c>
      <c r="AT28" s="1007"/>
      <c r="AU28" s="1476">
        <v>0</v>
      </c>
      <c r="AV28" s="1414"/>
      <c r="AW28" s="987"/>
      <c r="AX28" s="310">
        <f t="shared" si="10"/>
        <v>0</v>
      </c>
      <c r="AY28" s="998"/>
      <c r="AZ28" s="4"/>
      <c r="BA28" s="64"/>
      <c r="BB28" s="64"/>
      <c r="BC28" s="64"/>
      <c r="BD28" s="482"/>
      <c r="BF28" s="987"/>
      <c r="BG28" s="987"/>
      <c r="BH28" s="987"/>
      <c r="BI28" s="987"/>
      <c r="BJ28" s="987"/>
      <c r="BK28" s="1049">
        <v>7470.34</v>
      </c>
      <c r="BL28" s="310">
        <v>1</v>
      </c>
      <c r="BM28" s="310"/>
      <c r="BN28" s="310"/>
      <c r="BO28" s="310"/>
      <c r="BP28" s="1041">
        <f>'April TCM'!LN26</f>
        <v>6.5</v>
      </c>
      <c r="BQ28" s="1042"/>
      <c r="BR28" s="1"/>
      <c r="BS28" s="1032">
        <f t="shared" si="11"/>
        <v>117621.73133353</v>
      </c>
      <c r="BT28" s="1"/>
      <c r="BU28" s="1"/>
      <c r="BV28" s="1"/>
      <c r="BW28" s="1"/>
      <c r="BX28" s="1"/>
      <c r="BY28" s="1"/>
      <c r="BZ28" s="1"/>
      <c r="CA28" s="1"/>
      <c r="CB28" s="1"/>
      <c r="CC28" s="1"/>
      <c r="CD28" s="1"/>
      <c r="CE28" s="1"/>
      <c r="CF28" s="1"/>
      <c r="CG28" s="1"/>
      <c r="CH28" s="1"/>
      <c r="CI28" s="1"/>
      <c r="CJ28" s="1"/>
      <c r="CK28" s="1"/>
      <c r="CM28" s="1033">
        <v>17</v>
      </c>
      <c r="CN28" s="1">
        <f t="shared" si="12"/>
        <v>2405.7600000000002</v>
      </c>
      <c r="CO28">
        <v>2604173382</v>
      </c>
      <c r="CQ28" s="412">
        <v>17</v>
      </c>
      <c r="CR28" s="1">
        <f t="shared" si="13"/>
        <v>0</v>
      </c>
    </row>
    <row r="29" spans="2:97" ht="15" thickBot="1">
      <c r="B29" s="989">
        <v>18</v>
      </c>
      <c r="C29" s="5">
        <f t="shared" si="1"/>
        <v>28306</v>
      </c>
      <c r="D29" s="488">
        <f t="shared" si="2"/>
        <v>2663.9600000000005</v>
      </c>
      <c r="E29" s="15">
        <f t="shared" si="3"/>
        <v>10.625534917941708</v>
      </c>
      <c r="F29" s="363"/>
      <c r="G29" s="64"/>
      <c r="H29" s="1034"/>
      <c r="I29" s="1034"/>
      <c r="N29" s="993"/>
      <c r="O29" s="26">
        <v>28306</v>
      </c>
      <c r="P29" s="36"/>
      <c r="Q29" s="277">
        <f t="shared" si="4"/>
        <v>2663.9600000000005</v>
      </c>
      <c r="R29" s="1227">
        <f t="shared" si="5"/>
        <v>2663.9600000000005</v>
      </c>
      <c r="S29" s="27">
        <f t="shared" si="6"/>
        <v>10.625534917941708</v>
      </c>
      <c r="T29" s="33"/>
      <c r="U29" s="2023">
        <v>2314.1800000000003</v>
      </c>
      <c r="V29" s="2024">
        <v>349.78000000000003</v>
      </c>
      <c r="W29" s="2024">
        <v>0</v>
      </c>
      <c r="X29" s="1038"/>
      <c r="Y29" s="1"/>
      <c r="Z29" s="847"/>
      <c r="AA29" s="847">
        <v>0</v>
      </c>
      <c r="AB29" s="1025">
        <v>0</v>
      </c>
      <c r="AC29" s="1025">
        <v>0</v>
      </c>
      <c r="AD29" s="1025">
        <v>0</v>
      </c>
      <c r="AE29" s="1025">
        <v>0</v>
      </c>
      <c r="AF29" s="1025">
        <v>0</v>
      </c>
      <c r="AG29" s="1025">
        <v>0</v>
      </c>
      <c r="AH29" s="1025"/>
      <c r="AI29" s="1039"/>
      <c r="AJ29" s="1026">
        <f t="shared" si="15"/>
        <v>735.18469649999997</v>
      </c>
      <c r="AK29" s="1026">
        <f t="shared" si="14"/>
        <v>16866.587746999983</v>
      </c>
      <c r="AL29" s="1040">
        <f t="shared" si="0"/>
        <v>17601.772443499984</v>
      </c>
      <c r="AM29" s="1414"/>
      <c r="AN29" s="1414"/>
      <c r="AO29" s="1310"/>
      <c r="AP29" s="1310"/>
      <c r="AQ29" s="1934">
        <f t="shared" si="8"/>
        <v>0</v>
      </c>
      <c r="AR29" s="1729">
        <f t="shared" si="16"/>
        <v>1520.0060283265202</v>
      </c>
      <c r="AS29" s="1729">
        <f t="shared" si="16"/>
        <v>56489.457873673484</v>
      </c>
      <c r="AT29" s="1007"/>
      <c r="AU29" s="1476">
        <v>0</v>
      </c>
      <c r="AV29" s="1414"/>
      <c r="AW29" s="987"/>
      <c r="AX29" s="310">
        <f t="shared" si="10"/>
        <v>0</v>
      </c>
      <c r="AY29" s="868"/>
      <c r="AZ29" s="4"/>
      <c r="BA29" s="64"/>
      <c r="BB29" s="64"/>
      <c r="BC29" s="64"/>
      <c r="BD29" s="482"/>
      <c r="BF29" s="987"/>
      <c r="BG29" s="987"/>
      <c r="BH29" s="987"/>
      <c r="BI29" s="987"/>
      <c r="BJ29" s="987"/>
      <c r="BK29" s="847"/>
      <c r="BL29" s="847"/>
      <c r="BM29" s="847"/>
      <c r="BN29" s="847"/>
      <c r="BO29" s="847"/>
      <c r="BP29" s="1041">
        <f>'April TCM'!LN27</f>
        <v>5</v>
      </c>
      <c r="BQ29" s="1042"/>
      <c r="BR29" s="1"/>
      <c r="BS29" s="1032">
        <f t="shared" si="11"/>
        <v>117621.73133353</v>
      </c>
      <c r="BT29" s="1"/>
      <c r="BU29" s="1"/>
      <c r="BV29" s="1"/>
      <c r="BW29" s="1"/>
      <c r="BX29" s="1"/>
      <c r="BY29" s="1"/>
      <c r="BZ29" s="1"/>
      <c r="CA29" s="1"/>
      <c r="CB29" s="1"/>
      <c r="CC29" s="1"/>
      <c r="CD29" s="1"/>
      <c r="CE29" s="1"/>
      <c r="CF29" s="1"/>
      <c r="CG29" s="1"/>
      <c r="CH29" s="1"/>
      <c r="CI29" s="1"/>
      <c r="CJ29" s="1"/>
      <c r="CK29" s="1"/>
      <c r="CM29" s="1033">
        <v>18</v>
      </c>
      <c r="CN29" s="1">
        <f t="shared" si="12"/>
        <v>2663.9600000000005</v>
      </c>
      <c r="CO29">
        <v>2604183598</v>
      </c>
      <c r="CQ29" s="412">
        <v>18</v>
      </c>
      <c r="CR29" s="1">
        <f t="shared" si="13"/>
        <v>0</v>
      </c>
    </row>
    <row r="30" spans="2:97" ht="15" thickBot="1">
      <c r="B30" s="989">
        <v>19</v>
      </c>
      <c r="C30" s="5">
        <f t="shared" si="1"/>
        <v>31826</v>
      </c>
      <c r="D30" s="488">
        <f t="shared" si="2"/>
        <v>2495.58</v>
      </c>
      <c r="E30" s="15">
        <f t="shared" si="3"/>
        <v>12.752947210668463</v>
      </c>
      <c r="F30" s="363"/>
      <c r="G30" s="64"/>
      <c r="H30" s="1034"/>
      <c r="I30" s="1034"/>
      <c r="N30" s="993"/>
      <c r="O30" s="26">
        <v>31826</v>
      </c>
      <c r="P30" s="36"/>
      <c r="Q30" s="277">
        <f t="shared" si="4"/>
        <v>2495.58</v>
      </c>
      <c r="R30" s="1227">
        <f t="shared" si="5"/>
        <v>2495.58</v>
      </c>
      <c r="S30" s="27">
        <f t="shared" si="6"/>
        <v>12.752947210668463</v>
      </c>
      <c r="T30" s="33"/>
      <c r="U30" s="2023">
        <v>1516.6</v>
      </c>
      <c r="V30" s="2024">
        <v>978.98</v>
      </c>
      <c r="W30" s="2024">
        <v>0</v>
      </c>
      <c r="X30" s="1038"/>
      <c r="Y30" s="1"/>
      <c r="Z30" s="847"/>
      <c r="AA30" s="847">
        <v>0</v>
      </c>
      <c r="AB30" s="1025">
        <v>0</v>
      </c>
      <c r="AC30" s="1025">
        <v>0</v>
      </c>
      <c r="AD30" s="1025">
        <v>0</v>
      </c>
      <c r="AE30" s="1025">
        <v>0</v>
      </c>
      <c r="AF30" s="1025">
        <v>0</v>
      </c>
      <c r="AG30" s="1025">
        <v>0</v>
      </c>
      <c r="AH30" s="1025"/>
      <c r="AI30" s="1039"/>
      <c r="AJ30" s="1026">
        <f t="shared" si="15"/>
        <v>735.18469649999997</v>
      </c>
      <c r="AK30" s="1026">
        <f t="shared" si="14"/>
        <v>19362.167746999985</v>
      </c>
      <c r="AL30" s="1040">
        <f t="shared" si="0"/>
        <v>20097.352443499985</v>
      </c>
      <c r="AM30" s="1414"/>
      <c r="AN30" s="1414"/>
      <c r="AO30" s="1310"/>
      <c r="AP30" s="1310"/>
      <c r="AQ30" s="1934">
        <f t="shared" si="8"/>
        <v>0</v>
      </c>
      <c r="AR30" s="1729">
        <f t="shared" si="16"/>
        <v>1520.0060283265202</v>
      </c>
      <c r="AS30" s="1729">
        <f t="shared" si="16"/>
        <v>56489.457873673484</v>
      </c>
      <c r="AT30" s="1007"/>
      <c r="AU30" s="1476">
        <v>0</v>
      </c>
      <c r="AV30" s="1414"/>
      <c r="AW30" s="987"/>
      <c r="AX30" s="310">
        <f t="shared" si="10"/>
        <v>0</v>
      </c>
      <c r="AY30" s="998"/>
      <c r="AZ30" s="4"/>
      <c r="BA30" s="64"/>
      <c r="BB30" s="64"/>
      <c r="BC30" s="64"/>
      <c r="BD30" s="482"/>
      <c r="BF30" s="987"/>
      <c r="BG30" s="987"/>
      <c r="BH30" s="987"/>
      <c r="BI30" s="987"/>
      <c r="BJ30" s="987"/>
      <c r="BK30" s="847"/>
      <c r="BL30" s="310"/>
      <c r="BM30" s="310"/>
      <c r="BN30" s="310"/>
      <c r="BO30" s="310"/>
      <c r="BP30" s="1041">
        <f>'April TCM'!LN28</f>
        <v>5.49</v>
      </c>
      <c r="BQ30" s="1042"/>
      <c r="BR30" s="1"/>
      <c r="BS30" s="1032">
        <f t="shared" si="11"/>
        <v>117621.73133353</v>
      </c>
      <c r="BT30" s="1"/>
      <c r="BU30" s="1"/>
      <c r="BV30" s="1"/>
      <c r="BW30" s="1"/>
      <c r="BX30" s="1"/>
      <c r="BY30" s="1"/>
      <c r="BZ30" s="1"/>
      <c r="CA30" s="1"/>
      <c r="CB30" s="1"/>
      <c r="CC30" s="1"/>
      <c r="CD30" s="1"/>
      <c r="CE30" s="1"/>
      <c r="CF30" s="1"/>
      <c r="CG30" s="1"/>
      <c r="CH30" s="1"/>
      <c r="CI30" s="1"/>
      <c r="CJ30" s="1"/>
      <c r="CK30" s="1"/>
      <c r="CM30" s="1033">
        <v>19</v>
      </c>
      <c r="CN30" s="1">
        <f t="shared" si="12"/>
        <v>2495.58</v>
      </c>
      <c r="CO30">
        <v>2604193931</v>
      </c>
      <c r="CQ30" s="412">
        <v>19</v>
      </c>
      <c r="CR30" s="1">
        <f t="shared" si="13"/>
        <v>0</v>
      </c>
    </row>
    <row r="31" spans="2:97" ht="15" thickBot="1">
      <c r="B31" s="989">
        <v>20</v>
      </c>
      <c r="C31" s="5">
        <f t="shared" si="1"/>
        <v>31001</v>
      </c>
      <c r="D31" s="488">
        <f t="shared" si="2"/>
        <v>2584.34</v>
      </c>
      <c r="E31" s="15">
        <f t="shared" si="3"/>
        <v>11.995712638429927</v>
      </c>
      <c r="F31" s="363"/>
      <c r="G31" s="64"/>
      <c r="H31" s="1034"/>
      <c r="I31" s="1034"/>
      <c r="N31" s="993"/>
      <c r="O31" s="26">
        <v>31001</v>
      </c>
      <c r="P31" s="36"/>
      <c r="Q31" s="277">
        <f t="shared" si="4"/>
        <v>2584.34</v>
      </c>
      <c r="R31" s="1227">
        <f t="shared" si="5"/>
        <v>2584.34</v>
      </c>
      <c r="S31" s="5">
        <f t="shared" si="6"/>
        <v>11.995712638429927</v>
      </c>
      <c r="T31" s="12"/>
      <c r="U31" s="2023">
        <v>1915.8</v>
      </c>
      <c r="V31" s="2024">
        <v>668.54</v>
      </c>
      <c r="W31" s="2024">
        <v>0</v>
      </c>
      <c r="X31" s="1038"/>
      <c r="Y31" s="1"/>
      <c r="Z31" s="847"/>
      <c r="AA31" s="847">
        <v>0</v>
      </c>
      <c r="AB31" s="1025">
        <v>0</v>
      </c>
      <c r="AC31" s="1025">
        <v>0</v>
      </c>
      <c r="AD31" s="1025">
        <v>0</v>
      </c>
      <c r="AE31" s="1025">
        <v>0</v>
      </c>
      <c r="AF31" s="1025">
        <v>0</v>
      </c>
      <c r="AG31" s="1025">
        <v>0</v>
      </c>
      <c r="AH31" s="1025"/>
      <c r="AI31" s="1039"/>
      <c r="AJ31" s="1026">
        <f t="shared" si="15"/>
        <v>735.18469649999997</v>
      </c>
      <c r="AK31" s="1026">
        <f t="shared" si="14"/>
        <v>21946.507746999985</v>
      </c>
      <c r="AL31" s="1040">
        <f t="shared" si="0"/>
        <v>22681.692443499986</v>
      </c>
      <c r="AM31" s="1414"/>
      <c r="AN31" s="1414"/>
      <c r="AO31" s="1310"/>
      <c r="AP31" s="1310"/>
      <c r="AQ31" s="1934">
        <f t="shared" si="8"/>
        <v>0</v>
      </c>
      <c r="AR31" s="1729">
        <f t="shared" si="16"/>
        <v>1520.0060283265202</v>
      </c>
      <c r="AS31" s="1729">
        <f t="shared" si="16"/>
        <v>56489.457873673484</v>
      </c>
      <c r="AT31" s="1007"/>
      <c r="AU31" s="1476">
        <v>0</v>
      </c>
      <c r="AV31" s="1414"/>
      <c r="AW31" s="987"/>
      <c r="AX31" s="310">
        <f t="shared" si="10"/>
        <v>0</v>
      </c>
      <c r="AY31" s="868"/>
      <c r="AZ31" s="4"/>
      <c r="BA31" s="64"/>
      <c r="BB31" s="64"/>
      <c r="BC31" s="64"/>
      <c r="BD31" s="482"/>
      <c r="BF31" s="987"/>
      <c r="BG31" s="987"/>
      <c r="BH31" s="987"/>
      <c r="BI31" s="987"/>
      <c r="BJ31" s="987"/>
      <c r="BK31" s="847"/>
      <c r="BL31" s="847"/>
      <c r="BM31" s="847"/>
      <c r="BN31" s="847"/>
      <c r="BO31" s="847"/>
      <c r="BP31" s="1041">
        <f>'April TCM'!LN29</f>
        <v>5.8</v>
      </c>
      <c r="BQ31" s="1042"/>
      <c r="BR31" s="1"/>
      <c r="BS31" s="1032">
        <f t="shared" si="11"/>
        <v>117621.73133353</v>
      </c>
      <c r="BT31" s="1"/>
      <c r="BU31" s="1"/>
      <c r="BV31" s="1"/>
      <c r="BW31" s="1"/>
      <c r="BX31" s="1"/>
      <c r="BY31" s="1"/>
      <c r="BZ31" s="1"/>
      <c r="CA31" s="1"/>
      <c r="CB31" s="1"/>
      <c r="CC31" s="1"/>
      <c r="CD31" s="1"/>
      <c r="CE31" s="1"/>
      <c r="CF31" s="1"/>
      <c r="CG31" s="1"/>
      <c r="CH31" s="1"/>
      <c r="CI31" s="1"/>
      <c r="CJ31" s="1"/>
      <c r="CK31" s="1"/>
      <c r="CM31" s="1033">
        <v>20</v>
      </c>
      <c r="CN31" s="1">
        <f t="shared" si="12"/>
        <v>2584.34</v>
      </c>
      <c r="CO31">
        <v>2604204256</v>
      </c>
      <c r="CQ31" s="412">
        <v>20</v>
      </c>
      <c r="CR31" s="1">
        <f t="shared" si="13"/>
        <v>0</v>
      </c>
    </row>
    <row r="32" spans="2:97" ht="15" thickBot="1">
      <c r="B32" s="989">
        <v>21</v>
      </c>
      <c r="C32" s="5">
        <f t="shared" si="1"/>
        <v>33293</v>
      </c>
      <c r="D32" s="488">
        <f t="shared" si="2"/>
        <v>2616.54</v>
      </c>
      <c r="E32" s="15">
        <f t="shared" si="3"/>
        <v>12.724055431982695</v>
      </c>
      <c r="F32" s="363"/>
      <c r="G32" s="64"/>
      <c r="H32" s="1034"/>
      <c r="I32" s="1034"/>
      <c r="N32" s="993"/>
      <c r="O32" s="26">
        <v>33293</v>
      </c>
      <c r="P32" s="36"/>
      <c r="Q32" s="277">
        <f t="shared" si="4"/>
        <v>2616.54</v>
      </c>
      <c r="R32" s="1227">
        <f t="shared" si="5"/>
        <v>2616.54</v>
      </c>
      <c r="S32" s="27">
        <f t="shared" si="6"/>
        <v>12.724055431982695</v>
      </c>
      <c r="T32" s="33"/>
      <c r="U32" s="2023">
        <v>2188.1</v>
      </c>
      <c r="V32" s="2024">
        <v>428.44</v>
      </c>
      <c r="W32" s="2024">
        <v>0</v>
      </c>
      <c r="X32" s="1038"/>
      <c r="Y32" s="1"/>
      <c r="Z32" s="847"/>
      <c r="AA32" s="847">
        <v>0</v>
      </c>
      <c r="AB32" s="1025">
        <v>0</v>
      </c>
      <c r="AC32" s="1025">
        <v>0</v>
      </c>
      <c r="AD32" s="1025">
        <v>0</v>
      </c>
      <c r="AE32" s="1025">
        <v>0</v>
      </c>
      <c r="AF32" s="1025">
        <v>0</v>
      </c>
      <c r="AG32" s="1025">
        <v>0</v>
      </c>
      <c r="AH32" s="1025"/>
      <c r="AI32" s="1039"/>
      <c r="AJ32" s="1026">
        <f t="shared" si="15"/>
        <v>735.18469649999997</v>
      </c>
      <c r="AK32" s="1026">
        <f t="shared" si="14"/>
        <v>24563.047746999986</v>
      </c>
      <c r="AL32" s="1040">
        <f t="shared" si="0"/>
        <v>25298.232443499986</v>
      </c>
      <c r="AM32" s="1414"/>
      <c r="AN32" s="1414"/>
      <c r="AO32" s="1310"/>
      <c r="AP32" s="1310"/>
      <c r="AQ32" s="1934">
        <f t="shared" si="8"/>
        <v>0</v>
      </c>
      <c r="AR32" s="1729">
        <f t="shared" si="16"/>
        <v>1520.0060283265202</v>
      </c>
      <c r="AS32" s="1729">
        <f t="shared" si="16"/>
        <v>56489.457873673484</v>
      </c>
      <c r="AT32" s="1007"/>
      <c r="AU32" s="1476">
        <v>0</v>
      </c>
      <c r="AV32" s="1414"/>
      <c r="AW32" s="987"/>
      <c r="AX32" s="310">
        <f t="shared" si="10"/>
        <v>0</v>
      </c>
      <c r="AY32" s="998"/>
      <c r="AZ32" s="4"/>
      <c r="BA32" s="64"/>
      <c r="BB32" s="64"/>
      <c r="BC32" s="64"/>
      <c r="BD32" s="482"/>
      <c r="BF32" s="987"/>
      <c r="BG32" s="987"/>
      <c r="BH32" s="987"/>
      <c r="BI32" s="987"/>
      <c r="BJ32" s="987"/>
      <c r="BK32" s="847"/>
      <c r="BL32" s="310"/>
      <c r="BM32" s="310"/>
      <c r="BN32" s="310">
        <v>2</v>
      </c>
      <c r="BO32" s="310"/>
      <c r="BP32" s="1041">
        <f>'April TCM'!LN30</f>
        <v>4.9000000000000004</v>
      </c>
      <c r="BQ32" s="1042"/>
      <c r="BR32" s="1"/>
      <c r="BS32" s="1032">
        <f t="shared" si="11"/>
        <v>117621.73133353</v>
      </c>
      <c r="BT32" s="1"/>
      <c r="BU32" s="1"/>
      <c r="BV32" s="1"/>
      <c r="BW32" s="1"/>
      <c r="BX32" s="1"/>
      <c r="BY32" s="1"/>
      <c r="BZ32" s="1"/>
      <c r="CA32" s="1"/>
      <c r="CB32" s="1"/>
      <c r="CC32" s="1"/>
      <c r="CD32" s="1"/>
      <c r="CE32" s="1"/>
      <c r="CF32" s="1"/>
      <c r="CG32" s="1"/>
      <c r="CH32" s="1"/>
      <c r="CI32" s="1"/>
      <c r="CJ32" s="1"/>
      <c r="CK32" s="1"/>
      <c r="CM32" s="1033">
        <v>21</v>
      </c>
      <c r="CN32" s="1">
        <f t="shared" si="12"/>
        <v>2616.54</v>
      </c>
      <c r="CO32">
        <v>2604214536</v>
      </c>
      <c r="CQ32" s="412">
        <v>21</v>
      </c>
      <c r="CR32" s="1">
        <f t="shared" si="13"/>
        <v>0</v>
      </c>
    </row>
    <row r="33" spans="2:96" ht="15" thickBot="1">
      <c r="B33" s="989">
        <v>22</v>
      </c>
      <c r="C33" s="5">
        <f t="shared" si="1"/>
        <v>24167</v>
      </c>
      <c r="D33" s="488">
        <f t="shared" si="2"/>
        <v>2348.44</v>
      </c>
      <c r="E33" s="15">
        <f t="shared" si="3"/>
        <v>10.290661034559111</v>
      </c>
      <c r="F33" s="363"/>
      <c r="G33" s="64"/>
      <c r="H33" s="1034">
        <v>19</v>
      </c>
      <c r="I33" s="1034">
        <v>7.17</v>
      </c>
      <c r="N33" s="993"/>
      <c r="O33" s="26">
        <v>24167</v>
      </c>
      <c r="P33" s="36"/>
      <c r="Q33" s="277">
        <f t="shared" si="4"/>
        <v>2348.44</v>
      </c>
      <c r="R33" s="1227">
        <f t="shared" si="5"/>
        <v>2348.44</v>
      </c>
      <c r="S33" s="27">
        <f t="shared" si="6"/>
        <v>10.290661034559111</v>
      </c>
      <c r="T33" s="33"/>
      <c r="U33" s="2023">
        <v>2348.44</v>
      </c>
      <c r="V33" s="2024">
        <v>0</v>
      </c>
      <c r="W33" s="2024">
        <v>0</v>
      </c>
      <c r="X33" s="1038"/>
      <c r="Y33" s="1"/>
      <c r="Z33" s="847"/>
      <c r="AA33" s="847">
        <v>0</v>
      </c>
      <c r="AB33" s="1025">
        <v>0</v>
      </c>
      <c r="AC33" s="1025">
        <v>0</v>
      </c>
      <c r="AD33" s="1025">
        <v>0</v>
      </c>
      <c r="AE33" s="1025">
        <v>0</v>
      </c>
      <c r="AF33" s="1025">
        <v>0</v>
      </c>
      <c r="AG33" s="1025">
        <v>0</v>
      </c>
      <c r="AH33" s="1025"/>
      <c r="AI33" s="1039"/>
      <c r="AJ33" s="1026">
        <f t="shared" si="15"/>
        <v>735.18469649999997</v>
      </c>
      <c r="AK33" s="1026">
        <f t="shared" si="14"/>
        <v>26911.487746999985</v>
      </c>
      <c r="AL33" s="1040">
        <f t="shared" si="0"/>
        <v>27646.672443499985</v>
      </c>
      <c r="AM33" s="1414"/>
      <c r="AN33" s="1414"/>
      <c r="AO33" s="1310"/>
      <c r="AP33" s="1310"/>
      <c r="AQ33" s="1934">
        <f t="shared" si="8"/>
        <v>0</v>
      </c>
      <c r="AR33" s="1729">
        <f t="shared" si="16"/>
        <v>1520.0060283265202</v>
      </c>
      <c r="AS33" s="1729">
        <f t="shared" si="16"/>
        <v>56489.457873673484</v>
      </c>
      <c r="AT33" s="1007"/>
      <c r="AU33" s="1476">
        <v>0</v>
      </c>
      <c r="AV33" s="1414"/>
      <c r="AW33" s="987"/>
      <c r="AX33" s="310">
        <f t="shared" si="10"/>
        <v>0</v>
      </c>
      <c r="AY33" s="998"/>
      <c r="AZ33" s="4"/>
      <c r="BA33" s="64"/>
      <c r="BB33" s="64"/>
      <c r="BC33" s="64"/>
      <c r="BD33" s="482"/>
      <c r="BF33" s="987"/>
      <c r="BG33" s="987"/>
      <c r="BH33" s="987"/>
      <c r="BI33" s="987"/>
      <c r="BJ33" s="987"/>
      <c r="BK33" s="847"/>
      <c r="BL33" s="310"/>
      <c r="BM33" s="310">
        <v>1</v>
      </c>
      <c r="BN33" s="310">
        <v>3</v>
      </c>
      <c r="BO33" s="310"/>
      <c r="BP33" s="1041">
        <f>'April TCM'!LN31</f>
        <v>7.45</v>
      </c>
      <c r="BQ33" s="1042"/>
      <c r="BR33" s="1"/>
      <c r="BS33" s="1032">
        <f t="shared" si="11"/>
        <v>117621.73133353</v>
      </c>
      <c r="BT33" s="1"/>
      <c r="BU33" s="1"/>
      <c r="BV33" s="1"/>
      <c r="BW33" s="1"/>
      <c r="BX33" s="1"/>
      <c r="BY33" s="1"/>
      <c r="BZ33" s="1"/>
      <c r="CA33" s="1"/>
      <c r="CB33" s="1"/>
      <c r="CC33" s="1"/>
      <c r="CD33" s="1"/>
      <c r="CE33" s="1"/>
      <c r="CF33" s="1"/>
      <c r="CG33" s="1"/>
      <c r="CH33" s="1"/>
      <c r="CI33" s="1"/>
      <c r="CJ33" s="1"/>
      <c r="CK33" s="1"/>
      <c r="CM33" s="1033">
        <v>22</v>
      </c>
      <c r="CN33" s="1">
        <f t="shared" si="12"/>
        <v>2348.44</v>
      </c>
      <c r="CO33" s="1048">
        <v>2604224874</v>
      </c>
      <c r="CP33" s="1048"/>
      <c r="CQ33" s="412">
        <v>22</v>
      </c>
      <c r="CR33" s="1">
        <f t="shared" si="13"/>
        <v>0</v>
      </c>
    </row>
    <row r="34" spans="2:96" ht="15" thickBot="1">
      <c r="B34" s="989">
        <v>23</v>
      </c>
      <c r="C34" s="5">
        <f t="shared" si="1"/>
        <v>30414</v>
      </c>
      <c r="D34" s="488">
        <f t="shared" si="2"/>
        <v>1554.86</v>
      </c>
      <c r="E34" s="15">
        <f t="shared" si="3"/>
        <v>19.560603527005647</v>
      </c>
      <c r="F34" s="363"/>
      <c r="G34" s="64"/>
      <c r="H34" s="1034">
        <v>2</v>
      </c>
      <c r="I34" s="1034">
        <v>1.3</v>
      </c>
      <c r="N34" s="993"/>
      <c r="O34" s="26">
        <v>30414</v>
      </c>
      <c r="P34" s="36"/>
      <c r="Q34" s="277">
        <f t="shared" si="4"/>
        <v>1554.86</v>
      </c>
      <c r="R34" s="1227">
        <f t="shared" si="5"/>
        <v>1554.86</v>
      </c>
      <c r="S34" s="27">
        <f t="shared" si="6"/>
        <v>19.560603527005647</v>
      </c>
      <c r="T34" s="33"/>
      <c r="U34" s="2023">
        <v>877.33999999999992</v>
      </c>
      <c r="V34" s="2024">
        <v>677.52</v>
      </c>
      <c r="W34" s="2024">
        <v>0</v>
      </c>
      <c r="X34" s="1038"/>
      <c r="Y34" s="1"/>
      <c r="Z34" s="847"/>
      <c r="AA34" s="847">
        <v>0</v>
      </c>
      <c r="AB34" s="1025">
        <v>0</v>
      </c>
      <c r="AC34" s="1025">
        <v>0</v>
      </c>
      <c r="AD34" s="1025">
        <v>0</v>
      </c>
      <c r="AE34" s="1025">
        <v>0</v>
      </c>
      <c r="AF34" s="1025">
        <v>0</v>
      </c>
      <c r="AG34" s="1025">
        <v>0</v>
      </c>
      <c r="AH34" s="1025"/>
      <c r="AI34" s="1039"/>
      <c r="AJ34" s="1026">
        <f t="shared" si="15"/>
        <v>735.18469649999997</v>
      </c>
      <c r="AK34" s="1026">
        <f t="shared" si="14"/>
        <v>28466.347746999985</v>
      </c>
      <c r="AL34" s="1040">
        <f t="shared" si="0"/>
        <v>29201.532443499986</v>
      </c>
      <c r="AM34" s="1414"/>
      <c r="AN34" s="1414"/>
      <c r="AO34" s="1310"/>
      <c r="AP34" s="1310"/>
      <c r="AQ34" s="1934">
        <f t="shared" si="8"/>
        <v>0</v>
      </c>
      <c r="AR34" s="1729">
        <f t="shared" si="16"/>
        <v>1520.0060283265202</v>
      </c>
      <c r="AS34" s="1729">
        <f t="shared" si="16"/>
        <v>56489.457873673484</v>
      </c>
      <c r="AT34" s="1007"/>
      <c r="AU34" s="1476">
        <v>0</v>
      </c>
      <c r="AV34" s="1414"/>
      <c r="AW34" s="987"/>
      <c r="AX34" s="310">
        <f t="shared" si="10"/>
        <v>0</v>
      </c>
      <c r="AY34" s="998"/>
      <c r="AZ34" s="4"/>
      <c r="BA34" s="64"/>
      <c r="BB34" s="64"/>
      <c r="BC34" s="64"/>
      <c r="BD34" s="482"/>
      <c r="BF34" s="987"/>
      <c r="BG34" s="987"/>
      <c r="BH34" s="987"/>
      <c r="BI34" s="987"/>
      <c r="BJ34" s="987"/>
      <c r="BK34" s="847">
        <v>14966.02</v>
      </c>
      <c r="BL34" s="310">
        <v>2</v>
      </c>
      <c r="BM34" s="310"/>
      <c r="BN34" s="310"/>
      <c r="BO34" s="310"/>
      <c r="BP34" s="1041">
        <f>'April TCM'!LN32</f>
        <v>8.9499999999999993</v>
      </c>
      <c r="BQ34" s="1042"/>
      <c r="BR34" s="1"/>
      <c r="BS34" s="1032">
        <f t="shared" si="11"/>
        <v>102655.71133352999</v>
      </c>
      <c r="BT34" s="1"/>
      <c r="BU34" s="1"/>
      <c r="BV34" s="1"/>
      <c r="BW34" s="1"/>
      <c r="BX34" s="1"/>
      <c r="BY34" s="1"/>
      <c r="BZ34" s="1"/>
      <c r="CA34" s="1"/>
      <c r="CB34" s="1"/>
      <c r="CC34" s="1"/>
      <c r="CD34" s="1"/>
      <c r="CE34" s="1"/>
      <c r="CF34" s="1"/>
      <c r="CG34" s="1"/>
      <c r="CH34" s="1"/>
      <c r="CI34" s="1"/>
      <c r="CJ34" s="1"/>
      <c r="CK34" s="1"/>
      <c r="CM34" s="1033">
        <v>23</v>
      </c>
      <c r="CN34" s="1">
        <f t="shared" si="12"/>
        <v>1554.86</v>
      </c>
      <c r="CO34">
        <v>2604235199</v>
      </c>
      <c r="CQ34" s="412">
        <v>23</v>
      </c>
      <c r="CR34" s="1">
        <f t="shared" si="13"/>
        <v>0</v>
      </c>
    </row>
    <row r="35" spans="2:96" ht="15" thickBot="1">
      <c r="B35" s="989">
        <v>24</v>
      </c>
      <c r="C35" s="5">
        <f t="shared" si="1"/>
        <v>29337</v>
      </c>
      <c r="D35" s="488">
        <f t="shared" si="2"/>
        <v>2019.34</v>
      </c>
      <c r="E35" s="15">
        <f t="shared" si="3"/>
        <v>14.528014103618014</v>
      </c>
      <c r="F35" s="363"/>
      <c r="G35" s="64"/>
      <c r="H35" s="1034"/>
      <c r="I35" s="1034"/>
      <c r="N35" s="993"/>
      <c r="O35" s="26">
        <v>29337</v>
      </c>
      <c r="P35" s="36"/>
      <c r="Q35" s="277">
        <f t="shared" si="4"/>
        <v>2019.34</v>
      </c>
      <c r="R35" s="1227">
        <f t="shared" si="5"/>
        <v>2019.34</v>
      </c>
      <c r="S35" s="27">
        <f t="shared" si="6"/>
        <v>14.528014103618014</v>
      </c>
      <c r="T35" s="33"/>
      <c r="U35" s="2023">
        <v>1722.3</v>
      </c>
      <c r="V35" s="2024">
        <v>297.04000000000002</v>
      </c>
      <c r="W35" s="2024">
        <v>0</v>
      </c>
      <c r="X35" s="1038"/>
      <c r="Y35" s="1"/>
      <c r="Z35" s="847"/>
      <c r="AA35" s="847">
        <v>0</v>
      </c>
      <c r="AB35" s="1025">
        <v>0</v>
      </c>
      <c r="AC35" s="1025">
        <v>0</v>
      </c>
      <c r="AD35" s="1025">
        <v>0</v>
      </c>
      <c r="AE35" s="1025">
        <v>0</v>
      </c>
      <c r="AF35" s="1025">
        <v>0</v>
      </c>
      <c r="AG35" s="1025">
        <v>0</v>
      </c>
      <c r="AH35" s="1025"/>
      <c r="AI35" s="1039"/>
      <c r="AJ35" s="1026">
        <f t="shared" si="15"/>
        <v>735.18469649999997</v>
      </c>
      <c r="AK35" s="1026">
        <f t="shared" si="14"/>
        <v>30485.687746999985</v>
      </c>
      <c r="AL35" s="1040">
        <f t="shared" si="0"/>
        <v>31220.872443499986</v>
      </c>
      <c r="AM35" s="1414"/>
      <c r="AN35" s="1414"/>
      <c r="AO35" s="1310"/>
      <c r="AP35" s="1310"/>
      <c r="AQ35" s="1934">
        <f t="shared" si="8"/>
        <v>0</v>
      </c>
      <c r="AR35" s="1729">
        <f t="shared" si="16"/>
        <v>1520.0060283265202</v>
      </c>
      <c r="AS35" s="1729">
        <f t="shared" si="16"/>
        <v>56489.457873673484</v>
      </c>
      <c r="AT35" s="1007"/>
      <c r="AU35" s="1476">
        <v>0</v>
      </c>
      <c r="AV35" s="1414"/>
      <c r="AW35" s="987"/>
      <c r="AX35" s="310">
        <f t="shared" si="10"/>
        <v>0</v>
      </c>
      <c r="AY35" s="998"/>
      <c r="AZ35" s="4"/>
      <c r="BA35" s="64"/>
      <c r="BB35" s="64"/>
      <c r="BC35" s="64"/>
      <c r="BD35" s="482"/>
      <c r="BF35" s="987"/>
      <c r="BG35" s="987"/>
      <c r="BH35" s="987"/>
      <c r="BI35" s="987"/>
      <c r="BJ35" s="987"/>
      <c r="BK35" s="310"/>
      <c r="BL35" s="310"/>
      <c r="BM35" s="310"/>
      <c r="BN35" s="310"/>
      <c r="BO35" s="310"/>
      <c r="BP35" s="1041">
        <f>'April TCM'!LN33</f>
        <v>4.8899999999999997</v>
      </c>
      <c r="BQ35" s="1042"/>
      <c r="BR35" s="1"/>
      <c r="BS35" s="1032">
        <f t="shared" si="11"/>
        <v>102655.71133352999</v>
      </c>
      <c r="BT35" s="1"/>
      <c r="BU35" s="1"/>
      <c r="BV35" s="1"/>
      <c r="BW35" s="1"/>
      <c r="BX35" s="1"/>
      <c r="BY35" s="1"/>
      <c r="BZ35" s="1"/>
      <c r="CA35" s="1"/>
      <c r="CB35" s="1"/>
      <c r="CC35" s="1"/>
      <c r="CD35" s="1"/>
      <c r="CE35" s="1"/>
      <c r="CF35" s="1"/>
      <c r="CG35" s="1"/>
      <c r="CH35" s="1"/>
      <c r="CI35" s="1"/>
      <c r="CJ35" s="1"/>
      <c r="CK35" s="1"/>
      <c r="CM35" s="1033">
        <v>24</v>
      </c>
      <c r="CN35" s="1">
        <f t="shared" si="12"/>
        <v>2019.34</v>
      </c>
      <c r="CO35" s="1050">
        <v>2604245460</v>
      </c>
      <c r="CP35" s="1048"/>
      <c r="CQ35" s="412">
        <v>24</v>
      </c>
      <c r="CR35" s="1">
        <f t="shared" si="13"/>
        <v>0</v>
      </c>
    </row>
    <row r="36" spans="2:96" ht="15" thickBot="1">
      <c r="B36" s="989">
        <v>25</v>
      </c>
      <c r="C36" s="5">
        <f t="shared" si="1"/>
        <v>31095</v>
      </c>
      <c r="D36" s="488">
        <f t="shared" si="2"/>
        <v>2679.2</v>
      </c>
      <c r="E36" s="1051">
        <f t="shared" si="3"/>
        <v>11.606076440728577</v>
      </c>
      <c r="F36" s="363"/>
      <c r="G36" s="64"/>
      <c r="H36" s="1034"/>
      <c r="I36" s="1034"/>
      <c r="N36" s="993"/>
      <c r="O36" s="26">
        <v>31095</v>
      </c>
      <c r="P36" s="36"/>
      <c r="Q36" s="277">
        <f t="shared" si="4"/>
        <v>2679.2</v>
      </c>
      <c r="R36" s="1227">
        <f t="shared" si="5"/>
        <v>2679.2</v>
      </c>
      <c r="S36" s="53">
        <f t="shared" si="6"/>
        <v>11.606076440728577</v>
      </c>
      <c r="T36" s="33"/>
      <c r="U36" s="2023">
        <v>2180.5</v>
      </c>
      <c r="V36" s="2024">
        <v>498.7</v>
      </c>
      <c r="W36" s="2024">
        <v>0</v>
      </c>
      <c r="X36" s="1038"/>
      <c r="Y36" s="1"/>
      <c r="Z36" s="847"/>
      <c r="AA36" s="847">
        <v>0</v>
      </c>
      <c r="AB36" s="1025">
        <v>0</v>
      </c>
      <c r="AC36" s="1025">
        <v>0</v>
      </c>
      <c r="AD36" s="1025">
        <v>0</v>
      </c>
      <c r="AE36" s="1025">
        <v>0</v>
      </c>
      <c r="AF36" s="1025">
        <v>0</v>
      </c>
      <c r="AG36" s="1025">
        <v>0</v>
      </c>
      <c r="AH36" s="1025"/>
      <c r="AI36" s="1039"/>
      <c r="AJ36" s="1026">
        <f t="shared" si="15"/>
        <v>735.18469649999997</v>
      </c>
      <c r="AK36" s="1026">
        <f t="shared" si="14"/>
        <v>33164.887746999986</v>
      </c>
      <c r="AL36" s="1040">
        <f t="shared" si="0"/>
        <v>33900.072443499987</v>
      </c>
      <c r="AM36" s="1414"/>
      <c r="AN36" s="1414"/>
      <c r="AO36" s="1310"/>
      <c r="AP36" s="1310"/>
      <c r="AQ36" s="1934">
        <f t="shared" si="8"/>
        <v>0</v>
      </c>
      <c r="AR36" s="1729">
        <f t="shared" si="16"/>
        <v>1520.0060283265202</v>
      </c>
      <c r="AS36" s="1729">
        <f t="shared" si="16"/>
        <v>56489.457873673484</v>
      </c>
      <c r="AT36" s="1007"/>
      <c r="AU36" s="1476">
        <v>0</v>
      </c>
      <c r="AV36" s="1414"/>
      <c r="AW36" s="987"/>
      <c r="AX36" s="310">
        <f t="shared" si="10"/>
        <v>0</v>
      </c>
      <c r="AY36" s="998"/>
      <c r="AZ36" s="4"/>
      <c r="BA36" s="64"/>
      <c r="BB36" s="64"/>
      <c r="BC36" s="64"/>
      <c r="BD36" s="482"/>
      <c r="BF36" s="987"/>
      <c r="BG36" s="987"/>
      <c r="BH36" s="987"/>
      <c r="BI36" s="987"/>
      <c r="BJ36" s="987"/>
      <c r="BK36" s="310"/>
      <c r="BL36" s="310"/>
      <c r="BM36" s="310"/>
      <c r="BN36" s="310"/>
      <c r="BO36" s="310"/>
      <c r="BP36" s="1041">
        <f>'April TCM'!LN34</f>
        <v>4.9000000000000004</v>
      </c>
      <c r="BQ36" s="1042"/>
      <c r="BR36" s="1"/>
      <c r="BS36" s="1032">
        <f t="shared" si="11"/>
        <v>102655.71133352999</v>
      </c>
      <c r="BT36" s="1"/>
      <c r="BU36" s="1"/>
      <c r="BV36" s="1"/>
      <c r="BW36" s="1"/>
      <c r="BX36" s="1"/>
      <c r="BY36" s="1"/>
      <c r="BZ36" s="1"/>
      <c r="CA36" s="1"/>
      <c r="CB36" s="1"/>
      <c r="CC36" s="1"/>
      <c r="CD36" s="1"/>
      <c r="CE36" s="1"/>
      <c r="CF36" s="1"/>
      <c r="CG36" s="1"/>
      <c r="CH36" s="1"/>
      <c r="CI36" s="1"/>
      <c r="CJ36" s="1"/>
      <c r="CK36" s="1"/>
      <c r="CM36" s="1033">
        <v>25</v>
      </c>
      <c r="CN36" s="1">
        <f t="shared" si="12"/>
        <v>2679.2</v>
      </c>
      <c r="CO36">
        <v>2604255789</v>
      </c>
      <c r="CQ36" s="412">
        <v>25</v>
      </c>
      <c r="CR36" s="1">
        <f t="shared" si="13"/>
        <v>0</v>
      </c>
    </row>
    <row r="37" spans="2:96" ht="15" thickBot="1">
      <c r="B37" s="989">
        <v>26</v>
      </c>
      <c r="C37" s="5">
        <f t="shared" si="1"/>
        <v>31173</v>
      </c>
      <c r="D37" s="488">
        <f t="shared" si="2"/>
        <v>2670.96</v>
      </c>
      <c r="E37" s="1051">
        <f t="shared" si="3"/>
        <v>11.671084553868273</v>
      </c>
      <c r="F37" s="363"/>
      <c r="G37" s="64"/>
      <c r="H37" s="1034"/>
      <c r="I37" s="1034"/>
      <c r="N37" s="993"/>
      <c r="O37" s="26">
        <v>31173</v>
      </c>
      <c r="P37" s="36"/>
      <c r="Q37" s="277">
        <f t="shared" si="4"/>
        <v>2670.96</v>
      </c>
      <c r="R37" s="1227">
        <f t="shared" si="5"/>
        <v>2670.96</v>
      </c>
      <c r="S37" s="53">
        <f t="shared" si="6"/>
        <v>11.671084553868273</v>
      </c>
      <c r="T37" s="33"/>
      <c r="U37" s="2023">
        <v>1275.22</v>
      </c>
      <c r="V37" s="2024">
        <v>1395.74</v>
      </c>
      <c r="W37" s="2024">
        <v>0</v>
      </c>
      <c r="X37" s="1038"/>
      <c r="Y37" s="1"/>
      <c r="Z37" s="847"/>
      <c r="AA37" s="847">
        <v>0</v>
      </c>
      <c r="AB37" s="1025">
        <v>0</v>
      </c>
      <c r="AC37" s="1025">
        <v>0</v>
      </c>
      <c r="AD37" s="1025">
        <v>0</v>
      </c>
      <c r="AE37" s="1025">
        <v>0</v>
      </c>
      <c r="AF37" s="1025">
        <v>0</v>
      </c>
      <c r="AG37" s="1025">
        <v>0</v>
      </c>
      <c r="AH37" s="1025"/>
      <c r="AI37" s="1039"/>
      <c r="AJ37" s="1026">
        <f t="shared" si="15"/>
        <v>735.18469649999997</v>
      </c>
      <c r="AK37" s="1026">
        <f t="shared" si="14"/>
        <v>35835.847746999985</v>
      </c>
      <c r="AL37" s="1040">
        <f t="shared" si="0"/>
        <v>36571.032443499986</v>
      </c>
      <c r="AM37" s="1414"/>
      <c r="AN37" s="1414"/>
      <c r="AO37" s="1310"/>
      <c r="AP37" s="1310"/>
      <c r="AQ37" s="1934">
        <f t="shared" si="8"/>
        <v>0</v>
      </c>
      <c r="AR37" s="1729">
        <f t="shared" si="16"/>
        <v>1520.0060283265202</v>
      </c>
      <c r="AS37" s="1729">
        <f t="shared" si="16"/>
        <v>56489.457873673484</v>
      </c>
      <c r="AT37" s="1007"/>
      <c r="AU37" s="1476">
        <v>0</v>
      </c>
      <c r="AV37" s="1414"/>
      <c r="AW37" s="987"/>
      <c r="AX37" s="310">
        <f t="shared" si="10"/>
        <v>0</v>
      </c>
      <c r="AY37" s="998"/>
      <c r="AZ37" s="4"/>
      <c r="BA37" s="64"/>
      <c r="BB37" s="64"/>
      <c r="BC37" s="64"/>
      <c r="BD37" s="482"/>
      <c r="BF37" s="987"/>
      <c r="BG37" s="987"/>
      <c r="BH37" s="987"/>
      <c r="BI37" s="987"/>
      <c r="BJ37" s="987"/>
      <c r="BK37" s="310">
        <v>7633.31</v>
      </c>
      <c r="BL37" s="310">
        <v>1</v>
      </c>
      <c r="BM37" s="310"/>
      <c r="BN37" s="310"/>
      <c r="BO37" s="310"/>
      <c r="BP37" s="1041">
        <f>'April TCM'!LN35</f>
        <v>4.8899999999999997</v>
      </c>
      <c r="BQ37" s="1052"/>
      <c r="BR37" s="857"/>
      <c r="BS37" s="1032">
        <f t="shared" si="11"/>
        <v>95022.401333529997</v>
      </c>
      <c r="BT37" s="857"/>
      <c r="BU37" s="857"/>
      <c r="BV37" s="857"/>
      <c r="BW37" s="857"/>
      <c r="BX37" s="857"/>
      <c r="BY37" s="857"/>
      <c r="BZ37" s="857"/>
      <c r="CA37" s="857"/>
      <c r="CB37" s="857"/>
      <c r="CC37" s="857"/>
      <c r="CD37" s="857"/>
      <c r="CE37" s="857"/>
      <c r="CF37" s="857"/>
      <c r="CG37" s="857"/>
      <c r="CH37" s="857"/>
      <c r="CI37" s="857"/>
      <c r="CJ37" s="857"/>
      <c r="CK37" s="857"/>
      <c r="CM37" s="1033">
        <v>26</v>
      </c>
      <c r="CN37" s="1">
        <f t="shared" si="12"/>
        <v>2670.96</v>
      </c>
      <c r="CO37" s="1048">
        <v>2604266141</v>
      </c>
      <c r="CP37" s="1048"/>
      <c r="CQ37" s="412">
        <v>26</v>
      </c>
      <c r="CR37" s="1">
        <f t="shared" si="13"/>
        <v>0</v>
      </c>
    </row>
    <row r="38" spans="2:96" ht="15" thickBot="1">
      <c r="B38" s="989">
        <v>27</v>
      </c>
      <c r="C38" s="5">
        <f t="shared" si="1"/>
        <v>30159</v>
      </c>
      <c r="D38" s="488">
        <f t="shared" si="2"/>
        <v>2623.3</v>
      </c>
      <c r="E38" s="1051">
        <f t="shared" si="3"/>
        <v>11.496588266686997</v>
      </c>
      <c r="F38" s="363"/>
      <c r="G38" s="64"/>
      <c r="H38" s="1034"/>
      <c r="I38" s="1034"/>
      <c r="N38" s="993"/>
      <c r="O38" s="26">
        <v>30159</v>
      </c>
      <c r="P38" s="36"/>
      <c r="Q38" s="277">
        <f t="shared" si="4"/>
        <v>2623.3</v>
      </c>
      <c r="R38" s="1227">
        <f t="shared" si="5"/>
        <v>2623.3</v>
      </c>
      <c r="S38" s="53">
        <f t="shared" si="6"/>
        <v>11.496588266686997</v>
      </c>
      <c r="T38" s="33"/>
      <c r="U38" s="2023">
        <v>1427.62</v>
      </c>
      <c r="V38" s="2024">
        <v>1195.68</v>
      </c>
      <c r="W38" s="2024">
        <v>0</v>
      </c>
      <c r="X38" s="1038"/>
      <c r="Y38" s="1"/>
      <c r="Z38" s="847"/>
      <c r="AA38" s="847">
        <v>0</v>
      </c>
      <c r="AB38" s="1025">
        <v>0</v>
      </c>
      <c r="AC38" s="1025">
        <v>0</v>
      </c>
      <c r="AD38" s="1025">
        <v>0</v>
      </c>
      <c r="AE38" s="1025">
        <v>0</v>
      </c>
      <c r="AF38" s="1025">
        <v>0</v>
      </c>
      <c r="AG38" s="1025">
        <v>0</v>
      </c>
      <c r="AH38" s="1025"/>
      <c r="AI38" s="1039"/>
      <c r="AJ38" s="1026">
        <f t="shared" si="15"/>
        <v>735.18469649999997</v>
      </c>
      <c r="AK38" s="1026">
        <f t="shared" si="14"/>
        <v>38459.147746999988</v>
      </c>
      <c r="AL38" s="1040">
        <f t="shared" si="0"/>
        <v>39194.332443499989</v>
      </c>
      <c r="AM38" s="1414"/>
      <c r="AN38" s="1414"/>
      <c r="AO38" s="1310"/>
      <c r="AP38" s="1310"/>
      <c r="AQ38" s="1934">
        <f t="shared" si="8"/>
        <v>0</v>
      </c>
      <c r="AR38" s="1729">
        <f t="shared" si="16"/>
        <v>1520.0060283265202</v>
      </c>
      <c r="AS38" s="1729">
        <f t="shared" si="16"/>
        <v>56489.457873673484</v>
      </c>
      <c r="AT38" s="1007"/>
      <c r="AU38" s="1476">
        <v>0</v>
      </c>
      <c r="AV38" s="1414"/>
      <c r="AW38" s="987"/>
      <c r="AX38" s="310">
        <f t="shared" si="10"/>
        <v>0</v>
      </c>
      <c r="AY38" s="998"/>
      <c r="AZ38" s="4"/>
      <c r="BA38" s="64"/>
      <c r="BB38" s="64"/>
      <c r="BC38" s="64"/>
      <c r="BD38" s="482"/>
      <c r="BF38" s="987"/>
      <c r="BG38" s="987"/>
      <c r="BH38" s="987"/>
      <c r="BI38" s="987"/>
      <c r="BJ38" s="987"/>
      <c r="BK38" s="310"/>
      <c r="BL38" s="310"/>
      <c r="BM38" s="310"/>
      <c r="BN38" s="310"/>
      <c r="BO38" s="310"/>
      <c r="BP38" s="1041">
        <f>'April TCM'!LN36</f>
        <v>4.2</v>
      </c>
      <c r="BQ38" s="1053"/>
      <c r="BR38" s="857"/>
      <c r="BS38" s="1032">
        <f t="shared" si="11"/>
        <v>95022.401333529997</v>
      </c>
      <c r="BT38" s="857"/>
      <c r="BU38" s="857"/>
      <c r="BV38" s="857"/>
      <c r="BW38" s="857"/>
      <c r="BX38" s="857"/>
      <c r="BY38" s="857"/>
      <c r="BZ38" s="857"/>
      <c r="CA38" s="857"/>
      <c r="CB38" s="857"/>
      <c r="CC38" s="857"/>
      <c r="CD38" s="857"/>
      <c r="CE38" s="857"/>
      <c r="CF38" s="857"/>
      <c r="CG38" s="857"/>
      <c r="CH38" s="857"/>
      <c r="CI38" s="857"/>
      <c r="CJ38" s="857"/>
      <c r="CK38" s="857"/>
      <c r="CM38" s="1033">
        <v>27</v>
      </c>
      <c r="CN38" s="1">
        <f t="shared" si="12"/>
        <v>2623.3</v>
      </c>
      <c r="CO38" s="1048">
        <v>2604276428</v>
      </c>
      <c r="CP38" s="1048"/>
      <c r="CQ38" s="412">
        <v>27</v>
      </c>
      <c r="CR38" s="1">
        <f t="shared" si="13"/>
        <v>0</v>
      </c>
    </row>
    <row r="39" spans="2:96" ht="15" thickBot="1">
      <c r="B39" s="989">
        <v>28</v>
      </c>
      <c r="C39" s="5">
        <f t="shared" si="1"/>
        <v>27364</v>
      </c>
      <c r="D39" s="488">
        <f t="shared" si="2"/>
        <v>2427.6799999999998</v>
      </c>
      <c r="E39" s="1051">
        <f t="shared" si="3"/>
        <v>11.271666776510909</v>
      </c>
      <c r="F39" s="363"/>
      <c r="G39" s="64"/>
      <c r="H39" s="1034"/>
      <c r="I39" s="1034"/>
      <c r="N39" s="993"/>
      <c r="O39" s="26">
        <v>27364</v>
      </c>
      <c r="P39" s="36"/>
      <c r="Q39" s="277">
        <f t="shared" si="4"/>
        <v>2427.6799999999998</v>
      </c>
      <c r="R39" s="1227">
        <f t="shared" si="5"/>
        <v>2427.6799999999998</v>
      </c>
      <c r="S39" s="53">
        <f t="shared" si="6"/>
        <v>11.271666776510909</v>
      </c>
      <c r="T39" s="33"/>
      <c r="U39" s="2023">
        <v>1469.1799999999998</v>
      </c>
      <c r="V39" s="2024">
        <v>958.5</v>
      </c>
      <c r="W39" s="2024">
        <v>0</v>
      </c>
      <c r="X39" s="1038"/>
      <c r="Y39" s="1"/>
      <c r="Z39" s="847"/>
      <c r="AA39" s="847">
        <v>0</v>
      </c>
      <c r="AB39" s="1025">
        <v>0</v>
      </c>
      <c r="AC39" s="1025">
        <v>0</v>
      </c>
      <c r="AD39" s="1025">
        <v>0</v>
      </c>
      <c r="AE39" s="1025">
        <v>0</v>
      </c>
      <c r="AF39" s="1025">
        <v>0</v>
      </c>
      <c r="AG39" s="1025">
        <v>0</v>
      </c>
      <c r="AH39" s="1025"/>
      <c r="AI39" s="1039"/>
      <c r="AJ39" s="1026">
        <f t="shared" si="15"/>
        <v>735.18469649999997</v>
      </c>
      <c r="AK39" s="1026">
        <f t="shared" si="14"/>
        <v>40886.827746999988</v>
      </c>
      <c r="AL39" s="1040">
        <f t="shared" si="0"/>
        <v>41622.012443499989</v>
      </c>
      <c r="AM39" s="1414"/>
      <c r="AN39" s="1414"/>
      <c r="AO39" s="1310"/>
      <c r="AP39" s="1310"/>
      <c r="AQ39" s="1934">
        <f t="shared" si="8"/>
        <v>0</v>
      </c>
      <c r="AR39" s="1729">
        <f t="shared" si="16"/>
        <v>1520.0060283265202</v>
      </c>
      <c r="AS39" s="1729">
        <f t="shared" si="16"/>
        <v>56489.457873673484</v>
      </c>
      <c r="AT39" s="1007"/>
      <c r="AU39" s="1476">
        <v>0</v>
      </c>
      <c r="AV39" s="1414"/>
      <c r="AW39" s="987"/>
      <c r="AX39" s="310">
        <f t="shared" si="10"/>
        <v>0</v>
      </c>
      <c r="AY39" s="998"/>
      <c r="AZ39" s="4"/>
      <c r="BA39" s="64"/>
      <c r="BB39" s="64"/>
      <c r="BC39" s="64"/>
      <c r="BD39" s="482"/>
      <c r="BF39" s="987"/>
      <c r="BG39" s="987"/>
      <c r="BH39" s="987"/>
      <c r="BI39" s="987"/>
      <c r="BJ39" s="987"/>
      <c r="BK39" s="310"/>
      <c r="BL39" s="310"/>
      <c r="BM39" s="310"/>
      <c r="BN39" s="310"/>
      <c r="BO39" s="310"/>
      <c r="BP39" s="1041">
        <f>'April TCM'!LN37</f>
        <v>3.07</v>
      </c>
      <c r="BQ39" s="1042"/>
      <c r="BR39" s="1"/>
      <c r="BS39" s="1032">
        <f t="shared" si="11"/>
        <v>95022.401333529997</v>
      </c>
      <c r="BT39" s="1"/>
      <c r="BU39" s="1"/>
      <c r="BV39" s="1"/>
      <c r="BW39" s="1"/>
      <c r="BX39" s="1"/>
      <c r="BY39" s="1"/>
      <c r="BZ39" s="1"/>
      <c r="CA39" s="1"/>
      <c r="CB39" s="1"/>
      <c r="CC39" s="1"/>
      <c r="CD39" s="1"/>
      <c r="CE39" s="1"/>
      <c r="CF39" s="1"/>
      <c r="CG39" s="1"/>
      <c r="CH39" s="1"/>
      <c r="CI39" s="1"/>
      <c r="CJ39" s="1"/>
      <c r="CK39" s="1"/>
      <c r="CM39" s="1033">
        <v>28</v>
      </c>
      <c r="CN39" s="1">
        <f t="shared" si="12"/>
        <v>2427.6799999999998</v>
      </c>
      <c r="CO39" s="1045">
        <v>2604286748</v>
      </c>
      <c r="CQ39" s="412">
        <v>28</v>
      </c>
      <c r="CR39" s="1">
        <f t="shared" si="13"/>
        <v>0</v>
      </c>
    </row>
    <row r="40" spans="2:96" ht="15" thickBot="1">
      <c r="B40" s="989">
        <v>29</v>
      </c>
      <c r="C40" s="5">
        <f t="shared" si="1"/>
        <v>28817</v>
      </c>
      <c r="D40" s="488">
        <f t="shared" si="2"/>
        <v>2733.52</v>
      </c>
      <c r="E40" s="1051">
        <f t="shared" si="3"/>
        <v>10.542084930785215</v>
      </c>
      <c r="F40" s="363"/>
      <c r="G40" s="64"/>
      <c r="H40" s="1034"/>
      <c r="I40" s="1034"/>
      <c r="N40" s="993"/>
      <c r="O40" s="26">
        <v>28817</v>
      </c>
      <c r="P40" s="36"/>
      <c r="Q40" s="277">
        <f t="shared" si="4"/>
        <v>2733.52</v>
      </c>
      <c r="R40" s="1227">
        <f t="shared" si="5"/>
        <v>2733.52</v>
      </c>
      <c r="S40" s="53">
        <f t="shared" si="6"/>
        <v>10.542084930785215</v>
      </c>
      <c r="T40" s="33"/>
      <c r="U40" s="2023">
        <v>1869.16</v>
      </c>
      <c r="V40" s="2024">
        <v>864.3599999999999</v>
      </c>
      <c r="W40" s="2024">
        <v>0</v>
      </c>
      <c r="X40" s="1038"/>
      <c r="Y40" s="1"/>
      <c r="Z40" s="847"/>
      <c r="AA40" s="847">
        <v>0</v>
      </c>
      <c r="AB40" s="1025">
        <v>0</v>
      </c>
      <c r="AC40" s="1025">
        <v>0</v>
      </c>
      <c r="AD40" s="1025">
        <v>0</v>
      </c>
      <c r="AE40" s="1025">
        <v>0</v>
      </c>
      <c r="AF40" s="1025">
        <v>0</v>
      </c>
      <c r="AG40" s="1025">
        <v>0</v>
      </c>
      <c r="AH40" s="1025"/>
      <c r="AI40" s="1039"/>
      <c r="AJ40" s="1026">
        <f t="shared" si="15"/>
        <v>735.18469649999997</v>
      </c>
      <c r="AK40" s="1026">
        <f t="shared" si="14"/>
        <v>43620.347746999985</v>
      </c>
      <c r="AL40" s="1040">
        <f t="shared" si="0"/>
        <v>44355.532443499986</v>
      </c>
      <c r="AM40" s="1414"/>
      <c r="AN40" s="1414"/>
      <c r="AO40" s="1310"/>
      <c r="AP40" s="1310"/>
      <c r="AQ40" s="1934">
        <f t="shared" si="8"/>
        <v>0</v>
      </c>
      <c r="AR40" s="1729">
        <f t="shared" si="16"/>
        <v>1520.0060283265202</v>
      </c>
      <c r="AS40" s="1729">
        <f t="shared" si="16"/>
        <v>56489.457873673484</v>
      </c>
      <c r="AT40" s="1007"/>
      <c r="AU40" s="1476">
        <v>0</v>
      </c>
      <c r="AV40" s="1414"/>
      <c r="AW40" s="987"/>
      <c r="AX40" s="310">
        <f t="shared" si="10"/>
        <v>0</v>
      </c>
      <c r="AY40" s="998"/>
      <c r="AZ40" s="845"/>
      <c r="BA40" s="64"/>
      <c r="BB40" s="64"/>
      <c r="BC40" s="64"/>
      <c r="BD40" s="482"/>
      <c r="BF40" s="987"/>
      <c r="BG40" s="987"/>
      <c r="BH40" s="987"/>
      <c r="BI40" s="987"/>
      <c r="BJ40" s="987"/>
      <c r="BK40" s="310"/>
      <c r="BL40" s="310"/>
      <c r="BM40" s="310"/>
      <c r="BN40" s="310"/>
      <c r="BO40" s="310"/>
      <c r="BP40" s="1041">
        <f>'April TCM'!LN38</f>
        <v>9.0299999999999994</v>
      </c>
      <c r="BQ40" s="1042"/>
      <c r="BR40" s="1"/>
      <c r="BS40" s="1032">
        <f t="shared" si="11"/>
        <v>95022.401333529997</v>
      </c>
      <c r="BT40" s="1"/>
      <c r="BU40" s="1"/>
      <c r="BV40" s="1"/>
      <c r="BW40" s="1"/>
      <c r="BX40" s="1"/>
      <c r="BY40" s="1"/>
      <c r="BZ40" s="1"/>
      <c r="CA40" s="1"/>
      <c r="CB40" s="1"/>
      <c r="CC40" s="1"/>
      <c r="CD40" s="1"/>
      <c r="CE40" s="1"/>
      <c r="CF40" s="1"/>
      <c r="CG40" s="1"/>
      <c r="CH40" s="1"/>
      <c r="CI40" s="1"/>
      <c r="CJ40" s="1"/>
      <c r="CK40" s="1"/>
      <c r="CM40" s="1033">
        <v>29</v>
      </c>
      <c r="CN40" s="1">
        <f t="shared" si="12"/>
        <v>2733.52</v>
      </c>
      <c r="CO40">
        <v>2604297072</v>
      </c>
      <c r="CQ40" s="412">
        <v>29</v>
      </c>
      <c r="CR40" s="1">
        <f t="shared" si="13"/>
        <v>0</v>
      </c>
    </row>
    <row r="41" spans="2:96" ht="15" thickBot="1">
      <c r="B41" s="990">
        <v>30</v>
      </c>
      <c r="C41" s="5">
        <f t="shared" si="1"/>
        <v>19505</v>
      </c>
      <c r="D41" s="488">
        <f t="shared" si="2"/>
        <v>1427.5</v>
      </c>
      <c r="E41" s="1051">
        <f t="shared" si="3"/>
        <v>13.663747810858144</v>
      </c>
      <c r="F41" s="845"/>
      <c r="G41" s="64"/>
      <c r="H41" s="1034">
        <v>11</v>
      </c>
      <c r="I41" s="1034">
        <v>7.73</v>
      </c>
      <c r="N41" s="1054"/>
      <c r="O41" s="26">
        <v>19505</v>
      </c>
      <c r="P41" s="36"/>
      <c r="Q41" s="277">
        <f t="shared" si="4"/>
        <v>1427.5</v>
      </c>
      <c r="R41" s="1227">
        <f t="shared" si="5"/>
        <v>1427.5</v>
      </c>
      <c r="S41" s="53">
        <f t="shared" si="6"/>
        <v>13.663747810858144</v>
      </c>
      <c r="T41" s="33"/>
      <c r="U41" s="2023">
        <v>1406.78</v>
      </c>
      <c r="V41" s="2024">
        <v>20.72</v>
      </c>
      <c r="W41" s="2024">
        <v>0</v>
      </c>
      <c r="X41" s="1038"/>
      <c r="Y41" s="1"/>
      <c r="Z41" s="847"/>
      <c r="AA41" s="847">
        <v>0</v>
      </c>
      <c r="AB41" s="1025">
        <v>0</v>
      </c>
      <c r="AC41" s="1025">
        <v>0</v>
      </c>
      <c r="AD41" s="1025">
        <v>0</v>
      </c>
      <c r="AE41" s="1025">
        <v>0</v>
      </c>
      <c r="AF41" s="1025">
        <v>0</v>
      </c>
      <c r="AG41" s="1025">
        <v>0</v>
      </c>
      <c r="AH41" s="1025"/>
      <c r="AI41" s="1039"/>
      <c r="AJ41" s="1026">
        <f t="shared" si="15"/>
        <v>735.18469649999997</v>
      </c>
      <c r="AK41" s="1026">
        <f t="shared" si="14"/>
        <v>45759.447746999984</v>
      </c>
      <c r="AL41" s="1040">
        <f t="shared" si="0"/>
        <v>46494.632443499984</v>
      </c>
      <c r="AM41" s="1414"/>
      <c r="AN41" s="1414"/>
      <c r="AO41" s="1310"/>
      <c r="AP41" s="1310"/>
      <c r="AQ41" s="1934">
        <f t="shared" si="8"/>
        <v>0</v>
      </c>
      <c r="AR41" s="1729">
        <f t="shared" si="16"/>
        <v>1520.0060283265202</v>
      </c>
      <c r="AS41" s="1729">
        <f t="shared" si="16"/>
        <v>55777.857873673485</v>
      </c>
      <c r="AT41" s="1007"/>
      <c r="AU41" s="1476">
        <v>711.6</v>
      </c>
      <c r="AV41" s="1414"/>
      <c r="AW41" s="987"/>
      <c r="AX41" s="310">
        <f t="shared" si="10"/>
        <v>0</v>
      </c>
      <c r="AY41" s="998"/>
      <c r="AZ41" s="4"/>
      <c r="BA41" s="64"/>
      <c r="BB41" s="64"/>
      <c r="BC41" s="64"/>
      <c r="BD41" s="482"/>
      <c r="BF41" s="987"/>
      <c r="BG41" s="987"/>
      <c r="BH41" s="987"/>
      <c r="BI41" s="987"/>
      <c r="BJ41" s="987"/>
      <c r="BK41" s="310"/>
      <c r="BL41" s="310"/>
      <c r="BM41" s="310"/>
      <c r="BN41" s="310"/>
      <c r="BO41" s="310">
        <v>3</v>
      </c>
      <c r="BP41" s="1041">
        <f>'April TCM'!LN39</f>
        <v>8.44</v>
      </c>
      <c r="BQ41" s="275"/>
      <c r="BR41" s="1"/>
      <c r="BS41" s="1032">
        <f t="shared" si="11"/>
        <v>95022.401333529997</v>
      </c>
      <c r="BT41" s="1"/>
      <c r="BU41" s="1"/>
      <c r="BV41" s="1"/>
      <c r="BW41" s="1"/>
      <c r="BX41" s="1"/>
      <c r="BY41" s="1"/>
      <c r="BZ41" s="1"/>
      <c r="CA41" s="1"/>
      <c r="CB41" s="1"/>
      <c r="CC41" s="1"/>
      <c r="CD41" s="1"/>
      <c r="CE41" s="1"/>
      <c r="CF41" s="72"/>
      <c r="CG41" s="72"/>
      <c r="CH41" s="72"/>
      <c r="CI41" s="72"/>
      <c r="CJ41" s="72"/>
      <c r="CK41" s="72"/>
      <c r="CM41" s="1033">
        <v>30</v>
      </c>
      <c r="CN41" s="1">
        <f t="shared" si="12"/>
        <v>1427.5</v>
      </c>
      <c r="CO41" s="1096">
        <v>2604307397</v>
      </c>
      <c r="CQ41" s="412">
        <v>30</v>
      </c>
      <c r="CR41" s="1">
        <f t="shared" si="13"/>
        <v>0</v>
      </c>
    </row>
    <row r="42" spans="2:96" ht="15" thickBot="1">
      <c r="B42" s="990">
        <v>31</v>
      </c>
      <c r="C42" s="1450">
        <f t="shared" si="1"/>
        <v>0</v>
      </c>
      <c r="D42" s="7">
        <f>Q42+P42+AQ42</f>
        <v>0</v>
      </c>
      <c r="E42" s="1452">
        <f t="shared" si="3"/>
        <v>0</v>
      </c>
      <c r="F42" s="1453"/>
      <c r="G42" s="1454"/>
      <c r="H42" s="1455"/>
      <c r="I42" s="1455"/>
      <c r="J42" s="1456"/>
      <c r="K42" s="1457"/>
      <c r="L42" s="1457"/>
      <c r="M42" s="1457"/>
      <c r="N42" s="1458"/>
      <c r="O42" s="1459"/>
      <c r="P42" s="1460"/>
      <c r="Q42" s="1935">
        <f t="shared" si="4"/>
        <v>0</v>
      </c>
      <c r="R42" s="1936">
        <f t="shared" si="5"/>
        <v>0</v>
      </c>
      <c r="S42" s="1056">
        <f t="shared" si="6"/>
        <v>0</v>
      </c>
      <c r="T42" s="1057"/>
      <c r="U42" s="2119" cm="1">
        <f t="array" ref="U42">SUMPRODUCT((IFERROR(VALUE(LEFT('Data Base CW TIS'!$E$2:$E$1000,2)),0)=B42)*('Data Base CW TIS'!$B$2:$B$1000="OP1-ROM SB1 BK05")*(ISNUMBER(SEARCH("S3000",'Data Base CW TIS'!$C$2:$C$1000)))*'Data Base CW TIS'!$N$2:$N$1000)</f>
        <v>0</v>
      </c>
      <c r="V42" s="2120" cm="1">
        <f t="array" ref="V42">SUMPRODUCT((IFERROR(VALUE(LEFT('Data Base CW TIS'!$E$2:$E$1000,2)),0)=B42)*('Data Base CW TIS'!$B$2:$B$1000="OP1-ROM SB1 BK05")*(ISNUMBER(SEARCH("S3100",'Data Base CW TIS'!$C$2:$C$1000)))*'Data Base CW TIS'!$N$2:$N$1000)</f>
        <v>0</v>
      </c>
      <c r="W42" s="2120" cm="1">
        <f t="array" ref="W42">SUMPRODUCT((IFERROR(VALUE(LEFT('Data Base CW TIS'!$E$2:$E$1000,2)),0)=B42)*('Data Base CW TIS'!$B$2:$B$1000="OP1-ROM SB1 BK05")*(ISNUMBER(SEARCH("S3800",'Data Base CW TIS'!$C$2:$C$1000)))*'Data Base CW TIS'!$N$2:$N$1000)</f>
        <v>0</v>
      </c>
      <c r="X42" s="1055"/>
      <c r="Y42" s="1"/>
      <c r="Z42" s="1059"/>
      <c r="AA42" s="1059">
        <v>0</v>
      </c>
      <c r="AB42" s="1059">
        <v>0</v>
      </c>
      <c r="AC42" s="1059">
        <v>0</v>
      </c>
      <c r="AD42" s="1059">
        <v>0</v>
      </c>
      <c r="AE42" s="1059">
        <v>0</v>
      </c>
      <c r="AF42" s="1059">
        <v>0</v>
      </c>
      <c r="AG42" s="1059">
        <v>0</v>
      </c>
      <c r="AH42" s="1059"/>
      <c r="AI42" s="1060"/>
      <c r="AJ42" s="1026">
        <f t="shared" si="15"/>
        <v>735.18469649999997</v>
      </c>
      <c r="AK42" s="1026">
        <f t="shared" si="14"/>
        <v>45759.447746999984</v>
      </c>
      <c r="AL42" s="1061">
        <f t="shared" si="0"/>
        <v>46494.632443499984</v>
      </c>
      <c r="AM42" s="1414"/>
      <c r="AN42" s="1414"/>
      <c r="AO42" s="1311"/>
      <c r="AP42" s="1311"/>
      <c r="AQ42" s="1937">
        <f t="shared" si="8"/>
        <v>0</v>
      </c>
      <c r="AR42" s="1730">
        <f t="shared" si="16"/>
        <v>1520.0060283265202</v>
      </c>
      <c r="AS42" s="1729">
        <f t="shared" si="16"/>
        <v>55777.857873673485</v>
      </c>
      <c r="AT42" s="1377"/>
      <c r="AU42" s="1476">
        <v>0</v>
      </c>
      <c r="AV42" s="1414"/>
      <c r="AW42" s="987"/>
      <c r="AX42" s="310">
        <f t="shared" si="10"/>
        <v>0</v>
      </c>
      <c r="AY42" s="1062"/>
      <c r="AZ42" s="1063"/>
      <c r="BA42" s="65"/>
      <c r="BB42" s="65"/>
      <c r="BC42" s="65"/>
      <c r="BD42" s="1064"/>
      <c r="BF42" s="987"/>
      <c r="BG42" s="987"/>
      <c r="BH42" s="987"/>
      <c r="BI42" s="987"/>
      <c r="BJ42" s="987"/>
      <c r="BK42" s="332"/>
      <c r="BL42" s="332"/>
      <c r="BM42" s="332"/>
      <c r="BN42" s="332"/>
      <c r="BO42" s="332"/>
      <c r="BP42" s="1103">
        <f>'April TCM'!LN40</f>
        <v>0</v>
      </c>
      <c r="BQ42" s="332"/>
      <c r="BR42" s="1"/>
      <c r="BS42" s="1032">
        <f t="shared" si="11"/>
        <v>95022.401333529997</v>
      </c>
      <c r="BT42" s="1"/>
      <c r="BU42" s="1"/>
      <c r="BV42" s="1"/>
      <c r="BW42" s="1"/>
      <c r="BX42" s="1"/>
      <c r="BY42" s="1"/>
      <c r="BZ42" s="1"/>
      <c r="CA42" s="1"/>
      <c r="CB42" s="1"/>
      <c r="CC42" s="1"/>
      <c r="CD42" s="1"/>
      <c r="CE42" s="1"/>
      <c r="CF42" s="72"/>
      <c r="CG42" s="72"/>
      <c r="CH42" s="72"/>
      <c r="CI42" s="72"/>
      <c r="CJ42" s="72"/>
      <c r="CK42" s="72"/>
      <c r="CM42" s="1033">
        <v>31</v>
      </c>
      <c r="CN42" s="1">
        <f t="shared" si="12"/>
        <v>0</v>
      </c>
      <c r="CQ42" s="412">
        <v>31</v>
      </c>
      <c r="CR42" s="1">
        <f t="shared" si="13"/>
        <v>0</v>
      </c>
    </row>
    <row r="43" spans="2:96">
      <c r="B43" s="307" t="s">
        <v>206</v>
      </c>
      <c r="C43" s="72">
        <f t="shared" si="1"/>
        <v>823867</v>
      </c>
      <c r="D43" s="95">
        <f>SUM(D12:D42)</f>
        <v>50627.189999999995</v>
      </c>
      <c r="E43" s="1065">
        <f>IFERROR(C43/D43,0)</f>
        <v>16.273212082282271</v>
      </c>
      <c r="H43" s="38">
        <f>SUM(H12:H42)</f>
        <v>251.5</v>
      </c>
      <c r="I43" s="1904">
        <f>SUM(I12:I42)</f>
        <v>105.60000000000001</v>
      </c>
      <c r="O43" s="72">
        <f>SUM(O12:O42)</f>
        <v>823867</v>
      </c>
      <c r="P43" s="72">
        <f>SUM(P12:P42)</f>
        <v>0</v>
      </c>
      <c r="Q43" s="72">
        <f>SUM(Q12:Q42)</f>
        <v>50627.189999999995</v>
      </c>
      <c r="R43" s="72">
        <f>SUM(R12:R42)</f>
        <v>50627.189999999995</v>
      </c>
      <c r="S43" s="72">
        <f>IFERROR(O43/Q43,0)</f>
        <v>16.273212082282271</v>
      </c>
      <c r="T43" s="72"/>
      <c r="U43" s="364">
        <f>SUM(U12:U42)</f>
        <v>38901.21</v>
      </c>
      <c r="V43" s="307">
        <f>SUM(V12:V42)</f>
        <v>11725.98</v>
      </c>
      <c r="W43" s="364">
        <f>SUM(W12:W42)</f>
        <v>0</v>
      </c>
      <c r="X43" s="72">
        <f>SUM(X12:X42)</f>
        <v>0</v>
      </c>
      <c r="Y43" s="1"/>
      <c r="Z43" s="1068">
        <f t="shared" ref="Z43:AF43" si="17">SUM(Z12:Z42)</f>
        <v>0</v>
      </c>
      <c r="AA43" s="2152">
        <f t="shared" si="17"/>
        <v>105836.43000000001</v>
      </c>
      <c r="AB43" s="1068">
        <f t="shared" si="17"/>
        <v>105836.43000000001</v>
      </c>
      <c r="AC43" s="1068">
        <f t="shared" si="17"/>
        <v>0</v>
      </c>
      <c r="AD43" s="1068">
        <f t="shared" si="17"/>
        <v>0</v>
      </c>
      <c r="AE43" s="1068">
        <f t="shared" si="17"/>
        <v>60012.079999999994</v>
      </c>
      <c r="AF43" s="1068">
        <f t="shared" si="17"/>
        <v>45824.349999999991</v>
      </c>
      <c r="AG43" s="1068">
        <f t="shared" ref="AG43" si="18">SUM(AC43:AF43)</f>
        <v>105836.43</v>
      </c>
      <c r="AH43" s="39"/>
      <c r="AI43" s="1068">
        <f>+AI42</f>
        <v>0</v>
      </c>
      <c r="AJ43" s="1068">
        <f>+AJ42</f>
        <v>735.18469649999997</v>
      </c>
      <c r="AK43" s="1068">
        <f>+AK42</f>
        <v>45759.447746999984</v>
      </c>
      <c r="AL43" s="1066">
        <f>AL42</f>
        <v>46494.632443499984</v>
      </c>
      <c r="AM43" s="1066"/>
      <c r="AN43" s="1066"/>
      <c r="AO43" s="1066">
        <f>SUM(AO12:AO42)</f>
        <v>0</v>
      </c>
      <c r="AP43" s="1362">
        <f>SUM(AP12:AP42)</f>
        <v>0</v>
      </c>
      <c r="AQ43" s="1066">
        <f>SUM(AQ12:AQ42)</f>
        <v>0</v>
      </c>
      <c r="AR43" s="1066">
        <f>+AR42</f>
        <v>1520.0060283265202</v>
      </c>
      <c r="AS43" s="1066">
        <f>+AS42</f>
        <v>55777.857873673485</v>
      </c>
      <c r="AT43" s="1066"/>
      <c r="AU43" s="1376">
        <f>SUM(AU11:AU42)</f>
        <v>13568.49</v>
      </c>
      <c r="AV43" s="1066"/>
      <c r="AX43" s="72">
        <f>SUM(AX12:AX42)</f>
        <v>105836.43000000001</v>
      </c>
      <c r="AY43" s="72"/>
      <c r="AZ43" s="72" cm="1">
        <f t="array" ref="AZ43">IFERROR(SUMPRODUCT((AZ12:AZ42&lt;&gt;"")*AZ12:AZ42,$AX$12:$AX$42)/SUMIFS($AX$12:$AX$42,AZ12:AZ42,"&gt;"&amp;0),0)</f>
        <v>7299.4158594716828</v>
      </c>
      <c r="BA43" s="38" cm="1">
        <f t="array" ref="BA43">IFERROR(SUMPRODUCT((BA12:BA42&lt;&gt;"")*BA12:BA42,$AX$12:$AX$42)/SUMIFS($AX$12:$AX$42,BA12:BA42,"&gt;"&amp;0),0)</f>
        <v>1.3661097842805745</v>
      </c>
      <c r="BB43" s="38" cm="1">
        <f t="array" ref="BB43">IFERROR(SUMPRODUCT((BB12:BB42&lt;&gt;"")*BB12:BB42,$AX$12:$AX$42)/SUMIFS($AX$12:$AX$42,BB12:BB42,"&gt;"&amp;0),0)</f>
        <v>2.1309107027793845</v>
      </c>
      <c r="BC43" s="38" cm="1">
        <f t="array" ref="BC43">IFERROR(SUMPRODUCT((BC12:BC42&lt;&gt;"")*BC12:BC42,$AX$12:$AX$42)/SUMIFS($AX$12:$AX$42,BC12:BC42,"&gt;"&amp;0),0)</f>
        <v>5.2251627194234018</v>
      </c>
      <c r="BD43" s="38" cm="1">
        <f t="array" ref="BD43">IFERROR(SUMPRODUCT((BD12:BD42&lt;&gt;"")*BD12:BD42,$AX$12:$AX$42)/SUMIFS($AX$12:$AX$42,BD12:BD42,"&gt;"&amp;0),0)</f>
        <v>9.6234879803619737</v>
      </c>
      <c r="BE43" s="38"/>
      <c r="BK43" s="72">
        <f>SUM(BK12:BK42)</f>
        <v>75541.240000000005</v>
      </c>
      <c r="BL43" s="72">
        <f>SUM(BL12:BL42)</f>
        <v>9</v>
      </c>
      <c r="BM43" s="72">
        <f>SUM(BM12:BM42)</f>
        <v>1</v>
      </c>
      <c r="BN43" s="72">
        <f>SUM(BN12:BN42)</f>
        <v>5</v>
      </c>
      <c r="BO43" s="72">
        <f>SUM(BO12:BO42)</f>
        <v>7</v>
      </c>
      <c r="BP43" s="38">
        <f>AVERAGE(BP12:BP42)</f>
        <v>5.7941935483870948</v>
      </c>
      <c r="BQ43" s="72">
        <f>SUM(BQ12:BQ42)</f>
        <v>0</v>
      </c>
      <c r="BR43" s="1"/>
      <c r="BS43" s="72">
        <f>+BS42</f>
        <v>95022.401333529997</v>
      </c>
      <c r="BT43" s="1"/>
      <c r="BU43" s="1"/>
      <c r="BV43" s="1"/>
      <c r="BW43" s="1"/>
      <c r="BX43" s="1"/>
      <c r="BY43" s="1"/>
      <c r="BZ43" s="1"/>
      <c r="CA43" s="1"/>
      <c r="CB43" s="1"/>
      <c r="CC43" s="1"/>
      <c r="CD43" s="1"/>
      <c r="CE43" s="1"/>
      <c r="CF43" s="72"/>
      <c r="CG43" s="72"/>
      <c r="CH43" s="72"/>
      <c r="CI43" s="72"/>
      <c r="CJ43" s="72"/>
      <c r="CK43" s="72"/>
      <c r="CO43" s="281"/>
    </row>
    <row r="44" spans="2:96">
      <c r="B44" s="307" t="s">
        <v>207</v>
      </c>
      <c r="C44" s="364">
        <f>C43</f>
        <v>823867</v>
      </c>
      <c r="D44" s="412">
        <f>D43</f>
        <v>50627.189999999995</v>
      </c>
      <c r="E44" s="347">
        <f>IFERROR(C44/D44,0)</f>
        <v>16.273212082282271</v>
      </c>
      <c r="H44" s="307">
        <f>H43</f>
        <v>251.5</v>
      </c>
      <c r="I44" s="364">
        <f>I43</f>
        <v>105.60000000000001</v>
      </c>
      <c r="O44" s="1">
        <v>789047.3964999998</v>
      </c>
      <c r="P44" s="95">
        <f>P43</f>
        <v>0</v>
      </c>
      <c r="Q44" s="95">
        <f>Q43</f>
        <v>50627.189999999995</v>
      </c>
      <c r="R44" s="95">
        <f>R43</f>
        <v>50627.189999999995</v>
      </c>
      <c r="S44" s="1067">
        <f>IFERROR(O44/Q44,0)</f>
        <v>15.58544719744469</v>
      </c>
      <c r="U44" s="1068">
        <f>U43</f>
        <v>38901.21</v>
      </c>
      <c r="V44" s="1068">
        <f>V43</f>
        <v>11725.98</v>
      </c>
      <c r="W44" s="1068">
        <f>W43</f>
        <v>0</v>
      </c>
      <c r="X44" s="1">
        <f>X43</f>
        <v>0</v>
      </c>
      <c r="Y44" s="1"/>
      <c r="Z44" s="1068">
        <f t="shared" ref="Z44:AG44" si="19">Z43</f>
        <v>0</v>
      </c>
      <c r="AA44" s="1068">
        <f t="shared" si="19"/>
        <v>105836.43000000001</v>
      </c>
      <c r="AB44" s="1068">
        <f t="shared" si="19"/>
        <v>105836.43000000001</v>
      </c>
      <c r="AC44" s="1068">
        <f t="shared" si="19"/>
        <v>0</v>
      </c>
      <c r="AD44" s="1068">
        <f t="shared" si="19"/>
        <v>0</v>
      </c>
      <c r="AE44" s="1068">
        <f t="shared" si="19"/>
        <v>60012.079999999994</v>
      </c>
      <c r="AF44" s="1068">
        <f t="shared" si="19"/>
        <v>45824.349999999991</v>
      </c>
      <c r="AG44" s="1068">
        <f t="shared" si="19"/>
        <v>105836.43</v>
      </c>
      <c r="AH44" s="1068"/>
      <c r="AI44" s="1068">
        <f>AI43</f>
        <v>0</v>
      </c>
      <c r="AJ44" s="1370">
        <v>731.69488613999999</v>
      </c>
      <c r="AK44" s="1068">
        <v>50409.350258609993</v>
      </c>
      <c r="AL44" s="1066">
        <f>AJ44+AK44</f>
        <v>51141.045144749995</v>
      </c>
      <c r="AM44" s="1066"/>
      <c r="AN44" s="1066"/>
      <c r="AO44" s="1066">
        <f>AO43</f>
        <v>0</v>
      </c>
      <c r="AP44" s="1066">
        <f>AP43</f>
        <v>0</v>
      </c>
      <c r="AQ44" s="1066">
        <f>AQ43</f>
        <v>0</v>
      </c>
      <c r="AR44" s="1066">
        <v>0</v>
      </c>
      <c r="AS44" s="1066">
        <v>56489.457873673484</v>
      </c>
      <c r="AT44" s="1066"/>
      <c r="AU44" s="1362">
        <f>AU43</f>
        <v>13568.49</v>
      </c>
      <c r="AV44" s="1066"/>
      <c r="AX44" s="72">
        <f>+AX43</f>
        <v>105836.43000000001</v>
      </c>
      <c r="AY44" s="72"/>
      <c r="AZ44" s="72">
        <f>AZ43</f>
        <v>7299.4158594716828</v>
      </c>
      <c r="BA44" s="38">
        <f>BA43</f>
        <v>1.3661097842805745</v>
      </c>
      <c r="BB44" s="38">
        <f>BB43</f>
        <v>2.1309107027793845</v>
      </c>
      <c r="BC44" s="38">
        <f>BC43</f>
        <v>5.2251627194234018</v>
      </c>
      <c r="BD44" s="38">
        <f>BD43</f>
        <v>9.6234879803619737</v>
      </c>
      <c r="BE44" s="38"/>
      <c r="BK44" s="72">
        <f t="shared" ref="BK44:BQ44" si="20">+BK43</f>
        <v>75541.240000000005</v>
      </c>
      <c r="BL44" s="72">
        <f t="shared" si="20"/>
        <v>9</v>
      </c>
      <c r="BM44" s="72">
        <f t="shared" si="20"/>
        <v>1</v>
      </c>
      <c r="BN44" s="72">
        <f t="shared" si="20"/>
        <v>5</v>
      </c>
      <c r="BO44" s="72"/>
      <c r="BP44" s="38">
        <f t="shared" si="20"/>
        <v>5.7941935483870948</v>
      </c>
      <c r="BQ44" s="72">
        <f t="shared" si="20"/>
        <v>0</v>
      </c>
      <c r="BR44" s="1"/>
      <c r="BS44" s="364">
        <v>94043.287597479997</v>
      </c>
      <c r="BT44" s="1"/>
      <c r="BU44" s="1"/>
      <c r="BV44" s="1"/>
      <c r="BW44" s="1"/>
      <c r="BX44" s="1"/>
      <c r="BY44" s="1"/>
      <c r="BZ44" s="1"/>
      <c r="CA44" s="1"/>
      <c r="CB44" s="1"/>
      <c r="CC44" s="1"/>
      <c r="CD44" s="1"/>
      <c r="CE44" s="1"/>
      <c r="CF44" s="72"/>
      <c r="CG44" s="72"/>
      <c r="CH44" s="72"/>
      <c r="CI44" s="72"/>
      <c r="CJ44" s="72"/>
      <c r="CK44" s="72"/>
      <c r="CO44" s="281"/>
    </row>
    <row r="45" spans="2:96">
      <c r="B45" s="312" t="s">
        <v>12</v>
      </c>
      <c r="C45" s="991">
        <f>O45</f>
        <v>927999.99999999336</v>
      </c>
      <c r="D45" s="1069">
        <f>R45</f>
        <v>55000</v>
      </c>
      <c r="E45" s="1231"/>
      <c r="F45" s="1069"/>
      <c r="G45" s="1069"/>
      <c r="H45" s="1069"/>
      <c r="I45" s="1069"/>
      <c r="J45" s="1069"/>
      <c r="K45" s="1069"/>
      <c r="L45" s="1069"/>
      <c r="M45" s="1069"/>
      <c r="N45" s="1069"/>
      <c r="O45" s="1069">
        <v>927999.99999999336</v>
      </c>
      <c r="P45" s="1069"/>
      <c r="Q45" s="1069"/>
      <c r="R45" s="1069">
        <v>55000</v>
      </c>
      <c r="S45" s="1070">
        <f>IFERROR(O45/Q45,0)</f>
        <v>0</v>
      </c>
      <c r="T45" s="1069"/>
      <c r="U45" s="1069"/>
      <c r="V45" s="1069"/>
      <c r="W45" s="1069"/>
      <c r="X45" s="1069"/>
      <c r="Y45" s="39"/>
      <c r="Z45" s="1071"/>
      <c r="AA45" s="1071"/>
      <c r="AB45" s="1071">
        <v>110000</v>
      </c>
      <c r="AC45" s="1071"/>
      <c r="AD45" s="1071"/>
      <c r="AE45" s="1071"/>
      <c r="AF45" s="1071"/>
      <c r="AG45" s="1071"/>
      <c r="AH45" s="1071"/>
      <c r="AI45" s="1071"/>
      <c r="AJ45" s="1071"/>
      <c r="AK45" s="1071"/>
      <c r="AL45" s="1072"/>
      <c r="AM45" s="1072"/>
      <c r="AN45" s="1072"/>
      <c r="AO45" s="1072"/>
      <c r="AP45" s="1072"/>
      <c r="AQ45" s="1072"/>
      <c r="AR45" s="1072"/>
      <c r="AS45" s="1072"/>
      <c r="AT45" s="1072"/>
      <c r="AU45" s="1072"/>
      <c r="AV45" s="1072"/>
      <c r="AW45" s="887"/>
      <c r="AX45" s="337">
        <v>110000</v>
      </c>
      <c r="AY45" s="337"/>
      <c r="AZ45" s="72">
        <v>6824.4902225997603</v>
      </c>
      <c r="BA45" s="38">
        <v>1.6046894421393501</v>
      </c>
      <c r="BB45" s="38">
        <v>2.9538162037923099</v>
      </c>
      <c r="BC45" s="38">
        <v>4.4327769749624304</v>
      </c>
      <c r="BD45" s="38">
        <v>9.2954142043572094</v>
      </c>
      <c r="BE45" s="38"/>
      <c r="BF45" s="887"/>
      <c r="BG45" s="887"/>
      <c r="BH45" s="887"/>
      <c r="BI45" s="887"/>
      <c r="BJ45" s="887"/>
      <c r="BK45" s="337">
        <v>74999.999999999956</v>
      </c>
      <c r="BL45" s="308"/>
      <c r="BM45" s="308"/>
      <c r="BN45" s="308"/>
      <c r="BO45" s="308"/>
      <c r="BP45" s="308"/>
      <c r="BQ45" s="308"/>
      <c r="BR45" s="1073"/>
      <c r="BS45" s="308"/>
      <c r="BT45" s="1073"/>
      <c r="BU45" s="1073"/>
      <c r="BV45" s="1073"/>
      <c r="BW45" s="1073"/>
      <c r="BX45" s="1073"/>
      <c r="BY45" s="1073"/>
      <c r="BZ45" s="1073"/>
      <c r="CA45" s="1073"/>
      <c r="CB45" s="1073"/>
      <c r="CC45" s="1073"/>
      <c r="CD45" s="1073"/>
      <c r="CE45" s="1073"/>
      <c r="CF45" s="308"/>
      <c r="CG45" s="308"/>
      <c r="CH45" s="308"/>
      <c r="CI45" s="308"/>
      <c r="CJ45" s="308"/>
      <c r="CK45" s="308"/>
      <c r="CO45" s="1"/>
    </row>
    <row r="46" spans="2:96">
      <c r="B46" t="s">
        <v>208</v>
      </c>
      <c r="U46" s="39"/>
      <c r="V46" s="39"/>
      <c r="W46" s="39"/>
      <c r="AB46" s="1"/>
      <c r="AX46" s="110">
        <f>IFERROR(AX44/AX45,"")</f>
        <v>0.96214936363636372</v>
      </c>
      <c r="AY46" s="110"/>
      <c r="BK46" s="38">
        <f>IFERROR(BK44/BK45,"")</f>
        <v>1.0072165333333341</v>
      </c>
      <c r="BL46" s="38"/>
      <c r="BM46" s="38"/>
      <c r="BN46" s="38" t="str">
        <f t="shared" ref="BN46:BQ47" si="21">IFERROR(BN44/BN45,"")</f>
        <v/>
      </c>
      <c r="BO46" s="2151"/>
      <c r="BP46" s="38" t="str">
        <f t="shared" si="21"/>
        <v/>
      </c>
      <c r="BQ46" s="38" t="str">
        <f t="shared" si="21"/>
        <v/>
      </c>
      <c r="CF46" s="38"/>
      <c r="CG46" s="38"/>
      <c r="CH46" s="38"/>
      <c r="CI46" s="38"/>
      <c r="CJ46" s="38"/>
      <c r="CK46" s="38"/>
      <c r="CO46" s="887"/>
    </row>
    <row r="47" spans="2:96">
      <c r="R47" s="95">
        <f>R43+AU43</f>
        <v>64195.679999999993</v>
      </c>
      <c r="AX47" s="110">
        <f>IFERROR(AX45/AX46,"")</f>
        <v>114327.36346076676</v>
      </c>
      <c r="AY47" s="110"/>
      <c r="BK47" s="38">
        <f>IFERROR(BK45/BK46,"")</f>
        <v>74462.637891567472</v>
      </c>
      <c r="BL47" s="38"/>
      <c r="BM47" s="38"/>
      <c r="BN47" s="38" t="str">
        <f t="shared" si="21"/>
        <v/>
      </c>
      <c r="BO47" s="2151"/>
      <c r="BP47" s="38" t="str">
        <f t="shared" si="21"/>
        <v/>
      </c>
      <c r="BQ47" s="38" t="str">
        <f t="shared" si="21"/>
        <v/>
      </c>
      <c r="CF47" s="38"/>
      <c r="CG47" s="38"/>
      <c r="CH47" s="38"/>
      <c r="CI47" s="38"/>
      <c r="CJ47" s="38"/>
      <c r="CK47" s="38"/>
      <c r="CO47" s="281"/>
    </row>
    <row r="48" spans="2:96">
      <c r="O48" s="987"/>
      <c r="P48" s="1"/>
      <c r="BO48" s="281"/>
      <c r="CO48" s="281"/>
    </row>
    <row r="49" spans="4:93">
      <c r="D49" s="1"/>
      <c r="BO49" s="281"/>
      <c r="CO49" s="1"/>
    </row>
    <row r="50" spans="4:93">
      <c r="D50" s="1">
        <f>C45/31</f>
        <v>29935.483870967528</v>
      </c>
      <c r="S50" s="1"/>
      <c r="BO50" s="281"/>
      <c r="CO50" s="887"/>
    </row>
    <row r="51" spans="4:93">
      <c r="S51" s="1"/>
      <c r="BO51" s="281"/>
    </row>
    <row r="52" spans="4:93">
      <c r="S52" s="887"/>
      <c r="BO52" s="281"/>
    </row>
    <row r="53" spans="4:93">
      <c r="G53" s="887"/>
      <c r="H53" s="887"/>
      <c r="BO53" s="281"/>
    </row>
    <row r="54" spans="4:93">
      <c r="O54" s="887"/>
      <c r="P54" s="887"/>
      <c r="BO54" s="281"/>
    </row>
    <row r="55" spans="4:93">
      <c r="BO55" s="281"/>
    </row>
    <row r="56" spans="4:93">
      <c r="O56" s="887"/>
      <c r="P56" s="887"/>
      <c r="R56" s="887"/>
      <c r="BO56" s="281"/>
    </row>
    <row r="57" spans="4:93">
      <c r="G57" s="887"/>
      <c r="H57" s="987"/>
      <c r="O57" s="39"/>
      <c r="P57" s="39"/>
      <c r="Q57" s="39"/>
      <c r="R57" s="39"/>
      <c r="X57" s="39"/>
      <c r="Y57" s="39"/>
      <c r="Z57" s="39"/>
      <c r="AA57" s="39"/>
      <c r="AB57" s="39"/>
      <c r="AC57" s="39"/>
      <c r="AD57" s="39"/>
      <c r="AE57" s="39"/>
      <c r="AF57" s="39"/>
      <c r="AG57" s="39"/>
      <c r="AH57" s="39"/>
      <c r="AI57" s="39"/>
      <c r="AJ57" s="39"/>
      <c r="AK57" s="39"/>
      <c r="BO57" s="281"/>
    </row>
    <row r="58" spans="4:93">
      <c r="BO58" s="281"/>
    </row>
    <row r="59" spans="4:93">
      <c r="O59" s="987"/>
      <c r="P59" s="987"/>
      <c r="X59" s="987"/>
      <c r="Y59" s="987"/>
      <c r="Z59" s="987"/>
      <c r="AA59" s="987"/>
      <c r="AB59" s="987"/>
      <c r="AC59" s="987"/>
      <c r="AD59" s="987"/>
      <c r="AE59" s="987"/>
      <c r="AF59" s="987"/>
      <c r="AG59" s="987"/>
      <c r="AH59" s="987"/>
      <c r="AI59" s="987"/>
      <c r="AJ59" s="987"/>
      <c r="AK59" s="987"/>
      <c r="BO59" s="281"/>
    </row>
    <row r="60" spans="4:93">
      <c r="O60" s="987"/>
      <c r="P60" s="987"/>
      <c r="X60" s="987"/>
      <c r="Y60" s="987"/>
      <c r="Z60" s="987"/>
      <c r="AA60" s="987"/>
      <c r="AB60" s="987"/>
      <c r="AC60" s="987"/>
      <c r="AD60" s="987"/>
      <c r="AE60" s="987"/>
      <c r="AF60" s="987"/>
      <c r="AG60" s="987"/>
      <c r="AH60" s="987"/>
      <c r="AI60" s="987"/>
      <c r="AJ60" s="987"/>
      <c r="AK60" s="987"/>
      <c r="BO60" s="281"/>
    </row>
    <row r="61" spans="4:93">
      <c r="O61" s="987"/>
      <c r="P61" s="987"/>
      <c r="X61" s="987"/>
      <c r="Y61" s="987"/>
      <c r="Z61" s="987"/>
      <c r="AA61" s="987"/>
      <c r="AB61" s="987"/>
      <c r="AC61" s="987"/>
      <c r="AD61" s="987"/>
      <c r="AE61" s="987"/>
      <c r="AF61" s="987"/>
      <c r="AG61" s="987"/>
      <c r="AH61" s="987"/>
      <c r="AI61" s="987"/>
      <c r="AJ61" s="987"/>
      <c r="AK61" s="987"/>
      <c r="BO61" s="281"/>
    </row>
    <row r="62" spans="4:93">
      <c r="O62" s="987"/>
      <c r="P62" s="987"/>
      <c r="X62" s="987"/>
      <c r="Y62" s="987"/>
      <c r="Z62" s="987"/>
      <c r="AA62" s="987"/>
      <c r="AB62" s="987"/>
      <c r="AC62" s="987"/>
      <c r="AD62" s="987"/>
      <c r="AE62" s="987"/>
      <c r="AF62" s="987"/>
      <c r="AG62" s="987"/>
      <c r="AH62" s="987"/>
      <c r="AI62" s="987"/>
      <c r="AJ62" s="987"/>
      <c r="AK62" s="987"/>
      <c r="BO62" s="281"/>
    </row>
    <row r="63" spans="4:93">
      <c r="O63" s="987"/>
      <c r="P63" s="987"/>
      <c r="X63" s="987"/>
      <c r="Y63" s="987"/>
      <c r="Z63" s="987"/>
      <c r="AA63" s="987"/>
      <c r="AB63" s="987"/>
      <c r="AC63" s="987"/>
      <c r="AD63" s="987"/>
      <c r="AE63" s="987"/>
      <c r="AF63" s="987"/>
      <c r="AG63" s="987"/>
      <c r="AH63" s="987"/>
      <c r="AI63" s="987"/>
      <c r="AJ63" s="987"/>
      <c r="AK63" s="987"/>
      <c r="BO63" s="281"/>
    </row>
    <row r="64" spans="4:93">
      <c r="O64" s="987"/>
      <c r="P64" s="987"/>
      <c r="X64" s="987"/>
      <c r="Y64" s="987"/>
      <c r="Z64" s="987"/>
      <c r="AA64" s="987"/>
      <c r="AB64" s="987"/>
      <c r="AC64" s="987"/>
      <c r="AD64" s="987"/>
      <c r="AE64" s="987"/>
      <c r="AF64" s="987"/>
      <c r="AG64" s="987"/>
      <c r="AH64" s="987"/>
      <c r="AI64" s="987"/>
      <c r="AJ64" s="987"/>
      <c r="AK64" s="987"/>
      <c r="BO64" s="281"/>
    </row>
    <row r="65" spans="15:67">
      <c r="O65" s="987"/>
      <c r="P65" s="987"/>
      <c r="X65" s="987"/>
      <c r="Y65" s="987"/>
      <c r="Z65" s="987"/>
      <c r="AA65" s="987"/>
      <c r="AB65" s="987"/>
      <c r="AC65" s="987"/>
      <c r="AD65" s="987"/>
      <c r="AE65" s="987"/>
      <c r="AF65" s="987"/>
      <c r="AG65" s="987"/>
      <c r="AH65" s="987"/>
      <c r="AI65" s="987"/>
      <c r="AJ65" s="987"/>
      <c r="AK65" s="987"/>
      <c r="BO65" s="281"/>
    </row>
    <row r="66" spans="15:67">
      <c r="O66" s="987"/>
      <c r="P66" s="987"/>
      <c r="X66" s="987"/>
      <c r="Y66" s="987"/>
      <c r="Z66" s="987"/>
      <c r="AA66" s="987"/>
      <c r="AB66" s="987"/>
      <c r="AC66" s="987"/>
      <c r="AD66" s="987"/>
      <c r="AE66" s="987"/>
      <c r="AF66" s="987"/>
      <c r="AG66" s="987"/>
      <c r="AH66" s="987"/>
      <c r="AI66" s="987"/>
      <c r="AJ66" s="987"/>
      <c r="AK66" s="987"/>
      <c r="BO66" s="281"/>
    </row>
    <row r="67" spans="15:67">
      <c r="O67" s="987"/>
      <c r="P67" s="987"/>
      <c r="X67" s="987"/>
      <c r="Y67" s="987"/>
      <c r="Z67" s="987"/>
      <c r="AA67" s="987"/>
      <c r="AB67" s="987"/>
      <c r="AC67" s="987"/>
      <c r="AD67" s="987"/>
      <c r="AE67" s="987"/>
      <c r="AF67" s="987"/>
      <c r="AG67" s="987"/>
      <c r="AH67" s="987"/>
      <c r="AI67" s="987"/>
      <c r="AJ67" s="987"/>
      <c r="AK67" s="987"/>
      <c r="BO67" s="281"/>
    </row>
    <row r="68" spans="15:67" ht="14.4" hidden="1" customHeight="1">
      <c r="O68" s="987"/>
      <c r="P68" s="987"/>
      <c r="X68" s="987"/>
      <c r="Y68" s="987"/>
      <c r="Z68" s="987"/>
      <c r="AA68" s="987"/>
      <c r="AB68" s="987"/>
      <c r="AC68" s="987"/>
      <c r="AD68" s="987"/>
      <c r="AE68" s="987"/>
      <c r="AF68" s="987"/>
      <c r="AG68" s="987"/>
      <c r="AH68" s="987"/>
      <c r="AI68" s="987"/>
      <c r="AJ68" s="987"/>
      <c r="AK68" s="987"/>
      <c r="BO68" s="281">
        <v>64344</v>
      </c>
    </row>
    <row r="69" spans="15:67" hidden="1">
      <c r="O69" s="987"/>
      <c r="P69" s="987"/>
      <c r="X69" s="987"/>
      <c r="Y69" s="987"/>
      <c r="Z69" s="987"/>
      <c r="AA69" s="987"/>
      <c r="AB69" s="987"/>
      <c r="AC69" s="987"/>
      <c r="AD69" s="987"/>
      <c r="AE69" s="987"/>
      <c r="AF69" s="987"/>
      <c r="AG69" s="987"/>
      <c r="AH69" s="987"/>
      <c r="AI69" s="987"/>
      <c r="AJ69" s="987"/>
      <c r="AK69" s="987"/>
    </row>
    <row r="70" spans="15:67" hidden="1">
      <c r="O70" s="987"/>
      <c r="P70" s="987"/>
      <c r="X70" s="987"/>
      <c r="Y70" s="987"/>
      <c r="Z70" s="987"/>
      <c r="AA70" s="987"/>
      <c r="AB70" s="987"/>
      <c r="AC70" s="987"/>
      <c r="AD70" s="987"/>
      <c r="AE70" s="987"/>
      <c r="AF70" s="987"/>
      <c r="AG70" s="987"/>
      <c r="AH70" s="987"/>
      <c r="AI70" s="987"/>
      <c r="AJ70" s="987"/>
      <c r="AK70" s="987"/>
    </row>
    <row r="71" spans="15:67" hidden="1">
      <c r="O71" s="987"/>
      <c r="P71" s="987"/>
      <c r="X71" s="987"/>
      <c r="Y71" s="987"/>
      <c r="Z71" s="987"/>
      <c r="AA71" s="987"/>
      <c r="AB71" s="987"/>
      <c r="AC71" s="987"/>
      <c r="AD71" s="987"/>
      <c r="AE71" s="987"/>
      <c r="AF71" s="987"/>
      <c r="AG71" s="987"/>
      <c r="AH71" s="987"/>
      <c r="AI71" s="987"/>
      <c r="AJ71" s="987"/>
      <c r="AK71" s="987"/>
    </row>
    <row r="72" spans="15:67" hidden="1">
      <c r="O72" s="987"/>
      <c r="P72" s="987"/>
      <c r="X72" s="987"/>
      <c r="Y72" s="987"/>
      <c r="Z72" s="987"/>
      <c r="AA72" s="987"/>
      <c r="AB72" s="987"/>
      <c r="AC72" s="987"/>
      <c r="AD72" s="987"/>
      <c r="AE72" s="987"/>
      <c r="AF72" s="987"/>
      <c r="AG72" s="987"/>
      <c r="AH72" s="987"/>
      <c r="AI72" s="987"/>
      <c r="AJ72" s="987"/>
      <c r="AK72" s="987"/>
    </row>
    <row r="73" spans="15:67" hidden="1">
      <c r="O73" s="987"/>
      <c r="P73" s="987"/>
      <c r="X73" s="987"/>
      <c r="Y73" s="987"/>
      <c r="Z73" s="987"/>
      <c r="AA73" s="987"/>
      <c r="AB73" s="987"/>
      <c r="AC73" s="987"/>
      <c r="AD73" s="987"/>
      <c r="AE73" s="987"/>
      <c r="AF73" s="987"/>
      <c r="AG73" s="987"/>
      <c r="AH73" s="987"/>
      <c r="AI73" s="987"/>
      <c r="AJ73" s="987"/>
      <c r="AK73" s="987"/>
    </row>
    <row r="74" spans="15:67" hidden="1">
      <c r="O74" s="987"/>
      <c r="P74" s="987"/>
      <c r="X74" s="987"/>
      <c r="Y74" s="987"/>
      <c r="Z74" s="987"/>
      <c r="AA74" s="987"/>
      <c r="AB74" s="987"/>
      <c r="AC74" s="987"/>
      <c r="AD74" s="987"/>
      <c r="AE74" s="987"/>
      <c r="AF74" s="987"/>
      <c r="AG74" s="987"/>
      <c r="AH74" s="987"/>
      <c r="AI74" s="987"/>
      <c r="AJ74" s="987"/>
      <c r="AK74" s="987"/>
    </row>
    <row r="75" spans="15:67" hidden="1">
      <c r="O75" s="987"/>
      <c r="P75" s="987"/>
      <c r="X75" s="987"/>
      <c r="Y75" s="987"/>
      <c r="Z75" s="987"/>
      <c r="AA75" s="987"/>
      <c r="AB75" s="987"/>
      <c r="AC75" s="987"/>
      <c r="AD75" s="987"/>
      <c r="AE75" s="987"/>
      <c r="AF75" s="987"/>
      <c r="AG75" s="987"/>
      <c r="AH75" s="987"/>
      <c r="AI75" s="987"/>
      <c r="AJ75" s="987"/>
      <c r="AK75" s="987"/>
    </row>
    <row r="76" spans="15:67" hidden="1">
      <c r="O76" s="987"/>
      <c r="P76" s="987"/>
      <c r="X76" s="987"/>
      <c r="Y76" s="987"/>
      <c r="Z76" s="987"/>
      <c r="AA76" s="987"/>
      <c r="AB76" s="987"/>
      <c r="AC76" s="987"/>
      <c r="AD76" s="987"/>
      <c r="AE76" s="987"/>
      <c r="AF76" s="987"/>
      <c r="AG76" s="987"/>
      <c r="AH76" s="987"/>
      <c r="AI76" s="987"/>
      <c r="AJ76" s="987"/>
      <c r="AK76" s="987"/>
    </row>
    <row r="77" spans="15:67" hidden="1">
      <c r="O77" s="987"/>
      <c r="P77" s="987"/>
      <c r="X77" s="987"/>
      <c r="Y77" s="987"/>
      <c r="Z77" s="987"/>
      <c r="AA77" s="987"/>
      <c r="AB77" s="987"/>
      <c r="AC77" s="987"/>
      <c r="AD77" s="987"/>
      <c r="AE77" s="987"/>
      <c r="AF77" s="987"/>
      <c r="AG77" s="987"/>
      <c r="AH77" s="987"/>
      <c r="AI77" s="987"/>
      <c r="AJ77" s="987"/>
      <c r="AK77" s="987"/>
    </row>
    <row r="78" spans="15:67" hidden="1">
      <c r="O78" s="987"/>
      <c r="P78" s="987"/>
      <c r="X78" s="987"/>
      <c r="Y78" s="987"/>
      <c r="Z78" s="987"/>
      <c r="AA78" s="987"/>
      <c r="AB78" s="987"/>
      <c r="AC78" s="987"/>
      <c r="AD78" s="987"/>
      <c r="AE78" s="987"/>
      <c r="AF78" s="987"/>
      <c r="AG78" s="987"/>
      <c r="AH78" s="987"/>
      <c r="AI78" s="987"/>
      <c r="AJ78" s="987"/>
      <c r="AK78" s="987"/>
    </row>
    <row r="79" spans="15:67" hidden="1">
      <c r="O79" s="987"/>
      <c r="P79" s="987"/>
      <c r="X79" s="987"/>
      <c r="Y79" s="987"/>
      <c r="Z79" s="987"/>
      <c r="AA79" s="987"/>
      <c r="AB79" s="987"/>
      <c r="AC79" s="987"/>
      <c r="AD79" s="987"/>
      <c r="AE79" s="987"/>
      <c r="AF79" s="987"/>
      <c r="AG79" s="987"/>
      <c r="AH79" s="987"/>
      <c r="AI79" s="987"/>
      <c r="AJ79" s="987"/>
      <c r="AK79" s="987"/>
    </row>
    <row r="80" spans="15:67" hidden="1">
      <c r="O80" s="987"/>
      <c r="P80" s="987"/>
      <c r="X80" s="987"/>
      <c r="Y80" s="987"/>
      <c r="Z80" s="987"/>
      <c r="AA80" s="987"/>
      <c r="AB80" s="987"/>
      <c r="AC80" s="987"/>
      <c r="AD80" s="987"/>
      <c r="AE80" s="987"/>
      <c r="AF80" s="987"/>
      <c r="AG80" s="987"/>
      <c r="AH80" s="987"/>
      <c r="AI80" s="987"/>
      <c r="AJ80" s="987"/>
      <c r="AK80" s="987"/>
    </row>
    <row r="81" spans="15:37" hidden="1">
      <c r="O81" s="987"/>
      <c r="P81" s="987"/>
      <c r="X81" s="987"/>
      <c r="Y81" s="987"/>
      <c r="Z81" s="987"/>
      <c r="AA81" s="987"/>
      <c r="AB81" s="987"/>
      <c r="AC81" s="987"/>
      <c r="AD81" s="987"/>
      <c r="AE81" s="987"/>
      <c r="AF81" s="987"/>
      <c r="AG81" s="987"/>
      <c r="AH81" s="987"/>
      <c r="AI81" s="987"/>
      <c r="AJ81" s="987"/>
      <c r="AK81" s="987"/>
    </row>
    <row r="82" spans="15:37" hidden="1">
      <c r="O82" s="987"/>
      <c r="P82" s="987"/>
      <c r="X82" s="987"/>
      <c r="Y82" s="987"/>
      <c r="Z82" s="987"/>
      <c r="AA82" s="987"/>
      <c r="AB82" s="987"/>
      <c r="AC82" s="987"/>
      <c r="AD82" s="987"/>
      <c r="AE82" s="987"/>
      <c r="AF82" s="987"/>
      <c r="AG82" s="987"/>
      <c r="AH82" s="987"/>
      <c r="AI82" s="987"/>
      <c r="AJ82" s="987"/>
      <c r="AK82" s="987"/>
    </row>
    <row r="83" spans="15:37" hidden="1">
      <c r="O83" s="987"/>
      <c r="P83" s="987"/>
      <c r="X83" s="987"/>
      <c r="Y83" s="987"/>
      <c r="Z83" s="987"/>
      <c r="AA83" s="987"/>
      <c r="AB83" s="987"/>
      <c r="AC83" s="987"/>
      <c r="AD83" s="987"/>
      <c r="AE83" s="987"/>
      <c r="AF83" s="987"/>
      <c r="AG83" s="987"/>
      <c r="AH83" s="987"/>
      <c r="AI83" s="987"/>
      <c r="AJ83" s="987"/>
      <c r="AK83" s="987"/>
    </row>
    <row r="84" spans="15:37" hidden="1">
      <c r="O84" s="987"/>
      <c r="P84" s="987"/>
      <c r="X84" s="987"/>
      <c r="Y84" s="987"/>
      <c r="Z84" s="987"/>
      <c r="AA84" s="987"/>
      <c r="AB84" s="987"/>
      <c r="AC84" s="987"/>
      <c r="AD84" s="987"/>
      <c r="AE84" s="987"/>
      <c r="AF84" s="987"/>
      <c r="AG84" s="987"/>
      <c r="AH84" s="987"/>
      <c r="AI84" s="987"/>
      <c r="AJ84" s="987"/>
      <c r="AK84" s="987"/>
    </row>
    <row r="85" spans="15:37" hidden="1">
      <c r="O85" s="987"/>
      <c r="P85" s="987"/>
      <c r="X85" s="987"/>
      <c r="Y85" s="987"/>
      <c r="Z85" s="987"/>
      <c r="AA85" s="987"/>
      <c r="AB85" s="987"/>
      <c r="AC85" s="987"/>
      <c r="AD85" s="987"/>
      <c r="AE85" s="987"/>
      <c r="AF85" s="987"/>
      <c r="AG85" s="987"/>
      <c r="AH85" s="987"/>
      <c r="AI85" s="987"/>
      <c r="AJ85" s="987"/>
      <c r="AK85" s="987"/>
    </row>
    <row r="86" spans="15:37" hidden="1">
      <c r="O86" s="987"/>
      <c r="P86" s="987"/>
      <c r="X86" s="987"/>
      <c r="Y86" s="987"/>
      <c r="Z86" s="987"/>
      <c r="AA86" s="987"/>
      <c r="AB86" s="987"/>
      <c r="AC86" s="987"/>
      <c r="AD86" s="987"/>
      <c r="AE86" s="987"/>
      <c r="AF86" s="987"/>
      <c r="AG86" s="987"/>
      <c r="AH86" s="987"/>
      <c r="AI86" s="987"/>
      <c r="AJ86" s="987"/>
      <c r="AK86" s="987"/>
    </row>
    <row r="87" spans="15:37" hidden="1">
      <c r="O87" s="987"/>
      <c r="P87" s="987"/>
      <c r="X87" s="987"/>
      <c r="Y87" s="987"/>
      <c r="Z87" s="987"/>
      <c r="AA87" s="987"/>
      <c r="AB87" s="987"/>
      <c r="AC87" s="987"/>
      <c r="AD87" s="987"/>
      <c r="AE87" s="987"/>
      <c r="AF87" s="987"/>
      <c r="AG87" s="987"/>
      <c r="AH87" s="987"/>
      <c r="AI87" s="987"/>
      <c r="AJ87" s="987"/>
      <c r="AK87" s="987"/>
    </row>
    <row r="88" spans="15:37" hidden="1">
      <c r="O88" s="987"/>
      <c r="P88" s="987"/>
      <c r="X88" s="987"/>
      <c r="Y88" s="987"/>
      <c r="Z88" s="987"/>
      <c r="AA88" s="987"/>
      <c r="AB88" s="987"/>
      <c r="AC88" s="987"/>
      <c r="AD88" s="987"/>
      <c r="AE88" s="987"/>
      <c r="AF88" s="987"/>
      <c r="AG88" s="987"/>
      <c r="AH88" s="987"/>
      <c r="AI88" s="987"/>
      <c r="AJ88" s="987"/>
      <c r="AK88" s="987"/>
    </row>
    <row r="89" spans="15:37" hidden="1"/>
    <row r="90" spans="15:37" hidden="1"/>
    <row r="91" spans="15:37" hidden="1"/>
    <row r="92" spans="15:37" hidden="1"/>
    <row r="93" spans="15:37" hidden="1"/>
    <row r="94" spans="15:37" hidden="1"/>
    <row r="95" spans="15:37" hidden="1"/>
    <row r="96" spans="15:37" hidden="1"/>
    <row r="97" spans="2:37" hidden="1"/>
    <row r="98" spans="2:37" hidden="1"/>
    <row r="99" spans="2:37" hidden="1">
      <c r="O99" s="39">
        <v>9677.4193548387102</v>
      </c>
      <c r="P99" s="39"/>
      <c r="Q99" s="39">
        <v>347.15938203065798</v>
      </c>
      <c r="R99" s="39"/>
      <c r="X99" s="39"/>
      <c r="Y99" s="39"/>
      <c r="Z99" s="39"/>
      <c r="AA99" s="39"/>
      <c r="AB99" s="39"/>
      <c r="AC99" s="39"/>
      <c r="AD99" s="39"/>
      <c r="AE99" s="39"/>
      <c r="AF99" s="39"/>
      <c r="AG99" s="39"/>
      <c r="AH99" s="39"/>
      <c r="AI99" s="39"/>
      <c r="AJ99" s="39"/>
      <c r="AK99" s="39"/>
    </row>
    <row r="100" spans="2:37" hidden="1">
      <c r="B100">
        <v>1</v>
      </c>
      <c r="C100" t="e">
        <f>SUM(O100,#REF!,#REF!)</f>
        <v>#REF!</v>
      </c>
      <c r="D100" t="e">
        <f>SUM(Q100,#REF!,X100)</f>
        <v>#REF!</v>
      </c>
      <c r="N100">
        <v>1</v>
      </c>
      <c r="O100">
        <f>O99</f>
        <v>9677.4193548387102</v>
      </c>
    </row>
    <row r="101" spans="2:37" hidden="1">
      <c r="B101">
        <v>2</v>
      </c>
      <c r="C101" t="e">
        <f>SUM(O101,#REF!,#REF!)</f>
        <v>#REF!</v>
      </c>
      <c r="D101" t="e">
        <f>SUM(Q101,#REF!,X101)</f>
        <v>#REF!</v>
      </c>
      <c r="N101">
        <v>2</v>
      </c>
      <c r="O101">
        <f t="shared" ref="O101:O130" si="22">O100+($O$99)</f>
        <v>19354.83870967742</v>
      </c>
    </row>
    <row r="102" spans="2:37" hidden="1">
      <c r="B102">
        <v>3</v>
      </c>
      <c r="C102" t="e">
        <f>SUM(O102,#REF!,#REF!)</f>
        <v>#REF!</v>
      </c>
      <c r="D102" t="e">
        <f>SUM(Q102,#REF!,X102)</f>
        <v>#REF!</v>
      </c>
      <c r="N102">
        <v>3</v>
      </c>
      <c r="O102">
        <f t="shared" si="22"/>
        <v>29032.258064516129</v>
      </c>
    </row>
    <row r="103" spans="2:37" hidden="1">
      <c r="B103">
        <v>4</v>
      </c>
      <c r="C103" t="e">
        <f>SUM(O103,#REF!,#REF!)</f>
        <v>#REF!</v>
      </c>
      <c r="D103" t="e">
        <f>SUM(Q103,#REF!,X103)</f>
        <v>#REF!</v>
      </c>
      <c r="N103">
        <v>4</v>
      </c>
      <c r="O103">
        <f t="shared" si="22"/>
        <v>38709.677419354841</v>
      </c>
    </row>
    <row r="104" spans="2:37" hidden="1">
      <c r="B104">
        <v>5</v>
      </c>
      <c r="C104" t="e">
        <f>SUM(O104,#REF!,#REF!)</f>
        <v>#REF!</v>
      </c>
      <c r="D104" t="e">
        <f>SUM(Q104,#REF!,X104)</f>
        <v>#REF!</v>
      </c>
      <c r="N104">
        <v>5</v>
      </c>
      <c r="O104">
        <f t="shared" si="22"/>
        <v>48387.096774193553</v>
      </c>
    </row>
    <row r="105" spans="2:37" hidden="1">
      <c r="B105">
        <v>6</v>
      </c>
      <c r="C105" t="e">
        <f>SUM(O105,#REF!,#REF!)</f>
        <v>#REF!</v>
      </c>
      <c r="D105" t="e">
        <f>SUM(Q105,#REF!,X105)</f>
        <v>#REF!</v>
      </c>
      <c r="N105">
        <v>6</v>
      </c>
      <c r="O105">
        <f t="shared" si="22"/>
        <v>58064.516129032265</v>
      </c>
    </row>
    <row r="106" spans="2:37" hidden="1">
      <c r="B106">
        <v>7</v>
      </c>
      <c r="C106" t="e">
        <f>SUM(O106,#REF!,#REF!)</f>
        <v>#REF!</v>
      </c>
      <c r="D106" t="e">
        <f>SUM(Q106,#REF!,X106)</f>
        <v>#REF!</v>
      </c>
      <c r="N106">
        <v>7</v>
      </c>
      <c r="O106">
        <f t="shared" si="22"/>
        <v>67741.93548387097</v>
      </c>
    </row>
    <row r="107" spans="2:37" hidden="1">
      <c r="B107">
        <v>8</v>
      </c>
      <c r="C107" t="e">
        <f>SUM(O107,#REF!,#REF!)</f>
        <v>#REF!</v>
      </c>
      <c r="D107" t="e">
        <f>SUM(Q107,#REF!,X107)</f>
        <v>#REF!</v>
      </c>
      <c r="N107">
        <v>8</v>
      </c>
      <c r="O107">
        <f t="shared" si="22"/>
        <v>77419.354838709682</v>
      </c>
    </row>
    <row r="108" spans="2:37" hidden="1">
      <c r="B108">
        <v>9</v>
      </c>
      <c r="C108" t="e">
        <f>SUM(O108,#REF!,#REF!)</f>
        <v>#REF!</v>
      </c>
      <c r="D108" t="e">
        <f>SUM(Q108,#REF!,X108)</f>
        <v>#REF!</v>
      </c>
      <c r="N108">
        <v>9</v>
      </c>
      <c r="O108">
        <f t="shared" si="22"/>
        <v>87096.774193548394</v>
      </c>
    </row>
    <row r="109" spans="2:37" hidden="1">
      <c r="B109">
        <v>10</v>
      </c>
      <c r="C109" t="e">
        <f>SUM(O109,#REF!,#REF!)</f>
        <v>#REF!</v>
      </c>
      <c r="D109" t="e">
        <f>SUM(Q109,#REF!,X109)</f>
        <v>#REF!</v>
      </c>
      <c r="N109">
        <v>10</v>
      </c>
      <c r="O109">
        <f t="shared" si="22"/>
        <v>96774.193548387106</v>
      </c>
    </row>
    <row r="110" spans="2:37" hidden="1">
      <c r="B110">
        <v>11</v>
      </c>
      <c r="C110" t="e">
        <f>SUM(O110,#REF!,#REF!)</f>
        <v>#REF!</v>
      </c>
      <c r="D110" t="e">
        <f>SUM(Q110,#REF!,X110)</f>
        <v>#REF!</v>
      </c>
      <c r="N110">
        <v>11</v>
      </c>
      <c r="O110">
        <f t="shared" si="22"/>
        <v>106451.61290322582</v>
      </c>
    </row>
    <row r="111" spans="2:37" hidden="1">
      <c r="B111">
        <v>12</v>
      </c>
      <c r="C111" t="e">
        <f>SUM(O111,#REF!,#REF!)</f>
        <v>#REF!</v>
      </c>
      <c r="D111" t="e">
        <f>SUM(Q111,#REF!,X111)</f>
        <v>#REF!</v>
      </c>
      <c r="N111">
        <v>12</v>
      </c>
      <c r="O111">
        <f t="shared" si="22"/>
        <v>116129.03225806453</v>
      </c>
    </row>
    <row r="112" spans="2:37" hidden="1">
      <c r="B112">
        <v>13</v>
      </c>
      <c r="C112" t="e">
        <f>SUM(O112,#REF!,#REF!)</f>
        <v>#REF!</v>
      </c>
      <c r="D112" t="e">
        <f>SUM(Q112,#REF!,X112)</f>
        <v>#REF!</v>
      </c>
      <c r="N112">
        <v>13</v>
      </c>
      <c r="O112">
        <f t="shared" si="22"/>
        <v>125806.45161290324</v>
      </c>
    </row>
    <row r="113" spans="2:15" hidden="1">
      <c r="B113">
        <v>14</v>
      </c>
      <c r="C113" t="e">
        <f>SUM(O113,#REF!,#REF!)</f>
        <v>#REF!</v>
      </c>
      <c r="D113" t="e">
        <f>SUM(Q113,#REF!,X113)</f>
        <v>#REF!</v>
      </c>
      <c r="N113">
        <v>14</v>
      </c>
      <c r="O113">
        <f t="shared" si="22"/>
        <v>135483.87096774194</v>
      </c>
    </row>
    <row r="114" spans="2:15" hidden="1">
      <c r="B114">
        <v>15</v>
      </c>
      <c r="C114" t="e">
        <f>SUM(O114,#REF!,#REF!)</f>
        <v>#REF!</v>
      </c>
      <c r="D114" t="e">
        <f>SUM(Q114,#REF!,X114)</f>
        <v>#REF!</v>
      </c>
      <c r="N114">
        <v>15</v>
      </c>
      <c r="O114">
        <f t="shared" si="22"/>
        <v>145161.29032258064</v>
      </c>
    </row>
    <row r="115" spans="2:15" hidden="1">
      <c r="B115">
        <v>16</v>
      </c>
      <c r="C115" t="e">
        <f>SUM(O115,#REF!,#REF!)</f>
        <v>#REF!</v>
      </c>
      <c r="D115" t="e">
        <f>SUM(Q115,#REF!,X115)</f>
        <v>#REF!</v>
      </c>
      <c r="N115">
        <v>16</v>
      </c>
      <c r="O115">
        <f t="shared" si="22"/>
        <v>154838.70967741933</v>
      </c>
    </row>
    <row r="116" spans="2:15" hidden="1">
      <c r="B116">
        <v>17</v>
      </c>
      <c r="C116" t="e">
        <f>SUM(O116,#REF!,#REF!)</f>
        <v>#REF!</v>
      </c>
      <c r="D116" t="e">
        <f>SUM(Q116,#REF!,X116)</f>
        <v>#REF!</v>
      </c>
      <c r="N116">
        <v>17</v>
      </c>
      <c r="O116">
        <f t="shared" si="22"/>
        <v>164516.12903225803</v>
      </c>
    </row>
    <row r="117" spans="2:15" hidden="1">
      <c r="B117">
        <v>18</v>
      </c>
      <c r="C117" t="e">
        <f>SUM(O117,#REF!,#REF!)</f>
        <v>#REF!</v>
      </c>
      <c r="D117" t="e">
        <f>SUM(Q117,#REF!,X117)</f>
        <v>#REF!</v>
      </c>
      <c r="N117">
        <v>18</v>
      </c>
      <c r="O117">
        <f t="shared" si="22"/>
        <v>174193.54838709673</v>
      </c>
    </row>
    <row r="118" spans="2:15" hidden="1">
      <c r="B118">
        <v>19</v>
      </c>
      <c r="C118" t="e">
        <f>SUM(O118,#REF!,#REF!)</f>
        <v>#REF!</v>
      </c>
      <c r="D118" t="e">
        <f>SUM(Q118,#REF!,X118)</f>
        <v>#REF!</v>
      </c>
      <c r="N118">
        <v>19</v>
      </c>
      <c r="O118">
        <f t="shared" si="22"/>
        <v>183870.96774193543</v>
      </c>
    </row>
    <row r="119" spans="2:15" hidden="1">
      <c r="B119">
        <v>20</v>
      </c>
      <c r="C119" t="e">
        <f>SUM(O119,#REF!,#REF!)</f>
        <v>#REF!</v>
      </c>
      <c r="D119" t="e">
        <f>SUM(Q119,#REF!,X119)</f>
        <v>#REF!</v>
      </c>
      <c r="N119">
        <v>20</v>
      </c>
      <c r="O119">
        <f t="shared" si="22"/>
        <v>193548.38709677412</v>
      </c>
    </row>
    <row r="120" spans="2:15" hidden="1">
      <c r="B120">
        <v>21</v>
      </c>
      <c r="C120" t="e">
        <f>SUM(O120,#REF!,#REF!)</f>
        <v>#REF!</v>
      </c>
      <c r="D120" t="e">
        <f>SUM(Q120,#REF!,X120)</f>
        <v>#REF!</v>
      </c>
      <c r="N120">
        <v>21</v>
      </c>
      <c r="O120">
        <f t="shared" si="22"/>
        <v>203225.80645161282</v>
      </c>
    </row>
    <row r="121" spans="2:15" hidden="1">
      <c r="B121">
        <v>22</v>
      </c>
      <c r="C121" t="e">
        <f>SUM(O121,#REF!,#REF!)</f>
        <v>#REF!</v>
      </c>
      <c r="D121" t="e">
        <f>SUM(Q121,#REF!,X121)</f>
        <v>#REF!</v>
      </c>
      <c r="N121">
        <v>22</v>
      </c>
      <c r="O121">
        <f t="shared" si="22"/>
        <v>212903.22580645152</v>
      </c>
    </row>
    <row r="122" spans="2:15" hidden="1">
      <c r="B122">
        <v>23</v>
      </c>
      <c r="C122" t="e">
        <f>SUM(O122,#REF!,#REF!)</f>
        <v>#REF!</v>
      </c>
      <c r="D122" t="e">
        <f>SUM(Q122,#REF!,X122)</f>
        <v>#REF!</v>
      </c>
      <c r="N122">
        <v>23</v>
      </c>
      <c r="O122">
        <f t="shared" si="22"/>
        <v>222580.64516129022</v>
      </c>
    </row>
    <row r="123" spans="2:15" hidden="1">
      <c r="B123">
        <v>24</v>
      </c>
      <c r="C123" t="e">
        <f>SUM(O123,#REF!,#REF!)</f>
        <v>#REF!</v>
      </c>
      <c r="D123" t="e">
        <f>SUM(Q123,#REF!,X123)</f>
        <v>#REF!</v>
      </c>
      <c r="N123">
        <v>24</v>
      </c>
      <c r="O123">
        <f t="shared" si="22"/>
        <v>232258.06451612891</v>
      </c>
    </row>
    <row r="124" spans="2:15" hidden="1">
      <c r="B124">
        <v>25</v>
      </c>
      <c r="C124" t="e">
        <f>SUM(O124,#REF!,#REF!)</f>
        <v>#REF!</v>
      </c>
      <c r="D124" t="e">
        <f>SUM(Q124,#REF!,X124)</f>
        <v>#REF!</v>
      </c>
      <c r="N124">
        <v>25</v>
      </c>
      <c r="O124">
        <f t="shared" si="22"/>
        <v>241935.48387096761</v>
      </c>
    </row>
    <row r="125" spans="2:15" hidden="1">
      <c r="B125">
        <v>26</v>
      </c>
      <c r="C125" t="e">
        <f>SUM(O125,#REF!,#REF!)</f>
        <v>#REF!</v>
      </c>
      <c r="D125" t="e">
        <f>SUM(Q125,#REF!,X125)</f>
        <v>#REF!</v>
      </c>
      <c r="N125">
        <v>26</v>
      </c>
      <c r="O125">
        <f t="shared" si="22"/>
        <v>251612.90322580631</v>
      </c>
    </row>
    <row r="126" spans="2:15" hidden="1">
      <c r="B126">
        <v>27</v>
      </c>
      <c r="C126" t="e">
        <f>SUM(O126,#REF!,#REF!)</f>
        <v>#REF!</v>
      </c>
      <c r="D126" t="e">
        <f>SUM(Q126,#REF!,X126)</f>
        <v>#REF!</v>
      </c>
      <c r="N126">
        <v>27</v>
      </c>
      <c r="O126">
        <f t="shared" si="22"/>
        <v>261290.32258064501</v>
      </c>
    </row>
    <row r="127" spans="2:15" hidden="1">
      <c r="B127">
        <v>28</v>
      </c>
      <c r="C127" t="e">
        <f>SUM(O127,#REF!,#REF!)</f>
        <v>#REF!</v>
      </c>
      <c r="D127" t="e">
        <f>SUM(Q127,#REF!,X127)</f>
        <v>#REF!</v>
      </c>
      <c r="N127">
        <v>28</v>
      </c>
      <c r="O127">
        <f t="shared" si="22"/>
        <v>270967.7419354837</v>
      </c>
    </row>
    <row r="128" spans="2:15" hidden="1">
      <c r="B128">
        <v>29</v>
      </c>
      <c r="C128" t="e">
        <f>SUM(O128,#REF!,#REF!)</f>
        <v>#REF!</v>
      </c>
      <c r="D128" t="e">
        <f>SUM(Q128,#REF!,X128)</f>
        <v>#REF!</v>
      </c>
      <c r="N128">
        <v>29</v>
      </c>
      <c r="O128">
        <f t="shared" si="22"/>
        <v>280645.16129032243</v>
      </c>
    </row>
    <row r="129" spans="2:15" hidden="1">
      <c r="B129">
        <v>30</v>
      </c>
      <c r="C129" t="e">
        <f>SUM(O129,#REF!,#REF!)</f>
        <v>#REF!</v>
      </c>
      <c r="D129" t="e">
        <f>SUM(Q129,#REF!,X129)</f>
        <v>#REF!</v>
      </c>
      <c r="N129">
        <v>30</v>
      </c>
      <c r="O129">
        <f t="shared" si="22"/>
        <v>290322.58064516116</v>
      </c>
    </row>
    <row r="130" spans="2:15" hidden="1">
      <c r="B130">
        <v>31</v>
      </c>
      <c r="C130" t="e">
        <f>SUM(O130,#REF!,#REF!)</f>
        <v>#REF!</v>
      </c>
      <c r="D130" t="e">
        <f>SUM(Q130,#REF!,X130)</f>
        <v>#REF!</v>
      </c>
      <c r="N130">
        <v>31</v>
      </c>
      <c r="O130">
        <f t="shared" si="22"/>
        <v>299999.99999999988</v>
      </c>
    </row>
    <row r="131" spans="2:15" hidden="1"/>
    <row r="132" spans="2:15" hidden="1"/>
    <row r="133" spans="2:15" hidden="1"/>
    <row r="134" spans="2:15" hidden="1"/>
    <row r="135" spans="2:15" hidden="1"/>
    <row r="136" spans="2:15" hidden="1"/>
    <row r="137" spans="2:15" hidden="1"/>
    <row r="138" spans="2:15" hidden="1"/>
    <row r="139" spans="2:15" hidden="1"/>
    <row r="140" spans="2:15" hidden="1"/>
    <row r="141" spans="2:15" hidden="1"/>
  </sheetData>
  <mergeCells count="31">
    <mergeCell ref="BS8:BS9"/>
    <mergeCell ref="C9:M9"/>
    <mergeCell ref="O9:O11"/>
    <mergeCell ref="P9:R10"/>
    <mergeCell ref="S9:S11"/>
    <mergeCell ref="T9:T11"/>
    <mergeCell ref="X9:X11"/>
    <mergeCell ref="Z9:AB10"/>
    <mergeCell ref="AI9:AL9"/>
    <mergeCell ref="AO9:AR9"/>
    <mergeCell ref="BK8:BQ8"/>
    <mergeCell ref="BL9:BO9"/>
    <mergeCell ref="AZ10:BD10"/>
    <mergeCell ref="BP9:BP10"/>
    <mergeCell ref="BQ9:BQ10"/>
    <mergeCell ref="C10:C11"/>
    <mergeCell ref="B8:B11"/>
    <mergeCell ref="O8:T8"/>
    <mergeCell ref="Z8:AB8"/>
    <mergeCell ref="AI8:AL8"/>
    <mergeCell ref="AX8:BD8"/>
    <mergeCell ref="AX9:AX11"/>
    <mergeCell ref="AY9:AY11"/>
    <mergeCell ref="AZ9:BD9"/>
    <mergeCell ref="D10:D11"/>
    <mergeCell ref="E10:E11"/>
    <mergeCell ref="F10:G10"/>
    <mergeCell ref="H10:I10"/>
    <mergeCell ref="J10:K10"/>
    <mergeCell ref="L10:M10"/>
    <mergeCell ref="U10:W10"/>
  </mergeCells>
  <conditionalFormatting sqref="C43">
    <cfRule type="expression" dxfId="160" priority="12">
      <formula>OR(AND(C43&lt;(#REF!-(10%*#REF!)),#REF!="OB"),AND(C43&lt;(#REF!-(10%*#REF!)),#REF!="ROM"))</formula>
    </cfRule>
    <cfRule type="expression" dxfId="159" priority="13">
      <formula>$B43=DAY(TODAY()-1)</formula>
    </cfRule>
  </conditionalFormatting>
  <conditionalFormatting sqref="O12:U12 S13:T22 O13:R42 U13:U42 S23 O43:W43">
    <cfRule type="expression" dxfId="158" priority="14">
      <formula>OR(AND(O12&lt;(#REF!-(10%*#REF!)),#REF!="OB"),AND(O12&lt;(#REF!-(10%*#REF!)),#REF!="ROM"))</formula>
    </cfRule>
  </conditionalFormatting>
  <conditionalFormatting sqref="O12:U12 AX12:AY12 BQ12:BR37 BT12:CK37 AY13 S13:T22 O13:R42 U13:U42 AX13:AX42 AY15:AY18 S23 BQ39:BR42 BT39:CK43 O43:W43 BK43:BR43">
    <cfRule type="expression" dxfId="157" priority="15">
      <formula>$B12=DAY(TODAY()-1)</formula>
    </cfRule>
  </conditionalFormatting>
  <conditionalFormatting sqref="V12:W42 S24:T42">
    <cfRule type="expression" dxfId="156" priority="4">
      <formula>OR(AND(S12&lt;(#REF!-(10%*#REF!)),#REF!="OB"),AND(S12&lt;(#REF!-(10%*#REF!)),#REF!="ROM"))</formula>
    </cfRule>
    <cfRule type="expression" dxfId="155" priority="5">
      <formula>$B12=DAY(TODAY()-1)</formula>
    </cfRule>
  </conditionalFormatting>
  <conditionalFormatting sqref="X12:AK43">
    <cfRule type="expression" dxfId="154" priority="10">
      <formula>OR(AND(X12&lt;(#REF!-(10%*#REF!)),#REF!="OB"),AND(X12&lt;(#REF!-(10%*#REF!)),#REF!="ROM"))</formula>
    </cfRule>
    <cfRule type="expression" dxfId="153" priority="11">
      <formula>$B12=DAY(TODAY()-1)</formula>
    </cfRule>
  </conditionalFormatting>
  <conditionalFormatting sqref="AO1:AU100">
    <cfRule type="expression" dxfId="152" priority="2">
      <formula>OR(TEXT($A2,"dd/mm/yyyy")=TEXT(DATE(2025,4,18),"dd/mm/yyyy"), TEXT($A2,"dd/mm/yyyy")=TEXT(TODAY()-1,"dd/mm/yyyy"))</formula>
    </cfRule>
  </conditionalFormatting>
  <conditionalFormatting sqref="AO2:AU100">
    <cfRule type="expression" dxfId="151" priority="1">
      <formula>OR($B2=DAY(TODAY()-1))</formula>
    </cfRule>
  </conditionalFormatting>
  <conditionalFormatting sqref="AX43:AY43">
    <cfRule type="expression" dxfId="150" priority="8">
      <formula>$B43=DAY(TODAY()-1)</formula>
    </cfRule>
  </conditionalFormatting>
  <conditionalFormatting sqref="AY19">
    <cfRule type="expression" dxfId="149" priority="16">
      <formula>$B14=DAY(TODAY()-1)</formula>
    </cfRule>
  </conditionalFormatting>
  <conditionalFormatting sqref="AY20:AY42">
    <cfRule type="expression" dxfId="148" priority="7">
      <formula>$B20=DAY(TODAY()-1)</formula>
    </cfRule>
  </conditionalFormatting>
  <conditionalFormatting sqref="AZ12:BE43">
    <cfRule type="expression" dxfId="147" priority="6">
      <formula>$B12=DAY(TODAY()-1)</formula>
    </cfRule>
  </conditionalFormatting>
  <conditionalFormatting sqref="BK12:BP42">
    <cfRule type="expression" dxfId="146" priority="3">
      <formula>$B12=DAY(TODAY()-1)</formula>
    </cfRule>
  </conditionalFormatting>
  <conditionalFormatting sqref="BS12:BS42">
    <cfRule type="expression" dxfId="145" priority="9">
      <formula>$B12=DAY(TODAY()-1)</formula>
    </cfRule>
  </conditionalFormatting>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1:SH301"/>
  <sheetViews>
    <sheetView showGridLines="0" zoomScale="68" zoomScaleNormal="68" workbookViewId="0">
      <pane xSplit="2" ySplit="9" topLeftCell="NB22" activePane="bottomRight" state="frozen"/>
      <selection pane="topRight" activeCell="BM11" sqref="BM11"/>
      <selection pane="bottomLeft" activeCell="BM11" sqref="BM11"/>
      <selection pane="bottomRight" activeCell="PO9" sqref="PO9"/>
    </sheetView>
  </sheetViews>
  <sheetFormatPr defaultColWidth="8.6640625" defaultRowHeight="14.4"/>
  <cols>
    <col min="1" max="1" width="2.33203125" customWidth="1"/>
    <col min="2" max="2" width="7.33203125" customWidth="1"/>
    <col min="3" max="3" width="15.33203125" customWidth="1"/>
    <col min="4" max="4" width="13" customWidth="1"/>
    <col min="5" max="5" width="10.44140625" customWidth="1"/>
    <col min="6" max="7" width="10.44140625" hidden="1" customWidth="1"/>
    <col min="8" max="8" width="13.6640625" customWidth="1"/>
    <col min="9" max="9" width="10.44140625" customWidth="1"/>
    <col min="10" max="10" width="12.33203125" customWidth="1"/>
    <col min="11" max="11" width="11.5546875" customWidth="1"/>
    <col min="12" max="12" width="10" customWidth="1"/>
    <col min="13" max="13" width="8.6640625" customWidth="1"/>
    <col min="14" max="14" width="5" customWidth="1"/>
    <col min="15" max="15" width="14.6640625" customWidth="1"/>
    <col min="16" max="16" width="16.6640625" customWidth="1"/>
    <col min="17" max="17" width="11.6640625" customWidth="1"/>
    <col min="18" max="18" width="8.33203125" customWidth="1"/>
    <col min="19" max="19" width="12.6640625" customWidth="1"/>
    <col min="20" max="20" width="15.33203125" customWidth="1"/>
    <col min="21" max="21" width="10.33203125" customWidth="1"/>
    <col min="22" max="22" width="8.6640625" customWidth="1"/>
    <col min="23" max="23" width="13" customWidth="1"/>
    <col min="24" max="24" width="13.6640625" customWidth="1"/>
    <col min="25" max="25" width="10.6640625" customWidth="1"/>
    <col min="26" max="26" width="9.33203125" customWidth="1"/>
    <col min="27" max="27" width="15.44140625" hidden="1" customWidth="1"/>
    <col min="28" max="28" width="12.6640625" hidden="1" customWidth="1"/>
    <col min="29" max="30" width="9.33203125" hidden="1" customWidth="1"/>
    <col min="31" max="31" width="14.33203125" hidden="1" customWidth="1"/>
    <col min="32" max="33" width="12.6640625" hidden="1" customWidth="1"/>
    <col min="34" max="34" width="8.6640625" hidden="1" customWidth="1"/>
    <col min="35" max="35" width="10.33203125" hidden="1" customWidth="1"/>
    <col min="36" max="36" width="9.33203125" hidden="1" customWidth="1"/>
    <col min="37" max="38" width="8.6640625" hidden="1" customWidth="1"/>
    <col min="39" max="39" width="1.33203125" customWidth="1"/>
    <col min="40" max="40" width="12" hidden="1" customWidth="1"/>
    <col min="41" max="42" width="8.6640625" hidden="1" customWidth="1"/>
    <col min="43" max="43" width="14.5546875" hidden="1" customWidth="1"/>
    <col min="44" max="45" width="12.33203125" hidden="1" customWidth="1"/>
    <col min="46" max="46" width="14.6640625" hidden="1" customWidth="1"/>
    <col min="47" max="47" width="11.44140625" hidden="1" customWidth="1"/>
    <col min="48" max="48" width="11.6640625" hidden="1" customWidth="1"/>
    <col min="49" max="49" width="14.5546875" customWidth="1"/>
    <col min="50" max="50" width="12.33203125" customWidth="1"/>
    <col min="51" max="51" width="11.33203125" customWidth="1"/>
    <col min="52" max="52" width="8.5546875" hidden="1" customWidth="1"/>
    <col min="53" max="53" width="8.6640625" hidden="1" customWidth="1"/>
    <col min="54" max="54" width="9.33203125" hidden="1" customWidth="1"/>
    <col min="55" max="55" width="11.5546875" customWidth="1"/>
    <col min="56" max="56" width="11.44140625" customWidth="1"/>
    <col min="57" max="57" width="10.44140625" customWidth="1"/>
    <col min="58" max="58" width="13.6640625" hidden="1" customWidth="1"/>
    <col min="59" max="59" width="15.33203125" hidden="1" customWidth="1"/>
    <col min="60" max="60" width="9.33203125" hidden="1" customWidth="1"/>
    <col min="61" max="61" width="11.6640625" hidden="1" customWidth="1"/>
    <col min="62" max="62" width="12.33203125" hidden="1" customWidth="1"/>
    <col min="63" max="63" width="8.6640625" hidden="1" customWidth="1"/>
    <col min="64" max="64" width="13.109375" customWidth="1"/>
    <col min="65" max="66" width="12.33203125" customWidth="1"/>
    <col min="67" max="67" width="8.6640625" customWidth="1"/>
    <col min="68" max="68" width="11.44140625" hidden="1" customWidth="1"/>
    <col min="69" max="69" width="14.6640625" hidden="1" customWidth="1"/>
    <col min="70" max="70" width="10.6640625" hidden="1" customWidth="1"/>
    <col min="71" max="72" width="11.44140625" hidden="1" customWidth="1"/>
    <col min="73" max="73" width="8.6640625" hidden="1" customWidth="1"/>
    <col min="74" max="74" width="13.33203125" customWidth="1"/>
    <col min="75" max="75" width="12.6640625" customWidth="1"/>
    <col min="76" max="76" width="11.88671875" customWidth="1"/>
    <col min="77" max="77" width="13.5546875" hidden="1" customWidth="1"/>
    <col min="78" max="78" width="12.33203125" hidden="1" customWidth="1"/>
    <col min="79" max="79" width="9.33203125" hidden="1" customWidth="1"/>
    <col min="80" max="80" width="12.6640625" hidden="1" customWidth="1"/>
    <col min="81" max="81" width="11.33203125" hidden="1" customWidth="1"/>
    <col min="82" max="82" width="9.33203125" hidden="1" customWidth="1"/>
    <col min="83" max="83" width="13.44140625" hidden="1" customWidth="1"/>
    <col min="84" max="84" width="13" hidden="1" customWidth="1"/>
    <col min="85" max="85" width="9.33203125" hidden="1" customWidth="1"/>
    <col min="86" max="86" width="7.6640625" customWidth="1"/>
    <col min="87" max="88" width="10.6640625" customWidth="1"/>
    <col min="89" max="89" width="12.33203125" customWidth="1"/>
    <col min="90" max="90" width="11" customWidth="1"/>
    <col min="91" max="91" width="0" hidden="1" customWidth="1"/>
    <col min="92" max="92" width="11.6640625" customWidth="1"/>
    <col min="93" max="93" width="0" hidden="1" customWidth="1"/>
    <col min="94" max="94" width="18.33203125" customWidth="1"/>
    <col min="95" max="95" width="6.6640625" customWidth="1"/>
    <col min="97" max="97" width="11.6640625" bestFit="1" customWidth="1"/>
    <col min="99" max="99" width="11.6640625" bestFit="1" customWidth="1"/>
    <col min="101" max="101" width="11.6640625" bestFit="1" customWidth="1"/>
    <col min="103" max="103" width="11.6640625" bestFit="1" customWidth="1"/>
    <col min="104" max="104" width="11.5546875" customWidth="1"/>
    <col min="105" max="105" width="11.6640625" bestFit="1" customWidth="1"/>
    <col min="106" max="106" width="10.33203125" customWidth="1"/>
    <col min="107" max="107" width="11.6640625" bestFit="1" customWidth="1"/>
    <col min="108" max="108" width="13.33203125" bestFit="1" customWidth="1"/>
    <col min="109" max="109" width="7.6640625" customWidth="1"/>
    <col min="110" max="110" width="12.33203125" customWidth="1"/>
    <col min="111" max="111" width="11.6640625" bestFit="1" customWidth="1"/>
    <col min="112" max="112" width="11.6640625" customWidth="1"/>
    <col min="113" max="113" width="11.6640625" bestFit="1" customWidth="1"/>
    <col min="114" max="114" width="12.5546875" bestFit="1" customWidth="1"/>
    <col min="115" max="115" width="11.6640625" bestFit="1" customWidth="1"/>
    <col min="116" max="116" width="12.5546875" customWidth="1"/>
    <col min="117" max="117" width="11.6640625" bestFit="1" customWidth="1"/>
    <col min="118" max="118" width="12.6640625" bestFit="1" customWidth="1"/>
    <col min="119" max="119" width="11.6640625" bestFit="1" customWidth="1"/>
    <col min="120" max="120" width="12.33203125" customWidth="1"/>
    <col min="121" max="121" width="11.6640625" bestFit="1" customWidth="1"/>
    <col min="122" max="122" width="13.6640625" bestFit="1" customWidth="1"/>
    <col min="123" max="123" width="11.33203125" customWidth="1"/>
    <col min="124" max="124" width="16.6640625" customWidth="1"/>
    <col min="125" max="125" width="9.6640625" customWidth="1"/>
    <col min="126" max="126" width="11.6640625" bestFit="1" customWidth="1"/>
    <col min="127" max="127" width="10.33203125" bestFit="1" customWidth="1"/>
    <col min="128" max="128" width="11.6640625" bestFit="1" customWidth="1"/>
    <col min="129" max="129" width="10.33203125" customWidth="1"/>
    <col min="130" max="130" width="11.6640625" bestFit="1" customWidth="1"/>
    <col min="131" max="131" width="12.33203125" customWidth="1"/>
    <col min="132" max="132" width="10.33203125" customWidth="1"/>
    <col min="133" max="133" width="9.33203125" customWidth="1"/>
    <col min="134" max="134" width="11.6640625" bestFit="1" customWidth="1"/>
    <col min="135" max="135" width="14.6640625" customWidth="1"/>
    <col min="136" max="136" width="12.6640625" bestFit="1" customWidth="1"/>
    <col min="137" max="137" width="12.33203125" customWidth="1"/>
    <col min="138" max="138" width="12.6640625" bestFit="1" customWidth="1"/>
    <col min="139" max="139" width="12.33203125" customWidth="1"/>
    <col min="140" max="140" width="12.6640625" bestFit="1" customWidth="1"/>
    <col min="141" max="141" width="12.33203125" customWidth="1"/>
    <col min="142" max="142" width="12.6640625" bestFit="1" customWidth="1"/>
    <col min="143" max="143" width="12.33203125" customWidth="1"/>
    <col min="144" max="144" width="12.6640625" bestFit="1" customWidth="1"/>
    <col min="145" max="145" width="12.33203125" customWidth="1"/>
    <col min="146" max="146" width="12.6640625" bestFit="1" customWidth="1"/>
    <col min="147" max="147" width="11.6640625" customWidth="1"/>
    <col min="148" max="148" width="12.6640625" customWidth="1"/>
    <col min="149" max="155" width="8.6640625" hidden="1" customWidth="1"/>
    <col min="156" max="156" width="1.33203125" customWidth="1"/>
    <col min="157" max="157" width="6.6640625" customWidth="1"/>
    <col min="160" max="160" width="9.33203125" bestFit="1" customWidth="1"/>
    <col min="163" max="163" width="1.33203125" customWidth="1"/>
    <col min="164" max="177" width="8.6640625" hidden="1" customWidth="1"/>
    <col min="178" max="178" width="7.33203125" bestFit="1" customWidth="1"/>
    <col min="179" max="179" width="11.6640625" bestFit="1" customWidth="1"/>
    <col min="180" max="180" width="6.6640625" bestFit="1" customWidth="1"/>
    <col min="181" max="181" width="11.6640625" bestFit="1" customWidth="1"/>
    <col min="182" max="182" width="6.6640625" bestFit="1" customWidth="1"/>
    <col min="183" max="183" width="11.6640625" bestFit="1" customWidth="1"/>
    <col min="184" max="184" width="6.6640625" bestFit="1" customWidth="1"/>
    <col min="185" max="185" width="11.6640625" bestFit="1" customWidth="1"/>
    <col min="186" max="186" width="10.33203125" bestFit="1" customWidth="1"/>
    <col min="187" max="187" width="11.6640625" bestFit="1" customWidth="1"/>
    <col min="188" max="188" width="8.44140625" customWidth="1"/>
    <col min="189" max="189" width="11.6640625" bestFit="1" customWidth="1"/>
    <col min="191" max="191" width="1.33203125" customWidth="1"/>
    <col min="192" max="192" width="6.6640625" customWidth="1"/>
    <col min="193" max="193" width="13" customWidth="1"/>
    <col min="194" max="194" width="13.44140625" customWidth="1"/>
    <col min="195" max="195" width="14.33203125" customWidth="1"/>
    <col min="196" max="196" width="17.33203125" customWidth="1"/>
    <col min="197" max="197" width="10.33203125" hidden="1" customWidth="1"/>
    <col min="198" max="198" width="8.6640625" hidden="1" customWidth="1"/>
    <col min="199" max="199" width="45.33203125" customWidth="1"/>
    <col min="200" max="200" width="1.33203125" customWidth="1"/>
    <col min="201" max="201" width="15.44140625" customWidth="1"/>
    <col min="202" max="203" width="13.33203125" customWidth="1"/>
    <col min="204" max="204" width="12.33203125" customWidth="1"/>
    <col min="205" max="205" width="15.33203125" customWidth="1"/>
    <col min="206" max="206" width="1.33203125" customWidth="1"/>
    <col min="207" max="207" width="13.5546875" customWidth="1"/>
    <col min="208" max="208" width="12.33203125" customWidth="1"/>
    <col min="209" max="209" width="13.33203125" customWidth="1"/>
    <col min="210" max="210" width="13" customWidth="1"/>
    <col min="211" max="211" width="12.6640625" customWidth="1"/>
    <col min="212" max="212" width="14.44140625" customWidth="1"/>
    <col min="213" max="213" width="12" customWidth="1"/>
    <col min="214" max="215" width="11.6640625" customWidth="1"/>
    <col min="216" max="216" width="13" customWidth="1"/>
    <col min="217" max="217" width="11.5546875" customWidth="1"/>
    <col min="218" max="218" width="11.6640625" customWidth="1"/>
    <col min="219" max="219" width="10.44140625" customWidth="1"/>
    <col min="220" max="220" width="10.33203125" customWidth="1"/>
    <col min="221" max="221" width="11.44140625" customWidth="1"/>
    <col min="222" max="235" width="10.44140625" hidden="1" customWidth="1"/>
    <col min="236" max="236" width="0.5546875" hidden="1" customWidth="1"/>
    <col min="237" max="237" width="11.33203125" customWidth="1"/>
    <col min="238" max="238" width="11.6640625" customWidth="1"/>
    <col min="239" max="239" width="10.33203125" customWidth="1"/>
    <col min="240" max="240" width="11.6640625" customWidth="1"/>
    <col min="241" max="241" width="12.33203125" bestFit="1" customWidth="1"/>
    <col min="242" max="242" width="11.6640625" bestFit="1" customWidth="1"/>
    <col min="243" max="243" width="12" customWidth="1"/>
    <col min="244" max="244" width="11.6640625" bestFit="1" customWidth="1"/>
    <col min="245" max="245" width="12.33203125" bestFit="1" customWidth="1"/>
    <col min="246" max="246" width="11.6640625" bestFit="1" customWidth="1"/>
    <col min="247" max="247" width="13.33203125" customWidth="1"/>
    <col min="248" max="248" width="12.33203125" customWidth="1"/>
    <col min="249" max="250" width="8.6640625" customWidth="1"/>
    <col min="251" max="251" width="13" customWidth="1"/>
    <col min="252" max="252" width="10.6640625" customWidth="1"/>
    <col min="253" max="253" width="11.6640625" bestFit="1" customWidth="1"/>
    <col min="254" max="254" width="9.44140625" customWidth="1"/>
    <col min="255" max="255" width="11.6640625" bestFit="1" customWidth="1"/>
    <col min="256" max="257" width="12" bestFit="1" customWidth="1"/>
    <col min="258" max="258" width="10.5546875" customWidth="1"/>
    <col min="259" max="259" width="11.6640625" bestFit="1" customWidth="1"/>
    <col min="260" max="260" width="12.5546875" bestFit="1" customWidth="1"/>
    <col min="261" max="261" width="12" bestFit="1" customWidth="1"/>
    <col min="262" max="262" width="11.6640625" customWidth="1"/>
    <col min="263" max="263" width="11.6640625" bestFit="1" customWidth="1"/>
    <col min="266" max="266" width="13" customWidth="1"/>
    <col min="267" max="267" width="1.33203125" customWidth="1"/>
    <col min="268" max="268" width="6.6640625" customWidth="1"/>
    <col min="269" max="269" width="15.33203125" customWidth="1"/>
    <col min="270" max="270" width="16" customWidth="1"/>
    <col min="271" max="271" width="15.5546875" bestFit="1" customWidth="1"/>
    <col min="272" max="272" width="13.6640625" customWidth="1"/>
    <col min="273" max="273" width="13" bestFit="1" customWidth="1"/>
    <col min="274" max="274" width="3.6640625" customWidth="1"/>
    <col min="275" max="275" width="9.6640625" customWidth="1"/>
    <col min="277" max="277" width="12.33203125" bestFit="1" customWidth="1"/>
    <col min="278" max="278" width="12.44140625" customWidth="1"/>
    <col min="279" max="279" width="11.5546875" customWidth="1"/>
    <col min="283" max="287" width="8.6640625" customWidth="1"/>
    <col min="288" max="288" width="9.33203125" customWidth="1"/>
    <col min="289" max="290" width="8.6640625" customWidth="1"/>
    <col min="297" max="297" width="8.6640625" customWidth="1"/>
    <col min="298" max="298" width="6.33203125" customWidth="1"/>
    <col min="300" max="300" width="1.33203125" customWidth="1"/>
    <col min="301" max="301" width="10.6640625" bestFit="1" customWidth="1"/>
    <col min="302" max="302" width="8.88671875" bestFit="1" customWidth="1"/>
    <col min="303" max="305" width="8.6640625" bestFit="1" customWidth="1"/>
    <col min="306" max="306" width="10.33203125" customWidth="1"/>
    <col min="307" max="307" width="8.33203125" customWidth="1"/>
    <col min="308" max="310" width="8.6640625" customWidth="1"/>
    <col min="316" max="316" width="0" hidden="1" customWidth="1"/>
    <col min="317" max="317" width="1.33203125" customWidth="1"/>
    <col min="318" max="318" width="6.6640625" customWidth="1"/>
    <col min="319" max="319" width="16.33203125" customWidth="1"/>
    <col min="320" max="320" width="15.33203125" customWidth="1"/>
    <col min="321" max="321" width="15.109375" customWidth="1"/>
    <col min="322" max="322" width="14.33203125" bestFit="1" customWidth="1"/>
    <col min="323" max="323" width="15.88671875" customWidth="1"/>
    <col min="324" max="324" width="13.44140625" bestFit="1" customWidth="1"/>
    <col min="326" max="326" width="0" hidden="1" customWidth="1"/>
    <col min="328" max="328" width="49.33203125" customWidth="1"/>
    <col min="329" max="329" width="1.33203125" customWidth="1"/>
    <col min="330" max="330" width="15.33203125" customWidth="1"/>
    <col min="331" max="331" width="10.33203125" bestFit="1" customWidth="1"/>
    <col min="332" max="332" width="13.6640625" bestFit="1" customWidth="1"/>
    <col min="333" max="333" width="9.44140625" customWidth="1"/>
    <col min="334" max="334" width="9.6640625" customWidth="1"/>
    <col min="335" max="335" width="12.33203125" customWidth="1"/>
    <col min="336" max="336" width="10.44140625" bestFit="1" customWidth="1"/>
    <col min="337" max="337" width="11.33203125" customWidth="1"/>
    <col min="338" max="338" width="13.6640625" bestFit="1" customWidth="1"/>
    <col min="339" max="339" width="12" bestFit="1" customWidth="1"/>
    <col min="340" max="340" width="13" bestFit="1" customWidth="1"/>
    <col min="341" max="341" width="9.6640625" bestFit="1" customWidth="1"/>
    <col min="342" max="342" width="9.33203125" bestFit="1" customWidth="1"/>
    <col min="343" max="343" width="12.6640625" customWidth="1"/>
    <col min="344" max="344" width="13.6640625" bestFit="1" customWidth="1"/>
    <col min="345" max="345" width="9.44140625" bestFit="1" customWidth="1"/>
    <col min="346" max="346" width="9.6640625" bestFit="1" customWidth="1"/>
    <col min="347" max="347" width="13.5546875" bestFit="1" customWidth="1"/>
    <col min="348" max="348" width="7.6640625" customWidth="1"/>
    <col min="349" max="349" width="9.33203125" customWidth="1"/>
    <col min="350" max="350" width="15.5546875" customWidth="1"/>
    <col min="351" max="351" width="9.44140625" customWidth="1"/>
    <col min="352" max="352" width="9.6640625" customWidth="1"/>
    <col min="353" max="353" width="13.5546875" customWidth="1"/>
    <col min="354" max="355" width="9.33203125" customWidth="1"/>
    <col min="356" max="356" width="15.5546875" customWidth="1"/>
    <col min="357" max="357" width="9.44140625" customWidth="1"/>
    <col min="358" max="358" width="9.6640625" customWidth="1"/>
    <col min="359" max="359" width="8.6640625" customWidth="1"/>
    <col min="360" max="360" width="1.33203125" customWidth="1"/>
    <col min="361" max="361" width="6.6640625" customWidth="1"/>
    <col min="362" max="362" width="13" customWidth="1"/>
    <col min="363" max="363" width="12.33203125" customWidth="1"/>
    <col min="365" max="365" width="12" customWidth="1"/>
    <col min="366" max="366" width="1.33203125" customWidth="1"/>
    <col min="367" max="367" width="17.33203125" customWidth="1"/>
    <col min="368" max="368" width="17.6640625" customWidth="1"/>
    <col min="369" max="369" width="17.6640625" hidden="1" customWidth="1"/>
    <col min="370" max="370" width="15.33203125" customWidth="1"/>
    <col min="371" max="371" width="13.6640625" hidden="1" customWidth="1"/>
    <col min="372" max="372" width="14.44140625" hidden="1" customWidth="1"/>
    <col min="373" max="373" width="12.33203125" hidden="1" customWidth="1"/>
    <col min="374" max="374" width="11.6640625" hidden="1" customWidth="1"/>
    <col min="375" max="375" width="12" hidden="1" customWidth="1"/>
    <col min="376" max="376" width="11.6640625" hidden="1" customWidth="1"/>
    <col min="377" max="377" width="13.33203125" hidden="1" customWidth="1"/>
    <col min="378" max="378" width="13.44140625" hidden="1" customWidth="1"/>
    <col min="379" max="379" width="10.33203125" customWidth="1"/>
    <col min="380" max="380" width="11.6640625" customWidth="1"/>
    <col min="381" max="381" width="9.33203125" customWidth="1"/>
    <col min="382" max="382" width="11.6640625" bestFit="1" customWidth="1"/>
    <col min="383" max="383" width="11.5546875" bestFit="1" customWidth="1"/>
    <col min="384" max="384" width="12.33203125" hidden="1" customWidth="1"/>
    <col min="385" max="385" width="11.6640625" hidden="1" customWidth="1"/>
    <col min="386" max="386" width="11.33203125" hidden="1" customWidth="1"/>
    <col min="387" max="387" width="11.6640625" hidden="1" customWidth="1"/>
    <col min="388" max="388" width="10.33203125" hidden="1" customWidth="1"/>
    <col min="389" max="389" width="11.6640625" hidden="1" customWidth="1"/>
    <col min="390" max="390" width="12.33203125" customWidth="1"/>
    <col min="391" max="391" width="11.6640625" hidden="1" customWidth="1"/>
    <col min="392" max="392" width="13.44140625" customWidth="1"/>
    <col min="393" max="393" width="14.6640625" hidden="1" customWidth="1"/>
    <col min="394" max="394" width="11.33203125" bestFit="1" customWidth="1"/>
    <col min="395" max="395" width="12.6640625" hidden="1" customWidth="1"/>
    <col min="396" max="396" width="12.33203125" customWidth="1"/>
    <col min="397" max="397" width="10" hidden="1" customWidth="1"/>
    <col min="398" max="398" width="11.6640625" hidden="1" customWidth="1"/>
    <col min="399" max="399" width="9.6640625" hidden="1" customWidth="1"/>
    <col min="400" max="400" width="11.6640625" hidden="1" customWidth="1"/>
    <col min="401" max="401" width="11" hidden="1" customWidth="1"/>
    <col min="402" max="402" width="11.6640625" hidden="1" customWidth="1"/>
    <col min="403" max="403" width="9.6640625" hidden="1" customWidth="1"/>
    <col min="404" max="404" width="11.6640625" hidden="1" customWidth="1"/>
    <col min="405" max="405" width="10.6640625" customWidth="1"/>
    <col min="406" max="406" width="11.6640625" hidden="1" customWidth="1"/>
    <col min="407" max="407" width="8.33203125" customWidth="1"/>
    <col min="408" max="408" width="11.6640625" hidden="1" customWidth="1"/>
    <col min="409" max="409" width="13.6640625" customWidth="1"/>
    <col min="410" max="410" width="9.33203125" hidden="1" customWidth="1"/>
    <col min="411" max="411" width="9.5546875" hidden="1" customWidth="1"/>
    <col min="412" max="415" width="9.33203125" hidden="1" customWidth="1"/>
    <col min="416" max="416" width="9.5546875" hidden="1" customWidth="1"/>
    <col min="417" max="420" width="8.6640625" hidden="1" customWidth="1"/>
    <col min="421" max="421" width="13.44140625" hidden="1" customWidth="1"/>
    <col min="422" max="422" width="8.6640625" hidden="1" customWidth="1"/>
    <col min="423" max="423" width="9.33203125" hidden="1" customWidth="1"/>
    <col min="424" max="424" width="1.33203125" hidden="1" customWidth="1"/>
    <col min="425" max="425" width="10.44140625" customWidth="1"/>
    <col min="426" max="426" width="11.6640625" customWidth="1"/>
    <col min="427" max="429" width="9.5546875" customWidth="1"/>
    <col min="430" max="430" width="11.5546875" customWidth="1"/>
    <col min="431" max="431" width="11.88671875" customWidth="1"/>
    <col min="432" max="432" width="15.6640625" customWidth="1"/>
    <col min="433" max="433" width="1.33203125" customWidth="1"/>
    <col min="434" max="434" width="6.6640625" customWidth="1"/>
    <col min="435" max="436" width="14" customWidth="1"/>
    <col min="438" max="439" width="12.33203125" customWidth="1"/>
    <col min="440" max="441" width="14" customWidth="1"/>
    <col min="442" max="442" width="10.6640625" customWidth="1"/>
    <col min="443" max="443" width="12" bestFit="1" customWidth="1"/>
    <col min="444" max="444" width="11.33203125" customWidth="1"/>
    <col min="445" max="448" width="12" customWidth="1"/>
    <col min="449" max="449" width="12.6640625" customWidth="1"/>
    <col min="450" max="450" width="11.5546875" customWidth="1"/>
    <col min="451" max="451" width="14.33203125" customWidth="1"/>
    <col min="452" max="452" width="14.33203125" hidden="1" customWidth="1"/>
    <col min="462" max="477" width="0" hidden="1" customWidth="1"/>
    <col min="478" max="478" width="12.33203125" hidden="1" customWidth="1"/>
    <col min="479" max="481" width="8.6640625" hidden="1" customWidth="1"/>
    <col min="482" max="482" width="8.6640625" customWidth="1"/>
    <col min="483" max="484" width="11.33203125" customWidth="1"/>
    <col min="485" max="485" width="10" bestFit="1" customWidth="1"/>
    <col min="486" max="486" width="10" customWidth="1"/>
    <col min="487" max="487" width="18.33203125" bestFit="1" customWidth="1"/>
    <col min="488" max="488" width="19.5546875" bestFit="1" customWidth="1"/>
    <col min="492" max="492" width="11.6640625" customWidth="1"/>
    <col min="493" max="493" width="19.5546875" bestFit="1" customWidth="1"/>
    <col min="502" max="502" width="19.44140625" customWidth="1"/>
  </cols>
  <sheetData>
    <row r="1" spans="1:502">
      <c r="AQ1" s="887"/>
      <c r="AR1" s="887"/>
      <c r="AW1" s="887"/>
      <c r="AX1" s="887"/>
      <c r="BF1" s="887"/>
      <c r="BG1" s="887"/>
      <c r="BI1" s="887"/>
      <c r="BJ1" s="887"/>
      <c r="BP1" s="887"/>
      <c r="BQ1" s="887"/>
      <c r="BS1" s="887"/>
      <c r="BT1" s="887"/>
      <c r="CJ1" s="1">
        <f>CF28+CC28</f>
        <v>0</v>
      </c>
      <c r="EE1" s="28"/>
      <c r="EK1" s="281"/>
      <c r="GN1">
        <v>721.35</v>
      </c>
      <c r="GP1" s="314"/>
      <c r="HI1" s="1">
        <v>89.9</v>
      </c>
      <c r="IK1" s="1692"/>
      <c r="IP1">
        <v>58.5</v>
      </c>
      <c r="JI1" s="106"/>
      <c r="JJ1" s="106"/>
      <c r="JK1" s="106"/>
      <c r="LN1" s="106"/>
      <c r="NE1" s="98"/>
      <c r="NF1" s="98"/>
      <c r="NG1" s="145"/>
      <c r="NL1" s="1"/>
      <c r="NP1" s="1"/>
      <c r="OJ1" s="72"/>
      <c r="PP1" s="1"/>
      <c r="PS1" s="1"/>
      <c r="RY1" s="1"/>
    </row>
    <row r="2" spans="1:502">
      <c r="BT2" s="1"/>
      <c r="BW2" s="1"/>
      <c r="CF2" s="1"/>
      <c r="DF2">
        <v>214.42</v>
      </c>
      <c r="DN2" s="852"/>
      <c r="DR2" s="25"/>
      <c r="EH2" s="281"/>
      <c r="EI2" s="281"/>
      <c r="GP2" s="314"/>
      <c r="HJ2">
        <v>164.45</v>
      </c>
      <c r="IZ2" s="106"/>
      <c r="MA2">
        <v>3250.7799999997887</v>
      </c>
      <c r="NE2" s="145"/>
      <c r="NF2" s="98"/>
      <c r="NI2" s="1"/>
      <c r="NM2" s="98"/>
      <c r="NN2" s="98"/>
      <c r="NO2" s="98"/>
      <c r="NR2" s="1">
        <v>-495.72</v>
      </c>
      <c r="NV2" s="1"/>
      <c r="OP2" s="1"/>
      <c r="OQ2">
        <v>416.38</v>
      </c>
      <c r="OS2" s="1"/>
      <c r="PJ2">
        <v>190.48</v>
      </c>
      <c r="QN2" t="s">
        <v>209</v>
      </c>
      <c r="RY2" s="1"/>
    </row>
    <row r="3" spans="1:502">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489"/>
      <c r="AR3" s="489"/>
      <c r="AS3" s="145"/>
      <c r="AT3" s="489"/>
      <c r="AU3" s="489"/>
      <c r="AV3" s="145"/>
      <c r="AW3" s="489"/>
      <c r="AX3" s="489"/>
      <c r="AY3" s="145"/>
      <c r="AZ3" s="145"/>
      <c r="BA3" s="145"/>
      <c r="BB3" s="145"/>
      <c r="BC3" s="145"/>
      <c r="BD3" s="145"/>
      <c r="BE3" s="145"/>
      <c r="BF3" s="489"/>
      <c r="BG3" s="489"/>
      <c r="BH3" s="145"/>
      <c r="BI3" s="489"/>
      <c r="BJ3" s="489"/>
      <c r="BK3" s="145"/>
      <c r="BL3" s="489"/>
      <c r="BM3" s="489"/>
      <c r="BN3" s="489"/>
      <c r="BO3" s="145"/>
      <c r="BP3" s="489"/>
      <c r="BQ3" s="489"/>
      <c r="BR3" s="145"/>
      <c r="BS3" s="489"/>
      <c r="BT3" s="489"/>
      <c r="BU3" s="145"/>
      <c r="BV3" s="489"/>
      <c r="BW3" s="489"/>
      <c r="BX3" s="145"/>
      <c r="BY3" s="489"/>
      <c r="BZ3" s="489"/>
      <c r="CA3" s="145"/>
      <c r="CB3" s="489"/>
      <c r="CC3" s="489">
        <f>CC43/31</f>
        <v>0</v>
      </c>
      <c r="CD3" s="145"/>
      <c r="CE3" s="489">
        <f>CE43/31</f>
        <v>0</v>
      </c>
      <c r="CF3" s="489">
        <f>CF43/31</f>
        <v>0</v>
      </c>
      <c r="CG3" s="145"/>
      <c r="CH3" s="145"/>
      <c r="CI3" s="145"/>
      <c r="CJ3" s="145"/>
      <c r="CK3" s="145"/>
      <c r="CL3" s="145"/>
      <c r="CM3" s="145"/>
      <c r="CN3" s="145"/>
      <c r="CO3" s="145"/>
      <c r="CP3" s="145"/>
      <c r="DN3" s="95"/>
      <c r="DP3" s="95"/>
      <c r="EF3" s="1"/>
      <c r="EG3" s="1"/>
      <c r="GP3" s="314"/>
      <c r="NE3" s="145">
        <v>10013.654684596553</v>
      </c>
      <c r="NF3" s="98"/>
      <c r="NI3" s="1"/>
      <c r="NS3" s="1"/>
      <c r="NZ3" s="1"/>
      <c r="OD3" s="1"/>
      <c r="RY3" s="1"/>
    </row>
    <row r="4" spans="1:502" s="39" customFormat="1" ht="36" customHeight="1">
      <c r="B4" s="2625" t="s">
        <v>103</v>
      </c>
      <c r="C4" s="2692" t="s">
        <v>104</v>
      </c>
      <c r="D4" s="2693"/>
      <c r="E4" s="2693"/>
      <c r="F4" s="2693"/>
      <c r="G4" s="2693"/>
      <c r="H4" s="2693"/>
      <c r="I4" s="2693"/>
      <c r="J4" s="2693"/>
      <c r="K4" s="2693"/>
      <c r="L4" s="2693"/>
      <c r="M4" s="2693"/>
      <c r="N4" s="2693"/>
      <c r="O4" s="2693"/>
      <c r="P4" s="2693"/>
      <c r="Q4" s="2693"/>
      <c r="R4" s="2693"/>
      <c r="S4" s="2693"/>
      <c r="T4" s="2693"/>
      <c r="U4" s="2693"/>
      <c r="V4" s="2693"/>
      <c r="W4" s="2693"/>
      <c r="X4" s="2693"/>
      <c r="Y4" s="2693"/>
      <c r="Z4" s="2693"/>
      <c r="AA4" s="2693"/>
      <c r="AB4" s="2693"/>
      <c r="AC4" s="2693"/>
      <c r="AD4" s="2693"/>
      <c r="AE4" s="2693"/>
      <c r="AF4" s="2693"/>
      <c r="AG4" s="2693"/>
      <c r="AH4" s="2693"/>
      <c r="AI4" s="2693"/>
      <c r="AJ4" s="2693"/>
      <c r="AK4" s="2693"/>
      <c r="AL4" s="2693"/>
      <c r="AM4" s="2693"/>
      <c r="AN4" s="2693"/>
      <c r="AO4" s="2693"/>
      <c r="AP4" s="2693"/>
      <c r="AQ4" s="2693"/>
      <c r="AR4" s="2693"/>
      <c r="AS4" s="2693"/>
      <c r="AT4" s="2693"/>
      <c r="AU4" s="2693"/>
      <c r="AV4" s="2693"/>
      <c r="AW4" s="2693"/>
      <c r="AX4" s="2693"/>
      <c r="AY4" s="2693"/>
      <c r="AZ4" s="2693"/>
      <c r="BA4" s="2693"/>
      <c r="BB4" s="2693"/>
      <c r="BC4" s="2693"/>
      <c r="BD4" s="2693"/>
      <c r="BE4" s="2693"/>
      <c r="BF4" s="2693"/>
      <c r="BG4" s="2693"/>
      <c r="BH4" s="2693"/>
      <c r="BI4" s="2693"/>
      <c r="BJ4" s="2693"/>
      <c r="BK4" s="2693"/>
      <c r="BL4" s="2693"/>
      <c r="BM4" s="2693"/>
      <c r="BN4" s="2693"/>
      <c r="BO4" s="2693"/>
      <c r="BP4" s="2693"/>
      <c r="BQ4" s="2693"/>
      <c r="BR4" s="2693"/>
      <c r="BS4" s="2693"/>
      <c r="BT4" s="2693"/>
      <c r="BU4" s="2693"/>
      <c r="BV4" s="2693"/>
      <c r="BW4" s="2693"/>
      <c r="BX4" s="2693"/>
      <c r="BY4" s="2693"/>
      <c r="BZ4" s="2693"/>
      <c r="CA4" s="2693"/>
      <c r="CB4" s="2693"/>
      <c r="CC4" s="2693"/>
      <c r="CD4" s="2693"/>
      <c r="CE4" s="2693"/>
      <c r="CF4" s="2693"/>
      <c r="CG4" s="2693"/>
      <c r="CH4" s="2693"/>
      <c r="CI4" s="2693"/>
      <c r="CJ4" s="2693"/>
      <c r="CK4" s="2693"/>
      <c r="CL4" s="2693"/>
      <c r="CM4" s="2693"/>
      <c r="CN4" s="2693"/>
      <c r="CO4" s="2693"/>
      <c r="CP4" s="2694"/>
      <c r="CR4" s="2646" t="s">
        <v>105</v>
      </c>
      <c r="CS4" s="2647"/>
      <c r="CT4" s="2647"/>
      <c r="CU4" s="2647"/>
      <c r="CV4" s="2647"/>
      <c r="CW4" s="2647"/>
      <c r="CX4" s="2647"/>
      <c r="CY4" s="2647"/>
      <c r="CZ4" s="2647"/>
      <c r="DA4" s="2647"/>
      <c r="DB4" s="2647"/>
      <c r="DC4" s="2647"/>
      <c r="DD4" s="2647"/>
      <c r="DE4" s="2647"/>
      <c r="DF4" s="2647"/>
      <c r="DG4" s="2647"/>
      <c r="DH4" s="2647"/>
      <c r="DI4" s="2647"/>
      <c r="DJ4" s="2647"/>
      <c r="DK4" s="2647"/>
      <c r="DL4" s="2647"/>
      <c r="DM4" s="2647"/>
      <c r="DN4" s="2647"/>
      <c r="DO4" s="2647"/>
      <c r="DP4" s="2647"/>
      <c r="DQ4" s="2647"/>
      <c r="DR4" s="2647"/>
      <c r="DS4" s="2647"/>
      <c r="DT4" s="2647"/>
      <c r="DU4" s="2647"/>
      <c r="DV4" s="2647"/>
      <c r="DW4" s="2647"/>
      <c r="DX4" s="2647"/>
      <c r="DY4" s="2647"/>
      <c r="DZ4" s="2647"/>
      <c r="EA4" s="2647"/>
      <c r="EB4" s="2647"/>
      <c r="EC4" s="2647"/>
      <c r="ED4" s="2647"/>
      <c r="EE4" s="2647"/>
      <c r="EF4" s="2647"/>
      <c r="EG4" s="2647"/>
      <c r="EH4" s="2647"/>
      <c r="EI4" s="2647"/>
      <c r="EJ4" s="2647"/>
      <c r="EK4" s="2647"/>
      <c r="EL4" s="2647"/>
      <c r="EM4" s="2647"/>
      <c r="EN4" s="2647"/>
      <c r="EO4" s="2647"/>
      <c r="EP4" s="2647"/>
      <c r="EQ4" s="2647"/>
      <c r="ER4" s="2647"/>
      <c r="ES4" s="2647"/>
      <c r="ET4" s="2647"/>
      <c r="EU4" s="2647"/>
      <c r="EV4" s="2647"/>
      <c r="EW4" s="2647"/>
      <c r="EX4" s="2647"/>
      <c r="EY4" s="2647"/>
      <c r="EZ4" s="2648"/>
      <c r="FB4" s="2649" t="s">
        <v>106</v>
      </c>
      <c r="FC4" s="2650"/>
      <c r="FD4" s="2650"/>
      <c r="FE4" s="2650"/>
      <c r="FF4" s="2650"/>
      <c r="FG4" s="2650"/>
      <c r="FH4" s="2650"/>
      <c r="FI4" s="2650"/>
      <c r="FJ4" s="2650"/>
      <c r="FK4" s="2650"/>
      <c r="FL4" s="2650"/>
      <c r="FM4" s="2650"/>
      <c r="FN4" s="2650"/>
      <c r="FO4" s="2650"/>
      <c r="FP4" s="2650"/>
      <c r="FQ4" s="2650"/>
      <c r="FR4" s="2650"/>
      <c r="FS4" s="2650"/>
      <c r="FT4" s="2650"/>
      <c r="FU4" s="2650"/>
      <c r="FV4" s="2650"/>
      <c r="FW4" s="2650"/>
      <c r="FX4" s="2650"/>
      <c r="FY4" s="2650"/>
      <c r="FZ4" s="2650"/>
      <c r="GA4" s="2650"/>
      <c r="GB4" s="2650"/>
      <c r="GC4" s="2650"/>
      <c r="GD4" s="2650"/>
      <c r="GE4" s="2650"/>
      <c r="GF4" s="2650"/>
      <c r="GG4" s="2650"/>
      <c r="GH4" s="2650"/>
      <c r="GI4" s="2651"/>
      <c r="GK4" s="2652" t="s">
        <v>22</v>
      </c>
      <c r="GL4" s="2653"/>
      <c r="GM4" s="2653"/>
      <c r="GN4" s="2653"/>
      <c r="GO4" s="2653"/>
      <c r="GP4" s="2653"/>
      <c r="GQ4" s="2653"/>
      <c r="GR4" s="2653"/>
      <c r="GS4" s="2653"/>
      <c r="GT4" s="2653"/>
      <c r="GU4" s="2653"/>
      <c r="GV4" s="2653"/>
      <c r="GW4" s="2653"/>
      <c r="GX4" s="2653"/>
      <c r="GY4" s="2653"/>
      <c r="GZ4" s="2653"/>
      <c r="HA4" s="2653"/>
      <c r="HB4" s="2653"/>
      <c r="HC4" s="2653"/>
      <c r="HD4" s="2653"/>
      <c r="HE4" s="2653"/>
      <c r="HF4" s="2653"/>
      <c r="HG4" s="2653"/>
      <c r="HH4" s="2653"/>
      <c r="HI4" s="2653"/>
      <c r="HJ4" s="2653"/>
      <c r="HK4" s="2653"/>
      <c r="HL4" s="2653"/>
      <c r="HM4" s="2653"/>
      <c r="HN4" s="2653"/>
      <c r="HO4" s="2653"/>
      <c r="HP4" s="2653"/>
      <c r="HQ4" s="2653"/>
      <c r="HR4" s="2653"/>
      <c r="HS4" s="2653"/>
      <c r="HT4" s="2653"/>
      <c r="HU4" s="2653"/>
      <c r="HV4" s="2653"/>
      <c r="HW4" s="2653"/>
      <c r="HX4" s="2653"/>
      <c r="HY4" s="2653"/>
      <c r="HZ4" s="2653"/>
      <c r="IA4" s="2653"/>
      <c r="IB4" s="2653"/>
      <c r="IC4" s="2653"/>
      <c r="ID4" s="2653"/>
      <c r="IE4" s="2653"/>
      <c r="IF4" s="2653"/>
      <c r="IG4" s="2653"/>
      <c r="IH4" s="2653"/>
      <c r="II4" s="2653"/>
      <c r="IJ4" s="2653"/>
      <c r="IK4" s="2653"/>
      <c r="IL4" s="2653"/>
      <c r="IM4" s="2653"/>
      <c r="IN4" s="2653"/>
      <c r="IO4" s="2653"/>
      <c r="IP4" s="2653"/>
      <c r="IQ4" s="2653"/>
      <c r="IR4" s="2653"/>
      <c r="IS4" s="2653"/>
      <c r="IT4" s="2653"/>
      <c r="IU4" s="2653"/>
      <c r="IV4" s="2653"/>
      <c r="IW4" s="2653"/>
      <c r="IX4" s="2653"/>
      <c r="IY4" s="2653"/>
      <c r="IZ4" s="2653"/>
      <c r="JA4" s="2653"/>
      <c r="JB4" s="2653"/>
      <c r="JC4" s="2653"/>
      <c r="JD4" s="2653"/>
      <c r="JE4" s="2653"/>
      <c r="JF4" s="2653"/>
      <c r="JG4" s="2654"/>
      <c r="JI4" s="2655" t="s">
        <v>107</v>
      </c>
      <c r="JJ4" s="2656"/>
      <c r="JK4" s="2656"/>
      <c r="JL4" s="2656"/>
      <c r="JM4" s="2656"/>
      <c r="JN4" s="2656"/>
      <c r="JO4" s="2656"/>
      <c r="JP4" s="2656"/>
      <c r="JQ4" s="2656"/>
      <c r="JR4" s="2656"/>
      <c r="JS4" s="2656"/>
      <c r="JT4" s="2656"/>
      <c r="JU4" s="2656"/>
      <c r="JV4" s="2656"/>
      <c r="JW4" s="2656"/>
      <c r="JX4" s="2656"/>
      <c r="JY4" s="2656"/>
      <c r="JZ4" s="2656"/>
      <c r="KA4" s="2656"/>
      <c r="KB4" s="2656"/>
      <c r="KC4" s="2656"/>
      <c r="KD4" s="2656"/>
      <c r="KE4" s="2656"/>
      <c r="KF4" s="2656"/>
      <c r="KG4" s="2656"/>
      <c r="KH4" s="2656"/>
      <c r="KI4" s="2656"/>
      <c r="KJ4" s="2656"/>
      <c r="KK4" s="2656"/>
      <c r="KL4" s="2656"/>
      <c r="KM4" s="2656"/>
      <c r="KN4" s="2656"/>
      <c r="KO4" s="2656"/>
      <c r="KP4" s="2656"/>
      <c r="KQ4" s="2656"/>
      <c r="KR4" s="2656"/>
      <c r="KS4" s="2656"/>
      <c r="KT4" s="2656"/>
      <c r="KU4" s="2656"/>
      <c r="KV4" s="2656"/>
      <c r="KW4" s="2656"/>
      <c r="KX4" s="2656"/>
      <c r="KY4" s="2656"/>
      <c r="KZ4" s="2656"/>
      <c r="LA4" s="2656"/>
      <c r="LB4" s="2656"/>
      <c r="LC4" s="2656"/>
      <c r="LD4" s="2656"/>
      <c r="LE4" s="2657"/>
      <c r="LG4" s="2658" t="s">
        <v>108</v>
      </c>
      <c r="LH4" s="2659"/>
      <c r="LI4" s="2659"/>
      <c r="LJ4" s="2659"/>
      <c r="LK4" s="2659"/>
      <c r="LL4" s="2659"/>
      <c r="LM4" s="2659"/>
      <c r="LN4" s="2659"/>
      <c r="LO4" s="2659"/>
      <c r="LP4" s="2659"/>
      <c r="LQ4" s="2659"/>
      <c r="LR4" s="2659"/>
      <c r="LS4" s="2659"/>
      <c r="LT4" s="2659"/>
      <c r="LU4" s="2659"/>
      <c r="LV4" s="2659"/>
      <c r="LW4" s="2659"/>
      <c r="LX4" s="2659"/>
      <c r="LY4" s="2659"/>
      <c r="LZ4" s="2659"/>
      <c r="MA4" s="2659"/>
      <c r="MB4" s="2659"/>
      <c r="MC4" s="2659"/>
      <c r="MD4" s="2659"/>
      <c r="ME4" s="2659"/>
      <c r="MF4" s="2659"/>
      <c r="MG4" s="2659"/>
      <c r="MH4" s="2659"/>
      <c r="MI4" s="2659"/>
      <c r="MJ4" s="2659"/>
      <c r="MK4" s="2659"/>
      <c r="ML4" s="2659"/>
      <c r="MM4" s="2659"/>
      <c r="MN4" s="2659"/>
      <c r="MO4" s="2659"/>
      <c r="MP4" s="2659"/>
      <c r="MQ4" s="2659"/>
      <c r="MR4" s="2659"/>
      <c r="MS4" s="2659"/>
      <c r="MT4" s="2659"/>
      <c r="MU4" s="2659"/>
      <c r="MV4" s="2660"/>
      <c r="MX4" s="2661"/>
      <c r="MY4" s="2662"/>
      <c r="MZ4" s="2662"/>
      <c r="NA4" s="2662"/>
      <c r="NB4" s="2662"/>
      <c r="NC4" s="2662"/>
      <c r="ND4" s="2662"/>
      <c r="NE4" s="2662"/>
      <c r="NF4" s="2662"/>
      <c r="NG4" s="2662"/>
      <c r="NH4" s="2662"/>
      <c r="NI4" s="2662"/>
      <c r="NJ4" s="2662"/>
      <c r="NK4" s="2662"/>
      <c r="NL4" s="2662"/>
      <c r="NM4" s="2662"/>
      <c r="NN4" s="2662"/>
      <c r="NO4" s="2662"/>
      <c r="NP4" s="2662"/>
      <c r="NQ4" s="2662"/>
      <c r="NR4" s="2662"/>
      <c r="NS4" s="2662"/>
      <c r="NT4" s="2662"/>
      <c r="NU4" s="2662"/>
      <c r="NV4" s="2662"/>
      <c r="NW4" s="2662"/>
      <c r="NX4" s="2662"/>
      <c r="NY4" s="2662"/>
      <c r="NZ4" s="2662"/>
      <c r="OA4" s="2662"/>
      <c r="OB4" s="2662"/>
      <c r="OC4" s="2662"/>
      <c r="OD4" s="2662"/>
      <c r="OE4" s="2662"/>
      <c r="OF4" s="2662"/>
      <c r="OG4" s="2662"/>
      <c r="OH4" s="2662"/>
      <c r="OI4" s="2662"/>
      <c r="OJ4" s="2662"/>
      <c r="OK4" s="2662"/>
      <c r="OL4" s="2662"/>
      <c r="OM4" s="2662"/>
      <c r="ON4" s="2662"/>
      <c r="OO4" s="2662"/>
      <c r="OP4" s="2662"/>
      <c r="OQ4" s="2662"/>
      <c r="OR4" s="2662"/>
      <c r="OS4" s="2662"/>
      <c r="OT4" s="2662"/>
      <c r="OU4" s="2662"/>
      <c r="OV4" s="2662"/>
      <c r="OW4" s="2662"/>
      <c r="OX4" s="2662"/>
      <c r="OY4" s="2662"/>
      <c r="OZ4" s="2662"/>
      <c r="PA4" s="2662"/>
      <c r="PB4" s="2662"/>
      <c r="PC4" s="2662"/>
      <c r="PD4" s="2662"/>
      <c r="PE4" s="2662"/>
      <c r="PF4" s="2662"/>
      <c r="PG4" s="2662"/>
      <c r="PH4" s="2663"/>
      <c r="PJ4" s="2664" t="s">
        <v>110</v>
      </c>
      <c r="PK4" s="2665"/>
      <c r="PL4" s="2665"/>
      <c r="PM4" s="2665"/>
      <c r="PN4" s="2665"/>
      <c r="PO4" s="2665"/>
      <c r="PP4" s="2665"/>
      <c r="PQ4" s="2666"/>
      <c r="PS4" s="2677" t="s">
        <v>30</v>
      </c>
      <c r="PT4" s="2678"/>
      <c r="PU4" s="2678"/>
      <c r="PV4" s="2678"/>
      <c r="PW4" s="2678"/>
      <c r="PX4" s="2678"/>
      <c r="PY4" s="2678"/>
      <c r="PZ4" s="2678"/>
      <c r="QA4" s="2678"/>
      <c r="QB4" s="2678"/>
      <c r="QC4" s="2678"/>
      <c r="QD4" s="2678"/>
      <c r="QE4" s="2678"/>
      <c r="QF4" s="2678"/>
      <c r="QG4" s="2678"/>
      <c r="QH4" s="2678"/>
      <c r="QI4" s="2678"/>
      <c r="QJ4" s="2678"/>
      <c r="QK4" s="2678"/>
      <c r="QL4" s="2679"/>
      <c r="RY4" s="1068"/>
    </row>
    <row r="5" spans="1:502" s="40" customFormat="1" ht="12.75" customHeight="1">
      <c r="B5" s="2626"/>
      <c r="C5" s="2624" t="s">
        <v>111</v>
      </c>
      <c r="D5" s="2628"/>
      <c r="E5" s="2628"/>
      <c r="F5" s="2628"/>
      <c r="G5" s="2628"/>
      <c r="H5" s="2628"/>
      <c r="I5" s="2628"/>
      <c r="J5" s="2628"/>
      <c r="K5" s="2628"/>
      <c r="L5" s="2628"/>
      <c r="M5" s="2628"/>
      <c r="N5" s="2629"/>
      <c r="O5" s="2631" t="s">
        <v>112</v>
      </c>
      <c r="P5" s="2623"/>
      <c r="Q5" s="2623"/>
      <c r="R5" s="2623"/>
      <c r="S5" s="2623"/>
      <c r="T5" s="2623"/>
      <c r="U5" s="2623"/>
      <c r="V5" s="2623"/>
      <c r="W5" s="2623"/>
      <c r="X5" s="2623"/>
      <c r="Y5" s="2623"/>
      <c r="Z5" s="2623"/>
      <c r="AA5" s="2623"/>
      <c r="AB5" s="2623"/>
      <c r="AC5" s="2623"/>
      <c r="AD5" s="2623"/>
      <c r="AE5" s="2623"/>
      <c r="AF5" s="2623"/>
      <c r="AG5" s="2623"/>
      <c r="AH5" s="2623"/>
      <c r="AI5" s="2623"/>
      <c r="AJ5" s="2623"/>
      <c r="AK5" s="2623"/>
      <c r="AL5" s="2624"/>
      <c r="AM5" s="2629"/>
      <c r="AN5" s="2680" t="s">
        <v>113</v>
      </c>
      <c r="AO5" s="2681"/>
      <c r="AP5" s="2681"/>
      <c r="AQ5" s="2681"/>
      <c r="AR5" s="2681"/>
      <c r="AS5" s="2681"/>
      <c r="AT5" s="2681"/>
      <c r="AU5" s="2681"/>
      <c r="AV5" s="2681"/>
      <c r="AW5" s="2681"/>
      <c r="AX5" s="2681"/>
      <c r="AY5" s="2681"/>
      <c r="AZ5" s="2681"/>
      <c r="BA5" s="2681"/>
      <c r="BB5" s="2681"/>
      <c r="BC5" s="2681"/>
      <c r="BD5" s="2681"/>
      <c r="BE5" s="2681"/>
      <c r="BF5" s="2681"/>
      <c r="BG5" s="2681"/>
      <c r="BH5" s="2681"/>
      <c r="BI5" s="2681"/>
      <c r="BJ5" s="2681"/>
      <c r="BK5" s="2681"/>
      <c r="BL5" s="2681"/>
      <c r="BM5" s="2681"/>
      <c r="BN5" s="2681"/>
      <c r="BO5" s="2681"/>
      <c r="BP5" s="2681"/>
      <c r="BQ5" s="2681"/>
      <c r="BR5" s="2681"/>
      <c r="BS5" s="2681"/>
      <c r="BT5" s="2681"/>
      <c r="BU5" s="2681"/>
      <c r="BV5" s="2681"/>
      <c r="BW5" s="2681"/>
      <c r="BX5" s="2681"/>
      <c r="BY5" s="2681"/>
      <c r="BZ5" s="2681"/>
      <c r="CA5" s="2681"/>
      <c r="CB5" s="2681"/>
      <c r="CC5" s="2681"/>
      <c r="CD5" s="2681"/>
      <c r="CE5" s="2681"/>
      <c r="CF5" s="2681"/>
      <c r="CG5" s="2682"/>
      <c r="CH5" s="147"/>
      <c r="CI5" s="2633" t="s">
        <v>114</v>
      </c>
      <c r="CJ5" s="2635"/>
      <c r="CK5" s="2635"/>
      <c r="CL5" s="2635"/>
      <c r="CM5" s="2635"/>
      <c r="CN5" s="2635"/>
      <c r="CO5" s="2634"/>
      <c r="CP5" s="348" t="s">
        <v>210</v>
      </c>
      <c r="CQ5" s="41"/>
      <c r="CR5" s="2623" t="s">
        <v>111</v>
      </c>
      <c r="CS5" s="2623"/>
      <c r="CT5" s="2623"/>
      <c r="CU5" s="2623"/>
      <c r="CV5" s="2623"/>
      <c r="CW5" s="2623"/>
      <c r="CX5" s="2623"/>
      <c r="CY5" s="2623"/>
      <c r="CZ5" s="2623"/>
      <c r="DA5" s="2623"/>
      <c r="DB5" s="2623"/>
      <c r="DC5" s="2624"/>
      <c r="DD5" s="2624"/>
      <c r="DE5" s="2685"/>
      <c r="DF5" s="2624" t="s">
        <v>115</v>
      </c>
      <c r="DG5" s="2628"/>
      <c r="DH5" s="2628"/>
      <c r="DI5" s="2628"/>
      <c r="DJ5" s="2628"/>
      <c r="DK5" s="2628"/>
      <c r="DL5" s="2628"/>
      <c r="DM5" s="2628"/>
      <c r="DN5" s="2628"/>
      <c r="DO5" s="2628"/>
      <c r="DP5" s="2628"/>
      <c r="DQ5" s="2628"/>
      <c r="DR5" s="2628"/>
      <c r="DS5" s="2628"/>
      <c r="DT5" s="2628"/>
      <c r="DU5" s="2628"/>
      <c r="DV5" s="2628"/>
      <c r="DW5" s="2628"/>
      <c r="DX5" s="2628"/>
      <c r="DY5" s="2628"/>
      <c r="DZ5" s="2628"/>
      <c r="EA5" s="2628"/>
      <c r="EB5" s="2628"/>
      <c r="EC5" s="2628"/>
      <c r="ED5" s="2628"/>
      <c r="EE5" s="2628"/>
      <c r="EF5" s="2628"/>
      <c r="EG5" s="2628"/>
      <c r="EH5" s="2628"/>
      <c r="EI5" s="2628"/>
      <c r="EJ5" s="2628"/>
      <c r="EK5" s="2628"/>
      <c r="EL5" s="2628"/>
      <c r="EM5" s="2628"/>
      <c r="EN5" s="2628"/>
      <c r="EO5" s="2628"/>
      <c r="EP5" s="2628"/>
      <c r="EQ5" s="2628"/>
      <c r="ER5" s="2628"/>
      <c r="ES5" s="2628"/>
      <c r="ET5" s="2628"/>
      <c r="EU5" s="2628"/>
      <c r="EV5" s="2628"/>
      <c r="EW5" s="2628"/>
      <c r="EX5" s="2628"/>
      <c r="EY5" s="2631"/>
      <c r="EZ5" s="2685"/>
      <c r="FB5" s="2624" t="s">
        <v>111</v>
      </c>
      <c r="FC5" s="2628"/>
      <c r="FD5" s="2628"/>
      <c r="FE5" s="2628"/>
      <c r="FF5" s="2631"/>
      <c r="FG5" s="2674"/>
      <c r="FH5" s="2631" t="s">
        <v>116</v>
      </c>
      <c r="FI5" s="2623"/>
      <c r="FJ5" s="2623"/>
      <c r="FK5" s="2623"/>
      <c r="FL5" s="2623"/>
      <c r="FM5" s="2623"/>
      <c r="FN5" s="2623"/>
      <c r="FO5" s="2623"/>
      <c r="FP5" s="2623"/>
      <c r="FQ5" s="2623"/>
      <c r="FR5" s="2623"/>
      <c r="FS5" s="2623"/>
      <c r="FT5" s="2623"/>
      <c r="FU5" s="2623"/>
      <c r="FV5" s="2623"/>
      <c r="FW5" s="2623"/>
      <c r="FX5" s="2623"/>
      <c r="FY5" s="2623"/>
      <c r="FZ5" s="2623"/>
      <c r="GA5" s="2623"/>
      <c r="GB5" s="2623"/>
      <c r="GC5" s="2623"/>
      <c r="GD5" s="2623"/>
      <c r="GE5" s="2623"/>
      <c r="GF5" s="2623"/>
      <c r="GG5" s="2624"/>
      <c r="GH5" s="2624"/>
      <c r="GI5" s="2674"/>
      <c r="GK5" s="2623" t="s">
        <v>111</v>
      </c>
      <c r="GL5" s="2623"/>
      <c r="GM5" s="2623"/>
      <c r="GN5" s="2623"/>
      <c r="GO5" s="2623"/>
      <c r="GP5" s="2623"/>
      <c r="GQ5" s="2624"/>
      <c r="GR5" s="2667"/>
      <c r="GS5" s="2631" t="s">
        <v>112</v>
      </c>
      <c r="GT5" s="2623"/>
      <c r="GU5" s="2623"/>
      <c r="GV5" s="2623"/>
      <c r="GW5" s="2624"/>
      <c r="GX5" s="2667"/>
      <c r="GY5" s="2631" t="s">
        <v>117</v>
      </c>
      <c r="GZ5" s="2631"/>
      <c r="HA5" s="2623"/>
      <c r="HB5" s="2623"/>
      <c r="HC5" s="2623"/>
      <c r="HD5" s="2623"/>
      <c r="HE5" s="2623"/>
      <c r="HF5" s="2623"/>
      <c r="HG5" s="2623"/>
      <c r="HH5" s="2623"/>
      <c r="HI5" s="2623"/>
      <c r="HJ5" s="2623"/>
      <c r="HK5" s="2623"/>
      <c r="HL5" s="2623"/>
      <c r="HM5" s="2623"/>
      <c r="HN5" s="2623"/>
      <c r="HO5" s="2623"/>
      <c r="HP5" s="2623"/>
      <c r="HQ5" s="2623"/>
      <c r="HR5" s="2623"/>
      <c r="HS5" s="2623"/>
      <c r="HT5" s="2623"/>
      <c r="HU5" s="2623"/>
      <c r="HV5" s="2623"/>
      <c r="HW5" s="2623"/>
      <c r="HX5" s="2623"/>
      <c r="HY5" s="2623"/>
      <c r="HZ5" s="2623"/>
      <c r="IA5" s="2623"/>
      <c r="IB5" s="2623"/>
      <c r="IC5" s="2623"/>
      <c r="ID5" s="2623"/>
      <c r="IE5" s="2623"/>
      <c r="IF5" s="2623"/>
      <c r="IG5" s="2623"/>
      <c r="IH5" s="2623"/>
      <c r="II5" s="2623"/>
      <c r="IJ5" s="2623"/>
      <c r="IK5" s="2623"/>
      <c r="IL5" s="2623"/>
      <c r="IM5" s="2623"/>
      <c r="IN5" s="2623"/>
      <c r="IO5" s="2623"/>
      <c r="IP5" s="2623"/>
      <c r="IQ5" s="2623"/>
      <c r="IR5" s="2623"/>
      <c r="IS5" s="2623"/>
      <c r="IT5" s="2623"/>
      <c r="IU5" s="2623"/>
      <c r="IV5" s="2623"/>
      <c r="IW5" s="2623"/>
      <c r="IX5" s="2623"/>
      <c r="IY5" s="2623"/>
      <c r="IZ5" s="2623"/>
      <c r="JA5" s="2623"/>
      <c r="JB5" s="2623"/>
      <c r="JC5" s="2623"/>
      <c r="JD5" s="2623"/>
      <c r="JE5" s="2623"/>
      <c r="JF5" s="2624"/>
      <c r="JG5" s="2667"/>
      <c r="JI5" s="2623" t="s">
        <v>111</v>
      </c>
      <c r="JJ5" s="2623"/>
      <c r="JK5" s="2623"/>
      <c r="JL5" s="2623"/>
      <c r="JM5" s="2624"/>
      <c r="JN5" s="2669"/>
      <c r="JO5" s="2631" t="s">
        <v>118</v>
      </c>
      <c r="JP5" s="2623"/>
      <c r="JQ5" s="2623"/>
      <c r="JR5" s="2623"/>
      <c r="JS5" s="2623"/>
      <c r="JT5" s="2623"/>
      <c r="JU5" s="2623"/>
      <c r="JV5" s="2623"/>
      <c r="JW5" s="2623"/>
      <c r="JX5" s="2623"/>
      <c r="JY5" s="2623"/>
      <c r="JZ5" s="2623"/>
      <c r="KA5" s="2623"/>
      <c r="KB5" s="2623"/>
      <c r="KC5" s="2623"/>
      <c r="KD5" s="2623"/>
      <c r="KE5" s="2623"/>
      <c r="KF5" s="2623"/>
      <c r="KG5" s="2623"/>
      <c r="KH5" s="2623"/>
      <c r="KI5" s="2623"/>
      <c r="KJ5" s="2623"/>
      <c r="KK5" s="2623"/>
      <c r="KL5" s="2623"/>
      <c r="KM5" s="2624"/>
      <c r="KN5" s="2669"/>
      <c r="KO5" s="2631" t="s">
        <v>119</v>
      </c>
      <c r="KP5" s="2623"/>
      <c r="KQ5" s="2623"/>
      <c r="KR5" s="2623"/>
      <c r="KS5" s="2623"/>
      <c r="KT5" s="2623"/>
      <c r="KU5" s="2623"/>
      <c r="KV5" s="2623"/>
      <c r="KW5" s="2623"/>
      <c r="KX5" s="2623"/>
      <c r="KY5" s="2623"/>
      <c r="KZ5" s="2623"/>
      <c r="LA5" s="2623"/>
      <c r="LB5" s="2623"/>
      <c r="LC5" s="2623"/>
      <c r="LD5" s="2624"/>
      <c r="LE5" s="2669"/>
      <c r="LG5" s="2623" t="s">
        <v>111</v>
      </c>
      <c r="LH5" s="2623"/>
      <c r="LI5" s="2623"/>
      <c r="LJ5" s="2623"/>
      <c r="LK5" s="2623"/>
      <c r="LL5" s="2623"/>
      <c r="LM5" s="2623"/>
      <c r="LN5" s="2623"/>
      <c r="LO5" s="2623"/>
      <c r="LP5" s="2624"/>
      <c r="LQ5" s="2688"/>
      <c r="LR5" s="2631" t="s">
        <v>120</v>
      </c>
      <c r="LS5" s="2631"/>
      <c r="LT5" s="2623"/>
      <c r="LU5" s="2623"/>
      <c r="LV5" s="2623"/>
      <c r="LW5" s="2623"/>
      <c r="LX5" s="2623"/>
      <c r="LY5" s="2623"/>
      <c r="LZ5" s="2623"/>
      <c r="MA5" s="2623"/>
      <c r="MB5" s="2623"/>
      <c r="MC5" s="2623"/>
      <c r="MD5" s="2623"/>
      <c r="ME5" s="2623"/>
      <c r="MF5" s="2623"/>
      <c r="MG5" s="2623"/>
      <c r="MH5" s="2623"/>
      <c r="MI5" s="2623"/>
      <c r="MJ5" s="2623"/>
      <c r="MK5" s="2623"/>
      <c r="ML5" s="2623"/>
      <c r="MM5" s="2623"/>
      <c r="MN5" s="2623"/>
      <c r="MO5" s="2623"/>
      <c r="MP5" s="2623"/>
      <c r="MQ5" s="2623"/>
      <c r="MR5" s="2623"/>
      <c r="MS5" s="2623"/>
      <c r="MT5" s="2623"/>
      <c r="MU5" s="2624"/>
      <c r="MV5" s="2688"/>
      <c r="MX5" s="2623" t="s">
        <v>111</v>
      </c>
      <c r="MY5" s="2623"/>
      <c r="MZ5" s="2623"/>
      <c r="NA5" s="2624"/>
      <c r="NB5" s="2621"/>
      <c r="NC5" s="2631" t="s">
        <v>121</v>
      </c>
      <c r="ND5" s="2631"/>
      <c r="NE5" s="2623"/>
      <c r="NF5" s="2623"/>
      <c r="NG5" s="2623"/>
      <c r="NH5" s="2623"/>
      <c r="NI5" s="2623"/>
      <c r="NJ5" s="2623"/>
      <c r="NK5" s="2623"/>
      <c r="NL5" s="2623"/>
      <c r="NM5" s="2623"/>
      <c r="NN5" s="2623"/>
      <c r="NO5" s="2623"/>
      <c r="NP5" s="2623"/>
      <c r="NQ5" s="2623"/>
      <c r="NR5" s="2623"/>
      <c r="NS5" s="2623"/>
      <c r="NT5" s="2623"/>
      <c r="NU5" s="2623"/>
      <c r="NV5" s="2623"/>
      <c r="NW5" s="2623"/>
      <c r="NX5" s="2623"/>
      <c r="NY5" s="2623"/>
      <c r="NZ5" s="2623"/>
      <c r="OA5" s="2623"/>
      <c r="OB5" s="2623"/>
      <c r="OC5" s="2623"/>
      <c r="OD5" s="2623"/>
      <c r="OE5" s="2623"/>
      <c r="OF5" s="2623"/>
      <c r="OG5" s="2623"/>
      <c r="OH5" s="2623"/>
      <c r="OI5" s="2623"/>
      <c r="OJ5" s="2623"/>
      <c r="OK5" s="2623"/>
      <c r="OL5" s="2623"/>
      <c r="OM5" s="2623"/>
      <c r="ON5" s="2623"/>
      <c r="OO5" s="2623"/>
      <c r="OP5" s="2623"/>
      <c r="OQ5" s="2623"/>
      <c r="OR5" s="2623"/>
      <c r="OS5" s="2623"/>
      <c r="OT5" s="2623"/>
      <c r="OU5" s="2623"/>
      <c r="OV5" s="2623"/>
      <c r="OW5" s="2623"/>
      <c r="OX5" s="2623"/>
      <c r="OY5" s="2623"/>
      <c r="OZ5" s="2623"/>
      <c r="PA5" s="2623"/>
      <c r="PB5" s="2623"/>
      <c r="PC5" s="2623"/>
      <c r="PD5" s="2623"/>
      <c r="PE5" s="2623"/>
      <c r="PF5" s="2623"/>
      <c r="PG5" s="2624"/>
      <c r="PH5" s="2621"/>
      <c r="PJ5" s="2623" t="s">
        <v>111</v>
      </c>
      <c r="PK5" s="2623"/>
      <c r="PL5" s="2623"/>
      <c r="PM5" s="2623"/>
      <c r="PN5" s="2623"/>
      <c r="PO5" s="2624"/>
      <c r="PP5" s="2624"/>
      <c r="PQ5" s="2615"/>
      <c r="PS5" s="2633" t="s">
        <v>211</v>
      </c>
      <c r="PT5" s="2635"/>
      <c r="PU5" s="2635"/>
      <c r="PV5" s="2635"/>
      <c r="PW5" s="2635"/>
      <c r="PX5" s="2635"/>
      <c r="PY5" s="2635"/>
      <c r="PZ5" s="2635"/>
      <c r="QA5" s="2635"/>
      <c r="QB5" s="2635"/>
      <c r="QC5" s="2635"/>
      <c r="QD5" s="2635"/>
      <c r="QE5" s="2635"/>
      <c r="QF5" s="2635"/>
      <c r="QG5" s="2635"/>
      <c r="QH5" s="2635"/>
      <c r="QI5" s="2635"/>
      <c r="QJ5" s="2635"/>
      <c r="QK5" s="2634"/>
      <c r="QL5" s="2615"/>
      <c r="QN5" s="2617" t="s">
        <v>122</v>
      </c>
      <c r="QO5" s="2617"/>
      <c r="QQ5" s="2617" t="s">
        <v>123</v>
      </c>
      <c r="QR5" s="2617"/>
      <c r="QT5" s="2618" t="s">
        <v>124</v>
      </c>
      <c r="QU5" s="2618"/>
      <c r="QV5" s="2618"/>
      <c r="QW5" s="2618"/>
      <c r="QX5" s="2618"/>
      <c r="QY5" s="2618"/>
      <c r="QZ5" s="89"/>
      <c r="RA5" s="2618" t="s">
        <v>125</v>
      </c>
      <c r="RB5" s="2618"/>
      <c r="RC5" s="2618"/>
      <c r="RD5" s="2618"/>
      <c r="RE5" s="2618"/>
      <c r="RF5" s="2618"/>
      <c r="RY5" s="1148"/>
    </row>
    <row r="6" spans="1:502" s="42" customFormat="1" ht="31.2" customHeight="1">
      <c r="B6" s="2626"/>
      <c r="C6" s="2632" t="s">
        <v>3</v>
      </c>
      <c r="D6" s="2632" t="s">
        <v>126</v>
      </c>
      <c r="E6" s="2632" t="s">
        <v>127</v>
      </c>
      <c r="F6" s="2633" t="s">
        <v>212</v>
      </c>
      <c r="G6" s="2634"/>
      <c r="H6" s="2633" t="s">
        <v>212</v>
      </c>
      <c r="I6" s="2634"/>
      <c r="J6" s="2633" t="s">
        <v>128</v>
      </c>
      <c r="K6" s="2634"/>
      <c r="L6" s="2633" t="s">
        <v>129</v>
      </c>
      <c r="M6" s="2635"/>
      <c r="N6" s="2629"/>
      <c r="O6" s="2636" t="s">
        <v>16</v>
      </c>
      <c r="P6" s="2637"/>
      <c r="Q6" s="2637"/>
      <c r="R6" s="2559"/>
      <c r="S6" s="2638" t="s">
        <v>17</v>
      </c>
      <c r="T6" s="2638"/>
      <c r="U6" s="2638"/>
      <c r="V6" s="2638"/>
      <c r="W6" s="2697" t="s">
        <v>213</v>
      </c>
      <c r="X6" s="2698"/>
      <c r="Y6" s="2698"/>
      <c r="Z6" s="2698"/>
      <c r="AA6" s="2699" t="s">
        <v>18</v>
      </c>
      <c r="AB6" s="2700"/>
      <c r="AC6" s="2700"/>
      <c r="AD6" s="2700"/>
      <c r="AE6" s="2701" t="s">
        <v>66</v>
      </c>
      <c r="AF6" s="2701"/>
      <c r="AG6" s="2701"/>
      <c r="AH6" s="2701"/>
      <c r="AI6" s="2640" t="s">
        <v>214</v>
      </c>
      <c r="AJ6" s="2640"/>
      <c r="AK6" s="2640"/>
      <c r="AL6" s="2641"/>
      <c r="AM6" s="2629"/>
      <c r="AN6" s="2636" t="s">
        <v>215</v>
      </c>
      <c r="AO6" s="2637"/>
      <c r="AP6" s="2637"/>
      <c r="AQ6" s="2637" t="s">
        <v>216</v>
      </c>
      <c r="AR6" s="2637"/>
      <c r="AS6" s="2637"/>
      <c r="AT6" s="2637" t="s">
        <v>217</v>
      </c>
      <c r="AU6" s="2637"/>
      <c r="AV6" s="2559"/>
      <c r="AW6" s="2637" t="s">
        <v>218</v>
      </c>
      <c r="AX6" s="2637"/>
      <c r="AY6" s="2637"/>
      <c r="AZ6" s="2637" t="s">
        <v>219</v>
      </c>
      <c r="BA6" s="2637"/>
      <c r="BB6" s="2637"/>
      <c r="BC6" s="2637" t="s">
        <v>220</v>
      </c>
      <c r="BD6" s="2637"/>
      <c r="BE6" s="2637"/>
      <c r="BF6" s="2638" t="s">
        <v>221</v>
      </c>
      <c r="BG6" s="2708"/>
      <c r="BH6" s="2709"/>
      <c r="BI6" s="2638" t="s">
        <v>222</v>
      </c>
      <c r="BJ6" s="2638"/>
      <c r="BK6" s="2638"/>
      <c r="BL6" s="2638" t="s">
        <v>223</v>
      </c>
      <c r="BM6" s="2638"/>
      <c r="BN6" s="2638"/>
      <c r="BO6" s="2638"/>
      <c r="BP6" s="2706" t="s">
        <v>224</v>
      </c>
      <c r="BQ6" s="2706"/>
      <c r="BR6" s="2706"/>
      <c r="BS6" s="2698" t="s">
        <v>225</v>
      </c>
      <c r="BT6" s="2698"/>
      <c r="BU6" s="2698"/>
      <c r="BV6" s="2698" t="s">
        <v>226</v>
      </c>
      <c r="BW6" s="2707"/>
      <c r="BX6" s="2697"/>
      <c r="BY6" s="2638" t="s">
        <v>227</v>
      </c>
      <c r="BZ6" s="2638"/>
      <c r="CA6" s="2645"/>
      <c r="CB6" s="2698" t="s">
        <v>228</v>
      </c>
      <c r="CC6" s="2698"/>
      <c r="CD6" s="2710"/>
      <c r="CE6" s="2698" t="s">
        <v>229</v>
      </c>
      <c r="CF6" s="2698"/>
      <c r="CG6" s="2710"/>
      <c r="CH6" s="147"/>
      <c r="CI6" s="2634" t="s">
        <v>16</v>
      </c>
      <c r="CJ6" s="2632" t="s">
        <v>17</v>
      </c>
      <c r="CK6" s="2632" t="s">
        <v>18</v>
      </c>
      <c r="CL6" s="2632" t="s">
        <v>83</v>
      </c>
      <c r="CM6" s="2632" t="s">
        <v>130</v>
      </c>
      <c r="CN6" s="2671" t="s">
        <v>7</v>
      </c>
      <c r="CO6" s="2633" t="s">
        <v>145</v>
      </c>
      <c r="CP6" s="2632" t="s">
        <v>18</v>
      </c>
      <c r="CR6" s="2632" t="s">
        <v>146</v>
      </c>
      <c r="CS6" s="2632" t="s">
        <v>230</v>
      </c>
      <c r="CT6" s="2632" t="s">
        <v>147</v>
      </c>
      <c r="CU6" s="2632" t="s">
        <v>231</v>
      </c>
      <c r="CV6" s="2632" t="s">
        <v>148</v>
      </c>
      <c r="CW6" s="2632" t="s">
        <v>232</v>
      </c>
      <c r="CX6" s="2632" t="s">
        <v>149</v>
      </c>
      <c r="CY6" s="2632" t="s">
        <v>233</v>
      </c>
      <c r="CZ6" s="2632" t="s">
        <v>69</v>
      </c>
      <c r="DA6" s="2632" t="s">
        <v>234</v>
      </c>
      <c r="DB6" s="2632" t="s">
        <v>71</v>
      </c>
      <c r="DC6" s="2632" t="s">
        <v>235</v>
      </c>
      <c r="DD6" s="2633" t="s">
        <v>7</v>
      </c>
      <c r="DE6" s="2685"/>
      <c r="DF6" s="2633" t="s">
        <v>236</v>
      </c>
      <c r="DG6" s="2635"/>
      <c r="DH6" s="2635"/>
      <c r="DI6" s="2635"/>
      <c r="DJ6" s="2635"/>
      <c r="DK6" s="2635"/>
      <c r="DL6" s="2635"/>
      <c r="DM6" s="2635"/>
      <c r="DN6" s="2635"/>
      <c r="DO6" s="2635"/>
      <c r="DP6" s="2635"/>
      <c r="DQ6" s="1394"/>
      <c r="DR6" s="2711" t="s">
        <v>151</v>
      </c>
      <c r="DS6" s="2633" t="s">
        <v>237</v>
      </c>
      <c r="DT6" s="2635"/>
      <c r="DU6" s="2635"/>
      <c r="DV6" s="2635"/>
      <c r="DW6" s="2635"/>
      <c r="DX6" s="2635"/>
      <c r="DY6" s="2635"/>
      <c r="DZ6" s="2635"/>
      <c r="EA6" s="2635"/>
      <c r="EB6" s="2635"/>
      <c r="EC6" s="2635"/>
      <c r="ED6" s="1394"/>
      <c r="EE6" s="2711" t="s">
        <v>151</v>
      </c>
      <c r="EF6" s="2633" t="s">
        <v>238</v>
      </c>
      <c r="EG6" s="2635"/>
      <c r="EH6" s="2635"/>
      <c r="EI6" s="2635"/>
      <c r="EJ6" s="2635"/>
      <c r="EK6" s="2635"/>
      <c r="EL6" s="2635"/>
      <c r="EM6" s="2635"/>
      <c r="EN6" s="2635"/>
      <c r="EO6" s="2635"/>
      <c r="EP6" s="2635"/>
      <c r="EQ6" s="1394"/>
      <c r="ER6" s="2711" t="s">
        <v>151</v>
      </c>
      <c r="ES6" s="2633" t="s">
        <v>154</v>
      </c>
      <c r="ET6" s="2635"/>
      <c r="EU6" s="2635"/>
      <c r="EV6" s="2635"/>
      <c r="EW6" s="2635"/>
      <c r="EX6" s="2635"/>
      <c r="EY6" s="2711" t="s">
        <v>151</v>
      </c>
      <c r="EZ6" s="2685"/>
      <c r="FB6" s="2690" t="s">
        <v>239</v>
      </c>
      <c r="FC6" s="2690" t="s">
        <v>240</v>
      </c>
      <c r="FD6" s="2690" t="s">
        <v>241</v>
      </c>
      <c r="FE6" s="2671" t="s">
        <v>7</v>
      </c>
      <c r="FF6" s="2671" t="s">
        <v>145</v>
      </c>
      <c r="FG6" s="2674"/>
      <c r="FH6" s="2634" t="s">
        <v>158</v>
      </c>
      <c r="FI6" s="2632"/>
      <c r="FJ6" s="2632"/>
      <c r="FK6" s="2632"/>
      <c r="FL6" s="2632"/>
      <c r="FM6" s="2633"/>
      <c r="FN6" s="2676" t="s">
        <v>151</v>
      </c>
      <c r="FO6" s="2632" t="s">
        <v>159</v>
      </c>
      <c r="FP6" s="2632"/>
      <c r="FQ6" s="2632"/>
      <c r="FR6" s="2632"/>
      <c r="FS6" s="2632"/>
      <c r="FT6" s="2633"/>
      <c r="FU6" s="2676" t="s">
        <v>151</v>
      </c>
      <c r="FV6" s="2632" t="s">
        <v>242</v>
      </c>
      <c r="FW6" s="2632"/>
      <c r="FX6" s="2632"/>
      <c r="FY6" s="2632"/>
      <c r="FZ6" s="2632"/>
      <c r="GA6" s="2632"/>
      <c r="GB6" s="2632"/>
      <c r="GC6" s="2632"/>
      <c r="GD6" s="2632"/>
      <c r="GE6" s="2633"/>
      <c r="GF6" s="2633"/>
      <c r="GG6" s="1394"/>
      <c r="GH6" s="2673" t="s">
        <v>151</v>
      </c>
      <c r="GI6" s="2674"/>
      <c r="GK6" s="2632" t="s">
        <v>161</v>
      </c>
      <c r="GL6" s="2632"/>
      <c r="GM6" s="2633"/>
      <c r="GN6" s="2634" t="s">
        <v>7</v>
      </c>
      <c r="GO6" s="181" t="s">
        <v>162</v>
      </c>
      <c r="GP6" s="181" t="s">
        <v>163</v>
      </c>
      <c r="GQ6" s="2633" t="s">
        <v>145</v>
      </c>
      <c r="GR6" s="2667"/>
      <c r="GS6" s="2634" t="s">
        <v>130</v>
      </c>
      <c r="GT6" s="2632" t="s">
        <v>243</v>
      </c>
      <c r="GU6" s="2632" t="s">
        <v>244</v>
      </c>
      <c r="GV6" s="2632" t="s">
        <v>165</v>
      </c>
      <c r="GW6" s="2619" t="s">
        <v>7</v>
      </c>
      <c r="GX6" s="2667"/>
      <c r="GY6" s="2634" t="s">
        <v>35</v>
      </c>
      <c r="GZ6" s="2634"/>
      <c r="HA6" s="2632"/>
      <c r="HB6" s="2632"/>
      <c r="HC6" s="2632"/>
      <c r="HD6" s="2632"/>
      <c r="HE6" s="2632"/>
      <c r="HF6" s="2632"/>
      <c r="HG6" s="2632"/>
      <c r="HH6" s="2632"/>
      <c r="HI6" s="2632"/>
      <c r="HJ6" s="2632"/>
      <c r="HK6" s="2632"/>
      <c r="HL6" s="2633"/>
      <c r="HM6" s="2676" t="s">
        <v>151</v>
      </c>
      <c r="HN6" s="2619" t="s">
        <v>110</v>
      </c>
      <c r="HO6" s="2673"/>
      <c r="HP6" s="2673"/>
      <c r="HQ6" s="2673"/>
      <c r="HR6" s="2673"/>
      <c r="HS6" s="2673"/>
      <c r="HT6" s="2673"/>
      <c r="HU6" s="2673"/>
      <c r="HV6" s="2673"/>
      <c r="HW6" s="2673"/>
      <c r="HX6" s="2673"/>
      <c r="HY6" s="2673"/>
      <c r="HZ6" s="2673"/>
      <c r="IA6" s="2673"/>
      <c r="IB6" s="2711" t="s">
        <v>151</v>
      </c>
      <c r="IC6" s="2632" t="s">
        <v>245</v>
      </c>
      <c r="ID6" s="2632"/>
      <c r="IE6" s="2632"/>
      <c r="IF6" s="2632"/>
      <c r="IG6" s="2632"/>
      <c r="IH6" s="2632"/>
      <c r="II6" s="2632"/>
      <c r="IJ6" s="2632"/>
      <c r="IK6" s="2632"/>
      <c r="IL6" s="2632"/>
      <c r="IM6" s="2632"/>
      <c r="IN6" s="2632"/>
      <c r="IO6" s="2632"/>
      <c r="IP6" s="2633"/>
      <c r="IQ6" s="2676" t="s">
        <v>151</v>
      </c>
      <c r="IR6" s="2632" t="s">
        <v>246</v>
      </c>
      <c r="IS6" s="2632"/>
      <c r="IT6" s="2632"/>
      <c r="IU6" s="2632"/>
      <c r="IV6" s="2632"/>
      <c r="IW6" s="2632"/>
      <c r="IX6" s="2632"/>
      <c r="IY6" s="2632"/>
      <c r="IZ6" s="2632"/>
      <c r="JA6" s="2632"/>
      <c r="JB6" s="2632"/>
      <c r="JC6" s="2632"/>
      <c r="JD6" s="2632"/>
      <c r="JE6" s="2633"/>
      <c r="JF6" s="2673" t="s">
        <v>151</v>
      </c>
      <c r="JG6" s="2667"/>
      <c r="JI6" s="2632" t="s">
        <v>76</v>
      </c>
      <c r="JJ6" s="2671" t="s">
        <v>77</v>
      </c>
      <c r="JK6" s="2632" t="s">
        <v>247</v>
      </c>
      <c r="JL6" s="2632" t="s">
        <v>7</v>
      </c>
      <c r="JM6" s="2633" t="s">
        <v>145</v>
      </c>
      <c r="JN6" s="2669"/>
      <c r="JO6" s="2634" t="str">
        <f>JI6</f>
        <v>TCM.HCV.LS</v>
      </c>
      <c r="JP6" s="2632"/>
      <c r="JQ6" s="2632"/>
      <c r="JR6" s="2632"/>
      <c r="JS6" s="2632"/>
      <c r="JT6" s="2632"/>
      <c r="JU6" s="2632"/>
      <c r="JV6" s="2632"/>
      <c r="JW6" s="2634" t="str">
        <f>JJ6</f>
        <v>TCM.HCV.HS</v>
      </c>
      <c r="JX6" s="2632"/>
      <c r="JY6" s="2632"/>
      <c r="JZ6" s="2632"/>
      <c r="KA6" s="2632"/>
      <c r="KB6" s="2632"/>
      <c r="KC6" s="2632"/>
      <c r="KD6" s="2632"/>
      <c r="KE6" s="2632" t="str">
        <f>JK6</f>
        <v>LCV.MS.HA</v>
      </c>
      <c r="KF6" s="2632"/>
      <c r="KG6" s="2632"/>
      <c r="KH6" s="2632"/>
      <c r="KI6" s="2632"/>
      <c r="KJ6" s="2632"/>
      <c r="KK6" s="2632"/>
      <c r="KL6" s="2632"/>
      <c r="KM6" s="2633" t="s">
        <v>145</v>
      </c>
      <c r="KN6" s="2669"/>
      <c r="KO6" s="2634" t="s">
        <v>167</v>
      </c>
      <c r="KP6" s="2632"/>
      <c r="KQ6" s="2632"/>
      <c r="KR6" s="2632"/>
      <c r="KS6" s="2632"/>
      <c r="KT6" s="2634" t="s">
        <v>168</v>
      </c>
      <c r="KU6" s="2632"/>
      <c r="KV6" s="2632"/>
      <c r="KW6" s="2632"/>
      <c r="KX6" s="2632"/>
      <c r="KY6" s="2632" t="s">
        <v>247</v>
      </c>
      <c r="KZ6" s="2632"/>
      <c r="LA6" s="2632"/>
      <c r="LB6" s="2632"/>
      <c r="LC6" s="2632"/>
      <c r="LD6" s="2633" t="s">
        <v>145</v>
      </c>
      <c r="LE6" s="2669"/>
      <c r="LG6" s="2633" t="s">
        <v>170</v>
      </c>
      <c r="LH6" s="2635"/>
      <c r="LI6" s="2635"/>
      <c r="LJ6" s="2634"/>
      <c r="LK6" s="2619" t="s">
        <v>171</v>
      </c>
      <c r="LL6" s="2673"/>
      <c r="LM6" s="2673"/>
      <c r="LN6" s="2673"/>
      <c r="LO6" s="2690" t="s">
        <v>172</v>
      </c>
      <c r="LP6" s="2633" t="s">
        <v>145</v>
      </c>
      <c r="LQ6" s="2688"/>
      <c r="LR6" s="2634" t="s">
        <v>173</v>
      </c>
      <c r="LS6" s="2634"/>
      <c r="LT6" s="2632"/>
      <c r="LU6" s="2632"/>
      <c r="LV6" s="2632"/>
      <c r="LW6" s="2620" t="s">
        <v>151</v>
      </c>
      <c r="LX6" s="2632" t="s">
        <v>174</v>
      </c>
      <c r="LY6" s="2632"/>
      <c r="LZ6" s="2632"/>
      <c r="MA6" s="2632"/>
      <c r="MB6" s="2632"/>
      <c r="MC6" s="2632"/>
      <c r="MD6" s="2632" t="s">
        <v>175</v>
      </c>
      <c r="ME6" s="2632"/>
      <c r="MF6" s="2632"/>
      <c r="MG6" s="2632"/>
      <c r="MH6" s="2632"/>
      <c r="MI6" s="2620" t="s">
        <v>151</v>
      </c>
      <c r="MJ6" s="2632" t="s">
        <v>176</v>
      </c>
      <c r="MK6" s="2632"/>
      <c r="ML6" s="2632"/>
      <c r="MM6" s="2632"/>
      <c r="MN6" s="2632"/>
      <c r="MO6" s="2620" t="s">
        <v>151</v>
      </c>
      <c r="MP6" s="2632" t="s">
        <v>248</v>
      </c>
      <c r="MQ6" s="2632"/>
      <c r="MR6" s="2632"/>
      <c r="MS6" s="2632"/>
      <c r="MT6" s="2632"/>
      <c r="MU6" s="2619" t="s">
        <v>151</v>
      </c>
      <c r="MV6" s="2688"/>
      <c r="MX6" s="2632" t="s">
        <v>178</v>
      </c>
      <c r="MY6" s="2632" t="s">
        <v>126</v>
      </c>
      <c r="MZ6" s="2632" t="s">
        <v>179</v>
      </c>
      <c r="NA6" s="2633" t="s">
        <v>249</v>
      </c>
      <c r="NB6" s="2621"/>
      <c r="NC6" s="2634" t="s">
        <v>181</v>
      </c>
      <c r="ND6" s="2634"/>
      <c r="NE6" s="2632"/>
      <c r="NF6" s="2632" t="s">
        <v>7</v>
      </c>
      <c r="NG6" s="2633" t="s">
        <v>35</v>
      </c>
      <c r="NH6" s="2635"/>
      <c r="NI6" s="2635"/>
      <c r="NJ6" s="2635"/>
      <c r="NK6" s="2635"/>
      <c r="NL6" s="2635"/>
      <c r="NM6" s="2635"/>
      <c r="NN6" s="2635"/>
      <c r="NO6" s="2635"/>
      <c r="NP6" s="2635"/>
      <c r="NQ6" s="2635"/>
      <c r="NR6" s="2634"/>
      <c r="NS6" s="2620" t="s">
        <v>151</v>
      </c>
      <c r="NT6" s="2632" t="s">
        <v>245</v>
      </c>
      <c r="NU6" s="2632"/>
      <c r="NV6" s="2632"/>
      <c r="NW6" s="2632"/>
      <c r="NX6" s="2632"/>
      <c r="NY6" s="2632"/>
      <c r="NZ6" s="2632"/>
      <c r="OA6" s="2632"/>
      <c r="OB6" s="2632"/>
      <c r="OC6" s="2632"/>
      <c r="OD6" s="2632"/>
      <c r="OE6" s="181"/>
      <c r="OF6" s="2620" t="s">
        <v>151</v>
      </c>
      <c r="OG6" s="2632" t="s">
        <v>246</v>
      </c>
      <c r="OH6" s="2632"/>
      <c r="OI6" s="2632"/>
      <c r="OJ6" s="2632"/>
      <c r="OK6" s="2632"/>
      <c r="OL6" s="2632"/>
      <c r="OM6" s="2632"/>
      <c r="ON6" s="2632"/>
      <c r="OO6" s="2632"/>
      <c r="OP6" s="2632"/>
      <c r="OQ6" s="2632"/>
      <c r="OR6" s="181"/>
      <c r="OS6" s="2620" t="s">
        <v>151</v>
      </c>
      <c r="OT6" s="2632" t="s">
        <v>250</v>
      </c>
      <c r="OU6" s="2632"/>
      <c r="OV6" s="2632"/>
      <c r="OW6" s="2632"/>
      <c r="OX6" s="2632"/>
      <c r="OY6" s="2632"/>
      <c r="OZ6" s="2620" t="s">
        <v>151</v>
      </c>
      <c r="PA6" s="2632" t="s">
        <v>251</v>
      </c>
      <c r="PB6" s="2632"/>
      <c r="PC6" s="2632"/>
      <c r="PD6" s="2632"/>
      <c r="PE6" s="2632"/>
      <c r="PF6" s="2632"/>
      <c r="PG6" s="2619" t="s">
        <v>151</v>
      </c>
      <c r="PH6" s="2621"/>
      <c r="PJ6" s="2620" t="s">
        <v>184</v>
      </c>
      <c r="PK6" s="2620" t="s">
        <v>252</v>
      </c>
      <c r="PL6" s="2703" t="s">
        <v>253</v>
      </c>
      <c r="PM6" s="2705" t="s">
        <v>186</v>
      </c>
      <c r="PN6" s="2619" t="s">
        <v>91</v>
      </c>
      <c r="PO6" s="2619" t="s">
        <v>254</v>
      </c>
      <c r="PP6" s="2619" t="s">
        <v>145</v>
      </c>
      <c r="PQ6" s="2615"/>
      <c r="PS6" s="2619" t="s">
        <v>255</v>
      </c>
      <c r="PT6" s="2676"/>
      <c r="PU6" s="2619" t="s">
        <v>256</v>
      </c>
      <c r="PV6" s="2673"/>
      <c r="PW6" s="2673"/>
      <c r="PX6" s="2673"/>
      <c r="PY6" s="2676"/>
      <c r="PZ6" s="2620" t="s">
        <v>184</v>
      </c>
      <c r="QA6" s="2620" t="s">
        <v>189</v>
      </c>
      <c r="QB6" s="2620" t="s">
        <v>189</v>
      </c>
      <c r="QC6" s="2690" t="s">
        <v>257</v>
      </c>
      <c r="QD6" s="2690" t="s">
        <v>258</v>
      </c>
      <c r="QE6" s="2620" t="s">
        <v>259</v>
      </c>
      <c r="QF6" s="2620" t="s">
        <v>260</v>
      </c>
      <c r="QG6" s="2716" t="s">
        <v>191</v>
      </c>
      <c r="QH6" s="2717"/>
      <c r="QI6" s="2711"/>
      <c r="QJ6" s="1405"/>
      <c r="QK6" s="2619" t="s">
        <v>145</v>
      </c>
      <c r="QL6" s="2615"/>
      <c r="QQ6" s="105" t="s">
        <v>192</v>
      </c>
      <c r="QR6" s="105">
        <v>13000</v>
      </c>
      <c r="RJ6" s="2718" t="s">
        <v>261</v>
      </c>
      <c r="RK6" s="2718"/>
      <c r="RL6" s="2719"/>
      <c r="RM6" s="2719" t="s">
        <v>7</v>
      </c>
      <c r="RY6" s="1134"/>
    </row>
    <row r="7" spans="1:502" s="42" customFormat="1" ht="46.2" customHeight="1">
      <c r="B7" s="2627"/>
      <c r="C7" s="2632"/>
      <c r="D7" s="2632"/>
      <c r="E7" s="2632"/>
      <c r="F7" s="181"/>
      <c r="G7" s="181"/>
      <c r="H7" s="181" t="s">
        <v>193</v>
      </c>
      <c r="I7" s="181" t="s">
        <v>194</v>
      </c>
      <c r="J7" s="181" t="s">
        <v>193</v>
      </c>
      <c r="K7" s="181" t="s">
        <v>194</v>
      </c>
      <c r="L7" s="181" t="s">
        <v>193</v>
      </c>
      <c r="M7" s="182" t="s">
        <v>194</v>
      </c>
      <c r="N7" s="2629"/>
      <c r="O7" s="183" t="s">
        <v>3</v>
      </c>
      <c r="P7" s="181" t="s">
        <v>126</v>
      </c>
      <c r="Q7" s="181" t="s">
        <v>127</v>
      </c>
      <c r="R7" s="182" t="s">
        <v>145</v>
      </c>
      <c r="S7" s="181" t="s">
        <v>3</v>
      </c>
      <c r="T7" s="181" t="s">
        <v>126</v>
      </c>
      <c r="U7" s="181" t="s">
        <v>127</v>
      </c>
      <c r="V7" s="181" t="s">
        <v>145</v>
      </c>
      <c r="W7" s="183" t="s">
        <v>3</v>
      </c>
      <c r="X7" s="181" t="s">
        <v>126</v>
      </c>
      <c r="Y7" s="181" t="s">
        <v>127</v>
      </c>
      <c r="Z7" s="181" t="s">
        <v>145</v>
      </c>
      <c r="AA7" s="183" t="s">
        <v>3</v>
      </c>
      <c r="AB7" s="181" t="s">
        <v>126</v>
      </c>
      <c r="AC7" s="181" t="s">
        <v>127</v>
      </c>
      <c r="AD7" s="181" t="s">
        <v>145</v>
      </c>
      <c r="AE7" s="181" t="s">
        <v>3</v>
      </c>
      <c r="AF7" s="181" t="s">
        <v>126</v>
      </c>
      <c r="AG7" s="181" t="s">
        <v>127</v>
      </c>
      <c r="AH7" s="181" t="s">
        <v>145</v>
      </c>
      <c r="AI7" s="181" t="s">
        <v>3</v>
      </c>
      <c r="AJ7" s="181" t="s">
        <v>126</v>
      </c>
      <c r="AK7" s="181" t="s">
        <v>127</v>
      </c>
      <c r="AL7" s="182" t="s">
        <v>145</v>
      </c>
      <c r="AM7" s="2629"/>
      <c r="AN7" s="183" t="s">
        <v>3</v>
      </c>
      <c r="AO7" s="181" t="s">
        <v>126</v>
      </c>
      <c r="AP7" s="181" t="s">
        <v>127</v>
      </c>
      <c r="AQ7" s="181" t="s">
        <v>3</v>
      </c>
      <c r="AR7" s="181" t="s">
        <v>126</v>
      </c>
      <c r="AS7" s="181" t="s">
        <v>127</v>
      </c>
      <c r="AT7" s="181" t="s">
        <v>3</v>
      </c>
      <c r="AU7" s="181" t="s">
        <v>126</v>
      </c>
      <c r="AV7" s="182" t="s">
        <v>127</v>
      </c>
      <c r="AW7" s="181" t="s">
        <v>3</v>
      </c>
      <c r="AX7" s="181" t="s">
        <v>126</v>
      </c>
      <c r="AY7" s="181" t="s">
        <v>127</v>
      </c>
      <c r="AZ7" s="181" t="s">
        <v>3</v>
      </c>
      <c r="BA7" s="181" t="s">
        <v>126</v>
      </c>
      <c r="BB7" s="181" t="s">
        <v>127</v>
      </c>
      <c r="BC7" s="181" t="s">
        <v>3</v>
      </c>
      <c r="BD7" s="181" t="s">
        <v>126</v>
      </c>
      <c r="BE7" s="181" t="s">
        <v>127</v>
      </c>
      <c r="BF7" s="181" t="s">
        <v>3</v>
      </c>
      <c r="BG7" s="181" t="s">
        <v>126</v>
      </c>
      <c r="BH7" s="181" t="s">
        <v>127</v>
      </c>
      <c r="BI7" s="181" t="s">
        <v>3</v>
      </c>
      <c r="BJ7" s="181" t="s">
        <v>126</v>
      </c>
      <c r="BK7" s="181" t="s">
        <v>127</v>
      </c>
      <c r="BL7" s="181" t="s">
        <v>3</v>
      </c>
      <c r="BM7" s="181" t="s">
        <v>126</v>
      </c>
      <c r="BN7" s="181" t="s">
        <v>262</v>
      </c>
      <c r="BO7" s="181" t="s">
        <v>127</v>
      </c>
      <c r="BP7" s="181" t="s">
        <v>3</v>
      </c>
      <c r="BQ7" s="181" t="s">
        <v>126</v>
      </c>
      <c r="BR7" s="181" t="s">
        <v>127</v>
      </c>
      <c r="BS7" s="181" t="s">
        <v>3</v>
      </c>
      <c r="BT7" s="181" t="s">
        <v>126</v>
      </c>
      <c r="BU7" s="181" t="s">
        <v>127</v>
      </c>
      <c r="BV7" s="181" t="s">
        <v>3</v>
      </c>
      <c r="BW7" s="181" t="s">
        <v>126</v>
      </c>
      <c r="BX7" s="182" t="s">
        <v>127</v>
      </c>
      <c r="BY7" s="182" t="s">
        <v>3</v>
      </c>
      <c r="BZ7" s="182" t="s">
        <v>126</v>
      </c>
      <c r="CA7" s="182" t="s">
        <v>127</v>
      </c>
      <c r="CB7" s="181" t="s">
        <v>3</v>
      </c>
      <c r="CC7" s="181" t="s">
        <v>126</v>
      </c>
      <c r="CD7" s="182" t="s">
        <v>127</v>
      </c>
      <c r="CE7" s="181" t="s">
        <v>3</v>
      </c>
      <c r="CF7" s="181" t="s">
        <v>126</v>
      </c>
      <c r="CG7" s="182" t="s">
        <v>127</v>
      </c>
      <c r="CH7" s="148"/>
      <c r="CI7" s="2634"/>
      <c r="CJ7" s="2632"/>
      <c r="CK7" s="2632"/>
      <c r="CL7" s="2632"/>
      <c r="CM7" s="2632"/>
      <c r="CN7" s="2672"/>
      <c r="CO7" s="2633"/>
      <c r="CP7" s="2632"/>
      <c r="CR7" s="2632"/>
      <c r="CS7" s="2632"/>
      <c r="CT7" s="2632"/>
      <c r="CU7" s="2632"/>
      <c r="CV7" s="2632"/>
      <c r="CW7" s="2632"/>
      <c r="CX7" s="2632"/>
      <c r="CY7" s="2632"/>
      <c r="CZ7" s="2632"/>
      <c r="DA7" s="2632"/>
      <c r="DB7" s="2632"/>
      <c r="DC7" s="2632"/>
      <c r="DD7" s="2633"/>
      <c r="DE7" s="2685"/>
      <c r="DF7" s="183" t="s">
        <v>146</v>
      </c>
      <c r="DG7" s="183" t="s">
        <v>230</v>
      </c>
      <c r="DH7" s="181" t="s">
        <v>147</v>
      </c>
      <c r="DI7" s="181" t="s">
        <v>231</v>
      </c>
      <c r="DJ7" s="181" t="s">
        <v>148</v>
      </c>
      <c r="DK7" s="181" t="s">
        <v>232</v>
      </c>
      <c r="DL7" s="181" t="s">
        <v>149</v>
      </c>
      <c r="DM7" s="181" t="s">
        <v>233</v>
      </c>
      <c r="DN7" s="181" t="s">
        <v>69</v>
      </c>
      <c r="DO7" s="181" t="s">
        <v>234</v>
      </c>
      <c r="DP7" s="181" t="s">
        <v>71</v>
      </c>
      <c r="DQ7" s="181" t="s">
        <v>235</v>
      </c>
      <c r="DR7" s="2712"/>
      <c r="DS7" s="183" t="s">
        <v>146</v>
      </c>
      <c r="DT7" s="183" t="s">
        <v>230</v>
      </c>
      <c r="DU7" s="181" t="s">
        <v>147</v>
      </c>
      <c r="DV7" s="181" t="s">
        <v>231</v>
      </c>
      <c r="DW7" s="181" t="s">
        <v>148</v>
      </c>
      <c r="DX7" s="181" t="s">
        <v>232</v>
      </c>
      <c r="DY7" s="181" t="s">
        <v>149</v>
      </c>
      <c r="DZ7" s="181" t="s">
        <v>233</v>
      </c>
      <c r="EA7" s="181" t="s">
        <v>69</v>
      </c>
      <c r="EB7" s="181" t="s">
        <v>234</v>
      </c>
      <c r="EC7" s="181" t="s">
        <v>71</v>
      </c>
      <c r="ED7" s="181" t="s">
        <v>235</v>
      </c>
      <c r="EE7" s="2712"/>
      <c r="EF7" s="183" t="s">
        <v>263</v>
      </c>
      <c r="EG7" s="181" t="s">
        <v>264</v>
      </c>
      <c r="EH7" s="181" t="s">
        <v>265</v>
      </c>
      <c r="EI7" s="181" t="s">
        <v>266</v>
      </c>
      <c r="EJ7" s="181" t="s">
        <v>267</v>
      </c>
      <c r="EK7" s="181" t="s">
        <v>268</v>
      </c>
      <c r="EL7" s="181" t="s">
        <v>269</v>
      </c>
      <c r="EM7" s="181" t="s">
        <v>270</v>
      </c>
      <c r="EN7" s="181" t="s">
        <v>271</v>
      </c>
      <c r="EO7" s="181" t="s">
        <v>272</v>
      </c>
      <c r="EP7" s="181" t="s">
        <v>273</v>
      </c>
      <c r="EQ7" s="181" t="s">
        <v>274</v>
      </c>
      <c r="ER7" s="2712"/>
      <c r="ES7" s="181" t="s">
        <v>146</v>
      </c>
      <c r="ET7" s="181" t="s">
        <v>147</v>
      </c>
      <c r="EU7" s="181" t="s">
        <v>148</v>
      </c>
      <c r="EV7" s="181" t="s">
        <v>149</v>
      </c>
      <c r="EW7" s="181" t="s">
        <v>69</v>
      </c>
      <c r="EX7" s="181" t="s">
        <v>71</v>
      </c>
      <c r="EY7" s="2712"/>
      <c r="EZ7" s="2685"/>
      <c r="FB7" s="2691"/>
      <c r="FC7" s="2691"/>
      <c r="FD7" s="2691"/>
      <c r="FE7" s="2672"/>
      <c r="FF7" s="2672"/>
      <c r="FG7" s="2674"/>
      <c r="FH7" s="183" t="s">
        <v>146</v>
      </c>
      <c r="FI7" s="181" t="s">
        <v>147</v>
      </c>
      <c r="FJ7" s="181" t="s">
        <v>148</v>
      </c>
      <c r="FK7" s="181" t="s">
        <v>149</v>
      </c>
      <c r="FL7" s="181" t="s">
        <v>69</v>
      </c>
      <c r="FM7" s="181" t="s">
        <v>71</v>
      </c>
      <c r="FN7" s="2620"/>
      <c r="FO7" s="181" t="s">
        <v>146</v>
      </c>
      <c r="FP7" s="181" t="s">
        <v>147</v>
      </c>
      <c r="FQ7" s="181" t="s">
        <v>148</v>
      </c>
      <c r="FR7" s="181" t="s">
        <v>149</v>
      </c>
      <c r="FS7" s="181" t="s">
        <v>69</v>
      </c>
      <c r="FT7" s="181" t="s">
        <v>71</v>
      </c>
      <c r="FU7" s="2620"/>
      <c r="FV7" s="181" t="s">
        <v>275</v>
      </c>
      <c r="FW7" s="181" t="s">
        <v>230</v>
      </c>
      <c r="FX7" s="181" t="s">
        <v>147</v>
      </c>
      <c r="FY7" s="181" t="s">
        <v>231</v>
      </c>
      <c r="FZ7" s="181" t="s">
        <v>148</v>
      </c>
      <c r="GA7" s="181" t="s">
        <v>232</v>
      </c>
      <c r="GB7" s="181" t="s">
        <v>149</v>
      </c>
      <c r="GC7" s="181" t="s">
        <v>233</v>
      </c>
      <c r="GD7" s="181" t="s">
        <v>69</v>
      </c>
      <c r="GE7" s="181" t="s">
        <v>234</v>
      </c>
      <c r="GF7" s="181" t="s">
        <v>71</v>
      </c>
      <c r="GG7" s="182" t="s">
        <v>235</v>
      </c>
      <c r="GH7" s="2619"/>
      <c r="GI7" s="2674"/>
      <c r="GK7" s="181" t="s">
        <v>276</v>
      </c>
      <c r="GL7" s="181" t="s">
        <v>81</v>
      </c>
      <c r="GM7" s="181" t="s">
        <v>37</v>
      </c>
      <c r="GN7" s="2632"/>
      <c r="GO7" s="181" t="s">
        <v>277</v>
      </c>
      <c r="GP7" s="181" t="s">
        <v>277</v>
      </c>
      <c r="GQ7" s="2633"/>
      <c r="GR7" s="2667"/>
      <c r="GS7" s="2634"/>
      <c r="GT7" s="2632"/>
      <c r="GU7" s="2632"/>
      <c r="GV7" s="2632"/>
      <c r="GW7" s="2619"/>
      <c r="GX7" s="2667"/>
      <c r="GY7" s="183" t="s">
        <v>263</v>
      </c>
      <c r="GZ7" s="181" t="s">
        <v>264</v>
      </c>
      <c r="HA7" s="181" t="s">
        <v>265</v>
      </c>
      <c r="HB7" s="181" t="s">
        <v>266</v>
      </c>
      <c r="HC7" s="181" t="s">
        <v>267</v>
      </c>
      <c r="HD7" s="181" t="s">
        <v>268</v>
      </c>
      <c r="HE7" s="181" t="s">
        <v>269</v>
      </c>
      <c r="HF7" s="181" t="s">
        <v>270</v>
      </c>
      <c r="HG7" s="181" t="s">
        <v>271</v>
      </c>
      <c r="HH7" s="181" t="s">
        <v>272</v>
      </c>
      <c r="HI7" s="181" t="s">
        <v>273</v>
      </c>
      <c r="HJ7" s="181" t="s">
        <v>274</v>
      </c>
      <c r="HK7" s="181" t="s">
        <v>179</v>
      </c>
      <c r="HL7" s="181" t="s">
        <v>278</v>
      </c>
      <c r="HM7" s="2620"/>
      <c r="HN7" s="1001" t="s">
        <v>275</v>
      </c>
      <c r="HO7" s="1001" t="s">
        <v>230</v>
      </c>
      <c r="HP7" s="1001" t="s">
        <v>147</v>
      </c>
      <c r="HQ7" s="1001" t="s">
        <v>231</v>
      </c>
      <c r="HR7" s="1001" t="s">
        <v>148</v>
      </c>
      <c r="HS7" s="1001" t="s">
        <v>232</v>
      </c>
      <c r="HT7" s="1001" t="s">
        <v>149</v>
      </c>
      <c r="HU7" s="1001" t="s">
        <v>233</v>
      </c>
      <c r="HV7" s="1001" t="s">
        <v>69</v>
      </c>
      <c r="HW7" s="1001" t="s">
        <v>234</v>
      </c>
      <c r="HX7" s="1001" t="s">
        <v>71</v>
      </c>
      <c r="HY7" s="1001" t="s">
        <v>235</v>
      </c>
      <c r="HZ7" s="1001" t="s">
        <v>179</v>
      </c>
      <c r="IA7" s="1001" t="s">
        <v>30</v>
      </c>
      <c r="IB7" s="2712"/>
      <c r="IC7" s="183" t="s">
        <v>275</v>
      </c>
      <c r="ID7" s="181" t="s">
        <v>230</v>
      </c>
      <c r="IE7" s="181" t="s">
        <v>147</v>
      </c>
      <c r="IF7" s="181" t="s">
        <v>231</v>
      </c>
      <c r="IG7" s="181" t="s">
        <v>148</v>
      </c>
      <c r="IH7" s="181" t="s">
        <v>232</v>
      </c>
      <c r="II7" s="181" t="s">
        <v>149</v>
      </c>
      <c r="IJ7" s="181" t="s">
        <v>233</v>
      </c>
      <c r="IK7" s="181" t="s">
        <v>69</v>
      </c>
      <c r="IL7" s="181" t="s">
        <v>234</v>
      </c>
      <c r="IM7" s="181" t="s">
        <v>71</v>
      </c>
      <c r="IN7" s="181" t="s">
        <v>235</v>
      </c>
      <c r="IO7" s="181" t="s">
        <v>179</v>
      </c>
      <c r="IP7" s="181" t="s">
        <v>30</v>
      </c>
      <c r="IQ7" s="2620"/>
      <c r="IR7" s="183" t="s">
        <v>275</v>
      </c>
      <c r="IS7" s="181" t="s">
        <v>230</v>
      </c>
      <c r="IT7" s="181" t="s">
        <v>147</v>
      </c>
      <c r="IU7" s="181" t="s">
        <v>231</v>
      </c>
      <c r="IV7" s="181" t="s">
        <v>148</v>
      </c>
      <c r="IW7" s="181" t="s">
        <v>232</v>
      </c>
      <c r="IX7" s="181" t="s">
        <v>149</v>
      </c>
      <c r="IY7" s="181" t="s">
        <v>233</v>
      </c>
      <c r="IZ7" s="181" t="s">
        <v>69</v>
      </c>
      <c r="JA7" s="181" t="s">
        <v>234</v>
      </c>
      <c r="JB7" s="181" t="s">
        <v>71</v>
      </c>
      <c r="JC7" s="181" t="s">
        <v>235</v>
      </c>
      <c r="JD7" s="181" t="s">
        <v>179</v>
      </c>
      <c r="JE7" s="181" t="s">
        <v>30</v>
      </c>
      <c r="JF7" s="2619"/>
      <c r="JG7" s="2667"/>
      <c r="JI7" s="2632"/>
      <c r="JJ7" s="2672"/>
      <c r="JK7" s="2632"/>
      <c r="JL7" s="2632"/>
      <c r="JM7" s="2633"/>
      <c r="JN7" s="2669"/>
      <c r="JO7" s="183" t="s">
        <v>146</v>
      </c>
      <c r="JP7" s="181" t="s">
        <v>147</v>
      </c>
      <c r="JQ7" s="181" t="s">
        <v>148</v>
      </c>
      <c r="JR7" s="181" t="s">
        <v>149</v>
      </c>
      <c r="JS7" s="181" t="s">
        <v>69</v>
      </c>
      <c r="JT7" s="181" t="s">
        <v>71</v>
      </c>
      <c r="JU7" s="181" t="s">
        <v>179</v>
      </c>
      <c r="JV7" s="181" t="s">
        <v>30</v>
      </c>
      <c r="JW7" s="183" t="s">
        <v>146</v>
      </c>
      <c r="JX7" s="181" t="s">
        <v>147</v>
      </c>
      <c r="JY7" s="181" t="s">
        <v>148</v>
      </c>
      <c r="JZ7" s="181" t="s">
        <v>149</v>
      </c>
      <c r="KA7" s="181" t="s">
        <v>69</v>
      </c>
      <c r="KB7" s="181" t="s">
        <v>71</v>
      </c>
      <c r="KC7" s="181" t="s">
        <v>179</v>
      </c>
      <c r="KD7" s="181" t="s">
        <v>30</v>
      </c>
      <c r="KE7" s="181" t="s">
        <v>146</v>
      </c>
      <c r="KF7" s="181" t="s">
        <v>147</v>
      </c>
      <c r="KG7" s="181" t="s">
        <v>148</v>
      </c>
      <c r="KH7" s="181" t="s">
        <v>149</v>
      </c>
      <c r="KI7" s="181" t="s">
        <v>69</v>
      </c>
      <c r="KJ7" s="181" t="s">
        <v>71</v>
      </c>
      <c r="KK7" s="181" t="s">
        <v>179</v>
      </c>
      <c r="KL7" s="181" t="s">
        <v>30</v>
      </c>
      <c r="KM7" s="2633"/>
      <c r="KN7" s="2669"/>
      <c r="KO7" s="183" t="s">
        <v>61</v>
      </c>
      <c r="KP7" s="181" t="s">
        <v>62</v>
      </c>
      <c r="KQ7" s="181" t="s">
        <v>63</v>
      </c>
      <c r="KR7" s="181" t="s">
        <v>196</v>
      </c>
      <c r="KS7" s="181" t="s">
        <v>197</v>
      </c>
      <c r="KT7" s="183" t="s">
        <v>61</v>
      </c>
      <c r="KU7" s="181" t="s">
        <v>62</v>
      </c>
      <c r="KV7" s="181" t="s">
        <v>63</v>
      </c>
      <c r="KW7" s="181" t="s">
        <v>196</v>
      </c>
      <c r="KX7" s="181" t="s">
        <v>197</v>
      </c>
      <c r="KY7" s="181" t="s">
        <v>61</v>
      </c>
      <c r="KZ7" s="181" t="s">
        <v>62</v>
      </c>
      <c r="LA7" s="181" t="s">
        <v>63</v>
      </c>
      <c r="LB7" s="181" t="s">
        <v>196</v>
      </c>
      <c r="LC7" s="181" t="s">
        <v>197</v>
      </c>
      <c r="LD7" s="2633"/>
      <c r="LE7" s="2669"/>
      <c r="LG7" s="184" t="s">
        <v>167</v>
      </c>
      <c r="LH7" s="184" t="s">
        <v>168</v>
      </c>
      <c r="LI7" s="184" t="s">
        <v>279</v>
      </c>
      <c r="LJ7" s="184" t="s">
        <v>7</v>
      </c>
      <c r="LK7" s="43" t="s">
        <v>198</v>
      </c>
      <c r="LL7" s="43" t="s">
        <v>199</v>
      </c>
      <c r="LM7" s="44" t="s">
        <v>200</v>
      </c>
      <c r="LN7" s="45" t="s">
        <v>201</v>
      </c>
      <c r="LO7" s="2691"/>
      <c r="LP7" s="2633"/>
      <c r="LQ7" s="2688"/>
      <c r="LR7" s="183" t="s">
        <v>167</v>
      </c>
      <c r="LS7" s="184" t="s">
        <v>168</v>
      </c>
      <c r="LT7" s="181" t="s">
        <v>169</v>
      </c>
      <c r="LU7" s="181" t="s">
        <v>202</v>
      </c>
      <c r="LV7" s="181" t="s">
        <v>280</v>
      </c>
      <c r="LW7" s="2620"/>
      <c r="LX7" s="181" t="s">
        <v>167</v>
      </c>
      <c r="LY7" s="184" t="s">
        <v>168</v>
      </c>
      <c r="LZ7" s="181" t="s">
        <v>169</v>
      </c>
      <c r="MA7" s="181" t="s">
        <v>202</v>
      </c>
      <c r="MB7" s="181" t="s">
        <v>280</v>
      </c>
      <c r="MC7" s="181" t="s">
        <v>151</v>
      </c>
      <c r="MD7" s="181" t="s">
        <v>167</v>
      </c>
      <c r="ME7" s="184" t="s">
        <v>168</v>
      </c>
      <c r="MF7" s="181" t="s">
        <v>169</v>
      </c>
      <c r="MG7" s="181" t="s">
        <v>202</v>
      </c>
      <c r="MH7" s="181" t="s">
        <v>203</v>
      </c>
      <c r="MI7" s="2620"/>
      <c r="MJ7" s="181" t="s">
        <v>167</v>
      </c>
      <c r="MK7" s="181" t="s">
        <v>168</v>
      </c>
      <c r="ML7" s="181" t="s">
        <v>169</v>
      </c>
      <c r="MM7" s="181" t="s">
        <v>202</v>
      </c>
      <c r="MN7" s="181" t="s">
        <v>203</v>
      </c>
      <c r="MO7" s="2620"/>
      <c r="MP7" s="181" t="s">
        <v>167</v>
      </c>
      <c r="MQ7" s="184" t="s">
        <v>168</v>
      </c>
      <c r="MR7" s="181" t="s">
        <v>169</v>
      </c>
      <c r="MS7" s="181" t="s">
        <v>202</v>
      </c>
      <c r="MT7" s="181" t="s">
        <v>280</v>
      </c>
      <c r="MU7" s="2619"/>
      <c r="MV7" s="2688"/>
      <c r="MX7" s="2632"/>
      <c r="MY7" s="2632"/>
      <c r="MZ7" s="2632"/>
      <c r="NA7" s="2633"/>
      <c r="NB7" s="2621"/>
      <c r="NC7" s="183" t="s">
        <v>167</v>
      </c>
      <c r="ND7" s="183" t="s">
        <v>168</v>
      </c>
      <c r="NE7" s="181" t="s">
        <v>169</v>
      </c>
      <c r="NF7" s="2632"/>
      <c r="NG7" s="183" t="s">
        <v>263</v>
      </c>
      <c r="NH7" s="181" t="s">
        <v>230</v>
      </c>
      <c r="NI7" s="181" t="s">
        <v>265</v>
      </c>
      <c r="NJ7" s="181" t="s">
        <v>231</v>
      </c>
      <c r="NK7" s="181" t="s">
        <v>267</v>
      </c>
      <c r="NL7" s="181" t="s">
        <v>232</v>
      </c>
      <c r="NM7" s="181" t="s">
        <v>269</v>
      </c>
      <c r="NN7" s="181" t="s">
        <v>233</v>
      </c>
      <c r="NO7" s="181" t="s">
        <v>69</v>
      </c>
      <c r="NP7" s="999" t="s">
        <v>281</v>
      </c>
      <c r="NQ7" s="181" t="s">
        <v>146</v>
      </c>
      <c r="NR7" s="181" t="s">
        <v>71</v>
      </c>
      <c r="NS7" s="2620"/>
      <c r="NT7" s="183" t="s">
        <v>275</v>
      </c>
      <c r="NU7" s="181" t="s">
        <v>230</v>
      </c>
      <c r="NV7" s="181" t="s">
        <v>147</v>
      </c>
      <c r="NW7" s="181" t="s">
        <v>231</v>
      </c>
      <c r="NX7" s="181" t="s">
        <v>148</v>
      </c>
      <c r="NY7" s="181" t="s">
        <v>232</v>
      </c>
      <c r="NZ7" s="181" t="s">
        <v>149</v>
      </c>
      <c r="OA7" s="181" t="s">
        <v>233</v>
      </c>
      <c r="OB7" s="181" t="s">
        <v>69</v>
      </c>
      <c r="OC7" s="181" t="s">
        <v>234</v>
      </c>
      <c r="OD7" s="181" t="s">
        <v>71</v>
      </c>
      <c r="OE7" s="181" t="s">
        <v>235</v>
      </c>
      <c r="OF7" s="2620"/>
      <c r="OG7" s="183" t="s">
        <v>275</v>
      </c>
      <c r="OH7" s="181" t="s">
        <v>230</v>
      </c>
      <c r="OI7" s="181" t="s">
        <v>147</v>
      </c>
      <c r="OJ7" s="181" t="s">
        <v>231</v>
      </c>
      <c r="OK7" s="181" t="s">
        <v>148</v>
      </c>
      <c r="OL7" s="181" t="s">
        <v>232</v>
      </c>
      <c r="OM7" s="181" t="s">
        <v>149</v>
      </c>
      <c r="ON7" s="181" t="s">
        <v>233</v>
      </c>
      <c r="OO7" s="181" t="s">
        <v>69</v>
      </c>
      <c r="OP7" s="181" t="s">
        <v>234</v>
      </c>
      <c r="OQ7" s="181" t="s">
        <v>71</v>
      </c>
      <c r="OR7" s="181" t="s">
        <v>235</v>
      </c>
      <c r="OS7" s="2620"/>
      <c r="OT7" s="181" t="s">
        <v>146</v>
      </c>
      <c r="OU7" s="181" t="s">
        <v>147</v>
      </c>
      <c r="OV7" s="181" t="s">
        <v>148</v>
      </c>
      <c r="OW7" s="181" t="s">
        <v>149</v>
      </c>
      <c r="OX7" s="181" t="s">
        <v>69</v>
      </c>
      <c r="OY7" s="181" t="s">
        <v>71</v>
      </c>
      <c r="OZ7" s="2620"/>
      <c r="PA7" s="181" t="s">
        <v>146</v>
      </c>
      <c r="PB7" s="181" t="s">
        <v>147</v>
      </c>
      <c r="PC7" s="181" t="s">
        <v>148</v>
      </c>
      <c r="PD7" s="181" t="s">
        <v>149</v>
      </c>
      <c r="PE7" s="181" t="s">
        <v>69</v>
      </c>
      <c r="PF7" s="181" t="s">
        <v>71</v>
      </c>
      <c r="PG7" s="2619"/>
      <c r="PH7" s="2621"/>
      <c r="PJ7" s="2620"/>
      <c r="PK7" s="2620"/>
      <c r="PL7" s="2704"/>
      <c r="PM7" s="2705"/>
      <c r="PN7" s="2619"/>
      <c r="PO7" s="2619"/>
      <c r="PP7" s="2619"/>
      <c r="PQ7" s="2615"/>
      <c r="PS7" s="999" t="s">
        <v>243</v>
      </c>
      <c r="PT7" s="999" t="s">
        <v>72</v>
      </c>
      <c r="PU7" s="999" t="s">
        <v>35</v>
      </c>
      <c r="PV7" s="999" t="s">
        <v>81</v>
      </c>
      <c r="PW7" s="999" t="s">
        <v>282</v>
      </c>
      <c r="PX7" s="999" t="s">
        <v>283</v>
      </c>
      <c r="PY7" s="999" t="s">
        <v>284</v>
      </c>
      <c r="PZ7" s="2620"/>
      <c r="QA7" s="2620"/>
      <c r="QB7" s="2620"/>
      <c r="QC7" s="2691"/>
      <c r="QD7" s="2691"/>
      <c r="QE7" s="2620"/>
      <c r="QF7" s="2620"/>
      <c r="QG7" s="999" t="s">
        <v>35</v>
      </c>
      <c r="QH7" s="999" t="s">
        <v>81</v>
      </c>
      <c r="QI7" s="999" t="s">
        <v>37</v>
      </c>
      <c r="QJ7" s="1000"/>
      <c r="QK7" s="2619"/>
      <c r="QL7" s="2615"/>
      <c r="QN7" s="181" t="s">
        <v>204</v>
      </c>
      <c r="QO7" s="181" t="s">
        <v>205</v>
      </c>
      <c r="QQ7" s="181" t="s">
        <v>204</v>
      </c>
      <c r="QR7" s="181" t="s">
        <v>205</v>
      </c>
      <c r="QT7" s="89" t="s">
        <v>146</v>
      </c>
      <c r="QU7" s="89" t="s">
        <v>147</v>
      </c>
      <c r="QV7" s="89" t="s">
        <v>148</v>
      </c>
      <c r="QW7" s="89" t="s">
        <v>149</v>
      </c>
      <c r="QX7" s="89" t="s">
        <v>69</v>
      </c>
      <c r="QY7" s="89" t="s">
        <v>71</v>
      </c>
      <c r="QZ7" s="89"/>
      <c r="RA7" s="89" t="s">
        <v>146</v>
      </c>
      <c r="RB7" s="89" t="s">
        <v>147</v>
      </c>
      <c r="RC7" s="89" t="s">
        <v>148</v>
      </c>
      <c r="RD7" s="89" t="s">
        <v>149</v>
      </c>
      <c r="RE7" s="89" t="s">
        <v>69</v>
      </c>
      <c r="RF7" s="89" t="s">
        <v>71</v>
      </c>
      <c r="RJ7" s="1004" t="s">
        <v>167</v>
      </c>
      <c r="RK7" s="1004" t="s">
        <v>168</v>
      </c>
      <c r="RL7" s="1003" t="s">
        <v>169</v>
      </c>
      <c r="RM7" s="2719"/>
      <c r="RY7" s="1134"/>
    </row>
    <row r="8" spans="1:502" s="89" customFormat="1" ht="15" customHeight="1">
      <c r="C8" s="1395"/>
      <c r="D8" s="1395"/>
      <c r="E8" s="1395"/>
      <c r="F8" s="1395"/>
      <c r="G8" s="1395"/>
      <c r="H8" s="1395"/>
      <c r="I8" s="1395"/>
      <c r="J8" s="1395"/>
      <c r="K8" s="1395"/>
      <c r="L8" s="1395"/>
      <c r="M8" s="1395"/>
      <c r="N8" s="2629"/>
      <c r="O8" s="1395"/>
      <c r="P8" s="1395"/>
      <c r="Q8" s="1395"/>
      <c r="R8" s="1395"/>
      <c r="S8" s="1147"/>
      <c r="T8" s="1395"/>
      <c r="U8" s="1406"/>
      <c r="V8" s="1146"/>
      <c r="W8" s="1395"/>
      <c r="X8" s="1395"/>
      <c r="Y8" s="1395"/>
      <c r="Z8" s="1395"/>
      <c r="AA8" s="2720"/>
      <c r="AB8" s="2721"/>
      <c r="AC8" s="2721"/>
      <c r="AD8" s="2722"/>
      <c r="AE8" s="1395"/>
      <c r="AF8" s="1395"/>
      <c r="AG8" s="1395"/>
      <c r="AH8" s="1395"/>
      <c r="AI8" s="1395"/>
      <c r="AJ8" s="1395"/>
      <c r="AK8" s="1395"/>
      <c r="AL8" s="1395"/>
      <c r="AM8" s="2629"/>
      <c r="AN8" s="1395"/>
      <c r="AO8" s="1395"/>
      <c r="AP8" s="1395"/>
      <c r="AQ8" s="1395"/>
      <c r="AR8" s="1395"/>
      <c r="AS8" s="1395"/>
      <c r="AT8" s="1395"/>
      <c r="AU8" s="1395"/>
      <c r="AV8" s="1395"/>
      <c r="AW8" s="1147"/>
      <c r="AX8" s="1395"/>
      <c r="AY8" s="1395"/>
      <c r="AZ8" s="1395"/>
      <c r="BA8" s="1395"/>
      <c r="BB8" s="1395"/>
      <c r="BC8" s="1395"/>
      <c r="BD8" s="1395"/>
      <c r="BE8" s="1395"/>
      <c r="BF8" s="1395"/>
      <c r="BG8" s="1395"/>
      <c r="BH8" s="1395"/>
      <c r="BI8" s="1395"/>
      <c r="BJ8" s="1395"/>
      <c r="BK8" s="1395"/>
      <c r="BL8" s="1395"/>
      <c r="BM8" s="1395"/>
      <c r="BN8" s="1395"/>
      <c r="BO8" s="1395"/>
      <c r="BP8" s="1395"/>
      <c r="BQ8" s="1395"/>
      <c r="BR8" s="1395"/>
      <c r="BS8" s="1395"/>
      <c r="BT8" s="1395"/>
      <c r="BU8" s="1395"/>
      <c r="BV8" s="1395"/>
      <c r="BW8" s="1395"/>
      <c r="BX8" s="1395"/>
      <c r="CH8" s="147"/>
      <c r="CI8" s="1395"/>
      <c r="CJ8" s="1395"/>
      <c r="CK8" s="1395"/>
      <c r="CL8" s="1395"/>
      <c r="CM8" s="1395"/>
      <c r="CO8" s="1395"/>
      <c r="CP8" s="323"/>
      <c r="CR8" s="1395"/>
      <c r="CS8" s="1395"/>
      <c r="CT8" s="1395"/>
      <c r="CU8" s="1395"/>
      <c r="CV8" s="1395"/>
      <c r="CW8" s="1395"/>
      <c r="CX8" s="1395"/>
      <c r="CY8" s="1395"/>
      <c r="CZ8" s="1395"/>
      <c r="DA8" s="1395"/>
      <c r="DB8" s="1395"/>
      <c r="DC8" s="1395"/>
      <c r="DD8" s="1395"/>
      <c r="DE8" s="2685"/>
      <c r="DF8" s="1395"/>
      <c r="DG8" s="1395"/>
      <c r="DH8" s="1395"/>
      <c r="DI8" s="1395"/>
      <c r="DJ8" s="1395"/>
      <c r="DK8" s="1395"/>
      <c r="DL8" s="1395"/>
      <c r="DM8" s="1395"/>
      <c r="DN8" s="1395"/>
      <c r="DO8" s="1395"/>
      <c r="DP8" s="1395"/>
      <c r="DQ8" s="1395"/>
      <c r="DR8" s="1396"/>
      <c r="DS8" s="1395"/>
      <c r="DT8" s="1395"/>
      <c r="DU8" s="1395"/>
      <c r="DV8" s="1395"/>
      <c r="DW8" s="1395"/>
      <c r="DX8" s="1395"/>
      <c r="DY8" s="1395"/>
      <c r="DZ8" s="1395"/>
      <c r="EA8" s="1395"/>
      <c r="EB8" s="1395"/>
      <c r="EC8" s="1395"/>
      <c r="ED8" s="1395"/>
      <c r="EE8" s="1396"/>
      <c r="EF8" s="1395"/>
      <c r="EG8" s="1395"/>
      <c r="EH8" s="1395"/>
      <c r="EI8" s="1395"/>
      <c r="EJ8" s="1395"/>
      <c r="EK8" s="1395"/>
      <c r="EL8" s="1395"/>
      <c r="EM8" s="1395"/>
      <c r="EN8" s="1395"/>
      <c r="EO8" s="1395"/>
      <c r="EP8" s="1395"/>
      <c r="EQ8" s="1395"/>
      <c r="ER8" s="1396"/>
      <c r="ES8" s="1395"/>
      <c r="ET8" s="1395"/>
      <c r="EU8" s="1395"/>
      <c r="EV8" s="1395"/>
      <c r="EW8" s="1395"/>
      <c r="EX8" s="1395"/>
      <c r="EY8" s="1396"/>
      <c r="EZ8" s="2685"/>
      <c r="FB8" s="1396"/>
      <c r="FC8" s="1396"/>
      <c r="FD8" s="1396"/>
      <c r="FE8" s="1395"/>
      <c r="FF8" s="1395"/>
      <c r="FG8" s="2674"/>
      <c r="FH8" s="1395"/>
      <c r="FI8" s="1395"/>
      <c r="FJ8" s="1395"/>
      <c r="FK8" s="1395"/>
      <c r="FL8" s="1395"/>
      <c r="FM8" s="1395"/>
      <c r="FN8" s="1396"/>
      <c r="FO8" s="1395"/>
      <c r="FP8" s="1395"/>
      <c r="FQ8" s="1395"/>
      <c r="FR8" s="1395"/>
      <c r="FS8" s="1395"/>
      <c r="FT8" s="1395"/>
      <c r="FU8" s="1396"/>
      <c r="FV8" s="1395"/>
      <c r="FW8" s="1395"/>
      <c r="FX8" s="1395"/>
      <c r="FY8" s="1395"/>
      <c r="FZ8" s="1395"/>
      <c r="GA8" s="1395"/>
      <c r="GB8" s="1395"/>
      <c r="GC8" s="1395"/>
      <c r="GD8" s="1395"/>
      <c r="GE8" s="1395"/>
      <c r="GF8" s="1395"/>
      <c r="GG8" s="1395"/>
      <c r="GH8" s="1396"/>
      <c r="GI8" s="2674"/>
      <c r="GK8" s="1395"/>
      <c r="GL8" s="1395"/>
      <c r="GM8" s="1395"/>
      <c r="GN8" s="1395"/>
      <c r="GO8" s="1395"/>
      <c r="GP8" s="1395"/>
      <c r="GQ8" s="1395"/>
      <c r="GR8" s="2667"/>
      <c r="GS8" s="1395"/>
      <c r="GT8" s="1395"/>
      <c r="GU8" s="1395"/>
      <c r="GV8" s="1395"/>
      <c r="GW8" s="1396"/>
      <c r="GX8" s="2667"/>
      <c r="GY8" s="1395"/>
      <c r="GZ8" s="1395"/>
      <c r="HA8" s="1395"/>
      <c r="HB8" s="1395"/>
      <c r="HC8" s="1395"/>
      <c r="HD8" s="1395"/>
      <c r="HE8" s="1395"/>
      <c r="HF8" s="1395"/>
      <c r="HG8" s="1395"/>
      <c r="HH8" s="1395"/>
      <c r="HI8" s="1395"/>
      <c r="HJ8" s="1395"/>
      <c r="HK8" s="1395"/>
      <c r="HL8" s="1395"/>
      <c r="HM8" s="1396"/>
      <c r="HN8" s="1145"/>
      <c r="HO8" s="1407"/>
      <c r="HP8" s="1407"/>
      <c r="HQ8" s="1407"/>
      <c r="HR8" s="1407"/>
      <c r="HS8" s="1407"/>
      <c r="HT8" s="1407"/>
      <c r="HU8" s="1407"/>
      <c r="HV8" s="1407"/>
      <c r="HW8" s="1407"/>
      <c r="HX8" s="1407"/>
      <c r="HY8" s="1407"/>
      <c r="HZ8" s="1407"/>
      <c r="IA8" s="1407"/>
      <c r="IB8" s="1144"/>
      <c r="IC8" s="1395"/>
      <c r="ID8" s="1395"/>
      <c r="IE8" s="1395"/>
      <c r="IF8" s="1395"/>
      <c r="IG8" s="1395"/>
      <c r="IH8" s="1395"/>
      <c r="II8" s="1395"/>
      <c r="IJ8" s="1395"/>
      <c r="IK8" s="1395"/>
      <c r="IL8" s="1395"/>
      <c r="IM8" s="1395"/>
      <c r="IN8" s="1395"/>
      <c r="IO8" s="1395"/>
      <c r="IP8" s="1395"/>
      <c r="IQ8" s="1396"/>
      <c r="IR8" s="1395"/>
      <c r="IS8" s="1395"/>
      <c r="IT8" s="1395"/>
      <c r="IU8" s="1395"/>
      <c r="IV8" s="1395"/>
      <c r="IW8" s="1395"/>
      <c r="IX8" s="1395"/>
      <c r="IY8" s="1395"/>
      <c r="IZ8" s="1395"/>
      <c r="JA8" s="1395"/>
      <c r="JB8" s="1395"/>
      <c r="JC8" s="1395"/>
      <c r="JD8" s="1395"/>
      <c r="JE8" s="1395"/>
      <c r="JF8" s="1396"/>
      <c r="JG8" s="2667"/>
      <c r="JI8" s="1395"/>
      <c r="JJ8" s="1395"/>
      <c r="JK8" s="1395"/>
      <c r="JL8" s="1395"/>
      <c r="JM8" s="1395"/>
      <c r="JN8" s="2669"/>
      <c r="JO8" s="1395"/>
      <c r="JP8" s="1395"/>
      <c r="JQ8" s="1395"/>
      <c r="JR8" s="1395"/>
      <c r="JS8" s="1395"/>
      <c r="JT8" s="1395"/>
      <c r="JU8" s="1395"/>
      <c r="JV8" s="1395"/>
      <c r="JW8" s="1395"/>
      <c r="JX8" s="1395"/>
      <c r="JY8" s="1395"/>
      <c r="JZ8" s="1395"/>
      <c r="KA8" s="1395"/>
      <c r="KB8" s="1395"/>
      <c r="KC8" s="1395"/>
      <c r="KD8" s="1395"/>
      <c r="KF8" s="1395"/>
      <c r="KG8" s="1395"/>
      <c r="KH8" s="1395"/>
      <c r="KI8" s="1395"/>
      <c r="KJ8" s="1395"/>
      <c r="KK8" s="1395"/>
      <c r="KL8" s="1395"/>
      <c r="KM8" s="1395"/>
      <c r="KN8" s="2669"/>
      <c r="KO8" s="1395"/>
      <c r="KP8" s="1395"/>
      <c r="KQ8" s="1395"/>
      <c r="KR8" s="1395"/>
      <c r="KS8" s="1395"/>
      <c r="KT8" s="1395"/>
      <c r="KU8" s="1395"/>
      <c r="KV8" s="1395"/>
      <c r="KW8" s="1395"/>
      <c r="KX8" s="1395"/>
      <c r="KY8" s="1395"/>
      <c r="KZ8" s="1395"/>
      <c r="LA8" s="1395"/>
      <c r="LB8" s="1395"/>
      <c r="LC8" s="1395"/>
      <c r="LD8" s="1395"/>
      <c r="LE8" s="2669"/>
      <c r="LG8" s="1395"/>
      <c r="LH8" s="1395"/>
      <c r="LI8" s="1395"/>
      <c r="LJ8" s="1395"/>
      <c r="LK8" s="17"/>
      <c r="LL8" s="18"/>
      <c r="LM8" s="1397"/>
      <c r="LN8" s="17"/>
      <c r="LO8" s="17"/>
      <c r="LP8" s="1395"/>
      <c r="LQ8" s="2688"/>
      <c r="LR8" s="1395"/>
      <c r="LS8" s="1395"/>
      <c r="LT8" s="1395"/>
      <c r="LU8" s="1395"/>
      <c r="LV8" s="1395"/>
      <c r="LW8" s="1396"/>
      <c r="LX8" s="1395"/>
      <c r="LY8" s="1395"/>
      <c r="LZ8" s="1395"/>
      <c r="MA8" s="1395"/>
      <c r="MB8" s="1395"/>
      <c r="MC8" s="1395"/>
      <c r="MD8" s="1395"/>
      <c r="ME8" s="1395"/>
      <c r="MF8" s="1395"/>
      <c r="MG8" s="1395"/>
      <c r="MH8" s="1395"/>
      <c r="MI8" s="1396"/>
      <c r="MJ8" s="1395"/>
      <c r="MK8" s="1395"/>
      <c r="ML8" s="1395"/>
      <c r="MM8" s="1395"/>
      <c r="MN8" s="1395"/>
      <c r="MO8" s="1396"/>
      <c r="MP8" s="1395"/>
      <c r="MQ8" s="1395"/>
      <c r="MR8" s="1395"/>
      <c r="MS8" s="1395"/>
      <c r="MT8" s="1395"/>
      <c r="MU8" s="1396"/>
      <c r="MV8" s="2688"/>
      <c r="NB8" s="2621"/>
      <c r="NC8" s="303"/>
      <c r="ND8" s="303"/>
      <c r="NE8" s="303"/>
      <c r="NS8" s="298">
        <f t="shared" ref="NS8:NS40" si="0">SUM(NG8:NR8)</f>
        <v>0</v>
      </c>
      <c r="NT8" s="105"/>
      <c r="NU8" s="105"/>
      <c r="NV8" s="105"/>
      <c r="NW8" s="105"/>
      <c r="NX8" s="105"/>
      <c r="NY8" s="105"/>
      <c r="NZ8" s="105"/>
      <c r="OA8" s="105"/>
      <c r="OB8" s="105"/>
      <c r="OC8" s="105"/>
      <c r="OD8" s="105"/>
      <c r="OE8" s="105"/>
      <c r="OF8" s="298">
        <f t="shared" ref="OF8:OF40" si="1">SUM(NT8:OE8)</f>
        <v>0</v>
      </c>
      <c r="OK8" s="304"/>
      <c r="OL8" s="304"/>
      <c r="OO8" s="304"/>
      <c r="OP8" s="304"/>
      <c r="OS8" s="298">
        <f t="shared" ref="OS8:OS40" si="2">SUM(OG8:OR8)</f>
        <v>0</v>
      </c>
      <c r="OZ8" s="19"/>
      <c r="PG8" s="298">
        <f t="shared" ref="PG8:PG40" si="3">SUM(PA8:PF8)</f>
        <v>0</v>
      </c>
      <c r="PH8" s="2621"/>
      <c r="PQ8" s="2615"/>
      <c r="QL8" s="2615"/>
      <c r="RO8" s="2713" t="s">
        <v>285</v>
      </c>
      <c r="RP8" s="2713"/>
      <c r="RQ8" s="2713"/>
      <c r="RR8" s="2713"/>
      <c r="RS8" s="2713"/>
      <c r="RT8" s="2713"/>
      <c r="RW8" s="2713" t="s">
        <v>286</v>
      </c>
      <c r="RX8" s="2713"/>
      <c r="RY8" s="2713"/>
      <c r="RZ8" s="2713"/>
      <c r="SA8" s="2714" t="s">
        <v>287</v>
      </c>
      <c r="SB8" s="2714"/>
      <c r="SC8" s="2714"/>
      <c r="SD8" s="2714"/>
      <c r="SF8" s="1143" t="s">
        <v>288</v>
      </c>
      <c r="SG8" s="1143"/>
      <c r="SH8" s="1143"/>
    </row>
    <row r="9" spans="1:502" s="89" customFormat="1" ht="15" customHeight="1">
      <c r="B9" s="89">
        <f>COUNTIF(MX10:QE40,"&lt;"&amp;0)</f>
        <v>3</v>
      </c>
      <c r="N9" s="2629"/>
      <c r="S9" s="300"/>
      <c r="U9" s="105"/>
      <c r="V9" s="301"/>
      <c r="AA9" s="2723"/>
      <c r="AB9" s="2724"/>
      <c r="AC9" s="2724"/>
      <c r="AD9" s="2725"/>
      <c r="AM9" s="2629"/>
      <c r="AW9" s="300"/>
      <c r="CH9" s="147"/>
      <c r="CP9" s="323"/>
      <c r="DE9" s="2685"/>
      <c r="DF9" s="105"/>
      <c r="DG9" s="105"/>
      <c r="DH9" s="105"/>
      <c r="DI9" s="105"/>
      <c r="DJ9" s="105"/>
      <c r="DK9" s="105"/>
      <c r="DL9" s="105"/>
      <c r="DM9" s="105"/>
      <c r="DN9" s="105"/>
      <c r="DO9" s="105"/>
      <c r="DP9" s="105"/>
      <c r="DQ9" s="105"/>
      <c r="DR9" s="1142"/>
      <c r="EE9" s="19"/>
      <c r="ER9" s="19"/>
      <c r="EY9" s="19"/>
      <c r="EZ9" s="2685"/>
      <c r="FB9" s="19"/>
      <c r="FC9" s="19"/>
      <c r="FD9" s="19"/>
      <c r="FG9" s="2674"/>
      <c r="FN9" s="19"/>
      <c r="FU9" s="19"/>
      <c r="GH9" s="19"/>
      <c r="GI9" s="2674"/>
      <c r="GR9" s="2667"/>
      <c r="GW9" s="19"/>
      <c r="GX9" s="2667"/>
      <c r="HM9" s="19"/>
      <c r="HN9" s="1141"/>
      <c r="HO9" s="1140"/>
      <c r="HP9" s="1140"/>
      <c r="HQ9" s="1140"/>
      <c r="HR9" s="1140"/>
      <c r="HS9" s="1140"/>
      <c r="HT9" s="1140"/>
      <c r="HU9" s="1140"/>
      <c r="HV9" s="1140"/>
      <c r="HW9" s="1140"/>
      <c r="HX9" s="1140"/>
      <c r="HY9" s="1140"/>
      <c r="HZ9" s="1140"/>
      <c r="IA9" s="1140"/>
      <c r="IB9" s="1139"/>
      <c r="IQ9" s="19"/>
      <c r="JF9" s="19"/>
      <c r="JG9" s="2667"/>
      <c r="JN9" s="2669"/>
      <c r="KN9" s="2669"/>
      <c r="LE9" s="2669"/>
      <c r="LK9" s="17"/>
      <c r="LL9" s="18"/>
      <c r="LM9" s="180"/>
      <c r="LN9" s="17"/>
      <c r="LO9" s="17"/>
      <c r="LQ9" s="2688"/>
      <c r="LW9" s="19"/>
      <c r="MI9" s="19"/>
      <c r="MO9" s="19"/>
      <c r="MU9" s="19"/>
      <c r="MV9" s="2688"/>
      <c r="NB9" s="2621"/>
      <c r="NC9" s="1138">
        <f>'April TCM'!NB42</f>
        <v>61460.905091888257</v>
      </c>
      <c r="ND9" s="1138">
        <f>'April TCM'!NC42</f>
        <v>111553.02700083517</v>
      </c>
      <c r="NE9" s="866">
        <v>0</v>
      </c>
      <c r="NF9" s="349">
        <f t="shared" ref="NF9:NF40" si="4">SUM(NC9:NE9)</f>
        <v>173013.93209272344</v>
      </c>
      <c r="NG9" s="349"/>
      <c r="NH9" s="349"/>
      <c r="NI9" s="349"/>
      <c r="NJ9" s="349"/>
      <c r="NK9" s="349">
        <v>0</v>
      </c>
      <c r="NL9" s="349"/>
      <c r="NM9" s="349">
        <v>0</v>
      </c>
      <c r="NN9" s="349"/>
      <c r="NO9" s="349">
        <f>'April TCM'!NN42</f>
        <v>2565.353144332058</v>
      </c>
      <c r="NP9" s="349">
        <f>'April TCM'!NO42</f>
        <v>26196.696072681989</v>
      </c>
      <c r="NQ9" s="349">
        <f>'April TCM'!NP42</f>
        <v>8756.5482322711578</v>
      </c>
      <c r="NR9" s="349">
        <f>'April TCM'!NQ42</f>
        <v>17889.002698058699</v>
      </c>
      <c r="NS9" s="362">
        <f t="shared" si="0"/>
        <v>55407.600147343903</v>
      </c>
      <c r="NT9" s="349"/>
      <c r="NU9" s="349"/>
      <c r="NV9" s="349"/>
      <c r="NW9" s="349"/>
      <c r="NX9" s="349"/>
      <c r="NY9" s="349"/>
      <c r="NZ9" s="349">
        <f>'April TCM'!NY42</f>
        <v>6464.3827301930733</v>
      </c>
      <c r="OA9" s="349">
        <f>'April TCM'!NZ42</f>
        <v>0</v>
      </c>
      <c r="OB9" s="349">
        <f>'April TCM'!OA42</f>
        <v>4177.0918418567599</v>
      </c>
      <c r="OC9" s="349">
        <f>'April TCM'!OB42</f>
        <v>0</v>
      </c>
      <c r="OD9" s="349">
        <f>'April TCM'!OC42</f>
        <v>454.51223506073143</v>
      </c>
      <c r="OE9" s="349"/>
      <c r="OF9" s="349">
        <f t="shared" si="1"/>
        <v>11095.986807110563</v>
      </c>
      <c r="OG9" s="349">
        <v>0</v>
      </c>
      <c r="OH9" s="349"/>
      <c r="OI9" s="349">
        <v>0</v>
      </c>
      <c r="OJ9" s="349"/>
      <c r="OK9" s="349">
        <v>0</v>
      </c>
      <c r="OL9" s="349"/>
      <c r="OM9" s="349">
        <v>0</v>
      </c>
      <c r="ON9" s="349"/>
      <c r="OO9" s="349">
        <f>'April TCM'!ON42</f>
        <v>14426.11223531207</v>
      </c>
      <c r="OP9" s="349">
        <f>'April TCM'!OO42</f>
        <v>0</v>
      </c>
      <c r="OQ9" s="349">
        <f>'April TCM'!OP42</f>
        <v>3708.4576435566851</v>
      </c>
      <c r="OR9" s="349"/>
      <c r="OS9" s="349">
        <f t="shared" si="2"/>
        <v>18134.569878868755</v>
      </c>
      <c r="PA9" s="42"/>
      <c r="PB9" s="42"/>
      <c r="PC9" s="42"/>
      <c r="PD9" s="42"/>
      <c r="PE9" s="42"/>
      <c r="PF9" s="42"/>
      <c r="PG9" s="298">
        <f t="shared" si="3"/>
        <v>0</v>
      </c>
      <c r="PH9" s="2621"/>
      <c r="PN9" s="2028">
        <f>'April TCM'!PM42</f>
        <v>27076.289776580688</v>
      </c>
      <c r="PO9" s="2028">
        <f>'April TCM'!PN42</f>
        <v>21573.87525319455</v>
      </c>
      <c r="PQ9" s="2615"/>
      <c r="QG9" s="1137">
        <f>'February TCM'!QE42</f>
        <v>29562.488999999998</v>
      </c>
      <c r="QH9" s="1925">
        <f>'February TCM'!QF42</f>
        <v>406502.85955851001</v>
      </c>
      <c r="QI9" s="1137">
        <f>'February TCM'!QG42</f>
        <v>0</v>
      </c>
      <c r="QJ9" s="1136">
        <v>5505.3678056099998</v>
      </c>
      <c r="QL9" s="2615"/>
      <c r="QN9" s="105"/>
      <c r="QO9" s="105"/>
      <c r="RJ9" s="42">
        <v>45424.161751083164</v>
      </c>
      <c r="RK9" s="42">
        <v>3925.5835498622801</v>
      </c>
      <c r="RL9" s="42">
        <v>9178.5689913333827</v>
      </c>
      <c r="RM9" s="42">
        <f t="shared" ref="RM9:RM40" si="5">SUM(RJ9:RL9)</f>
        <v>58528.314292278832</v>
      </c>
      <c r="RO9" s="866" t="s">
        <v>81</v>
      </c>
      <c r="RP9" s="866" t="s">
        <v>289</v>
      </c>
      <c r="RQ9" s="1135" t="s">
        <v>290</v>
      </c>
      <c r="RR9" s="1135" t="s">
        <v>37</v>
      </c>
      <c r="RS9" s="42" t="s">
        <v>291</v>
      </c>
      <c r="RT9" s="42" t="s">
        <v>292</v>
      </c>
      <c r="RY9" s="1134" t="s">
        <v>293</v>
      </c>
      <c r="SA9" s="1133"/>
      <c r="SB9" s="1133" t="s">
        <v>294</v>
      </c>
      <c r="SC9" s="1133"/>
      <c r="SD9" s="1133" t="s">
        <v>178</v>
      </c>
      <c r="SH9" s="89" t="s">
        <v>293</v>
      </c>
    </row>
    <row r="10" spans="1:502" s="1" customFormat="1" ht="15" customHeight="1">
      <c r="B10" s="471">
        <v>1</v>
      </c>
      <c r="C10" s="4">
        <f t="shared" ref="C10:C40" si="6">+O10+S10+W10+AE10+AI10+AA10</f>
        <v>172191</v>
      </c>
      <c r="D10" s="1726">
        <f>P10+T10+X10+AB10</f>
        <v>8763.64</v>
      </c>
      <c r="E10" s="1895">
        <f t="shared" ref="E10:E42" si="7">IFERROR(C10/D10,0)</f>
        <v>19.648342469567442</v>
      </c>
      <c r="F10" s="870"/>
      <c r="G10" s="870"/>
      <c r="H10" s="295"/>
      <c r="I10" s="299"/>
      <c r="J10" s="48"/>
      <c r="K10" s="50"/>
      <c r="L10" s="48"/>
      <c r="M10" s="60"/>
      <c r="N10" s="2629"/>
      <c r="O10" s="4">
        <f>+SUM(AQ10,BC10,AW10)</f>
        <v>103762</v>
      </c>
      <c r="P10" s="1225">
        <f t="shared" ref="P10:P40" si="8">+SUM(AR10,AU10,AX10,BD10)</f>
        <v>4911.74</v>
      </c>
      <c r="Q10" s="1950">
        <f t="shared" ref="Q10:Q43" si="9">IFERROR(O10/P10,0)</f>
        <v>21.125303863803868</v>
      </c>
      <c r="R10" s="32"/>
      <c r="S10" s="26">
        <f t="shared" ref="S10:S43" si="10">SUM(BF10,BI10,BL10,BY10)</f>
        <v>40624</v>
      </c>
      <c r="T10" s="27">
        <f>+SUM(BZ10,BJ10,BM10,BG10,BN10)</f>
        <v>1331.9000000000003</v>
      </c>
      <c r="U10" s="1919">
        <f t="shared" ref="U10:U44" si="11">IFERROR(S10/T10,0)</f>
        <v>30.500788347473527</v>
      </c>
      <c r="V10" s="25"/>
      <c r="W10" s="1742">
        <f t="shared" ref="W10:X40" si="12">BV10+CE10+BS10</f>
        <v>27805</v>
      </c>
      <c r="X10" s="5">
        <f t="shared" si="12"/>
        <v>2520</v>
      </c>
      <c r="Y10" s="1737">
        <f t="shared" ref="Y10:Y43" si="13">IFERROR(W10/X10,0)</f>
        <v>11.033730158730158</v>
      </c>
      <c r="Z10" s="32"/>
      <c r="AA10" s="26">
        <f t="shared" ref="AA10:AA39" si="14">SUM(BP10)</f>
        <v>0</v>
      </c>
      <c r="AB10" s="27">
        <f t="shared" ref="AB10:AB41" si="15">BQ10+CC10</f>
        <v>0</v>
      </c>
      <c r="AC10" s="53">
        <f t="shared" ref="AC10:AC41" si="16">IFERROR(AA10/AB10,0)</f>
        <v>0</v>
      </c>
      <c r="AD10" s="28"/>
      <c r="AE10" s="36"/>
      <c r="AF10" s="36"/>
      <c r="AG10" s="49">
        <f t="shared" ref="AG10:AG42" si="17">IFERROR(AE10/AF10,0)</f>
        <v>0</v>
      </c>
      <c r="AH10" s="25"/>
      <c r="AI10" s="23"/>
      <c r="AJ10" s="24"/>
      <c r="AK10" s="49">
        <f t="shared" ref="AK10:AK43" si="18">IFERROR(AI10/AJ10,0)</f>
        <v>0</v>
      </c>
      <c r="AL10" s="25"/>
      <c r="AM10" s="2629"/>
      <c r="AN10" s="8"/>
      <c r="AO10" s="3"/>
      <c r="AP10" s="60">
        <f t="shared" ref="AP10:AP41" si="19">IFERROR(AN10/AO10,0)</f>
        <v>0</v>
      </c>
      <c r="AQ10" s="35"/>
      <c r="AR10" s="49"/>
      <c r="AS10" s="60">
        <f t="shared" ref="AS10:AS42" si="20">IFERROR(AQ10/AR10,0)</f>
        <v>0</v>
      </c>
      <c r="AT10" s="35"/>
      <c r="AU10" s="24"/>
      <c r="AV10" s="50">
        <f t="shared" ref="AV10:AV41" si="21">IFERROR(AT10/AU10,0)</f>
        <v>0</v>
      </c>
      <c r="AW10" s="1121">
        <v>60418</v>
      </c>
      <c r="AX10" s="24">
        <v>3513.2</v>
      </c>
      <c r="AY10" s="1734">
        <f>IFERROR(AW9/AX10,0)</f>
        <v>0</v>
      </c>
      <c r="AZ10" s="35"/>
      <c r="BA10" s="24"/>
      <c r="BB10" s="60">
        <f t="shared" ref="BB10:BB40" si="22">IFERROR(AZ10/BA10,0)</f>
        <v>0</v>
      </c>
      <c r="BC10" s="1739">
        <v>43344</v>
      </c>
      <c r="BD10" s="1926">
        <v>1398.54</v>
      </c>
      <c r="BE10" s="1734">
        <f t="shared" ref="BE10:BE40" si="23">IFERROR(BC10/BD10,0)</f>
        <v>30.99232056287271</v>
      </c>
      <c r="BF10" s="35"/>
      <c r="BG10" s="49"/>
      <c r="BH10" s="60">
        <f t="shared" ref="BH10:BH40" si="24">IFERROR(BF10/BG10,0)</f>
        <v>0</v>
      </c>
      <c r="BI10" s="35">
        <v>0</v>
      </c>
      <c r="BJ10" s="49">
        <v>0</v>
      </c>
      <c r="BK10" s="60">
        <f t="shared" ref="BK10:BK40" si="25">IFERROR(BI10/BJ10,0)</f>
        <v>0</v>
      </c>
      <c r="BL10" s="1742">
        <v>40624</v>
      </c>
      <c r="BM10" s="1909">
        <v>1331.9000000000003</v>
      </c>
      <c r="BN10" s="2169"/>
      <c r="BO10" s="1734">
        <f t="shared" ref="BO10:BO40" si="26">IFERROR(BL10/BM10,0)</f>
        <v>30.500788347473527</v>
      </c>
      <c r="BP10" s="1132"/>
      <c r="BQ10" s="49"/>
      <c r="BR10" s="60">
        <f t="shared" ref="BR10:BR40" si="27">IFERROR(BP10/BQ10,0)</f>
        <v>0</v>
      </c>
      <c r="BS10" s="35"/>
      <c r="BT10" s="49"/>
      <c r="BU10" s="60">
        <f t="shared" ref="BU10:BU40" si="28">IFERROR(BS10/BT10,0)</f>
        <v>0</v>
      </c>
      <c r="BV10" s="35">
        <v>27805</v>
      </c>
      <c r="BW10" s="24">
        <v>2520</v>
      </c>
      <c r="BX10" s="1905">
        <f t="shared" ref="BX10:BX40" si="29">IFERROR(BV10/BW10,0)</f>
        <v>11.033730158730158</v>
      </c>
      <c r="BY10" s="26"/>
      <c r="BZ10" s="24"/>
      <c r="CA10" s="61">
        <f t="shared" ref="CA10:CA43" si="30">IFERROR(BY10/BZ10,0)</f>
        <v>0</v>
      </c>
      <c r="CB10" s="35"/>
      <c r="CC10" s="24"/>
      <c r="CD10" s="60">
        <f t="shared" ref="CD10:CD43" si="31">IFERROR(CB10/CC10,0)</f>
        <v>0</v>
      </c>
      <c r="CE10" s="23"/>
      <c r="CF10" s="1345"/>
      <c r="CG10" s="25">
        <f t="shared" ref="CG10:CG41" si="32">IFERROR(CE10/CF10,0)</f>
        <v>0</v>
      </c>
      <c r="CH10" s="149"/>
      <c r="CI10" s="1131"/>
      <c r="CJ10" s="3"/>
      <c r="CK10" s="3">
        <v>8834</v>
      </c>
      <c r="CL10" s="3"/>
      <c r="CM10" s="3"/>
      <c r="CN10" s="3"/>
      <c r="CO10" s="32"/>
      <c r="CP10" s="366"/>
      <c r="CR10" s="2">
        <f t="shared" ref="CR10:DC31" si="33">SUM(DF10,DS10,EF10)</f>
        <v>0</v>
      </c>
      <c r="CS10" s="8">
        <f t="shared" si="33"/>
        <v>0</v>
      </c>
      <c r="CT10" s="3">
        <f t="shared" si="33"/>
        <v>0</v>
      </c>
      <c r="CU10" s="3">
        <f t="shared" si="33"/>
        <v>0</v>
      </c>
      <c r="CV10" s="3">
        <f t="shared" si="33"/>
        <v>0</v>
      </c>
      <c r="CW10" s="3">
        <f t="shared" si="33"/>
        <v>0</v>
      </c>
      <c r="CX10" s="1408">
        <f t="shared" si="33"/>
        <v>2197.1999999999998</v>
      </c>
      <c r="CY10" s="3">
        <f t="shared" si="33"/>
        <v>0</v>
      </c>
      <c r="CZ10" s="3">
        <f t="shared" si="33"/>
        <v>4046.4400000000005</v>
      </c>
      <c r="DA10" s="3">
        <f t="shared" si="33"/>
        <v>0</v>
      </c>
      <c r="DB10" s="1408">
        <f t="shared" si="33"/>
        <v>2520</v>
      </c>
      <c r="DC10" s="11">
        <f t="shared" si="33"/>
        <v>0</v>
      </c>
      <c r="DD10" s="310">
        <f t="shared" ref="DD10:DD31" si="34">SUM(CR10:DC10,PW10,PX10)</f>
        <v>8763.64</v>
      </c>
      <c r="DE10" s="2695"/>
      <c r="DF10" s="8"/>
      <c r="DG10" s="8"/>
      <c r="DH10" s="3"/>
      <c r="DI10" s="3"/>
      <c r="DJ10" s="3"/>
      <c r="DK10" s="3"/>
      <c r="DL10" s="3">
        <v>2197.1999999999998</v>
      </c>
      <c r="DM10" s="3"/>
      <c r="DN10" s="3">
        <v>1316</v>
      </c>
      <c r="DO10" s="3"/>
      <c r="DP10" s="3"/>
      <c r="DQ10" s="11"/>
      <c r="DR10" s="1905">
        <f t="shared" ref="DR10:DR40" si="35">SUM(DF10:DQ10)</f>
        <v>3513.2</v>
      </c>
      <c r="DS10" s="35"/>
      <c r="DT10" s="35"/>
      <c r="DU10" s="24"/>
      <c r="DV10" s="24"/>
      <c r="DW10" s="3"/>
      <c r="DX10" s="3"/>
      <c r="DY10" s="3"/>
      <c r="DZ10" s="3"/>
      <c r="EA10" s="3">
        <v>2730.4400000000005</v>
      </c>
      <c r="EB10" s="49"/>
      <c r="EC10" s="24">
        <v>0</v>
      </c>
      <c r="ED10" s="32"/>
      <c r="EE10" s="28">
        <f t="shared" ref="EE10:EE40" si="36">SUM(DS10:ED10)</f>
        <v>2730.4400000000005</v>
      </c>
      <c r="EF10" s="24"/>
      <c r="EG10" s="35"/>
      <c r="EH10" s="3"/>
      <c r="EI10" s="24"/>
      <c r="EJ10" s="24"/>
      <c r="EK10" s="24"/>
      <c r="EL10" s="24"/>
      <c r="EM10" s="24"/>
      <c r="EN10" s="3"/>
      <c r="EO10" s="3"/>
      <c r="EP10" s="2106">
        <v>2520</v>
      </c>
      <c r="EQ10" s="32"/>
      <c r="ER10" s="25">
        <f t="shared" ref="ER10:ER16" si="37">SUM(EF10:EP10)</f>
        <v>2520</v>
      </c>
      <c r="ES10" s="35"/>
      <c r="ET10" s="24"/>
      <c r="EU10" s="24"/>
      <c r="EV10" s="24"/>
      <c r="EW10" s="24"/>
      <c r="EX10" s="24"/>
      <c r="EY10" s="32">
        <f t="shared" ref="EY10:EY40" si="38">SUM(ES10:EX10)</f>
        <v>0</v>
      </c>
      <c r="EZ10" s="2685"/>
      <c r="FB10" s="2">
        <f t="shared" ref="FB10:FB40" si="39">+FN10</f>
        <v>0</v>
      </c>
      <c r="FC10" s="3">
        <f t="shared" ref="FC10:FC40" si="40">+FU10</f>
        <v>0</v>
      </c>
      <c r="FD10" s="3">
        <f t="shared" ref="FD10:FD40" si="41">+GH10</f>
        <v>0</v>
      </c>
      <c r="FE10" s="11">
        <f t="shared" ref="FE10:FE40" si="42">SUM(FB10:FD10)</f>
        <v>0</v>
      </c>
      <c r="FF10" s="32"/>
      <c r="FG10" s="2674"/>
      <c r="FH10" s="8"/>
      <c r="FI10" s="3"/>
      <c r="FJ10" s="3"/>
      <c r="FK10" s="3"/>
      <c r="FL10" s="3"/>
      <c r="FM10" s="24"/>
      <c r="FN10" s="25">
        <f t="shared" ref="FN10:FN40" si="43">SUM(FH10:FM10)</f>
        <v>0</v>
      </c>
      <c r="FO10" s="35"/>
      <c r="FP10" s="24"/>
      <c r="FQ10" s="24"/>
      <c r="FR10" s="24"/>
      <c r="FS10" s="24"/>
      <c r="FT10" s="24"/>
      <c r="FU10" s="25">
        <f t="shared" ref="FU10:FU40" si="44">SUM(FO10:FT10)</f>
        <v>0</v>
      </c>
      <c r="FV10" s="35"/>
      <c r="FW10" s="35"/>
      <c r="FX10" s="24"/>
      <c r="FY10" s="24"/>
      <c r="FZ10" s="24"/>
      <c r="GA10" s="24"/>
      <c r="GB10" s="24"/>
      <c r="GC10" s="24"/>
      <c r="GD10" s="24"/>
      <c r="GE10" s="24"/>
      <c r="GF10" s="24"/>
      <c r="GG10" s="32"/>
      <c r="GH10" s="32">
        <f t="shared" ref="GH10:GH40" si="45">SUM(FV10:GF10)</f>
        <v>0</v>
      </c>
      <c r="GI10" s="2674"/>
      <c r="GK10" s="2">
        <f>+HM10</f>
        <v>0</v>
      </c>
      <c r="GL10" s="63">
        <f>+IQ10</f>
        <v>1330.75</v>
      </c>
      <c r="GM10" s="24">
        <f>+JF10</f>
        <v>2618.1799999999998</v>
      </c>
      <c r="GN10" s="1926">
        <f t="shared" ref="GN10:GN40" si="46">SUM(GK10:GM10)</f>
        <v>3948.93</v>
      </c>
      <c r="GO10" s="140"/>
      <c r="GP10" s="140"/>
      <c r="GQ10" s="1130" t="s">
        <v>295</v>
      </c>
      <c r="GR10" s="2667"/>
      <c r="GS10" s="1739">
        <v>1709.7</v>
      </c>
      <c r="GT10" s="1721">
        <v>0</v>
      </c>
      <c r="GU10" s="1721">
        <v>954.93</v>
      </c>
      <c r="GV10" s="1721">
        <v>1284.3000000000002</v>
      </c>
      <c r="GW10" s="1722">
        <f t="shared" ref="GW10:GW40" si="47">SUM(GS10:GV10)</f>
        <v>3948.9300000000003</v>
      </c>
      <c r="GX10" s="2667"/>
      <c r="GY10" s="35"/>
      <c r="GZ10" s="35"/>
      <c r="HA10" s="24"/>
      <c r="HB10" s="24"/>
      <c r="HC10" s="24"/>
      <c r="HD10" s="24"/>
      <c r="HE10" s="24"/>
      <c r="HF10" s="24"/>
      <c r="HG10" s="24">
        <v>0</v>
      </c>
      <c r="HH10" s="24"/>
      <c r="HI10" s="24">
        <v>0</v>
      </c>
      <c r="HJ10" s="24"/>
      <c r="HK10" s="24">
        <v>0</v>
      </c>
      <c r="HL10" s="24"/>
      <c r="HM10" s="25">
        <f t="shared" ref="HM10:HM16" si="48">SUM(GY10:HL10)</f>
        <v>0</v>
      </c>
      <c r="HN10" s="35"/>
      <c r="HO10" s="24"/>
      <c r="HP10" s="24"/>
      <c r="HQ10" s="24"/>
      <c r="HR10" s="24"/>
      <c r="HS10" s="24"/>
      <c r="HT10" s="24" cm="1">
        <f t="array" ref="HT10">SUMPRODUCT(('Data Base hauling'!$C$2:$C$216="TCM-ROM SB1 BK05-ROM 4")*(ISNUMBER(SEARCH(TEXT('May TCM'!$B10,"00")&amp;"/03/2026",'Data Base hauling'!$E$2:$E$216)))*'Data Base hauling'!$N$2:$N$216)</f>
        <v>0</v>
      </c>
      <c r="HU10" s="24"/>
      <c r="HV10" s="24" cm="1">
        <f t="array" ref="HV10">SUMPRODUCT(('Data Base hauling'!$C$2:$C$216="TCM-ROM SB1 BK05-ROM 5")*(ISNUMBER(SEARCH(TEXT('May TCM'!$B10,"00")&amp;"/03/2026",'Data Base hauling'!$E$2:$E$216)))*'Data Base hauling'!$N$2:$N$216)</f>
        <v>0</v>
      </c>
      <c r="HW10" s="24"/>
      <c r="HX10" s="24"/>
      <c r="HY10" s="24"/>
      <c r="HZ10" s="24"/>
      <c r="IA10" s="24"/>
      <c r="IB10" s="32">
        <f t="shared" ref="IB10:IB42" si="49">SUM(HN10:IA10)</f>
        <v>0</v>
      </c>
      <c r="IC10" s="48"/>
      <c r="ID10" s="1129"/>
      <c r="IE10" s="49"/>
      <c r="IF10" s="49"/>
      <c r="IG10" s="49"/>
      <c r="IH10" s="49"/>
      <c r="II10" s="1926">
        <v>0</v>
      </c>
      <c r="IJ10" s="1926"/>
      <c r="IK10" s="1926">
        <v>1330.75</v>
      </c>
      <c r="IL10" s="49"/>
      <c r="IM10" s="49">
        <v>0</v>
      </c>
      <c r="IN10" s="49"/>
      <c r="IO10" s="49"/>
      <c r="IP10" s="49">
        <v>0</v>
      </c>
      <c r="IQ10" s="2195">
        <f t="shared" ref="IQ10:IQ16" si="50">SUM(IC10:IP10)</f>
        <v>1330.75</v>
      </c>
      <c r="IR10" s="35"/>
      <c r="IS10" s="35"/>
      <c r="IT10" s="24"/>
      <c r="IU10" s="24"/>
      <c r="IV10" s="49"/>
      <c r="IW10" s="24"/>
      <c r="IX10" s="24">
        <v>0</v>
      </c>
      <c r="IY10" s="24"/>
      <c r="IZ10" s="24">
        <v>2618.1799999999998</v>
      </c>
      <c r="JA10" s="24"/>
      <c r="JB10" s="24">
        <v>0</v>
      </c>
      <c r="JC10" s="24"/>
      <c r="JD10" s="24"/>
      <c r="JE10" s="24"/>
      <c r="JF10" s="32">
        <f t="shared" ref="JF10" si="51">SUM(IR10:JE10)</f>
        <v>2618.1799999999998</v>
      </c>
      <c r="JG10" s="2667"/>
      <c r="JI10" s="2014">
        <v>3948.9299999999994</v>
      </c>
      <c r="JJ10" s="2015">
        <v>0</v>
      </c>
      <c r="JK10" s="49"/>
      <c r="JL10" s="1736">
        <f t="shared" ref="JL10:JL40" si="52">+JI10+JK10+JJ10</f>
        <v>3948.9299999999994</v>
      </c>
      <c r="JM10" s="32"/>
      <c r="JN10" s="2669"/>
      <c r="JO10" s="66">
        <v>0</v>
      </c>
      <c r="JP10" s="67">
        <v>0</v>
      </c>
      <c r="JQ10" s="67">
        <v>0</v>
      </c>
      <c r="JR10" s="67">
        <v>0</v>
      </c>
      <c r="JS10" s="67">
        <v>1</v>
      </c>
      <c r="JT10" s="67">
        <v>0</v>
      </c>
      <c r="JU10" s="67">
        <v>0</v>
      </c>
      <c r="JV10" s="1921">
        <v>0</v>
      </c>
      <c r="JW10" s="66" t="s">
        <v>296</v>
      </c>
      <c r="JX10" s="67" t="s">
        <v>296</v>
      </c>
      <c r="JY10" s="67" t="s">
        <v>296</v>
      </c>
      <c r="JZ10" s="67" t="s">
        <v>296</v>
      </c>
      <c r="KA10" s="67" t="s">
        <v>296</v>
      </c>
      <c r="KB10" s="67" t="s">
        <v>296</v>
      </c>
      <c r="KC10" s="67" t="s">
        <v>296</v>
      </c>
      <c r="KD10" s="68" t="s">
        <v>296</v>
      </c>
      <c r="KE10" s="66"/>
      <c r="KF10" s="67"/>
      <c r="KG10" s="67"/>
      <c r="KH10" s="67"/>
      <c r="KI10" s="67"/>
      <c r="KJ10" s="67"/>
      <c r="KK10" s="67"/>
      <c r="KL10" s="67"/>
      <c r="KM10" s="32"/>
      <c r="KN10" s="2669"/>
      <c r="KO10" s="1739">
        <v>7124.0831653902997</v>
      </c>
      <c r="KP10" s="1721">
        <v>0.44671772134891846</v>
      </c>
      <c r="KQ10" s="1721">
        <v>3.0736759371221281</v>
      </c>
      <c r="KR10" s="1721">
        <v>5.4538949348381021</v>
      </c>
      <c r="KS10" s="1722">
        <v>9.5023937122128164</v>
      </c>
      <c r="KT10" s="1958">
        <v>0</v>
      </c>
      <c r="KU10" s="1961">
        <v>0</v>
      </c>
      <c r="KV10" s="1961">
        <v>0</v>
      </c>
      <c r="KW10" s="1961">
        <v>0</v>
      </c>
      <c r="KX10" s="1962">
        <v>0</v>
      </c>
      <c r="KY10" s="35"/>
      <c r="KZ10" s="49"/>
      <c r="LA10" s="49"/>
      <c r="LB10" s="49"/>
      <c r="LC10" s="49"/>
      <c r="LD10" s="32"/>
      <c r="LE10" s="2669"/>
      <c r="LG10" s="998">
        <f t="shared" ref="LG10:LI40" si="53">SUM(LR10,LX10,MJ10,MP10+MD10)</f>
        <v>0</v>
      </c>
      <c r="LH10" s="27">
        <f t="shared" si="53"/>
        <v>0</v>
      </c>
      <c r="LI10" s="27">
        <f t="shared" si="53"/>
        <v>0</v>
      </c>
      <c r="LJ10" s="28">
        <f t="shared" ref="LJ10:LJ40" si="54">SUM(LG10:LI10)</f>
        <v>0</v>
      </c>
      <c r="LK10" s="35"/>
      <c r="LL10" s="24"/>
      <c r="LM10" s="24"/>
      <c r="LN10" s="32"/>
      <c r="LO10" s="1030">
        <v>3.27</v>
      </c>
      <c r="LP10" s="1128"/>
      <c r="LQ10" s="2688"/>
      <c r="LR10" s="35"/>
      <c r="LS10" s="35"/>
      <c r="LT10" s="24"/>
      <c r="LU10" s="24"/>
      <c r="LV10" s="24"/>
      <c r="LW10" s="1117">
        <f t="shared" ref="LW10:LW40" si="55">SUM(LR10:LV10)</f>
        <v>0</v>
      </c>
      <c r="LX10" s="35"/>
      <c r="LY10" s="35"/>
      <c r="LZ10" s="24"/>
      <c r="MA10" s="24"/>
      <c r="MB10" s="417"/>
      <c r="MC10" s="28">
        <f t="shared" ref="MC10:MC40" si="56">SUM(LX10:MB10)</f>
        <v>0</v>
      </c>
      <c r="MD10" s="23"/>
      <c r="ME10" s="35"/>
      <c r="MF10" s="24"/>
      <c r="MG10" s="24"/>
      <c r="MH10" s="24"/>
      <c r="MI10" s="25"/>
      <c r="MJ10" s="35"/>
      <c r="MK10" s="35"/>
      <c r="ML10" s="24"/>
      <c r="MM10" s="24"/>
      <c r="MN10" s="24"/>
      <c r="MO10" s="25"/>
      <c r="MP10" s="35"/>
      <c r="MQ10" s="35"/>
      <c r="MR10" s="24"/>
      <c r="MS10" s="24"/>
      <c r="MT10" s="24"/>
      <c r="MU10" s="32">
        <f t="shared" ref="MU10:MU40" si="57">SUM(MP10:MT10)</f>
        <v>0</v>
      </c>
      <c r="MV10" s="2688"/>
      <c r="MX10" s="23">
        <f t="shared" ref="MX10:MX40" si="58">+NF10</f>
        <v>176962.86209272343</v>
      </c>
      <c r="MY10" s="24">
        <f t="shared" ref="MY10:MY40" si="59">+SUM(NS10,OF10,OS10,OZ10,PG10)</f>
        <v>89452.86683332322</v>
      </c>
      <c r="MZ10" s="24">
        <f t="shared" ref="MZ10:MZ40" si="60">+PO10</f>
        <v>21911.37525319455</v>
      </c>
      <c r="NA10" s="333">
        <f t="shared" ref="NA10:NA40" si="61">+SUM(QG10,QH10,QI10)</f>
        <v>435897.80855851003</v>
      </c>
      <c r="NB10" s="2621"/>
      <c r="NC10" s="23">
        <f t="shared" ref="NC10:NC40" si="62">+NC9+JI10-LG10-LI10</f>
        <v>65409.835091888257</v>
      </c>
      <c r="ND10" s="1655">
        <f t="shared" ref="ND10:ND40" si="63">+ND9+JJ10-LH10</f>
        <v>111553.02700083517</v>
      </c>
      <c r="NE10" s="60">
        <f t="shared" ref="NE10:NE40" si="64">+NE9+JK10</f>
        <v>0</v>
      </c>
      <c r="NF10" s="274">
        <f t="shared" si="4"/>
        <v>176962.86209272343</v>
      </c>
      <c r="NG10" s="23">
        <f t="shared" ref="NG10:NP25" si="65">+NG9+EF10-GY10</f>
        <v>0</v>
      </c>
      <c r="NH10" s="23">
        <f t="shared" si="65"/>
        <v>0</v>
      </c>
      <c r="NI10" s="24">
        <f t="shared" si="65"/>
        <v>0</v>
      </c>
      <c r="NJ10" s="24">
        <f t="shared" si="65"/>
        <v>0</v>
      </c>
      <c r="NK10" s="24">
        <f t="shared" si="65"/>
        <v>0</v>
      </c>
      <c r="NL10" s="24">
        <f t="shared" si="65"/>
        <v>0</v>
      </c>
      <c r="NM10" s="24">
        <f>+NM9+EL10-HE10</f>
        <v>0</v>
      </c>
      <c r="NN10" s="24">
        <f t="shared" si="65"/>
        <v>0</v>
      </c>
      <c r="NO10" s="24">
        <f>+NO9+EN10-HG10</f>
        <v>2565.353144332058</v>
      </c>
      <c r="NP10" s="24">
        <f t="shared" si="65"/>
        <v>26196.696072681989</v>
      </c>
      <c r="NQ10" s="24">
        <f>+NQ9+EF10-GY10</f>
        <v>8756.5482322711578</v>
      </c>
      <c r="NR10" s="24">
        <f>+NR9+EP10-HI10</f>
        <v>20409.002698058699</v>
      </c>
      <c r="NS10" s="24">
        <f t="shared" si="0"/>
        <v>57927.600147343903</v>
      </c>
      <c r="NT10" s="27">
        <f t="shared" ref="NT10:OB25" si="66">+NT9+DF10-IC10</f>
        <v>0</v>
      </c>
      <c r="NU10" s="280">
        <f t="shared" si="66"/>
        <v>0</v>
      </c>
      <c r="NV10" s="1127">
        <f t="shared" si="66"/>
        <v>0</v>
      </c>
      <c r="NW10" s="280">
        <f t="shared" si="66"/>
        <v>0</v>
      </c>
      <c r="NX10" s="27">
        <f t="shared" si="66"/>
        <v>0</v>
      </c>
      <c r="NY10" s="27">
        <f t="shared" si="66"/>
        <v>0</v>
      </c>
      <c r="NZ10" s="27">
        <f t="shared" si="66"/>
        <v>8661.5827301930731</v>
      </c>
      <c r="OA10" s="27">
        <f t="shared" si="66"/>
        <v>0</v>
      </c>
      <c r="OB10" s="27">
        <f t="shared" si="66"/>
        <v>4162.3418418567599</v>
      </c>
      <c r="OC10" s="280"/>
      <c r="OD10" s="24">
        <f t="shared" ref="OD10:OE25" si="67">+OD9+DP10-IM10</f>
        <v>454.51223506073143</v>
      </c>
      <c r="OE10" s="24">
        <f t="shared" si="67"/>
        <v>0</v>
      </c>
      <c r="OF10" s="24">
        <f t="shared" si="1"/>
        <v>13278.436807110564</v>
      </c>
      <c r="OG10" s="24">
        <f t="shared" ref="OG10:OR26" si="68">+OG9+DS10+FV10-IR10</f>
        <v>0</v>
      </c>
      <c r="OH10" s="24">
        <f t="shared" si="68"/>
        <v>0</v>
      </c>
      <c r="OI10" s="24">
        <f t="shared" si="68"/>
        <v>0</v>
      </c>
      <c r="OJ10" s="24">
        <f t="shared" si="68"/>
        <v>0</v>
      </c>
      <c r="OK10" s="27">
        <f t="shared" si="68"/>
        <v>0</v>
      </c>
      <c r="OL10" s="24">
        <f t="shared" si="68"/>
        <v>0</v>
      </c>
      <c r="OM10" s="24">
        <f t="shared" si="68"/>
        <v>0</v>
      </c>
      <c r="ON10" s="24">
        <f t="shared" si="68"/>
        <v>0</v>
      </c>
      <c r="OO10" s="24">
        <f>+OO9+EA10+GD10+QF10-IZ10</f>
        <v>14538.372235312068</v>
      </c>
      <c r="OP10" s="24">
        <f t="shared" si="68"/>
        <v>0</v>
      </c>
      <c r="OQ10" s="24">
        <f t="shared" si="68"/>
        <v>3708.4576435566851</v>
      </c>
      <c r="OR10" s="24">
        <f t="shared" si="68"/>
        <v>0</v>
      </c>
      <c r="OS10" s="25">
        <f t="shared" si="2"/>
        <v>18246.829878868753</v>
      </c>
      <c r="OT10" s="35"/>
      <c r="OU10" s="24"/>
      <c r="OV10" s="24"/>
      <c r="OW10" s="24"/>
      <c r="OX10" s="24"/>
      <c r="OY10" s="24"/>
      <c r="OZ10" s="25">
        <f t="shared" ref="OZ10:OZ40" si="69">SUM(OT10:OY10)</f>
        <v>0</v>
      </c>
      <c r="PA10" s="35">
        <f t="shared" ref="PA10:PA40" si="70">+PA9+ES10-FV10</f>
        <v>0</v>
      </c>
      <c r="PB10" s="24">
        <f t="shared" ref="PB10:PB40" si="71">+PB9+ET10-FX10</f>
        <v>0</v>
      </c>
      <c r="PC10" s="24">
        <f t="shared" ref="PC10:PC40" si="72">+PC9+EU10-FZ10</f>
        <v>0</v>
      </c>
      <c r="PD10" s="24">
        <f t="shared" ref="PD10:PD40" si="73">+PD9+EV10-GB10</f>
        <v>0</v>
      </c>
      <c r="PE10" s="24"/>
      <c r="PF10" s="24">
        <f t="shared" ref="PF10:PF40" si="74">+PF9+EX10-GF10</f>
        <v>0</v>
      </c>
      <c r="PG10" s="32">
        <f t="shared" si="3"/>
        <v>0</v>
      </c>
      <c r="PH10" s="2621"/>
      <c r="PJ10" s="1907">
        <v>167.54</v>
      </c>
      <c r="PK10" s="3">
        <v>810</v>
      </c>
      <c r="PL10" s="3">
        <v>337.5</v>
      </c>
      <c r="PM10" s="3">
        <v>0</v>
      </c>
      <c r="PN10" s="3">
        <f t="shared" ref="PN10:PN40" si="75">PN9+PJ10-PK10</f>
        <v>26433.829776580689</v>
      </c>
      <c r="PO10" s="11">
        <f t="shared" ref="PO10:PO40" si="76">PO9+PL10-PM10</f>
        <v>21911.37525319455</v>
      </c>
      <c r="PP10" s="14"/>
      <c r="PQ10" s="2615"/>
      <c r="PS10" s="2"/>
      <c r="PT10" s="8"/>
      <c r="PU10" s="8"/>
      <c r="PV10" s="8"/>
      <c r="PW10" s="8">
        <v>0</v>
      </c>
      <c r="PX10" s="8"/>
      <c r="PY10" s="8">
        <f t="shared" ref="PY10:PY40" si="77">SUM(PV10:PX10)</f>
        <v>0</v>
      </c>
      <c r="PZ10" s="3">
        <f t="shared" ref="PZ10:PZ40" si="78">+PJ10</f>
        <v>167.54</v>
      </c>
      <c r="QA10" s="3"/>
      <c r="QB10" s="3"/>
      <c r="QC10" s="3"/>
      <c r="QD10" s="3"/>
      <c r="QE10" s="3"/>
      <c r="QF10" s="11"/>
      <c r="QG10" s="11">
        <f t="shared" ref="QG10:QG40" si="79">+QG9+PS10-HL10</f>
        <v>29562.488999999998</v>
      </c>
      <c r="QH10" s="420">
        <f t="shared" ref="QH10:QH40" si="80">+QH9+PV10+PW10-IP10-PZ10</f>
        <v>406335.31955851003</v>
      </c>
      <c r="QI10" s="1106">
        <f t="shared" ref="QI10:QI40" si="81">+QI9+PY10-QE10</f>
        <v>0</v>
      </c>
      <c r="QJ10" s="484">
        <f t="shared" ref="QJ10:QJ40" si="82">QJ9-QD10</f>
        <v>5505.3678056099998</v>
      </c>
      <c r="QK10" s="11"/>
      <c r="QL10" s="2615"/>
      <c r="QN10" s="139">
        <f t="shared" ref="QN10:QN40" si="83">IF(JI10=0,"",(IFERROR(IF(1-ABS(1-(JO10/JO$43))&lt;0,0,1-ABS(1-(JO10/JO$43))),0)*JO$43)+(IFERROR(IF(1-ABS(1-(JP10/JP$43))&lt;0,0,1-ABS(1-(JP10/JP$43))),0)*JP$43)+(IFERROR(IF(1-ABS(1-(JQ10/JQ$43))&lt;0,0,1-ABS(1-(JQ10/JQ$43))),0)*JQ$43)+(IFERROR(IF(1-ABS(1-(JR10/JR$43))&lt;0,0,1-ABS(1-(JR10/JR$43))),0)*JR$43)+(IFERROR(IF(1-ABS(1-(JS10/JS$43))&lt;0,0,1-ABS(1-(JS10/JS$43))),0)*JS$43)+(IFERROR(IF(1-ABS(1-(JT10/JT$43))&lt;0,0,1-ABS(1-(JT10/JT$43))),0)*JT$43)+(IFERROR(IF(1-ABS(1-(JU10/JU$43))&lt;0,0,1-ABS(1-(JU10/JU$43))),0)*JU$43)+(IFERROR(IF(1-ABS(1-(JV10/JV$43))&lt;0,0,1-ABS(1-(JV10/JV$43))),0)*JV$43))</f>
        <v>0</v>
      </c>
      <c r="QO10" s="139" t="str">
        <f t="shared" ref="QO10:QO40" si="84">IF(JK10=0,"",(IFERROR(IF(1-ABS(1-(KE10/KE$43))&lt;0,0,1-ABS(1-(KE10/KE$43))),0)*KE$43)+(IFERROR(IF(1-ABS(1-(KF10/KF$43))&lt;0,0,1-ABS(1-(KF10/KF$43))),0)*KF$43)+(IFERROR(IF(1-ABS(1-(KG10/KG$43))&lt;0,0,1-ABS(1-(KG10/KG$43))),0)*KG$43)+(IFERROR(IF(1-ABS(1-(KH10/KH$43))&lt;0,0,1-ABS(1-(KH10/KH$43))),0)*KH$43)+(IFERROR(IF(1-ABS(1-(KI10/KI$43))&lt;0,0,1-ABS(1-(KI10/KI$43))),0)*KI$43)+(IFERROR(IF(1-ABS(1-(KJ10/KJ$43))&lt;0,0,1-ABS(1-(KJ10/KJ$43))),0)*KJ$43)+(IFERROR(IF(1-ABS(1-(KK10/KK$43))&lt;0,0,1-ABS(1-(KK10/KK$43))),0)*KK$43)+(IFERROR(IF(1-ABS(1-(KL10/KL$43))&lt;0,0,1-ABS(1-(KL10/KL$43))),0)*KL$43))</f>
        <v/>
      </c>
      <c r="QQ10" s="139">
        <f t="shared" ref="QQ10:QQ40" si="85">IF(JL10&gt;0,SUMPRODUCT(QT10:QY10,$JO$43:$JT$43),"")</f>
        <v>0</v>
      </c>
      <c r="QR10" s="139">
        <f t="shared" ref="QR10:QR40" si="86">IF(JL10&gt;0,SUMPRODUCT(RA10:RF10,$KE$43:$KJ$43),"")</f>
        <v>0</v>
      </c>
      <c r="QT10" s="1">
        <f t="shared" ref="QT10:QT40" si="87">IF(NT$43=0,0,IF(SUM(NT10,OG10)-NT$8-OG$8&gt;NT$43,1,(SUM(NT10,OG10)-NT$8-OG$8)/NT$43))</f>
        <v>0</v>
      </c>
      <c r="QU10" s="1">
        <f t="shared" ref="QU10:QU40" si="88">IF(NV$43=0,0,IF(SUM(NV10,OI10)-NV$8-OI$8&gt;NV$43,1,(SUM(NV10,OI10)-NV$8-OI$8)/NV$43))</f>
        <v>0</v>
      </c>
      <c r="QV10" s="1">
        <f t="shared" ref="QV10:QV40" si="89">IF(NX$43=0,0,IF(SUM(NX10,OK10)-NX$8-OK$8&gt;NX$43,1,(SUM(NX10,OK10)-NX$8-OK$8)/NX$43))</f>
        <v>0</v>
      </c>
      <c r="QW10" s="1">
        <f t="shared" ref="QW10:QW40" si="90">IF(NZ$43=0,0,IF(SUM(NZ10,OM10)-NZ$8-OM$8&gt;NZ$43,1,(SUM(NZ10,OM10)-NZ$8-OM$8)/NZ$43))</f>
        <v>0</v>
      </c>
      <c r="QX10" s="1">
        <f t="shared" ref="QX10:QX40" si="91">IF(OB$43=0,0,IF(SUM(OB10,OO10)-OB$8-OO$8&gt;OB$43,1,(SUM(OB10,OO10)-OB$8-OO$8)/OB$43))</f>
        <v>0</v>
      </c>
      <c r="QY10" s="1">
        <f t="shared" ref="QY10:QY40" si="92">IF(OD$43=0,0,IF(SUM(OD10,OQ10)-OD$8-OQ$8&gt;OD$43,1,(SUM(OD10,OQ10)-OD$8-OQ$8)/OD$43))</f>
        <v>0</v>
      </c>
      <c r="RA10" s="1">
        <f t="shared" ref="RA10:RA40" si="93">+IF(NT$43=0,0,IF(SUM(NT10,OG10)-NT$8-OG$8&gt;NT$43,1,(SUM(NT10,OG10)-NT$8-OG$8)/NT$43))</f>
        <v>0</v>
      </c>
      <c r="RB10" s="1">
        <f t="shared" ref="RB10:RB40" si="94">+IF(NV$43=0,0,IF(SUM(NV10,OI10)-NV$8-OI$8&gt;NV$43,1,(SUM(NV10,OI10)-NV$8-OI$8)/NV$43))</f>
        <v>0</v>
      </c>
      <c r="RC10" s="1">
        <f t="shared" ref="RC10:RC40" si="95">+IF(NX$43=0,0,IF(SUM(NX10,OK10)-NX$8-OK$8&gt;NX$43,1,(SUM(NX10,OK10)-NX$8-OK$8)/NX$43))</f>
        <v>0</v>
      </c>
      <c r="RD10" s="1">
        <f t="shared" ref="RD10:RD40" si="96">+IF(NZ$43=0,0,IF(SUM(NZ10,OM10)-NZ$8-OM$8&gt;NZ$43,1,(SUM(NZ10,OM10)-NZ$8-OM$8)/NZ$43))</f>
        <v>0</v>
      </c>
      <c r="RE10" s="1">
        <f t="shared" ref="RE10:RE40" si="97">+IF(OB$43=0,0,IF(SUM(OB10,OO10)-OB$8-OO$8&gt;OB$43,1,(SUM(OB10,OO10)-OB$8-OO$8)/OB$43))</f>
        <v>0</v>
      </c>
      <c r="RF10" s="1">
        <f t="shared" ref="RF10:RF40" si="98">+IF(OD$43=0,0,IF(SUM(OD10,OQ10)-OD$8-OQ$8&gt;OD$43,1,(SUM(OD10,OQ10)-OD$8-OQ$8)/OD$43))</f>
        <v>0</v>
      </c>
      <c r="RI10" s="1">
        <v>1</v>
      </c>
      <c r="RJ10" s="1">
        <f t="shared" ref="RJ10:RL17" si="99">+RJ9+JI10-LG10</f>
        <v>49373.091751083164</v>
      </c>
      <c r="RK10" s="1">
        <f t="shared" si="99"/>
        <v>3925.5835498622801</v>
      </c>
      <c r="RL10" s="1">
        <f t="shared" si="99"/>
        <v>9178.5689913333827</v>
      </c>
      <c r="RM10" s="89">
        <f t="shared" si="5"/>
        <v>62477.244292278825</v>
      </c>
      <c r="RN10" s="1033">
        <v>1</v>
      </c>
      <c r="RO10" s="1098">
        <f t="shared" ref="RO10:RO40" si="100">BQ10</f>
        <v>0</v>
      </c>
      <c r="RP10" s="1098">
        <f t="shared" ref="RP10:RP40" si="101">PW10</f>
        <v>0</v>
      </c>
      <c r="RQ10" s="1097">
        <f t="shared" ref="RQ10:RQ40" si="102">PX10</f>
        <v>0</v>
      </c>
      <c r="RR10" s="1097">
        <f t="shared" ref="RR10:RR40" si="103">BG10+AX10+BJ10+BM10+BZ10+BD10-PX10</f>
        <v>6243.64</v>
      </c>
      <c r="RS10" s="1094"/>
      <c r="RT10" s="1094" t="s">
        <v>933</v>
      </c>
      <c r="RW10" s="421">
        <v>1</v>
      </c>
      <c r="RX10" s="1095">
        <f t="shared" ref="RX10:RX40" si="104">GW10</f>
        <v>3948.9300000000003</v>
      </c>
      <c r="RY10" s="1094" t="s">
        <v>934</v>
      </c>
      <c r="SA10" s="1090"/>
      <c r="SB10" s="1090">
        <f t="shared" ref="SB10:SB40" si="105">(DR10+EE10)-(RO10+RR10)</f>
        <v>0</v>
      </c>
      <c r="SC10" s="1090"/>
      <c r="SD10" s="1090">
        <f t="shared" ref="SD10:SD17" si="106">JL10-RX10</f>
        <v>0</v>
      </c>
      <c r="SF10" s="1">
        <v>1</v>
      </c>
      <c r="SG10" s="1">
        <f t="shared" ref="SG10:SG40" si="107">PM10</f>
        <v>0</v>
      </c>
    </row>
    <row r="11" spans="1:502" s="1" customFormat="1">
      <c r="B11" s="471">
        <v>2</v>
      </c>
      <c r="C11" s="4">
        <f t="shared" si="6"/>
        <v>152709</v>
      </c>
      <c r="D11" s="1726">
        <f t="shared" ref="D11:D15" si="108">P11+T11+X11+AB11</f>
        <v>7950.34</v>
      </c>
      <c r="E11" s="1895">
        <f t="shared" si="7"/>
        <v>19.20785777715167</v>
      </c>
      <c r="F11" s="870"/>
      <c r="G11" s="870"/>
      <c r="H11" s="52">
        <v>0.5</v>
      </c>
      <c r="I11" s="61">
        <v>0.63</v>
      </c>
      <c r="J11" s="52"/>
      <c r="K11" s="54"/>
      <c r="L11" s="52">
        <v>2</v>
      </c>
      <c r="M11" s="61">
        <v>1.73</v>
      </c>
      <c r="N11" s="2629"/>
      <c r="O11" s="4">
        <f>+SUM(AQ11,BC11,AW11)</f>
        <v>103040</v>
      </c>
      <c r="P11" s="1225">
        <f t="shared" si="8"/>
        <v>5767.74</v>
      </c>
      <c r="Q11" s="1951">
        <f t="shared" si="9"/>
        <v>17.864882952421574</v>
      </c>
      <c r="R11" s="33"/>
      <c r="S11" s="26">
        <f t="shared" si="10"/>
        <v>34156</v>
      </c>
      <c r="T11" s="27">
        <f t="shared" ref="T11:T40" si="109">+SUM(BZ11,BJ11,BM11,BG11,BN11)</f>
        <v>1082.6000000000001</v>
      </c>
      <c r="U11" s="1909">
        <f t="shared" si="11"/>
        <v>31.549972288934043</v>
      </c>
      <c r="V11" s="28"/>
      <c r="W11" s="1742">
        <f t="shared" si="12"/>
        <v>15513</v>
      </c>
      <c r="X11" s="5">
        <f t="shared" si="12"/>
        <v>1100</v>
      </c>
      <c r="Y11" s="1738">
        <f t="shared" si="13"/>
        <v>14.102727272727273</v>
      </c>
      <c r="Z11" s="33"/>
      <c r="AA11" s="26">
        <f t="shared" si="14"/>
        <v>0</v>
      </c>
      <c r="AB11" s="27">
        <f t="shared" si="15"/>
        <v>0</v>
      </c>
      <c r="AC11" s="53">
        <f t="shared" si="16"/>
        <v>0</v>
      </c>
      <c r="AD11" s="28"/>
      <c r="AE11" s="36"/>
      <c r="AF11" s="36"/>
      <c r="AG11" s="53">
        <f t="shared" si="17"/>
        <v>0</v>
      </c>
      <c r="AH11" s="28"/>
      <c r="AI11" s="26"/>
      <c r="AJ11" s="27"/>
      <c r="AK11" s="53">
        <f t="shared" si="18"/>
        <v>0</v>
      </c>
      <c r="AL11" s="28"/>
      <c r="AM11" s="2629"/>
      <c r="AN11" s="9"/>
      <c r="AO11" s="5"/>
      <c r="AP11" s="61">
        <f t="shared" si="19"/>
        <v>0</v>
      </c>
      <c r="AQ11" s="36"/>
      <c r="AR11" s="53"/>
      <c r="AS11" s="61">
        <f t="shared" si="20"/>
        <v>0</v>
      </c>
      <c r="AT11" s="36"/>
      <c r="AU11" s="27"/>
      <c r="AV11" s="54">
        <f t="shared" si="21"/>
        <v>0</v>
      </c>
      <c r="AW11" s="1">
        <v>57764</v>
      </c>
      <c r="AX11" s="27">
        <v>3351.54</v>
      </c>
      <c r="AY11" s="1735">
        <f>IFERROR(AW10/AX11,0)</f>
        <v>18.026936870811628</v>
      </c>
      <c r="AZ11" s="36"/>
      <c r="BA11" s="27"/>
      <c r="BB11" s="61">
        <f t="shared" si="22"/>
        <v>0</v>
      </c>
      <c r="BC11" s="1740">
        <v>45276</v>
      </c>
      <c r="BD11" s="1736">
        <v>2416.1999999999998</v>
      </c>
      <c r="BE11" s="1735">
        <f t="shared" si="23"/>
        <v>18.738515023590764</v>
      </c>
      <c r="BF11" s="36"/>
      <c r="BG11" s="53"/>
      <c r="BH11" s="61">
        <f t="shared" si="24"/>
        <v>0</v>
      </c>
      <c r="BI11" s="36">
        <v>0</v>
      </c>
      <c r="BJ11" s="53">
        <v>0</v>
      </c>
      <c r="BK11" s="61">
        <f t="shared" si="25"/>
        <v>0</v>
      </c>
      <c r="BL11" s="1742">
        <v>34156</v>
      </c>
      <c r="BM11" s="1909">
        <v>1082.6000000000001</v>
      </c>
      <c r="BN11" s="2170"/>
      <c r="BO11" s="1735">
        <f t="shared" si="26"/>
        <v>31.549972288934043</v>
      </c>
      <c r="BP11" s="1126"/>
      <c r="BQ11" s="53"/>
      <c r="BR11" s="61">
        <f t="shared" si="27"/>
        <v>0</v>
      </c>
      <c r="BS11" s="36"/>
      <c r="BT11" s="53"/>
      <c r="BU11" s="61">
        <f t="shared" si="28"/>
        <v>0</v>
      </c>
      <c r="BV11" s="36">
        <v>15513</v>
      </c>
      <c r="BW11" s="27">
        <v>1100</v>
      </c>
      <c r="BX11" s="1906">
        <f t="shared" si="29"/>
        <v>14.102727272727273</v>
      </c>
      <c r="BY11" s="26"/>
      <c r="BZ11" s="419"/>
      <c r="CA11" s="61">
        <f t="shared" si="30"/>
        <v>0</v>
      </c>
      <c r="CB11" s="36"/>
      <c r="CC11" s="5"/>
      <c r="CD11" s="482">
        <f t="shared" si="31"/>
        <v>0</v>
      </c>
      <c r="CE11" s="4"/>
      <c r="CF11" s="27"/>
      <c r="CG11" s="28">
        <f t="shared" si="32"/>
        <v>0</v>
      </c>
      <c r="CH11" s="149"/>
      <c r="CI11" s="4"/>
      <c r="CJ11" s="5"/>
      <c r="CK11" s="5">
        <v>8759</v>
      </c>
      <c r="CL11" s="5"/>
      <c r="CM11" s="5"/>
      <c r="CN11" s="5"/>
      <c r="CO11" s="33"/>
      <c r="CP11" s="366"/>
      <c r="CR11" s="4">
        <f t="shared" si="33"/>
        <v>0</v>
      </c>
      <c r="CS11" s="9">
        <f t="shared" si="33"/>
        <v>0</v>
      </c>
      <c r="CT11" s="5">
        <f t="shared" si="33"/>
        <v>0</v>
      </c>
      <c r="CU11" s="5">
        <f t="shared" si="33"/>
        <v>0</v>
      </c>
      <c r="CV11" s="5">
        <f t="shared" si="33"/>
        <v>0</v>
      </c>
      <c r="CW11" s="12">
        <f t="shared" si="33"/>
        <v>0</v>
      </c>
      <c r="CX11" s="486">
        <f t="shared" si="33"/>
        <v>3054.92</v>
      </c>
      <c r="CY11" s="9">
        <f t="shared" si="33"/>
        <v>0</v>
      </c>
      <c r="CZ11" s="5">
        <f t="shared" si="33"/>
        <v>3795.4199999999992</v>
      </c>
      <c r="DA11" s="12">
        <f t="shared" si="33"/>
        <v>0</v>
      </c>
      <c r="DB11" s="486">
        <f t="shared" si="33"/>
        <v>1100</v>
      </c>
      <c r="DC11" s="486">
        <f t="shared" si="33"/>
        <v>0</v>
      </c>
      <c r="DD11" s="310">
        <f t="shared" si="34"/>
        <v>7950.3399999999992</v>
      </c>
      <c r="DE11" s="2695"/>
      <c r="DF11" s="8"/>
      <c r="DG11" s="9"/>
      <c r="DH11" s="5"/>
      <c r="DI11" s="5"/>
      <c r="DJ11" s="5"/>
      <c r="DK11" s="5"/>
      <c r="DL11" s="5">
        <v>3054.92</v>
      </c>
      <c r="DM11" s="5"/>
      <c r="DN11" s="5">
        <v>296.62</v>
      </c>
      <c r="DO11" s="5"/>
      <c r="DP11" s="5"/>
      <c r="DQ11" s="12"/>
      <c r="DR11" s="1906">
        <f t="shared" si="35"/>
        <v>3351.54</v>
      </c>
      <c r="DS11" s="36"/>
      <c r="DT11" s="36"/>
      <c r="DU11" s="27"/>
      <c r="DV11" s="27"/>
      <c r="DW11" s="5"/>
      <c r="DX11" s="5"/>
      <c r="DY11" s="64"/>
      <c r="DZ11" s="5"/>
      <c r="EA11" s="5">
        <v>3498.7999999999993</v>
      </c>
      <c r="EB11" s="53"/>
      <c r="EC11" s="27">
        <v>0</v>
      </c>
      <c r="ED11" s="33"/>
      <c r="EE11" s="28">
        <f t="shared" si="36"/>
        <v>3498.7999999999993</v>
      </c>
      <c r="EF11" s="9"/>
      <c r="EG11" s="9"/>
      <c r="EH11" s="5"/>
      <c r="EI11" s="5"/>
      <c r="EJ11" s="27"/>
      <c r="EK11" s="27"/>
      <c r="EL11" s="27"/>
      <c r="EM11" s="27"/>
      <c r="EN11" s="5"/>
      <c r="EO11" s="5"/>
      <c r="EP11" s="5">
        <v>1100</v>
      </c>
      <c r="EQ11" s="33"/>
      <c r="ER11" s="28">
        <f t="shared" si="37"/>
        <v>1100</v>
      </c>
      <c r="ES11" s="36"/>
      <c r="ET11" s="27"/>
      <c r="EU11" s="27"/>
      <c r="EV11" s="27"/>
      <c r="EW11" s="27"/>
      <c r="EX11" s="27"/>
      <c r="EY11" s="33">
        <f t="shared" si="38"/>
        <v>0</v>
      </c>
      <c r="EZ11" s="2685"/>
      <c r="FB11" s="4">
        <f t="shared" si="39"/>
        <v>0</v>
      </c>
      <c r="FC11" s="5">
        <f t="shared" si="40"/>
        <v>0</v>
      </c>
      <c r="FD11" s="5">
        <f t="shared" si="41"/>
        <v>388.66</v>
      </c>
      <c r="FE11" s="12">
        <f t="shared" si="42"/>
        <v>388.66</v>
      </c>
      <c r="FF11" s="33"/>
      <c r="FG11" s="2674"/>
      <c r="FH11" s="9"/>
      <c r="FI11" s="5"/>
      <c r="FJ11" s="5"/>
      <c r="FK11" s="5"/>
      <c r="FL11" s="5"/>
      <c r="FM11" s="27"/>
      <c r="FN11" s="28">
        <f t="shared" si="43"/>
        <v>0</v>
      </c>
      <c r="FO11" s="36"/>
      <c r="FP11" s="27"/>
      <c r="FQ11" s="27"/>
      <c r="FR11" s="27"/>
      <c r="FS11" s="27"/>
      <c r="FT11" s="27"/>
      <c r="FU11" s="28">
        <f t="shared" si="44"/>
        <v>0</v>
      </c>
      <c r="FV11" s="36"/>
      <c r="FW11" s="36"/>
      <c r="FX11" s="27"/>
      <c r="FY11" s="27"/>
      <c r="FZ11" s="27"/>
      <c r="GA11" s="27"/>
      <c r="GB11" s="27"/>
      <c r="GC11" s="27"/>
      <c r="GD11" s="27">
        <v>388.66</v>
      </c>
      <c r="GE11" s="27"/>
      <c r="GF11" s="27"/>
      <c r="GG11" s="33"/>
      <c r="GH11" s="33">
        <f t="shared" si="45"/>
        <v>388.66</v>
      </c>
      <c r="GI11" s="2674"/>
      <c r="GK11" s="2">
        <f t="shared" ref="GK11:GK40" si="110">+HM11</f>
        <v>4819.01</v>
      </c>
      <c r="GL11" s="63">
        <f t="shared" ref="GL11:GL41" si="111">+IQ11</f>
        <v>1876.0500000000002</v>
      </c>
      <c r="GM11" s="24">
        <f t="shared" ref="GM11:GM40" si="112">+JF11</f>
        <v>6186.15</v>
      </c>
      <c r="GN11" s="1736">
        <f t="shared" si="46"/>
        <v>12881.21</v>
      </c>
      <c r="GO11" s="141"/>
      <c r="GP11" s="141"/>
      <c r="GQ11" s="33"/>
      <c r="GR11" s="2667"/>
      <c r="GS11" s="1740">
        <v>4207.3999999999996</v>
      </c>
      <c r="GT11" s="1723">
        <v>0</v>
      </c>
      <c r="GU11" s="1723">
        <v>4823.17</v>
      </c>
      <c r="GV11" s="1723">
        <v>3850.6400000000003</v>
      </c>
      <c r="GW11" s="1724">
        <f t="shared" si="47"/>
        <v>12881.21</v>
      </c>
      <c r="GX11" s="2667"/>
      <c r="GY11" s="36"/>
      <c r="GZ11" s="36"/>
      <c r="HA11" s="27"/>
      <c r="HB11" s="27"/>
      <c r="HC11" s="27"/>
      <c r="HD11" s="27"/>
      <c r="HE11" s="27"/>
      <c r="HF11" s="27"/>
      <c r="HG11" s="27">
        <v>0</v>
      </c>
      <c r="HH11" s="27"/>
      <c r="HI11" s="2167">
        <v>4819.01</v>
      </c>
      <c r="HJ11" s="27"/>
      <c r="HK11" s="27">
        <v>0</v>
      </c>
      <c r="HL11" s="27"/>
      <c r="HM11" s="28">
        <f t="shared" si="48"/>
        <v>4819.01</v>
      </c>
      <c r="HN11" s="36"/>
      <c r="HO11" s="27"/>
      <c r="HP11" s="27"/>
      <c r="HQ11" s="27"/>
      <c r="HR11" s="27"/>
      <c r="HS11" s="27"/>
      <c r="HT11" s="27" cm="1">
        <f t="array" ref="HT11">SUMPRODUCT(('Data Base hauling'!$C$2:$C$216="TCM-ROM SB1 BK05-ROM 4")*(ISNUMBER(SEARCH(TEXT('May TCM'!$B11,"00")&amp;"/03/2026",'Data Base hauling'!$E$2:$E$216)))*'Data Base hauling'!$N$2:$N$216)</f>
        <v>0</v>
      </c>
      <c r="HU11" s="27"/>
      <c r="HV11" s="27" cm="1">
        <f t="array" ref="HV11">SUMPRODUCT(('Data Base hauling'!$C$2:$C$216="TCM-ROM SB1 BK05-ROM 5")*(ISNUMBER(SEARCH(TEXT('May TCM'!$B11,"00")&amp;"/03/2026",'Data Base hauling'!$E$2:$E$216)))*'Data Base hauling'!$N$2:$N$216)</f>
        <v>0</v>
      </c>
      <c r="HW11" s="27"/>
      <c r="HX11" s="27"/>
      <c r="HY11" s="27"/>
      <c r="HZ11" s="27"/>
      <c r="IA11" s="27"/>
      <c r="IB11" s="33">
        <f t="shared" si="49"/>
        <v>0</v>
      </c>
      <c r="IC11" s="52"/>
      <c r="ID11" s="152"/>
      <c r="IE11" s="53"/>
      <c r="IF11" s="53"/>
      <c r="IG11" s="53"/>
      <c r="IH11" s="53"/>
      <c r="II11" s="1736">
        <v>1876.0500000000002</v>
      </c>
      <c r="IJ11" s="1736"/>
      <c r="IK11" s="1736">
        <v>0</v>
      </c>
      <c r="IL11" s="53"/>
      <c r="IM11" s="53">
        <v>0</v>
      </c>
      <c r="IN11" s="53"/>
      <c r="IO11" s="53"/>
      <c r="IP11" s="49">
        <v>0</v>
      </c>
      <c r="IQ11" s="2195">
        <f t="shared" si="50"/>
        <v>1876.0500000000002</v>
      </c>
      <c r="IR11" s="36"/>
      <c r="IS11" s="36"/>
      <c r="IT11" s="27"/>
      <c r="IU11" s="27"/>
      <c r="IV11" s="53"/>
      <c r="IW11" s="27"/>
      <c r="IX11" s="27">
        <v>0</v>
      </c>
      <c r="IY11" s="27"/>
      <c r="IZ11" s="27">
        <v>5311.4</v>
      </c>
      <c r="JA11" s="27"/>
      <c r="JB11" s="27">
        <v>874.75000000000011</v>
      </c>
      <c r="JC11" s="27"/>
      <c r="JD11" s="27"/>
      <c r="JE11" s="27"/>
      <c r="JF11" s="33">
        <f>SUM(IR11:JE11)</f>
        <v>6186.15</v>
      </c>
      <c r="JG11" s="2667"/>
      <c r="JI11" s="2016">
        <v>5311.4</v>
      </c>
      <c r="JJ11" s="2017">
        <v>7569.8100000000013</v>
      </c>
      <c r="JK11" s="53"/>
      <c r="JL11" s="1736">
        <f t="shared" si="52"/>
        <v>12881.210000000001</v>
      </c>
      <c r="JM11" s="33"/>
      <c r="JN11" s="2669"/>
      <c r="JO11" s="69">
        <v>0</v>
      </c>
      <c r="JP11" s="70">
        <v>0</v>
      </c>
      <c r="JQ11" s="70">
        <v>0</v>
      </c>
      <c r="JR11" s="70">
        <v>0</v>
      </c>
      <c r="JS11" s="70">
        <v>1</v>
      </c>
      <c r="JT11" s="70">
        <v>0</v>
      </c>
      <c r="JU11" s="70">
        <v>0</v>
      </c>
      <c r="JV11" s="1922">
        <v>0</v>
      </c>
      <c r="JW11" s="69">
        <v>0</v>
      </c>
      <c r="JX11" s="70">
        <v>0</v>
      </c>
      <c r="JY11" s="70">
        <v>0</v>
      </c>
      <c r="JZ11" s="70">
        <v>0.24783316886421189</v>
      </c>
      <c r="KA11" s="70">
        <v>0</v>
      </c>
      <c r="KB11" s="70">
        <v>0.75216683113578797</v>
      </c>
      <c r="KC11" s="70">
        <v>0</v>
      </c>
      <c r="KD11" s="71">
        <v>0</v>
      </c>
      <c r="KE11" s="69"/>
      <c r="KF11" s="70"/>
      <c r="KG11" s="70"/>
      <c r="KH11" s="70"/>
      <c r="KI11" s="70"/>
      <c r="KJ11" s="70"/>
      <c r="KK11" s="70"/>
      <c r="KL11" s="70"/>
      <c r="KM11" s="33"/>
      <c r="KN11" s="2669"/>
      <c r="KO11" s="1739">
        <v>7183</v>
      </c>
      <c r="KP11" s="1721">
        <v>0.48</v>
      </c>
      <c r="KQ11" s="1721">
        <v>4.3</v>
      </c>
      <c r="KR11" s="1721">
        <v>5.84</v>
      </c>
      <c r="KS11" s="1722">
        <v>8.9755280000000006</v>
      </c>
      <c r="KT11" s="1958">
        <v>6875.7083710699962</v>
      </c>
      <c r="KU11" s="1961">
        <v>2.1594074265752363</v>
      </c>
      <c r="KV11" s="1961">
        <v>9.6270125501358503</v>
      </c>
      <c r="KW11" s="1961">
        <v>4.3087656876698146</v>
      </c>
      <c r="KX11" s="1962">
        <v>8.0861337288135591</v>
      </c>
      <c r="KY11" s="36"/>
      <c r="KZ11" s="53"/>
      <c r="LA11" s="53"/>
      <c r="LB11" s="53"/>
      <c r="LC11" s="53"/>
      <c r="LD11" s="33"/>
      <c r="LE11" s="2669"/>
      <c r="LG11" s="998">
        <f t="shared" si="53"/>
        <v>6140.1</v>
      </c>
      <c r="LH11" s="27">
        <f t="shared" si="53"/>
        <v>9210.15</v>
      </c>
      <c r="LI11" s="27">
        <f t="shared" si="53"/>
        <v>0</v>
      </c>
      <c r="LJ11" s="28">
        <f t="shared" si="54"/>
        <v>15350.25</v>
      </c>
      <c r="LK11" s="36">
        <v>2</v>
      </c>
      <c r="LL11" s="27">
        <v>1</v>
      </c>
      <c r="LM11" s="27">
        <v>8</v>
      </c>
      <c r="LN11" s="33"/>
      <c r="LO11" s="1044">
        <v>3.08</v>
      </c>
      <c r="LP11" s="486"/>
      <c r="LQ11" s="2688"/>
      <c r="LR11" s="36"/>
      <c r="LS11" s="36"/>
      <c r="LT11" s="27"/>
      <c r="LU11" s="27"/>
      <c r="LV11" s="27"/>
      <c r="LW11" s="1117">
        <f t="shared" si="55"/>
        <v>0</v>
      </c>
      <c r="LX11" s="36">
        <v>6140.1</v>
      </c>
      <c r="LY11" s="36">
        <v>9210.15</v>
      </c>
      <c r="LZ11" s="27"/>
      <c r="MA11" s="27"/>
      <c r="MB11" s="33"/>
      <c r="MC11" s="28">
        <f t="shared" si="56"/>
        <v>15350.25</v>
      </c>
      <c r="MD11" s="26"/>
      <c r="ME11" s="36"/>
      <c r="MF11" s="27"/>
      <c r="MG11" s="27"/>
      <c r="MH11" s="27"/>
      <c r="MI11" s="28"/>
      <c r="MJ11" s="36"/>
      <c r="MK11" s="36"/>
      <c r="ML11" s="27"/>
      <c r="MM11" s="27"/>
      <c r="MN11" s="27"/>
      <c r="MO11" s="28"/>
      <c r="MP11" s="36"/>
      <c r="MQ11" s="36"/>
      <c r="MR11" s="27"/>
      <c r="MS11" s="27"/>
      <c r="MT11" s="27"/>
      <c r="MU11" s="33">
        <f t="shared" si="57"/>
        <v>0</v>
      </c>
      <c r="MV11" s="2688"/>
      <c r="MX11" s="26">
        <f t="shared" si="58"/>
        <v>174493.82209272342</v>
      </c>
      <c r="MY11" s="27">
        <f t="shared" si="59"/>
        <v>84910.656833323214</v>
      </c>
      <c r="MZ11" s="27">
        <f t="shared" si="60"/>
        <v>22256.37525319455</v>
      </c>
      <c r="NA11" s="28">
        <f t="shared" si="61"/>
        <v>434581.80855851003</v>
      </c>
      <c r="NB11" s="2621"/>
      <c r="NC11" s="23">
        <f t="shared" si="62"/>
        <v>64581.13509188826</v>
      </c>
      <c r="ND11" s="1579">
        <f t="shared" si="63"/>
        <v>109912.68700083517</v>
      </c>
      <c r="NE11" s="60">
        <f t="shared" si="64"/>
        <v>0</v>
      </c>
      <c r="NF11" s="275">
        <f t="shared" si="4"/>
        <v>174493.82209272342</v>
      </c>
      <c r="NG11" s="26">
        <f t="shared" si="65"/>
        <v>0</v>
      </c>
      <c r="NH11" s="27">
        <f t="shared" si="65"/>
        <v>0</v>
      </c>
      <c r="NI11" s="27">
        <f t="shared" si="65"/>
        <v>0</v>
      </c>
      <c r="NJ11" s="27">
        <f t="shared" si="65"/>
        <v>0</v>
      </c>
      <c r="NK11" s="27">
        <f t="shared" si="65"/>
        <v>0</v>
      </c>
      <c r="NL11" s="33">
        <f t="shared" si="65"/>
        <v>0</v>
      </c>
      <c r="NM11" s="280">
        <f t="shared" si="65"/>
        <v>0</v>
      </c>
      <c r="NN11" s="36">
        <f t="shared" si="65"/>
        <v>0</v>
      </c>
      <c r="NO11" s="24">
        <f t="shared" si="65"/>
        <v>2565.353144332058</v>
      </c>
      <c r="NP11" s="27">
        <f t="shared" si="65"/>
        <v>26196.696072681989</v>
      </c>
      <c r="NQ11" s="24">
        <f t="shared" ref="NQ11:NQ40" si="113">+NQ10+EF11-GY11</f>
        <v>8756.5482322711578</v>
      </c>
      <c r="NR11" s="24">
        <f t="shared" ref="NR11:NR40" si="114">+NR10+EP11-HI11</f>
        <v>16689.992698058697</v>
      </c>
      <c r="NS11" s="27">
        <f t="shared" si="0"/>
        <v>54208.590147343901</v>
      </c>
      <c r="NT11" s="27">
        <f t="shared" si="66"/>
        <v>0</v>
      </c>
      <c r="NU11" s="27">
        <f t="shared" si="66"/>
        <v>0</v>
      </c>
      <c r="NV11" s="27">
        <f t="shared" si="66"/>
        <v>0</v>
      </c>
      <c r="NW11" s="27">
        <f t="shared" si="66"/>
        <v>0</v>
      </c>
      <c r="NX11" s="27">
        <f t="shared" si="66"/>
        <v>0</v>
      </c>
      <c r="NY11" s="27">
        <f t="shared" si="66"/>
        <v>0</v>
      </c>
      <c r="NZ11" s="27">
        <f t="shared" si="66"/>
        <v>9840.4527301930721</v>
      </c>
      <c r="OA11" s="27">
        <f t="shared" si="66"/>
        <v>0</v>
      </c>
      <c r="OB11" s="27">
        <f t="shared" si="66"/>
        <v>4458.9618418567597</v>
      </c>
      <c r="OC11" s="280"/>
      <c r="OD11" s="24">
        <f t="shared" si="67"/>
        <v>454.51223506073143</v>
      </c>
      <c r="OE11" s="27">
        <f t="shared" si="67"/>
        <v>0</v>
      </c>
      <c r="OF11" s="27">
        <f t="shared" si="1"/>
        <v>14753.926807110562</v>
      </c>
      <c r="OG11" s="27">
        <f t="shared" si="68"/>
        <v>0</v>
      </c>
      <c r="OH11" s="27">
        <f t="shared" si="68"/>
        <v>0</v>
      </c>
      <c r="OI11" s="27">
        <f t="shared" si="68"/>
        <v>0</v>
      </c>
      <c r="OJ11" s="27">
        <f t="shared" si="68"/>
        <v>0</v>
      </c>
      <c r="OK11" s="27">
        <f t="shared" si="68"/>
        <v>0</v>
      </c>
      <c r="OL11" s="27">
        <f t="shared" si="68"/>
        <v>0</v>
      </c>
      <c r="OM11" s="24">
        <f t="shared" si="68"/>
        <v>0</v>
      </c>
      <c r="ON11" s="27">
        <f t="shared" si="68"/>
        <v>0</v>
      </c>
      <c r="OO11" s="24">
        <f t="shared" ref="OO11:OO40" si="115">+OO10+EA11+GD11+QF11-IZ11</f>
        <v>13114.432235312068</v>
      </c>
      <c r="OP11" s="27">
        <f t="shared" si="68"/>
        <v>0</v>
      </c>
      <c r="OQ11" s="27">
        <f t="shared" si="68"/>
        <v>2833.7076435566851</v>
      </c>
      <c r="OR11" s="27">
        <f t="shared" si="68"/>
        <v>0</v>
      </c>
      <c r="OS11" s="28">
        <f t="shared" si="2"/>
        <v>15948.139878868753</v>
      </c>
      <c r="OT11" s="36"/>
      <c r="OU11" s="27"/>
      <c r="OV11" s="27"/>
      <c r="OW11" s="27"/>
      <c r="OX11" s="27"/>
      <c r="OY11" s="27"/>
      <c r="OZ11" s="28">
        <f t="shared" si="69"/>
        <v>0</v>
      </c>
      <c r="PA11" s="36">
        <f t="shared" si="70"/>
        <v>0</v>
      </c>
      <c r="PB11" s="27">
        <f t="shared" si="71"/>
        <v>0</v>
      </c>
      <c r="PC11" s="27">
        <f t="shared" si="72"/>
        <v>0</v>
      </c>
      <c r="PD11" s="27">
        <f t="shared" si="73"/>
        <v>0</v>
      </c>
      <c r="PE11" s="24"/>
      <c r="PF11" s="27">
        <f t="shared" si="74"/>
        <v>0</v>
      </c>
      <c r="PG11" s="33">
        <f t="shared" si="3"/>
        <v>0</v>
      </c>
      <c r="PH11" s="2621"/>
      <c r="PJ11" s="1907">
        <v>1316</v>
      </c>
      <c r="PK11" s="3">
        <v>828</v>
      </c>
      <c r="PL11" s="3">
        <v>345</v>
      </c>
      <c r="PM11" s="3">
        <v>0</v>
      </c>
      <c r="PN11" s="3">
        <f t="shared" si="75"/>
        <v>26921.829776580689</v>
      </c>
      <c r="PO11" s="11">
        <f t="shared" si="76"/>
        <v>22256.37525319455</v>
      </c>
      <c r="PP11" s="15"/>
      <c r="PQ11" s="2615"/>
      <c r="PS11" s="4"/>
      <c r="PT11" s="9"/>
      <c r="PU11" s="9"/>
      <c r="PV11" s="9"/>
      <c r="PW11" s="8">
        <v>0</v>
      </c>
      <c r="PX11" s="9"/>
      <c r="PY11" s="8">
        <f t="shared" si="77"/>
        <v>0</v>
      </c>
      <c r="PZ11" s="5">
        <f t="shared" si="78"/>
        <v>1316</v>
      </c>
      <c r="QA11" s="5"/>
      <c r="QB11" s="5"/>
      <c r="QC11" s="5"/>
      <c r="QD11" s="5"/>
      <c r="QE11" s="5"/>
      <c r="QF11" s="12"/>
      <c r="QG11" s="12">
        <f t="shared" si="79"/>
        <v>29562.488999999998</v>
      </c>
      <c r="QH11" s="420">
        <f t="shared" si="80"/>
        <v>405019.31955851003</v>
      </c>
      <c r="QI11" s="1106">
        <f t="shared" si="81"/>
        <v>0</v>
      </c>
      <c r="QJ11" s="484">
        <f t="shared" si="82"/>
        <v>5505.3678056099998</v>
      </c>
      <c r="QK11" s="12"/>
      <c r="QL11" s="2615"/>
      <c r="QN11" s="139">
        <f t="shared" si="83"/>
        <v>0</v>
      </c>
      <c r="QO11" s="139" t="str">
        <f t="shared" si="84"/>
        <v/>
      </c>
      <c r="QQ11" s="139">
        <f t="shared" si="85"/>
        <v>0</v>
      </c>
      <c r="QR11" s="139">
        <f t="shared" si="86"/>
        <v>0</v>
      </c>
      <c r="QT11" s="1">
        <f t="shared" si="87"/>
        <v>0</v>
      </c>
      <c r="QU11" s="1">
        <f t="shared" si="88"/>
        <v>0</v>
      </c>
      <c r="QV11" s="1">
        <f t="shared" si="89"/>
        <v>0</v>
      </c>
      <c r="QW11" s="1">
        <f t="shared" si="90"/>
        <v>0</v>
      </c>
      <c r="QX11" s="1">
        <f t="shared" si="91"/>
        <v>0</v>
      </c>
      <c r="QY11" s="1">
        <f t="shared" si="92"/>
        <v>0</v>
      </c>
      <c r="RA11" s="1">
        <f t="shared" si="93"/>
        <v>0</v>
      </c>
      <c r="RB11" s="1">
        <f t="shared" si="94"/>
        <v>0</v>
      </c>
      <c r="RC11" s="1">
        <f t="shared" si="95"/>
        <v>0</v>
      </c>
      <c r="RD11" s="1">
        <f t="shared" si="96"/>
        <v>0</v>
      </c>
      <c r="RE11" s="1">
        <f t="shared" si="97"/>
        <v>0</v>
      </c>
      <c r="RF11" s="1">
        <f t="shared" si="98"/>
        <v>0</v>
      </c>
      <c r="RI11" s="1">
        <v>2</v>
      </c>
      <c r="RJ11" s="1">
        <f t="shared" si="99"/>
        <v>48544.391751083167</v>
      </c>
      <c r="RK11" s="1">
        <f t="shared" si="99"/>
        <v>2285.2435498622817</v>
      </c>
      <c r="RL11" s="1">
        <f t="shared" si="99"/>
        <v>9178.5689913333827</v>
      </c>
      <c r="RM11" s="89">
        <f t="shared" si="5"/>
        <v>60008.204292278831</v>
      </c>
      <c r="RN11" s="1033">
        <v>2</v>
      </c>
      <c r="RO11" s="1098">
        <f t="shared" si="100"/>
        <v>0</v>
      </c>
      <c r="RP11" s="1098">
        <f t="shared" si="101"/>
        <v>0</v>
      </c>
      <c r="RQ11" s="1097">
        <f t="shared" si="102"/>
        <v>0</v>
      </c>
      <c r="RR11" s="1097">
        <f t="shared" si="103"/>
        <v>6850.34</v>
      </c>
      <c r="RS11" s="1094"/>
      <c r="RT11" s="1096" t="s">
        <v>935</v>
      </c>
      <c r="RW11" s="421">
        <v>2</v>
      </c>
      <c r="RX11" s="1095">
        <f t="shared" si="104"/>
        <v>12881.21</v>
      </c>
      <c r="RY11" s="1096" t="s">
        <v>936</v>
      </c>
      <c r="SA11" s="1090"/>
      <c r="SB11" s="1090">
        <f t="shared" si="105"/>
        <v>0</v>
      </c>
      <c r="SC11" s="1090"/>
      <c r="SD11" s="1090">
        <f t="shared" si="106"/>
        <v>0</v>
      </c>
      <c r="SF11" s="1">
        <v>2</v>
      </c>
      <c r="SG11" s="1">
        <f t="shared" si="107"/>
        <v>0</v>
      </c>
      <c r="SH11" s="1094"/>
    </row>
    <row r="12" spans="1:502" s="1" customFormat="1">
      <c r="A12" s="1">
        <v>1630.7189913362533</v>
      </c>
      <c r="B12" s="471">
        <v>3</v>
      </c>
      <c r="C12" s="4">
        <f t="shared" si="6"/>
        <v>164792</v>
      </c>
      <c r="D12" s="1726">
        <f t="shared" si="108"/>
        <v>8939.4376000000011</v>
      </c>
      <c r="E12" s="1895">
        <f t="shared" si="7"/>
        <v>18.434269287812914</v>
      </c>
      <c r="F12" s="870"/>
      <c r="G12" s="870"/>
      <c r="H12" s="52">
        <v>30</v>
      </c>
      <c r="I12" s="61">
        <v>4.42</v>
      </c>
      <c r="J12" s="52"/>
      <c r="K12" s="54"/>
      <c r="L12" s="52"/>
      <c r="M12" s="61"/>
      <c r="N12" s="2629"/>
      <c r="O12" s="4">
        <f>+SUM(AQ12,BC12,AW12)</f>
        <v>111048</v>
      </c>
      <c r="P12" s="1225">
        <f t="shared" si="8"/>
        <v>7038.2900000000009</v>
      </c>
      <c r="Q12" s="1913">
        <f t="shared" si="9"/>
        <v>15.77769600286433</v>
      </c>
      <c r="R12" s="33"/>
      <c r="S12" s="26">
        <f t="shared" si="10"/>
        <v>36855</v>
      </c>
      <c r="T12" s="27">
        <f t="shared" si="109"/>
        <v>881.14759999999978</v>
      </c>
      <c r="U12" s="1909">
        <f t="shared" si="11"/>
        <v>41.826136733505273</v>
      </c>
      <c r="V12" s="28"/>
      <c r="W12" s="1742">
        <f t="shared" si="12"/>
        <v>16889</v>
      </c>
      <c r="X12" s="5">
        <f t="shared" si="12"/>
        <v>1020</v>
      </c>
      <c r="Y12" s="1738">
        <f t="shared" si="13"/>
        <v>16.557843137254903</v>
      </c>
      <c r="Z12" s="33"/>
      <c r="AA12" s="26">
        <f t="shared" si="14"/>
        <v>0</v>
      </c>
      <c r="AB12" s="27">
        <f t="shared" si="15"/>
        <v>0</v>
      </c>
      <c r="AC12" s="53">
        <f t="shared" si="16"/>
        <v>0</v>
      </c>
      <c r="AD12" s="28"/>
      <c r="AE12" s="36"/>
      <c r="AF12" s="36"/>
      <c r="AG12" s="53">
        <f t="shared" si="17"/>
        <v>0</v>
      </c>
      <c r="AH12" s="28"/>
      <c r="AI12" s="23"/>
      <c r="AJ12" s="27"/>
      <c r="AK12" s="53">
        <f t="shared" si="18"/>
        <v>0</v>
      </c>
      <c r="AL12" s="28"/>
      <c r="AM12" s="2629"/>
      <c r="AN12" s="9"/>
      <c r="AO12" s="5"/>
      <c r="AP12" s="61">
        <f t="shared" si="19"/>
        <v>0</v>
      </c>
      <c r="AQ12" s="36"/>
      <c r="AR12" s="53"/>
      <c r="AS12" s="61">
        <f t="shared" si="20"/>
        <v>0</v>
      </c>
      <c r="AT12" s="36"/>
      <c r="AU12" s="27"/>
      <c r="AV12" s="54">
        <f t="shared" si="21"/>
        <v>0</v>
      </c>
      <c r="AW12" s="26">
        <v>61110</v>
      </c>
      <c r="AX12" s="27">
        <v>4400.93</v>
      </c>
      <c r="AY12" s="1735">
        <f t="shared" ref="AY12:AY40" si="116">IFERROR(AW12/AX12,0)</f>
        <v>13.885701431288386</v>
      </c>
      <c r="AZ12" s="36"/>
      <c r="BA12" s="27"/>
      <c r="BB12" s="61">
        <f t="shared" si="22"/>
        <v>0</v>
      </c>
      <c r="BC12" s="1740">
        <v>49938</v>
      </c>
      <c r="BD12" s="1736">
        <v>2637.36</v>
      </c>
      <c r="BE12" s="1735">
        <f t="shared" si="23"/>
        <v>18.934843934843933</v>
      </c>
      <c r="BF12" s="36"/>
      <c r="BG12" s="53"/>
      <c r="BH12" s="61">
        <f t="shared" si="24"/>
        <v>0</v>
      </c>
      <c r="BI12" s="36">
        <v>0</v>
      </c>
      <c r="BJ12" s="53">
        <v>0</v>
      </c>
      <c r="BK12" s="61">
        <f t="shared" si="25"/>
        <v>0</v>
      </c>
      <c r="BL12" s="1742">
        <v>36855</v>
      </c>
      <c r="BM12" s="1909">
        <v>866.43999999999983</v>
      </c>
      <c r="BN12" s="2170">
        <v>14.707599999999998</v>
      </c>
      <c r="BO12" s="1735">
        <f t="shared" si="26"/>
        <v>42.536124832648547</v>
      </c>
      <c r="BP12" s="1125"/>
      <c r="BQ12" s="53"/>
      <c r="BR12" s="61">
        <f t="shared" si="27"/>
        <v>0</v>
      </c>
      <c r="BS12" s="36"/>
      <c r="BT12" s="53"/>
      <c r="BU12" s="61">
        <f t="shared" si="28"/>
        <v>0</v>
      </c>
      <c r="BV12" s="36">
        <v>16889</v>
      </c>
      <c r="BW12" s="27">
        <v>1020</v>
      </c>
      <c r="BX12" s="1906">
        <f t="shared" si="29"/>
        <v>16.557843137254903</v>
      </c>
      <c r="BY12" s="26"/>
      <c r="BZ12" s="27"/>
      <c r="CA12" s="61">
        <f t="shared" si="30"/>
        <v>0</v>
      </c>
      <c r="CB12" s="36"/>
      <c r="CC12" s="5"/>
      <c r="CD12" s="482">
        <f t="shared" si="31"/>
        <v>0</v>
      </c>
      <c r="CE12" s="4"/>
      <c r="CF12" s="280"/>
      <c r="CG12" s="28">
        <f t="shared" si="32"/>
        <v>0</v>
      </c>
      <c r="CH12" s="150"/>
      <c r="CI12" s="4"/>
      <c r="CJ12" s="5"/>
      <c r="CK12" s="5">
        <v>8153</v>
      </c>
      <c r="CL12" s="5"/>
      <c r="CM12" s="5"/>
      <c r="CN12" s="5"/>
      <c r="CO12" s="33"/>
      <c r="CP12" s="366"/>
      <c r="CR12" s="4">
        <f t="shared" si="33"/>
        <v>0</v>
      </c>
      <c r="CS12" s="9">
        <f t="shared" si="33"/>
        <v>0</v>
      </c>
      <c r="CT12" s="5">
        <f t="shared" si="33"/>
        <v>0</v>
      </c>
      <c r="CU12" s="5">
        <f t="shared" si="33"/>
        <v>0</v>
      </c>
      <c r="CV12" s="5">
        <f t="shared" si="33"/>
        <v>0</v>
      </c>
      <c r="CW12" s="5">
        <f t="shared" si="33"/>
        <v>0</v>
      </c>
      <c r="CX12" s="488">
        <f t="shared" si="33"/>
        <v>0</v>
      </c>
      <c r="CY12" s="5">
        <f t="shared" si="33"/>
        <v>0</v>
      </c>
      <c r="CZ12" s="5">
        <f t="shared" si="33"/>
        <v>7904.7300000000005</v>
      </c>
      <c r="DA12" s="5">
        <f t="shared" si="33"/>
        <v>0</v>
      </c>
      <c r="DB12" s="488">
        <f t="shared" si="33"/>
        <v>1020</v>
      </c>
      <c r="DC12" s="12">
        <f t="shared" si="33"/>
        <v>0</v>
      </c>
      <c r="DD12" s="310">
        <f t="shared" si="34"/>
        <v>8924.73</v>
      </c>
      <c r="DE12" s="2695"/>
      <c r="DF12" s="8"/>
      <c r="DG12" s="9"/>
      <c r="DH12" s="5"/>
      <c r="DI12" s="5"/>
      <c r="DJ12" s="5"/>
      <c r="DK12" s="5"/>
      <c r="DL12" s="5">
        <v>0</v>
      </c>
      <c r="DM12" s="5"/>
      <c r="DN12" s="5">
        <v>4400.93</v>
      </c>
      <c r="DO12" s="5"/>
      <c r="DP12" s="5"/>
      <c r="DQ12" s="12"/>
      <c r="DR12" s="1906">
        <f t="shared" si="35"/>
        <v>4400.93</v>
      </c>
      <c r="DS12" s="36"/>
      <c r="DT12" s="36"/>
      <c r="DU12" s="27"/>
      <c r="DV12" s="27"/>
      <c r="DW12" s="5"/>
      <c r="DX12" s="5"/>
      <c r="DY12" s="64"/>
      <c r="DZ12" s="5"/>
      <c r="EA12" s="5">
        <v>3503.8</v>
      </c>
      <c r="EB12" s="53"/>
      <c r="EC12" s="27">
        <v>0</v>
      </c>
      <c r="ED12" s="33"/>
      <c r="EE12" s="28">
        <f t="shared" si="36"/>
        <v>3503.8</v>
      </c>
      <c r="EF12" s="9"/>
      <c r="EG12" s="9"/>
      <c r="EH12" s="491"/>
      <c r="EI12" s="5"/>
      <c r="EJ12" s="27"/>
      <c r="EK12" s="27"/>
      <c r="EL12" s="27"/>
      <c r="EM12" s="27"/>
      <c r="EN12" s="5"/>
      <c r="EO12" s="5"/>
      <c r="EP12" s="5">
        <v>1020</v>
      </c>
      <c r="EQ12" s="33"/>
      <c r="ER12" s="28">
        <f t="shared" si="37"/>
        <v>1020</v>
      </c>
      <c r="ES12" s="36"/>
      <c r="ET12" s="27"/>
      <c r="EU12" s="27"/>
      <c r="EV12" s="27"/>
      <c r="EW12" s="27"/>
      <c r="EX12" s="27"/>
      <c r="EY12" s="33">
        <f t="shared" si="38"/>
        <v>0</v>
      </c>
      <c r="EZ12" s="2685"/>
      <c r="FB12" s="4">
        <f t="shared" si="39"/>
        <v>0</v>
      </c>
      <c r="FC12" s="5">
        <f t="shared" si="40"/>
        <v>0</v>
      </c>
      <c r="FD12" s="5">
        <f t="shared" si="41"/>
        <v>484.86</v>
      </c>
      <c r="FE12" s="12">
        <f t="shared" si="42"/>
        <v>484.86</v>
      </c>
      <c r="FF12" s="33"/>
      <c r="FG12" s="2674"/>
      <c r="FH12" s="9"/>
      <c r="FI12" s="5"/>
      <c r="FJ12" s="5"/>
      <c r="FK12" s="5"/>
      <c r="FL12" s="5"/>
      <c r="FM12" s="27"/>
      <c r="FN12" s="28">
        <f t="shared" si="43"/>
        <v>0</v>
      </c>
      <c r="FO12" s="36"/>
      <c r="FP12" s="27"/>
      <c r="FQ12" s="27"/>
      <c r="FR12" s="27"/>
      <c r="FS12" s="27"/>
      <c r="FT12" s="27"/>
      <c r="FU12" s="28">
        <f t="shared" si="44"/>
        <v>0</v>
      </c>
      <c r="FV12" s="36"/>
      <c r="FW12" s="36"/>
      <c r="FX12" s="27"/>
      <c r="FY12" s="27"/>
      <c r="FZ12" s="27"/>
      <c r="GA12" s="27"/>
      <c r="GB12" s="27"/>
      <c r="GC12" s="27"/>
      <c r="GD12" s="27">
        <v>484.86</v>
      </c>
      <c r="GE12" s="27"/>
      <c r="GF12" s="27"/>
      <c r="GG12" s="33"/>
      <c r="GH12" s="33">
        <f t="shared" si="45"/>
        <v>484.86</v>
      </c>
      <c r="GI12" s="2674"/>
      <c r="GK12" s="2">
        <f t="shared" si="110"/>
        <v>5745.61</v>
      </c>
      <c r="GL12" s="63">
        <f t="shared" si="111"/>
        <v>6624.3</v>
      </c>
      <c r="GM12" s="24">
        <f t="shared" si="112"/>
        <v>4926.55</v>
      </c>
      <c r="GN12" s="1736">
        <f t="shared" si="46"/>
        <v>17296.46</v>
      </c>
      <c r="GO12" s="141"/>
      <c r="GP12" s="141"/>
      <c r="GQ12" s="33"/>
      <c r="GR12" s="2667"/>
      <c r="GS12" s="1740">
        <v>7462.3899999999994</v>
      </c>
      <c r="GT12" s="1723">
        <v>0</v>
      </c>
      <c r="GU12" s="1723">
        <v>5628.17</v>
      </c>
      <c r="GV12" s="1723">
        <v>4205.8999999999996</v>
      </c>
      <c r="GW12" s="1724">
        <f t="shared" si="47"/>
        <v>17296.46</v>
      </c>
      <c r="GX12" s="2667"/>
      <c r="GY12" s="36"/>
      <c r="GZ12" s="36"/>
      <c r="HA12" s="27"/>
      <c r="HB12" s="27"/>
      <c r="HC12" s="27"/>
      <c r="HD12" s="27"/>
      <c r="HE12" s="27"/>
      <c r="HF12" s="27"/>
      <c r="HG12" s="27">
        <v>0</v>
      </c>
      <c r="HH12" s="27"/>
      <c r="HI12" s="2167">
        <v>5745.61</v>
      </c>
      <c r="HJ12" s="27"/>
      <c r="HK12" s="27">
        <v>0</v>
      </c>
      <c r="HL12" s="27"/>
      <c r="HM12" s="28">
        <f t="shared" si="48"/>
        <v>5745.61</v>
      </c>
      <c r="HN12" s="36"/>
      <c r="HO12" s="27"/>
      <c r="HP12" s="27"/>
      <c r="HQ12" s="27"/>
      <c r="HR12" s="27"/>
      <c r="HS12" s="27"/>
      <c r="HT12" s="27" cm="1">
        <f t="array" ref="HT12">SUMPRODUCT(('Data Base hauling'!$C$2:$C$216="TCM-ROM SB1 BK05-ROM 4")*(ISNUMBER(SEARCH(TEXT('May TCM'!$B12,"00")&amp;"/03/2026",'Data Base hauling'!$E$2:$E$216)))*'Data Base hauling'!$N$2:$N$216)</f>
        <v>0</v>
      </c>
      <c r="HU12" s="27"/>
      <c r="HV12" s="27" cm="1">
        <f t="array" ref="HV12">SUMPRODUCT(('Data Base hauling'!$C$2:$C$216="TCM-ROM SB1 BK05-ROM 5")*(ISNUMBER(SEARCH(TEXT('May TCM'!$B12,"00")&amp;"/03/2026",'Data Base hauling'!$E$2:$E$216)))*'Data Base hauling'!$N$2:$N$216)</f>
        <v>0</v>
      </c>
      <c r="HW12" s="27"/>
      <c r="HX12" s="27"/>
      <c r="HY12" s="27"/>
      <c r="HZ12" s="27"/>
      <c r="IA12" s="27"/>
      <c r="IB12" s="33">
        <f t="shared" si="49"/>
        <v>0</v>
      </c>
      <c r="IC12" s="52"/>
      <c r="ID12" s="152"/>
      <c r="IE12" s="53"/>
      <c r="IF12" s="53"/>
      <c r="IG12" s="53"/>
      <c r="IH12" s="53"/>
      <c r="II12" s="1736">
        <v>3837.65</v>
      </c>
      <c r="IJ12" s="1736"/>
      <c r="IK12" s="1736">
        <v>2786.65</v>
      </c>
      <c r="IL12" s="53"/>
      <c r="IM12" s="64">
        <v>0</v>
      </c>
      <c r="IN12" s="53"/>
      <c r="IO12" s="53"/>
      <c r="IP12" s="49">
        <v>0</v>
      </c>
      <c r="IQ12" s="2195">
        <f t="shared" si="50"/>
        <v>6624.3</v>
      </c>
      <c r="IR12" s="36"/>
      <c r="IS12" s="36"/>
      <c r="IT12" s="27"/>
      <c r="IU12" s="27"/>
      <c r="IV12" s="53"/>
      <c r="IW12" s="27"/>
      <c r="IX12" s="27">
        <v>0</v>
      </c>
      <c r="IY12" s="27"/>
      <c r="IZ12" s="27">
        <v>4926.55</v>
      </c>
      <c r="JA12" s="27"/>
      <c r="JB12" s="5">
        <v>0</v>
      </c>
      <c r="JC12" s="27"/>
      <c r="JD12" s="27"/>
      <c r="JE12" s="27"/>
      <c r="JF12" s="33">
        <f t="shared" ref="JF12:JF16" si="117">SUM(IR12:JE12)</f>
        <v>4926.55</v>
      </c>
      <c r="JG12" s="2667"/>
      <c r="JI12" s="2018">
        <v>7340.6</v>
      </c>
      <c r="JJ12" s="2017">
        <v>9955.86</v>
      </c>
      <c r="JK12" s="53"/>
      <c r="JL12" s="1736">
        <f t="shared" si="52"/>
        <v>17296.46</v>
      </c>
      <c r="JM12" s="33"/>
      <c r="JN12" s="2669"/>
      <c r="JO12" s="69">
        <v>0</v>
      </c>
      <c r="JP12" s="70">
        <v>0</v>
      </c>
      <c r="JQ12" s="70">
        <v>0</v>
      </c>
      <c r="JR12" s="70">
        <v>1.07824973435414E-2</v>
      </c>
      <c r="JS12" s="70">
        <v>0.98921750265645836</v>
      </c>
      <c r="JT12" s="70">
        <v>0</v>
      </c>
      <c r="JU12" s="70">
        <v>0</v>
      </c>
      <c r="JV12" s="1922">
        <v>0</v>
      </c>
      <c r="JW12" s="69">
        <v>0</v>
      </c>
      <c r="JX12" s="70">
        <v>0</v>
      </c>
      <c r="JY12" s="70">
        <v>0</v>
      </c>
      <c r="JZ12" s="70">
        <v>0.37751635720068377</v>
      </c>
      <c r="KA12" s="70">
        <v>4.5375286514675775E-2</v>
      </c>
      <c r="KB12" s="70">
        <v>0.5771083562846403</v>
      </c>
      <c r="KC12" s="70">
        <v>0</v>
      </c>
      <c r="KD12" s="71">
        <v>0</v>
      </c>
      <c r="KE12" s="69"/>
      <c r="KF12" s="70"/>
      <c r="KG12" s="70"/>
      <c r="KH12" s="70"/>
      <c r="KI12" s="70"/>
      <c r="KJ12" s="70"/>
      <c r="KK12" s="70"/>
      <c r="KL12" s="70"/>
      <c r="KM12" s="33"/>
      <c r="KN12" s="2669"/>
      <c r="KO12" s="1739">
        <v>7073.9264214046825</v>
      </c>
      <c r="KP12" s="1721">
        <v>0.70404682274247488</v>
      </c>
      <c r="KQ12" s="1721">
        <v>3.0167558528428096</v>
      </c>
      <c r="KR12" s="1721">
        <v>6.5272909698996653</v>
      </c>
      <c r="KS12" s="1722">
        <v>9.2437186488294323</v>
      </c>
      <c r="KT12" s="1958">
        <v>6626.2620070285047</v>
      </c>
      <c r="KU12" s="1961">
        <v>2.046786411557985</v>
      </c>
      <c r="KV12" s="1961">
        <v>8.7489183912534152</v>
      </c>
      <c r="KW12" s="1961">
        <v>5.4077391643889099</v>
      </c>
      <c r="KX12" s="1962">
        <v>9.1588270409996095</v>
      </c>
      <c r="KY12" s="36"/>
      <c r="KZ12" s="53"/>
      <c r="LA12" s="53"/>
      <c r="LB12" s="53"/>
      <c r="LC12" s="53"/>
      <c r="LD12" s="33"/>
      <c r="LE12" s="2669"/>
      <c r="LG12" s="998">
        <f t="shared" si="53"/>
        <v>8949.5040000000008</v>
      </c>
      <c r="LH12" s="27">
        <f t="shared" si="53"/>
        <v>13424.255999999999</v>
      </c>
      <c r="LI12" s="27">
        <f t="shared" si="53"/>
        <v>0</v>
      </c>
      <c r="LJ12" s="28">
        <f t="shared" si="54"/>
        <v>22373.760000000002</v>
      </c>
      <c r="LK12" s="36">
        <v>3</v>
      </c>
      <c r="LL12" s="27"/>
      <c r="LM12" s="27">
        <v>6</v>
      </c>
      <c r="LN12" s="33"/>
      <c r="LO12" s="1041">
        <v>3.83</v>
      </c>
      <c r="LP12" s="486"/>
      <c r="LQ12" s="2688"/>
      <c r="LR12" s="36"/>
      <c r="LS12" s="36"/>
      <c r="LT12" s="27"/>
      <c r="LU12" s="27"/>
      <c r="LV12" s="27"/>
      <c r="LW12" s="1117">
        <f t="shared" si="55"/>
        <v>0</v>
      </c>
      <c r="LX12" s="36">
        <v>8949.5040000000008</v>
      </c>
      <c r="LY12" s="36">
        <v>13424.255999999999</v>
      </c>
      <c r="LZ12" s="27"/>
      <c r="MA12" s="27"/>
      <c r="MB12" s="33"/>
      <c r="MC12" s="28">
        <f t="shared" si="56"/>
        <v>22373.760000000002</v>
      </c>
      <c r="MD12" s="26"/>
      <c r="ME12" s="36"/>
      <c r="MF12" s="27"/>
      <c r="MG12" s="27"/>
      <c r="MH12" s="27"/>
      <c r="MI12" s="28"/>
      <c r="MJ12" s="36"/>
      <c r="MK12" s="36"/>
      <c r="ML12" s="27"/>
      <c r="MM12" s="27"/>
      <c r="MN12" s="27"/>
      <c r="MO12" s="28"/>
      <c r="MP12" s="36"/>
      <c r="MQ12" s="36"/>
      <c r="MR12" s="27"/>
      <c r="MS12" s="27"/>
      <c r="MT12" s="27"/>
      <c r="MU12" s="33">
        <f t="shared" si="57"/>
        <v>0</v>
      </c>
      <c r="MV12" s="2688"/>
      <c r="MX12" s="26">
        <f t="shared" si="58"/>
        <v>169416.52209272343</v>
      </c>
      <c r="MY12" s="27">
        <f t="shared" si="59"/>
        <v>77023.786833323218</v>
      </c>
      <c r="MZ12" s="27">
        <f t="shared" si="60"/>
        <v>22381.37525319455</v>
      </c>
      <c r="NA12" s="28">
        <f t="shared" si="61"/>
        <v>433214.42855851003</v>
      </c>
      <c r="NB12" s="2621"/>
      <c r="NC12" s="23">
        <f t="shared" si="62"/>
        <v>62972.231091888258</v>
      </c>
      <c r="ND12" s="1579">
        <f t="shared" si="63"/>
        <v>106444.29100083518</v>
      </c>
      <c r="NE12" s="60">
        <f t="shared" si="64"/>
        <v>0</v>
      </c>
      <c r="NF12" s="275">
        <f t="shared" si="4"/>
        <v>169416.52209272343</v>
      </c>
      <c r="NG12" s="26">
        <f t="shared" si="65"/>
        <v>0</v>
      </c>
      <c r="NH12" s="27">
        <f t="shared" si="65"/>
        <v>0</v>
      </c>
      <c r="NI12" s="27">
        <f t="shared" si="65"/>
        <v>0</v>
      </c>
      <c r="NJ12" s="27">
        <f t="shared" si="65"/>
        <v>0</v>
      </c>
      <c r="NK12" s="27">
        <f t="shared" si="65"/>
        <v>0</v>
      </c>
      <c r="NL12" s="33">
        <f t="shared" si="65"/>
        <v>0</v>
      </c>
      <c r="NM12" s="27">
        <f t="shared" si="65"/>
        <v>0</v>
      </c>
      <c r="NN12" s="36">
        <f t="shared" si="65"/>
        <v>0</v>
      </c>
      <c r="NO12" s="24">
        <f t="shared" si="65"/>
        <v>2565.353144332058</v>
      </c>
      <c r="NP12" s="27">
        <f t="shared" si="65"/>
        <v>26196.696072681989</v>
      </c>
      <c r="NQ12" s="24">
        <f t="shared" si="113"/>
        <v>8756.5482322711578</v>
      </c>
      <c r="NR12" s="24">
        <f t="shared" si="114"/>
        <v>11964.382698058696</v>
      </c>
      <c r="NS12" s="27">
        <f t="shared" si="0"/>
        <v>49482.9801473439</v>
      </c>
      <c r="NT12" s="27">
        <f t="shared" si="66"/>
        <v>0</v>
      </c>
      <c r="NU12" s="27">
        <f t="shared" si="66"/>
        <v>0</v>
      </c>
      <c r="NV12" s="27">
        <f t="shared" si="66"/>
        <v>0</v>
      </c>
      <c r="NW12" s="27">
        <f t="shared" si="66"/>
        <v>0</v>
      </c>
      <c r="NX12" s="27">
        <f t="shared" si="66"/>
        <v>0</v>
      </c>
      <c r="NY12" s="27">
        <f t="shared" si="66"/>
        <v>0</v>
      </c>
      <c r="NZ12" s="27">
        <f t="shared" si="66"/>
        <v>6002.8027301930724</v>
      </c>
      <c r="OA12" s="27">
        <f t="shared" si="66"/>
        <v>0</v>
      </c>
      <c r="OB12" s="27">
        <f t="shared" si="66"/>
        <v>6073.2418418567595</v>
      </c>
      <c r="OC12" s="280"/>
      <c r="OD12" s="24">
        <f t="shared" si="67"/>
        <v>454.51223506073143</v>
      </c>
      <c r="OE12" s="27">
        <f t="shared" si="67"/>
        <v>0</v>
      </c>
      <c r="OF12" s="28">
        <f t="shared" si="1"/>
        <v>12530.556807110563</v>
      </c>
      <c r="OG12" s="27">
        <f t="shared" si="68"/>
        <v>0</v>
      </c>
      <c r="OH12" s="27">
        <f t="shared" si="68"/>
        <v>0</v>
      </c>
      <c r="OI12" s="27">
        <f t="shared" si="68"/>
        <v>0</v>
      </c>
      <c r="OJ12" s="27">
        <f t="shared" si="68"/>
        <v>0</v>
      </c>
      <c r="OK12" s="27">
        <f t="shared" si="68"/>
        <v>0</v>
      </c>
      <c r="OL12" s="27">
        <f t="shared" si="68"/>
        <v>0</v>
      </c>
      <c r="OM12" s="24">
        <f t="shared" si="68"/>
        <v>0</v>
      </c>
      <c r="ON12" s="27">
        <f t="shared" si="68"/>
        <v>0</v>
      </c>
      <c r="OO12" s="24">
        <f t="shared" si="115"/>
        <v>12176.54223531207</v>
      </c>
      <c r="OP12" s="27">
        <f t="shared" si="68"/>
        <v>0</v>
      </c>
      <c r="OQ12" s="27">
        <f t="shared" si="68"/>
        <v>2833.7076435566851</v>
      </c>
      <c r="OR12" s="27">
        <f t="shared" si="68"/>
        <v>0</v>
      </c>
      <c r="OS12" s="28">
        <f t="shared" si="2"/>
        <v>15010.249878868755</v>
      </c>
      <c r="OT12" s="36"/>
      <c r="OU12" s="27"/>
      <c r="OV12" s="27"/>
      <c r="OW12" s="27"/>
      <c r="OX12" s="27"/>
      <c r="OY12" s="27"/>
      <c r="OZ12" s="28">
        <f t="shared" si="69"/>
        <v>0</v>
      </c>
      <c r="PA12" s="36">
        <f t="shared" si="70"/>
        <v>0</v>
      </c>
      <c r="PB12" s="27">
        <f t="shared" si="71"/>
        <v>0</v>
      </c>
      <c r="PC12" s="27">
        <f t="shared" si="72"/>
        <v>0</v>
      </c>
      <c r="PD12" s="27">
        <f t="shared" si="73"/>
        <v>0</v>
      </c>
      <c r="PE12" s="24"/>
      <c r="PF12" s="27">
        <f t="shared" si="74"/>
        <v>0</v>
      </c>
      <c r="PG12" s="33">
        <f t="shared" si="3"/>
        <v>0</v>
      </c>
      <c r="PH12" s="2621"/>
      <c r="PJ12" s="1907">
        <v>1367.38</v>
      </c>
      <c r="PK12" s="3">
        <v>300</v>
      </c>
      <c r="PL12" s="3">
        <v>125</v>
      </c>
      <c r="PM12" s="3">
        <v>0</v>
      </c>
      <c r="PN12" s="3">
        <f t="shared" si="75"/>
        <v>27989.20977658069</v>
      </c>
      <c r="PO12" s="11">
        <f t="shared" si="76"/>
        <v>22381.37525319455</v>
      </c>
      <c r="PP12" s="15"/>
      <c r="PQ12" s="2615"/>
      <c r="PS12" s="4"/>
      <c r="PT12" s="9"/>
      <c r="PU12" s="9"/>
      <c r="PV12" s="9"/>
      <c r="PW12" s="8">
        <v>0</v>
      </c>
      <c r="PX12" s="9"/>
      <c r="PY12" s="8">
        <f t="shared" si="77"/>
        <v>0</v>
      </c>
      <c r="PZ12" s="5">
        <f t="shared" si="78"/>
        <v>1367.38</v>
      </c>
      <c r="QA12" s="5"/>
      <c r="QB12" s="5"/>
      <c r="QC12" s="5"/>
      <c r="QD12" s="5"/>
      <c r="QE12" s="5"/>
      <c r="QF12" s="12"/>
      <c r="QG12" s="12">
        <f t="shared" si="79"/>
        <v>29562.488999999998</v>
      </c>
      <c r="QH12" s="420">
        <f t="shared" si="80"/>
        <v>403651.93955851003</v>
      </c>
      <c r="QI12" s="1106">
        <f t="shared" si="81"/>
        <v>0</v>
      </c>
      <c r="QJ12" s="484">
        <f t="shared" si="82"/>
        <v>5505.3678056099998</v>
      </c>
      <c r="QK12" s="12"/>
      <c r="QL12" s="2615"/>
      <c r="QN12" s="139">
        <f t="shared" si="83"/>
        <v>0</v>
      </c>
      <c r="QO12" s="139" t="str">
        <f t="shared" si="84"/>
        <v/>
      </c>
      <c r="QQ12" s="139">
        <f t="shared" si="85"/>
        <v>0</v>
      </c>
      <c r="QR12" s="139">
        <f t="shared" si="86"/>
        <v>0</v>
      </c>
      <c r="QT12" s="1">
        <f t="shared" si="87"/>
        <v>0</v>
      </c>
      <c r="QU12" s="1">
        <f t="shared" si="88"/>
        <v>0</v>
      </c>
      <c r="QV12" s="1">
        <f t="shared" si="89"/>
        <v>0</v>
      </c>
      <c r="QW12" s="1">
        <f t="shared" si="90"/>
        <v>0</v>
      </c>
      <c r="QX12" s="1">
        <f t="shared" si="91"/>
        <v>0</v>
      </c>
      <c r="QY12" s="1">
        <f t="shared" si="92"/>
        <v>0</v>
      </c>
      <c r="RA12" s="1">
        <f t="shared" si="93"/>
        <v>0</v>
      </c>
      <c r="RB12" s="1">
        <f t="shared" si="94"/>
        <v>0</v>
      </c>
      <c r="RC12" s="1">
        <f t="shared" si="95"/>
        <v>0</v>
      </c>
      <c r="RD12" s="1">
        <f t="shared" si="96"/>
        <v>0</v>
      </c>
      <c r="RE12" s="1">
        <f t="shared" si="97"/>
        <v>0</v>
      </c>
      <c r="RF12" s="1">
        <f t="shared" si="98"/>
        <v>0</v>
      </c>
      <c r="RI12" s="1">
        <v>3</v>
      </c>
      <c r="RJ12" s="1">
        <f t="shared" si="99"/>
        <v>46935.487751083165</v>
      </c>
      <c r="RK12" s="1">
        <f t="shared" si="99"/>
        <v>-1183.1524501377171</v>
      </c>
      <c r="RL12" s="1">
        <f t="shared" si="99"/>
        <v>9178.5689913333827</v>
      </c>
      <c r="RM12" s="89">
        <f t="shared" si="5"/>
        <v>54930.904292278829</v>
      </c>
      <c r="RN12" s="1033">
        <v>3</v>
      </c>
      <c r="RO12" s="1098">
        <f t="shared" si="100"/>
        <v>0</v>
      </c>
      <c r="RP12" s="1098">
        <f t="shared" si="101"/>
        <v>0</v>
      </c>
      <c r="RQ12" s="1097">
        <f t="shared" si="102"/>
        <v>0</v>
      </c>
      <c r="RR12" s="1097">
        <f t="shared" si="103"/>
        <v>7904.73</v>
      </c>
      <c r="RS12" s="1094"/>
      <c r="RT12" s="1094" t="s">
        <v>937</v>
      </c>
      <c r="RW12" s="421">
        <v>3</v>
      </c>
      <c r="RX12" s="1095">
        <f t="shared" si="104"/>
        <v>17296.46</v>
      </c>
      <c r="RY12" s="1094" t="s">
        <v>938</v>
      </c>
      <c r="SA12" s="1090"/>
      <c r="SB12" s="1090">
        <f t="shared" si="105"/>
        <v>0</v>
      </c>
      <c r="SC12" s="1090"/>
      <c r="SD12" s="1090">
        <f t="shared" si="106"/>
        <v>0</v>
      </c>
      <c r="SF12" s="1">
        <v>3</v>
      </c>
      <c r="SG12" s="1">
        <f t="shared" si="107"/>
        <v>0</v>
      </c>
      <c r="SH12" s="1094"/>
    </row>
    <row r="13" spans="1:502" s="1" customFormat="1" ht="16.95" customHeight="1">
      <c r="B13" s="471">
        <v>4</v>
      </c>
      <c r="C13" s="4">
        <f t="shared" si="6"/>
        <v>127958.6</v>
      </c>
      <c r="D13" s="1726">
        <f t="shared" si="108"/>
        <v>8218.26</v>
      </c>
      <c r="E13" s="1895">
        <f t="shared" si="7"/>
        <v>15.570035506299387</v>
      </c>
      <c r="F13" s="870"/>
      <c r="G13" s="870"/>
      <c r="H13" s="52">
        <v>30</v>
      </c>
      <c r="I13" s="61">
        <v>9.02</v>
      </c>
      <c r="J13" s="52"/>
      <c r="K13" s="61"/>
      <c r="L13" s="52">
        <v>10</v>
      </c>
      <c r="M13" s="61">
        <v>6.67</v>
      </c>
      <c r="N13" s="2629"/>
      <c r="O13" s="4">
        <f t="shared" ref="O13:O40" si="118">+SUM(AQ13,BC13,AW13)</f>
        <v>86526</v>
      </c>
      <c r="P13" s="1225">
        <f t="shared" si="8"/>
        <v>6040.72</v>
      </c>
      <c r="Q13" s="1913">
        <f t="shared" si="9"/>
        <v>14.323789217179408</v>
      </c>
      <c r="R13" s="33"/>
      <c r="S13" s="26">
        <f t="shared" si="10"/>
        <v>25737.599999999999</v>
      </c>
      <c r="T13" s="27">
        <f t="shared" si="109"/>
        <v>1177.5400000000002</v>
      </c>
      <c r="U13" s="1909">
        <f t="shared" si="11"/>
        <v>21.85709190345975</v>
      </c>
      <c r="V13" s="28"/>
      <c r="W13" s="1742">
        <f t="shared" si="12"/>
        <v>15695</v>
      </c>
      <c r="X13" s="5">
        <f t="shared" si="12"/>
        <v>1000</v>
      </c>
      <c r="Y13" s="1738">
        <f t="shared" si="13"/>
        <v>15.695</v>
      </c>
      <c r="Z13" s="33"/>
      <c r="AA13" s="26">
        <f t="shared" si="14"/>
        <v>0</v>
      </c>
      <c r="AB13" s="27">
        <f t="shared" si="15"/>
        <v>0</v>
      </c>
      <c r="AC13" s="53">
        <f t="shared" si="16"/>
        <v>0</v>
      </c>
      <c r="AD13" s="28"/>
      <c r="AE13" s="36"/>
      <c r="AF13" s="36"/>
      <c r="AG13" s="53">
        <f t="shared" si="17"/>
        <v>0</v>
      </c>
      <c r="AH13" s="28"/>
      <c r="AI13" s="26"/>
      <c r="AJ13" s="27"/>
      <c r="AK13" s="53">
        <f t="shared" si="18"/>
        <v>0</v>
      </c>
      <c r="AL13" s="28"/>
      <c r="AM13" s="2629"/>
      <c r="AN13" s="9"/>
      <c r="AO13" s="5"/>
      <c r="AP13" s="61">
        <f t="shared" si="19"/>
        <v>0</v>
      </c>
      <c r="AQ13" s="36"/>
      <c r="AR13" s="53"/>
      <c r="AS13" s="61">
        <f t="shared" si="20"/>
        <v>0</v>
      </c>
      <c r="AT13" s="36"/>
      <c r="AU13" s="27"/>
      <c r="AV13" s="54">
        <f t="shared" si="21"/>
        <v>0</v>
      </c>
      <c r="AW13" s="26">
        <v>45786</v>
      </c>
      <c r="AX13" s="27">
        <v>4339.38</v>
      </c>
      <c r="AY13" s="1735">
        <f t="shared" si="116"/>
        <v>10.551276910526388</v>
      </c>
      <c r="AZ13" s="36"/>
      <c r="BA13" s="27"/>
      <c r="BB13" s="61">
        <f t="shared" si="22"/>
        <v>0</v>
      </c>
      <c r="BC13" s="1740">
        <v>40740</v>
      </c>
      <c r="BD13" s="1736">
        <v>1701.3400000000001</v>
      </c>
      <c r="BE13" s="1735">
        <f t="shared" si="23"/>
        <v>23.945830933264364</v>
      </c>
      <c r="BF13" s="36"/>
      <c r="BG13" s="53"/>
      <c r="BH13" s="61">
        <f t="shared" si="24"/>
        <v>0</v>
      </c>
      <c r="BI13" s="36">
        <v>0</v>
      </c>
      <c r="BJ13" s="53">
        <v>0</v>
      </c>
      <c r="BK13" s="61">
        <f t="shared" si="25"/>
        <v>0</v>
      </c>
      <c r="BL13" s="1742">
        <v>25737.599999999999</v>
      </c>
      <c r="BM13" s="1909">
        <v>1177.5400000000002</v>
      </c>
      <c r="BN13" s="2170"/>
      <c r="BO13" s="1735">
        <f t="shared" si="26"/>
        <v>21.85709190345975</v>
      </c>
      <c r="BP13" s="1125"/>
      <c r="BQ13" s="53"/>
      <c r="BR13" s="61">
        <f t="shared" si="27"/>
        <v>0</v>
      </c>
      <c r="BS13" s="36"/>
      <c r="BT13" s="53"/>
      <c r="BU13" s="61">
        <f t="shared" si="28"/>
        <v>0</v>
      </c>
      <c r="BV13" s="36">
        <v>15695</v>
      </c>
      <c r="BW13" s="5">
        <v>1000</v>
      </c>
      <c r="BX13" s="1906">
        <f t="shared" si="29"/>
        <v>15.695</v>
      </c>
      <c r="BY13" s="26"/>
      <c r="BZ13" s="27"/>
      <c r="CA13" s="61">
        <f t="shared" si="30"/>
        <v>0</v>
      </c>
      <c r="CB13" s="36"/>
      <c r="CC13" s="5"/>
      <c r="CD13" s="482">
        <f t="shared" si="31"/>
        <v>0</v>
      </c>
      <c r="CE13" s="4"/>
      <c r="CF13" s="5"/>
      <c r="CG13" s="28">
        <f t="shared" si="32"/>
        <v>0</v>
      </c>
      <c r="CH13" s="150"/>
      <c r="CI13" s="4"/>
      <c r="CJ13" s="5"/>
      <c r="CK13" s="5">
        <v>4803</v>
      </c>
      <c r="CL13" s="5"/>
      <c r="CM13" s="5"/>
      <c r="CN13" s="5"/>
      <c r="CO13" s="33"/>
      <c r="CP13" s="366"/>
      <c r="CR13" s="4">
        <f t="shared" si="33"/>
        <v>0</v>
      </c>
      <c r="CS13" s="9">
        <f t="shared" si="33"/>
        <v>0</v>
      </c>
      <c r="CT13" s="5">
        <f t="shared" si="33"/>
        <v>0</v>
      </c>
      <c r="CU13" s="5">
        <f t="shared" si="33"/>
        <v>0</v>
      </c>
      <c r="CV13" s="5">
        <f t="shared" si="33"/>
        <v>0</v>
      </c>
      <c r="CW13" s="5">
        <f t="shared" si="33"/>
        <v>0</v>
      </c>
      <c r="CX13" s="5">
        <f t="shared" si="33"/>
        <v>2690.62</v>
      </c>
      <c r="CY13" s="5">
        <f t="shared" si="33"/>
        <v>0</v>
      </c>
      <c r="CZ13" s="5">
        <f t="shared" si="33"/>
        <v>4527.6399999999994</v>
      </c>
      <c r="DA13" s="5">
        <f t="shared" si="33"/>
        <v>0</v>
      </c>
      <c r="DB13" s="5">
        <f t="shared" si="33"/>
        <v>1000</v>
      </c>
      <c r="DC13" s="12">
        <f t="shared" si="33"/>
        <v>0</v>
      </c>
      <c r="DD13" s="310">
        <f t="shared" si="34"/>
        <v>8218.2599999999984</v>
      </c>
      <c r="DE13" s="2695"/>
      <c r="DF13" s="8"/>
      <c r="DG13" s="9"/>
      <c r="DH13" s="5"/>
      <c r="DI13" s="5"/>
      <c r="DJ13" s="5"/>
      <c r="DK13" s="5"/>
      <c r="DL13" s="5">
        <v>2690.62</v>
      </c>
      <c r="DM13" s="5"/>
      <c r="DN13" s="5">
        <v>1648.7600000000002</v>
      </c>
      <c r="DO13" s="5"/>
      <c r="DP13" s="5"/>
      <c r="DQ13" s="12"/>
      <c r="DR13" s="1906">
        <f t="shared" si="35"/>
        <v>4339.38</v>
      </c>
      <c r="DS13" s="36"/>
      <c r="DT13" s="36"/>
      <c r="DU13" s="27"/>
      <c r="DV13" s="27"/>
      <c r="DW13" s="5"/>
      <c r="DX13" s="5"/>
      <c r="DY13" s="64"/>
      <c r="DZ13" s="5"/>
      <c r="EA13" s="5">
        <v>2878.8799999999997</v>
      </c>
      <c r="EB13" s="27"/>
      <c r="EC13" s="27">
        <v>0</v>
      </c>
      <c r="ED13" s="33"/>
      <c r="EE13" s="28">
        <f t="shared" si="36"/>
        <v>2878.8799999999997</v>
      </c>
      <c r="EF13" s="9"/>
      <c r="EG13" s="9"/>
      <c r="EH13" s="5"/>
      <c r="EI13" s="5"/>
      <c r="EJ13" s="27"/>
      <c r="EK13" s="27"/>
      <c r="EL13" s="27"/>
      <c r="EM13" s="27"/>
      <c r="EN13" s="5"/>
      <c r="EO13" s="5"/>
      <c r="EP13" s="5">
        <v>1000</v>
      </c>
      <c r="EQ13" s="33"/>
      <c r="ER13" s="28">
        <f t="shared" si="37"/>
        <v>1000</v>
      </c>
      <c r="ES13" s="36"/>
      <c r="ET13" s="27"/>
      <c r="EU13" s="27"/>
      <c r="EV13" s="27"/>
      <c r="EW13" s="27"/>
      <c r="EX13" s="27"/>
      <c r="EY13" s="33">
        <f t="shared" si="38"/>
        <v>0</v>
      </c>
      <c r="EZ13" s="2685"/>
      <c r="FB13" s="4">
        <f t="shared" si="39"/>
        <v>0</v>
      </c>
      <c r="FC13" s="5">
        <f t="shared" si="40"/>
        <v>0</v>
      </c>
      <c r="FD13" s="5">
        <f t="shared" si="41"/>
        <v>974.9799999999999</v>
      </c>
      <c r="FE13" s="12">
        <f t="shared" si="42"/>
        <v>974.9799999999999</v>
      </c>
      <c r="FF13" s="33"/>
      <c r="FG13" s="2674"/>
      <c r="FH13" s="9"/>
      <c r="FI13" s="5"/>
      <c r="FJ13" s="5"/>
      <c r="FK13" s="5"/>
      <c r="FL13" s="5"/>
      <c r="FM13" s="27"/>
      <c r="FN13" s="28">
        <f t="shared" si="43"/>
        <v>0</v>
      </c>
      <c r="FO13" s="36"/>
      <c r="FP13" s="27"/>
      <c r="FQ13" s="27"/>
      <c r="FR13" s="27"/>
      <c r="FS13" s="27"/>
      <c r="FT13" s="27"/>
      <c r="FU13" s="28">
        <f t="shared" si="44"/>
        <v>0</v>
      </c>
      <c r="FV13" s="36"/>
      <c r="FW13" s="36"/>
      <c r="FX13" s="27"/>
      <c r="FY13" s="27"/>
      <c r="FZ13" s="27"/>
      <c r="GA13" s="27"/>
      <c r="GB13" s="27"/>
      <c r="GC13" s="27"/>
      <c r="GD13" s="27">
        <v>974.9799999999999</v>
      </c>
      <c r="GE13" s="27"/>
      <c r="GF13" s="27"/>
      <c r="GG13" s="33"/>
      <c r="GH13" s="33">
        <f t="shared" si="45"/>
        <v>974.9799999999999</v>
      </c>
      <c r="GI13" s="2674"/>
      <c r="GK13" s="2">
        <f t="shared" si="110"/>
        <v>5402.4500000000007</v>
      </c>
      <c r="GL13" s="63">
        <f t="shared" si="111"/>
        <v>6784.78</v>
      </c>
      <c r="GM13" s="24">
        <f t="shared" si="112"/>
        <v>3329.35</v>
      </c>
      <c r="GN13" s="1736">
        <f t="shared" si="46"/>
        <v>15516.58</v>
      </c>
      <c r="GO13" s="141"/>
      <c r="GP13" s="141"/>
      <c r="GQ13" s="33"/>
      <c r="GR13" s="2667"/>
      <c r="GS13" s="1740">
        <v>6543.2199999999993</v>
      </c>
      <c r="GT13" s="1723">
        <v>0</v>
      </c>
      <c r="GU13" s="1723">
        <v>4427.3899999999994</v>
      </c>
      <c r="GV13" s="1723">
        <v>4545.97</v>
      </c>
      <c r="GW13" s="1724">
        <f t="shared" si="47"/>
        <v>15516.579999999998</v>
      </c>
      <c r="GX13" s="2667"/>
      <c r="GY13" s="36"/>
      <c r="GZ13" s="36"/>
      <c r="HA13" s="27"/>
      <c r="HB13" s="27"/>
      <c r="HC13" s="27"/>
      <c r="HD13" s="27"/>
      <c r="HE13" s="27"/>
      <c r="HF13" s="27"/>
      <c r="HG13" s="27">
        <v>153.63999999999999</v>
      </c>
      <c r="HH13" s="27"/>
      <c r="HI13" s="2167">
        <v>5248.81</v>
      </c>
      <c r="HJ13" s="27"/>
      <c r="HK13" s="27">
        <v>0</v>
      </c>
      <c r="HL13" s="27"/>
      <c r="HM13" s="28">
        <f t="shared" si="48"/>
        <v>5402.4500000000007</v>
      </c>
      <c r="HN13" s="36"/>
      <c r="HO13" s="27"/>
      <c r="HP13" s="27"/>
      <c r="HQ13" s="27"/>
      <c r="HR13" s="27"/>
      <c r="HS13" s="27"/>
      <c r="HT13" s="27" cm="1">
        <f t="array" ref="HT13">SUMPRODUCT(('Data Base hauling'!$C$2:$C$216="TCM-ROM SB1 BK05-ROM 4")*(ISNUMBER(SEARCH(TEXT('May TCM'!$B13,"00")&amp;"/03/2026",'Data Base hauling'!$E$2:$E$216)))*'Data Base hauling'!$N$2:$N$216)</f>
        <v>0</v>
      </c>
      <c r="HU13" s="27"/>
      <c r="HV13" s="27" cm="1">
        <f t="array" ref="HV13">SUMPRODUCT(('Data Base hauling'!$C$2:$C$216="TCM-ROM SB1 BK05-ROM 5")*(ISNUMBER(SEARCH(TEXT('May TCM'!$B13,"00")&amp;"/03/2026",'Data Base hauling'!$E$2:$E$216)))*'Data Base hauling'!$N$2:$N$216)</f>
        <v>0</v>
      </c>
      <c r="HW13" s="27"/>
      <c r="HX13" s="27"/>
      <c r="HY13" s="27"/>
      <c r="HZ13" s="27"/>
      <c r="IA13" s="27"/>
      <c r="IB13" s="33">
        <f t="shared" si="49"/>
        <v>0</v>
      </c>
      <c r="IC13" s="845"/>
      <c r="ID13" s="363"/>
      <c r="IE13" s="64"/>
      <c r="IF13" s="64"/>
      <c r="IG13" s="64"/>
      <c r="IH13" s="64"/>
      <c r="II13" s="1590">
        <v>3220.2</v>
      </c>
      <c r="IJ13" s="1590"/>
      <c r="IK13" s="1590">
        <v>3564.58</v>
      </c>
      <c r="IL13" s="64"/>
      <c r="IM13" s="64">
        <v>0</v>
      </c>
      <c r="IN13" s="64"/>
      <c r="IO13" s="64"/>
      <c r="IP13" s="49">
        <v>0</v>
      </c>
      <c r="IQ13" s="2195">
        <f t="shared" si="50"/>
        <v>6784.78</v>
      </c>
      <c r="IR13" s="36"/>
      <c r="IS13" s="36"/>
      <c r="IT13" s="27"/>
      <c r="IU13" s="27"/>
      <c r="IV13" s="53"/>
      <c r="IW13" s="27"/>
      <c r="IX13" s="27">
        <v>0</v>
      </c>
      <c r="IY13" s="27"/>
      <c r="IZ13" s="27">
        <v>3253.95</v>
      </c>
      <c r="JA13" s="27"/>
      <c r="JB13" s="27">
        <v>75.400000000000006</v>
      </c>
      <c r="JC13" s="27"/>
      <c r="JD13" s="27"/>
      <c r="JE13" s="27"/>
      <c r="JF13" s="33">
        <f t="shared" si="117"/>
        <v>3329.35</v>
      </c>
      <c r="JG13" s="2667"/>
      <c r="JI13" s="2018">
        <v>6458.67</v>
      </c>
      <c r="JJ13" s="2017">
        <v>9057.91</v>
      </c>
      <c r="JK13" s="53"/>
      <c r="JL13" s="1736">
        <f t="shared" si="52"/>
        <v>15516.58</v>
      </c>
      <c r="JM13" s="33"/>
      <c r="JN13" s="2669"/>
      <c r="JO13" s="69">
        <v>0</v>
      </c>
      <c r="JP13" s="70">
        <v>0</v>
      </c>
      <c r="JQ13" s="70">
        <v>0</v>
      </c>
      <c r="JR13" s="70">
        <v>1.1023941461632193E-2</v>
      </c>
      <c r="JS13" s="70">
        <v>0.98897605853836779</v>
      </c>
      <c r="JT13" s="70">
        <v>0</v>
      </c>
      <c r="JU13" s="70">
        <v>0</v>
      </c>
      <c r="JV13" s="1922">
        <v>0</v>
      </c>
      <c r="JW13" s="69">
        <v>0</v>
      </c>
      <c r="JX13" s="70">
        <v>0</v>
      </c>
      <c r="JY13" s="70">
        <v>0</v>
      </c>
      <c r="JZ13" s="70">
        <v>0.34765194178347986</v>
      </c>
      <c r="KA13" s="70">
        <v>6.4551314817656621E-2</v>
      </c>
      <c r="KB13" s="70">
        <v>0.58779674339886356</v>
      </c>
      <c r="KC13" s="70">
        <v>0</v>
      </c>
      <c r="KD13" s="71">
        <v>0</v>
      </c>
      <c r="KE13" s="69"/>
      <c r="KF13" s="70"/>
      <c r="KG13" s="70"/>
      <c r="KH13" s="70"/>
      <c r="KI13" s="70"/>
      <c r="KJ13" s="70"/>
      <c r="KK13" s="70"/>
      <c r="KL13" s="70"/>
      <c r="KM13" s="33"/>
      <c r="KN13" s="2669"/>
      <c r="KO13" s="1739">
        <v>7144.6715783077625</v>
      </c>
      <c r="KP13" s="1721">
        <v>0.85759532128209026</v>
      </c>
      <c r="KQ13" s="1721">
        <v>2.8649870879538204</v>
      </c>
      <c r="KR13" s="1721">
        <v>6.4421707428224213</v>
      </c>
      <c r="KS13" s="1722">
        <v>9.6127816433237125</v>
      </c>
      <c r="KT13" s="1958">
        <v>6653.5394325169918</v>
      </c>
      <c r="KU13" s="1961">
        <v>2.5328708598554321</v>
      </c>
      <c r="KV13" s="1961">
        <v>10.420126227208975</v>
      </c>
      <c r="KW13" s="1961">
        <v>4.8343532204121269</v>
      </c>
      <c r="KX13" s="1962">
        <v>9.1864136627467907</v>
      </c>
      <c r="KY13" s="36"/>
      <c r="KZ13" s="53"/>
      <c r="LA13" s="53"/>
      <c r="LB13" s="53"/>
      <c r="LC13" s="53"/>
      <c r="LD13" s="33"/>
      <c r="LE13" s="2669"/>
      <c r="LG13" s="998">
        <f t="shared" si="53"/>
        <v>0</v>
      </c>
      <c r="LH13" s="27">
        <f t="shared" si="53"/>
        <v>0</v>
      </c>
      <c r="LI13" s="27">
        <f t="shared" si="53"/>
        <v>0</v>
      </c>
      <c r="LJ13" s="28">
        <f t="shared" si="54"/>
        <v>0</v>
      </c>
      <c r="LK13" s="36"/>
      <c r="LL13" s="27"/>
      <c r="LM13" s="27">
        <v>6</v>
      </c>
      <c r="LN13" s="33"/>
      <c r="LO13" s="1041">
        <v>4.6500000000000004</v>
      </c>
      <c r="LP13" s="486" t="s">
        <v>939</v>
      </c>
      <c r="LQ13" s="2688"/>
      <c r="LR13" s="21"/>
      <c r="LS13" s="2103"/>
      <c r="LT13" s="27"/>
      <c r="LU13" s="27"/>
      <c r="LV13" s="27"/>
      <c r="LW13" s="1117">
        <f t="shared" si="55"/>
        <v>0</v>
      </c>
      <c r="LX13" s="36"/>
      <c r="LY13" s="36"/>
      <c r="LZ13" s="27"/>
      <c r="MA13" s="27"/>
      <c r="MB13" s="33"/>
      <c r="MC13" s="28">
        <f t="shared" si="56"/>
        <v>0</v>
      </c>
      <c r="MD13" s="26"/>
      <c r="ME13" s="36"/>
      <c r="MF13" s="27"/>
      <c r="MG13" s="27"/>
      <c r="MH13" s="27"/>
      <c r="MI13" s="28"/>
      <c r="MJ13" s="36"/>
      <c r="MK13" s="36"/>
      <c r="ML13" s="27"/>
      <c r="MM13" s="27"/>
      <c r="MN13" s="27"/>
      <c r="MO13" s="28"/>
      <c r="MP13" s="36"/>
      <c r="MQ13" s="36"/>
      <c r="MR13" s="27"/>
      <c r="MS13" s="27"/>
      <c r="MT13" s="27"/>
      <c r="MU13" s="33">
        <f t="shared" si="57"/>
        <v>0</v>
      </c>
      <c r="MV13" s="2688"/>
      <c r="MX13" s="26">
        <f t="shared" si="58"/>
        <v>184933.10209272342</v>
      </c>
      <c r="MY13" s="27">
        <f t="shared" si="59"/>
        <v>70700.446833323222</v>
      </c>
      <c r="MZ13" s="27">
        <f t="shared" si="60"/>
        <v>22668.87525319455</v>
      </c>
      <c r="NA13" s="28">
        <f t="shared" si="61"/>
        <v>432141.38855851005</v>
      </c>
      <c r="NB13" s="2621"/>
      <c r="NC13" s="23">
        <f t="shared" si="62"/>
        <v>69430.901091888256</v>
      </c>
      <c r="ND13" s="1579">
        <f t="shared" si="63"/>
        <v>115502.20100083518</v>
      </c>
      <c r="NE13" s="60">
        <f t="shared" si="64"/>
        <v>0</v>
      </c>
      <c r="NF13" s="275">
        <f t="shared" si="4"/>
        <v>184933.10209272342</v>
      </c>
      <c r="NG13" s="26">
        <f t="shared" si="65"/>
        <v>0</v>
      </c>
      <c r="NH13" s="27">
        <f t="shared" si="65"/>
        <v>0</v>
      </c>
      <c r="NI13" s="27">
        <f t="shared" si="65"/>
        <v>0</v>
      </c>
      <c r="NJ13" s="27">
        <f t="shared" si="65"/>
        <v>0</v>
      </c>
      <c r="NK13" s="27">
        <f t="shared" si="65"/>
        <v>0</v>
      </c>
      <c r="NL13" s="33">
        <f t="shared" si="65"/>
        <v>0</v>
      </c>
      <c r="NM13" s="27">
        <f t="shared" si="65"/>
        <v>0</v>
      </c>
      <c r="NN13" s="36">
        <f t="shared" si="65"/>
        <v>0</v>
      </c>
      <c r="NO13" s="24">
        <f t="shared" si="65"/>
        <v>2411.7131443320582</v>
      </c>
      <c r="NP13" s="27">
        <f t="shared" si="65"/>
        <v>26196.696072681989</v>
      </c>
      <c r="NQ13" s="24">
        <f t="shared" si="113"/>
        <v>8756.5482322711578</v>
      </c>
      <c r="NR13" s="24">
        <f t="shared" si="114"/>
        <v>7715.572698058696</v>
      </c>
      <c r="NS13" s="27">
        <f t="shared" si="0"/>
        <v>45080.530147343903</v>
      </c>
      <c r="NT13" s="27">
        <f t="shared" si="66"/>
        <v>0</v>
      </c>
      <c r="NU13" s="27">
        <f t="shared" si="66"/>
        <v>0</v>
      </c>
      <c r="NV13" s="27">
        <f t="shared" si="66"/>
        <v>0</v>
      </c>
      <c r="NW13" s="27">
        <f t="shared" si="66"/>
        <v>0</v>
      </c>
      <c r="NX13" s="27">
        <f t="shared" si="66"/>
        <v>0</v>
      </c>
      <c r="NY13" s="27">
        <f t="shared" si="66"/>
        <v>0</v>
      </c>
      <c r="NZ13" s="27">
        <f t="shared" si="66"/>
        <v>5473.2227301930734</v>
      </c>
      <c r="OA13" s="27">
        <f t="shared" si="66"/>
        <v>0</v>
      </c>
      <c r="OB13" s="27">
        <f t="shared" si="66"/>
        <v>4157.4218418567598</v>
      </c>
      <c r="OC13" s="280"/>
      <c r="OD13" s="24">
        <f t="shared" si="67"/>
        <v>454.51223506073143</v>
      </c>
      <c r="OE13" s="27">
        <f t="shared" si="67"/>
        <v>0</v>
      </c>
      <c r="OF13" s="28">
        <f t="shared" si="1"/>
        <v>10085.156807110565</v>
      </c>
      <c r="OG13" s="27">
        <f t="shared" si="68"/>
        <v>0</v>
      </c>
      <c r="OH13" s="27">
        <f t="shared" si="68"/>
        <v>0</v>
      </c>
      <c r="OI13" s="27">
        <f t="shared" si="68"/>
        <v>0</v>
      </c>
      <c r="OJ13" s="27">
        <f t="shared" si="68"/>
        <v>0</v>
      </c>
      <c r="OK13" s="27">
        <f t="shared" si="68"/>
        <v>0</v>
      </c>
      <c r="OL13" s="27">
        <f t="shared" si="68"/>
        <v>0</v>
      </c>
      <c r="OM13" s="24">
        <f t="shared" si="68"/>
        <v>0</v>
      </c>
      <c r="ON13" s="27">
        <f t="shared" si="68"/>
        <v>0</v>
      </c>
      <c r="OO13" s="24">
        <f>+OO12+EA13+GD13+QF13-IZ13</f>
        <v>12776.45223531207</v>
      </c>
      <c r="OP13" s="27">
        <f t="shared" si="68"/>
        <v>0</v>
      </c>
      <c r="OQ13" s="27">
        <f t="shared" si="68"/>
        <v>2758.307643556685</v>
      </c>
      <c r="OR13" s="27">
        <f t="shared" si="68"/>
        <v>0</v>
      </c>
      <c r="OS13" s="28">
        <f t="shared" si="2"/>
        <v>15534.759878868756</v>
      </c>
      <c r="OT13" s="36"/>
      <c r="OU13" s="27"/>
      <c r="OV13" s="27"/>
      <c r="OW13" s="27"/>
      <c r="OX13" s="27"/>
      <c r="OY13" s="27"/>
      <c r="OZ13" s="28">
        <f t="shared" si="69"/>
        <v>0</v>
      </c>
      <c r="PA13" s="36">
        <f t="shared" si="70"/>
        <v>0</v>
      </c>
      <c r="PB13" s="27">
        <f t="shared" si="71"/>
        <v>0</v>
      </c>
      <c r="PC13" s="27">
        <f t="shared" si="72"/>
        <v>0</v>
      </c>
      <c r="PD13" s="27">
        <f t="shared" si="73"/>
        <v>0</v>
      </c>
      <c r="PE13" s="24"/>
      <c r="PF13" s="27">
        <f t="shared" si="74"/>
        <v>0</v>
      </c>
      <c r="PG13" s="33">
        <f t="shared" si="3"/>
        <v>0</v>
      </c>
      <c r="PH13" s="2621"/>
      <c r="PJ13" s="1907">
        <v>1073.04</v>
      </c>
      <c r="PK13" s="3">
        <v>690</v>
      </c>
      <c r="PL13" s="3">
        <v>287.5</v>
      </c>
      <c r="PM13" s="3">
        <v>0</v>
      </c>
      <c r="PN13" s="3">
        <f t="shared" si="75"/>
        <v>28372.249776580691</v>
      </c>
      <c r="PO13" s="11">
        <f t="shared" si="76"/>
        <v>22668.87525319455</v>
      </c>
      <c r="PP13" s="15"/>
      <c r="PQ13" s="2615"/>
      <c r="PS13" s="4"/>
      <c r="PT13" s="9"/>
      <c r="PU13" s="9"/>
      <c r="PV13" s="9"/>
      <c r="PW13" s="8">
        <v>0</v>
      </c>
      <c r="PX13" s="9"/>
      <c r="PY13" s="8">
        <f t="shared" si="77"/>
        <v>0</v>
      </c>
      <c r="PZ13" s="5">
        <f t="shared" si="78"/>
        <v>1073.04</v>
      </c>
      <c r="QA13" s="5"/>
      <c r="QB13" s="5"/>
      <c r="QC13" s="5"/>
      <c r="QD13" s="5"/>
      <c r="QE13" s="5"/>
      <c r="QF13" s="12"/>
      <c r="QG13" s="12">
        <f t="shared" si="79"/>
        <v>29562.488999999998</v>
      </c>
      <c r="QH13" s="420">
        <f t="shared" si="80"/>
        <v>402578.89955851005</v>
      </c>
      <c r="QI13" s="1106">
        <f t="shared" si="81"/>
        <v>0</v>
      </c>
      <c r="QJ13" s="484">
        <f t="shared" si="82"/>
        <v>5505.3678056099998</v>
      </c>
      <c r="QK13" s="12"/>
      <c r="QL13" s="2615"/>
      <c r="QN13" s="139">
        <f t="shared" si="83"/>
        <v>0</v>
      </c>
      <c r="QO13" s="139" t="str">
        <f t="shared" si="84"/>
        <v/>
      </c>
      <c r="QQ13" s="139">
        <f t="shared" si="85"/>
        <v>0</v>
      </c>
      <c r="QR13" s="139">
        <f t="shared" si="86"/>
        <v>0</v>
      </c>
      <c r="QT13" s="1">
        <f t="shared" si="87"/>
        <v>0</v>
      </c>
      <c r="QU13" s="1">
        <f t="shared" si="88"/>
        <v>0</v>
      </c>
      <c r="QV13" s="1">
        <f t="shared" si="89"/>
        <v>0</v>
      </c>
      <c r="QW13" s="1">
        <f t="shared" si="90"/>
        <v>0</v>
      </c>
      <c r="QX13" s="1">
        <f t="shared" si="91"/>
        <v>0</v>
      </c>
      <c r="QY13" s="1">
        <f t="shared" si="92"/>
        <v>0</v>
      </c>
      <c r="RA13" s="1">
        <f t="shared" si="93"/>
        <v>0</v>
      </c>
      <c r="RB13" s="1">
        <f t="shared" si="94"/>
        <v>0</v>
      </c>
      <c r="RC13" s="1">
        <f t="shared" si="95"/>
        <v>0</v>
      </c>
      <c r="RD13" s="1">
        <f t="shared" si="96"/>
        <v>0</v>
      </c>
      <c r="RE13" s="1">
        <f t="shared" si="97"/>
        <v>0</v>
      </c>
      <c r="RF13" s="1">
        <f t="shared" si="98"/>
        <v>0</v>
      </c>
      <c r="RI13" s="1">
        <v>4</v>
      </c>
      <c r="RJ13" s="1">
        <f t="shared" si="99"/>
        <v>53394.157751083163</v>
      </c>
      <c r="RK13" s="1">
        <f t="shared" si="99"/>
        <v>7874.7575498622828</v>
      </c>
      <c r="RL13" s="1">
        <f t="shared" si="99"/>
        <v>9178.5689913333827</v>
      </c>
      <c r="RM13" s="89">
        <f t="shared" si="5"/>
        <v>70447.484292278823</v>
      </c>
      <c r="RN13" s="1033">
        <v>4</v>
      </c>
      <c r="RO13" s="1098">
        <f t="shared" si="100"/>
        <v>0</v>
      </c>
      <c r="RP13" s="1098">
        <f t="shared" si="101"/>
        <v>0</v>
      </c>
      <c r="RQ13" s="1097">
        <f t="shared" si="102"/>
        <v>0</v>
      </c>
      <c r="RR13" s="1097">
        <f t="shared" si="103"/>
        <v>7218.26</v>
      </c>
      <c r="RS13" s="1094"/>
      <c r="RT13" s="1094" t="s">
        <v>940</v>
      </c>
      <c r="RW13" s="421">
        <v>4</v>
      </c>
      <c r="RX13" s="1095">
        <f t="shared" si="104"/>
        <v>15516.579999999998</v>
      </c>
      <c r="RY13" s="1094" t="s">
        <v>941</v>
      </c>
      <c r="SA13" s="1090"/>
      <c r="SB13" s="1090">
        <f t="shared" si="105"/>
        <v>0</v>
      </c>
      <c r="SC13" s="1090"/>
      <c r="SD13" s="1090">
        <f t="shared" si="106"/>
        <v>0</v>
      </c>
      <c r="SF13" s="1">
        <v>4</v>
      </c>
      <c r="SG13" s="1">
        <f t="shared" si="107"/>
        <v>0</v>
      </c>
      <c r="SH13" s="1094"/>
    </row>
    <row r="14" spans="1:502" s="1" customFormat="1" ht="13.5" customHeight="1">
      <c r="B14" s="471">
        <v>5</v>
      </c>
      <c r="C14" s="4">
        <f t="shared" si="6"/>
        <v>158437.20000000001</v>
      </c>
      <c r="D14" s="1726">
        <f t="shared" si="108"/>
        <v>11346.954</v>
      </c>
      <c r="E14" s="1895">
        <f t="shared" si="7"/>
        <v>13.962971912990923</v>
      </c>
      <c r="F14" s="870"/>
      <c r="G14" s="870"/>
      <c r="H14" s="52"/>
      <c r="I14" s="61"/>
      <c r="J14" s="52"/>
      <c r="K14" s="54"/>
      <c r="L14" s="52">
        <v>1</v>
      </c>
      <c r="M14" s="61">
        <v>3.25</v>
      </c>
      <c r="N14" s="2629"/>
      <c r="O14" s="4">
        <f t="shared" si="118"/>
        <v>102178</v>
      </c>
      <c r="P14" s="1225">
        <f t="shared" si="8"/>
        <v>6994.74</v>
      </c>
      <c r="Q14" s="1913">
        <f t="shared" si="9"/>
        <v>14.607833886606223</v>
      </c>
      <c r="R14" s="33"/>
      <c r="S14" s="26">
        <f t="shared" si="10"/>
        <v>32801.199999999997</v>
      </c>
      <c r="T14" s="27">
        <f t="shared" si="109"/>
        <v>2492.2139999999999</v>
      </c>
      <c r="U14" s="1909">
        <f t="shared" si="11"/>
        <v>13.161470082424703</v>
      </c>
      <c r="V14" s="28"/>
      <c r="W14" s="1742">
        <f t="shared" si="12"/>
        <v>23458</v>
      </c>
      <c r="X14" s="5">
        <f t="shared" si="12"/>
        <v>1860</v>
      </c>
      <c r="Y14" s="1738">
        <f t="shared" si="13"/>
        <v>12.611827956989247</v>
      </c>
      <c r="Z14" s="33"/>
      <c r="AA14" s="26">
        <f t="shared" si="14"/>
        <v>0</v>
      </c>
      <c r="AB14" s="27">
        <f t="shared" si="15"/>
        <v>0</v>
      </c>
      <c r="AC14" s="53">
        <f t="shared" si="16"/>
        <v>0</v>
      </c>
      <c r="AD14" s="28"/>
      <c r="AE14" s="36"/>
      <c r="AF14" s="36"/>
      <c r="AG14" s="53">
        <f t="shared" si="17"/>
        <v>0</v>
      </c>
      <c r="AH14" s="28"/>
      <c r="AI14" s="23"/>
      <c r="AJ14" s="27"/>
      <c r="AK14" s="53">
        <f t="shared" si="18"/>
        <v>0</v>
      </c>
      <c r="AL14" s="28"/>
      <c r="AM14" s="2629"/>
      <c r="AN14" s="9"/>
      <c r="AO14" s="5"/>
      <c r="AP14" s="61">
        <f t="shared" si="19"/>
        <v>0</v>
      </c>
      <c r="AQ14" s="36"/>
      <c r="AR14" s="53"/>
      <c r="AS14" s="61">
        <f t="shared" si="20"/>
        <v>0</v>
      </c>
      <c r="AT14" s="36"/>
      <c r="AU14" s="27"/>
      <c r="AV14" s="54">
        <f t="shared" si="21"/>
        <v>0</v>
      </c>
      <c r="AW14" s="26">
        <v>66016</v>
      </c>
      <c r="AX14" s="27">
        <v>6037.74</v>
      </c>
      <c r="AY14" s="1735">
        <f t="shared" si="116"/>
        <v>10.933892482948918</v>
      </c>
      <c r="AZ14" s="36"/>
      <c r="BA14" s="27"/>
      <c r="BB14" s="61">
        <f t="shared" si="22"/>
        <v>0</v>
      </c>
      <c r="BC14" s="1740">
        <v>36162</v>
      </c>
      <c r="BD14" s="1736">
        <v>957</v>
      </c>
      <c r="BE14" s="1735">
        <f t="shared" si="23"/>
        <v>37.786833855799372</v>
      </c>
      <c r="BF14" s="36"/>
      <c r="BG14" s="53"/>
      <c r="BH14" s="61">
        <f t="shared" si="24"/>
        <v>0</v>
      </c>
      <c r="BI14" s="36">
        <v>0</v>
      </c>
      <c r="BJ14" s="53">
        <v>0</v>
      </c>
      <c r="BK14" s="61">
        <f t="shared" si="25"/>
        <v>0</v>
      </c>
      <c r="BL14" s="1742">
        <v>32801.199999999997</v>
      </c>
      <c r="BM14" s="1909">
        <v>2186.94</v>
      </c>
      <c r="BN14" s="2170">
        <v>305.274</v>
      </c>
      <c r="BO14" s="1735">
        <f t="shared" si="26"/>
        <v>14.998673946244523</v>
      </c>
      <c r="BP14" s="36"/>
      <c r="BQ14" s="53"/>
      <c r="BR14" s="61">
        <f t="shared" si="27"/>
        <v>0</v>
      </c>
      <c r="BS14" s="36"/>
      <c r="BT14" s="53"/>
      <c r="BU14" s="61">
        <f t="shared" si="28"/>
        <v>0</v>
      </c>
      <c r="BV14" s="36">
        <v>23458</v>
      </c>
      <c r="BW14" s="5">
        <v>1860</v>
      </c>
      <c r="BX14" s="1906">
        <f t="shared" si="29"/>
        <v>12.611827956989247</v>
      </c>
      <c r="BY14" s="26"/>
      <c r="BZ14" s="27"/>
      <c r="CA14" s="61">
        <f t="shared" si="30"/>
        <v>0</v>
      </c>
      <c r="CB14" s="36"/>
      <c r="CC14" s="481"/>
      <c r="CD14" s="482">
        <f t="shared" si="31"/>
        <v>0</v>
      </c>
      <c r="CE14" s="4"/>
      <c r="CF14" s="5"/>
      <c r="CG14" s="28">
        <f t="shared" si="32"/>
        <v>0</v>
      </c>
      <c r="CH14" s="150"/>
      <c r="CI14" s="4"/>
      <c r="CJ14" s="5"/>
      <c r="CK14" s="5">
        <v>5539</v>
      </c>
      <c r="CL14" s="5"/>
      <c r="CM14" s="5"/>
      <c r="CN14" s="5"/>
      <c r="CO14" s="33"/>
      <c r="CP14" s="366"/>
      <c r="CR14" s="4">
        <f t="shared" si="33"/>
        <v>0</v>
      </c>
      <c r="CS14" s="9">
        <f t="shared" si="33"/>
        <v>0</v>
      </c>
      <c r="CT14" s="5">
        <f t="shared" si="33"/>
        <v>0</v>
      </c>
      <c r="CU14" s="5">
        <f t="shared" si="33"/>
        <v>0</v>
      </c>
      <c r="CV14" s="5">
        <f t="shared" si="33"/>
        <v>0</v>
      </c>
      <c r="CW14" s="5">
        <f t="shared" si="33"/>
        <v>0</v>
      </c>
      <c r="CX14" s="5">
        <f t="shared" si="33"/>
        <v>0</v>
      </c>
      <c r="CY14" s="5">
        <f t="shared" si="33"/>
        <v>0</v>
      </c>
      <c r="CZ14" s="5">
        <f t="shared" si="33"/>
        <v>9181.68</v>
      </c>
      <c r="DA14" s="5">
        <f t="shared" si="33"/>
        <v>0</v>
      </c>
      <c r="DB14" s="5">
        <f t="shared" si="33"/>
        <v>1860</v>
      </c>
      <c r="DC14" s="12">
        <f t="shared" si="33"/>
        <v>0</v>
      </c>
      <c r="DD14" s="310">
        <f t="shared" si="34"/>
        <v>11041.68</v>
      </c>
      <c r="DE14" s="2695"/>
      <c r="DF14" s="8"/>
      <c r="DG14" s="9"/>
      <c r="DH14" s="5"/>
      <c r="DI14" s="5"/>
      <c r="DJ14" s="5"/>
      <c r="DK14" s="5"/>
      <c r="DL14" s="5">
        <v>0</v>
      </c>
      <c r="DM14" s="5"/>
      <c r="DN14" s="5">
        <v>6037.74</v>
      </c>
      <c r="DO14" s="5"/>
      <c r="DP14" s="5"/>
      <c r="DQ14" s="12"/>
      <c r="DR14" s="1906">
        <f t="shared" si="35"/>
        <v>6037.74</v>
      </c>
      <c r="DS14" s="36"/>
      <c r="DT14" s="36"/>
      <c r="DU14" s="27"/>
      <c r="DV14" s="27"/>
      <c r="DW14" s="5"/>
      <c r="DX14" s="5"/>
      <c r="DY14" s="5"/>
      <c r="DZ14" s="5"/>
      <c r="EA14" s="5">
        <v>3143.9399999999996</v>
      </c>
      <c r="EB14" s="53"/>
      <c r="EC14" s="27">
        <v>0</v>
      </c>
      <c r="ED14" s="33"/>
      <c r="EE14" s="28">
        <f t="shared" si="36"/>
        <v>3143.9399999999996</v>
      </c>
      <c r="EF14" s="9"/>
      <c r="EG14" s="9"/>
      <c r="EH14" s="5"/>
      <c r="EI14" s="5"/>
      <c r="EJ14" s="27"/>
      <c r="EK14" s="27"/>
      <c r="EL14" s="27"/>
      <c r="EM14" s="27"/>
      <c r="EN14" s="5"/>
      <c r="EO14" s="5"/>
      <c r="EP14" s="5">
        <v>1860</v>
      </c>
      <c r="EQ14" s="33"/>
      <c r="ER14" s="28">
        <f t="shared" si="37"/>
        <v>1860</v>
      </c>
      <c r="ES14" s="36"/>
      <c r="ET14" s="27"/>
      <c r="EU14" s="27"/>
      <c r="EV14" s="27"/>
      <c r="EW14" s="27"/>
      <c r="EX14" s="27"/>
      <c r="EY14" s="33">
        <f t="shared" si="38"/>
        <v>0</v>
      </c>
      <c r="EZ14" s="2685"/>
      <c r="FB14" s="4">
        <f t="shared" si="39"/>
        <v>0</v>
      </c>
      <c r="FC14" s="5">
        <f t="shared" si="40"/>
        <v>0</v>
      </c>
      <c r="FD14" s="5">
        <f t="shared" si="41"/>
        <v>0</v>
      </c>
      <c r="FE14" s="12">
        <f t="shared" si="42"/>
        <v>0</v>
      </c>
      <c r="FF14" s="33"/>
      <c r="FG14" s="2674"/>
      <c r="FH14" s="9"/>
      <c r="FI14" s="5"/>
      <c r="FJ14" s="5"/>
      <c r="FK14" s="5"/>
      <c r="FL14" s="5"/>
      <c r="FM14" s="27"/>
      <c r="FN14" s="28">
        <f t="shared" si="43"/>
        <v>0</v>
      </c>
      <c r="FO14" s="36"/>
      <c r="FP14" s="27"/>
      <c r="FQ14" s="27"/>
      <c r="FR14" s="27"/>
      <c r="FS14" s="27"/>
      <c r="FT14" s="27"/>
      <c r="FU14" s="28">
        <f t="shared" si="44"/>
        <v>0</v>
      </c>
      <c r="FV14" s="36"/>
      <c r="FW14" s="36"/>
      <c r="FX14" s="27"/>
      <c r="FY14" s="27"/>
      <c r="FZ14" s="27"/>
      <c r="GA14" s="27"/>
      <c r="GB14" s="27"/>
      <c r="GC14" s="27"/>
      <c r="GD14" s="27"/>
      <c r="GE14" s="27"/>
      <c r="GF14" s="27"/>
      <c r="GG14" s="33"/>
      <c r="GH14" s="33">
        <f t="shared" si="45"/>
        <v>0</v>
      </c>
      <c r="GI14" s="2674"/>
      <c r="GK14" s="2">
        <f t="shared" si="110"/>
        <v>4880.3499999999995</v>
      </c>
      <c r="GL14" s="63">
        <f t="shared" si="111"/>
        <v>5462.35</v>
      </c>
      <c r="GM14" s="24">
        <f t="shared" si="112"/>
        <v>4566.42</v>
      </c>
      <c r="GN14" s="1736">
        <f t="shared" si="46"/>
        <v>14909.12</v>
      </c>
      <c r="GO14" s="141"/>
      <c r="GP14" s="141"/>
      <c r="GQ14" s="33"/>
      <c r="GR14" s="2667"/>
      <c r="GS14" s="1938">
        <v>6057.6900000000005</v>
      </c>
      <c r="GT14" s="1725">
        <v>392.65000000000003</v>
      </c>
      <c r="GU14" s="1725">
        <v>4457.59</v>
      </c>
      <c r="GV14" s="1723">
        <v>4001.19</v>
      </c>
      <c r="GW14" s="1724">
        <f t="shared" si="47"/>
        <v>14909.12</v>
      </c>
      <c r="GX14" s="2667"/>
      <c r="GY14" s="9"/>
      <c r="GZ14" s="9"/>
      <c r="HA14" s="5"/>
      <c r="HB14" s="5"/>
      <c r="HC14" s="5"/>
      <c r="HD14" s="5"/>
      <c r="HE14" s="5"/>
      <c r="HF14" s="5"/>
      <c r="HG14" s="5">
        <v>0</v>
      </c>
      <c r="HH14" s="5"/>
      <c r="HI14" s="2197">
        <v>4487.7</v>
      </c>
      <c r="HJ14" s="5"/>
      <c r="HK14" s="5">
        <v>392.65000000000003</v>
      </c>
      <c r="HL14" s="5"/>
      <c r="HM14" s="15">
        <f t="shared" si="48"/>
        <v>4880.3499999999995</v>
      </c>
      <c r="HN14" s="9"/>
      <c r="HO14" s="5"/>
      <c r="HP14" s="5"/>
      <c r="HQ14" s="5"/>
      <c r="HR14" s="5"/>
      <c r="HS14" s="5"/>
      <c r="HT14" s="5" cm="1">
        <f t="array" ref="HT14">SUMPRODUCT(('Data Base hauling'!$C$2:$C$216="TCM-ROM SB1 BK05-ROM 4")*(ISNUMBER(SEARCH(TEXT('May TCM'!$B14,"00")&amp;"/03/2026",'Data Base hauling'!$E$2:$E$216)))*'Data Base hauling'!$N$2:$N$216)</f>
        <v>0</v>
      </c>
      <c r="HU14" s="5"/>
      <c r="HV14" s="5" cm="1">
        <f t="array" ref="HV14">SUMPRODUCT(('Data Base hauling'!$C$2:$C$216="TCM-ROM SB1 BK05-ROM 5")*(ISNUMBER(SEARCH(TEXT('May TCM'!$B14,"00")&amp;"/03/2026",'Data Base hauling'!$E$2:$E$216)))*'Data Base hauling'!$N$2:$N$216)</f>
        <v>0</v>
      </c>
      <c r="HW14" s="5"/>
      <c r="HX14" s="5"/>
      <c r="HY14" s="5"/>
      <c r="HZ14" s="5"/>
      <c r="IA14" s="5"/>
      <c r="IB14" s="12">
        <f t="shared" si="49"/>
        <v>0</v>
      </c>
      <c r="IC14" s="845"/>
      <c r="ID14" s="363"/>
      <c r="IE14" s="64"/>
      <c r="IF14" s="64"/>
      <c r="IG14" s="64"/>
      <c r="IH14" s="64"/>
      <c r="II14" s="1590">
        <v>2641.15</v>
      </c>
      <c r="IJ14" s="1590"/>
      <c r="IK14" s="1590">
        <v>2821.2</v>
      </c>
      <c r="IL14" s="64"/>
      <c r="IM14" s="64">
        <v>0</v>
      </c>
      <c r="IN14" s="64"/>
      <c r="IO14" s="64"/>
      <c r="IP14" s="49">
        <v>0</v>
      </c>
      <c r="IQ14" s="2195">
        <f t="shared" si="50"/>
        <v>5462.35</v>
      </c>
      <c r="IR14" s="9"/>
      <c r="IS14" s="9"/>
      <c r="IT14" s="5"/>
      <c r="IU14" s="5"/>
      <c r="IV14" s="64"/>
      <c r="IW14" s="5"/>
      <c r="IX14" s="5">
        <v>0</v>
      </c>
      <c r="IY14" s="5"/>
      <c r="IZ14" s="5">
        <v>4566.42</v>
      </c>
      <c r="JA14" s="5"/>
      <c r="JB14" s="5">
        <v>0</v>
      </c>
      <c r="JC14" s="5"/>
      <c r="JD14" s="5"/>
      <c r="JE14" s="5"/>
      <c r="JF14" s="12">
        <f t="shared" si="117"/>
        <v>4566.42</v>
      </c>
      <c r="JG14" s="2667"/>
      <c r="JI14" s="2018">
        <v>6943.619999999999</v>
      </c>
      <c r="JJ14" s="2017">
        <v>7965.5000000000009</v>
      </c>
      <c r="JK14" s="53"/>
      <c r="JL14" s="1723">
        <f t="shared" si="52"/>
        <v>14909.119999999999</v>
      </c>
      <c r="JM14" s="33"/>
      <c r="JN14" s="2669"/>
      <c r="JO14" s="69">
        <v>0</v>
      </c>
      <c r="JP14" s="70">
        <v>0</v>
      </c>
      <c r="JQ14" s="70">
        <v>0</v>
      </c>
      <c r="JR14" s="850">
        <v>0</v>
      </c>
      <c r="JS14" s="850">
        <v>1</v>
      </c>
      <c r="JT14" s="850">
        <v>0</v>
      </c>
      <c r="JU14" s="70">
        <v>0</v>
      </c>
      <c r="JV14" s="1922">
        <v>0</v>
      </c>
      <c r="JW14" s="69">
        <v>0</v>
      </c>
      <c r="JX14" s="70">
        <v>0</v>
      </c>
      <c r="JY14" s="70">
        <v>0</v>
      </c>
      <c r="JZ14" s="70">
        <v>0.33157366141485151</v>
      </c>
      <c r="KA14" s="70">
        <v>5.574038039043374E-2</v>
      </c>
      <c r="KB14" s="70">
        <v>0.56339212855439069</v>
      </c>
      <c r="KC14" s="70">
        <v>4.9293829640323895E-2</v>
      </c>
      <c r="KD14" s="71">
        <v>0</v>
      </c>
      <c r="KE14" s="69"/>
      <c r="KF14" s="70"/>
      <c r="KG14" s="70"/>
      <c r="KH14" s="70"/>
      <c r="KI14" s="70"/>
      <c r="KJ14" s="70"/>
      <c r="KK14" s="70"/>
      <c r="KL14" s="70"/>
      <c r="KM14" s="33"/>
      <c r="KN14" s="2669"/>
      <c r="KO14" s="1739">
        <v>6753.9719319199758</v>
      </c>
      <c r="KP14" s="1721">
        <v>0.85985965959988053</v>
      </c>
      <c r="KQ14" s="1721">
        <v>6.1017199163929527</v>
      </c>
      <c r="KR14" s="1721">
        <v>6.7087279785010443</v>
      </c>
      <c r="KS14" s="1722">
        <v>9.8944998507017026</v>
      </c>
      <c r="KT14" s="1958">
        <v>6626.2637333684625</v>
      </c>
      <c r="KU14" s="1961">
        <v>2.5885614543538402</v>
      </c>
      <c r="KV14" s="1961">
        <v>10.328321696746146</v>
      </c>
      <c r="KW14" s="1961">
        <v>4.8102964036358857</v>
      </c>
      <c r="KX14" s="1962">
        <v>8.9151309561322609</v>
      </c>
      <c r="KY14" s="36"/>
      <c r="KZ14" s="53"/>
      <c r="LA14" s="53"/>
      <c r="LB14" s="53"/>
      <c r="LC14" s="53"/>
      <c r="LD14" s="33"/>
      <c r="LE14" s="2669"/>
      <c r="LG14" s="998">
        <f t="shared" si="53"/>
        <v>0</v>
      </c>
      <c r="LH14" s="27">
        <f t="shared" si="53"/>
        <v>0</v>
      </c>
      <c r="LI14" s="27">
        <f t="shared" si="53"/>
        <v>0</v>
      </c>
      <c r="LJ14" s="28">
        <f t="shared" si="54"/>
        <v>0</v>
      </c>
      <c r="LK14" s="36"/>
      <c r="LL14" s="27"/>
      <c r="LM14" s="27">
        <v>6</v>
      </c>
      <c r="LN14" s="33"/>
      <c r="LO14" s="1041">
        <v>4.75</v>
      </c>
      <c r="LP14" s="486" t="s">
        <v>939</v>
      </c>
      <c r="LQ14" s="2688"/>
      <c r="LR14" s="21"/>
      <c r="LS14" s="27"/>
      <c r="LT14" s="27"/>
      <c r="LU14" s="27"/>
      <c r="LV14" s="27"/>
      <c r="LW14" s="1117">
        <f t="shared" si="55"/>
        <v>0</v>
      </c>
      <c r="LX14" s="36"/>
      <c r="LY14" s="36"/>
      <c r="LZ14" s="27"/>
      <c r="MA14" s="27"/>
      <c r="MB14" s="33"/>
      <c r="MC14" s="28">
        <f t="shared" si="56"/>
        <v>0</v>
      </c>
      <c r="MD14" s="26"/>
      <c r="ME14" s="36"/>
      <c r="MF14" s="27"/>
      <c r="MG14" s="27"/>
      <c r="MH14" s="27"/>
      <c r="MI14" s="28"/>
      <c r="MJ14" s="36"/>
      <c r="MK14" s="36"/>
      <c r="ML14" s="27"/>
      <c r="MM14" s="27"/>
      <c r="MN14" s="27"/>
      <c r="MO14" s="28"/>
      <c r="MP14" s="36"/>
      <c r="MQ14" s="36"/>
      <c r="MR14" s="27"/>
      <c r="MS14" s="27"/>
      <c r="MT14" s="27"/>
      <c r="MU14" s="33">
        <f t="shared" si="57"/>
        <v>0</v>
      </c>
      <c r="MV14" s="2688"/>
      <c r="MX14" s="26">
        <f t="shared" si="58"/>
        <v>199842.22209272342</v>
      </c>
      <c r="MY14" s="27">
        <f t="shared" si="59"/>
        <v>67225.656833323214</v>
      </c>
      <c r="MZ14" s="27">
        <f t="shared" si="60"/>
        <v>22521.225253194549</v>
      </c>
      <c r="NA14" s="28">
        <f t="shared" si="61"/>
        <v>431672.54855851003</v>
      </c>
      <c r="NB14" s="2621"/>
      <c r="NC14" s="23">
        <f t="shared" si="62"/>
        <v>76374.521091888251</v>
      </c>
      <c r="ND14" s="1579">
        <f t="shared" si="63"/>
        <v>123467.70100083518</v>
      </c>
      <c r="NE14" s="60">
        <f t="shared" si="64"/>
        <v>0</v>
      </c>
      <c r="NF14" s="275">
        <f t="shared" si="4"/>
        <v>199842.22209272342</v>
      </c>
      <c r="NG14" s="26">
        <f t="shared" si="65"/>
        <v>0</v>
      </c>
      <c r="NH14" s="27">
        <f t="shared" si="65"/>
        <v>0</v>
      </c>
      <c r="NI14" s="27">
        <f t="shared" si="65"/>
        <v>0</v>
      </c>
      <c r="NJ14" s="27">
        <f t="shared" si="65"/>
        <v>0</v>
      </c>
      <c r="NK14" s="27">
        <f t="shared" si="65"/>
        <v>0</v>
      </c>
      <c r="NL14" s="33">
        <f t="shared" si="65"/>
        <v>0</v>
      </c>
      <c r="NM14" s="27">
        <f t="shared" si="65"/>
        <v>0</v>
      </c>
      <c r="NN14" s="36">
        <f t="shared" si="65"/>
        <v>0</v>
      </c>
      <c r="NO14" s="24">
        <f t="shared" si="65"/>
        <v>2411.7131443320582</v>
      </c>
      <c r="NP14" s="27">
        <f t="shared" si="65"/>
        <v>26196.696072681989</v>
      </c>
      <c r="NQ14" s="24">
        <f t="shared" si="113"/>
        <v>8756.5482322711578</v>
      </c>
      <c r="NR14" s="24">
        <f t="shared" si="114"/>
        <v>5087.8726980586953</v>
      </c>
      <c r="NS14" s="27">
        <f t="shared" si="0"/>
        <v>42452.830147343899</v>
      </c>
      <c r="NT14" s="27">
        <f t="shared" si="66"/>
        <v>0</v>
      </c>
      <c r="NU14" s="27">
        <f t="shared" si="66"/>
        <v>0</v>
      </c>
      <c r="NV14" s="27">
        <f t="shared" si="66"/>
        <v>0</v>
      </c>
      <c r="NW14" s="27">
        <f t="shared" si="66"/>
        <v>0</v>
      </c>
      <c r="NX14" s="27">
        <f t="shared" si="66"/>
        <v>0</v>
      </c>
      <c r="NY14" s="27">
        <f t="shared" si="66"/>
        <v>0</v>
      </c>
      <c r="NZ14" s="27">
        <f t="shared" si="66"/>
        <v>2832.0727301930733</v>
      </c>
      <c r="OA14" s="27">
        <f t="shared" si="66"/>
        <v>0</v>
      </c>
      <c r="OB14" s="27">
        <f t="shared" si="66"/>
        <v>7373.9618418567597</v>
      </c>
      <c r="OC14" s="280"/>
      <c r="OD14" s="24">
        <f t="shared" si="67"/>
        <v>454.51223506073143</v>
      </c>
      <c r="OE14" s="27">
        <f t="shared" si="67"/>
        <v>0</v>
      </c>
      <c r="OF14" s="28">
        <f t="shared" si="1"/>
        <v>10660.546807110564</v>
      </c>
      <c r="OG14" s="27">
        <f t="shared" si="68"/>
        <v>0</v>
      </c>
      <c r="OH14" s="27">
        <f t="shared" si="68"/>
        <v>0</v>
      </c>
      <c r="OI14" s="27">
        <f t="shared" si="68"/>
        <v>0</v>
      </c>
      <c r="OJ14" s="27">
        <f t="shared" si="68"/>
        <v>0</v>
      </c>
      <c r="OK14" s="27">
        <f t="shared" si="68"/>
        <v>0</v>
      </c>
      <c r="OL14" s="27">
        <f t="shared" si="68"/>
        <v>0</v>
      </c>
      <c r="OM14" s="24">
        <f t="shared" si="68"/>
        <v>0</v>
      </c>
      <c r="ON14" s="27">
        <f t="shared" si="68"/>
        <v>0</v>
      </c>
      <c r="OO14" s="24">
        <f t="shared" si="115"/>
        <v>11353.972235312069</v>
      </c>
      <c r="OP14" s="27">
        <f t="shared" si="68"/>
        <v>0</v>
      </c>
      <c r="OQ14" s="27">
        <f t="shared" si="68"/>
        <v>2758.307643556685</v>
      </c>
      <c r="OR14" s="27">
        <f t="shared" si="68"/>
        <v>0</v>
      </c>
      <c r="OS14" s="28">
        <f t="shared" si="2"/>
        <v>14112.279878868754</v>
      </c>
      <c r="OT14" s="36"/>
      <c r="OU14" s="27"/>
      <c r="OV14" s="27"/>
      <c r="OW14" s="27"/>
      <c r="OX14" s="27"/>
      <c r="OY14" s="27"/>
      <c r="OZ14" s="28">
        <f t="shared" si="69"/>
        <v>0</v>
      </c>
      <c r="PA14" s="36">
        <f t="shared" si="70"/>
        <v>0</v>
      </c>
      <c r="PB14" s="27">
        <f t="shared" si="71"/>
        <v>0</v>
      </c>
      <c r="PC14" s="27">
        <f t="shared" si="72"/>
        <v>0</v>
      </c>
      <c r="PD14" s="27">
        <f t="shared" si="73"/>
        <v>0</v>
      </c>
      <c r="PE14" s="24"/>
      <c r="PF14" s="27">
        <f t="shared" si="74"/>
        <v>0</v>
      </c>
      <c r="PG14" s="33">
        <f t="shared" si="3"/>
        <v>0</v>
      </c>
      <c r="PH14" s="2621"/>
      <c r="PJ14" s="1907">
        <v>468.84</v>
      </c>
      <c r="PK14" s="3">
        <v>588</v>
      </c>
      <c r="PL14" s="3">
        <v>245.00000000000003</v>
      </c>
      <c r="PM14" s="3">
        <v>392.65000000000003</v>
      </c>
      <c r="PN14" s="3">
        <f t="shared" si="75"/>
        <v>28253.089776580691</v>
      </c>
      <c r="PO14" s="11">
        <f t="shared" si="76"/>
        <v>22521.225253194549</v>
      </c>
      <c r="PP14" s="15"/>
      <c r="PQ14" s="2615"/>
      <c r="PS14" s="4"/>
      <c r="PT14" s="9"/>
      <c r="PU14" s="9"/>
      <c r="PV14" s="9"/>
      <c r="PW14" s="8">
        <v>0</v>
      </c>
      <c r="PX14" s="9"/>
      <c r="PY14" s="8">
        <f t="shared" si="77"/>
        <v>0</v>
      </c>
      <c r="PZ14" s="5">
        <f t="shared" si="78"/>
        <v>468.84</v>
      </c>
      <c r="QA14" s="5"/>
      <c r="QB14" s="5"/>
      <c r="QC14" s="5"/>
      <c r="QD14" s="5"/>
      <c r="QE14" s="5"/>
      <c r="QF14" s="12"/>
      <c r="QG14" s="12">
        <f t="shared" si="79"/>
        <v>29562.488999999998</v>
      </c>
      <c r="QH14" s="420">
        <f t="shared" si="80"/>
        <v>402110.05955851002</v>
      </c>
      <c r="QI14" s="1106">
        <f t="shared" si="81"/>
        <v>0</v>
      </c>
      <c r="QJ14" s="484">
        <f t="shared" si="82"/>
        <v>5505.3678056099998</v>
      </c>
      <c r="QK14" s="12"/>
      <c r="QL14" s="2615"/>
      <c r="QN14" s="139">
        <f t="shared" si="83"/>
        <v>0</v>
      </c>
      <c r="QO14" s="139" t="str">
        <f t="shared" si="84"/>
        <v/>
      </c>
      <c r="QQ14" s="139">
        <f t="shared" si="85"/>
        <v>0</v>
      </c>
      <c r="QR14" s="139">
        <f t="shared" si="86"/>
        <v>0</v>
      </c>
      <c r="QT14" s="1">
        <f t="shared" si="87"/>
        <v>0</v>
      </c>
      <c r="QU14" s="1">
        <f t="shared" si="88"/>
        <v>0</v>
      </c>
      <c r="QV14" s="1">
        <f t="shared" si="89"/>
        <v>0</v>
      </c>
      <c r="QW14" s="1">
        <f t="shared" si="90"/>
        <v>0</v>
      </c>
      <c r="QX14" s="1">
        <f t="shared" si="91"/>
        <v>0</v>
      </c>
      <c r="QY14" s="1">
        <f t="shared" si="92"/>
        <v>0</v>
      </c>
      <c r="RA14" s="1">
        <f t="shared" si="93"/>
        <v>0</v>
      </c>
      <c r="RB14" s="1">
        <f t="shared" si="94"/>
        <v>0</v>
      </c>
      <c r="RC14" s="1">
        <f t="shared" si="95"/>
        <v>0</v>
      </c>
      <c r="RD14" s="1">
        <f t="shared" si="96"/>
        <v>0</v>
      </c>
      <c r="RE14" s="1">
        <f t="shared" si="97"/>
        <v>0</v>
      </c>
      <c r="RF14" s="1">
        <f t="shared" si="98"/>
        <v>0</v>
      </c>
      <c r="RI14" s="1">
        <v>5</v>
      </c>
      <c r="RJ14" s="1">
        <f t="shared" si="99"/>
        <v>60337.777751083166</v>
      </c>
      <c r="RK14" s="1">
        <f t="shared" si="99"/>
        <v>15840.257549862283</v>
      </c>
      <c r="RL14" s="1">
        <f t="shared" si="99"/>
        <v>9178.5689913333827</v>
      </c>
      <c r="RM14" s="89">
        <f t="shared" si="5"/>
        <v>85356.604292278833</v>
      </c>
      <c r="RN14" s="1033">
        <v>5</v>
      </c>
      <c r="RO14" s="1098">
        <f t="shared" si="100"/>
        <v>0</v>
      </c>
      <c r="RP14" s="1098">
        <f t="shared" si="101"/>
        <v>0</v>
      </c>
      <c r="RQ14" s="1097">
        <f t="shared" si="102"/>
        <v>0</v>
      </c>
      <c r="RR14" s="1097">
        <f t="shared" si="103"/>
        <v>9181.68</v>
      </c>
      <c r="RS14" s="1094"/>
      <c r="RT14" s="1123" t="s">
        <v>942</v>
      </c>
      <c r="RW14" s="421">
        <v>5</v>
      </c>
      <c r="RX14" s="1095">
        <f t="shared" si="104"/>
        <v>14909.12</v>
      </c>
      <c r="RY14" s="1094" t="s">
        <v>943</v>
      </c>
      <c r="SA14" s="1090"/>
      <c r="SB14" s="1090">
        <f t="shared" si="105"/>
        <v>0</v>
      </c>
      <c r="SC14" s="1090"/>
      <c r="SD14" s="1090">
        <f t="shared" si="106"/>
        <v>0</v>
      </c>
      <c r="SF14" s="1">
        <v>5</v>
      </c>
      <c r="SG14" s="1">
        <f t="shared" si="107"/>
        <v>392.65000000000003</v>
      </c>
      <c r="SH14" s="1094"/>
    </row>
    <row r="15" spans="1:502" s="1" customFormat="1">
      <c r="B15" s="471">
        <v>6</v>
      </c>
      <c r="C15" s="4">
        <f t="shared" si="6"/>
        <v>157119.79999999999</v>
      </c>
      <c r="D15" s="1723">
        <f t="shared" si="108"/>
        <v>9960.8299999999981</v>
      </c>
      <c r="E15" s="1895">
        <f t="shared" si="7"/>
        <v>15.77376584079841</v>
      </c>
      <c r="F15" s="870"/>
      <c r="G15" s="870"/>
      <c r="H15" s="52"/>
      <c r="I15" s="61"/>
      <c r="J15" s="52"/>
      <c r="K15" s="54"/>
      <c r="L15" s="52">
        <v>3</v>
      </c>
      <c r="M15" s="61">
        <v>2.58</v>
      </c>
      <c r="N15" s="2629"/>
      <c r="O15" s="4">
        <f t="shared" si="118"/>
        <v>109790</v>
      </c>
      <c r="P15" s="1225">
        <f t="shared" si="8"/>
        <v>6837.2799999999988</v>
      </c>
      <c r="Q15" s="1913">
        <f t="shared" si="9"/>
        <v>16.057555051131448</v>
      </c>
      <c r="R15" s="33"/>
      <c r="S15" s="26">
        <f t="shared" si="10"/>
        <v>26200.799999999999</v>
      </c>
      <c r="T15" s="27">
        <f t="shared" si="109"/>
        <v>1223.55</v>
      </c>
      <c r="U15" s="1909">
        <f t="shared" si="11"/>
        <v>21.413755057006252</v>
      </c>
      <c r="V15" s="28"/>
      <c r="W15" s="1742">
        <f t="shared" si="12"/>
        <v>21129</v>
      </c>
      <c r="X15" s="5">
        <f t="shared" si="12"/>
        <v>1900</v>
      </c>
      <c r="Y15" s="1738">
        <f t="shared" si="13"/>
        <v>11.120526315789474</v>
      </c>
      <c r="Z15" s="33"/>
      <c r="AA15" s="26">
        <f t="shared" si="14"/>
        <v>0</v>
      </c>
      <c r="AB15" s="27">
        <f t="shared" si="15"/>
        <v>0</v>
      </c>
      <c r="AC15" s="53">
        <f t="shared" si="16"/>
        <v>0</v>
      </c>
      <c r="AD15" s="28"/>
      <c r="AE15" s="36"/>
      <c r="AF15" s="36"/>
      <c r="AG15" s="53">
        <f t="shared" si="17"/>
        <v>0</v>
      </c>
      <c r="AH15" s="28"/>
      <c r="AI15" s="26"/>
      <c r="AJ15" s="27"/>
      <c r="AK15" s="53">
        <f t="shared" si="18"/>
        <v>0</v>
      </c>
      <c r="AL15" s="28"/>
      <c r="AM15" s="2629"/>
      <c r="AN15" s="9"/>
      <c r="AO15" s="5"/>
      <c r="AP15" s="61">
        <f t="shared" si="19"/>
        <v>0</v>
      </c>
      <c r="AQ15" s="36"/>
      <c r="AR15" s="53"/>
      <c r="AS15" s="61">
        <f t="shared" si="20"/>
        <v>0</v>
      </c>
      <c r="AT15" s="36"/>
      <c r="AU15" s="27"/>
      <c r="AV15" s="54">
        <f t="shared" si="21"/>
        <v>0</v>
      </c>
      <c r="AW15" s="26">
        <v>57122</v>
      </c>
      <c r="AX15" s="27">
        <v>6802.119999999999</v>
      </c>
      <c r="AY15" s="1735">
        <f t="shared" si="116"/>
        <v>8.3976760186530086</v>
      </c>
      <c r="AZ15" s="36"/>
      <c r="BA15" s="27"/>
      <c r="BB15" s="61">
        <f t="shared" si="22"/>
        <v>0</v>
      </c>
      <c r="BC15" s="1740">
        <v>52668</v>
      </c>
      <c r="BD15" s="1736">
        <v>35.159999999999997</v>
      </c>
      <c r="BE15" s="1735">
        <f t="shared" si="23"/>
        <v>1497.9522184300342</v>
      </c>
      <c r="BF15" s="36"/>
      <c r="BG15" s="53"/>
      <c r="BH15" s="61">
        <f t="shared" si="24"/>
        <v>0</v>
      </c>
      <c r="BI15" s="36">
        <v>0</v>
      </c>
      <c r="BJ15" s="53">
        <v>0</v>
      </c>
      <c r="BK15" s="61">
        <f t="shared" si="25"/>
        <v>0</v>
      </c>
      <c r="BL15" s="1742">
        <v>26200.799999999999</v>
      </c>
      <c r="BM15" s="1909">
        <v>1223.55</v>
      </c>
      <c r="BN15" s="2170"/>
      <c r="BO15" s="1735">
        <f t="shared" si="26"/>
        <v>21.413755057006252</v>
      </c>
      <c r="BP15" s="36"/>
      <c r="BQ15" s="53"/>
      <c r="BR15" s="61">
        <f t="shared" si="27"/>
        <v>0</v>
      </c>
      <c r="BS15" s="36"/>
      <c r="BT15" s="53"/>
      <c r="BU15" s="61">
        <f t="shared" si="28"/>
        <v>0</v>
      </c>
      <c r="BV15" s="36">
        <v>21129</v>
      </c>
      <c r="BW15" s="5">
        <v>1900</v>
      </c>
      <c r="BX15" s="1906">
        <f t="shared" si="29"/>
        <v>11.120526315789474</v>
      </c>
      <c r="BY15" s="26"/>
      <c r="BZ15" s="27"/>
      <c r="CA15" s="61">
        <f t="shared" si="30"/>
        <v>0</v>
      </c>
      <c r="CB15" s="36"/>
      <c r="CC15" s="481"/>
      <c r="CD15" s="482">
        <f t="shared" si="31"/>
        <v>0</v>
      </c>
      <c r="CE15" s="4"/>
      <c r="CF15" s="5"/>
      <c r="CG15" s="28">
        <f t="shared" si="32"/>
        <v>0</v>
      </c>
      <c r="CH15" s="149"/>
      <c r="CI15" s="4"/>
      <c r="CJ15" s="5">
        <v>3645</v>
      </c>
      <c r="CK15" s="5">
        <v>7260</v>
      </c>
      <c r="CL15" s="5"/>
      <c r="CM15" s="5"/>
      <c r="CN15" s="5"/>
      <c r="CO15" s="33"/>
      <c r="CP15" s="366"/>
      <c r="CR15" s="4">
        <f t="shared" si="33"/>
        <v>0</v>
      </c>
      <c r="CS15" s="9">
        <f t="shared" si="33"/>
        <v>0</v>
      </c>
      <c r="CT15" s="5">
        <f t="shared" si="33"/>
        <v>0</v>
      </c>
      <c r="CU15" s="5">
        <f t="shared" si="33"/>
        <v>0</v>
      </c>
      <c r="CV15" s="5">
        <f t="shared" si="33"/>
        <v>0</v>
      </c>
      <c r="CW15" s="5">
        <f t="shared" si="33"/>
        <v>0</v>
      </c>
      <c r="CX15" s="5">
        <f t="shared" si="33"/>
        <v>0</v>
      </c>
      <c r="CY15" s="5">
        <f t="shared" si="33"/>
        <v>0</v>
      </c>
      <c r="CZ15" s="5">
        <f t="shared" si="33"/>
        <v>8060.829999999999</v>
      </c>
      <c r="DA15" s="5">
        <f t="shared" si="33"/>
        <v>0</v>
      </c>
      <c r="DB15" s="5">
        <f t="shared" si="33"/>
        <v>1900</v>
      </c>
      <c r="DC15" s="12">
        <f t="shared" si="33"/>
        <v>0</v>
      </c>
      <c r="DD15" s="310">
        <f t="shared" si="34"/>
        <v>9960.8299999999981</v>
      </c>
      <c r="DE15" s="2695"/>
      <c r="DF15" s="8"/>
      <c r="DG15" s="9"/>
      <c r="DH15" s="5"/>
      <c r="DI15" s="5"/>
      <c r="DJ15" s="5"/>
      <c r="DK15" s="5"/>
      <c r="DL15" s="5">
        <v>0</v>
      </c>
      <c r="DM15" s="5"/>
      <c r="DN15" s="5">
        <v>6802.119999999999</v>
      </c>
      <c r="DO15" s="5"/>
      <c r="DP15" s="5"/>
      <c r="DQ15" s="12"/>
      <c r="DR15" s="1906">
        <f t="shared" si="35"/>
        <v>6802.119999999999</v>
      </c>
      <c r="DS15" s="36"/>
      <c r="DT15" s="36"/>
      <c r="DU15" s="27"/>
      <c r="DV15" s="27"/>
      <c r="DW15" s="5"/>
      <c r="DX15" s="5"/>
      <c r="DY15" s="5"/>
      <c r="DZ15" s="5"/>
      <c r="EA15" s="5">
        <v>1258.7099999999998</v>
      </c>
      <c r="EB15" s="53"/>
      <c r="EC15" s="27">
        <v>0</v>
      </c>
      <c r="ED15" s="33"/>
      <c r="EE15" s="28">
        <f t="shared" si="36"/>
        <v>1258.7099999999998</v>
      </c>
      <c r="EF15" s="9"/>
      <c r="EG15" s="9"/>
      <c r="EH15" s="5"/>
      <c r="EI15" s="5"/>
      <c r="EJ15" s="27"/>
      <c r="EK15" s="27"/>
      <c r="EL15" s="27"/>
      <c r="EM15" s="27"/>
      <c r="EN15" s="5"/>
      <c r="EO15" s="5"/>
      <c r="EP15" s="5">
        <v>1900</v>
      </c>
      <c r="EQ15" s="33"/>
      <c r="ER15" s="28">
        <f t="shared" si="37"/>
        <v>1900</v>
      </c>
      <c r="ES15" s="36"/>
      <c r="ET15" s="27"/>
      <c r="EU15" s="27"/>
      <c r="EV15" s="27"/>
      <c r="EW15" s="27"/>
      <c r="EX15" s="27"/>
      <c r="EY15" s="33">
        <f t="shared" si="38"/>
        <v>0</v>
      </c>
      <c r="EZ15" s="2685"/>
      <c r="FB15" s="4">
        <f t="shared" si="39"/>
        <v>0</v>
      </c>
      <c r="FC15" s="5">
        <f t="shared" si="40"/>
        <v>0</v>
      </c>
      <c r="FD15" s="5">
        <f t="shared" si="41"/>
        <v>0</v>
      </c>
      <c r="FE15" s="12">
        <f t="shared" si="42"/>
        <v>0</v>
      </c>
      <c r="FF15" s="33"/>
      <c r="FG15" s="2674"/>
      <c r="FH15" s="9"/>
      <c r="FI15" s="5"/>
      <c r="FJ15" s="5"/>
      <c r="FK15" s="5"/>
      <c r="FL15" s="5"/>
      <c r="FM15" s="27"/>
      <c r="FN15" s="28">
        <f t="shared" si="43"/>
        <v>0</v>
      </c>
      <c r="FO15" s="36"/>
      <c r="FP15" s="27"/>
      <c r="FQ15" s="27"/>
      <c r="FR15" s="27"/>
      <c r="FS15" s="27"/>
      <c r="FT15" s="27"/>
      <c r="FU15" s="28">
        <f t="shared" si="44"/>
        <v>0</v>
      </c>
      <c r="FV15" s="36"/>
      <c r="FW15" s="36"/>
      <c r="FX15" s="27"/>
      <c r="FY15" s="27"/>
      <c r="FZ15" s="27"/>
      <c r="GA15" s="27"/>
      <c r="GB15" s="27"/>
      <c r="GC15" s="27"/>
      <c r="GD15" s="27"/>
      <c r="GE15" s="27"/>
      <c r="GF15" s="27"/>
      <c r="GG15" s="33"/>
      <c r="GH15" s="33">
        <f t="shared" si="45"/>
        <v>0</v>
      </c>
      <c r="GI15" s="2674"/>
      <c r="GK15" s="2">
        <f t="shared" si="110"/>
        <v>4238.6499999999996</v>
      </c>
      <c r="GL15" s="63">
        <f t="shared" si="111"/>
        <v>6609.6899999999987</v>
      </c>
      <c r="GM15" s="24">
        <f t="shared" si="112"/>
        <v>3217.14</v>
      </c>
      <c r="GN15" s="1736">
        <f t="shared" si="46"/>
        <v>14065.479999999998</v>
      </c>
      <c r="GO15" s="141"/>
      <c r="GP15" s="141"/>
      <c r="GQ15" s="33"/>
      <c r="GR15" s="2702"/>
      <c r="GS15" s="1741">
        <v>5973.4</v>
      </c>
      <c r="GT15" s="1726">
        <v>0</v>
      </c>
      <c r="GU15" s="1726">
        <v>4136.55</v>
      </c>
      <c r="GV15" s="1723">
        <v>3955.5299999999997</v>
      </c>
      <c r="GW15" s="1724">
        <f t="shared" si="47"/>
        <v>14065.48</v>
      </c>
      <c r="GX15" s="2667"/>
      <c r="GY15" s="9"/>
      <c r="GZ15" s="9"/>
      <c r="HA15" s="5"/>
      <c r="HB15" s="5"/>
      <c r="HC15" s="5"/>
      <c r="HD15" s="5"/>
      <c r="HE15" s="5"/>
      <c r="HF15" s="5"/>
      <c r="HG15" s="5">
        <v>0</v>
      </c>
      <c r="HH15" s="5"/>
      <c r="HI15" s="2197">
        <v>4238.6499999999996</v>
      </c>
      <c r="HJ15" s="5"/>
      <c r="HK15" s="5">
        <v>0</v>
      </c>
      <c r="HL15" s="5"/>
      <c r="HM15" s="15">
        <f t="shared" si="48"/>
        <v>4238.6499999999996</v>
      </c>
      <c r="HN15" s="9"/>
      <c r="HO15" s="5"/>
      <c r="HP15" s="5"/>
      <c r="HQ15" s="5"/>
      <c r="HR15" s="5"/>
      <c r="HS15" s="5"/>
      <c r="HT15" s="5" cm="1">
        <f t="array" ref="HT15">SUMPRODUCT(('Data Base hauling'!$C$2:$C$216="TCM-ROM SB1 BK05-ROM 4")*(ISNUMBER(SEARCH(TEXT('May TCM'!$B15,"00")&amp;"/03/2026",'Data Base hauling'!$E$2:$E$216)))*'Data Base hauling'!$N$2:$N$216)</f>
        <v>0</v>
      </c>
      <c r="HU15" s="5"/>
      <c r="HV15" s="5" cm="1">
        <f t="array" ref="HV15">SUMPRODUCT(('Data Base hauling'!$C$2:$C$216="TCM-ROM SB1 BK05-ROM 5")*(ISNUMBER(SEARCH(TEXT('May TCM'!$B15,"00")&amp;"/03/2026",'Data Base hauling'!$E$2:$E$216)))*'Data Base hauling'!$N$2:$N$216)</f>
        <v>0</v>
      </c>
      <c r="HW15" s="5"/>
      <c r="HX15" s="5"/>
      <c r="HY15" s="5"/>
      <c r="HZ15" s="5"/>
      <c r="IA15" s="5"/>
      <c r="IB15" s="12">
        <f t="shared" si="49"/>
        <v>0</v>
      </c>
      <c r="IC15" s="845"/>
      <c r="ID15" s="363"/>
      <c r="IE15" s="64"/>
      <c r="IF15" s="64"/>
      <c r="IG15" s="64"/>
      <c r="IH15" s="64"/>
      <c r="II15" s="1590">
        <v>1740.3399999999997</v>
      </c>
      <c r="IJ15" s="1590"/>
      <c r="IK15" s="1590">
        <v>4869.3499999999995</v>
      </c>
      <c r="IL15" s="64"/>
      <c r="IM15" s="64">
        <v>0</v>
      </c>
      <c r="IN15" s="64"/>
      <c r="IO15" s="64"/>
      <c r="IP15" s="49">
        <v>0</v>
      </c>
      <c r="IQ15" s="2195">
        <f t="shared" si="50"/>
        <v>6609.6899999999987</v>
      </c>
      <c r="IR15" s="9"/>
      <c r="IS15" s="9"/>
      <c r="IT15" s="5"/>
      <c r="IU15" s="5"/>
      <c r="IV15" s="64"/>
      <c r="IW15" s="5"/>
      <c r="IX15" s="5">
        <v>0</v>
      </c>
      <c r="IY15" s="5"/>
      <c r="IZ15" s="5">
        <v>2852.79</v>
      </c>
      <c r="JA15" s="5"/>
      <c r="JB15" s="5">
        <v>364.35</v>
      </c>
      <c r="JC15" s="5"/>
      <c r="JD15" s="5"/>
      <c r="JE15" s="5"/>
      <c r="JF15" s="12">
        <f t="shared" si="117"/>
        <v>3217.14</v>
      </c>
      <c r="JG15" s="2667"/>
      <c r="JI15" s="2018">
        <v>6707.3899999999994</v>
      </c>
      <c r="JJ15" s="2017">
        <v>7358.09</v>
      </c>
      <c r="JK15" s="53"/>
      <c r="JL15" s="1736">
        <f t="shared" si="52"/>
        <v>14065.48</v>
      </c>
      <c r="JM15" s="33"/>
      <c r="JN15" s="2669"/>
      <c r="JO15" s="69">
        <v>0</v>
      </c>
      <c r="JP15" s="70">
        <v>0</v>
      </c>
      <c r="JQ15" s="70">
        <v>0</v>
      </c>
      <c r="JR15" s="850">
        <v>0</v>
      </c>
      <c r="JS15" s="850">
        <v>1</v>
      </c>
      <c r="JT15" s="850">
        <v>0</v>
      </c>
      <c r="JU15" s="70">
        <v>0</v>
      </c>
      <c r="JV15" s="1922">
        <v>0</v>
      </c>
      <c r="JW15" s="69">
        <v>0</v>
      </c>
      <c r="JX15" s="70">
        <v>0</v>
      </c>
      <c r="JY15" s="70">
        <v>0</v>
      </c>
      <c r="JZ15" s="70">
        <v>0.23652061880189013</v>
      </c>
      <c r="KA15" s="70">
        <v>0.13790943030052635</v>
      </c>
      <c r="KB15" s="70">
        <v>0.62556995089758349</v>
      </c>
      <c r="KC15" s="70">
        <v>0</v>
      </c>
      <c r="KD15" s="71">
        <v>0</v>
      </c>
      <c r="KE15" s="69"/>
      <c r="KF15" s="70"/>
      <c r="KG15" s="70"/>
      <c r="KH15" s="70"/>
      <c r="KI15" s="70"/>
      <c r="KJ15" s="70"/>
      <c r="KK15" s="70"/>
      <c r="KL15" s="70"/>
      <c r="KM15" s="33"/>
      <c r="KN15" s="2669"/>
      <c r="KO15" s="1739">
        <v>6753.9719319199758</v>
      </c>
      <c r="KP15" s="1721">
        <v>0.85985965959988053</v>
      </c>
      <c r="KQ15" s="1721">
        <v>6.1017199163929527</v>
      </c>
      <c r="KR15" s="1721">
        <v>6.7087279785010443</v>
      </c>
      <c r="KS15" s="1722">
        <v>9.8944998507017026</v>
      </c>
      <c r="KT15" s="1958">
        <v>6626.2637333684625</v>
      </c>
      <c r="KU15" s="1961">
        <v>2.5885614543538402</v>
      </c>
      <c r="KV15" s="1961">
        <v>10.328321696746146</v>
      </c>
      <c r="KW15" s="1961">
        <v>4.8102964036358857</v>
      </c>
      <c r="KX15" s="1962">
        <v>8.9151309561322609</v>
      </c>
      <c r="KY15" s="36"/>
      <c r="KZ15" s="53"/>
      <c r="LA15" s="53"/>
      <c r="LB15" s="53"/>
      <c r="LC15" s="53"/>
      <c r="LD15" s="33"/>
      <c r="LE15" s="2669"/>
      <c r="LG15" s="998">
        <f t="shared" si="53"/>
        <v>15416.555</v>
      </c>
      <c r="LH15" s="27">
        <f t="shared" si="53"/>
        <v>13798.485000000001</v>
      </c>
      <c r="LI15" s="27">
        <f t="shared" si="53"/>
        <v>0</v>
      </c>
      <c r="LJ15" s="28">
        <f t="shared" si="54"/>
        <v>29215.040000000001</v>
      </c>
      <c r="LK15" s="36">
        <v>4</v>
      </c>
      <c r="LL15" s="27">
        <v>1</v>
      </c>
      <c r="LM15" s="27">
        <v>3</v>
      </c>
      <c r="LN15" s="33"/>
      <c r="LO15" s="1041">
        <v>4.72</v>
      </c>
      <c r="LP15" s="486"/>
      <c r="LQ15" s="2688"/>
      <c r="LR15" s="1122"/>
      <c r="LS15" s="27"/>
      <c r="LT15" s="27"/>
      <c r="LU15" s="27"/>
      <c r="LV15" s="27"/>
      <c r="LW15" s="1117">
        <f t="shared" si="55"/>
        <v>0</v>
      </c>
      <c r="LX15" s="36">
        <v>15416.555</v>
      </c>
      <c r="LY15" s="36">
        <v>13798.485000000001</v>
      </c>
      <c r="LZ15" s="27"/>
      <c r="MA15" s="27"/>
      <c r="MB15" s="33"/>
      <c r="MC15" s="28">
        <f t="shared" si="56"/>
        <v>29215.040000000001</v>
      </c>
      <c r="MD15" s="26"/>
      <c r="ME15" s="36"/>
      <c r="MF15" s="27"/>
      <c r="MG15" s="27"/>
      <c r="MH15" s="27"/>
      <c r="MI15" s="28"/>
      <c r="MJ15" s="36"/>
      <c r="MK15" s="36"/>
      <c r="ML15" s="27"/>
      <c r="MM15" s="27"/>
      <c r="MN15" s="27"/>
      <c r="MO15" s="28"/>
      <c r="MP15" s="36"/>
      <c r="MQ15" s="36"/>
      <c r="MR15" s="27"/>
      <c r="MS15" s="27"/>
      <c r="MT15" s="27"/>
      <c r="MU15" s="33">
        <f t="shared" si="57"/>
        <v>0</v>
      </c>
      <c r="MV15" s="2688"/>
      <c r="MX15" s="26">
        <f t="shared" si="58"/>
        <v>184692.66209272342</v>
      </c>
      <c r="MY15" s="27">
        <f t="shared" si="59"/>
        <v>63121.006833323219</v>
      </c>
      <c r="MZ15" s="27">
        <f t="shared" si="60"/>
        <v>22591.225253194549</v>
      </c>
      <c r="NA15" s="28">
        <f t="shared" si="61"/>
        <v>430370.52855851001</v>
      </c>
      <c r="NB15" s="2621"/>
      <c r="NC15" s="23">
        <f t="shared" si="62"/>
        <v>67665.356091888243</v>
      </c>
      <c r="ND15" s="1579">
        <f t="shared" si="63"/>
        <v>117027.30600083517</v>
      </c>
      <c r="NE15" s="60">
        <f t="shared" si="64"/>
        <v>0</v>
      </c>
      <c r="NF15" s="275">
        <f t="shared" si="4"/>
        <v>184692.66209272342</v>
      </c>
      <c r="NG15" s="26">
        <f t="shared" si="65"/>
        <v>0</v>
      </c>
      <c r="NH15" s="27">
        <f t="shared" si="65"/>
        <v>0</v>
      </c>
      <c r="NI15" s="27">
        <f t="shared" si="65"/>
        <v>0</v>
      </c>
      <c r="NJ15" s="27">
        <f t="shared" si="65"/>
        <v>0</v>
      </c>
      <c r="NK15" s="27">
        <f t="shared" si="65"/>
        <v>0</v>
      </c>
      <c r="NL15" s="33">
        <f t="shared" si="65"/>
        <v>0</v>
      </c>
      <c r="NM15" s="27">
        <f t="shared" si="65"/>
        <v>0</v>
      </c>
      <c r="NN15" s="36">
        <f t="shared" si="65"/>
        <v>0</v>
      </c>
      <c r="NO15" s="24">
        <f t="shared" si="65"/>
        <v>2411.7131443320582</v>
      </c>
      <c r="NP15" s="27">
        <f t="shared" si="65"/>
        <v>26196.696072681989</v>
      </c>
      <c r="NQ15" s="24">
        <f t="shared" si="113"/>
        <v>8756.5482322711578</v>
      </c>
      <c r="NR15" s="24">
        <f t="shared" si="114"/>
        <v>2749.2226980586956</v>
      </c>
      <c r="NS15" s="27">
        <f t="shared" si="0"/>
        <v>40114.180147343897</v>
      </c>
      <c r="NT15" s="27">
        <f t="shared" si="66"/>
        <v>0</v>
      </c>
      <c r="NU15" s="27">
        <f t="shared" si="66"/>
        <v>0</v>
      </c>
      <c r="NV15" s="27">
        <f t="shared" si="66"/>
        <v>0</v>
      </c>
      <c r="NW15" s="27">
        <f t="shared" si="66"/>
        <v>0</v>
      </c>
      <c r="NX15" s="27">
        <f t="shared" si="66"/>
        <v>0</v>
      </c>
      <c r="NY15" s="27">
        <f t="shared" si="66"/>
        <v>0</v>
      </c>
      <c r="NZ15" s="27">
        <f t="shared" si="66"/>
        <v>1091.7327301930736</v>
      </c>
      <c r="OA15" s="27">
        <f t="shared" si="66"/>
        <v>0</v>
      </c>
      <c r="OB15" s="27">
        <f t="shared" si="66"/>
        <v>9306.7318418567593</v>
      </c>
      <c r="OC15" s="280"/>
      <c r="OD15" s="24">
        <f t="shared" si="67"/>
        <v>454.51223506073143</v>
      </c>
      <c r="OE15" s="27">
        <f t="shared" si="67"/>
        <v>0</v>
      </c>
      <c r="OF15" s="28">
        <f t="shared" si="1"/>
        <v>10852.976807110565</v>
      </c>
      <c r="OG15" s="27">
        <f t="shared" si="68"/>
        <v>0</v>
      </c>
      <c r="OH15" s="27">
        <f t="shared" si="68"/>
        <v>0</v>
      </c>
      <c r="OI15" s="27">
        <f t="shared" si="68"/>
        <v>0</v>
      </c>
      <c r="OJ15" s="27">
        <f t="shared" si="68"/>
        <v>0</v>
      </c>
      <c r="OK15" s="27">
        <f t="shared" si="68"/>
        <v>0</v>
      </c>
      <c r="OL15" s="27">
        <f t="shared" si="68"/>
        <v>0</v>
      </c>
      <c r="OM15" s="24">
        <v>0</v>
      </c>
      <c r="ON15" s="27">
        <f t="shared" si="68"/>
        <v>0</v>
      </c>
      <c r="OO15" s="24">
        <f t="shared" si="115"/>
        <v>9759.8922353120688</v>
      </c>
      <c r="OP15" s="27">
        <f t="shared" si="68"/>
        <v>0</v>
      </c>
      <c r="OQ15" s="27">
        <f t="shared" si="68"/>
        <v>2393.9576435566851</v>
      </c>
      <c r="OR15" s="27">
        <f t="shared" si="68"/>
        <v>0</v>
      </c>
      <c r="OS15" s="28">
        <f t="shared" si="2"/>
        <v>12153.849878868754</v>
      </c>
      <c r="OT15" s="36"/>
      <c r="OU15" s="27"/>
      <c r="OV15" s="27"/>
      <c r="OW15" s="27"/>
      <c r="OX15" s="27"/>
      <c r="OY15" s="27"/>
      <c r="OZ15" s="28">
        <f t="shared" si="69"/>
        <v>0</v>
      </c>
      <c r="PA15" s="36">
        <f t="shared" si="70"/>
        <v>0</v>
      </c>
      <c r="PB15" s="27">
        <f t="shared" si="71"/>
        <v>0</v>
      </c>
      <c r="PC15" s="27">
        <f t="shared" si="72"/>
        <v>0</v>
      </c>
      <c r="PD15" s="27">
        <f t="shared" si="73"/>
        <v>0</v>
      </c>
      <c r="PE15" s="24"/>
      <c r="PF15" s="27">
        <f t="shared" si="74"/>
        <v>0</v>
      </c>
      <c r="PG15" s="33">
        <f t="shared" si="3"/>
        <v>0</v>
      </c>
      <c r="PH15" s="2621"/>
      <c r="PJ15" s="1907">
        <v>1302.02</v>
      </c>
      <c r="PK15" s="3">
        <v>168.00000000000006</v>
      </c>
      <c r="PL15" s="3">
        <v>70.000000000000014</v>
      </c>
      <c r="PM15" s="3">
        <v>0</v>
      </c>
      <c r="PN15" s="3">
        <f t="shared" si="75"/>
        <v>29387.109776580692</v>
      </c>
      <c r="PO15" s="11">
        <f t="shared" si="76"/>
        <v>22591.225253194549</v>
      </c>
      <c r="PP15" s="15"/>
      <c r="PQ15" s="2615"/>
      <c r="PS15" s="4"/>
      <c r="PT15" s="9"/>
      <c r="PU15" s="9"/>
      <c r="PV15" s="9"/>
      <c r="PW15" s="8">
        <v>0</v>
      </c>
      <c r="PX15" s="9"/>
      <c r="PY15" s="8">
        <f t="shared" si="77"/>
        <v>0</v>
      </c>
      <c r="PZ15" s="5">
        <f t="shared" si="78"/>
        <v>1302.02</v>
      </c>
      <c r="QA15" s="5"/>
      <c r="QB15" s="5"/>
      <c r="QC15" s="5"/>
      <c r="QD15" s="5"/>
      <c r="QE15" s="5"/>
      <c r="QF15" s="12"/>
      <c r="QG15" s="12">
        <f t="shared" si="79"/>
        <v>29562.488999999998</v>
      </c>
      <c r="QH15" s="420">
        <f t="shared" si="80"/>
        <v>400808.03955851001</v>
      </c>
      <c r="QI15" s="1106">
        <f t="shared" si="81"/>
        <v>0</v>
      </c>
      <c r="QJ15" s="484">
        <f t="shared" si="82"/>
        <v>5505.3678056099998</v>
      </c>
      <c r="QK15" s="12"/>
      <c r="QL15" s="2615"/>
      <c r="QN15" s="139">
        <f t="shared" si="83"/>
        <v>0</v>
      </c>
      <c r="QO15" s="139" t="str">
        <f t="shared" si="84"/>
        <v/>
      </c>
      <c r="QQ15" s="139">
        <f t="shared" si="85"/>
        <v>0</v>
      </c>
      <c r="QR15" s="139">
        <f t="shared" si="86"/>
        <v>0</v>
      </c>
      <c r="QT15" s="1">
        <f t="shared" si="87"/>
        <v>0</v>
      </c>
      <c r="QU15" s="1">
        <f t="shared" si="88"/>
        <v>0</v>
      </c>
      <c r="QV15" s="1">
        <f t="shared" si="89"/>
        <v>0</v>
      </c>
      <c r="QW15" s="1">
        <f t="shared" si="90"/>
        <v>0</v>
      </c>
      <c r="QX15" s="1">
        <f t="shared" si="91"/>
        <v>0</v>
      </c>
      <c r="QY15" s="1">
        <f t="shared" si="92"/>
        <v>0</v>
      </c>
      <c r="RA15" s="1">
        <f t="shared" si="93"/>
        <v>0</v>
      </c>
      <c r="RB15" s="1">
        <f t="shared" si="94"/>
        <v>0</v>
      </c>
      <c r="RC15" s="1">
        <f t="shared" si="95"/>
        <v>0</v>
      </c>
      <c r="RD15" s="1">
        <f t="shared" si="96"/>
        <v>0</v>
      </c>
      <c r="RE15" s="1">
        <f t="shared" si="97"/>
        <v>0</v>
      </c>
      <c r="RF15" s="1">
        <f t="shared" si="98"/>
        <v>0</v>
      </c>
      <c r="RI15" s="1">
        <v>6</v>
      </c>
      <c r="RJ15" s="1">
        <f t="shared" si="99"/>
        <v>51628.612751083165</v>
      </c>
      <c r="RK15" s="1">
        <f t="shared" si="99"/>
        <v>9399.8625498622823</v>
      </c>
      <c r="RL15" s="1">
        <f t="shared" si="99"/>
        <v>9178.5689913333827</v>
      </c>
      <c r="RM15" s="89">
        <f t="shared" si="5"/>
        <v>70207.044292278821</v>
      </c>
      <c r="RN15" s="1033">
        <v>6</v>
      </c>
      <c r="RO15" s="1098">
        <f t="shared" si="100"/>
        <v>0</v>
      </c>
      <c r="RP15" s="1098">
        <f t="shared" si="101"/>
        <v>0</v>
      </c>
      <c r="RQ15" s="1097">
        <f t="shared" si="102"/>
        <v>0</v>
      </c>
      <c r="RR15" s="1097">
        <f t="shared" si="103"/>
        <v>8060.829999999999</v>
      </c>
      <c r="RS15" s="1094"/>
      <c r="RT15" s="1094" t="s">
        <v>944</v>
      </c>
      <c r="RW15" s="421">
        <v>6</v>
      </c>
      <c r="RX15" s="1095">
        <f t="shared" si="104"/>
        <v>14065.48</v>
      </c>
      <c r="RY15" s="1094" t="s">
        <v>945</v>
      </c>
      <c r="SA15" s="1090"/>
      <c r="SB15" s="1090">
        <f t="shared" si="105"/>
        <v>0</v>
      </c>
      <c r="SC15" s="1090"/>
      <c r="SD15" s="1090">
        <f t="shared" si="106"/>
        <v>0</v>
      </c>
      <c r="SF15" s="1">
        <v>6</v>
      </c>
      <c r="SG15" s="1">
        <f t="shared" si="107"/>
        <v>0</v>
      </c>
      <c r="SH15" s="1094"/>
    </row>
    <row r="16" spans="1:502" s="1" customFormat="1">
      <c r="B16" s="471">
        <v>7</v>
      </c>
      <c r="C16" s="4">
        <f t="shared" si="6"/>
        <v>152899</v>
      </c>
      <c r="D16" s="1726">
        <f>P16+T16+X16+AB16</f>
        <v>8449.4399999999987</v>
      </c>
      <c r="E16" s="1895">
        <f t="shared" si="7"/>
        <v>18.095755458349906</v>
      </c>
      <c r="F16" s="870"/>
      <c r="G16" s="870"/>
      <c r="H16" s="52">
        <v>9</v>
      </c>
      <c r="I16" s="61">
        <v>2.75</v>
      </c>
      <c r="J16" s="52"/>
      <c r="K16" s="54"/>
      <c r="L16" s="52">
        <v>4</v>
      </c>
      <c r="M16" s="61">
        <v>3.17</v>
      </c>
      <c r="N16" s="2629"/>
      <c r="O16" s="4">
        <f t="shared" si="118"/>
        <v>98428</v>
      </c>
      <c r="P16" s="1225">
        <f t="shared" si="8"/>
        <v>5679.62</v>
      </c>
      <c r="Q16" s="1913">
        <f t="shared" si="9"/>
        <v>17.330032643028936</v>
      </c>
      <c r="R16" s="33"/>
      <c r="S16" s="26">
        <f t="shared" si="10"/>
        <v>32011</v>
      </c>
      <c r="T16" s="27">
        <f t="shared" si="109"/>
        <v>1249.82</v>
      </c>
      <c r="U16" s="1909">
        <f t="shared" si="11"/>
        <v>25.612488198300557</v>
      </c>
      <c r="V16" s="15"/>
      <c r="W16" s="1742">
        <f t="shared" si="12"/>
        <v>22460</v>
      </c>
      <c r="X16" s="5">
        <f t="shared" si="12"/>
        <v>1520</v>
      </c>
      <c r="Y16" s="1738">
        <f t="shared" si="13"/>
        <v>14.776315789473685</v>
      </c>
      <c r="Z16" s="33"/>
      <c r="AA16" s="26">
        <f t="shared" si="14"/>
        <v>0</v>
      </c>
      <c r="AB16" s="27">
        <f t="shared" si="15"/>
        <v>0</v>
      </c>
      <c r="AC16" s="53">
        <f t="shared" si="16"/>
        <v>0</v>
      </c>
      <c r="AD16" s="28"/>
      <c r="AE16" s="36"/>
      <c r="AF16" s="36"/>
      <c r="AG16" s="53">
        <f t="shared" si="17"/>
        <v>0</v>
      </c>
      <c r="AH16" s="28"/>
      <c r="AI16" s="23"/>
      <c r="AJ16" s="27"/>
      <c r="AK16" s="53">
        <f t="shared" si="18"/>
        <v>0</v>
      </c>
      <c r="AL16" s="28"/>
      <c r="AM16" s="2629"/>
      <c r="AN16" s="9"/>
      <c r="AO16" s="5"/>
      <c r="AP16" s="61">
        <f t="shared" si="19"/>
        <v>0</v>
      </c>
      <c r="AQ16" s="36"/>
      <c r="AR16" s="53"/>
      <c r="AS16" s="61">
        <f t="shared" si="20"/>
        <v>0</v>
      </c>
      <c r="AT16" s="36">
        <v>0</v>
      </c>
      <c r="AU16" s="27"/>
      <c r="AV16" s="54">
        <f t="shared" si="21"/>
        <v>0</v>
      </c>
      <c r="AW16" s="26">
        <v>56008</v>
      </c>
      <c r="AX16" s="27">
        <v>5679.62</v>
      </c>
      <c r="AY16" s="1735">
        <f t="shared" si="116"/>
        <v>9.8612231099967964</v>
      </c>
      <c r="AZ16" s="36"/>
      <c r="BA16" s="27"/>
      <c r="BB16" s="61">
        <f t="shared" si="22"/>
        <v>0</v>
      </c>
      <c r="BC16" s="1740">
        <v>42420</v>
      </c>
      <c r="BD16" s="1736">
        <v>0</v>
      </c>
      <c r="BE16" s="1735">
        <f t="shared" si="23"/>
        <v>0</v>
      </c>
      <c r="BF16" s="36"/>
      <c r="BG16" s="53"/>
      <c r="BH16" s="61">
        <f t="shared" si="24"/>
        <v>0</v>
      </c>
      <c r="BI16" s="36">
        <v>0</v>
      </c>
      <c r="BJ16" s="53">
        <v>0</v>
      </c>
      <c r="BK16" s="61">
        <f t="shared" si="25"/>
        <v>0</v>
      </c>
      <c r="BL16" s="1742">
        <v>32011</v>
      </c>
      <c r="BM16" s="1909">
        <v>1249.82</v>
      </c>
      <c r="BN16" s="2170"/>
      <c r="BO16" s="1735">
        <f t="shared" si="26"/>
        <v>25.612488198300557</v>
      </c>
      <c r="BP16" s="36"/>
      <c r="BQ16" s="53"/>
      <c r="BR16" s="61">
        <f t="shared" si="27"/>
        <v>0</v>
      </c>
      <c r="BS16" s="36"/>
      <c r="BT16" s="53"/>
      <c r="BU16" s="61">
        <f t="shared" si="28"/>
        <v>0</v>
      </c>
      <c r="BV16" s="36">
        <v>22460</v>
      </c>
      <c r="BW16" s="27">
        <v>1520</v>
      </c>
      <c r="BX16" s="1906">
        <f t="shared" si="29"/>
        <v>14.776315789473685</v>
      </c>
      <c r="BY16" s="26"/>
      <c r="BZ16" s="27"/>
      <c r="CA16" s="61">
        <f t="shared" si="30"/>
        <v>0</v>
      </c>
      <c r="CB16" s="36"/>
      <c r="CC16" s="481"/>
      <c r="CD16" s="482">
        <f t="shared" si="31"/>
        <v>0</v>
      </c>
      <c r="CE16" s="4"/>
      <c r="CF16" s="5"/>
      <c r="CG16" s="28">
        <f t="shared" si="32"/>
        <v>0</v>
      </c>
      <c r="CH16" s="150"/>
      <c r="CI16" s="4"/>
      <c r="CJ16" s="5">
        <v>135</v>
      </c>
      <c r="CK16" s="5">
        <v>7515</v>
      </c>
      <c r="CL16" s="5"/>
      <c r="CM16" s="5"/>
      <c r="CN16" s="5"/>
      <c r="CO16" s="33"/>
      <c r="CP16" s="366"/>
      <c r="CR16" s="4">
        <f t="shared" si="33"/>
        <v>0</v>
      </c>
      <c r="CS16" s="9">
        <f t="shared" si="33"/>
        <v>0</v>
      </c>
      <c r="CT16" s="5">
        <f t="shared" si="33"/>
        <v>0</v>
      </c>
      <c r="CU16" s="5">
        <f t="shared" si="33"/>
        <v>0</v>
      </c>
      <c r="CV16" s="5">
        <f t="shared" si="33"/>
        <v>0</v>
      </c>
      <c r="CW16" s="5">
        <f t="shared" si="33"/>
        <v>0</v>
      </c>
      <c r="CX16" s="5">
        <f t="shared" si="33"/>
        <v>992.96</v>
      </c>
      <c r="CY16" s="5">
        <f t="shared" si="33"/>
        <v>0</v>
      </c>
      <c r="CZ16" s="5">
        <f t="shared" si="33"/>
        <v>5936.48</v>
      </c>
      <c r="DA16" s="5">
        <f t="shared" si="33"/>
        <v>0</v>
      </c>
      <c r="DB16" s="5">
        <f t="shared" si="33"/>
        <v>1520</v>
      </c>
      <c r="DC16" s="12">
        <f t="shared" si="33"/>
        <v>0</v>
      </c>
      <c r="DD16" s="310">
        <f t="shared" si="34"/>
        <v>8449.4399999999987</v>
      </c>
      <c r="DE16" s="2695"/>
      <c r="DF16" s="8"/>
      <c r="DG16" s="9"/>
      <c r="DH16" s="5"/>
      <c r="DI16" s="5"/>
      <c r="DJ16" s="5"/>
      <c r="DK16" s="5"/>
      <c r="DL16" s="5">
        <v>992.96</v>
      </c>
      <c r="DM16" s="5"/>
      <c r="DN16" s="5">
        <v>4686.66</v>
      </c>
      <c r="DO16" s="5"/>
      <c r="DP16" s="5"/>
      <c r="DQ16" s="12"/>
      <c r="DR16" s="1906">
        <f t="shared" si="35"/>
        <v>5679.62</v>
      </c>
      <c r="DS16" s="36"/>
      <c r="DT16" s="36"/>
      <c r="DU16" s="27"/>
      <c r="DV16" s="27"/>
      <c r="DW16" s="5"/>
      <c r="DX16" s="5"/>
      <c r="DY16" s="5"/>
      <c r="DZ16" s="5"/>
      <c r="EA16" s="5">
        <v>1249.82</v>
      </c>
      <c r="EB16" s="53"/>
      <c r="EC16" s="27">
        <v>0</v>
      </c>
      <c r="ED16" s="33"/>
      <c r="EE16" s="28">
        <f t="shared" si="36"/>
        <v>1249.82</v>
      </c>
      <c r="EF16" s="9"/>
      <c r="EG16" s="9"/>
      <c r="EH16" s="5"/>
      <c r="EI16" s="492"/>
      <c r="EJ16" s="27"/>
      <c r="EK16" s="27"/>
      <c r="EL16" s="27"/>
      <c r="EM16" s="27"/>
      <c r="EN16" s="5"/>
      <c r="EO16" s="5"/>
      <c r="EP16" s="5">
        <v>1520</v>
      </c>
      <c r="EQ16" s="33"/>
      <c r="ER16" s="28">
        <f t="shared" si="37"/>
        <v>1520</v>
      </c>
      <c r="ES16" s="36"/>
      <c r="ET16" s="27"/>
      <c r="EU16" s="27"/>
      <c r="EV16" s="27"/>
      <c r="EW16" s="27"/>
      <c r="EX16" s="27"/>
      <c r="EY16" s="33">
        <f t="shared" si="38"/>
        <v>0</v>
      </c>
      <c r="EZ16" s="2685"/>
      <c r="FB16" s="4">
        <f t="shared" si="39"/>
        <v>0</v>
      </c>
      <c r="FC16" s="5">
        <f t="shared" si="40"/>
        <v>0</v>
      </c>
      <c r="FD16" s="5">
        <f t="shared" si="41"/>
        <v>0</v>
      </c>
      <c r="FE16" s="12">
        <f t="shared" si="42"/>
        <v>0</v>
      </c>
      <c r="FF16" s="33"/>
      <c r="FG16" s="2674"/>
      <c r="FH16" s="9"/>
      <c r="FI16" s="5"/>
      <c r="FJ16" s="5"/>
      <c r="FK16" s="5"/>
      <c r="FL16" s="5"/>
      <c r="FM16" s="27"/>
      <c r="FN16" s="28">
        <f t="shared" si="43"/>
        <v>0</v>
      </c>
      <c r="FO16" s="36"/>
      <c r="FP16" s="27"/>
      <c r="FQ16" s="27"/>
      <c r="FR16" s="27"/>
      <c r="FS16" s="27"/>
      <c r="FT16" s="27"/>
      <c r="FU16" s="28">
        <f t="shared" si="44"/>
        <v>0</v>
      </c>
      <c r="FV16" s="36"/>
      <c r="FW16" s="36"/>
      <c r="FX16" s="27"/>
      <c r="FY16" s="27"/>
      <c r="FZ16" s="27"/>
      <c r="GA16" s="27"/>
      <c r="GB16" s="27"/>
      <c r="GC16" s="27"/>
      <c r="GD16" s="27"/>
      <c r="GE16" s="27"/>
      <c r="GF16" s="27"/>
      <c r="GG16" s="33"/>
      <c r="GH16" s="33">
        <f t="shared" si="45"/>
        <v>0</v>
      </c>
      <c r="GI16" s="2674"/>
      <c r="GK16" s="2">
        <f t="shared" si="110"/>
        <v>0</v>
      </c>
      <c r="GL16" s="63">
        <f t="shared" si="111"/>
        <v>0</v>
      </c>
      <c r="GM16" s="24">
        <f t="shared" si="112"/>
        <v>0</v>
      </c>
      <c r="GN16" s="1736">
        <f t="shared" si="46"/>
        <v>0</v>
      </c>
      <c r="GO16" s="141"/>
      <c r="GP16" s="141"/>
      <c r="GQ16" s="33" t="s">
        <v>946</v>
      </c>
      <c r="GR16" s="2667"/>
      <c r="GS16" s="1939">
        <v>0</v>
      </c>
      <c r="GT16" s="1727">
        <v>0</v>
      </c>
      <c r="GU16" s="1727">
        <v>0</v>
      </c>
      <c r="GV16" s="1723">
        <v>0</v>
      </c>
      <c r="GW16" s="1724">
        <f t="shared" si="47"/>
        <v>0</v>
      </c>
      <c r="GX16" s="2667"/>
      <c r="GY16" s="36"/>
      <c r="GZ16" s="36"/>
      <c r="HA16" s="27"/>
      <c r="HB16" s="27"/>
      <c r="HC16" s="27"/>
      <c r="HD16" s="27"/>
      <c r="HE16" s="27"/>
      <c r="HF16" s="27"/>
      <c r="HG16" s="27">
        <v>0</v>
      </c>
      <c r="HH16" s="27"/>
      <c r="HI16" s="2167">
        <v>0</v>
      </c>
      <c r="HJ16" s="27"/>
      <c r="HK16" s="27">
        <v>0</v>
      </c>
      <c r="HL16" s="27"/>
      <c r="HM16" s="28">
        <f t="shared" si="48"/>
        <v>0</v>
      </c>
      <c r="HN16" s="36"/>
      <c r="HO16" s="27"/>
      <c r="HP16" s="27"/>
      <c r="HQ16" s="27"/>
      <c r="HR16" s="27"/>
      <c r="HS16" s="27"/>
      <c r="HT16" s="27" cm="1">
        <f t="array" ref="HT16">SUMPRODUCT(('Data Base hauling'!$C$2:$C$216="TCM-ROM SB1 BK05-ROM 4")*(ISNUMBER(SEARCH(TEXT('May TCM'!$B16,"00")&amp;"/03/2026",'Data Base hauling'!$E$2:$E$216)))*'Data Base hauling'!$N$2:$N$216)</f>
        <v>0</v>
      </c>
      <c r="HU16" s="27"/>
      <c r="HV16" s="27" cm="1">
        <f t="array" ref="HV16">SUMPRODUCT(('Data Base hauling'!$C$2:$C$216="TCM-ROM SB1 BK05-ROM 5")*(ISNUMBER(SEARCH(TEXT('May TCM'!$B16,"00")&amp;"/03/2026",'Data Base hauling'!$E$2:$E$216)))*'Data Base hauling'!$N$2:$N$216)</f>
        <v>0</v>
      </c>
      <c r="HW16" s="27"/>
      <c r="HX16" s="27"/>
      <c r="HY16" s="27"/>
      <c r="HZ16" s="27"/>
      <c r="IA16" s="27"/>
      <c r="IB16" s="33">
        <f t="shared" si="49"/>
        <v>0</v>
      </c>
      <c r="IC16" s="52"/>
      <c r="ID16" s="152"/>
      <c r="IE16" s="53"/>
      <c r="IF16" s="53"/>
      <c r="IG16" s="53"/>
      <c r="IH16" s="53"/>
      <c r="II16" s="1736">
        <v>0</v>
      </c>
      <c r="IJ16" s="1736"/>
      <c r="IK16" s="1736">
        <v>0</v>
      </c>
      <c r="IL16" s="53"/>
      <c r="IM16" s="53">
        <v>0</v>
      </c>
      <c r="IN16" s="53"/>
      <c r="IO16" s="53"/>
      <c r="IP16" s="49">
        <v>0</v>
      </c>
      <c r="IQ16" s="2195">
        <f t="shared" si="50"/>
        <v>0</v>
      </c>
      <c r="IR16" s="36"/>
      <c r="IS16" s="36"/>
      <c r="IT16" s="27"/>
      <c r="IU16" s="27"/>
      <c r="IV16" s="53"/>
      <c r="IW16" s="27"/>
      <c r="IX16" s="27">
        <v>0</v>
      </c>
      <c r="IY16" s="27"/>
      <c r="IZ16" s="27">
        <v>0</v>
      </c>
      <c r="JA16" s="27"/>
      <c r="JB16" s="27">
        <v>0</v>
      </c>
      <c r="JC16" s="27"/>
      <c r="JD16" s="27"/>
      <c r="JE16" s="27"/>
      <c r="JF16" s="54">
        <f t="shared" si="117"/>
        <v>0</v>
      </c>
      <c r="JG16" s="2667"/>
      <c r="JI16" s="2019">
        <v>0</v>
      </c>
      <c r="JJ16" s="2017">
        <v>0</v>
      </c>
      <c r="JK16" s="53"/>
      <c r="JL16" s="1736">
        <f t="shared" si="52"/>
        <v>0</v>
      </c>
      <c r="JM16" s="33"/>
      <c r="JN16" s="2669"/>
      <c r="JO16" s="69" t="s">
        <v>296</v>
      </c>
      <c r="JP16" s="70" t="s">
        <v>296</v>
      </c>
      <c r="JQ16" s="70" t="s">
        <v>296</v>
      </c>
      <c r="JR16" s="850" t="s">
        <v>296</v>
      </c>
      <c r="JS16" s="850" t="s">
        <v>296</v>
      </c>
      <c r="JT16" s="850" t="s">
        <v>296</v>
      </c>
      <c r="JU16" s="850" t="s">
        <v>296</v>
      </c>
      <c r="JV16" s="1923">
        <v>0</v>
      </c>
      <c r="JW16" s="849" t="s">
        <v>296</v>
      </c>
      <c r="JX16" s="850" t="s">
        <v>296</v>
      </c>
      <c r="JY16" s="850" t="s">
        <v>296</v>
      </c>
      <c r="JZ16" s="850" t="s">
        <v>296</v>
      </c>
      <c r="KA16" s="850" t="s">
        <v>296</v>
      </c>
      <c r="KB16" s="70" t="s">
        <v>296</v>
      </c>
      <c r="KC16" s="70" t="s">
        <v>296</v>
      </c>
      <c r="KD16" s="71" t="s">
        <v>296</v>
      </c>
      <c r="KE16" s="21"/>
      <c r="KF16" s="70"/>
      <c r="KG16" s="70"/>
      <c r="KH16" s="70"/>
      <c r="KI16" s="70"/>
      <c r="KJ16" s="70"/>
      <c r="KK16" s="70"/>
      <c r="KL16" s="70"/>
      <c r="KM16" s="33"/>
      <c r="KN16" s="2669"/>
      <c r="KO16" s="1739">
        <v>0</v>
      </c>
      <c r="KP16" s="1721">
        <v>0</v>
      </c>
      <c r="KQ16" s="1721">
        <v>0</v>
      </c>
      <c r="KR16" s="1721">
        <v>0</v>
      </c>
      <c r="KS16" s="1722">
        <v>0</v>
      </c>
      <c r="KT16" s="1958">
        <v>0</v>
      </c>
      <c r="KU16" s="1961">
        <v>0</v>
      </c>
      <c r="KV16" s="1961">
        <v>0</v>
      </c>
      <c r="KW16" s="1961">
        <v>0</v>
      </c>
      <c r="KX16" s="1962">
        <v>0</v>
      </c>
      <c r="KY16" s="36"/>
      <c r="KZ16" s="53"/>
      <c r="LA16" s="53"/>
      <c r="LB16" s="53"/>
      <c r="LC16" s="53"/>
      <c r="LD16" s="33"/>
      <c r="LE16" s="2669"/>
      <c r="LG16" s="1121">
        <f t="shared" si="53"/>
        <v>20304.829999999998</v>
      </c>
      <c r="LH16" s="280">
        <f t="shared" si="53"/>
        <v>9795.76</v>
      </c>
      <c r="LI16" s="280">
        <f t="shared" si="53"/>
        <v>0</v>
      </c>
      <c r="LJ16" s="844">
        <f t="shared" si="54"/>
        <v>30100.589999999997</v>
      </c>
      <c r="LK16" s="36">
        <v>4</v>
      </c>
      <c r="LL16" s="27"/>
      <c r="LM16" s="27">
        <v>3</v>
      </c>
      <c r="LN16" s="33"/>
      <c r="LO16" s="1041">
        <v>5.59</v>
      </c>
      <c r="LP16" s="486"/>
      <c r="LQ16" s="2688"/>
      <c r="LR16" s="867">
        <v>15030.189999999999</v>
      </c>
      <c r="LS16" s="27"/>
      <c r="LT16" s="27"/>
      <c r="LU16" s="27"/>
      <c r="LV16" s="27"/>
      <c r="LW16" s="1117">
        <f t="shared" si="55"/>
        <v>15030.189999999999</v>
      </c>
      <c r="LX16" s="36">
        <v>5274.6399999999994</v>
      </c>
      <c r="LY16" s="36">
        <v>9795.76</v>
      </c>
      <c r="LZ16" s="27"/>
      <c r="MA16" s="27"/>
      <c r="MB16" s="33"/>
      <c r="MC16" s="28">
        <f t="shared" si="56"/>
        <v>15070.4</v>
      </c>
      <c r="MD16" s="36"/>
      <c r="ME16" s="36"/>
      <c r="MF16" s="27"/>
      <c r="MG16" s="27"/>
      <c r="MH16" s="33"/>
      <c r="MI16" s="28"/>
      <c r="MJ16" s="36"/>
      <c r="MK16" s="36"/>
      <c r="ML16" s="27"/>
      <c r="MM16" s="27"/>
      <c r="MN16" s="27"/>
      <c r="MO16" s="28"/>
      <c r="MP16" s="36"/>
      <c r="MQ16" s="36"/>
      <c r="MR16" s="27"/>
      <c r="MS16" s="27"/>
      <c r="MT16" s="27"/>
      <c r="MU16" s="33">
        <f t="shared" si="57"/>
        <v>0</v>
      </c>
      <c r="MV16" s="2688"/>
      <c r="MX16" s="26">
        <f t="shared" si="58"/>
        <v>154592.07209272342</v>
      </c>
      <c r="MY16" s="27">
        <f t="shared" si="59"/>
        <v>71570.446833323207</v>
      </c>
      <c r="MZ16" s="27">
        <f t="shared" si="60"/>
        <v>22998.725253194549</v>
      </c>
      <c r="NA16" s="28">
        <f t="shared" si="61"/>
        <v>430370.52855851001</v>
      </c>
      <c r="NB16" s="2621"/>
      <c r="NC16" s="23">
        <f t="shared" si="62"/>
        <v>47360.526091888241</v>
      </c>
      <c r="ND16" s="1579">
        <f t="shared" si="63"/>
        <v>107231.54600083518</v>
      </c>
      <c r="NE16" s="60">
        <f t="shared" si="64"/>
        <v>0</v>
      </c>
      <c r="NF16" s="275">
        <f t="shared" si="4"/>
        <v>154592.07209272342</v>
      </c>
      <c r="NG16" s="26">
        <f t="shared" si="65"/>
        <v>0</v>
      </c>
      <c r="NH16" s="27">
        <f t="shared" si="65"/>
        <v>0</v>
      </c>
      <c r="NI16" s="27">
        <f t="shared" si="65"/>
        <v>0</v>
      </c>
      <c r="NJ16" s="27">
        <f t="shared" si="65"/>
        <v>0</v>
      </c>
      <c r="NK16" s="27">
        <f t="shared" si="65"/>
        <v>0</v>
      </c>
      <c r="NL16" s="33">
        <f t="shared" si="65"/>
        <v>0</v>
      </c>
      <c r="NM16" s="27">
        <f t="shared" si="65"/>
        <v>0</v>
      </c>
      <c r="NN16" s="36">
        <f t="shared" si="65"/>
        <v>0</v>
      </c>
      <c r="NO16" s="24">
        <f t="shared" si="65"/>
        <v>2411.7131443320582</v>
      </c>
      <c r="NP16" s="27">
        <f t="shared" si="65"/>
        <v>26196.696072681989</v>
      </c>
      <c r="NQ16" s="24">
        <f t="shared" si="113"/>
        <v>8756.5482322711578</v>
      </c>
      <c r="NR16" s="24">
        <f t="shared" si="114"/>
        <v>4269.2226980586956</v>
      </c>
      <c r="NS16" s="27">
        <f t="shared" si="0"/>
        <v>41634.180147343897</v>
      </c>
      <c r="NT16" s="27">
        <f t="shared" si="66"/>
        <v>0</v>
      </c>
      <c r="NU16" s="27">
        <f t="shared" si="66"/>
        <v>0</v>
      </c>
      <c r="NV16" s="27">
        <f t="shared" si="66"/>
        <v>0</v>
      </c>
      <c r="NW16" s="27">
        <f t="shared" si="66"/>
        <v>0</v>
      </c>
      <c r="NX16" s="27">
        <f t="shared" si="66"/>
        <v>0</v>
      </c>
      <c r="NY16" s="27">
        <f t="shared" si="66"/>
        <v>0</v>
      </c>
      <c r="NZ16" s="27">
        <f t="shared" si="66"/>
        <v>2084.6927301930737</v>
      </c>
      <c r="OA16" s="27">
        <f t="shared" si="66"/>
        <v>0</v>
      </c>
      <c r="OB16" s="27">
        <f t="shared" si="66"/>
        <v>13993.391841856759</v>
      </c>
      <c r="OC16" s="280"/>
      <c r="OD16" s="24">
        <f t="shared" si="67"/>
        <v>454.51223506073143</v>
      </c>
      <c r="OE16" s="27">
        <f t="shared" si="67"/>
        <v>0</v>
      </c>
      <c r="OF16" s="28">
        <f t="shared" si="1"/>
        <v>16532.596807110564</v>
      </c>
      <c r="OG16" s="27">
        <f t="shared" si="68"/>
        <v>0</v>
      </c>
      <c r="OH16" s="27">
        <f t="shared" si="68"/>
        <v>0</v>
      </c>
      <c r="OI16" s="27">
        <f t="shared" si="68"/>
        <v>0</v>
      </c>
      <c r="OJ16" s="27">
        <f t="shared" si="68"/>
        <v>0</v>
      </c>
      <c r="OK16" s="27">
        <f t="shared" si="68"/>
        <v>0</v>
      </c>
      <c r="OL16" s="27">
        <f t="shared" si="68"/>
        <v>0</v>
      </c>
      <c r="OM16" s="24">
        <v>0</v>
      </c>
      <c r="ON16" s="27">
        <f t="shared" si="68"/>
        <v>0</v>
      </c>
      <c r="OO16" s="24">
        <f t="shared" si="115"/>
        <v>11009.712235312069</v>
      </c>
      <c r="OP16" s="27">
        <f t="shared" si="68"/>
        <v>0</v>
      </c>
      <c r="OQ16" s="27">
        <f t="shared" si="68"/>
        <v>2393.9576435566851</v>
      </c>
      <c r="OR16" s="27">
        <f t="shared" si="68"/>
        <v>0</v>
      </c>
      <c r="OS16" s="28">
        <f t="shared" si="2"/>
        <v>13403.669878868754</v>
      </c>
      <c r="OT16" s="36"/>
      <c r="OU16" s="27"/>
      <c r="OV16" s="27"/>
      <c r="OW16" s="27"/>
      <c r="OX16" s="27"/>
      <c r="OY16" s="27"/>
      <c r="OZ16" s="28">
        <f t="shared" si="69"/>
        <v>0</v>
      </c>
      <c r="PA16" s="36">
        <f t="shared" si="70"/>
        <v>0</v>
      </c>
      <c r="PB16" s="27">
        <f t="shared" si="71"/>
        <v>0</v>
      </c>
      <c r="PC16" s="27">
        <f t="shared" si="72"/>
        <v>0</v>
      </c>
      <c r="PD16" s="27">
        <f t="shared" si="73"/>
        <v>0</v>
      </c>
      <c r="PE16" s="24"/>
      <c r="PF16" s="27">
        <f t="shared" si="74"/>
        <v>0</v>
      </c>
      <c r="PG16" s="33">
        <f t="shared" si="3"/>
        <v>0</v>
      </c>
      <c r="PH16" s="2621"/>
      <c r="PJ16" s="1907">
        <v>0</v>
      </c>
      <c r="PK16" s="3">
        <v>978</v>
      </c>
      <c r="PL16" s="3">
        <v>407.5</v>
      </c>
      <c r="PM16" s="3">
        <v>0</v>
      </c>
      <c r="PN16" s="3">
        <f t="shared" si="75"/>
        <v>28409.109776580692</v>
      </c>
      <c r="PO16" s="11">
        <f t="shared" si="76"/>
        <v>22998.725253194549</v>
      </c>
      <c r="PP16" s="15"/>
      <c r="PQ16" s="2615"/>
      <c r="PS16" s="4"/>
      <c r="PT16" s="9"/>
      <c r="PU16" s="9"/>
      <c r="PV16" s="9"/>
      <c r="PW16" s="8">
        <v>0</v>
      </c>
      <c r="PX16" s="9"/>
      <c r="PY16" s="8">
        <f t="shared" si="77"/>
        <v>0</v>
      </c>
      <c r="PZ16" s="5">
        <f t="shared" si="78"/>
        <v>0</v>
      </c>
      <c r="QA16" s="5"/>
      <c r="QB16" s="5"/>
      <c r="QC16" s="5"/>
      <c r="QD16" s="5"/>
      <c r="QE16" s="5"/>
      <c r="QF16" s="12"/>
      <c r="QG16" s="12">
        <f t="shared" si="79"/>
        <v>29562.488999999998</v>
      </c>
      <c r="QH16" s="420">
        <f t="shared" si="80"/>
        <v>400808.03955851001</v>
      </c>
      <c r="QI16" s="1106">
        <f t="shared" si="81"/>
        <v>0</v>
      </c>
      <c r="QJ16" s="484">
        <f t="shared" si="82"/>
        <v>5505.3678056099998</v>
      </c>
      <c r="QK16" s="12"/>
      <c r="QL16" s="2615"/>
      <c r="QN16" s="139" t="str">
        <f t="shared" si="83"/>
        <v/>
      </c>
      <c r="QO16" s="139" t="str">
        <f t="shared" si="84"/>
        <v/>
      </c>
      <c r="QQ16" s="139" t="str">
        <f t="shared" si="85"/>
        <v/>
      </c>
      <c r="QR16" s="139" t="str">
        <f t="shared" si="86"/>
        <v/>
      </c>
      <c r="QT16" s="1">
        <f t="shared" si="87"/>
        <v>0</v>
      </c>
      <c r="QU16" s="1">
        <f t="shared" si="88"/>
        <v>0</v>
      </c>
      <c r="QV16" s="1">
        <f t="shared" si="89"/>
        <v>0</v>
      </c>
      <c r="QW16" s="1">
        <f t="shared" si="90"/>
        <v>0</v>
      </c>
      <c r="QX16" s="1">
        <f t="shared" si="91"/>
        <v>0</v>
      </c>
      <c r="QY16" s="1">
        <f t="shared" si="92"/>
        <v>0</v>
      </c>
      <c r="RA16" s="1">
        <f t="shared" si="93"/>
        <v>0</v>
      </c>
      <c r="RB16" s="1">
        <f t="shared" si="94"/>
        <v>0</v>
      </c>
      <c r="RC16" s="1">
        <f t="shared" si="95"/>
        <v>0</v>
      </c>
      <c r="RD16" s="1">
        <f t="shared" si="96"/>
        <v>0</v>
      </c>
      <c r="RE16" s="1">
        <f t="shared" si="97"/>
        <v>0</v>
      </c>
      <c r="RF16" s="1">
        <f t="shared" si="98"/>
        <v>0</v>
      </c>
      <c r="RI16" s="1">
        <v>7</v>
      </c>
      <c r="RJ16" s="1">
        <f t="shared" si="99"/>
        <v>31323.782751083167</v>
      </c>
      <c r="RK16" s="1">
        <f t="shared" si="99"/>
        <v>-395.8974501377179</v>
      </c>
      <c r="RL16" s="1">
        <f t="shared" si="99"/>
        <v>9178.5689913333827</v>
      </c>
      <c r="RM16" s="89">
        <f t="shared" si="5"/>
        <v>40106.454292278831</v>
      </c>
      <c r="RN16" s="1033">
        <v>7</v>
      </c>
      <c r="RO16" s="1098">
        <f t="shared" si="100"/>
        <v>0</v>
      </c>
      <c r="RP16" s="1098">
        <f t="shared" si="101"/>
        <v>0</v>
      </c>
      <c r="RQ16" s="1097">
        <f t="shared" si="102"/>
        <v>0</v>
      </c>
      <c r="RR16" s="1097">
        <f t="shared" si="103"/>
        <v>6929.44</v>
      </c>
      <c r="RS16" s="1094"/>
      <c r="RT16" s="1094" t="s">
        <v>947</v>
      </c>
      <c r="RW16" s="421">
        <v>7</v>
      </c>
      <c r="RX16" s="1095">
        <f t="shared" si="104"/>
        <v>0</v>
      </c>
      <c r="RY16" s="1094"/>
      <c r="SA16" s="1090"/>
      <c r="SB16" s="1090">
        <f t="shared" si="105"/>
        <v>0</v>
      </c>
      <c r="SC16" s="1090"/>
      <c r="SD16" s="1090">
        <f t="shared" si="106"/>
        <v>0</v>
      </c>
      <c r="SF16" s="1">
        <v>7</v>
      </c>
      <c r="SG16" s="1">
        <f t="shared" si="107"/>
        <v>0</v>
      </c>
      <c r="SH16" s="1094"/>
    </row>
    <row r="17" spans="1:502" s="1" customFormat="1">
      <c r="B17" s="471">
        <v>8</v>
      </c>
      <c r="C17" s="4">
        <f t="shared" si="6"/>
        <v>148167.5</v>
      </c>
      <c r="D17" s="1726">
        <f t="shared" ref="D17:D39" si="119">P17+T17+X17+AB17</f>
        <v>7667.5424000000003</v>
      </c>
      <c r="E17" s="1895">
        <f t="shared" si="7"/>
        <v>19.323988348600459</v>
      </c>
      <c r="F17" s="870"/>
      <c r="G17" s="870"/>
      <c r="H17" s="52">
        <v>22</v>
      </c>
      <c r="I17" s="61">
        <v>4.42</v>
      </c>
      <c r="J17" s="52"/>
      <c r="K17" s="54"/>
      <c r="L17" s="52">
        <v>10</v>
      </c>
      <c r="M17" s="61">
        <v>4.75</v>
      </c>
      <c r="N17" s="2629"/>
      <c r="O17" s="4">
        <f t="shared" si="118"/>
        <v>100758</v>
      </c>
      <c r="P17" s="1225">
        <f t="shared" si="8"/>
        <v>5224.54</v>
      </c>
      <c r="Q17" s="1913">
        <f t="shared" si="9"/>
        <v>19.285525615652286</v>
      </c>
      <c r="R17" s="33"/>
      <c r="S17" s="26">
        <f t="shared" si="10"/>
        <v>32125.5</v>
      </c>
      <c r="T17" s="27">
        <f t="shared" si="109"/>
        <v>1503.0024000000001</v>
      </c>
      <c r="U17" s="1909">
        <f t="shared" si="11"/>
        <v>21.374217366519176</v>
      </c>
      <c r="W17" s="1742">
        <f t="shared" si="12"/>
        <v>15284</v>
      </c>
      <c r="X17" s="5">
        <f t="shared" si="12"/>
        <v>940</v>
      </c>
      <c r="Y17" s="1738">
        <f t="shared" si="13"/>
        <v>16.259574468085106</v>
      </c>
      <c r="Z17" s="33"/>
      <c r="AA17" s="26">
        <f t="shared" si="14"/>
        <v>0</v>
      </c>
      <c r="AB17" s="27">
        <f t="shared" si="15"/>
        <v>0</v>
      </c>
      <c r="AC17" s="53">
        <f t="shared" si="16"/>
        <v>0</v>
      </c>
      <c r="AD17" s="28"/>
      <c r="AE17" s="36"/>
      <c r="AF17" s="36"/>
      <c r="AG17" s="53">
        <f t="shared" si="17"/>
        <v>0</v>
      </c>
      <c r="AH17" s="28"/>
      <c r="AI17" s="26"/>
      <c r="AJ17" s="27"/>
      <c r="AK17" s="53">
        <f t="shared" si="18"/>
        <v>0</v>
      </c>
      <c r="AL17" s="28"/>
      <c r="AM17" s="2629"/>
      <c r="AN17" s="9"/>
      <c r="AO17" s="5"/>
      <c r="AP17" s="61">
        <f t="shared" si="19"/>
        <v>0</v>
      </c>
      <c r="AQ17" s="36"/>
      <c r="AR17" s="53"/>
      <c r="AS17" s="61">
        <f t="shared" si="20"/>
        <v>0</v>
      </c>
      <c r="AT17" s="36">
        <v>0</v>
      </c>
      <c r="AU17" s="27"/>
      <c r="AV17" s="54">
        <f t="shared" si="21"/>
        <v>0</v>
      </c>
      <c r="AW17" s="26">
        <v>58926</v>
      </c>
      <c r="AX17" s="27">
        <v>4804.68</v>
      </c>
      <c r="AY17" s="1735">
        <f t="shared" si="116"/>
        <v>12.264292314992881</v>
      </c>
      <c r="AZ17" s="36"/>
      <c r="BA17" s="27"/>
      <c r="BB17" s="61">
        <f t="shared" si="22"/>
        <v>0</v>
      </c>
      <c r="BC17" s="1740">
        <v>41832</v>
      </c>
      <c r="BD17" s="1736">
        <v>419.86</v>
      </c>
      <c r="BE17" s="1735">
        <f t="shared" si="23"/>
        <v>99.633211070356779</v>
      </c>
      <c r="BF17" s="36"/>
      <c r="BG17" s="53"/>
      <c r="BH17" s="61">
        <f t="shared" si="24"/>
        <v>0</v>
      </c>
      <c r="BI17" s="36">
        <v>0</v>
      </c>
      <c r="BJ17" s="53">
        <v>0</v>
      </c>
      <c r="BK17" s="61">
        <f t="shared" si="25"/>
        <v>0</v>
      </c>
      <c r="BL17" s="1742">
        <v>32125.5</v>
      </c>
      <c r="BM17" s="1909">
        <v>1218.0800000000002</v>
      </c>
      <c r="BN17" s="2170">
        <v>284.92239999999993</v>
      </c>
      <c r="BO17" s="1735">
        <f t="shared" si="26"/>
        <v>26.373883488769206</v>
      </c>
      <c r="BP17" s="36"/>
      <c r="BQ17" s="53"/>
      <c r="BR17" s="61">
        <f t="shared" si="27"/>
        <v>0</v>
      </c>
      <c r="BS17" s="36"/>
      <c r="BT17" s="53"/>
      <c r="BU17" s="61">
        <f t="shared" si="28"/>
        <v>0</v>
      </c>
      <c r="BV17" s="36">
        <v>15284</v>
      </c>
      <c r="BW17" s="27">
        <v>940</v>
      </c>
      <c r="BX17" s="1906">
        <f t="shared" si="29"/>
        <v>16.259574468085106</v>
      </c>
      <c r="BY17" s="26"/>
      <c r="BZ17" s="27"/>
      <c r="CA17" s="61">
        <f t="shared" si="30"/>
        <v>0</v>
      </c>
      <c r="CB17" s="36"/>
      <c r="CC17" s="481"/>
      <c r="CD17" s="482">
        <f t="shared" si="31"/>
        <v>0</v>
      </c>
      <c r="CE17" s="4"/>
      <c r="CF17" s="5"/>
      <c r="CG17" s="28">
        <f t="shared" si="32"/>
        <v>0</v>
      </c>
      <c r="CH17" s="150"/>
      <c r="CI17" s="4"/>
      <c r="CJ17" s="5"/>
      <c r="CK17" s="5">
        <v>6050</v>
      </c>
      <c r="CL17" s="5"/>
      <c r="CM17" s="5"/>
      <c r="CN17" s="5"/>
      <c r="CO17" s="33"/>
      <c r="CP17" s="366"/>
      <c r="CR17" s="4">
        <f t="shared" si="33"/>
        <v>0</v>
      </c>
      <c r="CS17" s="9">
        <f t="shared" si="33"/>
        <v>0</v>
      </c>
      <c r="CT17" s="5">
        <f t="shared" si="33"/>
        <v>0</v>
      </c>
      <c r="CU17" s="5">
        <f t="shared" si="33"/>
        <v>0</v>
      </c>
      <c r="CV17" s="5">
        <f t="shared" si="33"/>
        <v>0</v>
      </c>
      <c r="CW17" s="5">
        <f t="shared" si="33"/>
        <v>0</v>
      </c>
      <c r="CX17" s="5">
        <f t="shared" si="33"/>
        <v>3849.0200000000004</v>
      </c>
      <c r="CY17" s="5">
        <f t="shared" si="33"/>
        <v>0</v>
      </c>
      <c r="CZ17" s="5">
        <f t="shared" si="33"/>
        <v>2593.6000000000004</v>
      </c>
      <c r="DA17" s="5">
        <f t="shared" si="33"/>
        <v>0</v>
      </c>
      <c r="DB17" s="5">
        <f t="shared" si="33"/>
        <v>940</v>
      </c>
      <c r="DC17" s="12">
        <f t="shared" si="33"/>
        <v>0</v>
      </c>
      <c r="DD17" s="310">
        <f t="shared" si="34"/>
        <v>7382.6200000000008</v>
      </c>
      <c r="DE17" s="2695"/>
      <c r="DF17" s="8"/>
      <c r="DG17" s="9"/>
      <c r="DH17" s="5"/>
      <c r="DI17" s="5"/>
      <c r="DJ17" s="5"/>
      <c r="DK17" s="5"/>
      <c r="DL17" s="5">
        <v>3849.0200000000004</v>
      </c>
      <c r="DM17" s="5"/>
      <c r="DN17" s="5">
        <v>955.66000000000008</v>
      </c>
      <c r="DO17" s="5"/>
      <c r="DP17" s="5"/>
      <c r="DQ17" s="12"/>
      <c r="DR17" s="1906">
        <f t="shared" si="35"/>
        <v>4804.68</v>
      </c>
      <c r="DS17" s="36"/>
      <c r="DT17" s="36"/>
      <c r="DU17" s="27"/>
      <c r="DV17" s="27"/>
      <c r="DW17" s="5"/>
      <c r="DX17" s="5"/>
      <c r="DY17" s="5"/>
      <c r="DZ17" s="5"/>
      <c r="EA17" s="5">
        <v>1637.94</v>
      </c>
      <c r="EB17" s="53"/>
      <c r="EC17" s="27">
        <v>0</v>
      </c>
      <c r="ED17" s="33"/>
      <c r="EE17" s="28">
        <f t="shared" si="36"/>
        <v>1637.94</v>
      </c>
      <c r="EF17" s="9"/>
      <c r="EG17" s="9"/>
      <c r="EH17" s="5"/>
      <c r="EI17" s="492"/>
      <c r="EJ17" s="27"/>
      <c r="EK17" s="27"/>
      <c r="EL17" s="27"/>
      <c r="EM17" s="27"/>
      <c r="EN17" s="5"/>
      <c r="EO17" s="5"/>
      <c r="EP17" s="1448">
        <v>940</v>
      </c>
      <c r="EQ17" s="33"/>
      <c r="ER17" s="28">
        <f t="shared" ref="ER17:ER40" si="120">SUM(EF17:EP17)</f>
        <v>940</v>
      </c>
      <c r="ES17" s="36"/>
      <c r="ET17" s="27"/>
      <c r="EU17" s="27"/>
      <c r="EV17" s="27"/>
      <c r="EW17" s="27"/>
      <c r="EX17" s="27"/>
      <c r="EY17" s="33">
        <f t="shared" si="38"/>
        <v>0</v>
      </c>
      <c r="EZ17" s="2685"/>
      <c r="FB17" s="4">
        <f t="shared" si="39"/>
        <v>0</v>
      </c>
      <c r="FC17" s="5">
        <f t="shared" si="40"/>
        <v>0</v>
      </c>
      <c r="FD17" s="5">
        <f t="shared" si="41"/>
        <v>0</v>
      </c>
      <c r="FE17" s="12">
        <f t="shared" si="42"/>
        <v>0</v>
      </c>
      <c r="FF17" s="33"/>
      <c r="FG17" s="2674"/>
      <c r="FH17" s="9"/>
      <c r="FI17" s="5"/>
      <c r="FJ17" s="5"/>
      <c r="FK17" s="5"/>
      <c r="FL17" s="5"/>
      <c r="FM17" s="27"/>
      <c r="FN17" s="28">
        <f t="shared" si="43"/>
        <v>0</v>
      </c>
      <c r="FO17" s="36"/>
      <c r="FP17" s="27"/>
      <c r="FQ17" s="27"/>
      <c r="FR17" s="27"/>
      <c r="FS17" s="27"/>
      <c r="FT17" s="27"/>
      <c r="FU17" s="28">
        <f t="shared" si="44"/>
        <v>0</v>
      </c>
      <c r="FV17" s="36"/>
      <c r="FW17" s="36"/>
      <c r="FX17" s="27"/>
      <c r="FY17" s="27"/>
      <c r="FZ17" s="27"/>
      <c r="GA17" s="27"/>
      <c r="GB17" s="27"/>
      <c r="GC17" s="27"/>
      <c r="GD17" s="27"/>
      <c r="GE17" s="27"/>
      <c r="GF17" s="27"/>
      <c r="GG17" s="33"/>
      <c r="GH17" s="33">
        <f t="shared" si="45"/>
        <v>0</v>
      </c>
      <c r="GI17" s="2674"/>
      <c r="GK17" s="2">
        <f t="shared" si="110"/>
        <v>721.35</v>
      </c>
      <c r="GL17" s="63">
        <f t="shared" si="111"/>
        <v>0</v>
      </c>
      <c r="GM17" s="24">
        <f t="shared" si="112"/>
        <v>0</v>
      </c>
      <c r="GN17" s="1736">
        <f t="shared" si="46"/>
        <v>721.35</v>
      </c>
      <c r="GO17" s="141"/>
      <c r="GP17" s="141"/>
      <c r="GQ17" s="33"/>
      <c r="GR17" s="2667"/>
      <c r="GS17" s="1939">
        <v>0</v>
      </c>
      <c r="GT17" s="280">
        <v>721.35</v>
      </c>
      <c r="GU17" s="27">
        <v>0</v>
      </c>
      <c r="GV17" s="27">
        <v>0</v>
      </c>
      <c r="GW17" s="54">
        <f t="shared" si="47"/>
        <v>721.35</v>
      </c>
      <c r="GX17" s="2667"/>
      <c r="GY17" s="36"/>
      <c r="GZ17" s="36"/>
      <c r="HA17" s="27"/>
      <c r="HB17" s="27"/>
      <c r="HC17" s="27"/>
      <c r="HD17" s="27"/>
      <c r="HE17" s="27"/>
      <c r="HF17" s="27"/>
      <c r="HG17" s="27">
        <v>0</v>
      </c>
      <c r="HH17" s="27"/>
      <c r="HI17" s="2167">
        <v>0</v>
      </c>
      <c r="HJ17" s="27"/>
      <c r="HK17" s="27">
        <v>721.35</v>
      </c>
      <c r="HL17" s="27"/>
      <c r="HM17" s="28">
        <f>SUM(GY17:HL17)</f>
        <v>721.35</v>
      </c>
      <c r="HN17" s="36"/>
      <c r="HO17" s="27"/>
      <c r="HP17" s="27"/>
      <c r="HQ17" s="27"/>
      <c r="HR17" s="27"/>
      <c r="HS17" s="27"/>
      <c r="HT17" s="27" cm="1">
        <f t="array" ref="HT17">SUMPRODUCT(('Data Base hauling'!$C$2:$C$216="TCM-ROM SB1 BK05-ROM 4")*(ISNUMBER(SEARCH(TEXT('May TCM'!$B17,"00")&amp;"/03/2026",'Data Base hauling'!$E$2:$E$216)))*'Data Base hauling'!$N$2:$N$216)</f>
        <v>0</v>
      </c>
      <c r="HU17" s="27"/>
      <c r="HV17" s="27" cm="1">
        <f t="array" ref="HV17">SUMPRODUCT(('Data Base hauling'!$C$2:$C$216="TCM-ROM SB1 BK05-ROM 5")*(ISNUMBER(SEARCH(TEXT('May TCM'!$B17,"00")&amp;"/03/2026",'Data Base hauling'!$E$2:$E$216)))*'Data Base hauling'!$N$2:$N$216)</f>
        <v>0</v>
      </c>
      <c r="HW17" s="27"/>
      <c r="HX17" s="27"/>
      <c r="HY17" s="27"/>
      <c r="HZ17" s="27"/>
      <c r="IA17" s="27"/>
      <c r="IB17" s="33">
        <f t="shared" si="49"/>
        <v>0</v>
      </c>
      <c r="IC17" s="52"/>
      <c r="ID17" s="152"/>
      <c r="IE17" s="53"/>
      <c r="IF17" s="53"/>
      <c r="IG17" s="64"/>
      <c r="IH17" s="64"/>
      <c r="II17" s="1590">
        <v>0</v>
      </c>
      <c r="IJ17" s="1590"/>
      <c r="IK17" s="1736">
        <v>0</v>
      </c>
      <c r="IL17" s="53"/>
      <c r="IM17" s="53">
        <v>0</v>
      </c>
      <c r="IN17" s="53"/>
      <c r="IO17" s="53"/>
      <c r="IP17" s="49">
        <v>0</v>
      </c>
      <c r="IQ17" s="2195">
        <f>SUM(IC17:IP17)</f>
        <v>0</v>
      </c>
      <c r="IR17" s="36"/>
      <c r="IS17" s="36"/>
      <c r="IT17" s="27"/>
      <c r="IU17" s="27"/>
      <c r="IV17" s="53"/>
      <c r="IW17" s="27"/>
      <c r="IX17" s="53">
        <v>0</v>
      </c>
      <c r="IY17" s="27"/>
      <c r="IZ17" s="27">
        <v>0</v>
      </c>
      <c r="JA17" s="27"/>
      <c r="JB17" s="27">
        <v>0</v>
      </c>
      <c r="JC17" s="27"/>
      <c r="JD17" s="27"/>
      <c r="JE17" s="27"/>
      <c r="JF17" s="33">
        <f>SUM(IR17:JE17)</f>
        <v>0</v>
      </c>
      <c r="JG17" s="2667"/>
      <c r="JI17" s="2019">
        <v>0</v>
      </c>
      <c r="JJ17" s="2017">
        <v>721.35</v>
      </c>
      <c r="JK17" s="53"/>
      <c r="JL17" s="1736">
        <f t="shared" si="52"/>
        <v>721.35</v>
      </c>
      <c r="JM17" s="33"/>
      <c r="JN17" s="2669"/>
      <c r="JO17" s="69" t="s">
        <v>296</v>
      </c>
      <c r="JP17" s="70" t="s">
        <v>296</v>
      </c>
      <c r="JQ17" s="70" t="s">
        <v>296</v>
      </c>
      <c r="JR17" s="850" t="s">
        <v>296</v>
      </c>
      <c r="JS17" s="850" t="s">
        <v>296</v>
      </c>
      <c r="JT17" s="850" t="s">
        <v>296</v>
      </c>
      <c r="JU17" s="70" t="s">
        <v>296</v>
      </c>
      <c r="JV17" s="1922">
        <v>0</v>
      </c>
      <c r="JW17" s="69">
        <v>0</v>
      </c>
      <c r="JX17" s="70">
        <v>0</v>
      </c>
      <c r="JY17" s="70">
        <v>0</v>
      </c>
      <c r="JZ17" s="70">
        <v>0</v>
      </c>
      <c r="KA17" s="70">
        <v>0</v>
      </c>
      <c r="KB17" s="70">
        <v>0</v>
      </c>
      <c r="KC17" s="70">
        <v>1</v>
      </c>
      <c r="KD17" s="71">
        <v>0</v>
      </c>
      <c r="KE17" s="69"/>
      <c r="KF17" s="70"/>
      <c r="KG17" s="70"/>
      <c r="KH17" s="70"/>
      <c r="KI17" s="70"/>
      <c r="KJ17" s="70"/>
      <c r="KK17" s="70"/>
      <c r="KL17" s="70"/>
      <c r="KM17" s="33"/>
      <c r="KN17" s="2669"/>
      <c r="KO17" s="1739">
        <v>0</v>
      </c>
      <c r="KP17" s="1721">
        <v>0</v>
      </c>
      <c r="KQ17" s="1721">
        <v>0</v>
      </c>
      <c r="KR17" s="1721">
        <v>0</v>
      </c>
      <c r="KS17" s="1722">
        <v>0</v>
      </c>
      <c r="KT17" s="1958">
        <v>0</v>
      </c>
      <c r="KU17" s="1961">
        <v>0</v>
      </c>
      <c r="KV17" s="1961">
        <v>0</v>
      </c>
      <c r="KW17" s="1961">
        <v>0</v>
      </c>
      <c r="KX17" s="1962">
        <v>0</v>
      </c>
      <c r="KY17" s="36"/>
      <c r="KZ17" s="53"/>
      <c r="LA17" s="53"/>
      <c r="LB17" s="53"/>
      <c r="LC17" s="53"/>
      <c r="LD17" s="33"/>
      <c r="LE17" s="2669"/>
      <c r="LG17" s="26">
        <f t="shared" si="53"/>
        <v>3133.17</v>
      </c>
      <c r="LH17" s="27">
        <f t="shared" si="53"/>
        <v>4699.75</v>
      </c>
      <c r="LI17" s="27">
        <f t="shared" si="53"/>
        <v>0</v>
      </c>
      <c r="LJ17" s="28">
        <f t="shared" si="54"/>
        <v>7832.92</v>
      </c>
      <c r="LK17" s="36">
        <v>1</v>
      </c>
      <c r="LL17" s="27"/>
      <c r="LM17" s="27">
        <v>3</v>
      </c>
      <c r="LN17" s="33"/>
      <c r="LO17" s="1041">
        <v>5.77</v>
      </c>
      <c r="LP17" s="486"/>
      <c r="LQ17" s="2688"/>
      <c r="LR17" s="21"/>
      <c r="LS17" s="27"/>
      <c r="LT17" s="27"/>
      <c r="LU17" s="27"/>
      <c r="LV17" s="27"/>
      <c r="LW17" s="1117">
        <f t="shared" si="55"/>
        <v>0</v>
      </c>
      <c r="LX17" s="36">
        <v>3133.17</v>
      </c>
      <c r="LY17" s="36">
        <v>4699.75</v>
      </c>
      <c r="LZ17" s="27"/>
      <c r="MA17" s="27"/>
      <c r="MB17" s="33"/>
      <c r="MC17" s="28">
        <f t="shared" si="56"/>
        <v>7832.92</v>
      </c>
      <c r="MD17" s="26"/>
      <c r="ME17" s="36"/>
      <c r="MF17" s="27"/>
      <c r="MG17" s="27"/>
      <c r="MH17" s="27"/>
      <c r="MI17" s="28"/>
      <c r="MJ17" s="36"/>
      <c r="MK17" s="36"/>
      <c r="ML17" s="27"/>
      <c r="MM17" s="27"/>
      <c r="MN17" s="27"/>
      <c r="MO17" s="28"/>
      <c r="MP17" s="36"/>
      <c r="MQ17" s="36"/>
      <c r="MR17" s="27"/>
      <c r="MS17" s="27"/>
      <c r="MT17" s="27"/>
      <c r="MU17" s="33">
        <f t="shared" si="57"/>
        <v>0</v>
      </c>
      <c r="MV17" s="2688"/>
      <c r="MX17" s="26">
        <f t="shared" si="58"/>
        <v>147480.50209272344</v>
      </c>
      <c r="MY17" s="27">
        <f t="shared" si="59"/>
        <v>78953.066833323217</v>
      </c>
      <c r="MZ17" s="27">
        <f t="shared" si="60"/>
        <v>22509.87525319455</v>
      </c>
      <c r="NA17" s="28">
        <f t="shared" si="61"/>
        <v>430370.52855851001</v>
      </c>
      <c r="NB17" s="2621"/>
      <c r="NC17" s="23">
        <f t="shared" si="62"/>
        <v>44227.356091888243</v>
      </c>
      <c r="ND17" s="1579">
        <f t="shared" si="63"/>
        <v>103253.14600083519</v>
      </c>
      <c r="NE17" s="60">
        <f t="shared" si="64"/>
        <v>0</v>
      </c>
      <c r="NF17" s="275">
        <f t="shared" si="4"/>
        <v>147480.50209272344</v>
      </c>
      <c r="NG17" s="26">
        <f t="shared" si="65"/>
        <v>0</v>
      </c>
      <c r="NH17" s="27">
        <f t="shared" si="65"/>
        <v>0</v>
      </c>
      <c r="NI17" s="27">
        <f t="shared" si="65"/>
        <v>0</v>
      </c>
      <c r="NJ17" s="27">
        <f t="shared" si="65"/>
        <v>0</v>
      </c>
      <c r="NK17" s="27">
        <f t="shared" si="65"/>
        <v>0</v>
      </c>
      <c r="NL17" s="33">
        <f t="shared" si="65"/>
        <v>0</v>
      </c>
      <c r="NM17" s="27">
        <f t="shared" si="65"/>
        <v>0</v>
      </c>
      <c r="NN17" s="36">
        <f t="shared" si="65"/>
        <v>0</v>
      </c>
      <c r="NO17" s="24">
        <f t="shared" si="65"/>
        <v>2411.7131443320582</v>
      </c>
      <c r="NP17" s="27">
        <f t="shared" si="65"/>
        <v>26196.696072681989</v>
      </c>
      <c r="NQ17" s="24">
        <f t="shared" si="113"/>
        <v>8756.5482322711578</v>
      </c>
      <c r="NR17" s="24">
        <f t="shared" si="114"/>
        <v>5209.2226980586956</v>
      </c>
      <c r="NS17" s="27">
        <f t="shared" si="0"/>
        <v>42574.180147343897</v>
      </c>
      <c r="NT17" s="27">
        <f t="shared" si="66"/>
        <v>0</v>
      </c>
      <c r="NU17" s="27">
        <f t="shared" si="66"/>
        <v>0</v>
      </c>
      <c r="NV17" s="27">
        <f t="shared" si="66"/>
        <v>0</v>
      </c>
      <c r="NW17" s="27">
        <f t="shared" si="66"/>
        <v>0</v>
      </c>
      <c r="NX17" s="27">
        <f t="shared" si="66"/>
        <v>0</v>
      </c>
      <c r="NY17" s="27">
        <f t="shared" si="66"/>
        <v>0</v>
      </c>
      <c r="NZ17" s="27">
        <f t="shared" si="66"/>
        <v>5933.7127301930741</v>
      </c>
      <c r="OA17" s="27">
        <f t="shared" si="66"/>
        <v>0</v>
      </c>
      <c r="OB17" s="27">
        <f t="shared" si="66"/>
        <v>14949.051841856759</v>
      </c>
      <c r="OC17" s="280"/>
      <c r="OD17" s="24">
        <f t="shared" si="67"/>
        <v>454.51223506073143</v>
      </c>
      <c r="OE17" s="27">
        <f t="shared" si="67"/>
        <v>0</v>
      </c>
      <c r="OF17" s="28">
        <f t="shared" si="1"/>
        <v>21337.276807110564</v>
      </c>
      <c r="OG17" s="27">
        <f t="shared" si="68"/>
        <v>0</v>
      </c>
      <c r="OH17" s="27">
        <f t="shared" si="68"/>
        <v>0</v>
      </c>
      <c r="OI17" s="27">
        <f t="shared" si="68"/>
        <v>0</v>
      </c>
      <c r="OJ17" s="27">
        <f t="shared" si="68"/>
        <v>0</v>
      </c>
      <c r="OK17" s="27">
        <f t="shared" si="68"/>
        <v>0</v>
      </c>
      <c r="OL17" s="27">
        <f t="shared" si="68"/>
        <v>0</v>
      </c>
      <c r="OM17" s="24">
        <f t="shared" si="68"/>
        <v>0</v>
      </c>
      <c r="ON17" s="27">
        <f t="shared" si="68"/>
        <v>0</v>
      </c>
      <c r="OO17" s="24">
        <f t="shared" si="115"/>
        <v>12647.652235312069</v>
      </c>
      <c r="OP17" s="27">
        <f t="shared" si="68"/>
        <v>0</v>
      </c>
      <c r="OQ17" s="27">
        <f t="shared" si="68"/>
        <v>2393.9576435566851</v>
      </c>
      <c r="OR17" s="27">
        <f t="shared" si="68"/>
        <v>0</v>
      </c>
      <c r="OS17" s="28">
        <f t="shared" si="2"/>
        <v>15041.609878868754</v>
      </c>
      <c r="OT17" s="36"/>
      <c r="OU17" s="27"/>
      <c r="OV17" s="27"/>
      <c r="OW17" s="27"/>
      <c r="OX17" s="27"/>
      <c r="OY17" s="27"/>
      <c r="OZ17" s="28">
        <f t="shared" si="69"/>
        <v>0</v>
      </c>
      <c r="PA17" s="36">
        <f t="shared" si="70"/>
        <v>0</v>
      </c>
      <c r="PB17" s="27">
        <f t="shared" si="71"/>
        <v>0</v>
      </c>
      <c r="PC17" s="27">
        <f t="shared" si="72"/>
        <v>0</v>
      </c>
      <c r="PD17" s="27">
        <f t="shared" si="73"/>
        <v>0</v>
      </c>
      <c r="PE17" s="24"/>
      <c r="PF17" s="27">
        <f t="shared" si="74"/>
        <v>0</v>
      </c>
      <c r="PG17" s="33">
        <f t="shared" si="3"/>
        <v>0</v>
      </c>
      <c r="PH17" s="2621"/>
      <c r="PJ17" s="1907">
        <v>0</v>
      </c>
      <c r="PK17" s="3">
        <v>558</v>
      </c>
      <c r="PL17" s="3">
        <v>232.50000000000003</v>
      </c>
      <c r="PM17" s="3">
        <v>721.35</v>
      </c>
      <c r="PN17" s="3">
        <f t="shared" si="75"/>
        <v>27851.109776580692</v>
      </c>
      <c r="PO17" s="11">
        <f t="shared" si="76"/>
        <v>22509.87525319455</v>
      </c>
      <c r="PP17" s="15"/>
      <c r="PQ17" s="2615"/>
      <c r="PS17" s="4"/>
      <c r="PT17" s="9"/>
      <c r="PU17" s="9"/>
      <c r="PV17" s="9"/>
      <c r="PW17" s="8">
        <v>0</v>
      </c>
      <c r="PX17" s="9"/>
      <c r="PY17" s="8">
        <f t="shared" si="77"/>
        <v>0</v>
      </c>
      <c r="PZ17" s="5">
        <f t="shared" si="78"/>
        <v>0</v>
      </c>
      <c r="QA17" s="5"/>
      <c r="QB17" s="5"/>
      <c r="QC17" s="5"/>
      <c r="QD17" s="5"/>
      <c r="QE17" s="5"/>
      <c r="QF17" s="12"/>
      <c r="QG17" s="12">
        <f t="shared" si="79"/>
        <v>29562.488999999998</v>
      </c>
      <c r="QH17" s="420">
        <f t="shared" si="80"/>
        <v>400808.03955851001</v>
      </c>
      <c r="QI17" s="1106">
        <f t="shared" si="81"/>
        <v>0</v>
      </c>
      <c r="QJ17" s="484">
        <f t="shared" si="82"/>
        <v>5505.3678056099998</v>
      </c>
      <c r="QK17" s="12"/>
      <c r="QL17" s="2615"/>
      <c r="QN17" s="139" t="str">
        <f t="shared" si="83"/>
        <v/>
      </c>
      <c r="QO17" s="139" t="str">
        <f t="shared" si="84"/>
        <v/>
      </c>
      <c r="QQ17" s="139">
        <f t="shared" si="85"/>
        <v>0</v>
      </c>
      <c r="QR17" s="139">
        <f t="shared" si="86"/>
        <v>0</v>
      </c>
      <c r="QT17" s="1">
        <f t="shared" si="87"/>
        <v>0</v>
      </c>
      <c r="QU17" s="1">
        <f t="shared" si="88"/>
        <v>0</v>
      </c>
      <c r="QV17" s="1">
        <f t="shared" si="89"/>
        <v>0</v>
      </c>
      <c r="QW17" s="1">
        <f t="shared" si="90"/>
        <v>0</v>
      </c>
      <c r="QX17" s="1">
        <f t="shared" si="91"/>
        <v>0</v>
      </c>
      <c r="QY17" s="1">
        <f t="shared" si="92"/>
        <v>0</v>
      </c>
      <c r="RA17" s="1">
        <f t="shared" si="93"/>
        <v>0</v>
      </c>
      <c r="RB17" s="1">
        <f t="shared" si="94"/>
        <v>0</v>
      </c>
      <c r="RC17" s="1">
        <f t="shared" si="95"/>
        <v>0</v>
      </c>
      <c r="RD17" s="1">
        <f t="shared" si="96"/>
        <v>0</v>
      </c>
      <c r="RE17" s="1">
        <f t="shared" si="97"/>
        <v>0</v>
      </c>
      <c r="RF17" s="1">
        <f t="shared" si="98"/>
        <v>0</v>
      </c>
      <c r="RI17" s="1">
        <v>8</v>
      </c>
      <c r="RJ17" s="1">
        <f t="shared" si="99"/>
        <v>28190.612751083165</v>
      </c>
      <c r="RK17" s="1">
        <f t="shared" si="99"/>
        <v>-4374.2974501377175</v>
      </c>
      <c r="RL17" s="1">
        <f t="shared" si="99"/>
        <v>9178.5689913333827</v>
      </c>
      <c r="RM17" s="89">
        <f t="shared" si="5"/>
        <v>32994.884292278832</v>
      </c>
      <c r="RN17" s="1033">
        <v>8</v>
      </c>
      <c r="RO17" s="1098">
        <f t="shared" si="100"/>
        <v>0</v>
      </c>
      <c r="RP17" s="1098">
        <f t="shared" si="101"/>
        <v>0</v>
      </c>
      <c r="RQ17" s="1097">
        <f t="shared" si="102"/>
        <v>0</v>
      </c>
      <c r="RR17" s="1097">
        <f t="shared" si="103"/>
        <v>6442.62</v>
      </c>
      <c r="RS17" s="1096"/>
      <c r="RT17" s="1050" t="s">
        <v>948</v>
      </c>
      <c r="RU17" s="1048"/>
      <c r="RW17" s="421">
        <v>8</v>
      </c>
      <c r="RX17" s="1095">
        <f t="shared" si="104"/>
        <v>721.35</v>
      </c>
      <c r="RY17" s="2163" t="s">
        <v>949</v>
      </c>
      <c r="RZ17" s="1048"/>
      <c r="SA17" s="1090"/>
      <c r="SB17" s="1090">
        <f t="shared" si="105"/>
        <v>0</v>
      </c>
      <c r="SC17" s="1090"/>
      <c r="SD17" s="1090">
        <f t="shared" si="106"/>
        <v>0</v>
      </c>
      <c r="SF17" s="1">
        <v>8</v>
      </c>
      <c r="SG17" s="1">
        <f t="shared" si="107"/>
        <v>721.35</v>
      </c>
      <c r="SH17" s="1094" t="s">
        <v>950</v>
      </c>
    </row>
    <row r="18" spans="1:502" s="1" customFormat="1">
      <c r="B18" s="471">
        <v>9</v>
      </c>
      <c r="C18" s="4">
        <f t="shared" si="6"/>
        <v>131622.6</v>
      </c>
      <c r="D18" s="1726">
        <f t="shared" si="119"/>
        <v>8882.359199999999</v>
      </c>
      <c r="E18" s="1895">
        <f t="shared" si="7"/>
        <v>14.818427969001752</v>
      </c>
      <c r="F18" s="870"/>
      <c r="G18" s="870"/>
      <c r="H18" s="52">
        <v>67</v>
      </c>
      <c r="I18" s="61">
        <v>12</v>
      </c>
      <c r="J18" s="52"/>
      <c r="K18" s="54"/>
      <c r="L18" s="52">
        <v>102</v>
      </c>
      <c r="M18" s="61">
        <v>4.75</v>
      </c>
      <c r="N18" s="2629"/>
      <c r="O18" s="4">
        <f t="shared" si="118"/>
        <v>87450</v>
      </c>
      <c r="P18" s="1225">
        <f t="shared" si="8"/>
        <v>5542.6799999999994</v>
      </c>
      <c r="Q18" s="1952">
        <f t="shared" si="9"/>
        <v>15.777566087163612</v>
      </c>
      <c r="R18" s="33"/>
      <c r="S18" s="26">
        <f t="shared" si="10"/>
        <v>30757.599999999999</v>
      </c>
      <c r="T18" s="27">
        <f t="shared" si="109"/>
        <v>2159.6792</v>
      </c>
      <c r="U18" s="1909">
        <f t="shared" si="11"/>
        <v>14.241744792467324</v>
      </c>
      <c r="V18" s="15"/>
      <c r="W18" s="1742">
        <f t="shared" si="12"/>
        <v>13415</v>
      </c>
      <c r="X18" s="1918">
        <f t="shared" si="12"/>
        <v>1180</v>
      </c>
      <c r="Y18" s="1738">
        <f t="shared" si="13"/>
        <v>11.368644067796611</v>
      </c>
      <c r="Z18" s="33"/>
      <c r="AA18" s="26">
        <f t="shared" si="14"/>
        <v>0</v>
      </c>
      <c r="AB18" s="27">
        <f t="shared" si="15"/>
        <v>0</v>
      </c>
      <c r="AC18" s="53">
        <f t="shared" si="16"/>
        <v>0</v>
      </c>
      <c r="AD18" s="28"/>
      <c r="AE18" s="36"/>
      <c r="AF18" s="36"/>
      <c r="AG18" s="53">
        <f t="shared" si="17"/>
        <v>0</v>
      </c>
      <c r="AH18" s="28"/>
      <c r="AI18" s="23"/>
      <c r="AJ18" s="27"/>
      <c r="AK18" s="53">
        <f t="shared" si="18"/>
        <v>0</v>
      </c>
      <c r="AL18" s="28"/>
      <c r="AM18" s="2629"/>
      <c r="AN18" s="9"/>
      <c r="AO18" s="5"/>
      <c r="AP18" s="61">
        <f t="shared" si="19"/>
        <v>0</v>
      </c>
      <c r="AQ18" s="36"/>
      <c r="AR18" s="53"/>
      <c r="AS18" s="61">
        <f t="shared" si="20"/>
        <v>0</v>
      </c>
      <c r="AT18" s="36">
        <v>0</v>
      </c>
      <c r="AU18" s="27"/>
      <c r="AV18" s="54">
        <f t="shared" si="21"/>
        <v>0</v>
      </c>
      <c r="AW18" s="26">
        <v>46206</v>
      </c>
      <c r="AX18" s="27">
        <v>5065.3399999999992</v>
      </c>
      <c r="AY18" s="1735">
        <f t="shared" si="116"/>
        <v>9.1219937852148139</v>
      </c>
      <c r="AZ18" s="36"/>
      <c r="BA18" s="27"/>
      <c r="BB18" s="61">
        <f t="shared" si="22"/>
        <v>0</v>
      </c>
      <c r="BC18" s="1740">
        <v>41244</v>
      </c>
      <c r="BD18" s="1736">
        <v>477.34</v>
      </c>
      <c r="BE18" s="1735">
        <f t="shared" si="23"/>
        <v>86.403821175681912</v>
      </c>
      <c r="BF18" s="36"/>
      <c r="BG18" s="53"/>
      <c r="BH18" s="61">
        <f t="shared" si="24"/>
        <v>0</v>
      </c>
      <c r="BI18" s="36">
        <v>0</v>
      </c>
      <c r="BJ18" s="53">
        <v>0</v>
      </c>
      <c r="BK18" s="61">
        <f t="shared" si="25"/>
        <v>0</v>
      </c>
      <c r="BL18" s="1742">
        <v>30757.599999999999</v>
      </c>
      <c r="BM18" s="1927">
        <v>1915.46</v>
      </c>
      <c r="BN18" s="2171">
        <v>244.2192</v>
      </c>
      <c r="BO18" s="1920">
        <f t="shared" si="26"/>
        <v>16.057552754951811</v>
      </c>
      <c r="BP18" s="9"/>
      <c r="BQ18" s="64"/>
      <c r="BR18" s="482">
        <f t="shared" si="27"/>
        <v>0</v>
      </c>
      <c r="BS18" s="9"/>
      <c r="BT18" s="53"/>
      <c r="BU18" s="482">
        <f t="shared" si="28"/>
        <v>0</v>
      </c>
      <c r="BV18" s="9">
        <v>13415</v>
      </c>
      <c r="BW18" s="27">
        <v>1180</v>
      </c>
      <c r="BX18" s="1051">
        <f t="shared" si="29"/>
        <v>11.368644067796611</v>
      </c>
      <c r="BY18" s="26"/>
      <c r="BZ18" s="27"/>
      <c r="CA18" s="869">
        <f t="shared" si="30"/>
        <v>0</v>
      </c>
      <c r="CB18" s="9"/>
      <c r="CC18" s="481"/>
      <c r="CD18" s="482">
        <f t="shared" si="31"/>
        <v>0</v>
      </c>
      <c r="CE18" s="4"/>
      <c r="CF18" s="5"/>
      <c r="CG18" s="28">
        <f t="shared" si="32"/>
        <v>0</v>
      </c>
      <c r="CH18" s="150"/>
      <c r="CI18" s="4"/>
      <c r="CJ18" s="5"/>
      <c r="CK18" s="5">
        <v>6318</v>
      </c>
      <c r="CL18" s="5"/>
      <c r="CM18" s="5"/>
      <c r="CN18" s="5"/>
      <c r="CO18" s="33"/>
      <c r="CP18" s="366"/>
      <c r="CR18" s="4">
        <f t="shared" si="33"/>
        <v>0</v>
      </c>
      <c r="CS18" s="9">
        <f t="shared" si="33"/>
        <v>0</v>
      </c>
      <c r="CT18" s="5">
        <f t="shared" si="33"/>
        <v>0</v>
      </c>
      <c r="CU18" s="5">
        <f t="shared" si="33"/>
        <v>0</v>
      </c>
      <c r="CV18" s="5">
        <f t="shared" si="33"/>
        <v>0</v>
      </c>
      <c r="CW18" s="5">
        <f t="shared" si="33"/>
        <v>0</v>
      </c>
      <c r="CX18" s="5">
        <f t="shared" si="33"/>
        <v>750.59999999999991</v>
      </c>
      <c r="CY18" s="5">
        <f t="shared" si="33"/>
        <v>0</v>
      </c>
      <c r="CZ18" s="5">
        <f t="shared" si="33"/>
        <v>7267.54</v>
      </c>
      <c r="DA18" s="5">
        <f t="shared" si="33"/>
        <v>0</v>
      </c>
      <c r="DB18" s="5">
        <f t="shared" si="33"/>
        <v>620</v>
      </c>
      <c r="DC18" s="12">
        <f t="shared" si="33"/>
        <v>0</v>
      </c>
      <c r="DD18" s="310">
        <f t="shared" si="34"/>
        <v>8638.14</v>
      </c>
      <c r="DE18" s="2695"/>
      <c r="DF18" s="8"/>
      <c r="DG18" s="9"/>
      <c r="DH18" s="5"/>
      <c r="DI18" s="5"/>
      <c r="DJ18" s="5"/>
      <c r="DK18" s="5"/>
      <c r="DL18" s="5">
        <v>750.59999999999991</v>
      </c>
      <c r="DM18" s="5"/>
      <c r="DN18" s="5">
        <v>4314.74</v>
      </c>
      <c r="DO18" s="5"/>
      <c r="DP18" s="5"/>
      <c r="DQ18" s="12"/>
      <c r="DR18" s="1906">
        <f t="shared" si="35"/>
        <v>5065.34</v>
      </c>
      <c r="DS18" s="36"/>
      <c r="DT18" s="36"/>
      <c r="DU18" s="27"/>
      <c r="DV18" s="27"/>
      <c r="DW18" s="5"/>
      <c r="DX18" s="5"/>
      <c r="DY18" s="5"/>
      <c r="DZ18" s="5"/>
      <c r="EA18" s="5">
        <v>2392.8000000000002</v>
      </c>
      <c r="EB18" s="53"/>
      <c r="EC18" s="27">
        <v>0</v>
      </c>
      <c r="ED18" s="33"/>
      <c r="EE18" s="28">
        <f t="shared" si="36"/>
        <v>2392.8000000000002</v>
      </c>
      <c r="EF18" s="9"/>
      <c r="EG18" s="36"/>
      <c r="EH18" s="5"/>
      <c r="EI18" s="313"/>
      <c r="EJ18" s="27"/>
      <c r="EK18" s="27"/>
      <c r="EL18" s="27"/>
      <c r="EM18" s="27"/>
      <c r="EN18" s="5">
        <v>560</v>
      </c>
      <c r="EO18" s="5"/>
      <c r="EP18" s="5">
        <v>620</v>
      </c>
      <c r="EQ18" s="33"/>
      <c r="ER18" s="28">
        <f t="shared" si="120"/>
        <v>1180</v>
      </c>
      <c r="ES18" s="36"/>
      <c r="ET18" s="27"/>
      <c r="EU18" s="27"/>
      <c r="EV18" s="27"/>
      <c r="EW18" s="27"/>
      <c r="EX18" s="27"/>
      <c r="EY18" s="33">
        <f t="shared" si="38"/>
        <v>0</v>
      </c>
      <c r="EZ18" s="2685"/>
      <c r="FB18" s="4">
        <f t="shared" si="39"/>
        <v>0</v>
      </c>
      <c r="FC18" s="5">
        <f t="shared" si="40"/>
        <v>0</v>
      </c>
      <c r="FD18" s="5">
        <f t="shared" si="41"/>
        <v>0</v>
      </c>
      <c r="FE18" s="12">
        <f t="shared" si="42"/>
        <v>0</v>
      </c>
      <c r="FF18" s="33"/>
      <c r="FG18" s="2674"/>
      <c r="FH18" s="9"/>
      <c r="FI18" s="5"/>
      <c r="FJ18" s="5"/>
      <c r="FK18" s="5"/>
      <c r="FL18" s="5"/>
      <c r="FM18" s="27"/>
      <c r="FN18" s="28">
        <f t="shared" si="43"/>
        <v>0</v>
      </c>
      <c r="FO18" s="36"/>
      <c r="FP18" s="27"/>
      <c r="FQ18" s="27"/>
      <c r="FR18" s="27"/>
      <c r="FS18" s="27"/>
      <c r="FT18" s="27"/>
      <c r="FU18" s="28">
        <f t="shared" si="44"/>
        <v>0</v>
      </c>
      <c r="FV18" s="36"/>
      <c r="FW18" s="36"/>
      <c r="FX18" s="27"/>
      <c r="FY18" s="27"/>
      <c r="FZ18" s="27"/>
      <c r="GA18" s="27"/>
      <c r="GB18" s="27"/>
      <c r="GC18" s="27"/>
      <c r="GD18" s="27"/>
      <c r="GE18" s="27"/>
      <c r="GF18" s="27"/>
      <c r="GG18" s="33"/>
      <c r="GH18" s="33">
        <f t="shared" si="45"/>
        <v>0</v>
      </c>
      <c r="GI18" s="2674"/>
      <c r="GK18" s="2">
        <f t="shared" si="110"/>
        <v>4293.130000000001</v>
      </c>
      <c r="GL18" s="63">
        <f t="shared" si="111"/>
        <v>4943.12</v>
      </c>
      <c r="GM18" s="24">
        <f t="shared" si="112"/>
        <v>5418.4999999999991</v>
      </c>
      <c r="GN18" s="1736">
        <f t="shared" si="46"/>
        <v>14654.75</v>
      </c>
      <c r="GO18" s="141"/>
      <c r="GP18" s="141"/>
      <c r="GQ18" s="33"/>
      <c r="GR18" s="2667"/>
      <c r="GS18" s="1940">
        <v>5235.38</v>
      </c>
      <c r="GT18" s="5">
        <v>0</v>
      </c>
      <c r="GU18" s="5">
        <v>5538.3499999999995</v>
      </c>
      <c r="GV18" s="27">
        <v>3881.0200000000009</v>
      </c>
      <c r="GW18" s="54">
        <f t="shared" si="47"/>
        <v>14654.75</v>
      </c>
      <c r="GX18" s="2667"/>
      <c r="GY18" s="36"/>
      <c r="GZ18" s="36"/>
      <c r="HA18" s="27"/>
      <c r="HB18" s="27"/>
      <c r="HC18" s="27"/>
      <c r="HD18" s="27"/>
      <c r="HE18" s="27"/>
      <c r="HF18" s="27"/>
      <c r="HG18" s="27">
        <v>0</v>
      </c>
      <c r="HH18" s="27"/>
      <c r="HI18" s="2167">
        <v>4293.130000000001</v>
      </c>
      <c r="HJ18" s="27"/>
      <c r="HK18" s="27">
        <v>0</v>
      </c>
      <c r="HL18" s="27"/>
      <c r="HM18" s="28">
        <f t="shared" ref="HM18:HM42" si="121">SUM(GY18:HL18)</f>
        <v>4293.130000000001</v>
      </c>
      <c r="HN18" s="36"/>
      <c r="HO18" s="27"/>
      <c r="HP18" s="27"/>
      <c r="HQ18" s="27"/>
      <c r="HR18" s="27"/>
      <c r="HS18" s="27"/>
      <c r="HT18" s="27" cm="1">
        <f t="array" ref="HT18">SUMPRODUCT(('Data Base hauling'!$C$2:$C$216="TCM-ROM SB1 BK05-ROM 4")*(ISNUMBER(SEARCH(TEXT('May TCM'!$B18,"00")&amp;"/03/2026",'Data Base hauling'!$E$2:$E$216)))*'Data Base hauling'!$N$2:$N$216)</f>
        <v>0</v>
      </c>
      <c r="HU18" s="27"/>
      <c r="HV18" s="27" cm="1">
        <f t="array" ref="HV18">SUMPRODUCT(('Data Base hauling'!$C$2:$C$216="TCM-ROM SB1 BK05-ROM 5")*(ISNUMBER(SEARCH(TEXT('May TCM'!$B18,"00")&amp;"/03/2026",'Data Base hauling'!$E$2:$E$216)))*'Data Base hauling'!$N$2:$N$216)</f>
        <v>0</v>
      </c>
      <c r="HW18" s="27"/>
      <c r="HX18" s="27"/>
      <c r="HY18" s="27"/>
      <c r="HZ18" s="27"/>
      <c r="IA18" s="27"/>
      <c r="IB18" s="33">
        <f t="shared" si="49"/>
        <v>0</v>
      </c>
      <c r="IC18" s="52"/>
      <c r="ID18" s="152"/>
      <c r="IE18" s="53"/>
      <c r="IF18" s="53"/>
      <c r="IG18" s="53"/>
      <c r="IH18" s="53"/>
      <c r="II18" s="1736">
        <v>3638.67</v>
      </c>
      <c r="IJ18" s="1736"/>
      <c r="IK18" s="1736">
        <v>1304.45</v>
      </c>
      <c r="IL18" s="53"/>
      <c r="IM18" s="53">
        <v>0</v>
      </c>
      <c r="IN18" s="53"/>
      <c r="IO18" s="53"/>
      <c r="IP18" s="49">
        <v>0</v>
      </c>
      <c r="IQ18" s="2195">
        <f t="shared" ref="IQ18:IQ40" si="122">SUM(IC18:IP18)</f>
        <v>4943.12</v>
      </c>
      <c r="IR18" s="36"/>
      <c r="IS18" s="36"/>
      <c r="IT18" s="27"/>
      <c r="IU18" s="27"/>
      <c r="IV18" s="53"/>
      <c r="IW18" s="27"/>
      <c r="IX18" s="53">
        <v>0</v>
      </c>
      <c r="IY18" s="27"/>
      <c r="IZ18" s="27">
        <v>4520.2999999999993</v>
      </c>
      <c r="JA18" s="27"/>
      <c r="JB18" s="27">
        <v>898.19999999999993</v>
      </c>
      <c r="JC18" s="27"/>
      <c r="JD18" s="27"/>
      <c r="JE18" s="27"/>
      <c r="JF18" s="33">
        <f t="shared" ref="JF18:JF40" si="123">SUM(IR18:JE18)</f>
        <v>5418.4999999999991</v>
      </c>
      <c r="JG18" s="2667"/>
      <c r="JI18" s="2019">
        <v>5809</v>
      </c>
      <c r="JJ18" s="2017">
        <v>8845.7500000000018</v>
      </c>
      <c r="JK18" s="53"/>
      <c r="JL18" s="1736">
        <f t="shared" si="52"/>
        <v>14654.750000000002</v>
      </c>
      <c r="JM18" s="33"/>
      <c r="JN18" s="2669"/>
      <c r="JO18" s="69">
        <v>0</v>
      </c>
      <c r="JP18" s="70">
        <v>0</v>
      </c>
      <c r="JQ18" s="70">
        <v>0</v>
      </c>
      <c r="JR18" s="850">
        <v>0</v>
      </c>
      <c r="JS18" s="850">
        <v>0.98874160784988818</v>
      </c>
      <c r="JT18" s="850">
        <v>1.1258392150111896E-2</v>
      </c>
      <c r="JU18" s="70">
        <v>0</v>
      </c>
      <c r="JV18" s="1922">
        <v>0</v>
      </c>
      <c r="JW18" s="69">
        <v>0</v>
      </c>
      <c r="JX18" s="70">
        <v>0</v>
      </c>
      <c r="JY18" s="70">
        <v>0</v>
      </c>
      <c r="JZ18" s="70">
        <v>0.41134669191419598</v>
      </c>
      <c r="KA18" s="70">
        <v>9.1738970692140289E-3</v>
      </c>
      <c r="KB18" s="70">
        <v>0.57947941101658984</v>
      </c>
      <c r="KC18" s="70">
        <v>0</v>
      </c>
      <c r="KD18" s="71">
        <v>0</v>
      </c>
      <c r="KE18" s="69"/>
      <c r="KF18" s="70"/>
      <c r="KG18" s="70"/>
      <c r="KH18" s="70"/>
      <c r="KI18" s="70"/>
      <c r="KJ18" s="70"/>
      <c r="KK18" s="70"/>
      <c r="KL18" s="70"/>
      <c r="KM18" s="33"/>
      <c r="KN18" s="2669"/>
      <c r="KO18" s="1739">
        <v>7080</v>
      </c>
      <c r="KP18" s="1721">
        <v>0.88</v>
      </c>
      <c r="KQ18" s="1721">
        <v>3.35</v>
      </c>
      <c r="KR18" s="1721">
        <v>6.7</v>
      </c>
      <c r="KS18" s="1722">
        <v>10.42</v>
      </c>
      <c r="KT18" s="1958">
        <v>6645.9911268855367</v>
      </c>
      <c r="KU18" s="1961">
        <v>1.762360248447205</v>
      </c>
      <c r="KV18" s="1961">
        <v>8.6692102928127781</v>
      </c>
      <c r="KW18" s="1961">
        <v>6.0471339840283935</v>
      </c>
      <c r="KX18" s="1962">
        <v>9.8671339840283938</v>
      </c>
      <c r="KY18" s="36"/>
      <c r="KZ18" s="53"/>
      <c r="LA18" s="53"/>
      <c r="LB18" s="53"/>
      <c r="LC18" s="53"/>
      <c r="LD18" s="33"/>
      <c r="LE18" s="2669"/>
      <c r="LG18" s="26">
        <f t="shared" si="53"/>
        <v>4907.8249999999998</v>
      </c>
      <c r="LH18" s="27">
        <f t="shared" si="53"/>
        <v>2642.6749999999997</v>
      </c>
      <c r="LI18" s="27">
        <f t="shared" si="53"/>
        <v>0</v>
      </c>
      <c r="LJ18" s="28">
        <f t="shared" si="54"/>
        <v>7550.5</v>
      </c>
      <c r="LK18" s="36">
        <v>1</v>
      </c>
      <c r="LL18" s="27"/>
      <c r="LM18" s="27">
        <v>1</v>
      </c>
      <c r="LN18" s="33"/>
      <c r="LO18" s="1041">
        <v>5.99</v>
      </c>
      <c r="LP18" s="486"/>
      <c r="LQ18" s="2688"/>
      <c r="LR18" s="21">
        <v>4907.8249999999998</v>
      </c>
      <c r="LS18" s="27">
        <v>2642.6749999999997</v>
      </c>
      <c r="LT18" s="27"/>
      <c r="LU18" s="27"/>
      <c r="LV18" s="27"/>
      <c r="LW18" s="1117">
        <f t="shared" si="55"/>
        <v>7550.5</v>
      </c>
      <c r="LX18" s="36"/>
      <c r="LY18" s="36"/>
      <c r="LZ18" s="27"/>
      <c r="MA18" s="27"/>
      <c r="MB18" s="33"/>
      <c r="MC18" s="28">
        <f t="shared" si="56"/>
        <v>0</v>
      </c>
      <c r="MD18" s="26"/>
      <c r="ME18" s="36"/>
      <c r="MF18" s="27"/>
      <c r="MG18" s="27"/>
      <c r="MH18" s="27"/>
      <c r="MI18" s="28"/>
      <c r="MJ18" s="36"/>
      <c r="MK18" s="36"/>
      <c r="ML18" s="27"/>
      <c r="MM18" s="27"/>
      <c r="MN18" s="27"/>
      <c r="MO18" s="28"/>
      <c r="MP18" s="36"/>
      <c r="MQ18" s="36"/>
      <c r="MR18" s="27"/>
      <c r="MS18" s="27"/>
      <c r="MT18" s="27"/>
      <c r="MU18" s="33">
        <f t="shared" si="57"/>
        <v>0</v>
      </c>
      <c r="MV18" s="2688"/>
      <c r="MX18" s="26">
        <f t="shared" si="58"/>
        <v>145296.4853022857</v>
      </c>
      <c r="MY18" s="27">
        <f t="shared" si="59"/>
        <v>72936.456833323216</v>
      </c>
      <c r="MZ18" s="27">
        <f t="shared" si="60"/>
        <v>22587.37525319455</v>
      </c>
      <c r="NA18" s="28">
        <f t="shared" si="61"/>
        <v>429445.32855850999</v>
      </c>
      <c r="NB18" s="2621"/>
      <c r="NC18" s="23">
        <v>41091.185297803699</v>
      </c>
      <c r="ND18" s="1579">
        <v>104205.30000448199</v>
      </c>
      <c r="NE18" s="60">
        <f t="shared" si="64"/>
        <v>0</v>
      </c>
      <c r="NF18" s="1110">
        <f t="shared" si="4"/>
        <v>145296.4853022857</v>
      </c>
      <c r="NG18" s="26">
        <f t="shared" si="65"/>
        <v>0</v>
      </c>
      <c r="NH18" s="27">
        <f t="shared" si="65"/>
        <v>0</v>
      </c>
      <c r="NI18" s="27">
        <f t="shared" si="65"/>
        <v>0</v>
      </c>
      <c r="NJ18" s="27">
        <f t="shared" si="65"/>
        <v>0</v>
      </c>
      <c r="NK18" s="27">
        <f t="shared" si="65"/>
        <v>0</v>
      </c>
      <c r="NL18" s="33">
        <f t="shared" si="65"/>
        <v>0</v>
      </c>
      <c r="NM18" s="27">
        <f t="shared" si="65"/>
        <v>0</v>
      </c>
      <c r="NN18" s="36">
        <f t="shared" si="65"/>
        <v>0</v>
      </c>
      <c r="NO18" s="24">
        <f t="shared" si="65"/>
        <v>2971.7131443320582</v>
      </c>
      <c r="NP18" s="27">
        <f t="shared" si="65"/>
        <v>26196.696072681989</v>
      </c>
      <c r="NQ18" s="24">
        <f t="shared" si="113"/>
        <v>8756.5482322711578</v>
      </c>
      <c r="NR18" s="24">
        <f t="shared" si="114"/>
        <v>1536.0926980586946</v>
      </c>
      <c r="NS18" s="27">
        <f t="shared" si="0"/>
        <v>39461.0501473439</v>
      </c>
      <c r="NT18" s="27">
        <f t="shared" si="66"/>
        <v>0</v>
      </c>
      <c r="NU18" s="27">
        <f t="shared" si="66"/>
        <v>0</v>
      </c>
      <c r="NV18" s="27">
        <f t="shared" si="66"/>
        <v>0</v>
      </c>
      <c r="NW18" s="27">
        <f t="shared" si="66"/>
        <v>0</v>
      </c>
      <c r="NX18" s="27">
        <f t="shared" si="66"/>
        <v>0</v>
      </c>
      <c r="NY18" s="27">
        <f t="shared" si="66"/>
        <v>0</v>
      </c>
      <c r="NZ18" s="27">
        <f t="shared" si="66"/>
        <v>3045.6427301930744</v>
      </c>
      <c r="OA18" s="27">
        <f t="shared" si="66"/>
        <v>0</v>
      </c>
      <c r="OB18" s="27">
        <f t="shared" si="66"/>
        <v>17959.341841856756</v>
      </c>
      <c r="OC18" s="280"/>
      <c r="OD18" s="24">
        <f t="shared" si="67"/>
        <v>454.51223506073143</v>
      </c>
      <c r="OE18" s="27">
        <f t="shared" si="67"/>
        <v>0</v>
      </c>
      <c r="OF18" s="28">
        <f t="shared" si="1"/>
        <v>21459.496807110561</v>
      </c>
      <c r="OG18" s="27">
        <f t="shared" si="68"/>
        <v>0</v>
      </c>
      <c r="OH18" s="27">
        <f t="shared" si="68"/>
        <v>0</v>
      </c>
      <c r="OI18" s="27">
        <f t="shared" si="68"/>
        <v>0</v>
      </c>
      <c r="OJ18" s="27">
        <f t="shared" si="68"/>
        <v>0</v>
      </c>
      <c r="OK18" s="27">
        <f t="shared" si="68"/>
        <v>0</v>
      </c>
      <c r="OL18" s="27">
        <f t="shared" si="68"/>
        <v>0</v>
      </c>
      <c r="OM18" s="24">
        <f t="shared" si="68"/>
        <v>0</v>
      </c>
      <c r="ON18" s="27">
        <f t="shared" si="68"/>
        <v>0</v>
      </c>
      <c r="OO18" s="24">
        <f t="shared" si="115"/>
        <v>10520.152235312071</v>
      </c>
      <c r="OP18" s="27">
        <f t="shared" si="68"/>
        <v>0</v>
      </c>
      <c r="OQ18" s="27">
        <f t="shared" si="68"/>
        <v>1495.7576435566853</v>
      </c>
      <c r="OR18" s="27">
        <f t="shared" si="68"/>
        <v>0</v>
      </c>
      <c r="OS18" s="28">
        <f t="shared" si="2"/>
        <v>12015.909878868755</v>
      </c>
      <c r="OT18" s="36"/>
      <c r="OU18" s="27"/>
      <c r="OV18" s="27"/>
      <c r="OW18" s="27"/>
      <c r="OX18" s="27"/>
      <c r="OY18" s="27"/>
      <c r="OZ18" s="28">
        <f t="shared" si="69"/>
        <v>0</v>
      </c>
      <c r="PA18" s="36">
        <f t="shared" si="70"/>
        <v>0</v>
      </c>
      <c r="PB18" s="27">
        <f t="shared" si="71"/>
        <v>0</v>
      </c>
      <c r="PC18" s="27">
        <f t="shared" si="72"/>
        <v>0</v>
      </c>
      <c r="PD18" s="27">
        <f t="shared" si="73"/>
        <v>0</v>
      </c>
      <c r="PE18" s="24"/>
      <c r="PF18" s="27">
        <f t="shared" si="74"/>
        <v>0</v>
      </c>
      <c r="PG18" s="33">
        <f t="shared" si="3"/>
        <v>0</v>
      </c>
      <c r="PH18" s="2621"/>
      <c r="PJ18" s="1907">
        <v>925.2</v>
      </c>
      <c r="PK18" s="3">
        <v>185.99999999999997</v>
      </c>
      <c r="PL18" s="3">
        <v>77.499999999999986</v>
      </c>
      <c r="PM18" s="3">
        <v>0</v>
      </c>
      <c r="PN18" s="3">
        <f t="shared" si="75"/>
        <v>28590.309776580692</v>
      </c>
      <c r="PO18" s="11">
        <f t="shared" si="76"/>
        <v>22587.37525319455</v>
      </c>
      <c r="PP18" s="15"/>
      <c r="PQ18" s="2615"/>
      <c r="PS18" s="4"/>
      <c r="PT18" s="9"/>
      <c r="PU18" s="9"/>
      <c r="PV18" s="9"/>
      <c r="PW18" s="8">
        <v>0</v>
      </c>
      <c r="PX18" s="9"/>
      <c r="PY18" s="8">
        <f t="shared" si="77"/>
        <v>0</v>
      </c>
      <c r="PZ18" s="5">
        <f t="shared" si="78"/>
        <v>925.2</v>
      </c>
      <c r="QA18" s="5"/>
      <c r="QB18" s="5"/>
      <c r="QC18" s="5"/>
      <c r="QD18" s="5"/>
      <c r="QE18" s="5"/>
      <c r="QF18" s="12"/>
      <c r="QG18" s="12">
        <f t="shared" si="79"/>
        <v>29562.488999999998</v>
      </c>
      <c r="QH18" s="420">
        <f t="shared" si="80"/>
        <v>399882.83955850999</v>
      </c>
      <c r="QI18" s="1106">
        <f t="shared" si="81"/>
        <v>0</v>
      </c>
      <c r="QJ18" s="484">
        <f t="shared" si="82"/>
        <v>5505.3678056099998</v>
      </c>
      <c r="QK18" s="12"/>
      <c r="QL18" s="2615"/>
      <c r="QN18" s="139">
        <f t="shared" si="83"/>
        <v>0</v>
      </c>
      <c r="QO18" s="139" t="str">
        <f t="shared" si="84"/>
        <v/>
      </c>
      <c r="QQ18" s="139">
        <f t="shared" si="85"/>
        <v>0</v>
      </c>
      <c r="QR18" s="139">
        <f t="shared" si="86"/>
        <v>0</v>
      </c>
      <c r="QT18" s="1">
        <f t="shared" si="87"/>
        <v>0</v>
      </c>
      <c r="QU18" s="1">
        <f t="shared" si="88"/>
        <v>0</v>
      </c>
      <c r="QV18" s="1">
        <f t="shared" si="89"/>
        <v>0</v>
      </c>
      <c r="QW18" s="1">
        <f t="shared" si="90"/>
        <v>0</v>
      </c>
      <c r="QX18" s="1">
        <f t="shared" si="91"/>
        <v>0</v>
      </c>
      <c r="QY18" s="1">
        <f t="shared" si="92"/>
        <v>0</v>
      </c>
      <c r="RA18" s="1">
        <f t="shared" si="93"/>
        <v>0</v>
      </c>
      <c r="RB18" s="1">
        <f t="shared" si="94"/>
        <v>0</v>
      </c>
      <c r="RC18" s="1">
        <f t="shared" si="95"/>
        <v>0</v>
      </c>
      <c r="RD18" s="1">
        <f t="shared" si="96"/>
        <v>0</v>
      </c>
      <c r="RE18" s="1">
        <f t="shared" si="97"/>
        <v>0</v>
      </c>
      <c r="RF18" s="1">
        <f t="shared" si="98"/>
        <v>0</v>
      </c>
      <c r="RI18" s="1">
        <v>9</v>
      </c>
      <c r="RJ18" s="421">
        <v>5984.4452097170979</v>
      </c>
      <c r="RK18" s="421">
        <v>5074.1017804837184</v>
      </c>
      <c r="RL18" s="421">
        <v>13404.263703387322</v>
      </c>
      <c r="RM18" s="490">
        <f t="shared" si="5"/>
        <v>24462.810693588137</v>
      </c>
      <c r="RN18" s="1033">
        <v>9</v>
      </c>
      <c r="RO18" s="1098">
        <f t="shared" si="100"/>
        <v>0</v>
      </c>
      <c r="RP18" s="1098">
        <f t="shared" si="101"/>
        <v>0</v>
      </c>
      <c r="RQ18" s="1097">
        <f t="shared" si="102"/>
        <v>0</v>
      </c>
      <c r="RR18" s="1097">
        <f t="shared" si="103"/>
        <v>7458.1399999999994</v>
      </c>
      <c r="RS18" s="1046"/>
      <c r="RT18" s="1046" t="s">
        <v>951</v>
      </c>
      <c r="RW18" s="421">
        <v>9</v>
      </c>
      <c r="RX18" s="1095">
        <f t="shared" si="104"/>
        <v>14654.75</v>
      </c>
      <c r="RY18" s="1046" t="s">
        <v>952</v>
      </c>
      <c r="SA18" s="1090"/>
      <c r="SB18" s="1090">
        <f t="shared" si="105"/>
        <v>0</v>
      </c>
      <c r="SC18" s="1090"/>
      <c r="SD18" s="1090">
        <f>JL18-RX18</f>
        <v>0</v>
      </c>
      <c r="SF18" s="1">
        <v>9</v>
      </c>
      <c r="SG18" s="1">
        <f t="shared" si="107"/>
        <v>0</v>
      </c>
      <c r="SH18" s="1094"/>
    </row>
    <row r="19" spans="1:502" s="1" customFormat="1">
      <c r="B19" s="471">
        <v>10</v>
      </c>
      <c r="C19" s="4">
        <f t="shared" si="6"/>
        <v>117255</v>
      </c>
      <c r="D19" s="1726">
        <f t="shared" si="119"/>
        <v>6829.1063999999997</v>
      </c>
      <c r="E19" s="1895">
        <f t="shared" si="7"/>
        <v>17.169889167344063</v>
      </c>
      <c r="F19" s="870"/>
      <c r="G19" s="870"/>
      <c r="H19" s="52">
        <v>12</v>
      </c>
      <c r="I19" s="61">
        <v>3.22</v>
      </c>
      <c r="J19" s="52"/>
      <c r="K19" s="54"/>
      <c r="L19" s="52">
        <v>4.5</v>
      </c>
      <c r="M19" s="61">
        <v>6.67</v>
      </c>
      <c r="N19" s="2629"/>
      <c r="O19" s="4">
        <f t="shared" si="118"/>
        <v>69088</v>
      </c>
      <c r="P19" s="1225">
        <f t="shared" si="8"/>
        <v>5601.16</v>
      </c>
      <c r="Q19" s="1952">
        <f t="shared" si="9"/>
        <v>12.334587835376958</v>
      </c>
      <c r="R19" s="33"/>
      <c r="S19" s="26">
        <f t="shared" si="10"/>
        <v>27452</v>
      </c>
      <c r="T19" s="27">
        <f t="shared" si="109"/>
        <v>647.94640000000004</v>
      </c>
      <c r="U19" s="1909">
        <f t="shared" si="11"/>
        <v>42.367702019796695</v>
      </c>
      <c r="V19" s="15"/>
      <c r="W19" s="1742">
        <f t="shared" si="12"/>
        <v>20715</v>
      </c>
      <c r="X19" s="1918">
        <f t="shared" si="12"/>
        <v>580</v>
      </c>
      <c r="Y19" s="1738">
        <f t="shared" si="13"/>
        <v>35.71551724137931</v>
      </c>
      <c r="Z19" s="33"/>
      <c r="AA19" s="26">
        <f t="shared" si="14"/>
        <v>0</v>
      </c>
      <c r="AB19" s="27">
        <f t="shared" si="15"/>
        <v>0</v>
      </c>
      <c r="AC19" s="53">
        <f t="shared" si="16"/>
        <v>0</v>
      </c>
      <c r="AD19" s="28"/>
      <c r="AE19" s="36"/>
      <c r="AF19" s="36"/>
      <c r="AG19" s="53">
        <f t="shared" si="17"/>
        <v>0</v>
      </c>
      <c r="AH19" s="28"/>
      <c r="AI19" s="26"/>
      <c r="AJ19" s="27"/>
      <c r="AK19" s="53">
        <f t="shared" si="18"/>
        <v>0</v>
      </c>
      <c r="AL19" s="28"/>
      <c r="AM19" s="2629"/>
      <c r="AN19" s="9"/>
      <c r="AO19" s="5"/>
      <c r="AP19" s="61">
        <f t="shared" si="19"/>
        <v>0</v>
      </c>
      <c r="AQ19" s="36"/>
      <c r="AR19" s="53"/>
      <c r="AS19" s="61">
        <f t="shared" si="20"/>
        <v>0</v>
      </c>
      <c r="AT19" s="36">
        <v>0</v>
      </c>
      <c r="AU19" s="27"/>
      <c r="AV19" s="54">
        <f t="shared" si="21"/>
        <v>0</v>
      </c>
      <c r="AW19" s="26">
        <v>35992</v>
      </c>
      <c r="AX19" s="27">
        <v>3806.34</v>
      </c>
      <c r="AY19" s="1735">
        <f t="shared" si="116"/>
        <v>9.4558026870957406</v>
      </c>
      <c r="AZ19" s="36"/>
      <c r="BA19" s="27"/>
      <c r="BB19" s="61">
        <f t="shared" si="22"/>
        <v>0</v>
      </c>
      <c r="BC19" s="1740">
        <v>33096</v>
      </c>
      <c r="BD19" s="1736">
        <v>1794.8200000000002</v>
      </c>
      <c r="BE19" s="1735">
        <f t="shared" si="23"/>
        <v>18.439732117983976</v>
      </c>
      <c r="BF19" s="36"/>
      <c r="BG19" s="53"/>
      <c r="BH19" s="61">
        <f t="shared" si="24"/>
        <v>0</v>
      </c>
      <c r="BI19" s="36">
        <v>0</v>
      </c>
      <c r="BJ19" s="53">
        <v>0</v>
      </c>
      <c r="BK19" s="61">
        <f t="shared" si="25"/>
        <v>0</v>
      </c>
      <c r="BL19" s="1742">
        <v>27452</v>
      </c>
      <c r="BM19" s="1909">
        <v>566.54000000000008</v>
      </c>
      <c r="BN19" s="2170">
        <v>81.406399999999991</v>
      </c>
      <c r="BO19" s="1920">
        <f t="shared" si="26"/>
        <v>48.455537120062125</v>
      </c>
      <c r="BP19" s="9"/>
      <c r="BQ19" s="64"/>
      <c r="BR19" s="482">
        <f t="shared" si="27"/>
        <v>0</v>
      </c>
      <c r="BS19" s="9"/>
      <c r="BT19" s="53"/>
      <c r="BU19" s="482">
        <f t="shared" si="28"/>
        <v>0</v>
      </c>
      <c r="BV19" s="9">
        <v>20715</v>
      </c>
      <c r="BW19" s="27">
        <v>580</v>
      </c>
      <c r="BX19" s="1051">
        <f t="shared" si="29"/>
        <v>35.71551724137931</v>
      </c>
      <c r="BY19" s="26"/>
      <c r="BZ19" s="27"/>
      <c r="CA19" s="482">
        <f t="shared" si="30"/>
        <v>0</v>
      </c>
      <c r="CB19" s="9"/>
      <c r="CC19" s="481"/>
      <c r="CD19" s="482">
        <f t="shared" si="31"/>
        <v>0</v>
      </c>
      <c r="CE19" s="4"/>
      <c r="CF19" s="5"/>
      <c r="CG19" s="28">
        <f t="shared" si="32"/>
        <v>0</v>
      </c>
      <c r="CH19" s="150"/>
      <c r="CI19" s="4"/>
      <c r="CJ19" s="5"/>
      <c r="CK19" s="5">
        <v>2624</v>
      </c>
      <c r="CL19" s="5"/>
      <c r="CM19" s="5"/>
      <c r="CN19" s="5"/>
      <c r="CO19" s="5"/>
      <c r="CP19" s="5"/>
      <c r="CR19" s="4">
        <f t="shared" si="33"/>
        <v>0</v>
      </c>
      <c r="CS19" s="9">
        <f t="shared" si="33"/>
        <v>0</v>
      </c>
      <c r="CT19" s="5">
        <f t="shared" si="33"/>
        <v>0</v>
      </c>
      <c r="CU19" s="5">
        <f t="shared" si="33"/>
        <v>0</v>
      </c>
      <c r="CV19" s="5">
        <f t="shared" si="33"/>
        <v>0</v>
      </c>
      <c r="CW19" s="5">
        <f t="shared" si="33"/>
        <v>0</v>
      </c>
      <c r="CX19" s="5">
        <f t="shared" si="33"/>
        <v>3053.52</v>
      </c>
      <c r="CY19" s="5">
        <f t="shared" si="33"/>
        <v>0</v>
      </c>
      <c r="CZ19" s="5">
        <f t="shared" si="33"/>
        <v>3114.1799999999994</v>
      </c>
      <c r="DA19" s="5">
        <f t="shared" si="33"/>
        <v>0</v>
      </c>
      <c r="DB19" s="5">
        <f t="shared" si="33"/>
        <v>580</v>
      </c>
      <c r="DC19" s="12">
        <f t="shared" si="33"/>
        <v>0</v>
      </c>
      <c r="DD19" s="310">
        <f t="shared" si="34"/>
        <v>6747.6999999999989</v>
      </c>
      <c r="DE19" s="2695"/>
      <c r="DF19" s="8"/>
      <c r="DG19" s="9"/>
      <c r="DH19" s="5"/>
      <c r="DI19" s="5"/>
      <c r="DJ19" s="5"/>
      <c r="DK19" s="5"/>
      <c r="DL19" s="5">
        <v>3053.52</v>
      </c>
      <c r="DM19" s="5"/>
      <c r="DN19" s="5">
        <v>752.81999999999994</v>
      </c>
      <c r="DO19" s="5"/>
      <c r="DP19" s="5"/>
      <c r="DQ19" s="12"/>
      <c r="DR19" s="1906">
        <f t="shared" si="35"/>
        <v>3806.34</v>
      </c>
      <c r="DS19" s="36"/>
      <c r="DT19" s="36"/>
      <c r="DU19" s="27"/>
      <c r="DV19" s="27"/>
      <c r="DW19" s="5"/>
      <c r="DX19" s="5"/>
      <c r="DY19" s="5"/>
      <c r="DZ19" s="5"/>
      <c r="EA19" s="5">
        <v>2361.3599999999997</v>
      </c>
      <c r="EB19" s="27"/>
      <c r="EC19" s="27">
        <v>0</v>
      </c>
      <c r="ED19" s="33"/>
      <c r="EE19" s="28">
        <f t="shared" si="36"/>
        <v>2361.3599999999997</v>
      </c>
      <c r="EF19" s="9"/>
      <c r="EG19" s="36"/>
      <c r="EH19" s="5"/>
      <c r="EI19" s="313"/>
      <c r="EJ19" s="27"/>
      <c r="EK19" s="27"/>
      <c r="EL19" s="27"/>
      <c r="EM19" s="27"/>
      <c r="EN19" s="5"/>
      <c r="EO19" s="5"/>
      <c r="EP19" s="5">
        <v>580</v>
      </c>
      <c r="EQ19" s="33"/>
      <c r="ER19" s="28">
        <f t="shared" si="120"/>
        <v>580</v>
      </c>
      <c r="ES19" s="36"/>
      <c r="ET19" s="27"/>
      <c r="EU19" s="27"/>
      <c r="EV19" s="27"/>
      <c r="EW19" s="27"/>
      <c r="EX19" s="27"/>
      <c r="EY19" s="33">
        <f t="shared" si="38"/>
        <v>0</v>
      </c>
      <c r="EZ19" s="2685"/>
      <c r="FB19" s="4">
        <f t="shared" si="39"/>
        <v>0</v>
      </c>
      <c r="FC19" s="5">
        <f t="shared" si="40"/>
        <v>0</v>
      </c>
      <c r="FD19" s="5">
        <f t="shared" si="41"/>
        <v>0</v>
      </c>
      <c r="FE19" s="12">
        <f t="shared" si="42"/>
        <v>0</v>
      </c>
      <c r="FF19" s="33"/>
      <c r="FG19" s="2674"/>
      <c r="FH19" s="9"/>
      <c r="FI19" s="5"/>
      <c r="FJ19" s="5"/>
      <c r="FK19" s="5"/>
      <c r="FL19" s="5"/>
      <c r="FM19" s="27"/>
      <c r="FN19" s="28">
        <f t="shared" si="43"/>
        <v>0</v>
      </c>
      <c r="FO19" s="36"/>
      <c r="FP19" s="27"/>
      <c r="FQ19" s="27"/>
      <c r="FR19" s="27"/>
      <c r="FS19" s="27"/>
      <c r="FT19" s="27"/>
      <c r="FU19" s="28">
        <f t="shared" si="44"/>
        <v>0</v>
      </c>
      <c r="FV19" s="36"/>
      <c r="FW19" s="36"/>
      <c r="FX19" s="27"/>
      <c r="FY19" s="27"/>
      <c r="FZ19" s="27"/>
      <c r="GA19" s="27"/>
      <c r="GB19" s="27"/>
      <c r="GC19" s="27"/>
      <c r="GD19" s="27"/>
      <c r="GE19" s="27"/>
      <c r="GF19" s="27"/>
      <c r="GG19" s="33"/>
      <c r="GH19" s="33">
        <f t="shared" si="45"/>
        <v>0</v>
      </c>
      <c r="GI19" s="2674"/>
      <c r="GK19" s="2">
        <f t="shared" si="110"/>
        <v>0</v>
      </c>
      <c r="GL19" s="63">
        <f t="shared" si="111"/>
        <v>0</v>
      </c>
      <c r="GM19" s="24">
        <f t="shared" si="112"/>
        <v>0</v>
      </c>
      <c r="GN19" s="1736">
        <f t="shared" si="46"/>
        <v>0</v>
      </c>
      <c r="GO19" s="141"/>
      <c r="GP19" s="141"/>
      <c r="GQ19" s="33" t="s">
        <v>946</v>
      </c>
      <c r="GR19" s="2667"/>
      <c r="GS19" s="1940">
        <v>0</v>
      </c>
      <c r="GT19" s="5">
        <v>0</v>
      </c>
      <c r="GU19" s="5">
        <v>0</v>
      </c>
      <c r="GV19" s="27">
        <v>0</v>
      </c>
      <c r="GW19" s="54">
        <f t="shared" si="47"/>
        <v>0</v>
      </c>
      <c r="GX19" s="2667"/>
      <c r="GY19" s="36"/>
      <c r="GZ19" s="36"/>
      <c r="HA19" s="27"/>
      <c r="HB19" s="27"/>
      <c r="HC19" s="27"/>
      <c r="HD19" s="27"/>
      <c r="HE19" s="27"/>
      <c r="HF19" s="27"/>
      <c r="HG19" s="27">
        <v>0</v>
      </c>
      <c r="HH19" s="27"/>
      <c r="HI19" s="2167">
        <v>0</v>
      </c>
      <c r="HJ19" s="27"/>
      <c r="HK19" s="27">
        <v>0</v>
      </c>
      <c r="HL19" s="27"/>
      <c r="HM19" s="28">
        <f t="shared" si="121"/>
        <v>0</v>
      </c>
      <c r="HN19" s="36"/>
      <c r="HO19" s="27"/>
      <c r="HP19" s="27"/>
      <c r="HQ19" s="27"/>
      <c r="HR19" s="27"/>
      <c r="HS19" s="27"/>
      <c r="HT19" s="27" cm="1">
        <f t="array" ref="HT19">SUMPRODUCT(('Data Base hauling'!$C$2:$C$216="TCM-ROM SB1 BK05-ROM 4")*(ISNUMBER(SEARCH(TEXT('May TCM'!$B19,"00")&amp;"/03/2026",'Data Base hauling'!$E$2:$E$216)))*'Data Base hauling'!$N$2:$N$216)</f>
        <v>0</v>
      </c>
      <c r="HU19" s="27"/>
      <c r="HV19" s="27" cm="1">
        <f t="array" ref="HV19">SUMPRODUCT(('Data Base hauling'!$C$2:$C$216="TCM-ROM SB1 BK05-ROM 5")*(ISNUMBER(SEARCH(TEXT('May TCM'!$B19,"00")&amp;"/03/2026",'Data Base hauling'!$E$2:$E$216)))*'Data Base hauling'!$N$2:$N$216)</f>
        <v>0</v>
      </c>
      <c r="HW19" s="27"/>
      <c r="HX19" s="27"/>
      <c r="HY19" s="27"/>
      <c r="HZ19" s="27"/>
      <c r="IA19" s="27"/>
      <c r="IB19" s="33">
        <f t="shared" si="49"/>
        <v>0</v>
      </c>
      <c r="IC19" s="52"/>
      <c r="ID19" s="152"/>
      <c r="IE19" s="53"/>
      <c r="IF19" s="53"/>
      <c r="IG19" s="53"/>
      <c r="IH19" s="53"/>
      <c r="II19" s="1736">
        <v>0</v>
      </c>
      <c r="IJ19" s="1736"/>
      <c r="IK19" s="1736">
        <v>0</v>
      </c>
      <c r="IL19" s="53"/>
      <c r="IM19" s="53">
        <v>0</v>
      </c>
      <c r="IN19" s="53"/>
      <c r="IO19" s="53"/>
      <c r="IP19" s="49">
        <v>0</v>
      </c>
      <c r="IQ19" s="2195">
        <f t="shared" si="122"/>
        <v>0</v>
      </c>
      <c r="IR19" s="36"/>
      <c r="IS19" s="36"/>
      <c r="IT19" s="27"/>
      <c r="IU19" s="27"/>
      <c r="IV19" s="53"/>
      <c r="IW19" s="27"/>
      <c r="IX19" s="53">
        <v>0</v>
      </c>
      <c r="IY19" s="27"/>
      <c r="IZ19" s="27">
        <v>0</v>
      </c>
      <c r="JA19" s="27"/>
      <c r="JB19" s="27">
        <v>0</v>
      </c>
      <c r="JC19" s="27"/>
      <c r="JD19" s="27"/>
      <c r="JE19" s="27"/>
      <c r="JF19" s="33">
        <f t="shared" si="123"/>
        <v>0</v>
      </c>
      <c r="JG19" s="2667"/>
      <c r="JI19" s="2019">
        <v>0</v>
      </c>
      <c r="JJ19" s="2017">
        <v>0</v>
      </c>
      <c r="JK19" s="53"/>
      <c r="JL19" s="53">
        <f t="shared" si="52"/>
        <v>0</v>
      </c>
      <c r="JM19" s="33"/>
      <c r="JN19" s="2669"/>
      <c r="JO19" s="69" t="s">
        <v>296</v>
      </c>
      <c r="JP19" s="70" t="s">
        <v>296</v>
      </c>
      <c r="JQ19" s="70" t="s">
        <v>296</v>
      </c>
      <c r="JR19" s="850" t="s">
        <v>296</v>
      </c>
      <c r="JS19" s="850" t="s">
        <v>296</v>
      </c>
      <c r="JT19" s="850" t="s">
        <v>296</v>
      </c>
      <c r="JU19" s="70" t="s">
        <v>296</v>
      </c>
      <c r="JV19" s="1922">
        <v>0</v>
      </c>
      <c r="JW19" s="69" t="s">
        <v>296</v>
      </c>
      <c r="JX19" s="70" t="s">
        <v>296</v>
      </c>
      <c r="JY19" s="70" t="s">
        <v>296</v>
      </c>
      <c r="JZ19" s="70" t="s">
        <v>296</v>
      </c>
      <c r="KA19" s="70" t="s">
        <v>296</v>
      </c>
      <c r="KB19" s="70" t="s">
        <v>296</v>
      </c>
      <c r="KC19" s="70" t="s">
        <v>296</v>
      </c>
      <c r="KD19" s="71" t="s">
        <v>296</v>
      </c>
      <c r="KE19" s="69"/>
      <c r="KF19" s="70"/>
      <c r="KG19" s="70"/>
      <c r="KH19" s="70"/>
      <c r="KI19" s="70"/>
      <c r="KJ19" s="70"/>
      <c r="KK19" s="70"/>
      <c r="KL19" s="70"/>
      <c r="KM19" s="33"/>
      <c r="KN19" s="2669"/>
      <c r="KO19" s="1739">
        <v>0</v>
      </c>
      <c r="KP19" s="1721">
        <v>0</v>
      </c>
      <c r="KQ19" s="1721">
        <v>0</v>
      </c>
      <c r="KR19" s="1721">
        <v>0</v>
      </c>
      <c r="KS19" s="1722">
        <v>0</v>
      </c>
      <c r="KT19" s="1958">
        <v>0</v>
      </c>
      <c r="KU19" s="1961">
        <v>0</v>
      </c>
      <c r="KV19" s="1961">
        <v>0</v>
      </c>
      <c r="KW19" s="1961">
        <v>0</v>
      </c>
      <c r="KX19" s="1962">
        <v>0</v>
      </c>
      <c r="KY19" s="36"/>
      <c r="KZ19" s="53"/>
      <c r="LA19" s="53"/>
      <c r="LB19" s="53"/>
      <c r="LC19" s="53"/>
      <c r="LD19" s="33"/>
      <c r="LE19" s="2669"/>
      <c r="LG19" s="26">
        <f t="shared" si="53"/>
        <v>7870.3160000000007</v>
      </c>
      <c r="LH19" s="27">
        <f t="shared" si="53"/>
        <v>11805.474</v>
      </c>
      <c r="LI19" s="27">
        <f t="shared" si="53"/>
        <v>0</v>
      </c>
      <c r="LJ19" s="28">
        <f t="shared" si="54"/>
        <v>19675.79</v>
      </c>
      <c r="LK19" s="36">
        <v>2</v>
      </c>
      <c r="LL19" s="27">
        <v>1</v>
      </c>
      <c r="LM19" s="27"/>
      <c r="LN19" s="33"/>
      <c r="LO19" s="1041">
        <v>6.66</v>
      </c>
      <c r="LP19" s="486"/>
      <c r="LQ19" s="2688"/>
      <c r="LR19" s="36"/>
      <c r="LS19" s="36"/>
      <c r="LT19" s="27"/>
      <c r="LU19" s="27"/>
      <c r="LV19" s="27"/>
      <c r="LW19" s="1117">
        <f t="shared" si="55"/>
        <v>0</v>
      </c>
      <c r="LX19" s="36">
        <v>7870.3160000000007</v>
      </c>
      <c r="LY19" s="36">
        <v>11805.474</v>
      </c>
      <c r="LZ19" s="27"/>
      <c r="MA19" s="27"/>
      <c r="MB19" s="33"/>
      <c r="MC19" s="28">
        <f t="shared" si="56"/>
        <v>19675.79</v>
      </c>
      <c r="MD19" s="26"/>
      <c r="ME19" s="36"/>
      <c r="MF19" s="27"/>
      <c r="MG19" s="27"/>
      <c r="MH19" s="27"/>
      <c r="MI19" s="28"/>
      <c r="MJ19" s="36"/>
      <c r="MK19" s="36"/>
      <c r="ML19" s="27"/>
      <c r="MM19" s="27"/>
      <c r="MN19" s="27"/>
      <c r="MO19" s="28"/>
      <c r="MP19" s="36"/>
      <c r="MQ19" s="36"/>
      <c r="MR19" s="27"/>
      <c r="MS19" s="27"/>
      <c r="MT19" s="27"/>
      <c r="MU19" s="33">
        <f t="shared" si="57"/>
        <v>0</v>
      </c>
      <c r="MV19" s="2688"/>
      <c r="MX19" s="26">
        <f t="shared" si="58"/>
        <v>125620.69530228569</v>
      </c>
      <c r="MY19" s="27">
        <f t="shared" si="59"/>
        <v>79684.156833323214</v>
      </c>
      <c r="MZ19" s="27">
        <f t="shared" si="60"/>
        <v>22914.87525319455</v>
      </c>
      <c r="NA19" s="28">
        <f t="shared" si="61"/>
        <v>428472.90855851001</v>
      </c>
      <c r="NB19" s="2621"/>
      <c r="NC19" s="23">
        <f t="shared" si="62"/>
        <v>33220.8692978037</v>
      </c>
      <c r="ND19" s="1579">
        <f t="shared" si="63"/>
        <v>92399.826004481991</v>
      </c>
      <c r="NE19" s="60">
        <f t="shared" si="64"/>
        <v>0</v>
      </c>
      <c r="NF19" s="275">
        <f t="shared" si="4"/>
        <v>125620.69530228569</v>
      </c>
      <c r="NG19" s="26">
        <f t="shared" si="65"/>
        <v>0</v>
      </c>
      <c r="NH19" s="27">
        <f t="shared" si="65"/>
        <v>0</v>
      </c>
      <c r="NI19" s="27">
        <f t="shared" si="65"/>
        <v>0</v>
      </c>
      <c r="NJ19" s="27">
        <f t="shared" si="65"/>
        <v>0</v>
      </c>
      <c r="NK19" s="27">
        <f t="shared" si="65"/>
        <v>0</v>
      </c>
      <c r="NL19" s="33">
        <f t="shared" si="65"/>
        <v>0</v>
      </c>
      <c r="NM19" s="27">
        <f t="shared" si="65"/>
        <v>0</v>
      </c>
      <c r="NN19" s="36">
        <f t="shared" si="65"/>
        <v>0</v>
      </c>
      <c r="NO19" s="24">
        <f t="shared" si="65"/>
        <v>2971.7131443320582</v>
      </c>
      <c r="NP19" s="27">
        <f t="shared" si="65"/>
        <v>26196.696072681989</v>
      </c>
      <c r="NQ19" s="24">
        <f t="shared" si="113"/>
        <v>8756.5482322711578</v>
      </c>
      <c r="NR19" s="24">
        <f t="shared" si="114"/>
        <v>2116.0926980586946</v>
      </c>
      <c r="NS19" s="27">
        <f t="shared" si="0"/>
        <v>40041.0501473439</v>
      </c>
      <c r="NT19" s="27">
        <f t="shared" si="66"/>
        <v>0</v>
      </c>
      <c r="NU19" s="27">
        <f t="shared" si="66"/>
        <v>0</v>
      </c>
      <c r="NV19" s="27">
        <f t="shared" si="66"/>
        <v>0</v>
      </c>
      <c r="NW19" s="27">
        <f t="shared" si="66"/>
        <v>0</v>
      </c>
      <c r="NX19" s="27">
        <f t="shared" si="66"/>
        <v>0</v>
      </c>
      <c r="NY19" s="27">
        <f t="shared" si="66"/>
        <v>0</v>
      </c>
      <c r="NZ19" s="27">
        <f t="shared" si="66"/>
        <v>6099.1627301930748</v>
      </c>
      <c r="OA19" s="27">
        <f t="shared" si="66"/>
        <v>0</v>
      </c>
      <c r="OB19" s="27">
        <f t="shared" si="66"/>
        <v>18712.161841856756</v>
      </c>
      <c r="OC19" s="280"/>
      <c r="OD19" s="24">
        <f t="shared" si="67"/>
        <v>454.51223506073143</v>
      </c>
      <c r="OE19" s="27">
        <f t="shared" si="67"/>
        <v>0</v>
      </c>
      <c r="OF19" s="28">
        <f t="shared" si="1"/>
        <v>25265.836807110561</v>
      </c>
      <c r="OG19" s="27">
        <f t="shared" si="68"/>
        <v>0</v>
      </c>
      <c r="OH19" s="27">
        <f t="shared" si="68"/>
        <v>0</v>
      </c>
      <c r="OI19" s="27">
        <f t="shared" si="68"/>
        <v>0</v>
      </c>
      <c r="OJ19" s="27">
        <f t="shared" si="68"/>
        <v>0</v>
      </c>
      <c r="OK19" s="27">
        <f t="shared" si="68"/>
        <v>0</v>
      </c>
      <c r="OL19" s="27">
        <f t="shared" si="68"/>
        <v>0</v>
      </c>
      <c r="OM19" s="24">
        <f t="shared" si="68"/>
        <v>0</v>
      </c>
      <c r="ON19" s="27">
        <f t="shared" si="68"/>
        <v>0</v>
      </c>
      <c r="OO19" s="24">
        <f t="shared" si="115"/>
        <v>12881.512235312071</v>
      </c>
      <c r="OP19" s="27">
        <f t="shared" si="68"/>
        <v>0</v>
      </c>
      <c r="OQ19" s="27">
        <f t="shared" si="68"/>
        <v>1495.7576435566853</v>
      </c>
      <c r="OR19" s="27">
        <f t="shared" si="68"/>
        <v>0</v>
      </c>
      <c r="OS19" s="28">
        <f t="shared" si="2"/>
        <v>14377.269878868756</v>
      </c>
      <c r="OT19" s="36"/>
      <c r="OU19" s="27"/>
      <c r="OV19" s="27"/>
      <c r="OW19" s="27"/>
      <c r="OX19" s="27"/>
      <c r="OY19" s="27"/>
      <c r="OZ19" s="28">
        <f t="shared" si="69"/>
        <v>0</v>
      </c>
      <c r="PA19" s="36">
        <f t="shared" si="70"/>
        <v>0</v>
      </c>
      <c r="PB19" s="27">
        <f t="shared" si="71"/>
        <v>0</v>
      </c>
      <c r="PC19" s="27">
        <f t="shared" si="72"/>
        <v>0</v>
      </c>
      <c r="PD19" s="27">
        <f t="shared" si="73"/>
        <v>0</v>
      </c>
      <c r="PE19" s="24"/>
      <c r="PF19" s="27">
        <f t="shared" si="74"/>
        <v>0</v>
      </c>
      <c r="PG19" s="33">
        <f t="shared" si="3"/>
        <v>0</v>
      </c>
      <c r="PH19" s="2621"/>
      <c r="PJ19" s="1907">
        <v>972.42000000000007</v>
      </c>
      <c r="PK19" s="3">
        <v>786</v>
      </c>
      <c r="PL19" s="3">
        <v>327.5</v>
      </c>
      <c r="PM19" s="3">
        <v>0</v>
      </c>
      <c r="PN19" s="3">
        <f t="shared" si="75"/>
        <v>28776.729776580694</v>
      </c>
      <c r="PO19" s="11">
        <f t="shared" si="76"/>
        <v>22914.87525319455</v>
      </c>
      <c r="PP19" s="15"/>
      <c r="PQ19" s="2615"/>
      <c r="PS19" s="4"/>
      <c r="PT19" s="9"/>
      <c r="PU19" s="9"/>
      <c r="PV19" s="9"/>
      <c r="PW19" s="8">
        <v>0</v>
      </c>
      <c r="PX19" s="9"/>
      <c r="PY19" s="8">
        <f t="shared" si="77"/>
        <v>0</v>
      </c>
      <c r="PZ19" s="5">
        <f t="shared" si="78"/>
        <v>972.42000000000007</v>
      </c>
      <c r="QA19" s="5"/>
      <c r="QB19" s="5"/>
      <c r="QC19" s="5"/>
      <c r="QD19" s="5"/>
      <c r="QE19" s="5"/>
      <c r="QF19" s="12"/>
      <c r="QG19" s="12">
        <f t="shared" si="79"/>
        <v>29562.488999999998</v>
      </c>
      <c r="QH19" s="420">
        <f t="shared" si="80"/>
        <v>398910.41955851001</v>
      </c>
      <c r="QI19" s="1106">
        <f t="shared" si="81"/>
        <v>0</v>
      </c>
      <c r="QJ19" s="484">
        <f t="shared" si="82"/>
        <v>5505.3678056099998</v>
      </c>
      <c r="QK19" s="12"/>
      <c r="QL19" s="2615"/>
      <c r="QN19" s="139" t="str">
        <f t="shared" si="83"/>
        <v/>
      </c>
      <c r="QO19" s="139" t="str">
        <f t="shared" si="84"/>
        <v/>
      </c>
      <c r="QQ19" s="139" t="str">
        <f t="shared" si="85"/>
        <v/>
      </c>
      <c r="QR19" s="139" t="str">
        <f t="shared" si="86"/>
        <v/>
      </c>
      <c r="QT19" s="1">
        <f t="shared" si="87"/>
        <v>0</v>
      </c>
      <c r="QU19" s="1">
        <f t="shared" si="88"/>
        <v>0</v>
      </c>
      <c r="QV19" s="1">
        <f t="shared" si="89"/>
        <v>0</v>
      </c>
      <c r="QW19" s="1">
        <f t="shared" si="90"/>
        <v>0</v>
      </c>
      <c r="QX19" s="1">
        <f t="shared" si="91"/>
        <v>0</v>
      </c>
      <c r="QY19" s="1">
        <f t="shared" si="92"/>
        <v>0</v>
      </c>
      <c r="RA19" s="1">
        <f t="shared" si="93"/>
        <v>0</v>
      </c>
      <c r="RB19" s="1">
        <f t="shared" si="94"/>
        <v>0</v>
      </c>
      <c r="RC19" s="1">
        <f t="shared" si="95"/>
        <v>0</v>
      </c>
      <c r="RD19" s="1">
        <f t="shared" si="96"/>
        <v>0</v>
      </c>
      <c r="RE19" s="1">
        <f t="shared" si="97"/>
        <v>0</v>
      </c>
      <c r="RF19" s="1">
        <f t="shared" si="98"/>
        <v>0</v>
      </c>
      <c r="RI19" s="1">
        <v>10</v>
      </c>
      <c r="RJ19" s="1">
        <f t="shared" ref="RJ19:RJ40" si="124">+RJ18+JI19-LG19</f>
        <v>-1885.8707902829028</v>
      </c>
      <c r="RK19" s="1">
        <f t="shared" ref="RK19:RK40" si="125">+RK18+JJ19-LH19</f>
        <v>-6731.3722195162818</v>
      </c>
      <c r="RL19" s="1">
        <f t="shared" ref="RL19:RL40" si="126">+RL18+JK19-LI19</f>
        <v>13404.263703387322</v>
      </c>
      <c r="RM19" s="89">
        <f t="shared" si="5"/>
        <v>4787.0206935881361</v>
      </c>
      <c r="RN19" s="1033">
        <v>10</v>
      </c>
      <c r="RO19" s="1098">
        <f t="shared" si="100"/>
        <v>0</v>
      </c>
      <c r="RP19" s="1098">
        <f t="shared" si="101"/>
        <v>0</v>
      </c>
      <c r="RQ19" s="1097">
        <f t="shared" si="102"/>
        <v>0</v>
      </c>
      <c r="RR19" s="1097">
        <f t="shared" si="103"/>
        <v>6167.7000000000007</v>
      </c>
      <c r="RS19" s="1109"/>
      <c r="RT19" s="1050" t="s">
        <v>953</v>
      </c>
      <c r="RU19" s="1048"/>
      <c r="RW19" s="421">
        <v>10</v>
      </c>
      <c r="RX19" s="1095">
        <f t="shared" si="104"/>
        <v>0</v>
      </c>
      <c r="RY19" s="1046"/>
      <c r="SA19" s="1090"/>
      <c r="SB19" s="1090">
        <f t="shared" si="105"/>
        <v>0</v>
      </c>
      <c r="SC19" s="1090"/>
      <c r="SD19" s="1090">
        <f t="shared" ref="SD19:SD40" si="127">JL19-RX19</f>
        <v>0</v>
      </c>
      <c r="SF19" s="1">
        <v>10</v>
      </c>
      <c r="SG19" s="1">
        <f t="shared" si="107"/>
        <v>0</v>
      </c>
    </row>
    <row r="20" spans="1:502" s="1" customFormat="1">
      <c r="B20" s="471">
        <v>11</v>
      </c>
      <c r="C20" s="4">
        <f t="shared" si="6"/>
        <v>172593</v>
      </c>
      <c r="D20" s="1726">
        <f t="shared" si="119"/>
        <v>9609.616</v>
      </c>
      <c r="E20" s="1895">
        <f t="shared" si="7"/>
        <v>17.960447118802666</v>
      </c>
      <c r="F20" s="870"/>
      <c r="G20" s="870"/>
      <c r="H20" s="52"/>
      <c r="I20" s="61"/>
      <c r="J20" s="52"/>
      <c r="K20" s="54"/>
      <c r="L20" s="52">
        <v>4</v>
      </c>
      <c r="M20" s="61">
        <v>1</v>
      </c>
      <c r="N20" s="2629"/>
      <c r="O20" s="4">
        <f t="shared" si="118"/>
        <v>110396</v>
      </c>
      <c r="P20" s="1225">
        <f t="shared" si="8"/>
        <v>7341.1399999999994</v>
      </c>
      <c r="Q20" s="1952">
        <f t="shared" si="9"/>
        <v>15.037991374636638</v>
      </c>
      <c r="R20" s="33"/>
      <c r="S20" s="26">
        <f t="shared" si="10"/>
        <v>35160</v>
      </c>
      <c r="T20" s="27">
        <f t="shared" si="109"/>
        <v>1728.4759999999999</v>
      </c>
      <c r="U20" s="1909">
        <f t="shared" si="11"/>
        <v>20.34161885961969</v>
      </c>
      <c r="V20" s="28"/>
      <c r="W20" s="1742">
        <f t="shared" si="12"/>
        <v>27037</v>
      </c>
      <c r="X20" s="1918">
        <f t="shared" si="12"/>
        <v>540</v>
      </c>
      <c r="Y20" s="1738">
        <f t="shared" si="13"/>
        <v>50.068518518518516</v>
      </c>
      <c r="Z20" s="33"/>
      <c r="AA20" s="26">
        <f t="shared" si="14"/>
        <v>0</v>
      </c>
      <c r="AB20" s="27">
        <f t="shared" si="15"/>
        <v>0</v>
      </c>
      <c r="AC20" s="53">
        <f t="shared" si="16"/>
        <v>0</v>
      </c>
      <c r="AD20" s="28"/>
      <c r="AE20" s="36"/>
      <c r="AF20" s="36"/>
      <c r="AG20" s="53">
        <f t="shared" si="17"/>
        <v>0</v>
      </c>
      <c r="AH20" s="28"/>
      <c r="AI20" s="23"/>
      <c r="AJ20" s="27"/>
      <c r="AK20" s="53">
        <f t="shared" si="18"/>
        <v>0</v>
      </c>
      <c r="AL20" s="28"/>
      <c r="AM20" s="2629"/>
      <c r="AN20" s="9"/>
      <c r="AO20" s="5"/>
      <c r="AP20" s="61">
        <f t="shared" si="19"/>
        <v>0</v>
      </c>
      <c r="AQ20" s="36"/>
      <c r="AR20" s="53"/>
      <c r="AS20" s="61">
        <f t="shared" si="20"/>
        <v>0</v>
      </c>
      <c r="AT20" s="36">
        <v>0</v>
      </c>
      <c r="AU20" s="27"/>
      <c r="AV20" s="54">
        <f t="shared" si="21"/>
        <v>0</v>
      </c>
      <c r="AW20" s="26">
        <v>59366</v>
      </c>
      <c r="AX20" s="27">
        <v>4959.04</v>
      </c>
      <c r="AY20" s="1735">
        <f t="shared" si="116"/>
        <v>11.971268632638575</v>
      </c>
      <c r="AZ20" s="1908"/>
      <c r="BA20" s="1909"/>
      <c r="BB20" s="1895">
        <f t="shared" si="22"/>
        <v>0</v>
      </c>
      <c r="BC20" s="1740">
        <v>51030</v>
      </c>
      <c r="BD20" s="1736">
        <v>2382.1</v>
      </c>
      <c r="BE20" s="1895">
        <f t="shared" si="23"/>
        <v>21.422274463708494</v>
      </c>
      <c r="BF20" s="1908"/>
      <c r="BG20" s="1909"/>
      <c r="BH20" s="1895">
        <f t="shared" si="24"/>
        <v>0</v>
      </c>
      <c r="BI20" s="1908">
        <v>0</v>
      </c>
      <c r="BJ20" s="1909">
        <v>0</v>
      </c>
      <c r="BK20" s="1895">
        <f t="shared" si="25"/>
        <v>0</v>
      </c>
      <c r="BL20" s="1742">
        <v>35160</v>
      </c>
      <c r="BM20" s="1909">
        <v>1524.96</v>
      </c>
      <c r="BN20" s="2170">
        <v>203.51599999999993</v>
      </c>
      <c r="BO20" s="1920">
        <f t="shared" si="26"/>
        <v>23.056342461441609</v>
      </c>
      <c r="BP20" s="9"/>
      <c r="BQ20" s="64"/>
      <c r="BR20" s="482">
        <f t="shared" si="27"/>
        <v>0</v>
      </c>
      <c r="BS20" s="9"/>
      <c r="BT20" s="53"/>
      <c r="BU20" s="482">
        <f t="shared" si="28"/>
        <v>0</v>
      </c>
      <c r="BV20" s="9">
        <v>27037</v>
      </c>
      <c r="BW20" s="27">
        <v>540</v>
      </c>
      <c r="BX20" s="1051">
        <f t="shared" si="29"/>
        <v>50.068518518518516</v>
      </c>
      <c r="BY20" s="26"/>
      <c r="BZ20" s="27"/>
      <c r="CA20" s="482">
        <f t="shared" si="30"/>
        <v>0</v>
      </c>
      <c r="CB20" s="9"/>
      <c r="CC20" s="481"/>
      <c r="CD20" s="482">
        <f t="shared" si="31"/>
        <v>0</v>
      </c>
      <c r="CE20" s="4"/>
      <c r="CF20" s="5"/>
      <c r="CG20" s="28">
        <f t="shared" si="32"/>
        <v>0</v>
      </c>
      <c r="CH20" s="150"/>
      <c r="CI20" s="4"/>
      <c r="CJ20" s="5"/>
      <c r="CK20" s="5">
        <v>3692</v>
      </c>
      <c r="CL20" s="5"/>
      <c r="CM20" s="5"/>
      <c r="CN20" s="5"/>
      <c r="CO20" s="33"/>
      <c r="CP20" s="366"/>
      <c r="CR20" s="4">
        <f t="shared" si="33"/>
        <v>0</v>
      </c>
      <c r="CS20" s="9">
        <f t="shared" si="33"/>
        <v>0</v>
      </c>
      <c r="CT20" s="5">
        <f t="shared" si="33"/>
        <v>0</v>
      </c>
      <c r="CU20" s="5">
        <f t="shared" si="33"/>
        <v>0</v>
      </c>
      <c r="CV20" s="5">
        <f t="shared" si="33"/>
        <v>0</v>
      </c>
      <c r="CW20" s="5">
        <f t="shared" si="33"/>
        <v>0</v>
      </c>
      <c r="CX20" s="5">
        <f t="shared" si="33"/>
        <v>4750.76</v>
      </c>
      <c r="CY20" s="5">
        <f t="shared" si="33"/>
        <v>0</v>
      </c>
      <c r="CZ20" s="5">
        <f t="shared" si="33"/>
        <v>4115.34</v>
      </c>
      <c r="DA20" s="5">
        <f t="shared" si="33"/>
        <v>0</v>
      </c>
      <c r="DB20" s="5">
        <f t="shared" si="33"/>
        <v>540</v>
      </c>
      <c r="DC20" s="12">
        <f t="shared" si="33"/>
        <v>0</v>
      </c>
      <c r="DD20" s="310">
        <f t="shared" si="34"/>
        <v>9406.1</v>
      </c>
      <c r="DE20" s="2695"/>
      <c r="DF20" s="8"/>
      <c r="DG20" s="9"/>
      <c r="DH20" s="5"/>
      <c r="DI20" s="5"/>
      <c r="DJ20" s="5"/>
      <c r="DK20" s="5"/>
      <c r="DL20" s="5">
        <v>4750.76</v>
      </c>
      <c r="DM20" s="5"/>
      <c r="DN20" s="27">
        <v>208.28</v>
      </c>
      <c r="DO20" s="27"/>
      <c r="DP20" s="27"/>
      <c r="DQ20" s="12"/>
      <c r="DR20" s="1906">
        <f t="shared" si="35"/>
        <v>4959.04</v>
      </c>
      <c r="DS20" s="36"/>
      <c r="DT20" s="36"/>
      <c r="DU20" s="27"/>
      <c r="DV20" s="27"/>
      <c r="DW20" s="5"/>
      <c r="DX20" s="5"/>
      <c r="DY20" s="5"/>
      <c r="DZ20" s="5"/>
      <c r="EA20" s="5">
        <v>3907.0600000000004</v>
      </c>
      <c r="EB20" s="27"/>
      <c r="EC20" s="27">
        <v>0</v>
      </c>
      <c r="ED20" s="33"/>
      <c r="EE20" s="28">
        <f t="shared" si="36"/>
        <v>3907.0600000000004</v>
      </c>
      <c r="EF20" s="9"/>
      <c r="EG20" s="416"/>
      <c r="EH20" s="5"/>
      <c r="EI20" s="313"/>
      <c r="EJ20" s="27"/>
      <c r="EK20" s="27"/>
      <c r="EL20" s="27"/>
      <c r="EM20" s="27"/>
      <c r="EN20" s="5"/>
      <c r="EO20" s="5"/>
      <c r="EP20" s="5">
        <v>540</v>
      </c>
      <c r="EQ20" s="33"/>
      <c r="ER20" s="28">
        <f t="shared" si="120"/>
        <v>540</v>
      </c>
      <c r="ES20" s="36"/>
      <c r="ET20" s="27"/>
      <c r="EU20" s="27"/>
      <c r="EV20" s="27"/>
      <c r="EW20" s="27"/>
      <c r="EX20" s="27"/>
      <c r="EY20" s="33">
        <f t="shared" si="38"/>
        <v>0</v>
      </c>
      <c r="EZ20" s="2685"/>
      <c r="FB20" s="4">
        <f t="shared" si="39"/>
        <v>0</v>
      </c>
      <c r="FC20" s="5">
        <f t="shared" si="40"/>
        <v>0</v>
      </c>
      <c r="FD20" s="5">
        <f t="shared" si="41"/>
        <v>0</v>
      </c>
      <c r="FE20" s="12">
        <f t="shared" si="42"/>
        <v>0</v>
      </c>
      <c r="FF20" s="33"/>
      <c r="FG20" s="2674"/>
      <c r="FH20" s="9"/>
      <c r="FI20" s="5"/>
      <c r="FJ20" s="5"/>
      <c r="FK20" s="5"/>
      <c r="FL20" s="5"/>
      <c r="FM20" s="27"/>
      <c r="FN20" s="28">
        <f t="shared" si="43"/>
        <v>0</v>
      </c>
      <c r="FO20" s="36"/>
      <c r="FP20" s="27"/>
      <c r="FQ20" s="27"/>
      <c r="FR20" s="27"/>
      <c r="FS20" s="27"/>
      <c r="FT20" s="27"/>
      <c r="FU20" s="28">
        <f t="shared" si="44"/>
        <v>0</v>
      </c>
      <c r="FV20" s="36"/>
      <c r="FW20" s="36"/>
      <c r="FX20" s="27"/>
      <c r="FY20" s="27"/>
      <c r="FZ20" s="27"/>
      <c r="GA20" s="27"/>
      <c r="GB20" s="27"/>
      <c r="GC20" s="27"/>
      <c r="GD20" s="27"/>
      <c r="GE20" s="27"/>
      <c r="GF20" s="27"/>
      <c r="GG20" s="33"/>
      <c r="GH20" s="33">
        <f t="shared" si="45"/>
        <v>0</v>
      </c>
      <c r="GI20" s="2674"/>
      <c r="GK20" s="2">
        <f t="shared" si="110"/>
        <v>522.54999999999995</v>
      </c>
      <c r="GL20" s="63">
        <f t="shared" si="111"/>
        <v>939.10000000000014</v>
      </c>
      <c r="GM20" s="24">
        <f t="shared" si="112"/>
        <v>5224</v>
      </c>
      <c r="GN20" s="1736">
        <f t="shared" si="46"/>
        <v>6685.65</v>
      </c>
      <c r="GO20" s="141"/>
      <c r="GP20" s="141"/>
      <c r="GQ20" s="33"/>
      <c r="GR20" s="2667"/>
      <c r="GS20" s="1940">
        <v>2903.25</v>
      </c>
      <c r="GT20" s="5">
        <v>0</v>
      </c>
      <c r="GU20" s="5">
        <v>1960.29</v>
      </c>
      <c r="GV20" s="27">
        <v>1822.11</v>
      </c>
      <c r="GW20" s="54">
        <f t="shared" si="47"/>
        <v>6685.65</v>
      </c>
      <c r="GX20" s="2667"/>
      <c r="GY20" s="36"/>
      <c r="GZ20" s="36"/>
      <c r="HA20" s="27"/>
      <c r="HB20" s="27"/>
      <c r="HC20" s="27"/>
      <c r="HD20" s="27"/>
      <c r="HE20" s="27"/>
      <c r="HF20" s="27"/>
      <c r="HG20" s="27">
        <v>522.54999999999995</v>
      </c>
      <c r="HH20" s="27"/>
      <c r="HI20" s="2167">
        <v>0</v>
      </c>
      <c r="HJ20" s="27"/>
      <c r="HK20" s="27">
        <v>0</v>
      </c>
      <c r="HL20" s="27"/>
      <c r="HM20" s="28">
        <f t="shared" si="121"/>
        <v>522.54999999999995</v>
      </c>
      <c r="HN20" s="36"/>
      <c r="HO20" s="27"/>
      <c r="HP20" s="27"/>
      <c r="HQ20" s="27"/>
      <c r="HR20" s="27"/>
      <c r="HS20" s="27"/>
      <c r="HT20" s="27" cm="1">
        <f t="array" ref="HT20">SUMPRODUCT(('Data Base hauling'!$C$2:$C$216="TCM-ROM SB1 BK05-ROM 4")*(ISNUMBER(SEARCH(TEXT('May TCM'!$B20,"00")&amp;"/03/2026",'Data Base hauling'!$E$2:$E$216)))*'Data Base hauling'!$N$2:$N$216)</f>
        <v>0</v>
      </c>
      <c r="HU20" s="27"/>
      <c r="HV20" s="27" cm="1">
        <f t="array" ref="HV20">SUMPRODUCT(('Data Base hauling'!$C$2:$C$216="TCM-ROM SB1 BK05-ROM 5")*(ISNUMBER(SEARCH(TEXT('May TCM'!$B20,"00")&amp;"/03/2026",'Data Base hauling'!$E$2:$E$216)))*'Data Base hauling'!$N$2:$N$216)</f>
        <v>0</v>
      </c>
      <c r="HW20" s="27"/>
      <c r="HX20" s="27"/>
      <c r="HY20" s="27"/>
      <c r="HZ20" s="27"/>
      <c r="IA20" s="27"/>
      <c r="IB20" s="33">
        <f t="shared" si="49"/>
        <v>0</v>
      </c>
      <c r="IC20" s="52"/>
      <c r="ID20" s="152"/>
      <c r="IE20" s="53"/>
      <c r="IF20" s="53"/>
      <c r="IG20" s="53"/>
      <c r="IH20" s="53"/>
      <c r="II20" s="1736">
        <v>0</v>
      </c>
      <c r="IJ20" s="1736"/>
      <c r="IK20" s="1736">
        <v>939.10000000000014</v>
      </c>
      <c r="IL20" s="53"/>
      <c r="IM20" s="53">
        <v>0</v>
      </c>
      <c r="IN20" s="53"/>
      <c r="IO20" s="53"/>
      <c r="IP20" s="49">
        <v>0</v>
      </c>
      <c r="IQ20" s="2195">
        <f t="shared" si="122"/>
        <v>939.10000000000014</v>
      </c>
      <c r="IR20" s="36"/>
      <c r="IS20" s="36"/>
      <c r="IT20" s="27"/>
      <c r="IU20" s="27"/>
      <c r="IV20" s="53"/>
      <c r="IW20" s="27"/>
      <c r="IX20" s="27">
        <v>0</v>
      </c>
      <c r="IY20" s="27"/>
      <c r="IZ20" s="27">
        <v>5224</v>
      </c>
      <c r="JA20" s="27"/>
      <c r="JB20" s="27">
        <v>0</v>
      </c>
      <c r="JC20" s="27"/>
      <c r="JD20" s="27"/>
      <c r="JE20" s="27"/>
      <c r="JF20" s="33">
        <f t="shared" si="123"/>
        <v>5224</v>
      </c>
      <c r="JG20" s="2667"/>
      <c r="JI20" s="2019">
        <v>6685.6500000000005</v>
      </c>
      <c r="JJ20" s="2017">
        <v>0</v>
      </c>
      <c r="JK20" s="53"/>
      <c r="JL20" s="53">
        <f t="shared" si="52"/>
        <v>6685.6500000000005</v>
      </c>
      <c r="JM20" s="33"/>
      <c r="JN20" s="2669"/>
      <c r="JO20" s="69">
        <v>0</v>
      </c>
      <c r="JP20" s="70">
        <v>0</v>
      </c>
      <c r="JQ20" s="70">
        <v>0</v>
      </c>
      <c r="JR20" s="850">
        <v>0</v>
      </c>
      <c r="JS20" s="850">
        <v>1</v>
      </c>
      <c r="JT20" s="850">
        <v>0</v>
      </c>
      <c r="JU20" s="70">
        <v>0</v>
      </c>
      <c r="JV20" s="1922">
        <v>0</v>
      </c>
      <c r="JW20" s="69" t="s">
        <v>296</v>
      </c>
      <c r="JX20" s="70" t="s">
        <v>296</v>
      </c>
      <c r="JY20" s="70" t="s">
        <v>296</v>
      </c>
      <c r="JZ20" s="70" t="s">
        <v>296</v>
      </c>
      <c r="KA20" s="70" t="s">
        <v>296</v>
      </c>
      <c r="KB20" s="70" t="s">
        <v>296</v>
      </c>
      <c r="KC20" s="70" t="s">
        <v>296</v>
      </c>
      <c r="KD20" s="71" t="s">
        <v>296</v>
      </c>
      <c r="KE20" s="69"/>
      <c r="KF20" s="70"/>
      <c r="KG20" s="70"/>
      <c r="KH20" s="70"/>
      <c r="KI20" s="70"/>
      <c r="KJ20" s="70"/>
      <c r="KK20" s="70"/>
      <c r="KL20" s="70"/>
      <c r="KM20" s="33"/>
      <c r="KN20" s="2669"/>
      <c r="KO20" s="1739">
        <v>7050.3756970942177</v>
      </c>
      <c r="KP20" s="1721">
        <v>0.85201350161432343</v>
      </c>
      <c r="KQ20" s="1721">
        <v>2.2900675080716173</v>
      </c>
      <c r="KR20" s="1721">
        <v>6.9633108306427944</v>
      </c>
      <c r="KS20" s="1722">
        <v>13.077742882301145</v>
      </c>
      <c r="KT20" s="1958">
        <v>0</v>
      </c>
      <c r="KU20" s="1961">
        <v>0</v>
      </c>
      <c r="KV20" s="1961">
        <v>0</v>
      </c>
      <c r="KW20" s="1961">
        <v>0</v>
      </c>
      <c r="KX20" s="1962">
        <v>0</v>
      </c>
      <c r="KY20" s="36"/>
      <c r="KZ20" s="53"/>
      <c r="LA20" s="53"/>
      <c r="LB20" s="53"/>
      <c r="LC20" s="53"/>
      <c r="LD20" s="33"/>
      <c r="LE20" s="2669"/>
      <c r="LG20" s="26">
        <f t="shared" si="53"/>
        <v>0</v>
      </c>
      <c r="LH20" s="27">
        <f t="shared" si="53"/>
        <v>0</v>
      </c>
      <c r="LI20" s="27">
        <f t="shared" si="53"/>
        <v>0</v>
      </c>
      <c r="LJ20" s="28">
        <f t="shared" si="54"/>
        <v>0</v>
      </c>
      <c r="LK20" s="36"/>
      <c r="LL20" s="27"/>
      <c r="LM20" s="27"/>
      <c r="LN20" s="33"/>
      <c r="LO20" s="1041">
        <v>7.09</v>
      </c>
      <c r="LP20" s="486" t="s">
        <v>954</v>
      </c>
      <c r="LQ20" s="2688"/>
      <c r="LR20" s="36"/>
      <c r="LS20" s="36"/>
      <c r="LT20" s="27"/>
      <c r="LU20" s="27"/>
      <c r="LV20" s="27"/>
      <c r="LW20" s="1117">
        <f t="shared" si="55"/>
        <v>0</v>
      </c>
      <c r="LX20" s="36"/>
      <c r="LY20" s="36"/>
      <c r="LZ20" s="277"/>
      <c r="MA20" s="27"/>
      <c r="MB20" s="33"/>
      <c r="MC20" s="28">
        <f t="shared" si="56"/>
        <v>0</v>
      </c>
      <c r="MD20" s="26"/>
      <c r="ME20" s="36"/>
      <c r="MF20" s="27"/>
      <c r="MG20" s="27"/>
      <c r="MH20" s="27"/>
      <c r="MI20" s="28"/>
      <c r="MJ20" s="36"/>
      <c r="MK20" s="36"/>
      <c r="ML20" s="27"/>
      <c r="MM20" s="27"/>
      <c r="MN20" s="27"/>
      <c r="MO20" s="28"/>
      <c r="MP20" s="36"/>
      <c r="MQ20" s="36"/>
      <c r="MR20" s="27"/>
      <c r="MS20" s="27"/>
      <c r="MT20" s="27"/>
      <c r="MU20" s="33">
        <f t="shared" si="57"/>
        <v>0</v>
      </c>
      <c r="MV20" s="2688"/>
      <c r="MX20" s="26">
        <f t="shared" si="58"/>
        <v>132306.34530228568</v>
      </c>
      <c r="MY20" s="27">
        <f t="shared" si="59"/>
        <v>82404.606833323225</v>
      </c>
      <c r="MZ20" s="27">
        <f t="shared" si="60"/>
        <v>23177.37525319455</v>
      </c>
      <c r="NA20" s="28">
        <f t="shared" si="61"/>
        <v>426980.78855851002</v>
      </c>
      <c r="NB20" s="2621"/>
      <c r="NC20" s="23">
        <f t="shared" si="62"/>
        <v>39906.519297803701</v>
      </c>
      <c r="ND20" s="1579">
        <f t="shared" si="63"/>
        <v>92399.826004481991</v>
      </c>
      <c r="NE20" s="60">
        <f t="shared" si="64"/>
        <v>0</v>
      </c>
      <c r="NF20" s="275">
        <f t="shared" si="4"/>
        <v>132306.34530228568</v>
      </c>
      <c r="NG20" s="26">
        <f t="shared" si="65"/>
        <v>0</v>
      </c>
      <c r="NH20" s="27">
        <f t="shared" si="65"/>
        <v>0</v>
      </c>
      <c r="NI20" s="27">
        <f t="shared" si="65"/>
        <v>0</v>
      </c>
      <c r="NJ20" s="27">
        <f t="shared" si="65"/>
        <v>0</v>
      </c>
      <c r="NK20" s="27">
        <f t="shared" si="65"/>
        <v>0</v>
      </c>
      <c r="NL20" s="33">
        <f t="shared" si="65"/>
        <v>0</v>
      </c>
      <c r="NM20" s="27">
        <f t="shared" si="65"/>
        <v>0</v>
      </c>
      <c r="NN20" s="36">
        <f t="shared" si="65"/>
        <v>0</v>
      </c>
      <c r="NO20" s="24">
        <f t="shared" si="65"/>
        <v>2449.1631443320584</v>
      </c>
      <c r="NP20" s="27">
        <f t="shared" si="65"/>
        <v>26196.696072681989</v>
      </c>
      <c r="NQ20" s="24">
        <f t="shared" si="113"/>
        <v>8756.5482322711578</v>
      </c>
      <c r="NR20" s="24">
        <f t="shared" si="114"/>
        <v>2656.0926980586946</v>
      </c>
      <c r="NS20" s="27">
        <f t="shared" si="0"/>
        <v>40058.500147343904</v>
      </c>
      <c r="NT20" s="27">
        <f t="shared" si="66"/>
        <v>0</v>
      </c>
      <c r="NU20" s="27">
        <f t="shared" si="66"/>
        <v>0</v>
      </c>
      <c r="NV20" s="27">
        <f t="shared" si="66"/>
        <v>0</v>
      </c>
      <c r="NW20" s="27">
        <f t="shared" si="66"/>
        <v>0</v>
      </c>
      <c r="NX20" s="27">
        <f t="shared" si="66"/>
        <v>0</v>
      </c>
      <c r="NY20" s="27">
        <f t="shared" si="66"/>
        <v>0</v>
      </c>
      <c r="NZ20" s="27">
        <f t="shared" si="66"/>
        <v>10849.922730193075</v>
      </c>
      <c r="OA20" s="27">
        <f t="shared" si="66"/>
        <v>0</v>
      </c>
      <c r="OB20" s="27">
        <f t="shared" si="66"/>
        <v>17981.341841856756</v>
      </c>
      <c r="OC20" s="280"/>
      <c r="OD20" s="24">
        <f t="shared" si="67"/>
        <v>454.51223506073143</v>
      </c>
      <c r="OE20" s="27">
        <f t="shared" si="67"/>
        <v>0</v>
      </c>
      <c r="OF20" s="28">
        <f t="shared" si="1"/>
        <v>29285.776807110564</v>
      </c>
      <c r="OG20" s="27">
        <f t="shared" si="68"/>
        <v>0</v>
      </c>
      <c r="OH20" s="27">
        <f t="shared" si="68"/>
        <v>0</v>
      </c>
      <c r="OI20" s="27">
        <v>0</v>
      </c>
      <c r="OJ20" s="27">
        <f t="shared" si="68"/>
        <v>0</v>
      </c>
      <c r="OK20" s="27">
        <f t="shared" si="68"/>
        <v>0</v>
      </c>
      <c r="OL20" s="27">
        <f t="shared" si="68"/>
        <v>0</v>
      </c>
      <c r="OM20" s="24">
        <f t="shared" si="68"/>
        <v>0</v>
      </c>
      <c r="ON20" s="27">
        <f t="shared" si="68"/>
        <v>0</v>
      </c>
      <c r="OO20" s="24">
        <f t="shared" si="115"/>
        <v>11564.572235312073</v>
      </c>
      <c r="OP20" s="27">
        <f t="shared" si="68"/>
        <v>0</v>
      </c>
      <c r="OQ20" s="27">
        <f t="shared" si="68"/>
        <v>1495.7576435566853</v>
      </c>
      <c r="OR20" s="27">
        <f t="shared" si="68"/>
        <v>0</v>
      </c>
      <c r="OS20" s="28">
        <f t="shared" si="2"/>
        <v>13060.329878868757</v>
      </c>
      <c r="OT20" s="36"/>
      <c r="OU20" s="27"/>
      <c r="OV20" s="27"/>
      <c r="OW20" s="27"/>
      <c r="OX20" s="27"/>
      <c r="OY20" s="27"/>
      <c r="OZ20" s="28">
        <f t="shared" si="69"/>
        <v>0</v>
      </c>
      <c r="PA20" s="36">
        <f t="shared" si="70"/>
        <v>0</v>
      </c>
      <c r="PB20" s="27">
        <f t="shared" si="71"/>
        <v>0</v>
      </c>
      <c r="PC20" s="27">
        <f t="shared" si="72"/>
        <v>0</v>
      </c>
      <c r="PD20" s="27">
        <f t="shared" si="73"/>
        <v>0</v>
      </c>
      <c r="PE20" s="24"/>
      <c r="PF20" s="27">
        <f t="shared" si="74"/>
        <v>0</v>
      </c>
      <c r="PG20" s="33">
        <f t="shared" si="3"/>
        <v>0</v>
      </c>
      <c r="PH20" s="2621"/>
      <c r="PJ20" s="2115">
        <v>1492.1200000000001</v>
      </c>
      <c r="PK20" s="3">
        <v>630</v>
      </c>
      <c r="PL20" s="3">
        <v>262.5</v>
      </c>
      <c r="PM20" s="3">
        <v>0</v>
      </c>
      <c r="PN20" s="3">
        <f t="shared" si="75"/>
        <v>29638.849776580693</v>
      </c>
      <c r="PO20" s="11">
        <f t="shared" si="76"/>
        <v>23177.37525319455</v>
      </c>
      <c r="PP20" s="15"/>
      <c r="PQ20" s="2615"/>
      <c r="PS20" s="4"/>
      <c r="PT20" s="9"/>
      <c r="PU20" s="9"/>
      <c r="PV20" s="9"/>
      <c r="PW20" s="8">
        <v>0</v>
      </c>
      <c r="PX20" s="9"/>
      <c r="PY20" s="8">
        <f t="shared" si="77"/>
        <v>0</v>
      </c>
      <c r="PZ20" s="5">
        <f t="shared" si="78"/>
        <v>1492.1200000000001</v>
      </c>
      <c r="QA20" s="5"/>
      <c r="QB20" s="5"/>
      <c r="QC20" s="5"/>
      <c r="QD20" s="5"/>
      <c r="QE20" s="5"/>
      <c r="QF20" s="12"/>
      <c r="QG20" s="12">
        <f t="shared" si="79"/>
        <v>29562.488999999998</v>
      </c>
      <c r="QH20" s="420">
        <f t="shared" si="80"/>
        <v>397418.29955851001</v>
      </c>
      <c r="QI20" s="1106">
        <f t="shared" si="81"/>
        <v>0</v>
      </c>
      <c r="QJ20" s="484">
        <f t="shared" si="82"/>
        <v>5505.3678056099998</v>
      </c>
      <c r="QK20" s="12"/>
      <c r="QL20" s="2615"/>
      <c r="QN20" s="139">
        <f t="shared" si="83"/>
        <v>0</v>
      </c>
      <c r="QO20" s="139" t="str">
        <f t="shared" si="84"/>
        <v/>
      </c>
      <c r="QQ20" s="139">
        <f t="shared" si="85"/>
        <v>0</v>
      </c>
      <c r="QR20" s="139">
        <f t="shared" si="86"/>
        <v>0</v>
      </c>
      <c r="QT20" s="1">
        <f t="shared" si="87"/>
        <v>0</v>
      </c>
      <c r="QU20" s="1">
        <f t="shared" si="88"/>
        <v>0</v>
      </c>
      <c r="QV20" s="1">
        <f t="shared" si="89"/>
        <v>0</v>
      </c>
      <c r="QW20" s="1">
        <f t="shared" si="90"/>
        <v>0</v>
      </c>
      <c r="QX20" s="1">
        <f t="shared" si="91"/>
        <v>0</v>
      </c>
      <c r="QY20" s="1">
        <f t="shared" si="92"/>
        <v>0</v>
      </c>
      <c r="RA20" s="1">
        <f t="shared" si="93"/>
        <v>0</v>
      </c>
      <c r="RB20" s="1">
        <f t="shared" si="94"/>
        <v>0</v>
      </c>
      <c r="RC20" s="1">
        <f t="shared" si="95"/>
        <v>0</v>
      </c>
      <c r="RD20" s="1">
        <f t="shared" si="96"/>
        <v>0</v>
      </c>
      <c r="RE20" s="1">
        <f t="shared" si="97"/>
        <v>0</v>
      </c>
      <c r="RF20" s="1">
        <f t="shared" si="98"/>
        <v>0</v>
      </c>
      <c r="RI20" s="1">
        <v>11</v>
      </c>
      <c r="RJ20" s="1">
        <f t="shared" si="124"/>
        <v>4799.7792097170977</v>
      </c>
      <c r="RK20" s="1">
        <f t="shared" si="125"/>
        <v>-6731.3722195162818</v>
      </c>
      <c r="RL20" s="1">
        <f t="shared" si="126"/>
        <v>13404.263703387322</v>
      </c>
      <c r="RM20" s="89">
        <f t="shared" si="5"/>
        <v>11472.670693588138</v>
      </c>
      <c r="RN20" s="1033">
        <v>11</v>
      </c>
      <c r="RO20" s="1098">
        <f t="shared" si="100"/>
        <v>0</v>
      </c>
      <c r="RP20" s="1098">
        <f t="shared" si="101"/>
        <v>0</v>
      </c>
      <c r="RQ20" s="1097">
        <f t="shared" si="102"/>
        <v>0</v>
      </c>
      <c r="RR20" s="1097">
        <f t="shared" si="103"/>
        <v>8866.1</v>
      </c>
      <c r="RS20" s="1109"/>
      <c r="RT20" s="1046" t="s">
        <v>955</v>
      </c>
      <c r="RW20" s="421">
        <v>11</v>
      </c>
      <c r="RX20" s="1095">
        <f t="shared" si="104"/>
        <v>6685.65</v>
      </c>
      <c r="RY20" s="1046" t="s">
        <v>956</v>
      </c>
      <c r="SA20" s="1090"/>
      <c r="SB20" s="1090">
        <f t="shared" si="105"/>
        <v>0</v>
      </c>
      <c r="SC20" s="1090"/>
      <c r="SD20" s="1090">
        <f t="shared" si="127"/>
        <v>0</v>
      </c>
      <c r="SF20" s="1">
        <v>11</v>
      </c>
      <c r="SG20" s="1">
        <f t="shared" si="107"/>
        <v>0</v>
      </c>
      <c r="SH20" s="1094"/>
    </row>
    <row r="21" spans="1:502" s="1" customFormat="1" ht="16.95" customHeight="1">
      <c r="B21" s="471">
        <v>12</v>
      </c>
      <c r="C21" s="4">
        <f t="shared" si="6"/>
        <v>166278.9</v>
      </c>
      <c r="D21" s="1726">
        <f t="shared" si="119"/>
        <v>10300.799999999999</v>
      </c>
      <c r="E21" s="1895">
        <f t="shared" si="7"/>
        <v>16.142328751164957</v>
      </c>
      <c r="F21" s="870"/>
      <c r="G21" s="870"/>
      <c r="H21" s="52"/>
      <c r="I21" s="61"/>
      <c r="J21" s="52"/>
      <c r="K21" s="54"/>
      <c r="L21" s="52">
        <v>1</v>
      </c>
      <c r="M21" s="61">
        <v>0.33</v>
      </c>
      <c r="N21" s="2629"/>
      <c r="O21" s="4">
        <f t="shared" si="118"/>
        <v>100812</v>
      </c>
      <c r="P21" s="1225">
        <f t="shared" si="8"/>
        <v>7837.12</v>
      </c>
      <c r="Q21" s="1913">
        <f t="shared" si="9"/>
        <v>12.863398799559022</v>
      </c>
      <c r="R21" s="33"/>
      <c r="S21" s="26">
        <f t="shared" si="10"/>
        <v>37929.9</v>
      </c>
      <c r="T21" s="27">
        <f t="shared" si="109"/>
        <v>2463.6800000000003</v>
      </c>
      <c r="U21" s="1909">
        <f t="shared" si="11"/>
        <v>15.39562767891934</v>
      </c>
      <c r="V21" s="28"/>
      <c r="W21" s="1742">
        <f t="shared" si="12"/>
        <v>27537</v>
      </c>
      <c r="X21" s="5">
        <f t="shared" si="12"/>
        <v>0</v>
      </c>
      <c r="Y21" s="325">
        <f t="shared" si="13"/>
        <v>0</v>
      </c>
      <c r="Z21" s="33"/>
      <c r="AA21" s="26">
        <f t="shared" si="14"/>
        <v>0</v>
      </c>
      <c r="AB21" s="27">
        <f t="shared" si="15"/>
        <v>0</v>
      </c>
      <c r="AC21" s="53">
        <f t="shared" si="16"/>
        <v>0</v>
      </c>
      <c r="AD21" s="28"/>
      <c r="AE21" s="36"/>
      <c r="AF21" s="36"/>
      <c r="AG21" s="53">
        <f t="shared" si="17"/>
        <v>0</v>
      </c>
      <c r="AH21" s="28"/>
      <c r="AI21" s="26"/>
      <c r="AJ21" s="27"/>
      <c r="AK21" s="53">
        <f t="shared" si="18"/>
        <v>0</v>
      </c>
      <c r="AL21" s="28"/>
      <c r="AM21" s="2629"/>
      <c r="AN21" s="9"/>
      <c r="AO21" s="5"/>
      <c r="AP21" s="61">
        <f t="shared" si="19"/>
        <v>0</v>
      </c>
      <c r="AQ21" s="36"/>
      <c r="AR21" s="53"/>
      <c r="AS21" s="61">
        <f t="shared" si="20"/>
        <v>0</v>
      </c>
      <c r="AT21" s="36">
        <v>0</v>
      </c>
      <c r="AU21" s="27"/>
      <c r="AV21" s="54">
        <f t="shared" si="21"/>
        <v>0</v>
      </c>
      <c r="AW21" s="26">
        <v>63180</v>
      </c>
      <c r="AX21" s="27">
        <v>5398.62</v>
      </c>
      <c r="AY21" s="1895">
        <f t="shared" si="116"/>
        <v>11.702990764306435</v>
      </c>
      <c r="AZ21" s="1908"/>
      <c r="BA21" s="1909"/>
      <c r="BB21" s="1895">
        <f t="shared" si="22"/>
        <v>0</v>
      </c>
      <c r="BC21" s="1740">
        <v>37632</v>
      </c>
      <c r="BD21" s="1736">
        <v>2438.5</v>
      </c>
      <c r="BE21" s="1895">
        <f t="shared" si="23"/>
        <v>15.432437974164445</v>
      </c>
      <c r="BF21" s="1908"/>
      <c r="BG21" s="1909"/>
      <c r="BH21" s="1895">
        <f t="shared" si="24"/>
        <v>0</v>
      </c>
      <c r="BI21" s="1908">
        <v>0</v>
      </c>
      <c r="BJ21" s="1909">
        <v>0</v>
      </c>
      <c r="BK21" s="1895">
        <f t="shared" si="25"/>
        <v>0</v>
      </c>
      <c r="BL21" s="1742">
        <v>37929.9</v>
      </c>
      <c r="BM21" s="1909">
        <v>2463.6800000000003</v>
      </c>
      <c r="BN21" s="2170"/>
      <c r="BO21" s="1920">
        <f t="shared" si="26"/>
        <v>15.39562767891934</v>
      </c>
      <c r="BP21" s="9"/>
      <c r="BQ21" s="64"/>
      <c r="BR21" s="482">
        <f t="shared" si="27"/>
        <v>0</v>
      </c>
      <c r="BS21" s="9"/>
      <c r="BT21" s="53"/>
      <c r="BU21" s="482">
        <f t="shared" si="28"/>
        <v>0</v>
      </c>
      <c r="BV21" s="9">
        <v>27537</v>
      </c>
      <c r="BW21" s="27">
        <v>0</v>
      </c>
      <c r="BX21" s="1051">
        <f t="shared" si="29"/>
        <v>0</v>
      </c>
      <c r="BY21" s="26"/>
      <c r="BZ21" s="27"/>
      <c r="CA21" s="482">
        <f t="shared" si="30"/>
        <v>0</v>
      </c>
      <c r="CB21" s="9"/>
      <c r="CC21" s="481"/>
      <c r="CD21" s="482">
        <f t="shared" si="31"/>
        <v>0</v>
      </c>
      <c r="CE21" s="4"/>
      <c r="CF21" s="5"/>
      <c r="CG21" s="28">
        <f t="shared" si="32"/>
        <v>0</v>
      </c>
      <c r="CH21" s="150"/>
      <c r="CI21" s="4"/>
      <c r="CJ21" s="5"/>
      <c r="CK21" s="5">
        <v>4994</v>
      </c>
      <c r="CL21" s="5"/>
      <c r="CM21" s="5"/>
      <c r="CN21" s="5"/>
      <c r="CO21" s="33"/>
      <c r="CP21" s="366"/>
      <c r="CR21" s="4">
        <f t="shared" si="33"/>
        <v>0</v>
      </c>
      <c r="CS21" s="9">
        <f t="shared" si="33"/>
        <v>0</v>
      </c>
      <c r="CT21" s="5">
        <f t="shared" si="33"/>
        <v>0</v>
      </c>
      <c r="CU21" s="5">
        <f t="shared" si="33"/>
        <v>0</v>
      </c>
      <c r="CV21" s="5">
        <f t="shared" si="33"/>
        <v>0</v>
      </c>
      <c r="CW21" s="5">
        <f t="shared" si="33"/>
        <v>0</v>
      </c>
      <c r="CX21" s="5">
        <f t="shared" si="33"/>
        <v>397.1</v>
      </c>
      <c r="CY21" s="5">
        <f t="shared" si="33"/>
        <v>0</v>
      </c>
      <c r="CZ21" s="5">
        <f t="shared" si="33"/>
        <v>9903.7000000000007</v>
      </c>
      <c r="DA21" s="5">
        <f t="shared" si="33"/>
        <v>0</v>
      </c>
      <c r="DB21" s="5">
        <f t="shared" si="33"/>
        <v>0</v>
      </c>
      <c r="DC21" s="12">
        <f t="shared" si="33"/>
        <v>0</v>
      </c>
      <c r="DD21" s="310">
        <f t="shared" si="34"/>
        <v>10300.800000000001</v>
      </c>
      <c r="DE21" s="2695"/>
      <c r="DF21" s="8"/>
      <c r="DG21" s="9"/>
      <c r="DH21" s="5"/>
      <c r="DI21" s="5"/>
      <c r="DJ21" s="5"/>
      <c r="DK21" s="5"/>
      <c r="DL21" s="5">
        <v>397.1</v>
      </c>
      <c r="DM21" s="5"/>
      <c r="DN21" s="5">
        <v>5001.5200000000004</v>
      </c>
      <c r="DO21" s="5"/>
      <c r="DP21" s="5"/>
      <c r="DQ21" s="12"/>
      <c r="DR21" s="28">
        <f t="shared" si="35"/>
        <v>5398.6200000000008</v>
      </c>
      <c r="DS21" s="36"/>
      <c r="DT21" s="36"/>
      <c r="DU21" s="53"/>
      <c r="DV21" s="27"/>
      <c r="DW21" s="5"/>
      <c r="DX21" s="5"/>
      <c r="DY21" s="5"/>
      <c r="DZ21" s="5"/>
      <c r="EA21" s="5">
        <v>4902.18</v>
      </c>
      <c r="EB21" s="27"/>
      <c r="EC21" s="27">
        <v>0</v>
      </c>
      <c r="ED21" s="33"/>
      <c r="EE21" s="28">
        <f t="shared" si="36"/>
        <v>4902.18</v>
      </c>
      <c r="EF21" s="9"/>
      <c r="EG21" s="36"/>
      <c r="EH21" s="5"/>
      <c r="EI21" s="313"/>
      <c r="EJ21" s="27"/>
      <c r="EK21" s="27"/>
      <c r="EL21" s="27"/>
      <c r="EM21" s="27"/>
      <c r="EN21" s="5"/>
      <c r="EO21" s="5"/>
      <c r="EP21" s="5">
        <v>0</v>
      </c>
      <c r="EQ21" s="33"/>
      <c r="ER21" s="28">
        <f t="shared" si="120"/>
        <v>0</v>
      </c>
      <c r="ES21" s="36"/>
      <c r="ET21" s="27"/>
      <c r="EU21" s="27"/>
      <c r="EV21" s="27"/>
      <c r="EW21" s="27"/>
      <c r="EX21" s="27"/>
      <c r="EY21" s="33">
        <f t="shared" si="38"/>
        <v>0</v>
      </c>
      <c r="EZ21" s="2685"/>
      <c r="FB21" s="4">
        <f t="shared" si="39"/>
        <v>0</v>
      </c>
      <c r="FC21" s="5">
        <f t="shared" si="40"/>
        <v>0</v>
      </c>
      <c r="FD21" s="5">
        <f t="shared" si="41"/>
        <v>0</v>
      </c>
      <c r="FE21" s="12">
        <f t="shared" si="42"/>
        <v>0</v>
      </c>
      <c r="FF21" s="33"/>
      <c r="FG21" s="2674"/>
      <c r="FH21" s="9"/>
      <c r="FI21" s="5"/>
      <c r="FJ21" s="5"/>
      <c r="FK21" s="5"/>
      <c r="FL21" s="5"/>
      <c r="FM21" s="27"/>
      <c r="FN21" s="28">
        <f t="shared" si="43"/>
        <v>0</v>
      </c>
      <c r="FO21" s="36"/>
      <c r="FP21" s="27"/>
      <c r="FQ21" s="27"/>
      <c r="FR21" s="27"/>
      <c r="FS21" s="27"/>
      <c r="FT21" s="27"/>
      <c r="FU21" s="28">
        <f t="shared" si="44"/>
        <v>0</v>
      </c>
      <c r="FV21" s="36"/>
      <c r="FW21" s="36"/>
      <c r="FX21" s="27"/>
      <c r="FY21" s="27"/>
      <c r="FZ21" s="27"/>
      <c r="GA21" s="27"/>
      <c r="GB21" s="27"/>
      <c r="GC21" s="27"/>
      <c r="GD21" s="27"/>
      <c r="GE21" s="27"/>
      <c r="GF21" s="27"/>
      <c r="GG21" s="33"/>
      <c r="GH21" s="33">
        <f t="shared" si="45"/>
        <v>0</v>
      </c>
      <c r="GI21" s="2674"/>
      <c r="GK21" s="2">
        <f t="shared" si="110"/>
        <v>3150.5599999999995</v>
      </c>
      <c r="GL21" s="63">
        <f t="shared" si="111"/>
        <v>4512.4399999999996</v>
      </c>
      <c r="GM21" s="24">
        <f t="shared" si="112"/>
        <v>7416.16</v>
      </c>
      <c r="GN21" s="1736">
        <f t="shared" si="46"/>
        <v>15079.16</v>
      </c>
      <c r="GO21" s="141"/>
      <c r="GP21" s="141"/>
      <c r="GQ21" s="33"/>
      <c r="GR21" s="2667"/>
      <c r="GS21" s="1940">
        <v>5219.2000000000007</v>
      </c>
      <c r="GT21" s="5">
        <v>780.45</v>
      </c>
      <c r="GU21" s="5">
        <v>4961.4400000000005</v>
      </c>
      <c r="GV21" s="27">
        <v>4118.07</v>
      </c>
      <c r="GW21" s="54">
        <f t="shared" si="47"/>
        <v>15079.16</v>
      </c>
      <c r="GX21" s="2667"/>
      <c r="GY21" s="36"/>
      <c r="GZ21" s="36"/>
      <c r="HA21" s="27"/>
      <c r="HB21" s="27"/>
      <c r="HC21" s="27"/>
      <c r="HD21" s="27"/>
      <c r="HE21" s="27"/>
      <c r="HF21" s="27"/>
      <c r="HG21" s="27">
        <v>0</v>
      </c>
      <c r="HH21" s="27"/>
      <c r="HI21" s="2167">
        <v>2370.1099999999997</v>
      </c>
      <c r="HJ21" s="27"/>
      <c r="HK21" s="27">
        <v>780.45</v>
      </c>
      <c r="HL21" s="27"/>
      <c r="HM21" s="28">
        <f t="shared" si="121"/>
        <v>3150.5599999999995</v>
      </c>
      <c r="HN21" s="36"/>
      <c r="HO21" s="27"/>
      <c r="HP21" s="27"/>
      <c r="HQ21" s="27"/>
      <c r="HR21" s="27"/>
      <c r="HS21" s="27"/>
      <c r="HT21" s="27" cm="1">
        <f t="array" ref="HT21">SUMPRODUCT(('Data Base hauling'!$C$2:$C$216="TCM-ROM SB1 BK05-ROM 4")*(ISNUMBER(SEARCH(TEXT('May TCM'!$B21,"00")&amp;"/03/2026",'Data Base hauling'!$E$2:$E$216)))*'Data Base hauling'!$N$2:$N$216)</f>
        <v>0</v>
      </c>
      <c r="HU21" s="27"/>
      <c r="HV21" s="27" cm="1">
        <f t="array" ref="HV21">SUMPRODUCT(('Data Base hauling'!$C$2:$C$216="TCM-ROM SB1 BK05-ROM 5")*(ISNUMBER(SEARCH(TEXT('May TCM'!$B21,"00")&amp;"/03/2026",'Data Base hauling'!$E$2:$E$216)))*'Data Base hauling'!$N$2:$N$216)</f>
        <v>0</v>
      </c>
      <c r="HW21" s="27"/>
      <c r="HX21" s="27"/>
      <c r="HY21" s="27"/>
      <c r="HZ21" s="27"/>
      <c r="IA21" s="27"/>
      <c r="IB21" s="33">
        <f t="shared" si="49"/>
        <v>0</v>
      </c>
      <c r="IC21" s="52"/>
      <c r="ID21" s="152"/>
      <c r="IE21" s="53"/>
      <c r="IF21" s="53"/>
      <c r="IG21" s="53"/>
      <c r="IH21" s="53"/>
      <c r="II21" s="1736">
        <v>2390.66</v>
      </c>
      <c r="IJ21" s="1736"/>
      <c r="IK21" s="1736">
        <v>2121.7799999999997</v>
      </c>
      <c r="IL21" s="53"/>
      <c r="IM21" s="53">
        <v>0</v>
      </c>
      <c r="IN21" s="53"/>
      <c r="IO21" s="53"/>
      <c r="IP21" s="49">
        <v>0</v>
      </c>
      <c r="IQ21" s="2195">
        <f t="shared" si="122"/>
        <v>4512.4399999999996</v>
      </c>
      <c r="IR21" s="36"/>
      <c r="IS21" s="36"/>
      <c r="IT21" s="27"/>
      <c r="IU21" s="27"/>
      <c r="IV21" s="53"/>
      <c r="IW21" s="27"/>
      <c r="IX21" s="27">
        <v>0</v>
      </c>
      <c r="IY21" s="27"/>
      <c r="IZ21" s="27">
        <v>5704.1</v>
      </c>
      <c r="JA21" s="27"/>
      <c r="JB21" s="27">
        <v>1712.06</v>
      </c>
      <c r="JC21" s="27"/>
      <c r="JD21" s="27"/>
      <c r="JE21" s="27"/>
      <c r="JF21" s="33">
        <f t="shared" si="123"/>
        <v>7416.16</v>
      </c>
      <c r="JG21" s="2667"/>
      <c r="JI21" s="2019">
        <v>6787.16</v>
      </c>
      <c r="JJ21" s="2017">
        <v>8292</v>
      </c>
      <c r="JK21" s="53"/>
      <c r="JL21" s="53">
        <f t="shared" si="52"/>
        <v>15079.16</v>
      </c>
      <c r="JM21" s="33"/>
      <c r="JN21" s="2669"/>
      <c r="JO21" s="69">
        <v>0</v>
      </c>
      <c r="JP21" s="70">
        <v>0</v>
      </c>
      <c r="JQ21" s="70">
        <v>0</v>
      </c>
      <c r="JR21" s="850">
        <v>0</v>
      </c>
      <c r="JS21" s="850">
        <v>1</v>
      </c>
      <c r="JT21" s="850">
        <v>0</v>
      </c>
      <c r="JU21" s="70">
        <v>0</v>
      </c>
      <c r="JV21" s="1922">
        <v>0</v>
      </c>
      <c r="JW21" s="69">
        <v>0</v>
      </c>
      <c r="JX21" s="70">
        <v>0</v>
      </c>
      <c r="JY21" s="70">
        <v>0</v>
      </c>
      <c r="JZ21" s="70">
        <v>0.28830921369995172</v>
      </c>
      <c r="KA21" s="70">
        <v>0.12526772793053545</v>
      </c>
      <c r="KB21" s="70">
        <v>0.49230221900627114</v>
      </c>
      <c r="KC21" s="70">
        <v>9.4120839363241685E-2</v>
      </c>
      <c r="KD21" s="71">
        <v>0</v>
      </c>
      <c r="KE21" s="69"/>
      <c r="KF21" s="70"/>
      <c r="KG21" s="70"/>
      <c r="KH21" s="70"/>
      <c r="KI21" s="70"/>
      <c r="KJ21" s="70"/>
      <c r="KK21" s="70"/>
      <c r="KL21" s="70"/>
      <c r="KM21" s="33"/>
      <c r="KN21" s="2669"/>
      <c r="KO21" s="1739">
        <v>7007.4470327232393</v>
      </c>
      <c r="KP21" s="1721">
        <v>0.82760399334442603</v>
      </c>
      <c r="KQ21" s="1721">
        <v>3.7615640599001665</v>
      </c>
      <c r="KR21" s="1721">
        <v>6.8781142540210762</v>
      </c>
      <c r="KS21" s="1722">
        <v>10.077060454797559</v>
      </c>
      <c r="KT21" s="1958">
        <v>6599.7421458209838</v>
      </c>
      <c r="KU21" s="1961">
        <v>1.8604090100770598</v>
      </c>
      <c r="KV21" s="1961">
        <v>10.03764078245406</v>
      </c>
      <c r="KW21" s="1961">
        <v>6.0622643746295193</v>
      </c>
      <c r="KX21" s="1962">
        <v>10.481855364552461</v>
      </c>
      <c r="KY21" s="36"/>
      <c r="KZ21" s="53"/>
      <c r="LA21" s="53"/>
      <c r="LB21" s="53"/>
      <c r="LC21" s="53"/>
      <c r="LD21" s="33"/>
      <c r="LE21" s="2669"/>
      <c r="LG21" s="26">
        <f t="shared" si="53"/>
        <v>0</v>
      </c>
      <c r="LH21" s="27">
        <f t="shared" si="53"/>
        <v>0</v>
      </c>
      <c r="LI21" s="27">
        <f t="shared" si="53"/>
        <v>0</v>
      </c>
      <c r="LJ21" s="28">
        <f t="shared" si="54"/>
        <v>0</v>
      </c>
      <c r="LK21" s="36"/>
      <c r="LL21" s="27"/>
      <c r="LM21" s="27">
        <v>1</v>
      </c>
      <c r="LN21" s="33"/>
      <c r="LO21" s="1041">
        <v>7.43</v>
      </c>
      <c r="LP21" s="486" t="s">
        <v>957</v>
      </c>
      <c r="LQ21" s="2688"/>
      <c r="LR21" s="36"/>
      <c r="LS21" s="36"/>
      <c r="LT21" s="27"/>
      <c r="LU21" s="27"/>
      <c r="LV21" s="27"/>
      <c r="LW21" s="1117">
        <f t="shared" si="55"/>
        <v>0</v>
      </c>
      <c r="LX21" s="36"/>
      <c r="LY21" s="36"/>
      <c r="LZ21" s="27"/>
      <c r="MA21" s="27"/>
      <c r="MB21" s="33"/>
      <c r="MC21" s="28">
        <f t="shared" si="56"/>
        <v>0</v>
      </c>
      <c r="MD21" s="26"/>
      <c r="ME21" s="36"/>
      <c r="MF21" s="27"/>
      <c r="MG21" s="27"/>
      <c r="MH21" s="27"/>
      <c r="MI21" s="28"/>
      <c r="MJ21" s="36"/>
      <c r="MK21" s="36"/>
      <c r="ML21" s="27"/>
      <c r="MM21" s="27"/>
      <c r="MN21" s="27"/>
      <c r="MO21" s="28"/>
      <c r="MP21" s="36"/>
      <c r="MQ21" s="36"/>
      <c r="MR21" s="27"/>
      <c r="MS21" s="27"/>
      <c r="MT21" s="27"/>
      <c r="MU21" s="33">
        <f t="shared" si="57"/>
        <v>0</v>
      </c>
      <c r="MV21" s="2688"/>
      <c r="MX21" s="26">
        <f t="shared" si="58"/>
        <v>147385.50530228569</v>
      </c>
      <c r="MY21" s="27">
        <f t="shared" si="59"/>
        <v>78622.999189766531</v>
      </c>
      <c r="MZ21" s="27">
        <f t="shared" si="60"/>
        <v>22396.925253194549</v>
      </c>
      <c r="NA21" s="28">
        <f t="shared" si="61"/>
        <v>426980.78855851002</v>
      </c>
      <c r="NB21" s="2621"/>
      <c r="NC21" s="23">
        <f t="shared" si="62"/>
        <v>46693.679297803697</v>
      </c>
      <c r="ND21" s="1579">
        <f t="shared" si="63"/>
        <v>100691.82600448199</v>
      </c>
      <c r="NE21" s="60">
        <f t="shared" si="64"/>
        <v>0</v>
      </c>
      <c r="NF21" s="275">
        <f t="shared" si="4"/>
        <v>147385.50530228569</v>
      </c>
      <c r="NG21" s="26">
        <f t="shared" si="65"/>
        <v>0</v>
      </c>
      <c r="NH21" s="27">
        <f t="shared" si="65"/>
        <v>0</v>
      </c>
      <c r="NI21" s="27">
        <f t="shared" si="65"/>
        <v>0</v>
      </c>
      <c r="NJ21" s="27">
        <f t="shared" si="65"/>
        <v>0</v>
      </c>
      <c r="NK21" s="27">
        <f t="shared" si="65"/>
        <v>0</v>
      </c>
      <c r="NL21" s="33">
        <f t="shared" si="65"/>
        <v>0</v>
      </c>
      <c r="NM21" s="27">
        <f t="shared" si="65"/>
        <v>0</v>
      </c>
      <c r="NN21" s="36">
        <f t="shared" si="65"/>
        <v>0</v>
      </c>
      <c r="NO21" s="24">
        <f t="shared" si="65"/>
        <v>2449.1631443320584</v>
      </c>
      <c r="NP21" s="27">
        <f t="shared" si="65"/>
        <v>26196.696072681989</v>
      </c>
      <c r="NQ21" s="24">
        <f t="shared" si="113"/>
        <v>8756.5482322711578</v>
      </c>
      <c r="NR21" s="24">
        <f t="shared" si="114"/>
        <v>285.98269805869495</v>
      </c>
      <c r="NS21" s="27">
        <f t="shared" si="0"/>
        <v>37688.390147343904</v>
      </c>
      <c r="NT21" s="27">
        <f t="shared" si="66"/>
        <v>0</v>
      </c>
      <c r="NU21" s="27">
        <f t="shared" si="66"/>
        <v>0</v>
      </c>
      <c r="NV21" s="27">
        <f t="shared" si="66"/>
        <v>0</v>
      </c>
      <c r="NW21" s="27">
        <f t="shared" si="66"/>
        <v>0</v>
      </c>
      <c r="NX21" s="27">
        <f t="shared" si="66"/>
        <v>0</v>
      </c>
      <c r="NY21" s="27">
        <f t="shared" si="66"/>
        <v>0</v>
      </c>
      <c r="NZ21" s="27">
        <f t="shared" si="66"/>
        <v>8856.3627301930755</v>
      </c>
      <c r="OA21" s="27">
        <f t="shared" si="66"/>
        <v>0</v>
      </c>
      <c r="OB21" s="27">
        <f t="shared" si="66"/>
        <v>20861.081841856758</v>
      </c>
      <c r="OC21" s="280"/>
      <c r="OD21" s="24">
        <f t="shared" si="67"/>
        <v>454.51223506073143</v>
      </c>
      <c r="OE21" s="27">
        <f t="shared" si="67"/>
        <v>0</v>
      </c>
      <c r="OF21" s="28">
        <f t="shared" si="1"/>
        <v>30171.956807110564</v>
      </c>
      <c r="OG21" s="27">
        <f t="shared" si="68"/>
        <v>0</v>
      </c>
      <c r="OH21" s="27">
        <f t="shared" si="68"/>
        <v>0</v>
      </c>
      <c r="OI21" s="27">
        <f>+OI20+DU21+FX21-IT21</f>
        <v>0</v>
      </c>
      <c r="OJ21" s="27">
        <f t="shared" si="68"/>
        <v>0</v>
      </c>
      <c r="OK21" s="27">
        <f t="shared" si="68"/>
        <v>0</v>
      </c>
      <c r="OL21" s="27">
        <f t="shared" si="68"/>
        <v>0</v>
      </c>
      <c r="OM21" s="24">
        <f t="shared" si="68"/>
        <v>0</v>
      </c>
      <c r="ON21" s="27">
        <f t="shared" si="68"/>
        <v>0</v>
      </c>
      <c r="OO21" s="24">
        <f t="shared" si="115"/>
        <v>10762.652235312073</v>
      </c>
      <c r="OP21" s="27">
        <f t="shared" si="68"/>
        <v>0</v>
      </c>
      <c r="OQ21" s="27">
        <v>0</v>
      </c>
      <c r="OR21" s="27">
        <f t="shared" si="68"/>
        <v>0</v>
      </c>
      <c r="OS21" s="28">
        <f t="shared" si="2"/>
        <v>10762.652235312073</v>
      </c>
      <c r="OT21" s="36"/>
      <c r="OU21" s="27"/>
      <c r="OV21" s="27"/>
      <c r="OW21" s="27"/>
      <c r="OX21" s="27"/>
      <c r="OY21" s="27"/>
      <c r="OZ21" s="28">
        <f t="shared" si="69"/>
        <v>0</v>
      </c>
      <c r="PA21" s="36">
        <f t="shared" si="70"/>
        <v>0</v>
      </c>
      <c r="PB21" s="27">
        <f t="shared" si="71"/>
        <v>0</v>
      </c>
      <c r="PC21" s="27">
        <f t="shared" si="72"/>
        <v>0</v>
      </c>
      <c r="PD21" s="27">
        <f t="shared" si="73"/>
        <v>0</v>
      </c>
      <c r="PE21" s="24"/>
      <c r="PF21" s="27">
        <f t="shared" si="74"/>
        <v>0</v>
      </c>
      <c r="PG21" s="33">
        <f t="shared" si="3"/>
        <v>0</v>
      </c>
      <c r="PH21" s="2621"/>
      <c r="PJ21" s="2">
        <v>0</v>
      </c>
      <c r="PK21" s="3">
        <v>0</v>
      </c>
      <c r="PL21" s="3">
        <v>0</v>
      </c>
      <c r="PM21" s="3">
        <v>780.45</v>
      </c>
      <c r="PN21" s="3">
        <f t="shared" si="75"/>
        <v>29638.849776580693</v>
      </c>
      <c r="PO21" s="11">
        <f t="shared" si="76"/>
        <v>22396.925253194549</v>
      </c>
      <c r="PP21" s="15"/>
      <c r="PQ21" s="2615"/>
      <c r="PS21" s="4"/>
      <c r="PT21" s="9"/>
      <c r="PU21" s="9"/>
      <c r="PV21" s="9"/>
      <c r="PW21" s="8">
        <v>0</v>
      </c>
      <c r="PX21" s="9"/>
      <c r="PY21" s="8">
        <f t="shared" si="77"/>
        <v>0</v>
      </c>
      <c r="PZ21" s="5">
        <f t="shared" si="78"/>
        <v>0</v>
      </c>
      <c r="QA21" s="5"/>
      <c r="QB21" s="5"/>
      <c r="QC21" s="5"/>
      <c r="QD21" s="5"/>
      <c r="QE21" s="5"/>
      <c r="QF21" s="12"/>
      <c r="QG21" s="12">
        <f t="shared" si="79"/>
        <v>29562.488999999998</v>
      </c>
      <c r="QH21" s="420">
        <f t="shared" si="80"/>
        <v>397418.29955851001</v>
      </c>
      <c r="QI21" s="1106">
        <f t="shared" si="81"/>
        <v>0</v>
      </c>
      <c r="QJ21" s="484">
        <f t="shared" si="82"/>
        <v>5505.3678056099998</v>
      </c>
      <c r="QK21" s="12"/>
      <c r="QL21" s="2615"/>
      <c r="QN21" s="139">
        <f t="shared" si="83"/>
        <v>0</v>
      </c>
      <c r="QO21" s="139" t="str">
        <f t="shared" si="84"/>
        <v/>
      </c>
      <c r="QQ21" s="139">
        <f t="shared" si="85"/>
        <v>0</v>
      </c>
      <c r="QR21" s="139">
        <f t="shared" si="86"/>
        <v>0</v>
      </c>
      <c r="QT21" s="1">
        <f t="shared" si="87"/>
        <v>0</v>
      </c>
      <c r="QU21" s="1">
        <f t="shared" si="88"/>
        <v>0</v>
      </c>
      <c r="QV21" s="1">
        <f t="shared" si="89"/>
        <v>0</v>
      </c>
      <c r="QW21" s="1">
        <f t="shared" si="90"/>
        <v>0</v>
      </c>
      <c r="QX21" s="1">
        <f t="shared" si="91"/>
        <v>0</v>
      </c>
      <c r="QY21" s="1">
        <f t="shared" si="92"/>
        <v>0</v>
      </c>
      <c r="RA21" s="1">
        <f t="shared" si="93"/>
        <v>0</v>
      </c>
      <c r="RB21" s="1">
        <f t="shared" si="94"/>
        <v>0</v>
      </c>
      <c r="RC21" s="1">
        <f t="shared" si="95"/>
        <v>0</v>
      </c>
      <c r="RD21" s="1">
        <f t="shared" si="96"/>
        <v>0</v>
      </c>
      <c r="RE21" s="1">
        <f t="shared" si="97"/>
        <v>0</v>
      </c>
      <c r="RF21" s="1">
        <f t="shared" si="98"/>
        <v>0</v>
      </c>
      <c r="RI21" s="1">
        <v>12</v>
      </c>
      <c r="RJ21" s="1">
        <f t="shared" si="124"/>
        <v>11586.939209717097</v>
      </c>
      <c r="RK21" s="1">
        <f t="shared" si="125"/>
        <v>1560.6277804837182</v>
      </c>
      <c r="RL21" s="1">
        <f t="shared" si="126"/>
        <v>13404.263703387322</v>
      </c>
      <c r="RM21" s="89">
        <f t="shared" si="5"/>
        <v>26551.830693588137</v>
      </c>
      <c r="RN21" s="1033">
        <v>12</v>
      </c>
      <c r="RO21" s="1098">
        <f t="shared" si="100"/>
        <v>0</v>
      </c>
      <c r="RP21" s="1098">
        <f t="shared" si="101"/>
        <v>0</v>
      </c>
      <c r="RQ21" s="1097">
        <f t="shared" si="102"/>
        <v>0</v>
      </c>
      <c r="RR21" s="1097">
        <f t="shared" si="103"/>
        <v>10300.799999999999</v>
      </c>
      <c r="RS21" s="1109"/>
      <c r="RT21" s="1046" t="s">
        <v>958</v>
      </c>
      <c r="RU21" s="1048"/>
      <c r="RW21" s="421">
        <v>12</v>
      </c>
      <c r="RX21" s="1095">
        <f t="shared" si="104"/>
        <v>15079.16</v>
      </c>
      <c r="RY21" s="1928" t="s">
        <v>959</v>
      </c>
      <c r="SA21" s="1090"/>
      <c r="SB21" s="1090">
        <f t="shared" si="105"/>
        <v>0</v>
      </c>
      <c r="SC21" s="1090"/>
      <c r="SD21" s="1090">
        <f t="shared" si="127"/>
        <v>0</v>
      </c>
      <c r="SF21" s="1">
        <v>12</v>
      </c>
      <c r="SG21" s="1">
        <f t="shared" si="107"/>
        <v>780.45</v>
      </c>
      <c r="SH21" s="1094" t="s">
        <v>960</v>
      </c>
    </row>
    <row r="22" spans="1:502" s="1" customFormat="1">
      <c r="B22" s="471">
        <v>13</v>
      </c>
      <c r="C22" s="4">
        <f t="shared" si="6"/>
        <v>179587</v>
      </c>
      <c r="D22" s="1726">
        <f t="shared" si="119"/>
        <v>8722.1712000000007</v>
      </c>
      <c r="E22" s="1895">
        <f t="shared" si="7"/>
        <v>20.589712799950544</v>
      </c>
      <c r="F22" s="870"/>
      <c r="G22" s="870"/>
      <c r="H22" s="52"/>
      <c r="I22" s="61"/>
      <c r="J22" s="52"/>
      <c r="K22" s="54"/>
      <c r="L22" s="52">
        <v>3</v>
      </c>
      <c r="M22" s="61">
        <v>1</v>
      </c>
      <c r="N22" s="2629"/>
      <c r="O22" s="4">
        <f t="shared" si="118"/>
        <v>112728</v>
      </c>
      <c r="P22" s="1225">
        <f t="shared" si="8"/>
        <v>7100.9000000000005</v>
      </c>
      <c r="Q22" s="1913">
        <f t="shared" si="9"/>
        <v>15.87517075300314</v>
      </c>
      <c r="R22" s="33"/>
      <c r="S22" s="26">
        <f t="shared" si="10"/>
        <v>40260</v>
      </c>
      <c r="T22" s="27">
        <f t="shared" si="109"/>
        <v>1621.2712000000001</v>
      </c>
      <c r="U22" s="1909">
        <f t="shared" si="11"/>
        <v>24.832366108766994</v>
      </c>
      <c r="V22" s="28"/>
      <c r="W22" s="26">
        <f t="shared" si="12"/>
        <v>26599</v>
      </c>
      <c r="X22" s="5">
        <f t="shared" si="12"/>
        <v>0</v>
      </c>
      <c r="Y22" s="325">
        <f t="shared" si="13"/>
        <v>0</v>
      </c>
      <c r="Z22" s="33"/>
      <c r="AA22" s="26">
        <f t="shared" si="14"/>
        <v>0</v>
      </c>
      <c r="AB22" s="27">
        <f t="shared" si="15"/>
        <v>0</v>
      </c>
      <c r="AC22" s="53">
        <f t="shared" si="16"/>
        <v>0</v>
      </c>
      <c r="AD22" s="28"/>
      <c r="AE22" s="36"/>
      <c r="AF22" s="36"/>
      <c r="AG22" s="53">
        <f t="shared" si="17"/>
        <v>0</v>
      </c>
      <c r="AH22" s="28"/>
      <c r="AI22" s="23"/>
      <c r="AJ22" s="27"/>
      <c r="AK22" s="53">
        <f t="shared" si="18"/>
        <v>0</v>
      </c>
      <c r="AL22" s="28"/>
      <c r="AM22" s="2629"/>
      <c r="AN22" s="9"/>
      <c r="AO22" s="64"/>
      <c r="AP22" s="61">
        <f t="shared" si="19"/>
        <v>0</v>
      </c>
      <c r="AQ22" s="36"/>
      <c r="AR22" s="53"/>
      <c r="AS22" s="61">
        <f t="shared" si="20"/>
        <v>0</v>
      </c>
      <c r="AT22" s="36">
        <v>0</v>
      </c>
      <c r="AU22" s="27"/>
      <c r="AV22" s="54">
        <f t="shared" si="21"/>
        <v>0</v>
      </c>
      <c r="AW22" s="26">
        <v>69804</v>
      </c>
      <c r="AX22" s="27">
        <v>5791.06</v>
      </c>
      <c r="AY22" s="1895">
        <f t="shared" si="116"/>
        <v>12.053751817456561</v>
      </c>
      <c r="AZ22" s="1908"/>
      <c r="BA22" s="1909"/>
      <c r="BB22" s="1895">
        <f t="shared" si="22"/>
        <v>0</v>
      </c>
      <c r="BC22" s="1740">
        <v>42924</v>
      </c>
      <c r="BD22" s="1909">
        <v>1309.8399999999999</v>
      </c>
      <c r="BE22" s="1895">
        <f t="shared" si="23"/>
        <v>32.770414707139807</v>
      </c>
      <c r="BF22" s="1908"/>
      <c r="BG22" s="1909"/>
      <c r="BH22" s="1895">
        <f t="shared" si="24"/>
        <v>0</v>
      </c>
      <c r="BI22" s="1908">
        <v>0</v>
      </c>
      <c r="BJ22" s="1909">
        <v>0</v>
      </c>
      <c r="BK22" s="1895">
        <f t="shared" si="25"/>
        <v>0</v>
      </c>
      <c r="BL22" s="1742">
        <v>40260</v>
      </c>
      <c r="BM22" s="1909">
        <v>970.02</v>
      </c>
      <c r="BN22" s="2170">
        <v>651.25120000000004</v>
      </c>
      <c r="BO22" s="1920">
        <f t="shared" si="26"/>
        <v>41.504298880435456</v>
      </c>
      <c r="BP22" s="9"/>
      <c r="BQ22" s="64"/>
      <c r="BR22" s="482">
        <f t="shared" si="27"/>
        <v>0</v>
      </c>
      <c r="BS22" s="9"/>
      <c r="BT22" s="64"/>
      <c r="BU22" s="482">
        <f t="shared" si="28"/>
        <v>0</v>
      </c>
      <c r="BV22" s="9">
        <v>26599</v>
      </c>
      <c r="BW22" s="27">
        <v>0</v>
      </c>
      <c r="BX22" s="2131">
        <f t="shared" si="29"/>
        <v>0</v>
      </c>
      <c r="BY22" s="26"/>
      <c r="BZ22" s="27"/>
      <c r="CA22" s="482">
        <f t="shared" si="30"/>
        <v>0</v>
      </c>
      <c r="CB22" s="9"/>
      <c r="CC22" s="481"/>
      <c r="CD22" s="482">
        <f t="shared" si="31"/>
        <v>0</v>
      </c>
      <c r="CE22" s="4"/>
      <c r="CF22" s="5"/>
      <c r="CG22" s="28">
        <f t="shared" si="32"/>
        <v>0</v>
      </c>
      <c r="CH22" s="150"/>
      <c r="CI22" s="4">
        <v>706</v>
      </c>
      <c r="CJ22" s="5"/>
      <c r="CK22" s="5">
        <v>5170</v>
      </c>
      <c r="CL22" s="5"/>
      <c r="CM22" s="5"/>
      <c r="CN22" s="5"/>
      <c r="CO22" s="33"/>
      <c r="CP22" s="366"/>
      <c r="CR22" s="4">
        <f t="shared" si="33"/>
        <v>0</v>
      </c>
      <c r="CS22" s="9">
        <f t="shared" si="33"/>
        <v>0</v>
      </c>
      <c r="CT22" s="5">
        <f t="shared" si="33"/>
        <v>0</v>
      </c>
      <c r="CU22" s="5">
        <f t="shared" si="33"/>
        <v>0</v>
      </c>
      <c r="CV22" s="5">
        <f t="shared" si="33"/>
        <v>0</v>
      </c>
      <c r="CW22" s="5">
        <f t="shared" si="33"/>
        <v>0</v>
      </c>
      <c r="CX22" s="5">
        <f t="shared" si="33"/>
        <v>123.36</v>
      </c>
      <c r="CY22" s="5">
        <f t="shared" si="33"/>
        <v>0</v>
      </c>
      <c r="CZ22" s="5">
        <f t="shared" si="33"/>
        <v>7947.56</v>
      </c>
      <c r="DA22" s="5">
        <f t="shared" si="33"/>
        <v>0</v>
      </c>
      <c r="DB22" s="5">
        <f t="shared" si="33"/>
        <v>0</v>
      </c>
      <c r="DC22" s="12">
        <f t="shared" si="33"/>
        <v>0</v>
      </c>
      <c r="DD22" s="310">
        <f t="shared" si="34"/>
        <v>8070.92</v>
      </c>
      <c r="DE22" s="2695"/>
      <c r="DF22" s="8"/>
      <c r="DG22" s="9"/>
      <c r="DH22" s="5"/>
      <c r="DI22" s="5"/>
      <c r="DJ22" s="5"/>
      <c r="DK22" s="5"/>
      <c r="DL22" s="5">
        <v>123.36</v>
      </c>
      <c r="DM22" s="5"/>
      <c r="DN22" s="5">
        <v>5667.7000000000007</v>
      </c>
      <c r="DO22" s="5"/>
      <c r="DP22" s="5"/>
      <c r="DQ22" s="12"/>
      <c r="DR22" s="28">
        <f t="shared" si="35"/>
        <v>5791.06</v>
      </c>
      <c r="DS22" s="36"/>
      <c r="DT22" s="36"/>
      <c r="DU22" s="53"/>
      <c r="DV22" s="27"/>
      <c r="DW22" s="5"/>
      <c r="DX22" s="5"/>
      <c r="DY22" s="5"/>
      <c r="DZ22" s="5"/>
      <c r="EA22" s="5">
        <v>2279.8599999999997</v>
      </c>
      <c r="EB22" s="27"/>
      <c r="EC22" s="27">
        <v>0</v>
      </c>
      <c r="ED22" s="33"/>
      <c r="EE22" s="28">
        <f t="shared" si="36"/>
        <v>2279.8599999999997</v>
      </c>
      <c r="EF22" s="9"/>
      <c r="EG22" s="36"/>
      <c r="EH22" s="5"/>
      <c r="EI22" s="325"/>
      <c r="EJ22" s="27"/>
      <c r="EK22" s="27"/>
      <c r="EL22" s="27"/>
      <c r="EM22" s="27"/>
      <c r="EN22" s="5"/>
      <c r="EO22" s="5"/>
      <c r="EP22" s="5">
        <v>0</v>
      </c>
      <c r="EQ22" s="33"/>
      <c r="ER22" s="28">
        <f t="shared" si="120"/>
        <v>0</v>
      </c>
      <c r="ES22" s="36"/>
      <c r="ET22" s="27"/>
      <c r="EU22" s="27"/>
      <c r="EV22" s="27"/>
      <c r="EW22" s="27"/>
      <c r="EX22" s="27"/>
      <c r="EY22" s="33">
        <f t="shared" si="38"/>
        <v>0</v>
      </c>
      <c r="EZ22" s="2685"/>
      <c r="FB22" s="4">
        <f t="shared" si="39"/>
        <v>0</v>
      </c>
      <c r="FC22" s="5">
        <f t="shared" si="40"/>
        <v>0</v>
      </c>
      <c r="FD22" s="5">
        <f t="shared" si="41"/>
        <v>0</v>
      </c>
      <c r="FE22" s="12">
        <f t="shared" si="42"/>
        <v>0</v>
      </c>
      <c r="FF22" s="33"/>
      <c r="FG22" s="2674"/>
      <c r="FH22" s="9"/>
      <c r="FI22" s="5"/>
      <c r="FJ22" s="5"/>
      <c r="FK22" s="5"/>
      <c r="FL22" s="5"/>
      <c r="FM22" s="27"/>
      <c r="FN22" s="28">
        <f t="shared" si="43"/>
        <v>0</v>
      </c>
      <c r="FO22" s="36"/>
      <c r="FP22" s="27"/>
      <c r="FQ22" s="27"/>
      <c r="FR22" s="27"/>
      <c r="FS22" s="27"/>
      <c r="FT22" s="27"/>
      <c r="FU22" s="28">
        <f t="shared" si="44"/>
        <v>0</v>
      </c>
      <c r="FV22" s="36"/>
      <c r="FW22" s="36"/>
      <c r="FX22" s="27"/>
      <c r="FY22" s="27"/>
      <c r="FZ22" s="27"/>
      <c r="GA22" s="27"/>
      <c r="GB22" s="27"/>
      <c r="GC22" s="27"/>
      <c r="GD22" s="27"/>
      <c r="GE22" s="27"/>
      <c r="GF22" s="27"/>
      <c r="GG22" s="33"/>
      <c r="GH22" s="33">
        <f t="shared" si="45"/>
        <v>0</v>
      </c>
      <c r="GI22" s="2674"/>
      <c r="GK22" s="2">
        <f t="shared" si="110"/>
        <v>0</v>
      </c>
      <c r="GL22" s="63">
        <f t="shared" si="111"/>
        <v>8113.5400000000009</v>
      </c>
      <c r="GM22" s="24">
        <f t="shared" si="112"/>
        <v>390.75</v>
      </c>
      <c r="GN22" s="1736">
        <f t="shared" si="46"/>
        <v>8504.2900000000009</v>
      </c>
      <c r="GO22" s="141"/>
      <c r="GP22" s="141"/>
      <c r="GQ22" s="33"/>
      <c r="GR22" s="2667"/>
      <c r="GS22" s="1940">
        <v>3280.4000000000005</v>
      </c>
      <c r="GT22" s="5">
        <v>0</v>
      </c>
      <c r="GU22" s="5">
        <v>2714.74</v>
      </c>
      <c r="GV22" s="27">
        <v>2509.15</v>
      </c>
      <c r="GW22" s="54">
        <f t="shared" si="47"/>
        <v>8504.2900000000009</v>
      </c>
      <c r="GX22" s="2667"/>
      <c r="GY22" s="36"/>
      <c r="GZ22" s="36"/>
      <c r="HA22" s="27"/>
      <c r="HB22" s="27"/>
      <c r="HC22" s="27"/>
      <c r="HD22" s="27"/>
      <c r="HE22" s="27"/>
      <c r="HF22" s="27"/>
      <c r="HG22" s="27">
        <v>0</v>
      </c>
      <c r="HH22" s="27"/>
      <c r="HI22" s="2167">
        <v>0</v>
      </c>
      <c r="HJ22" s="27"/>
      <c r="HK22" s="27">
        <v>0</v>
      </c>
      <c r="HL22" s="27"/>
      <c r="HM22" s="28">
        <f t="shared" si="121"/>
        <v>0</v>
      </c>
      <c r="HN22" s="36"/>
      <c r="HO22" s="27"/>
      <c r="HP22" s="27"/>
      <c r="HQ22" s="27"/>
      <c r="HR22" s="27"/>
      <c r="HS22" s="27"/>
      <c r="HT22" s="27" cm="1">
        <f t="array" ref="HT22">SUMPRODUCT(('Data Base hauling'!$C$2:$C$216="TCM-ROM SB1 BK05-ROM 4")*(ISNUMBER(SEARCH(TEXT('May TCM'!$B22,"00")&amp;"/03/2026",'Data Base hauling'!$E$2:$E$216)))*'Data Base hauling'!$N$2:$N$216)</f>
        <v>0</v>
      </c>
      <c r="HU22" s="27"/>
      <c r="HV22" s="27" cm="1">
        <f t="array" ref="HV22">SUMPRODUCT(('Data Base hauling'!$C$2:$C$216="TCM-ROM SB1 BK05-ROM 5")*(ISNUMBER(SEARCH(TEXT('May TCM'!$B22,"00")&amp;"/03/2026",'Data Base hauling'!$E$2:$E$216)))*'Data Base hauling'!$N$2:$N$216)</f>
        <v>0</v>
      </c>
      <c r="HW22" s="27"/>
      <c r="HX22" s="27"/>
      <c r="HY22" s="27"/>
      <c r="HZ22" s="27"/>
      <c r="IA22" s="27"/>
      <c r="IB22" s="33">
        <f t="shared" si="49"/>
        <v>0</v>
      </c>
      <c r="IC22" s="363"/>
      <c r="ID22" s="363"/>
      <c r="IE22" s="64"/>
      <c r="IF22" s="64"/>
      <c r="IG22" s="64"/>
      <c r="IH22" s="64"/>
      <c r="II22" s="1590">
        <v>2065.4</v>
      </c>
      <c r="IJ22" s="1590"/>
      <c r="IK22" s="1590">
        <v>6048.14</v>
      </c>
      <c r="IL22" s="64"/>
      <c r="IM22" s="64">
        <v>0</v>
      </c>
      <c r="IN22" s="53"/>
      <c r="IO22" s="53"/>
      <c r="IP22" s="49">
        <v>0</v>
      </c>
      <c r="IQ22" s="2195">
        <f t="shared" si="122"/>
        <v>8113.5400000000009</v>
      </c>
      <c r="IR22" s="36"/>
      <c r="IS22" s="36"/>
      <c r="IT22" s="53"/>
      <c r="IU22" s="27"/>
      <c r="IV22" s="53"/>
      <c r="IW22" s="27"/>
      <c r="IX22" s="27">
        <v>0</v>
      </c>
      <c r="IY22" s="27"/>
      <c r="IZ22" s="27">
        <v>390.75</v>
      </c>
      <c r="JA22" s="27"/>
      <c r="JB22" s="27">
        <v>0</v>
      </c>
      <c r="JC22" s="27"/>
      <c r="JD22" s="27"/>
      <c r="JE22" s="27"/>
      <c r="JF22" s="33">
        <f t="shared" si="123"/>
        <v>390.75</v>
      </c>
      <c r="JG22" s="2667"/>
      <c r="JI22" s="2019">
        <v>1236.1199999999999</v>
      </c>
      <c r="JJ22" s="2017">
        <v>7268.1699999999992</v>
      </c>
      <c r="JK22" s="53"/>
      <c r="JL22" s="53">
        <f t="shared" si="52"/>
        <v>8504.2899999999991</v>
      </c>
      <c r="JM22" s="33"/>
      <c r="JN22" s="2669"/>
      <c r="JO22" s="69">
        <v>0</v>
      </c>
      <c r="JP22" s="70">
        <v>0</v>
      </c>
      <c r="JQ22" s="70">
        <v>0</v>
      </c>
      <c r="JR22" s="850">
        <v>6.374785619519141E-2</v>
      </c>
      <c r="JS22" s="850">
        <v>0.93625214380480859</v>
      </c>
      <c r="JT22" s="850">
        <v>0</v>
      </c>
      <c r="JU22" s="70">
        <v>0</v>
      </c>
      <c r="JV22" s="1922">
        <v>0</v>
      </c>
      <c r="JW22" s="69">
        <v>0</v>
      </c>
      <c r="JX22" s="70">
        <v>0</v>
      </c>
      <c r="JY22" s="70">
        <v>0</v>
      </c>
      <c r="JZ22" s="70">
        <v>0.27332877464341093</v>
      </c>
      <c r="KA22" s="70">
        <v>0.72667122535658912</v>
      </c>
      <c r="KB22" s="70">
        <v>0</v>
      </c>
      <c r="KC22" s="70">
        <v>0</v>
      </c>
      <c r="KD22" s="71">
        <v>0</v>
      </c>
      <c r="KE22" s="69"/>
      <c r="KF22" s="70"/>
      <c r="KG22" s="70"/>
      <c r="KH22" s="70"/>
      <c r="KI22" s="70"/>
      <c r="KJ22" s="70"/>
      <c r="KK22" s="70"/>
      <c r="KL22" s="70"/>
      <c r="KM22" s="33"/>
      <c r="KN22" s="2669"/>
      <c r="KO22" s="1739">
        <v>6990</v>
      </c>
      <c r="KP22" s="1721">
        <v>0.92000000000000015</v>
      </c>
      <c r="KQ22" s="1721">
        <v>7.03</v>
      </c>
      <c r="KR22" s="1721">
        <v>5.61</v>
      </c>
      <c r="KS22" s="1722">
        <v>10.68</v>
      </c>
      <c r="KT22" s="1958">
        <v>7098.3022162525185</v>
      </c>
      <c r="KU22" s="1961">
        <v>1.6065681665547347</v>
      </c>
      <c r="KV22" s="1961">
        <v>2.2768300873069176</v>
      </c>
      <c r="KW22" s="1961">
        <v>6.3217730020147762</v>
      </c>
      <c r="KX22" s="1962">
        <v>10.462545332437877</v>
      </c>
      <c r="KY22" s="36"/>
      <c r="KZ22" s="53"/>
      <c r="LA22" s="53"/>
      <c r="LB22" s="53"/>
      <c r="LC22" s="53"/>
      <c r="LD22" s="33"/>
      <c r="LE22" s="2669"/>
      <c r="LG22" s="4">
        <f t="shared" si="53"/>
        <v>0</v>
      </c>
      <c r="LH22" s="27">
        <f t="shared" si="53"/>
        <v>0</v>
      </c>
      <c r="LI22" s="27">
        <f t="shared" si="53"/>
        <v>0</v>
      </c>
      <c r="LJ22" s="28">
        <f t="shared" si="54"/>
        <v>0</v>
      </c>
      <c r="LK22" s="36">
        <v>1</v>
      </c>
      <c r="LL22" s="27"/>
      <c r="LM22" s="27"/>
      <c r="LN22" s="33"/>
      <c r="LO22" s="1041">
        <v>7.65</v>
      </c>
      <c r="LP22" s="486"/>
      <c r="LQ22" s="2688"/>
      <c r="LR22" s="36"/>
      <c r="LS22" s="36"/>
      <c r="LT22" s="27"/>
      <c r="LU22" s="27"/>
      <c r="LV22" s="27"/>
      <c r="LW22" s="1117">
        <f t="shared" si="55"/>
        <v>0</v>
      </c>
      <c r="LX22" s="36"/>
      <c r="LY22" s="36"/>
      <c r="LZ22" s="27"/>
      <c r="MA22" s="27"/>
      <c r="MB22" s="33"/>
      <c r="MC22" s="28">
        <f t="shared" si="56"/>
        <v>0</v>
      </c>
      <c r="MD22" s="26"/>
      <c r="ME22" s="36"/>
      <c r="MF22" s="27"/>
      <c r="MG22" s="27"/>
      <c r="MH22" s="27"/>
      <c r="MI22" s="28"/>
      <c r="MJ22" s="36"/>
      <c r="MK22" s="36"/>
      <c r="ML22" s="27"/>
      <c r="MM22" s="27"/>
      <c r="MN22" s="27"/>
      <c r="MO22" s="28"/>
      <c r="MP22" s="36"/>
      <c r="MQ22" s="36"/>
      <c r="MR22" s="27"/>
      <c r="MS22" s="27"/>
      <c r="MT22" s="27"/>
      <c r="MU22" s="33">
        <f t="shared" si="57"/>
        <v>0</v>
      </c>
      <c r="MV22" s="2688"/>
      <c r="MX22" s="26">
        <f t="shared" si="58"/>
        <v>155889.7953022857</v>
      </c>
      <c r="MY22" s="27">
        <f t="shared" si="59"/>
        <v>78189.629189766536</v>
      </c>
      <c r="MZ22" s="27">
        <f t="shared" si="60"/>
        <v>22641.925253194549</v>
      </c>
      <c r="NA22" s="28">
        <f t="shared" si="61"/>
        <v>426178.42855851003</v>
      </c>
      <c r="NB22" s="2621"/>
      <c r="NC22" s="23">
        <f t="shared" si="62"/>
        <v>47929.7992978037</v>
      </c>
      <c r="ND22" s="1579">
        <f t="shared" si="63"/>
        <v>107959.99600448199</v>
      </c>
      <c r="NE22" s="60">
        <f t="shared" si="64"/>
        <v>0</v>
      </c>
      <c r="NF22" s="275">
        <f t="shared" si="4"/>
        <v>155889.7953022857</v>
      </c>
      <c r="NG22" s="26">
        <f t="shared" si="65"/>
        <v>0</v>
      </c>
      <c r="NH22" s="27">
        <f t="shared" si="65"/>
        <v>0</v>
      </c>
      <c r="NI22" s="27">
        <f t="shared" si="65"/>
        <v>0</v>
      </c>
      <c r="NJ22" s="27">
        <f t="shared" si="65"/>
        <v>0</v>
      </c>
      <c r="NK22" s="27">
        <f t="shared" si="65"/>
        <v>0</v>
      </c>
      <c r="NL22" s="33">
        <f t="shared" si="65"/>
        <v>0</v>
      </c>
      <c r="NM22" s="27">
        <f t="shared" si="65"/>
        <v>0</v>
      </c>
      <c r="NN22" s="36">
        <f t="shared" si="65"/>
        <v>0</v>
      </c>
      <c r="NO22" s="24">
        <f t="shared" si="65"/>
        <v>2449.1631443320584</v>
      </c>
      <c r="NP22" s="27">
        <f t="shared" si="65"/>
        <v>26196.696072681989</v>
      </c>
      <c r="NQ22" s="24">
        <f t="shared" si="113"/>
        <v>8756.5482322711578</v>
      </c>
      <c r="NR22" s="24">
        <f t="shared" si="114"/>
        <v>285.98269805869495</v>
      </c>
      <c r="NS22" s="27">
        <f t="shared" si="0"/>
        <v>37688.390147343904</v>
      </c>
      <c r="NT22" s="27">
        <f t="shared" si="66"/>
        <v>0</v>
      </c>
      <c r="NU22" s="27">
        <f t="shared" si="66"/>
        <v>0</v>
      </c>
      <c r="NV22" s="27">
        <f t="shared" si="66"/>
        <v>0</v>
      </c>
      <c r="NW22" s="27">
        <f t="shared" si="66"/>
        <v>0</v>
      </c>
      <c r="NX22" s="27">
        <f t="shared" si="66"/>
        <v>0</v>
      </c>
      <c r="NY22" s="27">
        <f t="shared" si="66"/>
        <v>0</v>
      </c>
      <c r="NZ22" s="27">
        <f t="shared" si="66"/>
        <v>6914.3227301930765</v>
      </c>
      <c r="OA22" s="27">
        <f t="shared" si="66"/>
        <v>0</v>
      </c>
      <c r="OB22" s="27">
        <f t="shared" si="66"/>
        <v>20480.641841856759</v>
      </c>
      <c r="OC22" s="280"/>
      <c r="OD22" s="24">
        <f t="shared" si="67"/>
        <v>454.51223506073143</v>
      </c>
      <c r="OE22" s="27">
        <f t="shared" si="67"/>
        <v>0</v>
      </c>
      <c r="OF22" s="28">
        <f t="shared" si="1"/>
        <v>27849.476807110568</v>
      </c>
      <c r="OG22" s="27">
        <f t="shared" si="68"/>
        <v>0</v>
      </c>
      <c r="OH22" s="27">
        <f t="shared" si="68"/>
        <v>0</v>
      </c>
      <c r="OI22" s="27">
        <v>0</v>
      </c>
      <c r="OJ22" s="27">
        <f t="shared" si="68"/>
        <v>0</v>
      </c>
      <c r="OK22" s="27">
        <f t="shared" si="68"/>
        <v>0</v>
      </c>
      <c r="OL22" s="27">
        <f t="shared" si="68"/>
        <v>0</v>
      </c>
      <c r="OM22" s="24">
        <f t="shared" si="68"/>
        <v>0</v>
      </c>
      <c r="ON22" s="27">
        <f t="shared" si="68"/>
        <v>0</v>
      </c>
      <c r="OO22" s="24">
        <f t="shared" si="115"/>
        <v>12651.762235312071</v>
      </c>
      <c r="OP22" s="27">
        <f t="shared" si="68"/>
        <v>0</v>
      </c>
      <c r="OQ22" s="27">
        <f t="shared" si="68"/>
        <v>0</v>
      </c>
      <c r="OR22" s="27">
        <f t="shared" si="68"/>
        <v>0</v>
      </c>
      <c r="OS22" s="28">
        <f t="shared" si="2"/>
        <v>12651.762235312071</v>
      </c>
      <c r="OT22" s="36"/>
      <c r="OU22" s="27"/>
      <c r="OV22" s="27"/>
      <c r="OW22" s="27"/>
      <c r="OX22" s="27"/>
      <c r="OY22" s="27"/>
      <c r="OZ22" s="28">
        <f t="shared" si="69"/>
        <v>0</v>
      </c>
      <c r="PA22" s="36">
        <f t="shared" si="70"/>
        <v>0</v>
      </c>
      <c r="PB22" s="27">
        <f t="shared" si="71"/>
        <v>0</v>
      </c>
      <c r="PC22" s="27">
        <f t="shared" si="72"/>
        <v>0</v>
      </c>
      <c r="PD22" s="27">
        <f t="shared" si="73"/>
        <v>0</v>
      </c>
      <c r="PE22" s="24"/>
      <c r="PF22" s="27">
        <f t="shared" si="74"/>
        <v>0</v>
      </c>
      <c r="PG22" s="33">
        <f t="shared" si="3"/>
        <v>0</v>
      </c>
      <c r="PH22" s="2621"/>
      <c r="PJ22" s="2">
        <v>802.3599999999999</v>
      </c>
      <c r="PK22" s="3">
        <v>588</v>
      </c>
      <c r="PL22" s="3">
        <v>245.00000000000003</v>
      </c>
      <c r="PM22" s="3">
        <v>0</v>
      </c>
      <c r="PN22" s="3">
        <f t="shared" si="75"/>
        <v>29853.209776580694</v>
      </c>
      <c r="PO22" s="11">
        <f t="shared" si="76"/>
        <v>22641.925253194549</v>
      </c>
      <c r="PP22" s="15"/>
      <c r="PQ22" s="2615"/>
      <c r="PS22" s="4"/>
      <c r="PT22" s="9"/>
      <c r="PU22" s="9"/>
      <c r="PV22" s="9"/>
      <c r="PW22" s="8">
        <v>0</v>
      </c>
      <c r="PX22" s="9"/>
      <c r="PY22" s="8">
        <f t="shared" si="77"/>
        <v>0</v>
      </c>
      <c r="PZ22" s="5">
        <f t="shared" si="78"/>
        <v>802.3599999999999</v>
      </c>
      <c r="QA22" s="5"/>
      <c r="QB22" s="5"/>
      <c r="QC22" s="5"/>
      <c r="QD22" s="5"/>
      <c r="QE22" s="5"/>
      <c r="QF22" s="12"/>
      <c r="QG22" s="12">
        <f t="shared" si="79"/>
        <v>29562.488999999998</v>
      </c>
      <c r="QH22" s="420">
        <f t="shared" si="80"/>
        <v>396615.93955851003</v>
      </c>
      <c r="QI22" s="1106">
        <f t="shared" si="81"/>
        <v>0</v>
      </c>
      <c r="QJ22" s="484">
        <f t="shared" si="82"/>
        <v>5505.3678056099998</v>
      </c>
      <c r="QK22" s="12"/>
      <c r="QL22" s="2615"/>
      <c r="QN22" s="139">
        <f t="shared" si="83"/>
        <v>0</v>
      </c>
      <c r="QO22" s="139" t="str">
        <f t="shared" si="84"/>
        <v/>
      </c>
      <c r="QQ22" s="139">
        <f t="shared" si="85"/>
        <v>0</v>
      </c>
      <c r="QR22" s="139">
        <f t="shared" si="86"/>
        <v>0</v>
      </c>
      <c r="QT22" s="1">
        <f t="shared" si="87"/>
        <v>0</v>
      </c>
      <c r="QU22" s="1">
        <f t="shared" si="88"/>
        <v>0</v>
      </c>
      <c r="QV22" s="1">
        <f t="shared" si="89"/>
        <v>0</v>
      </c>
      <c r="QW22" s="1">
        <f t="shared" si="90"/>
        <v>0</v>
      </c>
      <c r="QX22" s="1">
        <f t="shared" si="91"/>
        <v>0</v>
      </c>
      <c r="QY22" s="1">
        <f t="shared" si="92"/>
        <v>0</v>
      </c>
      <c r="RA22" s="1">
        <f t="shared" si="93"/>
        <v>0</v>
      </c>
      <c r="RB22" s="1">
        <f t="shared" si="94"/>
        <v>0</v>
      </c>
      <c r="RC22" s="1">
        <f t="shared" si="95"/>
        <v>0</v>
      </c>
      <c r="RD22" s="1">
        <f t="shared" si="96"/>
        <v>0</v>
      </c>
      <c r="RE22" s="1">
        <f t="shared" si="97"/>
        <v>0</v>
      </c>
      <c r="RF22" s="1">
        <f t="shared" si="98"/>
        <v>0</v>
      </c>
      <c r="RI22" s="1">
        <v>13</v>
      </c>
      <c r="RJ22" s="1">
        <f t="shared" si="124"/>
        <v>12823.059209717096</v>
      </c>
      <c r="RK22" s="1">
        <f t="shared" si="125"/>
        <v>8828.7977804837174</v>
      </c>
      <c r="RL22" s="1">
        <f t="shared" si="126"/>
        <v>13404.263703387322</v>
      </c>
      <c r="RM22" s="89">
        <f t="shared" si="5"/>
        <v>35056.120693588135</v>
      </c>
      <c r="RN22" s="1033">
        <v>13</v>
      </c>
      <c r="RO22" s="1098">
        <f t="shared" si="100"/>
        <v>0</v>
      </c>
      <c r="RP22" s="1098">
        <f t="shared" si="101"/>
        <v>0</v>
      </c>
      <c r="RQ22" s="1097">
        <f t="shared" si="102"/>
        <v>0</v>
      </c>
      <c r="RR22" s="1097">
        <f t="shared" si="103"/>
        <v>8070.92</v>
      </c>
      <c r="RS22" s="1050"/>
      <c r="RT22" s="1050" t="s">
        <v>961</v>
      </c>
      <c r="RU22" s="1048"/>
      <c r="RW22" s="421">
        <v>13</v>
      </c>
      <c r="RX22" s="1095">
        <f t="shared" si="104"/>
        <v>8504.2900000000009</v>
      </c>
      <c r="RY22" s="1050" t="s">
        <v>962</v>
      </c>
      <c r="RZ22" s="1048"/>
      <c r="SA22" s="1090"/>
      <c r="SB22" s="1090">
        <f t="shared" si="105"/>
        <v>0</v>
      </c>
      <c r="SC22" s="1090"/>
      <c r="SD22" s="1090">
        <f t="shared" si="127"/>
        <v>0</v>
      </c>
      <c r="SF22" s="1">
        <v>13</v>
      </c>
      <c r="SG22" s="1">
        <f t="shared" si="107"/>
        <v>0</v>
      </c>
    </row>
    <row r="23" spans="1:502" s="1" customFormat="1">
      <c r="A23" s="1">
        <v>160</v>
      </c>
      <c r="B23" s="471">
        <v>14</v>
      </c>
      <c r="C23" s="4">
        <f t="shared" si="6"/>
        <v>155312</v>
      </c>
      <c r="D23" s="1726">
        <f t="shared" si="119"/>
        <v>8434.6139999999996</v>
      </c>
      <c r="E23" s="1895">
        <f t="shared" si="7"/>
        <v>18.41364643361273</v>
      </c>
      <c r="F23" s="870"/>
      <c r="G23" s="870"/>
      <c r="H23" s="52">
        <v>67</v>
      </c>
      <c r="I23" s="61">
        <v>7.52</v>
      </c>
      <c r="J23" s="52"/>
      <c r="K23" s="54"/>
      <c r="L23" s="52">
        <v>2</v>
      </c>
      <c r="M23" s="61">
        <v>3</v>
      </c>
      <c r="N23" s="2629"/>
      <c r="O23" s="4">
        <f t="shared" si="118"/>
        <v>101430</v>
      </c>
      <c r="P23" s="1225">
        <f t="shared" si="8"/>
        <v>6658.6399999999994</v>
      </c>
      <c r="Q23" s="1913">
        <f t="shared" si="9"/>
        <v>15.232840339769083</v>
      </c>
      <c r="R23" s="33"/>
      <c r="S23" s="26">
        <f t="shared" si="10"/>
        <v>35634</v>
      </c>
      <c r="T23" s="27">
        <f t="shared" si="109"/>
        <v>1595.9740000000002</v>
      </c>
      <c r="U23" s="1909">
        <f t="shared" si="11"/>
        <v>22.32743139925838</v>
      </c>
      <c r="V23" s="28"/>
      <c r="W23" s="26">
        <f t="shared" si="12"/>
        <v>18248</v>
      </c>
      <c r="X23" s="5">
        <f t="shared" si="12"/>
        <v>180</v>
      </c>
      <c r="Y23" s="325">
        <f t="shared" si="13"/>
        <v>101.37777777777778</v>
      </c>
      <c r="Z23" s="33"/>
      <c r="AA23" s="26">
        <f t="shared" si="14"/>
        <v>0</v>
      </c>
      <c r="AB23" s="27">
        <f t="shared" si="15"/>
        <v>0</v>
      </c>
      <c r="AC23" s="53">
        <f t="shared" si="16"/>
        <v>0</v>
      </c>
      <c r="AD23" s="28"/>
      <c r="AE23" s="36"/>
      <c r="AF23" s="36"/>
      <c r="AG23" s="53">
        <f t="shared" si="17"/>
        <v>0</v>
      </c>
      <c r="AH23" s="28"/>
      <c r="AI23" s="26"/>
      <c r="AJ23" s="27"/>
      <c r="AK23" s="53">
        <f t="shared" si="18"/>
        <v>0</v>
      </c>
      <c r="AL23" s="28"/>
      <c r="AM23" s="2629"/>
      <c r="AN23" s="9"/>
      <c r="AO23" s="5"/>
      <c r="AP23" s="61">
        <f t="shared" si="19"/>
        <v>0</v>
      </c>
      <c r="AQ23" s="36"/>
      <c r="AR23" s="53"/>
      <c r="AS23" s="61">
        <f t="shared" si="20"/>
        <v>0</v>
      </c>
      <c r="AT23" s="36">
        <v>0</v>
      </c>
      <c r="AU23" s="27"/>
      <c r="AV23" s="54">
        <f t="shared" si="21"/>
        <v>0</v>
      </c>
      <c r="AW23" s="26">
        <v>45780</v>
      </c>
      <c r="AX23" s="27">
        <v>4709.82</v>
      </c>
      <c r="AY23" s="1895">
        <f t="shared" si="116"/>
        <v>9.7201166923576707</v>
      </c>
      <c r="AZ23" s="1908"/>
      <c r="BA23" s="1909"/>
      <c r="BB23" s="1895">
        <f t="shared" si="22"/>
        <v>0</v>
      </c>
      <c r="BC23" s="1740">
        <v>55650</v>
      </c>
      <c r="BD23" s="1909">
        <v>1948.8200000000002</v>
      </c>
      <c r="BE23" s="1895">
        <f t="shared" si="23"/>
        <v>28.55574142301495</v>
      </c>
      <c r="BF23" s="1908"/>
      <c r="BG23" s="1909"/>
      <c r="BH23" s="1895">
        <f t="shared" si="24"/>
        <v>0</v>
      </c>
      <c r="BI23" s="1908">
        <v>0</v>
      </c>
      <c r="BJ23" s="1909">
        <v>0</v>
      </c>
      <c r="BK23" s="1895">
        <f t="shared" si="25"/>
        <v>0</v>
      </c>
      <c r="BL23" s="1742">
        <v>35634</v>
      </c>
      <c r="BM23" s="1909">
        <v>1290.7</v>
      </c>
      <c r="BN23" s="2170">
        <v>305.274</v>
      </c>
      <c r="BO23" s="1911">
        <f t="shared" si="26"/>
        <v>27.608274579685443</v>
      </c>
      <c r="BP23" s="9"/>
      <c r="BQ23" s="64"/>
      <c r="BR23" s="482">
        <f t="shared" si="27"/>
        <v>0</v>
      </c>
      <c r="BS23" s="9"/>
      <c r="BT23" s="64"/>
      <c r="BU23" s="482">
        <f t="shared" si="28"/>
        <v>0</v>
      </c>
      <c r="BV23" s="9">
        <v>18248</v>
      </c>
      <c r="BW23" s="27">
        <v>180</v>
      </c>
      <c r="BX23" s="1051">
        <f t="shared" si="29"/>
        <v>101.37777777777778</v>
      </c>
      <c r="BY23" s="26"/>
      <c r="BZ23" s="27"/>
      <c r="CA23" s="482">
        <f t="shared" si="30"/>
        <v>0</v>
      </c>
      <c r="CB23" s="9"/>
      <c r="CC23" s="481"/>
      <c r="CD23" s="482">
        <f t="shared" si="31"/>
        <v>0</v>
      </c>
      <c r="CE23" s="4"/>
      <c r="CF23" s="5"/>
      <c r="CG23" s="28">
        <f t="shared" si="32"/>
        <v>0</v>
      </c>
      <c r="CH23" s="150"/>
      <c r="CI23" s="1108">
        <v>763</v>
      </c>
      <c r="CJ23" s="5"/>
      <c r="CK23" s="5">
        <v>4926</v>
      </c>
      <c r="CL23" s="5"/>
      <c r="CM23" s="5"/>
      <c r="CN23" s="5"/>
      <c r="CO23" s="33"/>
      <c r="CP23" s="366"/>
      <c r="CR23" s="4">
        <f t="shared" si="33"/>
        <v>0</v>
      </c>
      <c r="CS23" s="9">
        <f t="shared" si="33"/>
        <v>0</v>
      </c>
      <c r="CT23" s="5">
        <f t="shared" si="33"/>
        <v>0</v>
      </c>
      <c r="CU23" s="5">
        <f t="shared" si="33"/>
        <v>0</v>
      </c>
      <c r="CV23" s="5">
        <f t="shared" si="33"/>
        <v>0</v>
      </c>
      <c r="CW23" s="5">
        <f t="shared" si="33"/>
        <v>0</v>
      </c>
      <c r="CX23" s="5">
        <f t="shared" si="33"/>
        <v>1726.9</v>
      </c>
      <c r="CY23" s="5">
        <f t="shared" si="33"/>
        <v>0</v>
      </c>
      <c r="CZ23" s="5">
        <f t="shared" si="33"/>
        <v>6222.4400000000005</v>
      </c>
      <c r="DA23" s="5">
        <f t="shared" si="33"/>
        <v>0</v>
      </c>
      <c r="DB23" s="5">
        <f t="shared" si="33"/>
        <v>180</v>
      </c>
      <c r="DC23" s="12">
        <f t="shared" si="33"/>
        <v>0</v>
      </c>
      <c r="DD23" s="310">
        <f t="shared" si="34"/>
        <v>8129.34</v>
      </c>
      <c r="DE23" s="2695"/>
      <c r="DF23" s="8"/>
      <c r="DG23" s="9"/>
      <c r="DH23" s="5"/>
      <c r="DI23" s="5"/>
      <c r="DJ23" s="5"/>
      <c r="DK23" s="5"/>
      <c r="DL23" s="5">
        <v>1726.9</v>
      </c>
      <c r="DM23" s="5"/>
      <c r="DN23" s="5">
        <v>2982.92</v>
      </c>
      <c r="DO23" s="5"/>
      <c r="DP23" s="5"/>
      <c r="DQ23" s="12"/>
      <c r="DR23" s="28">
        <f t="shared" si="35"/>
        <v>4709.82</v>
      </c>
      <c r="DS23" s="36"/>
      <c r="DT23" s="9"/>
      <c r="DU23" s="5"/>
      <c r="DV23" s="5"/>
      <c r="DW23" s="5"/>
      <c r="DX23" s="5"/>
      <c r="DY23" s="5"/>
      <c r="DZ23" s="5"/>
      <c r="EA23" s="5">
        <v>3239.5200000000004</v>
      </c>
      <c r="EB23" s="27"/>
      <c r="EC23" s="27">
        <v>0</v>
      </c>
      <c r="ED23" s="33"/>
      <c r="EE23" s="28">
        <f t="shared" si="36"/>
        <v>3239.5200000000004</v>
      </c>
      <c r="EF23" s="9"/>
      <c r="EG23" s="36"/>
      <c r="EH23" s="5"/>
      <c r="EI23" s="27"/>
      <c r="EJ23" s="27"/>
      <c r="EK23" s="27"/>
      <c r="EL23" s="27"/>
      <c r="EM23" s="27"/>
      <c r="EN23" s="5"/>
      <c r="EO23" s="5"/>
      <c r="EP23" s="5">
        <v>180</v>
      </c>
      <c r="EQ23" s="33"/>
      <c r="ER23" s="28">
        <f t="shared" si="120"/>
        <v>180</v>
      </c>
      <c r="ES23" s="36"/>
      <c r="ET23" s="27"/>
      <c r="EU23" s="27"/>
      <c r="EV23" s="27"/>
      <c r="EW23" s="27"/>
      <c r="EX23" s="27"/>
      <c r="EY23" s="33">
        <f t="shared" si="38"/>
        <v>0</v>
      </c>
      <c r="EZ23" s="2685"/>
      <c r="FB23" s="4">
        <f t="shared" si="39"/>
        <v>0</v>
      </c>
      <c r="FC23" s="5">
        <f t="shared" si="40"/>
        <v>0</v>
      </c>
      <c r="FD23" s="5">
        <f t="shared" si="41"/>
        <v>0</v>
      </c>
      <c r="FE23" s="12">
        <f t="shared" si="42"/>
        <v>0</v>
      </c>
      <c r="FF23" s="33"/>
      <c r="FG23" s="2674"/>
      <c r="FH23" s="9"/>
      <c r="FI23" s="5"/>
      <c r="FJ23" s="5"/>
      <c r="FK23" s="5"/>
      <c r="FL23" s="5"/>
      <c r="FM23" s="27"/>
      <c r="FN23" s="28">
        <f t="shared" si="43"/>
        <v>0</v>
      </c>
      <c r="FO23" s="36"/>
      <c r="FP23" s="27"/>
      <c r="FQ23" s="27"/>
      <c r="FR23" s="27"/>
      <c r="FS23" s="27"/>
      <c r="FT23" s="27"/>
      <c r="FU23" s="28">
        <f t="shared" si="44"/>
        <v>0</v>
      </c>
      <c r="FV23" s="36"/>
      <c r="FW23" s="36"/>
      <c r="FX23" s="27"/>
      <c r="FY23" s="27"/>
      <c r="FZ23" s="27"/>
      <c r="GA23" s="27"/>
      <c r="GB23" s="27"/>
      <c r="GC23" s="27"/>
      <c r="GD23" s="27"/>
      <c r="GE23" s="27"/>
      <c r="GF23" s="27"/>
      <c r="GG23" s="33"/>
      <c r="GH23" s="33">
        <f t="shared" si="45"/>
        <v>0</v>
      </c>
      <c r="GI23" s="2674"/>
      <c r="GK23" s="2">
        <f t="shared" si="110"/>
        <v>0</v>
      </c>
      <c r="GL23" s="63">
        <f t="shared" si="111"/>
        <v>0</v>
      </c>
      <c r="GM23" s="24">
        <f t="shared" si="112"/>
        <v>0</v>
      </c>
      <c r="GN23" s="1736">
        <f t="shared" si="46"/>
        <v>0</v>
      </c>
      <c r="GO23" s="141"/>
      <c r="GP23" s="141"/>
      <c r="GQ23" s="33" t="s">
        <v>963</v>
      </c>
      <c r="GR23" s="2667"/>
      <c r="GS23" s="1940">
        <v>0</v>
      </c>
      <c r="GT23" s="5">
        <v>0</v>
      </c>
      <c r="GU23" s="5">
        <v>0</v>
      </c>
      <c r="GV23" s="27">
        <v>0</v>
      </c>
      <c r="GW23" s="54">
        <f t="shared" si="47"/>
        <v>0</v>
      </c>
      <c r="GX23" s="2667"/>
      <c r="GY23" s="36"/>
      <c r="GZ23" s="36"/>
      <c r="HA23" s="27"/>
      <c r="HB23" s="27"/>
      <c r="HC23" s="27"/>
      <c r="HD23" s="27"/>
      <c r="HE23" s="27"/>
      <c r="HF23" s="27"/>
      <c r="HG23" s="27">
        <v>0</v>
      </c>
      <c r="HH23" s="27"/>
      <c r="HI23" s="2167">
        <v>0</v>
      </c>
      <c r="HJ23" s="27"/>
      <c r="HK23" s="27">
        <v>0</v>
      </c>
      <c r="HL23" s="27"/>
      <c r="HM23" s="28">
        <f t="shared" si="121"/>
        <v>0</v>
      </c>
      <c r="HN23" s="36"/>
      <c r="HO23" s="27"/>
      <c r="HP23" s="27"/>
      <c r="HQ23" s="27"/>
      <c r="HR23" s="27"/>
      <c r="HS23" s="27"/>
      <c r="HT23" s="27" cm="1">
        <f t="array" ref="HT23">SUMPRODUCT(('Data Base hauling'!$C$2:$C$216="TCM-ROM SB1 BK05-ROM 4")*(ISNUMBER(SEARCH(TEXT('May TCM'!$B23,"00")&amp;"/03/2026",'Data Base hauling'!$E$2:$E$216)))*'Data Base hauling'!$N$2:$N$216)</f>
        <v>0</v>
      </c>
      <c r="HU23" s="27"/>
      <c r="HV23" s="27" cm="1">
        <f t="array" ref="HV23">SUMPRODUCT(('Data Base hauling'!$C$2:$C$216="TCM-ROM SB1 BK05-ROM 5")*(ISNUMBER(SEARCH(TEXT('May TCM'!$B23,"00")&amp;"/03/2026",'Data Base hauling'!$E$2:$E$216)))*'Data Base hauling'!$N$2:$N$216)</f>
        <v>0</v>
      </c>
      <c r="HW23" s="27"/>
      <c r="HX23" s="27"/>
      <c r="HY23" s="27"/>
      <c r="HZ23" s="27"/>
      <c r="IA23" s="27"/>
      <c r="IB23" s="33">
        <f t="shared" si="49"/>
        <v>0</v>
      </c>
      <c r="IC23" s="52"/>
      <c r="ID23" s="152"/>
      <c r="IE23" s="53"/>
      <c r="IF23" s="53"/>
      <c r="IG23" s="53"/>
      <c r="IH23" s="53"/>
      <c r="II23" s="1736">
        <v>0</v>
      </c>
      <c r="IJ23" s="1736"/>
      <c r="IK23" s="1736">
        <v>0</v>
      </c>
      <c r="IL23" s="53"/>
      <c r="IM23" s="53">
        <v>0</v>
      </c>
      <c r="IN23" s="53"/>
      <c r="IO23" s="53"/>
      <c r="IP23" s="49">
        <v>0</v>
      </c>
      <c r="IQ23" s="2195">
        <f t="shared" si="122"/>
        <v>0</v>
      </c>
      <c r="IR23" s="36"/>
      <c r="IS23" s="36"/>
      <c r="IT23" s="27"/>
      <c r="IU23" s="27"/>
      <c r="IV23" s="53"/>
      <c r="IW23" s="27"/>
      <c r="IX23" s="27">
        <v>0</v>
      </c>
      <c r="IY23" s="27"/>
      <c r="IZ23" s="27">
        <v>0</v>
      </c>
      <c r="JA23" s="27"/>
      <c r="JB23" s="27">
        <v>0</v>
      </c>
      <c r="JC23" s="27"/>
      <c r="JD23" s="27"/>
      <c r="JE23" s="27"/>
      <c r="JF23" s="33">
        <f t="shared" si="123"/>
        <v>0</v>
      </c>
      <c r="JG23" s="2667"/>
      <c r="JI23" s="2019">
        <v>0</v>
      </c>
      <c r="JJ23" s="2017">
        <v>0</v>
      </c>
      <c r="JK23" s="53"/>
      <c r="JL23" s="53">
        <f t="shared" si="52"/>
        <v>0</v>
      </c>
      <c r="JM23" s="33"/>
      <c r="JN23" s="2669"/>
      <c r="JO23" s="69" t="s">
        <v>296</v>
      </c>
      <c r="JP23" s="70" t="s">
        <v>296</v>
      </c>
      <c r="JQ23" s="70" t="s">
        <v>296</v>
      </c>
      <c r="JR23" s="850" t="s">
        <v>296</v>
      </c>
      <c r="JS23" s="850" t="s">
        <v>296</v>
      </c>
      <c r="JT23" s="850" t="s">
        <v>296</v>
      </c>
      <c r="JU23" s="70" t="s">
        <v>296</v>
      </c>
      <c r="JV23" s="1922">
        <v>0</v>
      </c>
      <c r="JW23" s="69" t="s">
        <v>296</v>
      </c>
      <c r="JX23" s="70" t="s">
        <v>296</v>
      </c>
      <c r="JY23" s="70" t="s">
        <v>296</v>
      </c>
      <c r="JZ23" s="70" t="s">
        <v>296</v>
      </c>
      <c r="KA23" s="70" t="s">
        <v>296</v>
      </c>
      <c r="KB23" s="70" t="s">
        <v>296</v>
      </c>
      <c r="KC23" s="70" t="s">
        <v>296</v>
      </c>
      <c r="KD23" s="71" t="s">
        <v>296</v>
      </c>
      <c r="KE23" s="69"/>
      <c r="KF23" s="70"/>
      <c r="KG23" s="70"/>
      <c r="KH23" s="70"/>
      <c r="KI23" s="70"/>
      <c r="KJ23" s="70"/>
      <c r="KK23" s="70"/>
      <c r="KL23" s="70"/>
      <c r="KM23" s="33"/>
      <c r="KN23" s="2669"/>
      <c r="KO23" s="1739">
        <v>0</v>
      </c>
      <c r="KP23" s="1721">
        <v>0</v>
      </c>
      <c r="KQ23" s="1721">
        <v>0</v>
      </c>
      <c r="KR23" s="1721">
        <v>0</v>
      </c>
      <c r="KS23" s="1722">
        <v>0</v>
      </c>
      <c r="KT23" s="1958">
        <v>0</v>
      </c>
      <c r="KU23" s="1961">
        <v>0</v>
      </c>
      <c r="KV23" s="1961">
        <v>0</v>
      </c>
      <c r="KW23" s="1961">
        <v>0</v>
      </c>
      <c r="KX23" s="1962">
        <v>0</v>
      </c>
      <c r="KY23" s="36"/>
      <c r="KZ23" s="53"/>
      <c r="LA23" s="53"/>
      <c r="LB23" s="53"/>
      <c r="LC23" s="53"/>
      <c r="LD23" s="33"/>
      <c r="LE23" s="2669"/>
      <c r="LG23" s="4">
        <f t="shared" si="53"/>
        <v>4161.3935000000001</v>
      </c>
      <c r="LH23" s="27">
        <f t="shared" si="53"/>
        <v>3404.7764999999999</v>
      </c>
      <c r="LI23" s="27">
        <f t="shared" si="53"/>
        <v>0</v>
      </c>
      <c r="LJ23" s="28">
        <f t="shared" si="54"/>
        <v>7566.17</v>
      </c>
      <c r="LK23" s="36"/>
      <c r="LL23" s="27"/>
      <c r="LM23" s="27">
        <v>2</v>
      </c>
      <c r="LN23" s="33"/>
      <c r="LO23" s="1957">
        <v>7.63</v>
      </c>
      <c r="LP23" s="486"/>
      <c r="LQ23" s="2688"/>
      <c r="LR23" s="36"/>
      <c r="LS23" s="36"/>
      <c r="LT23" s="27"/>
      <c r="LU23" s="27"/>
      <c r="LV23" s="27"/>
      <c r="LW23" s="1117">
        <f t="shared" si="55"/>
        <v>0</v>
      </c>
      <c r="LX23" s="36">
        <v>4161.3935000000001</v>
      </c>
      <c r="LY23" s="36">
        <v>3404.7764999999999</v>
      </c>
      <c r="LZ23" s="27"/>
      <c r="MA23" s="27"/>
      <c r="MB23" s="33"/>
      <c r="MC23" s="28">
        <f t="shared" si="56"/>
        <v>7566.17</v>
      </c>
      <c r="MD23" s="26"/>
      <c r="ME23" s="36"/>
      <c r="MF23" s="27"/>
      <c r="MG23" s="27"/>
      <c r="MH23" s="27"/>
      <c r="MI23" s="28"/>
      <c r="MJ23" s="36"/>
      <c r="MK23" s="36"/>
      <c r="ML23" s="27"/>
      <c r="MM23" s="27"/>
      <c r="MN23" s="27"/>
      <c r="MO23" s="28"/>
      <c r="MP23" s="36"/>
      <c r="MQ23" s="36"/>
      <c r="MR23" s="27"/>
      <c r="MS23" s="27"/>
      <c r="MT23" s="27"/>
      <c r="MU23" s="33">
        <f t="shared" si="57"/>
        <v>0</v>
      </c>
      <c r="MV23" s="2688"/>
      <c r="MX23" s="26">
        <f t="shared" si="58"/>
        <v>148323.62530228571</v>
      </c>
      <c r="MY23" s="27">
        <f t="shared" si="59"/>
        <v>86318.969189766547</v>
      </c>
      <c r="MZ23" s="27">
        <f t="shared" si="60"/>
        <v>22753.175253194549</v>
      </c>
      <c r="NA23" s="28">
        <f t="shared" si="61"/>
        <v>425917.80855851003</v>
      </c>
      <c r="NB23" s="2621"/>
      <c r="NC23" s="23">
        <f t="shared" si="62"/>
        <v>43768.405797803702</v>
      </c>
      <c r="ND23" s="1579">
        <f t="shared" si="63"/>
        <v>104555.219504482</v>
      </c>
      <c r="NE23" s="60">
        <f t="shared" si="64"/>
        <v>0</v>
      </c>
      <c r="NF23" s="275">
        <f t="shared" si="4"/>
        <v>148323.62530228571</v>
      </c>
      <c r="NG23" s="26">
        <f t="shared" si="65"/>
        <v>0</v>
      </c>
      <c r="NH23" s="27">
        <f t="shared" si="65"/>
        <v>0</v>
      </c>
      <c r="NI23" s="27">
        <f t="shared" si="65"/>
        <v>0</v>
      </c>
      <c r="NJ23" s="27">
        <f t="shared" si="65"/>
        <v>0</v>
      </c>
      <c r="NK23" s="27">
        <f t="shared" si="65"/>
        <v>0</v>
      </c>
      <c r="NL23" s="33">
        <f t="shared" si="65"/>
        <v>0</v>
      </c>
      <c r="NM23" s="27">
        <f t="shared" si="65"/>
        <v>0</v>
      </c>
      <c r="NN23" s="36">
        <f t="shared" si="65"/>
        <v>0</v>
      </c>
      <c r="NO23" s="24">
        <f t="shared" si="65"/>
        <v>2449.1631443320584</v>
      </c>
      <c r="NP23" s="27">
        <f t="shared" si="65"/>
        <v>26196.696072681989</v>
      </c>
      <c r="NQ23" s="24">
        <f t="shared" si="113"/>
        <v>8756.5482322711578</v>
      </c>
      <c r="NR23" s="24">
        <f t="shared" si="114"/>
        <v>465.98269805869495</v>
      </c>
      <c r="NS23" s="27">
        <f t="shared" si="0"/>
        <v>37868.390147343904</v>
      </c>
      <c r="NT23" s="27">
        <f t="shared" si="66"/>
        <v>0</v>
      </c>
      <c r="NU23" s="27">
        <f t="shared" si="66"/>
        <v>0</v>
      </c>
      <c r="NV23" s="27">
        <f t="shared" si="66"/>
        <v>0</v>
      </c>
      <c r="NW23" s="27">
        <f t="shared" si="66"/>
        <v>0</v>
      </c>
      <c r="NX23" s="27">
        <f t="shared" si="66"/>
        <v>0</v>
      </c>
      <c r="NY23" s="5">
        <f t="shared" si="66"/>
        <v>0</v>
      </c>
      <c r="NZ23" s="27">
        <f t="shared" si="66"/>
        <v>8641.2227301930761</v>
      </c>
      <c r="OA23" s="27">
        <f t="shared" si="66"/>
        <v>0</v>
      </c>
      <c r="OB23" s="27">
        <f t="shared" si="66"/>
        <v>23463.561841856761</v>
      </c>
      <c r="OC23" s="280"/>
      <c r="OD23" s="24">
        <f t="shared" si="67"/>
        <v>454.51223506073143</v>
      </c>
      <c r="OE23" s="27">
        <f t="shared" si="67"/>
        <v>0</v>
      </c>
      <c r="OF23" s="28">
        <f t="shared" si="1"/>
        <v>32559.296807110568</v>
      </c>
      <c r="OG23" s="27">
        <f t="shared" si="68"/>
        <v>0</v>
      </c>
      <c r="OH23" s="27">
        <f t="shared" si="68"/>
        <v>0</v>
      </c>
      <c r="OI23" s="27">
        <v>0</v>
      </c>
      <c r="OJ23" s="27">
        <f t="shared" si="68"/>
        <v>0</v>
      </c>
      <c r="OK23" s="27">
        <f t="shared" si="68"/>
        <v>0</v>
      </c>
      <c r="OL23" s="27">
        <f t="shared" si="68"/>
        <v>0</v>
      </c>
      <c r="OM23" s="24">
        <f t="shared" si="68"/>
        <v>0</v>
      </c>
      <c r="ON23" s="27">
        <f t="shared" si="68"/>
        <v>0</v>
      </c>
      <c r="OO23" s="24">
        <f t="shared" si="115"/>
        <v>15891.282235312072</v>
      </c>
      <c r="OP23" s="27">
        <f t="shared" si="68"/>
        <v>0</v>
      </c>
      <c r="OQ23" s="27">
        <f t="shared" si="68"/>
        <v>0</v>
      </c>
      <c r="OR23" s="27">
        <f t="shared" si="68"/>
        <v>0</v>
      </c>
      <c r="OS23" s="28">
        <f t="shared" si="2"/>
        <v>15891.282235312072</v>
      </c>
      <c r="OT23" s="36"/>
      <c r="OU23" s="27"/>
      <c r="OV23" s="27"/>
      <c r="OW23" s="27"/>
      <c r="OX23" s="27"/>
      <c r="OY23" s="27"/>
      <c r="OZ23" s="28">
        <f t="shared" si="69"/>
        <v>0</v>
      </c>
      <c r="PA23" s="36">
        <f t="shared" si="70"/>
        <v>0</v>
      </c>
      <c r="PB23" s="27">
        <f t="shared" si="71"/>
        <v>0</v>
      </c>
      <c r="PC23" s="27">
        <f t="shared" si="72"/>
        <v>0</v>
      </c>
      <c r="PD23" s="27">
        <f t="shared" si="73"/>
        <v>0</v>
      </c>
      <c r="PE23" s="24"/>
      <c r="PF23" s="27">
        <f t="shared" si="74"/>
        <v>0</v>
      </c>
      <c r="PG23" s="33">
        <f t="shared" si="3"/>
        <v>0</v>
      </c>
      <c r="PH23" s="2621"/>
      <c r="PJ23" s="2">
        <v>260.62</v>
      </c>
      <c r="PK23" s="3">
        <v>267</v>
      </c>
      <c r="PL23" s="3">
        <v>111.25</v>
      </c>
      <c r="PM23" s="3">
        <v>0</v>
      </c>
      <c r="PN23" s="3">
        <f t="shared" si="75"/>
        <v>29846.829776580693</v>
      </c>
      <c r="PO23" s="11">
        <f t="shared" si="76"/>
        <v>22753.175253194549</v>
      </c>
      <c r="PP23" s="15"/>
      <c r="PQ23" s="2615"/>
      <c r="PS23" s="4"/>
      <c r="PT23" s="9"/>
      <c r="PU23" s="9"/>
      <c r="PV23" s="9"/>
      <c r="PW23" s="8">
        <v>0</v>
      </c>
      <c r="PX23" s="9"/>
      <c r="PY23" s="8">
        <f t="shared" si="77"/>
        <v>0</v>
      </c>
      <c r="PZ23" s="5">
        <f t="shared" si="78"/>
        <v>260.62</v>
      </c>
      <c r="QA23" s="5"/>
      <c r="QB23" s="5"/>
      <c r="QC23" s="5"/>
      <c r="QD23" s="5"/>
      <c r="QE23" s="5"/>
      <c r="QF23" s="12"/>
      <c r="QG23" s="12">
        <f t="shared" si="79"/>
        <v>29562.488999999998</v>
      </c>
      <c r="QH23" s="420">
        <f t="shared" si="80"/>
        <v>396355.31955851003</v>
      </c>
      <c r="QI23" s="1106">
        <f t="shared" si="81"/>
        <v>0</v>
      </c>
      <c r="QJ23" s="484">
        <f t="shared" si="82"/>
        <v>5505.3678056099998</v>
      </c>
      <c r="QK23" s="12"/>
      <c r="QL23" s="2615"/>
      <c r="QN23" s="139" t="str">
        <f t="shared" si="83"/>
        <v/>
      </c>
      <c r="QO23" s="139" t="str">
        <f t="shared" si="84"/>
        <v/>
      </c>
      <c r="QQ23" s="139" t="str">
        <f t="shared" si="85"/>
        <v/>
      </c>
      <c r="QR23" s="139" t="str">
        <f t="shared" si="86"/>
        <v/>
      </c>
      <c r="QT23" s="1">
        <f t="shared" si="87"/>
        <v>0</v>
      </c>
      <c r="QU23" s="1">
        <f t="shared" si="88"/>
        <v>0</v>
      </c>
      <c r="QV23" s="1">
        <f t="shared" si="89"/>
        <v>0</v>
      </c>
      <c r="QW23" s="1">
        <f t="shared" si="90"/>
        <v>0</v>
      </c>
      <c r="QX23" s="1">
        <f t="shared" si="91"/>
        <v>0</v>
      </c>
      <c r="QY23" s="1">
        <f t="shared" si="92"/>
        <v>0</v>
      </c>
      <c r="RA23" s="1">
        <f t="shared" si="93"/>
        <v>0</v>
      </c>
      <c r="RB23" s="1">
        <f t="shared" si="94"/>
        <v>0</v>
      </c>
      <c r="RC23" s="1">
        <f t="shared" si="95"/>
        <v>0</v>
      </c>
      <c r="RD23" s="1">
        <f t="shared" si="96"/>
        <v>0</v>
      </c>
      <c r="RE23" s="1">
        <f t="shared" si="97"/>
        <v>0</v>
      </c>
      <c r="RF23" s="1">
        <f t="shared" si="98"/>
        <v>0</v>
      </c>
      <c r="RI23" s="1">
        <v>14</v>
      </c>
      <c r="RJ23" s="1">
        <f t="shared" si="124"/>
        <v>8661.6657097170955</v>
      </c>
      <c r="RK23" s="1">
        <f t="shared" si="125"/>
        <v>5424.0212804837174</v>
      </c>
      <c r="RL23" s="1">
        <f t="shared" si="126"/>
        <v>13404.263703387322</v>
      </c>
      <c r="RM23" s="89">
        <f t="shared" si="5"/>
        <v>27489.950693588136</v>
      </c>
      <c r="RN23" s="1033">
        <v>14</v>
      </c>
      <c r="RO23" s="1098">
        <f t="shared" si="100"/>
        <v>0</v>
      </c>
      <c r="RP23" s="1098">
        <f t="shared" si="101"/>
        <v>0</v>
      </c>
      <c r="RQ23" s="1097">
        <f t="shared" si="102"/>
        <v>0</v>
      </c>
      <c r="RR23" s="1097">
        <f t="shared" si="103"/>
        <v>7949.34</v>
      </c>
      <c r="RS23" s="1050"/>
      <c r="RT23" s="1050" t="s">
        <v>964</v>
      </c>
      <c r="RU23" s="1048"/>
      <c r="RW23" s="421">
        <v>14</v>
      </c>
      <c r="RX23" s="1095">
        <f t="shared" si="104"/>
        <v>0</v>
      </c>
      <c r="RY23" s="1115"/>
      <c r="RZ23" s="1114"/>
      <c r="SA23" s="1090"/>
      <c r="SB23" s="1090">
        <f t="shared" si="105"/>
        <v>0</v>
      </c>
      <c r="SC23" s="1090"/>
      <c r="SD23" s="1090">
        <f t="shared" si="127"/>
        <v>0</v>
      </c>
      <c r="SF23" s="1">
        <v>14</v>
      </c>
      <c r="SG23" s="1">
        <f t="shared" si="107"/>
        <v>0</v>
      </c>
    </row>
    <row r="24" spans="1:502" s="1" customFormat="1">
      <c r="B24" s="471">
        <v>15</v>
      </c>
      <c r="C24" s="1959">
        <f t="shared" si="6"/>
        <v>124821</v>
      </c>
      <c r="D24" s="1726">
        <f t="shared" si="119"/>
        <v>7129.32</v>
      </c>
      <c r="E24" s="1895">
        <f t="shared" si="7"/>
        <v>17.508121391661479</v>
      </c>
      <c r="F24" s="870"/>
      <c r="G24" s="870"/>
      <c r="H24" s="52">
        <v>25</v>
      </c>
      <c r="I24" s="61">
        <v>7.37</v>
      </c>
      <c r="J24" s="52"/>
      <c r="K24" s="54"/>
      <c r="L24" s="52">
        <v>10</v>
      </c>
      <c r="M24" s="61">
        <v>6.17</v>
      </c>
      <c r="N24" s="2629"/>
      <c r="O24" s="4">
        <f t="shared" si="118"/>
        <v>84546</v>
      </c>
      <c r="P24" s="1225">
        <f t="shared" si="8"/>
        <v>4979.8599999999997</v>
      </c>
      <c r="Q24" s="1913">
        <f t="shared" si="9"/>
        <v>16.977585715261071</v>
      </c>
      <c r="R24" s="33"/>
      <c r="S24" s="26">
        <f t="shared" si="10"/>
        <v>26499</v>
      </c>
      <c r="T24" s="27">
        <f t="shared" si="109"/>
        <v>1589.4599999999998</v>
      </c>
      <c r="U24" s="1909">
        <f t="shared" si="11"/>
        <v>16.671699822581257</v>
      </c>
      <c r="V24" s="28"/>
      <c r="W24" s="26">
        <f t="shared" si="12"/>
        <v>13776</v>
      </c>
      <c r="X24" s="5">
        <f t="shared" si="12"/>
        <v>560</v>
      </c>
      <c r="Y24" s="325">
        <f t="shared" si="13"/>
        <v>24.6</v>
      </c>
      <c r="Z24" s="33"/>
      <c r="AA24" s="26">
        <f t="shared" si="14"/>
        <v>0</v>
      </c>
      <c r="AB24" s="27">
        <f t="shared" si="15"/>
        <v>0</v>
      </c>
      <c r="AC24" s="53">
        <f t="shared" si="16"/>
        <v>0</v>
      </c>
      <c r="AD24" s="28"/>
      <c r="AE24" s="36"/>
      <c r="AF24" s="36"/>
      <c r="AG24" s="53">
        <f t="shared" si="17"/>
        <v>0</v>
      </c>
      <c r="AH24" s="28"/>
      <c r="AI24" s="23"/>
      <c r="AJ24" s="27"/>
      <c r="AK24" s="53">
        <f t="shared" si="18"/>
        <v>0</v>
      </c>
      <c r="AL24" s="28"/>
      <c r="AM24" s="2629"/>
      <c r="AN24" s="9"/>
      <c r="AO24" s="5"/>
      <c r="AP24" s="61">
        <f t="shared" si="19"/>
        <v>0</v>
      </c>
      <c r="AQ24" s="36"/>
      <c r="AR24" s="53"/>
      <c r="AS24" s="61">
        <f t="shared" si="20"/>
        <v>0</v>
      </c>
      <c r="AT24" s="36">
        <v>0</v>
      </c>
      <c r="AU24" s="27"/>
      <c r="AV24" s="54">
        <f t="shared" si="21"/>
        <v>0</v>
      </c>
      <c r="AW24" s="26">
        <v>40026</v>
      </c>
      <c r="AX24" s="2167">
        <v>3260.7</v>
      </c>
      <c r="AY24" s="1895">
        <f t="shared" si="116"/>
        <v>12.275278314472354</v>
      </c>
      <c r="AZ24" s="1908"/>
      <c r="BA24" s="1909"/>
      <c r="BB24" s="1895">
        <f t="shared" si="22"/>
        <v>0</v>
      </c>
      <c r="BC24" s="1740">
        <v>44520</v>
      </c>
      <c r="BD24" s="2167">
        <v>1719.1599999999999</v>
      </c>
      <c r="BE24" s="1895">
        <f t="shared" si="23"/>
        <v>25.89636799367133</v>
      </c>
      <c r="BF24" s="1908"/>
      <c r="BG24" s="1909"/>
      <c r="BH24" s="1895">
        <f t="shared" si="24"/>
        <v>0</v>
      </c>
      <c r="BI24" s="1908">
        <v>0</v>
      </c>
      <c r="BJ24" s="1909">
        <v>0</v>
      </c>
      <c r="BK24" s="1895">
        <f t="shared" si="25"/>
        <v>0</v>
      </c>
      <c r="BL24" s="1742">
        <v>26499</v>
      </c>
      <c r="BM24" s="2167">
        <v>1589.4599999999998</v>
      </c>
      <c r="BN24" s="1941"/>
      <c r="BO24" s="1911">
        <f t="shared" si="26"/>
        <v>16.671699822581257</v>
      </c>
      <c r="BP24" s="9"/>
      <c r="BQ24" s="64"/>
      <c r="BR24" s="482">
        <f t="shared" si="27"/>
        <v>0</v>
      </c>
      <c r="BS24" s="9"/>
      <c r="BT24" s="64"/>
      <c r="BU24" s="482">
        <f t="shared" si="28"/>
        <v>0</v>
      </c>
      <c r="BV24" s="9">
        <v>13776</v>
      </c>
      <c r="BW24" s="27">
        <v>560</v>
      </c>
      <c r="BX24" s="1051">
        <f t="shared" si="29"/>
        <v>24.6</v>
      </c>
      <c r="BY24" s="26"/>
      <c r="BZ24" s="27"/>
      <c r="CA24" s="482">
        <f t="shared" si="30"/>
        <v>0</v>
      </c>
      <c r="CB24" s="9"/>
      <c r="CC24" s="481"/>
      <c r="CD24" s="482">
        <f t="shared" si="31"/>
        <v>0</v>
      </c>
      <c r="CE24" s="4"/>
      <c r="CF24" s="5"/>
      <c r="CG24" s="28">
        <f t="shared" si="32"/>
        <v>0</v>
      </c>
      <c r="CH24" s="150"/>
      <c r="CI24" s="1108">
        <v>833</v>
      </c>
      <c r="CJ24" s="5"/>
      <c r="CK24" s="5">
        <v>4597</v>
      </c>
      <c r="CL24" s="5"/>
      <c r="CM24" s="5"/>
      <c r="CN24" s="5"/>
      <c r="CO24" s="33"/>
      <c r="CP24" s="366"/>
      <c r="CR24" s="4">
        <f t="shared" si="33"/>
        <v>0</v>
      </c>
      <c r="CS24" s="9">
        <f t="shared" si="33"/>
        <v>0</v>
      </c>
      <c r="CT24" s="5">
        <f t="shared" si="33"/>
        <v>0</v>
      </c>
      <c r="CU24" s="5">
        <f t="shared" si="33"/>
        <v>0</v>
      </c>
      <c r="CV24" s="5">
        <f t="shared" si="33"/>
        <v>0</v>
      </c>
      <c r="CW24" s="5">
        <f t="shared" si="33"/>
        <v>0</v>
      </c>
      <c r="CX24" s="5">
        <f t="shared" si="33"/>
        <v>935.66</v>
      </c>
      <c r="CY24" s="5">
        <f t="shared" si="33"/>
        <v>0</v>
      </c>
      <c r="CZ24" s="5">
        <f t="shared" si="33"/>
        <v>5633.66</v>
      </c>
      <c r="DA24" s="5">
        <f t="shared" si="33"/>
        <v>0</v>
      </c>
      <c r="DB24" s="5">
        <f t="shared" si="33"/>
        <v>560</v>
      </c>
      <c r="DC24" s="12">
        <f t="shared" si="33"/>
        <v>0</v>
      </c>
      <c r="DD24" s="2168">
        <f t="shared" si="34"/>
        <v>7129.32</v>
      </c>
      <c r="DE24" s="2695"/>
      <c r="DF24" s="8"/>
      <c r="DG24" s="9"/>
      <c r="DH24" s="5"/>
      <c r="DI24" s="5"/>
      <c r="DJ24" s="5"/>
      <c r="DK24" s="5"/>
      <c r="DL24" s="5">
        <v>935.66</v>
      </c>
      <c r="DM24" s="5"/>
      <c r="DN24" s="5">
        <v>2325.04</v>
      </c>
      <c r="DO24" s="5"/>
      <c r="DP24" s="5"/>
      <c r="DQ24" s="12"/>
      <c r="DR24" s="28">
        <f t="shared" si="35"/>
        <v>3260.7</v>
      </c>
      <c r="DS24" s="36"/>
      <c r="DT24" s="9"/>
      <c r="DU24" s="5"/>
      <c r="DV24" s="5"/>
      <c r="DW24" s="5"/>
      <c r="DX24" s="5"/>
      <c r="DY24" s="5"/>
      <c r="DZ24" s="5"/>
      <c r="EA24" s="5">
        <v>3308.6200000000003</v>
      </c>
      <c r="EB24" s="27"/>
      <c r="EC24" s="27">
        <v>0</v>
      </c>
      <c r="ED24" s="33"/>
      <c r="EE24" s="28">
        <f t="shared" si="36"/>
        <v>3308.6200000000003</v>
      </c>
      <c r="EF24" s="9"/>
      <c r="EG24" s="36"/>
      <c r="EH24" s="5"/>
      <c r="EI24" s="27"/>
      <c r="EJ24" s="27"/>
      <c r="EK24" s="27"/>
      <c r="EL24" s="27"/>
      <c r="EM24" s="27"/>
      <c r="EN24" s="5"/>
      <c r="EO24" s="5"/>
      <c r="EP24" s="5">
        <v>560</v>
      </c>
      <c r="EQ24" s="33"/>
      <c r="ER24" s="28">
        <f t="shared" si="120"/>
        <v>560</v>
      </c>
      <c r="ES24" s="36"/>
      <c r="ET24" s="27"/>
      <c r="EU24" s="27"/>
      <c r="EV24" s="27"/>
      <c r="EW24" s="27"/>
      <c r="EX24" s="27"/>
      <c r="EY24" s="33">
        <f t="shared" si="38"/>
        <v>0</v>
      </c>
      <c r="EZ24" s="2685"/>
      <c r="FB24" s="4">
        <f t="shared" si="39"/>
        <v>0</v>
      </c>
      <c r="FC24" s="5">
        <f t="shared" si="40"/>
        <v>0</v>
      </c>
      <c r="FD24" s="5">
        <f t="shared" si="41"/>
        <v>0</v>
      </c>
      <c r="FE24" s="12">
        <f t="shared" si="42"/>
        <v>0</v>
      </c>
      <c r="FF24" s="33"/>
      <c r="FG24" s="2674"/>
      <c r="FH24" s="9"/>
      <c r="FI24" s="5"/>
      <c r="FJ24" s="5"/>
      <c r="FK24" s="5"/>
      <c r="FL24" s="5"/>
      <c r="FM24" s="27"/>
      <c r="FN24" s="28">
        <f t="shared" si="43"/>
        <v>0</v>
      </c>
      <c r="FO24" s="36"/>
      <c r="FP24" s="27"/>
      <c r="FQ24" s="27"/>
      <c r="FR24" s="27"/>
      <c r="FS24" s="27"/>
      <c r="FT24" s="27"/>
      <c r="FU24" s="28">
        <f t="shared" si="44"/>
        <v>0</v>
      </c>
      <c r="FV24" s="36"/>
      <c r="FW24" s="36"/>
      <c r="FX24" s="27"/>
      <c r="FY24" s="27"/>
      <c r="FZ24" s="27"/>
      <c r="GA24" s="27"/>
      <c r="GB24" s="27"/>
      <c r="GC24" s="27"/>
      <c r="GD24" s="27"/>
      <c r="GE24" s="27"/>
      <c r="GF24" s="27"/>
      <c r="GG24" s="33"/>
      <c r="GH24" s="33">
        <f t="shared" si="45"/>
        <v>0</v>
      </c>
      <c r="GI24" s="2674"/>
      <c r="GK24" s="2">
        <f t="shared" si="110"/>
        <v>2242.84</v>
      </c>
      <c r="GL24" s="1942">
        <f t="shared" si="111"/>
        <v>7126.95</v>
      </c>
      <c r="GM24" s="1943">
        <f t="shared" si="112"/>
        <v>6137.6299999999992</v>
      </c>
      <c r="GN24" s="1736">
        <f t="shared" si="46"/>
        <v>15507.42</v>
      </c>
      <c r="GO24" s="141"/>
      <c r="GP24" s="141"/>
      <c r="GQ24" s="33"/>
      <c r="GR24" s="2667"/>
      <c r="GS24" s="152">
        <v>6621.5800000000017</v>
      </c>
      <c r="GT24" s="27">
        <v>0</v>
      </c>
      <c r="GU24" s="27">
        <v>5048.8500000000013</v>
      </c>
      <c r="GV24" s="27">
        <v>3836.99</v>
      </c>
      <c r="GW24" s="1941">
        <f t="shared" si="47"/>
        <v>15507.420000000004</v>
      </c>
      <c r="GX24" s="2667"/>
      <c r="GY24" s="36"/>
      <c r="GZ24" s="36"/>
      <c r="HA24" s="27"/>
      <c r="HB24" s="27"/>
      <c r="HC24" s="27"/>
      <c r="HD24" s="27"/>
      <c r="HE24" s="27"/>
      <c r="HF24" s="27"/>
      <c r="HG24" s="27">
        <v>0</v>
      </c>
      <c r="HH24" s="27"/>
      <c r="HI24" s="2167">
        <v>2242.84</v>
      </c>
      <c r="HJ24" s="27"/>
      <c r="HK24" s="27">
        <v>0</v>
      </c>
      <c r="HL24" s="27"/>
      <c r="HM24" s="1906">
        <f t="shared" si="121"/>
        <v>2242.84</v>
      </c>
      <c r="HN24" s="36"/>
      <c r="HO24" s="27"/>
      <c r="HP24" s="27"/>
      <c r="HQ24" s="27"/>
      <c r="HR24" s="27"/>
      <c r="HS24" s="27"/>
      <c r="HT24" s="27" cm="1">
        <f t="array" ref="HT24">SUMPRODUCT(('Data Base hauling'!$C$2:$C$216="TCM-ROM SB1 BK05-ROM 4")*(ISNUMBER(SEARCH(TEXT('May TCM'!$B24,"00")&amp;"/03/2026",'Data Base hauling'!$E$2:$E$216)))*'Data Base hauling'!$N$2:$N$216)</f>
        <v>0</v>
      </c>
      <c r="HU24" s="27"/>
      <c r="HV24" s="27" cm="1">
        <f t="array" ref="HV24">SUMPRODUCT(('Data Base hauling'!$C$2:$C$216="TCM-ROM SB1 BK05-ROM 5")*(ISNUMBER(SEARCH(TEXT('May TCM'!$B24,"00")&amp;"/03/2026",'Data Base hauling'!$E$2:$E$216)))*'Data Base hauling'!$N$2:$N$216)</f>
        <v>0</v>
      </c>
      <c r="HW24" s="27"/>
      <c r="HX24" s="27"/>
      <c r="HY24" s="27"/>
      <c r="HZ24" s="27"/>
      <c r="IA24" s="27"/>
      <c r="IB24" s="33">
        <f t="shared" si="49"/>
        <v>0</v>
      </c>
      <c r="IC24" s="52"/>
      <c r="ID24" s="152"/>
      <c r="IE24" s="53"/>
      <c r="IF24" s="53"/>
      <c r="IG24" s="53"/>
      <c r="IH24" s="53"/>
      <c r="II24" s="1736">
        <v>3347.7</v>
      </c>
      <c r="IJ24" s="1736"/>
      <c r="IK24" s="1736">
        <v>3776.25</v>
      </c>
      <c r="IL24" s="53"/>
      <c r="IM24" s="53">
        <v>0</v>
      </c>
      <c r="IN24" s="53"/>
      <c r="IO24" s="53"/>
      <c r="IP24" s="49">
        <v>3</v>
      </c>
      <c r="IQ24" s="2195">
        <f t="shared" si="122"/>
        <v>7126.95</v>
      </c>
      <c r="IR24" s="36"/>
      <c r="IS24" s="36"/>
      <c r="IT24" s="53"/>
      <c r="IU24" s="27"/>
      <c r="IV24" s="53"/>
      <c r="IW24" s="27"/>
      <c r="IX24" s="27">
        <v>0</v>
      </c>
      <c r="IY24" s="27"/>
      <c r="IZ24" s="27">
        <v>6137.6299999999992</v>
      </c>
      <c r="JA24" s="27"/>
      <c r="JB24" s="27">
        <v>0</v>
      </c>
      <c r="JC24" s="27"/>
      <c r="JD24" s="27"/>
      <c r="JE24" s="27"/>
      <c r="JF24" s="1941">
        <f t="shared" si="123"/>
        <v>6137.6299999999992</v>
      </c>
      <c r="JG24" s="2667"/>
      <c r="JI24" s="2020">
        <v>6693.8300000000008</v>
      </c>
      <c r="JJ24" s="2021">
        <v>8813.59</v>
      </c>
      <c r="JK24" s="53"/>
      <c r="JL24" s="53">
        <f t="shared" si="52"/>
        <v>15507.420000000002</v>
      </c>
      <c r="JM24" s="33"/>
      <c r="JN24" s="2669"/>
      <c r="JO24" s="69">
        <v>0</v>
      </c>
      <c r="JP24" s="70">
        <v>0</v>
      </c>
      <c r="JQ24" s="70">
        <v>0</v>
      </c>
      <c r="JR24" s="850">
        <v>0</v>
      </c>
      <c r="JS24" s="850">
        <v>0.99955182608461823</v>
      </c>
      <c r="JT24" s="850">
        <v>0</v>
      </c>
      <c r="JU24" s="70">
        <v>0</v>
      </c>
      <c r="JV24" s="1922">
        <v>0</v>
      </c>
      <c r="JW24" s="69">
        <v>0</v>
      </c>
      <c r="JX24" s="70">
        <v>0</v>
      </c>
      <c r="JY24" s="70">
        <v>0</v>
      </c>
      <c r="JZ24" s="70">
        <v>0.37983387019364412</v>
      </c>
      <c r="KA24" s="70">
        <v>0.36569093865269425</v>
      </c>
      <c r="KB24" s="70">
        <v>0.25447519115366157</v>
      </c>
      <c r="KC24" s="70">
        <v>0</v>
      </c>
      <c r="KD24" s="71">
        <v>0</v>
      </c>
      <c r="KE24" s="69"/>
      <c r="KF24" s="70"/>
      <c r="KG24" s="70"/>
      <c r="KH24" s="70"/>
      <c r="KI24" s="70"/>
      <c r="KJ24" s="70"/>
      <c r="KK24" s="70"/>
      <c r="KL24" s="70"/>
      <c r="KM24" s="33"/>
      <c r="KN24" s="2669"/>
      <c r="KO24" s="1739">
        <v>6848.4718538166817</v>
      </c>
      <c r="KP24" s="1721">
        <v>0.80735632183908046</v>
      </c>
      <c r="KQ24" s="1721">
        <v>3.9389625699970527</v>
      </c>
      <c r="KR24" s="1721">
        <v>8.1221043324491617</v>
      </c>
      <c r="KS24" s="1722">
        <v>11.367895667550842</v>
      </c>
      <c r="KT24" s="1958">
        <v>6899.1070815696148</v>
      </c>
      <c r="KU24" s="1961">
        <v>1.2485596613659764</v>
      </c>
      <c r="KV24" s="1961">
        <v>3.4464191740075507</v>
      </c>
      <c r="KW24" s="1961">
        <v>7.9270781375128703</v>
      </c>
      <c r="KX24" s="1962">
        <v>12.084978835373528</v>
      </c>
      <c r="KY24" s="36"/>
      <c r="KZ24" s="53"/>
      <c r="LA24" s="53"/>
      <c r="LB24" s="53"/>
      <c r="LC24" s="53"/>
      <c r="LD24" s="33"/>
      <c r="LE24" s="2669"/>
      <c r="LG24" s="4">
        <f t="shared" si="53"/>
        <v>0</v>
      </c>
      <c r="LH24" s="27">
        <f t="shared" si="53"/>
        <v>0</v>
      </c>
      <c r="LI24" s="27">
        <f t="shared" si="53"/>
        <v>0</v>
      </c>
      <c r="LJ24" s="28">
        <f t="shared" si="54"/>
        <v>0</v>
      </c>
      <c r="LK24" s="36"/>
      <c r="LL24" s="27"/>
      <c r="LM24" s="27">
        <v>4</v>
      </c>
      <c r="LN24" s="33"/>
      <c r="LO24" s="1957">
        <v>7.63</v>
      </c>
      <c r="LP24" s="486"/>
      <c r="LQ24" s="2688"/>
      <c r="LR24" s="36"/>
      <c r="LS24" s="36"/>
      <c r="LT24" s="27"/>
      <c r="LU24" s="27"/>
      <c r="LV24" s="27"/>
      <c r="LW24" s="1107">
        <f t="shared" si="55"/>
        <v>0</v>
      </c>
      <c r="LX24" s="36"/>
      <c r="LY24" s="36"/>
      <c r="LZ24" s="27"/>
      <c r="MA24" s="27"/>
      <c r="MB24" s="33"/>
      <c r="MC24" s="28">
        <f t="shared" si="56"/>
        <v>0</v>
      </c>
      <c r="MD24" s="26"/>
      <c r="ME24" s="36"/>
      <c r="MF24" s="27"/>
      <c r="MG24" s="27"/>
      <c r="MH24" s="27"/>
      <c r="MI24" s="28"/>
      <c r="MJ24" s="36"/>
      <c r="MK24" s="36"/>
      <c r="ML24" s="27"/>
      <c r="MM24" s="27"/>
      <c r="MN24" s="27"/>
      <c r="MO24" s="28"/>
      <c r="MP24" s="36"/>
      <c r="MQ24" s="36"/>
      <c r="MR24" s="27"/>
      <c r="MS24" s="27"/>
      <c r="MT24" s="27"/>
      <c r="MU24" s="33">
        <f t="shared" si="57"/>
        <v>0</v>
      </c>
      <c r="MV24" s="2688"/>
      <c r="MX24" s="26">
        <f t="shared" si="58"/>
        <v>163831.0453022857</v>
      </c>
      <c r="MY24" s="27">
        <f t="shared" si="59"/>
        <v>79160.726491707857</v>
      </c>
      <c r="MZ24" s="27">
        <f t="shared" si="60"/>
        <v>23053.175253194549</v>
      </c>
      <c r="NA24" s="28">
        <f t="shared" si="61"/>
        <v>425914.80855851003</v>
      </c>
      <c r="NB24" s="2621"/>
      <c r="NC24" s="23">
        <f t="shared" si="62"/>
        <v>50462.235797803703</v>
      </c>
      <c r="ND24" s="1579">
        <f t="shared" si="63"/>
        <v>113368.80950448199</v>
      </c>
      <c r="NE24" s="60">
        <f t="shared" si="64"/>
        <v>0</v>
      </c>
      <c r="NF24" s="275">
        <f t="shared" si="4"/>
        <v>163831.0453022857</v>
      </c>
      <c r="NG24" s="26">
        <f t="shared" si="65"/>
        <v>0</v>
      </c>
      <c r="NH24" s="27">
        <f t="shared" si="65"/>
        <v>0</v>
      </c>
      <c r="NI24" s="27">
        <f t="shared" si="65"/>
        <v>0</v>
      </c>
      <c r="NJ24" s="27">
        <f t="shared" si="65"/>
        <v>0</v>
      </c>
      <c r="NK24" s="27">
        <f t="shared" si="65"/>
        <v>0</v>
      </c>
      <c r="NL24" s="33">
        <f t="shared" si="65"/>
        <v>0</v>
      </c>
      <c r="NM24" s="27">
        <f t="shared" si="65"/>
        <v>0</v>
      </c>
      <c r="NN24" s="36">
        <f t="shared" si="65"/>
        <v>0</v>
      </c>
      <c r="NO24" s="24">
        <f t="shared" si="65"/>
        <v>2449.1631443320584</v>
      </c>
      <c r="NP24" s="27">
        <f t="shared" si="65"/>
        <v>26196.696072681989</v>
      </c>
      <c r="NQ24" s="24">
        <f t="shared" si="113"/>
        <v>8756.5482322711578</v>
      </c>
      <c r="NR24" s="24">
        <v>0</v>
      </c>
      <c r="NS24" s="27">
        <f t="shared" si="0"/>
        <v>37402.407449285209</v>
      </c>
      <c r="NT24" s="27">
        <f t="shared" si="66"/>
        <v>0</v>
      </c>
      <c r="NU24" s="27">
        <f t="shared" si="66"/>
        <v>0</v>
      </c>
      <c r="NV24" s="27">
        <f t="shared" si="66"/>
        <v>0</v>
      </c>
      <c r="NW24" s="27">
        <f t="shared" si="66"/>
        <v>0</v>
      </c>
      <c r="NX24" s="27">
        <f t="shared" si="66"/>
        <v>0</v>
      </c>
      <c r="NY24" s="5">
        <f t="shared" si="66"/>
        <v>0</v>
      </c>
      <c r="NZ24" s="27">
        <f t="shared" si="66"/>
        <v>6229.1827301930762</v>
      </c>
      <c r="OA24" s="27">
        <f t="shared" si="66"/>
        <v>0</v>
      </c>
      <c r="OB24" s="27">
        <f t="shared" si="66"/>
        <v>22012.351841856762</v>
      </c>
      <c r="OC24" s="280"/>
      <c r="OD24" s="24">
        <f t="shared" si="67"/>
        <v>454.51223506073143</v>
      </c>
      <c r="OE24" s="27">
        <f t="shared" si="67"/>
        <v>0</v>
      </c>
      <c r="OF24" s="28">
        <f t="shared" si="1"/>
        <v>28696.046807110568</v>
      </c>
      <c r="OG24" s="27">
        <f t="shared" si="68"/>
        <v>0</v>
      </c>
      <c r="OH24" s="27">
        <f t="shared" si="68"/>
        <v>0</v>
      </c>
      <c r="OI24" s="27">
        <f t="shared" si="68"/>
        <v>0</v>
      </c>
      <c r="OJ24" s="27">
        <f t="shared" si="68"/>
        <v>0</v>
      </c>
      <c r="OK24" s="27">
        <f t="shared" si="68"/>
        <v>0</v>
      </c>
      <c r="OL24" s="27">
        <f t="shared" si="68"/>
        <v>0</v>
      </c>
      <c r="OM24" s="24">
        <f t="shared" si="68"/>
        <v>0</v>
      </c>
      <c r="ON24" s="27">
        <f t="shared" si="68"/>
        <v>0</v>
      </c>
      <c r="OO24" s="24">
        <f t="shared" si="115"/>
        <v>13062.272235312072</v>
      </c>
      <c r="OP24" s="27">
        <f t="shared" si="68"/>
        <v>0</v>
      </c>
      <c r="OQ24" s="27">
        <f t="shared" si="68"/>
        <v>0</v>
      </c>
      <c r="OR24" s="27">
        <f t="shared" si="68"/>
        <v>0</v>
      </c>
      <c r="OS24" s="28">
        <f t="shared" si="2"/>
        <v>13062.272235312072</v>
      </c>
      <c r="OT24" s="36"/>
      <c r="OU24" s="27"/>
      <c r="OV24" s="27"/>
      <c r="OW24" s="27"/>
      <c r="OX24" s="27"/>
      <c r="OY24" s="27"/>
      <c r="OZ24" s="28">
        <f t="shared" si="69"/>
        <v>0</v>
      </c>
      <c r="PA24" s="36">
        <f t="shared" si="70"/>
        <v>0</v>
      </c>
      <c r="PB24" s="27">
        <f t="shared" si="71"/>
        <v>0</v>
      </c>
      <c r="PC24" s="27">
        <f t="shared" si="72"/>
        <v>0</v>
      </c>
      <c r="PD24" s="27">
        <f t="shared" si="73"/>
        <v>0</v>
      </c>
      <c r="PE24" s="24"/>
      <c r="PF24" s="27">
        <f t="shared" si="74"/>
        <v>0</v>
      </c>
      <c r="PG24" s="33">
        <f t="shared" si="3"/>
        <v>0</v>
      </c>
      <c r="PH24" s="2621"/>
      <c r="PJ24" s="2">
        <v>0</v>
      </c>
      <c r="PK24" s="3">
        <v>720</v>
      </c>
      <c r="PL24" s="3">
        <v>300</v>
      </c>
      <c r="PM24" s="3">
        <v>0</v>
      </c>
      <c r="PN24" s="3">
        <f t="shared" si="75"/>
        <v>29126.829776580693</v>
      </c>
      <c r="PO24" s="11">
        <f t="shared" si="76"/>
        <v>23053.175253194549</v>
      </c>
      <c r="PP24" s="15"/>
      <c r="PQ24" s="2615"/>
      <c r="PS24" s="4"/>
      <c r="PT24" s="9"/>
      <c r="PU24" s="9"/>
      <c r="PV24" s="9"/>
      <c r="PW24" s="8">
        <v>0</v>
      </c>
      <c r="PX24" s="9"/>
      <c r="PY24" s="8">
        <f t="shared" si="77"/>
        <v>0</v>
      </c>
      <c r="PZ24" s="5">
        <f t="shared" si="78"/>
        <v>0</v>
      </c>
      <c r="QA24" s="5"/>
      <c r="QB24" s="5"/>
      <c r="QC24" s="5"/>
      <c r="QD24" s="5"/>
      <c r="QE24" s="5"/>
      <c r="QF24" s="12"/>
      <c r="QG24" s="12">
        <f t="shared" si="79"/>
        <v>29562.488999999998</v>
      </c>
      <c r="QH24" s="420">
        <f t="shared" si="80"/>
        <v>396352.31955851003</v>
      </c>
      <c r="QI24" s="1106">
        <f t="shared" si="81"/>
        <v>0</v>
      </c>
      <c r="QJ24" s="484">
        <f t="shared" si="82"/>
        <v>5505.3678056099998</v>
      </c>
      <c r="QK24" s="12"/>
      <c r="QL24" s="2615"/>
      <c r="QN24" s="139">
        <f t="shared" si="83"/>
        <v>0</v>
      </c>
      <c r="QO24" s="139" t="str">
        <f t="shared" si="84"/>
        <v/>
      </c>
      <c r="QQ24" s="139">
        <f t="shared" si="85"/>
        <v>0</v>
      </c>
      <c r="QR24" s="139">
        <f t="shared" si="86"/>
        <v>0</v>
      </c>
      <c r="QT24" s="1">
        <f t="shared" si="87"/>
        <v>0</v>
      </c>
      <c r="QU24" s="1">
        <f t="shared" si="88"/>
        <v>0</v>
      </c>
      <c r="QV24" s="1">
        <f t="shared" si="89"/>
        <v>0</v>
      </c>
      <c r="QW24" s="1">
        <f t="shared" si="90"/>
        <v>0</v>
      </c>
      <c r="QX24" s="1">
        <f t="shared" si="91"/>
        <v>0</v>
      </c>
      <c r="QY24" s="1">
        <f t="shared" si="92"/>
        <v>0</v>
      </c>
      <c r="RA24" s="1">
        <f t="shared" si="93"/>
        <v>0</v>
      </c>
      <c r="RB24" s="1">
        <f t="shared" si="94"/>
        <v>0</v>
      </c>
      <c r="RC24" s="1">
        <f t="shared" si="95"/>
        <v>0</v>
      </c>
      <c r="RD24" s="1">
        <f t="shared" si="96"/>
        <v>0</v>
      </c>
      <c r="RE24" s="1">
        <f t="shared" si="97"/>
        <v>0</v>
      </c>
      <c r="RF24" s="1">
        <f t="shared" si="98"/>
        <v>0</v>
      </c>
      <c r="RI24" s="1">
        <v>15</v>
      </c>
      <c r="RJ24" s="1">
        <f t="shared" si="124"/>
        <v>15355.495709717095</v>
      </c>
      <c r="RK24" s="1">
        <f t="shared" si="125"/>
        <v>14237.611280483718</v>
      </c>
      <c r="RL24" s="1">
        <f t="shared" si="126"/>
        <v>13404.263703387322</v>
      </c>
      <c r="RM24" s="89">
        <f t="shared" si="5"/>
        <v>42997.370693588135</v>
      </c>
      <c r="RN24" s="1033">
        <v>15</v>
      </c>
      <c r="RO24" s="1098">
        <f t="shared" si="100"/>
        <v>0</v>
      </c>
      <c r="RP24" s="1098">
        <f t="shared" si="101"/>
        <v>0</v>
      </c>
      <c r="RQ24" s="1097">
        <f t="shared" si="102"/>
        <v>0</v>
      </c>
      <c r="RR24" s="1097">
        <f t="shared" si="103"/>
        <v>6569.32</v>
      </c>
      <c r="RS24" s="1050"/>
      <c r="RT24" s="1050" t="s">
        <v>965</v>
      </c>
      <c r="RU24" s="1048"/>
      <c r="RW24" s="421">
        <v>15</v>
      </c>
      <c r="RX24" s="1095">
        <f t="shared" si="104"/>
        <v>15507.420000000004</v>
      </c>
      <c r="RY24" s="1046" t="s">
        <v>966</v>
      </c>
      <c r="SA24" s="1090"/>
      <c r="SB24" s="1090">
        <f t="shared" si="105"/>
        <v>0</v>
      </c>
      <c r="SC24" s="1090"/>
      <c r="SD24" s="1090">
        <f t="shared" si="127"/>
        <v>0</v>
      </c>
      <c r="SF24" s="1">
        <v>15</v>
      </c>
      <c r="SG24" s="1">
        <f t="shared" si="107"/>
        <v>0</v>
      </c>
      <c r="SH24" s="1094"/>
    </row>
    <row r="25" spans="1:502" s="1" customFormat="1">
      <c r="B25" s="471">
        <v>16</v>
      </c>
      <c r="C25" s="4">
        <f t="shared" si="6"/>
        <v>98885</v>
      </c>
      <c r="D25" s="1726">
        <f t="shared" si="119"/>
        <v>7327.9012000000002</v>
      </c>
      <c r="E25" s="1895">
        <f t="shared" si="7"/>
        <v>13.49431403360078</v>
      </c>
      <c r="F25" s="870"/>
      <c r="G25" s="870"/>
      <c r="H25" s="52">
        <v>52</v>
      </c>
      <c r="I25" s="61">
        <v>4.28</v>
      </c>
      <c r="J25" s="52"/>
      <c r="K25" s="54"/>
      <c r="L25" s="52">
        <v>29</v>
      </c>
      <c r="M25" s="61">
        <v>10.75</v>
      </c>
      <c r="N25" s="2629"/>
      <c r="O25" s="4">
        <f t="shared" si="118"/>
        <v>63532</v>
      </c>
      <c r="P25" s="1225">
        <f t="shared" si="8"/>
        <v>5673.6</v>
      </c>
      <c r="Q25" s="1913">
        <f t="shared" si="9"/>
        <v>11.197828539199097</v>
      </c>
      <c r="R25" s="33"/>
      <c r="S25" s="26">
        <f t="shared" si="10"/>
        <v>21121</v>
      </c>
      <c r="T25" s="27">
        <f t="shared" si="109"/>
        <v>1354.3011999999999</v>
      </c>
      <c r="U25" s="1909">
        <f t="shared" si="11"/>
        <v>15.595496777230945</v>
      </c>
      <c r="V25" s="28"/>
      <c r="W25" s="26">
        <f t="shared" si="12"/>
        <v>14232</v>
      </c>
      <c r="X25" s="5">
        <f t="shared" si="12"/>
        <v>300</v>
      </c>
      <c r="Y25" s="27">
        <f t="shared" si="13"/>
        <v>47.44</v>
      </c>
      <c r="Z25" s="33"/>
      <c r="AA25" s="26">
        <f t="shared" si="14"/>
        <v>0</v>
      </c>
      <c r="AB25" s="27">
        <f t="shared" si="15"/>
        <v>0</v>
      </c>
      <c r="AC25" s="53">
        <f t="shared" si="16"/>
        <v>0</v>
      </c>
      <c r="AD25" s="28"/>
      <c r="AE25" s="36"/>
      <c r="AF25" s="36"/>
      <c r="AG25" s="53">
        <f t="shared" si="17"/>
        <v>0</v>
      </c>
      <c r="AH25" s="28"/>
      <c r="AI25" s="26"/>
      <c r="AJ25" s="27"/>
      <c r="AK25" s="53">
        <f t="shared" si="18"/>
        <v>0</v>
      </c>
      <c r="AL25" s="28"/>
      <c r="AM25" s="2629"/>
      <c r="AN25" s="9"/>
      <c r="AO25" s="5"/>
      <c r="AP25" s="61">
        <f t="shared" si="19"/>
        <v>0</v>
      </c>
      <c r="AQ25" s="36"/>
      <c r="AR25" s="53"/>
      <c r="AS25" s="61">
        <f t="shared" si="20"/>
        <v>0</v>
      </c>
      <c r="AT25" s="36">
        <v>0</v>
      </c>
      <c r="AU25" s="27"/>
      <c r="AV25" s="54">
        <f t="shared" si="21"/>
        <v>0</v>
      </c>
      <c r="AW25" s="26">
        <v>44758</v>
      </c>
      <c r="AX25" s="27">
        <v>4139.74</v>
      </c>
      <c r="AY25" s="1895">
        <f t="shared" si="116"/>
        <v>10.81179011242252</v>
      </c>
      <c r="AZ25" s="1908"/>
      <c r="BA25" s="1909"/>
      <c r="BB25" s="1895">
        <f t="shared" si="22"/>
        <v>0</v>
      </c>
      <c r="BC25" s="1740">
        <v>18774</v>
      </c>
      <c r="BD25" s="1909">
        <v>1533.8600000000001</v>
      </c>
      <c r="BE25" s="1895">
        <f t="shared" si="23"/>
        <v>12.239708969527857</v>
      </c>
      <c r="BF25" s="1908"/>
      <c r="BG25" s="1909"/>
      <c r="BH25" s="1895">
        <f t="shared" si="24"/>
        <v>0</v>
      </c>
      <c r="BI25" s="1908">
        <v>0</v>
      </c>
      <c r="BJ25" s="1909">
        <v>0</v>
      </c>
      <c r="BK25" s="1895">
        <f t="shared" si="25"/>
        <v>0</v>
      </c>
      <c r="BL25" s="1742">
        <v>21121</v>
      </c>
      <c r="BM25" s="1909">
        <v>1211.8399999999999</v>
      </c>
      <c r="BN25" s="2170">
        <v>142.46119999999996</v>
      </c>
      <c r="BO25" s="1911">
        <f t="shared" si="26"/>
        <v>17.428868497491418</v>
      </c>
      <c r="BP25" s="9"/>
      <c r="BQ25" s="64"/>
      <c r="BR25" s="482">
        <f t="shared" si="27"/>
        <v>0</v>
      </c>
      <c r="BS25" s="9"/>
      <c r="BT25" s="64"/>
      <c r="BU25" s="482">
        <f t="shared" si="28"/>
        <v>0</v>
      </c>
      <c r="BV25" s="9">
        <v>14232</v>
      </c>
      <c r="BW25" s="27">
        <v>300</v>
      </c>
      <c r="BX25" s="15">
        <f t="shared" si="29"/>
        <v>47.44</v>
      </c>
      <c r="BY25" s="26"/>
      <c r="BZ25" s="5"/>
      <c r="CA25" s="482">
        <f t="shared" si="30"/>
        <v>0</v>
      </c>
      <c r="CB25" s="9"/>
      <c r="CC25" s="481"/>
      <c r="CD25" s="482">
        <f t="shared" si="31"/>
        <v>0</v>
      </c>
      <c r="CE25" s="4"/>
      <c r="CF25" s="5"/>
      <c r="CG25" s="28">
        <f t="shared" si="32"/>
        <v>0</v>
      </c>
      <c r="CH25" s="150"/>
      <c r="CI25" s="1108">
        <v>0</v>
      </c>
      <c r="CJ25" s="5"/>
      <c r="CK25" s="5">
        <v>1706</v>
      </c>
      <c r="CL25" s="5"/>
      <c r="CM25" s="5"/>
      <c r="CN25" s="5"/>
      <c r="CO25" s="33"/>
      <c r="CP25" s="366"/>
      <c r="CR25" s="4">
        <f t="shared" si="33"/>
        <v>0</v>
      </c>
      <c r="CS25" s="9">
        <f t="shared" si="33"/>
        <v>0</v>
      </c>
      <c r="CT25" s="5">
        <f t="shared" si="33"/>
        <v>0</v>
      </c>
      <c r="CU25" s="5">
        <f t="shared" si="33"/>
        <v>0</v>
      </c>
      <c r="CV25" s="5">
        <f t="shared" si="33"/>
        <v>0</v>
      </c>
      <c r="CW25" s="5">
        <f t="shared" si="33"/>
        <v>0</v>
      </c>
      <c r="CX25" s="5">
        <f t="shared" si="33"/>
        <v>367.70000000000005</v>
      </c>
      <c r="CY25" s="5">
        <f t="shared" si="33"/>
        <v>0</v>
      </c>
      <c r="CZ25" s="5">
        <f t="shared" si="33"/>
        <v>6517.74</v>
      </c>
      <c r="DA25" s="5">
        <f t="shared" si="33"/>
        <v>0</v>
      </c>
      <c r="DB25" s="5">
        <f t="shared" si="33"/>
        <v>300</v>
      </c>
      <c r="DC25" s="12">
        <f t="shared" si="33"/>
        <v>0</v>
      </c>
      <c r="DD25" s="310">
        <f t="shared" si="34"/>
        <v>7185.44</v>
      </c>
      <c r="DE25" s="2695"/>
      <c r="DF25" s="8"/>
      <c r="DG25" s="9"/>
      <c r="DH25" s="5"/>
      <c r="DI25" s="5"/>
      <c r="DJ25" s="5"/>
      <c r="DK25" s="5"/>
      <c r="DL25" s="5">
        <v>367.70000000000005</v>
      </c>
      <c r="DM25" s="5"/>
      <c r="DN25" s="5">
        <v>3772.0399999999995</v>
      </c>
      <c r="DO25" s="5"/>
      <c r="DP25" s="5"/>
      <c r="DQ25" s="12"/>
      <c r="DR25" s="28">
        <f t="shared" si="35"/>
        <v>4139.74</v>
      </c>
      <c r="DS25" s="36"/>
      <c r="DT25" s="9"/>
      <c r="DU25" s="5"/>
      <c r="DV25" s="5"/>
      <c r="DW25" s="5"/>
      <c r="DX25" s="5"/>
      <c r="DY25" s="5"/>
      <c r="DZ25" s="5"/>
      <c r="EA25" s="5">
        <v>2745.7</v>
      </c>
      <c r="EB25" s="27"/>
      <c r="EC25" s="27">
        <v>0</v>
      </c>
      <c r="ED25" s="33"/>
      <c r="EE25" s="28">
        <f t="shared" si="36"/>
        <v>2745.7</v>
      </c>
      <c r="EF25" s="9"/>
      <c r="EG25" s="36"/>
      <c r="EH25" s="5"/>
      <c r="EI25" s="27"/>
      <c r="EJ25" s="27"/>
      <c r="EK25" s="27"/>
      <c r="EL25" s="27"/>
      <c r="EM25" s="27"/>
      <c r="EN25" s="5"/>
      <c r="EO25" s="5"/>
      <c r="EP25" s="5">
        <v>300</v>
      </c>
      <c r="EQ25" s="33"/>
      <c r="ER25" s="28">
        <f t="shared" si="120"/>
        <v>300</v>
      </c>
      <c r="ES25" s="36"/>
      <c r="ET25" s="27"/>
      <c r="EU25" s="27"/>
      <c r="EV25" s="27"/>
      <c r="EW25" s="27"/>
      <c r="EX25" s="27"/>
      <c r="EY25" s="33">
        <f t="shared" si="38"/>
        <v>0</v>
      </c>
      <c r="EZ25" s="2685"/>
      <c r="FB25" s="4">
        <f t="shared" si="39"/>
        <v>0</v>
      </c>
      <c r="FC25" s="5">
        <f t="shared" si="40"/>
        <v>0</v>
      </c>
      <c r="FD25" s="5">
        <f t="shared" si="41"/>
        <v>0</v>
      </c>
      <c r="FE25" s="12">
        <f t="shared" si="42"/>
        <v>0</v>
      </c>
      <c r="FF25" s="33"/>
      <c r="FG25" s="2674"/>
      <c r="FH25" s="9"/>
      <c r="FI25" s="5"/>
      <c r="FJ25" s="5"/>
      <c r="FK25" s="5"/>
      <c r="FL25" s="5"/>
      <c r="FM25" s="27"/>
      <c r="FN25" s="28">
        <f t="shared" si="43"/>
        <v>0</v>
      </c>
      <c r="FO25" s="36"/>
      <c r="FP25" s="27"/>
      <c r="FQ25" s="27"/>
      <c r="FR25" s="27"/>
      <c r="FS25" s="27"/>
      <c r="FT25" s="27"/>
      <c r="FU25" s="28">
        <f t="shared" si="44"/>
        <v>0</v>
      </c>
      <c r="FV25" s="36"/>
      <c r="FW25" s="36"/>
      <c r="FX25" s="27"/>
      <c r="FY25" s="27"/>
      <c r="FZ25" s="27"/>
      <c r="GA25" s="27"/>
      <c r="GB25" s="27"/>
      <c r="GC25" s="27"/>
      <c r="GD25" s="27"/>
      <c r="GE25" s="27"/>
      <c r="GF25" s="27"/>
      <c r="GG25" s="33"/>
      <c r="GH25" s="33">
        <f t="shared" si="45"/>
        <v>0</v>
      </c>
      <c r="GI25" s="2674"/>
      <c r="GK25" s="2">
        <f t="shared" si="110"/>
        <v>795.72</v>
      </c>
      <c r="GL25" s="63">
        <f t="shared" si="111"/>
        <v>7555.3100000000013</v>
      </c>
      <c r="GM25" s="24">
        <f t="shared" si="112"/>
        <v>5459.6900000000005</v>
      </c>
      <c r="GN25" s="1736">
        <f t="shared" si="46"/>
        <v>13810.720000000001</v>
      </c>
      <c r="GO25" s="141"/>
      <c r="GP25" s="141"/>
      <c r="GQ25" s="33"/>
      <c r="GR25" s="2667"/>
      <c r="GS25" s="152">
        <v>4737.9000000000005</v>
      </c>
      <c r="GT25" s="27">
        <v>0</v>
      </c>
      <c r="GU25" s="27">
        <v>4332.8500000000013</v>
      </c>
      <c r="GV25" s="27">
        <v>4739.9700000000012</v>
      </c>
      <c r="GW25" s="33">
        <f t="shared" si="47"/>
        <v>13810.720000000003</v>
      </c>
      <c r="GX25" s="2667"/>
      <c r="GY25" s="26"/>
      <c r="GZ25" s="27"/>
      <c r="HA25" s="64"/>
      <c r="HB25" s="27"/>
      <c r="HC25" s="27"/>
      <c r="HD25" s="27"/>
      <c r="HE25" s="27"/>
      <c r="HF25" s="27"/>
      <c r="HG25" s="27">
        <v>0</v>
      </c>
      <c r="HH25" s="27"/>
      <c r="HI25" s="2167">
        <v>795.72</v>
      </c>
      <c r="HJ25" s="27"/>
      <c r="HK25" s="27">
        <v>0</v>
      </c>
      <c r="HL25" s="27"/>
      <c r="HM25" s="28">
        <f t="shared" si="121"/>
        <v>795.72</v>
      </c>
      <c r="HN25" s="36"/>
      <c r="HO25" s="27"/>
      <c r="HP25" s="27"/>
      <c r="HQ25" s="27"/>
      <c r="HR25" s="27"/>
      <c r="HS25" s="27"/>
      <c r="HT25" s="27" cm="1">
        <f t="array" ref="HT25">SUMPRODUCT(('Data Base hauling'!$C$2:$C$216="TCM-ROM SB1 BK05-ROM 4")*(ISNUMBER(SEARCH(TEXT('May TCM'!$B25,"00")&amp;"/03/2026",'Data Base hauling'!$E$2:$E$216)))*'Data Base hauling'!$N$2:$N$216)</f>
        <v>0</v>
      </c>
      <c r="HU25" s="27"/>
      <c r="HV25" s="27" cm="1">
        <f t="array" ref="HV25">SUMPRODUCT(('Data Base hauling'!$C$2:$C$216="TCM-ROM SB1 BK05-ROM 5")*(ISNUMBER(SEARCH(TEXT('May TCM'!$B25,"00")&amp;"/03/2026",'Data Base hauling'!$E$2:$E$216)))*'Data Base hauling'!$N$2:$N$216)</f>
        <v>0</v>
      </c>
      <c r="HW25" s="27"/>
      <c r="HX25" s="27"/>
      <c r="HY25" s="27"/>
      <c r="HZ25" s="27"/>
      <c r="IA25" s="27"/>
      <c r="IB25" s="33">
        <f t="shared" si="49"/>
        <v>0</v>
      </c>
      <c r="IC25" s="52"/>
      <c r="ID25" s="152"/>
      <c r="IE25" s="53"/>
      <c r="IF25" s="53"/>
      <c r="IG25" s="53"/>
      <c r="IH25" s="53"/>
      <c r="II25" s="1736">
        <v>2713.36</v>
      </c>
      <c r="IJ25" s="1736"/>
      <c r="IK25" s="1736">
        <v>4808.9500000000016</v>
      </c>
      <c r="IL25" s="53"/>
      <c r="IM25" s="53">
        <v>0</v>
      </c>
      <c r="IN25" s="53"/>
      <c r="IO25" s="53"/>
      <c r="IP25" s="49">
        <v>33</v>
      </c>
      <c r="IQ25" s="2195">
        <f t="shared" si="122"/>
        <v>7555.3100000000013</v>
      </c>
      <c r="IR25" s="36"/>
      <c r="IS25" s="36"/>
      <c r="IT25" s="27"/>
      <c r="IU25" s="27"/>
      <c r="IV25" s="53"/>
      <c r="IW25" s="27"/>
      <c r="IX25" s="27">
        <v>0</v>
      </c>
      <c r="IY25" s="27"/>
      <c r="IZ25" s="27">
        <v>5381.59</v>
      </c>
      <c r="JA25" s="27"/>
      <c r="JB25" s="27">
        <v>78.099999999999994</v>
      </c>
      <c r="JC25" s="27"/>
      <c r="JD25" s="27"/>
      <c r="JE25" s="27"/>
      <c r="JF25" s="33">
        <f t="shared" si="123"/>
        <v>5459.6900000000005</v>
      </c>
      <c r="JG25" s="2667"/>
      <c r="JI25" s="2020">
        <v>6224.1900000000005</v>
      </c>
      <c r="JJ25" s="2021">
        <v>7586.5300000000016</v>
      </c>
      <c r="JK25" s="53"/>
      <c r="JL25" s="53">
        <f t="shared" si="52"/>
        <v>13810.720000000001</v>
      </c>
      <c r="JM25" s="33"/>
      <c r="JN25" s="2669"/>
      <c r="JO25" s="69">
        <v>0</v>
      </c>
      <c r="JP25" s="70">
        <v>0</v>
      </c>
      <c r="JQ25" s="70">
        <v>0</v>
      </c>
      <c r="JR25" s="850">
        <v>0</v>
      </c>
      <c r="JS25" s="850">
        <v>0.98407021636550285</v>
      </c>
      <c r="JT25" s="850">
        <v>1.0627888930125848E-2</v>
      </c>
      <c r="JU25" s="70">
        <v>0</v>
      </c>
      <c r="JV25" s="1922">
        <v>0</v>
      </c>
      <c r="JW25" s="69">
        <v>0</v>
      </c>
      <c r="JX25" s="70">
        <v>0</v>
      </c>
      <c r="JY25" s="70">
        <v>0</v>
      </c>
      <c r="JZ25" s="70">
        <v>0.35765494896876432</v>
      </c>
      <c r="KA25" s="70">
        <v>0.53588399439532952</v>
      </c>
      <c r="KB25" s="70">
        <v>0.10646105663590598</v>
      </c>
      <c r="KC25" s="70">
        <v>0</v>
      </c>
      <c r="KD25" s="71">
        <v>0</v>
      </c>
      <c r="KE25" s="69"/>
      <c r="KF25" s="70"/>
      <c r="KG25" s="70"/>
      <c r="KH25" s="70"/>
      <c r="KI25" s="70"/>
      <c r="KJ25" s="70"/>
      <c r="KK25" s="70"/>
      <c r="KL25" s="70"/>
      <c r="KM25" s="33"/>
      <c r="KN25" s="2669"/>
      <c r="KO25" s="1739">
        <v>6856.0557620817845</v>
      </c>
      <c r="KP25" s="1721">
        <v>0.59743494423791821</v>
      </c>
      <c r="KQ25" s="1721">
        <v>3.1675092936802973</v>
      </c>
      <c r="KR25" s="1721">
        <v>9.0886988847583652</v>
      </c>
      <c r="KS25" s="1722">
        <v>12.469739776951673</v>
      </c>
      <c r="KT25" s="1958">
        <v>7217</v>
      </c>
      <c r="KU25" s="1961">
        <v>2.08</v>
      </c>
      <c r="KV25" s="1961">
        <v>5.580000000000001</v>
      </c>
      <c r="KW25" s="1961">
        <v>6.41</v>
      </c>
      <c r="KX25" s="1962">
        <v>11.2</v>
      </c>
      <c r="KY25" s="36"/>
      <c r="KZ25" s="53"/>
      <c r="LA25" s="53"/>
      <c r="LB25" s="53"/>
      <c r="LC25" s="53"/>
      <c r="LD25" s="33"/>
      <c r="LE25" s="2669"/>
      <c r="LG25" s="4">
        <f t="shared" si="53"/>
        <v>10205.732</v>
      </c>
      <c r="LH25" s="27">
        <f t="shared" si="53"/>
        <v>17979.438000000002</v>
      </c>
      <c r="LI25" s="27">
        <f t="shared" si="53"/>
        <v>0</v>
      </c>
      <c r="LJ25" s="28">
        <f t="shared" si="54"/>
        <v>28185.170000000002</v>
      </c>
      <c r="LK25" s="36">
        <v>4</v>
      </c>
      <c r="LL25" s="27"/>
      <c r="LM25" s="27"/>
      <c r="LN25" s="33"/>
      <c r="LO25" s="1041">
        <v>7.6</v>
      </c>
      <c r="LP25" s="486"/>
      <c r="LQ25" s="2688"/>
      <c r="LR25" s="36">
        <v>7447.5</v>
      </c>
      <c r="LS25" s="36"/>
      <c r="LT25" s="27"/>
      <c r="LU25" s="27"/>
      <c r="LV25" s="27"/>
      <c r="LW25" s="1107">
        <f t="shared" si="55"/>
        <v>7447.5</v>
      </c>
      <c r="LX25" s="36">
        <v>2758.232</v>
      </c>
      <c r="LY25" s="36">
        <v>17979.438000000002</v>
      </c>
      <c r="LZ25" s="27"/>
      <c r="MA25" s="27"/>
      <c r="MB25" s="33"/>
      <c r="MC25" s="28">
        <f t="shared" si="56"/>
        <v>20737.670000000002</v>
      </c>
      <c r="MD25" s="26"/>
      <c r="ME25" s="36"/>
      <c r="MF25" s="27"/>
      <c r="MG25" s="27"/>
      <c r="MH25" s="27"/>
      <c r="MI25" s="28"/>
      <c r="MJ25" s="36"/>
      <c r="MK25" s="36"/>
      <c r="ML25" s="27"/>
      <c r="MM25" s="27"/>
      <c r="MN25" s="27"/>
      <c r="MO25" s="28"/>
      <c r="MP25" s="36"/>
      <c r="MQ25" s="36"/>
      <c r="MR25" s="27"/>
      <c r="MS25" s="27"/>
      <c r="MT25" s="27"/>
      <c r="MU25" s="33">
        <f t="shared" si="57"/>
        <v>0</v>
      </c>
      <c r="MV25" s="2688"/>
      <c r="MX25" s="26">
        <f t="shared" si="58"/>
        <v>149456.59530228568</v>
      </c>
      <c r="MY25" s="27">
        <f t="shared" si="59"/>
        <v>72646.54649170785</v>
      </c>
      <c r="MZ25" s="27">
        <f t="shared" si="60"/>
        <v>23313.175253194549</v>
      </c>
      <c r="NA25" s="28">
        <f t="shared" si="61"/>
        <v>424713.58855851006</v>
      </c>
      <c r="NB25" s="2621"/>
      <c r="NC25" s="23">
        <f t="shared" si="62"/>
        <v>46480.693797803702</v>
      </c>
      <c r="ND25" s="1579">
        <f t="shared" si="63"/>
        <v>102975.901504482</v>
      </c>
      <c r="NE25" s="60">
        <f t="shared" si="64"/>
        <v>0</v>
      </c>
      <c r="NF25" s="275">
        <f t="shared" si="4"/>
        <v>149456.59530228568</v>
      </c>
      <c r="NG25" s="26">
        <f t="shared" si="65"/>
        <v>0</v>
      </c>
      <c r="NH25" s="27">
        <f t="shared" si="65"/>
        <v>0</v>
      </c>
      <c r="NI25" s="27">
        <f t="shared" si="65"/>
        <v>0</v>
      </c>
      <c r="NJ25" s="27">
        <f t="shared" si="65"/>
        <v>0</v>
      </c>
      <c r="NK25" s="27">
        <f t="shared" si="65"/>
        <v>0</v>
      </c>
      <c r="NL25" s="33">
        <f t="shared" si="65"/>
        <v>0</v>
      </c>
      <c r="NM25" s="27">
        <f t="shared" si="65"/>
        <v>0</v>
      </c>
      <c r="NN25" s="36">
        <f t="shared" si="65"/>
        <v>0</v>
      </c>
      <c r="NO25" s="24">
        <f t="shared" si="65"/>
        <v>2449.1631443320584</v>
      </c>
      <c r="NP25" s="27">
        <f t="shared" si="65"/>
        <v>26196.696072681989</v>
      </c>
      <c r="NQ25" s="24">
        <f t="shared" si="113"/>
        <v>8756.5482322711578</v>
      </c>
      <c r="NR25" s="24">
        <f t="shared" si="114"/>
        <v>-495.72</v>
      </c>
      <c r="NS25" s="27">
        <f t="shared" si="0"/>
        <v>36906.687449285208</v>
      </c>
      <c r="NT25" s="27">
        <f t="shared" si="66"/>
        <v>0</v>
      </c>
      <c r="NU25" s="27">
        <f t="shared" si="66"/>
        <v>0</v>
      </c>
      <c r="NV25" s="27">
        <f t="shared" si="66"/>
        <v>0</v>
      </c>
      <c r="NW25" s="27">
        <f t="shared" si="66"/>
        <v>0</v>
      </c>
      <c r="NX25" s="27">
        <f t="shared" si="66"/>
        <v>0</v>
      </c>
      <c r="NY25" s="5">
        <f t="shared" si="66"/>
        <v>0</v>
      </c>
      <c r="NZ25" s="27">
        <f t="shared" si="66"/>
        <v>3883.5227301930759</v>
      </c>
      <c r="OA25" s="27">
        <f t="shared" si="66"/>
        <v>0</v>
      </c>
      <c r="OB25" s="27">
        <f t="shared" si="66"/>
        <v>20975.441841856762</v>
      </c>
      <c r="OC25" s="280"/>
      <c r="OD25" s="24">
        <f t="shared" si="67"/>
        <v>454.51223506073143</v>
      </c>
      <c r="OE25" s="27">
        <f t="shared" si="67"/>
        <v>0</v>
      </c>
      <c r="OF25" s="28">
        <f t="shared" si="1"/>
        <v>25313.476807110568</v>
      </c>
      <c r="OG25" s="27">
        <f t="shared" si="68"/>
        <v>0</v>
      </c>
      <c r="OH25" s="27">
        <f t="shared" si="68"/>
        <v>0</v>
      </c>
      <c r="OI25" s="27">
        <f t="shared" si="68"/>
        <v>0</v>
      </c>
      <c r="OJ25" s="27">
        <f t="shared" si="68"/>
        <v>0</v>
      </c>
      <c r="OK25" s="27">
        <f t="shared" si="68"/>
        <v>0</v>
      </c>
      <c r="OL25" s="27">
        <f t="shared" si="68"/>
        <v>0</v>
      </c>
      <c r="OM25" s="24">
        <f t="shared" si="68"/>
        <v>0</v>
      </c>
      <c r="ON25" s="27">
        <f t="shared" si="68"/>
        <v>0</v>
      </c>
      <c r="OO25" s="24">
        <f t="shared" si="115"/>
        <v>10426.38223531207</v>
      </c>
      <c r="OP25" s="27">
        <f t="shared" si="68"/>
        <v>0</v>
      </c>
      <c r="OQ25" s="27"/>
      <c r="OR25" s="27">
        <f t="shared" si="68"/>
        <v>0</v>
      </c>
      <c r="OS25" s="28">
        <f t="shared" si="2"/>
        <v>10426.38223531207</v>
      </c>
      <c r="OT25" s="36"/>
      <c r="OU25" s="27"/>
      <c r="OV25" s="27"/>
      <c r="OW25" s="27"/>
      <c r="OX25" s="27"/>
      <c r="OY25" s="27"/>
      <c r="OZ25" s="28">
        <f t="shared" si="69"/>
        <v>0</v>
      </c>
      <c r="PA25" s="36">
        <f t="shared" si="70"/>
        <v>0</v>
      </c>
      <c r="PB25" s="27">
        <f t="shared" si="71"/>
        <v>0</v>
      </c>
      <c r="PC25" s="27">
        <f t="shared" si="72"/>
        <v>0</v>
      </c>
      <c r="PD25" s="27">
        <f t="shared" si="73"/>
        <v>0</v>
      </c>
      <c r="PE25" s="24"/>
      <c r="PF25" s="27">
        <f t="shared" si="74"/>
        <v>0</v>
      </c>
      <c r="PG25" s="33">
        <f t="shared" si="3"/>
        <v>0</v>
      </c>
      <c r="PH25" s="2621"/>
      <c r="PJ25" s="2">
        <v>1168.22</v>
      </c>
      <c r="PK25" s="3">
        <v>623.99999999999989</v>
      </c>
      <c r="PL25" s="3">
        <v>259.99999999999994</v>
      </c>
      <c r="PM25" s="3">
        <v>0</v>
      </c>
      <c r="PN25" s="3">
        <f t="shared" si="75"/>
        <v>29671.049776580694</v>
      </c>
      <c r="PO25" s="11">
        <f t="shared" si="76"/>
        <v>23313.175253194549</v>
      </c>
      <c r="PP25" s="15"/>
      <c r="PQ25" s="2615"/>
      <c r="PS25" s="4"/>
      <c r="PT25" s="9"/>
      <c r="PU25" s="9"/>
      <c r="PV25" s="486"/>
      <c r="PW25" s="8">
        <v>0</v>
      </c>
      <c r="PX25" s="9"/>
      <c r="PY25" s="8">
        <f t="shared" si="77"/>
        <v>0</v>
      </c>
      <c r="PZ25" s="5">
        <f t="shared" si="78"/>
        <v>1168.22</v>
      </c>
      <c r="QA25" s="5"/>
      <c r="QB25" s="5"/>
      <c r="QC25" s="5"/>
      <c r="QD25" s="5"/>
      <c r="QE25" s="5"/>
      <c r="QF25" s="12"/>
      <c r="QG25" s="12">
        <f t="shared" si="79"/>
        <v>29562.488999999998</v>
      </c>
      <c r="QH25" s="420">
        <f t="shared" si="80"/>
        <v>395151.09955851006</v>
      </c>
      <c r="QI25" s="1106">
        <f t="shared" si="81"/>
        <v>0</v>
      </c>
      <c r="QJ25" s="484">
        <f t="shared" si="82"/>
        <v>5505.3678056099998</v>
      </c>
      <c r="QK25" s="12"/>
      <c r="QL25" s="2615"/>
      <c r="QN25" s="139">
        <f t="shared" si="83"/>
        <v>0</v>
      </c>
      <c r="QO25" s="139" t="str">
        <f t="shared" si="84"/>
        <v/>
      </c>
      <c r="QQ25" s="139">
        <f t="shared" si="85"/>
        <v>0</v>
      </c>
      <c r="QR25" s="139">
        <f t="shared" si="86"/>
        <v>0</v>
      </c>
      <c r="QT25" s="1">
        <f t="shared" si="87"/>
        <v>0</v>
      </c>
      <c r="QU25" s="1">
        <f t="shared" si="88"/>
        <v>0</v>
      </c>
      <c r="QV25" s="1">
        <f t="shared" si="89"/>
        <v>0</v>
      </c>
      <c r="QW25" s="1">
        <f t="shared" si="90"/>
        <v>0</v>
      </c>
      <c r="QX25" s="1">
        <f t="shared" si="91"/>
        <v>0</v>
      </c>
      <c r="QY25" s="1">
        <f t="shared" si="92"/>
        <v>0</v>
      </c>
      <c r="RA25" s="1">
        <f t="shared" si="93"/>
        <v>0</v>
      </c>
      <c r="RB25" s="1">
        <f t="shared" si="94"/>
        <v>0</v>
      </c>
      <c r="RC25" s="1">
        <f t="shared" si="95"/>
        <v>0</v>
      </c>
      <c r="RD25" s="1">
        <f t="shared" si="96"/>
        <v>0</v>
      </c>
      <c r="RE25" s="1">
        <f t="shared" si="97"/>
        <v>0</v>
      </c>
      <c r="RF25" s="1">
        <f t="shared" si="98"/>
        <v>0</v>
      </c>
      <c r="RI25" s="1">
        <v>16</v>
      </c>
      <c r="RJ25" s="1">
        <f t="shared" si="124"/>
        <v>11373.953709717094</v>
      </c>
      <c r="RK25" s="1">
        <f t="shared" si="125"/>
        <v>3844.7032804837181</v>
      </c>
      <c r="RL25" s="1">
        <f t="shared" si="126"/>
        <v>13404.263703387322</v>
      </c>
      <c r="RM25" s="89">
        <f t="shared" si="5"/>
        <v>28622.920693588134</v>
      </c>
      <c r="RN25" s="1033">
        <v>16</v>
      </c>
      <c r="RO25" s="1098">
        <f t="shared" si="100"/>
        <v>0</v>
      </c>
      <c r="RP25" s="1098">
        <f t="shared" si="101"/>
        <v>0</v>
      </c>
      <c r="RQ25" s="1097">
        <f t="shared" si="102"/>
        <v>0</v>
      </c>
      <c r="RR25" s="1097">
        <f t="shared" si="103"/>
        <v>6885.4400000000005</v>
      </c>
      <c r="RS25" s="1046"/>
      <c r="RT25" s="1046" t="s">
        <v>967</v>
      </c>
      <c r="RU25" s="1048"/>
      <c r="RW25" s="421">
        <v>16</v>
      </c>
      <c r="RX25" s="1095">
        <f t="shared" si="104"/>
        <v>13810.720000000003</v>
      </c>
      <c r="RY25" s="1050" t="s">
        <v>968</v>
      </c>
      <c r="RZ25" s="1048"/>
      <c r="SA25" s="1090"/>
      <c r="SB25" s="1090">
        <f t="shared" si="105"/>
        <v>0</v>
      </c>
      <c r="SC25" s="1090"/>
      <c r="SD25" s="1090">
        <f t="shared" si="127"/>
        <v>0</v>
      </c>
      <c r="SF25" s="1">
        <v>16</v>
      </c>
      <c r="SG25" s="1">
        <f t="shared" si="107"/>
        <v>0</v>
      </c>
      <c r="SH25" s="1094"/>
    </row>
    <row r="26" spans="1:502" s="1" customFormat="1" ht="13.95" customHeight="1">
      <c r="B26" s="471">
        <v>17</v>
      </c>
      <c r="C26" s="4">
        <f t="shared" si="6"/>
        <v>121023</v>
      </c>
      <c r="D26" s="1726">
        <f t="shared" si="119"/>
        <v>8427.91</v>
      </c>
      <c r="E26" s="1895">
        <f t="shared" si="7"/>
        <v>14.359787895219574</v>
      </c>
      <c r="F26" s="870"/>
      <c r="G26" s="870"/>
      <c r="H26" s="52">
        <v>15</v>
      </c>
      <c r="I26" s="61">
        <v>4.33</v>
      </c>
      <c r="J26" s="52"/>
      <c r="K26" s="54"/>
      <c r="L26" s="52">
        <v>1.5</v>
      </c>
      <c r="M26" s="61">
        <v>5.43</v>
      </c>
      <c r="N26" s="2629"/>
      <c r="O26" s="4">
        <f t="shared" si="118"/>
        <v>72912</v>
      </c>
      <c r="P26" s="1225">
        <f t="shared" si="8"/>
        <v>6224.83</v>
      </c>
      <c r="Q26" s="1913">
        <f t="shared" si="9"/>
        <v>11.713090959913766</v>
      </c>
      <c r="R26" s="33"/>
      <c r="S26" s="26">
        <f t="shared" si="10"/>
        <v>30641</v>
      </c>
      <c r="T26" s="27">
        <f t="shared" si="109"/>
        <v>1903.08</v>
      </c>
      <c r="U26" s="1909">
        <f t="shared" si="11"/>
        <v>16.100741955146393</v>
      </c>
      <c r="V26" s="28"/>
      <c r="W26" s="26">
        <f t="shared" si="12"/>
        <v>17470</v>
      </c>
      <c r="X26" s="5">
        <f t="shared" si="12"/>
        <v>300</v>
      </c>
      <c r="Y26" s="325">
        <f t="shared" si="13"/>
        <v>58.233333333333334</v>
      </c>
      <c r="Z26" s="33"/>
      <c r="AA26" s="26">
        <f t="shared" si="14"/>
        <v>0</v>
      </c>
      <c r="AB26" s="27">
        <f t="shared" si="15"/>
        <v>0</v>
      </c>
      <c r="AC26" s="53">
        <f t="shared" si="16"/>
        <v>0</v>
      </c>
      <c r="AD26" s="28"/>
      <c r="AE26" s="36"/>
      <c r="AF26" s="36"/>
      <c r="AG26" s="53">
        <f t="shared" si="17"/>
        <v>0</v>
      </c>
      <c r="AH26" s="28"/>
      <c r="AI26" s="23"/>
      <c r="AJ26" s="27"/>
      <c r="AK26" s="53">
        <f t="shared" si="18"/>
        <v>0</v>
      </c>
      <c r="AL26" s="28"/>
      <c r="AM26" s="2629"/>
      <c r="AN26" s="9"/>
      <c r="AO26" s="5"/>
      <c r="AP26" s="61">
        <f t="shared" si="19"/>
        <v>0</v>
      </c>
      <c r="AQ26" s="36"/>
      <c r="AR26" s="53"/>
      <c r="AS26" s="61">
        <f t="shared" si="20"/>
        <v>0</v>
      </c>
      <c r="AT26" s="36">
        <v>0</v>
      </c>
      <c r="AU26" s="27"/>
      <c r="AV26" s="54">
        <f t="shared" si="21"/>
        <v>0</v>
      </c>
      <c r="AW26" s="26">
        <v>41286</v>
      </c>
      <c r="AX26" s="27">
        <v>3628.21</v>
      </c>
      <c r="AY26" s="1895">
        <f t="shared" si="116"/>
        <v>11.379164932570054</v>
      </c>
      <c r="AZ26" s="1908"/>
      <c r="BA26" s="1909"/>
      <c r="BB26" s="1895">
        <f t="shared" si="22"/>
        <v>0</v>
      </c>
      <c r="BC26" s="1740">
        <v>31626</v>
      </c>
      <c r="BD26" s="1909">
        <v>2596.62</v>
      </c>
      <c r="BE26" s="1895">
        <f t="shared" si="23"/>
        <v>12.179679737504911</v>
      </c>
      <c r="BF26" s="1908"/>
      <c r="BG26" s="1909"/>
      <c r="BH26" s="1895">
        <f t="shared" si="24"/>
        <v>0</v>
      </c>
      <c r="BI26" s="1908">
        <v>0</v>
      </c>
      <c r="BJ26" s="1909">
        <v>0</v>
      </c>
      <c r="BK26" s="1895">
        <f t="shared" si="25"/>
        <v>0</v>
      </c>
      <c r="BL26" s="1742">
        <v>30641</v>
      </c>
      <c r="BM26" s="1909">
        <v>1903.08</v>
      </c>
      <c r="BN26" s="2170"/>
      <c r="BO26" s="1911">
        <f t="shared" si="26"/>
        <v>16.100741955146393</v>
      </c>
      <c r="BP26" s="9"/>
      <c r="BQ26" s="64"/>
      <c r="BR26" s="482">
        <f t="shared" si="27"/>
        <v>0</v>
      </c>
      <c r="BS26" s="9"/>
      <c r="BT26" s="64"/>
      <c r="BU26" s="482">
        <f t="shared" si="28"/>
        <v>0</v>
      </c>
      <c r="BV26" s="9">
        <v>17470</v>
      </c>
      <c r="BW26" s="27">
        <v>300</v>
      </c>
      <c r="BX26" s="15">
        <f t="shared" si="29"/>
        <v>58.233333333333334</v>
      </c>
      <c r="BY26" s="26"/>
      <c r="BZ26" s="5"/>
      <c r="CA26" s="482">
        <f t="shared" si="30"/>
        <v>0</v>
      </c>
      <c r="CB26" s="9"/>
      <c r="CC26" s="5"/>
      <c r="CD26" s="483">
        <f t="shared" si="31"/>
        <v>0</v>
      </c>
      <c r="CE26" s="4"/>
      <c r="CF26" s="5"/>
      <c r="CG26" s="28">
        <f t="shared" si="32"/>
        <v>0</v>
      </c>
      <c r="CH26" s="150"/>
      <c r="CI26" s="1108">
        <v>301</v>
      </c>
      <c r="CJ26" s="5"/>
      <c r="CK26" s="5">
        <v>3522</v>
      </c>
      <c r="CL26" s="5"/>
      <c r="CM26" s="5"/>
      <c r="CN26" s="5"/>
      <c r="CO26" s="33"/>
      <c r="CP26" s="366"/>
      <c r="CR26" s="4">
        <f t="shared" si="33"/>
        <v>0</v>
      </c>
      <c r="CS26" s="9">
        <f t="shared" si="33"/>
        <v>0</v>
      </c>
      <c r="CT26" s="5">
        <f t="shared" si="33"/>
        <v>0</v>
      </c>
      <c r="CU26" s="5">
        <f t="shared" si="33"/>
        <v>0</v>
      </c>
      <c r="CV26" s="5">
        <f t="shared" si="33"/>
        <v>0</v>
      </c>
      <c r="CW26" s="5">
        <f t="shared" si="33"/>
        <v>0</v>
      </c>
      <c r="CX26" s="5">
        <f t="shared" si="33"/>
        <v>0</v>
      </c>
      <c r="CY26" s="5">
        <f t="shared" si="33"/>
        <v>0</v>
      </c>
      <c r="CZ26" s="5">
        <f t="shared" si="33"/>
        <v>8127.91</v>
      </c>
      <c r="DA26" s="5">
        <f t="shared" si="33"/>
        <v>0</v>
      </c>
      <c r="DB26" s="5">
        <f t="shared" si="33"/>
        <v>300</v>
      </c>
      <c r="DC26" s="12">
        <f t="shared" si="33"/>
        <v>0</v>
      </c>
      <c r="DD26" s="310">
        <f t="shared" si="34"/>
        <v>8427.91</v>
      </c>
      <c r="DE26" s="2695"/>
      <c r="DF26" s="8"/>
      <c r="DG26" s="9"/>
      <c r="DH26" s="5"/>
      <c r="DI26" s="5"/>
      <c r="DJ26" s="5"/>
      <c r="DK26" s="5"/>
      <c r="DL26" s="5">
        <v>0</v>
      </c>
      <c r="DM26" s="5"/>
      <c r="DN26" s="5">
        <v>3628.21</v>
      </c>
      <c r="DO26" s="5"/>
      <c r="DP26" s="487"/>
      <c r="DQ26" s="12"/>
      <c r="DR26" s="28">
        <f t="shared" si="35"/>
        <v>3628.21</v>
      </c>
      <c r="DS26" s="36"/>
      <c r="DT26" s="9"/>
      <c r="DU26" s="5"/>
      <c r="DV26" s="5"/>
      <c r="DW26" s="5"/>
      <c r="DX26" s="5"/>
      <c r="DY26" s="5"/>
      <c r="DZ26" s="5"/>
      <c r="EA26" s="5">
        <v>4499.7</v>
      </c>
      <c r="EB26" s="27"/>
      <c r="EC26" s="27">
        <v>0</v>
      </c>
      <c r="ED26" s="33"/>
      <c r="EE26" s="28">
        <f t="shared" si="36"/>
        <v>4499.7</v>
      </c>
      <c r="EF26" s="9"/>
      <c r="EG26" s="36"/>
      <c r="EH26" s="5"/>
      <c r="EI26" s="27"/>
      <c r="EJ26" s="27"/>
      <c r="EK26" s="27"/>
      <c r="EL26" s="27"/>
      <c r="EM26" s="27"/>
      <c r="EN26" s="5"/>
      <c r="EO26" s="5"/>
      <c r="EP26" s="5">
        <v>300</v>
      </c>
      <c r="EQ26" s="33"/>
      <c r="ER26" s="28">
        <f t="shared" si="120"/>
        <v>300</v>
      </c>
      <c r="ES26" s="36"/>
      <c r="ET26" s="27"/>
      <c r="EU26" s="27"/>
      <c r="EV26" s="27"/>
      <c r="EW26" s="27"/>
      <c r="EX26" s="27"/>
      <c r="EY26" s="33">
        <f t="shared" si="38"/>
        <v>0</v>
      </c>
      <c r="EZ26" s="2685"/>
      <c r="FB26" s="4">
        <f t="shared" si="39"/>
        <v>0</v>
      </c>
      <c r="FC26" s="5">
        <f t="shared" si="40"/>
        <v>0</v>
      </c>
      <c r="FD26" s="5">
        <f t="shared" si="41"/>
        <v>0</v>
      </c>
      <c r="FE26" s="12">
        <f t="shared" si="42"/>
        <v>0</v>
      </c>
      <c r="FF26" s="33"/>
      <c r="FG26" s="2674"/>
      <c r="FH26" s="9"/>
      <c r="FI26" s="5"/>
      <c r="FJ26" s="5"/>
      <c r="FK26" s="5"/>
      <c r="FL26" s="5"/>
      <c r="FM26" s="27"/>
      <c r="FN26" s="28">
        <f t="shared" si="43"/>
        <v>0</v>
      </c>
      <c r="FO26" s="36"/>
      <c r="FP26" s="27"/>
      <c r="FQ26" s="27"/>
      <c r="FR26" s="27"/>
      <c r="FS26" s="27"/>
      <c r="FT26" s="27"/>
      <c r="FU26" s="28">
        <f t="shared" si="44"/>
        <v>0</v>
      </c>
      <c r="FV26" s="36"/>
      <c r="FW26" s="36"/>
      <c r="FX26" s="27"/>
      <c r="FY26" s="27"/>
      <c r="FZ26" s="27"/>
      <c r="GA26" s="27"/>
      <c r="GB26" s="27"/>
      <c r="GC26" s="27"/>
      <c r="GD26" s="27"/>
      <c r="GE26" s="27"/>
      <c r="GF26" s="27"/>
      <c r="GG26" s="33"/>
      <c r="GH26" s="33">
        <f t="shared" si="45"/>
        <v>0</v>
      </c>
      <c r="GI26" s="2674"/>
      <c r="GK26" s="2">
        <f t="shared" si="110"/>
        <v>348.1</v>
      </c>
      <c r="GL26" s="63">
        <f t="shared" si="111"/>
        <v>1242.7</v>
      </c>
      <c r="GM26" s="24">
        <f t="shared" si="112"/>
        <v>4083.3999999999996</v>
      </c>
      <c r="GN26" s="1736">
        <f t="shared" si="46"/>
        <v>5674.2</v>
      </c>
      <c r="GO26" s="141"/>
      <c r="GP26" s="141"/>
      <c r="GQ26" s="33"/>
      <c r="GR26" s="2667"/>
      <c r="GS26" s="1740">
        <v>5326.0999999999995</v>
      </c>
      <c r="GT26" s="27">
        <v>348.1</v>
      </c>
      <c r="GU26" s="27">
        <v>0</v>
      </c>
      <c r="GV26" s="27">
        <v>0</v>
      </c>
      <c r="GW26" s="33">
        <f t="shared" si="47"/>
        <v>5674.2</v>
      </c>
      <c r="GX26" s="2667"/>
      <c r="GY26" s="36"/>
      <c r="GZ26" s="36"/>
      <c r="HA26" s="27"/>
      <c r="HB26" s="27"/>
      <c r="HC26" s="27"/>
      <c r="HD26" s="27"/>
      <c r="HE26" s="27"/>
      <c r="HF26" s="27"/>
      <c r="HG26" s="27">
        <v>0</v>
      </c>
      <c r="HH26" s="27"/>
      <c r="HI26" s="2167">
        <v>0</v>
      </c>
      <c r="HJ26" s="27"/>
      <c r="HK26" s="27">
        <v>348.1</v>
      </c>
      <c r="HL26" s="27"/>
      <c r="HM26" s="28">
        <f t="shared" si="121"/>
        <v>348.1</v>
      </c>
      <c r="HN26" s="36"/>
      <c r="HO26" s="27"/>
      <c r="HP26" s="27"/>
      <c r="HQ26" s="27"/>
      <c r="HR26" s="27"/>
      <c r="HS26" s="27"/>
      <c r="HT26" s="27" cm="1">
        <f t="array" ref="HT26">SUMPRODUCT(('Data Base hauling'!$C$2:$C$216="TCM-ROM SB1 BK05-ROM 4")*(ISNUMBER(SEARCH(TEXT('May TCM'!$B26,"00")&amp;"/03/2026",'Data Base hauling'!$E$2:$E$216)))*'Data Base hauling'!$N$2:$N$216)</f>
        <v>0</v>
      </c>
      <c r="HU26" s="27"/>
      <c r="HV26" s="27" cm="1">
        <f t="array" ref="HV26">SUMPRODUCT(('Data Base hauling'!$C$2:$C$216="TCM-ROM SB1 BK05-ROM 5")*(ISNUMBER(SEARCH(TEXT('May TCM'!$B26,"00")&amp;"/03/2026",'Data Base hauling'!$E$2:$E$216)))*'Data Base hauling'!$N$2:$N$216)</f>
        <v>0</v>
      </c>
      <c r="HW26" s="27"/>
      <c r="HX26" s="27"/>
      <c r="HY26" s="27"/>
      <c r="HZ26" s="27"/>
      <c r="IA26" s="27"/>
      <c r="IB26" s="33">
        <f t="shared" si="49"/>
        <v>0</v>
      </c>
      <c r="IC26" s="52"/>
      <c r="ID26" s="152"/>
      <c r="IE26" s="53"/>
      <c r="IF26" s="53"/>
      <c r="IG26" s="53"/>
      <c r="IH26" s="53"/>
      <c r="II26" s="1736">
        <v>83.95</v>
      </c>
      <c r="IJ26" s="1736"/>
      <c r="IK26" s="1736">
        <v>1158.75</v>
      </c>
      <c r="IL26" s="53"/>
      <c r="IM26" s="64">
        <v>0</v>
      </c>
      <c r="IN26" s="64"/>
      <c r="IO26" s="53"/>
      <c r="IP26" s="49">
        <v>0</v>
      </c>
      <c r="IQ26" s="2195">
        <f t="shared" si="122"/>
        <v>1242.7</v>
      </c>
      <c r="IR26" s="36"/>
      <c r="IS26" s="36"/>
      <c r="IT26" s="53"/>
      <c r="IU26" s="27"/>
      <c r="IV26" s="53"/>
      <c r="IW26" s="27"/>
      <c r="IX26" s="27">
        <v>0</v>
      </c>
      <c r="IY26" s="27"/>
      <c r="IZ26" s="27">
        <v>4083.3999999999996</v>
      </c>
      <c r="JA26" s="27"/>
      <c r="JB26" s="27">
        <v>0</v>
      </c>
      <c r="JC26" s="27"/>
      <c r="JD26" s="27"/>
      <c r="JE26" s="27"/>
      <c r="JF26" s="33">
        <f t="shared" si="123"/>
        <v>4083.3999999999996</v>
      </c>
      <c r="JG26" s="2667"/>
      <c r="JI26" s="2020">
        <v>5674.2</v>
      </c>
      <c r="JJ26" s="2021">
        <v>0</v>
      </c>
      <c r="JK26" s="53"/>
      <c r="JL26" s="53">
        <f t="shared" si="52"/>
        <v>5674.2</v>
      </c>
      <c r="JM26" s="33"/>
      <c r="JN26" s="2669"/>
      <c r="JO26" s="69">
        <v>0</v>
      </c>
      <c r="JP26" s="70">
        <v>0</v>
      </c>
      <c r="JQ26" s="70">
        <v>0</v>
      </c>
      <c r="JR26" s="850">
        <v>1.4795037185858801E-2</v>
      </c>
      <c r="JS26" s="850">
        <v>0.92385710760988327</v>
      </c>
      <c r="JT26" s="850">
        <v>0</v>
      </c>
      <c r="JU26" s="70">
        <v>6.1347855204257874E-2</v>
      </c>
      <c r="JV26" s="1922">
        <v>0</v>
      </c>
      <c r="JW26" s="69" t="s">
        <v>296</v>
      </c>
      <c r="JX26" s="70" t="s">
        <v>296</v>
      </c>
      <c r="JY26" s="70" t="s">
        <v>296</v>
      </c>
      <c r="JZ26" s="70" t="s">
        <v>296</v>
      </c>
      <c r="KA26" s="70" t="s">
        <v>296</v>
      </c>
      <c r="KB26" s="70" t="s">
        <v>296</v>
      </c>
      <c r="KC26" s="70" t="s">
        <v>296</v>
      </c>
      <c r="KD26" s="71" t="s">
        <v>296</v>
      </c>
      <c r="KE26" s="69"/>
      <c r="KF26" s="70"/>
      <c r="KG26" s="70"/>
      <c r="KH26" s="70"/>
      <c r="KI26" s="70"/>
      <c r="KJ26" s="70"/>
      <c r="KK26" s="70"/>
      <c r="KL26" s="70"/>
      <c r="KM26" s="33"/>
      <c r="KN26" s="2669"/>
      <c r="KO26" s="1739">
        <v>6903.5537493445199</v>
      </c>
      <c r="KP26" s="1721">
        <v>0.89630833770319884</v>
      </c>
      <c r="KQ26" s="1721">
        <v>4.2737650760356587</v>
      </c>
      <c r="KR26" s="1721">
        <v>7.018699528054535</v>
      </c>
      <c r="KS26" s="1722">
        <v>11.896712113266911</v>
      </c>
      <c r="KT26" s="1958">
        <v>6639</v>
      </c>
      <c r="KU26" s="1961">
        <v>1.55</v>
      </c>
      <c r="KV26" s="1961">
        <v>6.42</v>
      </c>
      <c r="KW26" s="1961">
        <v>7.92</v>
      </c>
      <c r="KX26" s="1962">
        <v>10.28</v>
      </c>
      <c r="KY26" s="36"/>
      <c r="KZ26" s="53"/>
      <c r="LA26" s="53"/>
      <c r="LB26" s="53"/>
      <c r="LC26" s="53"/>
      <c r="LD26" s="33"/>
      <c r="LE26" s="2669"/>
      <c r="LG26" s="853">
        <f t="shared" si="53"/>
        <v>0</v>
      </c>
      <c r="LH26" s="27">
        <f t="shared" si="53"/>
        <v>0</v>
      </c>
      <c r="LI26" s="27">
        <f t="shared" si="53"/>
        <v>0</v>
      </c>
      <c r="LJ26" s="28">
        <f t="shared" si="54"/>
        <v>0</v>
      </c>
      <c r="LK26" s="36"/>
      <c r="LL26" s="27"/>
      <c r="LM26" s="27">
        <v>2</v>
      </c>
      <c r="LN26" s="33"/>
      <c r="LO26" s="1041">
        <v>7.65</v>
      </c>
      <c r="LP26" s="486"/>
      <c r="LQ26" s="2688"/>
      <c r="LR26" s="36"/>
      <c r="LS26" s="36"/>
      <c r="LT26" s="27"/>
      <c r="LU26" s="27"/>
      <c r="LV26" s="27"/>
      <c r="LW26" s="1107">
        <f t="shared" si="55"/>
        <v>0</v>
      </c>
      <c r="LX26" s="36"/>
      <c r="LY26" s="36"/>
      <c r="LZ26" s="27"/>
      <c r="MA26" s="27"/>
      <c r="MB26" s="33"/>
      <c r="MC26" s="28">
        <f t="shared" si="56"/>
        <v>0</v>
      </c>
      <c r="MD26" s="26"/>
      <c r="ME26" s="36"/>
      <c r="MF26" s="27"/>
      <c r="MG26" s="27"/>
      <c r="MH26" s="27"/>
      <c r="MI26" s="28"/>
      <c r="MJ26" s="36"/>
      <c r="MK26" s="36"/>
      <c r="ML26" s="27"/>
      <c r="MM26" s="27"/>
      <c r="MN26" s="27"/>
      <c r="MO26" s="28"/>
      <c r="MP26" s="36"/>
      <c r="MQ26" s="36"/>
      <c r="MR26" s="27"/>
      <c r="MS26" s="27"/>
      <c r="MT26" s="27"/>
      <c r="MU26" s="33">
        <f t="shared" si="57"/>
        <v>0</v>
      </c>
      <c r="MV26" s="2688"/>
      <c r="MX26" s="26">
        <f t="shared" si="58"/>
        <v>155130.7953022857</v>
      </c>
      <c r="MY26" s="27">
        <f t="shared" si="59"/>
        <v>75748.356491707847</v>
      </c>
      <c r="MZ26" s="27">
        <f t="shared" si="60"/>
        <v>23085.075253194551</v>
      </c>
      <c r="NA26" s="28">
        <f t="shared" si="61"/>
        <v>424713.58855851006</v>
      </c>
      <c r="NB26" s="2621"/>
      <c r="NC26" s="23">
        <f t="shared" si="62"/>
        <v>52154.893797803699</v>
      </c>
      <c r="ND26" s="1579">
        <f t="shared" si="63"/>
        <v>102975.901504482</v>
      </c>
      <c r="NE26" s="60">
        <f t="shared" si="64"/>
        <v>0</v>
      </c>
      <c r="NF26" s="275">
        <f t="shared" si="4"/>
        <v>155130.7953022857</v>
      </c>
      <c r="NG26" s="26">
        <f t="shared" ref="NG26:NP36" si="128">+NG25+EF26-GY26</f>
        <v>0</v>
      </c>
      <c r="NH26" s="27">
        <f t="shared" si="128"/>
        <v>0</v>
      </c>
      <c r="NI26" s="27">
        <f t="shared" si="128"/>
        <v>0</v>
      </c>
      <c r="NJ26" s="27">
        <f t="shared" si="128"/>
        <v>0</v>
      </c>
      <c r="NK26" s="27">
        <f t="shared" si="128"/>
        <v>0</v>
      </c>
      <c r="NL26" s="33">
        <f t="shared" si="128"/>
        <v>0</v>
      </c>
      <c r="NM26" s="27">
        <f t="shared" si="128"/>
        <v>0</v>
      </c>
      <c r="NN26" s="36">
        <f t="shared" si="128"/>
        <v>0</v>
      </c>
      <c r="NO26" s="24">
        <f t="shared" si="128"/>
        <v>2449.1631443320584</v>
      </c>
      <c r="NP26" s="27">
        <f t="shared" si="128"/>
        <v>26196.696072681989</v>
      </c>
      <c r="NQ26" s="24">
        <f t="shared" si="113"/>
        <v>8756.5482322711578</v>
      </c>
      <c r="NR26" s="24">
        <f t="shared" si="114"/>
        <v>-195.72000000000003</v>
      </c>
      <c r="NS26" s="27">
        <f t="shared" si="0"/>
        <v>37206.687449285208</v>
      </c>
      <c r="NT26" s="27">
        <f t="shared" ref="NT26:OB40" si="129">+NT25+DF26-IC26</f>
        <v>0</v>
      </c>
      <c r="NU26" s="27">
        <f t="shared" si="129"/>
        <v>0</v>
      </c>
      <c r="NV26" s="27">
        <f t="shared" si="129"/>
        <v>0</v>
      </c>
      <c r="NW26" s="27">
        <f t="shared" si="129"/>
        <v>0</v>
      </c>
      <c r="NX26" s="27">
        <f t="shared" si="129"/>
        <v>0</v>
      </c>
      <c r="NY26" s="5">
        <f t="shared" si="129"/>
        <v>0</v>
      </c>
      <c r="NZ26" s="27">
        <f t="shared" si="129"/>
        <v>3799.572730193076</v>
      </c>
      <c r="OA26" s="27">
        <f t="shared" si="129"/>
        <v>0</v>
      </c>
      <c r="OB26" s="27">
        <f t="shared" si="129"/>
        <v>23444.901841856761</v>
      </c>
      <c r="OC26" s="280"/>
      <c r="OD26" s="24">
        <f t="shared" ref="OD26:OD40" si="130">+OD25+DP26-IM26</f>
        <v>454.51223506073143</v>
      </c>
      <c r="OE26" s="27">
        <f t="shared" ref="OE26:OE40" si="131">+OE25+DQ26-IN26</f>
        <v>0</v>
      </c>
      <c r="OF26" s="28">
        <f t="shared" si="1"/>
        <v>27698.986807110567</v>
      </c>
      <c r="OG26" s="27">
        <f t="shared" ref="OG26:OR40" si="132">+OG25+DS26+FV26-IR26</f>
        <v>0</v>
      </c>
      <c r="OH26" s="27">
        <f t="shared" si="132"/>
        <v>0</v>
      </c>
      <c r="OI26" s="27">
        <f t="shared" si="132"/>
        <v>0</v>
      </c>
      <c r="OJ26" s="27">
        <f t="shared" si="132"/>
        <v>0</v>
      </c>
      <c r="OK26" s="27">
        <f t="shared" si="132"/>
        <v>0</v>
      </c>
      <c r="OL26" s="27">
        <f t="shared" si="132"/>
        <v>0</v>
      </c>
      <c r="OM26" s="24">
        <f t="shared" si="132"/>
        <v>0</v>
      </c>
      <c r="ON26" s="27">
        <f t="shared" si="132"/>
        <v>0</v>
      </c>
      <c r="OO26" s="24">
        <f t="shared" si="115"/>
        <v>10842.682235312071</v>
      </c>
      <c r="OP26" s="27">
        <f t="shared" si="132"/>
        <v>0</v>
      </c>
      <c r="OQ26" s="27">
        <f t="shared" si="68"/>
        <v>0</v>
      </c>
      <c r="OR26" s="27">
        <f t="shared" si="132"/>
        <v>0</v>
      </c>
      <c r="OS26" s="28">
        <f t="shared" si="2"/>
        <v>10842.682235312071</v>
      </c>
      <c r="OT26" s="36"/>
      <c r="OU26" s="27"/>
      <c r="OV26" s="27"/>
      <c r="OW26" s="27"/>
      <c r="OX26" s="27"/>
      <c r="OY26" s="27"/>
      <c r="OZ26" s="28">
        <f t="shared" si="69"/>
        <v>0</v>
      </c>
      <c r="PA26" s="36">
        <f t="shared" si="70"/>
        <v>0</v>
      </c>
      <c r="PB26" s="27">
        <f t="shared" si="71"/>
        <v>0</v>
      </c>
      <c r="PC26" s="27">
        <f t="shared" si="72"/>
        <v>0</v>
      </c>
      <c r="PD26" s="27">
        <f t="shared" si="73"/>
        <v>0</v>
      </c>
      <c r="PE26" s="24"/>
      <c r="PF26" s="27">
        <f t="shared" si="74"/>
        <v>0</v>
      </c>
      <c r="PG26" s="33">
        <f t="shared" si="3"/>
        <v>0</v>
      </c>
      <c r="PH26" s="2621"/>
      <c r="PJ26" s="2">
        <v>0</v>
      </c>
      <c r="PK26" s="3">
        <v>288.00000000000006</v>
      </c>
      <c r="PL26" s="3">
        <v>120.00000000000001</v>
      </c>
      <c r="PM26" s="3">
        <v>348.1</v>
      </c>
      <c r="PN26" s="3">
        <f t="shared" si="75"/>
        <v>29383.049776580694</v>
      </c>
      <c r="PO26" s="11">
        <f t="shared" si="76"/>
        <v>23085.075253194551</v>
      </c>
      <c r="PP26" s="15"/>
      <c r="PQ26" s="2615"/>
      <c r="PS26" s="4"/>
      <c r="PT26" s="9"/>
      <c r="PU26" s="9"/>
      <c r="PV26" s="9"/>
      <c r="PW26" s="8">
        <v>0</v>
      </c>
      <c r="PX26" s="9"/>
      <c r="PY26" s="8">
        <f t="shared" si="77"/>
        <v>0</v>
      </c>
      <c r="PZ26" s="5">
        <f t="shared" si="78"/>
        <v>0</v>
      </c>
      <c r="QA26" s="5"/>
      <c r="QB26" s="5"/>
      <c r="QC26" s="5"/>
      <c r="QD26" s="5"/>
      <c r="QE26" s="5"/>
      <c r="QF26" s="12"/>
      <c r="QG26" s="12">
        <f t="shared" si="79"/>
        <v>29562.488999999998</v>
      </c>
      <c r="QH26" s="420">
        <f t="shared" si="80"/>
        <v>395151.09955851006</v>
      </c>
      <c r="QI26" s="1106">
        <f t="shared" si="81"/>
        <v>0</v>
      </c>
      <c r="QJ26" s="484">
        <f t="shared" si="82"/>
        <v>5505.3678056099998</v>
      </c>
      <c r="QK26" s="12"/>
      <c r="QL26" s="2615"/>
      <c r="QN26" s="139">
        <f t="shared" si="83"/>
        <v>0</v>
      </c>
      <c r="QO26" s="139" t="str">
        <f t="shared" si="84"/>
        <v/>
      </c>
      <c r="QQ26" s="139">
        <f t="shared" si="85"/>
        <v>0</v>
      </c>
      <c r="QR26" s="139">
        <f t="shared" si="86"/>
        <v>0</v>
      </c>
      <c r="QT26" s="1">
        <f t="shared" si="87"/>
        <v>0</v>
      </c>
      <c r="QU26" s="1">
        <f t="shared" si="88"/>
        <v>0</v>
      </c>
      <c r="QV26" s="1">
        <f t="shared" si="89"/>
        <v>0</v>
      </c>
      <c r="QW26" s="1">
        <f t="shared" si="90"/>
        <v>0</v>
      </c>
      <c r="QX26" s="1">
        <f t="shared" si="91"/>
        <v>0</v>
      </c>
      <c r="QY26" s="1">
        <f t="shared" si="92"/>
        <v>0</v>
      </c>
      <c r="RA26" s="1">
        <f t="shared" si="93"/>
        <v>0</v>
      </c>
      <c r="RB26" s="1">
        <f t="shared" si="94"/>
        <v>0</v>
      </c>
      <c r="RC26" s="1">
        <f t="shared" si="95"/>
        <v>0</v>
      </c>
      <c r="RD26" s="1">
        <f t="shared" si="96"/>
        <v>0</v>
      </c>
      <c r="RE26" s="1">
        <f t="shared" si="97"/>
        <v>0</v>
      </c>
      <c r="RF26" s="1">
        <f t="shared" si="98"/>
        <v>0</v>
      </c>
      <c r="RI26" s="1">
        <v>17</v>
      </c>
      <c r="RJ26" s="1">
        <f t="shared" si="124"/>
        <v>17048.153709717095</v>
      </c>
      <c r="RK26" s="1">
        <f t="shared" si="125"/>
        <v>3844.7032804837181</v>
      </c>
      <c r="RL26" s="1">
        <f t="shared" si="126"/>
        <v>13404.263703387322</v>
      </c>
      <c r="RM26" s="89">
        <f t="shared" si="5"/>
        <v>34297.120693588135</v>
      </c>
      <c r="RN26" s="1033">
        <v>17</v>
      </c>
      <c r="RO26" s="1098">
        <f t="shared" si="100"/>
        <v>0</v>
      </c>
      <c r="RP26" s="1098">
        <f t="shared" si="101"/>
        <v>0</v>
      </c>
      <c r="RQ26" s="1097">
        <f t="shared" si="102"/>
        <v>0</v>
      </c>
      <c r="RR26" s="1097">
        <f t="shared" si="103"/>
        <v>8127.91</v>
      </c>
      <c r="RS26" s="1050"/>
      <c r="RT26" s="1046" t="s">
        <v>969</v>
      </c>
      <c r="RU26" s="1048"/>
      <c r="RW26" s="421">
        <v>17</v>
      </c>
      <c r="RX26" s="1095">
        <f t="shared" si="104"/>
        <v>5674.2</v>
      </c>
      <c r="RY26" s="1046" t="s">
        <v>970</v>
      </c>
      <c r="SA26" s="1090"/>
      <c r="SB26" s="1090">
        <f t="shared" si="105"/>
        <v>0</v>
      </c>
      <c r="SC26" s="1090"/>
      <c r="SD26" s="1090">
        <f t="shared" si="127"/>
        <v>0</v>
      </c>
      <c r="SF26" s="1">
        <v>17</v>
      </c>
      <c r="SG26" s="1">
        <f t="shared" si="107"/>
        <v>348.1</v>
      </c>
      <c r="SH26" s="1094" t="s">
        <v>971</v>
      </c>
    </row>
    <row r="27" spans="1:502" s="1" customFormat="1" ht="15.6" customHeight="1">
      <c r="B27" s="471">
        <v>18</v>
      </c>
      <c r="C27" s="4">
        <f t="shared" si="6"/>
        <v>159236</v>
      </c>
      <c r="D27" s="1726">
        <f t="shared" si="119"/>
        <v>9748.7699999999986</v>
      </c>
      <c r="E27" s="1911">
        <f t="shared" si="7"/>
        <v>16.333958027525526</v>
      </c>
      <c r="F27" s="1113"/>
      <c r="G27" s="1113"/>
      <c r="H27" s="845"/>
      <c r="I27" s="482"/>
      <c r="J27" s="845"/>
      <c r="K27" s="846"/>
      <c r="L27" s="845">
        <v>0.5</v>
      </c>
      <c r="M27" s="482">
        <v>2.42</v>
      </c>
      <c r="N27" s="2629"/>
      <c r="O27" s="4">
        <f t="shared" si="118"/>
        <v>96768</v>
      </c>
      <c r="P27" s="1225">
        <f t="shared" si="8"/>
        <v>8073.2499999999991</v>
      </c>
      <c r="Q27" s="1913">
        <f t="shared" si="9"/>
        <v>11.986250890285822</v>
      </c>
      <c r="R27" s="12"/>
      <c r="S27" s="4">
        <f t="shared" si="10"/>
        <v>38844</v>
      </c>
      <c r="T27" s="27">
        <f t="shared" si="109"/>
        <v>1555.5199999999998</v>
      </c>
      <c r="U27" s="1913">
        <f t="shared" si="11"/>
        <v>24.9717136391689</v>
      </c>
      <c r="V27" s="15"/>
      <c r="W27" s="26">
        <f t="shared" si="12"/>
        <v>23624</v>
      </c>
      <c r="X27" s="5">
        <f t="shared" si="12"/>
        <v>120</v>
      </c>
      <c r="Y27" s="1719">
        <f t="shared" si="13"/>
        <v>196.86666666666667</v>
      </c>
      <c r="Z27" s="12"/>
      <c r="AA27" s="26">
        <f t="shared" si="14"/>
        <v>0</v>
      </c>
      <c r="AB27" s="27">
        <f t="shared" si="15"/>
        <v>0</v>
      </c>
      <c r="AC27" s="64">
        <f t="shared" si="16"/>
        <v>0</v>
      </c>
      <c r="AD27" s="15"/>
      <c r="AE27" s="9"/>
      <c r="AF27" s="9"/>
      <c r="AG27" s="64">
        <f t="shared" si="17"/>
        <v>0</v>
      </c>
      <c r="AH27" s="15"/>
      <c r="AI27" s="4"/>
      <c r="AJ27" s="5"/>
      <c r="AK27" s="64">
        <f t="shared" si="18"/>
        <v>0</v>
      </c>
      <c r="AL27" s="15"/>
      <c r="AM27" s="2629"/>
      <c r="AN27" s="9"/>
      <c r="AO27" s="5"/>
      <c r="AP27" s="482">
        <f t="shared" si="19"/>
        <v>0</v>
      </c>
      <c r="AQ27" s="9"/>
      <c r="AR27" s="64"/>
      <c r="AS27" s="482">
        <f t="shared" si="20"/>
        <v>0</v>
      </c>
      <c r="AT27" s="9">
        <v>0</v>
      </c>
      <c r="AU27" s="5"/>
      <c r="AV27" s="846">
        <f t="shared" si="21"/>
        <v>0</v>
      </c>
      <c r="AW27" s="4">
        <v>54138</v>
      </c>
      <c r="AX27" s="5">
        <v>5179.2899999999991</v>
      </c>
      <c r="AY27" s="1911">
        <f t="shared" si="116"/>
        <v>10.452784068858861</v>
      </c>
      <c r="AZ27" s="1912"/>
      <c r="BA27" s="1913"/>
      <c r="BB27" s="1911">
        <f t="shared" si="22"/>
        <v>0</v>
      </c>
      <c r="BC27" s="1940">
        <v>42630</v>
      </c>
      <c r="BD27" s="1953">
        <v>2893.96</v>
      </c>
      <c r="BE27" s="1911">
        <f t="shared" si="23"/>
        <v>14.730680451699401</v>
      </c>
      <c r="BF27" s="1908"/>
      <c r="BG27" s="1909"/>
      <c r="BH27" s="1911">
        <f t="shared" si="24"/>
        <v>0</v>
      </c>
      <c r="BI27" s="1908">
        <v>0</v>
      </c>
      <c r="BJ27" s="1909">
        <v>0</v>
      </c>
      <c r="BK27" s="1911">
        <f t="shared" si="25"/>
        <v>0</v>
      </c>
      <c r="BL27" s="1741">
        <v>38844</v>
      </c>
      <c r="BM27" s="1954">
        <v>1555.5199999999998</v>
      </c>
      <c r="BN27" s="2172"/>
      <c r="BO27" s="1911">
        <f t="shared" si="26"/>
        <v>24.9717136391689</v>
      </c>
      <c r="BP27" s="9"/>
      <c r="BQ27" s="64"/>
      <c r="BR27" s="482">
        <f t="shared" si="27"/>
        <v>0</v>
      </c>
      <c r="BS27" s="9"/>
      <c r="BT27" s="64"/>
      <c r="BU27" s="482">
        <f t="shared" si="28"/>
        <v>0</v>
      </c>
      <c r="BV27" s="9">
        <v>23624</v>
      </c>
      <c r="BW27" s="27">
        <v>120</v>
      </c>
      <c r="BX27" s="15">
        <f t="shared" si="29"/>
        <v>196.86666666666667</v>
      </c>
      <c r="BY27" s="26"/>
      <c r="BZ27" s="5"/>
      <c r="CA27" s="482">
        <f t="shared" si="30"/>
        <v>0</v>
      </c>
      <c r="CB27" s="9"/>
      <c r="CC27" s="5"/>
      <c r="CD27" s="482">
        <f t="shared" si="31"/>
        <v>0</v>
      </c>
      <c r="CE27" s="4"/>
      <c r="CF27" s="5"/>
      <c r="CG27" s="15">
        <f t="shared" si="32"/>
        <v>0</v>
      </c>
      <c r="CH27" s="150"/>
      <c r="CI27" s="1108">
        <v>679</v>
      </c>
      <c r="CJ27" s="5"/>
      <c r="CK27" s="5">
        <v>4602</v>
      </c>
      <c r="CL27" s="5"/>
      <c r="CM27" s="5"/>
      <c r="CN27" s="5"/>
      <c r="CO27" s="12"/>
      <c r="CP27" s="366"/>
      <c r="CR27" s="4">
        <f t="shared" si="33"/>
        <v>0</v>
      </c>
      <c r="CS27" s="9">
        <f t="shared" si="33"/>
        <v>0</v>
      </c>
      <c r="CT27" s="5">
        <f t="shared" si="33"/>
        <v>0</v>
      </c>
      <c r="CU27" s="5">
        <f t="shared" si="33"/>
        <v>0</v>
      </c>
      <c r="CV27" s="5">
        <f t="shared" si="33"/>
        <v>0</v>
      </c>
      <c r="CW27" s="5">
        <f t="shared" si="33"/>
        <v>0</v>
      </c>
      <c r="CX27" s="5">
        <f t="shared" si="33"/>
        <v>2029.71</v>
      </c>
      <c r="CY27" s="5">
        <f t="shared" si="33"/>
        <v>0</v>
      </c>
      <c r="CZ27" s="5">
        <f t="shared" si="33"/>
        <v>6634.42</v>
      </c>
      <c r="DA27" s="5">
        <f t="shared" si="33"/>
        <v>0</v>
      </c>
      <c r="DB27" s="5">
        <f t="shared" si="33"/>
        <v>120</v>
      </c>
      <c r="DC27" s="12">
        <f t="shared" si="33"/>
        <v>0</v>
      </c>
      <c r="DD27" s="847">
        <f t="shared" si="34"/>
        <v>9748.77</v>
      </c>
      <c r="DE27" s="2695"/>
      <c r="DF27" s="8"/>
      <c r="DG27" s="9"/>
      <c r="DH27" s="5"/>
      <c r="DI27" s="5"/>
      <c r="DJ27" s="5"/>
      <c r="DK27" s="5"/>
      <c r="DL27" s="5">
        <v>2029.71</v>
      </c>
      <c r="DM27" s="5"/>
      <c r="DN27" s="5">
        <v>2184.94</v>
      </c>
      <c r="DO27" s="12"/>
      <c r="DP27" s="5"/>
      <c r="DQ27" s="486"/>
      <c r="DR27" s="15">
        <f t="shared" si="35"/>
        <v>4214.6499999999996</v>
      </c>
      <c r="DS27" s="9"/>
      <c r="DT27" s="9"/>
      <c r="DU27" s="5"/>
      <c r="DV27" s="5"/>
      <c r="DW27" s="5"/>
      <c r="DX27" s="5"/>
      <c r="DY27" s="5"/>
      <c r="DZ27" s="5"/>
      <c r="EA27" s="5">
        <v>4449.4800000000005</v>
      </c>
      <c r="EB27" s="5"/>
      <c r="EC27" s="5">
        <v>0</v>
      </c>
      <c r="ED27" s="12"/>
      <c r="EE27" s="15">
        <f t="shared" si="36"/>
        <v>4449.4800000000005</v>
      </c>
      <c r="EF27" s="9"/>
      <c r="EG27" s="9"/>
      <c r="EH27" s="5"/>
      <c r="EI27" s="5"/>
      <c r="EJ27" s="5"/>
      <c r="EK27" s="5"/>
      <c r="EL27" s="5"/>
      <c r="EM27" s="5"/>
      <c r="EN27" s="5"/>
      <c r="EO27" s="5"/>
      <c r="EP27" s="5">
        <v>120</v>
      </c>
      <c r="EQ27" s="12"/>
      <c r="ER27" s="15">
        <f t="shared" si="120"/>
        <v>120</v>
      </c>
      <c r="ES27" s="9"/>
      <c r="ET27" s="5"/>
      <c r="EU27" s="5"/>
      <c r="EV27" s="5"/>
      <c r="EW27" s="5"/>
      <c r="EX27" s="5"/>
      <c r="EY27" s="12">
        <f t="shared" si="38"/>
        <v>0</v>
      </c>
      <c r="EZ27" s="2685"/>
      <c r="FB27" s="4">
        <f t="shared" si="39"/>
        <v>0</v>
      </c>
      <c r="FC27" s="5">
        <f t="shared" si="40"/>
        <v>0</v>
      </c>
      <c r="FD27" s="5">
        <f t="shared" si="41"/>
        <v>0</v>
      </c>
      <c r="FE27" s="12">
        <f t="shared" si="42"/>
        <v>0</v>
      </c>
      <c r="FF27" s="12"/>
      <c r="FG27" s="2674"/>
      <c r="FH27" s="9"/>
      <c r="FI27" s="5"/>
      <c r="FJ27" s="5"/>
      <c r="FK27" s="5"/>
      <c r="FL27" s="5"/>
      <c r="FM27" s="5"/>
      <c r="FN27" s="15">
        <f t="shared" si="43"/>
        <v>0</v>
      </c>
      <c r="FO27" s="9"/>
      <c r="FP27" s="5"/>
      <c r="FQ27" s="5"/>
      <c r="FR27" s="5"/>
      <c r="FS27" s="5"/>
      <c r="FT27" s="5"/>
      <c r="FU27" s="15">
        <f t="shared" si="44"/>
        <v>0</v>
      </c>
      <c r="FV27" s="9"/>
      <c r="FW27" s="9"/>
      <c r="FX27" s="5"/>
      <c r="FY27" s="5"/>
      <c r="FZ27" s="5"/>
      <c r="GA27" s="5"/>
      <c r="GB27" s="5"/>
      <c r="GC27" s="5"/>
      <c r="GD27" s="5"/>
      <c r="GE27" s="5"/>
      <c r="GF27" s="5"/>
      <c r="GG27" s="12"/>
      <c r="GH27" s="12">
        <f t="shared" si="45"/>
        <v>0</v>
      </c>
      <c r="GI27" s="2674"/>
      <c r="GK27" s="2">
        <f t="shared" si="110"/>
        <v>0</v>
      </c>
      <c r="GL27" s="63">
        <f t="shared" si="111"/>
        <v>311.10000000000002</v>
      </c>
      <c r="GM27" s="24">
        <f t="shared" si="112"/>
        <v>3214.3500000000004</v>
      </c>
      <c r="GN27" s="1590">
        <f t="shared" si="46"/>
        <v>3525.4500000000003</v>
      </c>
      <c r="GO27" s="848"/>
      <c r="GP27" s="848"/>
      <c r="GQ27" s="12"/>
      <c r="GR27" s="2667"/>
      <c r="GS27" s="2132">
        <v>3525.4500000000003</v>
      </c>
      <c r="GT27" s="1726">
        <v>0</v>
      </c>
      <c r="GU27" s="1726">
        <v>0</v>
      </c>
      <c r="GV27" s="1726">
        <v>0</v>
      </c>
      <c r="GW27" s="12">
        <f t="shared" si="47"/>
        <v>3525.4500000000003</v>
      </c>
      <c r="GX27" s="2667"/>
      <c r="GY27" s="9"/>
      <c r="GZ27" s="9"/>
      <c r="HA27" s="5"/>
      <c r="HB27" s="5"/>
      <c r="HC27" s="5"/>
      <c r="HD27" s="5"/>
      <c r="HE27" s="5"/>
      <c r="HF27" s="5"/>
      <c r="HG27" s="5">
        <v>0</v>
      </c>
      <c r="HH27" s="5"/>
      <c r="HI27" s="2197">
        <v>0</v>
      </c>
      <c r="HJ27" s="5"/>
      <c r="HK27" s="5">
        <v>0</v>
      </c>
      <c r="HL27" s="5"/>
      <c r="HM27" s="15">
        <f t="shared" si="121"/>
        <v>0</v>
      </c>
      <c r="HN27" s="9"/>
      <c r="HO27" s="5"/>
      <c r="HP27" s="5"/>
      <c r="HQ27" s="5"/>
      <c r="HR27" s="5"/>
      <c r="HS27" s="5"/>
      <c r="HT27" s="5" cm="1">
        <f t="array" ref="HT27">SUMPRODUCT(('Data Base hauling'!$C$2:$C$216="TCM-ROM SB1 BK05-ROM 4")*(ISNUMBER(SEARCH(TEXT('May TCM'!$B27,"00")&amp;"/03/2026",'Data Base hauling'!$E$2:$E$216)))*'Data Base hauling'!$N$2:$N$216)</f>
        <v>0</v>
      </c>
      <c r="HU27" s="5"/>
      <c r="HV27" s="5" cm="1">
        <f t="array" ref="HV27">SUMPRODUCT(('Data Base hauling'!$C$2:$C$216="TCM-ROM SB1 BK05-ROM 5")*(ISNUMBER(SEARCH(TEXT('May TCM'!$B27,"00")&amp;"/03/2026",'Data Base hauling'!$E$2:$E$216)))*'Data Base hauling'!$N$2:$N$216)</f>
        <v>0</v>
      </c>
      <c r="HW27" s="5"/>
      <c r="HX27" s="5"/>
      <c r="HY27" s="5"/>
      <c r="HZ27" s="5"/>
      <c r="IA27" s="5"/>
      <c r="IB27" s="12">
        <f t="shared" si="49"/>
        <v>0</v>
      </c>
      <c r="IC27" s="845"/>
      <c r="ID27" s="363"/>
      <c r="IE27" s="64"/>
      <c r="IF27" s="64"/>
      <c r="IG27" s="64"/>
      <c r="IH27" s="64"/>
      <c r="II27" s="1590">
        <v>0</v>
      </c>
      <c r="IJ27" s="1590"/>
      <c r="IK27" s="1590">
        <v>311.10000000000002</v>
      </c>
      <c r="IL27" s="64"/>
      <c r="IM27" s="64">
        <v>0</v>
      </c>
      <c r="IN27" s="64"/>
      <c r="IO27" s="64"/>
      <c r="IP27" s="49">
        <v>0</v>
      </c>
      <c r="IQ27" s="2195">
        <f t="shared" si="122"/>
        <v>311.10000000000002</v>
      </c>
      <c r="IR27" s="9"/>
      <c r="IS27" s="9"/>
      <c r="IT27" s="64"/>
      <c r="IU27" s="5"/>
      <c r="IV27" s="64"/>
      <c r="IW27" s="5"/>
      <c r="IX27" s="5">
        <v>0</v>
      </c>
      <c r="IY27" s="5"/>
      <c r="IZ27" s="5">
        <v>3214.3500000000004</v>
      </c>
      <c r="JA27" s="5"/>
      <c r="JB27" s="5">
        <v>0</v>
      </c>
      <c r="JC27" s="5"/>
      <c r="JD27" s="5"/>
      <c r="JE27" s="5"/>
      <c r="JF27" s="12">
        <f t="shared" si="123"/>
        <v>3214.3500000000004</v>
      </c>
      <c r="JG27" s="2667"/>
      <c r="JI27" s="2020">
        <v>3525.4500000000003</v>
      </c>
      <c r="JJ27" s="2021">
        <v>0</v>
      </c>
      <c r="JK27" s="64"/>
      <c r="JL27" s="64">
        <f t="shared" si="52"/>
        <v>3525.4500000000003</v>
      </c>
      <c r="JM27" s="12"/>
      <c r="JN27" s="2669"/>
      <c r="JO27" s="849">
        <v>0</v>
      </c>
      <c r="JP27" s="850">
        <v>0</v>
      </c>
      <c r="JQ27" s="850">
        <v>0</v>
      </c>
      <c r="JR27" s="850">
        <v>0</v>
      </c>
      <c r="JS27" s="850">
        <v>1</v>
      </c>
      <c r="JT27" s="850">
        <v>0</v>
      </c>
      <c r="JU27" s="850">
        <v>0</v>
      </c>
      <c r="JV27" s="1923">
        <v>0</v>
      </c>
      <c r="JW27" s="849" t="s">
        <v>296</v>
      </c>
      <c r="JX27" s="850" t="s">
        <v>296</v>
      </c>
      <c r="JY27" s="850" t="s">
        <v>296</v>
      </c>
      <c r="JZ27" s="850" t="s">
        <v>296</v>
      </c>
      <c r="KA27" s="850" t="s">
        <v>296</v>
      </c>
      <c r="KB27" s="850" t="s">
        <v>296</v>
      </c>
      <c r="KC27" s="850" t="s">
        <v>296</v>
      </c>
      <c r="KD27" s="851" t="s">
        <v>296</v>
      </c>
      <c r="KE27" s="849"/>
      <c r="KF27" s="850"/>
      <c r="KG27" s="850"/>
      <c r="KH27" s="850"/>
      <c r="KI27" s="850"/>
      <c r="KJ27" s="850"/>
      <c r="KK27" s="850"/>
      <c r="KL27" s="850"/>
      <c r="KM27" s="12"/>
      <c r="KN27" s="2669"/>
      <c r="KO27" s="1739">
        <v>7100.9042166992458</v>
      </c>
      <c r="KP27" s="1721">
        <v>0.50776598715442611</v>
      </c>
      <c r="KQ27" s="1721">
        <v>3.6463836917062276</v>
      </c>
      <c r="KR27" s="1721">
        <v>6.9156380899190175</v>
      </c>
      <c r="KS27" s="1722">
        <v>10.657629438704273</v>
      </c>
      <c r="KT27" s="1958">
        <v>0</v>
      </c>
      <c r="KU27" s="1961">
        <v>0</v>
      </c>
      <c r="KV27" s="1961">
        <v>0</v>
      </c>
      <c r="KW27" s="1961">
        <v>0</v>
      </c>
      <c r="KX27" s="1962">
        <v>0</v>
      </c>
      <c r="KY27" s="9"/>
      <c r="KZ27" s="64"/>
      <c r="LA27" s="64"/>
      <c r="LB27" s="64"/>
      <c r="LC27" s="64"/>
      <c r="LD27" s="12"/>
      <c r="LE27" s="2669"/>
      <c r="LG27" s="4">
        <f t="shared" si="53"/>
        <v>3394.8</v>
      </c>
      <c r="LH27" s="5">
        <f t="shared" si="53"/>
        <v>4149.2000000000007</v>
      </c>
      <c r="LI27" s="5">
        <f t="shared" si="53"/>
        <v>0</v>
      </c>
      <c r="LJ27" s="15">
        <f t="shared" si="54"/>
        <v>7544.0000000000009</v>
      </c>
      <c r="LK27" s="9">
        <v>1</v>
      </c>
      <c r="LL27" s="5"/>
      <c r="LM27" s="5">
        <v>1</v>
      </c>
      <c r="LN27" s="12"/>
      <c r="LO27" s="1111">
        <v>7.87</v>
      </c>
      <c r="LP27" s="486"/>
      <c r="LQ27" s="2688"/>
      <c r="LR27" s="9"/>
      <c r="LS27" s="9"/>
      <c r="LT27" s="5"/>
      <c r="LU27" s="5"/>
      <c r="LV27" s="5"/>
      <c r="LW27" s="1107">
        <f t="shared" si="55"/>
        <v>0</v>
      </c>
      <c r="LX27" s="9">
        <v>3394.8</v>
      </c>
      <c r="LY27" s="9">
        <v>4149.2000000000007</v>
      </c>
      <c r="LZ27" s="5"/>
      <c r="MA27" s="5"/>
      <c r="MB27" s="12"/>
      <c r="MC27" s="28">
        <f t="shared" si="56"/>
        <v>7544.0000000000009</v>
      </c>
      <c r="MD27" s="4"/>
      <c r="ME27" s="9"/>
      <c r="MF27" s="5"/>
      <c r="MG27" s="5"/>
      <c r="MH27" s="5"/>
      <c r="MI27" s="15"/>
      <c r="MJ27" s="9"/>
      <c r="MK27" s="9"/>
      <c r="ML27" s="5"/>
      <c r="MM27" s="5"/>
      <c r="MN27" s="5"/>
      <c r="MO27" s="15"/>
      <c r="MP27" s="9"/>
      <c r="MQ27" s="9"/>
      <c r="MR27" s="5"/>
      <c r="MS27" s="5"/>
      <c r="MT27" s="5"/>
      <c r="MU27" s="12">
        <f t="shared" si="57"/>
        <v>0</v>
      </c>
      <c r="MV27" s="2688"/>
      <c r="MX27" s="4">
        <f t="shared" si="58"/>
        <v>151112.24530228571</v>
      </c>
      <c r="MY27" s="5">
        <f t="shared" si="59"/>
        <v>81007.03649170784</v>
      </c>
      <c r="MZ27" s="5">
        <f t="shared" si="60"/>
        <v>23247.575253194551</v>
      </c>
      <c r="NA27" s="15">
        <f t="shared" si="61"/>
        <v>425667.74855851009</v>
      </c>
      <c r="NB27" s="2621"/>
      <c r="NC27" s="23">
        <f t="shared" si="62"/>
        <v>52285.543797803693</v>
      </c>
      <c r="ND27" s="1579">
        <f t="shared" si="63"/>
        <v>98826.701504482</v>
      </c>
      <c r="NE27" s="60">
        <f t="shared" si="64"/>
        <v>0</v>
      </c>
      <c r="NF27" s="1042">
        <f t="shared" si="4"/>
        <v>151112.24530228571</v>
      </c>
      <c r="NG27" s="4">
        <f t="shared" si="128"/>
        <v>0</v>
      </c>
      <c r="NH27" s="5">
        <f t="shared" si="128"/>
        <v>0</v>
      </c>
      <c r="NI27" s="5">
        <f t="shared" si="128"/>
        <v>0</v>
      </c>
      <c r="NJ27" s="5">
        <f t="shared" si="128"/>
        <v>0</v>
      </c>
      <c r="NK27" s="5">
        <f t="shared" si="128"/>
        <v>0</v>
      </c>
      <c r="NL27" s="12">
        <f t="shared" si="128"/>
        <v>0</v>
      </c>
      <c r="NM27" s="27">
        <f t="shared" si="128"/>
        <v>0</v>
      </c>
      <c r="NN27" s="9">
        <f t="shared" si="128"/>
        <v>0</v>
      </c>
      <c r="NO27" s="24">
        <f t="shared" si="128"/>
        <v>2449.1631443320584</v>
      </c>
      <c r="NP27" s="5">
        <f t="shared" si="128"/>
        <v>26196.696072681989</v>
      </c>
      <c r="NQ27" s="24">
        <f t="shared" si="113"/>
        <v>8756.5482322711578</v>
      </c>
      <c r="NR27" s="24">
        <f t="shared" si="114"/>
        <v>-75.720000000000027</v>
      </c>
      <c r="NS27" s="5">
        <f t="shared" si="0"/>
        <v>37326.687449285208</v>
      </c>
      <c r="NT27" s="27">
        <f t="shared" si="129"/>
        <v>0</v>
      </c>
      <c r="NU27" s="5">
        <f t="shared" si="129"/>
        <v>0</v>
      </c>
      <c r="NV27" s="5">
        <f t="shared" si="129"/>
        <v>0</v>
      </c>
      <c r="NW27" s="5">
        <f t="shared" si="129"/>
        <v>0</v>
      </c>
      <c r="NX27" s="5">
        <f t="shared" si="129"/>
        <v>0</v>
      </c>
      <c r="NY27" s="5">
        <f t="shared" si="129"/>
        <v>0</v>
      </c>
      <c r="NZ27" s="27">
        <f t="shared" si="129"/>
        <v>5829.2827301930756</v>
      </c>
      <c r="OA27" s="5">
        <f t="shared" si="129"/>
        <v>0</v>
      </c>
      <c r="OB27" s="27">
        <f t="shared" si="129"/>
        <v>25318.741841856761</v>
      </c>
      <c r="OC27" s="5"/>
      <c r="OD27" s="24">
        <f t="shared" si="130"/>
        <v>454.51223506073143</v>
      </c>
      <c r="OE27" s="5">
        <f t="shared" si="131"/>
        <v>0</v>
      </c>
      <c r="OF27" s="5">
        <f t="shared" si="1"/>
        <v>31602.536807110566</v>
      </c>
      <c r="OG27" s="5">
        <f t="shared" si="132"/>
        <v>0</v>
      </c>
      <c r="OH27" s="5">
        <f t="shared" si="132"/>
        <v>0</v>
      </c>
      <c r="OI27" s="5">
        <f t="shared" si="132"/>
        <v>0</v>
      </c>
      <c r="OJ27" s="5">
        <f t="shared" si="132"/>
        <v>0</v>
      </c>
      <c r="OK27" s="27">
        <f t="shared" si="132"/>
        <v>0</v>
      </c>
      <c r="OL27" s="5">
        <f t="shared" si="132"/>
        <v>0</v>
      </c>
      <c r="OM27" s="24">
        <f t="shared" si="132"/>
        <v>0</v>
      </c>
      <c r="ON27" s="5">
        <f t="shared" si="132"/>
        <v>0</v>
      </c>
      <c r="OO27" s="24">
        <f t="shared" si="115"/>
        <v>12077.812235312073</v>
      </c>
      <c r="OP27" s="5">
        <f t="shared" si="132"/>
        <v>0</v>
      </c>
      <c r="OQ27" s="27">
        <f t="shared" si="132"/>
        <v>0</v>
      </c>
      <c r="OR27" s="5">
        <f t="shared" si="132"/>
        <v>0</v>
      </c>
      <c r="OS27" s="15">
        <f t="shared" si="2"/>
        <v>12077.812235312073</v>
      </c>
      <c r="OT27" s="9"/>
      <c r="OU27" s="5"/>
      <c r="OV27" s="5"/>
      <c r="OW27" s="5"/>
      <c r="OX27" s="5"/>
      <c r="OY27" s="5"/>
      <c r="OZ27" s="15">
        <f t="shared" si="69"/>
        <v>0</v>
      </c>
      <c r="PA27" s="9">
        <f t="shared" si="70"/>
        <v>0</v>
      </c>
      <c r="PB27" s="5">
        <f t="shared" si="71"/>
        <v>0</v>
      </c>
      <c r="PC27" s="5">
        <f t="shared" si="72"/>
        <v>0</v>
      </c>
      <c r="PD27" s="5">
        <f t="shared" si="73"/>
        <v>0</v>
      </c>
      <c r="PE27" s="24"/>
      <c r="PF27" s="5">
        <f t="shared" si="74"/>
        <v>0</v>
      </c>
      <c r="PG27" s="12">
        <f t="shared" si="3"/>
        <v>0</v>
      </c>
      <c r="PH27" s="2621"/>
      <c r="PJ27" s="2">
        <v>975.12</v>
      </c>
      <c r="PK27" s="3">
        <v>390</v>
      </c>
      <c r="PL27" s="3">
        <v>162.5</v>
      </c>
      <c r="PM27" s="3">
        <v>0</v>
      </c>
      <c r="PN27" s="3">
        <f t="shared" si="75"/>
        <v>29968.169776580693</v>
      </c>
      <c r="PO27" s="11">
        <f t="shared" si="76"/>
        <v>23247.575253194551</v>
      </c>
      <c r="PP27" s="15"/>
      <c r="PQ27" s="2615"/>
      <c r="PS27" s="4"/>
      <c r="PT27" s="9"/>
      <c r="PU27" s="9"/>
      <c r="PV27" s="9"/>
      <c r="PW27" s="8">
        <v>964.6400000000001</v>
      </c>
      <c r="PX27" s="9"/>
      <c r="PY27" s="8">
        <f t="shared" si="77"/>
        <v>964.6400000000001</v>
      </c>
      <c r="PZ27" s="5">
        <f t="shared" si="78"/>
        <v>975.12</v>
      </c>
      <c r="QA27" s="5"/>
      <c r="QB27" s="5"/>
      <c r="QC27" s="5"/>
      <c r="QD27" s="5"/>
      <c r="QE27" s="5"/>
      <c r="QF27" s="12"/>
      <c r="QG27" s="12">
        <f t="shared" si="79"/>
        <v>29562.488999999998</v>
      </c>
      <c r="QH27" s="420">
        <f t="shared" si="80"/>
        <v>395140.61955851008</v>
      </c>
      <c r="QI27" s="1106">
        <f t="shared" si="81"/>
        <v>964.6400000000001</v>
      </c>
      <c r="QJ27" s="484">
        <f t="shared" si="82"/>
        <v>5505.3678056099998</v>
      </c>
      <c r="QK27" s="12"/>
      <c r="QL27" s="2615"/>
      <c r="QN27" s="139">
        <f t="shared" si="83"/>
        <v>0</v>
      </c>
      <c r="QO27" s="139" t="str">
        <f t="shared" si="84"/>
        <v/>
      </c>
      <c r="QQ27" s="139">
        <f t="shared" si="85"/>
        <v>0</v>
      </c>
      <c r="QR27" s="139">
        <f t="shared" si="86"/>
        <v>0</v>
      </c>
      <c r="QT27" s="1">
        <f t="shared" si="87"/>
        <v>0</v>
      </c>
      <c r="QU27" s="1">
        <f t="shared" si="88"/>
        <v>0</v>
      </c>
      <c r="QV27" s="1">
        <f t="shared" si="89"/>
        <v>0</v>
      </c>
      <c r="QW27" s="1">
        <f t="shared" si="90"/>
        <v>0</v>
      </c>
      <c r="QX27" s="1">
        <f t="shared" si="91"/>
        <v>0</v>
      </c>
      <c r="QY27" s="1">
        <f t="shared" si="92"/>
        <v>0</v>
      </c>
      <c r="RA27" s="1">
        <f t="shared" si="93"/>
        <v>0</v>
      </c>
      <c r="RB27" s="1">
        <f t="shared" si="94"/>
        <v>0</v>
      </c>
      <c r="RC27" s="1">
        <f t="shared" si="95"/>
        <v>0</v>
      </c>
      <c r="RD27" s="1">
        <f t="shared" si="96"/>
        <v>0</v>
      </c>
      <c r="RE27" s="1">
        <f t="shared" si="97"/>
        <v>0</v>
      </c>
      <c r="RF27" s="1">
        <f t="shared" si="98"/>
        <v>0</v>
      </c>
      <c r="RI27" s="1">
        <v>18</v>
      </c>
      <c r="RJ27" s="1">
        <f t="shared" si="124"/>
        <v>17178.803709717096</v>
      </c>
      <c r="RK27" s="1">
        <f t="shared" si="125"/>
        <v>-304.49671951628261</v>
      </c>
      <c r="RL27" s="1">
        <f t="shared" si="126"/>
        <v>13404.263703387322</v>
      </c>
      <c r="RM27" s="89">
        <f t="shared" si="5"/>
        <v>30278.570693588135</v>
      </c>
      <c r="RN27" s="1033">
        <v>18</v>
      </c>
      <c r="RO27" s="1098">
        <f t="shared" si="100"/>
        <v>0</v>
      </c>
      <c r="RP27" s="1098">
        <f t="shared" si="101"/>
        <v>964.6400000000001</v>
      </c>
      <c r="RQ27" s="1097">
        <f t="shared" si="102"/>
        <v>0</v>
      </c>
      <c r="RR27" s="1097">
        <f t="shared" si="103"/>
        <v>9628.7699999999986</v>
      </c>
      <c r="RS27" s="1050"/>
      <c r="RT27" s="1050" t="s">
        <v>972</v>
      </c>
      <c r="RU27" s="1048"/>
      <c r="RW27" s="421">
        <v>18</v>
      </c>
      <c r="RX27" s="1095">
        <f t="shared" si="104"/>
        <v>3525.4500000000003</v>
      </c>
      <c r="RY27" s="1046" t="s">
        <v>973</v>
      </c>
      <c r="RZ27" s="1048"/>
      <c r="SA27" s="1090"/>
      <c r="SB27" s="1090">
        <f t="shared" si="105"/>
        <v>-964.6399999999976</v>
      </c>
      <c r="SC27" s="1090"/>
      <c r="SD27" s="1090">
        <f t="shared" si="127"/>
        <v>0</v>
      </c>
      <c r="SF27" s="1">
        <v>18</v>
      </c>
      <c r="SG27" s="1">
        <f t="shared" si="107"/>
        <v>0</v>
      </c>
      <c r="SH27" s="1094"/>
    </row>
    <row r="28" spans="1:502" s="1" customFormat="1">
      <c r="B28" s="471">
        <v>19</v>
      </c>
      <c r="C28" s="4">
        <f t="shared" si="6"/>
        <v>118692</v>
      </c>
      <c r="D28" s="1726">
        <f t="shared" si="119"/>
        <v>7817.08</v>
      </c>
      <c r="E28" s="1895">
        <f t="shared" si="7"/>
        <v>15.183674722530665</v>
      </c>
      <c r="F28" s="870"/>
      <c r="G28" s="870"/>
      <c r="H28" s="52">
        <v>61</v>
      </c>
      <c r="I28" s="61">
        <v>1.17</v>
      </c>
      <c r="J28" s="52"/>
      <c r="K28" s="54"/>
      <c r="L28" s="52">
        <v>47.5</v>
      </c>
      <c r="M28" s="61">
        <v>7.67</v>
      </c>
      <c r="N28" s="2629"/>
      <c r="O28" s="4">
        <f t="shared" si="118"/>
        <v>71736</v>
      </c>
      <c r="P28" s="1225">
        <f t="shared" si="8"/>
        <v>5730.9000000000005</v>
      </c>
      <c r="Q28" s="1913">
        <f t="shared" si="9"/>
        <v>12.517405643092706</v>
      </c>
      <c r="R28" s="33"/>
      <c r="S28" s="26">
        <f t="shared" si="10"/>
        <v>31323</v>
      </c>
      <c r="T28" s="27">
        <f t="shared" si="109"/>
        <v>1626.1799999999996</v>
      </c>
      <c r="U28" s="1909">
        <f t="shared" si="11"/>
        <v>19.261705346271636</v>
      </c>
      <c r="V28" s="28"/>
      <c r="W28" s="26">
        <f t="shared" si="12"/>
        <v>15633</v>
      </c>
      <c r="X28" s="5">
        <f t="shared" si="12"/>
        <v>460</v>
      </c>
      <c r="Y28" s="325">
        <f t="shared" si="13"/>
        <v>33.984782608695653</v>
      </c>
      <c r="Z28" s="33"/>
      <c r="AA28" s="26">
        <f t="shared" si="14"/>
        <v>0</v>
      </c>
      <c r="AB28" s="27">
        <f t="shared" si="15"/>
        <v>0</v>
      </c>
      <c r="AC28" s="53">
        <f t="shared" si="16"/>
        <v>0</v>
      </c>
      <c r="AD28" s="28"/>
      <c r="AE28" s="36"/>
      <c r="AF28" s="36"/>
      <c r="AG28" s="53">
        <f t="shared" si="17"/>
        <v>0</v>
      </c>
      <c r="AH28" s="28"/>
      <c r="AI28" s="23"/>
      <c r="AJ28" s="27"/>
      <c r="AK28" s="53">
        <f t="shared" si="18"/>
        <v>0</v>
      </c>
      <c r="AL28" s="28"/>
      <c r="AM28" s="2629"/>
      <c r="AN28" s="9"/>
      <c r="AO28" s="5"/>
      <c r="AP28" s="61">
        <f t="shared" si="19"/>
        <v>0</v>
      </c>
      <c r="AQ28" s="36"/>
      <c r="AR28" s="53"/>
      <c r="AS28" s="61">
        <f t="shared" si="20"/>
        <v>0</v>
      </c>
      <c r="AT28" s="36">
        <v>0</v>
      </c>
      <c r="AU28" s="27"/>
      <c r="AV28" s="54">
        <f t="shared" si="21"/>
        <v>0</v>
      </c>
      <c r="AW28" s="26">
        <v>33726</v>
      </c>
      <c r="AX28" s="27">
        <v>3710.7000000000007</v>
      </c>
      <c r="AY28" s="1895">
        <f t="shared" si="116"/>
        <v>9.088851160158459</v>
      </c>
      <c r="AZ28" s="1908"/>
      <c r="BA28" s="1909"/>
      <c r="BB28" s="1895">
        <f t="shared" si="22"/>
        <v>0</v>
      </c>
      <c r="BC28" s="1740">
        <v>38010</v>
      </c>
      <c r="BD28" s="1913">
        <v>2020.2</v>
      </c>
      <c r="BE28" s="1895">
        <f t="shared" si="23"/>
        <v>18.814968814968815</v>
      </c>
      <c r="BF28" s="1908"/>
      <c r="BG28" s="1909"/>
      <c r="BH28" s="1895">
        <f t="shared" si="24"/>
        <v>0</v>
      </c>
      <c r="BI28" s="1908">
        <v>0</v>
      </c>
      <c r="BJ28" s="1909">
        <v>0</v>
      </c>
      <c r="BK28" s="1895">
        <f t="shared" si="25"/>
        <v>0</v>
      </c>
      <c r="BL28" s="1742">
        <v>31323</v>
      </c>
      <c r="BM28" s="1909">
        <v>1626.1799999999996</v>
      </c>
      <c r="BN28" s="2170"/>
      <c r="BO28" s="1911">
        <f t="shared" si="26"/>
        <v>19.261705346271636</v>
      </c>
      <c r="BP28" s="9"/>
      <c r="BQ28" s="64"/>
      <c r="BR28" s="482">
        <f t="shared" si="27"/>
        <v>0</v>
      </c>
      <c r="BS28" s="9"/>
      <c r="BT28" s="64"/>
      <c r="BU28" s="482">
        <f t="shared" si="28"/>
        <v>0</v>
      </c>
      <c r="BV28" s="9">
        <v>15633</v>
      </c>
      <c r="BW28" s="27">
        <v>460</v>
      </c>
      <c r="BX28" s="15">
        <f t="shared" si="29"/>
        <v>33.984782608695653</v>
      </c>
      <c r="BY28" s="26"/>
      <c r="BZ28" s="5"/>
      <c r="CA28" s="482">
        <f t="shared" si="30"/>
        <v>0</v>
      </c>
      <c r="CB28" s="9"/>
      <c r="CC28" s="5"/>
      <c r="CD28" s="482">
        <f t="shared" si="31"/>
        <v>0</v>
      </c>
      <c r="CE28" s="4"/>
      <c r="CF28" s="5"/>
      <c r="CG28" s="28">
        <f t="shared" si="32"/>
        <v>0</v>
      </c>
      <c r="CH28" s="150"/>
      <c r="CI28" s="1108">
        <v>854</v>
      </c>
      <c r="CJ28" s="5"/>
      <c r="CK28" s="5">
        <v>2930</v>
      </c>
      <c r="CL28" s="5"/>
      <c r="CM28" s="5"/>
      <c r="CN28" s="5"/>
      <c r="CO28" s="33"/>
      <c r="CP28" s="366"/>
      <c r="CR28" s="4">
        <f t="shared" si="33"/>
        <v>0</v>
      </c>
      <c r="CS28" s="9">
        <f t="shared" si="33"/>
        <v>0</v>
      </c>
      <c r="CT28" s="5">
        <f t="shared" si="33"/>
        <v>0</v>
      </c>
      <c r="CU28" s="5">
        <f t="shared" si="33"/>
        <v>0</v>
      </c>
      <c r="CV28" s="5">
        <f t="shared" si="33"/>
        <v>0</v>
      </c>
      <c r="CW28" s="5">
        <f t="shared" si="33"/>
        <v>0</v>
      </c>
      <c r="CX28" s="5">
        <f t="shared" si="33"/>
        <v>360.58</v>
      </c>
      <c r="CY28" s="5">
        <f t="shared" si="33"/>
        <v>0</v>
      </c>
      <c r="CZ28" s="5">
        <f t="shared" si="33"/>
        <v>6996.5000000000018</v>
      </c>
      <c r="DA28" s="5">
        <f t="shared" si="33"/>
        <v>0</v>
      </c>
      <c r="DB28" s="5">
        <f t="shared" si="33"/>
        <v>460</v>
      </c>
      <c r="DC28" s="12">
        <f t="shared" si="33"/>
        <v>0</v>
      </c>
      <c r="DD28" s="310">
        <f t="shared" si="34"/>
        <v>7817.0800000000017</v>
      </c>
      <c r="DE28" s="2695"/>
      <c r="DF28" s="8"/>
      <c r="DG28" s="9"/>
      <c r="DH28" s="5"/>
      <c r="DI28" s="5"/>
      <c r="DJ28" s="5"/>
      <c r="DK28" s="5"/>
      <c r="DL28" s="5">
        <v>360.58</v>
      </c>
      <c r="DM28" s="5"/>
      <c r="DN28" s="5">
        <v>3350.1200000000008</v>
      </c>
      <c r="DO28" s="5"/>
      <c r="DP28" s="488"/>
      <c r="DQ28" s="324"/>
      <c r="DR28" s="28">
        <f t="shared" si="35"/>
        <v>3710.7000000000007</v>
      </c>
      <c r="DS28" s="36"/>
      <c r="DT28" s="9"/>
      <c r="DU28" s="5"/>
      <c r="DV28" s="5"/>
      <c r="DW28" s="5"/>
      <c r="DX28" s="5"/>
      <c r="DY28" s="27"/>
      <c r="DZ28" s="27"/>
      <c r="EA28" s="27">
        <v>3646.3800000000006</v>
      </c>
      <c r="EB28" s="27"/>
      <c r="EC28" s="27">
        <v>0</v>
      </c>
      <c r="ED28" s="33"/>
      <c r="EE28" s="28">
        <f t="shared" si="36"/>
        <v>3646.3800000000006</v>
      </c>
      <c r="EF28" s="856"/>
      <c r="EG28" s="36"/>
      <c r="EH28" s="27"/>
      <c r="EI28" s="27"/>
      <c r="EJ28" s="27"/>
      <c r="EK28" s="27"/>
      <c r="EL28" s="27"/>
      <c r="EM28" s="27"/>
      <c r="EN28" s="5"/>
      <c r="EO28" s="5"/>
      <c r="EP28" s="5">
        <v>460</v>
      </c>
      <c r="EQ28" s="33"/>
      <c r="ER28" s="28">
        <f t="shared" si="120"/>
        <v>460</v>
      </c>
      <c r="ES28" s="36"/>
      <c r="ET28" s="27"/>
      <c r="EU28" s="27"/>
      <c r="EV28" s="27"/>
      <c r="EW28" s="27"/>
      <c r="EX28" s="27"/>
      <c r="EY28" s="33">
        <f t="shared" si="38"/>
        <v>0</v>
      </c>
      <c r="EZ28" s="2685"/>
      <c r="FB28" s="4">
        <f t="shared" si="39"/>
        <v>0</v>
      </c>
      <c r="FC28" s="5">
        <f t="shared" si="40"/>
        <v>0</v>
      </c>
      <c r="FD28" s="5">
        <f t="shared" si="41"/>
        <v>0</v>
      </c>
      <c r="FE28" s="12">
        <f t="shared" si="42"/>
        <v>0</v>
      </c>
      <c r="FF28" s="33"/>
      <c r="FG28" s="2674"/>
      <c r="FH28" s="9"/>
      <c r="FI28" s="5"/>
      <c r="FJ28" s="5"/>
      <c r="FK28" s="5"/>
      <c r="FL28" s="5"/>
      <c r="FM28" s="27"/>
      <c r="FN28" s="28">
        <f t="shared" si="43"/>
        <v>0</v>
      </c>
      <c r="FO28" s="36"/>
      <c r="FP28" s="27"/>
      <c r="FQ28" s="27"/>
      <c r="FR28" s="27"/>
      <c r="FS28" s="27"/>
      <c r="FT28" s="27"/>
      <c r="FU28" s="28">
        <f t="shared" si="44"/>
        <v>0</v>
      </c>
      <c r="FV28" s="36"/>
      <c r="FW28" s="36"/>
      <c r="FX28" s="27"/>
      <c r="FY28" s="27"/>
      <c r="FZ28" s="27"/>
      <c r="GA28" s="27"/>
      <c r="GB28" s="27"/>
      <c r="GC28" s="27"/>
      <c r="GD28" s="27"/>
      <c r="GE28" s="27"/>
      <c r="GF28" s="27"/>
      <c r="GG28" s="33"/>
      <c r="GH28" s="33">
        <f t="shared" si="45"/>
        <v>0</v>
      </c>
      <c r="GI28" s="2674"/>
      <c r="GK28" s="2">
        <f t="shared" si="110"/>
        <v>252</v>
      </c>
      <c r="GL28" s="63">
        <f t="shared" si="111"/>
        <v>1183.3499999999999</v>
      </c>
      <c r="GM28" s="24">
        <f t="shared" si="112"/>
        <v>4290.3500000000004</v>
      </c>
      <c r="GN28" s="1736">
        <f t="shared" si="46"/>
        <v>5725.7000000000007</v>
      </c>
      <c r="GO28" s="141"/>
      <c r="GP28" s="141"/>
      <c r="GQ28" s="33"/>
      <c r="GR28" s="2667"/>
      <c r="GS28" s="845">
        <v>5473.7000000000007</v>
      </c>
      <c r="GT28" s="36">
        <v>252</v>
      </c>
      <c r="GU28" s="27">
        <v>0</v>
      </c>
      <c r="GV28" s="27">
        <v>0</v>
      </c>
      <c r="GW28" s="33">
        <f t="shared" si="47"/>
        <v>5725.7000000000007</v>
      </c>
      <c r="GX28" s="2667"/>
      <c r="GY28" s="36"/>
      <c r="GZ28" s="36"/>
      <c r="HA28" s="27"/>
      <c r="HB28" s="27"/>
      <c r="HC28" s="27"/>
      <c r="HD28" s="27"/>
      <c r="HE28" s="27"/>
      <c r="HF28" s="27"/>
      <c r="HG28" s="27">
        <v>0</v>
      </c>
      <c r="HH28" s="27"/>
      <c r="HI28" s="2167">
        <v>0</v>
      </c>
      <c r="HJ28" s="27"/>
      <c r="HK28" s="27">
        <v>252</v>
      </c>
      <c r="HL28" s="27"/>
      <c r="HM28" s="28">
        <f t="shared" si="121"/>
        <v>252</v>
      </c>
      <c r="HN28" s="36"/>
      <c r="HO28" s="27"/>
      <c r="HP28" s="27"/>
      <c r="HQ28" s="27"/>
      <c r="HR28" s="27"/>
      <c r="HS28" s="27"/>
      <c r="HT28" s="27" cm="1">
        <f t="array" ref="HT28">SUMPRODUCT(('Data Base hauling'!$C$2:$C$216="TCM-ROM SB1 BK05-ROM 4")*(ISNUMBER(SEARCH(TEXT('May TCM'!$B28,"00")&amp;"/03/2026",'Data Base hauling'!$E$2:$E$216)))*'Data Base hauling'!$N$2:$N$216)</f>
        <v>0</v>
      </c>
      <c r="HU28" s="27"/>
      <c r="HV28" s="27" cm="1">
        <f t="array" ref="HV28">SUMPRODUCT(('Data Base hauling'!$C$2:$C$216="TCM-ROM SB1 BK05-ROM 5")*(ISNUMBER(SEARCH(TEXT('May TCM'!$B28,"00")&amp;"/03/2026",'Data Base hauling'!$E$2:$E$216)))*'Data Base hauling'!$N$2:$N$216)</f>
        <v>0</v>
      </c>
      <c r="HW28" s="27"/>
      <c r="HX28" s="27"/>
      <c r="HY28" s="27"/>
      <c r="HZ28" s="27"/>
      <c r="IA28" s="27"/>
      <c r="IB28" s="33">
        <f t="shared" si="49"/>
        <v>0</v>
      </c>
      <c r="IC28" s="52"/>
      <c r="ID28" s="152"/>
      <c r="IE28" s="53"/>
      <c r="IF28" s="53"/>
      <c r="IG28" s="53"/>
      <c r="IH28" s="53"/>
      <c r="II28" s="1736">
        <v>0</v>
      </c>
      <c r="IJ28" s="1736"/>
      <c r="IK28" s="1736">
        <v>1183.3499999999999</v>
      </c>
      <c r="IL28" s="53"/>
      <c r="IM28" s="53">
        <v>0</v>
      </c>
      <c r="IN28" s="53"/>
      <c r="IO28" s="53"/>
      <c r="IP28" s="49">
        <v>0</v>
      </c>
      <c r="IQ28" s="2195">
        <f t="shared" si="122"/>
        <v>1183.3499999999999</v>
      </c>
      <c r="IR28" s="36"/>
      <c r="IS28" s="36"/>
      <c r="IT28" s="27"/>
      <c r="IU28" s="27"/>
      <c r="IV28" s="53"/>
      <c r="IW28" s="27"/>
      <c r="IX28" s="27">
        <v>0</v>
      </c>
      <c r="IY28" s="27"/>
      <c r="IZ28" s="27">
        <v>4290.3500000000004</v>
      </c>
      <c r="JA28" s="27"/>
      <c r="JB28" s="27">
        <v>0</v>
      </c>
      <c r="JC28" s="27"/>
      <c r="JD28" s="27"/>
      <c r="JE28" s="27"/>
      <c r="JF28" s="33">
        <f t="shared" si="123"/>
        <v>4290.3500000000004</v>
      </c>
      <c r="JG28" s="2667"/>
      <c r="JI28" s="2020">
        <v>5725.7000000000007</v>
      </c>
      <c r="JJ28" s="2021">
        <v>0</v>
      </c>
      <c r="JK28" s="53"/>
      <c r="JL28" s="53">
        <f t="shared" si="52"/>
        <v>5725.7000000000007</v>
      </c>
      <c r="JM28" s="33"/>
      <c r="JN28" s="2669"/>
      <c r="JO28" s="69">
        <v>0</v>
      </c>
      <c r="JP28" s="70">
        <v>0</v>
      </c>
      <c r="JQ28" s="70">
        <v>0</v>
      </c>
      <c r="JR28" s="850">
        <v>0</v>
      </c>
      <c r="JS28" s="850">
        <v>0.9559879141415023</v>
      </c>
      <c r="JT28" s="850">
        <v>0</v>
      </c>
      <c r="JU28" s="70">
        <v>4.4012085858497647E-2</v>
      </c>
      <c r="JV28" s="1922">
        <v>0</v>
      </c>
      <c r="JW28" s="69" t="s">
        <v>296</v>
      </c>
      <c r="JX28" s="70" t="s">
        <v>296</v>
      </c>
      <c r="JY28" s="70" t="s">
        <v>296</v>
      </c>
      <c r="JZ28" s="70" t="s">
        <v>296</v>
      </c>
      <c r="KA28" s="70" t="s">
        <v>296</v>
      </c>
      <c r="KB28" s="70" t="s">
        <v>296</v>
      </c>
      <c r="KC28" s="70" t="s">
        <v>296</v>
      </c>
      <c r="KD28" s="71" t="s">
        <v>296</v>
      </c>
      <c r="KE28" s="69"/>
      <c r="KF28" s="70"/>
      <c r="KG28" s="70"/>
      <c r="KH28" s="70"/>
      <c r="KI28" s="70"/>
      <c r="KJ28" s="70"/>
      <c r="KK28" s="70"/>
      <c r="KL28" s="70"/>
      <c r="KM28" s="33"/>
      <c r="KN28" s="2669"/>
      <c r="KO28" s="1739">
        <v>6968.9512903777131</v>
      </c>
      <c r="KP28" s="1721">
        <v>0.93022731157067173</v>
      </c>
      <c r="KQ28" s="1721">
        <v>3.537694411211759</v>
      </c>
      <c r="KR28" s="1721">
        <v>8.0105520423859158</v>
      </c>
      <c r="KS28" s="1722">
        <v>11.941858795761409</v>
      </c>
      <c r="KT28" s="1958">
        <v>0</v>
      </c>
      <c r="KU28" s="1961">
        <v>0</v>
      </c>
      <c r="KV28" s="1961">
        <v>0</v>
      </c>
      <c r="KW28" s="1961">
        <v>0</v>
      </c>
      <c r="KX28" s="1962">
        <v>0</v>
      </c>
      <c r="KY28" s="36"/>
      <c r="KZ28" s="53"/>
      <c r="LA28" s="53"/>
      <c r="LB28" s="53"/>
      <c r="LC28" s="53"/>
      <c r="LD28" s="33"/>
      <c r="LE28" s="2669"/>
      <c r="LG28" s="4">
        <f t="shared" si="53"/>
        <v>0</v>
      </c>
      <c r="LH28" s="27">
        <f t="shared" si="53"/>
        <v>0</v>
      </c>
      <c r="LI28" s="27">
        <f t="shared" si="53"/>
        <v>0</v>
      </c>
      <c r="LJ28" s="28">
        <f t="shared" si="54"/>
        <v>0</v>
      </c>
      <c r="LK28" s="36"/>
      <c r="LL28" s="27">
        <v>1</v>
      </c>
      <c r="LM28" s="27"/>
      <c r="LN28" s="33"/>
      <c r="LO28" s="1041">
        <v>7.91</v>
      </c>
      <c r="LP28" s="486"/>
      <c r="LQ28" s="2688"/>
      <c r="LR28" s="1036"/>
      <c r="LS28" s="36"/>
      <c r="LT28" s="27"/>
      <c r="LU28" s="27"/>
      <c r="LV28" s="27"/>
      <c r="LW28" s="1107">
        <f t="shared" si="55"/>
        <v>0</v>
      </c>
      <c r="LX28" s="36"/>
      <c r="LY28" s="36"/>
      <c r="LZ28" s="27"/>
      <c r="MA28" s="27"/>
      <c r="MB28" s="33"/>
      <c r="MC28" s="28">
        <f t="shared" si="56"/>
        <v>0</v>
      </c>
      <c r="MD28" s="26"/>
      <c r="ME28" s="36"/>
      <c r="MF28" s="27"/>
      <c r="MG28" s="27"/>
      <c r="MH28" s="27"/>
      <c r="MI28" s="28"/>
      <c r="MJ28" s="36"/>
      <c r="MK28" s="36"/>
      <c r="ML28" s="27"/>
      <c r="MM28" s="27"/>
      <c r="MN28" s="27"/>
      <c r="MO28" s="28"/>
      <c r="MP28" s="36"/>
      <c r="MQ28" s="36"/>
      <c r="MR28" s="27"/>
      <c r="MS28" s="27"/>
      <c r="MT28" s="27"/>
      <c r="MU28" s="33">
        <f t="shared" si="57"/>
        <v>0</v>
      </c>
      <c r="MV28" s="2688"/>
      <c r="MX28" s="26">
        <f t="shared" si="58"/>
        <v>159751.53009662195</v>
      </c>
      <c r="MY28" s="27">
        <f t="shared" si="59"/>
        <v>83350.416491707845</v>
      </c>
      <c r="MZ28" s="27">
        <f t="shared" si="60"/>
        <v>23158.075253194551</v>
      </c>
      <c r="NA28" s="28">
        <f t="shared" si="61"/>
        <v>424656.91855851008</v>
      </c>
      <c r="NB28" s="2621"/>
      <c r="NC28" s="23">
        <v>57619.328373462551</v>
      </c>
      <c r="ND28" s="1579">
        <v>102132.20172315941</v>
      </c>
      <c r="NE28" s="60">
        <f t="shared" si="64"/>
        <v>0</v>
      </c>
      <c r="NF28" s="1110">
        <f t="shared" si="4"/>
        <v>159751.53009662195</v>
      </c>
      <c r="NG28" s="26">
        <f t="shared" si="128"/>
        <v>0</v>
      </c>
      <c r="NH28" s="27">
        <f t="shared" si="128"/>
        <v>0</v>
      </c>
      <c r="NI28" s="27">
        <f t="shared" si="128"/>
        <v>0</v>
      </c>
      <c r="NJ28" s="27">
        <f t="shared" si="128"/>
        <v>0</v>
      </c>
      <c r="NK28" s="27">
        <f t="shared" si="128"/>
        <v>0</v>
      </c>
      <c r="NL28" s="33">
        <f t="shared" si="128"/>
        <v>0</v>
      </c>
      <c r="NM28" s="27">
        <f t="shared" si="128"/>
        <v>0</v>
      </c>
      <c r="NN28" s="36">
        <f t="shared" si="128"/>
        <v>0</v>
      </c>
      <c r="NO28" s="24">
        <f t="shared" si="128"/>
        <v>2449.1631443320584</v>
      </c>
      <c r="NP28" s="27">
        <f t="shared" si="128"/>
        <v>26196.696072681989</v>
      </c>
      <c r="NQ28" s="24">
        <f t="shared" si="113"/>
        <v>8756.5482322711578</v>
      </c>
      <c r="NR28" s="24">
        <f t="shared" si="114"/>
        <v>384.28</v>
      </c>
      <c r="NS28" s="27">
        <f t="shared" si="0"/>
        <v>37786.687449285208</v>
      </c>
      <c r="NT28" s="27">
        <f t="shared" si="129"/>
        <v>0</v>
      </c>
      <c r="NU28" s="27">
        <f t="shared" si="129"/>
        <v>0</v>
      </c>
      <c r="NV28" s="27">
        <f t="shared" si="129"/>
        <v>0</v>
      </c>
      <c r="NW28" s="27">
        <f t="shared" si="129"/>
        <v>0</v>
      </c>
      <c r="NX28" s="27">
        <f t="shared" si="129"/>
        <v>0</v>
      </c>
      <c r="NY28" s="5">
        <f t="shared" si="129"/>
        <v>0</v>
      </c>
      <c r="NZ28" s="27">
        <f t="shared" si="129"/>
        <v>6189.8627301930755</v>
      </c>
      <c r="OA28" s="27">
        <f t="shared" si="129"/>
        <v>0</v>
      </c>
      <c r="OB28" s="27">
        <f t="shared" si="129"/>
        <v>27485.511841856765</v>
      </c>
      <c r="OC28" s="27"/>
      <c r="OD28" s="24">
        <f t="shared" si="130"/>
        <v>454.51223506073143</v>
      </c>
      <c r="OE28" s="27">
        <f t="shared" si="131"/>
        <v>0</v>
      </c>
      <c r="OF28" s="28">
        <f t="shared" si="1"/>
        <v>34129.886807110575</v>
      </c>
      <c r="OG28" s="27">
        <f t="shared" si="132"/>
        <v>0</v>
      </c>
      <c r="OH28" s="27">
        <f t="shared" si="132"/>
        <v>0</v>
      </c>
      <c r="OI28" s="27">
        <f t="shared" si="132"/>
        <v>0</v>
      </c>
      <c r="OJ28" s="27">
        <f t="shared" si="132"/>
        <v>0</v>
      </c>
      <c r="OK28" s="27">
        <f t="shared" si="132"/>
        <v>0</v>
      </c>
      <c r="OL28" s="27">
        <f t="shared" si="132"/>
        <v>0</v>
      </c>
      <c r="OM28" s="24">
        <f t="shared" si="132"/>
        <v>0</v>
      </c>
      <c r="ON28" s="27">
        <f t="shared" si="132"/>
        <v>0</v>
      </c>
      <c r="OO28" s="24">
        <f t="shared" si="115"/>
        <v>11433.842235312073</v>
      </c>
      <c r="OP28" s="27">
        <f t="shared" si="132"/>
        <v>0</v>
      </c>
      <c r="OQ28" s="27">
        <f t="shared" si="132"/>
        <v>0</v>
      </c>
      <c r="OR28" s="27">
        <f t="shared" si="132"/>
        <v>0</v>
      </c>
      <c r="OS28" s="28">
        <f t="shared" si="2"/>
        <v>11433.842235312073</v>
      </c>
      <c r="OT28" s="36"/>
      <c r="OU28" s="27"/>
      <c r="OV28" s="27"/>
      <c r="OW28" s="27"/>
      <c r="OX28" s="27"/>
      <c r="OY28" s="27"/>
      <c r="OZ28" s="28">
        <f t="shared" si="69"/>
        <v>0</v>
      </c>
      <c r="PA28" s="36">
        <f t="shared" si="70"/>
        <v>0</v>
      </c>
      <c r="PB28" s="27">
        <f t="shared" si="71"/>
        <v>0</v>
      </c>
      <c r="PC28" s="27">
        <f t="shared" si="72"/>
        <v>0</v>
      </c>
      <c r="PD28" s="27">
        <f t="shared" si="73"/>
        <v>0</v>
      </c>
      <c r="PE28" s="24"/>
      <c r="PF28" s="27">
        <f t="shared" si="74"/>
        <v>0</v>
      </c>
      <c r="PG28" s="33">
        <f t="shared" si="3"/>
        <v>0</v>
      </c>
      <c r="PH28" s="2621"/>
      <c r="PJ28" s="2">
        <v>1010.83</v>
      </c>
      <c r="PK28" s="3">
        <v>390</v>
      </c>
      <c r="PL28" s="3">
        <v>162.5</v>
      </c>
      <c r="PM28" s="3">
        <v>252</v>
      </c>
      <c r="PN28" s="3">
        <f t="shared" si="75"/>
        <v>30588.999776580695</v>
      </c>
      <c r="PO28" s="11">
        <f t="shared" si="76"/>
        <v>23158.075253194551</v>
      </c>
      <c r="PP28" s="15"/>
      <c r="PQ28" s="2615"/>
      <c r="PS28" s="4"/>
      <c r="PT28" s="9"/>
      <c r="PU28" s="9"/>
      <c r="PV28" s="9"/>
      <c r="PW28" s="8">
        <v>0</v>
      </c>
      <c r="PX28" s="9"/>
      <c r="PY28" s="8">
        <f t="shared" si="77"/>
        <v>0</v>
      </c>
      <c r="PZ28" s="5">
        <f t="shared" si="78"/>
        <v>1010.83</v>
      </c>
      <c r="QA28" s="5"/>
      <c r="QB28" s="5"/>
      <c r="QC28" s="5"/>
      <c r="QD28" s="5"/>
      <c r="QE28" s="5"/>
      <c r="QF28" s="12"/>
      <c r="QG28" s="12">
        <f t="shared" si="79"/>
        <v>29562.488999999998</v>
      </c>
      <c r="QH28" s="420">
        <f t="shared" si="80"/>
        <v>394129.78955851006</v>
      </c>
      <c r="QI28" s="1106">
        <f t="shared" si="81"/>
        <v>964.6400000000001</v>
      </c>
      <c r="QJ28" s="484">
        <f t="shared" si="82"/>
        <v>5505.3678056099998</v>
      </c>
      <c r="QK28" s="12"/>
      <c r="QL28" s="2615"/>
      <c r="QN28" s="139">
        <f t="shared" si="83"/>
        <v>0</v>
      </c>
      <c r="QO28" s="139" t="str">
        <f t="shared" si="84"/>
        <v/>
      </c>
      <c r="QQ28" s="139">
        <f t="shared" si="85"/>
        <v>0</v>
      </c>
      <c r="QR28" s="139">
        <f t="shared" si="86"/>
        <v>0</v>
      </c>
      <c r="QT28" s="1">
        <f t="shared" si="87"/>
        <v>0</v>
      </c>
      <c r="QU28" s="1">
        <f t="shared" si="88"/>
        <v>0</v>
      </c>
      <c r="QV28" s="1">
        <f t="shared" si="89"/>
        <v>0</v>
      </c>
      <c r="QW28" s="1">
        <f t="shared" si="90"/>
        <v>0</v>
      </c>
      <c r="QX28" s="1">
        <f t="shared" si="91"/>
        <v>0</v>
      </c>
      <c r="QY28" s="1">
        <f t="shared" si="92"/>
        <v>0</v>
      </c>
      <c r="RA28" s="1">
        <f t="shared" si="93"/>
        <v>0</v>
      </c>
      <c r="RB28" s="1">
        <f t="shared" si="94"/>
        <v>0</v>
      </c>
      <c r="RC28" s="1">
        <f t="shared" si="95"/>
        <v>0</v>
      </c>
      <c r="RD28" s="1">
        <f t="shared" si="96"/>
        <v>0</v>
      </c>
      <c r="RE28" s="1">
        <f t="shared" si="97"/>
        <v>0</v>
      </c>
      <c r="RF28" s="1">
        <f t="shared" si="98"/>
        <v>0</v>
      </c>
      <c r="RI28" s="1">
        <v>19</v>
      </c>
      <c r="RJ28" s="1">
        <f t="shared" si="124"/>
        <v>22904.503709717097</v>
      </c>
      <c r="RK28" s="1">
        <f t="shared" si="125"/>
        <v>-304.49671951628261</v>
      </c>
      <c r="RL28" s="1">
        <f t="shared" si="126"/>
        <v>13404.263703387322</v>
      </c>
      <c r="RM28" s="89">
        <f t="shared" si="5"/>
        <v>36004.270693588136</v>
      </c>
      <c r="RN28" s="1033">
        <v>19</v>
      </c>
      <c r="RO28" s="1098">
        <f t="shared" si="100"/>
        <v>0</v>
      </c>
      <c r="RP28" s="1098">
        <f t="shared" si="101"/>
        <v>0</v>
      </c>
      <c r="RQ28" s="1097">
        <f t="shared" si="102"/>
        <v>0</v>
      </c>
      <c r="RR28" s="1097">
        <f t="shared" si="103"/>
        <v>7357.08</v>
      </c>
      <c r="RS28" s="1050"/>
      <c r="RT28" s="1046" t="s">
        <v>974</v>
      </c>
      <c r="RU28" s="1048"/>
      <c r="RW28" s="421">
        <v>19</v>
      </c>
      <c r="RX28" s="1095">
        <f t="shared" si="104"/>
        <v>5725.7000000000007</v>
      </c>
      <c r="RY28" s="1046" t="s">
        <v>975</v>
      </c>
      <c r="RZ28" s="1048"/>
      <c r="SA28" s="1090"/>
      <c r="SB28" s="1090">
        <f t="shared" si="105"/>
        <v>0</v>
      </c>
      <c r="SC28" s="1090"/>
      <c r="SD28" s="1090">
        <f t="shared" si="127"/>
        <v>0</v>
      </c>
      <c r="SF28" s="1">
        <v>19</v>
      </c>
      <c r="SG28" s="1">
        <f t="shared" si="107"/>
        <v>252</v>
      </c>
      <c r="SH28" s="1096" t="s">
        <v>976</v>
      </c>
    </row>
    <row r="29" spans="1:502" s="1" customFormat="1">
      <c r="B29" s="471">
        <v>20</v>
      </c>
      <c r="C29" s="4">
        <f t="shared" si="6"/>
        <v>144102</v>
      </c>
      <c r="D29" s="1726">
        <f t="shared" si="119"/>
        <v>8489.16</v>
      </c>
      <c r="E29" s="1911">
        <f t="shared" si="7"/>
        <v>16.974824364248054</v>
      </c>
      <c r="F29" s="870"/>
      <c r="G29" s="870"/>
      <c r="H29" s="845">
        <v>3</v>
      </c>
      <c r="I29" s="482">
        <v>2.9</v>
      </c>
      <c r="J29" s="845"/>
      <c r="K29" s="846"/>
      <c r="L29" s="845">
        <v>1</v>
      </c>
      <c r="M29" s="482">
        <v>3</v>
      </c>
      <c r="N29" s="2629"/>
      <c r="O29" s="4">
        <f t="shared" si="118"/>
        <v>91434</v>
      </c>
      <c r="P29" s="1225">
        <f t="shared" si="8"/>
        <v>6524.38</v>
      </c>
      <c r="Q29" s="1913">
        <f t="shared" si="9"/>
        <v>14.014205181181966</v>
      </c>
      <c r="R29" s="12"/>
      <c r="S29" s="26">
        <f t="shared" si="10"/>
        <v>28626</v>
      </c>
      <c r="T29" s="27">
        <f t="shared" si="109"/>
        <v>1644.7799999999997</v>
      </c>
      <c r="U29" s="1913">
        <f t="shared" si="11"/>
        <v>17.404151315069495</v>
      </c>
      <c r="V29" s="15"/>
      <c r="W29" s="26">
        <f t="shared" si="12"/>
        <v>24042</v>
      </c>
      <c r="X29" s="5">
        <f t="shared" si="12"/>
        <v>320</v>
      </c>
      <c r="Y29" s="1719">
        <f t="shared" si="13"/>
        <v>75.131249999999994</v>
      </c>
      <c r="Z29" s="12"/>
      <c r="AA29" s="26">
        <f t="shared" si="14"/>
        <v>0</v>
      </c>
      <c r="AB29" s="27">
        <f t="shared" si="15"/>
        <v>0</v>
      </c>
      <c r="AC29" s="64">
        <f t="shared" si="16"/>
        <v>0</v>
      </c>
      <c r="AD29" s="15"/>
      <c r="AE29" s="9"/>
      <c r="AF29" s="9"/>
      <c r="AG29" s="64">
        <f t="shared" si="17"/>
        <v>0</v>
      </c>
      <c r="AH29" s="15"/>
      <c r="AI29" s="4"/>
      <c r="AJ29" s="5"/>
      <c r="AK29" s="64">
        <f t="shared" si="18"/>
        <v>0</v>
      </c>
      <c r="AL29" s="15"/>
      <c r="AM29" s="2629"/>
      <c r="AN29" s="9"/>
      <c r="AO29" s="5"/>
      <c r="AP29" s="482">
        <f t="shared" si="19"/>
        <v>0</v>
      </c>
      <c r="AQ29" s="9"/>
      <c r="AR29" s="64"/>
      <c r="AS29" s="482">
        <f t="shared" si="20"/>
        <v>0</v>
      </c>
      <c r="AT29" s="9">
        <v>0</v>
      </c>
      <c r="AU29" s="5"/>
      <c r="AV29" s="846">
        <f t="shared" si="21"/>
        <v>0</v>
      </c>
      <c r="AW29" s="4">
        <v>44352</v>
      </c>
      <c r="AX29" s="5">
        <v>4162.12</v>
      </c>
      <c r="AY29" s="1911">
        <f t="shared" si="116"/>
        <v>10.656107944989573</v>
      </c>
      <c r="AZ29" s="1912"/>
      <c r="BA29" s="1913"/>
      <c r="BB29" s="1911">
        <f t="shared" si="22"/>
        <v>0</v>
      </c>
      <c r="BC29" s="1940">
        <v>47082</v>
      </c>
      <c r="BD29" s="1913">
        <v>2362.2600000000002</v>
      </c>
      <c r="BE29" s="1911">
        <f t="shared" si="23"/>
        <v>19.930913616621368</v>
      </c>
      <c r="BF29" s="1908"/>
      <c r="BG29" s="1909"/>
      <c r="BH29" s="1911">
        <f t="shared" si="24"/>
        <v>0</v>
      </c>
      <c r="BI29" s="1912">
        <v>0</v>
      </c>
      <c r="BJ29" s="1909">
        <v>0</v>
      </c>
      <c r="BK29" s="1911">
        <f t="shared" si="25"/>
        <v>0</v>
      </c>
      <c r="BL29" s="1742">
        <v>28626</v>
      </c>
      <c r="BM29" s="1909">
        <v>1644.7799999999997</v>
      </c>
      <c r="BN29" s="2170"/>
      <c r="BO29" s="1911">
        <f t="shared" si="26"/>
        <v>17.404151315069495</v>
      </c>
      <c r="BP29" s="9"/>
      <c r="BQ29" s="64"/>
      <c r="BR29" s="482">
        <f t="shared" si="27"/>
        <v>0</v>
      </c>
      <c r="BS29" s="9"/>
      <c r="BT29" s="64"/>
      <c r="BU29" s="482">
        <f t="shared" si="28"/>
        <v>0</v>
      </c>
      <c r="BV29" s="9">
        <v>24042</v>
      </c>
      <c r="BW29" s="27">
        <v>320</v>
      </c>
      <c r="BX29" s="15">
        <f t="shared" si="29"/>
        <v>75.131249999999994</v>
      </c>
      <c r="BY29" s="26"/>
      <c r="BZ29" s="5"/>
      <c r="CA29" s="482">
        <f t="shared" si="30"/>
        <v>0</v>
      </c>
      <c r="CB29" s="9"/>
      <c r="CC29" s="5"/>
      <c r="CD29" s="482">
        <f t="shared" si="31"/>
        <v>0</v>
      </c>
      <c r="CE29" s="4"/>
      <c r="CF29" s="494"/>
      <c r="CG29" s="15">
        <f t="shared" si="32"/>
        <v>0</v>
      </c>
      <c r="CH29" s="150"/>
      <c r="CI29" s="1108">
        <v>1134</v>
      </c>
      <c r="CJ29" s="5"/>
      <c r="CK29" s="5">
        <v>4103</v>
      </c>
      <c r="CL29" s="5"/>
      <c r="CM29" s="5"/>
      <c r="CN29" s="5"/>
      <c r="CO29" s="12"/>
      <c r="CP29" s="366"/>
      <c r="CR29" s="4">
        <f t="shared" si="33"/>
        <v>0</v>
      </c>
      <c r="CS29" s="9">
        <f t="shared" si="33"/>
        <v>0</v>
      </c>
      <c r="CT29" s="5">
        <f t="shared" si="33"/>
        <v>0</v>
      </c>
      <c r="CU29" s="5">
        <f t="shared" si="33"/>
        <v>0</v>
      </c>
      <c r="CV29" s="5">
        <f t="shared" si="33"/>
        <v>0</v>
      </c>
      <c r="CW29" s="5">
        <f t="shared" si="33"/>
        <v>0</v>
      </c>
      <c r="CX29" s="5">
        <f t="shared" si="33"/>
        <v>0</v>
      </c>
      <c r="CY29" s="5">
        <f t="shared" si="33"/>
        <v>0</v>
      </c>
      <c r="CZ29" s="5">
        <f t="shared" si="33"/>
        <v>8169.1600000000008</v>
      </c>
      <c r="DA29" s="5">
        <f t="shared" si="33"/>
        <v>0</v>
      </c>
      <c r="DB29" s="5">
        <f t="shared" si="33"/>
        <v>320</v>
      </c>
      <c r="DC29" s="12">
        <f t="shared" si="33"/>
        <v>0</v>
      </c>
      <c r="DD29" s="847">
        <f t="shared" si="34"/>
        <v>8489.16</v>
      </c>
      <c r="DE29" s="2695"/>
      <c r="DF29" s="8"/>
      <c r="DG29" s="9"/>
      <c r="DH29" s="5"/>
      <c r="DI29" s="5"/>
      <c r="DJ29" s="5"/>
      <c r="DK29" s="5"/>
      <c r="DL29" s="5">
        <v>0</v>
      </c>
      <c r="DM29" s="5"/>
      <c r="DN29" s="5">
        <v>4162.12</v>
      </c>
      <c r="DO29" s="5"/>
      <c r="DP29" s="5"/>
      <c r="DQ29" s="12"/>
      <c r="DR29" s="15">
        <f t="shared" si="35"/>
        <v>4162.12</v>
      </c>
      <c r="DS29" s="9"/>
      <c r="DT29" s="9"/>
      <c r="DU29" s="5"/>
      <c r="DV29" s="5"/>
      <c r="DW29" s="5"/>
      <c r="DX29" s="5"/>
      <c r="DY29" s="5"/>
      <c r="DZ29" s="5"/>
      <c r="EA29" s="5">
        <v>4007.0400000000009</v>
      </c>
      <c r="EB29" s="5"/>
      <c r="EC29" s="5">
        <v>0</v>
      </c>
      <c r="ED29" s="12"/>
      <c r="EE29" s="15">
        <f t="shared" si="36"/>
        <v>4007.0400000000009</v>
      </c>
      <c r="EF29" s="9"/>
      <c r="EG29" s="9"/>
      <c r="EH29" s="5"/>
      <c r="EI29" s="5"/>
      <c r="EJ29" s="5"/>
      <c r="EK29" s="5"/>
      <c r="EL29" s="5"/>
      <c r="EM29" s="5"/>
      <c r="EN29" s="5"/>
      <c r="EO29" s="5"/>
      <c r="EP29" s="5">
        <v>320</v>
      </c>
      <c r="EQ29" s="12"/>
      <c r="ER29" s="15">
        <f t="shared" si="120"/>
        <v>320</v>
      </c>
      <c r="ES29" s="9"/>
      <c r="ET29" s="5"/>
      <c r="EU29" s="5"/>
      <c r="EV29" s="5"/>
      <c r="EW29" s="5"/>
      <c r="EX29" s="5"/>
      <c r="EY29" s="12">
        <f t="shared" si="38"/>
        <v>0</v>
      </c>
      <c r="EZ29" s="2685"/>
      <c r="FB29" s="4">
        <f t="shared" si="39"/>
        <v>0</v>
      </c>
      <c r="FC29" s="5">
        <f t="shared" si="40"/>
        <v>0</v>
      </c>
      <c r="FD29" s="5">
        <f t="shared" si="41"/>
        <v>0</v>
      </c>
      <c r="FE29" s="12">
        <f t="shared" si="42"/>
        <v>0</v>
      </c>
      <c r="FF29" s="12"/>
      <c r="FG29" s="2674"/>
      <c r="FH29" s="9"/>
      <c r="FI29" s="5"/>
      <c r="FJ29" s="5"/>
      <c r="FK29" s="5"/>
      <c r="FL29" s="5"/>
      <c r="FM29" s="5"/>
      <c r="FN29" s="15">
        <f t="shared" si="43"/>
        <v>0</v>
      </c>
      <c r="FO29" s="9"/>
      <c r="FP29" s="5"/>
      <c r="FQ29" s="5"/>
      <c r="FR29" s="5"/>
      <c r="FS29" s="5"/>
      <c r="FT29" s="5"/>
      <c r="FU29" s="15">
        <f t="shared" si="44"/>
        <v>0</v>
      </c>
      <c r="FV29" s="9"/>
      <c r="FW29" s="9"/>
      <c r="FX29" s="5"/>
      <c r="FY29" s="5"/>
      <c r="FZ29" s="5"/>
      <c r="GA29" s="5"/>
      <c r="GB29" s="5"/>
      <c r="GC29" s="5"/>
      <c r="GD29" s="5"/>
      <c r="GE29" s="5"/>
      <c r="GF29" s="5"/>
      <c r="GG29" s="12"/>
      <c r="GH29" s="12">
        <f t="shared" si="45"/>
        <v>0</v>
      </c>
      <c r="GI29" s="2674"/>
      <c r="GK29" s="2">
        <f t="shared" si="110"/>
        <v>28.92</v>
      </c>
      <c r="GL29" s="63">
        <f t="shared" si="111"/>
        <v>1404.35</v>
      </c>
      <c r="GM29" s="24">
        <f t="shared" si="112"/>
        <v>4287.0200000000004</v>
      </c>
      <c r="GN29" s="1590">
        <f t="shared" si="46"/>
        <v>5720.2900000000009</v>
      </c>
      <c r="GO29" s="848"/>
      <c r="GP29" s="848"/>
      <c r="GQ29" s="12"/>
      <c r="GR29" s="2667"/>
      <c r="GS29" s="1017">
        <v>5691.369999999999</v>
      </c>
      <c r="GT29" s="5">
        <v>28.92</v>
      </c>
      <c r="GU29" s="5">
        <v>0</v>
      </c>
      <c r="GV29" s="5">
        <v>0</v>
      </c>
      <c r="GW29" s="12">
        <f t="shared" si="47"/>
        <v>5720.2899999999991</v>
      </c>
      <c r="GX29" s="2667"/>
      <c r="GY29" s="9"/>
      <c r="GZ29" s="9"/>
      <c r="HA29" s="5"/>
      <c r="HB29" s="5"/>
      <c r="HC29" s="5"/>
      <c r="HD29" s="5"/>
      <c r="HE29" s="5"/>
      <c r="HF29" s="5"/>
      <c r="HG29" s="5">
        <v>0</v>
      </c>
      <c r="HH29" s="5"/>
      <c r="HI29" s="2197">
        <v>0</v>
      </c>
      <c r="HJ29" s="5"/>
      <c r="HK29" s="5">
        <v>28.92</v>
      </c>
      <c r="HL29" s="5"/>
      <c r="HM29" s="15">
        <f t="shared" si="121"/>
        <v>28.92</v>
      </c>
      <c r="HN29" s="9"/>
      <c r="HO29" s="5"/>
      <c r="HP29" s="5"/>
      <c r="HQ29" s="5"/>
      <c r="HR29" s="5"/>
      <c r="HS29" s="5"/>
      <c r="HT29" s="5" cm="1">
        <f t="array" ref="HT29">SUMPRODUCT(('Data Base hauling'!$C$2:$C$216="TCM-ROM SB1 BK05-ROM 4")*(ISNUMBER(SEARCH(TEXT('May TCM'!$B29,"00")&amp;"/03/2026",'Data Base hauling'!$E$2:$E$216)))*'Data Base hauling'!$N$2:$N$216)</f>
        <v>0</v>
      </c>
      <c r="HU29" s="5"/>
      <c r="HV29" s="5" cm="1">
        <f t="array" ref="HV29">SUMPRODUCT(('Data Base hauling'!$C$2:$C$216="TCM-ROM SB1 BK05-ROM 5")*(ISNUMBER(SEARCH(TEXT('May TCM'!$B29,"00")&amp;"/03/2026",'Data Base hauling'!$E$2:$E$216)))*'Data Base hauling'!$N$2:$N$216)</f>
        <v>0</v>
      </c>
      <c r="HW29" s="5"/>
      <c r="HX29" s="5"/>
      <c r="HY29" s="5"/>
      <c r="HZ29" s="5"/>
      <c r="IA29" s="5"/>
      <c r="IB29" s="12">
        <f t="shared" si="49"/>
        <v>0</v>
      </c>
      <c r="IC29" s="845"/>
      <c r="ID29" s="363"/>
      <c r="IE29" s="64"/>
      <c r="IF29" s="64"/>
      <c r="IG29" s="64"/>
      <c r="IH29" s="64"/>
      <c r="II29" s="1590">
        <v>0</v>
      </c>
      <c r="IJ29" s="1590"/>
      <c r="IK29" s="1590">
        <v>1404.35</v>
      </c>
      <c r="IL29" s="64"/>
      <c r="IM29" s="64">
        <v>0</v>
      </c>
      <c r="IN29" s="64"/>
      <c r="IO29" s="64"/>
      <c r="IP29" s="49">
        <v>0</v>
      </c>
      <c r="IQ29" s="2195">
        <f t="shared" si="122"/>
        <v>1404.35</v>
      </c>
      <c r="IR29" s="9"/>
      <c r="IS29" s="9"/>
      <c r="IT29" s="5"/>
      <c r="IU29" s="5"/>
      <c r="IV29" s="64"/>
      <c r="IW29" s="5"/>
      <c r="IX29" s="5">
        <v>0</v>
      </c>
      <c r="IY29" s="5"/>
      <c r="IZ29" s="5">
        <v>4287.0200000000004</v>
      </c>
      <c r="JA29" s="5"/>
      <c r="JB29" s="5">
        <v>0</v>
      </c>
      <c r="JC29" s="5"/>
      <c r="JD29" s="5"/>
      <c r="JE29" s="5"/>
      <c r="JF29" s="12">
        <f t="shared" si="123"/>
        <v>4287.0200000000004</v>
      </c>
      <c r="JG29" s="2667"/>
      <c r="JI29" s="2020">
        <v>5720.2899999999991</v>
      </c>
      <c r="JJ29" s="2021">
        <v>0</v>
      </c>
      <c r="JK29" s="64"/>
      <c r="JL29" s="64">
        <f t="shared" si="52"/>
        <v>5720.2899999999991</v>
      </c>
      <c r="JM29" s="12"/>
      <c r="JN29" s="2669"/>
      <c r="JO29" s="849">
        <v>0</v>
      </c>
      <c r="JP29" s="850">
        <v>0</v>
      </c>
      <c r="JQ29" s="850">
        <v>0</v>
      </c>
      <c r="JR29" s="850">
        <v>0</v>
      </c>
      <c r="JS29" s="850">
        <v>0.99494431226388869</v>
      </c>
      <c r="JT29" s="850">
        <v>0</v>
      </c>
      <c r="JU29" s="850">
        <v>5.0556877361112819E-3</v>
      </c>
      <c r="JV29" s="1923">
        <v>0</v>
      </c>
      <c r="JW29" s="849" t="s">
        <v>296</v>
      </c>
      <c r="JX29" s="850" t="s">
        <v>296</v>
      </c>
      <c r="JY29" s="850" t="s">
        <v>296</v>
      </c>
      <c r="JZ29" s="850" t="s">
        <v>296</v>
      </c>
      <c r="KA29" s="850" t="s">
        <v>296</v>
      </c>
      <c r="KB29" s="850" t="s">
        <v>296</v>
      </c>
      <c r="KC29" s="850" t="s">
        <v>296</v>
      </c>
      <c r="KD29" s="851" t="s">
        <v>296</v>
      </c>
      <c r="KE29" s="849"/>
      <c r="KF29" s="850"/>
      <c r="KG29" s="850"/>
      <c r="KH29" s="850"/>
      <c r="KI29" s="850"/>
      <c r="KJ29" s="850"/>
      <c r="KK29" s="850"/>
      <c r="KL29" s="850"/>
      <c r="KM29" s="12"/>
      <c r="KN29" s="2669"/>
      <c r="KO29" s="1739">
        <v>6894.1379073756434</v>
      </c>
      <c r="KP29" s="1721">
        <v>0.80527101200686102</v>
      </c>
      <c r="KQ29" s="1721">
        <v>4.4856809605488852</v>
      </c>
      <c r="KR29" s="1721">
        <v>7.904631217838765</v>
      </c>
      <c r="KS29" s="1722">
        <v>12.26453480343053</v>
      </c>
      <c r="KT29" s="1958">
        <v>0</v>
      </c>
      <c r="KU29" s="1961">
        <v>0</v>
      </c>
      <c r="KV29" s="1961">
        <v>0</v>
      </c>
      <c r="KW29" s="1961">
        <v>0</v>
      </c>
      <c r="KX29" s="1962">
        <v>0</v>
      </c>
      <c r="KY29" s="9"/>
      <c r="KZ29" s="64"/>
      <c r="LA29" s="64"/>
      <c r="LB29" s="64"/>
      <c r="LC29" s="64"/>
      <c r="LD29" s="12"/>
      <c r="LE29" s="2669"/>
      <c r="LG29" s="4">
        <f t="shared" si="53"/>
        <v>29365.47</v>
      </c>
      <c r="LH29" s="5">
        <f t="shared" si="53"/>
        <v>0</v>
      </c>
      <c r="LI29" s="5">
        <f t="shared" si="53"/>
        <v>0</v>
      </c>
      <c r="LJ29" s="15">
        <f t="shared" si="54"/>
        <v>29365.47</v>
      </c>
      <c r="LK29" s="9">
        <v>4</v>
      </c>
      <c r="LL29" s="5">
        <v>1</v>
      </c>
      <c r="LM29" s="5"/>
      <c r="LN29" s="12"/>
      <c r="LO29" s="1956">
        <v>8.4499999999999993</v>
      </c>
      <c r="LP29" s="486"/>
      <c r="LQ29" s="2688"/>
      <c r="LR29" s="9">
        <v>29365.47</v>
      </c>
      <c r="LS29" s="9"/>
      <c r="LT29" s="5"/>
      <c r="LU29" s="5"/>
      <c r="LV29" s="5"/>
      <c r="LW29" s="1107">
        <f t="shared" si="55"/>
        <v>29365.47</v>
      </c>
      <c r="LX29" s="9"/>
      <c r="LY29" s="9"/>
      <c r="LZ29" s="5"/>
      <c r="MA29" s="5"/>
      <c r="MB29" s="12"/>
      <c r="MC29" s="28">
        <f t="shared" si="56"/>
        <v>0</v>
      </c>
      <c r="MD29" s="4"/>
      <c r="ME29" s="9"/>
      <c r="MF29" s="5"/>
      <c r="MG29" s="5"/>
      <c r="MH29" s="5"/>
      <c r="MI29" s="15"/>
      <c r="MJ29" s="9"/>
      <c r="MK29" s="9"/>
      <c r="ML29" s="5"/>
      <c r="MM29" s="5"/>
      <c r="MN29" s="5"/>
      <c r="MO29" s="15"/>
      <c r="MP29" s="9"/>
      <c r="MQ29" s="9"/>
      <c r="MR29" s="5"/>
      <c r="MS29" s="5"/>
      <c r="MT29" s="5"/>
      <c r="MU29" s="12">
        <f t="shared" si="57"/>
        <v>0</v>
      </c>
      <c r="MV29" s="2688"/>
      <c r="MX29" s="4">
        <f t="shared" si="58"/>
        <v>136106.35009662196</v>
      </c>
      <c r="MY29" s="5">
        <f t="shared" si="59"/>
        <v>86148.206491707868</v>
      </c>
      <c r="MZ29" s="5">
        <f t="shared" si="60"/>
        <v>23361.655253194553</v>
      </c>
      <c r="NA29" s="15">
        <f t="shared" si="61"/>
        <v>424460.97855851008</v>
      </c>
      <c r="NB29" s="2621"/>
      <c r="NC29" s="23">
        <f t="shared" si="62"/>
        <v>33974.148373462551</v>
      </c>
      <c r="ND29" s="1579">
        <f t="shared" si="63"/>
        <v>102132.20172315941</v>
      </c>
      <c r="NE29" s="60">
        <f t="shared" si="64"/>
        <v>0</v>
      </c>
      <c r="NF29" s="1042">
        <f t="shared" si="4"/>
        <v>136106.35009662196</v>
      </c>
      <c r="NG29" s="4">
        <f t="shared" si="128"/>
        <v>0</v>
      </c>
      <c r="NH29" s="5">
        <f t="shared" si="128"/>
        <v>0</v>
      </c>
      <c r="NI29" s="27">
        <f t="shared" si="128"/>
        <v>0</v>
      </c>
      <c r="NJ29" s="5">
        <f t="shared" si="128"/>
        <v>0</v>
      </c>
      <c r="NK29" s="5">
        <f t="shared" si="128"/>
        <v>0</v>
      </c>
      <c r="NL29" s="12">
        <f t="shared" si="128"/>
        <v>0</v>
      </c>
      <c r="NM29" s="27">
        <f t="shared" si="128"/>
        <v>0</v>
      </c>
      <c r="NN29" s="9">
        <f t="shared" si="128"/>
        <v>0</v>
      </c>
      <c r="NO29" s="24">
        <f t="shared" si="128"/>
        <v>2449.1631443320584</v>
      </c>
      <c r="NP29" s="5">
        <f t="shared" si="128"/>
        <v>26196.696072681989</v>
      </c>
      <c r="NQ29" s="24">
        <f t="shared" si="113"/>
        <v>8756.5482322711578</v>
      </c>
      <c r="NR29" s="24">
        <f t="shared" si="114"/>
        <v>704.28</v>
      </c>
      <c r="NS29" s="5">
        <f t="shared" si="0"/>
        <v>38106.687449285208</v>
      </c>
      <c r="NT29" s="27">
        <f t="shared" si="129"/>
        <v>0</v>
      </c>
      <c r="NU29" s="5">
        <f t="shared" si="129"/>
        <v>0</v>
      </c>
      <c r="NV29" s="27">
        <f t="shared" si="129"/>
        <v>0</v>
      </c>
      <c r="NW29" s="5">
        <f t="shared" si="129"/>
        <v>0</v>
      </c>
      <c r="NX29" s="5">
        <f t="shared" si="129"/>
        <v>0</v>
      </c>
      <c r="NY29" s="5">
        <f t="shared" si="129"/>
        <v>0</v>
      </c>
      <c r="NZ29" s="27">
        <f t="shared" si="129"/>
        <v>6189.8627301930755</v>
      </c>
      <c r="OA29" s="5">
        <f t="shared" si="129"/>
        <v>0</v>
      </c>
      <c r="OB29" s="27">
        <f t="shared" si="129"/>
        <v>30243.281841856766</v>
      </c>
      <c r="OC29" s="27"/>
      <c r="OD29" s="24">
        <f t="shared" si="130"/>
        <v>454.51223506073143</v>
      </c>
      <c r="OE29" s="5">
        <f t="shared" si="131"/>
        <v>0</v>
      </c>
      <c r="OF29" s="15">
        <f t="shared" si="1"/>
        <v>36887.656807110579</v>
      </c>
      <c r="OG29" s="27">
        <f t="shared" si="132"/>
        <v>0</v>
      </c>
      <c r="OH29" s="5">
        <f t="shared" si="132"/>
        <v>0</v>
      </c>
      <c r="OI29" s="5">
        <f t="shared" si="132"/>
        <v>0</v>
      </c>
      <c r="OJ29" s="5">
        <f t="shared" si="132"/>
        <v>0</v>
      </c>
      <c r="OK29" s="27">
        <f t="shared" si="132"/>
        <v>0</v>
      </c>
      <c r="OL29" s="5">
        <f t="shared" si="132"/>
        <v>0</v>
      </c>
      <c r="OM29" s="24">
        <f t="shared" si="132"/>
        <v>0</v>
      </c>
      <c r="ON29" s="5">
        <f t="shared" si="132"/>
        <v>0</v>
      </c>
      <c r="OO29" s="24">
        <f t="shared" si="115"/>
        <v>11153.862235312074</v>
      </c>
      <c r="OP29" s="5">
        <f t="shared" si="132"/>
        <v>0</v>
      </c>
      <c r="OQ29" s="27">
        <f t="shared" si="132"/>
        <v>0</v>
      </c>
      <c r="OR29" s="5">
        <f t="shared" si="132"/>
        <v>0</v>
      </c>
      <c r="OS29" s="15">
        <f t="shared" si="2"/>
        <v>11153.862235312074</v>
      </c>
      <c r="OT29" s="9"/>
      <c r="OU29" s="5"/>
      <c r="OV29" s="5"/>
      <c r="OW29" s="5"/>
      <c r="OX29" s="5"/>
      <c r="OY29" s="5"/>
      <c r="OZ29" s="15">
        <f t="shared" si="69"/>
        <v>0</v>
      </c>
      <c r="PA29" s="9">
        <f t="shared" si="70"/>
        <v>0</v>
      </c>
      <c r="PB29" s="5">
        <f t="shared" si="71"/>
        <v>0</v>
      </c>
      <c r="PC29" s="5">
        <f t="shared" si="72"/>
        <v>0</v>
      </c>
      <c r="PD29" s="5">
        <f t="shared" si="73"/>
        <v>0</v>
      </c>
      <c r="PE29" s="24"/>
      <c r="PF29" s="5">
        <f t="shared" si="74"/>
        <v>0</v>
      </c>
      <c r="PG29" s="12">
        <f t="shared" si="3"/>
        <v>0</v>
      </c>
      <c r="PH29" s="2621"/>
      <c r="PJ29" s="2">
        <v>195.94</v>
      </c>
      <c r="PK29" s="3">
        <v>558</v>
      </c>
      <c r="PL29" s="3">
        <v>232.50000000000003</v>
      </c>
      <c r="PM29" s="3">
        <v>28.92</v>
      </c>
      <c r="PN29" s="3">
        <f t="shared" si="75"/>
        <v>30226.939776580693</v>
      </c>
      <c r="PO29" s="11">
        <f t="shared" si="76"/>
        <v>23361.655253194553</v>
      </c>
      <c r="PP29" s="15"/>
      <c r="PQ29" s="2615"/>
      <c r="PS29" s="4"/>
      <c r="PT29" s="9"/>
      <c r="PU29" s="9"/>
      <c r="PV29" s="9"/>
      <c r="PW29" s="8">
        <v>0</v>
      </c>
      <c r="PX29" s="9"/>
      <c r="PY29" s="8">
        <f t="shared" si="77"/>
        <v>0</v>
      </c>
      <c r="PZ29" s="5">
        <f t="shared" si="78"/>
        <v>195.94</v>
      </c>
      <c r="QA29" s="5"/>
      <c r="QB29" s="5"/>
      <c r="QC29" s="5"/>
      <c r="QD29" s="5"/>
      <c r="QE29" s="5"/>
      <c r="QF29" s="12"/>
      <c r="QG29" s="12">
        <f t="shared" si="79"/>
        <v>29562.488999999998</v>
      </c>
      <c r="QH29" s="420">
        <f t="shared" si="80"/>
        <v>393933.84955851006</v>
      </c>
      <c r="QI29" s="1106">
        <f t="shared" si="81"/>
        <v>964.6400000000001</v>
      </c>
      <c r="QJ29" s="484">
        <f t="shared" si="82"/>
        <v>5505.3678056099998</v>
      </c>
      <c r="QK29" s="12"/>
      <c r="QL29" s="2615"/>
      <c r="QN29" s="139">
        <f t="shared" si="83"/>
        <v>0</v>
      </c>
      <c r="QO29" s="139" t="str">
        <f t="shared" si="84"/>
        <v/>
      </c>
      <c r="QQ29" s="139">
        <f t="shared" si="85"/>
        <v>0</v>
      </c>
      <c r="QR29" s="139">
        <f t="shared" si="86"/>
        <v>0</v>
      </c>
      <c r="QT29" s="1">
        <f t="shared" si="87"/>
        <v>0</v>
      </c>
      <c r="QU29" s="1">
        <f t="shared" si="88"/>
        <v>0</v>
      </c>
      <c r="QV29" s="1">
        <f t="shared" si="89"/>
        <v>0</v>
      </c>
      <c r="QW29" s="1">
        <f t="shared" si="90"/>
        <v>0</v>
      </c>
      <c r="QX29" s="1">
        <f t="shared" si="91"/>
        <v>0</v>
      </c>
      <c r="QY29" s="1">
        <f t="shared" si="92"/>
        <v>0</v>
      </c>
      <c r="RA29" s="1">
        <f t="shared" si="93"/>
        <v>0</v>
      </c>
      <c r="RB29" s="1">
        <f t="shared" si="94"/>
        <v>0</v>
      </c>
      <c r="RC29" s="1">
        <f t="shared" si="95"/>
        <v>0</v>
      </c>
      <c r="RD29" s="1">
        <f t="shared" si="96"/>
        <v>0</v>
      </c>
      <c r="RE29" s="1">
        <f t="shared" si="97"/>
        <v>0</v>
      </c>
      <c r="RF29" s="1">
        <f t="shared" si="98"/>
        <v>0</v>
      </c>
      <c r="RI29" s="1">
        <v>20</v>
      </c>
      <c r="RJ29" s="1">
        <f t="shared" si="124"/>
        <v>-740.67629028290685</v>
      </c>
      <c r="RK29" s="1">
        <f t="shared" si="125"/>
        <v>-304.49671951628261</v>
      </c>
      <c r="RL29" s="1">
        <f t="shared" si="126"/>
        <v>13404.263703387322</v>
      </c>
      <c r="RM29" s="89">
        <f t="shared" si="5"/>
        <v>12359.090693588132</v>
      </c>
      <c r="RN29" s="1033">
        <v>20</v>
      </c>
      <c r="RO29" s="1098">
        <f t="shared" si="100"/>
        <v>0</v>
      </c>
      <c r="RP29" s="1098">
        <f t="shared" si="101"/>
        <v>0</v>
      </c>
      <c r="RQ29" s="1097">
        <f t="shared" si="102"/>
        <v>0</v>
      </c>
      <c r="RR29" s="1097">
        <f t="shared" si="103"/>
        <v>8169.16</v>
      </c>
      <c r="RS29" s="1109"/>
      <c r="RT29" s="1046" t="s">
        <v>977</v>
      </c>
      <c r="RW29" s="421">
        <v>20</v>
      </c>
      <c r="RX29" s="1095">
        <f t="shared" si="104"/>
        <v>5720.2899999999991</v>
      </c>
      <c r="RY29" s="1050" t="s">
        <v>978</v>
      </c>
      <c r="RZ29" s="1048"/>
      <c r="SA29" s="1090"/>
      <c r="SB29" s="1090">
        <f t="shared" si="105"/>
        <v>0</v>
      </c>
      <c r="SC29" s="1090"/>
      <c r="SD29" s="1090">
        <f t="shared" si="127"/>
        <v>0</v>
      </c>
      <c r="SF29" s="1">
        <v>20</v>
      </c>
      <c r="SG29" s="1">
        <f t="shared" si="107"/>
        <v>28.92</v>
      </c>
      <c r="SH29" s="1094" t="s">
        <v>979</v>
      </c>
    </row>
    <row r="30" spans="1:502" s="1" customFormat="1">
      <c r="B30" s="471">
        <v>21</v>
      </c>
      <c r="C30" s="4">
        <f t="shared" si="6"/>
        <v>174919</v>
      </c>
      <c r="D30" s="1726">
        <f t="shared" si="119"/>
        <v>8885.68</v>
      </c>
      <c r="E30" s="1895">
        <f t="shared" si="7"/>
        <v>19.685493963320759</v>
      </c>
      <c r="F30" s="870"/>
      <c r="G30" s="870"/>
      <c r="H30" s="52"/>
      <c r="I30" s="61"/>
      <c r="J30" s="52"/>
      <c r="K30" s="54"/>
      <c r="L30" s="52"/>
      <c r="M30" s="61"/>
      <c r="N30" s="2629"/>
      <c r="O30" s="4">
        <f t="shared" si="118"/>
        <v>102858</v>
      </c>
      <c r="P30" s="1225">
        <f t="shared" si="8"/>
        <v>6795.0400000000009</v>
      </c>
      <c r="Q30" s="1913">
        <f t="shared" si="9"/>
        <v>15.137217735289267</v>
      </c>
      <c r="R30" s="33"/>
      <c r="S30" s="26">
        <f t="shared" si="10"/>
        <v>40441</v>
      </c>
      <c r="T30" s="27">
        <f t="shared" si="109"/>
        <v>1830.64</v>
      </c>
      <c r="U30" s="1909">
        <f t="shared" si="11"/>
        <v>22.091181226237818</v>
      </c>
      <c r="V30" s="28"/>
      <c r="W30" s="26">
        <f t="shared" si="12"/>
        <v>31620</v>
      </c>
      <c r="X30" s="5">
        <f t="shared" si="12"/>
        <v>260</v>
      </c>
      <c r="Y30" s="325">
        <f t="shared" si="13"/>
        <v>121.61538461538461</v>
      </c>
      <c r="Z30" s="33"/>
      <c r="AA30" s="26">
        <f t="shared" si="14"/>
        <v>0</v>
      </c>
      <c r="AB30" s="27">
        <f t="shared" si="15"/>
        <v>0</v>
      </c>
      <c r="AC30" s="53">
        <f t="shared" si="16"/>
        <v>0</v>
      </c>
      <c r="AD30" s="28"/>
      <c r="AE30" s="36"/>
      <c r="AF30" s="36"/>
      <c r="AG30" s="53">
        <f t="shared" si="17"/>
        <v>0</v>
      </c>
      <c r="AH30" s="28"/>
      <c r="AI30" s="23"/>
      <c r="AJ30" s="27"/>
      <c r="AK30" s="53">
        <f t="shared" si="18"/>
        <v>0</v>
      </c>
      <c r="AL30" s="28"/>
      <c r="AM30" s="2629"/>
      <c r="AN30" s="9"/>
      <c r="AO30" s="5"/>
      <c r="AP30" s="61">
        <f t="shared" si="19"/>
        <v>0</v>
      </c>
      <c r="AQ30" s="36"/>
      <c r="AR30" s="53"/>
      <c r="AS30" s="61">
        <f t="shared" si="20"/>
        <v>0</v>
      </c>
      <c r="AT30" s="36">
        <v>0</v>
      </c>
      <c r="AU30" s="27"/>
      <c r="AV30" s="54">
        <f t="shared" si="21"/>
        <v>0</v>
      </c>
      <c r="AW30" s="26">
        <v>57204</v>
      </c>
      <c r="AX30" s="27">
        <v>5866.2800000000007</v>
      </c>
      <c r="AY30" s="1895">
        <f t="shared" si="116"/>
        <v>9.7513245191160323</v>
      </c>
      <c r="AZ30" s="1908"/>
      <c r="BA30" s="1909"/>
      <c r="BB30" s="1895">
        <f t="shared" si="22"/>
        <v>0</v>
      </c>
      <c r="BC30" s="1740">
        <v>45654</v>
      </c>
      <c r="BD30" s="1909">
        <v>928.76</v>
      </c>
      <c r="BE30" s="1895">
        <f t="shared" si="23"/>
        <v>49.155863732288211</v>
      </c>
      <c r="BF30" s="1908"/>
      <c r="BG30" s="1909"/>
      <c r="BH30" s="1895">
        <f t="shared" si="24"/>
        <v>0</v>
      </c>
      <c r="BI30" s="1908">
        <v>0</v>
      </c>
      <c r="BJ30" s="1909">
        <v>0</v>
      </c>
      <c r="BK30" s="1895">
        <f t="shared" si="25"/>
        <v>0</v>
      </c>
      <c r="BL30" s="1742">
        <v>40441</v>
      </c>
      <c r="BM30" s="1909">
        <v>1830.64</v>
      </c>
      <c r="BN30" s="2170"/>
      <c r="BO30" s="1911">
        <f t="shared" si="26"/>
        <v>22.091181226237818</v>
      </c>
      <c r="BP30" s="9"/>
      <c r="BQ30" s="64"/>
      <c r="BR30" s="482">
        <f t="shared" si="27"/>
        <v>0</v>
      </c>
      <c r="BS30" s="9"/>
      <c r="BT30" s="64"/>
      <c r="BU30" s="482">
        <f t="shared" si="28"/>
        <v>0</v>
      </c>
      <c r="BV30" s="9">
        <v>31620</v>
      </c>
      <c r="BW30" s="27">
        <v>260</v>
      </c>
      <c r="BX30" s="15">
        <f t="shared" si="29"/>
        <v>121.61538461538461</v>
      </c>
      <c r="BY30" s="4"/>
      <c r="BZ30" s="5"/>
      <c r="CA30" s="482">
        <f t="shared" si="30"/>
        <v>0</v>
      </c>
      <c r="CB30" s="9"/>
      <c r="CC30" s="5"/>
      <c r="CD30" s="482">
        <f t="shared" si="31"/>
        <v>0</v>
      </c>
      <c r="CE30" s="4"/>
      <c r="CF30" s="5"/>
      <c r="CG30" s="28">
        <f t="shared" si="32"/>
        <v>0</v>
      </c>
      <c r="CH30" s="150"/>
      <c r="CI30" s="1108">
        <v>224</v>
      </c>
      <c r="CJ30" s="5"/>
      <c r="CK30" s="5">
        <v>3080</v>
      </c>
      <c r="CL30" s="5"/>
      <c r="CM30" s="5"/>
      <c r="CN30" s="5"/>
      <c r="CO30" s="33"/>
      <c r="CP30" s="366"/>
      <c r="CR30" s="4">
        <f t="shared" si="33"/>
        <v>0</v>
      </c>
      <c r="CS30" s="9">
        <f t="shared" si="33"/>
        <v>0</v>
      </c>
      <c r="CT30" s="5">
        <f t="shared" si="33"/>
        <v>0</v>
      </c>
      <c r="CU30" s="5">
        <f t="shared" si="33"/>
        <v>0</v>
      </c>
      <c r="CV30" s="5">
        <f t="shared" si="33"/>
        <v>0</v>
      </c>
      <c r="CW30" s="5">
        <f t="shared" si="33"/>
        <v>0</v>
      </c>
      <c r="CX30" s="5">
        <f t="shared" si="33"/>
        <v>2607.62</v>
      </c>
      <c r="CY30" s="5">
        <f t="shared" si="33"/>
        <v>0</v>
      </c>
      <c r="CZ30" s="5">
        <f t="shared" si="33"/>
        <v>6018.0599999999995</v>
      </c>
      <c r="DA30" s="5">
        <f t="shared" si="33"/>
        <v>0</v>
      </c>
      <c r="DB30" s="5">
        <f t="shared" si="33"/>
        <v>260</v>
      </c>
      <c r="DC30" s="12">
        <f t="shared" si="33"/>
        <v>0</v>
      </c>
      <c r="DD30" s="310">
        <f t="shared" si="34"/>
        <v>8885.68</v>
      </c>
      <c r="DE30" s="2695"/>
      <c r="DF30" s="8"/>
      <c r="DG30" s="9"/>
      <c r="DH30" s="5"/>
      <c r="DI30" s="5"/>
      <c r="DJ30" s="5"/>
      <c r="DK30" s="5"/>
      <c r="DL30" s="5">
        <v>2607.62</v>
      </c>
      <c r="DM30" s="5"/>
      <c r="DN30" s="5">
        <v>3258.66</v>
      </c>
      <c r="DO30" s="5"/>
      <c r="DP30" s="5"/>
      <c r="DQ30" s="12"/>
      <c r="DR30" s="28">
        <f t="shared" si="35"/>
        <v>5866.28</v>
      </c>
      <c r="DS30" s="36"/>
      <c r="DT30" s="9"/>
      <c r="DU30" s="5"/>
      <c r="DV30" s="5"/>
      <c r="DW30" s="5"/>
      <c r="DX30" s="5"/>
      <c r="DY30" s="27"/>
      <c r="DZ30" s="27"/>
      <c r="EA30" s="27">
        <v>2759.4</v>
      </c>
      <c r="EB30" s="27"/>
      <c r="EC30" s="27">
        <v>0</v>
      </c>
      <c r="ED30" s="33"/>
      <c r="EE30" s="28">
        <f t="shared" si="36"/>
        <v>2759.4</v>
      </c>
      <c r="EF30" s="9"/>
      <c r="EG30" s="36"/>
      <c r="EH30" s="27"/>
      <c r="EI30" s="27"/>
      <c r="EJ30" s="27"/>
      <c r="EK30" s="27"/>
      <c r="EL30" s="27"/>
      <c r="EM30" s="27"/>
      <c r="EN30" s="5"/>
      <c r="EO30" s="5"/>
      <c r="EP30" s="5">
        <v>260</v>
      </c>
      <c r="EQ30" s="33"/>
      <c r="ER30" s="28">
        <f t="shared" si="120"/>
        <v>260</v>
      </c>
      <c r="ES30" s="36"/>
      <c r="ET30" s="27"/>
      <c r="EU30" s="27"/>
      <c r="EV30" s="27"/>
      <c r="EW30" s="27"/>
      <c r="EX30" s="27"/>
      <c r="EY30" s="33">
        <f t="shared" si="38"/>
        <v>0</v>
      </c>
      <c r="EZ30" s="2685"/>
      <c r="FB30" s="4">
        <f t="shared" si="39"/>
        <v>0</v>
      </c>
      <c r="FC30" s="5">
        <f t="shared" si="40"/>
        <v>0</v>
      </c>
      <c r="FD30" s="5">
        <f t="shared" si="41"/>
        <v>0</v>
      </c>
      <c r="FE30" s="12">
        <f t="shared" si="42"/>
        <v>0</v>
      </c>
      <c r="FF30" s="33"/>
      <c r="FG30" s="2674"/>
      <c r="FH30" s="9"/>
      <c r="FI30" s="5"/>
      <c r="FJ30" s="5"/>
      <c r="FK30" s="5"/>
      <c r="FL30" s="5"/>
      <c r="FM30" s="27"/>
      <c r="FN30" s="28">
        <f t="shared" si="43"/>
        <v>0</v>
      </c>
      <c r="FO30" s="36"/>
      <c r="FP30" s="27"/>
      <c r="FQ30" s="27"/>
      <c r="FR30" s="27"/>
      <c r="FS30" s="27"/>
      <c r="FT30" s="27"/>
      <c r="FU30" s="28">
        <f t="shared" si="44"/>
        <v>0</v>
      </c>
      <c r="FV30" s="36"/>
      <c r="FW30" s="36"/>
      <c r="FX30" s="27"/>
      <c r="FY30" s="27"/>
      <c r="FZ30" s="27"/>
      <c r="GA30" s="27"/>
      <c r="GB30" s="27"/>
      <c r="GC30" s="27"/>
      <c r="GD30" s="27"/>
      <c r="GE30" s="27"/>
      <c r="GF30" s="27"/>
      <c r="GG30" s="33"/>
      <c r="GH30" s="33">
        <f t="shared" si="45"/>
        <v>0</v>
      </c>
      <c r="GI30" s="2674"/>
      <c r="GK30" s="2">
        <f t="shared" si="110"/>
        <v>257.75</v>
      </c>
      <c r="GL30" s="63">
        <f t="shared" si="111"/>
        <v>976.44999999999993</v>
      </c>
      <c r="GM30" s="24">
        <f t="shared" si="112"/>
        <v>4356.26</v>
      </c>
      <c r="GN30" s="1736">
        <f t="shared" si="46"/>
        <v>5590.46</v>
      </c>
      <c r="GO30" s="141"/>
      <c r="GP30" s="141"/>
      <c r="GQ30" s="33"/>
      <c r="GR30" s="2667"/>
      <c r="GS30" s="152">
        <v>5332.7099999999991</v>
      </c>
      <c r="GT30" s="27">
        <v>257.75</v>
      </c>
      <c r="GU30" s="27">
        <v>0</v>
      </c>
      <c r="GV30" s="27">
        <v>0</v>
      </c>
      <c r="GW30" s="33">
        <f t="shared" si="47"/>
        <v>5590.4599999999991</v>
      </c>
      <c r="GX30" s="2667"/>
      <c r="GY30" s="36"/>
      <c r="GZ30" s="36"/>
      <c r="HA30" s="27"/>
      <c r="HB30" s="27"/>
      <c r="HC30" s="27"/>
      <c r="HD30" s="27"/>
      <c r="HE30" s="27"/>
      <c r="HF30" s="27"/>
      <c r="HG30" s="27">
        <v>0</v>
      </c>
      <c r="HH30" s="27"/>
      <c r="HI30" s="2167">
        <v>0</v>
      </c>
      <c r="HJ30" s="27"/>
      <c r="HK30" s="27">
        <v>257.75</v>
      </c>
      <c r="HL30" s="27"/>
      <c r="HM30" s="28">
        <f t="shared" si="121"/>
        <v>257.75</v>
      </c>
      <c r="HN30" s="36"/>
      <c r="HO30" s="27"/>
      <c r="HP30" s="27"/>
      <c r="HQ30" s="27"/>
      <c r="HR30" s="27"/>
      <c r="HS30" s="27"/>
      <c r="HT30" s="27" cm="1">
        <f t="array" ref="HT30">SUMPRODUCT(('Data Base hauling'!$C$2:$C$216="TCM-ROM SB1 BK05-ROM 4")*(ISNUMBER(SEARCH(TEXT('May TCM'!$B30,"00")&amp;"/03/2026",'Data Base hauling'!$E$2:$E$216)))*'Data Base hauling'!$N$2:$N$216)</f>
        <v>0</v>
      </c>
      <c r="HU30" s="27"/>
      <c r="HV30" s="27" cm="1">
        <f t="array" ref="HV30">SUMPRODUCT(('Data Base hauling'!$C$2:$C$216="TCM-ROM SB1 BK05-ROM 5")*(ISNUMBER(SEARCH(TEXT('May TCM'!$B30,"00")&amp;"/03/2026",'Data Base hauling'!$E$2:$E$216)))*'Data Base hauling'!$N$2:$N$216)</f>
        <v>0</v>
      </c>
      <c r="HW30" s="27"/>
      <c r="HX30" s="27"/>
      <c r="HY30" s="27"/>
      <c r="HZ30" s="27"/>
      <c r="IA30" s="27"/>
      <c r="IB30" s="33">
        <f t="shared" si="49"/>
        <v>0</v>
      </c>
      <c r="IC30" s="52"/>
      <c r="ID30" s="152"/>
      <c r="IE30" s="53"/>
      <c r="IF30" s="53"/>
      <c r="IG30" s="53"/>
      <c r="IH30" s="53"/>
      <c r="II30" s="1736">
        <v>0</v>
      </c>
      <c r="IJ30" s="1736"/>
      <c r="IK30" s="1736">
        <v>976.44999999999993</v>
      </c>
      <c r="IL30" s="53"/>
      <c r="IM30" s="53">
        <v>0</v>
      </c>
      <c r="IN30" s="53"/>
      <c r="IO30" s="53"/>
      <c r="IP30" s="49">
        <v>0</v>
      </c>
      <c r="IQ30" s="2195">
        <f t="shared" si="122"/>
        <v>976.44999999999993</v>
      </c>
      <c r="IR30" s="36"/>
      <c r="IS30" s="36"/>
      <c r="IT30" s="27"/>
      <c r="IU30" s="27"/>
      <c r="IV30" s="53"/>
      <c r="IW30" s="27"/>
      <c r="IX30" s="27">
        <v>0</v>
      </c>
      <c r="IY30" s="27"/>
      <c r="IZ30" s="27">
        <v>4356.26</v>
      </c>
      <c r="JA30" s="27"/>
      <c r="JB30" s="27">
        <v>0</v>
      </c>
      <c r="JC30" s="27"/>
      <c r="JD30" s="27"/>
      <c r="JE30" s="27"/>
      <c r="JF30" s="33">
        <f t="shared" si="123"/>
        <v>4356.26</v>
      </c>
      <c r="JG30" s="2667"/>
      <c r="JI30" s="2020">
        <v>5590.4599999999991</v>
      </c>
      <c r="JJ30" s="2021">
        <v>0</v>
      </c>
      <c r="JK30" s="53"/>
      <c r="JL30" s="53">
        <f t="shared" si="52"/>
        <v>5590.4599999999991</v>
      </c>
      <c r="JM30" s="33"/>
      <c r="JN30" s="2669"/>
      <c r="JO30" s="69">
        <v>0</v>
      </c>
      <c r="JP30" s="70">
        <v>0</v>
      </c>
      <c r="JQ30" s="70">
        <v>0</v>
      </c>
      <c r="JR30" s="850">
        <v>0</v>
      </c>
      <c r="JS30" s="850">
        <v>0.95389467056378185</v>
      </c>
      <c r="JT30" s="850">
        <v>0</v>
      </c>
      <c r="JU30" s="70">
        <v>4.6105329436218138E-2</v>
      </c>
      <c r="JV30" s="1922">
        <v>0</v>
      </c>
      <c r="JW30" s="69" t="s">
        <v>296</v>
      </c>
      <c r="JX30" s="70" t="s">
        <v>296</v>
      </c>
      <c r="JY30" s="70" t="s">
        <v>296</v>
      </c>
      <c r="JZ30" s="70" t="s">
        <v>296</v>
      </c>
      <c r="KA30" s="70" t="s">
        <v>296</v>
      </c>
      <c r="KB30" s="70" t="s">
        <v>296</v>
      </c>
      <c r="KC30" s="70" t="s">
        <v>296</v>
      </c>
      <c r="KD30" s="71" t="s">
        <v>296</v>
      </c>
      <c r="KE30" s="69"/>
      <c r="KF30" s="70"/>
      <c r="KG30" s="70"/>
      <c r="KH30" s="70"/>
      <c r="KI30" s="70"/>
      <c r="KJ30" s="70"/>
      <c r="KK30" s="70"/>
      <c r="KL30" s="70"/>
      <c r="KM30" s="33"/>
      <c r="KN30" s="2669"/>
      <c r="KO30" s="1739">
        <v>7051.8043402170106</v>
      </c>
      <c r="KP30" s="1721">
        <v>0.85009800490024501</v>
      </c>
      <c r="KQ30" s="1721">
        <v>2.1191652082604131</v>
      </c>
      <c r="KR30" s="1721">
        <v>7.5277423871193569</v>
      </c>
      <c r="KS30" s="1722">
        <v>11.624554272663634</v>
      </c>
      <c r="KT30" s="1958">
        <v>0</v>
      </c>
      <c r="KU30" s="1961">
        <v>0</v>
      </c>
      <c r="KV30" s="1961">
        <v>0</v>
      </c>
      <c r="KW30" s="1961">
        <v>0</v>
      </c>
      <c r="KX30" s="1962">
        <v>0</v>
      </c>
      <c r="KY30" s="36"/>
      <c r="KZ30" s="53"/>
      <c r="LA30" s="53"/>
      <c r="LB30" s="53"/>
      <c r="LC30" s="53"/>
      <c r="LD30" s="33"/>
      <c r="LE30" s="2669"/>
      <c r="LG30" s="4">
        <f t="shared" si="53"/>
        <v>7507.08</v>
      </c>
      <c r="LH30" s="27">
        <f t="shared" si="53"/>
        <v>0</v>
      </c>
      <c r="LI30" s="27">
        <f t="shared" si="53"/>
        <v>0</v>
      </c>
      <c r="LJ30" s="28">
        <f t="shared" si="54"/>
        <v>7507.08</v>
      </c>
      <c r="LK30" s="36">
        <v>1</v>
      </c>
      <c r="LL30" s="27">
        <v>1</v>
      </c>
      <c r="LM30" s="27">
        <v>2</v>
      </c>
      <c r="LN30" s="33"/>
      <c r="LO30" s="1041">
        <v>8.86</v>
      </c>
      <c r="LP30" s="486"/>
      <c r="LQ30" s="2688"/>
      <c r="LR30" s="36">
        <v>7507.08</v>
      </c>
      <c r="LS30" s="36"/>
      <c r="LT30" s="27"/>
      <c r="LU30" s="27"/>
      <c r="LV30" s="27"/>
      <c r="LW30" s="1107">
        <f t="shared" si="55"/>
        <v>7507.08</v>
      </c>
      <c r="LX30" s="36"/>
      <c r="LY30" s="36"/>
      <c r="LZ30" s="27"/>
      <c r="MA30" s="27"/>
      <c r="MB30" s="33"/>
      <c r="MC30" s="28">
        <f t="shared" si="56"/>
        <v>0</v>
      </c>
      <c r="MD30" s="26"/>
      <c r="ME30" s="36"/>
      <c r="MF30" s="27"/>
      <c r="MG30" s="27"/>
      <c r="MH30" s="27"/>
      <c r="MI30" s="28"/>
      <c r="MJ30" s="36"/>
      <c r="MK30" s="36"/>
      <c r="ML30" s="27"/>
      <c r="MM30" s="27"/>
      <c r="MN30" s="27"/>
      <c r="MO30" s="28"/>
      <c r="MP30" s="36"/>
      <c r="MQ30" s="36"/>
      <c r="MR30" s="27"/>
      <c r="MS30" s="27"/>
      <c r="MT30" s="27"/>
      <c r="MU30" s="33">
        <f t="shared" si="57"/>
        <v>0</v>
      </c>
      <c r="MV30" s="2688"/>
      <c r="MX30" s="26">
        <f t="shared" si="58"/>
        <v>134189.73009662196</v>
      </c>
      <c r="MY30" s="27">
        <f t="shared" si="59"/>
        <v>89701.176491707854</v>
      </c>
      <c r="MZ30" s="27">
        <f t="shared" si="60"/>
        <v>23326.405253194553</v>
      </c>
      <c r="NA30" s="28">
        <f t="shared" si="61"/>
        <v>423210.3785585101</v>
      </c>
      <c r="NB30" s="2621"/>
      <c r="NC30" s="23">
        <f t="shared" si="62"/>
        <v>32057.528373462548</v>
      </c>
      <c r="ND30" s="1579">
        <f t="shared" si="63"/>
        <v>102132.20172315941</v>
      </c>
      <c r="NE30" s="60">
        <f t="shared" si="64"/>
        <v>0</v>
      </c>
      <c r="NF30" s="275">
        <f t="shared" si="4"/>
        <v>134189.73009662196</v>
      </c>
      <c r="NG30" s="26">
        <f t="shared" si="128"/>
        <v>0</v>
      </c>
      <c r="NH30" s="27">
        <f t="shared" si="128"/>
        <v>0</v>
      </c>
      <c r="NI30" s="27">
        <f t="shared" si="128"/>
        <v>0</v>
      </c>
      <c r="NJ30" s="27">
        <v>0</v>
      </c>
      <c r="NK30" s="27">
        <f t="shared" si="128"/>
        <v>0</v>
      </c>
      <c r="NL30" s="33">
        <f t="shared" si="128"/>
        <v>0</v>
      </c>
      <c r="NM30" s="27">
        <f t="shared" si="128"/>
        <v>0</v>
      </c>
      <c r="NN30" s="36">
        <f t="shared" si="128"/>
        <v>0</v>
      </c>
      <c r="NO30" s="24">
        <f t="shared" si="128"/>
        <v>2449.1631443320584</v>
      </c>
      <c r="NP30" s="27">
        <f t="shared" si="128"/>
        <v>26196.696072681989</v>
      </c>
      <c r="NQ30" s="24">
        <f t="shared" si="113"/>
        <v>8756.5482322711578</v>
      </c>
      <c r="NR30" s="24">
        <f t="shared" si="114"/>
        <v>964.28</v>
      </c>
      <c r="NS30" s="27">
        <f t="shared" si="0"/>
        <v>38366.687449285208</v>
      </c>
      <c r="NT30" s="27">
        <f t="shared" si="129"/>
        <v>0</v>
      </c>
      <c r="NU30" s="27">
        <f t="shared" si="129"/>
        <v>0</v>
      </c>
      <c r="NV30" s="27">
        <f t="shared" si="129"/>
        <v>0</v>
      </c>
      <c r="NW30" s="27">
        <f t="shared" si="129"/>
        <v>0</v>
      </c>
      <c r="NX30" s="27">
        <f t="shared" si="129"/>
        <v>0</v>
      </c>
      <c r="NY30" s="5">
        <f t="shared" si="129"/>
        <v>0</v>
      </c>
      <c r="NZ30" s="27">
        <f t="shared" si="129"/>
        <v>8797.4827301930745</v>
      </c>
      <c r="OA30" s="27">
        <f t="shared" si="129"/>
        <v>0</v>
      </c>
      <c r="OB30" s="27">
        <f t="shared" si="129"/>
        <v>32525.491841856765</v>
      </c>
      <c r="OC30" s="27"/>
      <c r="OD30" s="24">
        <f t="shared" si="130"/>
        <v>454.51223506073143</v>
      </c>
      <c r="OE30" s="27">
        <f t="shared" si="131"/>
        <v>0</v>
      </c>
      <c r="OF30" s="28">
        <f t="shared" si="1"/>
        <v>41777.486807110574</v>
      </c>
      <c r="OG30" s="27">
        <f t="shared" si="132"/>
        <v>0</v>
      </c>
      <c r="OH30" s="27">
        <f t="shared" si="132"/>
        <v>0</v>
      </c>
      <c r="OI30" s="27">
        <f t="shared" si="132"/>
        <v>0</v>
      </c>
      <c r="OJ30" s="27">
        <f t="shared" si="132"/>
        <v>0</v>
      </c>
      <c r="OK30" s="27">
        <f t="shared" si="132"/>
        <v>0</v>
      </c>
      <c r="OL30" s="27">
        <f t="shared" si="132"/>
        <v>0</v>
      </c>
      <c r="OM30" s="24">
        <f t="shared" si="132"/>
        <v>0</v>
      </c>
      <c r="ON30" s="27">
        <f t="shared" si="132"/>
        <v>0</v>
      </c>
      <c r="OO30" s="24">
        <f t="shared" si="115"/>
        <v>9557.002235312073</v>
      </c>
      <c r="OP30" s="27">
        <f t="shared" si="132"/>
        <v>0</v>
      </c>
      <c r="OQ30" s="27">
        <f t="shared" si="132"/>
        <v>0</v>
      </c>
      <c r="OR30" s="27">
        <f t="shared" si="132"/>
        <v>0</v>
      </c>
      <c r="OS30" s="28">
        <f t="shared" si="2"/>
        <v>9557.002235312073</v>
      </c>
      <c r="OT30" s="36"/>
      <c r="OU30" s="27"/>
      <c r="OV30" s="27"/>
      <c r="OW30" s="27"/>
      <c r="OX30" s="27"/>
      <c r="OY30" s="27"/>
      <c r="OZ30" s="28">
        <f t="shared" si="69"/>
        <v>0</v>
      </c>
      <c r="PA30" s="36">
        <f t="shared" si="70"/>
        <v>0</v>
      </c>
      <c r="PB30" s="27">
        <f t="shared" si="71"/>
        <v>0</v>
      </c>
      <c r="PC30" s="27">
        <f t="shared" si="72"/>
        <v>0</v>
      </c>
      <c r="PD30" s="27">
        <f t="shared" si="73"/>
        <v>0</v>
      </c>
      <c r="PE30" s="24"/>
      <c r="PF30" s="27">
        <f t="shared" si="74"/>
        <v>0</v>
      </c>
      <c r="PG30" s="33">
        <f t="shared" si="3"/>
        <v>0</v>
      </c>
      <c r="PH30" s="2621"/>
      <c r="PJ30" s="2">
        <v>1250.6000000000001</v>
      </c>
      <c r="PK30" s="3">
        <v>534</v>
      </c>
      <c r="PL30" s="3">
        <v>222.5</v>
      </c>
      <c r="PM30" s="3">
        <v>257.75</v>
      </c>
      <c r="PN30" s="3">
        <f t="shared" si="75"/>
        <v>30943.539776580692</v>
      </c>
      <c r="PO30" s="11">
        <f t="shared" si="76"/>
        <v>23326.405253194553</v>
      </c>
      <c r="PP30" s="15"/>
      <c r="PQ30" s="2615"/>
      <c r="PS30" s="4"/>
      <c r="PT30" s="9"/>
      <c r="PU30" s="9"/>
      <c r="PV30" s="9"/>
      <c r="PW30" s="8">
        <v>0</v>
      </c>
      <c r="PX30" s="9"/>
      <c r="PY30" s="8">
        <f t="shared" si="77"/>
        <v>0</v>
      </c>
      <c r="PZ30" s="5">
        <f t="shared" si="78"/>
        <v>1250.6000000000001</v>
      </c>
      <c r="QA30" s="5"/>
      <c r="QB30" s="5"/>
      <c r="QC30" s="5"/>
      <c r="QD30" s="5"/>
      <c r="QE30" s="5"/>
      <c r="QF30" s="12"/>
      <c r="QG30" s="12">
        <f t="shared" si="79"/>
        <v>29562.488999999998</v>
      </c>
      <c r="QH30" s="420">
        <f t="shared" si="80"/>
        <v>392683.24955851008</v>
      </c>
      <c r="QI30" s="1106">
        <f t="shared" si="81"/>
        <v>964.6400000000001</v>
      </c>
      <c r="QJ30" s="484">
        <f t="shared" si="82"/>
        <v>5505.3678056099998</v>
      </c>
      <c r="QK30" s="12"/>
      <c r="QL30" s="2615"/>
      <c r="QN30" s="139">
        <f t="shared" si="83"/>
        <v>0</v>
      </c>
      <c r="QO30" s="139" t="str">
        <f t="shared" si="84"/>
        <v/>
      </c>
      <c r="QQ30" s="139">
        <f t="shared" si="85"/>
        <v>0</v>
      </c>
      <c r="QR30" s="139">
        <f t="shared" si="86"/>
        <v>0</v>
      </c>
      <c r="QT30" s="1">
        <f t="shared" si="87"/>
        <v>0</v>
      </c>
      <c r="QU30" s="1">
        <f t="shared" si="88"/>
        <v>0</v>
      </c>
      <c r="QV30" s="1">
        <f t="shared" si="89"/>
        <v>0</v>
      </c>
      <c r="QW30" s="1">
        <f t="shared" si="90"/>
        <v>0</v>
      </c>
      <c r="QX30" s="1">
        <f t="shared" si="91"/>
        <v>0</v>
      </c>
      <c r="QY30" s="1">
        <f t="shared" si="92"/>
        <v>0</v>
      </c>
      <c r="RA30" s="1">
        <f t="shared" si="93"/>
        <v>0</v>
      </c>
      <c r="RB30" s="1">
        <f t="shared" si="94"/>
        <v>0</v>
      </c>
      <c r="RC30" s="1">
        <f t="shared" si="95"/>
        <v>0</v>
      </c>
      <c r="RD30" s="1">
        <f t="shared" si="96"/>
        <v>0</v>
      </c>
      <c r="RE30" s="1">
        <f t="shared" si="97"/>
        <v>0</v>
      </c>
      <c r="RF30" s="1">
        <f t="shared" si="98"/>
        <v>0</v>
      </c>
      <c r="RI30" s="1">
        <v>21</v>
      </c>
      <c r="RJ30" s="1">
        <f t="shared" si="124"/>
        <v>-2657.2962902829076</v>
      </c>
      <c r="RK30" s="1">
        <f t="shared" si="125"/>
        <v>-304.49671951628261</v>
      </c>
      <c r="RL30" s="1">
        <f t="shared" si="126"/>
        <v>13404.263703387322</v>
      </c>
      <c r="RM30" s="89">
        <f t="shared" si="5"/>
        <v>10442.470693588131</v>
      </c>
      <c r="RN30" s="1033">
        <v>21</v>
      </c>
      <c r="RO30" s="1098">
        <f t="shared" si="100"/>
        <v>0</v>
      </c>
      <c r="RP30" s="1098">
        <f t="shared" si="101"/>
        <v>0</v>
      </c>
      <c r="RQ30" s="1097">
        <f t="shared" si="102"/>
        <v>0</v>
      </c>
      <c r="RR30" s="1097">
        <f t="shared" si="103"/>
        <v>8625.68</v>
      </c>
      <c r="RS30" s="1109"/>
      <c r="RT30" s="1050" t="s">
        <v>980</v>
      </c>
      <c r="RU30" s="1048"/>
      <c r="RW30" s="421">
        <v>21</v>
      </c>
      <c r="RX30" s="1095">
        <f t="shared" si="104"/>
        <v>5590.4599999999991</v>
      </c>
      <c r="RY30" s="1050" t="s">
        <v>981</v>
      </c>
      <c r="SA30" s="1090"/>
      <c r="SB30" s="1090">
        <f t="shared" si="105"/>
        <v>0</v>
      </c>
      <c r="SC30" s="1090"/>
      <c r="SD30" s="1090">
        <f t="shared" si="127"/>
        <v>0</v>
      </c>
      <c r="SF30" s="1">
        <v>21</v>
      </c>
      <c r="SG30" s="1">
        <f t="shared" si="107"/>
        <v>257.75</v>
      </c>
      <c r="SH30" s="1094" t="s">
        <v>982</v>
      </c>
    </row>
    <row r="31" spans="1:502" s="1" customFormat="1">
      <c r="B31" s="471">
        <v>22</v>
      </c>
      <c r="C31" s="4">
        <f t="shared" si="6"/>
        <v>69748</v>
      </c>
      <c r="D31" s="1726">
        <f t="shared" si="119"/>
        <v>3209.3948</v>
      </c>
      <c r="E31" s="1895">
        <f t="shared" si="7"/>
        <v>21.732446254353</v>
      </c>
      <c r="F31" s="870"/>
      <c r="G31" s="870"/>
      <c r="H31" s="52">
        <v>28</v>
      </c>
      <c r="I31" s="61">
        <v>11.75</v>
      </c>
      <c r="J31" s="52"/>
      <c r="K31" s="54"/>
      <c r="L31" s="52">
        <v>20</v>
      </c>
      <c r="M31" s="61">
        <v>14.75</v>
      </c>
      <c r="N31" s="2629"/>
      <c r="O31" s="4">
        <f t="shared" si="118"/>
        <v>41664</v>
      </c>
      <c r="P31" s="1225">
        <f t="shared" si="8"/>
        <v>2224.8199999999997</v>
      </c>
      <c r="Q31" s="1913">
        <f t="shared" si="9"/>
        <v>18.726908244262461</v>
      </c>
      <c r="R31" s="33"/>
      <c r="S31" s="26">
        <f t="shared" si="10"/>
        <v>13616</v>
      </c>
      <c r="T31" s="27">
        <f t="shared" si="109"/>
        <v>924.5748000000001</v>
      </c>
      <c r="U31" s="1909">
        <f t="shared" si="11"/>
        <v>14.726769537737779</v>
      </c>
      <c r="V31" s="28"/>
      <c r="W31" s="26">
        <f t="shared" si="12"/>
        <v>14468</v>
      </c>
      <c r="X31" s="5">
        <f t="shared" si="12"/>
        <v>60</v>
      </c>
      <c r="Y31" s="325">
        <f t="shared" si="13"/>
        <v>241.13333333333333</v>
      </c>
      <c r="Z31" s="33"/>
      <c r="AA31" s="26">
        <f t="shared" si="14"/>
        <v>0</v>
      </c>
      <c r="AB31" s="27">
        <f t="shared" si="15"/>
        <v>0</v>
      </c>
      <c r="AC31" s="53">
        <f t="shared" si="16"/>
        <v>0</v>
      </c>
      <c r="AD31" s="28"/>
      <c r="AE31" s="36"/>
      <c r="AF31" s="36"/>
      <c r="AG31" s="53">
        <f t="shared" si="17"/>
        <v>0</v>
      </c>
      <c r="AH31" s="28"/>
      <c r="AI31" s="26"/>
      <c r="AJ31" s="27"/>
      <c r="AK31" s="53">
        <f t="shared" si="18"/>
        <v>0</v>
      </c>
      <c r="AL31" s="28"/>
      <c r="AM31" s="2629"/>
      <c r="AN31" s="9"/>
      <c r="AO31" s="5"/>
      <c r="AP31" s="61">
        <f t="shared" si="19"/>
        <v>0</v>
      </c>
      <c r="AQ31" s="36"/>
      <c r="AR31" s="53"/>
      <c r="AS31" s="61">
        <f t="shared" si="20"/>
        <v>0</v>
      </c>
      <c r="AT31" s="36">
        <v>0</v>
      </c>
      <c r="AU31" s="27"/>
      <c r="AV31" s="54">
        <f t="shared" si="21"/>
        <v>0</v>
      </c>
      <c r="AW31" s="26">
        <v>16002</v>
      </c>
      <c r="AX31" s="27">
        <v>1483.74</v>
      </c>
      <c r="AY31" s="1895">
        <f t="shared" si="116"/>
        <v>10.784908407133326</v>
      </c>
      <c r="AZ31" s="1908"/>
      <c r="BA31" s="1909"/>
      <c r="BB31" s="1895">
        <f t="shared" si="22"/>
        <v>0</v>
      </c>
      <c r="BC31" s="1740">
        <v>25662</v>
      </c>
      <c r="BD31" s="1909">
        <v>741.07999999999993</v>
      </c>
      <c r="BE31" s="1895">
        <f t="shared" si="23"/>
        <v>34.627840449074327</v>
      </c>
      <c r="BF31" s="1908"/>
      <c r="BG31" s="1909"/>
      <c r="BH31" s="1895">
        <f t="shared" si="24"/>
        <v>0</v>
      </c>
      <c r="BI31" s="1908">
        <v>0</v>
      </c>
      <c r="BJ31" s="1909">
        <v>0</v>
      </c>
      <c r="BK31" s="1895">
        <f t="shared" si="25"/>
        <v>0</v>
      </c>
      <c r="BL31" s="1742">
        <v>13616</v>
      </c>
      <c r="BM31" s="1909">
        <v>863.5200000000001</v>
      </c>
      <c r="BN31" s="2170">
        <v>61.054799999999993</v>
      </c>
      <c r="BO31" s="1911">
        <f t="shared" si="26"/>
        <v>15.768019269964794</v>
      </c>
      <c r="BP31" s="9"/>
      <c r="BQ31" s="64"/>
      <c r="BR31" s="482">
        <f t="shared" si="27"/>
        <v>0</v>
      </c>
      <c r="BS31" s="9"/>
      <c r="BT31" s="64"/>
      <c r="BU31" s="482">
        <f t="shared" si="28"/>
        <v>0</v>
      </c>
      <c r="BV31" s="9">
        <v>14468</v>
      </c>
      <c r="BW31" s="27">
        <v>60</v>
      </c>
      <c r="BX31" s="15">
        <f t="shared" si="29"/>
        <v>241.13333333333333</v>
      </c>
      <c r="BY31" s="4"/>
      <c r="BZ31" s="5"/>
      <c r="CA31" s="482">
        <f t="shared" si="30"/>
        <v>0</v>
      </c>
      <c r="CB31" s="9"/>
      <c r="CC31" s="5"/>
      <c r="CD31" s="482">
        <f t="shared" si="31"/>
        <v>0</v>
      </c>
      <c r="CE31" s="4"/>
      <c r="CF31" s="5"/>
      <c r="CG31" s="28">
        <f t="shared" si="32"/>
        <v>0</v>
      </c>
      <c r="CH31" s="150"/>
      <c r="CI31" s="1108"/>
      <c r="CJ31" s="5"/>
      <c r="CK31" s="5">
        <v>2532</v>
      </c>
      <c r="CL31" s="5"/>
      <c r="CM31" s="5"/>
      <c r="CN31" s="5"/>
      <c r="CO31" s="33"/>
      <c r="CP31" s="366"/>
      <c r="CR31" s="4">
        <f t="shared" si="33"/>
        <v>0</v>
      </c>
      <c r="CS31" s="9">
        <f t="shared" si="33"/>
        <v>0</v>
      </c>
      <c r="CT31" s="5">
        <f t="shared" si="33"/>
        <v>0</v>
      </c>
      <c r="CU31" s="5">
        <f t="shared" ref="CU31:DC40" si="133">SUM(DI31,DV31,EI31)</f>
        <v>0</v>
      </c>
      <c r="CV31" s="5">
        <f t="shared" si="133"/>
        <v>0</v>
      </c>
      <c r="CW31" s="5">
        <f t="shared" si="133"/>
        <v>0</v>
      </c>
      <c r="CX31" s="5">
        <f t="shared" si="133"/>
        <v>735.34</v>
      </c>
      <c r="CY31" s="5">
        <f t="shared" si="133"/>
        <v>0</v>
      </c>
      <c r="CZ31" s="5">
        <f t="shared" si="133"/>
        <v>2353</v>
      </c>
      <c r="DA31" s="5">
        <f t="shared" si="133"/>
        <v>0</v>
      </c>
      <c r="DB31" s="5">
        <f t="shared" si="133"/>
        <v>60</v>
      </c>
      <c r="DC31" s="12">
        <f t="shared" si="133"/>
        <v>0</v>
      </c>
      <c r="DD31" s="310">
        <f t="shared" si="34"/>
        <v>3148.34</v>
      </c>
      <c r="DE31" s="2695"/>
      <c r="DF31" s="8"/>
      <c r="DG31" s="9"/>
      <c r="DH31" s="5"/>
      <c r="DI31" s="5"/>
      <c r="DJ31" s="5"/>
      <c r="DK31" s="5"/>
      <c r="DL31" s="5">
        <v>735.34</v>
      </c>
      <c r="DM31" s="5"/>
      <c r="DN31" s="487">
        <v>748.4</v>
      </c>
      <c r="DO31" s="5"/>
      <c r="DP31" s="5"/>
      <c r="DQ31" s="12"/>
      <c r="DR31" s="28">
        <f t="shared" si="35"/>
        <v>1483.74</v>
      </c>
      <c r="DS31" s="36"/>
      <c r="DT31" s="9"/>
      <c r="DU31" s="5"/>
      <c r="DV31" s="5"/>
      <c r="DW31" s="5"/>
      <c r="DX31" s="5"/>
      <c r="DY31" s="27"/>
      <c r="DZ31" s="27"/>
      <c r="EA31" s="27">
        <v>1604.6000000000001</v>
      </c>
      <c r="EB31" s="27"/>
      <c r="EC31" s="27">
        <v>0</v>
      </c>
      <c r="ED31" s="33"/>
      <c r="EE31" s="28">
        <f t="shared" si="36"/>
        <v>1604.6000000000001</v>
      </c>
      <c r="EF31" s="9"/>
      <c r="EG31" s="36"/>
      <c r="EH31"/>
      <c r="EI31" s="27"/>
      <c r="EJ31" s="27"/>
      <c r="EK31" s="27"/>
      <c r="EL31" s="27"/>
      <c r="EM31" s="27"/>
      <c r="EN31" s="5"/>
      <c r="EO31" s="5"/>
      <c r="EP31" s="5">
        <v>60</v>
      </c>
      <c r="EQ31" s="33"/>
      <c r="ER31" s="28">
        <f t="shared" si="120"/>
        <v>60</v>
      </c>
      <c r="ES31" s="36"/>
      <c r="ET31" s="27"/>
      <c r="EU31" s="27"/>
      <c r="EV31" s="27"/>
      <c r="EW31" s="27"/>
      <c r="EX31" s="27"/>
      <c r="EY31" s="33">
        <f t="shared" si="38"/>
        <v>0</v>
      </c>
      <c r="EZ31" s="2685"/>
      <c r="FB31" s="4">
        <f t="shared" si="39"/>
        <v>0</v>
      </c>
      <c r="FC31" s="5">
        <f t="shared" si="40"/>
        <v>0</v>
      </c>
      <c r="FD31" s="5">
        <f t="shared" si="41"/>
        <v>0</v>
      </c>
      <c r="FE31" s="12">
        <f t="shared" si="42"/>
        <v>0</v>
      </c>
      <c r="FF31" s="33"/>
      <c r="FG31" s="2674"/>
      <c r="FH31" s="9"/>
      <c r="FI31" s="5"/>
      <c r="FJ31" s="5"/>
      <c r="FK31" s="5"/>
      <c r="FL31" s="5"/>
      <c r="FM31" s="27"/>
      <c r="FN31" s="28">
        <f t="shared" si="43"/>
        <v>0</v>
      </c>
      <c r="FO31" s="36"/>
      <c r="FP31" s="27"/>
      <c r="FQ31" s="27"/>
      <c r="FR31" s="27"/>
      <c r="FS31" s="27"/>
      <c r="FT31" s="27"/>
      <c r="FU31" s="28">
        <f t="shared" si="44"/>
        <v>0</v>
      </c>
      <c r="FV31" s="36"/>
      <c r="FW31" s="36"/>
      <c r="FX31" s="27"/>
      <c r="FY31" s="27"/>
      <c r="FZ31" s="27"/>
      <c r="GA31" s="27"/>
      <c r="GB31" s="27"/>
      <c r="GC31" s="27"/>
      <c r="GD31" s="27"/>
      <c r="GE31" s="27"/>
      <c r="GF31" s="27"/>
      <c r="GG31" s="33"/>
      <c r="GH31" s="33">
        <f t="shared" si="45"/>
        <v>0</v>
      </c>
      <c r="GI31" s="2674"/>
      <c r="GK31" s="2">
        <f t="shared" si="110"/>
        <v>148.55000000000001</v>
      </c>
      <c r="GL31" s="63">
        <f t="shared" si="111"/>
        <v>1314</v>
      </c>
      <c r="GM31" s="24">
        <f t="shared" si="112"/>
        <v>3250.4</v>
      </c>
      <c r="GN31" s="1736">
        <f t="shared" si="46"/>
        <v>4712.95</v>
      </c>
      <c r="GO31" s="141"/>
      <c r="GP31" s="141"/>
      <c r="GQ31" s="33"/>
      <c r="GR31" s="2667"/>
      <c r="GS31" s="152">
        <v>4564.3999999999996</v>
      </c>
      <c r="GT31" s="27">
        <v>148.55000000000001</v>
      </c>
      <c r="GU31" s="27">
        <v>0</v>
      </c>
      <c r="GV31" s="27">
        <v>0</v>
      </c>
      <c r="GW31" s="33">
        <f t="shared" si="47"/>
        <v>4712.95</v>
      </c>
      <c r="GX31" s="2667"/>
      <c r="GY31" s="36"/>
      <c r="GZ31" s="36"/>
      <c r="HA31" s="27"/>
      <c r="HB31" s="27"/>
      <c r="HC31" s="27"/>
      <c r="HD31" s="27"/>
      <c r="HE31" s="27"/>
      <c r="HF31" s="27"/>
      <c r="HG31" s="27">
        <v>0</v>
      </c>
      <c r="HH31" s="27"/>
      <c r="HI31" s="2167">
        <v>0</v>
      </c>
      <c r="HJ31" s="27"/>
      <c r="HK31" s="27">
        <v>148.55000000000001</v>
      </c>
      <c r="HL31" s="27"/>
      <c r="HM31" s="28">
        <f t="shared" si="121"/>
        <v>148.55000000000001</v>
      </c>
      <c r="HN31" s="36"/>
      <c r="HO31" s="27"/>
      <c r="HP31" s="27"/>
      <c r="HQ31" s="27"/>
      <c r="HR31" s="27"/>
      <c r="HS31" s="27"/>
      <c r="HT31" s="27" cm="1">
        <f t="array" ref="HT31">SUMPRODUCT(('Data Base hauling'!$C$2:$C$216="TCM-ROM SB1 BK05-ROM 4")*(ISNUMBER(SEARCH(TEXT('May TCM'!$B31,"00")&amp;"/03/2026",'Data Base hauling'!$E$2:$E$216)))*'Data Base hauling'!$N$2:$N$216)</f>
        <v>0</v>
      </c>
      <c r="HU31" s="27"/>
      <c r="HV31" s="27" cm="1">
        <f t="array" ref="HV31">SUMPRODUCT(('Data Base hauling'!$C$2:$C$216="TCM-ROM SB1 BK05-ROM 5")*(ISNUMBER(SEARCH(TEXT('May TCM'!$B31,"00")&amp;"/03/2026",'Data Base hauling'!$E$2:$E$216)))*'Data Base hauling'!$N$2:$N$216)</f>
        <v>0</v>
      </c>
      <c r="HW31" s="27"/>
      <c r="HX31" s="27"/>
      <c r="HY31" s="27"/>
      <c r="HZ31" s="27"/>
      <c r="IA31" s="27"/>
      <c r="IB31" s="33">
        <f t="shared" si="49"/>
        <v>0</v>
      </c>
      <c r="IC31" s="52"/>
      <c r="ID31" s="152"/>
      <c r="IE31" s="53"/>
      <c r="IF31" s="53"/>
      <c r="IG31" s="53"/>
      <c r="IH31" s="53"/>
      <c r="II31" s="1736">
        <v>0</v>
      </c>
      <c r="IJ31" s="1736"/>
      <c r="IK31" s="1736">
        <v>1314</v>
      </c>
      <c r="IL31" s="53"/>
      <c r="IM31" s="53">
        <v>0</v>
      </c>
      <c r="IN31" s="53"/>
      <c r="IO31" s="53"/>
      <c r="IP31" s="49">
        <v>0</v>
      </c>
      <c r="IQ31" s="2195">
        <f t="shared" si="122"/>
        <v>1314</v>
      </c>
      <c r="IR31" s="36"/>
      <c r="IS31" s="36"/>
      <c r="IT31" s="27"/>
      <c r="IU31" s="27"/>
      <c r="IV31" s="53"/>
      <c r="IW31" s="27"/>
      <c r="IX31" s="27">
        <v>0</v>
      </c>
      <c r="IY31" s="27"/>
      <c r="IZ31" s="27">
        <v>3250.4</v>
      </c>
      <c r="JA31" s="27"/>
      <c r="JB31" s="27">
        <v>0</v>
      </c>
      <c r="JC31" s="27"/>
      <c r="JD31" s="27"/>
      <c r="JE31" s="27"/>
      <c r="JF31" s="33">
        <f t="shared" si="123"/>
        <v>3250.4</v>
      </c>
      <c r="JG31" s="2667"/>
      <c r="JI31" s="2020">
        <v>4712.95</v>
      </c>
      <c r="JJ31" s="2021">
        <v>0</v>
      </c>
      <c r="JK31" s="53"/>
      <c r="JL31" s="53">
        <f t="shared" si="52"/>
        <v>4712.95</v>
      </c>
      <c r="JM31" s="33"/>
      <c r="JN31" s="2669"/>
      <c r="JO31" s="69">
        <v>0</v>
      </c>
      <c r="JP31" s="70">
        <v>0</v>
      </c>
      <c r="JQ31" s="70">
        <v>0</v>
      </c>
      <c r="JR31" s="850">
        <v>0</v>
      </c>
      <c r="JS31" s="850">
        <v>0.96848046340402505</v>
      </c>
      <c r="JT31" s="850">
        <v>0</v>
      </c>
      <c r="JU31" s="70">
        <v>3.1519536595974923E-2</v>
      </c>
      <c r="JV31" s="1922">
        <v>0</v>
      </c>
      <c r="JW31" s="69" t="s">
        <v>296</v>
      </c>
      <c r="JX31" s="70" t="s">
        <v>296</v>
      </c>
      <c r="JY31" s="70" t="s">
        <v>296</v>
      </c>
      <c r="JZ31" s="70" t="s">
        <v>296</v>
      </c>
      <c r="KA31" s="70" t="s">
        <v>296</v>
      </c>
      <c r="KB31" s="70" t="s">
        <v>296</v>
      </c>
      <c r="KC31" s="70" t="s">
        <v>296</v>
      </c>
      <c r="KD31" s="71" t="s">
        <v>296</v>
      </c>
      <c r="KE31" s="69"/>
      <c r="KF31" s="70"/>
      <c r="KG31" s="70"/>
      <c r="KH31" s="70"/>
      <c r="KI31" s="70"/>
      <c r="KJ31" s="70"/>
      <c r="KK31" s="70"/>
      <c r="KL31" s="70"/>
      <c r="KM31" s="33"/>
      <c r="KN31" s="2669"/>
      <c r="KO31" s="1739">
        <v>6718.0580671920361</v>
      </c>
      <c r="KP31" s="1721">
        <v>0.82361260887598509</v>
      </c>
      <c r="KQ31" s="1721">
        <v>6.1912878473662376</v>
      </c>
      <c r="KR31" s="1721">
        <v>7.4354832019908752</v>
      </c>
      <c r="KS31" s="1722">
        <v>11.310795425134797</v>
      </c>
      <c r="KT31" s="1958">
        <v>0</v>
      </c>
      <c r="KU31" s="1961">
        <v>0</v>
      </c>
      <c r="KV31" s="1961">
        <v>0</v>
      </c>
      <c r="KW31" s="1961">
        <v>0</v>
      </c>
      <c r="KX31" s="1962">
        <v>0</v>
      </c>
      <c r="KY31" s="36"/>
      <c r="KZ31" s="53"/>
      <c r="LA31" s="53"/>
      <c r="LB31" s="53"/>
      <c r="LC31" s="53"/>
      <c r="LD31" s="33"/>
      <c r="LE31" s="2669"/>
      <c r="LG31" s="4">
        <f t="shared" si="53"/>
        <v>5350.3</v>
      </c>
      <c r="LH31" s="5">
        <f t="shared" si="53"/>
        <v>1783.43</v>
      </c>
      <c r="LI31" s="27">
        <f t="shared" si="53"/>
        <v>0</v>
      </c>
      <c r="LJ31" s="28">
        <f t="shared" si="54"/>
        <v>7133.7300000000005</v>
      </c>
      <c r="LK31" s="36">
        <v>1</v>
      </c>
      <c r="LL31" s="27"/>
      <c r="LM31" s="27">
        <v>2</v>
      </c>
      <c r="LN31" s="33"/>
      <c r="LO31" s="1041">
        <v>9.1</v>
      </c>
      <c r="LP31" s="486"/>
      <c r="LQ31" s="2688"/>
      <c r="LR31" s="36"/>
      <c r="LS31" s="36"/>
      <c r="LT31" s="27"/>
      <c r="LU31" s="27"/>
      <c r="LV31" s="27"/>
      <c r="LW31" s="1107">
        <f t="shared" si="55"/>
        <v>0</v>
      </c>
      <c r="LX31" s="36">
        <v>5350.3</v>
      </c>
      <c r="LY31" s="36">
        <v>1783.43</v>
      </c>
      <c r="LZ31" s="27"/>
      <c r="MA31" s="27"/>
      <c r="MB31" s="33"/>
      <c r="MC31" s="28">
        <f t="shared" si="56"/>
        <v>7133.7300000000005</v>
      </c>
      <c r="MD31" s="26"/>
      <c r="ME31" s="36"/>
      <c r="MF31" s="27"/>
      <c r="MG31" s="27"/>
      <c r="MH31" s="27"/>
      <c r="MI31" s="28"/>
      <c r="MJ31" s="36"/>
      <c r="MK31" s="36"/>
      <c r="ML31" s="27"/>
      <c r="MM31" s="27"/>
      <c r="MN31" s="27"/>
      <c r="MO31" s="28"/>
      <c r="MP31" s="36"/>
      <c r="MQ31" s="36"/>
      <c r="MR31" s="27"/>
      <c r="MS31" s="27"/>
      <c r="MT31" s="27"/>
      <c r="MU31" s="33">
        <f t="shared" si="57"/>
        <v>0</v>
      </c>
      <c r="MV31" s="2688"/>
      <c r="MX31" s="26">
        <f t="shared" si="58"/>
        <v>131768.95009662196</v>
      </c>
      <c r="MY31" s="27">
        <f t="shared" si="59"/>
        <v>88285.116491707842</v>
      </c>
      <c r="MZ31" s="27">
        <f t="shared" si="60"/>
        <v>23484.605253194553</v>
      </c>
      <c r="NA31" s="28">
        <f t="shared" si="61"/>
        <v>422696.2585585101</v>
      </c>
      <c r="NB31" s="2621"/>
      <c r="NC31" s="23">
        <f t="shared" si="62"/>
        <v>31420.178373462546</v>
      </c>
      <c r="ND31" s="1579">
        <f t="shared" si="63"/>
        <v>100348.77172315941</v>
      </c>
      <c r="NE31" s="60">
        <f t="shared" si="64"/>
        <v>0</v>
      </c>
      <c r="NF31" s="1110">
        <f t="shared" si="4"/>
        <v>131768.95009662196</v>
      </c>
      <c r="NG31" s="26">
        <f t="shared" si="128"/>
        <v>0</v>
      </c>
      <c r="NH31" s="27">
        <f t="shared" si="128"/>
        <v>0</v>
      </c>
      <c r="NI31" s="27">
        <f t="shared" si="128"/>
        <v>0</v>
      </c>
      <c r="NJ31" s="27">
        <f t="shared" si="128"/>
        <v>0</v>
      </c>
      <c r="NK31" s="27">
        <f t="shared" si="128"/>
        <v>0</v>
      </c>
      <c r="NL31" s="33">
        <f t="shared" si="128"/>
        <v>0</v>
      </c>
      <c r="NM31" s="27">
        <f t="shared" si="128"/>
        <v>0</v>
      </c>
      <c r="NN31" s="36">
        <f t="shared" si="128"/>
        <v>0</v>
      </c>
      <c r="NO31" s="24">
        <f t="shared" si="128"/>
        <v>2449.1631443320584</v>
      </c>
      <c r="NP31" s="27">
        <f t="shared" si="128"/>
        <v>26196.696072681989</v>
      </c>
      <c r="NQ31" s="24">
        <f t="shared" si="113"/>
        <v>8756.5482322711578</v>
      </c>
      <c r="NR31" s="24">
        <f t="shared" si="114"/>
        <v>1024.28</v>
      </c>
      <c r="NS31" s="27">
        <f t="shared" si="0"/>
        <v>38426.687449285208</v>
      </c>
      <c r="NT31" s="27">
        <f t="shared" si="129"/>
        <v>0</v>
      </c>
      <c r="NU31" s="27">
        <f t="shared" si="129"/>
        <v>0</v>
      </c>
      <c r="NV31" s="27">
        <f t="shared" si="129"/>
        <v>0</v>
      </c>
      <c r="NW31" s="27">
        <f t="shared" si="129"/>
        <v>0</v>
      </c>
      <c r="NX31" s="27">
        <f t="shared" si="129"/>
        <v>0</v>
      </c>
      <c r="NY31" s="5">
        <f t="shared" si="129"/>
        <v>0</v>
      </c>
      <c r="NZ31" s="27">
        <f t="shared" si="129"/>
        <v>9532.8227301930747</v>
      </c>
      <c r="OA31" s="27">
        <f t="shared" si="129"/>
        <v>0</v>
      </c>
      <c r="OB31" s="27">
        <f t="shared" si="129"/>
        <v>31959.891841856763</v>
      </c>
      <c r="OC31" s="27"/>
      <c r="OD31" s="24">
        <f t="shared" si="130"/>
        <v>454.51223506073143</v>
      </c>
      <c r="OE31" s="27">
        <f t="shared" si="131"/>
        <v>0</v>
      </c>
      <c r="OF31" s="28">
        <f t="shared" si="1"/>
        <v>41947.226807110572</v>
      </c>
      <c r="OG31" s="27">
        <f t="shared" si="132"/>
        <v>0</v>
      </c>
      <c r="OH31" s="27">
        <f t="shared" si="132"/>
        <v>0</v>
      </c>
      <c r="OI31" s="27">
        <f t="shared" si="132"/>
        <v>0</v>
      </c>
      <c r="OJ31" s="27">
        <f t="shared" si="132"/>
        <v>0</v>
      </c>
      <c r="OK31" s="27">
        <f t="shared" si="132"/>
        <v>0</v>
      </c>
      <c r="OL31" s="27">
        <f t="shared" si="132"/>
        <v>0</v>
      </c>
      <c r="OM31" s="24">
        <f t="shared" si="132"/>
        <v>0</v>
      </c>
      <c r="ON31" s="27">
        <f t="shared" si="132"/>
        <v>0</v>
      </c>
      <c r="OO31" s="24">
        <f t="shared" si="115"/>
        <v>7911.2022353120738</v>
      </c>
      <c r="OP31" s="27">
        <f t="shared" si="132"/>
        <v>0</v>
      </c>
      <c r="OQ31" s="27">
        <f t="shared" si="132"/>
        <v>0</v>
      </c>
      <c r="OR31" s="27">
        <f t="shared" si="132"/>
        <v>0</v>
      </c>
      <c r="OS31" s="28">
        <f t="shared" si="2"/>
        <v>7911.2022353120738</v>
      </c>
      <c r="OT31" s="36"/>
      <c r="OU31" s="27"/>
      <c r="OV31" s="27"/>
      <c r="OW31" s="27"/>
      <c r="OX31" s="27"/>
      <c r="OY31" s="27"/>
      <c r="OZ31" s="28">
        <f t="shared" si="69"/>
        <v>0</v>
      </c>
      <c r="PA31" s="36">
        <f t="shared" si="70"/>
        <v>0</v>
      </c>
      <c r="PB31" s="27">
        <f t="shared" si="71"/>
        <v>0</v>
      </c>
      <c r="PC31" s="27">
        <f t="shared" si="72"/>
        <v>0</v>
      </c>
      <c r="PD31" s="27">
        <f t="shared" si="73"/>
        <v>0</v>
      </c>
      <c r="PE31" s="24"/>
      <c r="PF31" s="27">
        <f t="shared" si="74"/>
        <v>0</v>
      </c>
      <c r="PG31" s="33">
        <f t="shared" si="3"/>
        <v>0</v>
      </c>
      <c r="PH31" s="2621"/>
      <c r="PJ31" s="2">
        <v>514.12</v>
      </c>
      <c r="PK31" s="3">
        <v>736.19999999999993</v>
      </c>
      <c r="PL31" s="3">
        <v>306.75</v>
      </c>
      <c r="PM31" s="3">
        <v>148.55000000000001</v>
      </c>
      <c r="PN31" s="3">
        <f t="shared" si="75"/>
        <v>30721.45977658069</v>
      </c>
      <c r="PO31" s="11">
        <f t="shared" si="76"/>
        <v>23484.605253194553</v>
      </c>
      <c r="PP31" s="15"/>
      <c r="PQ31" s="2615"/>
      <c r="PS31" s="4"/>
      <c r="PT31" s="9"/>
      <c r="PU31" s="9"/>
      <c r="PV31" s="9"/>
      <c r="PW31" s="8">
        <v>0</v>
      </c>
      <c r="PX31" s="9"/>
      <c r="PY31" s="8">
        <f t="shared" si="77"/>
        <v>0</v>
      </c>
      <c r="PZ31" s="5">
        <f t="shared" si="78"/>
        <v>514.12</v>
      </c>
      <c r="QA31" s="5"/>
      <c r="QB31" s="5"/>
      <c r="QC31" s="5"/>
      <c r="QD31" s="5"/>
      <c r="QE31" s="5"/>
      <c r="QF31" s="12"/>
      <c r="QG31" s="12">
        <f t="shared" si="79"/>
        <v>29562.488999999998</v>
      </c>
      <c r="QH31" s="420">
        <f t="shared" si="80"/>
        <v>392169.12955851009</v>
      </c>
      <c r="QI31" s="1106">
        <f t="shared" si="81"/>
        <v>964.6400000000001</v>
      </c>
      <c r="QJ31" s="484">
        <f t="shared" si="82"/>
        <v>5505.3678056099998</v>
      </c>
      <c r="QK31" s="12"/>
      <c r="QL31" s="2615"/>
      <c r="QN31" s="139">
        <f t="shared" si="83"/>
        <v>0</v>
      </c>
      <c r="QO31" s="139" t="str">
        <f t="shared" si="84"/>
        <v/>
      </c>
      <c r="QQ31" s="139">
        <f t="shared" si="85"/>
        <v>0</v>
      </c>
      <c r="QR31" s="139">
        <f t="shared" si="86"/>
        <v>0</v>
      </c>
      <c r="QT31" s="1">
        <f t="shared" si="87"/>
        <v>0</v>
      </c>
      <c r="QU31" s="1">
        <f t="shared" si="88"/>
        <v>0</v>
      </c>
      <c r="QV31" s="1">
        <f t="shared" si="89"/>
        <v>0</v>
      </c>
      <c r="QW31" s="1">
        <f t="shared" si="90"/>
        <v>0</v>
      </c>
      <c r="QX31" s="1">
        <f t="shared" si="91"/>
        <v>0</v>
      </c>
      <c r="QY31" s="1">
        <f t="shared" si="92"/>
        <v>0</v>
      </c>
      <c r="RA31" s="1">
        <f t="shared" si="93"/>
        <v>0</v>
      </c>
      <c r="RB31" s="1">
        <f t="shared" si="94"/>
        <v>0</v>
      </c>
      <c r="RC31" s="1">
        <f t="shared" si="95"/>
        <v>0</v>
      </c>
      <c r="RD31" s="1">
        <f t="shared" si="96"/>
        <v>0</v>
      </c>
      <c r="RE31" s="1">
        <f t="shared" si="97"/>
        <v>0</v>
      </c>
      <c r="RF31" s="1">
        <f t="shared" si="98"/>
        <v>0</v>
      </c>
      <c r="RI31" s="1">
        <v>22</v>
      </c>
      <c r="RJ31" s="1">
        <f t="shared" si="124"/>
        <v>-3294.646290282908</v>
      </c>
      <c r="RK31" s="1">
        <f t="shared" si="125"/>
        <v>-2087.9267195162829</v>
      </c>
      <c r="RL31" s="1">
        <f t="shared" si="126"/>
        <v>13404.263703387322</v>
      </c>
      <c r="RM31" s="89">
        <f t="shared" si="5"/>
        <v>8021.6906935881307</v>
      </c>
      <c r="RN31" s="1033">
        <v>22</v>
      </c>
      <c r="RO31" s="1098">
        <f t="shared" si="100"/>
        <v>0</v>
      </c>
      <c r="RP31" s="1098">
        <f t="shared" si="101"/>
        <v>0</v>
      </c>
      <c r="RQ31" s="1097">
        <f t="shared" si="102"/>
        <v>0</v>
      </c>
      <c r="RR31" s="1097">
        <f t="shared" si="103"/>
        <v>3088.34</v>
      </c>
      <c r="RS31" s="1109"/>
      <c r="RT31" s="1109">
        <v>2605222567</v>
      </c>
      <c r="RU31" s="1048"/>
      <c r="RW31" s="421">
        <v>22</v>
      </c>
      <c r="RX31" s="1095">
        <f t="shared" si="104"/>
        <v>4712.95</v>
      </c>
      <c r="RY31" s="1046" t="s">
        <v>983</v>
      </c>
      <c r="SA31" s="1090"/>
      <c r="SB31" s="1090">
        <f t="shared" si="105"/>
        <v>0</v>
      </c>
      <c r="SC31" s="1090"/>
      <c r="SD31" s="1090">
        <f t="shared" si="127"/>
        <v>0</v>
      </c>
      <c r="SF31" s="1">
        <v>22</v>
      </c>
      <c r="SG31" s="1">
        <f t="shared" si="107"/>
        <v>148.55000000000001</v>
      </c>
      <c r="SH31" s="1094" t="s">
        <v>984</v>
      </c>
    </row>
    <row r="32" spans="1:502" s="1" customFormat="1">
      <c r="B32" s="471">
        <v>23</v>
      </c>
      <c r="C32" s="4">
        <f t="shared" si="6"/>
        <v>163380</v>
      </c>
      <c r="D32" s="1726">
        <f t="shared" si="119"/>
        <v>10190.599999999999</v>
      </c>
      <c r="E32" s="1895">
        <f t="shared" si="7"/>
        <v>16.032422035993957</v>
      </c>
      <c r="F32" s="870"/>
      <c r="G32" s="870"/>
      <c r="H32" s="52"/>
      <c r="I32" s="61"/>
      <c r="J32" s="52"/>
      <c r="K32" s="54"/>
      <c r="L32" s="52"/>
      <c r="M32" s="61"/>
      <c r="N32" s="2629"/>
      <c r="O32" s="4">
        <f t="shared" si="118"/>
        <v>98392</v>
      </c>
      <c r="P32" s="1225">
        <f t="shared" si="8"/>
        <v>7328.34</v>
      </c>
      <c r="Q32" s="1913">
        <f t="shared" si="9"/>
        <v>13.426232953165382</v>
      </c>
      <c r="R32" s="33"/>
      <c r="S32" s="26">
        <f t="shared" si="10"/>
        <v>38745</v>
      </c>
      <c r="T32" s="27">
        <f t="shared" si="109"/>
        <v>2462.2599999999993</v>
      </c>
      <c r="U32" s="1909">
        <f t="shared" si="11"/>
        <v>15.735543768732795</v>
      </c>
      <c r="V32" s="28"/>
      <c r="W32" s="26">
        <f t="shared" si="12"/>
        <v>26243</v>
      </c>
      <c r="X32" s="5">
        <f t="shared" si="12"/>
        <v>400</v>
      </c>
      <c r="Y32" s="325">
        <f t="shared" si="13"/>
        <v>65.607500000000002</v>
      </c>
      <c r="Z32" s="33"/>
      <c r="AA32" s="26">
        <f t="shared" si="14"/>
        <v>0</v>
      </c>
      <c r="AB32" s="27">
        <f t="shared" si="15"/>
        <v>0</v>
      </c>
      <c r="AC32" s="53">
        <f t="shared" si="16"/>
        <v>0</v>
      </c>
      <c r="AD32" s="28"/>
      <c r="AE32" s="36"/>
      <c r="AF32" s="36"/>
      <c r="AG32" s="53">
        <f t="shared" si="17"/>
        <v>0</v>
      </c>
      <c r="AH32" s="28"/>
      <c r="AI32" s="23"/>
      <c r="AJ32" s="27"/>
      <c r="AK32" s="53">
        <f t="shared" si="18"/>
        <v>0</v>
      </c>
      <c r="AL32" s="28"/>
      <c r="AM32" s="2629"/>
      <c r="AN32" s="9"/>
      <c r="AO32" s="5"/>
      <c r="AP32" s="61">
        <f t="shared" si="19"/>
        <v>0</v>
      </c>
      <c r="AQ32" s="36"/>
      <c r="AR32" s="53"/>
      <c r="AS32" s="61">
        <f t="shared" si="20"/>
        <v>0</v>
      </c>
      <c r="AT32" s="36">
        <v>0</v>
      </c>
      <c r="AU32" s="27"/>
      <c r="AV32" s="54">
        <f t="shared" si="21"/>
        <v>0</v>
      </c>
      <c r="AW32" s="26">
        <v>48454</v>
      </c>
      <c r="AX32" s="27">
        <v>3972.08</v>
      </c>
      <c r="AY32" s="1895">
        <f t="shared" si="116"/>
        <v>12.198646552939518</v>
      </c>
      <c r="AZ32" s="1908"/>
      <c r="BA32" s="1909"/>
      <c r="BB32" s="1895">
        <f t="shared" si="22"/>
        <v>0</v>
      </c>
      <c r="BC32" s="1740">
        <v>49938</v>
      </c>
      <c r="BD32" s="1909">
        <v>3356.26</v>
      </c>
      <c r="BE32" s="1895">
        <f t="shared" si="23"/>
        <v>14.879061812851209</v>
      </c>
      <c r="BF32" s="1908"/>
      <c r="BG32" s="1909"/>
      <c r="BH32" s="1895">
        <f t="shared" si="24"/>
        <v>0</v>
      </c>
      <c r="BI32" s="1908">
        <v>0</v>
      </c>
      <c r="BJ32" s="1909">
        <v>0</v>
      </c>
      <c r="BK32" s="1895">
        <f t="shared" si="25"/>
        <v>0</v>
      </c>
      <c r="BL32" s="1742">
        <v>38745</v>
      </c>
      <c r="BM32" s="1909">
        <v>2462.2599999999993</v>
      </c>
      <c r="BN32" s="2170"/>
      <c r="BO32" s="1911">
        <f t="shared" si="26"/>
        <v>15.735543768732795</v>
      </c>
      <c r="BP32" s="9"/>
      <c r="BQ32" s="64"/>
      <c r="BR32" s="482">
        <f t="shared" si="27"/>
        <v>0</v>
      </c>
      <c r="BS32" s="9"/>
      <c r="BT32" s="64"/>
      <c r="BU32" s="482">
        <f t="shared" si="28"/>
        <v>0</v>
      </c>
      <c r="BV32" s="9">
        <v>26243</v>
      </c>
      <c r="BW32" s="5">
        <v>400</v>
      </c>
      <c r="BX32" s="15">
        <f t="shared" si="29"/>
        <v>65.607500000000002</v>
      </c>
      <c r="BY32" s="4"/>
      <c r="BZ32" s="5"/>
      <c r="CA32" s="482">
        <f t="shared" si="30"/>
        <v>0</v>
      </c>
      <c r="CB32" s="9"/>
      <c r="CC32" s="5"/>
      <c r="CD32" s="482">
        <f t="shared" si="31"/>
        <v>0</v>
      </c>
      <c r="CE32" s="4"/>
      <c r="CF32" s="5"/>
      <c r="CG32" s="28">
        <f t="shared" si="32"/>
        <v>0</v>
      </c>
      <c r="CH32" s="150"/>
      <c r="CI32" s="1108"/>
      <c r="CJ32" s="5"/>
      <c r="CK32" s="5">
        <v>3814</v>
      </c>
      <c r="CL32" s="5"/>
      <c r="CM32" s="5"/>
      <c r="CN32" s="5"/>
      <c r="CO32" s="33"/>
      <c r="CP32" s="368"/>
      <c r="CR32" s="4">
        <f t="shared" ref="CR32:CT40" si="134">SUM(DF32,DS32,EF32)</f>
        <v>0</v>
      </c>
      <c r="CS32" s="9">
        <f t="shared" si="134"/>
        <v>0</v>
      </c>
      <c r="CT32" s="5">
        <f t="shared" si="134"/>
        <v>0</v>
      </c>
      <c r="CU32" s="5">
        <f t="shared" si="133"/>
        <v>0</v>
      </c>
      <c r="CV32" s="5">
        <f t="shared" si="133"/>
        <v>0</v>
      </c>
      <c r="CW32" s="5">
        <f t="shared" si="133"/>
        <v>0</v>
      </c>
      <c r="CX32" s="5">
        <f t="shared" si="133"/>
        <v>771.8</v>
      </c>
      <c r="CY32" s="5">
        <f t="shared" si="133"/>
        <v>0</v>
      </c>
      <c r="CZ32" s="5">
        <f t="shared" si="133"/>
        <v>9018.7999999999993</v>
      </c>
      <c r="DA32" s="5">
        <f t="shared" si="133"/>
        <v>0</v>
      </c>
      <c r="DB32" s="5">
        <f t="shared" si="133"/>
        <v>400</v>
      </c>
      <c r="DC32" s="12">
        <f t="shared" si="133"/>
        <v>0</v>
      </c>
      <c r="DD32" s="310">
        <f>SUM(CR32:DC32,PW32,PX32,)</f>
        <v>10190.599999999999</v>
      </c>
      <c r="DE32" s="2695"/>
      <c r="DF32" s="8"/>
      <c r="DG32" s="9"/>
      <c r="DH32" s="5"/>
      <c r="DI32" s="5"/>
      <c r="DJ32" s="5"/>
      <c r="DK32" s="5"/>
      <c r="DL32" s="5">
        <v>771.8</v>
      </c>
      <c r="DM32" s="12"/>
      <c r="DN32" s="487">
        <v>3200.2799999999997</v>
      </c>
      <c r="DO32" s="9"/>
      <c r="DP32" s="5"/>
      <c r="DQ32" s="12"/>
      <c r="DR32" s="28">
        <f t="shared" si="35"/>
        <v>3972.08</v>
      </c>
      <c r="DS32" s="36"/>
      <c r="DT32" s="9"/>
      <c r="DU32" s="5"/>
      <c r="DV32" s="5"/>
      <c r="DW32" s="5"/>
      <c r="DX32" s="5"/>
      <c r="DY32" s="27"/>
      <c r="DZ32" s="27"/>
      <c r="EA32" s="27">
        <v>5818.5199999999995</v>
      </c>
      <c r="EB32" s="27"/>
      <c r="EC32" s="27">
        <v>0</v>
      </c>
      <c r="ED32" s="33"/>
      <c r="EE32" s="28">
        <f t="shared" si="36"/>
        <v>5818.5199999999995</v>
      </c>
      <c r="EF32" s="9"/>
      <c r="EG32" s="36"/>
      <c r="EH32" s="27"/>
      <c r="EI32" s="27"/>
      <c r="EJ32" s="27"/>
      <c r="EK32" s="27"/>
      <c r="EL32" s="27"/>
      <c r="EM32" s="27"/>
      <c r="EN32" s="5"/>
      <c r="EO32" s="5"/>
      <c r="EP32" s="5">
        <v>400</v>
      </c>
      <c r="EQ32" s="33"/>
      <c r="ER32" s="28">
        <f t="shared" si="120"/>
        <v>400</v>
      </c>
      <c r="ES32" s="36"/>
      <c r="ET32" s="27"/>
      <c r="EU32" s="27"/>
      <c r="EV32" s="27"/>
      <c r="EW32" s="27"/>
      <c r="EX32" s="27"/>
      <c r="EY32" s="33">
        <f t="shared" si="38"/>
        <v>0</v>
      </c>
      <c r="EZ32" s="2685"/>
      <c r="FB32" s="4">
        <f t="shared" si="39"/>
        <v>0</v>
      </c>
      <c r="FC32" s="5">
        <f t="shared" si="40"/>
        <v>0</v>
      </c>
      <c r="FD32" s="5">
        <f t="shared" si="41"/>
        <v>0</v>
      </c>
      <c r="FE32" s="12">
        <f t="shared" si="42"/>
        <v>0</v>
      </c>
      <c r="FF32" s="33"/>
      <c r="FG32" s="2674"/>
      <c r="FH32" s="9"/>
      <c r="FI32" s="5"/>
      <c r="FJ32" s="5"/>
      <c r="FK32" s="5"/>
      <c r="FL32" s="5"/>
      <c r="FM32" s="27"/>
      <c r="FN32" s="28">
        <f t="shared" si="43"/>
        <v>0</v>
      </c>
      <c r="FO32" s="36"/>
      <c r="FP32" s="27"/>
      <c r="FQ32" s="27"/>
      <c r="FR32" s="27"/>
      <c r="FS32" s="27"/>
      <c r="FT32" s="27"/>
      <c r="FU32" s="28">
        <f t="shared" si="44"/>
        <v>0</v>
      </c>
      <c r="FV32" s="36"/>
      <c r="FW32" s="36"/>
      <c r="FX32" s="27"/>
      <c r="FY32" s="27"/>
      <c r="FZ32" s="27"/>
      <c r="GA32" s="27"/>
      <c r="GB32" s="27"/>
      <c r="GC32" s="27"/>
      <c r="GD32" s="27"/>
      <c r="GE32" s="27"/>
      <c r="GF32" s="27"/>
      <c r="GG32" s="33"/>
      <c r="GH32" s="33">
        <f t="shared" si="45"/>
        <v>0</v>
      </c>
      <c r="GI32" s="2674"/>
      <c r="GK32" s="2">
        <f t="shared" si="110"/>
        <v>348.92999999999995</v>
      </c>
      <c r="GL32" s="63">
        <f t="shared" si="111"/>
        <v>1319.4499999999998</v>
      </c>
      <c r="GM32" s="24">
        <f t="shared" si="112"/>
        <v>2493.25</v>
      </c>
      <c r="GN32" s="1736">
        <f t="shared" si="46"/>
        <v>4161.6299999999992</v>
      </c>
      <c r="GO32" s="141"/>
      <c r="GP32" s="141"/>
      <c r="GQ32" s="33"/>
      <c r="GR32" s="2667"/>
      <c r="GS32" s="152">
        <v>3812.7</v>
      </c>
      <c r="GT32" s="27">
        <v>348.92999999999995</v>
      </c>
      <c r="GU32" s="27">
        <v>0</v>
      </c>
      <c r="GV32" s="27">
        <v>0</v>
      </c>
      <c r="GW32" s="33">
        <f t="shared" si="47"/>
        <v>4161.63</v>
      </c>
      <c r="GX32" s="2667"/>
      <c r="GY32" s="36"/>
      <c r="GZ32" s="36"/>
      <c r="HA32" s="27"/>
      <c r="HB32" s="27"/>
      <c r="HC32" s="27"/>
      <c r="HD32" s="27"/>
      <c r="HE32" s="27"/>
      <c r="HF32" s="27"/>
      <c r="HG32" s="27">
        <v>0</v>
      </c>
      <c r="HH32" s="27"/>
      <c r="HI32" s="2167">
        <v>0</v>
      </c>
      <c r="HJ32" s="27"/>
      <c r="HK32" s="27">
        <v>348.92999999999995</v>
      </c>
      <c r="HL32" s="27"/>
      <c r="HM32" s="28">
        <f t="shared" si="121"/>
        <v>348.92999999999995</v>
      </c>
      <c r="HN32" s="36"/>
      <c r="HO32" s="27"/>
      <c r="HP32" s="27"/>
      <c r="HQ32" s="27"/>
      <c r="HR32" s="27"/>
      <c r="HS32" s="27"/>
      <c r="HT32" s="27" cm="1">
        <f t="array" ref="HT32">SUMPRODUCT(('Data Base hauling'!$C$2:$C$216="TCM-ROM SB1 BK05-ROM 4")*(ISNUMBER(SEARCH(TEXT('May TCM'!$B32,"00")&amp;"/03/2026",'Data Base hauling'!$E$2:$E$216)))*'Data Base hauling'!$N$2:$N$216)</f>
        <v>0</v>
      </c>
      <c r="HU32" s="27"/>
      <c r="HV32" s="27" cm="1">
        <f t="array" ref="HV32">SUMPRODUCT(('Data Base hauling'!$C$2:$C$216="TCM-ROM SB1 BK05-ROM 5")*(ISNUMBER(SEARCH(TEXT('May TCM'!$B32,"00")&amp;"/03/2026",'Data Base hauling'!$E$2:$E$216)))*'Data Base hauling'!$N$2:$N$216)</f>
        <v>0</v>
      </c>
      <c r="HW32" s="27"/>
      <c r="HX32" s="27"/>
      <c r="HY32" s="27"/>
      <c r="HZ32" s="27"/>
      <c r="IA32" s="27"/>
      <c r="IB32" s="33">
        <f t="shared" si="49"/>
        <v>0</v>
      </c>
      <c r="IC32" s="52"/>
      <c r="ID32" s="152"/>
      <c r="IE32" s="53"/>
      <c r="IF32" s="53"/>
      <c r="IG32" s="53"/>
      <c r="IH32" s="53"/>
      <c r="II32" s="1736">
        <v>0</v>
      </c>
      <c r="IJ32" s="1736"/>
      <c r="IK32" s="1736">
        <v>1319.4499999999998</v>
      </c>
      <c r="IL32" s="53"/>
      <c r="IM32" s="53">
        <v>0</v>
      </c>
      <c r="IN32" s="53"/>
      <c r="IO32" s="53"/>
      <c r="IP32" s="49">
        <v>0</v>
      </c>
      <c r="IQ32" s="2195">
        <f t="shared" si="122"/>
        <v>1319.4499999999998</v>
      </c>
      <c r="IR32" s="36"/>
      <c r="IS32" s="36"/>
      <c r="IT32" s="27"/>
      <c r="IU32" s="27"/>
      <c r="IV32" s="53"/>
      <c r="IW32" s="27"/>
      <c r="IX32" s="27">
        <v>0</v>
      </c>
      <c r="IY32" s="27"/>
      <c r="IZ32" s="27">
        <v>2493.25</v>
      </c>
      <c r="JA32" s="27"/>
      <c r="JB32" s="27">
        <v>0</v>
      </c>
      <c r="JC32" s="27"/>
      <c r="JD32" s="27"/>
      <c r="JE32" s="27"/>
      <c r="JF32" s="33">
        <f t="shared" si="123"/>
        <v>2493.25</v>
      </c>
      <c r="JG32" s="2667"/>
      <c r="JI32" s="2020">
        <v>4161.63</v>
      </c>
      <c r="JJ32" s="2021">
        <v>0</v>
      </c>
      <c r="JK32" s="53"/>
      <c r="JL32" s="53">
        <f t="shared" si="52"/>
        <v>4161.63</v>
      </c>
      <c r="JM32" s="33"/>
      <c r="JN32" s="2669"/>
      <c r="JO32" s="69">
        <v>0</v>
      </c>
      <c r="JP32" s="70">
        <v>0</v>
      </c>
      <c r="JQ32" s="70">
        <v>0</v>
      </c>
      <c r="JR32" s="850">
        <v>0</v>
      </c>
      <c r="JS32" s="850">
        <v>0.9161554487063962</v>
      </c>
      <c r="JT32" s="850">
        <v>0</v>
      </c>
      <c r="JU32" s="70">
        <v>8.38445512936037E-2</v>
      </c>
      <c r="JV32" s="1922">
        <v>0</v>
      </c>
      <c r="JW32" s="69" t="s">
        <v>296</v>
      </c>
      <c r="JX32" s="70" t="s">
        <v>296</v>
      </c>
      <c r="JY32" s="70" t="s">
        <v>296</v>
      </c>
      <c r="JZ32" s="70" t="s">
        <v>296</v>
      </c>
      <c r="KA32" s="70" t="s">
        <v>296</v>
      </c>
      <c r="KB32" s="70" t="s">
        <v>296</v>
      </c>
      <c r="KC32" s="70" t="s">
        <v>296</v>
      </c>
      <c r="KD32" s="71" t="s">
        <v>296</v>
      </c>
      <c r="KE32" s="69"/>
      <c r="KF32" s="70"/>
      <c r="KG32" s="70"/>
      <c r="KH32" s="70"/>
      <c r="KI32" s="70"/>
      <c r="KJ32" s="70"/>
      <c r="KK32" s="70"/>
      <c r="KL32" s="70"/>
      <c r="KM32" s="33"/>
      <c r="KN32" s="2669"/>
      <c r="KO32" s="1739">
        <v>6903.394736842105</v>
      </c>
      <c r="KP32" s="1721">
        <v>0.84</v>
      </c>
      <c r="KQ32" s="1721">
        <v>2.8792244993013507</v>
      </c>
      <c r="KR32" s="1721">
        <v>8.2198416394969733</v>
      </c>
      <c r="KS32" s="1722">
        <v>12.765333999999999</v>
      </c>
      <c r="KT32" s="1958">
        <v>0</v>
      </c>
      <c r="KU32" s="1961">
        <v>0</v>
      </c>
      <c r="KV32" s="1961">
        <v>0</v>
      </c>
      <c r="KW32" s="1961">
        <v>0</v>
      </c>
      <c r="KX32" s="1962">
        <v>0</v>
      </c>
      <c r="KY32" s="36"/>
      <c r="KZ32" s="53"/>
      <c r="LA32" s="53"/>
      <c r="LB32" s="53"/>
      <c r="LC32" s="53"/>
      <c r="LD32" s="33"/>
      <c r="LE32" s="2669"/>
      <c r="LG32" s="4">
        <f t="shared" si="53"/>
        <v>0</v>
      </c>
      <c r="LH32" s="5">
        <f t="shared" si="53"/>
        <v>0</v>
      </c>
      <c r="LI32" s="27">
        <f t="shared" si="53"/>
        <v>0</v>
      </c>
      <c r="LJ32" s="28">
        <f t="shared" si="54"/>
        <v>0</v>
      </c>
      <c r="LK32" s="36"/>
      <c r="LL32" s="27"/>
      <c r="LM32" s="27">
        <v>3</v>
      </c>
      <c r="LN32" s="33"/>
      <c r="LO32" s="1041">
        <v>9.1199999999999992</v>
      </c>
      <c r="LP32" s="486"/>
      <c r="LQ32" s="2688"/>
      <c r="LR32" s="36"/>
      <c r="LS32" s="36"/>
      <c r="LT32" s="27"/>
      <c r="LU32" s="27"/>
      <c r="LV32" s="27"/>
      <c r="LW32" s="1107">
        <f t="shared" si="55"/>
        <v>0</v>
      </c>
      <c r="LX32" s="36"/>
      <c r="LY32" s="36"/>
      <c r="LZ32" s="27"/>
      <c r="MA32" s="27"/>
      <c r="MB32" s="33"/>
      <c r="MC32" s="28">
        <f t="shared" si="56"/>
        <v>0</v>
      </c>
      <c r="MD32" s="26"/>
      <c r="ME32" s="36"/>
      <c r="MF32" s="27"/>
      <c r="MG32" s="27"/>
      <c r="MH32" s="27"/>
      <c r="MI32" s="28"/>
      <c r="MJ32" s="36"/>
      <c r="MK32" s="36"/>
      <c r="ML32" s="27"/>
      <c r="MM32" s="27"/>
      <c r="MN32" s="27"/>
      <c r="MO32" s="28"/>
      <c r="MP32" s="36"/>
      <c r="MQ32" s="36"/>
      <c r="MR32" s="27"/>
      <c r="MS32" s="27"/>
      <c r="MT32" s="27"/>
      <c r="MU32" s="33">
        <f t="shared" si="57"/>
        <v>0</v>
      </c>
      <c r="MV32" s="2688"/>
      <c r="MX32" s="26">
        <f t="shared" si="58"/>
        <v>135930.58009662197</v>
      </c>
      <c r="MY32" s="27">
        <f t="shared" si="59"/>
        <v>94663.016491707851</v>
      </c>
      <c r="MZ32" s="27">
        <f t="shared" si="60"/>
        <v>23489.425253194553</v>
      </c>
      <c r="NA32" s="28">
        <f t="shared" si="61"/>
        <v>421976.85855851008</v>
      </c>
      <c r="NB32" s="2621"/>
      <c r="NC32" s="23">
        <f t="shared" si="62"/>
        <v>35581.808373462547</v>
      </c>
      <c r="ND32" s="1579">
        <f t="shared" si="63"/>
        <v>100348.77172315941</v>
      </c>
      <c r="NE32" s="60">
        <f t="shared" si="64"/>
        <v>0</v>
      </c>
      <c r="NF32" s="275">
        <f t="shared" si="4"/>
        <v>135930.58009662197</v>
      </c>
      <c r="NG32" s="26">
        <f t="shared" si="128"/>
        <v>0</v>
      </c>
      <c r="NH32" s="27">
        <f t="shared" si="128"/>
        <v>0</v>
      </c>
      <c r="NI32" s="27">
        <f t="shared" si="128"/>
        <v>0</v>
      </c>
      <c r="NJ32" s="27">
        <f t="shared" si="128"/>
        <v>0</v>
      </c>
      <c r="NK32" s="27">
        <f t="shared" si="128"/>
        <v>0</v>
      </c>
      <c r="NL32" s="33">
        <f t="shared" si="128"/>
        <v>0</v>
      </c>
      <c r="NM32" s="27">
        <f t="shared" si="128"/>
        <v>0</v>
      </c>
      <c r="NN32" s="36">
        <f t="shared" si="128"/>
        <v>0</v>
      </c>
      <c r="NO32" s="24">
        <f t="shared" si="128"/>
        <v>2449.1631443320584</v>
      </c>
      <c r="NP32" s="27">
        <f t="shared" si="128"/>
        <v>26196.696072681989</v>
      </c>
      <c r="NQ32" s="24">
        <f t="shared" si="113"/>
        <v>8756.5482322711578</v>
      </c>
      <c r="NR32" s="24">
        <f t="shared" si="114"/>
        <v>1424.28</v>
      </c>
      <c r="NS32" s="27">
        <f t="shared" si="0"/>
        <v>38826.687449285208</v>
      </c>
      <c r="NT32" s="27">
        <f t="shared" si="129"/>
        <v>0</v>
      </c>
      <c r="NU32" s="27">
        <f t="shared" si="129"/>
        <v>0</v>
      </c>
      <c r="NV32" s="27">
        <f t="shared" si="129"/>
        <v>0</v>
      </c>
      <c r="NW32" s="27">
        <f t="shared" si="129"/>
        <v>0</v>
      </c>
      <c r="NX32" s="27">
        <f t="shared" si="129"/>
        <v>0</v>
      </c>
      <c r="NY32" s="5">
        <f t="shared" si="129"/>
        <v>0</v>
      </c>
      <c r="NZ32" s="27">
        <f t="shared" si="129"/>
        <v>10304.622730193074</v>
      </c>
      <c r="OA32" s="27">
        <f t="shared" si="129"/>
        <v>0</v>
      </c>
      <c r="OB32" s="27">
        <f t="shared" si="129"/>
        <v>33840.721841856765</v>
      </c>
      <c r="OC32" s="27"/>
      <c r="OD32" s="24">
        <f t="shared" si="130"/>
        <v>454.51223506073143</v>
      </c>
      <c r="OE32" s="27">
        <f t="shared" si="131"/>
        <v>0</v>
      </c>
      <c r="OF32" s="28">
        <f t="shared" si="1"/>
        <v>44599.856807110576</v>
      </c>
      <c r="OG32" s="27">
        <f t="shared" si="132"/>
        <v>0</v>
      </c>
      <c r="OH32" s="27">
        <f t="shared" si="132"/>
        <v>0</v>
      </c>
      <c r="OI32" s="27">
        <f t="shared" si="132"/>
        <v>0</v>
      </c>
      <c r="OJ32" s="27">
        <f t="shared" si="132"/>
        <v>0</v>
      </c>
      <c r="OK32" s="27">
        <f t="shared" si="132"/>
        <v>0</v>
      </c>
      <c r="OL32" s="27">
        <f t="shared" si="132"/>
        <v>0</v>
      </c>
      <c r="OM32" s="24">
        <f t="shared" si="132"/>
        <v>0</v>
      </c>
      <c r="ON32" s="27">
        <f t="shared" si="132"/>
        <v>0</v>
      </c>
      <c r="OO32" s="24">
        <f t="shared" si="115"/>
        <v>11236.472235312074</v>
      </c>
      <c r="OP32" s="27">
        <f t="shared" si="132"/>
        <v>0</v>
      </c>
      <c r="OQ32" s="27">
        <f t="shared" si="132"/>
        <v>0</v>
      </c>
      <c r="OR32" s="27">
        <f t="shared" si="132"/>
        <v>0</v>
      </c>
      <c r="OS32" s="28">
        <f t="shared" si="2"/>
        <v>11236.472235312074</v>
      </c>
      <c r="OT32" s="36"/>
      <c r="OU32" s="27"/>
      <c r="OV32" s="27"/>
      <c r="OW32" s="27"/>
      <c r="OX32" s="27"/>
      <c r="OY32" s="27"/>
      <c r="OZ32" s="28">
        <f t="shared" si="69"/>
        <v>0</v>
      </c>
      <c r="PA32" s="36">
        <f t="shared" si="70"/>
        <v>0</v>
      </c>
      <c r="PB32" s="27">
        <f t="shared" si="71"/>
        <v>0</v>
      </c>
      <c r="PC32" s="27">
        <f t="shared" si="72"/>
        <v>0</v>
      </c>
      <c r="PD32" s="27">
        <f t="shared" si="73"/>
        <v>0</v>
      </c>
      <c r="PE32" s="24"/>
      <c r="PF32" s="27">
        <f t="shared" si="74"/>
        <v>0</v>
      </c>
      <c r="PG32" s="33">
        <f t="shared" si="3"/>
        <v>0</v>
      </c>
      <c r="PH32" s="2621"/>
      <c r="PJ32" s="2">
        <v>719.40000000000009</v>
      </c>
      <c r="PK32" s="3">
        <v>849</v>
      </c>
      <c r="PL32" s="3">
        <v>353.75</v>
      </c>
      <c r="PM32" s="3">
        <v>348.92999999999995</v>
      </c>
      <c r="PN32" s="3">
        <f t="shared" si="75"/>
        <v>30591.859776580692</v>
      </c>
      <c r="PO32" s="11">
        <f t="shared" si="76"/>
        <v>23489.425253194553</v>
      </c>
      <c r="PP32" s="15"/>
      <c r="PQ32" s="2615"/>
      <c r="PS32" s="4"/>
      <c r="PT32" s="9"/>
      <c r="PU32" s="9"/>
      <c r="PV32" s="9"/>
      <c r="PW32" s="8">
        <v>0</v>
      </c>
      <c r="PX32" s="9"/>
      <c r="PY32" s="8">
        <f t="shared" si="77"/>
        <v>0</v>
      </c>
      <c r="PZ32" s="5">
        <f t="shared" si="78"/>
        <v>719.40000000000009</v>
      </c>
      <c r="QA32" s="5"/>
      <c r="QB32" s="5"/>
      <c r="QC32" s="5"/>
      <c r="QD32" s="5"/>
      <c r="QE32" s="5"/>
      <c r="QF32" s="12"/>
      <c r="QG32" s="12">
        <f t="shared" si="79"/>
        <v>29562.488999999998</v>
      </c>
      <c r="QH32" s="420">
        <f t="shared" si="80"/>
        <v>391449.72955851007</v>
      </c>
      <c r="QI32" s="1106">
        <f t="shared" si="81"/>
        <v>964.6400000000001</v>
      </c>
      <c r="QJ32" s="484">
        <f t="shared" si="82"/>
        <v>5505.3678056099998</v>
      </c>
      <c r="QK32" s="12"/>
      <c r="QL32" s="2615"/>
      <c r="QN32" s="139">
        <f t="shared" si="83"/>
        <v>0</v>
      </c>
      <c r="QO32" s="139" t="str">
        <f t="shared" si="84"/>
        <v/>
      </c>
      <c r="QQ32" s="139">
        <f t="shared" si="85"/>
        <v>0</v>
      </c>
      <c r="QR32" s="139">
        <f t="shared" si="86"/>
        <v>0</v>
      </c>
      <c r="QT32" s="1">
        <f t="shared" si="87"/>
        <v>0</v>
      </c>
      <c r="QU32" s="1">
        <f t="shared" si="88"/>
        <v>0</v>
      </c>
      <c r="QV32" s="1">
        <f t="shared" si="89"/>
        <v>0</v>
      </c>
      <c r="QW32" s="1">
        <f t="shared" si="90"/>
        <v>0</v>
      </c>
      <c r="QX32" s="1">
        <f t="shared" si="91"/>
        <v>0</v>
      </c>
      <c r="QY32" s="1">
        <f t="shared" si="92"/>
        <v>0</v>
      </c>
      <c r="RA32" s="1">
        <f t="shared" si="93"/>
        <v>0</v>
      </c>
      <c r="RB32" s="1">
        <f t="shared" si="94"/>
        <v>0</v>
      </c>
      <c r="RC32" s="1">
        <f t="shared" si="95"/>
        <v>0</v>
      </c>
      <c r="RD32" s="1">
        <f t="shared" si="96"/>
        <v>0</v>
      </c>
      <c r="RE32" s="1">
        <f t="shared" si="97"/>
        <v>0</v>
      </c>
      <c r="RF32" s="1">
        <f t="shared" si="98"/>
        <v>0</v>
      </c>
      <c r="RI32" s="1">
        <v>23</v>
      </c>
      <c r="RJ32" s="1">
        <f t="shared" si="124"/>
        <v>866.9837097170921</v>
      </c>
      <c r="RK32" s="1">
        <f t="shared" si="125"/>
        <v>-2087.9267195162829</v>
      </c>
      <c r="RL32" s="1">
        <f t="shared" si="126"/>
        <v>13404.263703387322</v>
      </c>
      <c r="RM32" s="89">
        <f t="shared" si="5"/>
        <v>12183.320693588132</v>
      </c>
      <c r="RN32" s="1033">
        <v>23</v>
      </c>
      <c r="RO32" s="1098">
        <f t="shared" si="100"/>
        <v>0</v>
      </c>
      <c r="RP32" s="1098">
        <f t="shared" si="101"/>
        <v>0</v>
      </c>
      <c r="RQ32" s="1097">
        <f t="shared" si="102"/>
        <v>0</v>
      </c>
      <c r="RR32" s="1097">
        <f t="shared" si="103"/>
        <v>9790.5999999999985</v>
      </c>
      <c r="RS32" s="1094"/>
      <c r="RT32" s="1094" t="s">
        <v>985</v>
      </c>
      <c r="RW32" s="421">
        <v>23</v>
      </c>
      <c r="RX32" s="1095">
        <f t="shared" si="104"/>
        <v>4161.63</v>
      </c>
      <c r="RY32" s="1094" t="s">
        <v>986</v>
      </c>
      <c r="SA32" s="1090"/>
      <c r="SB32" s="1090">
        <f t="shared" si="105"/>
        <v>0</v>
      </c>
      <c r="SC32" s="1090"/>
      <c r="SD32" s="1090">
        <f t="shared" si="127"/>
        <v>0</v>
      </c>
      <c r="SF32" s="1">
        <v>23</v>
      </c>
      <c r="SG32" s="1">
        <f t="shared" si="107"/>
        <v>348.92999999999995</v>
      </c>
      <c r="SH32" s="1094" t="s">
        <v>987</v>
      </c>
    </row>
    <row r="33" spans="1:502" s="1" customFormat="1">
      <c r="B33" s="471">
        <v>24</v>
      </c>
      <c r="C33" s="4">
        <f t="shared" si="6"/>
        <v>121038</v>
      </c>
      <c r="D33" s="1726">
        <f t="shared" si="119"/>
        <v>7918.880000000001</v>
      </c>
      <c r="E33" s="1895">
        <f t="shared" si="7"/>
        <v>15.284737235568665</v>
      </c>
      <c r="F33" s="870"/>
      <c r="G33" s="870"/>
      <c r="H33" s="52">
        <v>33</v>
      </c>
      <c r="I33" s="61">
        <v>7.25</v>
      </c>
      <c r="J33" s="52"/>
      <c r="K33" s="54"/>
      <c r="L33" s="52">
        <v>4</v>
      </c>
      <c r="M33" s="61">
        <v>8.9700000000000006</v>
      </c>
      <c r="N33" s="2629"/>
      <c r="O33" s="4">
        <f t="shared" si="118"/>
        <v>71568</v>
      </c>
      <c r="P33" s="1225">
        <f t="shared" si="8"/>
        <v>6124.4000000000005</v>
      </c>
      <c r="Q33" s="1913">
        <f t="shared" si="9"/>
        <v>11.685716151786297</v>
      </c>
      <c r="R33" s="33"/>
      <c r="S33" s="26">
        <f t="shared" si="10"/>
        <v>28607</v>
      </c>
      <c r="T33" s="27">
        <f t="shared" si="109"/>
        <v>1554.48</v>
      </c>
      <c r="U33" s="1909">
        <f t="shared" si="11"/>
        <v>18.402938603262829</v>
      </c>
      <c r="V33" s="28"/>
      <c r="W33" s="26">
        <f t="shared" si="12"/>
        <v>20863</v>
      </c>
      <c r="X33" s="5">
        <f t="shared" si="12"/>
        <v>240</v>
      </c>
      <c r="Y33" s="325">
        <f t="shared" si="13"/>
        <v>86.92916666666666</v>
      </c>
      <c r="Z33" s="33"/>
      <c r="AA33" s="26">
        <f t="shared" si="14"/>
        <v>0</v>
      </c>
      <c r="AB33" s="27">
        <f t="shared" si="15"/>
        <v>0</v>
      </c>
      <c r="AC33" s="53">
        <f t="shared" si="16"/>
        <v>0</v>
      </c>
      <c r="AD33" s="28"/>
      <c r="AE33" s="36"/>
      <c r="AF33" s="36"/>
      <c r="AG33" s="53">
        <f t="shared" si="17"/>
        <v>0</v>
      </c>
      <c r="AH33" s="28"/>
      <c r="AI33" s="26"/>
      <c r="AJ33" s="27"/>
      <c r="AK33" s="53">
        <f t="shared" si="18"/>
        <v>0</v>
      </c>
      <c r="AL33" s="28"/>
      <c r="AM33" s="2629"/>
      <c r="AN33" s="9"/>
      <c r="AO33" s="5"/>
      <c r="AP33" s="61">
        <f t="shared" si="19"/>
        <v>0</v>
      </c>
      <c r="AQ33" s="36"/>
      <c r="AR33" s="53"/>
      <c r="AS33" s="61">
        <f t="shared" si="20"/>
        <v>0</v>
      </c>
      <c r="AT33" s="36">
        <v>0</v>
      </c>
      <c r="AU33" s="27"/>
      <c r="AV33" s="54">
        <f t="shared" si="21"/>
        <v>0</v>
      </c>
      <c r="AW33" s="26">
        <v>48594</v>
      </c>
      <c r="AX33" s="27">
        <v>4071.2200000000003</v>
      </c>
      <c r="AY33" s="1895">
        <f t="shared" si="116"/>
        <v>11.935979878267448</v>
      </c>
      <c r="AZ33" s="1908"/>
      <c r="BA33" s="1909"/>
      <c r="BB33" s="1895">
        <f t="shared" si="22"/>
        <v>0</v>
      </c>
      <c r="BC33" s="1740">
        <v>22974</v>
      </c>
      <c r="BD33" s="1909">
        <v>2053.1800000000003</v>
      </c>
      <c r="BE33" s="1895">
        <f t="shared" si="23"/>
        <v>11.189471941086508</v>
      </c>
      <c r="BF33" s="1908"/>
      <c r="BG33" s="1909"/>
      <c r="BH33" s="1895">
        <f t="shared" si="24"/>
        <v>0</v>
      </c>
      <c r="BI33" s="1908">
        <v>0</v>
      </c>
      <c r="BJ33" s="1909">
        <v>0</v>
      </c>
      <c r="BK33" s="1895">
        <f t="shared" si="25"/>
        <v>0</v>
      </c>
      <c r="BL33" s="1742">
        <v>28607</v>
      </c>
      <c r="BM33" s="1909">
        <v>1554.48</v>
      </c>
      <c r="BN33" s="2170"/>
      <c r="BO33" s="1911">
        <f t="shared" si="26"/>
        <v>18.402938603262829</v>
      </c>
      <c r="BP33" s="9"/>
      <c r="BQ33" s="64"/>
      <c r="BR33" s="482">
        <f t="shared" si="27"/>
        <v>0</v>
      </c>
      <c r="BS33" s="9"/>
      <c r="BT33" s="64"/>
      <c r="BU33" s="482">
        <f t="shared" si="28"/>
        <v>0</v>
      </c>
      <c r="BV33" s="9">
        <v>20863</v>
      </c>
      <c r="BW33" s="5">
        <v>240</v>
      </c>
      <c r="BX33" s="15">
        <f t="shared" si="29"/>
        <v>86.92916666666666</v>
      </c>
      <c r="BY33" s="4"/>
      <c r="BZ33" s="5"/>
      <c r="CA33" s="482">
        <f t="shared" si="30"/>
        <v>0</v>
      </c>
      <c r="CB33" s="9"/>
      <c r="CC33" s="5"/>
      <c r="CD33" s="482">
        <f t="shared" si="31"/>
        <v>0</v>
      </c>
      <c r="CE33" s="4"/>
      <c r="CF33" s="5"/>
      <c r="CG33" s="28">
        <f t="shared" si="32"/>
        <v>0</v>
      </c>
      <c r="CH33" s="150"/>
      <c r="CI33" s="1108"/>
      <c r="CJ33" s="5"/>
      <c r="CK33" s="5">
        <v>1695</v>
      </c>
      <c r="CL33" s="5"/>
      <c r="CM33" s="5"/>
      <c r="CN33" s="5"/>
      <c r="CO33" s="33"/>
      <c r="CP33" s="366"/>
      <c r="CR33" s="4">
        <f t="shared" si="134"/>
        <v>0</v>
      </c>
      <c r="CS33" s="9">
        <f t="shared" si="134"/>
        <v>0</v>
      </c>
      <c r="CT33" s="5">
        <f t="shared" si="134"/>
        <v>0</v>
      </c>
      <c r="CU33" s="5">
        <f t="shared" si="133"/>
        <v>0</v>
      </c>
      <c r="CV33" s="5">
        <f t="shared" si="133"/>
        <v>0</v>
      </c>
      <c r="CW33" s="5">
        <f t="shared" si="133"/>
        <v>0</v>
      </c>
      <c r="CX33" s="5">
        <f t="shared" si="133"/>
        <v>1188.1600000000001</v>
      </c>
      <c r="CY33" s="5">
        <f t="shared" si="133"/>
        <v>0</v>
      </c>
      <c r="CZ33" s="5">
        <f t="shared" si="133"/>
        <v>6490.7199999999993</v>
      </c>
      <c r="DA33" s="5">
        <f t="shared" si="133"/>
        <v>0</v>
      </c>
      <c r="DB33" s="5">
        <f t="shared" si="133"/>
        <v>240</v>
      </c>
      <c r="DC33" s="12">
        <f t="shared" si="133"/>
        <v>0</v>
      </c>
      <c r="DD33" s="310">
        <f>SUM(CR33:DC33,PW33)</f>
        <v>7918.8799999999992</v>
      </c>
      <c r="DE33" s="2695"/>
      <c r="DF33" s="8"/>
      <c r="DG33" s="9"/>
      <c r="DH33" s="5"/>
      <c r="DI33" s="5"/>
      <c r="DJ33" s="5"/>
      <c r="DK33" s="5"/>
      <c r="DL33" s="5">
        <v>1188.1600000000001</v>
      </c>
      <c r="DM33" s="5"/>
      <c r="DN33" s="487">
        <v>2883.06</v>
      </c>
      <c r="DO33" s="5"/>
      <c r="DP33" s="5"/>
      <c r="DQ33" s="12"/>
      <c r="DR33" s="28">
        <f t="shared" si="35"/>
        <v>4071.2200000000003</v>
      </c>
      <c r="DS33" s="36"/>
      <c r="DT33" s="9"/>
      <c r="DU33" s="5"/>
      <c r="DV33" s="5"/>
      <c r="DW33" s="5"/>
      <c r="DX33" s="5"/>
      <c r="DY33" s="27"/>
      <c r="DZ33" s="27"/>
      <c r="EA33" s="27">
        <v>3607.66</v>
      </c>
      <c r="EB33" s="27"/>
      <c r="EC33" s="27">
        <v>0</v>
      </c>
      <c r="ED33" s="33"/>
      <c r="EE33" s="28">
        <f t="shared" si="36"/>
        <v>3607.66</v>
      </c>
      <c r="EF33" s="9"/>
      <c r="EG33" s="36"/>
      <c r="EH33" s="27"/>
      <c r="EI33" s="27"/>
      <c r="EJ33" s="27"/>
      <c r="EK33" s="27"/>
      <c r="EL33" s="27"/>
      <c r="EM33" s="27"/>
      <c r="EN33" s="5"/>
      <c r="EO33" s="5"/>
      <c r="EP33" s="5">
        <v>240</v>
      </c>
      <c r="EQ33" s="33"/>
      <c r="ER33" s="28">
        <f t="shared" si="120"/>
        <v>240</v>
      </c>
      <c r="ES33" s="36"/>
      <c r="ET33" s="27"/>
      <c r="EU33" s="27"/>
      <c r="EV33" s="27"/>
      <c r="EW33" s="27"/>
      <c r="EX33" s="27"/>
      <c r="EY33" s="33">
        <f t="shared" si="38"/>
        <v>0</v>
      </c>
      <c r="EZ33" s="2685"/>
      <c r="FB33" s="4">
        <f t="shared" si="39"/>
        <v>0</v>
      </c>
      <c r="FC33" s="5">
        <f t="shared" si="40"/>
        <v>0</v>
      </c>
      <c r="FD33" s="5">
        <f t="shared" si="41"/>
        <v>0</v>
      </c>
      <c r="FE33" s="12">
        <f t="shared" si="42"/>
        <v>0</v>
      </c>
      <c r="FF33" s="33"/>
      <c r="FG33" s="2674"/>
      <c r="FH33" s="9"/>
      <c r="FI33" s="5"/>
      <c r="FJ33" s="5"/>
      <c r="FK33" s="5"/>
      <c r="FL33" s="5"/>
      <c r="FM33" s="27"/>
      <c r="FN33" s="28">
        <f t="shared" si="43"/>
        <v>0</v>
      </c>
      <c r="FO33" s="36"/>
      <c r="FP33" s="27"/>
      <c r="FQ33" s="27"/>
      <c r="FR33" s="27"/>
      <c r="FS33" s="27"/>
      <c r="FT33" s="27"/>
      <c r="FU33" s="28">
        <f t="shared" si="44"/>
        <v>0</v>
      </c>
      <c r="FV33" s="36"/>
      <c r="FW33" s="36"/>
      <c r="FX33" s="27"/>
      <c r="FY33" s="27"/>
      <c r="FZ33" s="27"/>
      <c r="GA33" s="27"/>
      <c r="GB33" s="27"/>
      <c r="GC33" s="27"/>
      <c r="GD33" s="27"/>
      <c r="GE33" s="27"/>
      <c r="GF33" s="27"/>
      <c r="GG33" s="33"/>
      <c r="GH33" s="33">
        <f t="shared" si="45"/>
        <v>0</v>
      </c>
      <c r="GI33" s="2674"/>
      <c r="GK33" s="2">
        <f t="shared" si="110"/>
        <v>0</v>
      </c>
      <c r="GL33" s="63">
        <f t="shared" si="111"/>
        <v>461.05</v>
      </c>
      <c r="GM33" s="24">
        <f t="shared" si="112"/>
        <v>3292.95</v>
      </c>
      <c r="GN33" s="1736">
        <f t="shared" si="46"/>
        <v>3754</v>
      </c>
      <c r="GO33" s="141"/>
      <c r="GP33" s="141"/>
      <c r="GQ33" s="33"/>
      <c r="GR33" s="2667"/>
      <c r="GS33" s="152">
        <v>3754</v>
      </c>
      <c r="GT33" s="27">
        <v>0</v>
      </c>
      <c r="GU33" s="27">
        <v>0</v>
      </c>
      <c r="GV33" s="27">
        <v>0</v>
      </c>
      <c r="GW33" s="33">
        <f t="shared" si="47"/>
        <v>3754</v>
      </c>
      <c r="GX33" s="2667"/>
      <c r="GY33" s="36"/>
      <c r="GZ33" s="152"/>
      <c r="HA33" s="27"/>
      <c r="HB33" s="53"/>
      <c r="HC33" s="27"/>
      <c r="HD33" s="27"/>
      <c r="HE33" s="27"/>
      <c r="HF33" s="27"/>
      <c r="HG33" s="27">
        <v>0</v>
      </c>
      <c r="HH33" s="27"/>
      <c r="HI33" s="2167">
        <v>0</v>
      </c>
      <c r="HJ33" s="27"/>
      <c r="HK33" s="27">
        <v>0</v>
      </c>
      <c r="HL33" s="27"/>
      <c r="HM33" s="28">
        <f t="shared" si="121"/>
        <v>0</v>
      </c>
      <c r="HN33" s="36"/>
      <c r="HO33" s="27"/>
      <c r="HP33" s="27"/>
      <c r="HQ33" s="27"/>
      <c r="HR33" s="27"/>
      <c r="HS33" s="27"/>
      <c r="HT33" s="27" cm="1">
        <f t="array" ref="HT33">SUMPRODUCT(('Data Base hauling'!$C$2:$C$216="TCM-ROM SB1 BK05-ROM 4")*(ISNUMBER(SEARCH(TEXT('May TCM'!$B33,"00")&amp;"/03/2026",'Data Base hauling'!$E$2:$E$216)))*'Data Base hauling'!$N$2:$N$216)</f>
        <v>0</v>
      </c>
      <c r="HU33" s="27"/>
      <c r="HV33" s="27" cm="1">
        <f t="array" ref="HV33">SUMPRODUCT(('Data Base hauling'!$C$2:$C$216="TCM-ROM SB1 BK05-ROM 5")*(ISNUMBER(SEARCH(TEXT('May TCM'!$B33,"00")&amp;"/03/2026",'Data Base hauling'!$E$2:$E$216)))*'Data Base hauling'!$N$2:$N$216)</f>
        <v>0</v>
      </c>
      <c r="HW33" s="27"/>
      <c r="HX33" s="27"/>
      <c r="HY33" s="27"/>
      <c r="HZ33" s="27"/>
      <c r="IA33" s="27"/>
      <c r="IB33" s="33">
        <f t="shared" si="49"/>
        <v>0</v>
      </c>
      <c r="IC33" s="52"/>
      <c r="ID33" s="152"/>
      <c r="IE33" s="53"/>
      <c r="IF33" s="53"/>
      <c r="IG33" s="53"/>
      <c r="IH33" s="53"/>
      <c r="II33" s="1736">
        <v>0</v>
      </c>
      <c r="IJ33" s="1736"/>
      <c r="IK33" s="1736">
        <v>461.05</v>
      </c>
      <c r="IL33" s="53"/>
      <c r="IM33" s="53">
        <v>0</v>
      </c>
      <c r="IN33" s="53"/>
      <c r="IO33" s="53"/>
      <c r="IP33" s="49">
        <v>0</v>
      </c>
      <c r="IQ33" s="2195">
        <f t="shared" si="122"/>
        <v>461.05</v>
      </c>
      <c r="IR33" s="152"/>
      <c r="IS33" s="152"/>
      <c r="IT33" s="53"/>
      <c r="IU33" s="53"/>
      <c r="IV33" s="53"/>
      <c r="IW33" s="27"/>
      <c r="IX33" s="27">
        <v>0</v>
      </c>
      <c r="IY33" s="27"/>
      <c r="IZ33" s="27">
        <v>3292.95</v>
      </c>
      <c r="JA33" s="27"/>
      <c r="JB33" s="27">
        <v>0</v>
      </c>
      <c r="JC33" s="27"/>
      <c r="JD33" s="27"/>
      <c r="JE33" s="27"/>
      <c r="JF33" s="33">
        <f t="shared" si="123"/>
        <v>3292.95</v>
      </c>
      <c r="JG33" s="2667"/>
      <c r="JI33" s="2020">
        <v>3754</v>
      </c>
      <c r="JJ33" s="2021">
        <v>0</v>
      </c>
      <c r="JK33" s="53"/>
      <c r="JL33" s="53">
        <f t="shared" si="52"/>
        <v>3754</v>
      </c>
      <c r="JM33" s="33"/>
      <c r="JN33" s="2669"/>
      <c r="JO33" s="69">
        <v>0</v>
      </c>
      <c r="JP33" s="70">
        <v>0</v>
      </c>
      <c r="JQ33" s="70">
        <v>0</v>
      </c>
      <c r="JR33" s="850">
        <v>0</v>
      </c>
      <c r="JS33" s="850">
        <v>1</v>
      </c>
      <c r="JT33" s="850">
        <v>0</v>
      </c>
      <c r="JU33" s="70">
        <v>0</v>
      </c>
      <c r="JV33" s="1922">
        <v>0</v>
      </c>
      <c r="JW33" s="69" t="s">
        <v>296</v>
      </c>
      <c r="JX33" s="70" t="s">
        <v>296</v>
      </c>
      <c r="JY33" s="70" t="s">
        <v>296</v>
      </c>
      <c r="JZ33" s="70" t="s">
        <v>296</v>
      </c>
      <c r="KA33" s="70" t="s">
        <v>296</v>
      </c>
      <c r="KB33" s="70" t="s">
        <v>296</v>
      </c>
      <c r="KC33" s="70" t="s">
        <v>296</v>
      </c>
      <c r="KD33" s="71" t="s">
        <v>296</v>
      </c>
      <c r="KE33" s="69"/>
      <c r="KF33" s="70"/>
      <c r="KG33" s="70"/>
      <c r="KH33" s="70"/>
      <c r="KI33" s="70"/>
      <c r="KJ33" s="70"/>
      <c r="KK33" s="70"/>
      <c r="KL33" s="70"/>
      <c r="KM33" s="33"/>
      <c r="KN33" s="2669"/>
      <c r="KO33" s="1739">
        <v>6765.4836601307188</v>
      </c>
      <c r="KP33" s="1721">
        <v>0.50350326797385625</v>
      </c>
      <c r="KQ33" s="1721">
        <v>5.0545751633986926</v>
      </c>
      <c r="KR33" s="1721">
        <v>8.0362091503267958</v>
      </c>
      <c r="KS33" s="1722">
        <v>11.6147609124183</v>
      </c>
      <c r="KT33" s="1958">
        <v>0</v>
      </c>
      <c r="KU33" s="1961">
        <v>0</v>
      </c>
      <c r="KV33" s="1961">
        <v>0</v>
      </c>
      <c r="KW33" s="1961">
        <v>0</v>
      </c>
      <c r="KX33" s="1962">
        <v>0</v>
      </c>
      <c r="KY33" s="36"/>
      <c r="KZ33" s="53"/>
      <c r="LA33" s="53"/>
      <c r="LB33" s="53"/>
      <c r="LC33" s="53"/>
      <c r="LD33" s="33"/>
      <c r="LE33" s="2669"/>
      <c r="LG33" s="26">
        <f t="shared" si="53"/>
        <v>3065.1120000000001</v>
      </c>
      <c r="LH33" s="27">
        <f t="shared" si="53"/>
        <v>4597.6679999999997</v>
      </c>
      <c r="LI33" s="27">
        <f t="shared" si="53"/>
        <v>0</v>
      </c>
      <c r="LJ33" s="28">
        <f t="shared" si="54"/>
        <v>7662.78</v>
      </c>
      <c r="LK33" s="36">
        <v>1</v>
      </c>
      <c r="LL33" s="27">
        <v>1</v>
      </c>
      <c r="LM33" s="27">
        <v>1</v>
      </c>
      <c r="LN33" s="33"/>
      <c r="LO33" s="1041">
        <v>8.93</v>
      </c>
      <c r="LP33" s="486"/>
      <c r="LQ33" s="2688"/>
      <c r="LR33" s="36"/>
      <c r="LS33" s="36"/>
      <c r="LT33" s="27"/>
      <c r="LU33" s="27"/>
      <c r="LV33" s="27"/>
      <c r="LW33" s="1107">
        <f t="shared" si="55"/>
        <v>0</v>
      </c>
      <c r="LX33" s="36">
        <v>3065.1120000000001</v>
      </c>
      <c r="LY33" s="36">
        <v>4597.6679999999997</v>
      </c>
      <c r="LZ33" s="27"/>
      <c r="MA33" s="27"/>
      <c r="MB33" s="33"/>
      <c r="MC33" s="28">
        <f t="shared" si="56"/>
        <v>7662.78</v>
      </c>
      <c r="MD33" s="26"/>
      <c r="ME33" s="36"/>
      <c r="MF33" s="27"/>
      <c r="MG33" s="27"/>
      <c r="MH33" s="27"/>
      <c r="MI33" s="28"/>
      <c r="MJ33" s="36"/>
      <c r="MK33" s="152"/>
      <c r="ML33" s="27"/>
      <c r="MM33" s="27"/>
      <c r="MN33" s="27"/>
      <c r="MO33" s="28"/>
      <c r="MP33" s="36"/>
      <c r="MQ33" s="36"/>
      <c r="MR33" s="27"/>
      <c r="MS33" s="27"/>
      <c r="MT33" s="27"/>
      <c r="MU33" s="33">
        <f t="shared" si="57"/>
        <v>0</v>
      </c>
      <c r="MV33" s="2688"/>
      <c r="MX33" s="26">
        <f t="shared" si="58"/>
        <v>132021.80009662197</v>
      </c>
      <c r="MY33" s="27">
        <f t="shared" si="59"/>
        <v>98827.896491707856</v>
      </c>
      <c r="MZ33" s="27">
        <f t="shared" si="60"/>
        <v>23631.925253194553</v>
      </c>
      <c r="NA33" s="28">
        <f t="shared" si="61"/>
        <v>420488.17855851009</v>
      </c>
      <c r="NB33" s="2621"/>
      <c r="NC33" s="23">
        <f t="shared" si="62"/>
        <v>36270.696373462546</v>
      </c>
      <c r="ND33" s="1579">
        <f t="shared" si="63"/>
        <v>95751.103723159409</v>
      </c>
      <c r="NE33" s="60">
        <f t="shared" si="64"/>
        <v>0</v>
      </c>
      <c r="NF33" s="275">
        <f t="shared" si="4"/>
        <v>132021.80009662197</v>
      </c>
      <c r="NG33" s="26">
        <f t="shared" si="128"/>
        <v>0</v>
      </c>
      <c r="NH33" s="27">
        <f t="shared" si="128"/>
        <v>0</v>
      </c>
      <c r="NI33" s="27">
        <f t="shared" si="128"/>
        <v>0</v>
      </c>
      <c r="NJ33" s="27">
        <f t="shared" si="128"/>
        <v>0</v>
      </c>
      <c r="NK33" s="27">
        <f t="shared" si="128"/>
        <v>0</v>
      </c>
      <c r="NL33" s="33">
        <f t="shared" si="128"/>
        <v>0</v>
      </c>
      <c r="NM33" s="27">
        <f t="shared" si="128"/>
        <v>0</v>
      </c>
      <c r="NN33" s="36">
        <f t="shared" si="128"/>
        <v>0</v>
      </c>
      <c r="NO33" s="24">
        <f t="shared" si="128"/>
        <v>2449.1631443320584</v>
      </c>
      <c r="NP33" s="27">
        <f t="shared" si="128"/>
        <v>26196.696072681989</v>
      </c>
      <c r="NQ33" s="24">
        <f t="shared" si="113"/>
        <v>8756.5482322711578</v>
      </c>
      <c r="NR33" s="24">
        <f t="shared" si="114"/>
        <v>1664.28</v>
      </c>
      <c r="NS33" s="27">
        <f t="shared" si="0"/>
        <v>39066.687449285208</v>
      </c>
      <c r="NT33" s="27">
        <f t="shared" si="129"/>
        <v>0</v>
      </c>
      <c r="NU33" s="27">
        <f t="shared" si="129"/>
        <v>0</v>
      </c>
      <c r="NV33" s="27">
        <f t="shared" si="129"/>
        <v>0</v>
      </c>
      <c r="NW33" s="27">
        <f t="shared" si="129"/>
        <v>0</v>
      </c>
      <c r="NX33" s="27">
        <f t="shared" si="129"/>
        <v>0</v>
      </c>
      <c r="NY33" s="5">
        <f t="shared" si="129"/>
        <v>0</v>
      </c>
      <c r="NZ33" s="27">
        <f t="shared" si="129"/>
        <v>11492.782730193074</v>
      </c>
      <c r="OA33" s="27">
        <f t="shared" si="129"/>
        <v>0</v>
      </c>
      <c r="OB33" s="27">
        <f t="shared" si="129"/>
        <v>36262.731841856759</v>
      </c>
      <c r="OC33" s="27"/>
      <c r="OD33" s="24">
        <f t="shared" si="130"/>
        <v>454.51223506073143</v>
      </c>
      <c r="OE33" s="27">
        <f t="shared" si="131"/>
        <v>0</v>
      </c>
      <c r="OF33" s="28">
        <f t="shared" si="1"/>
        <v>48210.026807110567</v>
      </c>
      <c r="OG33" s="27">
        <f t="shared" si="132"/>
        <v>0</v>
      </c>
      <c r="OH33" s="27">
        <f t="shared" si="132"/>
        <v>0</v>
      </c>
      <c r="OI33" s="27">
        <f t="shared" si="132"/>
        <v>0</v>
      </c>
      <c r="OJ33" s="27">
        <f t="shared" si="132"/>
        <v>0</v>
      </c>
      <c r="OK33" s="27">
        <f t="shared" si="132"/>
        <v>0</v>
      </c>
      <c r="OL33" s="27">
        <f t="shared" si="132"/>
        <v>0</v>
      </c>
      <c r="OM33" s="24">
        <f t="shared" si="132"/>
        <v>0</v>
      </c>
      <c r="ON33" s="27">
        <f t="shared" si="132"/>
        <v>0</v>
      </c>
      <c r="OO33" s="24">
        <f t="shared" si="115"/>
        <v>11551.182235312073</v>
      </c>
      <c r="OP33" s="27">
        <f t="shared" si="132"/>
        <v>0</v>
      </c>
      <c r="OQ33" s="27">
        <f t="shared" si="132"/>
        <v>0</v>
      </c>
      <c r="OR33" s="27">
        <f t="shared" si="132"/>
        <v>0</v>
      </c>
      <c r="OS33" s="28">
        <f t="shared" si="2"/>
        <v>11551.182235312073</v>
      </c>
      <c r="OT33" s="36"/>
      <c r="OU33" s="27"/>
      <c r="OV33" s="27"/>
      <c r="OW33" s="27"/>
      <c r="OX33" s="27"/>
      <c r="OY33" s="27"/>
      <c r="OZ33" s="28">
        <f t="shared" si="69"/>
        <v>0</v>
      </c>
      <c r="PA33" s="36">
        <f t="shared" si="70"/>
        <v>0</v>
      </c>
      <c r="PB33" s="27">
        <f t="shared" si="71"/>
        <v>0</v>
      </c>
      <c r="PC33" s="27">
        <f t="shared" si="72"/>
        <v>0</v>
      </c>
      <c r="PD33" s="27">
        <f t="shared" si="73"/>
        <v>0</v>
      </c>
      <c r="PE33" s="24"/>
      <c r="PF33" s="27">
        <f t="shared" si="74"/>
        <v>0</v>
      </c>
      <c r="PG33" s="33">
        <f t="shared" si="3"/>
        <v>0</v>
      </c>
      <c r="PH33" s="2621"/>
      <c r="PJ33" s="2">
        <v>1488.68</v>
      </c>
      <c r="PK33" s="3">
        <v>341.99999999999994</v>
      </c>
      <c r="PL33" s="3">
        <v>142.49999999999997</v>
      </c>
      <c r="PM33" s="3">
        <v>0</v>
      </c>
      <c r="PN33" s="3">
        <f t="shared" si="75"/>
        <v>31738.539776580692</v>
      </c>
      <c r="PO33" s="11">
        <f t="shared" si="76"/>
        <v>23631.925253194553</v>
      </c>
      <c r="PP33" s="15"/>
      <c r="PQ33" s="2615"/>
      <c r="PS33" s="4"/>
      <c r="PT33" s="9"/>
      <c r="PU33" s="9"/>
      <c r="PV33" s="9"/>
      <c r="PW33" s="8">
        <v>0</v>
      </c>
      <c r="PX33" s="9"/>
      <c r="PY33" s="8">
        <f t="shared" si="77"/>
        <v>0</v>
      </c>
      <c r="PZ33" s="5">
        <f t="shared" si="78"/>
        <v>1488.68</v>
      </c>
      <c r="QA33" s="5"/>
      <c r="QB33" s="5"/>
      <c r="QC33" s="5"/>
      <c r="QD33" s="5"/>
      <c r="QE33" s="5"/>
      <c r="QF33" s="12"/>
      <c r="QG33" s="12">
        <f t="shared" si="79"/>
        <v>29562.488999999998</v>
      </c>
      <c r="QH33" s="420">
        <f t="shared" si="80"/>
        <v>389961.04955851007</v>
      </c>
      <c r="QI33" s="1106">
        <f t="shared" si="81"/>
        <v>964.6400000000001</v>
      </c>
      <c r="QJ33" s="484">
        <f t="shared" si="82"/>
        <v>5505.3678056099998</v>
      </c>
      <c r="QK33" s="12"/>
      <c r="QL33" s="2615"/>
      <c r="QN33" s="139">
        <f t="shared" si="83"/>
        <v>0</v>
      </c>
      <c r="QO33" s="139" t="str">
        <f t="shared" si="84"/>
        <v/>
      </c>
      <c r="QQ33" s="139">
        <f t="shared" si="85"/>
        <v>0</v>
      </c>
      <c r="QR33" s="139">
        <f t="shared" si="86"/>
        <v>0</v>
      </c>
      <c r="QT33" s="1">
        <f t="shared" si="87"/>
        <v>0</v>
      </c>
      <c r="QU33" s="1">
        <f t="shared" si="88"/>
        <v>0</v>
      </c>
      <c r="QV33" s="1">
        <f t="shared" si="89"/>
        <v>0</v>
      </c>
      <c r="QW33" s="1">
        <f t="shared" si="90"/>
        <v>0</v>
      </c>
      <c r="QX33" s="1">
        <f t="shared" si="91"/>
        <v>0</v>
      </c>
      <c r="QY33" s="1">
        <f t="shared" si="92"/>
        <v>0</v>
      </c>
      <c r="RA33" s="1">
        <f t="shared" si="93"/>
        <v>0</v>
      </c>
      <c r="RB33" s="1">
        <f t="shared" si="94"/>
        <v>0</v>
      </c>
      <c r="RC33" s="1">
        <f t="shared" si="95"/>
        <v>0</v>
      </c>
      <c r="RD33" s="1">
        <f t="shared" si="96"/>
        <v>0</v>
      </c>
      <c r="RE33" s="1">
        <f t="shared" si="97"/>
        <v>0</v>
      </c>
      <c r="RF33" s="1">
        <f t="shared" si="98"/>
        <v>0</v>
      </c>
      <c r="RI33" s="1">
        <v>24</v>
      </c>
      <c r="RJ33" s="1">
        <f t="shared" si="124"/>
        <v>1555.871709717092</v>
      </c>
      <c r="RK33" s="1">
        <f t="shared" si="125"/>
        <v>-6685.5947195162826</v>
      </c>
      <c r="RL33" s="1">
        <f t="shared" si="126"/>
        <v>13404.263703387322</v>
      </c>
      <c r="RM33" s="89">
        <f t="shared" si="5"/>
        <v>8274.540693588131</v>
      </c>
      <c r="RN33" s="1033">
        <v>24</v>
      </c>
      <c r="RO33" s="1098">
        <f t="shared" si="100"/>
        <v>0</v>
      </c>
      <c r="RP33" s="1098">
        <f t="shared" si="101"/>
        <v>0</v>
      </c>
      <c r="RQ33" s="1097">
        <f t="shared" si="102"/>
        <v>0</v>
      </c>
      <c r="RR33" s="1097">
        <f t="shared" si="103"/>
        <v>7678.880000000001</v>
      </c>
      <c r="RS33" s="1046"/>
      <c r="RT33" s="1046" t="s">
        <v>988</v>
      </c>
      <c r="RU33" s="1048"/>
      <c r="RW33" s="421">
        <v>24</v>
      </c>
      <c r="RX33" s="1095">
        <f t="shared" si="104"/>
        <v>3754</v>
      </c>
      <c r="RY33" s="1046" t="s">
        <v>989</v>
      </c>
      <c r="RZ33" s="1048"/>
      <c r="SA33" s="1090"/>
      <c r="SB33" s="1090">
        <f t="shared" si="105"/>
        <v>0</v>
      </c>
      <c r="SC33" s="1090"/>
      <c r="SD33" s="1090">
        <f t="shared" si="127"/>
        <v>0</v>
      </c>
      <c r="SF33" s="1">
        <v>24</v>
      </c>
      <c r="SG33" s="1">
        <f t="shared" si="107"/>
        <v>0</v>
      </c>
      <c r="SH33" s="1094"/>
    </row>
    <row r="34" spans="1:502" s="1" customFormat="1">
      <c r="B34" s="471">
        <v>25</v>
      </c>
      <c r="C34" s="4">
        <f t="shared" si="6"/>
        <v>133525</v>
      </c>
      <c r="D34" s="1726">
        <f t="shared" si="119"/>
        <v>7708</v>
      </c>
      <c r="E34" s="1895">
        <f t="shared" si="7"/>
        <v>17.322911261027503</v>
      </c>
      <c r="F34" s="870"/>
      <c r="G34" s="870"/>
      <c r="H34" s="52">
        <v>3</v>
      </c>
      <c r="I34" s="61">
        <v>2.5</v>
      </c>
      <c r="J34" s="52"/>
      <c r="K34" s="54"/>
      <c r="L34" s="52">
        <v>3</v>
      </c>
      <c r="M34" s="61">
        <v>5.65</v>
      </c>
      <c r="N34" s="2629"/>
      <c r="O34" s="4">
        <f t="shared" si="118"/>
        <v>82992</v>
      </c>
      <c r="P34" s="1225">
        <f t="shared" si="8"/>
        <v>5889.78</v>
      </c>
      <c r="Q34" s="1913">
        <f t="shared" si="9"/>
        <v>14.090848894186202</v>
      </c>
      <c r="R34" s="33"/>
      <c r="S34" s="26">
        <f t="shared" si="10"/>
        <v>26894</v>
      </c>
      <c r="T34" s="27">
        <f t="shared" si="109"/>
        <v>1658.22</v>
      </c>
      <c r="U34" s="1909">
        <f t="shared" si="11"/>
        <v>16.218595843736054</v>
      </c>
      <c r="V34" s="28"/>
      <c r="W34" s="26">
        <f t="shared" si="12"/>
        <v>23639</v>
      </c>
      <c r="X34" s="5">
        <f t="shared" si="12"/>
        <v>160</v>
      </c>
      <c r="Y34" s="325">
        <f t="shared" si="13"/>
        <v>147.74375000000001</v>
      </c>
      <c r="Z34" s="33"/>
      <c r="AA34" s="26">
        <f t="shared" si="14"/>
        <v>0</v>
      </c>
      <c r="AB34" s="27">
        <f t="shared" si="15"/>
        <v>0</v>
      </c>
      <c r="AC34" s="53">
        <f t="shared" si="16"/>
        <v>0</v>
      </c>
      <c r="AD34" s="28"/>
      <c r="AE34" s="36"/>
      <c r="AF34" s="36"/>
      <c r="AG34" s="53">
        <f t="shared" si="17"/>
        <v>0</v>
      </c>
      <c r="AH34" s="28"/>
      <c r="AI34" s="23"/>
      <c r="AJ34" s="27"/>
      <c r="AK34" s="53">
        <f t="shared" si="18"/>
        <v>0</v>
      </c>
      <c r="AL34" s="28"/>
      <c r="AM34" s="2629"/>
      <c r="AN34" s="9"/>
      <c r="AO34" s="5"/>
      <c r="AP34" s="61">
        <f t="shared" si="19"/>
        <v>0</v>
      </c>
      <c r="AQ34" s="36"/>
      <c r="AR34" s="53"/>
      <c r="AS34" s="61">
        <f t="shared" si="20"/>
        <v>0</v>
      </c>
      <c r="AT34" s="36">
        <v>0</v>
      </c>
      <c r="AU34" s="27"/>
      <c r="AV34" s="54">
        <f t="shared" si="21"/>
        <v>0</v>
      </c>
      <c r="AW34" s="26">
        <v>45780</v>
      </c>
      <c r="AX34" s="27">
        <v>3592.0999999999995</v>
      </c>
      <c r="AY34" s="1895">
        <f t="shared" si="116"/>
        <v>12.744634058071881</v>
      </c>
      <c r="AZ34" s="1908"/>
      <c r="BA34" s="1909"/>
      <c r="BB34" s="1895">
        <f t="shared" si="22"/>
        <v>0</v>
      </c>
      <c r="BC34" s="1740">
        <v>37212</v>
      </c>
      <c r="BD34" s="1909">
        <v>2297.6800000000003</v>
      </c>
      <c r="BE34" s="1895">
        <f t="shared" si="23"/>
        <v>16.19546673165976</v>
      </c>
      <c r="BF34" s="1908"/>
      <c r="BG34" s="1909"/>
      <c r="BH34" s="1895">
        <f t="shared" si="24"/>
        <v>0</v>
      </c>
      <c r="BI34" s="1908">
        <v>0</v>
      </c>
      <c r="BJ34" s="1909">
        <v>0</v>
      </c>
      <c r="BK34" s="1895">
        <f t="shared" si="25"/>
        <v>0</v>
      </c>
      <c r="BL34" s="1742">
        <v>26894</v>
      </c>
      <c r="BM34" s="1909">
        <v>1658.22</v>
      </c>
      <c r="BN34" s="2170"/>
      <c r="BO34" s="1911">
        <f t="shared" si="26"/>
        <v>16.218595843736054</v>
      </c>
      <c r="BP34" s="9"/>
      <c r="BQ34" s="64"/>
      <c r="BR34" s="482">
        <f t="shared" si="27"/>
        <v>0</v>
      </c>
      <c r="BS34" s="9"/>
      <c r="BT34" s="64"/>
      <c r="BU34" s="482">
        <f t="shared" si="28"/>
        <v>0</v>
      </c>
      <c r="BV34" s="9">
        <v>23639</v>
      </c>
      <c r="BW34" s="5">
        <v>160</v>
      </c>
      <c r="BX34" s="15">
        <f t="shared" si="29"/>
        <v>147.74375000000001</v>
      </c>
      <c r="BY34" s="4"/>
      <c r="BZ34" s="5"/>
      <c r="CA34" s="482">
        <f t="shared" si="30"/>
        <v>0</v>
      </c>
      <c r="CB34" s="9"/>
      <c r="CC34" s="5"/>
      <c r="CD34" s="482">
        <f t="shared" si="31"/>
        <v>0</v>
      </c>
      <c r="CE34" s="4"/>
      <c r="CF34" s="5"/>
      <c r="CG34" s="28">
        <f t="shared" si="32"/>
        <v>0</v>
      </c>
      <c r="CH34" s="150"/>
      <c r="CI34" s="1108"/>
      <c r="CJ34" s="5"/>
      <c r="CK34" s="5">
        <v>4010</v>
      </c>
      <c r="CL34" s="5"/>
      <c r="CM34" s="5"/>
      <c r="CN34" s="5"/>
      <c r="CO34" s="33"/>
      <c r="CP34" s="366"/>
      <c r="CR34" s="4">
        <f t="shared" si="134"/>
        <v>0</v>
      </c>
      <c r="CS34" s="9">
        <f t="shared" si="134"/>
        <v>0</v>
      </c>
      <c r="CT34" s="5">
        <f t="shared" si="134"/>
        <v>0</v>
      </c>
      <c r="CU34" s="5">
        <f t="shared" si="133"/>
        <v>0</v>
      </c>
      <c r="CV34" s="5">
        <f t="shared" si="133"/>
        <v>0</v>
      </c>
      <c r="CW34" s="5">
        <f t="shared" si="133"/>
        <v>0</v>
      </c>
      <c r="CX34" s="5">
        <f t="shared" si="133"/>
        <v>568.09999999999991</v>
      </c>
      <c r="CY34" s="5">
        <f t="shared" si="133"/>
        <v>0</v>
      </c>
      <c r="CZ34" s="5">
        <f t="shared" si="133"/>
        <v>6979.9000000000005</v>
      </c>
      <c r="DA34" s="5">
        <f t="shared" si="133"/>
        <v>0</v>
      </c>
      <c r="DB34" s="5">
        <f t="shared" si="133"/>
        <v>160</v>
      </c>
      <c r="DC34" s="12">
        <f t="shared" si="133"/>
        <v>0</v>
      </c>
      <c r="DD34" s="310">
        <f>SUM(CR34:DC34,PW34)</f>
        <v>7708</v>
      </c>
      <c r="DE34" s="2695"/>
      <c r="DF34" s="8"/>
      <c r="DG34" s="9"/>
      <c r="DH34" s="5"/>
      <c r="DI34" s="5"/>
      <c r="DJ34" s="5"/>
      <c r="DK34" s="5"/>
      <c r="DL34" s="5">
        <v>568.09999999999991</v>
      </c>
      <c r="DM34" s="5"/>
      <c r="DN34" s="487">
        <v>3024</v>
      </c>
      <c r="DO34" s="5"/>
      <c r="DP34" s="5"/>
      <c r="DQ34" s="12"/>
      <c r="DR34" s="28">
        <f t="shared" si="35"/>
        <v>3592.1</v>
      </c>
      <c r="DS34" s="36"/>
      <c r="DT34" s="36"/>
      <c r="DU34" s="27"/>
      <c r="DV34" s="27"/>
      <c r="DW34" s="27"/>
      <c r="DX34" s="27"/>
      <c r="DY34" s="27"/>
      <c r="DZ34" s="27"/>
      <c r="EA34" s="27">
        <v>3955.9000000000005</v>
      </c>
      <c r="EB34" s="27"/>
      <c r="EC34" s="27">
        <v>0</v>
      </c>
      <c r="ED34" s="33"/>
      <c r="EE34" s="28">
        <f t="shared" si="36"/>
        <v>3955.9000000000005</v>
      </c>
      <c r="EF34" s="9"/>
      <c r="EG34" s="36"/>
      <c r="EH34" s="27"/>
      <c r="EI34" s="27"/>
      <c r="EJ34" s="27"/>
      <c r="EK34" s="27"/>
      <c r="EL34" s="27"/>
      <c r="EM34" s="27"/>
      <c r="EN34" s="5"/>
      <c r="EO34" s="5"/>
      <c r="EP34" s="1448">
        <v>160</v>
      </c>
      <c r="EQ34" s="33"/>
      <c r="ER34" s="28">
        <f t="shared" si="120"/>
        <v>160</v>
      </c>
      <c r="ES34" s="36"/>
      <c r="ET34" s="27"/>
      <c r="EU34" s="27"/>
      <c r="EV34" s="27"/>
      <c r="EW34" s="27"/>
      <c r="EX34" s="27"/>
      <c r="EY34" s="33">
        <f t="shared" si="38"/>
        <v>0</v>
      </c>
      <c r="EZ34" s="2685"/>
      <c r="FB34" s="4">
        <f t="shared" si="39"/>
        <v>0</v>
      </c>
      <c r="FC34" s="5">
        <f t="shared" si="40"/>
        <v>0</v>
      </c>
      <c r="FD34" s="5">
        <f t="shared" si="41"/>
        <v>0</v>
      </c>
      <c r="FE34" s="12">
        <f t="shared" si="42"/>
        <v>0</v>
      </c>
      <c r="FF34" s="33"/>
      <c r="FG34" s="2674"/>
      <c r="FH34" s="9"/>
      <c r="FI34" s="5"/>
      <c r="FJ34" s="5"/>
      <c r="FK34" s="5"/>
      <c r="FL34" s="5"/>
      <c r="FM34" s="27"/>
      <c r="FN34" s="28">
        <f t="shared" si="43"/>
        <v>0</v>
      </c>
      <c r="FO34" s="36"/>
      <c r="FP34" s="27"/>
      <c r="FQ34" s="27"/>
      <c r="FR34" s="27"/>
      <c r="FS34" s="27"/>
      <c r="FT34" s="27"/>
      <c r="FU34" s="28">
        <f t="shared" si="44"/>
        <v>0</v>
      </c>
      <c r="FV34" s="36"/>
      <c r="FW34" s="36"/>
      <c r="FX34" s="27"/>
      <c r="FY34" s="27"/>
      <c r="FZ34" s="27"/>
      <c r="GA34" s="27"/>
      <c r="GB34" s="27"/>
      <c r="GC34" s="27"/>
      <c r="GD34" s="27"/>
      <c r="GE34" s="27"/>
      <c r="GF34" s="27"/>
      <c r="GG34" s="33"/>
      <c r="GH34" s="33">
        <f t="shared" si="45"/>
        <v>0</v>
      </c>
      <c r="GI34" s="2674"/>
      <c r="GK34" s="2">
        <f t="shared" si="110"/>
        <v>216.35</v>
      </c>
      <c r="GL34" s="63">
        <f t="shared" si="111"/>
        <v>7010.02</v>
      </c>
      <c r="GM34" s="24">
        <f t="shared" si="112"/>
        <v>3803.58</v>
      </c>
      <c r="GN34" s="1736">
        <f t="shared" si="46"/>
        <v>11029.95</v>
      </c>
      <c r="GO34" s="141"/>
      <c r="GP34" s="141"/>
      <c r="GQ34" s="33"/>
      <c r="GR34" s="2667"/>
      <c r="GS34" s="152">
        <v>4105.1499999999996</v>
      </c>
      <c r="GT34" s="27">
        <v>216.35</v>
      </c>
      <c r="GU34" s="27">
        <v>3650.8500000000008</v>
      </c>
      <c r="GV34" s="27">
        <v>3057.6000000000004</v>
      </c>
      <c r="GW34" s="33">
        <f t="shared" si="47"/>
        <v>11029.95</v>
      </c>
      <c r="GX34" s="2667"/>
      <c r="GY34" s="36"/>
      <c r="GZ34" s="36"/>
      <c r="HA34" s="27"/>
      <c r="HB34" s="27"/>
      <c r="HC34" s="27"/>
      <c r="HD34" s="27"/>
      <c r="HE34" s="27"/>
      <c r="HF34" s="27"/>
      <c r="HG34" s="27">
        <v>0</v>
      </c>
      <c r="HH34" s="27"/>
      <c r="HI34" s="2167">
        <v>0</v>
      </c>
      <c r="HJ34" s="27"/>
      <c r="HK34" s="27">
        <v>216.35</v>
      </c>
      <c r="HL34" s="27"/>
      <c r="HM34" s="28">
        <f t="shared" si="121"/>
        <v>216.35</v>
      </c>
      <c r="HN34" s="36"/>
      <c r="HO34" s="27"/>
      <c r="HP34" s="27"/>
      <c r="HQ34" s="27"/>
      <c r="HR34" s="27"/>
      <c r="HS34" s="27"/>
      <c r="HT34" s="27" cm="1">
        <f t="array" ref="HT34">SUMPRODUCT(('Data Base hauling'!$C$2:$C$216="TCM-ROM SB1 BK05-ROM 4")*(ISNUMBER(SEARCH(TEXT('May TCM'!$B34,"00")&amp;"/03/2026",'Data Base hauling'!$E$2:$E$216)))*'Data Base hauling'!$N$2:$N$216)</f>
        <v>0</v>
      </c>
      <c r="HU34" s="27"/>
      <c r="HV34" s="27" cm="1">
        <f t="array" ref="HV34">SUMPRODUCT(('Data Base hauling'!$C$2:$C$216="TCM-ROM SB1 BK05-ROM 5")*(ISNUMBER(SEARCH(TEXT('May TCM'!$B34,"00")&amp;"/03/2026",'Data Base hauling'!$E$2:$E$216)))*'Data Base hauling'!$N$2:$N$216)</f>
        <v>0</v>
      </c>
      <c r="HW34" s="27"/>
      <c r="HX34" s="27"/>
      <c r="HY34" s="27"/>
      <c r="HZ34" s="27"/>
      <c r="IA34" s="27"/>
      <c r="IB34" s="33">
        <f t="shared" si="49"/>
        <v>0</v>
      </c>
      <c r="IC34" s="52"/>
      <c r="ID34" s="152"/>
      <c r="IE34" s="53"/>
      <c r="IF34" s="53"/>
      <c r="IG34" s="53"/>
      <c r="IH34" s="53"/>
      <c r="II34" s="1736">
        <v>2211.3200000000002</v>
      </c>
      <c r="IJ34" s="1736"/>
      <c r="IK34" s="1736">
        <v>4785.2</v>
      </c>
      <c r="IL34" s="53"/>
      <c r="IM34" s="53">
        <v>0</v>
      </c>
      <c r="IN34" s="53"/>
      <c r="IO34" s="53"/>
      <c r="IP34" s="49">
        <v>13.5</v>
      </c>
      <c r="IQ34" s="2195">
        <f t="shared" si="122"/>
        <v>7010.02</v>
      </c>
      <c r="IR34" s="36"/>
      <c r="IS34" s="36"/>
      <c r="IT34" s="27"/>
      <c r="IU34" s="27"/>
      <c r="IV34" s="53"/>
      <c r="IW34" s="27"/>
      <c r="IX34" s="27">
        <v>0</v>
      </c>
      <c r="IY34" s="27"/>
      <c r="IZ34" s="27">
        <v>3803.58</v>
      </c>
      <c r="JA34" s="27"/>
      <c r="JB34" s="27">
        <v>0</v>
      </c>
      <c r="JC34" s="27"/>
      <c r="JD34" s="27"/>
      <c r="JE34" s="27"/>
      <c r="JF34" s="33">
        <f t="shared" si="123"/>
        <v>3803.58</v>
      </c>
      <c r="JG34" s="2667"/>
      <c r="JI34" s="2020">
        <v>5068.5400000000009</v>
      </c>
      <c r="JJ34" s="2021">
        <v>5961.41</v>
      </c>
      <c r="JK34" s="53"/>
      <c r="JL34" s="53">
        <f t="shared" si="52"/>
        <v>11029.95</v>
      </c>
      <c r="JM34" s="33"/>
      <c r="JN34" s="2669"/>
      <c r="JO34" s="69">
        <v>0</v>
      </c>
      <c r="JP34" s="70">
        <v>0</v>
      </c>
      <c r="JQ34" s="70">
        <v>0</v>
      </c>
      <c r="JR34" s="850">
        <v>0</v>
      </c>
      <c r="JS34" s="850">
        <v>0.99733651110576216</v>
      </c>
      <c r="JT34" s="850">
        <v>0</v>
      </c>
      <c r="JU34" s="70">
        <v>0</v>
      </c>
      <c r="JV34" s="1922">
        <v>0</v>
      </c>
      <c r="JW34" s="69">
        <v>0</v>
      </c>
      <c r="JX34" s="70">
        <v>0</v>
      </c>
      <c r="JY34" s="70">
        <v>0</v>
      </c>
      <c r="JZ34" s="70">
        <v>0.37093908991329239</v>
      </c>
      <c r="KA34" s="70">
        <v>0.59276916031609972</v>
      </c>
      <c r="KB34" s="70">
        <v>0</v>
      </c>
      <c r="KC34" s="70">
        <v>3.6291749770607958E-2</v>
      </c>
      <c r="KD34" s="71">
        <v>0</v>
      </c>
      <c r="KE34" s="69"/>
      <c r="KF34" s="70"/>
      <c r="KG34" s="70"/>
      <c r="KH34" s="70"/>
      <c r="KI34" s="70"/>
      <c r="KJ34" s="70"/>
      <c r="KK34" s="70"/>
      <c r="KL34" s="70"/>
      <c r="KM34" s="33"/>
      <c r="KN34" s="2669"/>
      <c r="KO34" s="1739">
        <v>6933</v>
      </c>
      <c r="KP34" s="1721">
        <v>0.68</v>
      </c>
      <c r="KQ34" s="1721">
        <v>2.3199999999999998</v>
      </c>
      <c r="KR34" s="1721">
        <v>8.43</v>
      </c>
      <c r="KS34" s="1722">
        <v>11.772304999999999</v>
      </c>
      <c r="KT34" s="1958">
        <v>6735</v>
      </c>
      <c r="KU34" s="1961">
        <v>1.5700000000000003</v>
      </c>
      <c r="KV34" s="1961">
        <v>3.4700000000000006</v>
      </c>
      <c r="KW34" s="1961">
        <v>7.7900000000000009</v>
      </c>
      <c r="KX34" s="1962">
        <v>11.515283999999999</v>
      </c>
      <c r="KY34" s="36"/>
      <c r="KZ34" s="53"/>
      <c r="LA34" s="53"/>
      <c r="LB34" s="53"/>
      <c r="LC34" s="53"/>
      <c r="LD34" s="33"/>
      <c r="LE34" s="2669"/>
      <c r="LG34" s="26">
        <f t="shared" si="53"/>
        <v>2965.7759999999998</v>
      </c>
      <c r="LH34" s="27">
        <f t="shared" si="53"/>
        <v>4448.6639999999998</v>
      </c>
      <c r="LI34" s="27">
        <f t="shared" si="53"/>
        <v>0</v>
      </c>
      <c r="LJ34" s="28">
        <f t="shared" si="54"/>
        <v>7414.44</v>
      </c>
      <c r="LK34" s="36">
        <v>1</v>
      </c>
      <c r="LL34" s="27"/>
      <c r="LM34" s="27">
        <v>1</v>
      </c>
      <c r="LN34" s="33"/>
      <c r="LO34" s="1041">
        <v>8.7799999999999994</v>
      </c>
      <c r="LP34" s="486"/>
      <c r="LQ34" s="2688"/>
      <c r="LR34" s="36"/>
      <c r="LS34" s="36"/>
      <c r="LT34" s="27"/>
      <c r="LU34" s="27"/>
      <c r="LV34" s="27"/>
      <c r="LW34" s="1107">
        <f t="shared" si="55"/>
        <v>0</v>
      </c>
      <c r="LX34" s="36">
        <v>2965.7759999999998</v>
      </c>
      <c r="LY34" s="36">
        <v>4448.6639999999998</v>
      </c>
      <c r="LZ34" s="27"/>
      <c r="MA34" s="27"/>
      <c r="MB34" s="33"/>
      <c r="MC34" s="28">
        <f t="shared" si="56"/>
        <v>7414.44</v>
      </c>
      <c r="MD34" s="26"/>
      <c r="ME34" s="36"/>
      <c r="MF34" s="27"/>
      <c r="MG34" s="27"/>
      <c r="MH34" s="27"/>
      <c r="MI34" s="28"/>
      <c r="MJ34" s="36"/>
      <c r="MK34" s="36"/>
      <c r="ML34" s="27"/>
      <c r="MM34" s="27"/>
      <c r="MN34" s="27"/>
      <c r="MO34" s="28"/>
      <c r="MP34" s="36"/>
      <c r="MQ34" s="36"/>
      <c r="MR34" s="27"/>
      <c r="MS34" s="27"/>
      <c r="MT34" s="27"/>
      <c r="MU34" s="33">
        <f t="shared" si="57"/>
        <v>0</v>
      </c>
      <c r="MV34" s="2688"/>
      <c r="MX34" s="26">
        <f t="shared" si="58"/>
        <v>135637.31009662195</v>
      </c>
      <c r="MY34" s="27">
        <f t="shared" si="59"/>
        <v>95735.79649170785</v>
      </c>
      <c r="MZ34" s="27">
        <f t="shared" si="60"/>
        <v>23851.825253194555</v>
      </c>
      <c r="NA34" s="28">
        <f t="shared" si="61"/>
        <v>420474.67855851009</v>
      </c>
      <c r="NB34" s="2621"/>
      <c r="NC34" s="23">
        <f t="shared" si="62"/>
        <v>38373.460373462549</v>
      </c>
      <c r="ND34" s="1579">
        <f t="shared" si="63"/>
        <v>97263.849723159408</v>
      </c>
      <c r="NE34" s="60">
        <f t="shared" si="64"/>
        <v>0</v>
      </c>
      <c r="NF34" s="275">
        <f t="shared" si="4"/>
        <v>135637.31009662195</v>
      </c>
      <c r="NG34" s="26">
        <f t="shared" si="128"/>
        <v>0</v>
      </c>
      <c r="NH34" s="27">
        <f t="shared" si="128"/>
        <v>0</v>
      </c>
      <c r="NI34" s="27">
        <f t="shared" si="128"/>
        <v>0</v>
      </c>
      <c r="NJ34" s="27">
        <f t="shared" si="128"/>
        <v>0</v>
      </c>
      <c r="NK34" s="27">
        <f t="shared" si="128"/>
        <v>0</v>
      </c>
      <c r="NL34" s="33">
        <f t="shared" si="128"/>
        <v>0</v>
      </c>
      <c r="NM34" s="27">
        <f t="shared" si="128"/>
        <v>0</v>
      </c>
      <c r="NN34" s="36">
        <f t="shared" si="128"/>
        <v>0</v>
      </c>
      <c r="NO34" s="24">
        <f t="shared" si="128"/>
        <v>2449.1631443320584</v>
      </c>
      <c r="NP34" s="27">
        <f t="shared" si="128"/>
        <v>26196.696072681989</v>
      </c>
      <c r="NQ34" s="24">
        <f t="shared" si="113"/>
        <v>8756.5482322711578</v>
      </c>
      <c r="NR34" s="24">
        <f t="shared" si="114"/>
        <v>1824.28</v>
      </c>
      <c r="NS34" s="27">
        <f t="shared" si="0"/>
        <v>39226.687449285208</v>
      </c>
      <c r="NT34" s="27">
        <f t="shared" si="129"/>
        <v>0</v>
      </c>
      <c r="NU34" s="27">
        <f t="shared" si="129"/>
        <v>0</v>
      </c>
      <c r="NV34" s="27">
        <f t="shared" si="129"/>
        <v>0</v>
      </c>
      <c r="NW34" s="27">
        <f t="shared" si="129"/>
        <v>0</v>
      </c>
      <c r="NX34" s="27">
        <f t="shared" si="129"/>
        <v>0</v>
      </c>
      <c r="NY34" s="5">
        <f t="shared" si="129"/>
        <v>0</v>
      </c>
      <c r="NZ34" s="27">
        <f t="shared" si="129"/>
        <v>9849.5627301930745</v>
      </c>
      <c r="OA34" s="27">
        <f t="shared" si="129"/>
        <v>0</v>
      </c>
      <c r="OB34" s="27">
        <f t="shared" si="129"/>
        <v>34501.531841856762</v>
      </c>
      <c r="OC34" s="27"/>
      <c r="OD34" s="24">
        <f t="shared" si="130"/>
        <v>454.51223506073143</v>
      </c>
      <c r="OE34" s="27">
        <f t="shared" si="131"/>
        <v>0</v>
      </c>
      <c r="OF34" s="28">
        <f t="shared" si="1"/>
        <v>44805.606807110569</v>
      </c>
      <c r="OG34" s="27">
        <f t="shared" si="132"/>
        <v>0</v>
      </c>
      <c r="OH34" s="27">
        <f t="shared" si="132"/>
        <v>0</v>
      </c>
      <c r="OI34" s="27">
        <f t="shared" si="132"/>
        <v>0</v>
      </c>
      <c r="OJ34" s="27">
        <f t="shared" si="132"/>
        <v>0</v>
      </c>
      <c r="OK34" s="27">
        <f t="shared" si="132"/>
        <v>0</v>
      </c>
      <c r="OL34" s="27">
        <f t="shared" si="132"/>
        <v>0</v>
      </c>
      <c r="OM34" s="24">
        <f t="shared" si="132"/>
        <v>0</v>
      </c>
      <c r="ON34" s="27">
        <f t="shared" si="132"/>
        <v>0</v>
      </c>
      <c r="OO34" s="24">
        <f t="shared" si="115"/>
        <v>11703.502235312075</v>
      </c>
      <c r="OP34" s="27">
        <f t="shared" si="132"/>
        <v>0</v>
      </c>
      <c r="OQ34" s="27">
        <f t="shared" si="132"/>
        <v>0</v>
      </c>
      <c r="OR34" s="27">
        <f t="shared" si="132"/>
        <v>0</v>
      </c>
      <c r="OS34" s="28">
        <f t="shared" si="2"/>
        <v>11703.502235312075</v>
      </c>
      <c r="OT34" s="36"/>
      <c r="OU34" s="27"/>
      <c r="OV34" s="27"/>
      <c r="OW34" s="27"/>
      <c r="OX34" s="27"/>
      <c r="OY34" s="27"/>
      <c r="OZ34" s="28">
        <f t="shared" si="69"/>
        <v>0</v>
      </c>
      <c r="PA34" s="36">
        <f t="shared" si="70"/>
        <v>0</v>
      </c>
      <c r="PB34" s="27">
        <f t="shared" si="71"/>
        <v>0</v>
      </c>
      <c r="PC34" s="27">
        <f t="shared" si="72"/>
        <v>0</v>
      </c>
      <c r="PD34" s="27">
        <f t="shared" si="73"/>
        <v>0</v>
      </c>
      <c r="PE34" s="24"/>
      <c r="PF34" s="27">
        <f t="shared" si="74"/>
        <v>0</v>
      </c>
      <c r="PG34" s="33">
        <f t="shared" si="3"/>
        <v>0</v>
      </c>
      <c r="PH34" s="2621"/>
      <c r="PJ34" s="2">
        <v>0</v>
      </c>
      <c r="PK34" s="3">
        <v>1047</v>
      </c>
      <c r="PL34" s="3">
        <v>436.25</v>
      </c>
      <c r="PM34" s="3">
        <v>216.35</v>
      </c>
      <c r="PN34" s="3">
        <f t="shared" si="75"/>
        <v>30691.539776580692</v>
      </c>
      <c r="PO34" s="11">
        <f t="shared" si="76"/>
        <v>23851.825253194555</v>
      </c>
      <c r="PP34" s="15"/>
      <c r="PQ34" s="2615"/>
      <c r="PS34" s="4"/>
      <c r="PT34" s="9"/>
      <c r="PU34" s="9"/>
      <c r="PV34" s="9"/>
      <c r="PW34" s="8">
        <v>0</v>
      </c>
      <c r="PX34" s="9"/>
      <c r="PY34" s="8">
        <f t="shared" si="77"/>
        <v>0</v>
      </c>
      <c r="PZ34" s="5">
        <f t="shared" si="78"/>
        <v>0</v>
      </c>
      <c r="QA34" s="5"/>
      <c r="QB34" s="5"/>
      <c r="QC34" s="5"/>
      <c r="QD34" s="5"/>
      <c r="QE34" s="5"/>
      <c r="QF34" s="12"/>
      <c r="QG34" s="12">
        <f t="shared" si="79"/>
        <v>29562.488999999998</v>
      </c>
      <c r="QH34" s="420">
        <f t="shared" si="80"/>
        <v>389947.54955851007</v>
      </c>
      <c r="QI34" s="1106">
        <f t="shared" si="81"/>
        <v>964.6400000000001</v>
      </c>
      <c r="QJ34" s="484">
        <f t="shared" si="82"/>
        <v>5505.3678056099998</v>
      </c>
      <c r="QK34" s="12"/>
      <c r="QL34" s="2615"/>
      <c r="QN34" s="139">
        <f t="shared" si="83"/>
        <v>0</v>
      </c>
      <c r="QO34" s="139" t="str">
        <f t="shared" si="84"/>
        <v/>
      </c>
      <c r="QQ34" s="139">
        <f t="shared" si="85"/>
        <v>0</v>
      </c>
      <c r="QR34" s="139">
        <f t="shared" si="86"/>
        <v>0</v>
      </c>
      <c r="QT34" s="1">
        <f t="shared" si="87"/>
        <v>0</v>
      </c>
      <c r="QU34" s="1">
        <f t="shared" si="88"/>
        <v>0</v>
      </c>
      <c r="QV34" s="1">
        <f t="shared" si="89"/>
        <v>0</v>
      </c>
      <c r="QW34" s="1">
        <f t="shared" si="90"/>
        <v>0</v>
      </c>
      <c r="QX34" s="1">
        <f t="shared" si="91"/>
        <v>0</v>
      </c>
      <c r="QY34" s="1">
        <f t="shared" si="92"/>
        <v>0</v>
      </c>
      <c r="RA34" s="1">
        <f t="shared" si="93"/>
        <v>0</v>
      </c>
      <c r="RB34" s="1">
        <f t="shared" si="94"/>
        <v>0</v>
      </c>
      <c r="RC34" s="1">
        <f t="shared" si="95"/>
        <v>0</v>
      </c>
      <c r="RD34" s="1">
        <f t="shared" si="96"/>
        <v>0</v>
      </c>
      <c r="RE34" s="1">
        <f t="shared" si="97"/>
        <v>0</v>
      </c>
      <c r="RF34" s="1">
        <f t="shared" si="98"/>
        <v>0</v>
      </c>
      <c r="RI34" s="1">
        <v>25</v>
      </c>
      <c r="RJ34" s="1">
        <f t="shared" si="124"/>
        <v>3658.6357097170931</v>
      </c>
      <c r="RK34" s="1">
        <f t="shared" si="125"/>
        <v>-5172.8487195162825</v>
      </c>
      <c r="RL34" s="1">
        <f t="shared" si="126"/>
        <v>13404.263703387322</v>
      </c>
      <c r="RM34" s="89">
        <f t="shared" si="5"/>
        <v>11890.050693588131</v>
      </c>
      <c r="RN34" s="1033">
        <v>25</v>
      </c>
      <c r="RO34" s="1098">
        <f t="shared" si="100"/>
        <v>0</v>
      </c>
      <c r="RP34" s="1098">
        <f t="shared" si="101"/>
        <v>0</v>
      </c>
      <c r="RQ34" s="1097">
        <f t="shared" si="102"/>
        <v>0</v>
      </c>
      <c r="RR34" s="1097">
        <f t="shared" si="103"/>
        <v>7548</v>
      </c>
      <c r="RS34" s="1094"/>
      <c r="RT34" s="1094" t="s">
        <v>990</v>
      </c>
      <c r="RW34" s="421">
        <v>25</v>
      </c>
      <c r="RX34" s="1095">
        <f t="shared" si="104"/>
        <v>11029.95</v>
      </c>
      <c r="RY34" s="1046" t="s">
        <v>991</v>
      </c>
      <c r="SA34" s="1090"/>
      <c r="SB34" s="1090">
        <f t="shared" si="105"/>
        <v>0</v>
      </c>
      <c r="SC34" s="1090"/>
      <c r="SD34" s="1090">
        <f t="shared" si="127"/>
        <v>0</v>
      </c>
      <c r="SF34" s="1">
        <v>25</v>
      </c>
      <c r="SG34" s="1">
        <f t="shared" si="107"/>
        <v>216.35</v>
      </c>
      <c r="SH34" s="1094" t="s">
        <v>992</v>
      </c>
    </row>
    <row r="35" spans="1:502" s="1" customFormat="1">
      <c r="B35" s="471">
        <v>26</v>
      </c>
      <c r="C35" s="4">
        <f t="shared" si="6"/>
        <v>130943</v>
      </c>
      <c r="D35" s="1726">
        <f t="shared" si="119"/>
        <v>7799.8927999999996</v>
      </c>
      <c r="E35" s="1895">
        <f t="shared" si="7"/>
        <v>16.787794827128906</v>
      </c>
      <c r="F35" s="870"/>
      <c r="G35" s="870"/>
      <c r="H35" s="52">
        <v>26</v>
      </c>
      <c r="I35" s="61">
        <v>5.58</v>
      </c>
      <c r="J35" s="52"/>
      <c r="K35" s="54"/>
      <c r="L35" s="52">
        <v>1</v>
      </c>
      <c r="M35" s="61">
        <v>1.83</v>
      </c>
      <c r="N35" s="2629"/>
      <c r="O35" s="4">
        <f t="shared" si="118"/>
        <v>79044</v>
      </c>
      <c r="P35" s="1225">
        <f t="shared" si="8"/>
        <v>5808.76</v>
      </c>
      <c r="Q35" s="1913">
        <f t="shared" si="9"/>
        <v>13.60772350725456</v>
      </c>
      <c r="R35" s="33"/>
      <c r="S35" s="26">
        <f t="shared" si="10"/>
        <v>30655</v>
      </c>
      <c r="T35" s="27">
        <f t="shared" si="109"/>
        <v>1791.1327999999999</v>
      </c>
      <c r="U35" s="1909">
        <f t="shared" si="11"/>
        <v>17.114867194660274</v>
      </c>
      <c r="V35" s="28"/>
      <c r="W35" s="26">
        <f t="shared" si="12"/>
        <v>21244</v>
      </c>
      <c r="X35" s="5">
        <f t="shared" si="12"/>
        <v>200</v>
      </c>
      <c r="Y35" s="325">
        <f t="shared" si="13"/>
        <v>106.22</v>
      </c>
      <c r="Z35" s="33"/>
      <c r="AA35" s="26">
        <f t="shared" si="14"/>
        <v>0</v>
      </c>
      <c r="AB35" s="27">
        <f t="shared" si="15"/>
        <v>0</v>
      </c>
      <c r="AC35" s="53">
        <f t="shared" si="16"/>
        <v>0</v>
      </c>
      <c r="AD35" s="28"/>
      <c r="AE35" s="36"/>
      <c r="AF35" s="36"/>
      <c r="AG35" s="53">
        <f t="shared" si="17"/>
        <v>0</v>
      </c>
      <c r="AH35" s="28"/>
      <c r="AI35" s="26"/>
      <c r="AJ35" s="27"/>
      <c r="AK35" s="53">
        <f t="shared" si="18"/>
        <v>0</v>
      </c>
      <c r="AL35" s="28"/>
      <c r="AM35" s="2629"/>
      <c r="AN35" s="9"/>
      <c r="AO35" s="5"/>
      <c r="AP35" s="61">
        <f t="shared" si="19"/>
        <v>0</v>
      </c>
      <c r="AQ35" s="36"/>
      <c r="AR35" s="53"/>
      <c r="AS35" s="61">
        <f t="shared" si="20"/>
        <v>0</v>
      </c>
      <c r="AT35" s="36">
        <v>0</v>
      </c>
      <c r="AU35" s="27"/>
      <c r="AV35" s="54">
        <f t="shared" si="21"/>
        <v>0</v>
      </c>
      <c r="AW35" s="26">
        <v>41034</v>
      </c>
      <c r="AX35" s="27">
        <v>3342.5600000000004</v>
      </c>
      <c r="AY35" s="1895">
        <f t="shared" si="116"/>
        <v>12.276219424632615</v>
      </c>
      <c r="AZ35" s="1908"/>
      <c r="BA35" s="1909"/>
      <c r="BB35" s="1895">
        <f t="shared" si="22"/>
        <v>0</v>
      </c>
      <c r="BC35" s="1908">
        <v>38010</v>
      </c>
      <c r="BD35" s="1909">
        <v>2466.1999999999998</v>
      </c>
      <c r="BE35" s="1895">
        <f t="shared" si="23"/>
        <v>15.412375314248642</v>
      </c>
      <c r="BF35" s="1908"/>
      <c r="BG35" s="1909"/>
      <c r="BH35" s="1895">
        <f t="shared" si="24"/>
        <v>0</v>
      </c>
      <c r="BI35" s="1908">
        <v>0</v>
      </c>
      <c r="BJ35" s="1909">
        <v>0</v>
      </c>
      <c r="BK35" s="1895">
        <f t="shared" si="25"/>
        <v>0</v>
      </c>
      <c r="BL35" s="1742">
        <v>30655</v>
      </c>
      <c r="BM35" s="1909">
        <v>1628.32</v>
      </c>
      <c r="BN35" s="2170">
        <v>162.81279999999998</v>
      </c>
      <c r="BO35" s="1895">
        <f t="shared" si="26"/>
        <v>18.826152107693819</v>
      </c>
      <c r="BP35" s="9"/>
      <c r="BQ35" s="64"/>
      <c r="BR35" s="61">
        <f t="shared" si="27"/>
        <v>0</v>
      </c>
      <c r="BS35" s="36"/>
      <c r="BT35" s="53"/>
      <c r="BU35" s="61">
        <f t="shared" si="28"/>
        <v>0</v>
      </c>
      <c r="BV35" s="36">
        <v>21244</v>
      </c>
      <c r="BW35" s="5">
        <v>200</v>
      </c>
      <c r="BX35" s="28">
        <f t="shared" si="29"/>
        <v>106.22</v>
      </c>
      <c r="BY35" s="4"/>
      <c r="BZ35" s="5"/>
      <c r="CA35" s="61">
        <f t="shared" si="30"/>
        <v>0</v>
      </c>
      <c r="CB35" s="36"/>
      <c r="CC35" s="5"/>
      <c r="CD35" s="61">
        <f t="shared" si="31"/>
        <v>0</v>
      </c>
      <c r="CE35" s="26"/>
      <c r="CF35" s="5"/>
      <c r="CG35" s="28">
        <f t="shared" si="32"/>
        <v>0</v>
      </c>
      <c r="CH35" s="150"/>
      <c r="CI35" s="1108"/>
      <c r="CJ35" s="5"/>
      <c r="CK35" s="5">
        <v>4463</v>
      </c>
      <c r="CL35" s="5"/>
      <c r="CM35" s="5"/>
      <c r="CN35" s="5"/>
      <c r="CO35" s="33"/>
      <c r="CP35" s="366"/>
      <c r="CR35" s="4">
        <f t="shared" si="134"/>
        <v>0</v>
      </c>
      <c r="CS35" s="9">
        <f t="shared" si="134"/>
        <v>0</v>
      </c>
      <c r="CT35" s="5">
        <f t="shared" si="134"/>
        <v>0</v>
      </c>
      <c r="CU35" s="5">
        <f t="shared" si="133"/>
        <v>0</v>
      </c>
      <c r="CV35" s="5">
        <f t="shared" si="133"/>
        <v>0</v>
      </c>
      <c r="CW35" s="5">
        <f t="shared" si="133"/>
        <v>0</v>
      </c>
      <c r="CX35" s="5">
        <f t="shared" si="133"/>
        <v>803.58</v>
      </c>
      <c r="CY35" s="5">
        <f t="shared" si="133"/>
        <v>0</v>
      </c>
      <c r="CZ35" s="5">
        <f t="shared" si="133"/>
        <v>6633.5</v>
      </c>
      <c r="DA35" s="5">
        <f t="shared" si="133"/>
        <v>0</v>
      </c>
      <c r="DB35" s="5">
        <f t="shared" si="133"/>
        <v>200</v>
      </c>
      <c r="DC35" s="12">
        <f t="shared" si="133"/>
        <v>0</v>
      </c>
      <c r="DD35" s="310">
        <f>SUM(CR35:DC35,PW35)</f>
        <v>7637.08</v>
      </c>
      <c r="DE35" s="2695"/>
      <c r="DF35" s="8"/>
      <c r="DG35" s="9"/>
      <c r="DH35" s="5"/>
      <c r="DI35" s="5"/>
      <c r="DJ35" s="5"/>
      <c r="DK35" s="5"/>
      <c r="DL35" s="5">
        <v>803.58</v>
      </c>
      <c r="DM35" s="5"/>
      <c r="DN35" s="5">
        <v>2538.98</v>
      </c>
      <c r="DO35" s="5"/>
      <c r="DP35" s="5"/>
      <c r="DQ35" s="12"/>
      <c r="DR35" s="28">
        <f t="shared" si="35"/>
        <v>3342.56</v>
      </c>
      <c r="DS35" s="36"/>
      <c r="DT35" s="36"/>
      <c r="DU35" s="27"/>
      <c r="DV35" s="27"/>
      <c r="DW35" s="27"/>
      <c r="DX35" s="27"/>
      <c r="DY35" s="27"/>
      <c r="DZ35" s="27"/>
      <c r="EA35" s="27">
        <v>4094.5200000000004</v>
      </c>
      <c r="EB35" s="27"/>
      <c r="EC35" s="27">
        <v>0</v>
      </c>
      <c r="ED35" s="33"/>
      <c r="EE35" s="28">
        <f t="shared" si="36"/>
        <v>4094.5200000000004</v>
      </c>
      <c r="EF35" s="9"/>
      <c r="EG35" s="36"/>
      <c r="EH35" s="27"/>
      <c r="EI35" s="27"/>
      <c r="EJ35" s="27"/>
      <c r="EK35" s="27"/>
      <c r="EL35" s="27"/>
      <c r="EM35" s="27"/>
      <c r="EN35" s="5"/>
      <c r="EO35" s="5"/>
      <c r="EP35" s="1448">
        <v>200</v>
      </c>
      <c r="EQ35" s="33"/>
      <c r="ER35" s="28">
        <f t="shared" si="120"/>
        <v>200</v>
      </c>
      <c r="ES35" s="36"/>
      <c r="ET35" s="27"/>
      <c r="EU35" s="27"/>
      <c r="EV35" s="27"/>
      <c r="EW35" s="27"/>
      <c r="EX35" s="27"/>
      <c r="EY35" s="33">
        <f t="shared" si="38"/>
        <v>0</v>
      </c>
      <c r="EZ35" s="2685"/>
      <c r="FB35" s="4">
        <f t="shared" si="39"/>
        <v>0</v>
      </c>
      <c r="FC35" s="5">
        <f t="shared" si="40"/>
        <v>0</v>
      </c>
      <c r="FD35" s="5">
        <f t="shared" si="41"/>
        <v>0</v>
      </c>
      <c r="FE35" s="12">
        <f t="shared" si="42"/>
        <v>0</v>
      </c>
      <c r="FF35" s="33"/>
      <c r="FG35" s="2674"/>
      <c r="FH35" s="9"/>
      <c r="FI35" s="5"/>
      <c r="FJ35" s="5"/>
      <c r="FK35" s="5"/>
      <c r="FL35" s="5"/>
      <c r="FM35" s="27"/>
      <c r="FN35" s="28">
        <f t="shared" si="43"/>
        <v>0</v>
      </c>
      <c r="FO35" s="36"/>
      <c r="FP35" s="27"/>
      <c r="FQ35" s="27"/>
      <c r="FR35" s="27"/>
      <c r="FS35" s="27"/>
      <c r="FT35" s="27"/>
      <c r="FU35" s="28">
        <f t="shared" si="44"/>
        <v>0</v>
      </c>
      <c r="FV35" s="36"/>
      <c r="FW35" s="36"/>
      <c r="FX35" s="27"/>
      <c r="FY35" s="27"/>
      <c r="FZ35" s="27"/>
      <c r="GA35" s="27"/>
      <c r="GB35" s="27"/>
      <c r="GC35" s="27"/>
      <c r="GD35" s="27"/>
      <c r="GE35" s="27"/>
      <c r="GF35" s="27"/>
      <c r="GG35" s="33"/>
      <c r="GH35" s="33">
        <f t="shared" si="45"/>
        <v>0</v>
      </c>
      <c r="GI35" s="2674"/>
      <c r="GK35" s="2">
        <f t="shared" si="110"/>
        <v>293.85000000000002</v>
      </c>
      <c r="GL35" s="63">
        <f t="shared" si="111"/>
        <v>1745.3999999999999</v>
      </c>
      <c r="GM35" s="24">
        <f t="shared" si="112"/>
        <v>3575.7699999999995</v>
      </c>
      <c r="GN35" s="1736">
        <f t="shared" si="46"/>
        <v>5615.0199999999995</v>
      </c>
      <c r="GO35" s="141"/>
      <c r="GP35" s="141"/>
      <c r="GQ35" s="33"/>
      <c r="GR35" s="2667"/>
      <c r="GS35" s="152">
        <v>1720.45</v>
      </c>
      <c r="GT35" s="27">
        <v>293.85000000000002</v>
      </c>
      <c r="GU35" s="27">
        <v>2348.66</v>
      </c>
      <c r="GV35" s="27">
        <v>1252.06</v>
      </c>
      <c r="GW35" s="33">
        <f t="shared" si="47"/>
        <v>5615.02</v>
      </c>
      <c r="GX35" s="2667"/>
      <c r="GY35" s="36"/>
      <c r="GZ35" s="36"/>
      <c r="HA35" s="27"/>
      <c r="HB35" s="27"/>
      <c r="HC35" s="27"/>
      <c r="HD35" s="27"/>
      <c r="HE35" s="27"/>
      <c r="HF35" s="27"/>
      <c r="HG35" s="27">
        <v>0</v>
      </c>
      <c r="HH35" s="27"/>
      <c r="HI35" s="2167">
        <v>0</v>
      </c>
      <c r="HJ35" s="27"/>
      <c r="HK35" s="27">
        <v>293.85000000000002</v>
      </c>
      <c r="HL35" s="27"/>
      <c r="HM35" s="28">
        <f t="shared" si="121"/>
        <v>293.85000000000002</v>
      </c>
      <c r="HN35" s="36"/>
      <c r="HO35" s="27"/>
      <c r="HP35" s="27"/>
      <c r="HQ35" s="27"/>
      <c r="HR35" s="27"/>
      <c r="HS35" s="27"/>
      <c r="HT35" s="27" cm="1">
        <f t="array" ref="HT35">SUMPRODUCT(('Data Base hauling'!$C$2:$C$216="TCM-ROM SB1 BK05-ROM 4")*(ISNUMBER(SEARCH(TEXT('May TCM'!$B35,"00")&amp;"/03/2026",'Data Base hauling'!$E$2:$E$216)))*'Data Base hauling'!$N$2:$N$216)</f>
        <v>0</v>
      </c>
      <c r="HU35" s="27"/>
      <c r="HV35" s="27" cm="1">
        <f t="array" ref="HV35">SUMPRODUCT(('Data Base hauling'!$C$2:$C$216="TCM-ROM SB1 BK05-ROM 5")*(ISNUMBER(SEARCH(TEXT('May TCM'!$B35,"00")&amp;"/03/2026",'Data Base hauling'!$E$2:$E$216)))*'Data Base hauling'!$N$2:$N$216)</f>
        <v>0</v>
      </c>
      <c r="HW35" s="27"/>
      <c r="HX35" s="27"/>
      <c r="HY35" s="27"/>
      <c r="HZ35" s="27"/>
      <c r="IA35" s="27"/>
      <c r="IB35" s="33">
        <f t="shared" si="49"/>
        <v>0</v>
      </c>
      <c r="IC35" s="52"/>
      <c r="ID35" s="152"/>
      <c r="IE35" s="53"/>
      <c r="IF35" s="53"/>
      <c r="IG35" s="53"/>
      <c r="IH35" s="53"/>
      <c r="II35" s="1736">
        <v>0</v>
      </c>
      <c r="IJ35" s="1736"/>
      <c r="IK35" s="1736">
        <v>1709.3999999999999</v>
      </c>
      <c r="IL35" s="53"/>
      <c r="IM35" s="53">
        <v>0</v>
      </c>
      <c r="IN35" s="53"/>
      <c r="IO35" s="53"/>
      <c r="IP35" s="49">
        <v>36</v>
      </c>
      <c r="IQ35" s="2195">
        <f t="shared" si="122"/>
        <v>1745.3999999999999</v>
      </c>
      <c r="IR35" s="36"/>
      <c r="IS35" s="36"/>
      <c r="IT35" s="27"/>
      <c r="IU35" s="27"/>
      <c r="IV35" s="53"/>
      <c r="IW35" s="27"/>
      <c r="IX35" s="27">
        <v>0</v>
      </c>
      <c r="IY35" s="27"/>
      <c r="IZ35" s="27">
        <v>3575.7699999999995</v>
      </c>
      <c r="JA35" s="27"/>
      <c r="JB35" s="27">
        <v>0</v>
      </c>
      <c r="JC35" s="27"/>
      <c r="JD35" s="27"/>
      <c r="JE35" s="27"/>
      <c r="JF35" s="33">
        <f t="shared" si="123"/>
        <v>3575.7699999999995</v>
      </c>
      <c r="JG35" s="2667"/>
      <c r="JI35" s="2020">
        <v>5615.0199999999995</v>
      </c>
      <c r="JJ35" s="2021">
        <v>0</v>
      </c>
      <c r="JK35" s="53"/>
      <c r="JL35" s="53">
        <f t="shared" si="52"/>
        <v>5615.0199999999995</v>
      </c>
      <c r="JM35" s="33"/>
      <c r="JN35" s="2669"/>
      <c r="JO35" s="69">
        <v>0</v>
      </c>
      <c r="JP35" s="70">
        <v>0</v>
      </c>
      <c r="JQ35" s="70">
        <v>0</v>
      </c>
      <c r="JR35" s="70">
        <v>0</v>
      </c>
      <c r="JS35" s="70">
        <v>0.94125577469002775</v>
      </c>
      <c r="JT35" s="70">
        <v>0</v>
      </c>
      <c r="JU35" s="70">
        <v>5.2332850105609605E-2</v>
      </c>
      <c r="JV35" s="1922">
        <v>0</v>
      </c>
      <c r="JW35" s="69" t="s">
        <v>296</v>
      </c>
      <c r="JX35" s="70" t="s">
        <v>296</v>
      </c>
      <c r="JY35" s="70" t="s">
        <v>296</v>
      </c>
      <c r="JZ35" s="70" t="s">
        <v>296</v>
      </c>
      <c r="KA35" s="70" t="s">
        <v>296</v>
      </c>
      <c r="KB35" s="70" t="s">
        <v>296</v>
      </c>
      <c r="KC35" s="70" t="s">
        <v>296</v>
      </c>
      <c r="KD35" s="71" t="s">
        <v>296</v>
      </c>
      <c r="KE35" s="69"/>
      <c r="KF35" s="70"/>
      <c r="KG35" s="70"/>
      <c r="KH35" s="70"/>
      <c r="KI35" s="70"/>
      <c r="KJ35" s="70"/>
      <c r="KK35" s="70"/>
      <c r="KL35" s="70"/>
      <c r="KM35" s="33"/>
      <c r="KN35" s="2669"/>
      <c r="KO35" s="1739">
        <v>7138</v>
      </c>
      <c r="KP35" s="1721">
        <v>0.82</v>
      </c>
      <c r="KQ35" s="1721">
        <v>3.87</v>
      </c>
      <c r="KR35" s="1721">
        <v>7.77</v>
      </c>
      <c r="KS35" s="1722">
        <v>11.154840999999999</v>
      </c>
      <c r="KT35" s="1958">
        <v>0</v>
      </c>
      <c r="KU35" s="1961">
        <v>0</v>
      </c>
      <c r="KV35" s="1961">
        <v>0</v>
      </c>
      <c r="KW35" s="1961">
        <v>0</v>
      </c>
      <c r="KX35" s="1962">
        <v>0</v>
      </c>
      <c r="KY35" s="36"/>
      <c r="KZ35" s="53"/>
      <c r="LA35" s="53"/>
      <c r="LB35" s="53"/>
      <c r="LC35" s="53"/>
      <c r="LD35" s="33"/>
      <c r="LE35" s="2669"/>
      <c r="LG35" s="26">
        <f t="shared" si="53"/>
        <v>0</v>
      </c>
      <c r="LH35" s="27">
        <f t="shared" si="53"/>
        <v>0</v>
      </c>
      <c r="LI35" s="27">
        <f t="shared" si="53"/>
        <v>0</v>
      </c>
      <c r="LJ35" s="28">
        <f t="shared" si="54"/>
        <v>0</v>
      </c>
      <c r="LK35" s="36"/>
      <c r="LL35" s="27"/>
      <c r="LM35" s="27"/>
      <c r="LN35" s="33"/>
      <c r="LO35" s="1041">
        <v>8.6300000000000008</v>
      </c>
      <c r="LP35" s="486" t="s">
        <v>993</v>
      </c>
      <c r="LQ35" s="2688"/>
      <c r="LR35" s="36"/>
      <c r="LS35" s="36"/>
      <c r="LT35" s="27"/>
      <c r="LU35" s="27"/>
      <c r="LV35" s="27"/>
      <c r="LW35" s="1107">
        <f t="shared" si="55"/>
        <v>0</v>
      </c>
      <c r="LX35" s="36"/>
      <c r="LY35" s="36"/>
      <c r="LZ35" s="27"/>
      <c r="MA35" s="27"/>
      <c r="MB35" s="33"/>
      <c r="MC35" s="28">
        <f t="shared" si="56"/>
        <v>0</v>
      </c>
      <c r="MD35" s="26"/>
      <c r="ME35" s="36"/>
      <c r="MF35" s="27"/>
      <c r="MG35" s="27"/>
      <c r="MH35" s="27"/>
      <c r="MI35" s="28"/>
      <c r="MJ35" s="36"/>
      <c r="MK35" s="36"/>
      <c r="ML35" s="27"/>
      <c r="MM35" s="27"/>
      <c r="MN35" s="27"/>
      <c r="MO35" s="28"/>
      <c r="MP35" s="36"/>
      <c r="MQ35" s="36"/>
      <c r="MR35" s="27"/>
      <c r="MS35" s="27"/>
      <c r="MT35" s="27"/>
      <c r="MU35" s="33">
        <f t="shared" si="57"/>
        <v>0</v>
      </c>
      <c r="MV35" s="2688"/>
      <c r="MX35" s="26">
        <f t="shared" si="58"/>
        <v>141252.33009662194</v>
      </c>
      <c r="MY35" s="27">
        <f t="shared" si="59"/>
        <v>98087.706491707853</v>
      </c>
      <c r="MZ35" s="27">
        <f t="shared" si="60"/>
        <v>24017.975253194556</v>
      </c>
      <c r="NA35" s="28">
        <f t="shared" si="61"/>
        <v>420022.29855851008</v>
      </c>
      <c r="NB35" s="2621"/>
      <c r="NC35" s="23">
        <f t="shared" si="62"/>
        <v>43988.480373462546</v>
      </c>
      <c r="ND35" s="1579">
        <f t="shared" si="63"/>
        <v>97263.849723159408</v>
      </c>
      <c r="NE35" s="60">
        <f t="shared" si="64"/>
        <v>0</v>
      </c>
      <c r="NF35" s="275">
        <f t="shared" si="4"/>
        <v>141252.33009662194</v>
      </c>
      <c r="NG35" s="26">
        <f t="shared" si="128"/>
        <v>0</v>
      </c>
      <c r="NH35" s="27">
        <f t="shared" si="128"/>
        <v>0</v>
      </c>
      <c r="NI35" s="27">
        <f t="shared" si="128"/>
        <v>0</v>
      </c>
      <c r="NJ35" s="27">
        <f t="shared" si="128"/>
        <v>0</v>
      </c>
      <c r="NK35" s="27">
        <f t="shared" si="128"/>
        <v>0</v>
      </c>
      <c r="NL35" s="33">
        <f t="shared" si="128"/>
        <v>0</v>
      </c>
      <c r="NM35" s="27">
        <f t="shared" si="128"/>
        <v>0</v>
      </c>
      <c r="NN35" s="36">
        <f t="shared" si="128"/>
        <v>0</v>
      </c>
      <c r="NO35" s="24">
        <f t="shared" si="128"/>
        <v>2449.1631443320584</v>
      </c>
      <c r="NP35" s="27">
        <f t="shared" si="128"/>
        <v>26196.696072681989</v>
      </c>
      <c r="NQ35" s="24">
        <f t="shared" si="113"/>
        <v>8756.5482322711578</v>
      </c>
      <c r="NR35" s="24">
        <f t="shared" si="114"/>
        <v>2024.28</v>
      </c>
      <c r="NS35" s="27">
        <f t="shared" si="0"/>
        <v>39426.687449285208</v>
      </c>
      <c r="NT35" s="27">
        <f t="shared" si="129"/>
        <v>0</v>
      </c>
      <c r="NU35" s="27">
        <f t="shared" si="129"/>
        <v>0</v>
      </c>
      <c r="NV35" s="27">
        <f t="shared" si="129"/>
        <v>0</v>
      </c>
      <c r="NW35" s="27">
        <f t="shared" si="129"/>
        <v>0</v>
      </c>
      <c r="NX35" s="27">
        <f t="shared" si="129"/>
        <v>0</v>
      </c>
      <c r="NY35" s="5">
        <f t="shared" si="129"/>
        <v>0</v>
      </c>
      <c r="NZ35" s="27">
        <f t="shared" si="129"/>
        <v>10653.142730193074</v>
      </c>
      <c r="OA35" s="27">
        <f t="shared" si="129"/>
        <v>0</v>
      </c>
      <c r="OB35" s="27">
        <f t="shared" si="129"/>
        <v>35331.111841856764</v>
      </c>
      <c r="OC35" s="27"/>
      <c r="OD35" s="24">
        <f t="shared" si="130"/>
        <v>454.51223506073143</v>
      </c>
      <c r="OE35" s="27">
        <f t="shared" si="131"/>
        <v>0</v>
      </c>
      <c r="OF35" s="28">
        <f t="shared" si="1"/>
        <v>46438.766807110573</v>
      </c>
      <c r="OG35" s="27">
        <f t="shared" si="132"/>
        <v>0</v>
      </c>
      <c r="OH35" s="27">
        <f t="shared" si="132"/>
        <v>0</v>
      </c>
      <c r="OI35" s="27">
        <f t="shared" si="132"/>
        <v>0</v>
      </c>
      <c r="OJ35" s="27">
        <f t="shared" si="132"/>
        <v>0</v>
      </c>
      <c r="OK35" s="27">
        <f t="shared" si="132"/>
        <v>0</v>
      </c>
      <c r="OL35" s="27">
        <f t="shared" si="132"/>
        <v>0</v>
      </c>
      <c r="OM35" s="24">
        <f t="shared" si="132"/>
        <v>0</v>
      </c>
      <c r="ON35" s="27">
        <f t="shared" si="132"/>
        <v>0</v>
      </c>
      <c r="OO35" s="24">
        <f t="shared" si="115"/>
        <v>12222.252235312077</v>
      </c>
      <c r="OP35" s="27">
        <f t="shared" si="132"/>
        <v>0</v>
      </c>
      <c r="OQ35" s="27">
        <f t="shared" si="132"/>
        <v>0</v>
      </c>
      <c r="OR35" s="27">
        <f t="shared" si="132"/>
        <v>0</v>
      </c>
      <c r="OS35" s="28">
        <f t="shared" si="2"/>
        <v>12222.252235312077</v>
      </c>
      <c r="OT35" s="36"/>
      <c r="OU35" s="27"/>
      <c r="OV35" s="27"/>
      <c r="OW35" s="27"/>
      <c r="OX35" s="27"/>
      <c r="OY35" s="27"/>
      <c r="OZ35" s="28">
        <f t="shared" si="69"/>
        <v>0</v>
      </c>
      <c r="PA35" s="36">
        <f t="shared" si="70"/>
        <v>0</v>
      </c>
      <c r="PB35" s="27">
        <f t="shared" si="71"/>
        <v>0</v>
      </c>
      <c r="PC35" s="27">
        <f t="shared" si="72"/>
        <v>0</v>
      </c>
      <c r="PD35" s="27">
        <f t="shared" si="73"/>
        <v>0</v>
      </c>
      <c r="PE35" s="24"/>
      <c r="PF35" s="27">
        <f t="shared" si="74"/>
        <v>0</v>
      </c>
      <c r="PG35" s="33">
        <f t="shared" si="3"/>
        <v>0</v>
      </c>
      <c r="PH35" s="2621"/>
      <c r="PJ35" s="2">
        <v>416.38</v>
      </c>
      <c r="PK35" s="3">
        <v>1104</v>
      </c>
      <c r="PL35" s="3">
        <v>459.99999999999994</v>
      </c>
      <c r="PM35" s="3">
        <v>293.85000000000002</v>
      </c>
      <c r="PN35" s="3">
        <f t="shared" si="75"/>
        <v>30003.919776580693</v>
      </c>
      <c r="PO35" s="11">
        <f t="shared" si="76"/>
        <v>24017.975253194556</v>
      </c>
      <c r="PP35" s="15"/>
      <c r="PQ35" s="2615"/>
      <c r="PS35" s="4"/>
      <c r="PT35" s="9"/>
      <c r="PU35" s="9"/>
      <c r="PV35" s="9"/>
      <c r="PW35" s="8">
        <v>0</v>
      </c>
      <c r="PX35" s="9"/>
      <c r="PY35" s="8">
        <f t="shared" si="77"/>
        <v>0</v>
      </c>
      <c r="PZ35" s="5">
        <f t="shared" si="78"/>
        <v>416.38</v>
      </c>
      <c r="QA35" s="5"/>
      <c r="QB35" s="5"/>
      <c r="QC35" s="5"/>
      <c r="QD35" s="5"/>
      <c r="QE35" s="5"/>
      <c r="QF35" s="12"/>
      <c r="QG35" s="12">
        <f t="shared" si="79"/>
        <v>29562.488999999998</v>
      </c>
      <c r="QH35" s="420">
        <f t="shared" si="80"/>
        <v>389495.16955851007</v>
      </c>
      <c r="QI35" s="1106">
        <f t="shared" si="81"/>
        <v>964.6400000000001</v>
      </c>
      <c r="QJ35" s="484">
        <f t="shared" si="82"/>
        <v>5505.3678056099998</v>
      </c>
      <c r="QK35" s="12"/>
      <c r="QL35" s="2615"/>
      <c r="QN35" s="139">
        <f t="shared" si="83"/>
        <v>0</v>
      </c>
      <c r="QO35" s="139" t="str">
        <f t="shared" si="84"/>
        <v/>
      </c>
      <c r="QQ35" s="139">
        <f t="shared" si="85"/>
        <v>0</v>
      </c>
      <c r="QR35" s="139">
        <f t="shared" si="86"/>
        <v>0</v>
      </c>
      <c r="QT35" s="1">
        <f t="shared" si="87"/>
        <v>0</v>
      </c>
      <c r="QU35" s="1">
        <f t="shared" si="88"/>
        <v>0</v>
      </c>
      <c r="QV35" s="1">
        <f t="shared" si="89"/>
        <v>0</v>
      </c>
      <c r="QW35" s="1">
        <f t="shared" si="90"/>
        <v>0</v>
      </c>
      <c r="QX35" s="1">
        <f t="shared" si="91"/>
        <v>0</v>
      </c>
      <c r="QY35" s="1">
        <f t="shared" si="92"/>
        <v>0</v>
      </c>
      <c r="RA35" s="1">
        <f t="shared" si="93"/>
        <v>0</v>
      </c>
      <c r="RB35" s="1">
        <f t="shared" si="94"/>
        <v>0</v>
      </c>
      <c r="RC35" s="1">
        <f t="shared" si="95"/>
        <v>0</v>
      </c>
      <c r="RD35" s="1">
        <f t="shared" si="96"/>
        <v>0</v>
      </c>
      <c r="RE35" s="1">
        <f t="shared" si="97"/>
        <v>0</v>
      </c>
      <c r="RF35" s="1">
        <f t="shared" si="98"/>
        <v>0</v>
      </c>
      <c r="RI35" s="1">
        <v>26</v>
      </c>
      <c r="RJ35" s="1">
        <f t="shared" si="124"/>
        <v>9273.6557097170917</v>
      </c>
      <c r="RK35" s="1">
        <f t="shared" si="125"/>
        <v>-5172.8487195162825</v>
      </c>
      <c r="RL35" s="1">
        <f t="shared" si="126"/>
        <v>13404.263703387322</v>
      </c>
      <c r="RM35" s="89">
        <f t="shared" si="5"/>
        <v>17505.070693588132</v>
      </c>
      <c r="RN35" s="1033">
        <v>26</v>
      </c>
      <c r="RO35" s="1098">
        <f t="shared" si="100"/>
        <v>0</v>
      </c>
      <c r="RP35" s="1098">
        <f t="shared" si="101"/>
        <v>0</v>
      </c>
      <c r="RQ35" s="1097">
        <f t="shared" si="102"/>
        <v>0</v>
      </c>
      <c r="RR35" s="1097">
        <f t="shared" si="103"/>
        <v>7437.08</v>
      </c>
      <c r="RS35" s="1050"/>
      <c r="RT35" s="1050" t="s">
        <v>994</v>
      </c>
      <c r="RU35" s="1048"/>
      <c r="RW35" s="421">
        <v>26</v>
      </c>
      <c r="RX35" s="1095">
        <f t="shared" si="104"/>
        <v>5615.02</v>
      </c>
      <c r="RY35" s="1050" t="s">
        <v>995</v>
      </c>
      <c r="RZ35" s="1048"/>
      <c r="SA35" s="1090"/>
      <c r="SB35" s="1090">
        <f t="shared" si="105"/>
        <v>0</v>
      </c>
      <c r="SC35" s="1090"/>
      <c r="SD35" s="1090">
        <f t="shared" si="127"/>
        <v>0</v>
      </c>
      <c r="SF35" s="1">
        <v>26</v>
      </c>
      <c r="SG35" s="1">
        <f t="shared" si="107"/>
        <v>293.85000000000002</v>
      </c>
      <c r="SH35" s="1094" t="s">
        <v>996</v>
      </c>
    </row>
    <row r="36" spans="1:502" s="1" customFormat="1" ht="15">
      <c r="B36" s="471">
        <v>27</v>
      </c>
      <c r="C36" s="4">
        <f t="shared" si="6"/>
        <v>29820</v>
      </c>
      <c r="D36" s="1726">
        <f t="shared" si="119"/>
        <v>2175.6728000000003</v>
      </c>
      <c r="E36" s="1895">
        <f t="shared" si="7"/>
        <v>13.706105072417138</v>
      </c>
      <c r="F36" s="870"/>
      <c r="G36" s="870"/>
      <c r="H36" s="52"/>
      <c r="I36" s="61"/>
      <c r="J36" s="52"/>
      <c r="K36" s="54"/>
      <c r="L36" s="52"/>
      <c r="M36" s="61"/>
      <c r="N36" s="2629"/>
      <c r="O36" s="4">
        <f t="shared" si="118"/>
        <v>0</v>
      </c>
      <c r="P36" s="5">
        <f t="shared" si="8"/>
        <v>0</v>
      </c>
      <c r="Q36" s="1913">
        <f t="shared" si="9"/>
        <v>0</v>
      </c>
      <c r="R36" s="33"/>
      <c r="S36" s="26">
        <f t="shared" si="10"/>
        <v>29820</v>
      </c>
      <c r="T36" s="27">
        <f t="shared" si="109"/>
        <v>2175.6728000000003</v>
      </c>
      <c r="U36" s="1909">
        <f t="shared" si="11"/>
        <v>13.706105072417138</v>
      </c>
      <c r="V36" s="28"/>
      <c r="W36" s="26">
        <f t="shared" si="12"/>
        <v>0</v>
      </c>
      <c r="X36" s="5">
        <f t="shared" si="12"/>
        <v>0</v>
      </c>
      <c r="Y36" s="325">
        <f t="shared" si="13"/>
        <v>0</v>
      </c>
      <c r="Z36" s="33"/>
      <c r="AA36" s="26">
        <f t="shared" si="14"/>
        <v>0</v>
      </c>
      <c r="AB36" s="27">
        <f t="shared" si="15"/>
        <v>0</v>
      </c>
      <c r="AC36" s="53">
        <f t="shared" si="16"/>
        <v>0</v>
      </c>
      <c r="AD36" s="28"/>
      <c r="AE36" s="36"/>
      <c r="AF36" s="36"/>
      <c r="AG36" s="53">
        <f t="shared" si="17"/>
        <v>0</v>
      </c>
      <c r="AH36" s="28"/>
      <c r="AI36" s="23"/>
      <c r="AJ36" s="27"/>
      <c r="AK36" s="53">
        <f t="shared" si="18"/>
        <v>0</v>
      </c>
      <c r="AL36" s="28"/>
      <c r="AM36" s="2629"/>
      <c r="AN36" s="9"/>
      <c r="AO36" s="5"/>
      <c r="AP36" s="61">
        <f t="shared" si="19"/>
        <v>0</v>
      </c>
      <c r="AQ36" s="36"/>
      <c r="AR36" s="53"/>
      <c r="AS36" s="61">
        <f t="shared" si="20"/>
        <v>0</v>
      </c>
      <c r="AT36" s="36"/>
      <c r="AU36" s="27"/>
      <c r="AV36" s="54">
        <f t="shared" si="21"/>
        <v>0</v>
      </c>
      <c r="AW36" s="26">
        <v>0</v>
      </c>
      <c r="AX36" s="27">
        <v>0</v>
      </c>
      <c r="AY36" s="1895">
        <f t="shared" si="116"/>
        <v>0</v>
      </c>
      <c r="AZ36" s="1908"/>
      <c r="BA36" s="1909"/>
      <c r="BB36" s="1895">
        <f t="shared" si="22"/>
        <v>0</v>
      </c>
      <c r="BC36" s="1908">
        <v>0</v>
      </c>
      <c r="BD36" s="1909">
        <v>0</v>
      </c>
      <c r="BE36" s="1895">
        <f t="shared" si="23"/>
        <v>0</v>
      </c>
      <c r="BF36" s="1908"/>
      <c r="BG36" s="1909"/>
      <c r="BH36" s="1895">
        <f t="shared" si="24"/>
        <v>0</v>
      </c>
      <c r="BI36" s="1908">
        <v>0</v>
      </c>
      <c r="BJ36" s="1909">
        <v>0</v>
      </c>
      <c r="BK36" s="1895">
        <f t="shared" si="25"/>
        <v>0</v>
      </c>
      <c r="BL36" s="1742">
        <v>29820</v>
      </c>
      <c r="BM36" s="1909">
        <v>2012.8600000000004</v>
      </c>
      <c r="BN36" s="2170">
        <v>162.81279999999998</v>
      </c>
      <c r="BO36" s="1895">
        <f t="shared" si="26"/>
        <v>14.814741213994015</v>
      </c>
      <c r="BP36" s="9"/>
      <c r="BQ36" s="64"/>
      <c r="BR36" s="61">
        <f t="shared" si="27"/>
        <v>0</v>
      </c>
      <c r="BS36" s="36"/>
      <c r="BT36" s="53"/>
      <c r="BU36" s="61">
        <f t="shared" si="28"/>
        <v>0</v>
      </c>
      <c r="BV36" s="9">
        <v>0</v>
      </c>
      <c r="BW36" s="5">
        <v>0</v>
      </c>
      <c r="BX36" s="28">
        <f t="shared" si="29"/>
        <v>0</v>
      </c>
      <c r="BY36" s="4"/>
      <c r="BZ36" s="5"/>
      <c r="CA36" s="61">
        <f t="shared" si="30"/>
        <v>0</v>
      </c>
      <c r="CB36" s="36"/>
      <c r="CC36" s="5"/>
      <c r="CD36" s="61">
        <f t="shared" si="31"/>
        <v>0</v>
      </c>
      <c r="CE36" s="26"/>
      <c r="CF36" s="5"/>
      <c r="CG36" s="28">
        <f t="shared" si="32"/>
        <v>0</v>
      </c>
      <c r="CH36" s="150"/>
      <c r="CI36" s="1108"/>
      <c r="CJ36" s="5"/>
      <c r="CK36" s="5">
        <v>0</v>
      </c>
      <c r="CL36" s="5"/>
      <c r="CM36" s="5"/>
      <c r="CN36" s="5"/>
      <c r="CO36" s="33"/>
      <c r="CP36" s="366"/>
      <c r="CR36" s="4">
        <f t="shared" si="134"/>
        <v>0</v>
      </c>
      <c r="CS36" s="9">
        <f t="shared" si="134"/>
        <v>0</v>
      </c>
      <c r="CT36" s="5">
        <f t="shared" si="134"/>
        <v>0</v>
      </c>
      <c r="CU36" s="5">
        <f t="shared" si="133"/>
        <v>0</v>
      </c>
      <c r="CV36" s="5">
        <f t="shared" si="133"/>
        <v>0</v>
      </c>
      <c r="CW36" s="5">
        <f t="shared" si="133"/>
        <v>0</v>
      </c>
      <c r="CX36" s="5">
        <f t="shared" si="133"/>
        <v>0</v>
      </c>
      <c r="CY36" s="5">
        <f t="shared" si="133"/>
        <v>0</v>
      </c>
      <c r="CZ36" s="5">
        <f t="shared" si="133"/>
        <v>2012.8600000000004</v>
      </c>
      <c r="DA36" s="5">
        <f t="shared" si="133"/>
        <v>0</v>
      </c>
      <c r="DB36" s="5">
        <f t="shared" si="133"/>
        <v>0</v>
      </c>
      <c r="DC36" s="12">
        <f t="shared" si="133"/>
        <v>0</v>
      </c>
      <c r="DD36" s="310">
        <f>SUM(CR36:DC36,PW36)</f>
        <v>2012.8600000000004</v>
      </c>
      <c r="DE36" s="2695"/>
      <c r="DF36" s="8"/>
      <c r="DG36" s="9"/>
      <c r="DH36" s="5"/>
      <c r="DI36" s="5"/>
      <c r="DJ36" s="5"/>
      <c r="DK36" s="5"/>
      <c r="DL36" s="5">
        <v>0</v>
      </c>
      <c r="DM36" s="5"/>
      <c r="DN36" s="5">
        <v>0</v>
      </c>
      <c r="DO36" s="5"/>
      <c r="DP36" s="5"/>
      <c r="DQ36" s="12"/>
      <c r="DR36" s="28">
        <f t="shared" si="35"/>
        <v>0</v>
      </c>
      <c r="DS36" s="36"/>
      <c r="DT36" s="36"/>
      <c r="DU36" s="27"/>
      <c r="DV36" s="27"/>
      <c r="DW36" s="27"/>
      <c r="DX36" s="27"/>
      <c r="DY36" s="27"/>
      <c r="DZ36" s="27"/>
      <c r="EA36" s="27">
        <v>2012.8600000000004</v>
      </c>
      <c r="EB36" s="27"/>
      <c r="EC36" s="27">
        <v>0</v>
      </c>
      <c r="ED36" s="33"/>
      <c r="EE36" s="28">
        <f t="shared" si="36"/>
        <v>2012.8600000000004</v>
      </c>
      <c r="EF36" s="9"/>
      <c r="EG36" s="36"/>
      <c r="EH36" s="27"/>
      <c r="EI36" s="27"/>
      <c r="EJ36" s="27"/>
      <c r="EK36" s="27"/>
      <c r="EL36" s="27"/>
      <c r="EM36" s="27"/>
      <c r="EN36" s="5"/>
      <c r="EO36" s="5"/>
      <c r="EP36" s="5">
        <v>0</v>
      </c>
      <c r="EQ36" s="33"/>
      <c r="ER36" s="28">
        <f t="shared" si="120"/>
        <v>0</v>
      </c>
      <c r="ES36" s="36"/>
      <c r="ET36" s="27"/>
      <c r="EU36" s="27"/>
      <c r="EV36" s="27"/>
      <c r="EW36" s="27"/>
      <c r="EX36" s="27"/>
      <c r="EY36" s="33">
        <f t="shared" si="38"/>
        <v>0</v>
      </c>
      <c r="EZ36" s="2685"/>
      <c r="FB36" s="4">
        <f t="shared" si="39"/>
        <v>0</v>
      </c>
      <c r="FC36" s="5">
        <f t="shared" si="40"/>
        <v>0</v>
      </c>
      <c r="FD36" s="5">
        <f t="shared" si="41"/>
        <v>0</v>
      </c>
      <c r="FE36" s="12">
        <f t="shared" si="42"/>
        <v>0</v>
      </c>
      <c r="FF36" s="33"/>
      <c r="FG36" s="2674"/>
      <c r="FH36" s="9"/>
      <c r="FI36" s="5"/>
      <c r="FJ36" s="5"/>
      <c r="FK36" s="5"/>
      <c r="FL36" s="5"/>
      <c r="FM36" s="27"/>
      <c r="FN36" s="28">
        <f t="shared" si="43"/>
        <v>0</v>
      </c>
      <c r="FO36" s="36"/>
      <c r="FP36" s="27"/>
      <c r="FQ36" s="27"/>
      <c r="FR36" s="27"/>
      <c r="FS36" s="27"/>
      <c r="FT36" s="27"/>
      <c r="FU36" s="28">
        <f t="shared" si="44"/>
        <v>0</v>
      </c>
      <c r="FV36" s="36"/>
      <c r="FW36" s="36"/>
      <c r="FX36" s="27"/>
      <c r="FY36" s="27"/>
      <c r="FZ36" s="27"/>
      <c r="GA36" s="27"/>
      <c r="GB36" s="27"/>
      <c r="GC36" s="27"/>
      <c r="GD36" s="27"/>
      <c r="GE36" s="27"/>
      <c r="GF36" s="27"/>
      <c r="GG36" s="33"/>
      <c r="GH36" s="33">
        <f t="shared" si="45"/>
        <v>0</v>
      </c>
      <c r="GI36" s="2674"/>
      <c r="GK36" s="2">
        <f t="shared" si="110"/>
        <v>164.45000000000002</v>
      </c>
      <c r="GL36" s="63">
        <f t="shared" si="111"/>
        <v>1797.21</v>
      </c>
      <c r="GM36" s="24">
        <f t="shared" si="112"/>
        <v>2692.91</v>
      </c>
      <c r="GN36" s="1736">
        <f t="shared" si="46"/>
        <v>4654.57</v>
      </c>
      <c r="GO36" s="141"/>
      <c r="GP36" s="141"/>
      <c r="GQ36" s="33"/>
      <c r="GR36" s="2667"/>
      <c r="GS36" s="152">
        <v>1639.75</v>
      </c>
      <c r="GT36" s="27">
        <v>164.45000000000002</v>
      </c>
      <c r="GU36" s="27">
        <v>1503.66</v>
      </c>
      <c r="GV36" s="27">
        <v>1346.71</v>
      </c>
      <c r="GW36" s="33">
        <f t="shared" si="47"/>
        <v>4654.57</v>
      </c>
      <c r="GX36" s="2667"/>
      <c r="GY36" s="36"/>
      <c r="GZ36" s="36"/>
      <c r="HA36" s="27"/>
      <c r="HB36" s="27"/>
      <c r="HC36" s="27"/>
      <c r="HD36" s="27"/>
      <c r="HE36" s="27"/>
      <c r="HF36" s="27"/>
      <c r="HG36" s="27">
        <v>0</v>
      </c>
      <c r="HH36" s="27"/>
      <c r="HI36" s="2167">
        <v>0</v>
      </c>
      <c r="HJ36" s="27"/>
      <c r="HK36" s="27">
        <v>164.45000000000002</v>
      </c>
      <c r="HL36" s="27"/>
      <c r="HM36" s="28">
        <f t="shared" si="121"/>
        <v>164.45000000000002</v>
      </c>
      <c r="HN36" s="36"/>
      <c r="HO36" s="27"/>
      <c r="HP36" s="27"/>
      <c r="HQ36" s="27"/>
      <c r="HR36" s="27"/>
      <c r="HS36" s="27"/>
      <c r="HT36" s="27" cm="1">
        <f t="array" ref="HT36">SUMPRODUCT(('Data Base hauling'!$C$2:$C$216="TCM-ROM SB1 BK05-ROM 4")*(ISNUMBER(SEARCH(TEXT('May TCM'!$B36,"00")&amp;"/03/2026",'Data Base hauling'!$E$2:$E$216)))*'Data Base hauling'!$N$2:$N$216)</f>
        <v>0</v>
      </c>
      <c r="HU36" s="27"/>
      <c r="HV36" s="27" cm="1">
        <f t="array" ref="HV36">SUMPRODUCT(('Data Base hauling'!$C$2:$C$216="TCM-ROM SB1 BK05-ROM 5")*(ISNUMBER(SEARCH(TEXT('May TCM'!$B36,"00")&amp;"/03/2026",'Data Base hauling'!$E$2:$E$216)))*'Data Base hauling'!$N$2:$N$216)</f>
        <v>0</v>
      </c>
      <c r="HW36" s="27"/>
      <c r="HX36" s="27"/>
      <c r="HY36" s="27"/>
      <c r="HZ36" s="27"/>
      <c r="IA36" s="27"/>
      <c r="IB36" s="33">
        <f t="shared" si="49"/>
        <v>0</v>
      </c>
      <c r="IC36" s="52"/>
      <c r="ID36" s="152"/>
      <c r="IE36" s="53"/>
      <c r="IF36" s="53"/>
      <c r="IG36" s="53"/>
      <c r="IH36" s="53"/>
      <c r="II36" s="1736">
        <v>61.85</v>
      </c>
      <c r="IJ36" s="1736"/>
      <c r="IK36" s="1736">
        <v>1676.8600000000001</v>
      </c>
      <c r="IL36" s="53"/>
      <c r="IM36" s="53">
        <v>0</v>
      </c>
      <c r="IN36" s="53"/>
      <c r="IO36" s="53"/>
      <c r="IP36" s="49">
        <v>58.5</v>
      </c>
      <c r="IQ36" s="2195">
        <f t="shared" si="122"/>
        <v>1797.21</v>
      </c>
      <c r="IR36" s="36"/>
      <c r="IS36" s="36"/>
      <c r="IT36" s="27"/>
      <c r="IU36" s="27"/>
      <c r="IV36" s="53"/>
      <c r="IW36" s="27"/>
      <c r="IX36" s="27">
        <v>0</v>
      </c>
      <c r="IY36" s="27"/>
      <c r="IZ36" s="27">
        <v>2692.91</v>
      </c>
      <c r="JA36" s="27"/>
      <c r="JB36" s="27">
        <v>0</v>
      </c>
      <c r="JC36" s="27"/>
      <c r="JD36" s="27"/>
      <c r="JE36" s="27"/>
      <c r="JF36" s="33">
        <f t="shared" si="123"/>
        <v>2692.91</v>
      </c>
      <c r="JG36" s="2667"/>
      <c r="JI36" s="2020">
        <v>4654.57</v>
      </c>
      <c r="JJ36" s="2021">
        <v>0</v>
      </c>
      <c r="JK36" s="53"/>
      <c r="JL36" s="53">
        <f t="shared" si="52"/>
        <v>4654.57</v>
      </c>
      <c r="JM36" s="33"/>
      <c r="JN36" s="2669"/>
      <c r="JO36" s="69">
        <v>0</v>
      </c>
      <c r="JP36" s="70">
        <v>0</v>
      </c>
      <c r="JQ36" s="70">
        <v>0</v>
      </c>
      <c r="JR36" s="70">
        <v>0</v>
      </c>
      <c r="JS36" s="70">
        <v>0.9514557821944295</v>
      </c>
      <c r="JT36" s="70">
        <v>0</v>
      </c>
      <c r="JU36" s="70">
        <v>3.5806667944050588E-2</v>
      </c>
      <c r="JV36" s="1922">
        <v>0</v>
      </c>
      <c r="JW36" s="69">
        <v>0</v>
      </c>
      <c r="JX36" s="70">
        <v>0</v>
      </c>
      <c r="JY36" s="70">
        <v>0</v>
      </c>
      <c r="JZ36" s="70">
        <v>1</v>
      </c>
      <c r="KA36" s="70">
        <v>0</v>
      </c>
      <c r="KB36" s="70">
        <v>0</v>
      </c>
      <c r="KC36" s="70">
        <v>0</v>
      </c>
      <c r="KD36" s="71">
        <v>0</v>
      </c>
      <c r="KE36" s="69"/>
      <c r="KF36" s="70"/>
      <c r="KG36" s="70"/>
      <c r="KH36" s="70"/>
      <c r="KI36" s="70"/>
      <c r="KJ36" s="70"/>
      <c r="KK36" s="70"/>
      <c r="KL36" s="70"/>
      <c r="KM36" s="33"/>
      <c r="KN36" s="2669"/>
      <c r="KO36" s="1739">
        <v>6900</v>
      </c>
      <c r="KP36" s="1721">
        <v>0.88</v>
      </c>
      <c r="KQ36" s="1721">
        <v>4.75</v>
      </c>
      <c r="KR36" s="1721">
        <v>6.79</v>
      </c>
      <c r="KS36" s="1722">
        <v>11.82334</v>
      </c>
      <c r="KT36" s="1958">
        <v>0</v>
      </c>
      <c r="KU36" s="1961">
        <v>0</v>
      </c>
      <c r="KV36" s="1961">
        <v>0</v>
      </c>
      <c r="KW36" s="1961">
        <v>0</v>
      </c>
      <c r="KX36" s="1962">
        <v>0</v>
      </c>
      <c r="KY36" s="36"/>
      <c r="KZ36" s="53"/>
      <c r="LA36" s="53"/>
      <c r="LB36" s="53"/>
      <c r="LC36" s="53"/>
      <c r="LD36" s="33"/>
      <c r="LE36" s="2669"/>
      <c r="LG36" s="26">
        <f t="shared" si="53"/>
        <v>0</v>
      </c>
      <c r="LH36" s="27">
        <f t="shared" si="53"/>
        <v>0</v>
      </c>
      <c r="LI36" s="27">
        <f t="shared" si="53"/>
        <v>0</v>
      </c>
      <c r="LJ36" s="28">
        <f t="shared" si="54"/>
        <v>0</v>
      </c>
      <c r="LK36" s="36">
        <v>1</v>
      </c>
      <c r="LL36" s="27"/>
      <c r="LM36" s="27"/>
      <c r="LN36" s="33"/>
      <c r="LO36" s="1041">
        <v>8.49</v>
      </c>
      <c r="LP36" s="2196" t="s">
        <v>997</v>
      </c>
      <c r="LQ36" s="2688"/>
      <c r="LR36" s="36"/>
      <c r="LS36" s="36"/>
      <c r="LT36" s="27"/>
      <c r="LU36" s="27"/>
      <c r="LV36" s="27"/>
      <c r="LW36" s="1107">
        <f t="shared" si="55"/>
        <v>0</v>
      </c>
      <c r="LX36" s="36"/>
      <c r="LY36" s="36"/>
      <c r="LZ36" s="27"/>
      <c r="MA36" s="27"/>
      <c r="MB36" s="33"/>
      <c r="MC36" s="28">
        <f t="shared" si="56"/>
        <v>0</v>
      </c>
      <c r="MD36" s="26"/>
      <c r="ME36" s="36"/>
      <c r="MF36" s="27"/>
      <c r="MG36" s="27"/>
      <c r="MH36" s="27"/>
      <c r="MI36" s="28"/>
      <c r="MJ36" s="36"/>
      <c r="MK36" s="36"/>
      <c r="ML36" s="27"/>
      <c r="MM36" s="27"/>
      <c r="MN36" s="27"/>
      <c r="MO36" s="28"/>
      <c r="MP36" s="36"/>
      <c r="MQ36" s="36"/>
      <c r="MR36" s="27"/>
      <c r="MS36" s="27"/>
      <c r="MT36" s="27"/>
      <c r="MU36" s="33">
        <f t="shared" si="57"/>
        <v>0</v>
      </c>
      <c r="MV36" s="2688"/>
      <c r="MX36" s="26">
        <f t="shared" si="58"/>
        <v>145906.90009662195</v>
      </c>
      <c r="MY36" s="27">
        <f t="shared" si="59"/>
        <v>95668.946491707873</v>
      </c>
      <c r="MZ36" s="27">
        <f t="shared" si="60"/>
        <v>24109.775253194555</v>
      </c>
      <c r="NA36" s="28">
        <f t="shared" si="61"/>
        <v>419963.79855851008</v>
      </c>
      <c r="NB36" s="2621"/>
      <c r="NC36" s="23">
        <f t="shared" si="62"/>
        <v>48643.050373462545</v>
      </c>
      <c r="ND36" s="1579">
        <f t="shared" si="63"/>
        <v>97263.849723159408</v>
      </c>
      <c r="NE36" s="60">
        <f t="shared" si="64"/>
        <v>0</v>
      </c>
      <c r="NF36" s="275">
        <f t="shared" si="4"/>
        <v>145906.90009662195</v>
      </c>
      <c r="NG36" s="26">
        <v>0</v>
      </c>
      <c r="NH36" s="27">
        <v>0</v>
      </c>
      <c r="NI36" s="27">
        <v>0</v>
      </c>
      <c r="NJ36" s="27">
        <v>0</v>
      </c>
      <c r="NK36" s="27">
        <v>0</v>
      </c>
      <c r="NL36" s="33">
        <v>0</v>
      </c>
      <c r="NM36" s="27">
        <v>0</v>
      </c>
      <c r="NN36" s="36">
        <v>0</v>
      </c>
      <c r="NO36" s="24">
        <f t="shared" si="128"/>
        <v>2449.1631443320584</v>
      </c>
      <c r="NP36" s="27">
        <f t="shared" si="128"/>
        <v>26196.696072681989</v>
      </c>
      <c r="NQ36" s="24">
        <f t="shared" si="113"/>
        <v>8756.5482322711578</v>
      </c>
      <c r="NR36" s="24">
        <f t="shared" si="114"/>
        <v>2024.28</v>
      </c>
      <c r="NS36" s="27">
        <f t="shared" si="0"/>
        <v>39426.687449285208</v>
      </c>
      <c r="NT36" s="27">
        <f t="shared" si="129"/>
        <v>0</v>
      </c>
      <c r="NU36" s="27">
        <f t="shared" si="129"/>
        <v>0</v>
      </c>
      <c r="NV36" s="27">
        <f t="shared" si="129"/>
        <v>0</v>
      </c>
      <c r="NW36" s="27">
        <f t="shared" si="129"/>
        <v>0</v>
      </c>
      <c r="NX36" s="27">
        <f t="shared" si="129"/>
        <v>0</v>
      </c>
      <c r="NY36" s="5">
        <f t="shared" si="129"/>
        <v>0</v>
      </c>
      <c r="NZ36" s="27">
        <f t="shared" si="129"/>
        <v>10591.292730193074</v>
      </c>
      <c r="OA36" s="27">
        <f t="shared" si="129"/>
        <v>0</v>
      </c>
      <c r="OB36" s="27">
        <f t="shared" si="129"/>
        <v>33654.251841856763</v>
      </c>
      <c r="OC36" s="27"/>
      <c r="OD36" s="24">
        <f t="shared" si="130"/>
        <v>454.51223506073143</v>
      </c>
      <c r="OE36" s="27">
        <f t="shared" si="131"/>
        <v>0</v>
      </c>
      <c r="OF36" s="28">
        <f t="shared" si="1"/>
        <v>44700.056807110574</v>
      </c>
      <c r="OG36" s="27">
        <f t="shared" si="132"/>
        <v>0</v>
      </c>
      <c r="OH36" s="27">
        <f t="shared" si="132"/>
        <v>0</v>
      </c>
      <c r="OI36" s="27">
        <f t="shared" si="132"/>
        <v>0</v>
      </c>
      <c r="OJ36" s="27">
        <f t="shared" si="132"/>
        <v>0</v>
      </c>
      <c r="OK36" s="27">
        <f t="shared" si="132"/>
        <v>0</v>
      </c>
      <c r="OL36" s="27">
        <f t="shared" si="132"/>
        <v>0</v>
      </c>
      <c r="OM36" s="24">
        <f t="shared" si="132"/>
        <v>0</v>
      </c>
      <c r="ON36" s="27">
        <f t="shared" si="132"/>
        <v>0</v>
      </c>
      <c r="OO36" s="24">
        <f t="shared" si="115"/>
        <v>11542.202235312077</v>
      </c>
      <c r="OP36" s="27">
        <f t="shared" si="132"/>
        <v>0</v>
      </c>
      <c r="OQ36" s="27">
        <f t="shared" si="132"/>
        <v>0</v>
      </c>
      <c r="OR36" s="27">
        <f t="shared" si="132"/>
        <v>0</v>
      </c>
      <c r="OS36" s="28">
        <f t="shared" si="2"/>
        <v>11542.202235312077</v>
      </c>
      <c r="OT36" s="36"/>
      <c r="OU36" s="27"/>
      <c r="OV36" s="27"/>
      <c r="OW36" s="27"/>
      <c r="OX36" s="27"/>
      <c r="OY36" s="27"/>
      <c r="OZ36" s="28">
        <f t="shared" si="69"/>
        <v>0</v>
      </c>
      <c r="PA36" s="36">
        <f t="shared" si="70"/>
        <v>0</v>
      </c>
      <c r="PB36" s="27">
        <f t="shared" si="71"/>
        <v>0</v>
      </c>
      <c r="PC36" s="27">
        <f t="shared" si="72"/>
        <v>0</v>
      </c>
      <c r="PD36" s="27">
        <f t="shared" si="73"/>
        <v>0</v>
      </c>
      <c r="PE36" s="24"/>
      <c r="PF36" s="27">
        <f t="shared" si="74"/>
        <v>0</v>
      </c>
      <c r="PG36" s="33">
        <f t="shared" si="3"/>
        <v>0</v>
      </c>
      <c r="PH36" s="2621"/>
      <c r="PJ36" s="2">
        <v>0</v>
      </c>
      <c r="PK36" s="3">
        <v>615</v>
      </c>
      <c r="PL36" s="3">
        <v>256.25</v>
      </c>
      <c r="PM36" s="3">
        <v>164.45000000000002</v>
      </c>
      <c r="PN36" s="3">
        <f t="shared" si="75"/>
        <v>29388.919776580693</v>
      </c>
      <c r="PO36" s="11">
        <f t="shared" si="76"/>
        <v>24109.775253194555</v>
      </c>
      <c r="PP36" s="15"/>
      <c r="PQ36" s="2615"/>
      <c r="PS36" s="4"/>
      <c r="PT36" s="9"/>
      <c r="PU36" s="9"/>
      <c r="PV36" s="9"/>
      <c r="PW36" s="8">
        <v>0</v>
      </c>
      <c r="PX36" s="9"/>
      <c r="PY36" s="8">
        <f t="shared" si="77"/>
        <v>0</v>
      </c>
      <c r="PZ36" s="5">
        <f t="shared" si="78"/>
        <v>0</v>
      </c>
      <c r="QA36" s="5"/>
      <c r="QB36" s="5"/>
      <c r="QC36" s="5"/>
      <c r="QD36" s="5"/>
      <c r="QE36" s="5"/>
      <c r="QF36" s="12"/>
      <c r="QG36" s="12">
        <f t="shared" si="79"/>
        <v>29562.488999999998</v>
      </c>
      <c r="QH36" s="420">
        <f t="shared" si="80"/>
        <v>389436.66955851007</v>
      </c>
      <c r="QI36" s="1106">
        <f t="shared" si="81"/>
        <v>964.6400000000001</v>
      </c>
      <c r="QJ36" s="484">
        <f t="shared" si="82"/>
        <v>5505.3678056099998</v>
      </c>
      <c r="QK36" s="12"/>
      <c r="QL36" s="2615"/>
      <c r="QN36" s="139">
        <f t="shared" si="83"/>
        <v>0</v>
      </c>
      <c r="QO36" s="139" t="str">
        <f t="shared" si="84"/>
        <v/>
      </c>
      <c r="QQ36" s="139">
        <f t="shared" si="85"/>
        <v>0</v>
      </c>
      <c r="QR36" s="139">
        <f t="shared" si="86"/>
        <v>0</v>
      </c>
      <c r="QT36" s="1">
        <f t="shared" si="87"/>
        <v>0</v>
      </c>
      <c r="QU36" s="1">
        <f t="shared" si="88"/>
        <v>0</v>
      </c>
      <c r="QV36" s="1">
        <f t="shared" si="89"/>
        <v>0</v>
      </c>
      <c r="QW36" s="1">
        <f t="shared" si="90"/>
        <v>0</v>
      </c>
      <c r="QX36" s="1">
        <f t="shared" si="91"/>
        <v>0</v>
      </c>
      <c r="QY36" s="1">
        <f t="shared" si="92"/>
        <v>0</v>
      </c>
      <c r="RA36" s="1">
        <f t="shared" si="93"/>
        <v>0</v>
      </c>
      <c r="RB36" s="1">
        <f t="shared" si="94"/>
        <v>0</v>
      </c>
      <c r="RC36" s="1">
        <f t="shared" si="95"/>
        <v>0</v>
      </c>
      <c r="RD36" s="1">
        <f t="shared" si="96"/>
        <v>0</v>
      </c>
      <c r="RE36" s="1">
        <f t="shared" si="97"/>
        <v>0</v>
      </c>
      <c r="RF36" s="1">
        <f t="shared" si="98"/>
        <v>0</v>
      </c>
      <c r="RI36" s="1">
        <v>27</v>
      </c>
      <c r="RJ36" s="1">
        <f t="shared" si="124"/>
        <v>13928.225709717091</v>
      </c>
      <c r="RK36" s="1">
        <f t="shared" si="125"/>
        <v>-5172.8487195162825</v>
      </c>
      <c r="RL36" s="1">
        <f t="shared" si="126"/>
        <v>13404.263703387322</v>
      </c>
      <c r="RM36" s="89">
        <f t="shared" si="5"/>
        <v>22159.640693588131</v>
      </c>
      <c r="RN36" s="1033">
        <v>27</v>
      </c>
      <c r="RO36" s="1098">
        <f t="shared" si="100"/>
        <v>0</v>
      </c>
      <c r="RP36" s="1098">
        <f t="shared" si="101"/>
        <v>0</v>
      </c>
      <c r="RQ36" s="1097">
        <f t="shared" si="102"/>
        <v>0</v>
      </c>
      <c r="RR36" s="1097">
        <f t="shared" si="103"/>
        <v>2012.8600000000004</v>
      </c>
      <c r="RS36" s="1050"/>
      <c r="RT36" s="1050" t="s">
        <v>998</v>
      </c>
      <c r="RW36" s="421">
        <v>27</v>
      </c>
      <c r="RX36" s="1095">
        <f t="shared" si="104"/>
        <v>4654.57</v>
      </c>
      <c r="RY36" s="1046" t="s">
        <v>999</v>
      </c>
      <c r="SA36" s="1090"/>
      <c r="SB36" s="1090">
        <f t="shared" si="105"/>
        <v>0</v>
      </c>
      <c r="SC36" s="1090"/>
      <c r="SD36" s="1090">
        <f t="shared" si="127"/>
        <v>0</v>
      </c>
      <c r="SF36" s="1">
        <v>27</v>
      </c>
      <c r="SG36" s="1">
        <f t="shared" si="107"/>
        <v>164.45000000000002</v>
      </c>
      <c r="SH36" s="1094" t="s">
        <v>1000</v>
      </c>
    </row>
    <row r="37" spans="1:502" s="1" customFormat="1">
      <c r="B37" s="471">
        <v>28</v>
      </c>
      <c r="C37" s="4">
        <f t="shared" si="6"/>
        <v>163031</v>
      </c>
      <c r="D37" s="1726">
        <f t="shared" si="119"/>
        <v>11317.651599999997</v>
      </c>
      <c r="E37" s="1895">
        <f t="shared" si="7"/>
        <v>14.405020207549068</v>
      </c>
      <c r="F37" s="870"/>
      <c r="G37" s="870"/>
      <c r="H37" s="52">
        <v>4</v>
      </c>
      <c r="I37" s="61">
        <v>2.0499999999999998</v>
      </c>
      <c r="J37" s="52"/>
      <c r="K37" s="54"/>
      <c r="L37" s="52">
        <v>9</v>
      </c>
      <c r="M37" s="61">
        <v>0.83</v>
      </c>
      <c r="N37" s="2629"/>
      <c r="O37" s="4">
        <f t="shared" si="118"/>
        <v>102984</v>
      </c>
      <c r="P37" s="5">
        <f t="shared" si="8"/>
        <v>8985.7599999999984</v>
      </c>
      <c r="Q37" s="1913">
        <f t="shared" si="9"/>
        <v>11.46080019942665</v>
      </c>
      <c r="R37" s="33"/>
      <c r="S37" s="26">
        <f t="shared" si="10"/>
        <v>35163</v>
      </c>
      <c r="T37" s="27">
        <f t="shared" si="109"/>
        <v>2051.8915999999999</v>
      </c>
      <c r="U37" s="1909">
        <f t="shared" si="11"/>
        <v>17.1368701933377</v>
      </c>
      <c r="V37" s="28"/>
      <c r="W37" s="26">
        <f t="shared" si="12"/>
        <v>24884</v>
      </c>
      <c r="X37" s="5">
        <f t="shared" si="12"/>
        <v>280</v>
      </c>
      <c r="Y37" s="325">
        <f t="shared" si="13"/>
        <v>88.871428571428567</v>
      </c>
      <c r="Z37" s="33"/>
      <c r="AA37" s="26">
        <f t="shared" si="14"/>
        <v>0</v>
      </c>
      <c r="AB37" s="27">
        <f t="shared" si="15"/>
        <v>0</v>
      </c>
      <c r="AC37" s="53">
        <f t="shared" si="16"/>
        <v>0</v>
      </c>
      <c r="AD37" s="28"/>
      <c r="AE37" s="36"/>
      <c r="AF37" s="36"/>
      <c r="AG37" s="53">
        <f t="shared" si="17"/>
        <v>0</v>
      </c>
      <c r="AH37" s="28"/>
      <c r="AI37" s="26"/>
      <c r="AJ37" s="27"/>
      <c r="AK37" s="53">
        <f t="shared" si="18"/>
        <v>0</v>
      </c>
      <c r="AL37" s="28"/>
      <c r="AM37" s="2629"/>
      <c r="AN37" s="9"/>
      <c r="AO37" s="5"/>
      <c r="AP37" s="61">
        <f t="shared" si="19"/>
        <v>0</v>
      </c>
      <c r="AQ37" s="36"/>
      <c r="AR37" s="53"/>
      <c r="AS37" s="61">
        <f t="shared" si="20"/>
        <v>0</v>
      </c>
      <c r="AT37" s="36"/>
      <c r="AU37" s="27"/>
      <c r="AV37" s="54">
        <f t="shared" si="21"/>
        <v>0</v>
      </c>
      <c r="AW37" s="26">
        <v>55440</v>
      </c>
      <c r="AX37" s="27">
        <v>5639.36</v>
      </c>
      <c r="AY37" s="1895">
        <f t="shared" si="116"/>
        <v>9.8309027974805652</v>
      </c>
      <c r="AZ37" s="1908"/>
      <c r="BA37" s="1909"/>
      <c r="BB37" s="1895">
        <f t="shared" si="22"/>
        <v>0</v>
      </c>
      <c r="BC37" s="1908">
        <v>47544</v>
      </c>
      <c r="BD37" s="1909">
        <v>3346.3999999999996</v>
      </c>
      <c r="BE37" s="1895">
        <f t="shared" si="23"/>
        <v>14.207506574229024</v>
      </c>
      <c r="BF37" s="1908"/>
      <c r="BG37" s="1909"/>
      <c r="BH37" s="1895">
        <f t="shared" si="24"/>
        <v>0</v>
      </c>
      <c r="BI37" s="1908">
        <v>0</v>
      </c>
      <c r="BJ37" s="1909">
        <v>0</v>
      </c>
      <c r="BK37" s="1895">
        <f t="shared" si="25"/>
        <v>0</v>
      </c>
      <c r="BL37" s="1742">
        <v>35163</v>
      </c>
      <c r="BM37" s="1909">
        <v>2031.5399999999997</v>
      </c>
      <c r="BN37" s="2170">
        <v>20.351599999999998</v>
      </c>
      <c r="BO37" s="1895">
        <f t="shared" si="26"/>
        <v>17.308544257066071</v>
      </c>
      <c r="BP37" s="9"/>
      <c r="BQ37" s="64"/>
      <c r="BR37" s="61">
        <f t="shared" si="27"/>
        <v>0</v>
      </c>
      <c r="BS37" s="36"/>
      <c r="BT37" s="53"/>
      <c r="BU37" s="61">
        <f t="shared" si="28"/>
        <v>0</v>
      </c>
      <c r="BV37" s="36">
        <v>24884</v>
      </c>
      <c r="BW37" s="5">
        <v>280</v>
      </c>
      <c r="BX37" s="28">
        <f t="shared" si="29"/>
        <v>88.871428571428567</v>
      </c>
      <c r="BY37" s="26"/>
      <c r="BZ37" s="5"/>
      <c r="CA37" s="61">
        <f t="shared" si="30"/>
        <v>0</v>
      </c>
      <c r="CB37" s="36"/>
      <c r="CC37" s="5"/>
      <c r="CD37" s="61">
        <f t="shared" si="31"/>
        <v>0</v>
      </c>
      <c r="CE37" s="26"/>
      <c r="CF37" s="5"/>
      <c r="CG37" s="28">
        <f t="shared" si="32"/>
        <v>0</v>
      </c>
      <c r="CH37" s="150"/>
      <c r="CI37" s="1108"/>
      <c r="CJ37" s="5"/>
      <c r="CK37" s="5">
        <v>3328</v>
      </c>
      <c r="CL37" s="5"/>
      <c r="CM37" s="5"/>
      <c r="CN37" s="5"/>
      <c r="CO37" s="33"/>
      <c r="CP37" s="366"/>
      <c r="CR37" s="4">
        <f t="shared" si="134"/>
        <v>0</v>
      </c>
      <c r="CS37" s="9">
        <f t="shared" si="134"/>
        <v>0</v>
      </c>
      <c r="CT37" s="5">
        <f t="shared" si="134"/>
        <v>0</v>
      </c>
      <c r="CU37" s="5">
        <f t="shared" si="133"/>
        <v>0</v>
      </c>
      <c r="CV37" s="5">
        <f t="shared" si="133"/>
        <v>0</v>
      </c>
      <c r="CW37" s="5">
        <f t="shared" si="133"/>
        <v>0</v>
      </c>
      <c r="CX37" s="5">
        <f t="shared" si="133"/>
        <v>792.74</v>
      </c>
      <c r="CY37" s="5">
        <f t="shared" si="133"/>
        <v>0</v>
      </c>
      <c r="CZ37" s="5">
        <f t="shared" si="133"/>
        <v>10224.56</v>
      </c>
      <c r="DA37" s="5">
        <f t="shared" si="133"/>
        <v>0</v>
      </c>
      <c r="DB37" s="5">
        <f t="shared" si="133"/>
        <v>280</v>
      </c>
      <c r="DC37" s="12">
        <f t="shared" si="133"/>
        <v>0</v>
      </c>
      <c r="DD37" s="310">
        <f>SUM(CR37:DC37,PW37,PX37)</f>
        <v>11297.3</v>
      </c>
      <c r="DE37" s="2695"/>
      <c r="DF37" s="8"/>
      <c r="DG37" s="9"/>
      <c r="DH37" s="5"/>
      <c r="DI37" s="5"/>
      <c r="DJ37" s="5"/>
      <c r="DK37" s="5"/>
      <c r="DL37" s="5">
        <v>792.74</v>
      </c>
      <c r="DM37" s="5"/>
      <c r="DN37" s="5">
        <v>4846.62</v>
      </c>
      <c r="DO37" s="5"/>
      <c r="DP37" s="5"/>
      <c r="DQ37" s="12"/>
      <c r="DR37" s="28">
        <f t="shared" si="35"/>
        <v>5639.36</v>
      </c>
      <c r="DS37" s="36"/>
      <c r="DT37" s="36"/>
      <c r="DU37" s="27"/>
      <c r="DV37" s="27"/>
      <c r="DW37" s="27"/>
      <c r="DX37" s="27"/>
      <c r="DY37" s="27"/>
      <c r="DZ37" s="27"/>
      <c r="EA37" s="27">
        <v>5377.94</v>
      </c>
      <c r="EB37" s="27"/>
      <c r="EC37" s="27">
        <v>0</v>
      </c>
      <c r="ED37" s="33"/>
      <c r="EE37" s="28">
        <f t="shared" si="36"/>
        <v>5377.94</v>
      </c>
      <c r="EF37" s="9"/>
      <c r="EG37" s="36"/>
      <c r="EH37" s="27"/>
      <c r="EI37" s="27"/>
      <c r="EJ37" s="27"/>
      <c r="EK37" s="27"/>
      <c r="EL37" s="27"/>
      <c r="EM37" s="27"/>
      <c r="EN37" s="5"/>
      <c r="EO37" s="5"/>
      <c r="EP37" s="5">
        <v>280</v>
      </c>
      <c r="EQ37" s="33"/>
      <c r="ER37" s="28">
        <f t="shared" si="120"/>
        <v>280</v>
      </c>
      <c r="ES37" s="36"/>
      <c r="ET37" s="27"/>
      <c r="EU37" s="27"/>
      <c r="EV37" s="27"/>
      <c r="EW37" s="27"/>
      <c r="EX37" s="27"/>
      <c r="EY37" s="33">
        <f t="shared" si="38"/>
        <v>0</v>
      </c>
      <c r="EZ37" s="2685"/>
      <c r="FB37" s="4">
        <f t="shared" si="39"/>
        <v>0</v>
      </c>
      <c r="FC37" s="5">
        <f t="shared" si="40"/>
        <v>0</v>
      </c>
      <c r="FD37" s="5">
        <f t="shared" si="41"/>
        <v>0</v>
      </c>
      <c r="FE37" s="12">
        <f t="shared" si="42"/>
        <v>0</v>
      </c>
      <c r="FF37" s="33"/>
      <c r="FG37" s="2674"/>
      <c r="FH37" s="9"/>
      <c r="FI37" s="5"/>
      <c r="FJ37" s="5"/>
      <c r="FK37" s="5"/>
      <c r="FL37" s="5"/>
      <c r="FM37" s="27"/>
      <c r="FN37" s="28">
        <f t="shared" si="43"/>
        <v>0</v>
      </c>
      <c r="FO37" s="36"/>
      <c r="FP37" s="27"/>
      <c r="FQ37" s="27"/>
      <c r="FR37" s="27"/>
      <c r="FS37" s="27"/>
      <c r="FT37" s="27"/>
      <c r="FU37" s="28">
        <f t="shared" si="44"/>
        <v>0</v>
      </c>
      <c r="FV37" s="36"/>
      <c r="FW37" s="36"/>
      <c r="FX37" s="27"/>
      <c r="FY37" s="27"/>
      <c r="FZ37" s="27"/>
      <c r="GA37" s="27"/>
      <c r="GB37" s="27"/>
      <c r="GC37" s="27"/>
      <c r="GD37" s="27"/>
      <c r="GE37" s="27"/>
      <c r="GF37" s="27"/>
      <c r="GG37" s="33"/>
      <c r="GH37" s="33">
        <f t="shared" si="45"/>
        <v>0</v>
      </c>
      <c r="GI37" s="2674"/>
      <c r="GK37" s="2">
        <f t="shared" si="110"/>
        <v>1386.6699999999998</v>
      </c>
      <c r="GL37" s="63">
        <f t="shared" si="111"/>
        <v>6859.49</v>
      </c>
      <c r="GM37" s="24">
        <f t="shared" si="112"/>
        <v>3656.59</v>
      </c>
      <c r="GN37" s="53">
        <f t="shared" si="46"/>
        <v>11902.75</v>
      </c>
      <c r="GO37" s="141"/>
      <c r="GP37" s="141"/>
      <c r="GQ37" s="33"/>
      <c r="GR37" s="2667"/>
      <c r="GS37" s="152">
        <v>3277</v>
      </c>
      <c r="GT37" s="27">
        <v>142.44999999999999</v>
      </c>
      <c r="GU37" s="27">
        <v>4627.43</v>
      </c>
      <c r="GV37" s="27">
        <v>3855.87</v>
      </c>
      <c r="GW37" s="33">
        <f t="shared" si="47"/>
        <v>11902.75</v>
      </c>
      <c r="GX37" s="2667"/>
      <c r="GY37" s="36"/>
      <c r="GZ37" s="36"/>
      <c r="HA37" s="27"/>
      <c r="HB37" s="27"/>
      <c r="HC37" s="27"/>
      <c r="HD37" s="27"/>
      <c r="HE37" s="27"/>
      <c r="HF37" s="27"/>
      <c r="HG37" s="27">
        <v>0</v>
      </c>
      <c r="HH37" s="27"/>
      <c r="HI37" s="2167">
        <v>1244.2199999999998</v>
      </c>
      <c r="HJ37" s="27"/>
      <c r="HK37" s="27">
        <v>142.44999999999999</v>
      </c>
      <c r="HL37" s="27"/>
      <c r="HM37" s="28">
        <f t="shared" si="121"/>
        <v>1386.6699999999998</v>
      </c>
      <c r="HN37" s="36"/>
      <c r="HO37" s="27"/>
      <c r="HP37" s="27"/>
      <c r="HQ37" s="27"/>
      <c r="HR37" s="27"/>
      <c r="HS37" s="27"/>
      <c r="HT37" s="27" cm="1">
        <f t="array" ref="HT37">SUMPRODUCT(('Data Base hauling'!$C$2:$C$216="TCM-ROM SB1 BK05-ROM 4")*(ISNUMBER(SEARCH(TEXT('May TCM'!$B37,"00")&amp;"/03/2026",'Data Base hauling'!$E$2:$E$216)))*'Data Base hauling'!$N$2:$N$216)</f>
        <v>0</v>
      </c>
      <c r="HU37" s="27"/>
      <c r="HV37" s="27" cm="1">
        <f t="array" ref="HV37">SUMPRODUCT(('Data Base hauling'!$C$2:$C$216="TCM-ROM SB1 BK05-ROM 5")*(ISNUMBER(SEARCH(TEXT('May TCM'!$B37,"00")&amp;"/03/2026",'Data Base hauling'!$E$2:$E$216)))*'Data Base hauling'!$N$2:$N$216)</f>
        <v>0</v>
      </c>
      <c r="HW37" s="27"/>
      <c r="HX37" s="27"/>
      <c r="HY37" s="27"/>
      <c r="HZ37" s="27"/>
      <c r="IA37" s="27"/>
      <c r="IB37" s="33">
        <f t="shared" si="49"/>
        <v>0</v>
      </c>
      <c r="IC37" s="52"/>
      <c r="ID37" s="152"/>
      <c r="IE37" s="53"/>
      <c r="IF37" s="53"/>
      <c r="IG37" s="53"/>
      <c r="IH37" s="53"/>
      <c r="II37" s="1736">
        <v>2480.6799999999998</v>
      </c>
      <c r="IJ37" s="1736"/>
      <c r="IK37" s="1736">
        <v>4303.8100000000004</v>
      </c>
      <c r="IL37" s="53"/>
      <c r="IM37" s="53">
        <v>0</v>
      </c>
      <c r="IN37" s="53"/>
      <c r="IO37" s="53"/>
      <c r="IP37" s="49">
        <v>75</v>
      </c>
      <c r="IQ37" s="61">
        <f t="shared" si="122"/>
        <v>6859.49</v>
      </c>
      <c r="IR37" s="36"/>
      <c r="IS37" s="36"/>
      <c r="IT37" s="27"/>
      <c r="IU37" s="27"/>
      <c r="IV37" s="53"/>
      <c r="IW37" s="27"/>
      <c r="IX37" s="27">
        <v>0</v>
      </c>
      <c r="IY37" s="27"/>
      <c r="IZ37" s="27">
        <v>3656.59</v>
      </c>
      <c r="JA37" s="27"/>
      <c r="JB37" s="27">
        <v>0</v>
      </c>
      <c r="JC37" s="27"/>
      <c r="JD37" s="27"/>
      <c r="JE37" s="27"/>
      <c r="JF37" s="33">
        <f t="shared" si="123"/>
        <v>3656.59</v>
      </c>
      <c r="JG37" s="2667"/>
      <c r="JI37" s="2020">
        <v>4853.54</v>
      </c>
      <c r="JJ37" s="2021">
        <v>7049.21</v>
      </c>
      <c r="JK37" s="53"/>
      <c r="JL37" s="53">
        <f t="shared" si="52"/>
        <v>11902.75</v>
      </c>
      <c r="JM37" s="33"/>
      <c r="JN37" s="2669"/>
      <c r="JO37" s="69">
        <v>0</v>
      </c>
      <c r="JP37" s="70">
        <v>0</v>
      </c>
      <c r="JQ37" s="70">
        <v>0</v>
      </c>
      <c r="JR37" s="70">
        <v>0</v>
      </c>
      <c r="JS37" s="70">
        <v>0.98454736130741682</v>
      </c>
      <c r="JT37" s="70">
        <v>0</v>
      </c>
      <c r="JU37" s="70">
        <v>0</v>
      </c>
      <c r="JV37" s="1922">
        <v>0</v>
      </c>
      <c r="JW37" s="69">
        <v>0</v>
      </c>
      <c r="JX37" s="70">
        <v>0</v>
      </c>
      <c r="JY37" s="70">
        <v>0</v>
      </c>
      <c r="JZ37" s="70">
        <v>0.35190893731354289</v>
      </c>
      <c r="KA37" s="70">
        <v>0.45137823954741024</v>
      </c>
      <c r="KB37" s="70">
        <v>0.17650488494455405</v>
      </c>
      <c r="KC37" s="70">
        <v>2.0207938194492715E-2</v>
      </c>
      <c r="KD37" s="71">
        <v>0</v>
      </c>
      <c r="KE37" s="69"/>
      <c r="KF37" s="70"/>
      <c r="KG37" s="70"/>
      <c r="KH37" s="70"/>
      <c r="KI37" s="70"/>
      <c r="KJ37" s="70"/>
      <c r="KK37" s="70"/>
      <c r="KL37" s="70"/>
      <c r="KM37" s="33"/>
      <c r="KN37" s="2669"/>
      <c r="KO37" s="1739">
        <v>6847</v>
      </c>
      <c r="KP37" s="1721">
        <v>1.03</v>
      </c>
      <c r="KQ37" s="1721">
        <v>2.78</v>
      </c>
      <c r="KR37" s="1721">
        <v>8.26</v>
      </c>
      <c r="KS37" s="1722">
        <v>11.397507999999998</v>
      </c>
      <c r="KT37" s="1958">
        <v>6696.0585241730278</v>
      </c>
      <c r="KU37" s="1961">
        <v>1.8150240316652531</v>
      </c>
      <c r="KV37" s="1961">
        <v>8.2362906417868249</v>
      </c>
      <c r="KW37" s="1961">
        <v>7.2685750636132305</v>
      </c>
      <c r="KX37" s="1962">
        <v>11.530425004240884</v>
      </c>
      <c r="KY37" s="36"/>
      <c r="KZ37" s="53"/>
      <c r="LA37" s="53"/>
      <c r="LB37" s="53"/>
      <c r="LC37" s="53"/>
      <c r="LD37" s="33"/>
      <c r="LE37" s="2669"/>
      <c r="LG37" s="26">
        <f t="shared" si="53"/>
        <v>0</v>
      </c>
      <c r="LH37" s="27">
        <f t="shared" si="53"/>
        <v>0</v>
      </c>
      <c r="LI37" s="27">
        <f t="shared" si="53"/>
        <v>0</v>
      </c>
      <c r="LJ37" s="28">
        <f t="shared" si="54"/>
        <v>0</v>
      </c>
      <c r="LK37" s="36"/>
      <c r="LL37" s="27"/>
      <c r="LM37" s="27">
        <v>3</v>
      </c>
      <c r="LN37" s="33"/>
      <c r="LO37" s="1041">
        <v>8.31</v>
      </c>
      <c r="LP37" s="486" t="s">
        <v>1001</v>
      </c>
      <c r="LQ37" s="2688"/>
      <c r="LR37" s="26"/>
      <c r="LS37" s="36"/>
      <c r="LT37" s="27"/>
      <c r="LU37" s="27"/>
      <c r="LV37" s="27"/>
      <c r="LW37" s="1107">
        <f t="shared" si="55"/>
        <v>0</v>
      </c>
      <c r="LX37" s="36"/>
      <c r="LY37" s="36"/>
      <c r="LZ37" s="27"/>
      <c r="MA37" s="27"/>
      <c r="MB37" s="33"/>
      <c r="MC37" s="28">
        <f t="shared" si="56"/>
        <v>0</v>
      </c>
      <c r="MD37" s="26"/>
      <c r="ME37" s="36"/>
      <c r="MF37" s="27"/>
      <c r="MG37" s="27"/>
      <c r="MH37" s="27"/>
      <c r="MI37" s="28"/>
      <c r="MJ37" s="36"/>
      <c r="MK37" s="36"/>
      <c r="ML37" s="27"/>
      <c r="MM37" s="27"/>
      <c r="MN37" s="27"/>
      <c r="MO37" s="28"/>
      <c r="MP37" s="36"/>
      <c r="MQ37" s="36"/>
      <c r="MR37" s="27"/>
      <c r="MS37" s="27"/>
      <c r="MT37" s="27"/>
      <c r="MU37" s="33">
        <f t="shared" si="57"/>
        <v>0</v>
      </c>
      <c r="MV37" s="2688"/>
      <c r="MX37" s="26">
        <f t="shared" si="58"/>
        <v>157809.65009662195</v>
      </c>
      <c r="MY37" s="27">
        <f t="shared" si="59"/>
        <v>95280.946491707859</v>
      </c>
      <c r="MZ37" s="27">
        <f t="shared" si="60"/>
        <v>24097.325253194555</v>
      </c>
      <c r="NA37" s="28">
        <f t="shared" si="61"/>
        <v>418192.41855851008</v>
      </c>
      <c r="NB37" s="2621"/>
      <c r="NC37" s="23">
        <f t="shared" si="62"/>
        <v>53496.590373462546</v>
      </c>
      <c r="ND37" s="1579">
        <f t="shared" si="63"/>
        <v>104313.05972315941</v>
      </c>
      <c r="NE37" s="60">
        <f t="shared" si="64"/>
        <v>0</v>
      </c>
      <c r="NF37" s="275">
        <f t="shared" si="4"/>
        <v>157809.65009662195</v>
      </c>
      <c r="NG37" s="26">
        <f t="shared" ref="NG37:NP40" si="135">+NG36+EF37-GY37</f>
        <v>0</v>
      </c>
      <c r="NH37" s="27">
        <f t="shared" si="135"/>
        <v>0</v>
      </c>
      <c r="NI37" s="27">
        <f t="shared" si="135"/>
        <v>0</v>
      </c>
      <c r="NJ37" s="27">
        <f t="shared" si="135"/>
        <v>0</v>
      </c>
      <c r="NK37" s="27">
        <f t="shared" si="135"/>
        <v>0</v>
      </c>
      <c r="NL37" s="33">
        <f t="shared" si="135"/>
        <v>0</v>
      </c>
      <c r="NM37" s="27">
        <f t="shared" si="135"/>
        <v>0</v>
      </c>
      <c r="NN37" s="152">
        <f t="shared" si="135"/>
        <v>0</v>
      </c>
      <c r="NO37" s="24">
        <f t="shared" si="135"/>
        <v>2449.1631443320584</v>
      </c>
      <c r="NP37" s="27">
        <f t="shared" si="135"/>
        <v>26196.696072681989</v>
      </c>
      <c r="NQ37" s="24">
        <f t="shared" si="113"/>
        <v>8756.5482322711578</v>
      </c>
      <c r="NR37" s="24">
        <f t="shared" si="114"/>
        <v>1060.06</v>
      </c>
      <c r="NS37" s="27">
        <f t="shared" si="0"/>
        <v>38462.467449285206</v>
      </c>
      <c r="NT37" s="27">
        <f t="shared" si="129"/>
        <v>0</v>
      </c>
      <c r="NU37" s="27">
        <f t="shared" si="129"/>
        <v>0</v>
      </c>
      <c r="NV37" s="27">
        <f t="shared" si="129"/>
        <v>0</v>
      </c>
      <c r="NW37" s="27">
        <f t="shared" si="129"/>
        <v>0</v>
      </c>
      <c r="NX37" s="27">
        <f t="shared" si="129"/>
        <v>0</v>
      </c>
      <c r="NY37" s="5">
        <f t="shared" si="129"/>
        <v>0</v>
      </c>
      <c r="NZ37" s="27">
        <f t="shared" si="129"/>
        <v>8903.3527301930735</v>
      </c>
      <c r="OA37" s="27">
        <f t="shared" si="129"/>
        <v>0</v>
      </c>
      <c r="OB37" s="27">
        <f t="shared" si="129"/>
        <v>34197.061841856768</v>
      </c>
      <c r="OC37" s="27"/>
      <c r="OD37" s="24">
        <f t="shared" si="130"/>
        <v>454.51223506073143</v>
      </c>
      <c r="OE37" s="27">
        <f t="shared" si="131"/>
        <v>0</v>
      </c>
      <c r="OF37" s="28">
        <f t="shared" si="1"/>
        <v>43554.926807110576</v>
      </c>
      <c r="OG37" s="27">
        <f t="shared" si="132"/>
        <v>0</v>
      </c>
      <c r="OH37" s="27">
        <f t="shared" si="132"/>
        <v>0</v>
      </c>
      <c r="OI37" s="27">
        <f t="shared" si="132"/>
        <v>0</v>
      </c>
      <c r="OJ37" s="27">
        <f t="shared" si="132"/>
        <v>0</v>
      </c>
      <c r="OK37" s="27">
        <f t="shared" si="132"/>
        <v>0</v>
      </c>
      <c r="OL37" s="27">
        <f t="shared" si="132"/>
        <v>0</v>
      </c>
      <c r="OM37" s="24">
        <f t="shared" si="132"/>
        <v>0</v>
      </c>
      <c r="ON37" s="27">
        <f t="shared" si="132"/>
        <v>0</v>
      </c>
      <c r="OO37" s="24">
        <f t="shared" si="115"/>
        <v>13263.552235312076</v>
      </c>
      <c r="OP37" s="27">
        <f t="shared" si="132"/>
        <v>0</v>
      </c>
      <c r="OQ37" s="27">
        <f t="shared" si="132"/>
        <v>0</v>
      </c>
      <c r="OR37" s="27">
        <f t="shared" si="132"/>
        <v>0</v>
      </c>
      <c r="OS37" s="28">
        <f t="shared" si="2"/>
        <v>13263.552235312076</v>
      </c>
      <c r="OT37" s="36"/>
      <c r="OU37" s="27"/>
      <c r="OV37" s="27"/>
      <c r="OW37" s="27"/>
      <c r="OX37" s="27"/>
      <c r="OY37" s="27"/>
      <c r="OZ37" s="28">
        <f t="shared" si="69"/>
        <v>0</v>
      </c>
      <c r="PA37" s="36">
        <f t="shared" si="70"/>
        <v>0</v>
      </c>
      <c r="PB37" s="27">
        <f t="shared" si="71"/>
        <v>0</v>
      </c>
      <c r="PC37" s="27">
        <f t="shared" si="72"/>
        <v>0</v>
      </c>
      <c r="PD37" s="27">
        <f t="shared" si="73"/>
        <v>0</v>
      </c>
      <c r="PE37" s="24"/>
      <c r="PF37" s="27">
        <f t="shared" si="74"/>
        <v>0</v>
      </c>
      <c r="PG37" s="33">
        <f t="shared" si="3"/>
        <v>0</v>
      </c>
      <c r="PH37" s="2621"/>
      <c r="PJ37" s="2">
        <v>1696.38</v>
      </c>
      <c r="PK37" s="3">
        <v>312.00000000000006</v>
      </c>
      <c r="PL37" s="3">
        <v>130.00000000000003</v>
      </c>
      <c r="PM37" s="3">
        <v>142.44999999999999</v>
      </c>
      <c r="PN37" s="3">
        <f t="shared" si="75"/>
        <v>30773.299776580694</v>
      </c>
      <c r="PO37" s="11">
        <f t="shared" si="76"/>
        <v>24097.325253194555</v>
      </c>
      <c r="PP37" s="15"/>
      <c r="PQ37" s="2615"/>
      <c r="PS37" s="4"/>
      <c r="PT37" s="9"/>
      <c r="PU37" s="9"/>
      <c r="PV37" s="9"/>
      <c r="PW37" s="8">
        <v>0</v>
      </c>
      <c r="PX37" s="9"/>
      <c r="PY37" s="8">
        <f t="shared" si="77"/>
        <v>0</v>
      </c>
      <c r="PZ37" s="5">
        <f t="shared" si="78"/>
        <v>1696.38</v>
      </c>
      <c r="QA37" s="5"/>
      <c r="QB37" s="5"/>
      <c r="QC37" s="5"/>
      <c r="QD37" s="5"/>
      <c r="QE37" s="5"/>
      <c r="QF37" s="12"/>
      <c r="QG37" s="12">
        <f t="shared" si="79"/>
        <v>29562.488999999998</v>
      </c>
      <c r="QH37" s="420">
        <f t="shared" si="80"/>
        <v>387665.28955851006</v>
      </c>
      <c r="QI37" s="1106">
        <f t="shared" si="81"/>
        <v>964.6400000000001</v>
      </c>
      <c r="QJ37" s="484">
        <f t="shared" si="82"/>
        <v>5505.3678056099998</v>
      </c>
      <c r="QK37" s="12"/>
      <c r="QL37" s="2615"/>
      <c r="QN37" s="139">
        <f t="shared" si="83"/>
        <v>0</v>
      </c>
      <c r="QO37" s="139" t="str">
        <f t="shared" si="84"/>
        <v/>
      </c>
      <c r="QQ37" s="139">
        <f t="shared" si="85"/>
        <v>0</v>
      </c>
      <c r="QR37" s="139">
        <f t="shared" si="86"/>
        <v>0</v>
      </c>
      <c r="QT37" s="1">
        <f t="shared" si="87"/>
        <v>0</v>
      </c>
      <c r="QU37" s="1">
        <f t="shared" si="88"/>
        <v>0</v>
      </c>
      <c r="QV37" s="1">
        <f t="shared" si="89"/>
        <v>0</v>
      </c>
      <c r="QW37" s="1">
        <f t="shared" si="90"/>
        <v>0</v>
      </c>
      <c r="QX37" s="1">
        <f t="shared" si="91"/>
        <v>0</v>
      </c>
      <c r="QY37" s="1">
        <f t="shared" si="92"/>
        <v>0</v>
      </c>
      <c r="RA37" s="1">
        <f t="shared" si="93"/>
        <v>0</v>
      </c>
      <c r="RB37" s="1">
        <f t="shared" si="94"/>
        <v>0</v>
      </c>
      <c r="RC37" s="1">
        <f t="shared" si="95"/>
        <v>0</v>
      </c>
      <c r="RD37" s="1">
        <f t="shared" si="96"/>
        <v>0</v>
      </c>
      <c r="RE37" s="1">
        <f t="shared" si="97"/>
        <v>0</v>
      </c>
      <c r="RF37" s="1">
        <f t="shared" si="98"/>
        <v>0</v>
      </c>
      <c r="RI37" s="1">
        <v>28</v>
      </c>
      <c r="RJ37" s="1">
        <f t="shared" si="124"/>
        <v>18781.765709717092</v>
      </c>
      <c r="RK37" s="1">
        <f t="shared" si="125"/>
        <v>1876.3612804837176</v>
      </c>
      <c r="RL37" s="1">
        <f t="shared" si="126"/>
        <v>13404.263703387322</v>
      </c>
      <c r="RM37" s="89">
        <f t="shared" si="5"/>
        <v>34062.390693588131</v>
      </c>
      <c r="RN37" s="1033">
        <v>28</v>
      </c>
      <c r="RO37" s="1098">
        <f t="shared" si="100"/>
        <v>0</v>
      </c>
      <c r="RP37" s="1098">
        <f t="shared" si="101"/>
        <v>0</v>
      </c>
      <c r="RQ37" s="1097">
        <f t="shared" si="102"/>
        <v>0</v>
      </c>
      <c r="RR37" s="1097">
        <f t="shared" si="103"/>
        <v>11017.3</v>
      </c>
      <c r="RS37" s="1046"/>
      <c r="RT37" s="1046" t="s">
        <v>1002</v>
      </c>
      <c r="RW37" s="421">
        <v>28</v>
      </c>
      <c r="RX37" s="1095">
        <f t="shared" si="104"/>
        <v>11902.75</v>
      </c>
      <c r="RY37" s="1050" t="s">
        <v>1003</v>
      </c>
      <c r="RZ37" s="1048"/>
      <c r="SA37" s="1090"/>
      <c r="SB37" s="1090">
        <f t="shared" si="105"/>
        <v>0</v>
      </c>
      <c r="SC37" s="1090"/>
      <c r="SD37" s="1090">
        <f t="shared" si="127"/>
        <v>0</v>
      </c>
      <c r="SF37" s="1">
        <v>28</v>
      </c>
      <c r="SG37" s="1">
        <f t="shared" si="107"/>
        <v>142.44999999999999</v>
      </c>
      <c r="SH37" s="1094" t="s">
        <v>1004</v>
      </c>
    </row>
    <row r="38" spans="1:502" s="1" customFormat="1">
      <c r="B38" s="471">
        <v>29</v>
      </c>
      <c r="C38" s="4">
        <f t="shared" si="6"/>
        <v>110245</v>
      </c>
      <c r="D38" s="1726">
        <f t="shared" si="119"/>
        <v>8250.0732000000007</v>
      </c>
      <c r="E38" s="1895">
        <f t="shared" si="7"/>
        <v>13.362911737558886</v>
      </c>
      <c r="F38" s="870"/>
      <c r="G38" s="870"/>
      <c r="H38" s="52">
        <v>55</v>
      </c>
      <c r="I38" s="61">
        <v>8.67</v>
      </c>
      <c r="J38" s="52"/>
      <c r="K38" s="54"/>
      <c r="L38" s="52">
        <v>13.5</v>
      </c>
      <c r="M38" s="61">
        <v>5.13</v>
      </c>
      <c r="N38" s="2629"/>
      <c r="O38" s="4">
        <f t="shared" si="118"/>
        <v>70560</v>
      </c>
      <c r="P38" s="5">
        <f t="shared" si="8"/>
        <v>6476.34</v>
      </c>
      <c r="Q38" s="1913">
        <f t="shared" si="9"/>
        <v>10.895042570340655</v>
      </c>
      <c r="R38" s="33"/>
      <c r="S38" s="26">
        <f t="shared" si="10"/>
        <v>25666</v>
      </c>
      <c r="T38" s="27">
        <f t="shared" si="109"/>
        <v>1773.7331999999999</v>
      </c>
      <c r="U38" s="1909">
        <f t="shared" si="11"/>
        <v>14.470045438626283</v>
      </c>
      <c r="V38" s="28"/>
      <c r="W38" s="26">
        <f t="shared" si="12"/>
        <v>14019</v>
      </c>
      <c r="X38" s="5">
        <f t="shared" si="12"/>
        <v>0</v>
      </c>
      <c r="Y38" s="325">
        <f t="shared" si="13"/>
        <v>0</v>
      </c>
      <c r="Z38" s="33"/>
      <c r="AA38" s="26">
        <f t="shared" si="14"/>
        <v>0</v>
      </c>
      <c r="AB38" s="27">
        <f t="shared" si="15"/>
        <v>0</v>
      </c>
      <c r="AC38" s="53">
        <f t="shared" si="16"/>
        <v>0</v>
      </c>
      <c r="AD38" s="28"/>
      <c r="AE38" s="36"/>
      <c r="AF38" s="36"/>
      <c r="AG38" s="53">
        <f t="shared" si="17"/>
        <v>0</v>
      </c>
      <c r="AH38" s="28"/>
      <c r="AI38" s="23"/>
      <c r="AJ38" s="27"/>
      <c r="AK38" s="53">
        <f t="shared" si="18"/>
        <v>0</v>
      </c>
      <c r="AL38" s="28"/>
      <c r="AM38" s="2629"/>
      <c r="AN38" s="9"/>
      <c r="AO38" s="5"/>
      <c r="AP38" s="61">
        <f t="shared" si="19"/>
        <v>0</v>
      </c>
      <c r="AQ38" s="36"/>
      <c r="AR38" s="53"/>
      <c r="AS38" s="61">
        <f t="shared" si="20"/>
        <v>0</v>
      </c>
      <c r="AT38" s="36"/>
      <c r="AU38" s="27"/>
      <c r="AV38" s="54">
        <f t="shared" si="21"/>
        <v>0</v>
      </c>
      <c r="AW38" s="26">
        <v>37380</v>
      </c>
      <c r="AX38" s="27">
        <v>3035.18</v>
      </c>
      <c r="AY38" s="1895">
        <f t="shared" si="116"/>
        <v>12.315579306663857</v>
      </c>
      <c r="AZ38" s="1908"/>
      <c r="BA38" s="1909"/>
      <c r="BB38" s="1895">
        <f t="shared" si="22"/>
        <v>0</v>
      </c>
      <c r="BC38" s="1908">
        <v>33180</v>
      </c>
      <c r="BD38" s="1909">
        <v>3441.1600000000003</v>
      </c>
      <c r="BE38" s="1895">
        <f t="shared" si="23"/>
        <v>9.6420974322612132</v>
      </c>
      <c r="BF38" s="1908"/>
      <c r="BG38" s="1909"/>
      <c r="BH38" s="1895">
        <f t="shared" si="24"/>
        <v>0</v>
      </c>
      <c r="BI38" s="1908">
        <v>0</v>
      </c>
      <c r="BJ38" s="1909">
        <v>0</v>
      </c>
      <c r="BK38" s="1895">
        <f t="shared" si="25"/>
        <v>0</v>
      </c>
      <c r="BL38" s="1742">
        <v>25666</v>
      </c>
      <c r="BM38" s="1909">
        <v>1733.03</v>
      </c>
      <c r="BN38" s="2170">
        <v>40.703199999999995</v>
      </c>
      <c r="BO38" s="1895">
        <f t="shared" si="26"/>
        <v>14.809899424707016</v>
      </c>
      <c r="BP38" s="36"/>
      <c r="BQ38" s="53"/>
      <c r="BR38" s="61">
        <f t="shared" si="27"/>
        <v>0</v>
      </c>
      <c r="BS38" s="36"/>
      <c r="BT38" s="27"/>
      <c r="BU38" s="61">
        <f t="shared" si="28"/>
        <v>0</v>
      </c>
      <c r="BV38" s="36">
        <v>14019</v>
      </c>
      <c r="BW38" s="5">
        <v>0</v>
      </c>
      <c r="BX38" s="28">
        <f t="shared" si="29"/>
        <v>0</v>
      </c>
      <c r="BY38" s="26"/>
      <c r="BZ38" s="5"/>
      <c r="CA38" s="61">
        <f t="shared" si="30"/>
        <v>0</v>
      </c>
      <c r="CB38" s="36"/>
      <c r="CC38" s="5"/>
      <c r="CD38" s="61">
        <f t="shared" si="31"/>
        <v>0</v>
      </c>
      <c r="CE38" s="26"/>
      <c r="CF38" s="5"/>
      <c r="CG38" s="28">
        <f t="shared" si="32"/>
        <v>0</v>
      </c>
      <c r="CH38" s="150"/>
      <c r="CI38" s="9"/>
      <c r="CJ38" s="5"/>
      <c r="CK38" s="5">
        <v>2692</v>
      </c>
      <c r="CL38" s="5"/>
      <c r="CM38" s="5"/>
      <c r="CN38" s="5"/>
      <c r="CO38" s="33"/>
      <c r="CP38" s="366"/>
      <c r="CR38" s="4">
        <f t="shared" si="134"/>
        <v>0</v>
      </c>
      <c r="CS38" s="9">
        <f t="shared" si="134"/>
        <v>0</v>
      </c>
      <c r="CT38" s="5">
        <f t="shared" si="134"/>
        <v>0</v>
      </c>
      <c r="CU38" s="5">
        <f t="shared" si="133"/>
        <v>0</v>
      </c>
      <c r="CV38" s="5">
        <f t="shared" si="133"/>
        <v>0</v>
      </c>
      <c r="CW38" s="5">
        <f t="shared" si="133"/>
        <v>0</v>
      </c>
      <c r="CX38" s="5">
        <f t="shared" si="133"/>
        <v>2095.1999999999998</v>
      </c>
      <c r="CY38" s="5">
        <f t="shared" si="133"/>
        <v>0</v>
      </c>
      <c r="CZ38" s="5">
        <f t="shared" si="133"/>
        <v>6114.17</v>
      </c>
      <c r="DA38" s="5">
        <f t="shared" si="133"/>
        <v>0</v>
      </c>
      <c r="DB38" s="5">
        <f t="shared" si="133"/>
        <v>0</v>
      </c>
      <c r="DC38" s="12">
        <f t="shared" si="133"/>
        <v>0</v>
      </c>
      <c r="DD38" s="310">
        <f>SUM(CR38:DC38,PW38)</f>
        <v>8209.369999999999</v>
      </c>
      <c r="DE38" s="2695"/>
      <c r="DF38" s="8"/>
      <c r="DG38" s="9"/>
      <c r="DH38" s="5"/>
      <c r="DI38" s="5"/>
      <c r="DJ38" s="5"/>
      <c r="DK38" s="5"/>
      <c r="DL38" s="5">
        <v>2095.1999999999998</v>
      </c>
      <c r="DM38" s="5"/>
      <c r="DN38" s="5">
        <v>939.98</v>
      </c>
      <c r="DO38" s="5"/>
      <c r="DP38" s="5"/>
      <c r="DQ38" s="12"/>
      <c r="DR38" s="28">
        <f t="shared" si="35"/>
        <v>3035.18</v>
      </c>
      <c r="DS38" s="36"/>
      <c r="DT38" s="36"/>
      <c r="DU38" s="27"/>
      <c r="DV38" s="27"/>
      <c r="DW38" s="27"/>
      <c r="DX38" s="27"/>
      <c r="DY38" s="27"/>
      <c r="DZ38" s="27"/>
      <c r="EA38" s="27">
        <v>5174.1899999999996</v>
      </c>
      <c r="EB38" s="27"/>
      <c r="EC38" s="27">
        <v>0</v>
      </c>
      <c r="ED38" s="33"/>
      <c r="EE38" s="28">
        <f t="shared" si="36"/>
        <v>5174.1899999999996</v>
      </c>
      <c r="EF38" s="36"/>
      <c r="EG38" s="36"/>
      <c r="EH38" s="27"/>
      <c r="EI38" s="27"/>
      <c r="EJ38" s="27"/>
      <c r="EK38" s="27"/>
      <c r="EL38" s="27"/>
      <c r="EM38" s="27"/>
      <c r="EN38" s="5"/>
      <c r="EO38" s="5"/>
      <c r="EP38" s="5">
        <v>0</v>
      </c>
      <c r="EQ38" s="33"/>
      <c r="ER38" s="28">
        <f t="shared" si="120"/>
        <v>0</v>
      </c>
      <c r="ES38" s="36"/>
      <c r="ET38" s="27"/>
      <c r="EU38" s="27"/>
      <c r="EV38" s="27"/>
      <c r="EW38" s="27"/>
      <c r="EX38" s="27"/>
      <c r="EY38" s="33">
        <f t="shared" si="38"/>
        <v>0</v>
      </c>
      <c r="EZ38" s="2685"/>
      <c r="FB38" s="4">
        <f t="shared" si="39"/>
        <v>0</v>
      </c>
      <c r="FC38" s="5">
        <f t="shared" si="40"/>
        <v>0</v>
      </c>
      <c r="FD38" s="5">
        <f t="shared" si="41"/>
        <v>0</v>
      </c>
      <c r="FE38" s="12">
        <f t="shared" si="42"/>
        <v>0</v>
      </c>
      <c r="FF38" s="33"/>
      <c r="FG38" s="2674"/>
      <c r="FH38" s="9"/>
      <c r="FI38" s="5"/>
      <c r="FJ38" s="5"/>
      <c r="FK38" s="5"/>
      <c r="FL38" s="5"/>
      <c r="FM38" s="27"/>
      <c r="FN38" s="28">
        <f t="shared" si="43"/>
        <v>0</v>
      </c>
      <c r="FO38" s="36"/>
      <c r="FP38" s="27"/>
      <c r="FQ38" s="27"/>
      <c r="FR38" s="27"/>
      <c r="FS38" s="27"/>
      <c r="FT38" s="27"/>
      <c r="FU38" s="28">
        <f t="shared" si="44"/>
        <v>0</v>
      </c>
      <c r="FV38" s="36"/>
      <c r="FW38" s="36"/>
      <c r="FX38" s="27"/>
      <c r="FY38" s="27"/>
      <c r="FZ38" s="27"/>
      <c r="GA38" s="27"/>
      <c r="GB38" s="27"/>
      <c r="GC38" s="27"/>
      <c r="GD38" s="27"/>
      <c r="GE38" s="27"/>
      <c r="GF38" s="27"/>
      <c r="GG38" s="33"/>
      <c r="GH38" s="33">
        <f t="shared" si="45"/>
        <v>0</v>
      </c>
      <c r="GI38" s="2674"/>
      <c r="GK38" s="2">
        <f t="shared" si="110"/>
        <v>0</v>
      </c>
      <c r="GL38" s="63">
        <f t="shared" si="111"/>
        <v>4133.3200000000006</v>
      </c>
      <c r="GM38" s="24">
        <f t="shared" si="112"/>
        <v>6665.3300000000008</v>
      </c>
      <c r="GN38" s="53">
        <f t="shared" si="46"/>
        <v>10798.650000000001</v>
      </c>
      <c r="GO38" s="141"/>
      <c r="GP38" s="141"/>
      <c r="GQ38" s="33"/>
      <c r="GR38" s="2667"/>
      <c r="GS38" s="152">
        <v>3198.95</v>
      </c>
      <c r="GT38" s="27">
        <v>0</v>
      </c>
      <c r="GU38" s="27">
        <v>3925.83</v>
      </c>
      <c r="GV38" s="27">
        <v>3673.8700000000003</v>
      </c>
      <c r="GW38" s="33">
        <f t="shared" si="47"/>
        <v>10798.65</v>
      </c>
      <c r="GX38" s="2667"/>
      <c r="GY38" s="36"/>
      <c r="GZ38" s="36"/>
      <c r="HA38" s="27"/>
      <c r="HB38" s="27"/>
      <c r="HC38" s="27"/>
      <c r="HD38" s="27"/>
      <c r="HE38" s="27"/>
      <c r="HF38" s="27"/>
      <c r="HG38" s="27">
        <v>0</v>
      </c>
      <c r="HH38" s="27"/>
      <c r="HI38" s="2167">
        <v>0</v>
      </c>
      <c r="HJ38" s="27"/>
      <c r="HK38" s="27">
        <v>0</v>
      </c>
      <c r="HL38" s="27"/>
      <c r="HM38" s="28">
        <f t="shared" si="121"/>
        <v>0</v>
      </c>
      <c r="HN38" s="36"/>
      <c r="HO38" s="27"/>
      <c r="HP38" s="27"/>
      <c r="HQ38" s="27"/>
      <c r="HR38" s="27"/>
      <c r="HS38" s="27"/>
      <c r="HT38" s="27" cm="1">
        <f t="array" ref="HT38">SUMPRODUCT(('Data Base hauling'!$C$2:$C$216="TCM-ROM SB1 BK05-ROM 4")*(ISNUMBER(SEARCH(TEXT('May TCM'!$B38,"00")&amp;"/03/2026",'Data Base hauling'!$E$2:$E$216)))*'Data Base hauling'!$N$2:$N$216)</f>
        <v>0</v>
      </c>
      <c r="HU38" s="27"/>
      <c r="HV38" s="27" cm="1">
        <f t="array" ref="HV38">SUMPRODUCT(('Data Base hauling'!$C$2:$C$216="TCM-ROM SB1 BK05-ROM 5")*(ISNUMBER(SEARCH(TEXT('May TCM'!$B38,"00")&amp;"/03/2026",'Data Base hauling'!$E$2:$E$216)))*'Data Base hauling'!$N$2:$N$216)</f>
        <v>0</v>
      </c>
      <c r="HW38" s="27"/>
      <c r="HX38" s="27"/>
      <c r="HY38" s="27"/>
      <c r="HZ38" s="27"/>
      <c r="IA38" s="27"/>
      <c r="IB38" s="33">
        <f t="shared" si="49"/>
        <v>0</v>
      </c>
      <c r="IC38" s="52"/>
      <c r="ID38" s="152"/>
      <c r="IE38" s="53"/>
      <c r="IF38" s="53"/>
      <c r="IG38" s="53"/>
      <c r="IH38" s="53"/>
      <c r="II38" s="53">
        <v>142.80000000000001</v>
      </c>
      <c r="IJ38" s="53"/>
      <c r="IK38" s="53">
        <v>3990.5200000000004</v>
      </c>
      <c r="IL38" s="53"/>
      <c r="IM38" s="53">
        <v>0</v>
      </c>
      <c r="IN38" s="53"/>
      <c r="IO38" s="53"/>
      <c r="IP38" s="49">
        <v>0</v>
      </c>
      <c r="IQ38" s="61">
        <f t="shared" si="122"/>
        <v>4133.3200000000006</v>
      </c>
      <c r="IR38" s="36"/>
      <c r="IS38" s="36"/>
      <c r="IT38" s="27"/>
      <c r="IU38" s="27"/>
      <c r="IV38" s="53"/>
      <c r="IW38" s="53"/>
      <c r="IX38" s="53">
        <v>0</v>
      </c>
      <c r="IY38" s="53"/>
      <c r="IZ38" s="27">
        <v>6665.3300000000008</v>
      </c>
      <c r="JA38" s="53"/>
      <c r="JB38" s="27">
        <v>0</v>
      </c>
      <c r="JC38" s="27"/>
      <c r="JD38" s="27"/>
      <c r="JE38" s="27"/>
      <c r="JF38" s="33">
        <f t="shared" si="123"/>
        <v>6665.3300000000008</v>
      </c>
      <c r="JG38" s="2667"/>
      <c r="JI38" s="2020">
        <v>10798.649999999998</v>
      </c>
      <c r="JJ38" s="2021">
        <v>0</v>
      </c>
      <c r="JK38" s="27"/>
      <c r="JL38" s="53">
        <f t="shared" si="52"/>
        <v>10798.649999999998</v>
      </c>
      <c r="JM38" s="33"/>
      <c r="JN38" s="2669"/>
      <c r="JO38" s="69">
        <v>0</v>
      </c>
      <c r="JP38" s="70">
        <v>0</v>
      </c>
      <c r="JQ38" s="70">
        <v>0</v>
      </c>
      <c r="JR38" s="70">
        <v>1.3223875206623053E-2</v>
      </c>
      <c r="JS38" s="70">
        <v>0.98677612479337706</v>
      </c>
      <c r="JT38" s="70">
        <v>0</v>
      </c>
      <c r="JU38" s="70">
        <v>0</v>
      </c>
      <c r="JV38" s="1922">
        <v>0</v>
      </c>
      <c r="JW38" s="69" t="s">
        <v>296</v>
      </c>
      <c r="JX38" s="70" t="s">
        <v>296</v>
      </c>
      <c r="JY38" s="70" t="s">
        <v>296</v>
      </c>
      <c r="JZ38" s="70" t="s">
        <v>296</v>
      </c>
      <c r="KA38" s="70" t="s">
        <v>296</v>
      </c>
      <c r="KB38" s="70" t="s">
        <v>296</v>
      </c>
      <c r="KC38" s="70" t="s">
        <v>296</v>
      </c>
      <c r="KD38" s="71" t="s">
        <v>296</v>
      </c>
      <c r="KE38" s="69"/>
      <c r="KF38" s="70"/>
      <c r="KG38" s="70"/>
      <c r="KH38" s="70"/>
      <c r="KI38" s="70"/>
      <c r="KJ38" s="70"/>
      <c r="KK38" s="70"/>
      <c r="KL38" s="70"/>
      <c r="KM38" s="33"/>
      <c r="KN38" s="2669"/>
      <c r="KO38" s="1739">
        <v>7021.7440426902203</v>
      </c>
      <c r="KP38" s="1721">
        <v>1.1053362774864293</v>
      </c>
      <c r="KQ38" s="1721">
        <v>2.9888287790965129</v>
      </c>
      <c r="KR38" s="1721">
        <v>7.5313773116202052</v>
      </c>
      <c r="KS38" s="1722">
        <v>10.54936242671819</v>
      </c>
      <c r="KT38" s="1958">
        <v>0</v>
      </c>
      <c r="KU38" s="1961">
        <v>0</v>
      </c>
      <c r="KV38" s="1961">
        <v>0</v>
      </c>
      <c r="KW38" s="1961">
        <v>0</v>
      </c>
      <c r="KX38" s="1962">
        <v>0</v>
      </c>
      <c r="KY38" s="36"/>
      <c r="KZ38" s="53"/>
      <c r="LA38" s="53"/>
      <c r="LB38" s="53"/>
      <c r="LC38" s="53"/>
      <c r="LD38" s="33"/>
      <c r="LE38" s="2669"/>
      <c r="LG38" s="26">
        <f t="shared" si="53"/>
        <v>0</v>
      </c>
      <c r="LH38" s="27">
        <f t="shared" si="53"/>
        <v>0</v>
      </c>
      <c r="LI38" s="27">
        <f t="shared" si="53"/>
        <v>0</v>
      </c>
      <c r="LJ38" s="28">
        <f t="shared" si="54"/>
        <v>0</v>
      </c>
      <c r="LK38" s="36"/>
      <c r="LL38" s="27"/>
      <c r="LM38" s="27"/>
      <c r="LN38" s="33"/>
      <c r="LO38" s="1041">
        <v>8.09</v>
      </c>
      <c r="LP38" s="486"/>
      <c r="LQ38" s="2688"/>
      <c r="LR38" s="26"/>
      <c r="LS38" s="36"/>
      <c r="LT38" s="27"/>
      <c r="LU38" s="27"/>
      <c r="LV38" s="27"/>
      <c r="LW38" s="1107">
        <f t="shared" si="55"/>
        <v>0</v>
      </c>
      <c r="LX38" s="36"/>
      <c r="LY38" s="36"/>
      <c r="LZ38" s="27"/>
      <c r="MA38" s="27"/>
      <c r="MB38" s="33"/>
      <c r="MC38" s="28">
        <f t="shared" si="56"/>
        <v>0</v>
      </c>
      <c r="MD38" s="26"/>
      <c r="ME38" s="36"/>
      <c r="MF38" s="27"/>
      <c r="MG38" s="27"/>
      <c r="MH38" s="27"/>
      <c r="MI38" s="28"/>
      <c r="MJ38" s="36"/>
      <c r="MK38" s="36"/>
      <c r="ML38" s="27"/>
      <c r="MM38" s="27"/>
      <c r="MN38" s="27"/>
      <c r="MO38" s="28"/>
      <c r="MP38" s="36"/>
      <c r="MQ38" s="36"/>
      <c r="MR38" s="27"/>
      <c r="MS38" s="27"/>
      <c r="MT38" s="27"/>
      <c r="MU38" s="33">
        <f t="shared" si="57"/>
        <v>0</v>
      </c>
      <c r="MV38" s="2688"/>
      <c r="MX38" s="26">
        <f t="shared" si="58"/>
        <v>168608.30009662197</v>
      </c>
      <c r="MY38" s="27">
        <f t="shared" si="59"/>
        <v>92691.666491707874</v>
      </c>
      <c r="MZ38" s="27">
        <f t="shared" si="60"/>
        <v>24097.325253194555</v>
      </c>
      <c r="NA38" s="28">
        <f t="shared" si="61"/>
        <v>418001.9385585101</v>
      </c>
      <c r="NB38" s="2621"/>
      <c r="NC38" s="23">
        <f t="shared" si="62"/>
        <v>64295.24037346254</v>
      </c>
      <c r="ND38" s="1579">
        <f t="shared" si="63"/>
        <v>104313.05972315941</v>
      </c>
      <c r="NE38" s="60">
        <f t="shared" si="64"/>
        <v>0</v>
      </c>
      <c r="NF38" s="275">
        <f t="shared" si="4"/>
        <v>168608.30009662197</v>
      </c>
      <c r="NG38" s="26">
        <f t="shared" si="135"/>
        <v>0</v>
      </c>
      <c r="NH38" s="27">
        <f t="shared" si="135"/>
        <v>0</v>
      </c>
      <c r="NI38" s="27">
        <f t="shared" si="135"/>
        <v>0</v>
      </c>
      <c r="NJ38" s="27">
        <f t="shared" si="135"/>
        <v>0</v>
      </c>
      <c r="NK38" s="27">
        <f t="shared" si="135"/>
        <v>0</v>
      </c>
      <c r="NL38" s="33">
        <f t="shared" si="135"/>
        <v>0</v>
      </c>
      <c r="NM38" s="27">
        <f t="shared" si="135"/>
        <v>0</v>
      </c>
      <c r="NN38" s="152">
        <f t="shared" si="135"/>
        <v>0</v>
      </c>
      <c r="NO38" s="24">
        <f t="shared" si="135"/>
        <v>2449.1631443320584</v>
      </c>
      <c r="NP38" s="27">
        <f t="shared" si="135"/>
        <v>26196.696072681989</v>
      </c>
      <c r="NQ38" s="24">
        <f t="shared" si="113"/>
        <v>8756.5482322711578</v>
      </c>
      <c r="NR38" s="24">
        <f t="shared" si="114"/>
        <v>1060.06</v>
      </c>
      <c r="NS38" s="27">
        <f t="shared" si="0"/>
        <v>38462.467449285206</v>
      </c>
      <c r="NT38" s="27">
        <f t="shared" si="129"/>
        <v>0</v>
      </c>
      <c r="NU38" s="27">
        <f t="shared" si="129"/>
        <v>0</v>
      </c>
      <c r="NV38" s="27">
        <f t="shared" si="129"/>
        <v>0</v>
      </c>
      <c r="NW38" s="27">
        <f t="shared" si="129"/>
        <v>0</v>
      </c>
      <c r="NX38" s="5">
        <f t="shared" si="129"/>
        <v>0</v>
      </c>
      <c r="NY38" s="5">
        <f t="shared" si="129"/>
        <v>0</v>
      </c>
      <c r="NZ38" s="27">
        <f t="shared" si="129"/>
        <v>10855.752730193075</v>
      </c>
      <c r="OA38" s="27">
        <f t="shared" si="129"/>
        <v>0</v>
      </c>
      <c r="OB38" s="27">
        <f t="shared" si="129"/>
        <v>31146.521841856771</v>
      </c>
      <c r="OC38" s="27"/>
      <c r="OD38" s="24">
        <f t="shared" si="130"/>
        <v>454.51223506073143</v>
      </c>
      <c r="OE38" s="27">
        <f t="shared" si="131"/>
        <v>0</v>
      </c>
      <c r="OF38" s="28">
        <f t="shared" si="1"/>
        <v>42456.786807110584</v>
      </c>
      <c r="OG38" s="27">
        <f t="shared" si="132"/>
        <v>0</v>
      </c>
      <c r="OH38" s="27">
        <f t="shared" si="132"/>
        <v>0</v>
      </c>
      <c r="OI38" s="27">
        <f t="shared" si="132"/>
        <v>0</v>
      </c>
      <c r="OJ38" s="27">
        <f t="shared" si="132"/>
        <v>0</v>
      </c>
      <c r="OK38" s="27">
        <f t="shared" si="132"/>
        <v>0</v>
      </c>
      <c r="OL38" s="27">
        <f t="shared" si="132"/>
        <v>0</v>
      </c>
      <c r="OM38" s="24">
        <f t="shared" si="132"/>
        <v>0</v>
      </c>
      <c r="ON38" s="27">
        <f t="shared" si="132"/>
        <v>0</v>
      </c>
      <c r="OO38" s="24">
        <f t="shared" si="115"/>
        <v>11772.412235312073</v>
      </c>
      <c r="OP38" s="27">
        <f t="shared" si="132"/>
        <v>0</v>
      </c>
      <c r="OQ38" s="27">
        <f t="shared" si="132"/>
        <v>0</v>
      </c>
      <c r="OR38" s="27">
        <f t="shared" si="132"/>
        <v>0</v>
      </c>
      <c r="OS38" s="28">
        <f t="shared" si="2"/>
        <v>11772.412235312073</v>
      </c>
      <c r="OT38" s="36"/>
      <c r="OU38" s="27"/>
      <c r="OV38" s="27"/>
      <c r="OW38" s="27"/>
      <c r="OX38" s="27"/>
      <c r="OY38" s="27"/>
      <c r="OZ38" s="28">
        <f t="shared" si="69"/>
        <v>0</v>
      </c>
      <c r="PA38" s="36">
        <f t="shared" si="70"/>
        <v>0</v>
      </c>
      <c r="PB38" s="27">
        <f t="shared" si="71"/>
        <v>0</v>
      </c>
      <c r="PC38" s="27">
        <f t="shared" si="72"/>
        <v>0</v>
      </c>
      <c r="PD38" s="27">
        <f t="shared" si="73"/>
        <v>0</v>
      </c>
      <c r="PE38" s="24"/>
      <c r="PF38" s="27">
        <f t="shared" si="74"/>
        <v>0</v>
      </c>
      <c r="PG38" s="33">
        <f t="shared" si="3"/>
        <v>0</v>
      </c>
      <c r="PH38" s="2621"/>
      <c r="PJ38" s="2">
        <v>190.48</v>
      </c>
      <c r="PK38" s="3">
        <v>0</v>
      </c>
      <c r="PL38" s="3">
        <v>0</v>
      </c>
      <c r="PM38" s="3">
        <v>0</v>
      </c>
      <c r="PN38" s="3">
        <f t="shared" si="75"/>
        <v>30963.779776580694</v>
      </c>
      <c r="PO38" s="11">
        <f t="shared" si="76"/>
        <v>24097.325253194555</v>
      </c>
      <c r="PP38" s="15"/>
      <c r="PQ38" s="2615"/>
      <c r="PS38" s="4"/>
      <c r="PT38" s="9"/>
      <c r="PU38" s="9"/>
      <c r="PV38" s="9"/>
      <c r="PW38" s="8">
        <v>0</v>
      </c>
      <c r="PX38" s="9"/>
      <c r="PY38" s="8">
        <f t="shared" si="77"/>
        <v>0</v>
      </c>
      <c r="PZ38" s="5">
        <f t="shared" si="78"/>
        <v>190.48</v>
      </c>
      <c r="QA38" s="5"/>
      <c r="QB38" s="5"/>
      <c r="QC38" s="5"/>
      <c r="QD38" s="5"/>
      <c r="QE38" s="5"/>
      <c r="QF38" s="12"/>
      <c r="QG38" s="12">
        <f t="shared" si="79"/>
        <v>29562.488999999998</v>
      </c>
      <c r="QH38" s="420">
        <f t="shared" si="80"/>
        <v>387474.80955851008</v>
      </c>
      <c r="QI38" s="1106">
        <f t="shared" si="81"/>
        <v>964.6400000000001</v>
      </c>
      <c r="QJ38" s="484">
        <f t="shared" si="82"/>
        <v>5505.3678056099998</v>
      </c>
      <c r="QK38" s="12"/>
      <c r="QL38" s="2615"/>
      <c r="QN38" s="139">
        <f t="shared" si="83"/>
        <v>0</v>
      </c>
      <c r="QO38" s="139" t="str">
        <f t="shared" si="84"/>
        <v/>
      </c>
      <c r="QQ38" s="139">
        <f t="shared" si="85"/>
        <v>0</v>
      </c>
      <c r="QR38" s="139">
        <f t="shared" si="86"/>
        <v>0</v>
      </c>
      <c r="QT38" s="1">
        <f t="shared" si="87"/>
        <v>0</v>
      </c>
      <c r="QU38" s="1">
        <f t="shared" si="88"/>
        <v>0</v>
      </c>
      <c r="QV38" s="1">
        <f t="shared" si="89"/>
        <v>0</v>
      </c>
      <c r="QW38" s="1">
        <f t="shared" si="90"/>
        <v>0</v>
      </c>
      <c r="QX38" s="1">
        <f t="shared" si="91"/>
        <v>0</v>
      </c>
      <c r="QY38" s="1">
        <f t="shared" si="92"/>
        <v>0</v>
      </c>
      <c r="RA38" s="1">
        <f t="shared" si="93"/>
        <v>0</v>
      </c>
      <c r="RB38" s="1">
        <f t="shared" si="94"/>
        <v>0</v>
      </c>
      <c r="RC38" s="1">
        <f t="shared" si="95"/>
        <v>0</v>
      </c>
      <c r="RD38" s="1">
        <f t="shared" si="96"/>
        <v>0</v>
      </c>
      <c r="RE38" s="1">
        <f t="shared" si="97"/>
        <v>0</v>
      </c>
      <c r="RF38" s="1">
        <f t="shared" si="98"/>
        <v>0</v>
      </c>
      <c r="RI38" s="1">
        <v>29</v>
      </c>
      <c r="RJ38" s="1">
        <f t="shared" si="124"/>
        <v>29580.41570971709</v>
      </c>
      <c r="RK38" s="1">
        <f t="shared" si="125"/>
        <v>1876.3612804837176</v>
      </c>
      <c r="RL38" s="1">
        <f t="shared" si="126"/>
        <v>13404.263703387322</v>
      </c>
      <c r="RM38" s="89">
        <f t="shared" si="5"/>
        <v>44861.040693588133</v>
      </c>
      <c r="RN38" s="1033">
        <v>29</v>
      </c>
      <c r="RO38" s="1098">
        <f t="shared" si="100"/>
        <v>0</v>
      </c>
      <c r="RP38" s="1098">
        <f t="shared" si="101"/>
        <v>0</v>
      </c>
      <c r="RQ38" s="1097">
        <f t="shared" si="102"/>
        <v>0</v>
      </c>
      <c r="RR38" s="1097">
        <f t="shared" si="103"/>
        <v>8209.3700000000008</v>
      </c>
      <c r="RS38" s="1094"/>
      <c r="RT38" s="1094" t="s">
        <v>1005</v>
      </c>
      <c r="RW38" s="421">
        <v>29</v>
      </c>
      <c r="RX38" s="1095">
        <f t="shared" si="104"/>
        <v>10798.65</v>
      </c>
      <c r="RY38" s="1096" t="s">
        <v>1006</v>
      </c>
      <c r="SA38" s="1090"/>
      <c r="SB38" s="1090">
        <f t="shared" si="105"/>
        <v>0</v>
      </c>
      <c r="SC38" s="1090"/>
      <c r="SD38" s="1090">
        <f t="shared" si="127"/>
        <v>0</v>
      </c>
      <c r="SF38" s="1">
        <v>29</v>
      </c>
      <c r="SG38" s="1">
        <f t="shared" si="107"/>
        <v>0</v>
      </c>
    </row>
    <row r="39" spans="1:502" s="1" customFormat="1">
      <c r="B39" s="471">
        <v>30</v>
      </c>
      <c r="C39" s="4">
        <f t="shared" si="6"/>
        <v>111908</v>
      </c>
      <c r="D39" s="1726">
        <f t="shared" si="119"/>
        <v>7895.3804</v>
      </c>
      <c r="E39" s="1895">
        <f t="shared" si="7"/>
        <v>14.173857918232793</v>
      </c>
      <c r="F39" s="870"/>
      <c r="G39" s="870"/>
      <c r="H39" s="52">
        <v>15</v>
      </c>
      <c r="I39" s="61">
        <v>7.3</v>
      </c>
      <c r="J39" s="52"/>
      <c r="K39" s="54"/>
      <c r="L39" s="52">
        <v>13</v>
      </c>
      <c r="M39" s="61">
        <v>6.67</v>
      </c>
      <c r="N39" s="2629"/>
      <c r="O39" s="4">
        <f t="shared" si="118"/>
        <v>65352</v>
      </c>
      <c r="P39" s="5">
        <f t="shared" si="8"/>
        <v>5353.4</v>
      </c>
      <c r="Q39" s="1913">
        <f t="shared" si="9"/>
        <v>12.207569021556395</v>
      </c>
      <c r="R39" s="33"/>
      <c r="S39" s="26">
        <f t="shared" si="10"/>
        <v>25292</v>
      </c>
      <c r="T39" s="27">
        <f t="shared" si="109"/>
        <v>2461.9803999999999</v>
      </c>
      <c r="U39" s="1909">
        <f t="shared" si="11"/>
        <v>10.273030605767618</v>
      </c>
      <c r="V39" s="28"/>
      <c r="W39" s="26">
        <f t="shared" si="12"/>
        <v>21264</v>
      </c>
      <c r="X39" s="5">
        <f t="shared" si="12"/>
        <v>80</v>
      </c>
      <c r="Y39" s="325">
        <f t="shared" si="13"/>
        <v>265.8</v>
      </c>
      <c r="Z39" s="33"/>
      <c r="AA39" s="26">
        <f t="shared" si="14"/>
        <v>0</v>
      </c>
      <c r="AB39" s="27">
        <f t="shared" si="15"/>
        <v>0</v>
      </c>
      <c r="AC39" s="53">
        <f t="shared" si="16"/>
        <v>0</v>
      </c>
      <c r="AD39" s="28"/>
      <c r="AE39" s="36"/>
      <c r="AF39" s="36"/>
      <c r="AG39" s="53">
        <f t="shared" si="17"/>
        <v>0</v>
      </c>
      <c r="AH39" s="28"/>
      <c r="AI39" s="26"/>
      <c r="AJ39" s="27"/>
      <c r="AK39" s="53">
        <f t="shared" si="18"/>
        <v>0</v>
      </c>
      <c r="AL39" s="28"/>
      <c r="AM39" s="2629"/>
      <c r="AN39" s="9"/>
      <c r="AO39" s="5"/>
      <c r="AP39" s="61">
        <f t="shared" si="19"/>
        <v>0</v>
      </c>
      <c r="AQ39" s="36"/>
      <c r="AR39" s="53"/>
      <c r="AS39" s="61">
        <f t="shared" si="20"/>
        <v>0</v>
      </c>
      <c r="AT39" s="36"/>
      <c r="AU39" s="27"/>
      <c r="AV39" s="54">
        <f t="shared" si="21"/>
        <v>0</v>
      </c>
      <c r="AW39" s="26">
        <v>31080</v>
      </c>
      <c r="AX39" s="27">
        <v>2513.14</v>
      </c>
      <c r="AY39" s="1895">
        <f t="shared" si="116"/>
        <v>12.366999052977551</v>
      </c>
      <c r="AZ39" s="1908"/>
      <c r="BA39" s="1909"/>
      <c r="BB39" s="1895">
        <f t="shared" si="22"/>
        <v>0</v>
      </c>
      <c r="BC39" s="1908">
        <v>34272</v>
      </c>
      <c r="BD39" s="1909">
        <v>2840.2599999999998</v>
      </c>
      <c r="BE39" s="1895">
        <f t="shared" si="23"/>
        <v>12.066500954138002</v>
      </c>
      <c r="BF39" s="1908"/>
      <c r="BG39" s="1909"/>
      <c r="BH39" s="1895">
        <f t="shared" si="24"/>
        <v>0</v>
      </c>
      <c r="BI39" s="1908"/>
      <c r="BJ39" s="1909"/>
      <c r="BK39" s="1895">
        <f t="shared" si="25"/>
        <v>0</v>
      </c>
      <c r="BL39" s="1910">
        <v>25292</v>
      </c>
      <c r="BM39" s="1909">
        <v>2075.3000000000002</v>
      </c>
      <c r="BN39" s="2170">
        <v>386.68039999999991</v>
      </c>
      <c r="BO39" s="1895">
        <f t="shared" si="26"/>
        <v>12.187153664530427</v>
      </c>
      <c r="BP39" s="36"/>
      <c r="BQ39" s="53"/>
      <c r="BR39" s="61">
        <f t="shared" si="27"/>
        <v>0</v>
      </c>
      <c r="BS39" s="36"/>
      <c r="BT39" s="27"/>
      <c r="BU39" s="61">
        <f t="shared" si="28"/>
        <v>0</v>
      </c>
      <c r="BV39" s="36">
        <v>21264</v>
      </c>
      <c r="BW39" s="27">
        <v>80</v>
      </c>
      <c r="BX39" s="28">
        <f t="shared" si="29"/>
        <v>265.8</v>
      </c>
      <c r="BY39" s="26"/>
      <c r="BZ39" s="5"/>
      <c r="CA39" s="61">
        <f t="shared" si="30"/>
        <v>0</v>
      </c>
      <c r="CB39" s="36"/>
      <c r="CC39" s="5"/>
      <c r="CD39" s="61">
        <f t="shared" si="31"/>
        <v>0</v>
      </c>
      <c r="CE39" s="26"/>
      <c r="CF39" s="27"/>
      <c r="CG39" s="28">
        <f t="shared" si="32"/>
        <v>0</v>
      </c>
      <c r="CH39" s="150"/>
      <c r="CI39" s="9"/>
      <c r="CJ39" s="5"/>
      <c r="CK39" s="5">
        <v>2769</v>
      </c>
      <c r="CL39" s="5"/>
      <c r="CM39" s="5"/>
      <c r="CN39" s="5"/>
      <c r="CO39" s="33"/>
      <c r="CP39" s="366"/>
      <c r="CR39" s="4">
        <f t="shared" si="134"/>
        <v>0</v>
      </c>
      <c r="CS39" s="9">
        <f t="shared" si="134"/>
        <v>0</v>
      </c>
      <c r="CT39" s="5">
        <f t="shared" si="134"/>
        <v>0</v>
      </c>
      <c r="CU39" s="5">
        <f t="shared" si="133"/>
        <v>0</v>
      </c>
      <c r="CV39" s="5">
        <f t="shared" si="133"/>
        <v>0</v>
      </c>
      <c r="CW39" s="5">
        <f t="shared" si="133"/>
        <v>0</v>
      </c>
      <c r="CX39" s="5">
        <f t="shared" si="133"/>
        <v>2513.14</v>
      </c>
      <c r="CY39" s="5">
        <f t="shared" si="133"/>
        <v>0</v>
      </c>
      <c r="CZ39" s="5">
        <f t="shared" si="133"/>
        <v>4915.5600000000004</v>
      </c>
      <c r="DA39" s="5">
        <f t="shared" si="133"/>
        <v>0</v>
      </c>
      <c r="DB39" s="5">
        <f t="shared" si="133"/>
        <v>80</v>
      </c>
      <c r="DC39" s="12">
        <f t="shared" si="133"/>
        <v>0</v>
      </c>
      <c r="DD39" s="310">
        <f>SUM(CR39:DC39,PW39)</f>
        <v>7508.7000000000007</v>
      </c>
      <c r="DE39" s="2695"/>
      <c r="DF39" s="8"/>
      <c r="DG39" s="9"/>
      <c r="DH39" s="5"/>
      <c r="DI39" s="5"/>
      <c r="DJ39" s="5"/>
      <c r="DK39" s="5"/>
      <c r="DL39" s="5">
        <v>2513.14</v>
      </c>
      <c r="DM39" s="5"/>
      <c r="DN39" s="5">
        <v>0</v>
      </c>
      <c r="DO39" s="5"/>
      <c r="DP39" s="5"/>
      <c r="DQ39" s="12"/>
      <c r="DR39" s="28">
        <f t="shared" si="35"/>
        <v>2513.14</v>
      </c>
      <c r="DS39" s="36"/>
      <c r="DT39" s="36"/>
      <c r="DU39" s="27"/>
      <c r="DV39" s="27"/>
      <c r="DW39" s="27"/>
      <c r="DX39" s="27"/>
      <c r="DY39" s="27"/>
      <c r="DZ39" s="27"/>
      <c r="EA39" s="27">
        <v>4915.5600000000004</v>
      </c>
      <c r="EB39" s="27"/>
      <c r="EC39" s="27">
        <v>0</v>
      </c>
      <c r="ED39" s="33"/>
      <c r="EE39" s="28">
        <f t="shared" si="36"/>
        <v>4915.5600000000004</v>
      </c>
      <c r="EF39" s="36"/>
      <c r="EG39" s="36"/>
      <c r="EH39" s="27"/>
      <c r="EI39" s="27"/>
      <c r="EJ39" s="27"/>
      <c r="EK39" s="27"/>
      <c r="EL39" s="27"/>
      <c r="EM39" s="27"/>
      <c r="EN39" s="5"/>
      <c r="EO39" s="5"/>
      <c r="EP39" s="5">
        <v>80</v>
      </c>
      <c r="EQ39" s="33"/>
      <c r="ER39" s="28">
        <f t="shared" si="120"/>
        <v>80</v>
      </c>
      <c r="ES39" s="36"/>
      <c r="ET39" s="27"/>
      <c r="EU39" s="27"/>
      <c r="EV39" s="27"/>
      <c r="EW39" s="27"/>
      <c r="EX39" s="27"/>
      <c r="EY39" s="33">
        <f t="shared" si="38"/>
        <v>0</v>
      </c>
      <c r="EZ39" s="2685"/>
      <c r="FB39" s="4">
        <f t="shared" si="39"/>
        <v>0</v>
      </c>
      <c r="FC39" s="5">
        <f t="shared" si="40"/>
        <v>0</v>
      </c>
      <c r="FD39" s="5">
        <f t="shared" si="41"/>
        <v>0</v>
      </c>
      <c r="FE39" s="12">
        <f t="shared" si="42"/>
        <v>0</v>
      </c>
      <c r="FF39" s="33"/>
      <c r="FG39" s="2674"/>
      <c r="FH39" s="9"/>
      <c r="FI39" s="5"/>
      <c r="FJ39" s="5"/>
      <c r="FK39" s="5"/>
      <c r="FL39" s="5"/>
      <c r="FM39" s="27"/>
      <c r="FN39" s="28">
        <f t="shared" si="43"/>
        <v>0</v>
      </c>
      <c r="FO39" s="36"/>
      <c r="FP39" s="27"/>
      <c r="FQ39" s="27"/>
      <c r="FR39" s="27"/>
      <c r="FS39" s="27"/>
      <c r="FT39" s="27"/>
      <c r="FU39" s="28">
        <f t="shared" si="44"/>
        <v>0</v>
      </c>
      <c r="FV39" s="36"/>
      <c r="FW39" s="36"/>
      <c r="FX39" s="27"/>
      <c r="FY39" s="27"/>
      <c r="FZ39" s="27"/>
      <c r="GA39" s="27"/>
      <c r="GB39" s="27"/>
      <c r="GC39" s="27"/>
      <c r="GD39" s="27"/>
      <c r="GE39" s="27"/>
      <c r="GF39" s="27"/>
      <c r="GG39" s="33"/>
      <c r="GH39" s="33">
        <f t="shared" si="45"/>
        <v>0</v>
      </c>
      <c r="GI39" s="2674"/>
      <c r="GK39" s="2">
        <f t="shared" si="110"/>
        <v>0</v>
      </c>
      <c r="GL39" s="63">
        <f t="shared" si="111"/>
        <v>0</v>
      </c>
      <c r="GM39" s="24">
        <f t="shared" si="112"/>
        <v>764.8</v>
      </c>
      <c r="GN39" s="27">
        <f t="shared" si="46"/>
        <v>764.8</v>
      </c>
      <c r="GO39" s="141"/>
      <c r="GP39" s="141"/>
      <c r="GQ39" s="33"/>
      <c r="GR39" s="2667"/>
      <c r="GS39" s="152">
        <v>764.8</v>
      </c>
      <c r="GT39" s="27">
        <v>0</v>
      </c>
      <c r="GU39" s="27">
        <v>0</v>
      </c>
      <c r="GV39" s="27">
        <v>0</v>
      </c>
      <c r="GW39" s="33">
        <f t="shared" si="47"/>
        <v>764.8</v>
      </c>
      <c r="GX39" s="2667"/>
      <c r="GY39" s="36"/>
      <c r="GZ39" s="36"/>
      <c r="HA39" s="27"/>
      <c r="HB39" s="27"/>
      <c r="HC39" s="27"/>
      <c r="HD39" s="27"/>
      <c r="HE39" s="27"/>
      <c r="HF39" s="27"/>
      <c r="HG39" s="27">
        <v>0</v>
      </c>
      <c r="HH39" s="27"/>
      <c r="HI39" s="2167">
        <v>0</v>
      </c>
      <c r="HJ39" s="27"/>
      <c r="HK39" s="27">
        <v>0</v>
      </c>
      <c r="HL39" s="27"/>
      <c r="HM39" s="28">
        <f t="shared" si="121"/>
        <v>0</v>
      </c>
      <c r="HN39" s="36"/>
      <c r="HO39" s="27"/>
      <c r="HP39" s="27"/>
      <c r="HQ39" s="27"/>
      <c r="HR39" s="27"/>
      <c r="HS39" s="27"/>
      <c r="HT39" s="27" cm="1">
        <f t="array" ref="HT39">SUMPRODUCT(('Data Base hauling'!$C$2:$C$216="TCM-ROM SB1 BK05-ROM 4")*(ISNUMBER(SEARCH(TEXT('May TCM'!$B39,"00")&amp;"/03/2026",'Data Base hauling'!$E$2:$E$216)))*'Data Base hauling'!$N$2:$N$216)</f>
        <v>0</v>
      </c>
      <c r="HU39" s="27"/>
      <c r="HV39" s="27" cm="1">
        <f t="array" ref="HV39">SUMPRODUCT(('Data Base hauling'!$C$2:$C$216="TCM-ROM SB1 BK05-ROM 5")*(ISNUMBER(SEARCH(TEXT('May TCM'!$B39,"00")&amp;"/03/2026",'Data Base hauling'!$E$2:$E$216)))*'Data Base hauling'!$N$2:$N$216)</f>
        <v>0</v>
      </c>
      <c r="HW39" s="27"/>
      <c r="HX39" s="27"/>
      <c r="HY39" s="27"/>
      <c r="HZ39" s="27"/>
      <c r="IA39" s="27"/>
      <c r="IB39" s="33">
        <f t="shared" si="49"/>
        <v>0</v>
      </c>
      <c r="IC39" s="52"/>
      <c r="ID39" s="152"/>
      <c r="IE39" s="53"/>
      <c r="IF39" s="53"/>
      <c r="IG39" s="53"/>
      <c r="IH39" s="53"/>
      <c r="II39" s="53">
        <v>0</v>
      </c>
      <c r="IJ39" s="53"/>
      <c r="IK39" s="53">
        <v>0</v>
      </c>
      <c r="IL39" s="53"/>
      <c r="IM39" s="53">
        <v>0</v>
      </c>
      <c r="IN39" s="27"/>
      <c r="IO39" s="27"/>
      <c r="IP39" s="49">
        <v>0</v>
      </c>
      <c r="IQ39" s="61">
        <f t="shared" si="122"/>
        <v>0</v>
      </c>
      <c r="IR39" s="36"/>
      <c r="IS39" s="36"/>
      <c r="IT39" s="27"/>
      <c r="IU39" s="27"/>
      <c r="IV39" s="53"/>
      <c r="IW39" s="27"/>
      <c r="IX39" s="27">
        <v>0</v>
      </c>
      <c r="IY39" s="27"/>
      <c r="IZ39" s="27">
        <v>764.8</v>
      </c>
      <c r="JA39" s="27"/>
      <c r="JB39" s="27">
        <v>0</v>
      </c>
      <c r="JC39" s="27"/>
      <c r="JD39" s="27"/>
      <c r="JE39" s="27"/>
      <c r="JF39" s="33">
        <f t="shared" si="123"/>
        <v>764.8</v>
      </c>
      <c r="JG39" s="2667"/>
      <c r="JI39" s="2020">
        <v>764.8</v>
      </c>
      <c r="JJ39" s="2021">
        <v>0</v>
      </c>
      <c r="JK39" s="27"/>
      <c r="JL39" s="53">
        <f t="shared" si="52"/>
        <v>764.8</v>
      </c>
      <c r="JM39" s="33"/>
      <c r="JN39" s="2669"/>
      <c r="JO39" s="69">
        <v>0</v>
      </c>
      <c r="JP39" s="70">
        <v>0</v>
      </c>
      <c r="JQ39" s="70">
        <v>0</v>
      </c>
      <c r="JR39" s="70">
        <v>0</v>
      </c>
      <c r="JS39" s="70">
        <v>1</v>
      </c>
      <c r="JT39" s="70">
        <v>0</v>
      </c>
      <c r="JU39" s="70">
        <v>0</v>
      </c>
      <c r="JV39" s="1922">
        <v>0</v>
      </c>
      <c r="JW39" s="69" t="s">
        <v>296</v>
      </c>
      <c r="JX39" s="70" t="s">
        <v>296</v>
      </c>
      <c r="JY39" s="70" t="s">
        <v>296</v>
      </c>
      <c r="JZ39" s="70" t="s">
        <v>296</v>
      </c>
      <c r="KA39" s="70" t="s">
        <v>296</v>
      </c>
      <c r="KB39" s="70" t="s">
        <v>296</v>
      </c>
      <c r="KC39" s="70" t="s">
        <v>296</v>
      </c>
      <c r="KD39" s="71" t="s">
        <v>296</v>
      </c>
      <c r="KE39" s="69"/>
      <c r="KF39" s="70"/>
      <c r="KG39" s="70"/>
      <c r="KH39" s="70"/>
      <c r="KI39" s="70"/>
      <c r="KJ39" s="70"/>
      <c r="KK39" s="70"/>
      <c r="KL39" s="70"/>
      <c r="KM39" s="33"/>
      <c r="KN39" s="2669"/>
      <c r="KO39" s="1739">
        <v>6802</v>
      </c>
      <c r="KP39" s="1721">
        <v>1.06</v>
      </c>
      <c r="KQ39" s="1721">
        <v>4.84</v>
      </c>
      <c r="KR39" s="1721">
        <v>7.27</v>
      </c>
      <c r="KS39" s="1722">
        <v>10.719555999999999</v>
      </c>
      <c r="KT39" s="1958">
        <v>0</v>
      </c>
      <c r="KU39" s="1961">
        <v>0</v>
      </c>
      <c r="KV39" s="1961">
        <v>0</v>
      </c>
      <c r="KW39" s="1961">
        <v>0</v>
      </c>
      <c r="KX39" s="1962">
        <v>0</v>
      </c>
      <c r="KY39" s="36"/>
      <c r="KZ39" s="53"/>
      <c r="LA39" s="53"/>
      <c r="LB39" s="53"/>
      <c r="LC39" s="53"/>
      <c r="LD39" s="33"/>
      <c r="LE39" s="2669"/>
      <c r="LG39" s="26">
        <f t="shared" si="53"/>
        <v>0</v>
      </c>
      <c r="LH39" s="27">
        <f t="shared" si="53"/>
        <v>16737.8</v>
      </c>
      <c r="LI39" s="27">
        <f t="shared" si="53"/>
        <v>0</v>
      </c>
      <c r="LJ39" s="28">
        <f t="shared" si="54"/>
        <v>16737.8</v>
      </c>
      <c r="LK39" s="36">
        <v>2</v>
      </c>
      <c r="LL39" s="27"/>
      <c r="LM39" s="27">
        <v>4</v>
      </c>
      <c r="LN39" s="33"/>
      <c r="LO39" s="1041">
        <v>7.79</v>
      </c>
      <c r="LP39" s="21"/>
      <c r="LQ39" s="2688"/>
      <c r="LR39" s="26"/>
      <c r="LS39" s="36"/>
      <c r="LT39" s="27"/>
      <c r="LU39" s="27"/>
      <c r="LV39" s="27"/>
      <c r="LW39" s="1107">
        <f t="shared" si="55"/>
        <v>0</v>
      </c>
      <c r="LX39" s="36"/>
      <c r="LY39" s="36">
        <v>16737.8</v>
      </c>
      <c r="LZ39" s="27"/>
      <c r="MA39" s="27"/>
      <c r="MB39" s="33"/>
      <c r="MC39" s="28">
        <f t="shared" si="56"/>
        <v>16737.8</v>
      </c>
      <c r="MD39" s="26"/>
      <c r="ME39" s="36"/>
      <c r="MF39" s="27"/>
      <c r="MG39" s="27"/>
      <c r="MH39" s="27"/>
      <c r="MI39" s="28"/>
      <c r="MJ39" s="36"/>
      <c r="MK39" s="36"/>
      <c r="ML39" s="27"/>
      <c r="MM39" s="27"/>
      <c r="MN39" s="27"/>
      <c r="MO39" s="28"/>
      <c r="MP39" s="36"/>
      <c r="MQ39" s="36"/>
      <c r="MR39" s="27"/>
      <c r="MS39" s="27"/>
      <c r="MT39" s="27"/>
      <c r="MU39" s="33">
        <f t="shared" si="57"/>
        <v>0</v>
      </c>
      <c r="MV39" s="2688"/>
      <c r="MX39" s="26">
        <f t="shared" si="58"/>
        <v>152635.30009662197</v>
      </c>
      <c r="MY39" s="27">
        <f t="shared" si="59"/>
        <v>99435.566491707854</v>
      </c>
      <c r="MZ39" s="27">
        <f t="shared" si="60"/>
        <v>24097.325253194555</v>
      </c>
      <c r="NA39" s="28">
        <f t="shared" si="61"/>
        <v>418001.9385585101</v>
      </c>
      <c r="NB39" s="2621"/>
      <c r="NC39" s="23">
        <f t="shared" si="62"/>
        <v>65060.040373462543</v>
      </c>
      <c r="ND39" s="1579">
        <f t="shared" si="63"/>
        <v>87575.259723159412</v>
      </c>
      <c r="NE39" s="60">
        <f t="shared" si="64"/>
        <v>0</v>
      </c>
      <c r="NF39" s="275">
        <f t="shared" si="4"/>
        <v>152635.30009662197</v>
      </c>
      <c r="NG39" s="26">
        <f t="shared" si="135"/>
        <v>0</v>
      </c>
      <c r="NH39" s="27">
        <f t="shared" si="135"/>
        <v>0</v>
      </c>
      <c r="NI39" s="27">
        <f t="shared" si="135"/>
        <v>0</v>
      </c>
      <c r="NJ39" s="27">
        <f t="shared" si="135"/>
        <v>0</v>
      </c>
      <c r="NK39" s="27">
        <f t="shared" si="135"/>
        <v>0</v>
      </c>
      <c r="NL39" s="33">
        <f t="shared" si="135"/>
        <v>0</v>
      </c>
      <c r="NM39" s="27">
        <f t="shared" si="135"/>
        <v>0</v>
      </c>
      <c r="NN39" s="152">
        <f t="shared" si="135"/>
        <v>0</v>
      </c>
      <c r="NO39" s="24">
        <f t="shared" si="135"/>
        <v>2449.1631443320584</v>
      </c>
      <c r="NP39" s="27">
        <f t="shared" si="135"/>
        <v>26196.696072681989</v>
      </c>
      <c r="NQ39" s="24">
        <f t="shared" si="113"/>
        <v>8756.5482322711578</v>
      </c>
      <c r="NR39" s="24">
        <f t="shared" si="114"/>
        <v>1140.06</v>
      </c>
      <c r="NS39" s="27">
        <f t="shared" si="0"/>
        <v>38542.467449285206</v>
      </c>
      <c r="NT39" s="27">
        <f t="shared" si="129"/>
        <v>0</v>
      </c>
      <c r="NU39" s="27">
        <f t="shared" si="129"/>
        <v>0</v>
      </c>
      <c r="NV39" s="27">
        <f t="shared" si="129"/>
        <v>0</v>
      </c>
      <c r="NW39" s="27">
        <f t="shared" si="129"/>
        <v>0</v>
      </c>
      <c r="NX39" s="5">
        <f t="shared" si="129"/>
        <v>0</v>
      </c>
      <c r="NY39" s="5">
        <f t="shared" si="129"/>
        <v>0</v>
      </c>
      <c r="NZ39" s="27">
        <f t="shared" si="129"/>
        <v>13368.892730193074</v>
      </c>
      <c r="OA39" s="27">
        <f t="shared" si="129"/>
        <v>0</v>
      </c>
      <c r="OB39" s="27">
        <f t="shared" si="129"/>
        <v>31146.521841856771</v>
      </c>
      <c r="OC39" s="27"/>
      <c r="OD39" s="24">
        <f t="shared" si="130"/>
        <v>454.51223506073143</v>
      </c>
      <c r="OE39" s="27">
        <f t="shared" si="131"/>
        <v>0</v>
      </c>
      <c r="OF39" s="28">
        <f t="shared" si="1"/>
        <v>44969.926807110583</v>
      </c>
      <c r="OG39" s="27">
        <f t="shared" si="132"/>
        <v>0</v>
      </c>
      <c r="OH39" s="27">
        <f t="shared" si="132"/>
        <v>0</v>
      </c>
      <c r="OI39" s="27">
        <f t="shared" si="132"/>
        <v>0</v>
      </c>
      <c r="OJ39" s="27">
        <f t="shared" si="132"/>
        <v>0</v>
      </c>
      <c r="OK39" s="27">
        <f t="shared" si="132"/>
        <v>0</v>
      </c>
      <c r="OL39" s="27">
        <f t="shared" si="132"/>
        <v>0</v>
      </c>
      <c r="OM39" s="24">
        <f t="shared" si="132"/>
        <v>0</v>
      </c>
      <c r="ON39" s="27">
        <f t="shared" si="132"/>
        <v>0</v>
      </c>
      <c r="OO39" s="24">
        <f t="shared" si="115"/>
        <v>15923.172235312075</v>
      </c>
      <c r="OP39" s="27">
        <f t="shared" si="132"/>
        <v>0</v>
      </c>
      <c r="OQ39" s="27">
        <f t="shared" si="132"/>
        <v>0</v>
      </c>
      <c r="OR39" s="27">
        <f t="shared" si="132"/>
        <v>0</v>
      </c>
      <c r="OS39" s="28">
        <f t="shared" si="2"/>
        <v>15923.172235312075</v>
      </c>
      <c r="OT39" s="36"/>
      <c r="OU39" s="27"/>
      <c r="OV39" s="27"/>
      <c r="OW39" s="27"/>
      <c r="OX39" s="27"/>
      <c r="OY39" s="27"/>
      <c r="OZ39" s="28">
        <f t="shared" si="69"/>
        <v>0</v>
      </c>
      <c r="PA39" s="36">
        <f t="shared" si="70"/>
        <v>0</v>
      </c>
      <c r="PB39" s="27">
        <f t="shared" si="71"/>
        <v>0</v>
      </c>
      <c r="PC39" s="27">
        <f t="shared" si="72"/>
        <v>0</v>
      </c>
      <c r="PD39" s="27">
        <f t="shared" si="73"/>
        <v>0</v>
      </c>
      <c r="PE39" s="24"/>
      <c r="PF39" s="27">
        <f t="shared" si="74"/>
        <v>0</v>
      </c>
      <c r="PG39" s="33">
        <f t="shared" si="3"/>
        <v>0</v>
      </c>
      <c r="PH39" s="2621"/>
      <c r="PJ39" s="2">
        <v>0</v>
      </c>
      <c r="PK39" s="3"/>
      <c r="PL39" s="3"/>
      <c r="PM39" s="3">
        <v>0</v>
      </c>
      <c r="PN39" s="3">
        <f t="shared" si="75"/>
        <v>30963.779776580694</v>
      </c>
      <c r="PO39" s="11">
        <f t="shared" si="76"/>
        <v>24097.325253194555</v>
      </c>
      <c r="PP39" s="15"/>
      <c r="PQ39" s="2615"/>
      <c r="PS39" s="4"/>
      <c r="PT39" s="9"/>
      <c r="PU39" s="9"/>
      <c r="PV39" s="9"/>
      <c r="PW39" s="8">
        <v>0</v>
      </c>
      <c r="PX39" s="9"/>
      <c r="PY39" s="8">
        <f t="shared" si="77"/>
        <v>0</v>
      </c>
      <c r="PZ39" s="5">
        <f t="shared" si="78"/>
        <v>0</v>
      </c>
      <c r="QA39" s="5"/>
      <c r="QB39" s="5"/>
      <c r="QC39" s="5"/>
      <c r="QD39" s="5"/>
      <c r="QE39" s="5"/>
      <c r="QF39" s="12"/>
      <c r="QG39" s="12">
        <f t="shared" si="79"/>
        <v>29562.488999999998</v>
      </c>
      <c r="QH39" s="420">
        <f t="shared" si="80"/>
        <v>387474.80955851008</v>
      </c>
      <c r="QI39" s="1106">
        <f t="shared" si="81"/>
        <v>964.6400000000001</v>
      </c>
      <c r="QJ39" s="484">
        <f t="shared" si="82"/>
        <v>5505.3678056099998</v>
      </c>
      <c r="QK39" s="12"/>
      <c r="QL39" s="2615"/>
      <c r="QN39" s="139">
        <f t="shared" si="83"/>
        <v>0</v>
      </c>
      <c r="QO39" s="139" t="str">
        <f t="shared" si="84"/>
        <v/>
      </c>
      <c r="QQ39" s="139">
        <f t="shared" si="85"/>
        <v>0</v>
      </c>
      <c r="QR39" s="139">
        <f t="shared" si="86"/>
        <v>0</v>
      </c>
      <c r="QT39" s="1">
        <f t="shared" si="87"/>
        <v>0</v>
      </c>
      <c r="QU39" s="1">
        <f t="shared" si="88"/>
        <v>0</v>
      </c>
      <c r="QV39" s="1">
        <f t="shared" si="89"/>
        <v>0</v>
      </c>
      <c r="QW39" s="1">
        <f t="shared" si="90"/>
        <v>0</v>
      </c>
      <c r="QX39" s="1">
        <f t="shared" si="91"/>
        <v>0</v>
      </c>
      <c r="QY39" s="1">
        <f t="shared" si="92"/>
        <v>0</v>
      </c>
      <c r="RA39" s="1">
        <f t="shared" si="93"/>
        <v>0</v>
      </c>
      <c r="RB39" s="1">
        <f t="shared" si="94"/>
        <v>0</v>
      </c>
      <c r="RC39" s="1">
        <f t="shared" si="95"/>
        <v>0</v>
      </c>
      <c r="RD39" s="1">
        <f t="shared" si="96"/>
        <v>0</v>
      </c>
      <c r="RE39" s="1">
        <f t="shared" si="97"/>
        <v>0</v>
      </c>
      <c r="RF39" s="1">
        <f t="shared" si="98"/>
        <v>0</v>
      </c>
      <c r="RI39" s="1">
        <v>30</v>
      </c>
      <c r="RJ39" s="1">
        <f t="shared" si="124"/>
        <v>30345.215709717089</v>
      </c>
      <c r="RK39" s="1">
        <f t="shared" si="125"/>
        <v>-14861.438719516282</v>
      </c>
      <c r="RL39" s="1">
        <f t="shared" si="126"/>
        <v>13404.263703387322</v>
      </c>
      <c r="RM39" s="89">
        <f t="shared" si="5"/>
        <v>28888.040693588129</v>
      </c>
      <c r="RN39" s="1033">
        <v>30</v>
      </c>
      <c r="RO39" s="1098">
        <f t="shared" si="100"/>
        <v>0</v>
      </c>
      <c r="RP39" s="1098">
        <f t="shared" si="101"/>
        <v>0</v>
      </c>
      <c r="RQ39" s="1097">
        <f t="shared" si="102"/>
        <v>0</v>
      </c>
      <c r="RR39" s="1097">
        <f t="shared" si="103"/>
        <v>7428.7000000000007</v>
      </c>
      <c r="RS39" s="1094"/>
      <c r="RT39" s="1094" t="s">
        <v>1007</v>
      </c>
      <c r="RW39" s="421">
        <v>30</v>
      </c>
      <c r="RX39" s="1095">
        <f t="shared" si="104"/>
        <v>764.8</v>
      </c>
      <c r="RY39" s="1096" t="s">
        <v>1008</v>
      </c>
      <c r="SA39" s="1090"/>
      <c r="SB39" s="1090">
        <f t="shared" si="105"/>
        <v>0</v>
      </c>
      <c r="SC39" s="1090"/>
      <c r="SD39" s="1090">
        <f t="shared" si="127"/>
        <v>0</v>
      </c>
      <c r="SF39" s="1">
        <v>30</v>
      </c>
      <c r="SG39" s="1">
        <f t="shared" si="107"/>
        <v>0</v>
      </c>
    </row>
    <row r="40" spans="1:502" s="1" customFormat="1">
      <c r="B40" s="1105">
        <v>31</v>
      </c>
      <c r="C40" s="6">
        <f t="shared" si="6"/>
        <v>127755</v>
      </c>
      <c r="D40" s="1955">
        <f>P40+T40+X40+AB40</f>
        <v>7979.76</v>
      </c>
      <c r="E40" s="1915">
        <f t="shared" si="7"/>
        <v>16.009879996390868</v>
      </c>
      <c r="F40" s="1444"/>
      <c r="G40" s="1445"/>
      <c r="H40" s="56">
        <v>2</v>
      </c>
      <c r="I40" s="62">
        <v>0.83</v>
      </c>
      <c r="J40" s="56"/>
      <c r="K40" s="58"/>
      <c r="L40" s="56">
        <v>6.5</v>
      </c>
      <c r="M40" s="62">
        <v>0.92</v>
      </c>
      <c r="N40" s="2630"/>
      <c r="O40" s="4">
        <f t="shared" si="118"/>
        <v>63588</v>
      </c>
      <c r="P40" s="5">
        <f t="shared" si="8"/>
        <v>5186.76</v>
      </c>
      <c r="Q40" s="1955">
        <f t="shared" si="9"/>
        <v>12.25967656109016</v>
      </c>
      <c r="R40" s="34"/>
      <c r="S40" s="29">
        <f t="shared" si="10"/>
        <v>37341</v>
      </c>
      <c r="T40" s="27">
        <f t="shared" si="109"/>
        <v>2513.0000000000005</v>
      </c>
      <c r="U40" s="1917">
        <f t="shared" si="11"/>
        <v>14.859132510943093</v>
      </c>
      <c r="V40" s="31"/>
      <c r="W40" s="29">
        <f t="shared" si="12"/>
        <v>26826</v>
      </c>
      <c r="X40" s="7">
        <f t="shared" si="12"/>
        <v>280</v>
      </c>
      <c r="Y40" s="1720">
        <f t="shared" si="13"/>
        <v>95.807142857142864</v>
      </c>
      <c r="Z40" s="34"/>
      <c r="AA40" s="29">
        <f>SUM(BP40,BS40)</f>
        <v>0</v>
      </c>
      <c r="AB40" s="30">
        <f t="shared" si="15"/>
        <v>0</v>
      </c>
      <c r="AC40" s="57">
        <f t="shared" si="16"/>
        <v>0</v>
      </c>
      <c r="AD40" s="31"/>
      <c r="AE40" s="36"/>
      <c r="AF40" s="36"/>
      <c r="AG40" s="57">
        <f t="shared" si="17"/>
        <v>0</v>
      </c>
      <c r="AH40" s="31"/>
      <c r="AI40" s="23"/>
      <c r="AJ40" s="30"/>
      <c r="AK40" s="57">
        <f t="shared" si="18"/>
        <v>0</v>
      </c>
      <c r="AL40" s="31"/>
      <c r="AM40" s="2630"/>
      <c r="AN40" s="10"/>
      <c r="AO40" s="7"/>
      <c r="AP40" s="62">
        <f t="shared" si="19"/>
        <v>0</v>
      </c>
      <c r="AQ40" s="37"/>
      <c r="AR40" s="57"/>
      <c r="AS40" s="62">
        <f t="shared" si="20"/>
        <v>0</v>
      </c>
      <c r="AT40" s="37"/>
      <c r="AU40" s="30"/>
      <c r="AV40" s="58">
        <f t="shared" si="21"/>
        <v>0</v>
      </c>
      <c r="AW40" s="29">
        <v>32634</v>
      </c>
      <c r="AX40" s="30">
        <v>3022.2799999999997</v>
      </c>
      <c r="AY40" s="1915">
        <f t="shared" si="116"/>
        <v>10.797808277194701</v>
      </c>
      <c r="AZ40" s="1916"/>
      <c r="BA40" s="1917"/>
      <c r="BB40" s="1915">
        <f t="shared" si="22"/>
        <v>0</v>
      </c>
      <c r="BC40" s="1916">
        <v>30954</v>
      </c>
      <c r="BD40" s="1917">
        <v>2164.4800000000005</v>
      </c>
      <c r="BE40" s="1915">
        <f t="shared" si="23"/>
        <v>14.300894441159075</v>
      </c>
      <c r="BF40" s="1916"/>
      <c r="BG40" s="1917"/>
      <c r="BH40" s="1915">
        <f t="shared" si="24"/>
        <v>0</v>
      </c>
      <c r="BI40" s="1916"/>
      <c r="BJ40" s="1917"/>
      <c r="BK40" s="1915">
        <f t="shared" si="25"/>
        <v>0</v>
      </c>
      <c r="BL40" s="1916">
        <v>37341</v>
      </c>
      <c r="BM40" s="1917">
        <v>2513.0000000000005</v>
      </c>
      <c r="BN40" s="2173"/>
      <c r="BO40" s="1915">
        <f t="shared" si="26"/>
        <v>14.859132510943093</v>
      </c>
      <c r="BP40" s="37"/>
      <c r="BQ40" s="57"/>
      <c r="BR40" s="62">
        <f t="shared" si="27"/>
        <v>0</v>
      </c>
      <c r="BS40" s="37"/>
      <c r="BT40" s="30"/>
      <c r="BU40" s="62">
        <f t="shared" si="28"/>
        <v>0</v>
      </c>
      <c r="BV40" s="37">
        <v>26826</v>
      </c>
      <c r="BW40" s="30">
        <v>280</v>
      </c>
      <c r="BX40" s="31">
        <f t="shared" si="29"/>
        <v>95.807142857142864</v>
      </c>
      <c r="BY40" s="29"/>
      <c r="BZ40" s="7"/>
      <c r="CA40" s="62">
        <f t="shared" si="30"/>
        <v>0</v>
      </c>
      <c r="CB40" s="37"/>
      <c r="CC40" s="30"/>
      <c r="CD40" s="62">
        <f t="shared" si="31"/>
        <v>0</v>
      </c>
      <c r="CE40" s="29"/>
      <c r="CF40" s="30"/>
      <c r="CG40" s="31">
        <f t="shared" si="32"/>
        <v>0</v>
      </c>
      <c r="CH40" s="151"/>
      <c r="CI40" s="10"/>
      <c r="CJ40" s="7"/>
      <c r="CK40" s="7">
        <v>2795</v>
      </c>
      <c r="CL40" s="7"/>
      <c r="CM40" s="7"/>
      <c r="CN40" s="7">
        <f t="shared" ref="CN40" si="136">SUM(CI40:CM40)</f>
        <v>2795</v>
      </c>
      <c r="CO40" s="34"/>
      <c r="CP40" s="367"/>
      <c r="CR40" s="6">
        <f t="shared" si="134"/>
        <v>0</v>
      </c>
      <c r="CS40" s="10">
        <f t="shared" si="134"/>
        <v>0</v>
      </c>
      <c r="CT40" s="7">
        <f t="shared" si="134"/>
        <v>0</v>
      </c>
      <c r="CU40" s="7">
        <f t="shared" si="133"/>
        <v>0</v>
      </c>
      <c r="CV40" s="7">
        <f t="shared" si="133"/>
        <v>0</v>
      </c>
      <c r="CW40" s="7">
        <f t="shared" si="133"/>
        <v>0</v>
      </c>
      <c r="CX40" s="7">
        <f t="shared" si="133"/>
        <v>2107.7599999999998</v>
      </c>
      <c r="CY40" s="7">
        <f t="shared" si="133"/>
        <v>0</v>
      </c>
      <c r="CZ40" s="7">
        <f t="shared" si="133"/>
        <v>5592.0000000000018</v>
      </c>
      <c r="DA40" s="7">
        <f t="shared" si="133"/>
        <v>0</v>
      </c>
      <c r="DB40" s="7">
        <f t="shared" si="133"/>
        <v>280</v>
      </c>
      <c r="DC40" s="13">
        <f t="shared" si="133"/>
        <v>0</v>
      </c>
      <c r="DD40" s="310">
        <f>SUM(CR40:DC40,PW40)</f>
        <v>7979.760000000002</v>
      </c>
      <c r="DE40" s="2696"/>
      <c r="DF40" s="8"/>
      <c r="DG40" s="10"/>
      <c r="DH40" s="7"/>
      <c r="DI40" s="7"/>
      <c r="DJ40" s="7"/>
      <c r="DK40" s="7"/>
      <c r="DL40" s="7">
        <v>2107.7599999999998</v>
      </c>
      <c r="DM40" s="7"/>
      <c r="DN40" s="7">
        <v>914.52</v>
      </c>
      <c r="DO40" s="7"/>
      <c r="DP40" s="7"/>
      <c r="DQ40" s="13"/>
      <c r="DR40" s="31">
        <f t="shared" si="35"/>
        <v>3022.2799999999997</v>
      </c>
      <c r="DS40" s="37"/>
      <c r="DT40" s="37"/>
      <c r="DU40" s="30"/>
      <c r="DV40" s="30"/>
      <c r="DW40" s="30"/>
      <c r="DX40" s="30"/>
      <c r="DY40" s="30"/>
      <c r="DZ40" s="30"/>
      <c r="EA40" s="30">
        <v>4677.4800000000014</v>
      </c>
      <c r="EB40" s="30"/>
      <c r="EC40" s="30">
        <v>0</v>
      </c>
      <c r="ED40" s="34"/>
      <c r="EE40" s="28">
        <f t="shared" si="36"/>
        <v>4677.4800000000014</v>
      </c>
      <c r="EF40" s="37"/>
      <c r="EG40" s="37"/>
      <c r="EH40" s="30"/>
      <c r="EI40" s="30"/>
      <c r="EJ40" s="30"/>
      <c r="EK40" s="30"/>
      <c r="EL40" s="30"/>
      <c r="EM40" s="30"/>
      <c r="EN40" s="30"/>
      <c r="EO40" s="30"/>
      <c r="EP40" s="30">
        <v>280</v>
      </c>
      <c r="EQ40" s="34"/>
      <c r="ER40" s="31">
        <f t="shared" si="120"/>
        <v>280</v>
      </c>
      <c r="ES40" s="37"/>
      <c r="ET40" s="30"/>
      <c r="EU40" s="30"/>
      <c r="EV40" s="30"/>
      <c r="EW40" s="30"/>
      <c r="EX40" s="30"/>
      <c r="EY40" s="34">
        <f t="shared" si="38"/>
        <v>0</v>
      </c>
      <c r="EZ40" s="2686"/>
      <c r="FB40" s="6">
        <f t="shared" si="39"/>
        <v>0</v>
      </c>
      <c r="FC40" s="7">
        <f t="shared" si="40"/>
        <v>0</v>
      </c>
      <c r="FD40" s="7">
        <f t="shared" si="41"/>
        <v>0</v>
      </c>
      <c r="FE40" s="13">
        <f t="shared" si="42"/>
        <v>0</v>
      </c>
      <c r="FF40" s="34"/>
      <c r="FG40" s="2675"/>
      <c r="FH40" s="10"/>
      <c r="FI40" s="7"/>
      <c r="FJ40" s="7"/>
      <c r="FK40" s="7"/>
      <c r="FL40" s="7"/>
      <c r="FM40" s="30"/>
      <c r="FN40" s="31">
        <f t="shared" si="43"/>
        <v>0</v>
      </c>
      <c r="FO40" s="37"/>
      <c r="FP40" s="30"/>
      <c r="FQ40" s="30"/>
      <c r="FR40" s="30"/>
      <c r="FS40" s="30"/>
      <c r="FT40" s="30"/>
      <c r="FU40" s="31">
        <f t="shared" si="44"/>
        <v>0</v>
      </c>
      <c r="FV40" s="37"/>
      <c r="FW40" s="37"/>
      <c r="FX40" s="30"/>
      <c r="FY40" s="30"/>
      <c r="FZ40" s="30"/>
      <c r="GA40" s="30"/>
      <c r="GB40" s="30"/>
      <c r="GC40" s="30"/>
      <c r="GD40" s="30"/>
      <c r="GE40" s="30"/>
      <c r="GF40" s="30"/>
      <c r="GG40" s="34"/>
      <c r="GH40" s="34">
        <f t="shared" si="45"/>
        <v>0</v>
      </c>
      <c r="GI40" s="2675"/>
      <c r="GK40" s="2">
        <f t="shared" si="110"/>
        <v>0</v>
      </c>
      <c r="GL40" s="63">
        <f t="shared" si="111"/>
        <v>0</v>
      </c>
      <c r="GM40" s="24">
        <f t="shared" si="112"/>
        <v>0</v>
      </c>
      <c r="GN40" s="30">
        <f t="shared" si="46"/>
        <v>0</v>
      </c>
      <c r="GO40" s="279"/>
      <c r="GP40" s="279"/>
      <c r="GQ40" s="34"/>
      <c r="GR40" s="2668"/>
      <c r="GS40" s="1104">
        <v>0</v>
      </c>
      <c r="GT40" s="30">
        <v>0</v>
      </c>
      <c r="GU40" s="30">
        <v>0</v>
      </c>
      <c r="GV40" s="30">
        <v>0</v>
      </c>
      <c r="GW40" s="31">
        <f t="shared" si="47"/>
        <v>0</v>
      </c>
      <c r="GX40" s="2668"/>
      <c r="GY40" s="37"/>
      <c r="GZ40" s="37"/>
      <c r="HA40" s="30"/>
      <c r="HB40" s="30"/>
      <c r="HC40" s="30"/>
      <c r="HD40" s="30"/>
      <c r="HE40" s="30"/>
      <c r="HF40" s="30"/>
      <c r="HG40" s="30">
        <v>0</v>
      </c>
      <c r="HH40" s="30"/>
      <c r="HI40" s="2198">
        <v>0</v>
      </c>
      <c r="HJ40" s="30"/>
      <c r="HK40" s="30">
        <v>0</v>
      </c>
      <c r="HL40" s="30"/>
      <c r="HM40" s="31">
        <f t="shared" si="121"/>
        <v>0</v>
      </c>
      <c r="HN40" s="37"/>
      <c r="HO40" s="30"/>
      <c r="HP40" s="30"/>
      <c r="HQ40" s="30"/>
      <c r="HR40" s="30"/>
      <c r="HS40" s="30"/>
      <c r="HT40" s="30" cm="1">
        <f t="array" ref="HT40">SUMPRODUCT(('Data Base hauling'!$C$2:$C$216="TCM-ROM SB1 BK05-ROM 4")*(ISNUMBER(SEARCH(TEXT('May TCM'!$B40,"00")&amp;"/03/2026",'Data Base hauling'!$E$2:$E$216)))*'Data Base hauling'!$N$2:$N$216)</f>
        <v>0</v>
      </c>
      <c r="HU40" s="30"/>
      <c r="HV40" s="30" cm="1">
        <f t="array" ref="HV40">SUMPRODUCT(('Data Base hauling'!$C$2:$C$216="TCM-ROM SB1 BK05-ROM 5")*(ISNUMBER(SEARCH(TEXT('May TCM'!$B40,"00")&amp;"/03/2026",'Data Base hauling'!$E$2:$E$216)))*'Data Base hauling'!$N$2:$N$216)</f>
        <v>0</v>
      </c>
      <c r="HW40" s="30"/>
      <c r="HX40" s="30"/>
      <c r="HY40" s="30"/>
      <c r="HZ40" s="30"/>
      <c r="IA40" s="30"/>
      <c r="IB40" s="34">
        <f t="shared" si="49"/>
        <v>0</v>
      </c>
      <c r="IC40" s="56"/>
      <c r="ID40" s="1104"/>
      <c r="IE40" s="57"/>
      <c r="IF40" s="57"/>
      <c r="IG40" s="57"/>
      <c r="IH40" s="57"/>
      <c r="II40" s="57">
        <v>0</v>
      </c>
      <c r="IJ40" s="57"/>
      <c r="IK40" s="57">
        <v>0</v>
      </c>
      <c r="IL40" s="57"/>
      <c r="IM40" s="57">
        <v>0</v>
      </c>
      <c r="IN40" s="30"/>
      <c r="IO40" s="30"/>
      <c r="IP40" s="49">
        <v>0</v>
      </c>
      <c r="IQ40" s="62">
        <f t="shared" si="122"/>
        <v>0</v>
      </c>
      <c r="IR40" s="37"/>
      <c r="IS40" s="37"/>
      <c r="IT40" s="30"/>
      <c r="IU40" s="30"/>
      <c r="IV40" s="57"/>
      <c r="IW40" s="30"/>
      <c r="IX40" s="30">
        <v>0</v>
      </c>
      <c r="IY40" s="30"/>
      <c r="IZ40" s="30">
        <v>0</v>
      </c>
      <c r="JA40" s="30"/>
      <c r="JB40" s="30">
        <v>0</v>
      </c>
      <c r="JC40" s="30"/>
      <c r="JD40" s="30"/>
      <c r="JE40" s="30"/>
      <c r="JF40" s="854">
        <f t="shared" si="123"/>
        <v>0</v>
      </c>
      <c r="JG40" s="2668"/>
      <c r="JI40" s="2020">
        <v>0</v>
      </c>
      <c r="JJ40" s="1971">
        <v>0</v>
      </c>
      <c r="JK40" s="30"/>
      <c r="JL40" s="57">
        <f t="shared" si="52"/>
        <v>0</v>
      </c>
      <c r="JM40" s="31"/>
      <c r="JN40" s="2670"/>
      <c r="JO40" s="74" t="s">
        <v>296</v>
      </c>
      <c r="JP40" s="75" t="s">
        <v>296</v>
      </c>
      <c r="JQ40" s="75" t="s">
        <v>296</v>
      </c>
      <c r="JR40" s="75" t="s">
        <v>296</v>
      </c>
      <c r="JS40" s="75" t="s">
        <v>296</v>
      </c>
      <c r="JT40" s="75" t="s">
        <v>296</v>
      </c>
      <c r="JU40" s="75" t="s">
        <v>296</v>
      </c>
      <c r="JV40" s="1924">
        <v>0</v>
      </c>
      <c r="JW40" s="74" t="s">
        <v>296</v>
      </c>
      <c r="JX40" s="75" t="s">
        <v>296</v>
      </c>
      <c r="JY40" s="75" t="s">
        <v>296</v>
      </c>
      <c r="JZ40" s="75" t="s">
        <v>296</v>
      </c>
      <c r="KA40" s="75" t="s">
        <v>296</v>
      </c>
      <c r="KB40" s="75" t="s">
        <v>296</v>
      </c>
      <c r="KC40" s="75" t="s">
        <v>296</v>
      </c>
      <c r="KD40" s="76" t="s">
        <v>296</v>
      </c>
      <c r="KE40" s="77"/>
      <c r="KF40" s="75"/>
      <c r="KG40" s="75"/>
      <c r="KH40" s="75"/>
      <c r="KI40" s="75"/>
      <c r="KJ40" s="75"/>
      <c r="KK40" s="75"/>
      <c r="KL40" s="75"/>
      <c r="KM40" s="31"/>
      <c r="KN40" s="2670"/>
      <c r="KO40" s="1739">
        <v>0</v>
      </c>
      <c r="KP40" s="1721">
        <v>0</v>
      </c>
      <c r="KQ40" s="1721">
        <v>0</v>
      </c>
      <c r="KR40" s="1721">
        <v>0</v>
      </c>
      <c r="KS40" s="1722">
        <v>0</v>
      </c>
      <c r="KT40" s="1958">
        <v>0</v>
      </c>
      <c r="KU40" s="1961">
        <v>0</v>
      </c>
      <c r="KV40" s="1961">
        <v>0</v>
      </c>
      <c r="KW40" s="1961">
        <v>0</v>
      </c>
      <c r="KX40" s="1962">
        <v>0</v>
      </c>
      <c r="KY40" s="37"/>
      <c r="KZ40" s="57"/>
      <c r="LA40" s="57"/>
      <c r="LB40" s="57"/>
      <c r="LC40" s="57"/>
      <c r="LD40" s="31"/>
      <c r="LE40" s="2670"/>
      <c r="LG40" s="29">
        <f t="shared" si="53"/>
        <v>7436.8499999999995</v>
      </c>
      <c r="LH40" s="30">
        <f t="shared" si="53"/>
        <v>10153.34</v>
      </c>
      <c r="LI40" s="30">
        <f t="shared" si="53"/>
        <v>0</v>
      </c>
      <c r="LJ40" s="31">
        <f t="shared" si="54"/>
        <v>17590.189999999999</v>
      </c>
      <c r="LK40" s="37">
        <v>2</v>
      </c>
      <c r="LL40" s="30"/>
      <c r="LM40" s="30">
        <v>3</v>
      </c>
      <c r="LN40" s="34"/>
      <c r="LO40" s="1103">
        <v>7.45</v>
      </c>
      <c r="LP40" s="332"/>
      <c r="LQ40" s="2689"/>
      <c r="LR40" s="29">
        <v>7436.8499999999995</v>
      </c>
      <c r="LS40" s="37">
        <v>2478.9499999999998</v>
      </c>
      <c r="LT40" s="30"/>
      <c r="LU40" s="30"/>
      <c r="LV40" s="30"/>
      <c r="LW40" s="1102">
        <f t="shared" si="55"/>
        <v>9915.7999999999993</v>
      </c>
      <c r="LX40" s="37"/>
      <c r="LY40" s="37">
        <v>7674.39</v>
      </c>
      <c r="LZ40" s="30"/>
      <c r="MA40" s="30"/>
      <c r="MB40" s="34"/>
      <c r="MC40" s="31">
        <f t="shared" si="56"/>
        <v>7674.39</v>
      </c>
      <c r="MD40" s="29"/>
      <c r="ME40" s="37"/>
      <c r="MF40" s="30"/>
      <c r="MG40" s="30"/>
      <c r="MH40" s="30"/>
      <c r="MI40" s="31"/>
      <c r="MJ40" s="37"/>
      <c r="MK40" s="37"/>
      <c r="ML40" s="30"/>
      <c r="MM40" s="30"/>
      <c r="MN40" s="30"/>
      <c r="MO40" s="31"/>
      <c r="MP40" s="37"/>
      <c r="MQ40" s="37"/>
      <c r="MR40" s="30"/>
      <c r="MS40" s="30"/>
      <c r="MT40" s="30"/>
      <c r="MU40" s="34">
        <f t="shared" si="57"/>
        <v>0</v>
      </c>
      <c r="MV40" s="2689"/>
      <c r="MX40" s="29">
        <f t="shared" si="58"/>
        <v>135045.11009662197</v>
      </c>
      <c r="MY40" s="30">
        <f t="shared" si="59"/>
        <v>107415.32649170785</v>
      </c>
      <c r="MZ40" s="30">
        <f t="shared" si="60"/>
        <v>24097.325253194555</v>
      </c>
      <c r="NA40" s="31">
        <f t="shared" si="61"/>
        <v>417528.69855851011</v>
      </c>
      <c r="NB40" s="2622"/>
      <c r="NC40" s="23">
        <f t="shared" si="62"/>
        <v>57623.190373462545</v>
      </c>
      <c r="ND40" s="1579">
        <f t="shared" si="63"/>
        <v>77421.919723159415</v>
      </c>
      <c r="NE40" s="60">
        <f t="shared" si="64"/>
        <v>0</v>
      </c>
      <c r="NF40" s="276">
        <f t="shared" si="4"/>
        <v>135045.11009662197</v>
      </c>
      <c r="NG40" s="26">
        <f t="shared" si="135"/>
        <v>0</v>
      </c>
      <c r="NH40" s="30">
        <f t="shared" si="135"/>
        <v>0</v>
      </c>
      <c r="NI40" s="30">
        <f t="shared" si="135"/>
        <v>0</v>
      </c>
      <c r="NJ40" s="30">
        <f t="shared" si="135"/>
        <v>0</v>
      </c>
      <c r="NK40" s="30">
        <f t="shared" si="135"/>
        <v>0</v>
      </c>
      <c r="NL40" s="34">
        <f t="shared" si="135"/>
        <v>0</v>
      </c>
      <c r="NM40" s="1233">
        <f t="shared" si="135"/>
        <v>0</v>
      </c>
      <c r="NN40" s="57">
        <f t="shared" si="135"/>
        <v>0</v>
      </c>
      <c r="NO40" s="24">
        <f t="shared" si="135"/>
        <v>2449.1631443320584</v>
      </c>
      <c r="NP40" s="27">
        <f t="shared" si="135"/>
        <v>26196.696072681989</v>
      </c>
      <c r="NQ40" s="24">
        <f t="shared" si="113"/>
        <v>8756.5482322711578</v>
      </c>
      <c r="NR40" s="24">
        <f t="shared" si="114"/>
        <v>1420.06</v>
      </c>
      <c r="NS40" s="30">
        <f t="shared" si="0"/>
        <v>38822.467449285206</v>
      </c>
      <c r="NT40" s="30">
        <f t="shared" si="129"/>
        <v>0</v>
      </c>
      <c r="NU40" s="30">
        <f t="shared" si="129"/>
        <v>0</v>
      </c>
      <c r="NV40" s="30">
        <f t="shared" si="129"/>
        <v>0</v>
      </c>
      <c r="NW40" s="30">
        <f t="shared" si="129"/>
        <v>0</v>
      </c>
      <c r="NX40" s="7">
        <f t="shared" si="129"/>
        <v>0</v>
      </c>
      <c r="NY40" s="7">
        <f t="shared" si="129"/>
        <v>0</v>
      </c>
      <c r="NZ40" s="30">
        <f t="shared" si="129"/>
        <v>15476.652730193075</v>
      </c>
      <c r="OA40" s="30">
        <f t="shared" si="129"/>
        <v>0</v>
      </c>
      <c r="OB40" s="27">
        <f t="shared" si="129"/>
        <v>32061.041841856771</v>
      </c>
      <c r="OC40" s="30"/>
      <c r="OD40" s="24">
        <f t="shared" si="130"/>
        <v>454.51223506073143</v>
      </c>
      <c r="OE40" s="30">
        <f t="shared" si="131"/>
        <v>0</v>
      </c>
      <c r="OF40" s="30">
        <f t="shared" si="1"/>
        <v>47992.206807110582</v>
      </c>
      <c r="OG40" s="30">
        <f t="shared" si="132"/>
        <v>0</v>
      </c>
      <c r="OH40" s="30">
        <f t="shared" si="132"/>
        <v>0</v>
      </c>
      <c r="OI40" s="30">
        <f t="shared" si="132"/>
        <v>0</v>
      </c>
      <c r="OJ40" s="30">
        <f t="shared" si="132"/>
        <v>0</v>
      </c>
      <c r="OK40" s="27">
        <f t="shared" si="132"/>
        <v>0</v>
      </c>
      <c r="OL40" s="30">
        <f t="shared" si="132"/>
        <v>0</v>
      </c>
      <c r="OM40" s="24">
        <f t="shared" si="132"/>
        <v>0</v>
      </c>
      <c r="ON40" s="30">
        <f t="shared" si="132"/>
        <v>0</v>
      </c>
      <c r="OO40" s="24">
        <f t="shared" si="115"/>
        <v>20600.652235312074</v>
      </c>
      <c r="OP40" s="30">
        <f t="shared" si="132"/>
        <v>0</v>
      </c>
      <c r="OQ40" s="27">
        <f t="shared" si="132"/>
        <v>0</v>
      </c>
      <c r="OR40" s="30">
        <f t="shared" si="132"/>
        <v>0</v>
      </c>
      <c r="OS40" s="31">
        <f t="shared" si="2"/>
        <v>20600.652235312074</v>
      </c>
      <c r="OT40" s="37"/>
      <c r="OU40" s="30"/>
      <c r="OV40" s="30"/>
      <c r="OW40" s="30"/>
      <c r="OX40" s="30"/>
      <c r="OY40" s="30"/>
      <c r="OZ40" s="31">
        <f t="shared" si="69"/>
        <v>0</v>
      </c>
      <c r="PA40" s="37">
        <f t="shared" si="70"/>
        <v>0</v>
      </c>
      <c r="PB40" s="30">
        <f t="shared" si="71"/>
        <v>0</v>
      </c>
      <c r="PC40" s="30">
        <f t="shared" si="72"/>
        <v>0</v>
      </c>
      <c r="PD40" s="30">
        <f t="shared" si="73"/>
        <v>0</v>
      </c>
      <c r="PE40" s="24"/>
      <c r="PF40" s="30">
        <f t="shared" si="74"/>
        <v>0</v>
      </c>
      <c r="PG40" s="34">
        <f t="shared" si="3"/>
        <v>0</v>
      </c>
      <c r="PH40" s="2622"/>
      <c r="PJ40" s="2192">
        <v>473.23999999999995</v>
      </c>
      <c r="PK40" s="1101"/>
      <c r="PL40" s="1101"/>
      <c r="PM40" s="1101">
        <v>0</v>
      </c>
      <c r="PN40" s="3">
        <f t="shared" si="75"/>
        <v>31437.019776580695</v>
      </c>
      <c r="PO40" s="11">
        <f t="shared" si="76"/>
        <v>24097.325253194555</v>
      </c>
      <c r="PP40" s="16"/>
      <c r="PQ40" s="2616"/>
      <c r="PS40" s="6"/>
      <c r="PT40" s="10"/>
      <c r="PU40" s="10"/>
      <c r="PV40" s="10"/>
      <c r="PW40" s="8">
        <v>0</v>
      </c>
      <c r="PX40" s="10"/>
      <c r="PY40" s="1101">
        <f t="shared" si="77"/>
        <v>0</v>
      </c>
      <c r="PZ40" s="7">
        <f t="shared" si="78"/>
        <v>473.23999999999995</v>
      </c>
      <c r="QA40" s="7"/>
      <c r="QB40" s="7"/>
      <c r="QC40" s="7"/>
      <c r="QD40" s="7"/>
      <c r="QE40" s="7"/>
      <c r="QF40" s="13"/>
      <c r="QG40" s="13">
        <f t="shared" si="79"/>
        <v>29562.488999999998</v>
      </c>
      <c r="QH40" s="1100">
        <f t="shared" si="80"/>
        <v>387001.56955851009</v>
      </c>
      <c r="QI40" s="1099">
        <f t="shared" si="81"/>
        <v>964.6400000000001</v>
      </c>
      <c r="QJ40" s="484">
        <f t="shared" si="82"/>
        <v>5505.3678056099998</v>
      </c>
      <c r="QK40" s="13"/>
      <c r="QL40" s="2616"/>
      <c r="QN40" s="139" t="str">
        <f t="shared" si="83"/>
        <v/>
      </c>
      <c r="QO40" s="139" t="str">
        <f t="shared" si="84"/>
        <v/>
      </c>
      <c r="QQ40" s="139" t="str">
        <f t="shared" si="85"/>
        <v/>
      </c>
      <c r="QR40" s="139" t="str">
        <f t="shared" si="86"/>
        <v/>
      </c>
      <c r="QT40" s="1">
        <f t="shared" si="87"/>
        <v>0</v>
      </c>
      <c r="QU40" s="1">
        <f t="shared" si="88"/>
        <v>0</v>
      </c>
      <c r="QV40" s="1">
        <f t="shared" si="89"/>
        <v>0</v>
      </c>
      <c r="QW40" s="1">
        <f t="shared" si="90"/>
        <v>0</v>
      </c>
      <c r="QX40" s="1">
        <f t="shared" si="91"/>
        <v>0</v>
      </c>
      <c r="QY40" s="1">
        <f t="shared" si="92"/>
        <v>0</v>
      </c>
      <c r="RA40" s="1">
        <f t="shared" si="93"/>
        <v>0</v>
      </c>
      <c r="RB40" s="1">
        <f t="shared" si="94"/>
        <v>0</v>
      </c>
      <c r="RC40" s="1">
        <f t="shared" si="95"/>
        <v>0</v>
      </c>
      <c r="RD40" s="1">
        <f t="shared" si="96"/>
        <v>0</v>
      </c>
      <c r="RE40" s="1">
        <f t="shared" si="97"/>
        <v>0</v>
      </c>
      <c r="RF40" s="1">
        <f t="shared" si="98"/>
        <v>0</v>
      </c>
      <c r="RI40" s="1">
        <v>31</v>
      </c>
      <c r="RJ40" s="1">
        <f t="shared" si="124"/>
        <v>22908.365709717091</v>
      </c>
      <c r="RK40" s="1">
        <f t="shared" si="125"/>
        <v>-25014.778719516282</v>
      </c>
      <c r="RL40" s="1">
        <f t="shared" si="126"/>
        <v>13404.263703387322</v>
      </c>
      <c r="RM40" s="89">
        <f t="shared" si="5"/>
        <v>11297.850693588131</v>
      </c>
      <c r="RN40" s="1033">
        <v>31</v>
      </c>
      <c r="RO40" s="1098">
        <f t="shared" si="100"/>
        <v>0</v>
      </c>
      <c r="RP40" s="1098">
        <f t="shared" si="101"/>
        <v>0</v>
      </c>
      <c r="RQ40" s="1097">
        <f t="shared" si="102"/>
        <v>0</v>
      </c>
      <c r="RR40" s="1097">
        <f t="shared" si="103"/>
        <v>7699.7600000000011</v>
      </c>
      <c r="RS40" s="1094"/>
      <c r="RT40" s="1096" t="s">
        <v>1009</v>
      </c>
      <c r="RW40" s="421">
        <v>31</v>
      </c>
      <c r="RX40" s="1095">
        <f t="shared" si="104"/>
        <v>0</v>
      </c>
      <c r="RY40" s="1094"/>
      <c r="SA40" s="1090"/>
      <c r="SB40" s="1090">
        <f t="shared" si="105"/>
        <v>0</v>
      </c>
      <c r="SC40" s="1090"/>
      <c r="SD40" s="1090">
        <f t="shared" si="127"/>
        <v>0</v>
      </c>
      <c r="SF40" s="1">
        <v>31</v>
      </c>
      <c r="SG40" s="1">
        <f t="shared" si="107"/>
        <v>0</v>
      </c>
      <c r="SH40" s="1094"/>
    </row>
    <row r="41" spans="1:502" s="38" customFormat="1" ht="13.95" customHeight="1">
      <c r="A41" s="307" t="s">
        <v>206</v>
      </c>
      <c r="B41" s="307"/>
      <c r="C41" s="72">
        <f>SUM(C10:C40)</f>
        <v>4259993.5999999996</v>
      </c>
      <c r="D41" s="72">
        <f>SUM(D10:D40)</f>
        <v>256346.23759999999</v>
      </c>
      <c r="E41" s="1744">
        <f t="shared" si="7"/>
        <v>16.618124142891652</v>
      </c>
      <c r="H41" s="38">
        <f t="shared" ref="H41:P41" si="137">SUM(H10:H40)</f>
        <v>559.5</v>
      </c>
      <c r="I41" s="38">
        <f t="shared" si="137"/>
        <v>109.96</v>
      </c>
      <c r="J41" s="38">
        <f t="shared" si="137"/>
        <v>0</v>
      </c>
      <c r="K41" s="38">
        <f t="shared" si="137"/>
        <v>0</v>
      </c>
      <c r="L41" s="38">
        <f t="shared" si="137"/>
        <v>306</v>
      </c>
      <c r="M41" s="38">
        <f t="shared" si="137"/>
        <v>119.09</v>
      </c>
      <c r="N41" s="72">
        <f t="shared" si="137"/>
        <v>0</v>
      </c>
      <c r="O41" s="72">
        <f t="shared" si="137"/>
        <v>2657364</v>
      </c>
      <c r="P41" s="38">
        <f t="shared" si="137"/>
        <v>185956.53000000003</v>
      </c>
      <c r="Q41" s="38">
        <f t="shared" si="9"/>
        <v>14.290242993886794</v>
      </c>
      <c r="R41" s="72">
        <f>SUM(R10:R40)</f>
        <v>0</v>
      </c>
      <c r="S41" s="1409">
        <f t="shared" si="10"/>
        <v>976998.6</v>
      </c>
      <c r="T41" s="1410">
        <f>SUM(T10:T40)</f>
        <v>52029.707600000009</v>
      </c>
      <c r="U41" s="1410">
        <f t="shared" si="11"/>
        <v>18.777706911426115</v>
      </c>
      <c r="V41" s="72">
        <f>SUM(V10:V40)</f>
        <v>0</v>
      </c>
      <c r="W41" s="72">
        <f>SUM(W10:W40)</f>
        <v>625631</v>
      </c>
      <c r="X41" s="72">
        <f>SUM(X10:X40)</f>
        <v>18360</v>
      </c>
      <c r="Y41" s="38">
        <f t="shared" si="13"/>
        <v>34.075762527233117</v>
      </c>
      <c r="Z41" s="72">
        <f>SUM(Z10:Z40)</f>
        <v>0</v>
      </c>
      <c r="AA41" s="72">
        <f>SUM(AA10:AA40)</f>
        <v>0</v>
      </c>
      <c r="AB41" s="72">
        <f t="shared" si="15"/>
        <v>0</v>
      </c>
      <c r="AC41" s="38">
        <f t="shared" si="16"/>
        <v>0</v>
      </c>
      <c r="AD41" s="72"/>
      <c r="AE41" s="72">
        <f>SUM(AE10:AE40)</f>
        <v>0</v>
      </c>
      <c r="AF41" s="38">
        <f>SUM(AF10:AF40)</f>
        <v>0</v>
      </c>
      <c r="AG41" s="38">
        <f t="shared" si="17"/>
        <v>0</v>
      </c>
      <c r="AH41" s="72">
        <f>SUM(AH10:AH40)</f>
        <v>0</v>
      </c>
      <c r="AI41" s="72">
        <f>SUM(AI10:AI40)</f>
        <v>0</v>
      </c>
      <c r="AJ41" s="72">
        <f>SUM(AJ10:AJ40)</f>
        <v>0</v>
      </c>
      <c r="AK41" s="38">
        <f t="shared" si="18"/>
        <v>0</v>
      </c>
      <c r="AL41" s="72">
        <f>SUM(AL10:AL40)</f>
        <v>0</v>
      </c>
      <c r="AM41" s="72">
        <f>SUM(AM10:AM40)</f>
        <v>0</v>
      </c>
      <c r="AN41" s="72">
        <f>SUM(AN10:AN40)</f>
        <v>0</v>
      </c>
      <c r="AO41" s="72">
        <f>SUM(AO10:AO40)</f>
        <v>0</v>
      </c>
      <c r="AP41" s="38">
        <f t="shared" si="19"/>
        <v>0</v>
      </c>
      <c r="AQ41" s="72">
        <f>SUM(AQ10:AQ40)</f>
        <v>0</v>
      </c>
      <c r="AR41" s="38">
        <f>SUM(AR10:AR40)</f>
        <v>0</v>
      </c>
      <c r="AS41" s="38">
        <f t="shared" si="20"/>
        <v>0</v>
      </c>
      <c r="AT41" s="72">
        <f>SUM(AT10:AT40)</f>
        <v>0</v>
      </c>
      <c r="AU41" s="72">
        <f>SUM(AU10:AU40)</f>
        <v>0</v>
      </c>
      <c r="AV41" s="38">
        <f t="shared" si="21"/>
        <v>0</v>
      </c>
      <c r="AW41" s="72">
        <f>SUM(AW10:AW40)</f>
        <v>1455366</v>
      </c>
      <c r="AX41" s="38">
        <f>SUM(AX10:AX40)</f>
        <v>129278.12999999999</v>
      </c>
      <c r="AY41" s="1904">
        <f>IFERROR(SUM(AW10:AW40)/SUM(AX10:AX40),0)</f>
        <v>11.25763499209031</v>
      </c>
      <c r="AZ41" s="72">
        <f>SUM(AZ10:AZ40)</f>
        <v>0</v>
      </c>
      <c r="BA41" s="72">
        <f>SUM(BA10:BA40)</f>
        <v>0</v>
      </c>
      <c r="BB41" s="38">
        <f>IFERROR(SUM(AZ10:AZ40)/SUM(BA10:BA40),0)</f>
        <v>0</v>
      </c>
      <c r="BC41" s="72">
        <f>SUM(BC10:BC40)</f>
        <v>1201998</v>
      </c>
      <c r="BD41" s="865">
        <f>SUM(BD10:BD40)</f>
        <v>56678.400000000016</v>
      </c>
      <c r="BE41" s="1904">
        <f>IFERROR(SUM(BC10:BC40)/SUM(BD10:BD40),0)</f>
        <v>21.207338245257446</v>
      </c>
      <c r="BF41" s="72">
        <f>SUM(BF10:BF40)</f>
        <v>0</v>
      </c>
      <c r="BG41" s="38">
        <f>SUM(BG10:BG40)</f>
        <v>0</v>
      </c>
      <c r="BH41" s="38">
        <f>IFERROR(SUM(BF10:BF40)/SUM(BG10:BG40),0)</f>
        <v>0</v>
      </c>
      <c r="BI41" s="72">
        <f>SUM(BI10:BI40)</f>
        <v>0</v>
      </c>
      <c r="BJ41" s="38">
        <f>SUM(BJ10:BJ40)</f>
        <v>0</v>
      </c>
      <c r="BK41" s="38">
        <f>IFERROR(SUM(BI10:BI40)/SUM(BJ10:BJ40),0)</f>
        <v>0</v>
      </c>
      <c r="BL41" s="72">
        <f>SUM(BL10:BL40)</f>
        <v>976998.6</v>
      </c>
      <c r="BM41" s="1743">
        <f>SUM(BM10:BM40)</f>
        <v>48962.260000000009</v>
      </c>
      <c r="BN41" s="72">
        <f>SUM(BN10:BN40)</f>
        <v>3067.4476</v>
      </c>
      <c r="BO41" s="1904">
        <f>IFERROR(SUM(BL10:BL40)/SUM(BM10:BM40),0)</f>
        <v>19.954115680117702</v>
      </c>
      <c r="BP41" s="72">
        <f>SUM(BP10:BP40)</f>
        <v>0</v>
      </c>
      <c r="BQ41" s="38">
        <f>SUM(BQ10:BQ40)</f>
        <v>0</v>
      </c>
      <c r="BR41" s="38">
        <f>IFERROR(SUM(BP10:BP40)/SUM(BQ10:BQ40),0)</f>
        <v>0</v>
      </c>
      <c r="BS41" s="72">
        <f>SUM(BS10:BS40)</f>
        <v>0</v>
      </c>
      <c r="BT41" s="38">
        <f>SUM(BT10:BT40)</f>
        <v>0</v>
      </c>
      <c r="BU41" s="38">
        <f>IFERROR(SUM(BS10:BS40)/SUM(BT10:BT40),0)</f>
        <v>0</v>
      </c>
      <c r="BV41" s="72">
        <f>SUM(BV10:BV40)</f>
        <v>625631</v>
      </c>
      <c r="BW41" s="72">
        <f>SUM(BW10:BW40)</f>
        <v>18360</v>
      </c>
      <c r="BX41" s="1904">
        <f>IFERROR(SUM(BV10:BV40)/SUM(BW10:BW40),0)</f>
        <v>34.075762527233117</v>
      </c>
      <c r="BY41" s="72">
        <f>SUM(BY10:BY40)</f>
        <v>0</v>
      </c>
      <c r="BZ41" s="72">
        <f>SUM(BZ10:BZ40)</f>
        <v>0</v>
      </c>
      <c r="CA41" s="38">
        <f t="shared" si="30"/>
        <v>0</v>
      </c>
      <c r="CB41" s="72">
        <f>SUM(CB10:CB40)</f>
        <v>0</v>
      </c>
      <c r="CC41" s="72">
        <f>SUM(CC10:CC40)</f>
        <v>0</v>
      </c>
      <c r="CD41" s="38">
        <f t="shared" si="31"/>
        <v>0</v>
      </c>
      <c r="CE41" s="72">
        <f>SUM(CE10:CE40)</f>
        <v>0</v>
      </c>
      <c r="CF41" s="278">
        <f>SUM(CF10:CF40)</f>
        <v>0</v>
      </c>
      <c r="CG41" s="38">
        <f t="shared" si="32"/>
        <v>0</v>
      </c>
      <c r="CH41" s="72">
        <f t="shared" ref="CH41:CR41" si="138">SUM(CH10:CH40)</f>
        <v>0</v>
      </c>
      <c r="CI41" s="72">
        <f t="shared" si="138"/>
        <v>5494</v>
      </c>
      <c r="CJ41" s="72">
        <f t="shared" si="138"/>
        <v>3780</v>
      </c>
      <c r="CK41" s="72">
        <f t="shared" si="138"/>
        <v>137275</v>
      </c>
      <c r="CL41" s="72">
        <f t="shared" si="138"/>
        <v>0</v>
      </c>
      <c r="CM41" s="72">
        <f t="shared" si="138"/>
        <v>0</v>
      </c>
      <c r="CN41" s="72">
        <f t="shared" si="138"/>
        <v>2795</v>
      </c>
      <c r="CO41" s="72">
        <f t="shared" si="138"/>
        <v>0</v>
      </c>
      <c r="CP41" s="72">
        <f t="shared" si="138"/>
        <v>0</v>
      </c>
      <c r="CQ41" s="72">
        <f t="shared" si="138"/>
        <v>0</v>
      </c>
      <c r="CR41" s="72">
        <f t="shared" si="138"/>
        <v>0</v>
      </c>
      <c r="CS41" s="72"/>
      <c r="CT41" s="72">
        <f>SUM(CT10:CT40)</f>
        <v>0</v>
      </c>
      <c r="CU41" s="72"/>
      <c r="CV41" s="72">
        <f>SUM(CV10:CV40)</f>
        <v>0</v>
      </c>
      <c r="CW41" s="72"/>
      <c r="CX41" s="72">
        <f>SUM(CX10:CX40)</f>
        <v>41464.049999999996</v>
      </c>
      <c r="CY41" s="72"/>
      <c r="CZ41" s="72">
        <f>SUM(CZ10:CZ40)</f>
        <v>193050.1</v>
      </c>
      <c r="DA41" s="72"/>
      <c r="DB41" s="72">
        <f>SUM(DB10:DB40)</f>
        <v>17800</v>
      </c>
      <c r="DC41" s="72"/>
      <c r="DD41" s="72">
        <f>SUM(DD10:DD40)</f>
        <v>253278.78999999998</v>
      </c>
      <c r="DE41" s="72">
        <f>SUM(DE10:DE40)</f>
        <v>0</v>
      </c>
      <c r="DF41" s="72">
        <f>SUM(DF10:DF40)</f>
        <v>0</v>
      </c>
      <c r="DG41" s="72"/>
      <c r="DH41" s="72">
        <f>SUM(DH10:DH40)</f>
        <v>0</v>
      </c>
      <c r="DI41" s="72"/>
      <c r="DJ41" s="72">
        <f>SUM(DJ10:DJ40)</f>
        <v>0</v>
      </c>
      <c r="DK41" s="72"/>
      <c r="DL41" s="72">
        <f>SUM(DL10:DL40)</f>
        <v>41464.049999999996</v>
      </c>
      <c r="DM41" s="72"/>
      <c r="DN41" s="72">
        <f t="shared" ref="DN41:DS41" si="139">SUM(DN10:DN40)</f>
        <v>86849.439999999973</v>
      </c>
      <c r="DO41" s="72">
        <f t="shared" si="139"/>
        <v>0</v>
      </c>
      <c r="DP41" s="72">
        <f t="shared" si="139"/>
        <v>0</v>
      </c>
      <c r="DQ41" s="72">
        <f t="shared" si="139"/>
        <v>0</v>
      </c>
      <c r="DR41" s="72">
        <f t="shared" si="139"/>
        <v>128313.48999999999</v>
      </c>
      <c r="DS41" s="72">
        <f t="shared" si="139"/>
        <v>0</v>
      </c>
      <c r="DT41" s="72"/>
      <c r="DU41" s="72">
        <f>SUM(DU10:DU40)</f>
        <v>0</v>
      </c>
      <c r="DV41" s="72"/>
      <c r="DW41" s="72">
        <f>SUM(DW10:DW40)</f>
        <v>0</v>
      </c>
      <c r="DX41" s="72"/>
      <c r="DY41" s="72">
        <f>SUM(DY10:DY40)</f>
        <v>0</v>
      </c>
      <c r="DZ41" s="72"/>
      <c r="EA41" s="341">
        <f>SUM(EA10:EA40)</f>
        <v>105640.66</v>
      </c>
      <c r="EC41" s="72">
        <f>SUM(EC10:EC40)</f>
        <v>0</v>
      </c>
      <c r="ED41" s="72"/>
      <c r="EE41" s="72">
        <f t="shared" ref="EE41:EJ41" si="140">SUM(EE10:EE40)</f>
        <v>105640.66</v>
      </c>
      <c r="EF41" s="72">
        <f t="shared" si="140"/>
        <v>0</v>
      </c>
      <c r="EG41" s="72">
        <f t="shared" si="140"/>
        <v>0</v>
      </c>
      <c r="EH41" s="72">
        <f t="shared" si="140"/>
        <v>0</v>
      </c>
      <c r="EI41" s="72">
        <f t="shared" si="140"/>
        <v>0</v>
      </c>
      <c r="EJ41" s="72">
        <f t="shared" si="140"/>
        <v>0</v>
      </c>
      <c r="EK41" s="72"/>
      <c r="EL41" s="72">
        <f>SUM(EL10:EL40)</f>
        <v>0</v>
      </c>
      <c r="EM41" s="278">
        <f>SUM(EM10:EM40)</f>
        <v>0</v>
      </c>
      <c r="EN41" s="72">
        <f>SUM(EN10:EN40)</f>
        <v>560</v>
      </c>
      <c r="EO41" s="72"/>
      <c r="EP41" s="72">
        <f>SUM(EP10:EP40)</f>
        <v>17800</v>
      </c>
      <c r="EQ41" s="72"/>
      <c r="ER41" s="72">
        <f>SUM(ER10:ER40)</f>
        <v>18360</v>
      </c>
      <c r="ES41" s="72">
        <f>SUM(ES10:ES40)</f>
        <v>0</v>
      </c>
      <c r="ET41" s="72">
        <f>SUM(ET10:ET40)</f>
        <v>0</v>
      </c>
      <c r="EU41" s="72">
        <f>SUM(EU10:EU40)</f>
        <v>0</v>
      </c>
      <c r="EV41" s="72">
        <f t="shared" ref="EV41:FV41" si="141">SUM(EV10:EV40)</f>
        <v>0</v>
      </c>
      <c r="EW41" s="72">
        <f t="shared" si="141"/>
        <v>0</v>
      </c>
      <c r="EX41" s="72">
        <f t="shared" si="141"/>
        <v>0</v>
      </c>
      <c r="EY41" s="72">
        <f t="shared" si="141"/>
        <v>0</v>
      </c>
      <c r="EZ41" s="72">
        <f t="shared" si="141"/>
        <v>0</v>
      </c>
      <c r="FA41" s="72">
        <f t="shared" si="141"/>
        <v>0</v>
      </c>
      <c r="FB41" s="72">
        <f t="shared" si="141"/>
        <v>0</v>
      </c>
      <c r="FC41" s="72">
        <f t="shared" si="141"/>
        <v>0</v>
      </c>
      <c r="FD41" s="72">
        <f t="shared" si="141"/>
        <v>1848.5</v>
      </c>
      <c r="FE41" s="72">
        <f t="shared" si="141"/>
        <v>1848.5</v>
      </c>
      <c r="FF41" s="72">
        <f t="shared" si="141"/>
        <v>0</v>
      </c>
      <c r="FG41" s="72">
        <f t="shared" si="141"/>
        <v>0</v>
      </c>
      <c r="FH41" s="72">
        <f t="shared" si="141"/>
        <v>0</v>
      </c>
      <c r="FI41" s="72">
        <f t="shared" si="141"/>
        <v>0</v>
      </c>
      <c r="FJ41" s="72">
        <f t="shared" si="141"/>
        <v>0</v>
      </c>
      <c r="FK41" s="72">
        <f t="shared" si="141"/>
        <v>0</v>
      </c>
      <c r="FL41" s="72">
        <f t="shared" si="141"/>
        <v>0</v>
      </c>
      <c r="FM41" s="72">
        <f t="shared" si="141"/>
        <v>0</v>
      </c>
      <c r="FN41" s="72">
        <f t="shared" si="141"/>
        <v>0</v>
      </c>
      <c r="FO41" s="72">
        <f t="shared" si="141"/>
        <v>0</v>
      </c>
      <c r="FP41" s="72">
        <f t="shared" si="141"/>
        <v>0</v>
      </c>
      <c r="FQ41" s="72">
        <f t="shared" si="141"/>
        <v>0</v>
      </c>
      <c r="FR41" s="72">
        <f t="shared" si="141"/>
        <v>0</v>
      </c>
      <c r="FS41" s="72">
        <f t="shared" si="141"/>
        <v>0</v>
      </c>
      <c r="FT41" s="72">
        <f t="shared" si="141"/>
        <v>0</v>
      </c>
      <c r="FU41" s="72">
        <f t="shared" si="141"/>
        <v>0</v>
      </c>
      <c r="FV41" s="72">
        <f t="shared" si="141"/>
        <v>0</v>
      </c>
      <c r="FW41" s="72"/>
      <c r="FX41" s="72">
        <f>SUM(FX10:FX40)</f>
        <v>0</v>
      </c>
      <c r="FY41" s="72"/>
      <c r="FZ41" s="72">
        <f>SUM(FZ10:FZ40)</f>
        <v>0</v>
      </c>
      <c r="GA41" s="72"/>
      <c r="GB41" s="72">
        <f>SUM(GB10:GB40)</f>
        <v>0</v>
      </c>
      <c r="GC41" s="72"/>
      <c r="GD41" s="72">
        <f>SUM(GD10:GD40)</f>
        <v>1848.5</v>
      </c>
      <c r="GF41" s="72">
        <f>SUM(GF10:GF40)</f>
        <v>0</v>
      </c>
      <c r="GG41" s="72"/>
      <c r="GH41" s="72">
        <f t="shared" ref="GH41:HL41" si="142">SUM(GH10:GH40)</f>
        <v>1848.5</v>
      </c>
      <c r="GI41" s="72">
        <f t="shared" si="142"/>
        <v>0</v>
      </c>
      <c r="GJ41" s="72">
        <f t="shared" si="142"/>
        <v>0</v>
      </c>
      <c r="GK41" s="38">
        <f t="shared" si="142"/>
        <v>40257.789999999994</v>
      </c>
      <c r="GL41" s="63">
        <f t="shared" si="111"/>
        <v>91636.270000000019</v>
      </c>
      <c r="GM41" s="38">
        <f t="shared" si="142"/>
        <v>105317.48</v>
      </c>
      <c r="GN41" s="38">
        <f t="shared" si="142"/>
        <v>237211.54000000007</v>
      </c>
      <c r="GO41" s="72">
        <f t="shared" si="142"/>
        <v>0</v>
      </c>
      <c r="GP41" s="72">
        <f t="shared" si="142"/>
        <v>0</v>
      </c>
      <c r="GQ41" s="72">
        <f t="shared" si="142"/>
        <v>0</v>
      </c>
      <c r="GR41" s="72">
        <f t="shared" si="142"/>
        <v>0</v>
      </c>
      <c r="GS41" s="38">
        <f t="shared" si="142"/>
        <v>112138.03999999998</v>
      </c>
      <c r="GT41" s="38">
        <f t="shared" si="142"/>
        <v>4095.7999999999997</v>
      </c>
      <c r="GU41" s="38">
        <f t="shared" si="142"/>
        <v>65040.749999999993</v>
      </c>
      <c r="GV41" s="72">
        <f t="shared" si="142"/>
        <v>55936.95</v>
      </c>
      <c r="GW41" s="38">
        <f t="shared" si="142"/>
        <v>237211.54000000007</v>
      </c>
      <c r="GX41" s="72">
        <f t="shared" si="142"/>
        <v>0</v>
      </c>
      <c r="GY41" s="38">
        <f t="shared" si="142"/>
        <v>0</v>
      </c>
      <c r="GZ41" s="72">
        <f t="shared" si="142"/>
        <v>0</v>
      </c>
      <c r="HA41" s="72">
        <f t="shared" si="142"/>
        <v>0</v>
      </c>
      <c r="HB41" s="72">
        <f t="shared" si="142"/>
        <v>0</v>
      </c>
      <c r="HC41" s="72">
        <f t="shared" si="142"/>
        <v>0</v>
      </c>
      <c r="HD41" s="72">
        <f t="shared" si="142"/>
        <v>0</v>
      </c>
      <c r="HE41" s="72">
        <f t="shared" si="142"/>
        <v>0</v>
      </c>
      <c r="HF41" s="72">
        <f t="shared" si="142"/>
        <v>0</v>
      </c>
      <c r="HG41" s="38">
        <f t="shared" si="142"/>
        <v>676.18999999999994</v>
      </c>
      <c r="HH41" s="72">
        <f t="shared" si="142"/>
        <v>0</v>
      </c>
      <c r="HI41" s="38">
        <f t="shared" si="142"/>
        <v>35485.800000000003</v>
      </c>
      <c r="HJ41" s="72">
        <f t="shared" si="142"/>
        <v>0</v>
      </c>
      <c r="HK41" s="38">
        <f t="shared" si="142"/>
        <v>4095.7999999999997</v>
      </c>
      <c r="HL41" s="72">
        <f t="shared" si="142"/>
        <v>0</v>
      </c>
      <c r="HM41" s="38">
        <f t="shared" si="121"/>
        <v>40257.790000000008</v>
      </c>
      <c r="HN41" s="38">
        <f t="shared" ref="HN41:IA41" si="143">SUM(HN10:HN40)</f>
        <v>0</v>
      </c>
      <c r="HO41" s="38">
        <f t="shared" si="143"/>
        <v>0</v>
      </c>
      <c r="HP41" s="38">
        <f t="shared" si="143"/>
        <v>0</v>
      </c>
      <c r="HQ41" s="38">
        <f t="shared" si="143"/>
        <v>0</v>
      </c>
      <c r="HR41" s="38">
        <f t="shared" si="143"/>
        <v>0</v>
      </c>
      <c r="HS41" s="38">
        <f t="shared" si="143"/>
        <v>0</v>
      </c>
      <c r="HT41" s="38">
        <f t="shared" si="143"/>
        <v>0</v>
      </c>
      <c r="HU41" s="38">
        <f t="shared" si="143"/>
        <v>0</v>
      </c>
      <c r="HV41" s="38">
        <f t="shared" si="143"/>
        <v>0</v>
      </c>
      <c r="HW41" s="38">
        <f t="shared" si="143"/>
        <v>0</v>
      </c>
      <c r="HX41" s="38">
        <f t="shared" si="143"/>
        <v>0</v>
      </c>
      <c r="HY41" s="38">
        <f t="shared" si="143"/>
        <v>0</v>
      </c>
      <c r="HZ41" s="38">
        <f t="shared" si="143"/>
        <v>0</v>
      </c>
      <c r="IA41" s="38">
        <f t="shared" si="143"/>
        <v>0</v>
      </c>
      <c r="IB41" s="38">
        <f t="shared" si="49"/>
        <v>0</v>
      </c>
      <c r="IC41" s="38">
        <f t="shared" ref="IC41:JN41" si="144">SUM(IC10:IC40)</f>
        <v>0</v>
      </c>
      <c r="ID41" s="38">
        <f t="shared" si="144"/>
        <v>0</v>
      </c>
      <c r="IE41" s="38">
        <f t="shared" si="144"/>
        <v>0</v>
      </c>
      <c r="IF41" s="38">
        <f t="shared" si="144"/>
        <v>0</v>
      </c>
      <c r="IG41" s="38">
        <f t="shared" si="144"/>
        <v>0</v>
      </c>
      <c r="IH41" s="38">
        <f t="shared" si="144"/>
        <v>0</v>
      </c>
      <c r="II41" s="38">
        <f t="shared" si="144"/>
        <v>32451.780000000002</v>
      </c>
      <c r="IJ41" s="38">
        <f t="shared" si="144"/>
        <v>0</v>
      </c>
      <c r="IK41" s="38">
        <f t="shared" si="144"/>
        <v>58965.489999999991</v>
      </c>
      <c r="IL41" s="38">
        <f t="shared" si="144"/>
        <v>0</v>
      </c>
      <c r="IM41" s="38">
        <f t="shared" si="144"/>
        <v>0</v>
      </c>
      <c r="IN41" s="72">
        <f t="shared" si="144"/>
        <v>0</v>
      </c>
      <c r="IO41" s="72">
        <f t="shared" si="144"/>
        <v>0</v>
      </c>
      <c r="IP41" s="72">
        <f t="shared" si="144"/>
        <v>219</v>
      </c>
      <c r="IQ41" s="38">
        <f t="shared" si="144"/>
        <v>91636.270000000019</v>
      </c>
      <c r="IR41" s="72">
        <f t="shared" si="144"/>
        <v>0</v>
      </c>
      <c r="IS41" s="72">
        <f t="shared" si="144"/>
        <v>0</v>
      </c>
      <c r="IT41" s="72">
        <f t="shared" si="144"/>
        <v>0</v>
      </c>
      <c r="IU41" s="72">
        <f t="shared" si="144"/>
        <v>0</v>
      </c>
      <c r="IV41" s="38">
        <f t="shared" si="144"/>
        <v>0</v>
      </c>
      <c r="IW41" s="72">
        <f t="shared" si="144"/>
        <v>0</v>
      </c>
      <c r="IX41" s="72">
        <f t="shared" si="144"/>
        <v>0</v>
      </c>
      <c r="IY41" s="72">
        <f t="shared" si="144"/>
        <v>0</v>
      </c>
      <c r="IZ41" s="38">
        <f t="shared" si="144"/>
        <v>101314.61999999998</v>
      </c>
      <c r="JA41" s="72">
        <f t="shared" si="144"/>
        <v>0</v>
      </c>
      <c r="JB41" s="38">
        <f t="shared" si="144"/>
        <v>4002.8599999999997</v>
      </c>
      <c r="JC41" s="72">
        <f t="shared" si="144"/>
        <v>0</v>
      </c>
      <c r="JD41" s="72">
        <f t="shared" si="144"/>
        <v>0</v>
      </c>
      <c r="JE41" s="72">
        <f t="shared" si="144"/>
        <v>0</v>
      </c>
      <c r="JF41" s="38">
        <f t="shared" si="144"/>
        <v>105317.48</v>
      </c>
      <c r="JG41" s="72">
        <f t="shared" si="144"/>
        <v>0</v>
      </c>
      <c r="JH41" s="72">
        <f t="shared" si="144"/>
        <v>0</v>
      </c>
      <c r="JI41" s="2104">
        <f>SUM(JI10:JI40)</f>
        <v>140766.35999999996</v>
      </c>
      <c r="JJ41" s="2104">
        <f t="shared" si="144"/>
        <v>96445.180000000008</v>
      </c>
      <c r="JK41" s="72">
        <f t="shared" si="144"/>
        <v>0</v>
      </c>
      <c r="JL41" s="38">
        <f t="shared" si="144"/>
        <v>237211.54000000004</v>
      </c>
      <c r="JM41" s="72">
        <f t="shared" si="144"/>
        <v>0</v>
      </c>
      <c r="JN41" s="72">
        <f t="shared" si="144"/>
        <v>0</v>
      </c>
      <c r="JO41" s="305">
        <f t="shared" ref="JO41:JV41" si="145">IFERROR(SUM(JO10:JO40)/SUM($JO$10:$JV$40),"")</f>
        <v>0</v>
      </c>
      <c r="JP41" s="305">
        <f t="shared" si="145"/>
        <v>0</v>
      </c>
      <c r="JQ41" s="305">
        <f t="shared" si="145"/>
        <v>0</v>
      </c>
      <c r="JR41" s="305">
        <f t="shared" si="145"/>
        <v>4.3754391322207526E-3</v>
      </c>
      <c r="JS41" s="305">
        <f t="shared" si="145"/>
        <v>0.98091134024377846</v>
      </c>
      <c r="JT41" s="305">
        <f t="shared" si="145"/>
        <v>8.4317501368096678E-4</v>
      </c>
      <c r="JU41" s="305">
        <f t="shared" si="145"/>
        <v>1.3870045610319468E-2</v>
      </c>
      <c r="JV41" s="305">
        <f t="shared" si="145"/>
        <v>0</v>
      </c>
      <c r="JW41" s="305">
        <f t="shared" ref="JW41:KL41" si="146">IFERROR(SUM(JW10:JW40)/SUM($JW$10:$KD$40),"")</f>
        <v>0</v>
      </c>
      <c r="JX41" s="305">
        <f t="shared" si="146"/>
        <v>0</v>
      </c>
      <c r="JY41" s="305">
        <f t="shared" si="146"/>
        <v>0</v>
      </c>
      <c r="JZ41" s="305">
        <f t="shared" si="146"/>
        <v>0.35531551962227992</v>
      </c>
      <c r="KA41" s="305">
        <f t="shared" si="146"/>
        <v>0.22217225680651179</v>
      </c>
      <c r="KB41" s="305">
        <f t="shared" si="146"/>
        <v>0.33680405521630347</v>
      </c>
      <c r="KC41" s="305">
        <f t="shared" si="146"/>
        <v>8.5708168354904718E-2</v>
      </c>
      <c r="KD41" s="305">
        <f t="shared" si="146"/>
        <v>0</v>
      </c>
      <c r="KE41" s="38">
        <f t="shared" si="146"/>
        <v>0</v>
      </c>
      <c r="KF41" s="38">
        <f t="shared" si="146"/>
        <v>0</v>
      </c>
      <c r="KG41" s="38">
        <f t="shared" si="146"/>
        <v>0</v>
      </c>
      <c r="KH41" s="38">
        <f t="shared" si="146"/>
        <v>0</v>
      </c>
      <c r="KI41" s="38">
        <f t="shared" si="146"/>
        <v>0</v>
      </c>
      <c r="KJ41" s="38">
        <f t="shared" si="146"/>
        <v>0</v>
      </c>
      <c r="KK41" s="38">
        <f t="shared" si="146"/>
        <v>0</v>
      </c>
      <c r="KL41" s="38">
        <f t="shared" si="146"/>
        <v>0</v>
      </c>
      <c r="KM41" s="72">
        <f>SUM(KM10:KM40)</f>
        <v>0</v>
      </c>
      <c r="KN41" s="72">
        <f>SUM(KN10:KN40)</f>
        <v>0</v>
      </c>
      <c r="KO41" s="72">
        <f>IFERROR(SUMPRODUCT((KO10:KO40&lt;&gt;"")*KO10:KO40,$JI$10:$JI$40)/SUMIFS($JI$10:$JI$40,KO10:KO40,"&gt;"&amp;0),0)</f>
        <v>6961.0995691513381</v>
      </c>
      <c r="KP41" s="1904">
        <f>IFERROR(SUMPRODUCT((KP10:KP40&lt;&gt;"")*KP10:KP40,$JI$10:$JI$40)/SUMIFS($JI$10:$JI$40,KP10:KP40,"&gt;"&amp;0),0)</f>
        <v>0.81102707256540829</v>
      </c>
      <c r="KQ41" s="38">
        <f>IFERROR(SUMPRODUCT((KQ10:KQ40&lt;&gt;"")*KQ10:KQ40,$JI$10:$JI$40)/SUMIFS($JI$10:$JI$40,KQ10:KQ40,"&gt;"&amp;0),0)</f>
        <v>3.7939835366089727</v>
      </c>
      <c r="KR41" s="38">
        <f>IFERROR(SUMPRODUCT((KR10:KR40&lt;&gt;"")*KR10:KR40,$JI$10:$JI$40)/SUMIFS($JI$10:$JI$40,KR10:KR40,"&gt;"&amp;0),0)</f>
        <v>7.2845532085063054</v>
      </c>
      <c r="KS41" s="38">
        <f>IFERROR(SUMPRODUCT((KS10:KS40&lt;&gt;"")*KS10:KS40,$JI$10:$JI$40)/SUMIFS($JI$10:$JI$40,KS10:KS40,"&gt;"&amp;0),0)</f>
        <v>10.988960508489638</v>
      </c>
      <c r="KT41" s="72">
        <f>IFERROR(SUMPRODUCT((KT10:KT40&lt;&gt;"")*KT10:KT40,$JJ$10:$JJ$40)/SUMIFS($JJ$10:$JJ$40,KT10:KT40,"&gt;"&amp;0),0)</f>
        <v>6767.7888071134857</v>
      </c>
      <c r="KU41" s="1904">
        <f>IFERROR(SUMPRODUCT((KU10:KU40&lt;&gt;"")*KU10:KU40,$JJ$10:$JJ$40)/SUMIFS($JJ$10:$JJ$40,KU10:KU40,"&gt;"&amp;0),0)</f>
        <v>1.9949399061037867</v>
      </c>
      <c r="KV41" s="38">
        <f>IFERROR(SUMPRODUCT((KV10:KV40&lt;&gt;"")*KV10:KV40,$JJ$10:$JJ$40)/SUMIFS($JJ$10:$JJ$40,KV10:KV40,"&gt;"&amp;0),0)</f>
        <v>7.7363073084819032</v>
      </c>
      <c r="KW41" s="38">
        <f>IFERROR(SUMPRODUCT((KW10:KW40&lt;&gt;"")*KW10:KW40,$JJ$10:$JJ$40)/SUMIFS($JJ$10:$JJ$40,KW10:KW40,"&gt;"&amp;0),0)</f>
        <v>5.9529126677622797</v>
      </c>
      <c r="KX41" s="38">
        <f>IFERROR(SUMPRODUCT((KX10:KX40&lt;&gt;"")*KX10:KX40,$JJ$10:$JJ$40)/SUMIFS($JJ$10:$JJ$40,KX10:KX40,"&gt;"&amp;0),0)</f>
        <v>10.069240018638244</v>
      </c>
      <c r="KY41" s="72">
        <f>IFERROR(SUMPRODUCT((KY10:KY40&lt;&gt;"")*KY10:KY40,$JK$10:$JK$40)/SUMIFS($JK$10:$JK$40,KY10:KY40,"&gt;"&amp;0),0)</f>
        <v>0</v>
      </c>
      <c r="KZ41" s="38">
        <f>IFERROR(SUMPRODUCT((KZ10:KZ40&lt;&gt;"")*KZ10:KZ40,$JK$10:$JK$40)/SUMIFS($JK$10:$JK$40,KZ10:KZ40,"&gt;"&amp;0),0)</f>
        <v>0</v>
      </c>
      <c r="LA41" s="38">
        <f>IFERROR(SUMPRODUCT((LA10:LA40&lt;&gt;"")*LA10:LA40,$JK$10:$JK$40)/SUMIFS($JK$10:$JK$40,LA10:LA40,"&gt;"&amp;0),0)</f>
        <v>0</v>
      </c>
      <c r="LB41" s="38">
        <f>IFERROR(SUMPRODUCT((LB10:LB40&lt;&gt;"")*LB10:LB40,$JK$10:$JK$40)/SUMIFS($JK$10:$JK$40,LB10:LB40,"&gt;"&amp;0),0)</f>
        <v>0</v>
      </c>
      <c r="LC41" s="38">
        <f>IFERROR(SUMPRODUCT((LC10:LC40&lt;&gt;"")*LC10:LC40,$JK$10:$JK$40)/SUMIFS($JK$10:$JK$40,LC10:LC40,"&gt;"&amp;0),0)</f>
        <v>0</v>
      </c>
      <c r="LD41" s="72"/>
      <c r="LE41" s="72">
        <f t="shared" ref="LE41:LN41" si="147">SUM(LE10:LE40)</f>
        <v>0</v>
      </c>
      <c r="LF41" s="72">
        <f t="shared" si="147"/>
        <v>0</v>
      </c>
      <c r="LG41" s="2104">
        <f t="shared" si="147"/>
        <v>140174.81350000002</v>
      </c>
      <c r="LH41" s="970">
        <f t="shared" si="147"/>
        <v>128630.86650000002</v>
      </c>
      <c r="LI41" s="865">
        <f t="shared" si="147"/>
        <v>0</v>
      </c>
      <c r="LJ41" s="865">
        <f t="shared" si="147"/>
        <v>268805.68</v>
      </c>
      <c r="LK41" s="72">
        <f t="shared" si="147"/>
        <v>36</v>
      </c>
      <c r="LL41" s="72">
        <f t="shared" si="147"/>
        <v>7</v>
      </c>
      <c r="LM41" s="72">
        <f t="shared" si="147"/>
        <v>65</v>
      </c>
      <c r="LN41" s="72">
        <f t="shared" si="147"/>
        <v>0</v>
      </c>
      <c r="LO41" s="72">
        <f>AVERAGE(LO10:LO40)</f>
        <v>7.057096774193548</v>
      </c>
      <c r="LP41" s="72">
        <f t="shared" ref="LP41:MJ41" si="148">SUM(LP10:LP40)</f>
        <v>0</v>
      </c>
      <c r="LQ41" s="72">
        <f t="shared" si="148"/>
        <v>0</v>
      </c>
      <c r="LR41" s="38">
        <f t="shared" si="148"/>
        <v>71694.915000000008</v>
      </c>
      <c r="LS41" s="72">
        <f t="shared" si="148"/>
        <v>5121.625</v>
      </c>
      <c r="LT41" s="72">
        <f t="shared" si="148"/>
        <v>0</v>
      </c>
      <c r="LU41" s="72">
        <f t="shared" si="148"/>
        <v>0</v>
      </c>
      <c r="LV41" s="72">
        <f t="shared" si="148"/>
        <v>0</v>
      </c>
      <c r="LW41" s="72">
        <f t="shared" si="148"/>
        <v>76816.540000000008</v>
      </c>
      <c r="LX41" s="72">
        <f t="shared" si="148"/>
        <v>68479.89850000001</v>
      </c>
      <c r="LY41" s="72">
        <f t="shared" si="148"/>
        <v>123509.2415</v>
      </c>
      <c r="LZ41" s="72">
        <f t="shared" si="148"/>
        <v>0</v>
      </c>
      <c r="MA41" s="72">
        <f t="shared" si="148"/>
        <v>0</v>
      </c>
      <c r="MB41" s="72">
        <f t="shared" si="148"/>
        <v>0</v>
      </c>
      <c r="MC41" s="72">
        <f t="shared" si="148"/>
        <v>191989.14</v>
      </c>
      <c r="MD41" s="72">
        <f t="shared" si="148"/>
        <v>0</v>
      </c>
      <c r="ME41" s="72">
        <f t="shared" si="148"/>
        <v>0</v>
      </c>
      <c r="MF41" s="72">
        <f t="shared" si="148"/>
        <v>0</v>
      </c>
      <c r="MG41" s="72">
        <f t="shared" si="148"/>
        <v>0</v>
      </c>
      <c r="MH41" s="72">
        <f t="shared" si="148"/>
        <v>0</v>
      </c>
      <c r="MI41" s="72">
        <f t="shared" si="148"/>
        <v>0</v>
      </c>
      <c r="MJ41" s="72">
        <f t="shared" si="148"/>
        <v>0</v>
      </c>
      <c r="MK41" s="72"/>
      <c r="ML41" s="72">
        <f>SUM(ML10:ML40)</f>
        <v>0</v>
      </c>
      <c r="MM41" s="72">
        <f>SUM(MM10:MM40)</f>
        <v>0</v>
      </c>
      <c r="MN41" s="72">
        <f>SUM(MN10:MN40)</f>
        <v>0</v>
      </c>
      <c r="MO41" s="72">
        <f>SUM(MO10:MO40)</f>
        <v>0</v>
      </c>
      <c r="MP41" s="72">
        <f>SUM(MP10:MP40)</f>
        <v>0</v>
      </c>
      <c r="MQ41" s="72"/>
      <c r="MR41" s="72">
        <f t="shared" ref="MR41:MW41" si="149">SUM(MR10:MR40)</f>
        <v>0</v>
      </c>
      <c r="MS41" s="72">
        <f t="shared" si="149"/>
        <v>0</v>
      </c>
      <c r="MT41" s="72">
        <f t="shared" si="149"/>
        <v>0</v>
      </c>
      <c r="MU41" s="72">
        <f t="shared" si="149"/>
        <v>0</v>
      </c>
      <c r="MV41" s="72">
        <f t="shared" si="149"/>
        <v>0</v>
      </c>
      <c r="MW41" s="72">
        <f t="shared" si="149"/>
        <v>0</v>
      </c>
      <c r="MX41" s="72">
        <f>+MX40</f>
        <v>135045.11009662197</v>
      </c>
      <c r="MY41" s="72">
        <f>+MY40</f>
        <v>107415.32649170785</v>
      </c>
      <c r="MZ41" s="72">
        <f>+MZ40</f>
        <v>24097.325253194555</v>
      </c>
      <c r="NA41" s="72">
        <f>+NA40</f>
        <v>417528.69855851011</v>
      </c>
      <c r="NB41" s="72">
        <f>+NB40</f>
        <v>0</v>
      </c>
      <c r="NC41" s="1093">
        <f t="shared" ref="NC41:NE42" si="150">NC40</f>
        <v>57623.190373462545</v>
      </c>
      <c r="ND41" s="1656">
        <f t="shared" si="150"/>
        <v>77421.919723159415</v>
      </c>
      <c r="NE41" s="72">
        <f t="shared" si="150"/>
        <v>0</v>
      </c>
      <c r="NF41" s="72">
        <f t="shared" ref="NF41:PG42" si="151">+NF40</f>
        <v>135045.11009662197</v>
      </c>
      <c r="NG41" s="72">
        <f t="shared" si="151"/>
        <v>0</v>
      </c>
      <c r="NH41" s="72">
        <f t="shared" si="151"/>
        <v>0</v>
      </c>
      <c r="NI41" s="72">
        <f t="shared" si="151"/>
        <v>0</v>
      </c>
      <c r="NJ41" s="72">
        <f t="shared" si="151"/>
        <v>0</v>
      </c>
      <c r="NK41" s="72">
        <f t="shared" si="151"/>
        <v>0</v>
      </c>
      <c r="NL41" s="72">
        <f t="shared" si="151"/>
        <v>0</v>
      </c>
      <c r="NM41" s="72">
        <f t="shared" si="151"/>
        <v>0</v>
      </c>
      <c r="NN41" s="278">
        <f t="shared" si="151"/>
        <v>0</v>
      </c>
      <c r="NO41" s="72">
        <f t="shared" si="151"/>
        <v>2449.1631443320584</v>
      </c>
      <c r="NP41" s="72">
        <f t="shared" si="151"/>
        <v>26196.696072681989</v>
      </c>
      <c r="NQ41" s="72">
        <f t="shared" si="151"/>
        <v>8756.5482322711578</v>
      </c>
      <c r="NR41" s="72">
        <f t="shared" si="151"/>
        <v>1420.06</v>
      </c>
      <c r="NS41" s="72">
        <f t="shared" si="151"/>
        <v>38822.467449285206</v>
      </c>
      <c r="NT41" s="72">
        <f t="shared" si="151"/>
        <v>0</v>
      </c>
      <c r="NU41" s="72">
        <f t="shared" si="151"/>
        <v>0</v>
      </c>
      <c r="NV41" s="72">
        <f t="shared" si="151"/>
        <v>0</v>
      </c>
      <c r="NW41" s="72">
        <f t="shared" si="151"/>
        <v>0</v>
      </c>
      <c r="NX41" s="72">
        <f t="shared" si="151"/>
        <v>0</v>
      </c>
      <c r="NY41" s="72">
        <f t="shared" si="151"/>
        <v>0</v>
      </c>
      <c r="NZ41" s="72">
        <f t="shared" si="151"/>
        <v>15476.652730193075</v>
      </c>
      <c r="OA41" s="72">
        <f t="shared" si="151"/>
        <v>0</v>
      </c>
      <c r="OB41" s="72">
        <f t="shared" si="151"/>
        <v>32061.041841856771</v>
      </c>
      <c r="OC41" s="72">
        <f t="shared" si="151"/>
        <v>0</v>
      </c>
      <c r="OD41" s="72">
        <f t="shared" si="151"/>
        <v>454.51223506073143</v>
      </c>
      <c r="OE41" s="72">
        <f t="shared" si="151"/>
        <v>0</v>
      </c>
      <c r="OF41" s="72">
        <f t="shared" si="151"/>
        <v>47992.206807110582</v>
      </c>
      <c r="OG41" s="72">
        <f t="shared" si="151"/>
        <v>0</v>
      </c>
      <c r="OH41" s="72">
        <f t="shared" si="151"/>
        <v>0</v>
      </c>
      <c r="OI41" s="72">
        <f t="shared" si="151"/>
        <v>0</v>
      </c>
      <c r="OJ41" s="72">
        <f t="shared" si="151"/>
        <v>0</v>
      </c>
      <c r="OK41" s="72">
        <f t="shared" si="151"/>
        <v>0</v>
      </c>
      <c r="OL41" s="72">
        <f t="shared" si="151"/>
        <v>0</v>
      </c>
      <c r="OM41" s="72">
        <f t="shared" si="151"/>
        <v>0</v>
      </c>
      <c r="ON41" s="72">
        <f t="shared" si="151"/>
        <v>0</v>
      </c>
      <c r="OO41" s="72">
        <f t="shared" si="151"/>
        <v>20600.652235312074</v>
      </c>
      <c r="OP41" s="72">
        <f t="shared" si="151"/>
        <v>0</v>
      </c>
      <c r="OQ41" s="72">
        <f t="shared" si="151"/>
        <v>0</v>
      </c>
      <c r="OR41" s="72">
        <f t="shared" si="151"/>
        <v>0</v>
      </c>
      <c r="OS41" s="72">
        <f t="shared" si="151"/>
        <v>20600.652235312074</v>
      </c>
      <c r="OT41" s="72">
        <f t="shared" si="151"/>
        <v>0</v>
      </c>
      <c r="OU41" s="72">
        <f t="shared" si="151"/>
        <v>0</v>
      </c>
      <c r="OV41" s="72">
        <f t="shared" si="151"/>
        <v>0</v>
      </c>
      <c r="OW41" s="72">
        <f t="shared" si="151"/>
        <v>0</v>
      </c>
      <c r="OX41" s="72">
        <f t="shared" si="151"/>
        <v>0</v>
      </c>
      <c r="OY41" s="72">
        <f t="shared" si="151"/>
        <v>0</v>
      </c>
      <c r="OZ41" s="72">
        <f t="shared" si="151"/>
        <v>0</v>
      </c>
      <c r="PA41" s="72">
        <f t="shared" si="151"/>
        <v>0</v>
      </c>
      <c r="PB41" s="72">
        <f t="shared" si="151"/>
        <v>0</v>
      </c>
      <c r="PC41" s="72">
        <f t="shared" si="151"/>
        <v>0</v>
      </c>
      <c r="PD41" s="72">
        <f t="shared" si="151"/>
        <v>0</v>
      </c>
      <c r="PE41" s="72">
        <f t="shared" si="151"/>
        <v>0</v>
      </c>
      <c r="PF41" s="72">
        <f t="shared" si="151"/>
        <v>0</v>
      </c>
      <c r="PG41" s="72">
        <f t="shared" si="151"/>
        <v>0</v>
      </c>
      <c r="PH41" s="72">
        <f t="shared" ref="PH41:PM41" si="152">SUM(PH10:PH40)</f>
        <v>0</v>
      </c>
      <c r="PI41" s="72">
        <f t="shared" si="152"/>
        <v>0</v>
      </c>
      <c r="PJ41" s="341">
        <f t="shared" si="152"/>
        <v>20246.930000000004</v>
      </c>
      <c r="PK41" s="72">
        <f t="shared" si="152"/>
        <v>15886.2</v>
      </c>
      <c r="PL41" s="72">
        <f t="shared" si="152"/>
        <v>6619.25</v>
      </c>
      <c r="PM41" s="72">
        <f t="shared" si="152"/>
        <v>4095.7999999999997</v>
      </c>
      <c r="PN41" s="72">
        <f>PN40</f>
        <v>31437.019776580695</v>
      </c>
      <c r="PO41" s="72">
        <f>+PO40</f>
        <v>24097.325253194555</v>
      </c>
      <c r="PP41" s="72">
        <f>SUM(PP10:PP40)</f>
        <v>0</v>
      </c>
      <c r="PQ41" s="72">
        <f>SUM(PQ10:PQ40)</f>
        <v>0</v>
      </c>
      <c r="PR41" s="72">
        <f>SUM(PR10:PR40)</f>
        <v>0</v>
      </c>
      <c r="PS41" s="72">
        <f>SUM(PS10:PS40)</f>
        <v>0</v>
      </c>
      <c r="PT41" s="72">
        <f>SUM(PT10:PT40)</f>
        <v>0</v>
      </c>
      <c r="PU41" s="72"/>
      <c r="PV41" s="72">
        <f>SUM(PV10:PV40)</f>
        <v>0</v>
      </c>
      <c r="PW41" s="341">
        <f>SUM(PW10:PW40)</f>
        <v>964.6400000000001</v>
      </c>
      <c r="PX41" s="72">
        <f>SUM(PX10:PX40)</f>
        <v>0</v>
      </c>
      <c r="PY41" s="72">
        <f>SUM(PY10:PY40)</f>
        <v>964.6400000000001</v>
      </c>
      <c r="PZ41" s="72">
        <f>SUM(PZ10:PZ40)</f>
        <v>20246.930000000004</v>
      </c>
      <c r="QA41" s="72">
        <f>+QA40</f>
        <v>0</v>
      </c>
      <c r="QB41" s="72"/>
      <c r="QC41" s="72"/>
      <c r="QD41" s="72"/>
      <c r="QE41" s="72"/>
      <c r="QF41" s="72"/>
      <c r="QG41" s="72">
        <f>+QG40</f>
        <v>29562.488999999998</v>
      </c>
      <c r="QH41" s="72">
        <f>+QH40</f>
        <v>387001.56955851009</v>
      </c>
      <c r="QI41" s="72">
        <f>+QI40</f>
        <v>964.6400000000001</v>
      </c>
      <c r="QJ41" s="72">
        <f>+QJ40</f>
        <v>5505.3678056099998</v>
      </c>
      <c r="RR41" s="1091"/>
      <c r="RY41" s="72"/>
      <c r="SA41" s="1089"/>
      <c r="SB41" s="1090"/>
      <c r="SC41" s="1089"/>
      <c r="SD41" s="1089"/>
    </row>
    <row r="42" spans="1:502" s="38" customFormat="1">
      <c r="A42" s="307" t="s">
        <v>207</v>
      </c>
      <c r="B42" s="307"/>
      <c r="C42" s="412">
        <f>SUM(O42,S42,W42)</f>
        <v>4248074.3830000004</v>
      </c>
      <c r="D42" s="412">
        <f>SUM(P42,T42,X42,AB42)</f>
        <v>255434.89913119579</v>
      </c>
      <c r="E42" s="1744">
        <f t="shared" si="7"/>
        <v>16.63075170013521</v>
      </c>
      <c r="F42" s="72"/>
      <c r="G42" s="72"/>
      <c r="H42" s="307">
        <f t="shared" ref="H42:P42" si="153">H41</f>
        <v>559.5</v>
      </c>
      <c r="I42" s="364">
        <f t="shared" si="153"/>
        <v>109.96</v>
      </c>
      <c r="J42" s="307">
        <f t="shared" si="153"/>
        <v>0</v>
      </c>
      <c r="K42" s="364">
        <f t="shared" si="153"/>
        <v>0</v>
      </c>
      <c r="L42" s="307">
        <f t="shared" si="153"/>
        <v>306</v>
      </c>
      <c r="M42" s="364">
        <f t="shared" si="153"/>
        <v>119.09</v>
      </c>
      <c r="N42" s="72">
        <f t="shared" si="153"/>
        <v>0</v>
      </c>
      <c r="O42" s="364">
        <f>AW42+BC42</f>
        <v>2694457.33</v>
      </c>
      <c r="P42" s="364">
        <f t="shared" si="153"/>
        <v>185956.53000000003</v>
      </c>
      <c r="Q42" s="307">
        <f t="shared" si="9"/>
        <v>14.489716118062644</v>
      </c>
      <c r="R42" s="72">
        <f>R41</f>
        <v>0</v>
      </c>
      <c r="S42" s="364">
        <f>BL42</f>
        <v>979118.66029999999</v>
      </c>
      <c r="T42" s="364">
        <v>51864.188887841112</v>
      </c>
      <c r="U42" s="38">
        <f t="shared" si="11"/>
        <v>18.878510997586268</v>
      </c>
      <c r="V42" s="72">
        <f>V41</f>
        <v>0</v>
      </c>
      <c r="W42" s="412">
        <f>BV42</f>
        <v>574498.39269999997</v>
      </c>
      <c r="X42" s="412">
        <f>BW42</f>
        <v>17614.180243354633</v>
      </c>
      <c r="Y42" s="38">
        <f t="shared" si="13"/>
        <v>32.61567582270785</v>
      </c>
      <c r="Z42" s="72">
        <f>Z41</f>
        <v>0</v>
      </c>
      <c r="AA42" s="364">
        <f>AA41</f>
        <v>0</v>
      </c>
      <c r="AB42" s="364">
        <f>AB41</f>
        <v>0</v>
      </c>
      <c r="AC42" s="38">
        <f>AC41</f>
        <v>0</v>
      </c>
      <c r="AD42" s="72"/>
      <c r="AE42" s="412">
        <f>AE41</f>
        <v>0</v>
      </c>
      <c r="AF42" s="412">
        <f>AF41</f>
        <v>0</v>
      </c>
      <c r="AG42" s="38">
        <f t="shared" si="17"/>
        <v>0</v>
      </c>
      <c r="AH42" s="72">
        <f>AH41</f>
        <v>0</v>
      </c>
      <c r="AI42" s="412"/>
      <c r="AJ42" s="412"/>
      <c r="AK42" s="38">
        <f t="shared" si="18"/>
        <v>0</v>
      </c>
      <c r="AL42" s="72">
        <f t="shared" ref="AL42:AR42" si="154">AL41</f>
        <v>0</v>
      </c>
      <c r="AM42" s="72">
        <f t="shared" si="154"/>
        <v>0</v>
      </c>
      <c r="AN42" s="72">
        <f t="shared" si="154"/>
        <v>0</v>
      </c>
      <c r="AO42" s="72">
        <f t="shared" si="154"/>
        <v>0</v>
      </c>
      <c r="AP42" s="72">
        <f t="shared" si="154"/>
        <v>0</v>
      </c>
      <c r="AQ42" s="364">
        <f t="shared" si="154"/>
        <v>0</v>
      </c>
      <c r="AR42" s="1088">
        <f t="shared" si="154"/>
        <v>0</v>
      </c>
      <c r="AS42" s="38">
        <f t="shared" si="20"/>
        <v>0</v>
      </c>
      <c r="AT42" s="364">
        <f t="shared" ref="AT42:BZ42" si="155">AT41</f>
        <v>0</v>
      </c>
      <c r="AU42" s="364">
        <f t="shared" si="155"/>
        <v>0</v>
      </c>
      <c r="AV42" s="72">
        <f t="shared" si="155"/>
        <v>0</v>
      </c>
      <c r="AW42" s="412">
        <v>1531892.1724</v>
      </c>
      <c r="AX42" s="364">
        <f t="shared" si="155"/>
        <v>129278.12999999999</v>
      </c>
      <c r="AY42" s="38">
        <f t="shared" si="155"/>
        <v>11.25763499209031</v>
      </c>
      <c r="AZ42" s="72">
        <f t="shared" si="155"/>
        <v>0</v>
      </c>
      <c r="BA42" s="72">
        <f t="shared" si="155"/>
        <v>0</v>
      </c>
      <c r="BB42" s="72">
        <f t="shared" si="155"/>
        <v>0</v>
      </c>
      <c r="BC42" s="412">
        <v>1162565.1576</v>
      </c>
      <c r="BD42" s="364">
        <f t="shared" si="155"/>
        <v>56678.400000000016</v>
      </c>
      <c r="BE42" s="72">
        <f t="shared" si="155"/>
        <v>21.207338245257446</v>
      </c>
      <c r="BF42" s="364">
        <f t="shared" si="155"/>
        <v>0</v>
      </c>
      <c r="BG42" s="364">
        <f t="shared" si="155"/>
        <v>0</v>
      </c>
      <c r="BH42" s="307">
        <f t="shared" si="155"/>
        <v>0</v>
      </c>
      <c r="BI42" s="364">
        <f t="shared" si="155"/>
        <v>0</v>
      </c>
      <c r="BJ42" s="38">
        <f t="shared" si="155"/>
        <v>0</v>
      </c>
      <c r="BK42" s="38">
        <f t="shared" si="155"/>
        <v>0</v>
      </c>
      <c r="BL42" s="364">
        <v>979118.66029999999</v>
      </c>
      <c r="BM42" s="364">
        <f t="shared" si="155"/>
        <v>48962.260000000009</v>
      </c>
      <c r="BN42" s="364">
        <f>SUM(BN10:BN40)</f>
        <v>3067.4476</v>
      </c>
      <c r="BO42" s="72">
        <f t="shared" si="155"/>
        <v>19.954115680117702</v>
      </c>
      <c r="BP42" s="364">
        <f t="shared" si="155"/>
        <v>0</v>
      </c>
      <c r="BQ42" s="307">
        <f t="shared" si="155"/>
        <v>0</v>
      </c>
      <c r="BR42" s="38">
        <f t="shared" si="155"/>
        <v>0</v>
      </c>
      <c r="BS42" s="364">
        <f t="shared" si="155"/>
        <v>0</v>
      </c>
      <c r="BT42" s="307">
        <f t="shared" si="155"/>
        <v>0</v>
      </c>
      <c r="BU42" s="38">
        <f t="shared" si="155"/>
        <v>0</v>
      </c>
      <c r="BV42" s="412">
        <v>574498.39269999997</v>
      </c>
      <c r="BW42" s="412">
        <v>17614.180243354633</v>
      </c>
      <c r="BX42" s="38">
        <f t="shared" si="155"/>
        <v>34.075762527233117</v>
      </c>
      <c r="BY42" s="364">
        <f t="shared" si="155"/>
        <v>0</v>
      </c>
      <c r="BZ42" s="72">
        <f t="shared" si="155"/>
        <v>0</v>
      </c>
      <c r="CA42" s="38">
        <f t="shared" si="30"/>
        <v>0</v>
      </c>
      <c r="CB42" s="364"/>
      <c r="CC42" s="364">
        <f>CC41</f>
        <v>0</v>
      </c>
      <c r="CD42" s="38">
        <f t="shared" si="31"/>
        <v>0</v>
      </c>
      <c r="CE42" s="364">
        <f>CE41</f>
        <v>0</v>
      </c>
      <c r="CF42" s="364">
        <f>CF41</f>
        <v>0</v>
      </c>
      <c r="CG42" s="38">
        <f>CG41</f>
        <v>0</v>
      </c>
      <c r="CH42" s="72">
        <f>+CH41</f>
        <v>0</v>
      </c>
      <c r="CI42" s="412">
        <v>7802.5586000000003</v>
      </c>
      <c r="CJ42" s="72">
        <f t="shared" ref="CJ42:CO42" si="156">+CJ41</f>
        <v>3780</v>
      </c>
      <c r="CK42" s="421">
        <v>132125.60019999999</v>
      </c>
      <c r="CL42" s="72">
        <f t="shared" si="156"/>
        <v>0</v>
      </c>
      <c r="CM42" s="72">
        <f t="shared" si="156"/>
        <v>0</v>
      </c>
      <c r="CN42" s="72">
        <f t="shared" si="156"/>
        <v>2795</v>
      </c>
      <c r="CO42" s="72">
        <f t="shared" si="156"/>
        <v>0</v>
      </c>
      <c r="CP42" s="364"/>
      <c r="CQ42" s="72">
        <f>+CQ41</f>
        <v>0</v>
      </c>
      <c r="CR42" s="72">
        <f>+CR41</f>
        <v>0</v>
      </c>
      <c r="CS42" s="72"/>
      <c r="CT42" s="72">
        <f>+CT41</f>
        <v>0</v>
      </c>
      <c r="CU42" s="72"/>
      <c r="CV42" s="72">
        <f>+CV41</f>
        <v>0</v>
      </c>
      <c r="CW42" s="72"/>
      <c r="CX42" s="72">
        <f>+CX41</f>
        <v>41464.049999999996</v>
      </c>
      <c r="CY42" s="72"/>
      <c r="CZ42" s="72">
        <f>+CZ41</f>
        <v>193050.1</v>
      </c>
      <c r="DA42" s="72"/>
      <c r="DB42" s="72">
        <f>+DB41</f>
        <v>17800</v>
      </c>
      <c r="DC42" s="72"/>
      <c r="DD42" s="72">
        <f>+DD41</f>
        <v>253278.78999999998</v>
      </c>
      <c r="DE42" s="72">
        <f>+DE41</f>
        <v>0</v>
      </c>
      <c r="DF42" s="72">
        <f>+DF41</f>
        <v>0</v>
      </c>
      <c r="DG42" s="72"/>
      <c r="DH42" s="72">
        <f>DH41</f>
        <v>0</v>
      </c>
      <c r="DI42" s="72"/>
      <c r="DJ42" s="72">
        <f>+DJ41</f>
        <v>0</v>
      </c>
      <c r="DK42" s="72"/>
      <c r="DL42" s="72">
        <f>DL41</f>
        <v>41464.049999999996</v>
      </c>
      <c r="DM42" s="72"/>
      <c r="DN42" s="72">
        <f>DN41</f>
        <v>86849.439999999973</v>
      </c>
      <c r="DO42" s="72">
        <f>+DO41</f>
        <v>0</v>
      </c>
      <c r="DP42" s="72">
        <f>+DP41</f>
        <v>0</v>
      </c>
      <c r="DQ42" s="72">
        <f>+DQ41</f>
        <v>0</v>
      </c>
      <c r="DR42" s="1904">
        <f>DR41</f>
        <v>128313.48999999999</v>
      </c>
      <c r="DS42" s="72">
        <f>+DS41</f>
        <v>0</v>
      </c>
      <c r="DT42" s="72"/>
      <c r="DU42" s="72">
        <f>+DU41</f>
        <v>0</v>
      </c>
      <c r="DV42" s="72"/>
      <c r="DW42" s="72">
        <f>+DW41</f>
        <v>0</v>
      </c>
      <c r="DX42" s="72"/>
      <c r="DY42" s="72">
        <f>+DY41</f>
        <v>0</v>
      </c>
      <c r="DZ42" s="72"/>
      <c r="EA42" s="72">
        <f>EA41</f>
        <v>105640.66</v>
      </c>
      <c r="EB42" s="72"/>
      <c r="EC42" s="72">
        <f>EC41</f>
        <v>0</v>
      </c>
      <c r="ED42" s="72"/>
      <c r="EE42" s="72">
        <f>EE41</f>
        <v>105640.66</v>
      </c>
      <c r="EF42" s="72">
        <f>+EF41</f>
        <v>0</v>
      </c>
      <c r="EG42" s="72">
        <f>+EG41</f>
        <v>0</v>
      </c>
      <c r="EH42" s="72">
        <f>+EH41</f>
        <v>0</v>
      </c>
      <c r="EI42" s="72"/>
      <c r="EJ42" s="72">
        <f>+EJ41</f>
        <v>0</v>
      </c>
      <c r="EK42" s="72"/>
      <c r="EL42" s="72">
        <f>+EL41</f>
        <v>0</v>
      </c>
      <c r="EM42" s="72">
        <f>+EM41</f>
        <v>0</v>
      </c>
      <c r="EN42" s="72">
        <f>+EN41</f>
        <v>560</v>
      </c>
      <c r="EO42" s="72"/>
      <c r="EP42" s="72">
        <f>+EP41</f>
        <v>17800</v>
      </c>
      <c r="EQ42" s="72"/>
      <c r="ER42" s="72">
        <f>+ER41</f>
        <v>18360</v>
      </c>
      <c r="ES42" s="72">
        <f>+ES41</f>
        <v>0</v>
      </c>
      <c r="ET42" s="72">
        <f>+ET41</f>
        <v>0</v>
      </c>
      <c r="EU42" s="72">
        <f>+EU41</f>
        <v>0</v>
      </c>
      <c r="EV42" s="72">
        <f t="shared" ref="EV42:FV42" si="157">+EV41</f>
        <v>0</v>
      </c>
      <c r="EW42" s="72">
        <f t="shared" si="157"/>
        <v>0</v>
      </c>
      <c r="EX42" s="72">
        <f t="shared" si="157"/>
        <v>0</v>
      </c>
      <c r="EY42" s="72">
        <f t="shared" si="157"/>
        <v>0</v>
      </c>
      <c r="EZ42" s="72">
        <f t="shared" si="157"/>
        <v>0</v>
      </c>
      <c r="FA42" s="72">
        <f t="shared" si="157"/>
        <v>0</v>
      </c>
      <c r="FB42" s="72">
        <f t="shared" si="157"/>
        <v>0</v>
      </c>
      <c r="FC42" s="72">
        <f t="shared" si="157"/>
        <v>0</v>
      </c>
      <c r="FD42" s="72">
        <f t="shared" si="157"/>
        <v>1848.5</v>
      </c>
      <c r="FE42" s="72">
        <f t="shared" si="157"/>
        <v>1848.5</v>
      </c>
      <c r="FF42" s="72">
        <f t="shared" si="157"/>
        <v>0</v>
      </c>
      <c r="FG42" s="72">
        <f t="shared" si="157"/>
        <v>0</v>
      </c>
      <c r="FH42" s="72">
        <f t="shared" si="157"/>
        <v>0</v>
      </c>
      <c r="FI42" s="72">
        <f t="shared" si="157"/>
        <v>0</v>
      </c>
      <c r="FJ42" s="72">
        <f t="shared" si="157"/>
        <v>0</v>
      </c>
      <c r="FK42" s="72">
        <f t="shared" si="157"/>
        <v>0</v>
      </c>
      <c r="FL42" s="72">
        <f t="shared" si="157"/>
        <v>0</v>
      </c>
      <c r="FM42" s="72">
        <f t="shared" si="157"/>
        <v>0</v>
      </c>
      <c r="FN42" s="72">
        <f t="shared" si="157"/>
        <v>0</v>
      </c>
      <c r="FO42" s="72">
        <f t="shared" si="157"/>
        <v>0</v>
      </c>
      <c r="FP42" s="72">
        <f t="shared" si="157"/>
        <v>0</v>
      </c>
      <c r="FQ42" s="72">
        <f t="shared" si="157"/>
        <v>0</v>
      </c>
      <c r="FR42" s="72">
        <f t="shared" si="157"/>
        <v>0</v>
      </c>
      <c r="FS42" s="72">
        <f t="shared" si="157"/>
        <v>0</v>
      </c>
      <c r="FT42" s="72">
        <f t="shared" si="157"/>
        <v>0</v>
      </c>
      <c r="FU42" s="72">
        <f t="shared" si="157"/>
        <v>0</v>
      </c>
      <c r="FV42" s="72">
        <f t="shared" si="157"/>
        <v>0</v>
      </c>
      <c r="FW42" s="72"/>
      <c r="FX42" s="72">
        <f>+FX41</f>
        <v>0</v>
      </c>
      <c r="FY42" s="72"/>
      <c r="FZ42" s="72">
        <f>+FZ41</f>
        <v>0</v>
      </c>
      <c r="GA42" s="72"/>
      <c r="GB42" s="72">
        <f>+GB41</f>
        <v>0</v>
      </c>
      <c r="GC42" s="72"/>
      <c r="GD42" s="72">
        <f>+GD41</f>
        <v>1848.5</v>
      </c>
      <c r="GE42" s="72"/>
      <c r="GF42" s="72">
        <f>+GF41</f>
        <v>0</v>
      </c>
      <c r="GG42" s="72"/>
      <c r="GH42" s="72">
        <f t="shared" ref="GH42:HL42" si="158">+GH41</f>
        <v>1848.5</v>
      </c>
      <c r="GI42" s="72">
        <f t="shared" si="158"/>
        <v>0</v>
      </c>
      <c r="GJ42" s="72">
        <f t="shared" si="158"/>
        <v>0</v>
      </c>
      <c r="GK42" s="72">
        <f t="shared" si="158"/>
        <v>40257.789999999994</v>
      </c>
      <c r="GL42" s="72">
        <f t="shared" si="158"/>
        <v>91636.270000000019</v>
      </c>
      <c r="GM42" s="72">
        <f t="shared" si="158"/>
        <v>105317.48</v>
      </c>
      <c r="GN42" s="72">
        <f t="shared" si="158"/>
        <v>237211.54000000007</v>
      </c>
      <c r="GO42" s="72">
        <f t="shared" si="158"/>
        <v>0</v>
      </c>
      <c r="GP42" s="72">
        <f t="shared" si="158"/>
        <v>0</v>
      </c>
      <c r="GQ42" s="72">
        <f t="shared" si="158"/>
        <v>0</v>
      </c>
      <c r="GR42" s="72">
        <f t="shared" si="158"/>
        <v>0</v>
      </c>
      <c r="GS42" s="72">
        <f t="shared" si="158"/>
        <v>112138.03999999998</v>
      </c>
      <c r="GT42" s="72">
        <f t="shared" si="158"/>
        <v>4095.7999999999997</v>
      </c>
      <c r="GU42" s="72">
        <f t="shared" si="158"/>
        <v>65040.749999999993</v>
      </c>
      <c r="GV42" s="72">
        <f t="shared" si="158"/>
        <v>55936.95</v>
      </c>
      <c r="GW42" s="72">
        <f t="shared" si="158"/>
        <v>237211.54000000007</v>
      </c>
      <c r="GX42" s="72">
        <f t="shared" si="158"/>
        <v>0</v>
      </c>
      <c r="GY42" s="72">
        <f t="shared" si="158"/>
        <v>0</v>
      </c>
      <c r="GZ42" s="72">
        <f t="shared" si="158"/>
        <v>0</v>
      </c>
      <c r="HA42" s="72">
        <f t="shared" si="158"/>
        <v>0</v>
      </c>
      <c r="HB42" s="72">
        <f t="shared" si="158"/>
        <v>0</v>
      </c>
      <c r="HC42" s="72">
        <f t="shared" si="158"/>
        <v>0</v>
      </c>
      <c r="HD42" s="72">
        <f t="shared" si="158"/>
        <v>0</v>
      </c>
      <c r="HE42" s="72">
        <f t="shared" si="158"/>
        <v>0</v>
      </c>
      <c r="HF42" s="72">
        <f t="shared" si="158"/>
        <v>0</v>
      </c>
      <c r="HG42" s="72">
        <f t="shared" si="158"/>
        <v>676.18999999999994</v>
      </c>
      <c r="HH42" s="72">
        <f t="shared" si="158"/>
        <v>0</v>
      </c>
      <c r="HI42" s="72">
        <f t="shared" si="158"/>
        <v>35485.800000000003</v>
      </c>
      <c r="HJ42" s="72">
        <f t="shared" si="158"/>
        <v>0</v>
      </c>
      <c r="HK42" s="72">
        <f t="shared" si="158"/>
        <v>4095.7999999999997</v>
      </c>
      <c r="HL42" s="72">
        <f t="shared" si="158"/>
        <v>0</v>
      </c>
      <c r="HM42" s="72">
        <f t="shared" si="121"/>
        <v>40257.790000000008</v>
      </c>
      <c r="HN42" s="72">
        <f t="shared" ref="HN42:IA42" si="159">+HN41</f>
        <v>0</v>
      </c>
      <c r="HO42" s="72">
        <f t="shared" si="159"/>
        <v>0</v>
      </c>
      <c r="HP42" s="72">
        <f t="shared" si="159"/>
        <v>0</v>
      </c>
      <c r="HQ42" s="72">
        <f t="shared" si="159"/>
        <v>0</v>
      </c>
      <c r="HR42" s="72">
        <f t="shared" si="159"/>
        <v>0</v>
      </c>
      <c r="HS42" s="72">
        <f t="shared" si="159"/>
        <v>0</v>
      </c>
      <c r="HT42" s="72">
        <f t="shared" si="159"/>
        <v>0</v>
      </c>
      <c r="HU42" s="72">
        <f t="shared" si="159"/>
        <v>0</v>
      </c>
      <c r="HV42" s="72">
        <f t="shared" si="159"/>
        <v>0</v>
      </c>
      <c r="HW42" s="72">
        <f t="shared" si="159"/>
        <v>0</v>
      </c>
      <c r="HX42" s="72">
        <f t="shared" si="159"/>
        <v>0</v>
      </c>
      <c r="HY42" s="72">
        <f t="shared" si="159"/>
        <v>0</v>
      </c>
      <c r="HZ42" s="72">
        <f t="shared" si="159"/>
        <v>0</v>
      </c>
      <c r="IA42" s="72">
        <f t="shared" si="159"/>
        <v>0</v>
      </c>
      <c r="IB42" s="72">
        <f t="shared" si="49"/>
        <v>0</v>
      </c>
      <c r="IC42" s="72">
        <f t="shared" ref="IC42:IP42" si="160">+IC41</f>
        <v>0</v>
      </c>
      <c r="ID42" s="72">
        <f t="shared" si="160"/>
        <v>0</v>
      </c>
      <c r="IE42" s="72">
        <f t="shared" si="160"/>
        <v>0</v>
      </c>
      <c r="IF42" s="72">
        <f t="shared" si="160"/>
        <v>0</v>
      </c>
      <c r="IG42" s="72">
        <f t="shared" si="160"/>
        <v>0</v>
      </c>
      <c r="IH42" s="72">
        <f t="shared" si="160"/>
        <v>0</v>
      </c>
      <c r="II42" s="72">
        <f t="shared" si="160"/>
        <v>32451.780000000002</v>
      </c>
      <c r="IJ42" s="72">
        <f t="shared" si="160"/>
        <v>0</v>
      </c>
      <c r="IK42" s="38">
        <f t="shared" si="160"/>
        <v>58965.489999999991</v>
      </c>
      <c r="IL42" s="72">
        <f t="shared" si="160"/>
        <v>0</v>
      </c>
      <c r="IM42" s="72">
        <f t="shared" si="160"/>
        <v>0</v>
      </c>
      <c r="IN42" s="38">
        <f t="shared" si="160"/>
        <v>0</v>
      </c>
      <c r="IO42" s="72">
        <f t="shared" si="160"/>
        <v>0</v>
      </c>
      <c r="IP42" s="72">
        <f t="shared" si="160"/>
        <v>219</v>
      </c>
      <c r="IQ42" s="421">
        <f>SUM(IC42:IP42)</f>
        <v>91636.26999999999</v>
      </c>
      <c r="IR42" s="72">
        <f t="shared" ref="IR42:JE42" si="161">+IR41</f>
        <v>0</v>
      </c>
      <c r="IS42" s="72">
        <f t="shared" si="161"/>
        <v>0</v>
      </c>
      <c r="IT42" s="38">
        <f t="shared" si="161"/>
        <v>0</v>
      </c>
      <c r="IU42" s="72">
        <f t="shared" si="161"/>
        <v>0</v>
      </c>
      <c r="IV42" s="38">
        <f t="shared" si="161"/>
        <v>0</v>
      </c>
      <c r="IW42" s="72">
        <f t="shared" si="161"/>
        <v>0</v>
      </c>
      <c r="IX42" s="72">
        <f t="shared" si="161"/>
        <v>0</v>
      </c>
      <c r="IY42" s="72">
        <f t="shared" si="161"/>
        <v>0</v>
      </c>
      <c r="IZ42" s="72">
        <f t="shared" si="161"/>
        <v>101314.61999999998</v>
      </c>
      <c r="JA42" s="72">
        <f t="shared" si="161"/>
        <v>0</v>
      </c>
      <c r="JB42" s="72">
        <f t="shared" si="161"/>
        <v>4002.8599999999997</v>
      </c>
      <c r="JC42" s="72">
        <f t="shared" si="161"/>
        <v>0</v>
      </c>
      <c r="JD42" s="72">
        <f t="shared" si="161"/>
        <v>0</v>
      </c>
      <c r="JE42" s="72">
        <f t="shared" si="161"/>
        <v>0</v>
      </c>
      <c r="JF42" s="421">
        <f>SUM(IR42:JE42)</f>
        <v>105317.47999999998</v>
      </c>
      <c r="JG42" s="72">
        <f t="shared" ref="JG42:KN42" si="162">+JG41</f>
        <v>0</v>
      </c>
      <c r="JH42" s="72">
        <f t="shared" si="162"/>
        <v>0</v>
      </c>
      <c r="JI42" s="72">
        <f t="shared" si="162"/>
        <v>140766.35999999996</v>
      </c>
      <c r="JJ42" s="72">
        <f t="shared" si="162"/>
        <v>96445.180000000008</v>
      </c>
      <c r="JK42" s="38">
        <f t="shared" si="162"/>
        <v>0</v>
      </c>
      <c r="JL42" s="72">
        <f t="shared" si="162"/>
        <v>237211.54000000004</v>
      </c>
      <c r="JM42" s="72">
        <f t="shared" si="162"/>
        <v>0</v>
      </c>
      <c r="JN42" s="72">
        <f t="shared" si="162"/>
        <v>0</v>
      </c>
      <c r="JO42" s="305">
        <f t="shared" si="162"/>
        <v>0</v>
      </c>
      <c r="JP42" s="305">
        <f t="shared" si="162"/>
        <v>0</v>
      </c>
      <c r="JQ42" s="305">
        <f t="shared" si="162"/>
        <v>0</v>
      </c>
      <c r="JR42" s="305">
        <f t="shared" si="162"/>
        <v>4.3754391322207526E-3</v>
      </c>
      <c r="JS42" s="305">
        <f t="shared" si="162"/>
        <v>0.98091134024377846</v>
      </c>
      <c r="JT42" s="305">
        <f t="shared" si="162"/>
        <v>8.4317501368096678E-4</v>
      </c>
      <c r="JU42" s="305">
        <f t="shared" si="162"/>
        <v>1.3870045610319468E-2</v>
      </c>
      <c r="JV42" s="305">
        <f t="shared" si="162"/>
        <v>0</v>
      </c>
      <c r="JW42" s="305">
        <f t="shared" si="162"/>
        <v>0</v>
      </c>
      <c r="JX42" s="305">
        <f t="shared" si="162"/>
        <v>0</v>
      </c>
      <c r="JY42" s="305">
        <f t="shared" si="162"/>
        <v>0</v>
      </c>
      <c r="JZ42" s="305">
        <f t="shared" si="162"/>
        <v>0.35531551962227992</v>
      </c>
      <c r="KA42" s="305">
        <f t="shared" si="162"/>
        <v>0.22217225680651179</v>
      </c>
      <c r="KB42" s="305">
        <f t="shared" si="162"/>
        <v>0.33680405521630347</v>
      </c>
      <c r="KC42" s="305">
        <f t="shared" si="162"/>
        <v>8.5708168354904718E-2</v>
      </c>
      <c r="KD42" s="305">
        <f t="shared" si="162"/>
        <v>0</v>
      </c>
      <c r="KE42" s="38">
        <f t="shared" si="162"/>
        <v>0</v>
      </c>
      <c r="KF42" s="38">
        <f t="shared" si="162"/>
        <v>0</v>
      </c>
      <c r="KG42" s="38">
        <f t="shared" si="162"/>
        <v>0</v>
      </c>
      <c r="KH42" s="38">
        <f t="shared" si="162"/>
        <v>0</v>
      </c>
      <c r="KI42" s="38">
        <f t="shared" si="162"/>
        <v>0</v>
      </c>
      <c r="KJ42" s="38">
        <f t="shared" si="162"/>
        <v>0</v>
      </c>
      <c r="KK42" s="38">
        <f t="shared" si="162"/>
        <v>0</v>
      </c>
      <c r="KL42" s="38">
        <f t="shared" si="162"/>
        <v>0</v>
      </c>
      <c r="KM42" s="72">
        <f t="shared" si="162"/>
        <v>0</v>
      </c>
      <c r="KN42" s="72">
        <f t="shared" si="162"/>
        <v>0</v>
      </c>
      <c r="KO42" s="72">
        <f t="shared" ref="KO42:LC42" si="163">KO41</f>
        <v>6961.0995691513381</v>
      </c>
      <c r="KP42" s="1904">
        <f t="shared" si="163"/>
        <v>0.81102707256540829</v>
      </c>
      <c r="KQ42" s="38">
        <f t="shared" si="163"/>
        <v>3.7939835366089727</v>
      </c>
      <c r="KR42" s="38">
        <f t="shared" si="163"/>
        <v>7.2845532085063054</v>
      </c>
      <c r="KS42" s="38">
        <f t="shared" si="163"/>
        <v>10.988960508489638</v>
      </c>
      <c r="KT42" s="72">
        <f t="shared" si="163"/>
        <v>6767.7888071134857</v>
      </c>
      <c r="KU42" s="1904">
        <f t="shared" si="163"/>
        <v>1.9949399061037867</v>
      </c>
      <c r="KV42" s="38">
        <f t="shared" si="163"/>
        <v>7.7363073084819032</v>
      </c>
      <c r="KW42" s="38">
        <f t="shared" si="163"/>
        <v>5.9529126677622797</v>
      </c>
      <c r="KX42" s="38">
        <f t="shared" si="163"/>
        <v>10.069240018638244</v>
      </c>
      <c r="KY42" s="72">
        <f t="shared" si="163"/>
        <v>0</v>
      </c>
      <c r="KZ42" s="38">
        <f t="shared" si="163"/>
        <v>0</v>
      </c>
      <c r="LA42" s="38">
        <f t="shared" si="163"/>
        <v>0</v>
      </c>
      <c r="LB42" s="38">
        <f t="shared" si="163"/>
        <v>0</v>
      </c>
      <c r="LC42" s="38">
        <f t="shared" si="163"/>
        <v>0</v>
      </c>
      <c r="LD42" s="72"/>
      <c r="LE42" s="72">
        <f t="shared" ref="LE42:MJ42" si="164">+LE41</f>
        <v>0</v>
      </c>
      <c r="LF42" s="72">
        <f t="shared" si="164"/>
        <v>0</v>
      </c>
      <c r="LG42" s="865">
        <f t="shared" si="164"/>
        <v>140174.81350000002</v>
      </c>
      <c r="LH42" s="865">
        <f t="shared" si="164"/>
        <v>128630.86650000002</v>
      </c>
      <c r="LI42" s="865">
        <f t="shared" si="164"/>
        <v>0</v>
      </c>
      <c r="LJ42" s="865">
        <f t="shared" si="164"/>
        <v>268805.68</v>
      </c>
      <c r="LK42" s="72">
        <f t="shared" si="164"/>
        <v>36</v>
      </c>
      <c r="LL42" s="72">
        <f t="shared" si="164"/>
        <v>7</v>
      </c>
      <c r="LM42" s="72">
        <f t="shared" si="164"/>
        <v>65</v>
      </c>
      <c r="LN42" s="72">
        <f t="shared" si="164"/>
        <v>0</v>
      </c>
      <c r="LO42" s="72">
        <f t="shared" si="164"/>
        <v>7.057096774193548</v>
      </c>
      <c r="LP42" s="72">
        <f t="shared" si="164"/>
        <v>0</v>
      </c>
      <c r="LQ42" s="72">
        <f t="shared" si="164"/>
        <v>0</v>
      </c>
      <c r="LR42" s="72">
        <f t="shared" si="164"/>
        <v>71694.915000000008</v>
      </c>
      <c r="LS42" s="72">
        <f t="shared" si="164"/>
        <v>5121.625</v>
      </c>
      <c r="LT42" s="72">
        <f t="shared" si="164"/>
        <v>0</v>
      </c>
      <c r="LU42" s="72">
        <f t="shared" si="164"/>
        <v>0</v>
      </c>
      <c r="LV42" s="72">
        <f t="shared" si="164"/>
        <v>0</v>
      </c>
      <c r="LW42" s="72">
        <f t="shared" si="164"/>
        <v>76816.540000000008</v>
      </c>
      <c r="LX42" s="72">
        <f t="shared" si="164"/>
        <v>68479.89850000001</v>
      </c>
      <c r="LY42" s="72">
        <f t="shared" si="164"/>
        <v>123509.2415</v>
      </c>
      <c r="LZ42" s="72">
        <f t="shared" si="164"/>
        <v>0</v>
      </c>
      <c r="MA42" s="72">
        <f t="shared" si="164"/>
        <v>0</v>
      </c>
      <c r="MB42" s="72">
        <f t="shared" si="164"/>
        <v>0</v>
      </c>
      <c r="MC42" s="72">
        <f t="shared" si="164"/>
        <v>191989.14</v>
      </c>
      <c r="MD42" s="72">
        <f t="shared" si="164"/>
        <v>0</v>
      </c>
      <c r="ME42" s="72">
        <f t="shared" si="164"/>
        <v>0</v>
      </c>
      <c r="MF42" s="72">
        <f t="shared" si="164"/>
        <v>0</v>
      </c>
      <c r="MG42" s="72">
        <f t="shared" si="164"/>
        <v>0</v>
      </c>
      <c r="MH42" s="72">
        <f t="shared" si="164"/>
        <v>0</v>
      </c>
      <c r="MI42" s="72">
        <f t="shared" si="164"/>
        <v>0</v>
      </c>
      <c r="MJ42" s="72">
        <f t="shared" si="164"/>
        <v>0</v>
      </c>
      <c r="MK42" s="72"/>
      <c r="ML42" s="72">
        <f>+ML41</f>
        <v>0</v>
      </c>
      <c r="MM42" s="72">
        <f>+MM41</f>
        <v>0</v>
      </c>
      <c r="MN42" s="72">
        <f>+MN41</f>
        <v>0</v>
      </c>
      <c r="MO42" s="72">
        <f>+MO41</f>
        <v>0</v>
      </c>
      <c r="MP42" s="72">
        <f>+MP41</f>
        <v>0</v>
      </c>
      <c r="MQ42" s="72"/>
      <c r="MR42" s="72">
        <f t="shared" ref="MR42:MW42" si="165">+MR41</f>
        <v>0</v>
      </c>
      <c r="MS42" s="72">
        <f t="shared" si="165"/>
        <v>0</v>
      </c>
      <c r="MT42" s="72">
        <f t="shared" si="165"/>
        <v>0</v>
      </c>
      <c r="MU42" s="72">
        <f t="shared" si="165"/>
        <v>0</v>
      </c>
      <c r="MV42" s="72">
        <f t="shared" si="165"/>
        <v>0</v>
      </c>
      <c r="MW42" s="72">
        <f t="shared" si="165"/>
        <v>0</v>
      </c>
      <c r="MX42" s="364">
        <f>MX41</f>
        <v>135045.11009662197</v>
      </c>
      <c r="MY42" s="364">
        <f>MY41</f>
        <v>107415.32649170785</v>
      </c>
      <c r="MZ42" s="364">
        <f>+MZ41</f>
        <v>24097.325253194555</v>
      </c>
      <c r="NA42" s="364">
        <f>NA41</f>
        <v>417528.69855851011</v>
      </c>
      <c r="NB42" s="72">
        <f>+NB41</f>
        <v>0</v>
      </c>
      <c r="NC42" s="1472">
        <v>64934.097942786255</v>
      </c>
      <c r="ND42" s="1472">
        <v>80122.286286936403</v>
      </c>
      <c r="NE42" s="364">
        <f t="shared" si="150"/>
        <v>0</v>
      </c>
      <c r="NF42" s="364">
        <f>NC42+ND42</f>
        <v>145056.38422972267</v>
      </c>
      <c r="NG42" s="412">
        <f>NG41</f>
        <v>0</v>
      </c>
      <c r="NH42" s="364">
        <f t="shared" ref="NH42:NN42" si="166">NH41</f>
        <v>0</v>
      </c>
      <c r="NI42" s="364">
        <f t="shared" si="166"/>
        <v>0</v>
      </c>
      <c r="NJ42" s="364">
        <f t="shared" si="166"/>
        <v>0</v>
      </c>
      <c r="NK42" s="364">
        <f>NK41</f>
        <v>0</v>
      </c>
      <c r="NL42" s="72">
        <f t="shared" si="166"/>
        <v>0</v>
      </c>
      <c r="NM42" s="364">
        <f>NM41</f>
        <v>0</v>
      </c>
      <c r="NN42" s="364">
        <f t="shared" si="166"/>
        <v>0</v>
      </c>
      <c r="NO42" s="421">
        <v>2178.0942192005614</v>
      </c>
      <c r="NP42" s="421">
        <v>26196.696072681989</v>
      </c>
      <c r="NQ42" s="412">
        <v>8756.5482322711578</v>
      </c>
      <c r="NR42" s="412">
        <v>2038.5348469876017</v>
      </c>
      <c r="NS42" s="364">
        <f>NO42+NP42+NQ42+NR42</f>
        <v>39169.873371141308</v>
      </c>
      <c r="NT42" s="364">
        <f t="shared" ref="NT42:OJ42" si="167">NT41</f>
        <v>0</v>
      </c>
      <c r="NU42" s="364">
        <f t="shared" si="167"/>
        <v>0</v>
      </c>
      <c r="NV42" s="364">
        <f t="shared" si="167"/>
        <v>0</v>
      </c>
      <c r="NW42" s="364">
        <f t="shared" si="167"/>
        <v>0</v>
      </c>
      <c r="NX42" s="364">
        <f>NX41</f>
        <v>0</v>
      </c>
      <c r="NY42" s="364">
        <f t="shared" si="167"/>
        <v>0</v>
      </c>
      <c r="NZ42" s="412">
        <v>15969.430368235247</v>
      </c>
      <c r="OA42" s="412">
        <f t="shared" si="167"/>
        <v>0</v>
      </c>
      <c r="OB42" s="412">
        <v>33479.527327968033</v>
      </c>
      <c r="OC42" s="412">
        <f t="shared" si="167"/>
        <v>0</v>
      </c>
      <c r="OD42" s="412">
        <v>454.51223506073143</v>
      </c>
      <c r="OE42" s="364">
        <f t="shared" si="167"/>
        <v>0</v>
      </c>
      <c r="OF42" s="364">
        <f>NZ42+OB42+OD42</f>
        <v>49903.469931264015</v>
      </c>
      <c r="OG42" s="364">
        <v>0</v>
      </c>
      <c r="OH42" s="364">
        <f t="shared" si="167"/>
        <v>0</v>
      </c>
      <c r="OI42" s="364">
        <f t="shared" si="167"/>
        <v>0</v>
      </c>
      <c r="OJ42" s="364">
        <f t="shared" si="167"/>
        <v>0</v>
      </c>
      <c r="OK42" s="364">
        <v>0</v>
      </c>
      <c r="OL42" s="364">
        <f>OL41</f>
        <v>0</v>
      </c>
      <c r="OM42" s="364">
        <v>0</v>
      </c>
      <c r="ON42" s="364">
        <f t="shared" ref="ON42:OR42" si="168">ON41</f>
        <v>0</v>
      </c>
      <c r="OO42" s="412">
        <v>23652.114547773836</v>
      </c>
      <c r="OP42" s="412">
        <f t="shared" si="168"/>
        <v>0</v>
      </c>
      <c r="OQ42" s="412">
        <f t="shared" si="168"/>
        <v>0</v>
      </c>
      <c r="OR42" s="364">
        <f t="shared" si="168"/>
        <v>0</v>
      </c>
      <c r="OS42" s="364">
        <f>OO42+OQ42</f>
        <v>23652.114547773836</v>
      </c>
      <c r="OT42" s="72">
        <f t="shared" si="151"/>
        <v>0</v>
      </c>
      <c r="OU42" s="72">
        <f t="shared" si="151"/>
        <v>0</v>
      </c>
      <c r="OV42" s="72">
        <f t="shared" si="151"/>
        <v>0</v>
      </c>
      <c r="OW42" s="72">
        <f t="shared" si="151"/>
        <v>0</v>
      </c>
      <c r="OX42" s="72">
        <f t="shared" si="151"/>
        <v>0</v>
      </c>
      <c r="OY42" s="72">
        <f t="shared" si="151"/>
        <v>0</v>
      </c>
      <c r="OZ42" s="72">
        <f t="shared" si="151"/>
        <v>0</v>
      </c>
      <c r="PA42" s="72">
        <f t="shared" si="151"/>
        <v>0</v>
      </c>
      <c r="PB42" s="72">
        <f t="shared" si="151"/>
        <v>0</v>
      </c>
      <c r="PC42" s="72">
        <f t="shared" si="151"/>
        <v>0</v>
      </c>
      <c r="PD42" s="72">
        <f t="shared" si="151"/>
        <v>0</v>
      </c>
      <c r="PE42" s="72">
        <f t="shared" si="151"/>
        <v>0</v>
      </c>
      <c r="PF42" s="72">
        <f t="shared" si="151"/>
        <v>0</v>
      </c>
      <c r="PG42" s="72">
        <f t="shared" si="151"/>
        <v>0</v>
      </c>
      <c r="PH42" s="72">
        <f t="shared" ref="PH42:PM42" si="169">+PH41</f>
        <v>0</v>
      </c>
      <c r="PI42" s="72">
        <f t="shared" si="169"/>
        <v>0</v>
      </c>
      <c r="PJ42" s="72">
        <f t="shared" si="169"/>
        <v>20246.930000000004</v>
      </c>
      <c r="PK42" s="72">
        <f t="shared" si="169"/>
        <v>15886.2</v>
      </c>
      <c r="PL42" s="72">
        <f t="shared" si="169"/>
        <v>6619.25</v>
      </c>
      <c r="PM42" s="72">
        <f t="shared" si="169"/>
        <v>4095.7999999999997</v>
      </c>
      <c r="PN42" s="421">
        <v>27910.505304929466</v>
      </c>
      <c r="PO42" s="421">
        <v>21227.568559023406</v>
      </c>
      <c r="PP42" s="72">
        <f>+PP41</f>
        <v>0</v>
      </c>
      <c r="PQ42" s="72">
        <f>+PQ41</f>
        <v>0</v>
      </c>
      <c r="PR42" s="72">
        <f>+PR41</f>
        <v>0</v>
      </c>
      <c r="PS42" s="72">
        <f>+PS41</f>
        <v>0</v>
      </c>
      <c r="PT42" s="72"/>
      <c r="PU42" s="72"/>
      <c r="PV42" s="72">
        <f>+PV41</f>
        <v>0</v>
      </c>
      <c r="PW42" s="72">
        <f>PW41</f>
        <v>964.6400000000001</v>
      </c>
      <c r="PX42" s="72">
        <f>+PX41</f>
        <v>0</v>
      </c>
      <c r="PY42" s="72"/>
      <c r="PZ42" s="72">
        <f>+PZ41</f>
        <v>20246.930000000004</v>
      </c>
      <c r="QA42" s="72"/>
      <c r="QB42" s="72"/>
      <c r="QC42" s="72"/>
      <c r="QD42" s="72"/>
      <c r="QE42" s="72"/>
      <c r="QF42" s="72"/>
      <c r="QG42" s="364">
        <f>QG41</f>
        <v>29562.488999999998</v>
      </c>
      <c r="QH42" s="364">
        <v>307087.08922869584</v>
      </c>
      <c r="QI42" s="876">
        <v>3981.9439863570278</v>
      </c>
      <c r="QJ42" s="876">
        <f>QJ41</f>
        <v>5505.3678056099998</v>
      </c>
      <c r="RY42" s="72"/>
    </row>
    <row r="43" spans="1:502" s="311" customFormat="1">
      <c r="A43" s="312" t="s">
        <v>12</v>
      </c>
      <c r="B43" s="312"/>
      <c r="C43" s="337">
        <f>SUM(O43,S43,W43)</f>
        <v>4230000</v>
      </c>
      <c r="D43" s="337">
        <f>SUM(P43,T43,X43)</f>
        <v>285000</v>
      </c>
      <c r="E43" s="1744">
        <f>IFERROR(C43/D43,0)</f>
        <v>14.842105263157896</v>
      </c>
      <c r="F43" s="309"/>
      <c r="G43" s="309"/>
      <c r="H43" s="308"/>
      <c r="I43" s="308"/>
      <c r="J43" s="308"/>
      <c r="K43" s="308"/>
      <c r="L43" s="308"/>
      <c r="M43" s="308"/>
      <c r="N43" s="308"/>
      <c r="O43" s="337">
        <f>SUM(AQ43,AW43,BC43)</f>
        <v>2530000</v>
      </c>
      <c r="P43" s="337">
        <f>SUM(AX43,BD43)</f>
        <v>170000</v>
      </c>
      <c r="Q43" s="1084">
        <f t="shared" si="9"/>
        <v>14.882352941176471</v>
      </c>
      <c r="R43" s="308"/>
      <c r="S43" s="1085">
        <f t="shared" si="10"/>
        <v>850000</v>
      </c>
      <c r="T43" s="1085">
        <f>SUM(BG43,BJ43,BM43,BZ43)</f>
        <v>50000</v>
      </c>
      <c r="U43" s="1083">
        <f t="shared" si="11"/>
        <v>17</v>
      </c>
      <c r="V43" s="308"/>
      <c r="W43" s="337">
        <f>SUM(BS43,BV43,CE43)</f>
        <v>850000</v>
      </c>
      <c r="X43" s="337">
        <f>BW43</f>
        <v>65000</v>
      </c>
      <c r="Y43" s="1084">
        <f t="shared" si="13"/>
        <v>13.076923076923077</v>
      </c>
      <c r="Z43" s="308"/>
      <c r="AA43" s="337"/>
      <c r="AB43" s="1085">
        <f>BT43</f>
        <v>0</v>
      </c>
      <c r="AC43" s="1084">
        <f>AC42</f>
        <v>0</v>
      </c>
      <c r="AD43" s="337"/>
      <c r="AE43" s="308"/>
      <c r="AF43" s="308"/>
      <c r="AG43" s="309"/>
      <c r="AH43" s="308"/>
      <c r="AI43" s="308">
        <f>BS43</f>
        <v>0</v>
      </c>
      <c r="AJ43" s="308">
        <f>BT43</f>
        <v>0</v>
      </c>
      <c r="AK43" s="309">
        <f t="shared" si="18"/>
        <v>0</v>
      </c>
      <c r="AL43" s="308"/>
      <c r="AM43" s="308"/>
      <c r="AN43" s="308"/>
      <c r="AO43" s="308"/>
      <c r="AP43" s="308">
        <f>IFERROR(AN43/AO43,0)</f>
        <v>0</v>
      </c>
      <c r="AQ43" s="337"/>
      <c r="AR43" s="337"/>
      <c r="AS43" s="309"/>
      <c r="AT43" s="337"/>
      <c r="AU43" s="337"/>
      <c r="AV43" s="309"/>
      <c r="AW43" s="337">
        <v>1430000</v>
      </c>
      <c r="AX43" s="337">
        <v>110000</v>
      </c>
      <c r="AY43" s="1084">
        <f>IFERROR(AW43/AX43,0)</f>
        <v>13</v>
      </c>
      <c r="AZ43" s="337"/>
      <c r="BA43" s="337"/>
      <c r="BB43" s="1084"/>
      <c r="BC43" s="337">
        <v>1100000</v>
      </c>
      <c r="BD43" s="337">
        <v>60000</v>
      </c>
      <c r="BE43" s="1084">
        <f>IFERROR(BC43/BD43,0)</f>
        <v>18.333333333333332</v>
      </c>
      <c r="BF43" s="337"/>
      <c r="BG43" s="337"/>
      <c r="BH43" s="309"/>
      <c r="BI43" s="337"/>
      <c r="BJ43" s="308">
        <v>0</v>
      </c>
      <c r="BK43" s="309">
        <f>IFERROR(BI43/BJ43,0)</f>
        <v>0</v>
      </c>
      <c r="BL43" s="337">
        <v>850000</v>
      </c>
      <c r="BM43" s="337">
        <v>50000</v>
      </c>
      <c r="BN43" s="337"/>
      <c r="BO43" s="1084">
        <f>IFERROR(BL43/BM43,0)</f>
        <v>17</v>
      </c>
      <c r="BP43" s="309">
        <v>0</v>
      </c>
      <c r="BQ43" s="337">
        <v>0</v>
      </c>
      <c r="BR43" s="309">
        <f>IFERROR(BQ43/#REF!,0)</f>
        <v>0</v>
      </c>
      <c r="BS43" s="337"/>
      <c r="BT43" s="337"/>
      <c r="BU43" s="309">
        <f>IFERROR(BS43/BT43,0)</f>
        <v>0</v>
      </c>
      <c r="BV43" s="337">
        <v>850000</v>
      </c>
      <c r="BW43" s="337">
        <v>65000</v>
      </c>
      <c r="BX43" s="1084">
        <f>IFERROR(BV43/BW43,0)</f>
        <v>13.076923076923077</v>
      </c>
      <c r="BY43" s="337"/>
      <c r="BZ43" s="337"/>
      <c r="CA43" s="1083">
        <f t="shared" si="30"/>
        <v>0</v>
      </c>
      <c r="CB43" s="337"/>
      <c r="CC43" s="337"/>
      <c r="CD43" s="78">
        <f t="shared" si="31"/>
        <v>0</v>
      </c>
      <c r="CE43" s="337"/>
      <c r="CF43" s="308"/>
      <c r="CG43" s="309">
        <f>IFERROR(CE43/CF43,0)</f>
        <v>0</v>
      </c>
      <c r="CH43" s="308"/>
      <c r="CI43" s="337">
        <v>15000</v>
      </c>
      <c r="CJ43" s="337">
        <v>50000</v>
      </c>
      <c r="CK43" s="308">
        <v>459000</v>
      </c>
      <c r="CL43" s="337">
        <v>0</v>
      </c>
      <c r="CM43" s="337"/>
      <c r="CN43" s="337">
        <f>SUM(CI43:CL43)</f>
        <v>524000</v>
      </c>
      <c r="CO43" s="308"/>
      <c r="CP43" s="308"/>
      <c r="CQ43" s="308"/>
      <c r="CR43" s="308"/>
      <c r="CS43" s="308"/>
      <c r="CT43" s="308"/>
      <c r="CU43" s="308"/>
      <c r="CV43" s="308"/>
      <c r="CW43" s="308"/>
      <c r="CX43" s="308"/>
      <c r="CY43" s="308"/>
      <c r="CZ43" s="308"/>
      <c r="DA43" s="308"/>
      <c r="DB43" s="308"/>
      <c r="DC43" s="308"/>
      <c r="DD43" s="308"/>
      <c r="DE43" s="308"/>
      <c r="DF43" s="308"/>
      <c r="DG43" s="308"/>
      <c r="DH43" s="308"/>
      <c r="DI43" s="308"/>
      <c r="DJ43" s="308"/>
      <c r="DK43" s="308"/>
      <c r="DL43" s="308"/>
      <c r="DM43" s="308"/>
      <c r="DN43" s="308"/>
      <c r="DO43" s="308"/>
      <c r="DP43" s="308"/>
      <c r="DQ43" s="308"/>
      <c r="DR43" s="308"/>
      <c r="DS43" s="308"/>
      <c r="DT43" s="308"/>
      <c r="DU43" s="308"/>
      <c r="DV43" s="308"/>
      <c r="DW43" s="308"/>
      <c r="DX43" s="308"/>
      <c r="DY43" s="308"/>
      <c r="DZ43" s="308"/>
      <c r="EA43" s="308"/>
      <c r="EB43" s="308"/>
      <c r="EC43" s="308"/>
      <c r="ED43" s="308"/>
      <c r="EE43" s="308"/>
      <c r="EF43" s="308"/>
      <c r="EG43" s="308"/>
      <c r="EH43" s="308"/>
      <c r="EI43" s="308"/>
      <c r="EJ43" s="308"/>
      <c r="EK43" s="308"/>
      <c r="EL43" s="308"/>
      <c r="EM43" s="308"/>
      <c r="EN43" s="308"/>
      <c r="EO43" s="308"/>
      <c r="EP43" s="308"/>
      <c r="EQ43" s="308"/>
      <c r="ER43" s="308"/>
      <c r="ES43" s="308"/>
      <c r="ET43" s="308"/>
      <c r="EU43" s="308"/>
      <c r="EV43" s="308"/>
      <c r="EW43" s="308"/>
      <c r="EX43" s="308"/>
      <c r="EY43" s="308"/>
      <c r="EZ43" s="308"/>
      <c r="FA43" s="308"/>
      <c r="FB43" s="308"/>
      <c r="FC43" s="308"/>
      <c r="FD43" s="308"/>
      <c r="FE43" s="308"/>
      <c r="FF43" s="308"/>
      <c r="FG43" s="308"/>
      <c r="FH43" s="308"/>
      <c r="FI43" s="308"/>
      <c r="FJ43" s="308"/>
      <c r="FK43" s="308"/>
      <c r="FL43" s="308"/>
      <c r="FM43" s="308"/>
      <c r="FN43" s="308"/>
      <c r="FO43" s="308"/>
      <c r="FP43" s="308"/>
      <c r="FQ43" s="308"/>
      <c r="FR43" s="308"/>
      <c r="FS43" s="308"/>
      <c r="FT43" s="308"/>
      <c r="FU43" s="308"/>
      <c r="FV43" s="308"/>
      <c r="FW43" s="308"/>
      <c r="FX43" s="308"/>
      <c r="FY43" s="308"/>
      <c r="FZ43" s="308"/>
      <c r="GA43" s="308"/>
      <c r="GB43" s="308"/>
      <c r="GC43" s="308"/>
      <c r="GD43" s="308"/>
      <c r="GE43" s="308"/>
      <c r="GF43" s="308"/>
      <c r="GG43" s="308"/>
      <c r="GH43" s="308"/>
      <c r="GI43" s="308"/>
      <c r="GJ43" s="308"/>
      <c r="GK43" s="337">
        <v>75718.234479263541</v>
      </c>
      <c r="GL43" s="337">
        <v>83547.909261363908</v>
      </c>
      <c r="GM43" s="337">
        <v>80733.856259372551</v>
      </c>
      <c r="GN43" s="337">
        <f>GL43+GM43+GK43</f>
        <v>240000</v>
      </c>
      <c r="GO43" s="308">
        <v>0</v>
      </c>
      <c r="GP43" s="308">
        <v>0</v>
      </c>
      <c r="GQ43" s="308"/>
      <c r="GR43" s="308"/>
      <c r="GS43" s="308"/>
      <c r="GT43" s="308"/>
      <c r="GU43" s="308"/>
      <c r="GV43" s="308"/>
      <c r="GW43" s="308">
        <f>SUM(GS43:GU43)</f>
        <v>0</v>
      </c>
      <c r="GX43" s="308"/>
      <c r="GY43" s="308"/>
      <c r="GZ43" s="308"/>
      <c r="HA43" s="308"/>
      <c r="HB43" s="308"/>
      <c r="HC43" s="308"/>
      <c r="HD43" s="308"/>
      <c r="HE43" s="308"/>
      <c r="HF43" s="308"/>
      <c r="HG43" s="308"/>
      <c r="HH43" s="308"/>
      <c r="HI43" s="308"/>
      <c r="HJ43" s="308"/>
      <c r="HK43" s="308"/>
      <c r="HL43" s="308"/>
      <c r="HM43" s="308"/>
      <c r="HN43" s="308"/>
      <c r="HO43" s="308"/>
      <c r="HP43" s="308"/>
      <c r="HQ43" s="308"/>
      <c r="HR43" s="308"/>
      <c r="HS43" s="308"/>
      <c r="HT43" s="308"/>
      <c r="HU43" s="308"/>
      <c r="HV43" s="308"/>
      <c r="HW43" s="308"/>
      <c r="HX43" s="308"/>
      <c r="HY43" s="308"/>
      <c r="HZ43" s="308"/>
      <c r="IA43" s="308"/>
      <c r="IB43" s="308"/>
      <c r="IC43" s="308"/>
      <c r="ID43" s="308"/>
      <c r="IE43" s="308"/>
      <c r="IF43" s="308"/>
      <c r="IG43" s="308"/>
      <c r="IH43" s="308"/>
      <c r="II43" s="308"/>
      <c r="IJ43" s="308"/>
      <c r="IK43" s="308"/>
      <c r="IL43" s="308"/>
      <c r="IM43" s="308"/>
      <c r="IN43" s="308"/>
      <c r="IO43" s="308"/>
      <c r="IP43" s="308"/>
      <c r="IQ43" s="478">
        <f>SUM(IC43:IP43)</f>
        <v>0</v>
      </c>
      <c r="IR43" s="308"/>
      <c r="IS43" s="308"/>
      <c r="IT43" s="308"/>
      <c r="IU43" s="308"/>
      <c r="IV43" s="308"/>
      <c r="IW43" s="308"/>
      <c r="IX43" s="308"/>
      <c r="IY43" s="308"/>
      <c r="IZ43" s="308"/>
      <c r="JA43" s="308"/>
      <c r="JB43" s="308"/>
      <c r="JC43" s="308"/>
      <c r="JD43" s="308"/>
      <c r="JE43" s="308"/>
      <c r="JF43" s="308">
        <f>SUM(IR43:JE43)</f>
        <v>0</v>
      </c>
      <c r="JG43" s="308"/>
      <c r="JH43" s="308"/>
      <c r="JI43" s="337">
        <v>140000</v>
      </c>
      <c r="JJ43" s="337">
        <v>100000</v>
      </c>
      <c r="JK43" s="337"/>
      <c r="JL43" s="337">
        <f>SUM(JI43:JK43)</f>
        <v>240000</v>
      </c>
      <c r="JM43" s="308"/>
      <c r="JN43" s="308"/>
      <c r="JO43" s="309"/>
      <c r="JP43" s="309"/>
      <c r="JQ43" s="309"/>
      <c r="JR43" s="309"/>
      <c r="JS43" s="309"/>
      <c r="JT43" s="309"/>
      <c r="JU43" s="309"/>
      <c r="JV43" s="309"/>
      <c r="JW43" s="309"/>
      <c r="JX43" s="309"/>
      <c r="JY43" s="309"/>
      <c r="JZ43" s="309"/>
      <c r="KA43" s="309"/>
      <c r="KB43" s="309"/>
      <c r="KC43" s="309"/>
      <c r="KD43" s="309"/>
      <c r="KE43" s="309">
        <v>0</v>
      </c>
      <c r="KF43" s="309">
        <v>0</v>
      </c>
      <c r="KG43" s="309">
        <v>0</v>
      </c>
      <c r="KH43" s="309">
        <v>0</v>
      </c>
      <c r="KI43" s="309">
        <v>0</v>
      </c>
      <c r="KJ43" s="309">
        <v>0</v>
      </c>
      <c r="KK43" s="309">
        <v>0</v>
      </c>
      <c r="KL43" s="309">
        <v>0</v>
      </c>
      <c r="KM43" s="308"/>
      <c r="KN43" s="308"/>
      <c r="KO43" s="337">
        <v>6994</v>
      </c>
      <c r="KP43" s="2105">
        <v>0.85</v>
      </c>
      <c r="KQ43" s="2105">
        <v>4.87</v>
      </c>
      <c r="KR43" s="2105">
        <v>6.06</v>
      </c>
      <c r="KS43" s="2105">
        <v>10.98</v>
      </c>
      <c r="KT43" s="337">
        <v>6833</v>
      </c>
      <c r="KU43" s="2105">
        <v>1.98</v>
      </c>
      <c r="KV43" s="2105">
        <v>6.24</v>
      </c>
      <c r="KW43" s="2105">
        <v>6.07</v>
      </c>
      <c r="KX43" s="2105">
        <v>10.75</v>
      </c>
      <c r="KY43" s="308"/>
      <c r="KZ43" s="309"/>
      <c r="LA43" s="309"/>
      <c r="LB43" s="309"/>
      <c r="LC43" s="309"/>
      <c r="LD43" s="308">
        <v>13.25</v>
      </c>
      <c r="LE43" s="308"/>
      <c r="LF43" s="308"/>
      <c r="LG43" s="337">
        <v>150000</v>
      </c>
      <c r="LH43" s="337">
        <v>70000</v>
      </c>
      <c r="LI43" s="337"/>
      <c r="LJ43" s="337">
        <f>SUM(LG43:LI43)</f>
        <v>220000</v>
      </c>
      <c r="LK43" s="308"/>
      <c r="LL43" s="308"/>
      <c r="LM43" s="308"/>
      <c r="LN43" s="308"/>
      <c r="LO43" s="308"/>
      <c r="LP43" s="308"/>
      <c r="LQ43" s="308"/>
      <c r="LR43" s="308"/>
      <c r="LS43" s="308"/>
      <c r="LT43" s="308"/>
      <c r="LU43" s="308"/>
      <c r="LV43" s="308"/>
      <c r="LW43" s="308"/>
      <c r="LX43" s="308"/>
      <c r="LY43" s="308"/>
      <c r="LZ43" s="308"/>
      <c r="MA43" s="308"/>
      <c r="MB43" s="308"/>
      <c r="MC43" s="308"/>
      <c r="MD43" s="308"/>
      <c r="ME43" s="308"/>
      <c r="MG43" s="308"/>
      <c r="MH43" s="308"/>
      <c r="MI43" s="308"/>
      <c r="MJ43" s="308"/>
      <c r="MK43" s="308"/>
      <c r="ML43" s="308"/>
      <c r="MM43" s="308"/>
      <c r="MN43" s="308"/>
      <c r="MO43" s="308"/>
      <c r="MP43" s="308"/>
      <c r="MQ43" s="308"/>
      <c r="MR43" s="308"/>
      <c r="MS43" s="308"/>
      <c r="MT43" s="308"/>
      <c r="MU43" s="308"/>
      <c r="MV43" s="308"/>
      <c r="MW43" s="308"/>
      <c r="MX43" s="308"/>
      <c r="MY43" s="308"/>
      <c r="MZ43" s="308"/>
      <c r="NA43" s="308"/>
      <c r="NB43" s="308"/>
      <c r="NC43" s="308"/>
      <c r="ND43" s="308"/>
      <c r="NE43" s="308"/>
      <c r="NF43" s="308"/>
      <c r="NG43" s="308"/>
      <c r="NH43" s="308"/>
      <c r="NI43" s="308"/>
      <c r="NJ43" s="308"/>
      <c r="NK43" s="308"/>
      <c r="NL43" s="308"/>
      <c r="NM43" s="308"/>
      <c r="NN43" s="308"/>
      <c r="NO43" s="308"/>
      <c r="NP43" s="308"/>
      <c r="NQ43" s="308"/>
      <c r="NR43" s="308"/>
      <c r="NS43" s="308"/>
      <c r="NT43" s="308"/>
      <c r="NU43" s="308"/>
      <c r="NV43" s="308"/>
      <c r="NW43" s="308"/>
      <c r="NX43" s="308"/>
      <c r="NY43" s="308"/>
      <c r="NZ43" s="308"/>
      <c r="OA43" s="308"/>
      <c r="OB43" s="308"/>
      <c r="OC43" s="308"/>
      <c r="OD43" s="308"/>
      <c r="OE43" s="308"/>
      <c r="OF43" s="308"/>
      <c r="OG43" s="308"/>
      <c r="OH43" s="308"/>
      <c r="OI43" s="308"/>
      <c r="OJ43" s="308"/>
      <c r="OK43" s="308"/>
      <c r="OL43" s="308"/>
      <c r="OM43" s="308"/>
      <c r="ON43" s="308"/>
      <c r="OO43" s="308"/>
      <c r="OP43" s="308"/>
      <c r="OQ43" s="308"/>
      <c r="OR43" s="308"/>
      <c r="OS43" s="308"/>
      <c r="OT43" s="308"/>
      <c r="OU43" s="308"/>
      <c r="OV43" s="308"/>
      <c r="OW43" s="308"/>
      <c r="OX43" s="308"/>
      <c r="OY43" s="308"/>
      <c r="OZ43" s="308"/>
      <c r="PA43" s="308"/>
      <c r="PB43" s="308"/>
      <c r="PC43" s="308"/>
      <c r="PD43" s="308"/>
      <c r="PE43" s="308"/>
      <c r="PF43" s="308"/>
      <c r="PG43" s="308"/>
      <c r="PH43" s="308"/>
      <c r="PI43" s="308"/>
      <c r="PJ43" s="308"/>
      <c r="PK43" s="308"/>
      <c r="PL43" s="308"/>
      <c r="PM43" s="308"/>
      <c r="PN43" s="308"/>
      <c r="PO43" s="308"/>
      <c r="PP43" s="308"/>
      <c r="PQ43" s="308"/>
      <c r="PR43" s="308"/>
      <c r="PS43" s="308"/>
      <c r="PT43" s="308"/>
      <c r="PU43" s="308"/>
      <c r="PV43" s="308"/>
      <c r="PW43" s="308"/>
      <c r="PX43" s="308"/>
      <c r="PY43" s="308"/>
      <c r="PZ43" s="308"/>
      <c r="QA43" s="308"/>
      <c r="QB43" s="308"/>
      <c r="QC43" s="308"/>
      <c r="QD43" s="308"/>
      <c r="QE43" s="308"/>
      <c r="QF43" s="308"/>
      <c r="QG43" s="308"/>
      <c r="RY43" s="1073"/>
    </row>
    <row r="44" spans="1:502">
      <c r="A44" t="s">
        <v>208</v>
      </c>
      <c r="C44" s="38">
        <f>IFERROR(C42/C43,"")</f>
        <v>1.004272903782506</v>
      </c>
      <c r="D44" s="38">
        <f>IFERROR(D42/D43,"")</f>
        <v>0.89626280396910807</v>
      </c>
      <c r="E44" s="38">
        <f>IFERROR(E42/E43,"")</f>
        <v>1.1205116393708119</v>
      </c>
      <c r="F44" s="38"/>
      <c r="G44" s="38"/>
      <c r="H44" s="38"/>
      <c r="I44" s="38"/>
      <c r="J44" s="38" t="str">
        <f t="shared" ref="J44:T44" si="170">IFERROR(J42/J43,"")</f>
        <v/>
      </c>
      <c r="K44" s="38" t="str">
        <f t="shared" si="170"/>
        <v/>
      </c>
      <c r="L44" s="38" t="str">
        <f t="shared" si="170"/>
        <v/>
      </c>
      <c r="M44" s="38" t="str">
        <f t="shared" si="170"/>
        <v/>
      </c>
      <c r="N44" s="38" t="str">
        <f t="shared" si="170"/>
        <v/>
      </c>
      <c r="O44" s="38">
        <f t="shared" si="170"/>
        <v>1.0650028972332015</v>
      </c>
      <c r="P44" s="38">
        <f t="shared" si="170"/>
        <v>1.0938619411764707</v>
      </c>
      <c r="Q44" s="38">
        <f t="shared" si="170"/>
        <v>0.97361728856547403</v>
      </c>
      <c r="R44" s="38" t="str">
        <f t="shared" si="170"/>
        <v/>
      </c>
      <c r="S44" s="1082">
        <f t="shared" si="170"/>
        <v>1.1519043062352941</v>
      </c>
      <c r="T44" s="38">
        <f t="shared" si="170"/>
        <v>1.0372837777568222</v>
      </c>
      <c r="U44" s="1081">
        <f t="shared" si="11"/>
        <v>1.1105006469168393</v>
      </c>
      <c r="V44" s="38" t="str">
        <f t="shared" ref="V44:AA44" si="171">IFERROR(V42/V43,"")</f>
        <v/>
      </c>
      <c r="W44" s="38">
        <f t="shared" si="171"/>
        <v>0.67588046199999996</v>
      </c>
      <c r="X44" s="38">
        <f t="shared" si="171"/>
        <v>0.27098738835930203</v>
      </c>
      <c r="Y44" s="38">
        <f t="shared" si="171"/>
        <v>2.4941399158541295</v>
      </c>
      <c r="Z44" s="38" t="str">
        <f t="shared" si="171"/>
        <v/>
      </c>
      <c r="AA44" s="38" t="str">
        <f t="shared" si="171"/>
        <v/>
      </c>
      <c r="AB44" s="72" t="str">
        <f>BQ44</f>
        <v/>
      </c>
      <c r="AC44" s="38" t="str">
        <f>IFERROR(AC42/AC43,"")</f>
        <v/>
      </c>
      <c r="AD44" s="38"/>
      <c r="AE44" s="38" t="str">
        <f t="shared" ref="AE44:BO44" si="172">IFERROR(AE42/AE43,"")</f>
        <v/>
      </c>
      <c r="AF44" s="38" t="str">
        <f t="shared" si="172"/>
        <v/>
      </c>
      <c r="AG44" s="38" t="str">
        <f t="shared" si="172"/>
        <v/>
      </c>
      <c r="AH44" s="38" t="str">
        <f t="shared" si="172"/>
        <v/>
      </c>
      <c r="AI44" s="38" t="str">
        <f t="shared" si="172"/>
        <v/>
      </c>
      <c r="AJ44" s="38" t="str">
        <f t="shared" si="172"/>
        <v/>
      </c>
      <c r="AK44" s="38" t="str">
        <f t="shared" si="172"/>
        <v/>
      </c>
      <c r="AL44" s="38" t="str">
        <f t="shared" si="172"/>
        <v/>
      </c>
      <c r="AM44" s="38" t="str">
        <f t="shared" si="172"/>
        <v/>
      </c>
      <c r="AN44" s="38" t="str">
        <f t="shared" si="172"/>
        <v/>
      </c>
      <c r="AO44" s="38" t="str">
        <f t="shared" si="172"/>
        <v/>
      </c>
      <c r="AP44" s="38" t="str">
        <f t="shared" si="172"/>
        <v/>
      </c>
      <c r="AQ44" s="38" t="str">
        <f t="shared" si="172"/>
        <v/>
      </c>
      <c r="AR44" s="38" t="str">
        <f t="shared" si="172"/>
        <v/>
      </c>
      <c r="AS44" s="38" t="str">
        <f t="shared" si="172"/>
        <v/>
      </c>
      <c r="AT44" s="38" t="str">
        <f t="shared" si="172"/>
        <v/>
      </c>
      <c r="AU44" s="38" t="str">
        <f t="shared" si="172"/>
        <v/>
      </c>
      <c r="AV44" s="38" t="str">
        <f t="shared" si="172"/>
        <v/>
      </c>
      <c r="AW44" s="38">
        <f t="shared" si="172"/>
        <v>1.0712532674125874</v>
      </c>
      <c r="AX44" s="38">
        <f t="shared" si="172"/>
        <v>1.1752557272727271</v>
      </c>
      <c r="AY44" s="38">
        <f t="shared" si="172"/>
        <v>0.86597192246848542</v>
      </c>
      <c r="AZ44" s="38" t="str">
        <f t="shared" si="172"/>
        <v/>
      </c>
      <c r="BA44" s="38" t="str">
        <f t="shared" si="172"/>
        <v/>
      </c>
      <c r="BB44" s="38" t="str">
        <f t="shared" si="172"/>
        <v/>
      </c>
      <c r="BC44" s="38">
        <f t="shared" si="172"/>
        <v>1.0568774160000001</v>
      </c>
      <c r="BD44" s="38">
        <f t="shared" si="172"/>
        <v>0.94464000000000026</v>
      </c>
      <c r="BE44" s="38">
        <f t="shared" si="172"/>
        <v>1.1567639042867699</v>
      </c>
      <c r="BF44" s="38" t="str">
        <f t="shared" si="172"/>
        <v/>
      </c>
      <c r="BG44" s="38" t="str">
        <f t="shared" si="172"/>
        <v/>
      </c>
      <c r="BH44" s="38" t="str">
        <f t="shared" si="172"/>
        <v/>
      </c>
      <c r="BI44" s="38" t="str">
        <f t="shared" si="172"/>
        <v/>
      </c>
      <c r="BJ44" s="38" t="str">
        <f t="shared" si="172"/>
        <v/>
      </c>
      <c r="BK44" s="38" t="str">
        <f t="shared" si="172"/>
        <v/>
      </c>
      <c r="BL44" s="38">
        <f t="shared" si="172"/>
        <v>1.1519043062352941</v>
      </c>
      <c r="BM44" s="38">
        <f t="shared" si="172"/>
        <v>0.97924520000000015</v>
      </c>
      <c r="BN44" s="38"/>
      <c r="BO44" s="38">
        <f t="shared" si="172"/>
        <v>1.1737715105951589</v>
      </c>
      <c r="BP44" s="38" t="str">
        <f>IFERROR(BP42/BQ43,"")</f>
        <v/>
      </c>
      <c r="BQ44" s="38" t="str">
        <f>IFERROR(BQ42/#REF!,"")</f>
        <v/>
      </c>
      <c r="BR44" s="38" t="str">
        <f t="shared" ref="BR44:CR44" si="173">IFERROR(BR42/BR43,"")</f>
        <v/>
      </c>
      <c r="BS44" s="38" t="str">
        <f t="shared" si="173"/>
        <v/>
      </c>
      <c r="BT44" s="38" t="str">
        <f t="shared" si="173"/>
        <v/>
      </c>
      <c r="BU44" s="38" t="str">
        <f t="shared" si="173"/>
        <v/>
      </c>
      <c r="BV44" s="38">
        <f t="shared" si="173"/>
        <v>0.67588046199999996</v>
      </c>
      <c r="BW44" s="38">
        <f t="shared" si="173"/>
        <v>0.27098738835930203</v>
      </c>
      <c r="BX44" s="38">
        <f t="shared" si="173"/>
        <v>2.6057936050237092</v>
      </c>
      <c r="BY44" s="38" t="str">
        <f t="shared" si="173"/>
        <v/>
      </c>
      <c r="BZ44" s="38" t="str">
        <f t="shared" si="173"/>
        <v/>
      </c>
      <c r="CA44" s="38" t="str">
        <f t="shared" si="173"/>
        <v/>
      </c>
      <c r="CB44" s="38" t="str">
        <f t="shared" si="173"/>
        <v/>
      </c>
      <c r="CC44" s="38" t="str">
        <f t="shared" si="173"/>
        <v/>
      </c>
      <c r="CD44" s="38" t="str">
        <f t="shared" si="173"/>
        <v/>
      </c>
      <c r="CE44" s="38" t="str">
        <f t="shared" si="173"/>
        <v/>
      </c>
      <c r="CF44" s="38" t="str">
        <f t="shared" si="173"/>
        <v/>
      </c>
      <c r="CG44" s="38" t="str">
        <f t="shared" si="173"/>
        <v/>
      </c>
      <c r="CH44" s="38" t="str">
        <f t="shared" si="173"/>
        <v/>
      </c>
      <c r="CI44" s="38">
        <f t="shared" si="173"/>
        <v>0.52017057333333339</v>
      </c>
      <c r="CJ44" s="38">
        <f t="shared" si="173"/>
        <v>7.5600000000000001E-2</v>
      </c>
      <c r="CK44" s="38">
        <f t="shared" si="173"/>
        <v>0.2878553381263616</v>
      </c>
      <c r="CL44" s="38" t="str">
        <f t="shared" si="173"/>
        <v/>
      </c>
      <c r="CM44" s="38" t="str">
        <f t="shared" si="173"/>
        <v/>
      </c>
      <c r="CN44" s="38">
        <f t="shared" si="173"/>
        <v>5.3339694656488546E-3</v>
      </c>
      <c r="CO44" s="38" t="str">
        <f t="shared" si="173"/>
        <v/>
      </c>
      <c r="CP44" s="38" t="str">
        <f t="shared" si="173"/>
        <v/>
      </c>
      <c r="CQ44" s="38" t="str">
        <f t="shared" si="173"/>
        <v/>
      </c>
      <c r="CR44" s="38" t="str">
        <f t="shared" si="173"/>
        <v/>
      </c>
      <c r="CS44" s="38"/>
      <c r="CT44" s="38" t="str">
        <f>IFERROR(CT42/CT43,"")</f>
        <v/>
      </c>
      <c r="CU44" s="38"/>
      <c r="CV44" s="38" t="str">
        <f>IFERROR(CV42/CV43,"")</f>
        <v/>
      </c>
      <c r="CW44" s="38"/>
      <c r="CX44" s="38" t="str">
        <f>IFERROR(CX42/CX43,"")</f>
        <v/>
      </c>
      <c r="CY44" s="38"/>
      <c r="CZ44" s="38" t="str">
        <f>IFERROR(CZ42/CZ43,"")</f>
        <v/>
      </c>
      <c r="DA44" s="38"/>
      <c r="DB44" s="38" t="str">
        <f>IFERROR(DB42/DB43,"")</f>
        <v/>
      </c>
      <c r="DC44" s="38"/>
      <c r="DD44" s="38" t="str">
        <f>IFERROR(DD42/DD43,"")</f>
        <v/>
      </c>
      <c r="DE44" s="38" t="str">
        <f>IFERROR(DE42/DE43,"")</f>
        <v/>
      </c>
      <c r="DF44" s="38" t="str">
        <f>IFERROR(DF42/DF43,"")</f>
        <v/>
      </c>
      <c r="DG44" s="38"/>
      <c r="DH44" s="38" t="str">
        <f>IFERROR(DH42/DH43,"")</f>
        <v/>
      </c>
      <c r="DI44" s="38"/>
      <c r="DJ44" s="38" t="str">
        <f>IFERROR(DJ42/DJ43,"")</f>
        <v/>
      </c>
      <c r="DK44" s="38"/>
      <c r="DL44" s="38" t="str">
        <f>IFERROR(DL42/DL43,"")</f>
        <v/>
      </c>
      <c r="DM44" s="38"/>
      <c r="DN44" s="38" t="str">
        <f>IFERROR(DN42/DN43,"")</f>
        <v/>
      </c>
      <c r="DO44" s="38"/>
      <c r="DP44" s="38" t="str">
        <f>IFERROR(DP42/DP43,"")</f>
        <v/>
      </c>
      <c r="DQ44" s="38"/>
      <c r="DR44" s="38" t="str">
        <f>IFERROR(DR42/DR43,"")</f>
        <v/>
      </c>
      <c r="DS44" s="38" t="str">
        <f>IFERROR(DS42/DS43,"")</f>
        <v/>
      </c>
      <c r="DT44" s="38"/>
      <c r="DU44" s="38" t="str">
        <f>IFERROR(DU42/DU43,"")</f>
        <v/>
      </c>
      <c r="DV44" s="38"/>
      <c r="DW44" s="38" t="str">
        <f>IFERROR(DW42/DW43,"")</f>
        <v/>
      </c>
      <c r="DX44" s="38"/>
      <c r="DY44" s="38" t="str">
        <f>IFERROR(DY42/DY43,"")</f>
        <v/>
      </c>
      <c r="DZ44" s="38"/>
      <c r="EA44" s="38" t="str">
        <f>IFERROR(EA42/EA43,"")</f>
        <v/>
      </c>
      <c r="EB44" s="38"/>
      <c r="EC44" s="38" t="str">
        <f>IFERROR(EC42/EC43,"")</f>
        <v/>
      </c>
      <c r="ED44" s="38"/>
      <c r="EE44" s="38" t="str">
        <f>IFERROR(EE42/EE43,"")</f>
        <v/>
      </c>
      <c r="EF44" s="38" t="str">
        <f>IFERROR(EF42/EF43,"")</f>
        <v/>
      </c>
      <c r="EG44" s="38"/>
      <c r="EH44" s="38"/>
      <c r="EI44" s="38"/>
      <c r="EJ44" s="38" t="str">
        <f>IFERROR(EJ42/EJ43,"")</f>
        <v/>
      </c>
      <c r="EK44" s="38"/>
      <c r="EL44" s="38" t="str">
        <f>IFERROR(EL42/EL43,"")</f>
        <v/>
      </c>
      <c r="EM44" s="38"/>
      <c r="EN44" s="38" t="str">
        <f>IFERROR(EN42/EN43,"")</f>
        <v/>
      </c>
      <c r="EO44" s="38"/>
      <c r="EP44" s="38" t="str">
        <f>IFERROR(EP42/EP43,"")</f>
        <v/>
      </c>
      <c r="EQ44" s="38"/>
      <c r="ER44" s="38" t="str">
        <f>IFERROR(ER42/ER43,"")</f>
        <v/>
      </c>
      <c r="ES44" s="38" t="str">
        <f>IFERROR(ES42/ES43,"")</f>
        <v/>
      </c>
      <c r="ET44" s="38" t="str">
        <f>IFERROR(ET42/ET43,"")</f>
        <v/>
      </c>
      <c r="EU44" s="38" t="str">
        <f>IFERROR(EU42/EU43,"")</f>
        <v/>
      </c>
      <c r="EV44" s="38" t="str">
        <f t="shared" ref="EV44:FV44" si="174">IFERROR(EV42/EV43,"")</f>
        <v/>
      </c>
      <c r="EW44" s="38" t="str">
        <f t="shared" si="174"/>
        <v/>
      </c>
      <c r="EX44" s="38" t="str">
        <f t="shared" si="174"/>
        <v/>
      </c>
      <c r="EY44" s="38" t="str">
        <f t="shared" si="174"/>
        <v/>
      </c>
      <c r="EZ44" s="38" t="str">
        <f t="shared" si="174"/>
        <v/>
      </c>
      <c r="FA44" s="38" t="str">
        <f t="shared" si="174"/>
        <v/>
      </c>
      <c r="FB44" s="38" t="str">
        <f t="shared" si="174"/>
        <v/>
      </c>
      <c r="FC44" s="38" t="str">
        <f t="shared" si="174"/>
        <v/>
      </c>
      <c r="FD44" s="38" t="str">
        <f t="shared" si="174"/>
        <v/>
      </c>
      <c r="FE44" s="38" t="str">
        <f t="shared" si="174"/>
        <v/>
      </c>
      <c r="FF44" s="38" t="str">
        <f t="shared" si="174"/>
        <v/>
      </c>
      <c r="FG44" s="38" t="str">
        <f t="shared" si="174"/>
        <v/>
      </c>
      <c r="FH44" s="38" t="str">
        <f t="shared" si="174"/>
        <v/>
      </c>
      <c r="FI44" s="38" t="str">
        <f t="shared" si="174"/>
        <v/>
      </c>
      <c r="FJ44" s="38" t="str">
        <f t="shared" si="174"/>
        <v/>
      </c>
      <c r="FK44" s="38" t="str">
        <f t="shared" si="174"/>
        <v/>
      </c>
      <c r="FL44" s="38" t="str">
        <f t="shared" si="174"/>
        <v/>
      </c>
      <c r="FM44" s="38" t="str">
        <f t="shared" si="174"/>
        <v/>
      </c>
      <c r="FN44" s="38" t="str">
        <f t="shared" si="174"/>
        <v/>
      </c>
      <c r="FO44" s="38" t="str">
        <f t="shared" si="174"/>
        <v/>
      </c>
      <c r="FP44" s="38" t="str">
        <f t="shared" si="174"/>
        <v/>
      </c>
      <c r="FQ44" s="38" t="str">
        <f t="shared" si="174"/>
        <v/>
      </c>
      <c r="FR44" s="38" t="str">
        <f t="shared" si="174"/>
        <v/>
      </c>
      <c r="FS44" s="38" t="str">
        <f t="shared" si="174"/>
        <v/>
      </c>
      <c r="FT44" s="38" t="str">
        <f t="shared" si="174"/>
        <v/>
      </c>
      <c r="FU44" s="38" t="str">
        <f t="shared" si="174"/>
        <v/>
      </c>
      <c r="FV44" s="38" t="str">
        <f t="shared" si="174"/>
        <v/>
      </c>
      <c r="FW44" s="38"/>
      <c r="FX44" s="38" t="str">
        <f>IFERROR(FX42/FX43,"")</f>
        <v/>
      </c>
      <c r="FY44" s="38"/>
      <c r="FZ44" s="38" t="str">
        <f>IFERROR(FZ42/FZ43,"")</f>
        <v/>
      </c>
      <c r="GA44" s="38"/>
      <c r="GB44" s="38" t="str">
        <f>IFERROR(GB42/GB43,"")</f>
        <v/>
      </c>
      <c r="GC44" s="38"/>
      <c r="GD44" s="38" t="str">
        <f>IFERROR(GD42/GD43,"")</f>
        <v/>
      </c>
      <c r="GE44" s="38"/>
      <c r="GF44" s="38" t="str">
        <f>IFERROR(GF42/GF43,"")</f>
        <v/>
      </c>
      <c r="GG44" s="38"/>
      <c r="GH44" s="38" t="str">
        <f t="shared" ref="GH44:GX44" si="175">IFERROR(GH42/GH43,"")</f>
        <v/>
      </c>
      <c r="GI44" s="38" t="str">
        <f t="shared" si="175"/>
        <v/>
      </c>
      <c r="GJ44" s="38" t="str">
        <f t="shared" si="175"/>
        <v/>
      </c>
      <c r="GK44" s="38">
        <f t="shared" si="175"/>
        <v>0.53167893146036216</v>
      </c>
      <c r="GL44" s="38">
        <f t="shared" si="175"/>
        <v>1.0968110490154002</v>
      </c>
      <c r="GM44" s="38">
        <f t="shared" si="175"/>
        <v>1.3045020376785668</v>
      </c>
      <c r="GN44" s="38">
        <f t="shared" si="175"/>
        <v>0.9883814166666669</v>
      </c>
      <c r="GO44" s="38" t="str">
        <f t="shared" si="175"/>
        <v/>
      </c>
      <c r="GP44" s="38" t="str">
        <f t="shared" si="175"/>
        <v/>
      </c>
      <c r="GQ44" s="38" t="str">
        <f t="shared" si="175"/>
        <v/>
      </c>
      <c r="GR44" s="38" t="str">
        <f t="shared" si="175"/>
        <v/>
      </c>
      <c r="GS44" s="38" t="str">
        <f t="shared" si="175"/>
        <v/>
      </c>
      <c r="GT44" s="38" t="str">
        <f t="shared" si="175"/>
        <v/>
      </c>
      <c r="GU44" s="38" t="str">
        <f t="shared" si="175"/>
        <v/>
      </c>
      <c r="GV44" s="38" t="str">
        <f t="shared" si="175"/>
        <v/>
      </c>
      <c r="GW44" s="38" t="str">
        <f t="shared" si="175"/>
        <v/>
      </c>
      <c r="GX44" s="38" t="str">
        <f t="shared" si="175"/>
        <v/>
      </c>
      <c r="GY44" s="72"/>
      <c r="GZ44" s="38"/>
      <c r="HA44" s="38" t="str">
        <f>IFERROR(HA42/HA43,"")</f>
        <v/>
      </c>
      <c r="HB44" s="38"/>
      <c r="HC44" s="38" t="str">
        <f>IFERROR(HC42/HC43,"")</f>
        <v/>
      </c>
      <c r="HD44" s="38"/>
      <c r="HE44" s="38" t="str">
        <f>IFERROR(HE42/HE43,"")</f>
        <v/>
      </c>
      <c r="HF44" s="38"/>
      <c r="HG44" s="38" t="str">
        <f>IFERROR(HG42/HG43,"")</f>
        <v/>
      </c>
      <c r="HH44" s="38"/>
      <c r="HI44" s="38" t="str">
        <f>IFERROR(HI42/HI43,"")</f>
        <v/>
      </c>
      <c r="HJ44" s="38"/>
      <c r="HK44" s="38" t="str">
        <f>IFERROR(HK42/HK43,"")</f>
        <v/>
      </c>
      <c r="HL44" s="38" t="str">
        <f>IFERROR(HL42/HL43,"")</f>
        <v/>
      </c>
      <c r="HM44" s="38" t="str">
        <f>IFERROR(HM42/HM43,"")</f>
        <v/>
      </c>
      <c r="HN44" s="38"/>
      <c r="HO44" s="38"/>
      <c r="HP44" s="38"/>
      <c r="HQ44" s="38"/>
      <c r="HR44" s="38"/>
      <c r="HS44" s="38"/>
      <c r="HT44" s="38"/>
      <c r="HU44" s="38"/>
      <c r="HV44" s="38"/>
      <c r="HW44" s="38"/>
      <c r="HX44" s="38"/>
      <c r="HY44" s="38"/>
      <c r="HZ44" s="38"/>
      <c r="IA44" s="38"/>
      <c r="IB44" s="38"/>
      <c r="IC44" s="38" t="str">
        <f>IFERROR(IC42/IC43,"")</f>
        <v/>
      </c>
      <c r="ID44" s="38"/>
      <c r="IE44" s="38" t="str">
        <f>IFERROR(IE42/IE43,"")</f>
        <v/>
      </c>
      <c r="IF44" s="38"/>
      <c r="IG44" s="38" t="str">
        <f>IFERROR(IG42/IG43,"")</f>
        <v/>
      </c>
      <c r="IH44" s="38"/>
      <c r="II44" s="38" t="str">
        <f>IFERROR(II42/II43,"")</f>
        <v/>
      </c>
      <c r="IJ44" s="38"/>
      <c r="IK44" s="38" t="str">
        <f>IFERROR(IK42/IK43,"")</f>
        <v/>
      </c>
      <c r="IL44" s="38"/>
      <c r="IM44" s="38" t="str">
        <f>IFERROR(IM42/IM43,"")</f>
        <v/>
      </c>
      <c r="IN44" s="38"/>
      <c r="IO44" s="38" t="str">
        <f>IFERROR(IO42/IO43,"")</f>
        <v/>
      </c>
      <c r="IP44" s="38" t="str">
        <f>IFERROR(IP42/IP43,"")</f>
        <v/>
      </c>
      <c r="IQ44" s="38" t="str">
        <f>IFERROR(IQ42/IQ43,"")</f>
        <v/>
      </c>
      <c r="IR44" s="38"/>
      <c r="IS44" s="38"/>
      <c r="IT44" s="38" t="str">
        <f>IFERROR(IT42/IT43,"")</f>
        <v/>
      </c>
      <c r="IU44" s="38"/>
      <c r="IV44" s="38" t="str">
        <f>IFERROR(IV42/IV43,"")</f>
        <v/>
      </c>
      <c r="IW44" s="38"/>
      <c r="IX44" s="38" t="str">
        <f>IFERROR(IX42/IX43,"")</f>
        <v/>
      </c>
      <c r="IY44" s="38"/>
      <c r="IZ44" s="38" t="str">
        <f>IFERROR(IZ42/IZ43,"")</f>
        <v/>
      </c>
      <c r="JA44" s="38"/>
      <c r="JB44" s="38" t="str">
        <f>IFERROR(JB42/JB43,"")</f>
        <v/>
      </c>
      <c r="JC44" s="38"/>
      <c r="JD44" s="38" t="str">
        <f t="shared" ref="JD44:JN44" si="176">IFERROR(JD42/JD43,"")</f>
        <v/>
      </c>
      <c r="JE44" s="38" t="str">
        <f t="shared" si="176"/>
        <v/>
      </c>
      <c r="JF44" s="38" t="str">
        <f t="shared" si="176"/>
        <v/>
      </c>
      <c r="JG44" s="38" t="str">
        <f t="shared" si="176"/>
        <v/>
      </c>
      <c r="JH44" s="38" t="str">
        <f t="shared" si="176"/>
        <v/>
      </c>
      <c r="JI44" s="1973">
        <f t="shared" si="176"/>
        <v>1.0054739999999998</v>
      </c>
      <c r="JJ44" s="1973">
        <f t="shared" si="176"/>
        <v>0.96445180000000008</v>
      </c>
      <c r="JK44" s="1973" t="str">
        <f t="shared" si="176"/>
        <v/>
      </c>
      <c r="JL44" s="1973">
        <f t="shared" si="176"/>
        <v>0.98838141666666679</v>
      </c>
      <c r="JM44" s="38" t="str">
        <f t="shared" si="176"/>
        <v/>
      </c>
      <c r="JN44" s="38" t="str">
        <f t="shared" si="176"/>
        <v/>
      </c>
      <c r="JO44" s="38">
        <f t="shared" ref="JO44:KL44" si="177">IFERROR(IF(1-ABS(1-(JO42/JO43))&lt;0,0,1-ABS(1-(JO42/JO43))),0)</f>
        <v>0</v>
      </c>
      <c r="JP44" s="38">
        <f t="shared" si="177"/>
        <v>0</v>
      </c>
      <c r="JQ44" s="38">
        <f t="shared" si="177"/>
        <v>0</v>
      </c>
      <c r="JR44" s="38">
        <f t="shared" si="177"/>
        <v>0</v>
      </c>
      <c r="JS44" s="38">
        <f t="shared" si="177"/>
        <v>0</v>
      </c>
      <c r="JT44" s="38">
        <f t="shared" si="177"/>
        <v>0</v>
      </c>
      <c r="JU44" s="38">
        <f t="shared" si="177"/>
        <v>0</v>
      </c>
      <c r="JV44" s="38">
        <f t="shared" si="177"/>
        <v>0</v>
      </c>
      <c r="JW44" s="38">
        <f t="shared" si="177"/>
        <v>0</v>
      </c>
      <c r="JX44" s="38">
        <f t="shared" si="177"/>
        <v>0</v>
      </c>
      <c r="JY44" s="38">
        <f t="shared" si="177"/>
        <v>0</v>
      </c>
      <c r="JZ44" s="38">
        <f t="shared" si="177"/>
        <v>0</v>
      </c>
      <c r="KA44" s="38">
        <f t="shared" si="177"/>
        <v>0</v>
      </c>
      <c r="KB44" s="38">
        <f t="shared" si="177"/>
        <v>0</v>
      </c>
      <c r="KC44" s="38">
        <f t="shared" si="177"/>
        <v>0</v>
      </c>
      <c r="KD44" s="38">
        <f t="shared" si="177"/>
        <v>0</v>
      </c>
      <c r="KE44" s="38">
        <f t="shared" si="177"/>
        <v>0</v>
      </c>
      <c r="KF44" s="38">
        <f t="shared" si="177"/>
        <v>0</v>
      </c>
      <c r="KG44" s="38">
        <f t="shared" si="177"/>
        <v>0</v>
      </c>
      <c r="KH44" s="38">
        <f t="shared" si="177"/>
        <v>0</v>
      </c>
      <c r="KI44" s="38">
        <f t="shared" si="177"/>
        <v>0</v>
      </c>
      <c r="KJ44" s="38">
        <f t="shared" si="177"/>
        <v>0</v>
      </c>
      <c r="KK44" s="38">
        <f t="shared" si="177"/>
        <v>0</v>
      </c>
      <c r="KL44" s="38">
        <f t="shared" si="177"/>
        <v>0</v>
      </c>
      <c r="KM44" s="38" t="str">
        <f t="shared" ref="KM44:LF44" si="178">IFERROR(KM42/KM43,"")</f>
        <v/>
      </c>
      <c r="KN44" s="38" t="str">
        <f t="shared" si="178"/>
        <v/>
      </c>
      <c r="KO44" s="38">
        <f t="shared" si="178"/>
        <v>0.99529590636993681</v>
      </c>
      <c r="KP44" s="38">
        <f t="shared" si="178"/>
        <v>0.95414949713577446</v>
      </c>
      <c r="KQ44" s="38">
        <f t="shared" si="178"/>
        <v>0.77905206090533319</v>
      </c>
      <c r="KR44" s="38">
        <f t="shared" si="178"/>
        <v>1.2020714865521958</v>
      </c>
      <c r="KS44" s="38">
        <f t="shared" si="178"/>
        <v>1.0008160754544297</v>
      </c>
      <c r="KT44" s="38">
        <f t="shared" si="178"/>
        <v>0.99045643306212294</v>
      </c>
      <c r="KU44" s="38">
        <f t="shared" si="178"/>
        <v>1.0075454071231247</v>
      </c>
      <c r="KV44" s="38">
        <f t="shared" si="178"/>
        <v>1.2397928378977408</v>
      </c>
      <c r="KW44" s="38">
        <f t="shared" si="178"/>
        <v>0.98071048892294554</v>
      </c>
      <c r="KX44" s="38">
        <f t="shared" si="178"/>
        <v>0.93667349010588308</v>
      </c>
      <c r="KY44" s="38" t="str">
        <f t="shared" si="178"/>
        <v/>
      </c>
      <c r="KZ44" s="38" t="str">
        <f t="shared" si="178"/>
        <v/>
      </c>
      <c r="LA44" s="38" t="str">
        <f t="shared" si="178"/>
        <v/>
      </c>
      <c r="LB44" s="38" t="str">
        <f t="shared" si="178"/>
        <v/>
      </c>
      <c r="LC44" s="38" t="str">
        <f t="shared" si="178"/>
        <v/>
      </c>
      <c r="LD44" s="38">
        <f t="shared" si="178"/>
        <v>0</v>
      </c>
      <c r="LE44" s="38" t="str">
        <f t="shared" si="178"/>
        <v/>
      </c>
      <c r="LF44" s="38" t="str">
        <f t="shared" si="178"/>
        <v/>
      </c>
      <c r="LG44" s="38"/>
      <c r="LH44" s="38"/>
      <c r="LI44" s="38"/>
      <c r="LJ44" s="38"/>
      <c r="LK44" s="38"/>
      <c r="LL44" s="38"/>
      <c r="LM44" s="38" t="str">
        <f t="shared" ref="LM44:LR44" si="179">IFERROR(LM42/LM43,"")</f>
        <v/>
      </c>
      <c r="LN44" s="38" t="str">
        <f t="shared" si="179"/>
        <v/>
      </c>
      <c r="LO44" s="38" t="str">
        <f t="shared" si="179"/>
        <v/>
      </c>
      <c r="LP44" s="38" t="str">
        <f t="shared" si="179"/>
        <v/>
      </c>
      <c r="LQ44" s="38" t="str">
        <f t="shared" si="179"/>
        <v/>
      </c>
      <c r="LR44" s="38" t="str">
        <f t="shared" si="179"/>
        <v/>
      </c>
      <c r="LS44" s="38"/>
      <c r="LT44" s="38" t="str">
        <f>IFERROR(LT42/LT43,"")</f>
        <v/>
      </c>
      <c r="LU44" s="38" t="str">
        <f>IFERROR(LU42/LU43,"")</f>
        <v/>
      </c>
      <c r="LV44" s="38" t="str">
        <f>IFERROR(LV42/LV43,"")</f>
        <v/>
      </c>
      <c r="LW44" s="38" t="str">
        <f>IFERROR(LW42/LW43,"")</f>
        <v/>
      </c>
      <c r="LX44" s="38" t="str">
        <f>IFERROR(LX42/LX43,"")</f>
        <v/>
      </c>
      <c r="LY44" s="38"/>
      <c r="LZ44" s="38" t="str">
        <f>IFERROR(LZ42/LZ43,"")</f>
        <v/>
      </c>
      <c r="MA44" s="38" t="str">
        <f>IFERROR(MA42/MA43,"")</f>
        <v/>
      </c>
      <c r="MB44" s="38"/>
      <c r="MC44" s="38" t="str">
        <f>IFERROR(MC42/MC43,"")</f>
        <v/>
      </c>
      <c r="MD44" s="38" t="str">
        <f>IFERROR(MD42/MD43,"")</f>
        <v/>
      </c>
      <c r="ME44" s="38"/>
      <c r="MF44" s="38"/>
      <c r="MG44" s="38" t="str">
        <f>IFERROR(MG42/MG43,"")</f>
        <v/>
      </c>
      <c r="MH44" s="38" t="str">
        <f>IFERROR(MH42/MH43,"")</f>
        <v/>
      </c>
      <c r="MI44" s="38" t="str">
        <f>IFERROR(MI42/MI43,"")</f>
        <v/>
      </c>
      <c r="MJ44" s="38" t="str">
        <f>IFERROR(MJ42/MJ43,"")</f>
        <v/>
      </c>
      <c r="MK44" s="38"/>
      <c r="ML44" s="38" t="str">
        <f>IFERROR(ML42/ML43,"")</f>
        <v/>
      </c>
      <c r="MM44" s="38" t="str">
        <f>IFERROR(MM42/MM43,"")</f>
        <v/>
      </c>
      <c r="MN44" s="38" t="str">
        <f>IFERROR(MN42/MN43,"")</f>
        <v/>
      </c>
      <c r="MO44" s="38" t="str">
        <f>IFERROR(MO42/MO43,"")</f>
        <v/>
      </c>
      <c r="MP44" s="38" t="str">
        <f>IFERROR(MP42/MP43,"")</f>
        <v/>
      </c>
      <c r="MQ44" s="38"/>
      <c r="MR44" s="38" t="str">
        <f t="shared" ref="MR44:NC44" si="180">IFERROR(MR42/MR43,"")</f>
        <v/>
      </c>
      <c r="MS44" s="38" t="str">
        <f t="shared" si="180"/>
        <v/>
      </c>
      <c r="MT44" s="38" t="str">
        <f t="shared" si="180"/>
        <v/>
      </c>
      <c r="MU44" s="38" t="str">
        <f t="shared" si="180"/>
        <v/>
      </c>
      <c r="MV44" s="38" t="str">
        <f t="shared" si="180"/>
        <v/>
      </c>
      <c r="MW44" s="38" t="str">
        <f t="shared" si="180"/>
        <v/>
      </c>
      <c r="MX44" s="38" t="str">
        <f t="shared" si="180"/>
        <v/>
      </c>
      <c r="MY44" s="38" t="str">
        <f t="shared" si="180"/>
        <v/>
      </c>
      <c r="MZ44" s="38" t="str">
        <f t="shared" si="180"/>
        <v/>
      </c>
      <c r="NA44" s="38" t="str">
        <f t="shared" si="180"/>
        <v/>
      </c>
      <c r="NB44" s="38" t="str">
        <f t="shared" si="180"/>
        <v/>
      </c>
      <c r="NC44" s="38" t="str">
        <f t="shared" si="180"/>
        <v/>
      </c>
      <c r="ND44" s="38"/>
      <c r="NE44" s="38" t="str">
        <f>IFERROR(NE42/NE43,"")</f>
        <v/>
      </c>
      <c r="NF44" s="38" t="str">
        <f>IFERROR(NF42/NF43,"")</f>
        <v/>
      </c>
      <c r="NG44" s="38" t="str">
        <f>IFERROR(NG42/NG43,"")</f>
        <v/>
      </c>
      <c r="NH44" s="38"/>
      <c r="NI44" s="38" t="str">
        <f>IFERROR(NI42/NI43,"")</f>
        <v/>
      </c>
      <c r="NJ44" s="38"/>
      <c r="NK44" s="38" t="str">
        <f>IFERROR(NK42/NK43,"")</f>
        <v/>
      </c>
      <c r="NL44" s="38"/>
      <c r="NM44" s="38" t="str">
        <f>IFERROR(NM42/NM43,"")</f>
        <v/>
      </c>
      <c r="NN44" s="38"/>
      <c r="NO44" s="38" t="str">
        <f>IFERROR(NO42/NO43,"")</f>
        <v/>
      </c>
      <c r="NP44" s="38"/>
      <c r="NQ44" s="38" t="str">
        <f>IFERROR(NQ42/NQ43,"")</f>
        <v/>
      </c>
      <c r="NR44" s="38"/>
      <c r="NS44" s="38" t="str">
        <f>IFERROR(NS42/NS43,"")</f>
        <v/>
      </c>
      <c r="NT44" s="38" t="str">
        <f>IFERROR(NT42/NT43,"")</f>
        <v/>
      </c>
      <c r="NU44" s="38"/>
      <c r="NV44" s="38" t="str">
        <f>IFERROR(NV42/NV43,"")</f>
        <v/>
      </c>
      <c r="NW44" s="38"/>
      <c r="NX44" s="38" t="str">
        <f>IFERROR(NX42/NX43,"")</f>
        <v/>
      </c>
      <c r="NY44" s="38"/>
      <c r="NZ44" s="38" t="str">
        <f>IFERROR(NZ42/NZ43,"")</f>
        <v/>
      </c>
      <c r="OA44" s="38"/>
      <c r="OB44" s="38" t="str">
        <f>IFERROR(OB42/OB43,"")</f>
        <v/>
      </c>
      <c r="OC44" s="38"/>
      <c r="OD44" s="38" t="str">
        <f>IFERROR(OD42/OD43,"")</f>
        <v/>
      </c>
      <c r="OE44" s="38"/>
      <c r="OF44" s="38" t="str">
        <f>IFERROR(OF42/OF43,"")</f>
        <v/>
      </c>
      <c r="OG44" s="38" t="str">
        <f>IFERROR(OG42/OG43,"")</f>
        <v/>
      </c>
      <c r="OH44" s="38"/>
      <c r="OI44" s="38" t="str">
        <f>IFERROR(OI42/OI43,"")</f>
        <v/>
      </c>
      <c r="OJ44" s="38"/>
      <c r="OK44" s="38" t="str">
        <f>IFERROR(OK42/OK43,"")</f>
        <v/>
      </c>
      <c r="OL44" s="38"/>
      <c r="OM44" s="38" t="str">
        <f>IFERROR(OM42/OM43,"")</f>
        <v/>
      </c>
      <c r="ON44" s="38"/>
      <c r="OO44" s="38" t="str">
        <f>IFERROR(OO42/OO43,"")</f>
        <v/>
      </c>
      <c r="OP44" s="38"/>
      <c r="OQ44" s="38" t="str">
        <f>IFERROR(OQ42/OQ43,"")</f>
        <v/>
      </c>
      <c r="OR44" s="38"/>
      <c r="OS44" s="38" t="str">
        <f t="shared" ref="OS44:PK44" si="181">IFERROR(OS42/OS43,"")</f>
        <v/>
      </c>
      <c r="OT44" s="38" t="str">
        <f t="shared" si="181"/>
        <v/>
      </c>
      <c r="OU44" s="38" t="str">
        <f t="shared" si="181"/>
        <v/>
      </c>
      <c r="OV44" s="38" t="str">
        <f t="shared" si="181"/>
        <v/>
      </c>
      <c r="OW44" s="38" t="str">
        <f t="shared" si="181"/>
        <v/>
      </c>
      <c r="OX44" s="38" t="str">
        <f t="shared" si="181"/>
        <v/>
      </c>
      <c r="OY44" s="38" t="str">
        <f t="shared" si="181"/>
        <v/>
      </c>
      <c r="OZ44" s="38" t="str">
        <f t="shared" si="181"/>
        <v/>
      </c>
      <c r="PA44" s="38" t="str">
        <f t="shared" si="181"/>
        <v/>
      </c>
      <c r="PB44" s="38" t="str">
        <f t="shared" si="181"/>
        <v/>
      </c>
      <c r="PC44" s="38" t="str">
        <f t="shared" si="181"/>
        <v/>
      </c>
      <c r="PD44" s="38" t="str">
        <f t="shared" si="181"/>
        <v/>
      </c>
      <c r="PE44" s="38" t="str">
        <f t="shared" si="181"/>
        <v/>
      </c>
      <c r="PF44" s="38" t="str">
        <f t="shared" si="181"/>
        <v/>
      </c>
      <c r="PG44" s="38" t="str">
        <f t="shared" si="181"/>
        <v/>
      </c>
      <c r="PH44" s="38" t="str">
        <f t="shared" si="181"/>
        <v/>
      </c>
      <c r="PI44" s="38" t="str">
        <f t="shared" si="181"/>
        <v/>
      </c>
      <c r="PJ44" s="38" t="str">
        <f t="shared" si="181"/>
        <v/>
      </c>
      <c r="PK44" s="38" t="str">
        <f t="shared" si="181"/>
        <v/>
      </c>
      <c r="PL44" s="38"/>
      <c r="PM44" s="38"/>
      <c r="PN44" s="38" t="str">
        <f t="shared" ref="PN44:PS44" si="182">IFERROR(PN42/PN43,"")</f>
        <v/>
      </c>
      <c r="PO44" s="38" t="str">
        <f t="shared" si="182"/>
        <v/>
      </c>
      <c r="PP44" s="38" t="str">
        <f t="shared" si="182"/>
        <v/>
      </c>
      <c r="PQ44" s="38" t="str">
        <f t="shared" si="182"/>
        <v/>
      </c>
      <c r="PR44" s="38" t="str">
        <f t="shared" si="182"/>
        <v/>
      </c>
      <c r="PS44" s="38" t="str">
        <f t="shared" si="182"/>
        <v/>
      </c>
      <c r="PT44" s="38"/>
      <c r="PU44" s="38"/>
      <c r="PV44" s="38" t="str">
        <f>IFERROR(PV42/PV43,"")</f>
        <v/>
      </c>
      <c r="PW44" s="38"/>
      <c r="PX44" s="38" t="str">
        <f>IFERROR(PX42/PX43,"")</f>
        <v/>
      </c>
      <c r="PY44" s="38"/>
      <c r="PZ44" s="38" t="str">
        <f>IFERROR(PZ42/PZ43,"")</f>
        <v/>
      </c>
      <c r="QA44" s="38" t="str">
        <f>IFERROR(QA42/QA43,"")</f>
        <v/>
      </c>
      <c r="QB44" s="38"/>
      <c r="QC44" s="38"/>
      <c r="QD44" s="38"/>
      <c r="QE44" s="38"/>
      <c r="QF44" s="38"/>
      <c r="QG44" s="38" t="str">
        <f>IFERROR(QG42/QG43,"")</f>
        <v/>
      </c>
      <c r="RY44" s="1"/>
    </row>
    <row r="45" spans="1:502">
      <c r="D45" s="1"/>
      <c r="O45" t="e">
        <f ca="1">IF(VALUE(MONTH(DATEVALUE(MID(CELL("filename",A1),FIND("]",CELL("filename",A1))+1,255)&amp;"1")))&lt;&gt;MONTH(TODAY()),O43/(DAY(EOMONTH(DATE(YEAR(TODAY()),VALUE(MONTH(DATEVALUE(MID(CELL("filename",A1),FIND("]",CELL("filename",A1))+1,255)&amp;"1"))),1),0))),(O43-O42)/('[1]Summary TCM'!$AB$140-DAY(TODAY()-1)))</f>
        <v>#VALUE!</v>
      </c>
      <c r="P45" t="e">
        <f ca="1">IF(VALUE(MONTH(DATEVALUE(MID(CELL("filename",B1),FIND("]",CELL("filename",B1))+1,255)&amp;"1")))&lt;&gt;MONTH(TODAY()),P43/(DAY(EOMONTH(DATE(YEAR(TODAY()),VALUE(MONTH(DATEVALUE(MID(CELL("filename",B1),FIND("]",CELL("filename",B1))+1,255)&amp;"1"))),1),0))),(P43-P42)/('[1]Summary TCM'!$AB$140-DAY(TODAY()-1)))</f>
        <v>#VALUE!</v>
      </c>
      <c r="Q45" t="e">
        <f ca="1">IF(VALUE(MONTH(DATEVALUE(MID(CELL("filename",C1),FIND("]",CELL("filename",C1))+1,255)&amp;"1")))&lt;&gt;MONTH(TODAY()),Q43/(DAY(EOMONTH(DATE(YEAR(TODAY()),VALUE(MONTH(DATEVALUE(MID(CELL("filename",C1),FIND("]",CELL("filename",C1))+1,255)&amp;"1"))),1),0))),(Q43-Q42)/('[1]Summary TCM'!$AB$140-DAY(TODAY()-1)))</f>
        <v>#VALUE!</v>
      </c>
      <c r="R45" t="e">
        <f ca="1">IF(VALUE(MONTH(DATEVALUE(MID(CELL("filename",D1),FIND("]",CELL("filename",D1))+1,255)&amp;"1")))&lt;&gt;MONTH(TODAY()),R43/(DAY(EOMONTH(DATE(YEAR(TODAY()),VALUE(MONTH(DATEVALUE(MID(CELL("filename",D1),FIND("]",CELL("filename",D1))+1,255)&amp;"1"))),1),0))),(R43-R42)/('[1]Summary TCM'!$AB$140-DAY(TODAY()-1)))</f>
        <v>#VALUE!</v>
      </c>
      <c r="S45" s="72" t="e">
        <f ca="1">SUM(BF45,BI45,BL45,BY45)</f>
        <v>#VALUE!</v>
      </c>
      <c r="T45" t="e">
        <f ca="1">IF(VALUE(MONTH(DATEVALUE(MID(CELL("filename",H1),FIND("]",CELL("filename",H1))+1,255)&amp;"1")))&lt;&gt;MONTH(TODAY()),T43/(DAY(EOMONTH(DATE(YEAR(TODAY()),VALUE(MONTH(DATEVALUE(MID(CELL("filename",H1),FIND("]",CELL("filename",H1))+1,255)&amp;"1"))),1),0))),(T43-T42)/('[1]Summary TCM'!$AB$140-DAY(TODAY()-1)))</f>
        <v>#VALUE!</v>
      </c>
      <c r="U45" t="e">
        <f ca="1">IF(VALUE(MONTH(DATEVALUE(MID(CELL("filename",I1),FIND("]",CELL("filename",I1))+1,255)&amp;"1")))&lt;&gt;MONTH(TODAY()),U43/(DAY(EOMONTH(DATE(YEAR(TODAY()),VALUE(MONTH(DATEVALUE(MID(CELL("filename",I1),FIND("]",CELL("filename",I1))+1,255)&amp;"1"))),1),0))),(U43-U42)/('[1]Summary TCM'!$AB$140-DAY(TODAY()-1)))</f>
        <v>#VALUE!</v>
      </c>
      <c r="V45" t="e">
        <f ca="1">IF(VALUE(MONTH(DATEVALUE(MID(CELL("filename",L1),FIND("]",CELL("filename",L1))+1,255)&amp;"1")))&lt;&gt;MONTH(TODAY()),V43/(DAY(EOMONTH(DATE(YEAR(TODAY()),VALUE(MONTH(DATEVALUE(MID(CELL("filename",L1),FIND("]",CELL("filename",L1))+1,255)&amp;"1"))),1),0))),(V43-V42)/('[1]Summary TCM'!$AB$140-DAY(TODAY()-1)))</f>
        <v>#VALUE!</v>
      </c>
      <c r="W45" t="e">
        <f ca="1">IF(VALUE(MONTH(DATEVALUE(MID(CELL("filename",M1),FIND("]",CELL("filename",M1))+1,255)&amp;"1")))&lt;&gt;MONTH(TODAY()),W43/(DAY(EOMONTH(DATE(YEAR(TODAY()),VALUE(MONTH(DATEVALUE(MID(CELL("filename",M1),FIND("]",CELL("filename",M1))+1,255)&amp;"1"))),1),0))),(W43-W42)/('[1]Summary TCM'!$AB$140-DAY(TODAY()-1)))</f>
        <v>#VALUE!</v>
      </c>
      <c r="X45" t="e">
        <f ca="1">IF(VALUE(MONTH(DATEVALUE(MID(CELL("filename",N1),FIND("]",CELL("filename",N1))+1,255)&amp;"1")))&lt;&gt;MONTH(TODAY()),X43/(DAY(EOMONTH(DATE(YEAR(TODAY()),VALUE(MONTH(DATEVALUE(MID(CELL("filename",N1),FIND("]",CELL("filename",N1))+1,255)&amp;"1"))),1),0))),(X43-X42)/('[1]Summary TCM'!$AB$140-DAY(TODAY()-1)))</f>
        <v>#VALUE!</v>
      </c>
      <c r="Y45" t="e">
        <f ca="1">IF(VALUE(MONTH(DATEVALUE(MID(CELL("filename",O1),FIND("]",CELL("filename",O1))+1,255)&amp;"1")))&lt;&gt;MONTH(TODAY()),Y43/(DAY(EOMONTH(DATE(YEAR(TODAY()),VALUE(MONTH(DATEVALUE(MID(CELL("filename",O1),FIND("]",CELL("filename",O1))+1,255)&amp;"1"))),1),0))),(Y43-Y42)/('[1]Summary TCM'!$AB$140-DAY(TODAY()-1)))</f>
        <v>#VALUE!</v>
      </c>
      <c r="Z45" t="e">
        <f ca="1">IF(VALUE(MONTH(DATEVALUE(MID(CELL("filename",P1),FIND("]",CELL("filename",P1))+1,255)&amp;"1")))&lt;&gt;MONTH(TODAY()),Z43/(DAY(EOMONTH(DATE(YEAR(TODAY()),VALUE(MONTH(DATEVALUE(MID(CELL("filename",P1),FIND("]",CELL("filename",P1))+1,255)&amp;"1"))),1),0))),(Z43-Z42)/('[1]Summary TCM'!$AB$140-DAY(TODAY()-1)))</f>
        <v>#VALUE!</v>
      </c>
      <c r="AE45" t="e">
        <f ca="1">IF(VALUE(MONTH(DATEVALUE(MID(CELL("filename",Q1),FIND("]",CELL("filename",Q1))+1,255)&amp;"1")))&lt;&gt;MONTH(TODAY()),AE43/(DAY(EOMONTH(DATE(YEAR(TODAY()),VALUE(MONTH(DATEVALUE(MID(CELL("filename",Q1),FIND("]",CELL("filename",Q1))+1,255)&amp;"1"))),1),0))),(AE43-AE42)/('[1]Summary TCM'!$AB$140-DAY(TODAY()-1)))</f>
        <v>#VALUE!</v>
      </c>
      <c r="AF45" t="e">
        <f ca="1">IF(VALUE(MONTH(DATEVALUE(MID(CELL("filename",R1),FIND("]",CELL("filename",R1))+1,255)&amp;"1")))&lt;&gt;MONTH(TODAY()),AF43/(DAY(EOMONTH(DATE(YEAR(TODAY()),VALUE(MONTH(DATEVALUE(MID(CELL("filename",R1),FIND("]",CELL("filename",R1))+1,255)&amp;"1"))),1),0))),(AF43-AF42)/('[1]Summary TCM'!$AB$140-DAY(TODAY()-1)))</f>
        <v>#VALUE!</v>
      </c>
      <c r="AG45" t="e">
        <f ca="1">IF(VALUE(MONTH(DATEVALUE(MID(CELL("filename",S1),FIND("]",CELL("filename",S1))+1,255)&amp;"1")))&lt;&gt;MONTH(TODAY()),AG43/(DAY(EOMONTH(DATE(YEAR(TODAY()),VALUE(MONTH(DATEVALUE(MID(CELL("filename",S1),FIND("]",CELL("filename",S1))+1,255)&amp;"1"))),1),0))),(AG43-AG42)/('[1]Summary TCM'!$AB$140-DAY(TODAY()-1)))</f>
        <v>#VALUE!</v>
      </c>
      <c r="AH45" t="e">
        <f ca="1">IF(VALUE(MONTH(DATEVALUE(MID(CELL("filename",T1),FIND("]",CELL("filename",T1))+1,255)&amp;"1")))&lt;&gt;MONTH(TODAY()),AH43/(DAY(EOMONTH(DATE(YEAR(TODAY()),VALUE(MONTH(DATEVALUE(MID(CELL("filename",T1),FIND("]",CELL("filename",T1))+1,255)&amp;"1"))),1),0))),(AH43-AH42)/('[1]Summary TCM'!$AB$140-DAY(TODAY()-1)))</f>
        <v>#VALUE!</v>
      </c>
      <c r="AI45" t="e">
        <f ca="1">IF(VALUE(MONTH(DATEVALUE(MID(CELL("filename",U1),FIND("]",CELL("filename",U1))+1,255)&amp;"1")))&lt;&gt;MONTH(TODAY()),AI43/(DAY(EOMONTH(DATE(YEAR(TODAY()),VALUE(MONTH(DATEVALUE(MID(CELL("filename",U1),FIND("]",CELL("filename",U1))+1,255)&amp;"1"))),1),0))),(AI43-AI42)/('[1]Summary TCM'!$AB$140-DAY(TODAY()-1)))</f>
        <v>#VALUE!</v>
      </c>
      <c r="AJ45" t="e">
        <f ca="1">IF(VALUE(MONTH(DATEVALUE(MID(CELL("filename",V1),FIND("]",CELL("filename",V1))+1,255)&amp;"1")))&lt;&gt;MONTH(TODAY()),AJ43/(DAY(EOMONTH(DATE(YEAR(TODAY()),VALUE(MONTH(DATEVALUE(MID(CELL("filename",V1),FIND("]",CELL("filename",V1))+1,255)&amp;"1"))),1),0))),(AJ43-AJ42)/('[1]Summary TCM'!$AB$140-DAY(TODAY()-1)))</f>
        <v>#VALUE!</v>
      </c>
      <c r="AK45" t="e">
        <f ca="1">IF(VALUE(MONTH(DATEVALUE(MID(CELL("filename",W1),FIND("]",CELL("filename",W1))+1,255)&amp;"1")))&lt;&gt;MONTH(TODAY()),AK43/(DAY(EOMONTH(DATE(YEAR(TODAY()),VALUE(MONTH(DATEVALUE(MID(CELL("filename",W1),FIND("]",CELL("filename",W1))+1,255)&amp;"1"))),1),0))),(AK43-AK42)/('[1]Summary TCM'!$AB$140-DAY(TODAY()-1)))</f>
        <v>#VALUE!</v>
      </c>
      <c r="AL45" t="e">
        <f ca="1">IF(VALUE(MONTH(DATEVALUE(MID(CELL("filename",X1),FIND("]",CELL("filename",X1))+1,255)&amp;"1")))&lt;&gt;MONTH(TODAY()),AL43/(DAY(EOMONTH(DATE(YEAR(TODAY()),VALUE(MONTH(DATEVALUE(MID(CELL("filename",X1),FIND("]",CELL("filename",X1))+1,255)&amp;"1"))),1),0))),(AL43-AL42)/('[1]Summary TCM'!$AB$140-DAY(TODAY()-1)))</f>
        <v>#VALUE!</v>
      </c>
      <c r="AN45" t="e">
        <f ca="1">IF(VALUE(MONTH(DATEVALUE(MID(CELL("filename",Z1),FIND("]",CELL("filename",Z1))+1,255)&amp;"1")))&lt;&gt;MONTH(TODAY()),AN43/(DAY(EOMONTH(DATE(YEAR(TODAY()),VALUE(MONTH(DATEVALUE(MID(CELL("filename",Z1),FIND("]",CELL("filename",Z1))+1,255)&amp;"1"))),1),0))),(AN43-AN42)/('[1]Summary TCM'!$AB$140-DAY(TODAY()-1)))</f>
        <v>#VALUE!</v>
      </c>
      <c r="AO45" t="e">
        <f ca="1">IF(VALUE(MONTH(DATEVALUE(MID(CELL("filename",AE1),FIND("]",CELL("filename",AE1))+1,255)&amp;"1")))&lt;&gt;MONTH(TODAY()),AO43/(DAY(EOMONTH(DATE(YEAR(TODAY()),VALUE(MONTH(DATEVALUE(MID(CELL("filename",AE1),FIND("]",CELL("filename",AE1))+1,255)&amp;"1"))),1),0))),(AO43-AO42)/('[1]Summary TCM'!$AB$140-DAY(TODAY()-1)))</f>
        <v>#VALUE!</v>
      </c>
      <c r="AP45" t="e">
        <f ca="1">IF(VALUE(MONTH(DATEVALUE(MID(CELL("filename",AF1),FIND("]",CELL("filename",AF1))+1,255)&amp;"1")))&lt;&gt;MONTH(TODAY()),AP43/(DAY(EOMONTH(DATE(YEAR(TODAY()),VALUE(MONTH(DATEVALUE(MID(CELL("filename",AF1),FIND("]",CELL("filename",AF1))+1,255)&amp;"1"))),1),0))),(AP43-AP42)/('[1]Summary TCM'!$AB$140-DAY(TODAY()-1)))</f>
        <v>#VALUE!</v>
      </c>
      <c r="AQ45" t="e">
        <f ca="1">IF(VALUE(MONTH(DATEVALUE(MID(CELL("filename",AG1),FIND("]",CELL("filename",AG1))+1,255)&amp;"1")))&lt;&gt;MONTH(TODAY()),AQ43/(DAY(EOMONTH(DATE(YEAR(TODAY()),VALUE(MONTH(DATEVALUE(MID(CELL("filename",AG1),FIND("]",CELL("filename",AG1))+1,255)&amp;"1"))),1),0))),(AQ43-AQ42)/('[1]Summary TCM'!$AB$140-DAY(TODAY()-1)))</f>
        <v>#VALUE!</v>
      </c>
      <c r="AR45" t="e">
        <f ca="1">IF(VALUE(MONTH(DATEVALUE(MID(CELL("filename",AH1),FIND("]",CELL("filename",AH1))+1,255)&amp;"1")))&lt;&gt;MONTH(TODAY()),AR43/(DAY(EOMONTH(DATE(YEAR(TODAY()),VALUE(MONTH(DATEVALUE(MID(CELL("filename",AH1),FIND("]",CELL("filename",AH1))+1,255)&amp;"1"))),1),0))),(AR43-AR42)/('[1]Summary TCM'!$AB$140-DAY(TODAY()-1)))</f>
        <v>#VALUE!</v>
      </c>
      <c r="AS45" t="e">
        <f ca="1">IF(VALUE(MONTH(DATEVALUE(MID(CELL("filename",AI1),FIND("]",CELL("filename",AI1))+1,255)&amp;"1")))&lt;&gt;MONTH(TODAY()),AS43/(DAY(EOMONTH(DATE(YEAR(TODAY()),VALUE(MONTH(DATEVALUE(MID(CELL("filename",AI1),FIND("]",CELL("filename",AI1))+1,255)&amp;"1"))),1),0))),(AS43-AS42)/('[1]Summary TCM'!$AB$140-DAY(TODAY()-1)))</f>
        <v>#VALUE!</v>
      </c>
      <c r="AT45" t="e">
        <f ca="1">IF(VALUE(MONTH(DATEVALUE(MID(CELL("filename",AJ1),FIND("]",CELL("filename",AJ1))+1,255)&amp;"1")))&lt;&gt;MONTH(TODAY()),AT43/(DAY(EOMONTH(DATE(YEAR(TODAY()),VALUE(MONTH(DATEVALUE(MID(CELL("filename",AJ1),FIND("]",CELL("filename",AJ1))+1,255)&amp;"1"))),1),0))),(AT43-AT42)/('[1]Summary TCM'!$AB$140-DAY(TODAY()-1)))</f>
        <v>#VALUE!</v>
      </c>
      <c r="AU45" t="e">
        <f ca="1">IF(VALUE(MONTH(DATEVALUE(MID(CELL("filename",AK1),FIND("]",CELL("filename",AK1))+1,255)&amp;"1")))&lt;&gt;MONTH(TODAY()),AU43/(DAY(EOMONTH(DATE(YEAR(TODAY()),VALUE(MONTH(DATEVALUE(MID(CELL("filename",AK1),FIND("]",CELL("filename",AK1))+1,255)&amp;"1"))),1),0))),(AU43-AU42)/('[1]Summary TCM'!$AB$140-DAY(TODAY()-1)))</f>
        <v>#VALUE!</v>
      </c>
      <c r="AV45" t="e">
        <f ca="1">IF(VALUE(MONTH(DATEVALUE(MID(CELL("filename",AL1),FIND("]",CELL("filename",AL1))+1,255)&amp;"1")))&lt;&gt;MONTH(TODAY()),AV43/(DAY(EOMONTH(DATE(YEAR(TODAY()),VALUE(MONTH(DATEVALUE(MID(CELL("filename",AL1),FIND("]",CELL("filename",AL1))+1,255)&amp;"1"))),1),0))),(AV43-AV42)/('[1]Summary TCM'!$AB$140-DAY(TODAY()-1)))</f>
        <v>#VALUE!</v>
      </c>
      <c r="AW45" t="e">
        <f ca="1">IF(VALUE(MONTH(DATEVALUE(MID(CELL("filename",AM1),FIND("]",CELL("filename",AM1))+1,255)&amp;"1")))&lt;&gt;MONTH(TODAY()),AW43/(DAY(EOMONTH(DATE(YEAR(TODAY()),VALUE(MONTH(DATEVALUE(MID(CELL("filename",AM1),FIND("]",CELL("filename",AM1))+1,255)&amp;"1"))),1),0))),(AW43-AW42)/('[1]Summary TCM'!$AB$140-DAY(TODAY()-1)))</f>
        <v>#VALUE!</v>
      </c>
      <c r="AX45" t="e">
        <f ca="1">IF(VALUE(MONTH(DATEVALUE(MID(CELL("filename",AN1),FIND("]",CELL("filename",AN1))+1,255)&amp;"1")))&lt;&gt;MONTH(TODAY()),AX43/(DAY(EOMONTH(DATE(YEAR(TODAY()),VALUE(MONTH(DATEVALUE(MID(CELL("filename",AN1),FIND("]",CELL("filename",AN1))+1,255)&amp;"1"))),1),0))),(AX43-AX42)/('[1]Summary TCM'!$AB$140-DAY(TODAY()-1)))</f>
        <v>#VALUE!</v>
      </c>
      <c r="AY45" t="e">
        <f ca="1">IF(VALUE(MONTH(DATEVALUE(MID(CELL("filename",AO1),FIND("]",CELL("filename",AO1))+1,255)&amp;"1")))&lt;&gt;MONTH(TODAY()),AY43/(DAY(EOMONTH(DATE(YEAR(TODAY()),VALUE(MONTH(DATEVALUE(MID(CELL("filename",AO1),FIND("]",CELL("filename",AO1))+1,255)&amp;"1"))),1),0))),(AY43-AY42)/('[1]Summary TCM'!$AB$140-DAY(TODAY()-1)))</f>
        <v>#VALUE!</v>
      </c>
      <c r="AZ45" t="e">
        <f ca="1">IF(VALUE(MONTH(DATEVALUE(MID(CELL("filename",AP1),FIND("]",CELL("filename",AP1))+1,255)&amp;"1")))&lt;&gt;MONTH(TODAY()),AZ43/(DAY(EOMONTH(DATE(YEAR(TODAY()),VALUE(MONTH(DATEVALUE(MID(CELL("filename",AP1),FIND("]",CELL("filename",AP1))+1,255)&amp;"1"))),1),0))),(AZ43-AZ42)/('[1]Summary TCM'!$AB$140-DAY(TODAY()-1)))</f>
        <v>#VALUE!</v>
      </c>
      <c r="BA45" t="e">
        <f ca="1">IF(VALUE(MONTH(DATEVALUE(MID(CELL("filename",AQ1),FIND("]",CELL("filename",AQ1))+1,255)&amp;"1")))&lt;&gt;MONTH(TODAY()),BA43/(DAY(EOMONTH(DATE(YEAR(TODAY()),VALUE(MONTH(DATEVALUE(MID(CELL("filename",AQ1),FIND("]",CELL("filename",AQ1))+1,255)&amp;"1"))),1),0))),(BA43-BA42)/('[1]Summary TCM'!$AB$140-DAY(TODAY()-1)))</f>
        <v>#VALUE!</v>
      </c>
      <c r="BB45" t="e">
        <f ca="1">IF(VALUE(MONTH(DATEVALUE(MID(CELL("filename",AR1),FIND("]",CELL("filename",AR1))+1,255)&amp;"1")))&lt;&gt;MONTH(TODAY()),BB43/(DAY(EOMONTH(DATE(YEAR(TODAY()),VALUE(MONTH(DATEVALUE(MID(CELL("filename",AR1),FIND("]",CELL("filename",AR1))+1,255)&amp;"1"))),1),0))),(BB43-BB42)/('[1]Summary TCM'!$AB$140-DAY(TODAY()-1)))</f>
        <v>#VALUE!</v>
      </c>
      <c r="BC45" t="e">
        <f ca="1">IF(VALUE(MONTH(DATEVALUE(MID(CELL("filename",AS1),FIND("]",CELL("filename",AS1))+1,255)&amp;"1")))&lt;&gt;MONTH(TODAY()),BC43/(DAY(EOMONTH(DATE(YEAR(TODAY()),VALUE(MONTH(DATEVALUE(MID(CELL("filename",AS1),FIND("]",CELL("filename",AS1))+1,255)&amp;"1"))),1),0))),(BC43-BC42)/('[1]Summary TCM'!$AB$140-DAY(TODAY()-1)))</f>
        <v>#VALUE!</v>
      </c>
      <c r="BD45" t="e">
        <f ca="1">IF(VALUE(MONTH(DATEVALUE(MID(CELL("filename",AT1),FIND("]",CELL("filename",AT1))+1,255)&amp;"1")))&lt;&gt;MONTH(TODAY()),BD43/(DAY(EOMONTH(DATE(YEAR(TODAY()),VALUE(MONTH(DATEVALUE(MID(CELL("filename",AT1),FIND("]",CELL("filename",AT1))+1,255)&amp;"1"))),1),0))),(BD43-BD42)/('[1]Summary TCM'!$AB$140-DAY(TODAY()-1)))</f>
        <v>#VALUE!</v>
      </c>
      <c r="BE45" t="e">
        <f ca="1">IF(VALUE(MONTH(DATEVALUE(MID(CELL("filename",AU1),FIND("]",CELL("filename",AU1))+1,255)&amp;"1")))&lt;&gt;MONTH(TODAY()),BE43/(DAY(EOMONTH(DATE(YEAR(TODAY()),VALUE(MONTH(DATEVALUE(MID(CELL("filename",AU1),FIND("]",CELL("filename",AU1))+1,255)&amp;"1"))),1),0))),(BE43-BE42)/('[1]Summary TCM'!$AB$140-DAY(TODAY()-1)))</f>
        <v>#VALUE!</v>
      </c>
      <c r="BF45" t="e">
        <f ca="1">IF(VALUE(MONTH(DATEVALUE(MID(CELL("filename",AV1),FIND("]",CELL("filename",AV1))+1,255)&amp;"1")))&lt;&gt;MONTH(TODAY()),BF43/(DAY(EOMONTH(DATE(YEAR(TODAY()),VALUE(MONTH(DATEVALUE(MID(CELL("filename",AV1),FIND("]",CELL("filename",AV1))+1,255)&amp;"1"))),1),0))),(BF43-BF42)/('[1]Summary TCM'!$AB$140-DAY(TODAY()-1)))</f>
        <v>#VALUE!</v>
      </c>
      <c r="BG45" t="e">
        <f ca="1">IF(VALUE(MONTH(DATEVALUE(MID(CELL("filename",AW1),FIND("]",CELL("filename",AW1))+1,255)&amp;"1")))&lt;&gt;MONTH(TODAY()),BG43/(DAY(EOMONTH(DATE(YEAR(TODAY()),VALUE(MONTH(DATEVALUE(MID(CELL("filename",AW1),FIND("]",CELL("filename",AW1))+1,255)&amp;"1"))),1),0))),(BG43-BG42)/('[1]Summary TCM'!$AB$140-DAY(TODAY()-1)))</f>
        <v>#VALUE!</v>
      </c>
      <c r="BH45" t="e">
        <f ca="1">IF(VALUE(MONTH(DATEVALUE(MID(CELL("filename",AX1),FIND("]",CELL("filename",AX1))+1,255)&amp;"1")))&lt;&gt;MONTH(TODAY()),BH43/(DAY(EOMONTH(DATE(YEAR(TODAY()),VALUE(MONTH(DATEVALUE(MID(CELL("filename",AX1),FIND("]",CELL("filename",AX1))+1,255)&amp;"1"))),1),0))),(BH43-BH42)/('[1]Summary TCM'!$AB$140-DAY(TODAY()-1)))</f>
        <v>#VALUE!</v>
      </c>
      <c r="BI45" t="e">
        <f ca="1">IF(VALUE(MONTH(DATEVALUE(MID(CELL("filename",AY1),FIND("]",CELL("filename",AY1))+1,255)&amp;"1")))&lt;&gt;MONTH(TODAY()),BI43/(DAY(EOMONTH(DATE(YEAR(TODAY()),VALUE(MONTH(DATEVALUE(MID(CELL("filename",AY1),FIND("]",CELL("filename",AY1))+1,255)&amp;"1"))),1),0))),(BI43-BI42)/('[1]Summary TCM'!$AB$140-DAY(TODAY()-1)))</f>
        <v>#VALUE!</v>
      </c>
      <c r="BJ45" t="e">
        <f ca="1">IF(VALUE(MONTH(DATEVALUE(MID(CELL("filename",AZ1),FIND("]",CELL("filename",AZ1))+1,255)&amp;"1")))&lt;&gt;MONTH(TODAY()),BJ43/(DAY(EOMONTH(DATE(YEAR(TODAY()),VALUE(MONTH(DATEVALUE(MID(CELL("filename",AZ1),FIND("]",CELL("filename",AZ1))+1,255)&amp;"1"))),1),0))),(BJ43-BJ42)/('[1]Summary TCM'!$AB$140-DAY(TODAY()-1)))</f>
        <v>#VALUE!</v>
      </c>
      <c r="BK45" t="e">
        <f ca="1">IF(VALUE(MONTH(DATEVALUE(MID(CELL("filename",BA1),FIND("]",CELL("filename",BA1))+1,255)&amp;"1")))&lt;&gt;MONTH(TODAY()),BK43/(DAY(EOMONTH(DATE(YEAR(TODAY()),VALUE(MONTH(DATEVALUE(MID(CELL("filename",BA1),FIND("]",CELL("filename",BA1))+1,255)&amp;"1"))),1),0))),(BK43-BK42)/('[1]Summary TCM'!$AB$140-DAY(TODAY()-1)))</f>
        <v>#VALUE!</v>
      </c>
      <c r="BL45" t="e">
        <f ca="1">IF(VALUE(MONTH(DATEVALUE(MID(CELL("filename",BB1),FIND("]",CELL("filename",BB1))+1,255)&amp;"1")))&lt;&gt;MONTH(TODAY()),BL43/(DAY(EOMONTH(DATE(YEAR(TODAY()),VALUE(MONTH(DATEVALUE(MID(CELL("filename",BB1),FIND("]",CELL("filename",BB1))+1,255)&amp;"1"))),1),0))),(BL43-BL42)/('[1]Summary TCM'!$AB$140-DAY(TODAY()-1)))</f>
        <v>#VALUE!</v>
      </c>
      <c r="BM45" t="e">
        <f ca="1">IF(VALUE(MONTH(DATEVALUE(MID(CELL("filename",BC1),FIND("]",CELL("filename",BC1))+1,255)&amp;"1")))&lt;&gt;MONTH(TODAY()),BM43/(DAY(EOMONTH(DATE(YEAR(TODAY()),VALUE(MONTH(DATEVALUE(MID(CELL("filename",BC1),FIND("]",CELL("filename",BC1))+1,255)&amp;"1"))),1),0))),(BM43-BM42)/('[1]Summary TCM'!$AB$140-DAY(TODAY()-1)))</f>
        <v>#VALUE!</v>
      </c>
      <c r="BO45" t="e">
        <f ca="1">IF(VALUE(MONTH(DATEVALUE(MID(CELL("filename",BD1),FIND("]",CELL("filename",BD1))+1,255)&amp;"1")))&lt;&gt;MONTH(TODAY()),BO43/(DAY(EOMONTH(DATE(YEAR(TODAY()),VALUE(MONTH(DATEVALUE(MID(CELL("filename",BD1),FIND("]",CELL("filename",BD1))+1,255)&amp;"1"))),1),0))),(BO43-BO42)/('[1]Summary TCM'!$AB$140-DAY(TODAY()-1)))</f>
        <v>#VALUE!</v>
      </c>
      <c r="BP45" t="e">
        <f ca="1">IF(VALUE(MONTH(DATEVALUE(MID(CELL("filename",BE1),FIND("]",CELL("filename",BE1))+1,255)&amp;"1")))&lt;&gt;MONTH(TODAY()),BQ43/(DAY(EOMONTH(DATE(YEAR(TODAY()),VALUE(MONTH(DATEVALUE(MID(CELL("filename",BE1),FIND("]",CELL("filename",BE1))+1,255)&amp;"1"))),1),0))),(BQ43-BP42)/('[1]Summary TCM'!$AB$140-DAY(TODAY()-1)))</f>
        <v>#VALUE!</v>
      </c>
      <c r="BQ45" t="e">
        <f ca="1">IF(VALUE(MONTH(DATEVALUE(MID(CELL("filename",BF1),FIND("]",CELL("filename",BF1))+1,255)&amp;"1")))&lt;&gt;MONTH(TODAY()),#REF!/(DAY(EOMONTH(DATE(YEAR(TODAY()),VALUE(MONTH(DATEVALUE(MID(CELL("filename",BF1),FIND("]",CELL("filename",BF1))+1,255)&amp;"1"))),1),0))),(#REF!-BQ42)/('[1]Summary TCM'!$AB$140-DAY(TODAY()-1)))</f>
        <v>#VALUE!</v>
      </c>
      <c r="BR45" t="e">
        <f ca="1">IF(VALUE(MONTH(DATEVALUE(MID(CELL("filename",BG1),FIND("]",CELL("filename",BG1))+1,255)&amp;"1")))&lt;&gt;MONTH(TODAY()),BR43/(DAY(EOMONTH(DATE(YEAR(TODAY()),VALUE(MONTH(DATEVALUE(MID(CELL("filename",BG1),FIND("]",CELL("filename",BG1))+1,255)&amp;"1"))),1),0))),(BR43-BR42)/('[1]Summary TCM'!$AB$140-DAY(TODAY()-1)))</f>
        <v>#VALUE!</v>
      </c>
      <c r="BS45" t="e">
        <f ca="1">IF(VALUE(MONTH(DATEVALUE(MID(CELL("filename",BE1),FIND("]",CELL("filename",BE1))+1,255)&amp;"1")))&lt;&gt;MONTH(TODAY()),BS43/(DAY(EOMONTH(DATE(YEAR(TODAY()),VALUE(MONTH(DATEVALUE(MID(CELL("filename",BE1),FIND("]",CELL("filename",BE1))+1,255)&amp;"1"))),1),0))),(BS43-BS42)/('[1]Summary TCM'!$AB$140-DAY(TODAY()-1)))</f>
        <v>#VALUE!</v>
      </c>
      <c r="BT45" t="e">
        <f ca="1">IF(VALUE(MONTH(DATEVALUE(MID(CELL("filename",BF1),FIND("]",CELL("filename",BF1))+1,255)&amp;"1")))&lt;&gt;MONTH(TODAY()),BT43/(DAY(EOMONTH(DATE(YEAR(TODAY()),VALUE(MONTH(DATEVALUE(MID(CELL("filename",BF1),FIND("]",CELL("filename",BF1))+1,255)&amp;"1"))),1),0))),(BT43-BT42)/('[1]Summary TCM'!$AB$140-DAY(TODAY()-1)))</f>
        <v>#VALUE!</v>
      </c>
      <c r="BU45" t="e">
        <f ca="1">IF(VALUE(MONTH(DATEVALUE(MID(CELL("filename",BG1),FIND("]",CELL("filename",BG1))+1,255)&amp;"1")))&lt;&gt;MONTH(TODAY()),BU43/(DAY(EOMONTH(DATE(YEAR(TODAY()),VALUE(MONTH(DATEVALUE(MID(CELL("filename",BG1),FIND("]",CELL("filename",BG1))+1,255)&amp;"1"))),1),0))),(BU43-BU42)/('[1]Summary TCM'!$AB$140-DAY(TODAY()-1)))</f>
        <v>#VALUE!</v>
      </c>
      <c r="BV45" t="e">
        <f ca="1">IF(VALUE(MONTH(DATEVALUE(MID(CELL("filename",BH1),FIND("]",CELL("filename",BH1))+1,255)&amp;"1")))&lt;&gt;MONTH(TODAY()),BV43/(DAY(EOMONTH(DATE(YEAR(TODAY()),VALUE(MONTH(DATEVALUE(MID(CELL("filename",BH1),FIND("]",CELL("filename",BH1))+1,255)&amp;"1"))),1),0))),(BV43-BV42)/('[1]Summary TCM'!$AB$140-DAY(TODAY()-1)))</f>
        <v>#VALUE!</v>
      </c>
      <c r="BW45" t="e">
        <f ca="1">IF(VALUE(MONTH(DATEVALUE(MID(CELL("filename",BI1),FIND("]",CELL("filename",BI1))+1,255)&amp;"1")))&lt;&gt;MONTH(TODAY()),BW43/(DAY(EOMONTH(DATE(YEAR(TODAY()),VALUE(MONTH(DATEVALUE(MID(CELL("filename",BI1),FIND("]",CELL("filename",BI1))+1,255)&amp;"1"))),1),0))),(BW43-BW42)/('[1]Summary TCM'!$AB$140-DAY(TODAY()-1)))</f>
        <v>#VALUE!</v>
      </c>
      <c r="BX45" t="e">
        <f ca="1">IF(VALUE(MONTH(DATEVALUE(MID(CELL("filename",BJ1),FIND("]",CELL("filename",BJ1))+1,255)&amp;"1")))&lt;&gt;MONTH(TODAY()),BX43/(DAY(EOMONTH(DATE(YEAR(TODAY()),VALUE(MONTH(DATEVALUE(MID(CELL("filename",BJ1),FIND("]",CELL("filename",BJ1))+1,255)&amp;"1"))),1),0))),(BX43-BX42)/('[1]Summary TCM'!$AB$140-DAY(TODAY()-1)))</f>
        <v>#VALUE!</v>
      </c>
      <c r="CE45" t="e">
        <f ca="1">IF(VALUE(MONTH(DATEVALUE(MID(CELL("filename",BK1),FIND("]",CELL("filename",BK1))+1,255)&amp;"1")))&lt;&gt;MONTH(TODAY()),CE43/(DAY(EOMONTH(DATE(YEAR(TODAY()),VALUE(MONTH(DATEVALUE(MID(CELL("filename",BK1),FIND("]",CELL("filename",BK1))+1,255)&amp;"1"))),1),0))),(CE43-CE42)/('[1]Summary TCM'!$AB$140-DAY(TODAY()-1)))</f>
        <v>#VALUE!</v>
      </c>
      <c r="CF45" t="e">
        <f ca="1">IF(VALUE(MONTH(DATEVALUE(MID(CELL("filename",BL1),FIND("]",CELL("filename",BL1))+1,255)&amp;"1")))&lt;&gt;MONTH(TODAY()),CF43/(DAY(EOMONTH(DATE(YEAR(TODAY()),VALUE(MONTH(DATEVALUE(MID(CELL("filename",BL1),FIND("]",CELL("filename",BL1))+1,255)&amp;"1"))),1),0))),(CF43-CF42)/('[1]Summary TCM'!$AB$140-DAY(TODAY()-1)))</f>
        <v>#VALUE!</v>
      </c>
      <c r="CG45" t="e">
        <f ca="1">IF(VALUE(MONTH(DATEVALUE(MID(CELL("filename",BM1),FIND("]",CELL("filename",BM1))+1,255)&amp;"1")))&lt;&gt;MONTH(TODAY()),CG43/(DAY(EOMONTH(DATE(YEAR(TODAY()),VALUE(MONTH(DATEVALUE(MID(CELL("filename",BM1),FIND("]",CELL("filename",BM1))+1,255)&amp;"1"))),1),0))),(CG43-CG42)/('[1]Summary TCM'!$AB$140-DAY(TODAY()-1)))</f>
        <v>#VALUE!</v>
      </c>
      <c r="DL45" s="281"/>
      <c r="JO45">
        <f>SUMPRODUCT(JO43:JV43,JO44:JV44)</f>
        <v>0</v>
      </c>
      <c r="JW45">
        <f>SUMPRODUCT(JW43:KD43,JW44:KD44)</f>
        <v>0</v>
      </c>
      <c r="KE45">
        <f>SUMPRODUCT(KE43:KL43,KE44:KL44)</f>
        <v>0</v>
      </c>
      <c r="LX45" s="314"/>
      <c r="LZ45" s="314"/>
      <c r="MB45" s="1"/>
      <c r="OD45" s="95"/>
      <c r="QN45" s="1"/>
      <c r="QO45" s="1"/>
      <c r="QQ45" s="1"/>
      <c r="QR45" s="1"/>
      <c r="RY45" s="1"/>
    </row>
    <row r="46" spans="1:502">
      <c r="D46" s="1"/>
      <c r="E46" s="1"/>
      <c r="F46" s="1"/>
      <c r="G46" s="1"/>
      <c r="H46" s="95"/>
      <c r="I46" s="1"/>
      <c r="AB46" s="887"/>
      <c r="DL46" s="1"/>
      <c r="GQ46" s="887">
        <f>GL41+GM41</f>
        <v>196953.75</v>
      </c>
      <c r="JL46" s="95"/>
      <c r="JM46" s="1"/>
      <c r="LK46" s="330"/>
      <c r="LS46" s="314"/>
      <c r="NO46" s="1"/>
      <c r="NX46" s="1"/>
      <c r="NY46" s="1"/>
      <c r="OD46" s="95"/>
      <c r="RY46" s="1"/>
    </row>
    <row r="47" spans="1:502">
      <c r="C47" s="1"/>
      <c r="D47" s="887"/>
      <c r="E47" s="1"/>
      <c r="F47" s="1"/>
      <c r="G47" s="1"/>
      <c r="H47" s="887"/>
      <c r="I47" s="1"/>
      <c r="P47" s="887"/>
      <c r="T47" s="887"/>
      <c r="AB47" s="887"/>
      <c r="AQ47" s="95"/>
      <c r="AR47" s="95"/>
      <c r="AS47" s="95"/>
      <c r="AT47" s="95"/>
      <c r="AU47" s="95"/>
      <c r="AV47" s="95"/>
      <c r="AW47" s="95"/>
      <c r="AX47" s="95"/>
      <c r="AY47" s="95"/>
      <c r="AZ47" s="95"/>
      <c r="BA47" s="95"/>
      <c r="BB47" s="95"/>
      <c r="BC47" s="95"/>
      <c r="BD47" s="95"/>
      <c r="BE47" s="95"/>
      <c r="BF47" s="95"/>
      <c r="BG47" s="95"/>
      <c r="BH47" s="95"/>
      <c r="BI47" s="95"/>
      <c r="BJ47" s="95"/>
      <c r="BK47" s="95"/>
      <c r="BL47" s="95"/>
      <c r="BM47" s="95"/>
      <c r="BN47" s="95"/>
      <c r="BO47" s="95"/>
      <c r="BP47" s="95">
        <f ca="1">BP47</f>
        <v>0</v>
      </c>
      <c r="BQ47" s="95"/>
      <c r="BR47" s="95"/>
      <c r="BS47" s="95"/>
      <c r="BT47" s="95"/>
      <c r="BU47" s="95"/>
      <c r="BV47" s="95"/>
      <c r="BW47" s="95"/>
      <c r="BX47" s="95"/>
      <c r="BY47" s="95"/>
      <c r="BZ47" s="95"/>
      <c r="CA47" s="95"/>
      <c r="CB47" s="95"/>
      <c r="CC47" s="95"/>
      <c r="CD47" s="95"/>
      <c r="DX47" s="1">
        <f>DW28+DS28</f>
        <v>0</v>
      </c>
      <c r="GN47" s="887"/>
      <c r="GQ47" s="887"/>
      <c r="JI47" s="887"/>
      <c r="JJ47" s="887"/>
      <c r="JL47" s="887">
        <f>JL43-JL41</f>
        <v>2788.4599999999627</v>
      </c>
      <c r="JM47" s="887"/>
      <c r="LI47" s="329"/>
      <c r="LK47" s="1447"/>
      <c r="LL47" s="314"/>
      <c r="LM47" s="314"/>
      <c r="LP47" s="314"/>
      <c r="LQ47" s="314">
        <v>5222.3980000000001</v>
      </c>
      <c r="LS47" s="314"/>
      <c r="NO47" s="1"/>
      <c r="RY47" s="1"/>
    </row>
    <row r="48" spans="1:502" hidden="1">
      <c r="D48" s="887"/>
      <c r="E48" s="1"/>
      <c r="F48" s="1"/>
      <c r="G48" s="1"/>
      <c r="I48" s="95"/>
      <c r="O48" s="887"/>
      <c r="P48" s="887"/>
      <c r="S48" s="887"/>
      <c r="T48" s="887"/>
      <c r="AB48" s="887"/>
      <c r="AC48" s="1"/>
      <c r="AD48" s="1"/>
      <c r="AE48" s="1"/>
      <c r="AQ48" s="887"/>
      <c r="AR48" s="887"/>
      <c r="AW48" s="1">
        <f>AW43-AW42</f>
        <v>-101892.17240000004</v>
      </c>
      <c r="BC48" s="1">
        <f>BC43-BC42</f>
        <v>-62565.157600000035</v>
      </c>
      <c r="BG48" s="887"/>
      <c r="BL48" s="1">
        <f>BL43-BL42</f>
        <v>-129118.66029999999</v>
      </c>
      <c r="BM48" s="887">
        <f>BM43/31</f>
        <v>1612.9032258064517</v>
      </c>
      <c r="BN48" s="887"/>
      <c r="BP48" s="887"/>
      <c r="BQ48" s="887"/>
      <c r="BS48" s="421">
        <f>BS43-BS42</f>
        <v>0</v>
      </c>
      <c r="BT48" s="95"/>
      <c r="BV48" s="1">
        <f>BV43-BV42</f>
        <v>275501.60730000003</v>
      </c>
      <c r="BW48" s="1">
        <f>BW43-BW41</f>
        <v>46640</v>
      </c>
      <c r="BY48" s="1">
        <f>BY43-BY42</f>
        <v>0</v>
      </c>
      <c r="CE48" s="421">
        <f>CE43-CE42</f>
        <v>0</v>
      </c>
      <c r="CH48" s="887"/>
      <c r="IM48" s="1"/>
      <c r="JI48" s="887"/>
      <c r="JJ48" s="887"/>
      <c r="JK48" s="887"/>
      <c r="JM48" s="887"/>
      <c r="JO48" s="2715"/>
      <c r="JP48" s="2715"/>
      <c r="LG48" s="328"/>
      <c r="LH48" s="328"/>
      <c r="LI48" s="331"/>
      <c r="LL48" s="328"/>
      <c r="LM48" s="314"/>
      <c r="LQ48" s="314">
        <v>7444.732</v>
      </c>
      <c r="LS48" s="314"/>
      <c r="NO48" s="1"/>
      <c r="RY48" s="1"/>
    </row>
    <row r="49" spans="2:493" ht="25.2" hidden="1" customHeight="1">
      <c r="D49" s="887"/>
      <c r="O49" s="1">
        <f>O43-O42</f>
        <v>-164457.33000000007</v>
      </c>
      <c r="P49" s="887">
        <f>P43-P41</f>
        <v>-15956.530000000028</v>
      </c>
      <c r="S49" s="887">
        <f>S43-S42</f>
        <v>-129118.66029999999</v>
      </c>
      <c r="T49" s="887">
        <f>T43-T41</f>
        <v>-2029.7076000000088</v>
      </c>
      <c r="X49" s="887">
        <f>X43-X42</f>
        <v>47385.819756645367</v>
      </c>
      <c r="Y49" s="887"/>
      <c r="Z49" s="1"/>
      <c r="AA49" s="887">
        <f>P41+T41+AB41</f>
        <v>237986.23760000005</v>
      </c>
      <c r="AB49" s="887"/>
      <c r="AD49" s="1"/>
      <c r="AE49" s="1"/>
      <c r="BG49" s="887"/>
      <c r="BW49" s="887">
        <f>BW43/31</f>
        <v>2096.7741935483873</v>
      </c>
      <c r="BZ49" s="887"/>
      <c r="DT49" s="1"/>
      <c r="EM49" s="1"/>
      <c r="GY49" s="887">
        <f>GW38-GN38</f>
        <v>0</v>
      </c>
      <c r="JI49" s="887"/>
      <c r="JL49" s="887"/>
      <c r="JM49" s="887"/>
      <c r="LG49" s="306"/>
      <c r="LH49" s="887"/>
      <c r="LI49" s="887"/>
      <c r="LJ49" s="327"/>
      <c r="LM49" s="314"/>
      <c r="LQ49" s="314">
        <v>7339.2969999999996</v>
      </c>
      <c r="NO49" s="1"/>
      <c r="OB49" s="1"/>
      <c r="RY49" s="1"/>
    </row>
    <row r="50" spans="2:493" hidden="1">
      <c r="M50" s="92"/>
      <c r="O50">
        <f>'Summary TCM'!AY21</f>
        <v>2800000</v>
      </c>
      <c r="P50" s="887">
        <f>'Summary TCM'!AY38</f>
        <v>185000</v>
      </c>
      <c r="S50">
        <f>'Summary TCM'!AY25/31</f>
        <v>31290.322580645163</v>
      </c>
      <c r="T50" s="887">
        <f>'Summary TCM'!AY42/31</f>
        <v>1612.9032258064517</v>
      </c>
      <c r="U50" s="887"/>
      <c r="W50">
        <f>'Summary TCM'!AY29+'Summary TCM'!A99</f>
        <v>161396.36215380658</v>
      </c>
      <c r="X50" s="887">
        <f>'Summary TCM'!AY46+'Summary TCM'!AY113</f>
        <v>110000</v>
      </c>
      <c r="AB50" s="887"/>
      <c r="AD50" s="887"/>
      <c r="AX50" s="887"/>
      <c r="BD50" s="887"/>
      <c r="BM50" s="887"/>
      <c r="BN50" s="887"/>
      <c r="BQ50" s="887"/>
      <c r="BW50" s="887"/>
      <c r="GN50" s="1079"/>
      <c r="GS50" s="887">
        <f>GS43/31</f>
        <v>0</v>
      </c>
      <c r="JI50" s="887"/>
      <c r="JL50" s="95"/>
      <c r="JM50" s="887"/>
      <c r="JO50" s="95"/>
      <c r="JQ50" s="887"/>
      <c r="LH50" s="887"/>
      <c r="LI50" s="95"/>
      <c r="LL50" s="314"/>
      <c r="LM50" s="314"/>
      <c r="LY50" s="1078"/>
      <c r="NO50" s="1"/>
      <c r="RY50" s="1"/>
    </row>
    <row r="51" spans="2:493" ht="22.95" hidden="1" customHeight="1">
      <c r="M51" s="39"/>
      <c r="O51" s="1">
        <f>O50/31</f>
        <v>90322.580645161288</v>
      </c>
      <c r="P51" s="887">
        <f>P50/31</f>
        <v>5967.7419354838712</v>
      </c>
      <c r="W51">
        <f>W50/31</f>
        <v>5206.3342630260186</v>
      </c>
      <c r="X51" s="887">
        <f>X50/31</f>
        <v>3548.3870967741937</v>
      </c>
      <c r="Y51" s="887"/>
      <c r="AB51" s="887"/>
      <c r="JL51" s="485"/>
      <c r="LK51" s="95"/>
      <c r="NO51" s="1"/>
      <c r="RY51" s="1"/>
    </row>
    <row r="52" spans="2:493" s="145" customFormat="1" hidden="1">
      <c r="M52" s="982"/>
      <c r="O52" s="1717">
        <v>90322.580645161288</v>
      </c>
      <c r="P52" s="1686">
        <v>5967.7419354838712</v>
      </c>
      <c r="S52" s="1716">
        <f>S50</f>
        <v>31290.322580645163</v>
      </c>
      <c r="T52" s="1715">
        <f>T50</f>
        <v>1612.9032258064517</v>
      </c>
      <c r="W52" s="1716">
        <v>5206.3342630260186</v>
      </c>
      <c r="X52" s="1716">
        <v>3548.3870967741937</v>
      </c>
      <c r="AB52" s="489">
        <f>P43-P41</f>
        <v>-15956.530000000028</v>
      </c>
      <c r="AW52" s="145">
        <f>114433+880303+87096</f>
        <v>1081832</v>
      </c>
      <c r="AX52" s="145">
        <f>14516+24194+16935</f>
        <v>55645</v>
      </c>
      <c r="BC52" s="145">
        <f>10391+32968</f>
        <v>43359</v>
      </c>
      <c r="JM52" s="432"/>
      <c r="NO52" s="1"/>
      <c r="RY52" s="459"/>
    </row>
    <row r="53" spans="2:493" s="145" customFormat="1" hidden="1">
      <c r="B53" s="145">
        <v>1</v>
      </c>
      <c r="C53" s="459"/>
      <c r="D53" s="459"/>
      <c r="M53" s="982"/>
      <c r="N53" s="145">
        <v>1</v>
      </c>
      <c r="O53" s="459">
        <f>O52</f>
        <v>90322.580645161288</v>
      </c>
      <c r="P53" s="986">
        <f>P52</f>
        <v>5967.7419354838712</v>
      </c>
      <c r="R53" s="145">
        <v>1</v>
      </c>
      <c r="S53" s="459">
        <f>S52</f>
        <v>31290.322580645163</v>
      </c>
      <c r="T53" s="459">
        <f>T52</f>
        <v>1612.9032258064517</v>
      </c>
      <c r="V53" s="145">
        <v>1</v>
      </c>
      <c r="W53" s="459">
        <f>W52</f>
        <v>5206.3342630260186</v>
      </c>
      <c r="X53" s="145">
        <f>X52</f>
        <v>3548.3870967741937</v>
      </c>
      <c r="Z53" s="145">
        <v>1</v>
      </c>
      <c r="AB53" s="145">
        <v>30</v>
      </c>
      <c r="BF53" s="145">
        <v>121506</v>
      </c>
      <c r="NO53" s="1"/>
      <c r="RY53" s="459"/>
    </row>
    <row r="54" spans="2:493" s="145" customFormat="1" hidden="1">
      <c r="B54" s="145">
        <v>2</v>
      </c>
      <c r="C54" s="459"/>
      <c r="D54" s="459"/>
      <c r="M54" s="982"/>
      <c r="N54" s="145">
        <v>2</v>
      </c>
      <c r="O54" s="459">
        <f t="shared" ref="O54:O83" si="183">O53+($O$52)</f>
        <v>180645.16129032258</v>
      </c>
      <c r="P54" s="986">
        <f t="shared" ref="P54:P83" si="184">P53+($P$52)</f>
        <v>11935.483870967742</v>
      </c>
      <c r="R54" s="145">
        <v>2</v>
      </c>
      <c r="S54" s="459">
        <f t="shared" ref="S54:S83" si="185">S53+($S$52)</f>
        <v>62580.645161290326</v>
      </c>
      <c r="T54" s="459">
        <f t="shared" ref="T54:T83" si="186">T53+$T$52</f>
        <v>3225.8064516129034</v>
      </c>
      <c r="V54" s="145">
        <v>2</v>
      </c>
      <c r="W54" s="459">
        <f t="shared" ref="W54:W83" si="187">W53+($W$52)</f>
        <v>10412.668526052037</v>
      </c>
      <c r="X54" s="459">
        <f t="shared" ref="X54:X83" si="188">X53+$X$52</f>
        <v>7096.7741935483873</v>
      </c>
      <c r="Z54" s="145">
        <v>2</v>
      </c>
      <c r="AB54" s="489">
        <f>AB52/AB53</f>
        <v>-531.88433333333421</v>
      </c>
      <c r="BF54" s="145">
        <v>896260</v>
      </c>
      <c r="NO54" s="1"/>
      <c r="RY54" s="459"/>
    </row>
    <row r="55" spans="2:493" s="145" customFormat="1" hidden="1">
      <c r="B55" s="145">
        <v>3</v>
      </c>
      <c r="C55" s="459"/>
      <c r="D55" s="459"/>
      <c r="M55" s="982"/>
      <c r="N55" s="145">
        <v>3</v>
      </c>
      <c r="O55" s="459">
        <f t="shared" si="183"/>
        <v>270967.74193548388</v>
      </c>
      <c r="P55" s="986">
        <f t="shared" si="184"/>
        <v>17903.225806451614</v>
      </c>
      <c r="R55" s="145">
        <v>3</v>
      </c>
      <c r="S55" s="459">
        <f t="shared" si="185"/>
        <v>93870.967741935485</v>
      </c>
      <c r="T55" s="459">
        <f t="shared" si="186"/>
        <v>4838.7096774193551</v>
      </c>
      <c r="V55" s="145">
        <v>3</v>
      </c>
      <c r="W55" s="459">
        <f t="shared" si="187"/>
        <v>15619.002789078055</v>
      </c>
      <c r="X55" s="459">
        <f t="shared" si="188"/>
        <v>10645.161290322581</v>
      </c>
      <c r="Z55" s="145">
        <v>3</v>
      </c>
      <c r="BF55" s="145">
        <v>24906</v>
      </c>
      <c r="NO55" s="1"/>
      <c r="RY55" s="459"/>
    </row>
    <row r="56" spans="2:493" s="145" customFormat="1" hidden="1">
      <c r="B56" s="145">
        <v>4</v>
      </c>
      <c r="C56" s="459"/>
      <c r="D56" s="459"/>
      <c r="M56" s="982"/>
      <c r="N56" s="145">
        <v>4</v>
      </c>
      <c r="O56" s="459">
        <f t="shared" si="183"/>
        <v>361290.32258064515</v>
      </c>
      <c r="P56" s="986">
        <f t="shared" si="184"/>
        <v>23870.967741935485</v>
      </c>
      <c r="R56" s="145">
        <v>4</v>
      </c>
      <c r="S56" s="459">
        <f t="shared" si="185"/>
        <v>125161.29032258065</v>
      </c>
      <c r="T56" s="459">
        <f t="shared" si="186"/>
        <v>6451.6129032258068</v>
      </c>
      <c r="V56" s="145">
        <v>4</v>
      </c>
      <c r="W56" s="459">
        <f t="shared" si="187"/>
        <v>20825.337052104074</v>
      </c>
      <c r="X56" s="459">
        <f t="shared" si="188"/>
        <v>14193.548387096775</v>
      </c>
      <c r="Z56" s="145">
        <v>4</v>
      </c>
      <c r="NO56" s="1"/>
      <c r="RY56" s="459"/>
    </row>
    <row r="57" spans="2:493" s="145" customFormat="1" hidden="1">
      <c r="B57" s="145">
        <v>5</v>
      </c>
      <c r="C57" s="459"/>
      <c r="D57" s="459"/>
      <c r="M57" s="982"/>
      <c r="N57" s="145">
        <v>5</v>
      </c>
      <c r="O57" s="459">
        <f t="shared" si="183"/>
        <v>451612.90322580643</v>
      </c>
      <c r="P57" s="986">
        <f t="shared" si="184"/>
        <v>29838.709677419356</v>
      </c>
      <c r="R57" s="145">
        <v>5</v>
      </c>
      <c r="S57" s="459">
        <f t="shared" si="185"/>
        <v>156451.61290322582</v>
      </c>
      <c r="T57" s="459">
        <f t="shared" si="186"/>
        <v>8064.5161290322585</v>
      </c>
      <c r="V57" s="145">
        <v>5</v>
      </c>
      <c r="W57" s="459">
        <f t="shared" si="187"/>
        <v>26031.671315130094</v>
      </c>
      <c r="X57" s="459">
        <f t="shared" si="188"/>
        <v>17741.93548387097</v>
      </c>
      <c r="Z57" s="145">
        <v>5</v>
      </c>
      <c r="BF57" s="1005">
        <f>SUM(BF53:BF56)</f>
        <v>1042672</v>
      </c>
      <c r="NO57" s="1"/>
      <c r="RY57" s="459"/>
    </row>
    <row r="58" spans="2:493" s="145" customFormat="1" hidden="1">
      <c r="B58" s="145">
        <v>6</v>
      </c>
      <c r="C58" s="459"/>
      <c r="D58" s="459"/>
      <c r="M58" s="982"/>
      <c r="N58" s="145">
        <v>6</v>
      </c>
      <c r="O58" s="459">
        <f t="shared" si="183"/>
        <v>541935.48387096776</v>
      </c>
      <c r="P58" s="986">
        <f t="shared" si="184"/>
        <v>35806.451612903227</v>
      </c>
      <c r="R58" s="145">
        <v>6</v>
      </c>
      <c r="S58" s="459">
        <f t="shared" si="185"/>
        <v>187741.93548387097</v>
      </c>
      <c r="T58" s="459">
        <f t="shared" si="186"/>
        <v>9677.4193548387102</v>
      </c>
      <c r="V58" s="145">
        <v>6</v>
      </c>
      <c r="W58" s="459">
        <f t="shared" si="187"/>
        <v>31238.005578156113</v>
      </c>
      <c r="X58" s="459">
        <f t="shared" si="188"/>
        <v>21290.322580645163</v>
      </c>
      <c r="Z58" s="145">
        <v>6</v>
      </c>
      <c r="BF58" s="145">
        <f>1038834-1017766</f>
        <v>21068</v>
      </c>
      <c r="NO58" s="1"/>
      <c r="RY58" s="459"/>
    </row>
    <row r="59" spans="2:493" s="145" customFormat="1" hidden="1">
      <c r="B59" s="145">
        <v>7</v>
      </c>
      <c r="C59" s="459"/>
      <c r="D59" s="459"/>
      <c r="M59" s="982"/>
      <c r="N59" s="145">
        <v>7</v>
      </c>
      <c r="O59" s="459">
        <f t="shared" si="183"/>
        <v>632258.06451612909</v>
      </c>
      <c r="P59" s="986">
        <f t="shared" si="184"/>
        <v>41774.193548387098</v>
      </c>
      <c r="R59" s="145">
        <v>7</v>
      </c>
      <c r="S59" s="459">
        <f t="shared" si="185"/>
        <v>219032.25806451612</v>
      </c>
      <c r="T59" s="459">
        <f t="shared" si="186"/>
        <v>11290.322580645163</v>
      </c>
      <c r="V59" s="145">
        <v>7</v>
      </c>
      <c r="W59" s="459">
        <f t="shared" si="187"/>
        <v>36444.339841182133</v>
      </c>
      <c r="X59" s="459">
        <f t="shared" si="188"/>
        <v>24838.709677419356</v>
      </c>
      <c r="Z59" s="145">
        <v>7</v>
      </c>
      <c r="BF59" s="145">
        <f>BF57-1038834</f>
        <v>3838</v>
      </c>
      <c r="NO59" s="1"/>
      <c r="RY59" s="459"/>
    </row>
    <row r="60" spans="2:493" s="145" customFormat="1" hidden="1">
      <c r="B60" s="145">
        <v>8</v>
      </c>
      <c r="C60" s="459"/>
      <c r="D60" s="459"/>
      <c r="M60" s="982"/>
      <c r="N60" s="145">
        <v>8</v>
      </c>
      <c r="O60" s="459">
        <f t="shared" si="183"/>
        <v>722580.64516129042</v>
      </c>
      <c r="P60" s="986">
        <f t="shared" si="184"/>
        <v>47741.93548387097</v>
      </c>
      <c r="R60" s="145">
        <v>8</v>
      </c>
      <c r="S60" s="459">
        <f t="shared" si="185"/>
        <v>250322.58064516127</v>
      </c>
      <c r="T60" s="459">
        <f t="shared" si="186"/>
        <v>12903.225806451614</v>
      </c>
      <c r="V60" s="145">
        <v>8</v>
      </c>
      <c r="W60" s="459">
        <f t="shared" si="187"/>
        <v>41650.674104208148</v>
      </c>
      <c r="X60" s="459">
        <f t="shared" si="188"/>
        <v>28387.096774193549</v>
      </c>
      <c r="Z60" s="145">
        <v>8</v>
      </c>
      <c r="AP60" s="145">
        <v>37911.700000000004</v>
      </c>
      <c r="NO60" s="1"/>
      <c r="RY60" s="459"/>
    </row>
    <row r="61" spans="2:493" s="145" customFormat="1" hidden="1">
      <c r="B61" s="145">
        <v>9</v>
      </c>
      <c r="C61" s="459"/>
      <c r="D61" s="459"/>
      <c r="M61" s="982"/>
      <c r="N61" s="145">
        <v>9</v>
      </c>
      <c r="O61" s="459">
        <f t="shared" si="183"/>
        <v>812903.22580645175</v>
      </c>
      <c r="P61" s="986">
        <f t="shared" si="184"/>
        <v>53709.677419354841</v>
      </c>
      <c r="R61" s="145">
        <v>9</v>
      </c>
      <c r="S61" s="459">
        <f t="shared" si="185"/>
        <v>281612.90322580643</v>
      </c>
      <c r="T61" s="459">
        <f t="shared" si="186"/>
        <v>14516.129032258064</v>
      </c>
      <c r="V61" s="145">
        <v>9</v>
      </c>
      <c r="W61" s="459">
        <f t="shared" si="187"/>
        <v>46857.008367234164</v>
      </c>
      <c r="X61" s="459">
        <f t="shared" si="188"/>
        <v>31935.483870967742</v>
      </c>
      <c r="Z61" s="145">
        <v>9</v>
      </c>
      <c r="NO61" s="1"/>
      <c r="RY61" s="459"/>
    </row>
    <row r="62" spans="2:493" s="145" customFormat="1" hidden="1">
      <c r="B62" s="145">
        <v>10</v>
      </c>
      <c r="C62" s="459"/>
      <c r="D62" s="459"/>
      <c r="M62" s="982"/>
      <c r="N62" s="145">
        <v>10</v>
      </c>
      <c r="O62" s="459">
        <f t="shared" si="183"/>
        <v>903225.80645161308</v>
      </c>
      <c r="P62" s="986">
        <f t="shared" si="184"/>
        <v>59677.419354838712</v>
      </c>
      <c r="R62" s="145">
        <v>10</v>
      </c>
      <c r="S62" s="459">
        <f t="shared" si="185"/>
        <v>312903.22580645158</v>
      </c>
      <c r="T62" s="459">
        <f t="shared" si="186"/>
        <v>16129.032258064515</v>
      </c>
      <c r="V62" s="145">
        <v>10</v>
      </c>
      <c r="W62" s="459">
        <f t="shared" si="187"/>
        <v>52063.34263026018</v>
      </c>
      <c r="X62" s="459">
        <f t="shared" si="188"/>
        <v>35483.870967741939</v>
      </c>
      <c r="Z62" s="145">
        <v>10</v>
      </c>
      <c r="NO62" s="1"/>
      <c r="RY62" s="459"/>
    </row>
    <row r="63" spans="2:493" s="145" customFormat="1" hidden="1">
      <c r="B63" s="145">
        <v>11</v>
      </c>
      <c r="C63" s="459"/>
      <c r="D63" s="459"/>
      <c r="M63" s="982"/>
      <c r="N63" s="145">
        <v>11</v>
      </c>
      <c r="O63" s="459">
        <f t="shared" si="183"/>
        <v>993548.38709677442</v>
      </c>
      <c r="P63" s="986">
        <f t="shared" si="184"/>
        <v>65645.161290322576</v>
      </c>
      <c r="R63" s="145">
        <v>11</v>
      </c>
      <c r="S63" s="459">
        <f t="shared" si="185"/>
        <v>344193.54838709673</v>
      </c>
      <c r="T63" s="459">
        <f t="shared" si="186"/>
        <v>17741.935483870966</v>
      </c>
      <c r="V63" s="145">
        <v>11</v>
      </c>
      <c r="W63" s="459">
        <f t="shared" si="187"/>
        <v>57269.676893286196</v>
      </c>
      <c r="X63" s="459">
        <f t="shared" si="188"/>
        <v>39032.258064516136</v>
      </c>
      <c r="Z63" s="145">
        <v>11</v>
      </c>
      <c r="NO63" s="1"/>
      <c r="RY63" s="459"/>
    </row>
    <row r="64" spans="2:493" s="145" customFormat="1" hidden="1">
      <c r="B64" s="145">
        <v>12</v>
      </c>
      <c r="C64" s="459"/>
      <c r="D64" s="459"/>
      <c r="M64" s="982"/>
      <c r="N64" s="145">
        <v>12</v>
      </c>
      <c r="O64" s="459">
        <f t="shared" si="183"/>
        <v>1083870.9677419357</v>
      </c>
      <c r="P64" s="986">
        <f t="shared" si="184"/>
        <v>71612.903225806454</v>
      </c>
      <c r="R64" s="145">
        <v>12</v>
      </c>
      <c r="S64" s="459">
        <f t="shared" si="185"/>
        <v>375483.87096774188</v>
      </c>
      <c r="T64" s="459">
        <f t="shared" si="186"/>
        <v>19354.838709677417</v>
      </c>
      <c r="V64" s="145">
        <v>12</v>
      </c>
      <c r="W64" s="459">
        <f t="shared" si="187"/>
        <v>62476.011156312212</v>
      </c>
      <c r="X64" s="459">
        <f t="shared" si="188"/>
        <v>42580.645161290333</v>
      </c>
      <c r="Z64" s="145">
        <v>12</v>
      </c>
      <c r="NO64" s="1"/>
      <c r="RY64" s="459"/>
    </row>
    <row r="65" spans="2:493" s="145" customFormat="1" hidden="1">
      <c r="B65" s="145">
        <v>13</v>
      </c>
      <c r="C65" s="459"/>
      <c r="D65" s="459"/>
      <c r="M65" s="982"/>
      <c r="N65" s="145">
        <v>13</v>
      </c>
      <c r="O65" s="459">
        <f t="shared" si="183"/>
        <v>1174193.548387097</v>
      </c>
      <c r="P65" s="986">
        <f t="shared" si="184"/>
        <v>77580.645161290333</v>
      </c>
      <c r="R65" s="145">
        <v>13</v>
      </c>
      <c r="S65" s="459">
        <f t="shared" si="185"/>
        <v>406774.19354838703</v>
      </c>
      <c r="T65" s="459">
        <f t="shared" si="186"/>
        <v>20967.741935483868</v>
      </c>
      <c r="V65" s="145">
        <v>13</v>
      </c>
      <c r="W65" s="459">
        <f t="shared" si="187"/>
        <v>67682.345419338235</v>
      </c>
      <c r="X65" s="459">
        <f t="shared" si="188"/>
        <v>46129.03225806453</v>
      </c>
      <c r="Z65" s="145">
        <v>13</v>
      </c>
      <c r="NO65" s="1"/>
      <c r="RY65" s="459"/>
    </row>
    <row r="66" spans="2:493" s="145" customFormat="1" hidden="1">
      <c r="B66" s="145">
        <v>14</v>
      </c>
      <c r="C66" s="459"/>
      <c r="D66" s="459"/>
      <c r="M66" s="982"/>
      <c r="N66" s="145">
        <v>14</v>
      </c>
      <c r="O66" s="459">
        <f t="shared" si="183"/>
        <v>1264516.1290322582</v>
      </c>
      <c r="P66" s="986">
        <f t="shared" si="184"/>
        <v>83548.387096774211</v>
      </c>
      <c r="R66" s="145">
        <v>14</v>
      </c>
      <c r="S66" s="459">
        <f t="shared" si="185"/>
        <v>438064.51612903218</v>
      </c>
      <c r="T66" s="459">
        <f t="shared" si="186"/>
        <v>22580.645161290318</v>
      </c>
      <c r="V66" s="145">
        <v>14</v>
      </c>
      <c r="W66" s="459">
        <f t="shared" si="187"/>
        <v>72888.679682364251</v>
      </c>
      <c r="X66" s="459">
        <f t="shared" si="188"/>
        <v>49677.419354838727</v>
      </c>
      <c r="Z66" s="145">
        <v>14</v>
      </c>
      <c r="NO66" s="1"/>
      <c r="RY66" s="459"/>
    </row>
    <row r="67" spans="2:493" s="145" customFormat="1" hidden="1">
      <c r="B67" s="145">
        <v>15</v>
      </c>
      <c r="C67" s="459"/>
      <c r="D67" s="459"/>
      <c r="M67" s="982"/>
      <c r="N67" s="145">
        <v>15</v>
      </c>
      <c r="O67" s="459">
        <f t="shared" si="183"/>
        <v>1354838.7096774194</v>
      </c>
      <c r="P67" s="986">
        <f t="shared" si="184"/>
        <v>89516.12903225809</v>
      </c>
      <c r="R67" s="145">
        <v>15</v>
      </c>
      <c r="S67" s="459">
        <f t="shared" si="185"/>
        <v>469354.83870967734</v>
      </c>
      <c r="T67" s="459">
        <f t="shared" si="186"/>
        <v>24193.548387096769</v>
      </c>
      <c r="V67" s="145">
        <v>15</v>
      </c>
      <c r="W67" s="459">
        <f t="shared" si="187"/>
        <v>78095.013945390267</v>
      </c>
      <c r="X67" s="459">
        <f t="shared" si="188"/>
        <v>53225.806451612923</v>
      </c>
      <c r="Z67" s="145">
        <v>15</v>
      </c>
      <c r="NO67" s="1"/>
      <c r="RY67" s="459"/>
    </row>
    <row r="68" spans="2:493" s="145" customFormat="1" hidden="1">
      <c r="B68" s="145">
        <v>16</v>
      </c>
      <c r="C68" s="459"/>
      <c r="D68" s="459"/>
      <c r="M68" s="982"/>
      <c r="N68" s="145">
        <v>16</v>
      </c>
      <c r="O68" s="459">
        <f t="shared" si="183"/>
        <v>1445161.2903225806</v>
      </c>
      <c r="P68" s="986">
        <f t="shared" si="184"/>
        <v>95483.870967741968</v>
      </c>
      <c r="R68" s="145">
        <v>16</v>
      </c>
      <c r="S68" s="459">
        <f t="shared" si="185"/>
        <v>500645.16129032249</v>
      </c>
      <c r="T68" s="459">
        <f t="shared" si="186"/>
        <v>25806.45161290322</v>
      </c>
      <c r="V68" s="145">
        <v>16</v>
      </c>
      <c r="W68" s="459">
        <f t="shared" si="187"/>
        <v>83301.348208416282</v>
      </c>
      <c r="X68" s="459">
        <f t="shared" si="188"/>
        <v>56774.19354838712</v>
      </c>
      <c r="Z68" s="145">
        <v>16</v>
      </c>
      <c r="NO68" s="1"/>
      <c r="RY68" s="459"/>
    </row>
    <row r="69" spans="2:493" s="145" customFormat="1" hidden="1">
      <c r="B69" s="145">
        <v>17</v>
      </c>
      <c r="C69" s="459"/>
      <c r="D69" s="459"/>
      <c r="N69" s="145">
        <v>17</v>
      </c>
      <c r="O69" s="459">
        <f t="shared" si="183"/>
        <v>1535483.8709677418</v>
      </c>
      <c r="P69" s="986">
        <f t="shared" si="184"/>
        <v>101451.61290322585</v>
      </c>
      <c r="R69" s="145">
        <v>17</v>
      </c>
      <c r="S69" s="459">
        <f t="shared" si="185"/>
        <v>531935.48387096764</v>
      </c>
      <c r="T69" s="459">
        <f t="shared" si="186"/>
        <v>27419.354838709671</v>
      </c>
      <c r="V69" s="145">
        <v>17</v>
      </c>
      <c r="W69" s="459">
        <f t="shared" si="187"/>
        <v>88507.682471442298</v>
      </c>
      <c r="X69" s="459">
        <f t="shared" si="188"/>
        <v>60322.580645161317</v>
      </c>
      <c r="Z69" s="145">
        <v>17</v>
      </c>
      <c r="NO69" s="1"/>
      <c r="RY69" s="459"/>
    </row>
    <row r="70" spans="2:493" s="145" customFormat="1" hidden="1">
      <c r="B70" s="145">
        <v>18</v>
      </c>
      <c r="C70" s="459"/>
      <c r="D70" s="459"/>
      <c r="N70" s="145">
        <v>18</v>
      </c>
      <c r="O70" s="459">
        <f t="shared" si="183"/>
        <v>1625806.451612903</v>
      </c>
      <c r="P70" s="986">
        <f t="shared" si="184"/>
        <v>107419.35483870973</v>
      </c>
      <c r="R70" s="145">
        <v>18</v>
      </c>
      <c r="S70" s="459">
        <f t="shared" si="185"/>
        <v>563225.80645161285</v>
      </c>
      <c r="T70" s="459">
        <f t="shared" si="186"/>
        <v>29032.258064516122</v>
      </c>
      <c r="V70" s="145">
        <v>18</v>
      </c>
      <c r="W70" s="459">
        <f t="shared" si="187"/>
        <v>93714.016734468314</v>
      </c>
      <c r="X70" s="459">
        <f t="shared" si="188"/>
        <v>63870.967741935514</v>
      </c>
      <c r="Z70" s="145">
        <v>18</v>
      </c>
      <c r="NO70" s="1"/>
      <c r="RY70" s="459"/>
    </row>
    <row r="71" spans="2:493" s="145" customFormat="1" hidden="1">
      <c r="B71" s="145">
        <v>19</v>
      </c>
      <c r="C71" s="459"/>
      <c r="D71" s="459"/>
      <c r="N71" s="145">
        <v>19</v>
      </c>
      <c r="O71" s="459">
        <f t="shared" si="183"/>
        <v>1716129.0322580643</v>
      </c>
      <c r="P71" s="986">
        <f t="shared" si="184"/>
        <v>113387.0967741936</v>
      </c>
      <c r="R71" s="145">
        <v>19</v>
      </c>
      <c r="S71" s="459">
        <f t="shared" si="185"/>
        <v>594516.12903225806</v>
      </c>
      <c r="T71" s="459">
        <f t="shared" si="186"/>
        <v>30645.161290322572</v>
      </c>
      <c r="V71" s="145">
        <v>19</v>
      </c>
      <c r="W71" s="459">
        <f t="shared" si="187"/>
        <v>98920.35099749433</v>
      </c>
      <c r="X71" s="459">
        <f t="shared" si="188"/>
        <v>67419.354838709711</v>
      </c>
      <c r="Z71" s="145">
        <v>19</v>
      </c>
      <c r="NO71" s="1"/>
      <c r="RY71" s="459"/>
    </row>
    <row r="72" spans="2:493" s="145" customFormat="1" hidden="1">
      <c r="B72" s="145">
        <v>20</v>
      </c>
      <c r="C72" s="459"/>
      <c r="D72" s="459"/>
      <c r="N72" s="145">
        <v>20</v>
      </c>
      <c r="O72" s="459">
        <f t="shared" si="183"/>
        <v>1806451.6129032255</v>
      </c>
      <c r="P72" s="986">
        <f t="shared" si="184"/>
        <v>119354.83870967748</v>
      </c>
      <c r="R72" s="145">
        <v>20</v>
      </c>
      <c r="S72" s="459">
        <f t="shared" si="185"/>
        <v>625806.45161290327</v>
      </c>
      <c r="T72" s="459">
        <f t="shared" si="186"/>
        <v>32258.064516129023</v>
      </c>
      <c r="V72" s="145">
        <v>20</v>
      </c>
      <c r="W72" s="459">
        <f t="shared" si="187"/>
        <v>104126.68526052035</v>
      </c>
      <c r="X72" s="459">
        <f t="shared" si="188"/>
        <v>70967.741935483908</v>
      </c>
      <c r="Z72" s="145">
        <v>20</v>
      </c>
      <c r="NO72" s="1"/>
      <c r="RY72" s="459"/>
    </row>
    <row r="73" spans="2:493" s="145" customFormat="1" hidden="1">
      <c r="B73" s="145">
        <v>21</v>
      </c>
      <c r="C73" s="459"/>
      <c r="D73" s="459"/>
      <c r="N73" s="145">
        <v>21</v>
      </c>
      <c r="O73" s="459">
        <f t="shared" si="183"/>
        <v>1896774.1935483867</v>
      </c>
      <c r="P73" s="986">
        <f t="shared" si="184"/>
        <v>125322.58064516136</v>
      </c>
      <c r="R73" s="145">
        <v>21</v>
      </c>
      <c r="S73" s="459">
        <f t="shared" si="185"/>
        <v>657096.77419354848</v>
      </c>
      <c r="T73" s="459">
        <f t="shared" si="186"/>
        <v>33870.967741935478</v>
      </c>
      <c r="V73" s="145">
        <v>21</v>
      </c>
      <c r="W73" s="459">
        <f t="shared" si="187"/>
        <v>109333.01952354636</v>
      </c>
      <c r="X73" s="459">
        <f t="shared" si="188"/>
        <v>74516.129032258104</v>
      </c>
      <c r="Z73" s="145">
        <v>21</v>
      </c>
      <c r="NO73" s="1"/>
      <c r="RY73" s="459"/>
    </row>
    <row r="74" spans="2:493" s="145" customFormat="1" hidden="1">
      <c r="B74" s="145">
        <v>22</v>
      </c>
      <c r="C74" s="459"/>
      <c r="D74" s="459"/>
      <c r="N74" s="145">
        <v>22</v>
      </c>
      <c r="O74" s="459">
        <f t="shared" si="183"/>
        <v>1987096.7741935479</v>
      </c>
      <c r="P74" s="986">
        <f t="shared" si="184"/>
        <v>131290.32258064524</v>
      </c>
      <c r="R74" s="145">
        <v>22</v>
      </c>
      <c r="S74" s="459">
        <f t="shared" si="185"/>
        <v>688387.09677419369</v>
      </c>
      <c r="T74" s="459">
        <f t="shared" si="186"/>
        <v>35483.870967741932</v>
      </c>
      <c r="V74" s="145">
        <v>22</v>
      </c>
      <c r="W74" s="459">
        <f t="shared" si="187"/>
        <v>114539.35378657238</v>
      </c>
      <c r="X74" s="459">
        <f t="shared" si="188"/>
        <v>78064.516129032301</v>
      </c>
      <c r="Z74" s="145">
        <v>22</v>
      </c>
      <c r="NO74" s="1"/>
      <c r="RY74" s="459"/>
    </row>
    <row r="75" spans="2:493" s="145" customFormat="1" hidden="1">
      <c r="B75" s="145">
        <v>23</v>
      </c>
      <c r="C75" s="459"/>
      <c r="D75" s="459"/>
      <c r="N75" s="145">
        <v>23</v>
      </c>
      <c r="O75" s="459">
        <f t="shared" si="183"/>
        <v>2077419.3548387091</v>
      </c>
      <c r="P75" s="986">
        <f t="shared" si="184"/>
        <v>137258.06451612912</v>
      </c>
      <c r="R75" s="145">
        <v>23</v>
      </c>
      <c r="S75" s="459">
        <f t="shared" si="185"/>
        <v>719677.4193548389</v>
      </c>
      <c r="T75" s="459">
        <f t="shared" si="186"/>
        <v>37096.774193548386</v>
      </c>
      <c r="V75" s="145">
        <v>23</v>
      </c>
      <c r="W75" s="459">
        <f t="shared" si="187"/>
        <v>119745.68804959839</v>
      </c>
      <c r="X75" s="459">
        <f t="shared" si="188"/>
        <v>81612.903225806498</v>
      </c>
      <c r="Y75" s="459"/>
      <c r="Z75" s="145">
        <v>23</v>
      </c>
      <c r="NO75" s="1"/>
      <c r="RY75" s="459"/>
    </row>
    <row r="76" spans="2:493" s="145" customFormat="1" hidden="1">
      <c r="B76" s="145">
        <v>24</v>
      </c>
      <c r="C76" s="459"/>
      <c r="D76" s="459"/>
      <c r="N76" s="145">
        <v>24</v>
      </c>
      <c r="O76" s="459">
        <f t="shared" si="183"/>
        <v>2167741.9354838706</v>
      </c>
      <c r="P76" s="986">
        <f t="shared" si="184"/>
        <v>143225.806451613</v>
      </c>
      <c r="R76" s="145">
        <v>24</v>
      </c>
      <c r="S76" s="459">
        <f t="shared" si="185"/>
        <v>750967.74193548411</v>
      </c>
      <c r="T76" s="459">
        <f t="shared" si="186"/>
        <v>38709.677419354841</v>
      </c>
      <c r="V76" s="145">
        <v>24</v>
      </c>
      <c r="W76" s="459">
        <f t="shared" si="187"/>
        <v>124952.02231262441</v>
      </c>
      <c r="X76" s="459">
        <f t="shared" si="188"/>
        <v>85161.290322580695</v>
      </c>
      <c r="Z76" s="145">
        <v>24</v>
      </c>
      <c r="NO76" s="1"/>
      <c r="RY76" s="459"/>
    </row>
    <row r="77" spans="2:493" s="145" customFormat="1" hidden="1">
      <c r="B77" s="145">
        <v>25</v>
      </c>
      <c r="C77" s="459"/>
      <c r="D77" s="459"/>
      <c r="N77" s="145">
        <v>25</v>
      </c>
      <c r="O77" s="459">
        <f t="shared" si="183"/>
        <v>2258064.5161290318</v>
      </c>
      <c r="P77" s="986">
        <f t="shared" si="184"/>
        <v>149193.54838709687</v>
      </c>
      <c r="R77" s="145">
        <v>25</v>
      </c>
      <c r="S77" s="459">
        <f t="shared" si="185"/>
        <v>782258.06451612932</v>
      </c>
      <c r="T77" s="459">
        <f t="shared" si="186"/>
        <v>40322.580645161295</v>
      </c>
      <c r="V77" s="145">
        <v>25</v>
      </c>
      <c r="W77" s="459">
        <f t="shared" si="187"/>
        <v>130158.35657565042</v>
      </c>
      <c r="X77" s="459">
        <f t="shared" si="188"/>
        <v>88709.677419354892</v>
      </c>
      <c r="Z77" s="145">
        <v>25</v>
      </c>
      <c r="NO77" s="1"/>
      <c r="RY77" s="459"/>
    </row>
    <row r="78" spans="2:493" s="145" customFormat="1" hidden="1">
      <c r="B78" s="145">
        <v>26</v>
      </c>
      <c r="C78" s="459"/>
      <c r="D78" s="459"/>
      <c r="N78" s="145">
        <v>26</v>
      </c>
      <c r="O78" s="459">
        <f t="shared" si="183"/>
        <v>2348387.096774193</v>
      </c>
      <c r="P78" s="986">
        <f t="shared" si="184"/>
        <v>155161.29032258075</v>
      </c>
      <c r="R78" s="145">
        <v>26</v>
      </c>
      <c r="S78" s="459">
        <f t="shared" si="185"/>
        <v>813548.38709677453</v>
      </c>
      <c r="T78" s="459">
        <f t="shared" si="186"/>
        <v>41935.48387096775</v>
      </c>
      <c r="V78" s="145">
        <v>26</v>
      </c>
      <c r="W78" s="459">
        <f t="shared" si="187"/>
        <v>135364.69083867644</v>
      </c>
      <c r="X78" s="459">
        <f t="shared" si="188"/>
        <v>92258.064516129089</v>
      </c>
      <c r="Z78" s="145">
        <v>26</v>
      </c>
      <c r="NO78" s="1"/>
      <c r="RY78" s="459"/>
    </row>
    <row r="79" spans="2:493" s="145" customFormat="1" hidden="1">
      <c r="B79" s="145">
        <v>27</v>
      </c>
      <c r="C79" s="459"/>
      <c r="D79" s="459"/>
      <c r="N79" s="145">
        <v>27</v>
      </c>
      <c r="O79" s="459">
        <f t="shared" si="183"/>
        <v>2438709.6774193542</v>
      </c>
      <c r="P79" s="986">
        <f t="shared" si="184"/>
        <v>161129.03225806463</v>
      </c>
      <c r="R79" s="145">
        <v>27</v>
      </c>
      <c r="S79" s="459">
        <f t="shared" si="185"/>
        <v>844838.70967741974</v>
      </c>
      <c r="T79" s="459">
        <f t="shared" si="186"/>
        <v>43548.387096774204</v>
      </c>
      <c r="V79" s="145">
        <v>27</v>
      </c>
      <c r="W79" s="459">
        <f t="shared" si="187"/>
        <v>140571.02510170246</v>
      </c>
      <c r="X79" s="459">
        <f t="shared" si="188"/>
        <v>95806.451612903285</v>
      </c>
      <c r="Z79" s="145">
        <v>27</v>
      </c>
      <c r="NO79" s="1"/>
      <c r="RY79" s="459"/>
    </row>
    <row r="80" spans="2:493" s="145" customFormat="1" hidden="1">
      <c r="B80" s="145">
        <v>28</v>
      </c>
      <c r="C80" s="459"/>
      <c r="D80" s="459"/>
      <c r="N80" s="145">
        <v>28</v>
      </c>
      <c r="O80" s="459">
        <f t="shared" si="183"/>
        <v>2529032.2580645154</v>
      </c>
      <c r="P80" s="986">
        <f t="shared" si="184"/>
        <v>167096.77419354851</v>
      </c>
      <c r="R80" s="145">
        <v>28</v>
      </c>
      <c r="S80" s="459">
        <f t="shared" si="185"/>
        <v>876129.03225806495</v>
      </c>
      <c r="T80" s="459">
        <f t="shared" si="186"/>
        <v>45161.290322580659</v>
      </c>
      <c r="V80" s="145">
        <v>28</v>
      </c>
      <c r="W80" s="459">
        <f t="shared" si="187"/>
        <v>145777.35936472847</v>
      </c>
      <c r="X80" s="459">
        <f t="shared" si="188"/>
        <v>99354.838709677482</v>
      </c>
      <c r="Z80" s="145">
        <v>28</v>
      </c>
      <c r="NO80" s="1"/>
      <c r="RY80" s="459"/>
    </row>
    <row r="81" spans="2:493" s="145" customFormat="1" hidden="1">
      <c r="B81" s="145">
        <v>29</v>
      </c>
      <c r="C81" s="459"/>
      <c r="D81" s="459"/>
      <c r="N81" s="145">
        <v>29</v>
      </c>
      <c r="O81" s="459">
        <f t="shared" si="183"/>
        <v>2619354.8387096766</v>
      </c>
      <c r="P81" s="986">
        <f t="shared" si="184"/>
        <v>173064.51612903239</v>
      </c>
      <c r="R81" s="145">
        <v>29</v>
      </c>
      <c r="S81" s="459">
        <f t="shared" si="185"/>
        <v>907419.35483871016</v>
      </c>
      <c r="T81" s="459">
        <f t="shared" si="186"/>
        <v>46774.193548387113</v>
      </c>
      <c r="V81" s="145">
        <v>29</v>
      </c>
      <c r="W81" s="459">
        <f t="shared" si="187"/>
        <v>150983.69362775449</v>
      </c>
      <c r="X81" s="459">
        <f t="shared" si="188"/>
        <v>102903.22580645168</v>
      </c>
      <c r="Z81" s="145">
        <v>29</v>
      </c>
      <c r="NO81" s="1"/>
      <c r="RY81" s="459"/>
    </row>
    <row r="82" spans="2:493" s="145" customFormat="1" hidden="1">
      <c r="B82" s="145">
        <v>30</v>
      </c>
      <c r="C82" s="459"/>
      <c r="D82" s="459"/>
      <c r="N82" s="145">
        <v>30</v>
      </c>
      <c r="O82" s="459">
        <f t="shared" si="183"/>
        <v>2709677.4193548379</v>
      </c>
      <c r="P82" s="986">
        <f t="shared" si="184"/>
        <v>179032.25806451627</v>
      </c>
      <c r="R82" s="145">
        <v>30</v>
      </c>
      <c r="S82" s="459">
        <f t="shared" si="185"/>
        <v>938709.67741935537</v>
      </c>
      <c r="T82" s="459">
        <f t="shared" si="186"/>
        <v>48387.096774193567</v>
      </c>
      <c r="V82" s="145">
        <v>30</v>
      </c>
      <c r="W82" s="459">
        <f t="shared" si="187"/>
        <v>156190.0278907805</v>
      </c>
      <c r="X82" s="459">
        <f t="shared" si="188"/>
        <v>106451.61290322588</v>
      </c>
      <c r="NO82" s="1"/>
      <c r="RY82" s="459"/>
    </row>
    <row r="83" spans="2:493" s="145" customFormat="1" hidden="1">
      <c r="B83" s="145">
        <v>31</v>
      </c>
      <c r="C83" s="459"/>
      <c r="D83" s="459"/>
      <c r="N83" s="145">
        <v>31</v>
      </c>
      <c r="O83" s="459">
        <f t="shared" si="183"/>
        <v>2799999.9999999991</v>
      </c>
      <c r="P83" s="986">
        <f t="shared" si="184"/>
        <v>185000.00000000015</v>
      </c>
      <c r="Q83" s="982"/>
      <c r="R83" s="145">
        <v>31</v>
      </c>
      <c r="S83" s="459">
        <f t="shared" si="185"/>
        <v>970000.00000000058</v>
      </c>
      <c r="T83" s="459">
        <f t="shared" si="186"/>
        <v>50000.000000000022</v>
      </c>
      <c r="U83" s="982"/>
      <c r="V83" s="145">
        <v>31</v>
      </c>
      <c r="W83" s="459">
        <f t="shared" si="187"/>
        <v>161396.36215380652</v>
      </c>
      <c r="X83" s="459">
        <f t="shared" si="188"/>
        <v>110000.00000000007</v>
      </c>
      <c r="NO83" s="1"/>
      <c r="RY83" s="459"/>
    </row>
    <row r="84" spans="2:493" s="145" customFormat="1" hidden="1">
      <c r="NO84" s="1"/>
      <c r="RY84" s="459"/>
    </row>
    <row r="85" spans="2:493" s="145" customFormat="1" hidden="1">
      <c r="NO85" s="1"/>
      <c r="RY85" s="459"/>
    </row>
    <row r="86" spans="2:493" s="145" customFormat="1" hidden="1">
      <c r="NO86" s="1"/>
      <c r="RY86" s="459"/>
    </row>
    <row r="87" spans="2:493" s="145" customFormat="1" hidden="1">
      <c r="NO87" s="1"/>
      <c r="RY87" s="459"/>
    </row>
    <row r="88" spans="2:493" s="145" customFormat="1" hidden="1">
      <c r="W88" s="459"/>
      <c r="X88" s="459"/>
      <c r="NO88" s="1"/>
      <c r="RY88" s="459"/>
    </row>
    <row r="89" spans="2:493" s="145" customFormat="1" hidden="1">
      <c r="O89" s="489"/>
      <c r="P89" s="489"/>
      <c r="S89" s="489"/>
      <c r="T89" s="489"/>
      <c r="W89" s="489"/>
      <c r="X89" s="489"/>
      <c r="NO89" s="1"/>
      <c r="RY89" s="459"/>
    </row>
    <row r="90" spans="2:493" s="145" customFormat="1" hidden="1">
      <c r="O90" s="489">
        <f>O43/31</f>
        <v>81612.903225806454</v>
      </c>
      <c r="P90" s="489">
        <f>P43/31</f>
        <v>5483.8709677419356</v>
      </c>
      <c r="S90" s="489">
        <f>S43/31</f>
        <v>27419.354838709678</v>
      </c>
      <c r="T90" s="489">
        <f>T43/31</f>
        <v>1612.9032258064517</v>
      </c>
      <c r="W90" s="489">
        <f>W43/31</f>
        <v>27419.354838709678</v>
      </c>
      <c r="X90" s="489">
        <f>X43/31</f>
        <v>2096.7741935483873</v>
      </c>
      <c r="NO90" s="1"/>
      <c r="RY90" s="459"/>
    </row>
    <row r="91" spans="2:493" s="145" customFormat="1" hidden="1">
      <c r="NO91" s="1"/>
      <c r="RY91" s="459"/>
    </row>
    <row r="92" spans="2:493" s="145" customFormat="1" hidden="1">
      <c r="NO92" s="1"/>
      <c r="RY92" s="459"/>
    </row>
    <row r="93" spans="2:493" s="145" customFormat="1" hidden="1">
      <c r="NO93" s="1"/>
      <c r="RY93" s="459"/>
    </row>
    <row r="94" spans="2:493" s="145" customFormat="1" hidden="1">
      <c r="M94" s="982"/>
      <c r="O94" s="1076">
        <v>81612.903225806454</v>
      </c>
      <c r="P94" s="1076">
        <v>5483.8709677419356</v>
      </c>
      <c r="Q94" s="459"/>
      <c r="R94" s="459"/>
      <c r="S94" s="983">
        <v>27419.354838709678</v>
      </c>
      <c r="T94" s="983">
        <v>1612.9032258064517</v>
      </c>
      <c r="U94" s="984"/>
      <c r="V94" s="984"/>
      <c r="W94" s="1076">
        <v>27419.354838709678</v>
      </c>
      <c r="X94" s="983">
        <v>2096.7741935483873</v>
      </c>
      <c r="Y94" s="985"/>
      <c r="Z94" s="985"/>
      <c r="AB94" s="459">
        <f>P94*31</f>
        <v>170000</v>
      </c>
      <c r="JM94" s="432"/>
      <c r="NO94" s="1"/>
      <c r="RY94" s="459"/>
    </row>
    <row r="95" spans="2:493" s="145" customFormat="1" hidden="1">
      <c r="B95" s="145">
        <v>1</v>
      </c>
      <c r="C95" s="459"/>
      <c r="D95" s="459"/>
      <c r="M95" s="982"/>
      <c r="N95" s="145">
        <v>1</v>
      </c>
      <c r="O95" s="459">
        <f>O94</f>
        <v>81612.903225806454</v>
      </c>
      <c r="P95" s="459">
        <f>P94</f>
        <v>5483.8709677419356</v>
      </c>
      <c r="R95" s="145">
        <v>1</v>
      </c>
      <c r="S95" s="459">
        <f>S94</f>
        <v>27419.354838709678</v>
      </c>
      <c r="T95" s="145">
        <f>T94</f>
        <v>1612.9032258064517</v>
      </c>
      <c r="V95" s="145">
        <v>1</v>
      </c>
      <c r="W95" s="459">
        <f>W94</f>
        <v>27419.354838709678</v>
      </c>
      <c r="X95" s="459">
        <f>X94</f>
        <v>2096.7741935483873</v>
      </c>
      <c r="Z95" s="145">
        <v>1</v>
      </c>
      <c r="NO95" s="1"/>
      <c r="RY95" s="459"/>
    </row>
    <row r="96" spans="2:493" s="145" customFormat="1" hidden="1">
      <c r="B96" s="145">
        <v>2</v>
      </c>
      <c r="C96" s="459"/>
      <c r="D96" s="459"/>
      <c r="M96" s="982"/>
      <c r="N96" s="145">
        <v>2</v>
      </c>
      <c r="O96" s="459">
        <f t="shared" ref="O96:O125" si="189">O95+($O$94)</f>
        <v>163225.80645161291</v>
      </c>
      <c r="P96" s="459">
        <f t="shared" ref="P96:P125" si="190">P95+($P$94)</f>
        <v>10967.741935483871</v>
      </c>
      <c r="R96" s="145">
        <v>2</v>
      </c>
      <c r="S96" s="459">
        <f t="shared" ref="S96:S125" si="191">S95+($S$94)</f>
        <v>54838.709677419356</v>
      </c>
      <c r="T96" s="489">
        <f t="shared" ref="T96:T125" si="192">T95+($T$94)</f>
        <v>3225.8064516129034</v>
      </c>
      <c r="V96" s="145">
        <v>2</v>
      </c>
      <c r="W96" s="459">
        <f t="shared" ref="W96:W125" si="193">W95+($W$94)</f>
        <v>54838.709677419356</v>
      </c>
      <c r="X96" s="459">
        <f t="shared" ref="X96:X125" si="194">X95+$X$94</f>
        <v>4193.5483870967746</v>
      </c>
      <c r="Z96" s="145">
        <v>2</v>
      </c>
      <c r="NO96" s="1"/>
      <c r="RY96" s="459"/>
    </row>
    <row r="97" spans="2:493" s="145" customFormat="1" hidden="1">
      <c r="B97" s="145">
        <v>3</v>
      </c>
      <c r="C97" s="459"/>
      <c r="D97" s="459"/>
      <c r="M97" s="982"/>
      <c r="N97" s="145">
        <v>3</v>
      </c>
      <c r="O97" s="459">
        <f t="shared" si="189"/>
        <v>244838.70967741936</v>
      </c>
      <c r="P97" s="459">
        <f t="shared" si="190"/>
        <v>16451.612903225807</v>
      </c>
      <c r="R97" s="145">
        <v>3</v>
      </c>
      <c r="S97" s="459">
        <f t="shared" si="191"/>
        <v>82258.06451612903</v>
      </c>
      <c r="T97" s="489">
        <f t="shared" si="192"/>
        <v>4838.7096774193551</v>
      </c>
      <c r="V97" s="145">
        <v>3</v>
      </c>
      <c r="W97" s="459">
        <f t="shared" si="193"/>
        <v>82258.06451612903</v>
      </c>
      <c r="X97" s="459">
        <f t="shared" si="194"/>
        <v>6290.3225806451619</v>
      </c>
      <c r="Z97" s="145">
        <v>3</v>
      </c>
      <c r="NO97" s="1"/>
      <c r="RY97" s="459"/>
    </row>
    <row r="98" spans="2:493" s="145" customFormat="1" hidden="1">
      <c r="B98" s="145">
        <v>4</v>
      </c>
      <c r="C98" s="459"/>
      <c r="D98" s="459"/>
      <c r="M98" s="982"/>
      <c r="N98" s="145">
        <v>4</v>
      </c>
      <c r="O98" s="459">
        <f t="shared" si="189"/>
        <v>326451.61290322582</v>
      </c>
      <c r="P98" s="459">
        <f t="shared" si="190"/>
        <v>21935.483870967742</v>
      </c>
      <c r="R98" s="145">
        <v>4</v>
      </c>
      <c r="S98" s="459">
        <f t="shared" si="191"/>
        <v>109677.41935483871</v>
      </c>
      <c r="T98" s="489">
        <f t="shared" si="192"/>
        <v>6451.6129032258068</v>
      </c>
      <c r="V98" s="145">
        <v>4</v>
      </c>
      <c r="W98" s="459">
        <f t="shared" si="193"/>
        <v>109677.41935483871</v>
      </c>
      <c r="X98" s="459">
        <f t="shared" si="194"/>
        <v>8387.0967741935492</v>
      </c>
      <c r="Z98" s="145">
        <v>4</v>
      </c>
      <c r="NO98" s="1"/>
      <c r="RY98" s="459"/>
    </row>
    <row r="99" spans="2:493" s="145" customFormat="1" hidden="1">
      <c r="B99" s="145">
        <v>5</v>
      </c>
      <c r="C99" s="459"/>
      <c r="D99" s="459"/>
      <c r="M99" s="982"/>
      <c r="N99" s="145">
        <v>5</v>
      </c>
      <c r="O99" s="459">
        <f t="shared" si="189"/>
        <v>408064.51612903224</v>
      </c>
      <c r="P99" s="459">
        <f t="shared" si="190"/>
        <v>27419.354838709678</v>
      </c>
      <c r="R99" s="145">
        <v>5</v>
      </c>
      <c r="S99" s="459">
        <f t="shared" si="191"/>
        <v>137096.77419354839</v>
      </c>
      <c r="T99" s="489">
        <f t="shared" si="192"/>
        <v>8064.5161290322585</v>
      </c>
      <c r="V99" s="145">
        <v>5</v>
      </c>
      <c r="W99" s="459">
        <f t="shared" si="193"/>
        <v>137096.77419354839</v>
      </c>
      <c r="X99" s="459">
        <f t="shared" si="194"/>
        <v>10483.870967741936</v>
      </c>
      <c r="Z99" s="145">
        <v>5</v>
      </c>
      <c r="NO99" s="1"/>
      <c r="RY99" s="459"/>
    </row>
    <row r="100" spans="2:493" s="145" customFormat="1" hidden="1">
      <c r="B100" s="145">
        <v>6</v>
      </c>
      <c r="C100" s="459"/>
      <c r="D100" s="459"/>
      <c r="M100" s="982"/>
      <c r="N100" s="145">
        <v>6</v>
      </c>
      <c r="O100" s="459">
        <f t="shared" si="189"/>
        <v>489677.41935483867</v>
      </c>
      <c r="P100" s="459">
        <f t="shared" si="190"/>
        <v>32903.225806451614</v>
      </c>
      <c r="R100" s="145">
        <v>6</v>
      </c>
      <c r="S100" s="459">
        <f t="shared" si="191"/>
        <v>164516.12903225806</v>
      </c>
      <c r="T100" s="489">
        <f t="shared" si="192"/>
        <v>9677.4193548387102</v>
      </c>
      <c r="V100" s="145">
        <v>6</v>
      </c>
      <c r="W100" s="459">
        <f t="shared" si="193"/>
        <v>164516.12903225806</v>
      </c>
      <c r="X100" s="459">
        <f t="shared" si="194"/>
        <v>12580.645161290322</v>
      </c>
      <c r="Z100" s="145">
        <v>6</v>
      </c>
      <c r="NO100" s="1"/>
      <c r="RY100" s="459"/>
    </row>
    <row r="101" spans="2:493" s="145" customFormat="1" hidden="1">
      <c r="B101" s="145">
        <v>7</v>
      </c>
      <c r="C101" s="459"/>
      <c r="D101" s="459"/>
      <c r="M101" s="982"/>
      <c r="N101" s="145">
        <v>7</v>
      </c>
      <c r="O101" s="459">
        <f t="shared" si="189"/>
        <v>571290.32258064509</v>
      </c>
      <c r="P101" s="459">
        <f t="shared" si="190"/>
        <v>38387.096774193546</v>
      </c>
      <c r="R101" s="145">
        <v>7</v>
      </c>
      <c r="S101" s="459">
        <f t="shared" si="191"/>
        <v>191935.48387096773</v>
      </c>
      <c r="T101" s="489">
        <f t="shared" si="192"/>
        <v>11290.322580645163</v>
      </c>
      <c r="V101" s="145">
        <v>7</v>
      </c>
      <c r="W101" s="459">
        <f t="shared" si="193"/>
        <v>191935.48387096773</v>
      </c>
      <c r="X101" s="459">
        <f t="shared" si="194"/>
        <v>14677.419354838708</v>
      </c>
      <c r="Z101" s="145">
        <v>7</v>
      </c>
      <c r="NO101" s="1"/>
      <c r="RY101" s="459"/>
    </row>
    <row r="102" spans="2:493" s="145" customFormat="1" hidden="1">
      <c r="B102" s="145">
        <v>8</v>
      </c>
      <c r="C102" s="459"/>
      <c r="D102" s="459"/>
      <c r="M102" s="982"/>
      <c r="N102" s="145">
        <v>8</v>
      </c>
      <c r="O102" s="459">
        <f t="shared" si="189"/>
        <v>652903.22580645152</v>
      </c>
      <c r="P102" s="459">
        <f t="shared" si="190"/>
        <v>43870.967741935485</v>
      </c>
      <c r="R102" s="145">
        <v>8</v>
      </c>
      <c r="S102" s="459">
        <f t="shared" si="191"/>
        <v>219354.83870967739</v>
      </c>
      <c r="T102" s="489">
        <f t="shared" si="192"/>
        <v>12903.225806451614</v>
      </c>
      <c r="V102" s="145">
        <v>8</v>
      </c>
      <c r="W102" s="459">
        <f t="shared" si="193"/>
        <v>219354.83870967739</v>
      </c>
      <c r="X102" s="459">
        <f t="shared" si="194"/>
        <v>16774.193548387095</v>
      </c>
      <c r="Z102" s="145">
        <v>8</v>
      </c>
      <c r="AP102" s="145">
        <v>37911.700000000004</v>
      </c>
      <c r="NO102" s="1"/>
      <c r="RY102" s="459"/>
    </row>
    <row r="103" spans="2:493" s="145" customFormat="1" hidden="1">
      <c r="B103" s="145">
        <v>9</v>
      </c>
      <c r="C103" s="459"/>
      <c r="D103" s="459"/>
      <c r="M103" s="982"/>
      <c r="N103" s="145">
        <v>9</v>
      </c>
      <c r="O103" s="459">
        <f t="shared" si="189"/>
        <v>734516.12903225794</v>
      </c>
      <c r="P103" s="459">
        <f t="shared" si="190"/>
        <v>49354.838709677424</v>
      </c>
      <c r="R103" s="145">
        <v>9</v>
      </c>
      <c r="S103" s="459">
        <f t="shared" si="191"/>
        <v>246774.19354838706</v>
      </c>
      <c r="T103" s="489">
        <f t="shared" si="192"/>
        <v>14516.129032258064</v>
      </c>
      <c r="V103" s="145">
        <v>9</v>
      </c>
      <c r="W103" s="459">
        <f t="shared" si="193"/>
        <v>246774.19354838706</v>
      </c>
      <c r="X103" s="459">
        <f t="shared" si="194"/>
        <v>18870.967741935481</v>
      </c>
      <c r="Z103" s="145">
        <v>9</v>
      </c>
      <c r="NO103" s="1"/>
      <c r="RY103" s="459"/>
    </row>
    <row r="104" spans="2:493" s="145" customFormat="1" hidden="1">
      <c r="B104" s="145">
        <v>10</v>
      </c>
      <c r="C104" s="459"/>
      <c r="D104" s="459"/>
      <c r="M104" s="982"/>
      <c r="N104" s="145">
        <v>10</v>
      </c>
      <c r="O104" s="459">
        <f t="shared" si="189"/>
        <v>816129.03225806437</v>
      </c>
      <c r="P104" s="459">
        <f t="shared" si="190"/>
        <v>54838.709677419363</v>
      </c>
      <c r="R104" s="145">
        <v>10</v>
      </c>
      <c r="S104" s="459">
        <f t="shared" si="191"/>
        <v>274193.54838709673</v>
      </c>
      <c r="T104" s="489">
        <f t="shared" si="192"/>
        <v>16129.032258064515</v>
      </c>
      <c r="V104" s="145">
        <v>10</v>
      </c>
      <c r="W104" s="459">
        <f t="shared" si="193"/>
        <v>274193.54838709673</v>
      </c>
      <c r="X104" s="459">
        <f t="shared" si="194"/>
        <v>20967.741935483868</v>
      </c>
      <c r="Z104" s="145">
        <v>10</v>
      </c>
      <c r="NO104" s="1"/>
      <c r="RY104" s="459"/>
    </row>
    <row r="105" spans="2:493" s="145" customFormat="1" hidden="1">
      <c r="B105" s="145">
        <v>11</v>
      </c>
      <c r="C105" s="459"/>
      <c r="D105" s="459"/>
      <c r="M105" s="982"/>
      <c r="N105" s="145">
        <v>11</v>
      </c>
      <c r="O105" s="459">
        <f t="shared" si="189"/>
        <v>897741.93548387079</v>
      </c>
      <c r="P105" s="459">
        <f t="shared" si="190"/>
        <v>60322.580645161303</v>
      </c>
      <c r="R105" s="145">
        <v>11</v>
      </c>
      <c r="S105" s="459">
        <f t="shared" si="191"/>
        <v>301612.90322580643</v>
      </c>
      <c r="T105" s="489">
        <f t="shared" si="192"/>
        <v>17741.935483870966</v>
      </c>
      <c r="V105" s="145">
        <v>11</v>
      </c>
      <c r="W105" s="459">
        <f t="shared" si="193"/>
        <v>301612.90322580643</v>
      </c>
      <c r="X105" s="459">
        <f t="shared" si="194"/>
        <v>23064.516129032254</v>
      </c>
      <c r="Z105" s="145">
        <v>11</v>
      </c>
      <c r="NO105" s="1"/>
      <c r="RY105" s="459"/>
    </row>
    <row r="106" spans="2:493" s="145" customFormat="1" hidden="1">
      <c r="B106" s="145">
        <v>12</v>
      </c>
      <c r="C106" s="459"/>
      <c r="D106" s="459"/>
      <c r="M106" s="982"/>
      <c r="N106" s="145">
        <v>12</v>
      </c>
      <c r="O106" s="459">
        <f t="shared" si="189"/>
        <v>979354.83870967722</v>
      </c>
      <c r="P106" s="459">
        <f t="shared" si="190"/>
        <v>65806.451612903242</v>
      </c>
      <c r="R106" s="145">
        <v>12</v>
      </c>
      <c r="S106" s="459">
        <f t="shared" si="191"/>
        <v>329032.25806451612</v>
      </c>
      <c r="T106" s="489">
        <f t="shared" si="192"/>
        <v>19354.838709677417</v>
      </c>
      <c r="V106" s="145">
        <v>12</v>
      </c>
      <c r="W106" s="459">
        <f t="shared" si="193"/>
        <v>329032.25806451612</v>
      </c>
      <c r="X106" s="459">
        <f t="shared" si="194"/>
        <v>25161.29032258064</v>
      </c>
      <c r="Z106" s="145">
        <v>12</v>
      </c>
      <c r="NO106" s="1"/>
      <c r="RY106" s="459"/>
    </row>
    <row r="107" spans="2:493" s="145" customFormat="1" hidden="1">
      <c r="B107" s="145">
        <v>13</v>
      </c>
      <c r="C107" s="459"/>
      <c r="D107" s="459"/>
      <c r="M107" s="982"/>
      <c r="N107" s="145">
        <v>13</v>
      </c>
      <c r="O107" s="459">
        <f t="shared" si="189"/>
        <v>1060967.7419354836</v>
      </c>
      <c r="P107" s="459">
        <f t="shared" si="190"/>
        <v>71290.322580645181</v>
      </c>
      <c r="R107" s="145">
        <v>13</v>
      </c>
      <c r="S107" s="459">
        <f t="shared" si="191"/>
        <v>356451.61290322582</v>
      </c>
      <c r="T107" s="489">
        <f t="shared" si="192"/>
        <v>20967.741935483868</v>
      </c>
      <c r="V107" s="145">
        <v>13</v>
      </c>
      <c r="W107" s="459">
        <f t="shared" si="193"/>
        <v>356451.61290322582</v>
      </c>
      <c r="X107" s="459">
        <f t="shared" si="194"/>
        <v>27258.064516129027</v>
      </c>
      <c r="Z107" s="145">
        <v>13</v>
      </c>
      <c r="NO107" s="1"/>
      <c r="RY107" s="459"/>
    </row>
    <row r="108" spans="2:493" s="145" customFormat="1" hidden="1">
      <c r="B108" s="145">
        <v>14</v>
      </c>
      <c r="C108" s="459"/>
      <c r="D108" s="459"/>
      <c r="M108" s="982"/>
      <c r="N108" s="145">
        <v>14</v>
      </c>
      <c r="O108" s="459">
        <f t="shared" si="189"/>
        <v>1142580.6451612902</v>
      </c>
      <c r="P108" s="459">
        <f t="shared" si="190"/>
        <v>76774.19354838712</v>
      </c>
      <c r="R108" s="145">
        <v>14</v>
      </c>
      <c r="S108" s="459">
        <f t="shared" si="191"/>
        <v>383870.96774193551</v>
      </c>
      <c r="T108" s="489">
        <f t="shared" si="192"/>
        <v>22580.645161290318</v>
      </c>
      <c r="V108" s="145">
        <v>14</v>
      </c>
      <c r="W108" s="459">
        <f t="shared" si="193"/>
        <v>383870.96774193551</v>
      </c>
      <c r="X108" s="459">
        <f t="shared" si="194"/>
        <v>29354.838709677413</v>
      </c>
      <c r="Z108" s="145">
        <v>14</v>
      </c>
      <c r="NO108" s="1"/>
      <c r="RY108" s="459"/>
    </row>
    <row r="109" spans="2:493" s="145" customFormat="1" hidden="1">
      <c r="B109" s="145">
        <v>15</v>
      </c>
      <c r="C109" s="459"/>
      <c r="D109" s="459"/>
      <c r="M109" s="982"/>
      <c r="N109" s="145">
        <v>15</v>
      </c>
      <c r="O109" s="459">
        <f t="shared" si="189"/>
        <v>1224193.5483870967</v>
      </c>
      <c r="P109" s="459">
        <f t="shared" si="190"/>
        <v>82258.064516129059</v>
      </c>
      <c r="R109" s="145">
        <v>15</v>
      </c>
      <c r="S109" s="459">
        <f t="shared" si="191"/>
        <v>411290.32258064521</v>
      </c>
      <c r="T109" s="489">
        <f t="shared" si="192"/>
        <v>24193.548387096769</v>
      </c>
      <c r="V109" s="145">
        <v>15</v>
      </c>
      <c r="W109" s="459">
        <f t="shared" si="193"/>
        <v>411290.32258064521</v>
      </c>
      <c r="X109" s="459">
        <f t="shared" si="194"/>
        <v>31451.6129032258</v>
      </c>
      <c r="Z109" s="145">
        <v>15</v>
      </c>
      <c r="NO109" s="1"/>
      <c r="RY109" s="459"/>
    </row>
    <row r="110" spans="2:493" s="145" customFormat="1" hidden="1">
      <c r="B110" s="145">
        <v>16</v>
      </c>
      <c r="C110" s="459"/>
      <c r="D110" s="459"/>
      <c r="M110" s="982"/>
      <c r="N110" s="145">
        <v>16</v>
      </c>
      <c r="O110" s="459">
        <f t="shared" si="189"/>
        <v>1305806.4516129033</v>
      </c>
      <c r="P110" s="459">
        <f t="shared" si="190"/>
        <v>87741.935483870999</v>
      </c>
      <c r="R110" s="145">
        <v>16</v>
      </c>
      <c r="S110" s="459">
        <f t="shared" si="191"/>
        <v>438709.67741935491</v>
      </c>
      <c r="T110" s="489">
        <f t="shared" si="192"/>
        <v>25806.45161290322</v>
      </c>
      <c r="V110" s="145">
        <v>16</v>
      </c>
      <c r="W110" s="459">
        <f t="shared" si="193"/>
        <v>438709.67741935491</v>
      </c>
      <c r="X110" s="459">
        <f t="shared" si="194"/>
        <v>33548.38709677419</v>
      </c>
      <c r="Z110" s="145">
        <v>16</v>
      </c>
      <c r="NO110" s="1"/>
      <c r="RY110" s="459"/>
    </row>
    <row r="111" spans="2:493" s="145" customFormat="1" hidden="1">
      <c r="B111" s="145">
        <v>17</v>
      </c>
      <c r="C111" s="459"/>
      <c r="D111" s="459"/>
      <c r="N111" s="145">
        <v>17</v>
      </c>
      <c r="O111" s="459">
        <f t="shared" si="189"/>
        <v>1387419.3548387098</v>
      </c>
      <c r="P111" s="459">
        <f t="shared" si="190"/>
        <v>93225.806451612938</v>
      </c>
      <c r="R111" s="145">
        <v>17</v>
      </c>
      <c r="S111" s="459">
        <f t="shared" si="191"/>
        <v>466129.0322580646</v>
      </c>
      <c r="T111" s="489">
        <f t="shared" si="192"/>
        <v>27419.354838709671</v>
      </c>
      <c r="V111" s="145">
        <v>17</v>
      </c>
      <c r="W111" s="459">
        <f t="shared" si="193"/>
        <v>466129.0322580646</v>
      </c>
      <c r="X111" s="459">
        <f t="shared" si="194"/>
        <v>35645.161290322576</v>
      </c>
      <c r="Z111" s="145">
        <v>17</v>
      </c>
      <c r="NO111" s="1"/>
      <c r="RY111" s="459"/>
    </row>
    <row r="112" spans="2:493" s="145" customFormat="1" hidden="1">
      <c r="B112" s="145">
        <v>18</v>
      </c>
      <c r="C112" s="459"/>
      <c r="D112" s="459"/>
      <c r="N112" s="145">
        <v>18</v>
      </c>
      <c r="O112" s="459">
        <f t="shared" si="189"/>
        <v>1469032.2580645164</v>
      </c>
      <c r="P112" s="459">
        <f t="shared" si="190"/>
        <v>98709.677419354877</v>
      </c>
      <c r="R112" s="145">
        <v>18</v>
      </c>
      <c r="S112" s="459">
        <f t="shared" si="191"/>
        <v>493548.3870967743</v>
      </c>
      <c r="T112" s="489">
        <f t="shared" si="192"/>
        <v>29032.258064516122</v>
      </c>
      <c r="V112" s="145">
        <v>18</v>
      </c>
      <c r="W112" s="459">
        <f t="shared" si="193"/>
        <v>493548.3870967743</v>
      </c>
      <c r="X112" s="459">
        <f t="shared" si="194"/>
        <v>37741.935483870962</v>
      </c>
      <c r="Z112" s="145">
        <v>18</v>
      </c>
      <c r="NO112" s="1"/>
      <c r="RY112" s="459"/>
    </row>
    <row r="113" spans="2:493" s="145" customFormat="1" hidden="1">
      <c r="B113" s="145">
        <v>19</v>
      </c>
      <c r="C113" s="459"/>
      <c r="D113" s="459"/>
      <c r="N113" s="145">
        <v>19</v>
      </c>
      <c r="O113" s="459">
        <f t="shared" si="189"/>
        <v>1550645.1612903229</v>
      </c>
      <c r="P113" s="459">
        <f t="shared" si="190"/>
        <v>104193.54838709682</v>
      </c>
      <c r="R113" s="145">
        <v>19</v>
      </c>
      <c r="S113" s="459">
        <f t="shared" si="191"/>
        <v>520967.74193548399</v>
      </c>
      <c r="T113" s="489">
        <f t="shared" si="192"/>
        <v>30645.161290322572</v>
      </c>
      <c r="V113" s="145">
        <v>19</v>
      </c>
      <c r="W113" s="459">
        <f t="shared" si="193"/>
        <v>520967.74193548399</v>
      </c>
      <c r="X113" s="459">
        <f t="shared" si="194"/>
        <v>39838.709677419349</v>
      </c>
      <c r="Z113" s="145">
        <v>19</v>
      </c>
      <c r="NO113" s="1"/>
      <c r="RY113" s="459"/>
    </row>
    <row r="114" spans="2:493" s="145" customFormat="1" hidden="1">
      <c r="B114" s="145">
        <v>20</v>
      </c>
      <c r="C114" s="459"/>
      <c r="D114" s="459"/>
      <c r="N114" s="145">
        <v>20</v>
      </c>
      <c r="O114" s="459">
        <f t="shared" si="189"/>
        <v>1632258.0645161294</v>
      </c>
      <c r="P114" s="459">
        <f t="shared" si="190"/>
        <v>109677.41935483876</v>
      </c>
      <c r="R114" s="145">
        <v>20</v>
      </c>
      <c r="S114" s="459">
        <f t="shared" si="191"/>
        <v>548387.09677419369</v>
      </c>
      <c r="T114" s="489">
        <f t="shared" si="192"/>
        <v>32258.064516129023</v>
      </c>
      <c r="V114" s="145">
        <v>20</v>
      </c>
      <c r="W114" s="459">
        <f t="shared" si="193"/>
        <v>548387.09677419369</v>
      </c>
      <c r="X114" s="459">
        <f t="shared" si="194"/>
        <v>41935.483870967735</v>
      </c>
      <c r="Z114" s="145">
        <v>20</v>
      </c>
      <c r="NO114" s="1"/>
      <c r="RY114" s="459"/>
    </row>
    <row r="115" spans="2:493" s="145" customFormat="1" hidden="1">
      <c r="B115" s="145">
        <v>21</v>
      </c>
      <c r="C115" s="459"/>
      <c r="D115" s="459"/>
      <c r="N115" s="145">
        <v>21</v>
      </c>
      <c r="O115" s="459">
        <f t="shared" si="189"/>
        <v>1713870.967741936</v>
      </c>
      <c r="P115" s="459">
        <f t="shared" si="190"/>
        <v>115161.29032258069</v>
      </c>
      <c r="R115" s="145">
        <v>21</v>
      </c>
      <c r="S115" s="459">
        <f t="shared" si="191"/>
        <v>575806.45161290339</v>
      </c>
      <c r="T115" s="489">
        <f t="shared" si="192"/>
        <v>33870.967741935478</v>
      </c>
      <c r="V115" s="145">
        <v>21</v>
      </c>
      <c r="W115" s="459">
        <f t="shared" si="193"/>
        <v>575806.45161290339</v>
      </c>
      <c r="X115" s="459">
        <f t="shared" si="194"/>
        <v>44032.258064516122</v>
      </c>
      <c r="Z115" s="145">
        <v>21</v>
      </c>
      <c r="NO115" s="1"/>
      <c r="RY115" s="459"/>
    </row>
    <row r="116" spans="2:493" s="145" customFormat="1" hidden="1">
      <c r="B116" s="145">
        <v>22</v>
      </c>
      <c r="C116" s="459"/>
      <c r="D116" s="459"/>
      <c r="N116" s="145">
        <v>22</v>
      </c>
      <c r="O116" s="459">
        <f t="shared" si="189"/>
        <v>1795483.8709677425</v>
      </c>
      <c r="P116" s="459">
        <f t="shared" si="190"/>
        <v>120645.16129032263</v>
      </c>
      <c r="R116" s="145">
        <v>22</v>
      </c>
      <c r="S116" s="459">
        <f t="shared" si="191"/>
        <v>603225.80645161308</v>
      </c>
      <c r="T116" s="489">
        <f t="shared" si="192"/>
        <v>35483.870967741932</v>
      </c>
      <c r="V116" s="145">
        <v>22</v>
      </c>
      <c r="W116" s="459">
        <f t="shared" si="193"/>
        <v>603225.80645161308</v>
      </c>
      <c r="X116" s="459">
        <f t="shared" si="194"/>
        <v>46129.032258064508</v>
      </c>
      <c r="Z116" s="145">
        <v>22</v>
      </c>
      <c r="NO116" s="1"/>
      <c r="RY116" s="459"/>
    </row>
    <row r="117" spans="2:493" s="145" customFormat="1" hidden="1">
      <c r="B117" s="145">
        <v>23</v>
      </c>
      <c r="C117" s="459"/>
      <c r="D117" s="459"/>
      <c r="N117" s="145">
        <v>23</v>
      </c>
      <c r="O117" s="459">
        <f t="shared" si="189"/>
        <v>1877096.7741935491</v>
      </c>
      <c r="P117" s="459">
        <f t="shared" si="190"/>
        <v>126129.03225806457</v>
      </c>
      <c r="R117" s="145">
        <v>23</v>
      </c>
      <c r="S117" s="459">
        <f t="shared" si="191"/>
        <v>630645.16129032278</v>
      </c>
      <c r="T117" s="489">
        <f t="shared" si="192"/>
        <v>37096.774193548386</v>
      </c>
      <c r="V117" s="145">
        <v>23</v>
      </c>
      <c r="W117" s="459">
        <f t="shared" si="193"/>
        <v>630645.16129032278</v>
      </c>
      <c r="X117" s="459">
        <f t="shared" si="194"/>
        <v>48225.806451612894</v>
      </c>
      <c r="Y117" s="459"/>
      <c r="Z117" s="145">
        <v>23</v>
      </c>
      <c r="NO117" s="1"/>
      <c r="RY117" s="459"/>
    </row>
    <row r="118" spans="2:493" s="145" customFormat="1" hidden="1">
      <c r="B118" s="145">
        <v>24</v>
      </c>
      <c r="C118" s="459"/>
      <c r="D118" s="459"/>
      <c r="N118" s="145">
        <v>24</v>
      </c>
      <c r="O118" s="459">
        <f t="shared" si="189"/>
        <v>1958709.6774193556</v>
      </c>
      <c r="P118" s="459">
        <f t="shared" si="190"/>
        <v>131612.90322580651</v>
      </c>
      <c r="R118" s="145">
        <v>24</v>
      </c>
      <c r="S118" s="459">
        <f t="shared" si="191"/>
        <v>658064.51612903248</v>
      </c>
      <c r="T118" s="489">
        <f t="shared" si="192"/>
        <v>38709.677419354841</v>
      </c>
      <c r="V118" s="145">
        <v>24</v>
      </c>
      <c r="W118" s="459">
        <f t="shared" si="193"/>
        <v>658064.51612903248</v>
      </c>
      <c r="X118" s="459">
        <f t="shared" si="194"/>
        <v>50322.580645161281</v>
      </c>
      <c r="Z118" s="145">
        <v>24</v>
      </c>
      <c r="NO118" s="1"/>
      <c r="RY118" s="459"/>
    </row>
    <row r="119" spans="2:493" s="145" customFormat="1" hidden="1">
      <c r="B119" s="145">
        <v>25</v>
      </c>
      <c r="C119" s="459"/>
      <c r="D119" s="459"/>
      <c r="N119" s="145">
        <v>25</v>
      </c>
      <c r="O119" s="459">
        <f t="shared" si="189"/>
        <v>2040322.5806451621</v>
      </c>
      <c r="P119" s="459">
        <f t="shared" si="190"/>
        <v>137096.77419354845</v>
      </c>
      <c r="R119" s="145">
        <v>25</v>
      </c>
      <c r="S119" s="459">
        <f t="shared" si="191"/>
        <v>685483.87096774217</v>
      </c>
      <c r="T119" s="489">
        <f t="shared" si="192"/>
        <v>40322.580645161295</v>
      </c>
      <c r="V119" s="145">
        <v>25</v>
      </c>
      <c r="W119" s="459">
        <f t="shared" si="193"/>
        <v>685483.87096774217</v>
      </c>
      <c r="X119" s="459">
        <f t="shared" si="194"/>
        <v>52419.354838709667</v>
      </c>
      <c r="Z119" s="145">
        <v>25</v>
      </c>
      <c r="NO119" s="1"/>
      <c r="RY119" s="459"/>
    </row>
    <row r="120" spans="2:493" s="145" customFormat="1" hidden="1">
      <c r="B120" s="145">
        <v>26</v>
      </c>
      <c r="C120" s="459"/>
      <c r="D120" s="459"/>
      <c r="N120" s="145">
        <v>26</v>
      </c>
      <c r="O120" s="459">
        <f t="shared" si="189"/>
        <v>2121935.4838709687</v>
      </c>
      <c r="P120" s="459">
        <f t="shared" si="190"/>
        <v>142580.64516129039</v>
      </c>
      <c r="R120" s="145">
        <v>26</v>
      </c>
      <c r="S120" s="459">
        <f t="shared" si="191"/>
        <v>712903.22580645187</v>
      </c>
      <c r="T120" s="489">
        <f t="shared" si="192"/>
        <v>41935.48387096775</v>
      </c>
      <c r="V120" s="145">
        <v>26</v>
      </c>
      <c r="W120" s="459">
        <f t="shared" si="193"/>
        <v>712903.22580645187</v>
      </c>
      <c r="X120" s="459">
        <f t="shared" si="194"/>
        <v>54516.129032258053</v>
      </c>
      <c r="Z120" s="145">
        <v>26</v>
      </c>
      <c r="NO120" s="1"/>
      <c r="RY120" s="459"/>
    </row>
    <row r="121" spans="2:493" s="145" customFormat="1" hidden="1">
      <c r="B121" s="145">
        <v>27</v>
      </c>
      <c r="C121" s="459"/>
      <c r="D121" s="459"/>
      <c r="N121" s="145">
        <v>27</v>
      </c>
      <c r="O121" s="459">
        <f t="shared" si="189"/>
        <v>2203548.3870967752</v>
      </c>
      <c r="P121" s="459">
        <f t="shared" si="190"/>
        <v>148064.51612903233</v>
      </c>
      <c r="R121" s="145">
        <v>27</v>
      </c>
      <c r="S121" s="459">
        <f t="shared" si="191"/>
        <v>740322.58064516156</v>
      </c>
      <c r="T121" s="489">
        <f t="shared" si="192"/>
        <v>43548.387096774204</v>
      </c>
      <c r="V121" s="145">
        <v>27</v>
      </c>
      <c r="W121" s="459">
        <f t="shared" si="193"/>
        <v>740322.58064516156</v>
      </c>
      <c r="X121" s="459">
        <f t="shared" si="194"/>
        <v>56612.90322580644</v>
      </c>
      <c r="Z121" s="145">
        <v>27</v>
      </c>
      <c r="NO121" s="1"/>
      <c r="RY121" s="459"/>
    </row>
    <row r="122" spans="2:493" s="145" customFormat="1" hidden="1">
      <c r="B122" s="145">
        <v>28</v>
      </c>
      <c r="C122" s="459"/>
      <c r="D122" s="459"/>
      <c r="N122" s="145">
        <v>28</v>
      </c>
      <c r="O122" s="459">
        <f t="shared" si="189"/>
        <v>2285161.2903225818</v>
      </c>
      <c r="P122" s="459">
        <f t="shared" si="190"/>
        <v>153548.38709677427</v>
      </c>
      <c r="R122" s="145">
        <v>28</v>
      </c>
      <c r="S122" s="459">
        <f t="shared" si="191"/>
        <v>767741.93548387126</v>
      </c>
      <c r="T122" s="489">
        <f t="shared" si="192"/>
        <v>45161.290322580659</v>
      </c>
      <c r="V122" s="145">
        <v>28</v>
      </c>
      <c r="W122" s="459">
        <f t="shared" si="193"/>
        <v>767741.93548387126</v>
      </c>
      <c r="X122" s="459">
        <f t="shared" si="194"/>
        <v>58709.677419354826</v>
      </c>
      <c r="Z122" s="145">
        <v>28</v>
      </c>
      <c r="NO122" s="1"/>
      <c r="RY122" s="459"/>
    </row>
    <row r="123" spans="2:493" s="145" customFormat="1" hidden="1">
      <c r="B123" s="145">
        <v>29</v>
      </c>
      <c r="C123" s="459"/>
      <c r="D123" s="459"/>
      <c r="N123" s="145">
        <v>29</v>
      </c>
      <c r="O123" s="459">
        <f t="shared" si="189"/>
        <v>2366774.1935483883</v>
      </c>
      <c r="P123" s="459">
        <f t="shared" si="190"/>
        <v>159032.25806451621</v>
      </c>
      <c r="R123" s="145">
        <v>29</v>
      </c>
      <c r="S123" s="459">
        <f t="shared" si="191"/>
        <v>795161.29032258096</v>
      </c>
      <c r="T123" s="489">
        <f t="shared" si="192"/>
        <v>46774.193548387113</v>
      </c>
      <c r="V123" s="145">
        <v>29</v>
      </c>
      <c r="W123" s="459">
        <f t="shared" si="193"/>
        <v>795161.29032258096</v>
      </c>
      <c r="X123" s="459">
        <f t="shared" si="194"/>
        <v>60806.451612903213</v>
      </c>
      <c r="Z123" s="145">
        <v>29</v>
      </c>
      <c r="NO123" s="1"/>
      <c r="RY123" s="459"/>
    </row>
    <row r="124" spans="2:493" s="145" customFormat="1" hidden="1">
      <c r="B124" s="145">
        <v>30</v>
      </c>
      <c r="C124" s="459"/>
      <c r="D124" s="459"/>
      <c r="N124" s="145">
        <v>30</v>
      </c>
      <c r="O124" s="459">
        <f t="shared" si="189"/>
        <v>2448387.0967741949</v>
      </c>
      <c r="P124" s="459">
        <f t="shared" si="190"/>
        <v>164516.12903225815</v>
      </c>
      <c r="R124" s="145">
        <v>30</v>
      </c>
      <c r="S124" s="459">
        <f t="shared" si="191"/>
        <v>822580.64516129065</v>
      </c>
      <c r="T124" s="489">
        <f t="shared" si="192"/>
        <v>48387.096774193567</v>
      </c>
      <c r="V124" s="145">
        <v>30</v>
      </c>
      <c r="W124" s="459">
        <f t="shared" si="193"/>
        <v>822580.64516129065</v>
      </c>
      <c r="X124" s="459">
        <f t="shared" si="194"/>
        <v>62903.225806451599</v>
      </c>
      <c r="Z124" s="145">
        <v>29</v>
      </c>
      <c r="NO124" s="1"/>
      <c r="RY124" s="459"/>
    </row>
    <row r="125" spans="2:493" hidden="1">
      <c r="B125" s="145">
        <v>31</v>
      </c>
      <c r="C125" s="459"/>
      <c r="D125" s="459"/>
      <c r="N125" s="145">
        <v>31</v>
      </c>
      <c r="O125" s="459">
        <f t="shared" si="189"/>
        <v>2530000.0000000014</v>
      </c>
      <c r="P125" s="459">
        <f t="shared" si="190"/>
        <v>170000.00000000009</v>
      </c>
      <c r="Q125" s="985"/>
      <c r="R125" s="145">
        <v>31</v>
      </c>
      <c r="S125" s="459">
        <f t="shared" si="191"/>
        <v>850000.00000000035</v>
      </c>
      <c r="T125" s="489">
        <f t="shared" si="192"/>
        <v>50000.000000000022</v>
      </c>
      <c r="U125" s="985"/>
      <c r="V125" s="145">
        <v>31</v>
      </c>
      <c r="W125" s="459">
        <f t="shared" si="193"/>
        <v>850000.00000000035</v>
      </c>
      <c r="X125" s="459">
        <f t="shared" si="194"/>
        <v>64999.999999999985</v>
      </c>
      <c r="Y125" s="145"/>
      <c r="Z125" s="145">
        <v>29</v>
      </c>
      <c r="NO125" s="1"/>
      <c r="RY125" s="1"/>
    </row>
    <row r="126" spans="2:493" hidden="1">
      <c r="NO126" s="1"/>
      <c r="RY126" s="1"/>
    </row>
    <row r="127" spans="2:493" hidden="1">
      <c r="NO127" s="1"/>
      <c r="RY127" s="1"/>
    </row>
    <row r="128" spans="2:493" hidden="1">
      <c r="NO128" s="1"/>
      <c r="RY128" s="1"/>
    </row>
    <row r="129" spans="2:493" hidden="1">
      <c r="NO129" s="1"/>
      <c r="RY129" s="1"/>
    </row>
    <row r="130" spans="2:493" hidden="1">
      <c r="NO130" s="1"/>
      <c r="RY130" s="1"/>
    </row>
    <row r="131" spans="2:493" hidden="1">
      <c r="P131" s="887"/>
      <c r="NO131" s="1"/>
      <c r="RY131" s="1"/>
    </row>
    <row r="132" spans="2:493" hidden="1">
      <c r="O132" s="347">
        <f>'Summary TIS'!AB3/31</f>
        <v>29023.905695336249</v>
      </c>
      <c r="P132" s="347">
        <f>'Summary TIS'!AB8/31</f>
        <v>1451.6129032258063</v>
      </c>
      <c r="NO132" s="1"/>
      <c r="RY132" s="1"/>
    </row>
    <row r="133" spans="2:493" hidden="1">
      <c r="O133" s="347"/>
      <c r="P133" s="347"/>
      <c r="NO133" s="1"/>
      <c r="RY133" s="1"/>
    </row>
    <row r="134" spans="2:493" ht="23.4" hidden="1">
      <c r="C134" s="1075"/>
      <c r="O134" s="347"/>
      <c r="P134" s="347"/>
      <c r="NO134" s="1"/>
      <c r="RY134" s="1"/>
    </row>
    <row r="135" spans="2:493" hidden="1">
      <c r="O135" s="2161">
        <v>29023.905695336249</v>
      </c>
      <c r="P135" s="2161">
        <v>1451.6129032258063</v>
      </c>
      <c r="NO135" s="1"/>
      <c r="RY135" s="1"/>
    </row>
    <row r="136" spans="2:493" hidden="1">
      <c r="B136">
        <v>1</v>
      </c>
      <c r="N136">
        <v>1</v>
      </c>
      <c r="O136" s="1067">
        <f>O135</f>
        <v>29023.905695336249</v>
      </c>
      <c r="P136" s="1067">
        <f>P135</f>
        <v>1451.6129032258063</v>
      </c>
      <c r="NO136" s="1"/>
      <c r="RY136" s="1"/>
    </row>
    <row r="137" spans="2:493" hidden="1">
      <c r="B137">
        <v>2</v>
      </c>
      <c r="N137">
        <v>2</v>
      </c>
      <c r="O137" s="1067">
        <f t="shared" ref="O137:O166" si="195">O136+($O$135)</f>
        <v>58047.811390672498</v>
      </c>
      <c r="P137" s="1067">
        <f t="shared" ref="P137:P166" si="196">P136+($P$135)</f>
        <v>2903.2258064516127</v>
      </c>
      <c r="T137">
        <f>74000/31</f>
        <v>2387.0967741935483</v>
      </c>
      <c r="NO137" s="1"/>
      <c r="RY137" s="1"/>
    </row>
    <row r="138" spans="2:493" hidden="1">
      <c r="B138">
        <v>3</v>
      </c>
      <c r="N138">
        <v>3</v>
      </c>
      <c r="O138" s="1067">
        <f t="shared" si="195"/>
        <v>87071.71708600875</v>
      </c>
      <c r="P138" s="1067">
        <f t="shared" si="196"/>
        <v>4354.8387096774186</v>
      </c>
      <c r="NO138" s="1"/>
      <c r="RY138" s="1"/>
    </row>
    <row r="139" spans="2:493" hidden="1">
      <c r="B139">
        <v>4</v>
      </c>
      <c r="N139">
        <v>4</v>
      </c>
      <c r="O139" s="1067">
        <f t="shared" si="195"/>
        <v>116095.622781345</v>
      </c>
      <c r="P139" s="1067">
        <f t="shared" si="196"/>
        <v>5806.4516129032254</v>
      </c>
      <c r="NO139" s="1"/>
      <c r="RY139" s="1"/>
    </row>
    <row r="140" spans="2:493" hidden="1">
      <c r="B140">
        <v>5</v>
      </c>
      <c r="N140">
        <v>5</v>
      </c>
      <c r="O140" s="1067">
        <f t="shared" si="195"/>
        <v>145119.52847668124</v>
      </c>
      <c r="P140" s="1067">
        <f t="shared" si="196"/>
        <v>7258.0645161290322</v>
      </c>
      <c r="NO140" s="1"/>
      <c r="RY140" s="1"/>
    </row>
    <row r="141" spans="2:493" hidden="1">
      <c r="B141">
        <v>6</v>
      </c>
      <c r="N141">
        <v>6</v>
      </c>
      <c r="O141" s="1067">
        <f t="shared" si="195"/>
        <v>174143.4341720175</v>
      </c>
      <c r="P141" s="1067">
        <f t="shared" si="196"/>
        <v>8709.677419354839</v>
      </c>
      <c r="NO141" s="1"/>
      <c r="RY141" s="1"/>
    </row>
    <row r="142" spans="2:493" hidden="1">
      <c r="B142">
        <v>7</v>
      </c>
      <c r="N142">
        <v>7</v>
      </c>
      <c r="O142" s="1067">
        <f t="shared" si="195"/>
        <v>203167.33986735376</v>
      </c>
      <c r="P142" s="1067">
        <f t="shared" si="196"/>
        <v>10161.290322580646</v>
      </c>
      <c r="NO142" s="1"/>
      <c r="RY142" s="1"/>
    </row>
    <row r="143" spans="2:493" hidden="1">
      <c r="B143">
        <v>8</v>
      </c>
      <c r="N143">
        <v>8</v>
      </c>
      <c r="O143" s="1067">
        <f t="shared" si="195"/>
        <v>232191.24556269002</v>
      </c>
      <c r="P143" s="1067">
        <f t="shared" si="196"/>
        <v>11612.903225806453</v>
      </c>
      <c r="NO143" s="1"/>
      <c r="RY143" s="1"/>
    </row>
    <row r="144" spans="2:493" hidden="1">
      <c r="B144">
        <v>9</v>
      </c>
      <c r="N144">
        <v>9</v>
      </c>
      <c r="O144" s="1067">
        <f t="shared" si="195"/>
        <v>261215.15125802628</v>
      </c>
      <c r="P144" s="1067">
        <f t="shared" si="196"/>
        <v>13064.516129032259</v>
      </c>
      <c r="NO144" s="1"/>
      <c r="RY144" s="1"/>
    </row>
    <row r="145" spans="2:493" hidden="1">
      <c r="B145">
        <v>10</v>
      </c>
      <c r="N145">
        <v>10</v>
      </c>
      <c r="O145" s="1067">
        <f t="shared" si="195"/>
        <v>290239.05695336254</v>
      </c>
      <c r="P145" s="1067">
        <f t="shared" si="196"/>
        <v>14516.129032258066</v>
      </c>
      <c r="NO145" s="1"/>
      <c r="RY145" s="1"/>
    </row>
    <row r="146" spans="2:493" hidden="1">
      <c r="B146">
        <v>11</v>
      </c>
      <c r="N146">
        <v>11</v>
      </c>
      <c r="O146" s="1067">
        <f t="shared" si="195"/>
        <v>319262.96264869877</v>
      </c>
      <c r="P146" s="1067">
        <f t="shared" si="196"/>
        <v>15967.741935483873</v>
      </c>
      <c r="NO146" s="1"/>
      <c r="RY146" s="1"/>
    </row>
    <row r="147" spans="2:493" hidden="1">
      <c r="B147">
        <v>12</v>
      </c>
      <c r="N147">
        <v>12</v>
      </c>
      <c r="O147" s="1067">
        <f t="shared" si="195"/>
        <v>348286.868344035</v>
      </c>
      <c r="P147" s="1067">
        <f t="shared" si="196"/>
        <v>17419.354838709678</v>
      </c>
      <c r="NO147" s="1"/>
      <c r="RY147" s="1"/>
    </row>
    <row r="148" spans="2:493" hidden="1">
      <c r="B148">
        <v>13</v>
      </c>
      <c r="N148">
        <v>13</v>
      </c>
      <c r="O148" s="1067">
        <f t="shared" si="195"/>
        <v>377310.77403937123</v>
      </c>
      <c r="P148" s="1067">
        <f t="shared" si="196"/>
        <v>18870.967741935485</v>
      </c>
      <c r="NO148" s="1"/>
      <c r="RY148" s="1"/>
    </row>
    <row r="149" spans="2:493" hidden="1">
      <c r="B149">
        <v>14</v>
      </c>
      <c r="N149">
        <v>14</v>
      </c>
      <c r="O149" s="1067">
        <f t="shared" si="195"/>
        <v>406334.67973470746</v>
      </c>
      <c r="P149" s="1067">
        <f t="shared" si="196"/>
        <v>20322.580645161292</v>
      </c>
      <c r="NO149" s="1"/>
      <c r="RY149" s="1"/>
    </row>
    <row r="150" spans="2:493" hidden="1">
      <c r="B150">
        <v>15</v>
      </c>
      <c r="N150">
        <v>15</v>
      </c>
      <c r="O150" s="1067">
        <f t="shared" si="195"/>
        <v>435358.58543004369</v>
      </c>
      <c r="P150" s="1067">
        <f t="shared" si="196"/>
        <v>21774.193548387098</v>
      </c>
      <c r="NO150" s="1"/>
      <c r="RY150" s="1"/>
    </row>
    <row r="151" spans="2:493" hidden="1">
      <c r="B151">
        <v>16</v>
      </c>
      <c r="N151">
        <v>16</v>
      </c>
      <c r="O151" s="1067">
        <f t="shared" si="195"/>
        <v>464382.49112537992</v>
      </c>
      <c r="P151" s="1067">
        <f t="shared" si="196"/>
        <v>23225.806451612905</v>
      </c>
      <c r="NO151" s="1"/>
      <c r="RY151" s="1"/>
    </row>
    <row r="152" spans="2:493" hidden="1">
      <c r="B152">
        <v>17</v>
      </c>
      <c r="N152">
        <v>17</v>
      </c>
      <c r="O152" s="1067">
        <f t="shared" si="195"/>
        <v>493406.39682071615</v>
      </c>
      <c r="P152" s="1067">
        <f t="shared" si="196"/>
        <v>24677.419354838712</v>
      </c>
      <c r="NO152" s="1"/>
      <c r="RY152" s="1"/>
    </row>
    <row r="153" spans="2:493" hidden="1">
      <c r="B153">
        <v>18</v>
      </c>
      <c r="N153">
        <v>18</v>
      </c>
      <c r="O153" s="1067">
        <f t="shared" si="195"/>
        <v>522430.30251605238</v>
      </c>
      <c r="P153" s="1067">
        <f t="shared" si="196"/>
        <v>26129.032258064519</v>
      </c>
      <c r="NO153" s="1"/>
      <c r="RY153" s="1"/>
    </row>
    <row r="154" spans="2:493" hidden="1">
      <c r="B154">
        <v>19</v>
      </c>
      <c r="N154">
        <v>19</v>
      </c>
      <c r="O154" s="1067">
        <f t="shared" si="195"/>
        <v>551454.20821138867</v>
      </c>
      <c r="P154" s="1067">
        <f t="shared" si="196"/>
        <v>27580.645161290326</v>
      </c>
      <c r="NO154" s="1"/>
      <c r="RY154" s="1"/>
    </row>
    <row r="155" spans="2:493" hidden="1">
      <c r="B155">
        <v>20</v>
      </c>
      <c r="N155">
        <v>20</v>
      </c>
      <c r="O155" s="1067">
        <f t="shared" si="195"/>
        <v>580478.11390672496</v>
      </c>
      <c r="P155" s="1067">
        <f t="shared" si="196"/>
        <v>29032.258064516132</v>
      </c>
      <c r="NO155" s="1"/>
      <c r="RY155" s="1"/>
    </row>
    <row r="156" spans="2:493" hidden="1">
      <c r="B156">
        <v>21</v>
      </c>
      <c r="N156">
        <v>21</v>
      </c>
      <c r="O156" s="1067">
        <f t="shared" si="195"/>
        <v>609502.01960206125</v>
      </c>
      <c r="P156" s="1067">
        <f t="shared" si="196"/>
        <v>30483.870967741939</v>
      </c>
      <c r="NO156" s="1"/>
      <c r="RY156" s="1"/>
    </row>
    <row r="157" spans="2:493" hidden="1">
      <c r="B157">
        <v>22</v>
      </c>
      <c r="N157">
        <v>22</v>
      </c>
      <c r="O157" s="1067">
        <f t="shared" si="195"/>
        <v>638525.92529739754</v>
      </c>
      <c r="P157" s="1067">
        <f t="shared" si="196"/>
        <v>31935.483870967746</v>
      </c>
      <c r="NO157" s="1"/>
      <c r="RY157" s="1"/>
    </row>
    <row r="158" spans="2:493" hidden="1">
      <c r="B158">
        <v>23</v>
      </c>
      <c r="N158">
        <v>23</v>
      </c>
      <c r="O158" s="1067">
        <f t="shared" si="195"/>
        <v>667549.83099273383</v>
      </c>
      <c r="P158" s="1067">
        <f t="shared" si="196"/>
        <v>33387.096774193553</v>
      </c>
      <c r="NO158" s="1"/>
      <c r="RY158" s="1"/>
    </row>
    <row r="159" spans="2:493" hidden="1">
      <c r="B159">
        <v>24</v>
      </c>
      <c r="N159">
        <v>24</v>
      </c>
      <c r="O159" s="1067">
        <f t="shared" si="195"/>
        <v>696573.73668807012</v>
      </c>
      <c r="P159" s="1067">
        <f t="shared" si="196"/>
        <v>34838.709677419356</v>
      </c>
      <c r="NO159" s="1"/>
      <c r="RY159" s="1"/>
    </row>
    <row r="160" spans="2:493" hidden="1">
      <c r="B160">
        <v>25</v>
      </c>
      <c r="N160">
        <v>25</v>
      </c>
      <c r="O160" s="1067">
        <f t="shared" si="195"/>
        <v>725597.6423834064</v>
      </c>
      <c r="P160" s="1067">
        <f t="shared" si="196"/>
        <v>36290.322580645159</v>
      </c>
      <c r="NO160" s="1"/>
      <c r="RY160" s="1"/>
    </row>
    <row r="161" spans="2:493" hidden="1">
      <c r="B161">
        <v>26</v>
      </c>
      <c r="N161">
        <v>26</v>
      </c>
      <c r="O161" s="1067">
        <f t="shared" si="195"/>
        <v>754621.54807874269</v>
      </c>
      <c r="P161" s="1067">
        <f t="shared" si="196"/>
        <v>37741.935483870962</v>
      </c>
      <c r="NO161" s="1"/>
      <c r="RY161" s="1"/>
    </row>
    <row r="162" spans="2:493" hidden="1">
      <c r="B162">
        <v>27</v>
      </c>
      <c r="N162">
        <v>27</v>
      </c>
      <c r="O162" s="1067">
        <f t="shared" si="195"/>
        <v>783645.45377407898</v>
      </c>
      <c r="P162" s="1067">
        <f t="shared" si="196"/>
        <v>39193.548387096766</v>
      </c>
      <c r="NO162" s="1"/>
      <c r="RY162" s="1"/>
    </row>
    <row r="163" spans="2:493" hidden="1">
      <c r="B163">
        <v>28</v>
      </c>
      <c r="N163">
        <v>28</v>
      </c>
      <c r="O163" s="1067">
        <f t="shared" si="195"/>
        <v>812669.35946941527</v>
      </c>
      <c r="P163" s="1067">
        <f t="shared" si="196"/>
        <v>40645.161290322569</v>
      </c>
      <c r="NO163" s="1"/>
      <c r="RY163" s="1"/>
    </row>
    <row r="164" spans="2:493" hidden="1">
      <c r="B164">
        <v>29</v>
      </c>
      <c r="N164">
        <v>29</v>
      </c>
      <c r="O164" s="1067">
        <f t="shared" si="195"/>
        <v>841693.26516475156</v>
      </c>
      <c r="P164" s="1067">
        <f t="shared" si="196"/>
        <v>42096.774193548372</v>
      </c>
      <c r="NO164" s="1"/>
      <c r="RY164" s="1"/>
    </row>
    <row r="165" spans="2:493" hidden="1">
      <c r="B165">
        <v>30</v>
      </c>
      <c r="N165">
        <v>30</v>
      </c>
      <c r="O165" s="1067">
        <f t="shared" si="195"/>
        <v>870717.17086008785</v>
      </c>
      <c r="P165" s="1067">
        <f t="shared" si="196"/>
        <v>43548.387096774175</v>
      </c>
      <c r="NO165" s="1"/>
      <c r="RY165" s="1"/>
    </row>
    <row r="166" spans="2:493" hidden="1">
      <c r="B166">
        <v>31</v>
      </c>
      <c r="N166">
        <v>31</v>
      </c>
      <c r="O166" s="1067">
        <f t="shared" si="195"/>
        <v>899741.07655542414</v>
      </c>
      <c r="P166" s="1067">
        <f t="shared" si="196"/>
        <v>44999.999999999978</v>
      </c>
      <c r="NO166" s="1"/>
      <c r="RY166" s="1"/>
    </row>
    <row r="167" spans="2:493" hidden="1">
      <c r="O167" s="1067"/>
      <c r="P167" s="1067"/>
      <c r="NO167" s="1"/>
      <c r="RY167" s="1"/>
    </row>
    <row r="168" spans="2:493" hidden="1">
      <c r="O168" s="1067"/>
      <c r="P168" s="1067"/>
      <c r="NO168" s="1"/>
    </row>
    <row r="169" spans="2:493" hidden="1">
      <c r="O169" s="1067"/>
      <c r="P169" s="1067"/>
      <c r="NO169" s="1"/>
    </row>
    <row r="170" spans="2:493" hidden="1">
      <c r="O170" s="1067"/>
      <c r="P170" s="1067"/>
      <c r="NO170" s="1"/>
    </row>
    <row r="171" spans="2:493" hidden="1">
      <c r="O171" s="1067"/>
      <c r="P171" s="1067"/>
      <c r="NO171" s="1"/>
    </row>
    <row r="172" spans="2:493" hidden="1">
      <c r="O172" s="1067"/>
      <c r="P172" s="1067"/>
      <c r="NO172" s="1"/>
    </row>
    <row r="173" spans="2:493" hidden="1">
      <c r="O173" s="1067">
        <f>'May TIS'!C45/31</f>
        <v>32258.064516129034</v>
      </c>
      <c r="P173" s="1067">
        <f>'May TIS'!D45/31</f>
        <v>2032.258064516129</v>
      </c>
      <c r="NO173" s="1"/>
    </row>
    <row r="174" spans="2:493" hidden="1">
      <c r="O174" s="1067"/>
      <c r="P174" s="1067"/>
      <c r="NO174" s="1"/>
    </row>
    <row r="175" spans="2:493" hidden="1">
      <c r="O175" s="1067"/>
      <c r="P175" s="1067"/>
      <c r="NO175" s="1"/>
    </row>
    <row r="176" spans="2:493" hidden="1">
      <c r="O176" s="1067"/>
      <c r="P176" s="1067"/>
      <c r="NO176" s="1"/>
    </row>
    <row r="177" spans="2:493" hidden="1">
      <c r="O177" s="2161">
        <v>32258.064516129034</v>
      </c>
      <c r="P177" s="2161">
        <v>2032.258064516129</v>
      </c>
      <c r="Q177" s="887">
        <f>P177/31</f>
        <v>65.556711758584811</v>
      </c>
      <c r="NO177" s="1"/>
      <c r="RY177" s="1"/>
    </row>
    <row r="178" spans="2:493" hidden="1">
      <c r="B178">
        <v>1</v>
      </c>
      <c r="N178">
        <v>1</v>
      </c>
      <c r="O178" s="1067">
        <f>O177</f>
        <v>32258.064516129034</v>
      </c>
      <c r="P178" s="1067">
        <f>P177</f>
        <v>2032.258064516129</v>
      </c>
      <c r="NO178" s="1"/>
      <c r="RY178" s="1"/>
    </row>
    <row r="179" spans="2:493" hidden="1">
      <c r="B179">
        <v>2</v>
      </c>
      <c r="N179">
        <v>2</v>
      </c>
      <c r="O179" s="1067">
        <f t="shared" ref="O179:O208" si="197">O178+($O$177)</f>
        <v>64516.129032258068</v>
      </c>
      <c r="P179" s="1067">
        <f t="shared" ref="P179:P208" si="198">P178+($P$177)</f>
        <v>4064.516129032258</v>
      </c>
      <c r="NO179" s="1"/>
      <c r="RY179" s="1"/>
    </row>
    <row r="180" spans="2:493" hidden="1">
      <c r="B180">
        <v>3</v>
      </c>
      <c r="N180">
        <v>3</v>
      </c>
      <c r="O180" s="1067">
        <f t="shared" si="197"/>
        <v>96774.193548387106</v>
      </c>
      <c r="P180" s="1067">
        <f t="shared" si="198"/>
        <v>6096.7741935483873</v>
      </c>
      <c r="NO180" s="1"/>
      <c r="RY180" s="1"/>
    </row>
    <row r="181" spans="2:493" hidden="1">
      <c r="B181">
        <v>4</v>
      </c>
      <c r="N181">
        <v>4</v>
      </c>
      <c r="O181" s="1067">
        <f t="shared" si="197"/>
        <v>129032.25806451614</v>
      </c>
      <c r="P181" s="1067">
        <f t="shared" si="198"/>
        <v>8129.0322580645161</v>
      </c>
      <c r="NO181" s="1"/>
      <c r="RY181" s="1"/>
    </row>
    <row r="182" spans="2:493" hidden="1">
      <c r="B182">
        <v>5</v>
      </c>
      <c r="N182">
        <v>5</v>
      </c>
      <c r="O182" s="1067">
        <f t="shared" si="197"/>
        <v>161290.32258064518</v>
      </c>
      <c r="P182" s="1067">
        <f t="shared" si="198"/>
        <v>10161.290322580646</v>
      </c>
      <c r="NO182" s="1"/>
      <c r="RY182" s="1"/>
    </row>
    <row r="183" spans="2:493" hidden="1">
      <c r="B183">
        <v>6</v>
      </c>
      <c r="N183">
        <v>6</v>
      </c>
      <c r="O183" s="1067">
        <f t="shared" si="197"/>
        <v>193548.38709677421</v>
      </c>
      <c r="P183" s="1067">
        <f t="shared" si="198"/>
        <v>12193.548387096775</v>
      </c>
      <c r="NO183" s="1"/>
      <c r="RY183" s="1"/>
    </row>
    <row r="184" spans="2:493" hidden="1">
      <c r="B184">
        <v>7</v>
      </c>
      <c r="N184">
        <v>7</v>
      </c>
      <c r="O184" s="1067">
        <f t="shared" si="197"/>
        <v>225806.45161290324</v>
      </c>
      <c r="P184" s="1067">
        <f t="shared" si="198"/>
        <v>14225.806451612903</v>
      </c>
      <c r="NO184" s="1"/>
      <c r="RY184" s="1"/>
    </row>
    <row r="185" spans="2:493" hidden="1">
      <c r="B185">
        <v>8</v>
      </c>
      <c r="N185">
        <v>8</v>
      </c>
      <c r="O185" s="1067">
        <f t="shared" si="197"/>
        <v>258064.51612903227</v>
      </c>
      <c r="P185" s="1067">
        <f t="shared" si="198"/>
        <v>16258.064516129032</v>
      </c>
      <c r="NO185" s="1"/>
      <c r="RY185" s="1"/>
    </row>
    <row r="186" spans="2:493" hidden="1">
      <c r="B186">
        <v>9</v>
      </c>
      <c r="N186">
        <v>9</v>
      </c>
      <c r="O186" s="1067">
        <f t="shared" si="197"/>
        <v>290322.58064516133</v>
      </c>
      <c r="P186" s="1067">
        <f t="shared" si="198"/>
        <v>18290.322580645163</v>
      </c>
      <c r="NO186" s="1"/>
      <c r="RY186" s="1"/>
    </row>
    <row r="187" spans="2:493" hidden="1">
      <c r="B187">
        <v>10</v>
      </c>
      <c r="N187">
        <v>10</v>
      </c>
      <c r="O187" s="1067">
        <f t="shared" si="197"/>
        <v>322580.64516129036</v>
      </c>
      <c r="P187" s="1067">
        <f t="shared" si="198"/>
        <v>20322.580645161292</v>
      </c>
      <c r="NO187" s="1"/>
      <c r="RY187" s="1"/>
    </row>
    <row r="188" spans="2:493" hidden="1">
      <c r="B188">
        <v>11</v>
      </c>
      <c r="N188">
        <v>11</v>
      </c>
      <c r="O188" s="1067">
        <f t="shared" si="197"/>
        <v>354838.70967741939</v>
      </c>
      <c r="P188" s="1067">
        <f t="shared" si="198"/>
        <v>22354.83870967742</v>
      </c>
      <c r="NO188" s="1"/>
      <c r="RY188" s="1"/>
    </row>
    <row r="189" spans="2:493" hidden="1">
      <c r="B189">
        <v>12</v>
      </c>
      <c r="N189">
        <v>12</v>
      </c>
      <c r="O189" s="1067">
        <f t="shared" si="197"/>
        <v>387096.77419354842</v>
      </c>
      <c r="P189" s="1067">
        <f t="shared" si="198"/>
        <v>24387.096774193549</v>
      </c>
      <c r="NO189" s="1"/>
      <c r="RY189" s="1"/>
    </row>
    <row r="190" spans="2:493" hidden="1">
      <c r="B190">
        <v>13</v>
      </c>
      <c r="N190">
        <v>13</v>
      </c>
      <c r="O190" s="1067">
        <f t="shared" si="197"/>
        <v>419354.83870967745</v>
      </c>
      <c r="P190" s="1067">
        <f t="shared" si="198"/>
        <v>26419.354838709678</v>
      </c>
      <c r="NO190" s="1"/>
      <c r="RY190" s="1"/>
    </row>
    <row r="191" spans="2:493" hidden="1">
      <c r="B191">
        <v>14</v>
      </c>
      <c r="N191">
        <v>14</v>
      </c>
      <c r="O191" s="1067">
        <f t="shared" si="197"/>
        <v>451612.90322580648</v>
      </c>
      <c r="P191" s="1067">
        <f t="shared" si="198"/>
        <v>28451.612903225807</v>
      </c>
      <c r="NO191" s="1"/>
      <c r="RY191" s="1"/>
    </row>
    <row r="192" spans="2:493" hidden="1">
      <c r="B192">
        <v>15</v>
      </c>
      <c r="N192">
        <v>15</v>
      </c>
      <c r="O192" s="1067">
        <f t="shared" si="197"/>
        <v>483870.96774193551</v>
      </c>
      <c r="P192" s="1067">
        <f t="shared" si="198"/>
        <v>30483.870967741936</v>
      </c>
      <c r="NO192" s="1"/>
      <c r="RY192" s="1"/>
    </row>
    <row r="193" spans="2:493" hidden="1">
      <c r="B193">
        <v>16</v>
      </c>
      <c r="N193">
        <v>16</v>
      </c>
      <c r="O193" s="1067">
        <f t="shared" si="197"/>
        <v>516129.03225806454</v>
      </c>
      <c r="P193" s="1067">
        <f t="shared" si="198"/>
        <v>32516.129032258064</v>
      </c>
      <c r="NO193" s="1"/>
      <c r="RY193" s="1"/>
    </row>
    <row r="194" spans="2:493" hidden="1">
      <c r="B194">
        <v>17</v>
      </c>
      <c r="N194">
        <v>17</v>
      </c>
      <c r="O194" s="1067">
        <f t="shared" si="197"/>
        <v>548387.09677419357</v>
      </c>
      <c r="P194" s="1067">
        <f t="shared" si="198"/>
        <v>34548.387096774197</v>
      </c>
      <c r="NO194" s="1"/>
      <c r="RY194" s="1"/>
    </row>
    <row r="195" spans="2:493" hidden="1">
      <c r="B195">
        <v>18</v>
      </c>
      <c r="N195">
        <v>18</v>
      </c>
      <c r="O195" s="1067">
        <f t="shared" si="197"/>
        <v>580645.16129032266</v>
      </c>
      <c r="P195" s="1067">
        <f t="shared" si="198"/>
        <v>36580.645161290326</v>
      </c>
      <c r="NO195" s="1"/>
      <c r="RY195" s="1"/>
    </row>
    <row r="196" spans="2:493" hidden="1">
      <c r="B196">
        <v>19</v>
      </c>
      <c r="N196">
        <v>19</v>
      </c>
      <c r="O196" s="1067">
        <f t="shared" si="197"/>
        <v>612903.22580645175</v>
      </c>
      <c r="P196" s="1067">
        <f t="shared" si="198"/>
        <v>38612.903225806454</v>
      </c>
      <c r="NO196" s="1"/>
      <c r="RY196" s="1"/>
    </row>
    <row r="197" spans="2:493" hidden="1">
      <c r="B197">
        <v>20</v>
      </c>
      <c r="N197">
        <v>20</v>
      </c>
      <c r="O197" s="1067">
        <f t="shared" si="197"/>
        <v>645161.29032258084</v>
      </c>
      <c r="P197" s="1067">
        <f t="shared" si="198"/>
        <v>40645.161290322583</v>
      </c>
      <c r="NO197" s="1"/>
      <c r="RY197" s="1"/>
    </row>
    <row r="198" spans="2:493" hidden="1">
      <c r="B198">
        <v>21</v>
      </c>
      <c r="N198">
        <v>21</v>
      </c>
      <c r="O198" s="1067">
        <f t="shared" si="197"/>
        <v>677419.35483870993</v>
      </c>
      <c r="P198" s="1067">
        <f t="shared" si="198"/>
        <v>42677.419354838712</v>
      </c>
      <c r="NO198" s="1"/>
      <c r="RY198" s="1"/>
    </row>
    <row r="199" spans="2:493" hidden="1">
      <c r="B199">
        <v>22</v>
      </c>
      <c r="N199">
        <v>22</v>
      </c>
      <c r="O199" s="1067">
        <f t="shared" si="197"/>
        <v>709677.41935483902</v>
      </c>
      <c r="P199" s="1067">
        <f t="shared" si="198"/>
        <v>44709.677419354841</v>
      </c>
      <c r="NO199" s="1"/>
      <c r="RY199" s="1"/>
    </row>
    <row r="200" spans="2:493" hidden="1">
      <c r="B200">
        <v>23</v>
      </c>
      <c r="N200">
        <v>23</v>
      </c>
      <c r="O200" s="1067">
        <f t="shared" si="197"/>
        <v>741935.48387096811</v>
      </c>
      <c r="P200" s="1067">
        <f t="shared" si="198"/>
        <v>46741.93548387097</v>
      </c>
      <c r="NO200" s="1"/>
      <c r="RY200" s="1"/>
    </row>
    <row r="201" spans="2:493" hidden="1">
      <c r="B201">
        <v>24</v>
      </c>
      <c r="N201">
        <v>24</v>
      </c>
      <c r="O201" s="1067">
        <f t="shared" si="197"/>
        <v>774193.54838709719</v>
      </c>
      <c r="P201" s="1067">
        <f t="shared" si="198"/>
        <v>48774.193548387098</v>
      </c>
      <c r="NO201" s="1"/>
      <c r="RY201" s="1"/>
    </row>
    <row r="202" spans="2:493" hidden="1">
      <c r="B202">
        <v>25</v>
      </c>
      <c r="N202">
        <v>25</v>
      </c>
      <c r="O202" s="1067">
        <f t="shared" si="197"/>
        <v>806451.61290322628</v>
      </c>
      <c r="P202" s="1067">
        <f t="shared" si="198"/>
        <v>50806.451612903227</v>
      </c>
      <c r="NO202" s="1"/>
      <c r="RY202" s="1"/>
    </row>
    <row r="203" spans="2:493" hidden="1">
      <c r="B203">
        <v>26</v>
      </c>
      <c r="N203">
        <v>26</v>
      </c>
      <c r="O203" s="1067">
        <f t="shared" si="197"/>
        <v>838709.67741935537</v>
      </c>
      <c r="P203" s="1067">
        <f t="shared" si="198"/>
        <v>52838.709677419356</v>
      </c>
      <c r="NO203" s="1"/>
      <c r="RY203" s="1"/>
    </row>
    <row r="204" spans="2:493" hidden="1">
      <c r="B204">
        <v>27</v>
      </c>
      <c r="N204">
        <v>27</v>
      </c>
      <c r="O204" s="1067">
        <f t="shared" si="197"/>
        <v>870967.74193548446</v>
      </c>
      <c r="P204" s="1067">
        <f t="shared" si="198"/>
        <v>54870.967741935485</v>
      </c>
      <c r="NO204" s="1"/>
      <c r="RY204" s="1"/>
    </row>
    <row r="205" spans="2:493" hidden="1">
      <c r="B205">
        <v>28</v>
      </c>
      <c r="N205">
        <v>28</v>
      </c>
      <c r="O205" s="1067">
        <f t="shared" si="197"/>
        <v>903225.80645161355</v>
      </c>
      <c r="P205" s="1067">
        <f t="shared" si="198"/>
        <v>56903.225806451614</v>
      </c>
      <c r="NO205" s="1"/>
      <c r="RY205" s="1"/>
    </row>
    <row r="206" spans="2:493" hidden="1">
      <c r="B206">
        <v>29</v>
      </c>
      <c r="N206">
        <v>29</v>
      </c>
      <c r="O206" s="1067">
        <f t="shared" si="197"/>
        <v>935483.87096774264</v>
      </c>
      <c r="P206" s="1067">
        <f t="shared" si="198"/>
        <v>58935.483870967742</v>
      </c>
      <c r="NO206" s="1"/>
      <c r="RY206" s="1"/>
    </row>
    <row r="207" spans="2:493" hidden="1">
      <c r="B207">
        <v>30</v>
      </c>
      <c r="N207">
        <v>30</v>
      </c>
      <c r="O207" s="1067">
        <f t="shared" si="197"/>
        <v>967741.93548387173</v>
      </c>
      <c r="P207" s="1067">
        <f t="shared" si="198"/>
        <v>60967.741935483871</v>
      </c>
      <c r="NO207" s="1"/>
      <c r="RY207" s="1"/>
    </row>
    <row r="208" spans="2:493" hidden="1">
      <c r="B208">
        <v>31</v>
      </c>
      <c r="N208">
        <v>31</v>
      </c>
      <c r="O208" s="1067">
        <f t="shared" si="197"/>
        <v>1000000.0000000008</v>
      </c>
      <c r="P208" s="1067">
        <f t="shared" si="198"/>
        <v>63000</v>
      </c>
      <c r="NO208" s="1"/>
      <c r="RY208" s="1"/>
    </row>
    <row r="209" spans="15:493" hidden="1">
      <c r="O209" s="1067"/>
      <c r="P209" s="1067"/>
      <c r="DL209" s="1"/>
      <c r="DM209" s="1"/>
      <c r="NO209" s="1"/>
      <c r="RY209" s="1"/>
    </row>
    <row r="210" spans="15:493" hidden="1">
      <c r="O210" s="1067"/>
      <c r="P210" s="1067"/>
      <c r="AA210" s="1"/>
      <c r="AB210" s="887">
        <f>(AB43+X43)/30</f>
        <v>2166.6666666666665</v>
      </c>
      <c r="BM210" s="887">
        <f>BM43/30</f>
        <v>1666.6666666666667</v>
      </c>
      <c r="BN210" s="887"/>
      <c r="BQ210" s="887" t="e">
        <f>#REF!/30</f>
        <v>#REF!</v>
      </c>
      <c r="BW210" s="887">
        <f>BW43/30</f>
        <v>2166.6666666666665</v>
      </c>
      <c r="DL210" s="1"/>
      <c r="DM210" s="1"/>
      <c r="NO210" s="1"/>
      <c r="RY210" s="1"/>
    </row>
    <row r="211" spans="15:493">
      <c r="O211" s="1067"/>
      <c r="P211" s="1067"/>
      <c r="BZ211" s="887">
        <f>BZ43/30</f>
        <v>0</v>
      </c>
      <c r="DL211" s="1"/>
      <c r="DM211" s="1"/>
      <c r="JL211" s="887"/>
      <c r="JM211" s="1"/>
      <c r="LY211" s="1074"/>
      <c r="NO211" s="1"/>
      <c r="RY211" s="1"/>
    </row>
    <row r="212" spans="15:493">
      <c r="O212" s="1067"/>
      <c r="P212" s="1067"/>
      <c r="AB212" s="887">
        <f>X41+AB41</f>
        <v>18360</v>
      </c>
      <c r="DL212" s="1"/>
      <c r="DM212" s="1"/>
      <c r="JM212" s="887"/>
      <c r="NO212" s="1"/>
      <c r="RY212" s="1"/>
    </row>
    <row r="213" spans="15:493">
      <c r="O213" s="1067"/>
      <c r="P213" s="1067"/>
      <c r="DL213" s="1"/>
      <c r="DM213" s="1"/>
      <c r="GS213" s="887"/>
      <c r="NO213" s="1"/>
      <c r="RY213" s="1"/>
    </row>
    <row r="214" spans="15:493">
      <c r="O214" s="1067"/>
      <c r="P214" s="1067"/>
      <c r="DL214" s="1"/>
      <c r="DM214" s="1"/>
      <c r="NO214" s="1"/>
    </row>
    <row r="215" spans="15:493">
      <c r="O215" s="1067"/>
      <c r="P215" s="1067"/>
      <c r="DL215" s="1"/>
      <c r="DM215" s="1"/>
      <c r="NO215" s="1"/>
    </row>
    <row r="216" spans="15:493">
      <c r="O216" s="1067"/>
      <c r="P216" s="1067"/>
      <c r="DL216" s="1"/>
      <c r="DM216" s="1"/>
      <c r="NO216" s="1"/>
    </row>
    <row r="217" spans="15:493">
      <c r="O217" s="1067"/>
      <c r="P217" s="1067"/>
      <c r="DL217" s="1"/>
      <c r="DM217" s="1"/>
      <c r="NO217" s="1"/>
    </row>
    <row r="218" spans="15:493">
      <c r="O218" s="1067"/>
      <c r="P218" s="1067"/>
      <c r="DL218" s="1"/>
      <c r="DM218" s="1"/>
      <c r="NO218" s="1"/>
    </row>
    <row r="219" spans="15:493">
      <c r="O219" s="1067"/>
      <c r="P219" s="1067"/>
      <c r="DL219" s="1"/>
      <c r="DM219" s="1"/>
      <c r="NO219" s="1"/>
    </row>
    <row r="220" spans="15:493">
      <c r="O220" s="1067"/>
      <c r="P220" s="1067"/>
      <c r="DL220" s="1"/>
      <c r="DM220" s="1"/>
      <c r="NO220" s="1"/>
    </row>
    <row r="221" spans="15:493">
      <c r="O221" s="1067"/>
      <c r="P221" s="1067"/>
      <c r="DL221" s="1"/>
      <c r="DM221" s="1"/>
      <c r="NO221" s="1"/>
    </row>
    <row r="222" spans="15:493">
      <c r="O222" s="1067"/>
      <c r="P222" s="1067"/>
      <c r="DL222" s="1"/>
      <c r="DM222" s="1"/>
      <c r="NO222" s="1"/>
    </row>
    <row r="223" spans="15:493">
      <c r="O223" s="1067"/>
      <c r="P223" s="1067"/>
      <c r="DL223" s="1"/>
      <c r="DM223" s="1"/>
      <c r="NO223" s="1"/>
    </row>
    <row r="224" spans="15:493">
      <c r="O224" s="1067"/>
      <c r="P224" s="1067"/>
      <c r="DL224" s="1"/>
      <c r="DM224" s="1"/>
      <c r="JI224" s="887">
        <f>JI43/31</f>
        <v>4516.1290322580644</v>
      </c>
      <c r="NO224" s="1"/>
    </row>
    <row r="225" spans="15:379">
      <c r="O225" s="1067"/>
      <c r="P225" s="1067"/>
      <c r="DL225" s="1"/>
      <c r="DM225" s="1"/>
      <c r="NO225" s="1"/>
    </row>
    <row r="226" spans="15:379">
      <c r="O226" s="1067"/>
      <c r="P226" s="1067"/>
      <c r="DL226" s="1"/>
      <c r="DM226" s="1"/>
      <c r="NO226" s="1"/>
    </row>
    <row r="227" spans="15:379">
      <c r="O227" s="1067"/>
      <c r="P227" s="1067"/>
      <c r="DL227" s="1"/>
      <c r="DM227" s="1"/>
      <c r="NO227" s="1"/>
    </row>
    <row r="228" spans="15:379">
      <c r="O228" s="1067"/>
      <c r="P228" s="1067"/>
      <c r="T228" s="887">
        <f>P41+T41+AB41</f>
        <v>237986.23760000005</v>
      </c>
      <c r="DL228" s="1"/>
      <c r="DM228" s="1"/>
      <c r="NO228" s="1"/>
    </row>
    <row r="229" spans="15:379">
      <c r="O229" s="1067"/>
      <c r="P229" s="1067"/>
      <c r="DL229" s="1"/>
      <c r="DM229" s="1"/>
      <c r="NO229" s="1"/>
    </row>
    <row r="230" spans="15:379">
      <c r="O230" s="1067"/>
      <c r="P230" s="1067"/>
      <c r="DL230" s="1"/>
      <c r="DM230" s="1"/>
      <c r="NO230" s="1"/>
    </row>
    <row r="231" spans="15:379">
      <c r="O231" s="1067"/>
      <c r="P231" s="1067"/>
      <c r="DL231" s="1"/>
      <c r="DM231" s="1"/>
      <c r="NO231" s="1"/>
    </row>
    <row r="232" spans="15:379">
      <c r="O232" s="1067"/>
      <c r="P232" s="1067"/>
      <c r="DL232" s="1"/>
      <c r="DM232" s="1"/>
      <c r="NO232" s="1"/>
    </row>
    <row r="233" spans="15:379">
      <c r="O233" s="1067"/>
      <c r="P233" s="1067"/>
      <c r="DL233" s="1"/>
      <c r="DM233" s="1"/>
      <c r="NO233" s="1"/>
    </row>
    <row r="234" spans="15:379">
      <c r="O234" s="1067"/>
      <c r="P234" s="1067"/>
      <c r="DL234" s="1"/>
      <c r="DM234" s="1"/>
      <c r="NO234" s="1"/>
    </row>
    <row r="235" spans="15:379">
      <c r="O235" s="1067"/>
      <c r="P235" s="1067"/>
      <c r="NO235" s="1"/>
    </row>
    <row r="236" spans="15:379">
      <c r="O236" s="1067"/>
      <c r="P236" s="1067"/>
      <c r="NO236" s="1"/>
    </row>
    <row r="237" spans="15:379">
      <c r="O237" s="1067"/>
      <c r="P237" s="1067"/>
    </row>
    <row r="238" spans="15:379">
      <c r="O238" s="1067"/>
      <c r="P238" s="1067"/>
    </row>
    <row r="239" spans="15:379">
      <c r="O239" s="1067"/>
      <c r="P239" s="1067"/>
    </row>
    <row r="240" spans="15:379">
      <c r="O240" s="1067"/>
      <c r="P240" s="1067"/>
    </row>
    <row r="241" spans="15:16">
      <c r="O241" s="1067"/>
      <c r="P241" s="1067"/>
    </row>
    <row r="242" spans="15:16">
      <c r="O242" s="1067"/>
      <c r="P242" s="1067"/>
    </row>
    <row r="243" spans="15:16">
      <c r="O243" s="1067"/>
      <c r="P243" s="1067"/>
    </row>
    <row r="244" spans="15:16">
      <c r="O244" s="1067"/>
      <c r="P244" s="1067"/>
    </row>
    <row r="245" spans="15:16">
      <c r="O245" s="1067"/>
      <c r="P245" s="1067"/>
    </row>
    <row r="246" spans="15:16">
      <c r="O246" s="1067"/>
      <c r="P246" s="1067"/>
    </row>
    <row r="247" spans="15:16">
      <c r="O247" s="1067"/>
      <c r="P247" s="1067"/>
    </row>
    <row r="248" spans="15:16">
      <c r="O248" s="1067"/>
      <c r="P248" s="1067"/>
    </row>
    <row r="249" spans="15:16">
      <c r="O249" s="1067"/>
      <c r="P249" s="1067"/>
    </row>
    <row r="250" spans="15:16">
      <c r="O250" s="1067"/>
      <c r="P250" s="1067"/>
    </row>
    <row r="251" spans="15:16">
      <c r="O251" s="1067"/>
      <c r="P251" s="1067"/>
    </row>
    <row r="252" spans="15:16">
      <c r="O252" s="1067"/>
      <c r="P252" s="1067"/>
    </row>
    <row r="253" spans="15:16">
      <c r="O253" s="1067"/>
      <c r="P253" s="1067"/>
    </row>
    <row r="254" spans="15:16">
      <c r="O254" s="1067"/>
      <c r="P254" s="1067"/>
    </row>
    <row r="255" spans="15:16">
      <c r="O255" s="1067"/>
      <c r="P255" s="1067"/>
    </row>
    <row r="256" spans="15:16">
      <c r="O256" s="1067"/>
      <c r="P256" s="1067"/>
    </row>
    <row r="257" spans="15:16">
      <c r="O257" s="1067"/>
      <c r="P257" s="1067"/>
    </row>
    <row r="258" spans="15:16">
      <c r="O258" s="1067"/>
      <c r="P258" s="1067"/>
    </row>
    <row r="259" spans="15:16">
      <c r="O259" s="1067"/>
      <c r="P259" s="1067"/>
    </row>
    <row r="260" spans="15:16">
      <c r="O260" s="1067"/>
      <c r="P260" s="1067"/>
    </row>
    <row r="261" spans="15:16">
      <c r="O261" s="1067"/>
      <c r="P261" s="1067"/>
    </row>
    <row r="262" spans="15:16">
      <c r="O262" s="1067"/>
      <c r="P262" s="1067"/>
    </row>
    <row r="263" spans="15:16">
      <c r="O263" s="1067"/>
      <c r="P263" s="1067"/>
    </row>
    <row r="264" spans="15:16">
      <c r="O264" s="1067"/>
      <c r="P264" s="1067"/>
    </row>
    <row r="265" spans="15:16">
      <c r="O265" s="1067"/>
      <c r="P265" s="1067"/>
    </row>
    <row r="266" spans="15:16">
      <c r="O266" s="1067"/>
      <c r="P266" s="1067"/>
    </row>
    <row r="267" spans="15:16">
      <c r="O267" s="1067"/>
      <c r="P267" s="1067"/>
    </row>
    <row r="268" spans="15:16">
      <c r="O268" s="1067"/>
      <c r="P268" s="1067"/>
    </row>
    <row r="300" spans="28:272">
      <c r="AB300" s="1">
        <f>AB43-AB41</f>
        <v>0</v>
      </c>
      <c r="JL300" s="887"/>
    </row>
    <row r="301" spans="28:272">
      <c r="JJ301" s="1">
        <f>JI41+JJ41</f>
        <v>237211.53999999998</v>
      </c>
    </row>
  </sheetData>
  <mergeCells count="203">
    <mergeCell ref="B4:B7"/>
    <mergeCell ref="C4:CP4"/>
    <mergeCell ref="CR4:EZ4"/>
    <mergeCell ref="FB4:GI4"/>
    <mergeCell ref="GK4:JG4"/>
    <mergeCell ref="JI4:LE4"/>
    <mergeCell ref="CR5:DD5"/>
    <mergeCell ref="DE5:DE40"/>
    <mergeCell ref="DF5:EY5"/>
    <mergeCell ref="EZ5:EZ40"/>
    <mergeCell ref="JI5:JM5"/>
    <mergeCell ref="JN5:JN40"/>
    <mergeCell ref="GT6:GT7"/>
    <mergeCell ref="GU6:GU7"/>
    <mergeCell ref="GV6:GV7"/>
    <mergeCell ref="GW6:GW7"/>
    <mergeCell ref="AQ6:AS6"/>
    <mergeCell ref="AT6:AV6"/>
    <mergeCell ref="AW6:AY6"/>
    <mergeCell ref="AZ6:BB6"/>
    <mergeCell ref="BC6:BE6"/>
    <mergeCell ref="BF6:BH6"/>
    <mergeCell ref="S6:V6"/>
    <mergeCell ref="W6:Z6"/>
    <mergeCell ref="LG4:MV4"/>
    <mergeCell ref="MX4:PH4"/>
    <mergeCell ref="PJ4:PQ4"/>
    <mergeCell ref="PS4:QL4"/>
    <mergeCell ref="C5:M5"/>
    <mergeCell ref="N5:N40"/>
    <mergeCell ref="O5:AL5"/>
    <mergeCell ref="AM5:AM40"/>
    <mergeCell ref="AN5:CG5"/>
    <mergeCell ref="CI5:CO5"/>
    <mergeCell ref="FB5:FF5"/>
    <mergeCell ref="FG5:FG40"/>
    <mergeCell ref="FH5:GH5"/>
    <mergeCell ref="GI5:GI40"/>
    <mergeCell ref="GK5:GQ5"/>
    <mergeCell ref="GR5:GR40"/>
    <mergeCell ref="FH6:FM6"/>
    <mergeCell ref="FN6:FN7"/>
    <mergeCell ref="FO6:FT6"/>
    <mergeCell ref="FU6:FU7"/>
    <mergeCell ref="GS5:GW5"/>
    <mergeCell ref="GX5:GX40"/>
    <mergeCell ref="GY5:JF5"/>
    <mergeCell ref="JG5:JG40"/>
    <mergeCell ref="NC5:PG5"/>
    <mergeCell ref="PH5:PH40"/>
    <mergeCell ref="MD6:MH6"/>
    <mergeCell ref="MI6:MI7"/>
    <mergeCell ref="MJ6:MN6"/>
    <mergeCell ref="MO6:MO7"/>
    <mergeCell ref="JO5:KM5"/>
    <mergeCell ref="KN5:KN40"/>
    <mergeCell ref="KO5:LD5"/>
    <mergeCell ref="LE5:LE40"/>
    <mergeCell ref="LG5:LP5"/>
    <mergeCell ref="LQ5:LQ40"/>
    <mergeCell ref="KT6:KX6"/>
    <mergeCell ref="KY6:LC6"/>
    <mergeCell ref="LD6:LD7"/>
    <mergeCell ref="LG6:LJ6"/>
    <mergeCell ref="LK6:LN6"/>
    <mergeCell ref="LO6:LO7"/>
    <mergeCell ref="LP6:LP7"/>
    <mergeCell ref="LR6:LV6"/>
    <mergeCell ref="LW6:LW7"/>
    <mergeCell ref="LX6:MC6"/>
    <mergeCell ref="OZ6:OZ7"/>
    <mergeCell ref="QT5:QY5"/>
    <mergeCell ref="RA5:RF5"/>
    <mergeCell ref="C6:C7"/>
    <mergeCell ref="D6:D7"/>
    <mergeCell ref="E6:E7"/>
    <mergeCell ref="F6:G6"/>
    <mergeCell ref="H6:I6"/>
    <mergeCell ref="J6:K6"/>
    <mergeCell ref="L6:M6"/>
    <mergeCell ref="O6:R6"/>
    <mergeCell ref="PJ5:PP5"/>
    <mergeCell ref="PQ5:PQ40"/>
    <mergeCell ref="PS5:QK5"/>
    <mergeCell ref="QL5:QL40"/>
    <mergeCell ref="QN5:QO5"/>
    <mergeCell ref="QQ5:QR5"/>
    <mergeCell ref="PJ6:PJ7"/>
    <mergeCell ref="PK6:PK7"/>
    <mergeCell ref="PL6:PL7"/>
    <mergeCell ref="PM6:PM7"/>
    <mergeCell ref="LR5:MU5"/>
    <mergeCell ref="MV5:MV40"/>
    <mergeCell ref="MX5:NA5"/>
    <mergeCell ref="NB5:NB40"/>
    <mergeCell ref="AA6:AD6"/>
    <mergeCell ref="AE6:AH6"/>
    <mergeCell ref="AI6:AL6"/>
    <mergeCell ref="AN6:AP6"/>
    <mergeCell ref="CB6:CD6"/>
    <mergeCell ref="CE6:CG6"/>
    <mergeCell ref="CI6:CI7"/>
    <mergeCell ref="CJ6:CJ7"/>
    <mergeCell ref="CK6:CK7"/>
    <mergeCell ref="CL6:CL7"/>
    <mergeCell ref="BI6:BK6"/>
    <mergeCell ref="BL6:BO6"/>
    <mergeCell ref="BP6:BR6"/>
    <mergeCell ref="BS6:BU6"/>
    <mergeCell ref="BV6:BX6"/>
    <mergeCell ref="BY6:CA6"/>
    <mergeCell ref="CT6:CT7"/>
    <mergeCell ref="CU6:CU7"/>
    <mergeCell ref="CV6:CV7"/>
    <mergeCell ref="CW6:CW7"/>
    <mergeCell ref="CX6:CX7"/>
    <mergeCell ref="CY6:CY7"/>
    <mergeCell ref="CM6:CM7"/>
    <mergeCell ref="CN6:CN7"/>
    <mergeCell ref="CO6:CO7"/>
    <mergeCell ref="CP6:CP7"/>
    <mergeCell ref="CR6:CR7"/>
    <mergeCell ref="CS6:CS7"/>
    <mergeCell ref="DR6:DR7"/>
    <mergeCell ref="DS6:EC6"/>
    <mergeCell ref="EE6:EE7"/>
    <mergeCell ref="EF6:EP6"/>
    <mergeCell ref="ER6:ER7"/>
    <mergeCell ref="ES6:EX6"/>
    <mergeCell ref="CZ6:CZ7"/>
    <mergeCell ref="DA6:DA7"/>
    <mergeCell ref="DB6:DB7"/>
    <mergeCell ref="DC6:DC7"/>
    <mergeCell ref="DD6:DD7"/>
    <mergeCell ref="DF6:DP6"/>
    <mergeCell ref="FV6:GF6"/>
    <mergeCell ref="GH6:GH7"/>
    <mergeCell ref="GK6:GM6"/>
    <mergeCell ref="GN6:GN7"/>
    <mergeCell ref="GQ6:GQ7"/>
    <mergeCell ref="GS6:GS7"/>
    <mergeCell ref="EY6:EY7"/>
    <mergeCell ref="FB6:FB7"/>
    <mergeCell ref="FC6:FC7"/>
    <mergeCell ref="FD6:FD7"/>
    <mergeCell ref="FE6:FE7"/>
    <mergeCell ref="FF6:FF7"/>
    <mergeCell ref="IR6:JE6"/>
    <mergeCell ref="JF6:JF7"/>
    <mergeCell ref="JI6:JI7"/>
    <mergeCell ref="JJ6:JJ7"/>
    <mergeCell ref="JK6:JK7"/>
    <mergeCell ref="JL6:JL7"/>
    <mergeCell ref="GY6:HL6"/>
    <mergeCell ref="HM6:HM7"/>
    <mergeCell ref="HN6:IA6"/>
    <mergeCell ref="IB6:IB7"/>
    <mergeCell ref="IC6:IP6"/>
    <mergeCell ref="IQ6:IQ7"/>
    <mergeCell ref="JM6:JM7"/>
    <mergeCell ref="JO6:JV6"/>
    <mergeCell ref="JW6:KD6"/>
    <mergeCell ref="KE6:KL6"/>
    <mergeCell ref="KM6:KM7"/>
    <mergeCell ref="KO6:KS6"/>
    <mergeCell ref="PA6:PF6"/>
    <mergeCell ref="PG6:PG7"/>
    <mergeCell ref="NC6:NE6"/>
    <mergeCell ref="NF6:NF7"/>
    <mergeCell ref="NG6:NR6"/>
    <mergeCell ref="NS6:NS7"/>
    <mergeCell ref="NT6:OD6"/>
    <mergeCell ref="OF6:OF7"/>
    <mergeCell ref="MP6:MT6"/>
    <mergeCell ref="MU6:MU7"/>
    <mergeCell ref="MX6:MX7"/>
    <mergeCell ref="MY6:MY7"/>
    <mergeCell ref="MZ6:MZ7"/>
    <mergeCell ref="NA6:NA7"/>
    <mergeCell ref="QF6:QF7"/>
    <mergeCell ref="SA8:SD8"/>
    <mergeCell ref="JO48:JP48"/>
    <mergeCell ref="QK6:QK7"/>
    <mergeCell ref="RJ6:RL6"/>
    <mergeCell ref="RM6:RM7"/>
    <mergeCell ref="AA8:AD9"/>
    <mergeCell ref="RO8:RT8"/>
    <mergeCell ref="RW8:RZ8"/>
    <mergeCell ref="QA6:QA7"/>
    <mergeCell ref="QB6:QB7"/>
    <mergeCell ref="QC6:QC7"/>
    <mergeCell ref="QD6:QD7"/>
    <mergeCell ref="QE6:QE7"/>
    <mergeCell ref="QG6:QI6"/>
    <mergeCell ref="PN6:PN7"/>
    <mergeCell ref="PO6:PO7"/>
    <mergeCell ref="PP6:PP7"/>
    <mergeCell ref="PS6:PT6"/>
    <mergeCell ref="PU6:PY6"/>
    <mergeCell ref="PZ6:PZ7"/>
    <mergeCell ref="OG6:OQ6"/>
    <mergeCell ref="OS6:OS7"/>
    <mergeCell ref="OT6:OY6"/>
  </mergeCells>
  <conditionalFormatting sqref="B10:B40">
    <cfRule type="expression" dxfId="144" priority="17" stopIfTrue="1">
      <formula>SUMIFS($AQ10:$CG10,$AQ$7:$CG$7,"ROM")&lt;&gt;SUM($DR10,$EE10,$ER10,$PY10)</formula>
    </cfRule>
    <cfRule type="expression" dxfId="143" priority="18" stopIfTrue="1">
      <formula>OR(SUM(GS10:GV10)&lt;&gt;SUM(HM10,IQ10,JF10),SUM(HM10,IQ10,JF10)&lt;&gt;SUM(JI10:JK10))</formula>
    </cfRule>
    <cfRule type="expression" dxfId="142" priority="19">
      <formula>OR(SUM(#REF!)&lt;&gt;SUM(P1048567,AE1048567,AT1048567),SUM(P1048567,AE1048567,AT1048567)&lt;&gt;SUM(AW1048567:AY1048567))</formula>
    </cfRule>
  </conditionalFormatting>
  <conditionalFormatting sqref="C10:S10 U10:AW10 CF10:JK10 JN10:QK10 AX10:CD11 T10:T40 AC11:AV11 CF11:CM11 IQ11:JH11 JJ11:JK11 U11:W15 NF11:NL18 X11:Z23 KY11:LV34 C11:R40 AA11:AA40 JN11:KX40 LW11:NB40 NM11:QK40 GL11:GL41 NC11:NE42 AB11:AB44 S11:S45 CA12:CD18 CF12:CH18 BZ12:BZ19 BO12:BY29 CI12:CM37 AC12:BN40 W16:W17 U16:U20 V18:W20 CA19:CH19 NG19:NL20 NF19:NF25 BZ20:CH29 U21:W23 NH21:NL24 NG21:NG25 V24:Z40 U24:U44 NH25:NH31 NI25:NL33 NF26:NG31 BO30:CH37 NF32:NH33 NF34:NL40 KY35:LP35 LQ35:LV36 KY36:LO36 KY37:LV40 BO38:CM40 T43">
    <cfRule type="expression" dxfId="141" priority="15">
      <formula>$B10=DAY(TODAY()-1)</formula>
    </cfRule>
  </conditionalFormatting>
  <conditionalFormatting sqref="O10:R40">
    <cfRule type="expression" dxfId="140" priority="13">
      <formula>OR(AND(O10&lt;(O$45-(10%*O$45)),O$7="OB"),AND(O10&lt;(O$45-(10%*O$45)),O$7="ROM"))</formula>
    </cfRule>
  </conditionalFormatting>
  <conditionalFormatting sqref="V16">
    <cfRule type="expression" dxfId="139" priority="16">
      <formula>$B16=DAY(TODAY()-1)</formula>
    </cfRule>
  </conditionalFormatting>
  <conditionalFormatting sqref="W10:X40">
    <cfRule type="expression" dxfId="138" priority="9">
      <formula>OR(AND(W10&lt;(W$45-(10%*W$45)),W$7="OB"),AND(W10&lt;(W$45-(10%*W$45)),W$7="ROM"))</formula>
    </cfRule>
  </conditionalFormatting>
  <conditionalFormatting sqref="Y10:AD10 BO10:CA10 U10:V16 BO11:BZ11 Y11:AA40 AC11:AD40 AG11:AJ40 CA11:CA40 AB11:AB44 BO12:BX12 BY12:BZ29 BO13:BS15 BT13:BX21 BP16:BS16 U17:U20 BO17:BS21 V18:V20 U21:V23 BO22:BX29 V24:V40 U24:U44 BO30:BZ40 O40">
    <cfRule type="expression" dxfId="137" priority="14">
      <formula>OR(AND(O10&lt;(O$45-(10%*O$45)),O$7="OB"),AND(O10&lt;(O$45-(10%*O$45)),O$7="ROM"))</formula>
    </cfRule>
  </conditionalFormatting>
  <conditionalFormatting sqref="AE10:AF40">
    <cfRule type="expression" dxfId="136" priority="10">
      <formula>OR(AND(AE10&lt;(AE$45-(10%*AE$45)),AE$7="OB"),AND(AE10&lt;(AE$45-(10%*AE$45)),AE$7="ROM"))</formula>
    </cfRule>
  </conditionalFormatting>
  <conditionalFormatting sqref="AG10:AW10 AX10:BK11 T10:T40 S10:S45 AK11:AV11 AK12:BK33 AK34:BN40 T43">
    <cfRule type="expression" dxfId="135" priority="12">
      <formula>OR(AND(S10&lt;(S$45-(10%*S$45)),S$7="OB"),AND(S10&lt;(S$45-(10%*S$45)),S$7="ROM"))</formula>
    </cfRule>
  </conditionalFormatting>
  <conditionalFormatting sqref="AW10">
    <cfRule type="expression" dxfId="134" priority="2188">
      <formula>$B11=DAY(TODAY()-1)</formula>
    </cfRule>
  </conditionalFormatting>
  <conditionalFormatting sqref="BL10:BN33">
    <cfRule type="expression" dxfId="133" priority="11">
      <formula>OR(AND(BL10&lt;(BL$45-(10%*BL$45)),BL$7="OB"),AND(BL10&lt;(BL$45-(10%*BL$45)),BL$7="ROM"))</formula>
    </cfRule>
  </conditionalFormatting>
  <conditionalFormatting sqref="CB10:CG40">
    <cfRule type="expression" dxfId="132" priority="6">
      <formula>OR(AND(CB10&lt;(CB$45-(10%*CB$45)),CB$7="OB"),AND(CB10&lt;(CB$45-(10%*CB$45)),CB$7="ROM"))</formula>
    </cfRule>
  </conditionalFormatting>
  <conditionalFormatting sqref="CE10:CE18">
    <cfRule type="expression" dxfId="131" priority="7">
      <formula>$B10=DAY(TODAY()-1)</formula>
    </cfRule>
  </conditionalFormatting>
  <conditionalFormatting sqref="CN11:GK40 GM11:IP40 IQ12:JK40">
    <cfRule type="expression" dxfId="130" priority="3">
      <formula>$B11=DAY(TODAY()-1)</formula>
    </cfRule>
  </conditionalFormatting>
  <conditionalFormatting sqref="EE1">
    <cfRule type="expression" dxfId="129" priority="2">
      <formula>$B1=DAY(TODAY()-1)</formula>
    </cfRule>
  </conditionalFormatting>
  <conditionalFormatting sqref="EF10">
    <cfRule type="expression" dxfId="128" priority="5">
      <formula>OR(AND(EF10&lt;(EF$45-(10%*EF$45)),EF$7="OB"),AND(EF10&lt;(EF$45-(10%*EF$45)),EF$7="ROM"))</formula>
    </cfRule>
  </conditionalFormatting>
  <conditionalFormatting sqref="EH21">
    <cfRule type="expression" dxfId="127" priority="8">
      <formula>OR(AND(EH21&lt;(EH$45-(10%*EH$45)),EH$7="OB"),AND(EH21&lt;(EH$45-(10%*EH$45)),EH$7="ROM"))</formula>
    </cfRule>
  </conditionalFormatting>
  <conditionalFormatting sqref="JL10:JM40">
    <cfRule type="expression" dxfId="126" priority="4">
      <formula>$B10=DAY(TODAY()-1)</formula>
    </cfRule>
  </conditionalFormatting>
  <conditionalFormatting sqref="OJ1">
    <cfRule type="expression" dxfId="125" priority="1">
      <formula>$B1=DAY(TODAY()-1)</formula>
    </cfRule>
  </conditionalFormatting>
  <pageMargins left="0.7" right="0.7" top="0.75" bottom="0.75" header="0.3" footer="0.3"/>
  <pageSetup orientation="portrait" r:id="rId1"/>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B2:TF141"/>
  <sheetViews>
    <sheetView showGridLines="0" zoomScale="62" zoomScaleNormal="62" workbookViewId="0">
      <pane xSplit="2" ySplit="1" topLeftCell="AO2" activePane="bottomRight" state="frozen"/>
      <selection pane="topRight" activeCell="H17" sqref="H17"/>
      <selection pane="bottomLeft" activeCell="H17" sqref="H17"/>
      <selection pane="bottomRight" activeCell="AU16" sqref="AU16"/>
    </sheetView>
  </sheetViews>
  <sheetFormatPr defaultColWidth="8.6640625" defaultRowHeight="14.4"/>
  <cols>
    <col min="1" max="1" width="2.33203125" customWidth="1"/>
    <col min="2" max="2" width="7.33203125" customWidth="1"/>
    <col min="3" max="3" width="15.33203125" customWidth="1"/>
    <col min="4" max="4" width="13" customWidth="1"/>
    <col min="5" max="7" width="10.44140625" customWidth="1"/>
    <col min="8" max="8" width="13.6640625" customWidth="1"/>
    <col min="9" max="9" width="10.44140625" customWidth="1"/>
    <col min="10" max="10" width="12.33203125" hidden="1" customWidth="1"/>
    <col min="11" max="11" width="8.6640625" hidden="1" customWidth="1"/>
    <col min="12" max="12" width="14.6640625" hidden="1" customWidth="1"/>
    <col min="13" max="13" width="8.6640625" hidden="1" customWidth="1"/>
    <col min="14" max="14" width="5" customWidth="1"/>
    <col min="15" max="15" width="14.6640625" customWidth="1"/>
    <col min="16" max="16" width="12.109375" customWidth="1"/>
    <col min="17" max="17" width="12.6640625" bestFit="1" customWidth="1"/>
    <col min="18" max="18" width="11.5546875" bestFit="1" customWidth="1"/>
    <col min="19" max="19" width="11.6640625" hidden="1" customWidth="1"/>
    <col min="20" max="20" width="22.33203125" hidden="1" customWidth="1"/>
    <col min="21" max="23" width="17.44140625" customWidth="1"/>
    <col min="24" max="24" width="11.6640625" customWidth="1"/>
    <col min="25" max="25" width="1.33203125" customWidth="1"/>
    <col min="26" max="26" width="11.33203125" customWidth="1"/>
    <col min="27" max="27" width="14.33203125" customWidth="1"/>
    <col min="28" max="28" width="11.33203125" customWidth="1"/>
    <col min="29" max="29" width="17.6640625" customWidth="1"/>
    <col min="30" max="33" width="11.33203125" customWidth="1"/>
    <col min="34" max="34" width="18.6640625" customWidth="1"/>
    <col min="35" max="37" width="12.33203125" customWidth="1"/>
    <col min="38" max="38" width="12.109375" customWidth="1"/>
    <col min="39" max="40" width="12.109375" hidden="1" customWidth="1"/>
    <col min="41" max="42" width="17.5546875" customWidth="1"/>
    <col min="43" max="43" width="12" customWidth="1"/>
    <col min="44" max="45" width="18.44140625" customWidth="1"/>
    <col min="46" max="46" width="18.44140625" hidden="1" customWidth="1"/>
    <col min="47" max="47" width="18.44140625" customWidth="1"/>
    <col min="48" max="48" width="12.109375" hidden="1" customWidth="1"/>
    <col min="49" max="49" width="1.33203125" customWidth="1"/>
    <col min="50" max="50" width="15" customWidth="1"/>
    <col min="51" max="51" width="15" hidden="1" customWidth="1"/>
    <col min="52" max="52" width="8" customWidth="1"/>
    <col min="53" max="57" width="8.44140625" customWidth="1"/>
    <col min="58" max="58" width="2.44140625" customWidth="1"/>
    <col min="59" max="61" width="17.88671875" hidden="1" customWidth="1"/>
    <col min="62" max="62" width="0.5546875" customWidth="1"/>
    <col min="63" max="63" width="13.88671875" customWidth="1"/>
    <col min="64" max="65" width="6.6640625" customWidth="1"/>
    <col min="66" max="66" width="8.88671875" customWidth="1"/>
    <col min="67" max="67" width="7" customWidth="1"/>
    <col min="68" max="68" width="9.33203125" customWidth="1"/>
    <col min="69" max="69" width="19.44140625" customWidth="1"/>
    <col min="70" max="70" width="2.5546875" customWidth="1"/>
    <col min="71" max="71" width="19" customWidth="1"/>
    <col min="72" max="88" width="30.5546875" hidden="1" customWidth="1"/>
    <col min="89" max="89" width="1.6640625" customWidth="1"/>
    <col min="90" max="90" width="9.33203125" customWidth="1"/>
    <col min="91" max="91" width="8.6640625" customWidth="1"/>
    <col min="92" max="92" width="14.109375" customWidth="1"/>
    <col min="93" max="93" width="19.44140625" customWidth="1"/>
    <col min="94" max="94" width="5.44140625" customWidth="1"/>
    <col min="95" max="95" width="6.6640625" customWidth="1"/>
    <col min="96" max="96" width="12.6640625" customWidth="1"/>
    <col min="97" max="97" width="20" customWidth="1"/>
    <col min="98" max="98" width="8.6640625" customWidth="1"/>
    <col min="99" max="99" width="10.33203125" customWidth="1"/>
    <col min="100" max="100" width="9.33203125" customWidth="1"/>
    <col min="101" max="102" width="8.6640625" customWidth="1"/>
    <col min="103" max="103" width="1.33203125" customWidth="1"/>
    <col min="104" max="104" width="12" customWidth="1"/>
    <col min="105" max="105" width="8.6640625" customWidth="1"/>
    <col min="106" max="106" width="3.33203125" customWidth="1"/>
    <col min="107" max="107" width="14.5546875" bestFit="1" customWidth="1"/>
    <col min="108" max="108" width="16.33203125" customWidth="1"/>
    <col min="109" max="109" width="12.33203125" customWidth="1"/>
    <col min="110" max="110" width="14.6640625" hidden="1" customWidth="1"/>
    <col min="111" max="111" width="11.44140625" hidden="1" customWidth="1"/>
    <col min="112" max="112" width="11.6640625" hidden="1" customWidth="1"/>
    <col min="113" max="113" width="14.5546875" customWidth="1"/>
    <col min="114" max="114" width="16.33203125" customWidth="1"/>
    <col min="115" max="115" width="8.6640625" customWidth="1"/>
    <col min="116" max="116" width="8.5546875" hidden="1" customWidth="1"/>
    <col min="117" max="117" width="8.6640625" hidden="1" customWidth="1"/>
    <col min="118" max="118" width="9.33203125" hidden="1" customWidth="1"/>
    <col min="119" max="120" width="8.6640625" hidden="1" customWidth="1"/>
    <col min="121" max="121" width="8.33203125" hidden="1" customWidth="1"/>
    <col min="122" max="122" width="13.6640625" customWidth="1"/>
    <col min="123" max="123" width="15.33203125" customWidth="1"/>
    <col min="124" max="124" width="9.33203125" customWidth="1"/>
    <col min="125" max="125" width="11.6640625" customWidth="1"/>
    <col min="126" max="126" width="11.33203125" customWidth="1"/>
    <col min="127" max="127" width="8.6640625" customWidth="1"/>
    <col min="128" max="128" width="17.33203125" hidden="1" customWidth="1"/>
    <col min="129" max="129" width="18.33203125" hidden="1" customWidth="1"/>
    <col min="130" max="130" width="8.6640625" hidden="1" customWidth="1"/>
    <col min="131" max="131" width="16.44140625" customWidth="1"/>
    <col min="132" max="132" width="13.5546875" customWidth="1"/>
    <col min="133" max="133" width="10.6640625" customWidth="1"/>
    <col min="134" max="134" width="14.6640625" customWidth="1"/>
    <col min="135" max="135" width="14" customWidth="1"/>
    <col min="136" max="136" width="8.6640625" customWidth="1"/>
    <col min="137" max="137" width="13.33203125" customWidth="1"/>
    <col min="138" max="138" width="12.6640625" customWidth="1"/>
    <col min="139" max="139" width="9.33203125" customWidth="1"/>
    <col min="140" max="140" width="13.5546875" hidden="1" customWidth="1"/>
    <col min="141" max="141" width="12.33203125" hidden="1" customWidth="1"/>
    <col min="142" max="142" width="9.33203125" hidden="1" customWidth="1"/>
    <col min="143" max="143" width="12.6640625" hidden="1" customWidth="1"/>
    <col min="144" max="144" width="11.33203125" hidden="1" customWidth="1"/>
    <col min="145" max="145" width="9.33203125" hidden="1" customWidth="1"/>
    <col min="146" max="146" width="13.44140625" hidden="1" customWidth="1"/>
    <col min="147" max="147" width="13" hidden="1" customWidth="1"/>
    <col min="148" max="148" width="9.33203125" hidden="1" customWidth="1"/>
    <col min="149" max="149" width="7.6640625" customWidth="1"/>
    <col min="150" max="152" width="10.6640625" customWidth="1"/>
    <col min="156" max="156" width="0" hidden="1" customWidth="1"/>
    <col min="157" max="157" width="18.33203125" customWidth="1"/>
    <col min="158" max="158" width="6.6640625" customWidth="1"/>
    <col min="160" max="160" width="11.6640625" bestFit="1" customWidth="1"/>
    <col min="162" max="162" width="11.6640625" bestFit="1" customWidth="1"/>
    <col min="164" max="164" width="11.6640625" bestFit="1" customWidth="1"/>
    <col min="166" max="166" width="11.6640625" bestFit="1" customWidth="1"/>
    <col min="168" max="168" width="11.6640625" bestFit="1" customWidth="1"/>
    <col min="170" max="170" width="11.6640625" bestFit="1" customWidth="1"/>
    <col min="171" max="171" width="13.33203125" bestFit="1" customWidth="1"/>
    <col min="172" max="172" width="7.6640625" customWidth="1"/>
    <col min="174" max="174" width="11.6640625" bestFit="1" customWidth="1"/>
    <col min="175" max="175" width="11.6640625" customWidth="1"/>
    <col min="176" max="176" width="11.6640625" bestFit="1" customWidth="1"/>
    <col min="177" max="177" width="12.5546875" bestFit="1" customWidth="1"/>
    <col min="178" max="178" width="11.6640625" bestFit="1" customWidth="1"/>
    <col min="180" max="180" width="11.6640625" bestFit="1" customWidth="1"/>
    <col min="181" max="181" width="12.6640625" bestFit="1" customWidth="1"/>
    <col min="182" max="182" width="11.6640625" bestFit="1" customWidth="1"/>
    <col min="183" max="183" width="10.6640625" bestFit="1" customWidth="1"/>
    <col min="184" max="184" width="11.6640625" bestFit="1" customWidth="1"/>
    <col min="185" max="185" width="13.6640625" bestFit="1" customWidth="1"/>
    <col min="186" max="186" width="11.33203125" customWidth="1"/>
    <col min="187" max="187" width="16.6640625" customWidth="1"/>
    <col min="188" max="188" width="9.6640625" customWidth="1"/>
    <col min="189" max="189" width="11.6640625" bestFit="1" customWidth="1"/>
    <col min="190" max="190" width="10.33203125" bestFit="1" customWidth="1"/>
    <col min="191" max="191" width="11.6640625" bestFit="1" customWidth="1"/>
    <col min="192" max="192" width="10.33203125" customWidth="1"/>
    <col min="193" max="193" width="11.6640625" bestFit="1" customWidth="1"/>
    <col min="194" max="194" width="12.33203125" customWidth="1"/>
    <col min="195" max="195" width="10.33203125" customWidth="1"/>
    <col min="196" max="196" width="9.33203125" customWidth="1"/>
    <col min="197" max="197" width="11.6640625" bestFit="1" customWidth="1"/>
    <col min="198" max="198" width="14.6640625" customWidth="1"/>
    <col min="199" max="199" width="12.6640625" bestFit="1" customWidth="1"/>
    <col min="200" max="200" width="12.33203125" hidden="1" customWidth="1"/>
    <col min="201" max="201" width="12.6640625" bestFit="1" customWidth="1"/>
    <col min="202" max="202" width="12.33203125" hidden="1" customWidth="1"/>
    <col min="203" max="203" width="12.6640625" bestFit="1" customWidth="1"/>
    <col min="204" max="204" width="12.33203125" hidden="1" customWidth="1"/>
    <col min="205" max="205" width="12.6640625" bestFit="1" customWidth="1"/>
    <col min="206" max="206" width="12.33203125" hidden="1" customWidth="1"/>
    <col min="207" max="207" width="12.6640625" bestFit="1" customWidth="1"/>
    <col min="208" max="208" width="12.33203125" hidden="1" customWidth="1"/>
    <col min="209" max="209" width="12.6640625" bestFit="1" customWidth="1"/>
    <col min="210" max="210" width="11.6640625" hidden="1" customWidth="1"/>
    <col min="211" max="211" width="12.6640625" customWidth="1"/>
    <col min="212" max="218" width="8.6640625" hidden="1" customWidth="1"/>
    <col min="219" max="219" width="1.33203125" customWidth="1"/>
    <col min="220" max="220" width="6.6640625" customWidth="1"/>
    <col min="223" max="223" width="9.33203125" bestFit="1" customWidth="1"/>
    <col min="226" max="226" width="1.33203125" customWidth="1"/>
    <col min="227" max="240" width="8.6640625" hidden="1" customWidth="1"/>
    <col min="241" max="241" width="7.33203125" bestFit="1" customWidth="1"/>
    <col min="242" max="242" width="11.6640625" bestFit="1" customWidth="1"/>
    <col min="243" max="243" width="6.6640625" bestFit="1" customWidth="1"/>
    <col min="244" max="244" width="11.6640625" bestFit="1" customWidth="1"/>
    <col min="245" max="245" width="6.6640625" bestFit="1" customWidth="1"/>
    <col min="246" max="246" width="11.6640625" bestFit="1" customWidth="1"/>
    <col min="247" max="247" width="6.6640625" bestFit="1" customWidth="1"/>
    <col min="248" max="248" width="11.6640625" bestFit="1" customWidth="1"/>
    <col min="249" max="249" width="10.33203125" bestFit="1" customWidth="1"/>
    <col min="250" max="250" width="11.6640625" bestFit="1" customWidth="1"/>
    <col min="251" max="251" width="6.6640625" bestFit="1" customWidth="1"/>
    <col min="252" max="252" width="11.6640625" bestFit="1" customWidth="1"/>
    <col min="254" max="254" width="1.33203125" customWidth="1"/>
    <col min="255" max="255" width="6.6640625" customWidth="1"/>
    <col min="256" max="256" width="13" customWidth="1"/>
    <col min="257" max="257" width="13.44140625" customWidth="1"/>
    <col min="258" max="258" width="12" customWidth="1"/>
    <col min="259" max="259" width="12.6640625" customWidth="1"/>
    <col min="260" max="260" width="10.33203125" hidden="1" customWidth="1"/>
    <col min="261" max="261" width="0" hidden="1" customWidth="1"/>
    <col min="262" max="262" width="37.44140625" customWidth="1"/>
    <col min="263" max="263" width="1.33203125" customWidth="1"/>
    <col min="264" max="264" width="13.33203125" bestFit="1" customWidth="1"/>
    <col min="265" max="265" width="12.33203125" bestFit="1" customWidth="1"/>
    <col min="266" max="266" width="13.33203125" customWidth="1"/>
    <col min="267" max="267" width="12.33203125" hidden="1" customWidth="1"/>
    <col min="268" max="268" width="12.33203125" bestFit="1" customWidth="1"/>
    <col min="269" max="269" width="1.33203125" customWidth="1"/>
    <col min="270" max="270" width="13.5546875" hidden="1" customWidth="1"/>
    <col min="271" max="271" width="12.33203125" hidden="1" customWidth="1"/>
    <col min="272" max="272" width="13.33203125" hidden="1" customWidth="1"/>
    <col min="273" max="273" width="13" hidden="1" customWidth="1"/>
    <col min="274" max="274" width="12.6640625" hidden="1" customWidth="1"/>
    <col min="275" max="275" width="14.44140625" hidden="1" customWidth="1"/>
    <col min="276" max="276" width="12" hidden="1" customWidth="1"/>
    <col min="277" max="278" width="11.6640625" hidden="1" customWidth="1"/>
    <col min="279" max="279" width="13" hidden="1" customWidth="1"/>
    <col min="280" max="280" width="10.33203125" hidden="1" customWidth="1"/>
    <col min="281" max="281" width="11.6640625" hidden="1" customWidth="1"/>
    <col min="282" max="282" width="0" hidden="1" customWidth="1"/>
    <col min="283" max="283" width="10.33203125" hidden="1" customWidth="1"/>
    <col min="284" max="284" width="10.44140625" hidden="1" customWidth="1"/>
    <col min="285" max="285" width="11.33203125" customWidth="1"/>
    <col min="286" max="286" width="11.6640625" bestFit="1" customWidth="1"/>
    <col min="287" max="287" width="10.33203125" bestFit="1" customWidth="1"/>
    <col min="288" max="288" width="11.6640625" bestFit="1" customWidth="1"/>
    <col min="289" max="289" width="12.33203125" bestFit="1" customWidth="1"/>
    <col min="290" max="290" width="11.6640625" bestFit="1" customWidth="1"/>
    <col min="291" max="291" width="10.44140625" bestFit="1" customWidth="1"/>
    <col min="292" max="292" width="11.6640625" bestFit="1" customWidth="1"/>
    <col min="293" max="293" width="12.33203125" bestFit="1" customWidth="1"/>
    <col min="294" max="294" width="11.6640625" bestFit="1" customWidth="1"/>
    <col min="295" max="295" width="12" customWidth="1"/>
    <col min="296" max="296" width="12.33203125" bestFit="1" customWidth="1"/>
    <col min="299" max="299" width="11.6640625" bestFit="1" customWidth="1"/>
    <col min="300" max="300" width="7.33203125" bestFit="1" customWidth="1"/>
    <col min="301" max="301" width="11.6640625" bestFit="1" customWidth="1"/>
    <col min="302" max="302" width="9.44140625" customWidth="1"/>
    <col min="303" max="303" width="11.6640625" bestFit="1" customWidth="1"/>
    <col min="304" max="305" width="12" bestFit="1" customWidth="1"/>
    <col min="306" max="306" width="8.5546875" customWidth="1"/>
    <col min="307" max="307" width="11.6640625" bestFit="1" customWidth="1"/>
    <col min="308" max="308" width="10.44140625" bestFit="1" customWidth="1"/>
    <col min="309" max="309" width="12" bestFit="1" customWidth="1"/>
    <col min="310" max="310" width="9.5546875" customWidth="1"/>
    <col min="311" max="311" width="11.6640625" bestFit="1" customWidth="1"/>
    <col min="314" max="314" width="13" customWidth="1"/>
    <col min="315" max="315" width="1.33203125" customWidth="1"/>
    <col min="316" max="316" width="6.6640625" customWidth="1"/>
    <col min="317" max="317" width="21.33203125" customWidth="1"/>
    <col min="318" max="318" width="16" customWidth="1"/>
    <col min="319" max="319" width="15.5546875" bestFit="1" customWidth="1"/>
    <col min="320" max="320" width="13.33203125" bestFit="1" customWidth="1"/>
    <col min="321" max="321" width="13" bestFit="1" customWidth="1"/>
    <col min="322" max="322" width="3.6640625" customWidth="1"/>
    <col min="323" max="323" width="12.5546875" bestFit="1" customWidth="1"/>
    <col min="327" max="327" width="11.5546875" customWidth="1"/>
    <col min="331" max="338" width="8.6640625" customWidth="1"/>
    <col min="345" max="345" width="8.6640625" customWidth="1"/>
    <col min="346" max="346" width="6.33203125" customWidth="1"/>
    <col min="348" max="348" width="1.33203125" customWidth="1"/>
    <col min="354" max="354" width="12.33203125" customWidth="1"/>
    <col min="355" max="358" width="8.6640625" customWidth="1"/>
    <col min="364" max="364" width="0" hidden="1" customWidth="1"/>
    <col min="365" max="365" width="1.33203125" customWidth="1"/>
    <col min="366" max="366" width="6.6640625" customWidth="1"/>
    <col min="367" max="367" width="16.33203125" customWidth="1"/>
    <col min="368" max="368" width="13.33203125" customWidth="1"/>
    <col min="369" max="369" width="25.33203125" customWidth="1"/>
    <col min="370" max="370" width="14.33203125" bestFit="1" customWidth="1"/>
    <col min="371" max="371" width="14.44140625" customWidth="1"/>
    <col min="372" max="372" width="13.44140625" bestFit="1" customWidth="1"/>
    <col min="374" max="374" width="0" hidden="1" customWidth="1"/>
    <col min="376" max="376" width="49.33203125" customWidth="1"/>
    <col min="377" max="377" width="1.33203125" customWidth="1"/>
    <col min="378" max="378" width="15.33203125" customWidth="1"/>
    <col min="379" max="379" width="10.33203125" bestFit="1" customWidth="1"/>
    <col min="380" max="380" width="13.6640625" bestFit="1" customWidth="1"/>
    <col min="381" max="381" width="9.44140625" customWidth="1"/>
    <col min="382" max="382" width="9.6640625" customWidth="1"/>
    <col min="383" max="383" width="12.33203125" customWidth="1"/>
    <col min="384" max="384" width="10.44140625" bestFit="1" customWidth="1"/>
    <col min="385" max="385" width="9" customWidth="1"/>
    <col min="386" max="386" width="13.6640625" bestFit="1" customWidth="1"/>
    <col min="387" max="387" width="12" bestFit="1" customWidth="1"/>
    <col min="388" max="388" width="13" bestFit="1" customWidth="1"/>
    <col min="389" max="389" width="9.6640625" bestFit="1" customWidth="1"/>
    <col min="390" max="390" width="9.33203125" bestFit="1" customWidth="1"/>
    <col min="391" max="391" width="12.6640625" customWidth="1"/>
    <col min="392" max="392" width="13.6640625" bestFit="1" customWidth="1"/>
    <col min="393" max="393" width="9.44140625" bestFit="1" customWidth="1"/>
    <col min="394" max="394" width="9.6640625" bestFit="1" customWidth="1"/>
    <col min="395" max="395" width="13.5546875" bestFit="1" customWidth="1"/>
    <col min="396" max="396" width="7.6640625" customWidth="1"/>
    <col min="397" max="397" width="9.33203125" customWidth="1"/>
    <col min="398" max="398" width="15.5546875" customWidth="1"/>
    <col min="399" max="399" width="9.44140625" customWidth="1"/>
    <col min="400" max="400" width="9.6640625" customWidth="1"/>
    <col min="401" max="401" width="13.5546875" customWidth="1"/>
    <col min="402" max="403" width="9.33203125" customWidth="1"/>
    <col min="404" max="404" width="15.5546875" customWidth="1"/>
    <col min="405" max="405" width="9.44140625" customWidth="1"/>
    <col min="406" max="406" width="9.6640625" customWidth="1"/>
    <col min="407" max="407" width="8.6640625" customWidth="1"/>
    <col min="408" max="408" width="1.33203125" customWidth="1"/>
    <col min="409" max="409" width="6.6640625" customWidth="1"/>
    <col min="410" max="410" width="13" customWidth="1"/>
    <col min="411" max="411" width="12.33203125" customWidth="1"/>
    <col min="413" max="413" width="12" customWidth="1"/>
    <col min="414" max="414" width="1.33203125" customWidth="1"/>
    <col min="415" max="415" width="17.33203125" customWidth="1"/>
    <col min="416" max="417" width="17.6640625" customWidth="1"/>
    <col min="418" max="418" width="15.33203125" customWidth="1"/>
    <col min="419" max="419" width="13.6640625" customWidth="1"/>
    <col min="420" max="420" width="14.44140625" customWidth="1"/>
    <col min="421" max="421" width="12.33203125" bestFit="1" customWidth="1"/>
    <col min="422" max="422" width="11.6640625" bestFit="1" customWidth="1"/>
    <col min="423" max="423" width="12" bestFit="1" customWidth="1"/>
    <col min="424" max="424" width="11.6640625" bestFit="1" customWidth="1"/>
    <col min="425" max="425" width="13.33203125" customWidth="1"/>
    <col min="426" max="426" width="13.44140625" customWidth="1"/>
    <col min="427" max="427" width="10.33203125" customWidth="1"/>
    <col min="428" max="428" width="11.6640625" bestFit="1" customWidth="1"/>
    <col min="429" max="429" width="6.6640625" bestFit="1" customWidth="1"/>
    <col min="430" max="430" width="11.6640625" bestFit="1" customWidth="1"/>
    <col min="431" max="431" width="11.5546875" bestFit="1" customWidth="1"/>
    <col min="432" max="432" width="12.33203125" customWidth="1"/>
    <col min="433" max="433" width="11.6640625" bestFit="1" customWidth="1"/>
    <col min="434" max="434" width="11.33203125" customWidth="1"/>
    <col min="435" max="435" width="11.6640625" bestFit="1" customWidth="1"/>
    <col min="436" max="436" width="10.33203125" customWidth="1"/>
    <col min="437" max="437" width="11.6640625" bestFit="1" customWidth="1"/>
    <col min="438" max="438" width="12.33203125" customWidth="1"/>
    <col min="439" max="439" width="11.6640625" bestFit="1" customWidth="1"/>
    <col min="440" max="440" width="13.44140625" customWidth="1"/>
    <col min="441" max="441" width="14.6640625" customWidth="1"/>
    <col min="442" max="442" width="11.33203125" bestFit="1" customWidth="1"/>
    <col min="443" max="443" width="12.6640625" bestFit="1" customWidth="1"/>
    <col min="444" max="444" width="12.33203125" customWidth="1"/>
    <col min="445" max="445" width="10" customWidth="1"/>
    <col min="446" max="446" width="11.6640625" bestFit="1" customWidth="1"/>
    <col min="447" max="447" width="9.6640625" customWidth="1"/>
    <col min="448" max="448" width="11.6640625" bestFit="1" customWidth="1"/>
    <col min="449" max="449" width="11" customWidth="1"/>
    <col min="450" max="450" width="11.6640625" bestFit="1" customWidth="1"/>
    <col min="451" max="451" width="9.6640625" customWidth="1"/>
    <col min="452" max="452" width="11.6640625" bestFit="1" customWidth="1"/>
    <col min="453" max="453" width="9.33203125" bestFit="1" customWidth="1"/>
    <col min="454" max="454" width="11.6640625" bestFit="1" customWidth="1"/>
    <col min="455" max="455" width="8.33203125" customWidth="1"/>
    <col min="456" max="456" width="11.6640625" bestFit="1" customWidth="1"/>
    <col min="457" max="457" width="13.6640625" customWidth="1"/>
    <col min="458" max="458" width="9.33203125" hidden="1" customWidth="1"/>
    <col min="459" max="459" width="9.5546875" hidden="1" customWidth="1"/>
    <col min="460" max="463" width="9.33203125" hidden="1" customWidth="1"/>
    <col min="464" max="464" width="9.5546875" hidden="1" customWidth="1"/>
    <col min="465" max="468" width="8.6640625" hidden="1" customWidth="1"/>
    <col min="469" max="469" width="13.44140625" hidden="1" customWidth="1"/>
    <col min="470" max="470" width="8.6640625" hidden="1" customWidth="1"/>
    <col min="471" max="471" width="9.33203125" hidden="1" customWidth="1"/>
    <col min="472" max="472" width="1.33203125" customWidth="1"/>
    <col min="473" max="473" width="6.6640625" customWidth="1"/>
    <col min="479" max="479" width="1.33203125" customWidth="1"/>
    <col min="480" max="480" width="6.6640625" customWidth="1"/>
    <col min="481" max="482" width="14" customWidth="1"/>
    <col min="484" max="485" width="12.33203125" customWidth="1"/>
    <col min="486" max="487" width="14" customWidth="1"/>
    <col min="488" max="488" width="10.6640625" customWidth="1"/>
    <col min="489" max="489" width="12" bestFit="1" customWidth="1"/>
    <col min="490" max="493" width="12" customWidth="1"/>
    <col min="494" max="494" width="12.6640625" customWidth="1"/>
    <col min="495" max="495" width="11.5546875" customWidth="1"/>
    <col min="496" max="497" width="14.33203125" customWidth="1"/>
    <col min="507" max="522" width="0" hidden="1" customWidth="1"/>
    <col min="523" max="523" width="12.33203125" hidden="1" customWidth="1"/>
    <col min="524" max="526" width="8.6640625" hidden="1" customWidth="1"/>
    <col min="527" max="527" width="8.6640625" customWidth="1"/>
  </cols>
  <sheetData>
    <row r="2" spans="2:97">
      <c r="O2" s="887"/>
      <c r="P2" s="887"/>
      <c r="Q2" s="887"/>
      <c r="R2" s="887"/>
      <c r="AU2">
        <v>2239.8799999999997</v>
      </c>
    </row>
    <row r="6" spans="2:97">
      <c r="G6" s="431">
        <f>+ROUND('May TIS'!H43,0)</f>
        <v>480</v>
      </c>
      <c r="AR6" s="987"/>
    </row>
    <row r="7" spans="2:97" ht="27.6" customHeight="1">
      <c r="G7" s="98" t="e">
        <f>+ROUND('May TIS'!H44,0/mm)</f>
        <v>#NAME?</v>
      </c>
      <c r="AI7" s="1006"/>
      <c r="AJ7" s="1006"/>
      <c r="AK7" s="1006"/>
    </row>
    <row r="8" spans="2:97" ht="14.7" customHeight="1">
      <c r="B8" s="2625" t="s">
        <v>103</v>
      </c>
      <c r="C8" s="993"/>
      <c r="D8" s="993"/>
      <c r="E8" s="993"/>
      <c r="F8" s="993"/>
      <c r="G8" s="993"/>
      <c r="H8" s="993"/>
      <c r="I8" s="993"/>
      <c r="J8" s="993"/>
      <c r="K8" s="993"/>
      <c r="L8" s="993"/>
      <c r="M8" s="993"/>
      <c r="N8" s="993"/>
      <c r="O8" s="2727" t="s">
        <v>18</v>
      </c>
      <c r="P8" s="2727"/>
      <c r="Q8" s="2727"/>
      <c r="R8" s="2727"/>
      <c r="S8" s="2727"/>
      <c r="T8" s="2728"/>
      <c r="U8" s="1221"/>
      <c r="V8" s="1221"/>
      <c r="W8" s="1221"/>
      <c r="X8" s="1222"/>
      <c r="Z8" s="2729"/>
      <c r="AA8" s="2729"/>
      <c r="AB8" s="2730"/>
      <c r="AC8" s="1702"/>
      <c r="AD8" s="1702"/>
      <c r="AE8" s="1702"/>
      <c r="AF8" s="1702"/>
      <c r="AG8" s="1702"/>
      <c r="AH8" s="1702"/>
      <c r="AI8" s="2731" t="s">
        <v>126</v>
      </c>
      <c r="AJ8" s="2732"/>
      <c r="AK8" s="2732"/>
      <c r="AL8" s="2733"/>
      <c r="AM8" s="1269"/>
      <c r="AN8" s="1269"/>
      <c r="AO8" s="1269"/>
      <c r="AP8" s="1269"/>
      <c r="AQ8" s="1269"/>
      <c r="AR8" s="1269"/>
      <c r="AS8" s="1269"/>
      <c r="AT8" s="466"/>
      <c r="AU8" s="1007"/>
      <c r="AV8" s="1269"/>
      <c r="AX8" s="2734" t="s">
        <v>107</v>
      </c>
      <c r="AY8" s="2735"/>
      <c r="AZ8" s="2735"/>
      <c r="BA8" s="2735"/>
      <c r="BB8" s="2735"/>
      <c r="BC8" s="2735"/>
      <c r="BD8" s="2736"/>
      <c r="BE8" s="41"/>
      <c r="BK8" s="2753" t="s">
        <v>108</v>
      </c>
      <c r="BL8" s="2754"/>
      <c r="BM8" s="2754"/>
      <c r="BN8" s="2754"/>
      <c r="BO8" s="2754"/>
      <c r="BP8" s="2754"/>
      <c r="BQ8" s="2755"/>
      <c r="BR8" s="42"/>
      <c r="BS8" s="2671" t="s">
        <v>181</v>
      </c>
      <c r="BT8" s="42"/>
      <c r="BU8" s="42"/>
      <c r="BV8" s="42"/>
      <c r="BW8" s="42"/>
      <c r="BX8" s="42"/>
      <c r="BY8" s="42"/>
      <c r="BZ8" s="42"/>
      <c r="CA8" s="42"/>
      <c r="CB8" s="42"/>
      <c r="CC8" s="42"/>
      <c r="CD8" s="42"/>
      <c r="CE8" s="42"/>
      <c r="CF8" s="42"/>
      <c r="CG8" s="42"/>
      <c r="CH8" s="42"/>
      <c r="CI8" s="42"/>
      <c r="CJ8" s="42"/>
      <c r="CK8" s="42"/>
    </row>
    <row r="9" spans="2:97" ht="14.4" customHeight="1">
      <c r="B9" s="2626"/>
      <c r="C9" s="2624" t="s">
        <v>111</v>
      </c>
      <c r="D9" s="2628"/>
      <c r="E9" s="2628"/>
      <c r="F9" s="2628"/>
      <c r="G9" s="2628"/>
      <c r="H9" s="2628"/>
      <c r="I9" s="2628"/>
      <c r="J9" s="2628"/>
      <c r="K9" s="2628"/>
      <c r="L9" s="2628"/>
      <c r="M9" s="2628"/>
      <c r="N9" s="993"/>
      <c r="O9" s="2740" t="s">
        <v>3</v>
      </c>
      <c r="P9" s="2742"/>
      <c r="Q9" s="2742"/>
      <c r="R9" s="2740"/>
      <c r="S9" s="2671" t="s">
        <v>127</v>
      </c>
      <c r="T9" s="2671" t="s">
        <v>145</v>
      </c>
      <c r="U9" s="42"/>
      <c r="V9" s="42"/>
      <c r="W9" s="42"/>
      <c r="X9" s="2671" t="s">
        <v>375</v>
      </c>
      <c r="Y9" s="42"/>
      <c r="Z9" s="2743" t="s">
        <v>376</v>
      </c>
      <c r="AA9" s="2744"/>
      <c r="AB9" s="2745"/>
      <c r="AC9" s="1704" t="s">
        <v>112</v>
      </c>
      <c r="AD9" s="1703"/>
      <c r="AE9" s="1703"/>
      <c r="AF9" s="1703"/>
      <c r="AG9" s="1703"/>
      <c r="AH9" s="1703"/>
      <c r="AI9" s="2749" t="s">
        <v>377</v>
      </c>
      <c r="AJ9" s="2750"/>
      <c r="AK9" s="2750"/>
      <c r="AL9" s="2751"/>
      <c r="AM9" s="1270"/>
      <c r="AN9" s="1270"/>
      <c r="AO9" s="2752"/>
      <c r="AP9" s="2752"/>
      <c r="AQ9" s="2752"/>
      <c r="AR9" s="2752"/>
      <c r="AS9" s="1270"/>
      <c r="AT9" s="1007"/>
      <c r="AU9" s="1359" t="s">
        <v>378</v>
      </c>
      <c r="AV9" s="1270"/>
      <c r="AW9" s="1007"/>
      <c r="AX9" s="2632" t="s">
        <v>77</v>
      </c>
      <c r="AY9" s="2671" t="s">
        <v>167</v>
      </c>
      <c r="AZ9" s="2624" t="s">
        <v>379</v>
      </c>
      <c r="BA9" s="2628"/>
      <c r="BB9" s="2628"/>
      <c r="BC9" s="2628"/>
      <c r="BD9" s="2631"/>
      <c r="BE9" s="41"/>
      <c r="BF9" s="1007"/>
      <c r="BG9" s="1007"/>
      <c r="BH9" s="1007"/>
      <c r="BI9" s="1007"/>
      <c r="BJ9" s="1007"/>
      <c r="BK9" s="182" t="s">
        <v>170</v>
      </c>
      <c r="BL9" s="2619" t="s">
        <v>171</v>
      </c>
      <c r="BM9" s="2673"/>
      <c r="BN9" s="2673"/>
      <c r="BO9" s="2676"/>
      <c r="BP9" s="2690" t="s">
        <v>172</v>
      </c>
      <c r="BQ9" s="2671" t="s">
        <v>145</v>
      </c>
      <c r="BR9" s="42"/>
      <c r="BS9" s="2672"/>
      <c r="BT9" s="42"/>
      <c r="BU9" s="42"/>
      <c r="BV9" s="42"/>
      <c r="BW9" s="42"/>
      <c r="BX9" s="42"/>
      <c r="BY9" s="42"/>
      <c r="BZ9" s="42"/>
      <c r="CA9" s="42"/>
      <c r="CB9" s="42"/>
      <c r="CC9" s="42"/>
      <c r="CD9" s="42"/>
      <c r="CE9" s="42"/>
      <c r="CF9" s="42"/>
      <c r="CG9" s="42"/>
      <c r="CH9" s="42"/>
      <c r="CI9" s="42"/>
      <c r="CJ9" s="42"/>
      <c r="CK9" s="42"/>
      <c r="CL9" s="1046"/>
    </row>
    <row r="10" spans="2:97" ht="34.200000000000003" customHeight="1">
      <c r="B10" s="2626"/>
      <c r="C10" s="2632" t="s">
        <v>3</v>
      </c>
      <c r="D10" s="2632" t="s">
        <v>126</v>
      </c>
      <c r="E10" s="2632" t="s">
        <v>127</v>
      </c>
      <c r="F10" s="2632" t="s">
        <v>212</v>
      </c>
      <c r="G10" s="2632"/>
      <c r="H10" s="2632" t="s">
        <v>128</v>
      </c>
      <c r="I10" s="2632"/>
      <c r="J10" s="2633"/>
      <c r="K10" s="2634"/>
      <c r="L10" s="2633"/>
      <c r="M10" s="2635"/>
      <c r="N10" s="993"/>
      <c r="O10" s="2741"/>
      <c r="P10" s="2681"/>
      <c r="Q10" s="2681"/>
      <c r="R10" s="2682"/>
      <c r="S10" s="2737"/>
      <c r="T10" s="2737"/>
      <c r="U10" s="2738" t="s">
        <v>380</v>
      </c>
      <c r="V10" s="2739"/>
      <c r="W10" s="2739"/>
      <c r="X10" s="2737"/>
      <c r="Y10" s="42"/>
      <c r="Z10" s="2746"/>
      <c r="AA10" s="2747"/>
      <c r="AB10" s="2748"/>
      <c r="AC10" s="1003" t="s">
        <v>130</v>
      </c>
      <c r="AD10" s="1003" t="s">
        <v>243</v>
      </c>
      <c r="AE10" s="1003" t="s">
        <v>244</v>
      </c>
      <c r="AF10" s="1003" t="s">
        <v>165</v>
      </c>
      <c r="AG10" s="1003" t="s">
        <v>7</v>
      </c>
      <c r="AH10" s="1003" t="s">
        <v>145</v>
      </c>
      <c r="AI10" s="1008" t="s">
        <v>147</v>
      </c>
      <c r="AJ10" s="1008" t="s">
        <v>69</v>
      </c>
      <c r="AK10" s="1008" t="s">
        <v>71</v>
      </c>
      <c r="AL10" s="1009"/>
      <c r="AM10" s="1413"/>
      <c r="AN10" s="1413"/>
      <c r="AO10" s="1308" t="s">
        <v>381</v>
      </c>
      <c r="AP10" s="1308" t="s">
        <v>382</v>
      </c>
      <c r="AQ10" s="1322" t="s">
        <v>7</v>
      </c>
      <c r="AR10" s="1308" t="s">
        <v>383</v>
      </c>
      <c r="AS10" s="1308" t="s">
        <v>384</v>
      </c>
      <c r="AT10" s="1007"/>
      <c r="AU10" s="1360" t="s">
        <v>385</v>
      </c>
      <c r="AV10" s="1413"/>
      <c r="AW10" s="1007"/>
      <c r="AX10" s="2632"/>
      <c r="AY10" s="2737"/>
      <c r="AZ10" s="2632" t="s">
        <v>168</v>
      </c>
      <c r="BA10" s="2632"/>
      <c r="BB10" s="2632"/>
      <c r="BC10" s="2632"/>
      <c r="BD10" s="2632"/>
      <c r="BE10" s="42"/>
      <c r="BF10" s="1007"/>
      <c r="BG10" s="1007"/>
      <c r="BH10" s="1007"/>
      <c r="BI10" s="1007"/>
      <c r="BJ10" s="1007"/>
      <c r="BK10" s="184" t="s">
        <v>168</v>
      </c>
      <c r="BL10" s="43" t="s">
        <v>198</v>
      </c>
      <c r="BM10" s="43" t="s">
        <v>199</v>
      </c>
      <c r="BN10" s="44" t="s">
        <v>200</v>
      </c>
      <c r="BO10" s="45" t="s">
        <v>201</v>
      </c>
      <c r="BP10" s="2691"/>
      <c r="BQ10" s="2672"/>
      <c r="BR10" s="42"/>
      <c r="BS10" s="181" t="s">
        <v>377</v>
      </c>
      <c r="BT10" s="42"/>
      <c r="BU10" s="42"/>
      <c r="BV10" s="42"/>
      <c r="BW10" s="42"/>
      <c r="BX10" s="42"/>
      <c r="BY10" s="42"/>
      <c r="BZ10" s="42"/>
      <c r="CA10" s="42"/>
      <c r="CB10" s="42"/>
      <c r="CC10" s="42"/>
      <c r="CD10" s="42"/>
      <c r="CE10" s="42"/>
      <c r="CF10" s="42"/>
      <c r="CG10" s="42"/>
      <c r="CH10" s="42"/>
      <c r="CI10" s="42"/>
      <c r="CJ10" s="42"/>
      <c r="CK10" s="42"/>
    </row>
    <row r="11" spans="2:97" ht="15" thickBot="1">
      <c r="B11" s="2726"/>
      <c r="C11" s="2632"/>
      <c r="D11" s="2632"/>
      <c r="E11" s="2632"/>
      <c r="F11" s="181"/>
      <c r="G11" s="181"/>
      <c r="H11" s="181" t="s">
        <v>193</v>
      </c>
      <c r="I11" s="181" t="s">
        <v>194</v>
      </c>
      <c r="J11" s="181"/>
      <c r="K11" s="181"/>
      <c r="L11" s="181"/>
      <c r="M11" s="182"/>
      <c r="N11" s="993"/>
      <c r="O11" s="2682"/>
      <c r="P11" s="1002" t="s">
        <v>69</v>
      </c>
      <c r="Q11" s="184" t="s">
        <v>71</v>
      </c>
      <c r="R11" s="184" t="s">
        <v>284</v>
      </c>
      <c r="S11" s="2672"/>
      <c r="T11" s="2672"/>
      <c r="U11" s="1411" t="s">
        <v>386</v>
      </c>
      <c r="V11" s="1010" t="s">
        <v>387</v>
      </c>
      <c r="W11" s="1010" t="s">
        <v>807</v>
      </c>
      <c r="X11" s="2672"/>
      <c r="Y11" s="42"/>
      <c r="Z11" s="888" t="s">
        <v>69</v>
      </c>
      <c r="AA11" s="184" t="s">
        <v>71</v>
      </c>
      <c r="AB11" s="184" t="s">
        <v>284</v>
      </c>
      <c r="AC11" s="184"/>
      <c r="AD11" s="184"/>
      <c r="AE11" s="184"/>
      <c r="AF11" s="184"/>
      <c r="AG11" s="184"/>
      <c r="AH11" s="184"/>
      <c r="AI11" s="1011">
        <f>'March TIS'!AI44</f>
        <v>0</v>
      </c>
      <c r="AJ11" s="1011">
        <f>'April TIS'!AJ44</f>
        <v>731.69488613999999</v>
      </c>
      <c r="AK11" s="1011">
        <f>'April TIS'!AK44</f>
        <v>50409.350258609993</v>
      </c>
      <c r="AL11" s="1932">
        <f t="shared" ref="AL11:AL42" si="0">SUM(AI11:AK11)</f>
        <v>51141.045144749995</v>
      </c>
      <c r="AM11" s="1007"/>
      <c r="AN11" s="1007"/>
      <c r="AO11" s="1309"/>
      <c r="AP11" s="1318">
        <v>0</v>
      </c>
      <c r="AQ11" s="1318"/>
      <c r="AR11" s="1728">
        <f>'April TIS'!AR44</f>
        <v>0</v>
      </c>
      <c r="AS11" s="1728">
        <f>'April TIS'!AS44</f>
        <v>56489.457873673484</v>
      </c>
      <c r="AT11" s="1007"/>
      <c r="AU11" s="1476"/>
      <c r="AV11" s="1007"/>
      <c r="AW11" s="1013"/>
      <c r="AX11" s="2632"/>
      <c r="AY11" s="2672"/>
      <c r="AZ11" s="181" t="s">
        <v>61</v>
      </c>
      <c r="BA11" s="181" t="s">
        <v>62</v>
      </c>
      <c r="BB11" s="181" t="s">
        <v>63</v>
      </c>
      <c r="BC11" s="181" t="s">
        <v>196</v>
      </c>
      <c r="BD11" s="181" t="s">
        <v>197</v>
      </c>
      <c r="BE11" s="42"/>
      <c r="BF11" s="1013"/>
      <c r="BG11" s="1013"/>
      <c r="BH11" s="1013"/>
      <c r="BI11" s="1013"/>
      <c r="BJ11" s="1013"/>
      <c r="BK11" s="1395"/>
      <c r="BL11" s="17"/>
      <c r="BM11" s="18"/>
      <c r="BN11" s="1397"/>
      <c r="BO11" s="17"/>
      <c r="BP11" s="17"/>
      <c r="BQ11" s="1014"/>
      <c r="BR11" s="89"/>
      <c r="BS11" s="1228">
        <f>'April TIS'!BS44</f>
        <v>94043.287597479997</v>
      </c>
      <c r="BT11" s="89"/>
      <c r="BU11" s="89"/>
      <c r="BV11" s="89"/>
      <c r="BW11" s="89"/>
      <c r="BX11" s="89"/>
      <c r="BY11" s="89"/>
      <c r="BZ11" s="89"/>
      <c r="CA11" s="89"/>
      <c r="CB11" s="89"/>
      <c r="CC11" s="89"/>
      <c r="CD11" s="89"/>
      <c r="CE11" s="89"/>
      <c r="CF11" s="89"/>
      <c r="CG11" s="89"/>
      <c r="CH11" s="89"/>
      <c r="CI11" s="89"/>
      <c r="CJ11" s="89"/>
      <c r="CK11" s="89"/>
      <c r="CM11" s="1006"/>
      <c r="CN11" s="1015" t="s">
        <v>285</v>
      </c>
      <c r="CO11" s="1015" t="s">
        <v>293</v>
      </c>
      <c r="CQ11" s="1006"/>
      <c r="CR11" s="1015" t="s">
        <v>286</v>
      </c>
      <c r="CS11" s="1015" t="s">
        <v>293</v>
      </c>
    </row>
    <row r="12" spans="2:97" ht="15" thickBot="1">
      <c r="B12" s="988">
        <v>1</v>
      </c>
      <c r="C12" s="488">
        <f t="shared" ref="C12:C43" si="1">O12</f>
        <v>33616</v>
      </c>
      <c r="D12" s="488">
        <f t="shared" ref="D12:D41" si="2">Q12+P12+AQ12</f>
        <v>1594.1999999999998</v>
      </c>
      <c r="E12" s="1016">
        <f t="shared" ref="E12:E42" si="3">S12</f>
        <v>21.086438338978802</v>
      </c>
      <c r="F12" s="1017"/>
      <c r="G12" s="494"/>
      <c r="H12" s="1018"/>
      <c r="I12" s="2109"/>
      <c r="N12" s="993"/>
      <c r="O12" s="26">
        <v>33616</v>
      </c>
      <c r="P12" s="1020"/>
      <c r="Q12" s="1933">
        <f t="shared" ref="Q12:Q42" si="4">W12+V12+U12</f>
        <v>1594.1999999999998</v>
      </c>
      <c r="R12" s="1227">
        <f t="shared" ref="R12:R42" si="5">SUM(P12:Q12)</f>
        <v>1594.1999999999998</v>
      </c>
      <c r="S12" s="27">
        <f t="shared" ref="S12:S42" si="6">IFERROR(O12/R12,0)</f>
        <v>21.086438338978802</v>
      </c>
      <c r="T12" s="33"/>
      <c r="U12" s="2023">
        <v>1272.6199999999999</v>
      </c>
      <c r="V12" s="2024">
        <v>321.58</v>
      </c>
      <c r="W12" s="2024">
        <v>0</v>
      </c>
      <c r="X12" s="1024"/>
      <c r="Y12" s="1"/>
      <c r="Z12" s="1025"/>
      <c r="AA12" s="2174">
        <v>0</v>
      </c>
      <c r="AB12" s="1025">
        <v>0</v>
      </c>
      <c r="AC12" s="1025">
        <v>0</v>
      </c>
      <c r="AD12" s="1025">
        <v>0</v>
      </c>
      <c r="AE12" s="1025" cm="1">
        <f t="array" ref="AE12">SUMPRODUCT(('DB Hauling TIS'!$C$2:$C$951="TIS-ROM SB1 BK05-ROM 6")*('DB Hauling TIS'!$H$2:$H$951="MPE")*ISNUMBER(SEARCH(TEXT('May TIS'!$B12,"00")&amp;"/04/2026",'DB Hauling TIS'!$E$2:$E$951))*'DB Hauling TIS'!$N$2:$N$951)</f>
        <v>0</v>
      </c>
      <c r="AF12" s="1025" cm="1">
        <f t="array" ref="AF12">SUMPRODUCT(('DB Hauling TIS'!$C$2:$C$951="TIS-ROM SB1 BK05-ROM 6")*('DB Hauling TIS'!$H$2:$H$951="RP")*ISNUMBER(SEARCH(TEXT('May TIS'!$B12,"00")&amp;"/04/2026",'DB Hauling TIS'!$E$2:$E$951))*'DB Hauling TIS'!$N$2:$N$951)</f>
        <v>0</v>
      </c>
      <c r="AG12" s="1025">
        <f t="shared" ref="AG12:AG43" si="7">SUM(AC12:AF12)</f>
        <v>0</v>
      </c>
      <c r="AH12" s="1025"/>
      <c r="AI12" s="1026"/>
      <c r="AJ12" s="1026">
        <f t="shared" ref="AJ12:AJ42" si="8">AJ11+P12-Z12</f>
        <v>731.69488613999999</v>
      </c>
      <c r="AK12" s="1026">
        <f>AK11+Q12+AU12-AA12</f>
        <v>52339.19025860999</v>
      </c>
      <c r="AL12" s="1027">
        <f t="shared" si="0"/>
        <v>53070.885144749991</v>
      </c>
      <c r="AM12" s="1414"/>
      <c r="AN12" s="1414"/>
      <c r="AO12" s="1310"/>
      <c r="AP12" s="1310"/>
      <c r="AQ12" s="1934">
        <f t="shared" ref="AQ12:AQ42" si="9">AO12+AP12</f>
        <v>0</v>
      </c>
      <c r="AR12" s="1729">
        <f t="shared" ref="AR12:AS27" si="10">AR11+AO12-AT12</f>
        <v>0</v>
      </c>
      <c r="AS12" s="1729">
        <f t="shared" si="10"/>
        <v>56153.817873673484</v>
      </c>
      <c r="AT12" s="1007"/>
      <c r="AU12" s="1476">
        <v>335.64</v>
      </c>
      <c r="AV12" s="1414"/>
      <c r="AW12" s="987"/>
      <c r="AX12" s="1028">
        <v>0</v>
      </c>
      <c r="AY12" s="171"/>
      <c r="AZ12" s="2">
        <v>0</v>
      </c>
      <c r="BA12" s="2110">
        <v>0</v>
      </c>
      <c r="BB12" s="2110">
        <v>0</v>
      </c>
      <c r="BC12" s="2110">
        <v>0</v>
      </c>
      <c r="BD12" s="2111">
        <v>0</v>
      </c>
      <c r="BF12" s="987"/>
      <c r="BG12" s="987"/>
      <c r="BH12" s="987"/>
      <c r="BI12" s="987"/>
      <c r="BJ12" s="987"/>
      <c r="BK12" s="1028">
        <v>7501.05</v>
      </c>
      <c r="BL12" s="1028">
        <v>1</v>
      </c>
      <c r="BM12" s="1028"/>
      <c r="BN12" s="1028">
        <v>1</v>
      </c>
      <c r="BO12" s="1028"/>
      <c r="BP12" s="1030">
        <f>'May TCM'!LO10</f>
        <v>3.27</v>
      </c>
      <c r="BQ12" s="1031"/>
      <c r="BR12" s="1"/>
      <c r="BS12" s="1032">
        <f t="shared" ref="BS12:BS42" si="11">+BS11+AB12-BK12</f>
        <v>86542.237597479994</v>
      </c>
      <c r="BT12" s="1"/>
      <c r="BU12" s="1"/>
      <c r="BV12" s="1"/>
      <c r="BW12" s="1"/>
      <c r="BX12" s="1"/>
      <c r="BY12" s="1"/>
      <c r="BZ12" s="1"/>
      <c r="CA12" s="1"/>
      <c r="CB12" s="1"/>
      <c r="CC12" s="1"/>
      <c r="CD12" s="1"/>
      <c r="CE12" s="1"/>
      <c r="CF12" s="1"/>
      <c r="CG12" s="1"/>
      <c r="CH12" s="1"/>
      <c r="CI12" s="1"/>
      <c r="CJ12" s="1"/>
      <c r="CK12" s="1"/>
      <c r="CM12" s="1033">
        <v>1</v>
      </c>
      <c r="CN12" s="1">
        <f t="shared" ref="CN12:CN42" si="12">D12</f>
        <v>1594.1999999999998</v>
      </c>
      <c r="CO12">
        <v>2605020260</v>
      </c>
      <c r="CQ12" s="412">
        <v>1</v>
      </c>
      <c r="CR12" s="1">
        <f t="shared" ref="CR12:CR42" si="13">AB12</f>
        <v>0</v>
      </c>
    </row>
    <row r="13" spans="2:97" ht="15" thickBot="1">
      <c r="B13" s="989">
        <v>2</v>
      </c>
      <c r="C13" s="5">
        <f t="shared" si="1"/>
        <v>32845</v>
      </c>
      <c r="D13" s="488">
        <f t="shared" si="2"/>
        <v>1945.22</v>
      </c>
      <c r="E13" s="15">
        <f t="shared" si="3"/>
        <v>16.884979590997418</v>
      </c>
      <c r="F13" s="363"/>
      <c r="G13" s="64"/>
      <c r="H13" s="1034">
        <v>4</v>
      </c>
      <c r="I13" s="1035">
        <v>2.67</v>
      </c>
      <c r="N13" s="993"/>
      <c r="O13" s="26">
        <v>32845</v>
      </c>
      <c r="P13" s="1036"/>
      <c r="Q13" s="277">
        <f t="shared" si="4"/>
        <v>1945.22</v>
      </c>
      <c r="R13" s="1227">
        <f t="shared" si="5"/>
        <v>1945.22</v>
      </c>
      <c r="S13" s="27">
        <f t="shared" si="6"/>
        <v>16.884979590997418</v>
      </c>
      <c r="T13" s="33"/>
      <c r="U13" s="2023">
        <v>1686.24</v>
      </c>
      <c r="V13" s="2024">
        <v>258.98</v>
      </c>
      <c r="W13" s="2024">
        <v>0</v>
      </c>
      <c r="X13" s="1038"/>
      <c r="Y13" s="1"/>
      <c r="Z13" s="847"/>
      <c r="AA13" s="1025">
        <v>0</v>
      </c>
      <c r="AB13" s="1025">
        <v>0</v>
      </c>
      <c r="AC13" s="1025">
        <v>0</v>
      </c>
      <c r="AD13" s="1025">
        <v>0</v>
      </c>
      <c r="AE13" s="1025" cm="1">
        <f t="array" ref="AE13">SUMPRODUCT(('DB Hauling TIS'!$C$2:$C$951="TIS-ROM SB1 BK05-ROM 6")*('DB Hauling TIS'!$H$2:$H$951="MPE")*ISNUMBER(SEARCH(TEXT('May TIS'!$B13,"00")&amp;"/04/2026",'DB Hauling TIS'!$E$2:$E$951))*'DB Hauling TIS'!$N$2:$N$951)</f>
        <v>0</v>
      </c>
      <c r="AF13" s="1025" cm="1">
        <f t="array" ref="AF13">SUMPRODUCT(('DB Hauling TIS'!$C$2:$C$951="TIS-ROM SB1 BK05-ROM 6")*('DB Hauling TIS'!$H$2:$H$951="RP")*ISNUMBER(SEARCH(TEXT('May TIS'!$B13,"00")&amp;"/04/2026",'DB Hauling TIS'!$E$2:$E$951))*'DB Hauling TIS'!$N$2:$N$951)</f>
        <v>0</v>
      </c>
      <c r="AG13" s="1025">
        <f t="shared" si="7"/>
        <v>0</v>
      </c>
      <c r="AH13" s="1025"/>
      <c r="AI13" s="1039"/>
      <c r="AJ13" s="1026">
        <f t="shared" si="8"/>
        <v>731.69488613999999</v>
      </c>
      <c r="AK13" s="1026">
        <f t="shared" ref="AK13:AK42" si="14">AK12+Q13+AU13-AA13</f>
        <v>54284.410258609991</v>
      </c>
      <c r="AL13" s="1040">
        <f t="shared" si="0"/>
        <v>55016.105144749992</v>
      </c>
      <c r="AM13" s="1414"/>
      <c r="AN13" s="1414"/>
      <c r="AO13" s="1310"/>
      <c r="AP13" s="1310"/>
      <c r="AQ13" s="1934">
        <f t="shared" si="9"/>
        <v>0</v>
      </c>
      <c r="AR13" s="1729">
        <f t="shared" si="10"/>
        <v>0</v>
      </c>
      <c r="AS13" s="1729">
        <f t="shared" si="10"/>
        <v>56153.817873673484</v>
      </c>
      <c r="AT13" s="1007"/>
      <c r="AU13" s="1476">
        <v>0</v>
      </c>
      <c r="AV13" s="1414"/>
      <c r="AW13" s="987"/>
      <c r="AX13" s="310">
        <v>0</v>
      </c>
      <c r="AY13" s="998"/>
      <c r="AZ13" s="2">
        <v>0</v>
      </c>
      <c r="BA13" s="2110">
        <v>0</v>
      </c>
      <c r="BB13" s="2110">
        <v>0</v>
      </c>
      <c r="BC13" s="2110">
        <v>0</v>
      </c>
      <c r="BD13" s="2111">
        <v>0</v>
      </c>
      <c r="BF13" s="987"/>
      <c r="BG13" s="987"/>
      <c r="BH13" s="987"/>
      <c r="BI13" s="987"/>
      <c r="BJ13" s="987"/>
      <c r="BK13" s="310">
        <v>15062.880000000001</v>
      </c>
      <c r="BL13" s="310">
        <v>2</v>
      </c>
      <c r="BM13" s="310"/>
      <c r="BN13" s="310"/>
      <c r="BO13" s="310"/>
      <c r="BP13" s="1041">
        <f>'May TCM'!LO11</f>
        <v>3.08</v>
      </c>
      <c r="BQ13" s="1042"/>
      <c r="BR13" s="1"/>
      <c r="BS13" s="1032">
        <f t="shared" si="11"/>
        <v>71479.35759747999</v>
      </c>
      <c r="BT13" s="1"/>
      <c r="BU13" s="1"/>
      <c r="BV13" s="1"/>
      <c r="BW13" s="1"/>
      <c r="BX13" s="1"/>
      <c r="BY13" s="1"/>
      <c r="BZ13" s="1"/>
      <c r="CA13" s="1"/>
      <c r="CB13" s="1"/>
      <c r="CC13" s="1"/>
      <c r="CD13" s="1"/>
      <c r="CE13" s="1"/>
      <c r="CF13" s="1"/>
      <c r="CG13" s="1"/>
      <c r="CH13" s="1"/>
      <c r="CI13" s="1"/>
      <c r="CJ13" s="1"/>
      <c r="CK13" s="1"/>
      <c r="CM13" s="1033">
        <v>2</v>
      </c>
      <c r="CN13" s="1">
        <f t="shared" si="12"/>
        <v>1945.22</v>
      </c>
      <c r="CO13" s="1046">
        <v>2605010056</v>
      </c>
      <c r="CQ13" s="412">
        <v>2</v>
      </c>
      <c r="CR13" s="1">
        <f t="shared" si="13"/>
        <v>0</v>
      </c>
    </row>
    <row r="14" spans="2:97" ht="15" thickBot="1">
      <c r="B14" s="989">
        <v>3</v>
      </c>
      <c r="C14" s="5">
        <f t="shared" si="1"/>
        <v>35209</v>
      </c>
      <c r="D14" s="488">
        <f t="shared" si="2"/>
        <v>1140.26</v>
      </c>
      <c r="E14" s="15">
        <f t="shared" si="3"/>
        <v>30.878045358076228</v>
      </c>
      <c r="F14" s="363"/>
      <c r="G14" s="64"/>
      <c r="H14" s="1034"/>
      <c r="I14" s="1035"/>
      <c r="N14" s="993"/>
      <c r="O14" s="26">
        <v>35209</v>
      </c>
      <c r="P14" s="1036"/>
      <c r="Q14" s="277">
        <f t="shared" si="4"/>
        <v>1140.26</v>
      </c>
      <c r="R14" s="1227">
        <f t="shared" si="5"/>
        <v>1140.26</v>
      </c>
      <c r="S14" s="27">
        <f t="shared" si="6"/>
        <v>30.878045358076228</v>
      </c>
      <c r="T14" s="33"/>
      <c r="U14" s="2023">
        <v>1140.26</v>
      </c>
      <c r="V14" s="2024">
        <v>0</v>
      </c>
      <c r="W14" s="2024">
        <v>0</v>
      </c>
      <c r="X14" s="1038"/>
      <c r="Y14" s="1"/>
      <c r="Z14" s="847"/>
      <c r="AA14" s="1025">
        <v>0</v>
      </c>
      <c r="AB14" s="1025">
        <v>0</v>
      </c>
      <c r="AC14" s="1025">
        <v>0</v>
      </c>
      <c r="AD14" s="1025">
        <v>0</v>
      </c>
      <c r="AE14" s="1025" cm="1">
        <f t="array" ref="AE14">SUMPRODUCT(('DB Hauling TIS'!$C$2:$C$951="TIS-ROM SB1 BK05-ROM 6")*('DB Hauling TIS'!$H$2:$H$951="MPE")*ISNUMBER(SEARCH(TEXT('May TIS'!$B14,"00")&amp;"/04/2026",'DB Hauling TIS'!$E$2:$E$951))*'DB Hauling TIS'!$N$2:$N$951)</f>
        <v>0</v>
      </c>
      <c r="AF14" s="1025" cm="1">
        <f t="array" ref="AF14">SUMPRODUCT(('DB Hauling TIS'!$C$2:$C$951="TIS-ROM SB1 BK05-ROM 6")*('DB Hauling TIS'!$H$2:$H$951="RP")*ISNUMBER(SEARCH(TEXT('May TIS'!$B14,"00")&amp;"/04/2026",'DB Hauling TIS'!$E$2:$E$951))*'DB Hauling TIS'!$N$2:$N$951)</f>
        <v>0</v>
      </c>
      <c r="AG14" s="1025">
        <f t="shared" si="7"/>
        <v>0</v>
      </c>
      <c r="AH14" s="1025"/>
      <c r="AI14" s="1039"/>
      <c r="AJ14" s="1026">
        <f t="shared" si="8"/>
        <v>731.69488613999999</v>
      </c>
      <c r="AK14" s="1026">
        <f t="shared" si="14"/>
        <v>57052.470258609996</v>
      </c>
      <c r="AL14" s="1040">
        <f t="shared" si="0"/>
        <v>57784.165144749997</v>
      </c>
      <c r="AM14" s="1414"/>
      <c r="AN14" s="1414"/>
      <c r="AO14" s="1310"/>
      <c r="AP14" s="1310"/>
      <c r="AQ14" s="1934">
        <f t="shared" si="9"/>
        <v>0</v>
      </c>
      <c r="AR14" s="1729">
        <f t="shared" si="10"/>
        <v>0</v>
      </c>
      <c r="AS14" s="1729">
        <f t="shared" si="10"/>
        <v>54526.017873673482</v>
      </c>
      <c r="AT14" s="1007"/>
      <c r="AU14" s="1476">
        <v>1627.8</v>
      </c>
      <c r="AV14" s="1414"/>
      <c r="AW14" s="987"/>
      <c r="AX14" s="310">
        <v>0</v>
      </c>
      <c r="AY14" s="1043"/>
      <c r="AZ14" s="2">
        <v>0</v>
      </c>
      <c r="BA14" s="2110">
        <v>0</v>
      </c>
      <c r="BB14" s="2110">
        <v>0</v>
      </c>
      <c r="BC14" s="2110">
        <v>0</v>
      </c>
      <c r="BD14" s="2111">
        <v>0</v>
      </c>
      <c r="BF14" s="987"/>
      <c r="BG14" s="987"/>
      <c r="BH14" s="987"/>
      <c r="BI14" s="987"/>
      <c r="BJ14" s="987"/>
      <c r="BK14" s="310"/>
      <c r="BL14" s="310"/>
      <c r="BM14" s="310"/>
      <c r="BN14" s="310"/>
      <c r="BO14" s="310"/>
      <c r="BP14" s="1041">
        <f>'May TCM'!LO12</f>
        <v>3.83</v>
      </c>
      <c r="BQ14" s="1042"/>
      <c r="BR14" s="1"/>
      <c r="BS14" s="1032">
        <f t="shared" si="11"/>
        <v>71479.35759747999</v>
      </c>
      <c r="BT14" s="1"/>
      <c r="BU14" s="1"/>
      <c r="BV14" s="1"/>
      <c r="BW14" s="1"/>
      <c r="BX14" s="1"/>
      <c r="BY14" s="1"/>
      <c r="BZ14" s="1"/>
      <c r="CA14" s="1"/>
      <c r="CB14" s="1"/>
      <c r="CC14" s="1"/>
      <c r="CD14" s="1"/>
      <c r="CE14" s="1"/>
      <c r="CF14" s="1"/>
      <c r="CG14" s="1"/>
      <c r="CH14" s="1"/>
      <c r="CI14" s="1"/>
      <c r="CJ14" s="1"/>
      <c r="CK14" s="1"/>
      <c r="CM14" s="1033">
        <v>3</v>
      </c>
      <c r="CN14" s="1">
        <f t="shared" si="12"/>
        <v>1140.26</v>
      </c>
      <c r="CO14">
        <v>2605030493</v>
      </c>
      <c r="CQ14" s="412">
        <v>3</v>
      </c>
      <c r="CR14" s="1">
        <f t="shared" si="13"/>
        <v>0</v>
      </c>
    </row>
    <row r="15" spans="2:97" ht="15" thickBot="1">
      <c r="B15" s="989">
        <v>4</v>
      </c>
      <c r="C15" s="5">
        <f t="shared" si="1"/>
        <v>24762</v>
      </c>
      <c r="D15" s="488">
        <f t="shared" si="2"/>
        <v>572.86</v>
      </c>
      <c r="E15" s="15">
        <f t="shared" si="3"/>
        <v>43.225220821841283</v>
      </c>
      <c r="F15" s="363"/>
      <c r="G15" s="64"/>
      <c r="H15" s="1034">
        <v>19.5</v>
      </c>
      <c r="I15" s="1035">
        <v>8.52</v>
      </c>
      <c r="N15" s="993"/>
      <c r="O15" s="26">
        <v>24762</v>
      </c>
      <c r="P15" s="1036"/>
      <c r="Q15" s="277">
        <f t="shared" si="4"/>
        <v>572.86</v>
      </c>
      <c r="R15" s="1227">
        <f t="shared" si="5"/>
        <v>572.86</v>
      </c>
      <c r="S15" s="27">
        <f t="shared" si="6"/>
        <v>43.225220821841283</v>
      </c>
      <c r="T15" s="33"/>
      <c r="U15" s="2023">
        <v>89.8</v>
      </c>
      <c r="V15" s="2024">
        <v>483.06</v>
      </c>
      <c r="W15" s="2024">
        <v>0</v>
      </c>
      <c r="X15" s="1038"/>
      <c r="Y15" s="1"/>
      <c r="Z15" s="847"/>
      <c r="AA15" s="1025">
        <v>0</v>
      </c>
      <c r="AB15" s="1025">
        <v>0</v>
      </c>
      <c r="AC15" s="1025">
        <v>0</v>
      </c>
      <c r="AD15" s="1025">
        <v>0</v>
      </c>
      <c r="AE15" s="1025" cm="1">
        <f t="array" ref="AE15">SUMPRODUCT(('DB Hauling TIS'!$C$2:$C$951="TIS-ROM SB1 BK05-ROM 6")*('DB Hauling TIS'!$H$2:$H$951="MPE")*ISNUMBER(SEARCH(TEXT('May TIS'!$B15,"00")&amp;"/04/2026",'DB Hauling TIS'!$E$2:$E$951))*'DB Hauling TIS'!$N$2:$N$951)</f>
        <v>0</v>
      </c>
      <c r="AF15" s="1025" cm="1">
        <f t="array" ref="AF15">SUMPRODUCT(('DB Hauling TIS'!$C$2:$C$951="TIS-ROM SB1 BK05-ROM 6")*('DB Hauling TIS'!$H$2:$H$951="RP")*ISNUMBER(SEARCH(TEXT('May TIS'!$B15,"00")&amp;"/04/2026",'DB Hauling TIS'!$E$2:$E$951))*'DB Hauling TIS'!$N$2:$N$951)</f>
        <v>0</v>
      </c>
      <c r="AG15" s="1025">
        <f t="shared" si="7"/>
        <v>0</v>
      </c>
      <c r="AH15" s="1025"/>
      <c r="AI15" s="1039"/>
      <c r="AJ15" s="1026">
        <f t="shared" si="8"/>
        <v>731.69488613999999</v>
      </c>
      <c r="AK15" s="1026">
        <f t="shared" si="14"/>
        <v>59021.010258609997</v>
      </c>
      <c r="AL15" s="1040">
        <f t="shared" si="0"/>
        <v>59752.705144749998</v>
      </c>
      <c r="AM15" s="1414"/>
      <c r="AN15" s="1414"/>
      <c r="AO15" s="1310"/>
      <c r="AP15" s="1310"/>
      <c r="AQ15" s="1934">
        <f t="shared" si="9"/>
        <v>0</v>
      </c>
      <c r="AR15" s="1729">
        <f t="shared" si="10"/>
        <v>0</v>
      </c>
      <c r="AS15" s="1729">
        <f t="shared" si="10"/>
        <v>53130.337873673481</v>
      </c>
      <c r="AT15" s="1007"/>
      <c r="AU15" s="1476">
        <v>1395.68</v>
      </c>
      <c r="AV15" s="1414"/>
      <c r="AW15" s="987"/>
      <c r="AX15" s="310">
        <v>0</v>
      </c>
      <c r="AY15" s="998"/>
      <c r="AZ15" s="2">
        <v>0</v>
      </c>
      <c r="BA15" s="2110">
        <v>0</v>
      </c>
      <c r="BB15" s="2110">
        <v>0</v>
      </c>
      <c r="BC15" s="2110">
        <v>0</v>
      </c>
      <c r="BD15" s="2111">
        <v>0</v>
      </c>
      <c r="BF15" s="987"/>
      <c r="BG15" s="987"/>
      <c r="BH15" s="987"/>
      <c r="BI15" s="987"/>
      <c r="BJ15" s="987"/>
      <c r="BK15" s="310"/>
      <c r="BL15" s="310"/>
      <c r="BM15" s="310"/>
      <c r="BN15" s="310"/>
      <c r="BO15" s="310"/>
      <c r="BP15" s="1041">
        <f>'May TCM'!LO13</f>
        <v>4.6500000000000004</v>
      </c>
      <c r="BQ15" s="1042"/>
      <c r="BR15" s="1"/>
      <c r="BS15" s="1032">
        <f t="shared" si="11"/>
        <v>71479.35759747999</v>
      </c>
      <c r="BT15" s="1"/>
      <c r="BU15" s="1"/>
      <c r="BV15" s="1"/>
      <c r="BW15" s="1"/>
      <c r="BX15" s="1"/>
      <c r="BY15" s="1"/>
      <c r="BZ15" s="1"/>
      <c r="CA15" s="1"/>
      <c r="CB15" s="1"/>
      <c r="CC15" s="1"/>
      <c r="CD15" s="1"/>
      <c r="CE15" s="1"/>
      <c r="CF15" s="1"/>
      <c r="CG15" s="1"/>
      <c r="CH15" s="1"/>
      <c r="CI15" s="1"/>
      <c r="CJ15" s="1"/>
      <c r="CK15" s="1"/>
      <c r="CM15" s="1033">
        <v>4</v>
      </c>
      <c r="CN15" s="1">
        <f t="shared" si="12"/>
        <v>572.86</v>
      </c>
      <c r="CO15">
        <v>2605040804</v>
      </c>
      <c r="CQ15" s="412">
        <v>4</v>
      </c>
      <c r="CR15" s="1">
        <f t="shared" si="13"/>
        <v>0</v>
      </c>
    </row>
    <row r="16" spans="2:97" ht="13.5" customHeight="1" thickBot="1">
      <c r="B16" s="989">
        <v>5</v>
      </c>
      <c r="C16" s="5">
        <f t="shared" si="1"/>
        <v>38912</v>
      </c>
      <c r="D16" s="488">
        <f t="shared" si="2"/>
        <v>1055.72</v>
      </c>
      <c r="E16" s="15">
        <f t="shared" si="3"/>
        <v>36.858257871405293</v>
      </c>
      <c r="F16" s="363"/>
      <c r="G16" s="64"/>
      <c r="H16" s="1034"/>
      <c r="I16" s="1035"/>
      <c r="N16" s="993"/>
      <c r="O16" s="26">
        <v>38912</v>
      </c>
      <c r="P16" s="36"/>
      <c r="Q16" s="277">
        <f t="shared" si="4"/>
        <v>1055.72</v>
      </c>
      <c r="R16" s="1227">
        <f t="shared" si="5"/>
        <v>1055.72</v>
      </c>
      <c r="S16" s="27">
        <f t="shared" si="6"/>
        <v>36.858257871405293</v>
      </c>
      <c r="T16" s="33"/>
      <c r="U16" s="2023">
        <v>316.45999999999998</v>
      </c>
      <c r="V16" s="2024">
        <v>739.26</v>
      </c>
      <c r="W16" s="2024">
        <v>0</v>
      </c>
      <c r="X16" s="1038"/>
      <c r="Y16" s="1"/>
      <c r="Z16" s="847"/>
      <c r="AA16" s="1025">
        <v>0</v>
      </c>
      <c r="AB16" s="1025">
        <v>0</v>
      </c>
      <c r="AC16" s="1025">
        <v>0</v>
      </c>
      <c r="AD16" s="1025">
        <v>0</v>
      </c>
      <c r="AE16" s="1025" cm="1">
        <f t="array" ref="AE16">SUMPRODUCT(('DB Hauling TIS'!$C$2:$C$951="TIS-ROM SB1 BK05-ROM 6")*('DB Hauling TIS'!$H$2:$H$951="MPE")*ISNUMBER(SEARCH(TEXT('May TIS'!$B16,"00")&amp;"/04/2026",'DB Hauling TIS'!$E$2:$E$951))*'DB Hauling TIS'!$N$2:$N$951)</f>
        <v>0</v>
      </c>
      <c r="AF16" s="1025" cm="1">
        <f t="array" ref="AF16">SUMPRODUCT(('DB Hauling TIS'!$C$2:$C$951="TIS-ROM SB1 BK05-ROM 6")*('DB Hauling TIS'!$H$2:$H$951="RP")*ISNUMBER(SEARCH(TEXT('May TIS'!$B16,"00")&amp;"/04/2026",'DB Hauling TIS'!$E$2:$E$951))*'DB Hauling TIS'!$N$2:$N$951)</f>
        <v>0</v>
      </c>
      <c r="AG16" s="1025">
        <f t="shared" si="7"/>
        <v>0</v>
      </c>
      <c r="AH16" s="1025"/>
      <c r="AI16" s="1039"/>
      <c r="AJ16" s="1026">
        <f t="shared" si="8"/>
        <v>731.69488613999999</v>
      </c>
      <c r="AK16" s="1026">
        <f t="shared" si="14"/>
        <v>61721.210258610001</v>
      </c>
      <c r="AL16" s="1040">
        <f t="shared" si="0"/>
        <v>62452.905144750002</v>
      </c>
      <c r="AM16" s="1414"/>
      <c r="AN16" s="1414"/>
      <c r="AO16" s="1310"/>
      <c r="AP16" s="1310"/>
      <c r="AQ16" s="1934">
        <f t="shared" si="9"/>
        <v>0</v>
      </c>
      <c r="AR16" s="1729">
        <f t="shared" si="10"/>
        <v>0</v>
      </c>
      <c r="AS16" s="1729">
        <f t="shared" si="10"/>
        <v>51485.857873673478</v>
      </c>
      <c r="AT16" s="1007"/>
      <c r="AU16" s="1476">
        <v>1644.4799999999998</v>
      </c>
      <c r="AV16" s="1414"/>
      <c r="AW16" s="987"/>
      <c r="AX16" s="310">
        <v>0</v>
      </c>
      <c r="AY16" s="998"/>
      <c r="AZ16" s="2">
        <v>0</v>
      </c>
      <c r="BA16" s="2110">
        <v>0</v>
      </c>
      <c r="BB16" s="2110">
        <v>0</v>
      </c>
      <c r="BC16" s="2110">
        <v>0</v>
      </c>
      <c r="BD16" s="2111">
        <v>0</v>
      </c>
      <c r="BF16" s="987"/>
      <c r="BG16" s="987"/>
      <c r="BH16" s="987"/>
      <c r="BI16" s="987"/>
      <c r="BJ16" s="987"/>
      <c r="BK16" s="310"/>
      <c r="BL16" s="310"/>
      <c r="BM16" s="310"/>
      <c r="BN16" s="310"/>
      <c r="BO16" s="310"/>
      <c r="BP16" s="1041">
        <f>'May TCM'!LO14</f>
        <v>4.75</v>
      </c>
      <c r="BQ16" s="1042"/>
      <c r="BR16" s="1"/>
      <c r="BS16" s="1032">
        <f t="shared" si="11"/>
        <v>71479.35759747999</v>
      </c>
      <c r="BT16" s="1"/>
      <c r="BU16" s="1"/>
      <c r="BV16" s="1"/>
      <c r="BW16" s="1"/>
      <c r="BX16" s="1"/>
      <c r="BY16" s="1"/>
      <c r="BZ16" s="1"/>
      <c r="CA16" s="1"/>
      <c r="CB16" s="1"/>
      <c r="CC16" s="1"/>
      <c r="CD16" s="1"/>
      <c r="CE16" s="1"/>
      <c r="CF16" s="1"/>
      <c r="CG16" s="1"/>
      <c r="CH16" s="1"/>
      <c r="CI16" s="1"/>
      <c r="CJ16" s="1"/>
      <c r="CK16" s="1"/>
      <c r="CM16" s="1033">
        <v>5</v>
      </c>
      <c r="CN16" s="1">
        <f t="shared" si="12"/>
        <v>1055.72</v>
      </c>
      <c r="CO16" s="1045">
        <v>2605051067</v>
      </c>
      <c r="CQ16" s="412">
        <v>5</v>
      </c>
      <c r="CR16" s="1">
        <f t="shared" si="13"/>
        <v>0</v>
      </c>
      <c r="CS16" s="1046"/>
    </row>
    <row r="17" spans="2:97" ht="15" thickBot="1">
      <c r="B17" s="989">
        <v>6</v>
      </c>
      <c r="C17" s="5">
        <f t="shared" si="1"/>
        <v>33169</v>
      </c>
      <c r="D17" s="488">
        <f t="shared" si="2"/>
        <v>238.20000000000002</v>
      </c>
      <c r="E17" s="15">
        <f t="shared" si="3"/>
        <v>139.24853064651552</v>
      </c>
      <c r="F17" s="363"/>
      <c r="G17" s="64"/>
      <c r="H17" s="1034">
        <v>2</v>
      </c>
      <c r="I17" s="1035">
        <v>0.67</v>
      </c>
      <c r="N17" s="993"/>
      <c r="O17" s="26">
        <v>33169</v>
      </c>
      <c r="P17" s="36"/>
      <c r="Q17" s="277">
        <f t="shared" si="4"/>
        <v>238.20000000000002</v>
      </c>
      <c r="R17" s="1227">
        <f t="shared" si="5"/>
        <v>238.20000000000002</v>
      </c>
      <c r="S17" s="27">
        <f t="shared" si="6"/>
        <v>139.24853064651552</v>
      </c>
      <c r="T17" s="33"/>
      <c r="U17" s="2023">
        <v>63.74</v>
      </c>
      <c r="V17" s="2024">
        <v>174.46</v>
      </c>
      <c r="W17" s="2024">
        <v>0</v>
      </c>
      <c r="X17" s="1038"/>
      <c r="Y17" s="1"/>
      <c r="Z17" s="847"/>
      <c r="AA17" s="1025">
        <v>0</v>
      </c>
      <c r="AB17" s="1025">
        <v>0</v>
      </c>
      <c r="AC17" s="1025">
        <v>0</v>
      </c>
      <c r="AD17" s="1025">
        <v>0</v>
      </c>
      <c r="AE17" s="1025" cm="1">
        <f t="array" ref="AE17">SUMPRODUCT(('DB Hauling TIS'!$C$2:$C$951="TIS-ROM SB1 BK05-ROM 6")*('DB Hauling TIS'!$H$2:$H$951="MPE")*ISNUMBER(SEARCH(TEXT('May TIS'!$B17,"00")&amp;"/04/2026",'DB Hauling TIS'!$E$2:$E$951))*'DB Hauling TIS'!$N$2:$N$951)</f>
        <v>0</v>
      </c>
      <c r="AF17" s="1025" cm="1">
        <f t="array" ref="AF17">SUMPRODUCT(('DB Hauling TIS'!$C$2:$C$951="TIS-ROM SB1 BK05-ROM 6")*('DB Hauling TIS'!$H$2:$H$951="RP")*ISNUMBER(SEARCH(TEXT('May TIS'!$B17,"00")&amp;"/04/2026",'DB Hauling TIS'!$E$2:$E$951))*'DB Hauling TIS'!$N$2:$N$951)</f>
        <v>0</v>
      </c>
      <c r="AG17" s="1025">
        <f t="shared" si="7"/>
        <v>0</v>
      </c>
      <c r="AH17" s="1025"/>
      <c r="AI17" s="1039"/>
      <c r="AJ17" s="1026">
        <f t="shared" si="8"/>
        <v>731.69488613999999</v>
      </c>
      <c r="AK17" s="1026">
        <f t="shared" si="14"/>
        <v>64777.790258609995</v>
      </c>
      <c r="AL17" s="1040">
        <f t="shared" si="0"/>
        <v>65509.485144749997</v>
      </c>
      <c r="AM17" s="1414"/>
      <c r="AN17" s="1414"/>
      <c r="AO17" s="1310"/>
      <c r="AP17" s="1310"/>
      <c r="AQ17" s="1934">
        <f t="shared" si="9"/>
        <v>0</v>
      </c>
      <c r="AR17" s="1729">
        <f t="shared" si="10"/>
        <v>0</v>
      </c>
      <c r="AS17" s="1729">
        <f t="shared" si="10"/>
        <v>48667.477873673481</v>
      </c>
      <c r="AT17" s="1007"/>
      <c r="AU17" s="1476">
        <v>2818.38</v>
      </c>
      <c r="AV17" s="1414"/>
      <c r="AW17" s="987"/>
      <c r="AX17" s="310">
        <v>0</v>
      </c>
      <c r="AY17" s="998"/>
      <c r="AZ17" s="2">
        <v>0</v>
      </c>
      <c r="BA17" s="2110">
        <v>0</v>
      </c>
      <c r="BB17" s="2110">
        <v>0</v>
      </c>
      <c r="BC17" s="2110">
        <v>0</v>
      </c>
      <c r="BD17" s="2111">
        <v>0</v>
      </c>
      <c r="BF17" s="987"/>
      <c r="BG17" s="987"/>
      <c r="BH17" s="987"/>
      <c r="BI17" s="987"/>
      <c r="BJ17" s="987"/>
      <c r="BK17" s="310"/>
      <c r="BL17" s="310"/>
      <c r="BM17" s="310"/>
      <c r="BN17" s="310"/>
      <c r="BO17" s="310"/>
      <c r="BP17" s="1041">
        <f>'May TCM'!LO15</f>
        <v>4.72</v>
      </c>
      <c r="BQ17" s="1042"/>
      <c r="BR17" s="1"/>
      <c r="BS17" s="1032">
        <f t="shared" si="11"/>
        <v>71479.35759747999</v>
      </c>
      <c r="BT17" s="1"/>
      <c r="BU17" s="1"/>
      <c r="BV17" s="1"/>
      <c r="BW17" s="1"/>
      <c r="BX17" s="1"/>
      <c r="BY17" s="1"/>
      <c r="BZ17" s="1"/>
      <c r="CA17" s="1"/>
      <c r="CB17" s="1"/>
      <c r="CC17" s="1"/>
      <c r="CD17" s="1"/>
      <c r="CE17" s="1"/>
      <c r="CF17" s="1"/>
      <c r="CG17" s="1"/>
      <c r="CH17" s="1"/>
      <c r="CI17" s="1"/>
      <c r="CJ17" s="1"/>
      <c r="CK17" s="1"/>
      <c r="CM17" s="1033">
        <v>6</v>
      </c>
      <c r="CN17" s="1">
        <f t="shared" si="12"/>
        <v>238.20000000000002</v>
      </c>
      <c r="CO17" s="1226">
        <v>2605061398</v>
      </c>
      <c r="CQ17" s="412">
        <v>6</v>
      </c>
      <c r="CR17" s="1">
        <f t="shared" si="13"/>
        <v>0</v>
      </c>
    </row>
    <row r="18" spans="2:97" ht="15" thickBot="1">
      <c r="B18" s="989">
        <v>7</v>
      </c>
      <c r="C18" s="5">
        <f t="shared" si="1"/>
        <v>38978</v>
      </c>
      <c r="D18" s="488">
        <f t="shared" si="2"/>
        <v>388.68</v>
      </c>
      <c r="E18" s="15">
        <f t="shared" si="3"/>
        <v>100.28300915920552</v>
      </c>
      <c r="F18" s="363"/>
      <c r="G18" s="64"/>
      <c r="H18" s="1034"/>
      <c r="I18" s="2107"/>
      <c r="N18" s="993"/>
      <c r="O18" s="26">
        <v>38978</v>
      </c>
      <c r="P18" s="36"/>
      <c r="Q18" s="277">
        <f t="shared" si="4"/>
        <v>388.68</v>
      </c>
      <c r="R18" s="1227">
        <f t="shared" si="5"/>
        <v>388.68</v>
      </c>
      <c r="S18" s="27">
        <f t="shared" si="6"/>
        <v>100.28300915920552</v>
      </c>
      <c r="T18" s="33"/>
      <c r="U18" s="2023">
        <v>388.68</v>
      </c>
      <c r="V18" s="2024">
        <v>0</v>
      </c>
      <c r="W18" s="2024">
        <v>0</v>
      </c>
      <c r="X18" s="1038"/>
      <c r="Y18" s="1"/>
      <c r="Z18" s="847"/>
      <c r="AA18" s="1025">
        <v>0</v>
      </c>
      <c r="AB18" s="1025">
        <v>0</v>
      </c>
      <c r="AC18" s="1025">
        <v>0</v>
      </c>
      <c r="AD18" s="1025">
        <v>0</v>
      </c>
      <c r="AE18" s="1025" cm="1">
        <f t="array" ref="AE18">SUMPRODUCT(('DB Hauling TIS'!$C$2:$C$951="TIS-ROM SB1 BK05-ROM 6")*('DB Hauling TIS'!$H$2:$H$951="MPE")*ISNUMBER(SEARCH(TEXT('May TIS'!$B18,"00")&amp;"/04/2026",'DB Hauling TIS'!$E$2:$E$951))*'DB Hauling TIS'!$N$2:$N$951)</f>
        <v>0</v>
      </c>
      <c r="AF18" s="1025" cm="1">
        <f t="array" ref="AF18">SUMPRODUCT(('DB Hauling TIS'!$C$2:$C$951="TIS-ROM SB1 BK05-ROM 6")*('DB Hauling TIS'!$H$2:$H$951="RP")*ISNUMBER(SEARCH(TEXT('May TIS'!$B18,"00")&amp;"/04/2026",'DB Hauling TIS'!$E$2:$E$951))*'DB Hauling TIS'!$N$2:$N$951)</f>
        <v>0</v>
      </c>
      <c r="AG18" s="1025">
        <f t="shared" si="7"/>
        <v>0</v>
      </c>
      <c r="AH18" s="1025"/>
      <c r="AI18" s="1039"/>
      <c r="AJ18" s="1026">
        <f t="shared" si="8"/>
        <v>731.69488613999999</v>
      </c>
      <c r="AK18" s="1026">
        <f t="shared" si="14"/>
        <v>68149.390258610001</v>
      </c>
      <c r="AL18" s="1040">
        <f t="shared" si="0"/>
        <v>68881.085144750003</v>
      </c>
      <c r="AM18" s="1414"/>
      <c r="AN18" s="1414"/>
      <c r="AO18" s="1310"/>
      <c r="AP18" s="1310"/>
      <c r="AQ18" s="1934">
        <f t="shared" si="9"/>
        <v>0</v>
      </c>
      <c r="AR18" s="1729">
        <f t="shared" si="10"/>
        <v>0</v>
      </c>
      <c r="AS18" s="1729">
        <f t="shared" si="10"/>
        <v>45684.557873673482</v>
      </c>
      <c r="AT18" s="1007"/>
      <c r="AU18" s="1476">
        <v>2982.92</v>
      </c>
      <c r="AV18" s="1414"/>
      <c r="AW18" s="987"/>
      <c r="AX18" s="310">
        <v>0</v>
      </c>
      <c r="AY18" s="998"/>
      <c r="AZ18" s="2">
        <v>0</v>
      </c>
      <c r="BA18" s="2110">
        <v>0</v>
      </c>
      <c r="BB18" s="2110">
        <v>0</v>
      </c>
      <c r="BC18" s="2110">
        <v>0</v>
      </c>
      <c r="BD18" s="2111">
        <v>0</v>
      </c>
      <c r="BF18" s="987"/>
      <c r="BG18" s="987"/>
      <c r="BH18" s="987"/>
      <c r="BI18" s="987"/>
      <c r="BJ18" s="987"/>
      <c r="BK18" s="1047"/>
      <c r="BL18" s="310"/>
      <c r="BM18" s="310"/>
      <c r="BN18" s="310"/>
      <c r="BO18" s="310"/>
      <c r="BP18" s="1041">
        <f>'May TCM'!LO16</f>
        <v>5.59</v>
      </c>
      <c r="BQ18" s="1042"/>
      <c r="BR18" s="1"/>
      <c r="BS18" s="1032">
        <f t="shared" si="11"/>
        <v>71479.35759747999</v>
      </c>
      <c r="BT18" s="1"/>
      <c r="BU18" s="1"/>
      <c r="BV18" s="1"/>
      <c r="BW18" s="1"/>
      <c r="BX18" s="1"/>
      <c r="BY18" s="1"/>
      <c r="BZ18" s="1"/>
      <c r="CA18" s="1"/>
      <c r="CB18" s="1"/>
      <c r="CC18" s="1"/>
      <c r="CD18" s="1"/>
      <c r="CE18" s="1"/>
      <c r="CF18" s="1"/>
      <c r="CG18" s="1"/>
      <c r="CH18" s="1"/>
      <c r="CI18" s="1"/>
      <c r="CJ18" s="1"/>
      <c r="CK18" s="1"/>
      <c r="CM18" s="1033">
        <v>7</v>
      </c>
      <c r="CN18" s="1">
        <f t="shared" si="12"/>
        <v>388.68</v>
      </c>
      <c r="CO18">
        <v>2605071790</v>
      </c>
      <c r="CQ18" s="412">
        <v>7</v>
      </c>
      <c r="CR18" s="1">
        <f t="shared" si="13"/>
        <v>0</v>
      </c>
    </row>
    <row r="19" spans="2:97" ht="15" thickBot="1">
      <c r="B19" s="989">
        <v>8</v>
      </c>
      <c r="C19" s="5">
        <f t="shared" si="1"/>
        <v>34422</v>
      </c>
      <c r="D19" s="488">
        <f t="shared" si="2"/>
        <v>376.17</v>
      </c>
      <c r="E19" s="15">
        <f t="shared" si="3"/>
        <v>91.506499720870877</v>
      </c>
      <c r="F19" s="363"/>
      <c r="G19" s="64"/>
      <c r="H19" s="2108">
        <v>8</v>
      </c>
      <c r="I19" s="1035">
        <v>3</v>
      </c>
      <c r="N19" s="993"/>
      <c r="O19" s="26">
        <v>34422</v>
      </c>
      <c r="P19" s="36"/>
      <c r="Q19" s="277">
        <f t="shared" si="4"/>
        <v>376.17</v>
      </c>
      <c r="R19" s="1227">
        <f t="shared" si="5"/>
        <v>376.17</v>
      </c>
      <c r="S19" s="27">
        <f t="shared" si="6"/>
        <v>91.506499720870877</v>
      </c>
      <c r="T19" s="33"/>
      <c r="U19" s="2023">
        <v>376.17</v>
      </c>
      <c r="V19" s="2024">
        <v>0</v>
      </c>
      <c r="W19" s="2024">
        <v>0</v>
      </c>
      <c r="X19" s="1038"/>
      <c r="Y19" s="1"/>
      <c r="Z19" s="847"/>
      <c r="AA19" s="1025">
        <v>0</v>
      </c>
      <c r="AB19" s="1025">
        <v>0</v>
      </c>
      <c r="AC19" s="1025">
        <v>0</v>
      </c>
      <c r="AD19" s="1025">
        <v>0</v>
      </c>
      <c r="AE19" s="1025" cm="1">
        <f t="array" ref="AE19">SUMPRODUCT(('DB Hauling TIS'!$C$2:$C$951="TIS-ROM SB1 BK05-ROM 6")*('DB Hauling TIS'!$H$2:$H$951="MPE")*ISNUMBER(SEARCH(TEXT('May TIS'!$B19,"00")&amp;"/04/2026",'DB Hauling TIS'!$E$2:$E$951))*'DB Hauling TIS'!$N$2:$N$951)</f>
        <v>0</v>
      </c>
      <c r="AF19" s="1025" cm="1">
        <f t="array" ref="AF19">SUMPRODUCT(('DB Hauling TIS'!$C$2:$C$951="TIS-ROM SB1 BK05-ROM 6")*('DB Hauling TIS'!$H$2:$H$951="RP")*ISNUMBER(SEARCH(TEXT('May TIS'!$B19,"00")&amp;"/04/2026",'DB Hauling TIS'!$E$2:$E$951))*'DB Hauling TIS'!$N$2:$N$951)</f>
        <v>0</v>
      </c>
      <c r="AG19" s="1025">
        <f t="shared" si="7"/>
        <v>0</v>
      </c>
      <c r="AH19" s="1025"/>
      <c r="AI19" s="1039"/>
      <c r="AJ19" s="1026">
        <f t="shared" si="8"/>
        <v>731.69488613999999</v>
      </c>
      <c r="AK19" s="1026">
        <f t="shared" si="14"/>
        <v>70793.480258609998</v>
      </c>
      <c r="AL19" s="1040">
        <f t="shared" si="0"/>
        <v>71525.175144749999</v>
      </c>
      <c r="AM19" s="1414"/>
      <c r="AN19" s="1414"/>
      <c r="AO19" s="1310"/>
      <c r="AP19" s="1310"/>
      <c r="AQ19" s="1934">
        <f t="shared" si="9"/>
        <v>0</v>
      </c>
      <c r="AR19" s="1729">
        <f t="shared" si="10"/>
        <v>0</v>
      </c>
      <c r="AS19" s="1729">
        <f t="shared" si="10"/>
        <v>43416.637873673484</v>
      </c>
      <c r="AT19" s="1007"/>
      <c r="AU19" s="1476">
        <v>2267.92</v>
      </c>
      <c r="AV19" s="1414"/>
      <c r="AW19" s="987"/>
      <c r="AX19" s="310">
        <v>0</v>
      </c>
      <c r="AY19" s="998"/>
      <c r="AZ19" s="2">
        <v>0</v>
      </c>
      <c r="BA19" s="2110">
        <v>0</v>
      </c>
      <c r="BB19" s="2110">
        <v>0</v>
      </c>
      <c r="BC19" s="2110">
        <v>0</v>
      </c>
      <c r="BD19" s="2111">
        <v>0</v>
      </c>
      <c r="BF19" s="987"/>
      <c r="BG19" s="987"/>
      <c r="BH19" s="987"/>
      <c r="BI19" s="987"/>
      <c r="BJ19" s="987"/>
      <c r="BK19" s="310">
        <v>7508.51</v>
      </c>
      <c r="BL19" s="310">
        <v>1</v>
      </c>
      <c r="BM19" s="310">
        <v>1</v>
      </c>
      <c r="BN19" s="310"/>
      <c r="BO19" s="310"/>
      <c r="BP19" s="1041">
        <f>'May TCM'!LO17</f>
        <v>5.77</v>
      </c>
      <c r="BQ19" s="1042"/>
      <c r="BR19" s="1"/>
      <c r="BS19" s="1032">
        <f t="shared" si="11"/>
        <v>63970.847597479988</v>
      </c>
      <c r="BT19" s="1"/>
      <c r="BU19" s="1"/>
      <c r="BV19" s="1"/>
      <c r="BW19" s="1"/>
      <c r="BX19" s="1"/>
      <c r="BY19" s="1"/>
      <c r="BZ19" s="1"/>
      <c r="CA19" s="1"/>
      <c r="CB19" s="1"/>
      <c r="CC19" s="1"/>
      <c r="CD19" s="1"/>
      <c r="CE19" s="1"/>
      <c r="CF19" s="1"/>
      <c r="CG19" s="1"/>
      <c r="CH19" s="1"/>
      <c r="CI19" s="1"/>
      <c r="CJ19" s="1"/>
      <c r="CK19" s="1"/>
      <c r="CM19" s="1033">
        <v>8</v>
      </c>
      <c r="CN19" s="1">
        <f t="shared" si="12"/>
        <v>376.17</v>
      </c>
      <c r="CO19">
        <v>2605082127</v>
      </c>
      <c r="CQ19" s="412">
        <v>8</v>
      </c>
      <c r="CR19" s="1">
        <f t="shared" si="13"/>
        <v>0</v>
      </c>
    </row>
    <row r="20" spans="2:97" ht="15" thickBot="1">
      <c r="B20" s="989">
        <v>9</v>
      </c>
      <c r="C20" s="5">
        <f t="shared" si="1"/>
        <v>30686</v>
      </c>
      <c r="D20" s="488">
        <f t="shared" si="2"/>
        <v>150.58000000000001</v>
      </c>
      <c r="E20" s="15">
        <f t="shared" si="3"/>
        <v>203.78536326205338</v>
      </c>
      <c r="F20" s="363"/>
      <c r="G20" s="64"/>
      <c r="H20" s="1034">
        <v>21</v>
      </c>
      <c r="I20" s="1018">
        <v>6</v>
      </c>
      <c r="N20" s="993"/>
      <c r="O20" s="26">
        <v>30686</v>
      </c>
      <c r="P20" s="36"/>
      <c r="Q20" s="277">
        <f t="shared" si="4"/>
        <v>150.58000000000001</v>
      </c>
      <c r="R20" s="1227">
        <f t="shared" si="5"/>
        <v>150.58000000000001</v>
      </c>
      <c r="S20" s="27">
        <f t="shared" si="6"/>
        <v>203.78536326205338</v>
      </c>
      <c r="T20" s="33"/>
      <c r="U20" s="2023">
        <v>150.58000000000001</v>
      </c>
      <c r="V20" s="2024">
        <v>0</v>
      </c>
      <c r="W20" s="2024">
        <v>0</v>
      </c>
      <c r="X20" s="1038"/>
      <c r="Y20" s="1"/>
      <c r="Z20" s="847"/>
      <c r="AA20" s="1025">
        <v>0</v>
      </c>
      <c r="AB20" s="1025">
        <v>0</v>
      </c>
      <c r="AC20" s="1025">
        <v>0</v>
      </c>
      <c r="AD20" s="1025">
        <v>0</v>
      </c>
      <c r="AE20" s="1025" cm="1">
        <f t="array" ref="AE20">SUMPRODUCT(('DB Hauling TIS'!$C$2:$C$951="TIS-ROM SB1 BK05-ROM 6")*('DB Hauling TIS'!$H$2:$H$951="MPE")*ISNUMBER(SEARCH(TEXT('May TIS'!$B20,"00")&amp;"/04/2026",'DB Hauling TIS'!$E$2:$E$951))*'DB Hauling TIS'!$N$2:$N$951)</f>
        <v>0</v>
      </c>
      <c r="AF20" s="1025" cm="1">
        <f t="array" ref="AF20">SUMPRODUCT(('DB Hauling TIS'!$C$2:$C$951="TIS-ROM SB1 BK05-ROM 6")*('DB Hauling TIS'!$H$2:$H$951="RP")*ISNUMBER(SEARCH(TEXT('May TIS'!$B20,"00")&amp;"/04/2026",'DB Hauling TIS'!$E$2:$E$951))*'DB Hauling TIS'!$N$2:$N$951)</f>
        <v>0</v>
      </c>
      <c r="AG20" s="1025">
        <f t="shared" si="7"/>
        <v>0</v>
      </c>
      <c r="AH20" s="1025"/>
      <c r="AI20" s="1039"/>
      <c r="AJ20" s="1026">
        <f t="shared" si="8"/>
        <v>731.69488613999999</v>
      </c>
      <c r="AK20" s="1026">
        <f t="shared" si="14"/>
        <v>73115.180258609995</v>
      </c>
      <c r="AL20" s="1040">
        <f t="shared" si="0"/>
        <v>73846.875144749996</v>
      </c>
      <c r="AM20" s="1414"/>
      <c r="AN20" s="1414"/>
      <c r="AO20" s="1310"/>
      <c r="AP20" s="1310"/>
      <c r="AQ20" s="1934">
        <f t="shared" si="9"/>
        <v>0</v>
      </c>
      <c r="AR20" s="1729">
        <f t="shared" si="10"/>
        <v>0</v>
      </c>
      <c r="AS20" s="1729">
        <f t="shared" si="10"/>
        <v>41245.517873673482</v>
      </c>
      <c r="AT20" s="1007"/>
      <c r="AU20" s="1476">
        <v>2171.12</v>
      </c>
      <c r="AV20" s="1414"/>
      <c r="AW20" s="987"/>
      <c r="AX20" s="310">
        <v>0</v>
      </c>
      <c r="AY20" s="998"/>
      <c r="AZ20" s="2">
        <v>0</v>
      </c>
      <c r="BA20" s="2110">
        <v>0</v>
      </c>
      <c r="BB20" s="2110">
        <v>0</v>
      </c>
      <c r="BC20" s="2110">
        <v>0</v>
      </c>
      <c r="BD20" s="2111">
        <v>0</v>
      </c>
      <c r="BF20" s="987"/>
      <c r="BG20" s="987"/>
      <c r="BH20" s="987"/>
      <c r="BI20" s="987"/>
      <c r="BJ20" s="987"/>
      <c r="BK20" s="310">
        <v>7631.23</v>
      </c>
      <c r="BL20" s="310"/>
      <c r="BM20" s="310"/>
      <c r="BN20" s="310"/>
      <c r="BO20" s="310"/>
      <c r="BP20" s="1041">
        <f>'May TCM'!LO18</f>
        <v>5.99</v>
      </c>
      <c r="BQ20" s="1042"/>
      <c r="BR20" s="1"/>
      <c r="BS20" s="1032">
        <f t="shared" si="11"/>
        <v>56339.617597479984</v>
      </c>
      <c r="BT20" s="1"/>
      <c r="BU20" s="1"/>
      <c r="BV20" s="1"/>
      <c r="BW20" s="1"/>
      <c r="BX20" s="1"/>
      <c r="BY20" s="1"/>
      <c r="BZ20" s="1"/>
      <c r="CA20" s="1"/>
      <c r="CB20" s="1"/>
      <c r="CC20" s="1"/>
      <c r="CD20" s="1"/>
      <c r="CE20" s="1"/>
      <c r="CF20" s="1"/>
      <c r="CG20" s="1"/>
      <c r="CH20" s="1"/>
      <c r="CI20" s="1"/>
      <c r="CJ20" s="1"/>
      <c r="CK20" s="1"/>
      <c r="CM20" s="1033">
        <v>9</v>
      </c>
      <c r="CN20" s="1">
        <f t="shared" si="12"/>
        <v>150.58000000000001</v>
      </c>
      <c r="CO20" s="1046">
        <v>2605092397</v>
      </c>
      <c r="CQ20" s="412">
        <v>9</v>
      </c>
      <c r="CR20" s="1">
        <f t="shared" si="13"/>
        <v>0</v>
      </c>
    </row>
    <row r="21" spans="2:97" ht="15" thickBot="1">
      <c r="B21" s="989">
        <v>10</v>
      </c>
      <c r="C21" s="5">
        <f t="shared" si="1"/>
        <v>28105</v>
      </c>
      <c r="D21" s="488">
        <f t="shared" si="2"/>
        <v>2112.92</v>
      </c>
      <c r="E21" s="15">
        <f t="shared" si="3"/>
        <v>13.301497453760671</v>
      </c>
      <c r="F21" s="363"/>
      <c r="G21" s="64"/>
      <c r="H21" s="1034">
        <v>8.5</v>
      </c>
      <c r="I21" s="1034">
        <v>5</v>
      </c>
      <c r="N21" s="993"/>
      <c r="O21" s="26">
        <v>28105</v>
      </c>
      <c r="P21" s="36"/>
      <c r="Q21" s="277">
        <f t="shared" si="4"/>
        <v>2112.92</v>
      </c>
      <c r="R21" s="1227">
        <f t="shared" si="5"/>
        <v>2112.92</v>
      </c>
      <c r="S21" s="27">
        <f t="shared" si="6"/>
        <v>13.301497453760671</v>
      </c>
      <c r="T21" s="33"/>
      <c r="U21" s="2023">
        <v>2112.92</v>
      </c>
      <c r="V21" s="2024">
        <v>0</v>
      </c>
      <c r="W21" s="2024">
        <v>0</v>
      </c>
      <c r="X21" s="1038"/>
      <c r="Y21" s="1"/>
      <c r="Z21" s="847"/>
      <c r="AA21" s="1025">
        <v>0</v>
      </c>
      <c r="AB21" s="1025">
        <v>0</v>
      </c>
      <c r="AC21" s="1025">
        <v>0</v>
      </c>
      <c r="AD21" s="1025">
        <v>0</v>
      </c>
      <c r="AE21" s="1025" cm="1">
        <f t="array" ref="AE21">SUMPRODUCT(('DB Hauling TIS'!$C$2:$C$951="TIS-ROM SB1 BK05-ROM 6")*('DB Hauling TIS'!$H$2:$H$951="MPE")*ISNUMBER(SEARCH(TEXT('May TIS'!$B21,"00")&amp;"/04/2026",'DB Hauling TIS'!$E$2:$E$951))*'DB Hauling TIS'!$N$2:$N$951)</f>
        <v>0</v>
      </c>
      <c r="AF21" s="1025" cm="1">
        <f t="array" ref="AF21">SUMPRODUCT(('DB Hauling TIS'!$C$2:$C$951="TIS-ROM SB1 BK05-ROM 6")*('DB Hauling TIS'!$H$2:$H$951="RP")*ISNUMBER(SEARCH(TEXT('May TIS'!$B21,"00")&amp;"/04/2026",'DB Hauling TIS'!$E$2:$E$951))*'DB Hauling TIS'!$N$2:$N$951)</f>
        <v>0</v>
      </c>
      <c r="AG21" s="1025">
        <f t="shared" si="7"/>
        <v>0</v>
      </c>
      <c r="AH21" s="1025"/>
      <c r="AI21" s="1039"/>
      <c r="AJ21" s="1026">
        <f t="shared" si="8"/>
        <v>731.69488613999999</v>
      </c>
      <c r="AK21" s="1026">
        <f t="shared" si="14"/>
        <v>75250.44025860999</v>
      </c>
      <c r="AL21" s="1040">
        <f t="shared" si="0"/>
        <v>75982.135144749991</v>
      </c>
      <c r="AM21" s="1414"/>
      <c r="AN21" s="1414"/>
      <c r="AO21" s="1310"/>
      <c r="AP21" s="1310"/>
      <c r="AQ21" s="1934">
        <f t="shared" si="9"/>
        <v>0</v>
      </c>
      <c r="AR21" s="1729">
        <f t="shared" si="10"/>
        <v>0</v>
      </c>
      <c r="AS21" s="1729">
        <f t="shared" si="10"/>
        <v>41223.177873673485</v>
      </c>
      <c r="AT21" s="1007"/>
      <c r="AU21" s="1476">
        <v>22.34</v>
      </c>
      <c r="AV21" s="1414"/>
      <c r="AW21" s="987"/>
      <c r="AX21" s="310">
        <v>0</v>
      </c>
      <c r="AY21" s="998"/>
      <c r="AZ21" s="2">
        <v>0</v>
      </c>
      <c r="BA21" s="2110">
        <v>0</v>
      </c>
      <c r="BB21" s="2110">
        <v>0</v>
      </c>
      <c r="BC21" s="2110">
        <v>0</v>
      </c>
      <c r="BD21" s="2111">
        <v>0</v>
      </c>
      <c r="BF21" s="987"/>
      <c r="BG21" s="987"/>
      <c r="BH21" s="987"/>
      <c r="BI21" s="987"/>
      <c r="BJ21" s="987"/>
      <c r="BK21" s="310"/>
      <c r="BL21" s="310"/>
      <c r="BM21" s="310"/>
      <c r="BN21" s="310"/>
      <c r="BO21" s="310">
        <v>1</v>
      </c>
      <c r="BP21" s="1041">
        <f>'May TCM'!LO19</f>
        <v>6.66</v>
      </c>
      <c r="BQ21" s="1042"/>
      <c r="BR21" s="1"/>
      <c r="BS21" s="1032">
        <f t="shared" si="11"/>
        <v>56339.617597479984</v>
      </c>
      <c r="BT21" s="1"/>
      <c r="BU21" s="1"/>
      <c r="BV21" s="1"/>
      <c r="BW21" s="1"/>
      <c r="BX21" s="1"/>
      <c r="BY21" s="1"/>
      <c r="BZ21" s="1"/>
      <c r="CA21" s="1"/>
      <c r="CB21" s="1"/>
      <c r="CC21" s="1"/>
      <c r="CD21" s="1"/>
      <c r="CE21" s="1"/>
      <c r="CF21" s="1"/>
      <c r="CG21" s="1"/>
      <c r="CH21" s="1"/>
      <c r="CI21" s="1"/>
      <c r="CJ21" s="1"/>
      <c r="CK21" s="1"/>
      <c r="CM21" s="1033">
        <v>10</v>
      </c>
      <c r="CN21" s="1">
        <f t="shared" si="12"/>
        <v>2112.92</v>
      </c>
      <c r="CO21">
        <v>2605102690</v>
      </c>
      <c r="CQ21" s="412">
        <v>10</v>
      </c>
      <c r="CR21" s="1">
        <f t="shared" si="13"/>
        <v>0</v>
      </c>
    </row>
    <row r="22" spans="2:97" ht="15" thickBot="1">
      <c r="B22" s="989">
        <v>11</v>
      </c>
      <c r="C22" s="5">
        <f t="shared" si="1"/>
        <v>25427</v>
      </c>
      <c r="D22" s="488">
        <f t="shared" si="2"/>
        <v>1200.04</v>
      </c>
      <c r="E22" s="15">
        <f t="shared" si="3"/>
        <v>21.188460384653844</v>
      </c>
      <c r="F22" s="363"/>
      <c r="G22" s="64"/>
      <c r="H22" s="1034">
        <v>15</v>
      </c>
      <c r="I22" s="1034">
        <v>3.75</v>
      </c>
      <c r="N22" s="993"/>
      <c r="O22" s="26">
        <v>25427</v>
      </c>
      <c r="P22" s="36"/>
      <c r="Q22" s="277">
        <f t="shared" si="4"/>
        <v>1200.04</v>
      </c>
      <c r="R22" s="1227">
        <f t="shared" si="5"/>
        <v>1200.04</v>
      </c>
      <c r="S22" s="27">
        <f t="shared" si="6"/>
        <v>21.188460384653844</v>
      </c>
      <c r="T22" s="33"/>
      <c r="U22" s="2023">
        <v>1200.04</v>
      </c>
      <c r="V22" s="2024">
        <v>0</v>
      </c>
      <c r="W22" s="2024">
        <v>0</v>
      </c>
      <c r="X22" s="1038"/>
      <c r="Y22" s="1"/>
      <c r="Z22" s="847"/>
      <c r="AA22" s="1025">
        <v>0</v>
      </c>
      <c r="AB22" s="1025">
        <v>0</v>
      </c>
      <c r="AC22" s="1025">
        <v>0</v>
      </c>
      <c r="AD22" s="1025">
        <v>0</v>
      </c>
      <c r="AE22" s="1025" cm="1">
        <f t="array" ref="AE22">SUMPRODUCT(('DB Hauling TIS'!$C$2:$C$951="TIS-ROM SB1 BK05-ROM 6")*('DB Hauling TIS'!$H$2:$H$951="MPE")*ISNUMBER(SEARCH(TEXT('May TIS'!$B22,"00")&amp;"/04/2026",'DB Hauling TIS'!$E$2:$E$951))*'DB Hauling TIS'!$N$2:$N$951)</f>
        <v>0</v>
      </c>
      <c r="AF22" s="1025" cm="1">
        <f t="array" ref="AF22">SUMPRODUCT(('DB Hauling TIS'!$C$2:$C$951="TIS-ROM SB1 BK05-ROM 6")*('DB Hauling TIS'!$H$2:$H$951="RP")*ISNUMBER(SEARCH(TEXT('May TIS'!$B22,"00")&amp;"/04/2026",'DB Hauling TIS'!$E$2:$E$951))*'DB Hauling TIS'!$N$2:$N$951)</f>
        <v>0</v>
      </c>
      <c r="AG22" s="1025">
        <f t="shared" si="7"/>
        <v>0</v>
      </c>
      <c r="AH22" s="1025"/>
      <c r="AI22" s="1039"/>
      <c r="AJ22" s="1026">
        <f t="shared" si="8"/>
        <v>731.69488613999999</v>
      </c>
      <c r="AK22" s="1026">
        <f t="shared" si="14"/>
        <v>77361.040258609981</v>
      </c>
      <c r="AL22" s="1040">
        <f t="shared" si="0"/>
        <v>78092.735144749982</v>
      </c>
      <c r="AM22" s="1414"/>
      <c r="AN22" s="1414"/>
      <c r="AO22" s="1310"/>
      <c r="AP22" s="1310"/>
      <c r="AQ22" s="1934">
        <f t="shared" si="9"/>
        <v>0</v>
      </c>
      <c r="AR22" s="1729">
        <f t="shared" si="10"/>
        <v>0</v>
      </c>
      <c r="AS22" s="1729">
        <f t="shared" si="10"/>
        <v>40312.617873673487</v>
      </c>
      <c r="AT22" s="1007"/>
      <c r="AU22" s="1476">
        <v>910.56</v>
      </c>
      <c r="AV22" s="1414"/>
      <c r="AW22" s="987"/>
      <c r="AX22" s="310">
        <v>0</v>
      </c>
      <c r="AY22" s="998"/>
      <c r="AZ22" s="2">
        <v>0</v>
      </c>
      <c r="BA22" s="2110">
        <v>0</v>
      </c>
      <c r="BB22" s="2110">
        <v>0</v>
      </c>
      <c r="BC22" s="2110">
        <v>0</v>
      </c>
      <c r="BD22" s="2111">
        <v>0</v>
      </c>
      <c r="BF22" s="987"/>
      <c r="BG22" s="987"/>
      <c r="BH22" s="987"/>
      <c r="BI22" s="987"/>
      <c r="BJ22" s="987"/>
      <c r="BK22" s="310"/>
      <c r="BL22" s="310"/>
      <c r="BM22" s="310">
        <v>1</v>
      </c>
      <c r="BN22" s="310"/>
      <c r="BO22" s="310"/>
      <c r="BP22" s="1041">
        <f>'May TCM'!LO20</f>
        <v>7.09</v>
      </c>
      <c r="BQ22" s="1042"/>
      <c r="BR22" s="1"/>
      <c r="BS22" s="1032">
        <f t="shared" si="11"/>
        <v>56339.617597479984</v>
      </c>
      <c r="BT22" s="1"/>
      <c r="BU22" s="1"/>
      <c r="BV22" s="1"/>
      <c r="BW22" s="1"/>
      <c r="BX22" s="1"/>
      <c r="BY22" s="1"/>
      <c r="BZ22" s="1"/>
      <c r="CA22" s="1"/>
      <c r="CB22" s="1"/>
      <c r="CC22" s="1"/>
      <c r="CD22" s="1"/>
      <c r="CE22" s="1"/>
      <c r="CF22" s="1"/>
      <c r="CG22" s="1"/>
      <c r="CH22" s="1"/>
      <c r="CI22" s="1"/>
      <c r="CJ22" s="1"/>
      <c r="CK22" s="1"/>
      <c r="CM22" s="1033">
        <v>11</v>
      </c>
      <c r="CN22" s="1">
        <f t="shared" si="12"/>
        <v>1200.04</v>
      </c>
      <c r="CO22">
        <v>2605112925</v>
      </c>
      <c r="CQ22" s="412">
        <v>11</v>
      </c>
      <c r="CR22" s="1">
        <f t="shared" si="13"/>
        <v>0</v>
      </c>
    </row>
    <row r="23" spans="2:97" ht="15" thickBot="1">
      <c r="B23" s="989">
        <v>12</v>
      </c>
      <c r="C23" s="5">
        <f t="shared" si="1"/>
        <v>27926</v>
      </c>
      <c r="D23" s="488">
        <f t="shared" si="2"/>
        <v>1833.8200000000002</v>
      </c>
      <c r="E23" s="15">
        <f t="shared" si="3"/>
        <v>15.22832120927899</v>
      </c>
      <c r="F23" s="363"/>
      <c r="G23" s="64"/>
      <c r="H23" s="1034">
        <v>17</v>
      </c>
      <c r="I23" s="1034">
        <v>4.25</v>
      </c>
      <c r="N23" s="993"/>
      <c r="O23" s="26">
        <v>27926</v>
      </c>
      <c r="P23" s="36"/>
      <c r="Q23" s="277">
        <f t="shared" si="4"/>
        <v>1833.8200000000002</v>
      </c>
      <c r="R23" s="1227">
        <f t="shared" si="5"/>
        <v>1833.8200000000002</v>
      </c>
      <c r="S23" s="27">
        <f t="shared" si="6"/>
        <v>15.22832120927899</v>
      </c>
      <c r="U23" s="2023">
        <v>1833.8200000000002</v>
      </c>
      <c r="V23" s="2024">
        <v>0</v>
      </c>
      <c r="W23" s="2024">
        <v>0</v>
      </c>
      <c r="X23" s="1038"/>
      <c r="Y23" s="1"/>
      <c r="Z23" s="847"/>
      <c r="AA23" s="1025">
        <v>0</v>
      </c>
      <c r="AB23" s="1025">
        <v>0</v>
      </c>
      <c r="AC23" s="1025">
        <v>0</v>
      </c>
      <c r="AD23" s="1025">
        <v>0</v>
      </c>
      <c r="AE23" s="1025" cm="1">
        <f t="array" ref="AE23">SUMPRODUCT(('DB Hauling TIS'!$C$2:$C$951="TIS-ROM SB1 BK05-ROM 6")*('DB Hauling TIS'!$H$2:$H$951="MPE")*ISNUMBER(SEARCH(TEXT('May TIS'!$B23,"00")&amp;"/04/2026",'DB Hauling TIS'!$E$2:$E$951))*'DB Hauling TIS'!$N$2:$N$951)</f>
        <v>0</v>
      </c>
      <c r="AF23" s="1025" cm="1">
        <f t="array" ref="AF23">SUMPRODUCT(('DB Hauling TIS'!$C$2:$C$951="TIS-ROM SB1 BK05-ROM 6")*('DB Hauling TIS'!$H$2:$H$951="RP")*ISNUMBER(SEARCH(TEXT('May TIS'!$B23,"00")&amp;"/04/2026",'DB Hauling TIS'!$E$2:$E$951))*'DB Hauling TIS'!$N$2:$N$951)</f>
        <v>0</v>
      </c>
      <c r="AG23" s="1025">
        <f t="shared" si="7"/>
        <v>0</v>
      </c>
      <c r="AH23" s="1025"/>
      <c r="AI23" s="1039"/>
      <c r="AJ23" s="1026">
        <f t="shared" si="8"/>
        <v>731.69488613999999</v>
      </c>
      <c r="AK23" s="1026">
        <f t="shared" si="14"/>
        <v>79480.020258609991</v>
      </c>
      <c r="AL23" s="1040">
        <f t="shared" si="0"/>
        <v>80211.715144749993</v>
      </c>
      <c r="AM23" s="1414"/>
      <c r="AN23" s="1414"/>
      <c r="AO23" s="1310"/>
      <c r="AP23" s="1310"/>
      <c r="AQ23" s="1934">
        <f t="shared" si="9"/>
        <v>0</v>
      </c>
      <c r="AR23" s="1729">
        <f t="shared" si="10"/>
        <v>0</v>
      </c>
      <c r="AS23" s="1729">
        <f t="shared" si="10"/>
        <v>40027.457873673484</v>
      </c>
      <c r="AT23" s="1007"/>
      <c r="AU23" s="1476">
        <v>285.16000000000003</v>
      </c>
      <c r="AV23" s="1414"/>
      <c r="AW23" s="987"/>
      <c r="AX23" s="310">
        <v>0</v>
      </c>
      <c r="AY23" s="998"/>
      <c r="AZ23" s="2">
        <v>0</v>
      </c>
      <c r="BA23" s="2110">
        <v>0</v>
      </c>
      <c r="BB23" s="2110">
        <v>0</v>
      </c>
      <c r="BC23" s="2110">
        <v>0</v>
      </c>
      <c r="BD23" s="2111">
        <v>0</v>
      </c>
      <c r="BF23" s="987"/>
      <c r="BG23" s="987"/>
      <c r="BH23" s="987"/>
      <c r="BI23" s="987"/>
      <c r="BJ23" s="987"/>
      <c r="BK23" s="310">
        <v>7588.19</v>
      </c>
      <c r="BL23" s="310">
        <v>1</v>
      </c>
      <c r="BM23" s="310"/>
      <c r="BN23" s="310"/>
      <c r="BO23" s="310"/>
      <c r="BP23" s="1041">
        <f>'May TCM'!LO21</f>
        <v>7.43</v>
      </c>
      <c r="BQ23" s="1042"/>
      <c r="BR23" s="1"/>
      <c r="BS23" s="1032">
        <f t="shared" si="11"/>
        <v>48751.427597479982</v>
      </c>
      <c r="BT23" s="1"/>
      <c r="BU23" s="1"/>
      <c r="BV23" s="1"/>
      <c r="BW23" s="1"/>
      <c r="BX23" s="1"/>
      <c r="BY23" s="1"/>
      <c r="BZ23" s="1"/>
      <c r="CA23" s="1"/>
      <c r="CB23" s="1"/>
      <c r="CC23" s="1"/>
      <c r="CD23" s="1"/>
      <c r="CE23" s="1"/>
      <c r="CF23" s="1"/>
      <c r="CG23" s="1"/>
      <c r="CH23" s="1"/>
      <c r="CI23" s="1"/>
      <c r="CJ23" s="1"/>
      <c r="CK23" s="1"/>
      <c r="CM23" s="1033">
        <v>12</v>
      </c>
      <c r="CN23" s="1">
        <f t="shared" si="12"/>
        <v>1833.8200000000002</v>
      </c>
      <c r="CO23">
        <v>2605123228</v>
      </c>
      <c r="CP23" s="1048"/>
      <c r="CQ23" s="412">
        <v>12</v>
      </c>
      <c r="CR23" s="1">
        <f t="shared" si="13"/>
        <v>0</v>
      </c>
    </row>
    <row r="24" spans="2:97" ht="15" thickBot="1">
      <c r="B24" s="989">
        <v>13</v>
      </c>
      <c r="C24" s="5">
        <f t="shared" si="1"/>
        <v>36217</v>
      </c>
      <c r="D24" s="488">
        <f t="shared" si="2"/>
        <v>2366.6000000000008</v>
      </c>
      <c r="E24" s="15">
        <f t="shared" si="3"/>
        <v>15.303388827854301</v>
      </c>
      <c r="F24" s="363"/>
      <c r="G24" s="64"/>
      <c r="H24" s="1034"/>
      <c r="I24" s="1034"/>
      <c r="N24" s="993"/>
      <c r="O24" s="26">
        <v>36217</v>
      </c>
      <c r="P24" s="36"/>
      <c r="Q24" s="277">
        <f t="shared" si="4"/>
        <v>2366.6000000000008</v>
      </c>
      <c r="R24" s="1227">
        <f t="shared" si="5"/>
        <v>2366.6000000000008</v>
      </c>
      <c r="S24" s="27">
        <f t="shared" si="6"/>
        <v>15.303388827854301</v>
      </c>
      <c r="T24" s="33"/>
      <c r="U24" s="2023">
        <v>2366.6000000000008</v>
      </c>
      <c r="V24" s="2024">
        <v>0</v>
      </c>
      <c r="W24" s="2024">
        <v>0</v>
      </c>
      <c r="X24" s="1038"/>
      <c r="Y24" s="1"/>
      <c r="Z24" s="847"/>
      <c r="AA24" s="1025">
        <v>0</v>
      </c>
      <c r="AB24" s="1025">
        <v>0</v>
      </c>
      <c r="AC24" s="1025">
        <v>0</v>
      </c>
      <c r="AD24" s="1025">
        <v>0</v>
      </c>
      <c r="AE24" s="1025" cm="1">
        <f t="array" ref="AE24">SUMPRODUCT(('DB Hauling TIS'!$C$2:$C$951="TIS-ROM SB1 BK05-ROM 6")*('DB Hauling TIS'!$H$2:$H$951="MPE")*ISNUMBER(SEARCH(TEXT('May TIS'!$B24,"00")&amp;"/04/2026",'DB Hauling TIS'!$E$2:$E$951))*'DB Hauling TIS'!$N$2:$N$951)</f>
        <v>0</v>
      </c>
      <c r="AF24" s="1025" cm="1">
        <f t="array" ref="AF24">SUMPRODUCT(('DB Hauling TIS'!$C$2:$C$951="TIS-ROM SB1 BK05-ROM 6")*('DB Hauling TIS'!$H$2:$H$951="RP")*ISNUMBER(SEARCH(TEXT('May TIS'!$B24,"00")&amp;"/04/2026",'DB Hauling TIS'!$E$2:$E$951))*'DB Hauling TIS'!$N$2:$N$951)</f>
        <v>0</v>
      </c>
      <c r="AG24" s="1025">
        <f t="shared" si="7"/>
        <v>0</v>
      </c>
      <c r="AH24" s="1025"/>
      <c r="AI24" s="1039"/>
      <c r="AJ24" s="1026">
        <f t="shared" si="8"/>
        <v>731.69488613999999</v>
      </c>
      <c r="AK24" s="1026">
        <f t="shared" si="14"/>
        <v>81870.900258609996</v>
      </c>
      <c r="AL24" s="1040">
        <f t="shared" si="0"/>
        <v>82602.595144749997</v>
      </c>
      <c r="AM24" s="1414"/>
      <c r="AN24" s="1414"/>
      <c r="AO24" s="1310"/>
      <c r="AP24" s="1310"/>
      <c r="AQ24" s="1934">
        <f t="shared" si="9"/>
        <v>0</v>
      </c>
      <c r="AR24" s="1729">
        <f t="shared" si="10"/>
        <v>0</v>
      </c>
      <c r="AS24" s="1729">
        <f t="shared" si="10"/>
        <v>40003.177873673485</v>
      </c>
      <c r="AT24" s="1007"/>
      <c r="AU24" s="1476">
        <v>24.28</v>
      </c>
      <c r="AV24" s="1414"/>
      <c r="AW24" s="987"/>
      <c r="AX24" s="310">
        <v>0</v>
      </c>
      <c r="AY24" s="998"/>
      <c r="AZ24" s="2">
        <v>0</v>
      </c>
      <c r="BA24" s="2110">
        <v>0</v>
      </c>
      <c r="BB24" s="2110">
        <v>0</v>
      </c>
      <c r="BC24" s="2110">
        <v>0</v>
      </c>
      <c r="BD24" s="2111">
        <v>0</v>
      </c>
      <c r="BF24" s="987"/>
      <c r="BG24" s="987"/>
      <c r="BH24" s="987"/>
      <c r="BI24" s="987"/>
      <c r="BJ24" s="987"/>
      <c r="BK24" s="847"/>
      <c r="BL24" s="310"/>
      <c r="BM24" s="310"/>
      <c r="BN24" s="310"/>
      <c r="BO24" s="310"/>
      <c r="BP24" s="1041">
        <f>'May TCM'!LO22</f>
        <v>7.65</v>
      </c>
      <c r="BQ24" s="1042"/>
      <c r="BR24" s="1"/>
      <c r="BS24" s="1032">
        <f t="shared" si="11"/>
        <v>48751.427597479982</v>
      </c>
      <c r="BT24" s="1"/>
      <c r="BU24" s="1"/>
      <c r="BV24" s="1"/>
      <c r="BW24" s="1"/>
      <c r="BX24" s="1"/>
      <c r="BY24" s="1"/>
      <c r="BZ24" s="1"/>
      <c r="CA24" s="1"/>
      <c r="CB24" s="1"/>
      <c r="CC24" s="1"/>
      <c r="CD24" s="1"/>
      <c r="CE24" s="1"/>
      <c r="CF24" s="1"/>
      <c r="CG24" s="1"/>
      <c r="CH24" s="1"/>
      <c r="CI24" s="1"/>
      <c r="CJ24" s="1"/>
      <c r="CK24" s="1"/>
      <c r="CM24" s="1033">
        <v>13</v>
      </c>
      <c r="CN24" s="1">
        <f t="shared" si="12"/>
        <v>2366.6000000000008</v>
      </c>
      <c r="CO24" s="1048">
        <v>2605133493</v>
      </c>
      <c r="CP24" s="1048"/>
      <c r="CQ24" s="412">
        <v>13</v>
      </c>
      <c r="CR24" s="1">
        <f t="shared" si="13"/>
        <v>0</v>
      </c>
    </row>
    <row r="25" spans="2:97" ht="15" thickBot="1">
      <c r="B25" s="989">
        <v>14</v>
      </c>
      <c r="C25" s="5">
        <f t="shared" si="1"/>
        <v>27520</v>
      </c>
      <c r="D25" s="488">
        <f t="shared" si="2"/>
        <v>2021.2000000000003</v>
      </c>
      <c r="E25" s="15">
        <f t="shared" si="3"/>
        <v>13.615673857114583</v>
      </c>
      <c r="F25" s="363"/>
      <c r="G25" s="64"/>
      <c r="H25" s="1034">
        <v>11</v>
      </c>
      <c r="I25" s="1034">
        <v>5.52</v>
      </c>
      <c r="N25" s="993"/>
      <c r="O25" s="26">
        <v>27520</v>
      </c>
      <c r="P25" s="36"/>
      <c r="Q25" s="277">
        <f t="shared" si="4"/>
        <v>2021.2000000000003</v>
      </c>
      <c r="R25" s="1227">
        <f t="shared" si="5"/>
        <v>2021.2000000000003</v>
      </c>
      <c r="S25" s="27">
        <f t="shared" si="6"/>
        <v>13.615673857114583</v>
      </c>
      <c r="T25" s="33"/>
      <c r="U25" s="2023">
        <v>2021.2000000000003</v>
      </c>
      <c r="V25" s="2024">
        <v>0</v>
      </c>
      <c r="W25" s="2024">
        <v>0</v>
      </c>
      <c r="X25" s="1038"/>
      <c r="Y25" s="1"/>
      <c r="Z25" s="847"/>
      <c r="AA25" s="1025">
        <v>0</v>
      </c>
      <c r="AB25" s="1025">
        <v>0</v>
      </c>
      <c r="AC25" s="1025">
        <v>0</v>
      </c>
      <c r="AD25" s="1025">
        <v>0</v>
      </c>
      <c r="AE25" s="1025" cm="1">
        <f t="array" ref="AE25">SUMPRODUCT(('DB Hauling TIS'!$C$2:$C$951="TIS-ROM SB1 BK05-ROM 6")*('DB Hauling TIS'!$H$2:$H$951="MPE")*ISNUMBER(SEARCH(TEXT('May TIS'!$B25,"00")&amp;"/04/2026",'DB Hauling TIS'!$E$2:$E$951))*'DB Hauling TIS'!$N$2:$N$951)</f>
        <v>0</v>
      </c>
      <c r="AF25" s="1025" cm="1">
        <f t="array" ref="AF25">SUMPRODUCT(('DB Hauling TIS'!$C$2:$C$951="TIS-ROM SB1 BK05-ROM 6")*('DB Hauling TIS'!$H$2:$H$951="RP")*ISNUMBER(SEARCH(TEXT('May TIS'!$B25,"00")&amp;"/04/2026",'DB Hauling TIS'!$E$2:$E$951))*'DB Hauling TIS'!$N$2:$N$951)</f>
        <v>0</v>
      </c>
      <c r="AG25" s="1025">
        <f t="shared" si="7"/>
        <v>0</v>
      </c>
      <c r="AH25" s="1025"/>
      <c r="AI25" s="1039"/>
      <c r="AJ25" s="1026">
        <f t="shared" si="8"/>
        <v>731.69488613999999</v>
      </c>
      <c r="AK25" s="1026">
        <f t="shared" si="14"/>
        <v>83892.100258609993</v>
      </c>
      <c r="AL25" s="1040">
        <f t="shared" si="0"/>
        <v>84623.795144749995</v>
      </c>
      <c r="AM25" s="1414"/>
      <c r="AN25" s="1414"/>
      <c r="AO25" s="1310"/>
      <c r="AP25" s="1310"/>
      <c r="AQ25" s="1934">
        <f t="shared" si="9"/>
        <v>0</v>
      </c>
      <c r="AR25" s="1729">
        <f t="shared" si="10"/>
        <v>0</v>
      </c>
      <c r="AS25" s="1729">
        <f>AS24+AP25-AU25</f>
        <v>40003.177873673485</v>
      </c>
      <c r="AT25" s="1007"/>
      <c r="AU25" s="1476">
        <v>0</v>
      </c>
      <c r="AV25" s="1414"/>
      <c r="AW25" s="987"/>
      <c r="AX25" s="310">
        <v>0</v>
      </c>
      <c r="AY25" s="998"/>
      <c r="AZ25" s="2">
        <v>0</v>
      </c>
      <c r="BA25" s="2110">
        <v>0</v>
      </c>
      <c r="BB25" s="2110">
        <v>0</v>
      </c>
      <c r="BC25" s="2110">
        <v>0</v>
      </c>
      <c r="BD25" s="2111">
        <v>0</v>
      </c>
      <c r="BF25" s="987"/>
      <c r="BG25" s="987"/>
      <c r="BH25" s="987"/>
      <c r="BI25" s="987"/>
      <c r="BJ25" s="987"/>
      <c r="BK25" s="847"/>
      <c r="BL25" s="310"/>
      <c r="BM25" s="310"/>
      <c r="BN25" s="310"/>
      <c r="BO25" s="310">
        <v>2</v>
      </c>
      <c r="BP25" s="1041">
        <f>'May TCM'!LO23</f>
        <v>7.63</v>
      </c>
      <c r="BQ25" s="1042"/>
      <c r="BR25" s="1"/>
      <c r="BS25" s="1032">
        <f t="shared" si="11"/>
        <v>48751.427597479982</v>
      </c>
      <c r="BT25" s="1"/>
      <c r="BU25" s="1"/>
      <c r="BV25" s="1"/>
      <c r="BW25" s="1"/>
      <c r="BX25" s="1"/>
      <c r="BY25" s="1"/>
      <c r="BZ25" s="1"/>
      <c r="CA25" s="1"/>
      <c r="CB25" s="1"/>
      <c r="CC25" s="1"/>
      <c r="CD25" s="1"/>
      <c r="CE25" s="1"/>
      <c r="CF25" s="1"/>
      <c r="CG25" s="1"/>
      <c r="CH25" s="1"/>
      <c r="CI25" s="1"/>
      <c r="CJ25" s="1"/>
      <c r="CK25" s="1"/>
      <c r="CM25" s="1033">
        <v>14</v>
      </c>
      <c r="CN25" s="1">
        <f t="shared" si="12"/>
        <v>2021.2000000000003</v>
      </c>
      <c r="CO25" s="1048">
        <v>2605143805</v>
      </c>
      <c r="CP25" s="1048"/>
      <c r="CQ25" s="412">
        <v>14</v>
      </c>
      <c r="CR25" s="1">
        <f t="shared" si="13"/>
        <v>0</v>
      </c>
    </row>
    <row r="26" spans="2:97" ht="15" thickBot="1">
      <c r="B26" s="989">
        <v>15</v>
      </c>
      <c r="C26" s="5">
        <f t="shared" si="1"/>
        <v>28120</v>
      </c>
      <c r="D26" s="488">
        <f t="shared" si="2"/>
        <v>1742.24</v>
      </c>
      <c r="E26" s="15">
        <f t="shared" si="3"/>
        <v>16.140141427128295</v>
      </c>
      <c r="F26" s="363"/>
      <c r="G26" s="64"/>
      <c r="H26" s="1034">
        <v>14.5</v>
      </c>
      <c r="I26" s="1034">
        <v>5.58</v>
      </c>
      <c r="N26" s="993"/>
      <c r="O26" s="26">
        <v>28120</v>
      </c>
      <c r="P26" s="36"/>
      <c r="Q26" s="277">
        <f t="shared" si="4"/>
        <v>1742.24</v>
      </c>
      <c r="R26" s="1227">
        <f t="shared" si="5"/>
        <v>1742.24</v>
      </c>
      <c r="S26" s="27">
        <f t="shared" si="6"/>
        <v>16.140141427128295</v>
      </c>
      <c r="T26" s="33"/>
      <c r="U26" s="2023">
        <v>1721.72</v>
      </c>
      <c r="V26" s="2024">
        <v>20.52</v>
      </c>
      <c r="W26" s="2024">
        <v>0</v>
      </c>
      <c r="X26" s="1038"/>
      <c r="Y26" s="1"/>
      <c r="Z26" s="847"/>
      <c r="AA26" s="1025">
        <v>0</v>
      </c>
      <c r="AB26" s="1025">
        <v>0</v>
      </c>
      <c r="AC26" s="1025">
        <v>0</v>
      </c>
      <c r="AD26" s="1025">
        <v>0</v>
      </c>
      <c r="AE26" s="1025" cm="1">
        <f t="array" ref="AE26">SUMPRODUCT(('DB Hauling TIS'!$C$2:$C$951="TIS-ROM SB1 BK05-ROM 6")*('DB Hauling TIS'!$H$2:$H$951="MPE")*ISNUMBER(SEARCH(TEXT('May TIS'!$B26,"00")&amp;"/04/2026",'DB Hauling TIS'!$E$2:$E$951))*'DB Hauling TIS'!$N$2:$N$951)</f>
        <v>0</v>
      </c>
      <c r="AF26" s="1025" cm="1">
        <f t="array" ref="AF26">SUMPRODUCT(('DB Hauling TIS'!$C$2:$C$951="TIS-ROM SB1 BK05-ROM 6")*('DB Hauling TIS'!$H$2:$H$951="RP")*ISNUMBER(SEARCH(TEXT('May TIS'!$B26,"00")&amp;"/04/2026",'DB Hauling TIS'!$E$2:$E$951))*'DB Hauling TIS'!$N$2:$N$951)</f>
        <v>0</v>
      </c>
      <c r="AG26" s="1025">
        <f t="shared" si="7"/>
        <v>0</v>
      </c>
      <c r="AH26" s="1025"/>
      <c r="AI26" s="1039"/>
      <c r="AJ26" s="1026">
        <f t="shared" si="8"/>
        <v>731.69488613999999</v>
      </c>
      <c r="AK26" s="1026">
        <f t="shared" si="14"/>
        <v>85723.500258610002</v>
      </c>
      <c r="AL26" s="1040">
        <f t="shared" si="0"/>
        <v>86455.195144750003</v>
      </c>
      <c r="AM26" s="1414"/>
      <c r="AN26" s="1414"/>
      <c r="AO26" s="1310"/>
      <c r="AP26" s="1310"/>
      <c r="AQ26" s="1934">
        <f t="shared" si="9"/>
        <v>0</v>
      </c>
      <c r="AR26" s="1729">
        <f t="shared" si="10"/>
        <v>0</v>
      </c>
      <c r="AS26" s="1729">
        <f>AS25+AP26-AU26</f>
        <v>39914.017873673482</v>
      </c>
      <c r="AT26" s="1007"/>
      <c r="AU26" s="1476">
        <v>89.16</v>
      </c>
      <c r="AV26" s="1414"/>
      <c r="AW26" s="987"/>
      <c r="AX26" s="310">
        <v>0</v>
      </c>
      <c r="AY26" s="998"/>
      <c r="AZ26" s="2">
        <v>0</v>
      </c>
      <c r="BA26" s="2110">
        <v>0</v>
      </c>
      <c r="BB26" s="2110">
        <v>0</v>
      </c>
      <c r="BC26" s="2110">
        <v>0</v>
      </c>
      <c r="BD26" s="2111">
        <v>0</v>
      </c>
      <c r="BF26" s="987"/>
      <c r="BG26" s="987"/>
      <c r="BH26" s="987"/>
      <c r="BI26" s="987"/>
      <c r="BJ26" s="987"/>
      <c r="BK26" s="847">
        <v>14900.6</v>
      </c>
      <c r="BL26" s="310">
        <v>2</v>
      </c>
      <c r="BM26" s="310"/>
      <c r="BN26" s="310"/>
      <c r="BO26" s="310">
        <v>2</v>
      </c>
      <c r="BP26" s="1041">
        <f>'May TCM'!LO24</f>
        <v>7.63</v>
      </c>
      <c r="BQ26" s="1042"/>
      <c r="BR26" s="1"/>
      <c r="BS26" s="1032">
        <f t="shared" si="11"/>
        <v>33850.827597479984</v>
      </c>
      <c r="BT26" s="1"/>
      <c r="BU26" s="1"/>
      <c r="BV26" s="1"/>
      <c r="BW26" s="1"/>
      <c r="BX26" s="1"/>
      <c r="BY26" s="1"/>
      <c r="BZ26" s="1"/>
      <c r="CA26" s="1"/>
      <c r="CB26" s="1"/>
      <c r="CC26" s="1"/>
      <c r="CD26" s="1"/>
      <c r="CE26" s="1"/>
      <c r="CF26" s="1"/>
      <c r="CG26" s="1"/>
      <c r="CH26" s="1"/>
      <c r="CI26" s="1"/>
      <c r="CJ26" s="1"/>
      <c r="CK26" s="1"/>
      <c r="CM26" s="1033">
        <v>15</v>
      </c>
      <c r="CN26" s="1">
        <f t="shared" si="12"/>
        <v>1742.24</v>
      </c>
      <c r="CO26">
        <v>2605154014</v>
      </c>
      <c r="CQ26" s="412">
        <v>15</v>
      </c>
      <c r="CR26" s="1">
        <f t="shared" si="13"/>
        <v>0</v>
      </c>
    </row>
    <row r="27" spans="2:97" ht="15" thickBot="1">
      <c r="B27" s="989">
        <v>16</v>
      </c>
      <c r="C27" s="5">
        <f t="shared" si="1"/>
        <v>24182</v>
      </c>
      <c r="D27" s="488">
        <f t="shared" si="2"/>
        <v>2077.46</v>
      </c>
      <c r="E27" s="15">
        <f t="shared" si="3"/>
        <v>11.640175984134471</v>
      </c>
      <c r="F27" s="363"/>
      <c r="G27" s="64"/>
      <c r="H27" s="1034">
        <v>17</v>
      </c>
      <c r="I27" s="1034">
        <v>6.63</v>
      </c>
      <c r="N27" s="993"/>
      <c r="O27" s="26">
        <v>24182</v>
      </c>
      <c r="P27" s="36"/>
      <c r="Q27" s="277">
        <f t="shared" si="4"/>
        <v>2077.46</v>
      </c>
      <c r="R27" s="1227">
        <f t="shared" si="5"/>
        <v>2077.46</v>
      </c>
      <c r="S27" s="27">
        <f t="shared" si="6"/>
        <v>11.640175984134471</v>
      </c>
      <c r="T27" s="33"/>
      <c r="U27" s="2023">
        <v>1072.94</v>
      </c>
      <c r="V27" s="2024">
        <v>1004.5200000000001</v>
      </c>
      <c r="W27" s="2024">
        <v>0</v>
      </c>
      <c r="X27" s="1038"/>
      <c r="Y27" s="1"/>
      <c r="Z27" s="847"/>
      <c r="AA27" s="1025">
        <v>0</v>
      </c>
      <c r="AB27" s="1025">
        <v>0</v>
      </c>
      <c r="AC27" s="1025">
        <v>0</v>
      </c>
      <c r="AD27" s="1025">
        <v>0</v>
      </c>
      <c r="AE27" s="1025" cm="1">
        <f t="array" ref="AE27">SUMPRODUCT(('DB Hauling TIS'!$C$2:$C$951="TIS-ROM SB1 BK05-ROM 6")*('DB Hauling TIS'!$H$2:$H$951="MPE")*ISNUMBER(SEARCH(TEXT('May TIS'!$B27,"00")&amp;"/04/2026",'DB Hauling TIS'!$E$2:$E$951))*'DB Hauling TIS'!$N$2:$N$951)</f>
        <v>0</v>
      </c>
      <c r="AF27" s="1025" cm="1">
        <f t="array" ref="AF27">SUMPRODUCT(('DB Hauling TIS'!$C$2:$C$951="TIS-ROM SB1 BK05-ROM 6")*('DB Hauling TIS'!$H$2:$H$951="RP")*ISNUMBER(SEARCH(TEXT('May TIS'!$B27,"00")&amp;"/04/2026",'DB Hauling TIS'!$E$2:$E$951))*'DB Hauling TIS'!$N$2:$N$951)</f>
        <v>0</v>
      </c>
      <c r="AG27" s="1025">
        <f t="shared" si="7"/>
        <v>0</v>
      </c>
      <c r="AH27" s="1025"/>
      <c r="AI27" s="1039"/>
      <c r="AJ27" s="1026">
        <f t="shared" si="8"/>
        <v>731.69488613999999</v>
      </c>
      <c r="AK27" s="1026">
        <f t="shared" si="14"/>
        <v>87800.960258610008</v>
      </c>
      <c r="AL27" s="1040">
        <f t="shared" si="0"/>
        <v>88532.65514475001</v>
      </c>
      <c r="AM27" s="1414"/>
      <c r="AN27" s="1414"/>
      <c r="AO27" s="1310"/>
      <c r="AP27" s="1310"/>
      <c r="AQ27" s="1934">
        <f t="shared" si="9"/>
        <v>0</v>
      </c>
      <c r="AR27" s="1729">
        <f t="shared" si="10"/>
        <v>0</v>
      </c>
      <c r="AS27" s="1729">
        <f t="shared" si="10"/>
        <v>39914.017873673482</v>
      </c>
      <c r="AT27" s="1007"/>
      <c r="AU27" s="1476">
        <v>0</v>
      </c>
      <c r="AV27" s="1414"/>
      <c r="AW27" s="987"/>
      <c r="AX27" s="310">
        <v>0</v>
      </c>
      <c r="AY27" s="998"/>
      <c r="AZ27" s="2">
        <v>0</v>
      </c>
      <c r="BA27" s="2110">
        <v>0</v>
      </c>
      <c r="BB27" s="2110">
        <v>0</v>
      </c>
      <c r="BC27" s="2110">
        <v>0</v>
      </c>
      <c r="BD27" s="2111">
        <v>0</v>
      </c>
      <c r="BF27" s="987"/>
      <c r="BG27" s="987"/>
      <c r="BH27" s="987"/>
      <c r="BI27" s="987"/>
      <c r="BJ27" s="987"/>
      <c r="BK27" s="847"/>
      <c r="BL27" s="310"/>
      <c r="BM27" s="310"/>
      <c r="BN27" s="310"/>
      <c r="BO27" s="310">
        <v>2</v>
      </c>
      <c r="BP27" s="1041">
        <f>'May TCM'!LO25</f>
        <v>7.6</v>
      </c>
      <c r="BQ27" s="1042"/>
      <c r="BR27" s="1"/>
      <c r="BS27" s="1032">
        <f t="shared" si="11"/>
        <v>33850.827597479984</v>
      </c>
      <c r="BT27" s="1"/>
      <c r="BU27" s="1"/>
      <c r="BV27" s="1"/>
      <c r="BW27" s="1"/>
      <c r="BX27" s="1"/>
      <c r="BY27" s="1"/>
      <c r="BZ27" s="1"/>
      <c r="CA27" s="1"/>
      <c r="CB27" s="1"/>
      <c r="CC27" s="1"/>
      <c r="CD27" s="1"/>
      <c r="CE27" s="1"/>
      <c r="CF27" s="1"/>
      <c r="CG27" s="1"/>
      <c r="CH27" s="1"/>
      <c r="CI27" s="1"/>
      <c r="CJ27" s="1"/>
      <c r="CK27" s="1"/>
      <c r="CM27" s="1033">
        <v>16</v>
      </c>
      <c r="CN27" s="1">
        <f t="shared" si="12"/>
        <v>2077.46</v>
      </c>
      <c r="CO27">
        <v>2605164252</v>
      </c>
      <c r="CP27" s="1048"/>
      <c r="CQ27" s="412">
        <v>16</v>
      </c>
      <c r="CR27" s="1">
        <f t="shared" si="13"/>
        <v>0</v>
      </c>
    </row>
    <row r="28" spans="2:97" ht="15" thickBot="1">
      <c r="B28" s="989">
        <v>17</v>
      </c>
      <c r="C28" s="5">
        <f t="shared" si="1"/>
        <v>29672</v>
      </c>
      <c r="D28" s="488">
        <f t="shared" si="2"/>
        <v>2433.1799999999998</v>
      </c>
      <c r="E28" s="15">
        <f t="shared" si="3"/>
        <v>12.194741038476398</v>
      </c>
      <c r="F28" s="363"/>
      <c r="G28" s="64"/>
      <c r="H28" s="1034">
        <v>35</v>
      </c>
      <c r="I28" s="1034">
        <v>3.75</v>
      </c>
      <c r="N28" s="993"/>
      <c r="O28" s="26">
        <v>29672</v>
      </c>
      <c r="P28" s="36"/>
      <c r="Q28" s="277">
        <f t="shared" si="4"/>
        <v>2433.1799999999998</v>
      </c>
      <c r="R28" s="1227">
        <f t="shared" si="5"/>
        <v>2433.1799999999998</v>
      </c>
      <c r="S28" s="27">
        <f t="shared" si="6"/>
        <v>12.194741038476398</v>
      </c>
      <c r="T28" s="33"/>
      <c r="U28" s="2023">
        <v>961.04000000000008</v>
      </c>
      <c r="V28" s="2024">
        <v>1472.1399999999999</v>
      </c>
      <c r="W28" s="2024">
        <v>0</v>
      </c>
      <c r="X28" s="1038"/>
      <c r="Y28" s="1"/>
      <c r="Z28" s="847"/>
      <c r="AA28" s="1025">
        <v>9097.48</v>
      </c>
      <c r="AB28" s="1025">
        <v>9097.48</v>
      </c>
      <c r="AC28" s="1025">
        <v>0</v>
      </c>
      <c r="AD28" s="1025">
        <v>0</v>
      </c>
      <c r="AE28" s="1025" cm="1">
        <f t="array" ref="AE28">SUMPRODUCT(('DB Hauling TIS'!$C$2:$C$951="TIS-ROM SB1 BK05-ROM 6")*('DB Hauling TIS'!$H$2:$H$951="MPE")*ISNUMBER(SEARCH(TEXT('May TIS'!$B28,"00")&amp;"/04/2026",'DB Hauling TIS'!$E$2:$E$951))*'DB Hauling TIS'!$N$2:$N$951)</f>
        <v>0</v>
      </c>
      <c r="AF28" s="1025" cm="1">
        <f t="array" ref="AF28">SUMPRODUCT(('DB Hauling TIS'!$C$2:$C$951="TIS-ROM SB1 BK05-ROM 6")*('DB Hauling TIS'!$H$2:$H$951="RP")*ISNUMBER(SEARCH(TEXT('May TIS'!$B28,"00")&amp;"/04/2026",'DB Hauling TIS'!$E$2:$E$951))*'DB Hauling TIS'!$N$2:$N$951)</f>
        <v>0</v>
      </c>
      <c r="AG28" s="1025">
        <f t="shared" si="7"/>
        <v>0</v>
      </c>
      <c r="AH28" s="1025"/>
      <c r="AI28" s="1039"/>
      <c r="AJ28" s="1026">
        <f t="shared" si="8"/>
        <v>731.69488613999999</v>
      </c>
      <c r="AK28" s="1026">
        <f t="shared" si="14"/>
        <v>81136.660258610005</v>
      </c>
      <c r="AL28" s="1040">
        <f t="shared" si="0"/>
        <v>81868.355144750007</v>
      </c>
      <c r="AM28" s="1414"/>
      <c r="AN28" s="1414"/>
      <c r="AO28" s="1310"/>
      <c r="AP28" s="1310"/>
      <c r="AQ28" s="1934">
        <f t="shared" si="9"/>
        <v>0</v>
      </c>
      <c r="AR28" s="1729">
        <f t="shared" ref="AR28:AS42" si="15">AR27+AO28-AT28</f>
        <v>0</v>
      </c>
      <c r="AS28" s="1729">
        <f t="shared" si="15"/>
        <v>39914.017873673482</v>
      </c>
      <c r="AT28" s="1007"/>
      <c r="AU28" s="1476">
        <v>0</v>
      </c>
      <c r="AV28" s="1414"/>
      <c r="AW28" s="987"/>
      <c r="AX28" s="310">
        <v>9097.48</v>
      </c>
      <c r="AY28" s="998"/>
      <c r="AZ28" s="2">
        <v>7162.7493687561755</v>
      </c>
      <c r="BA28" s="2110">
        <v>1.3743649138214953</v>
      </c>
      <c r="BB28" s="2110">
        <v>2.7709770556592384</v>
      </c>
      <c r="BC28" s="2110">
        <v>5.9490207487100664</v>
      </c>
      <c r="BD28" s="2111">
        <v>11.008436710945219</v>
      </c>
      <c r="BF28" s="987"/>
      <c r="BG28" s="987"/>
      <c r="BH28" s="987"/>
      <c r="BI28" s="987"/>
      <c r="BJ28" s="987"/>
      <c r="BK28" s="1049">
        <v>15153.650000000001</v>
      </c>
      <c r="BL28" s="310">
        <v>2</v>
      </c>
      <c r="BM28" s="310"/>
      <c r="BN28" s="310"/>
      <c r="BO28" s="310"/>
      <c r="BP28" s="1041">
        <f>'May TCM'!LO26</f>
        <v>7.65</v>
      </c>
      <c r="BQ28" s="1042"/>
      <c r="BR28" s="1"/>
      <c r="BS28" s="1032">
        <f t="shared" si="11"/>
        <v>27794.657597479985</v>
      </c>
      <c r="BT28" s="1"/>
      <c r="BU28" s="1"/>
      <c r="BV28" s="1"/>
      <c r="BW28" s="1"/>
      <c r="BX28" s="1"/>
      <c r="BY28" s="1"/>
      <c r="BZ28" s="1"/>
      <c r="CA28" s="1"/>
      <c r="CB28" s="1"/>
      <c r="CC28" s="1"/>
      <c r="CD28" s="1"/>
      <c r="CE28" s="1"/>
      <c r="CF28" s="1"/>
      <c r="CG28" s="1"/>
      <c r="CH28" s="1"/>
      <c r="CI28" s="1"/>
      <c r="CJ28" s="1"/>
      <c r="CK28" s="1"/>
      <c r="CM28" s="1033">
        <v>17</v>
      </c>
      <c r="CN28" s="1">
        <f t="shared" si="12"/>
        <v>2433.1799999999998</v>
      </c>
      <c r="CO28">
        <v>2605174506</v>
      </c>
      <c r="CQ28" s="412">
        <v>17</v>
      </c>
      <c r="CR28" s="1">
        <f t="shared" si="13"/>
        <v>9097.48</v>
      </c>
      <c r="CS28">
        <v>2605176945</v>
      </c>
    </row>
    <row r="29" spans="2:97" ht="15" thickBot="1">
      <c r="B29" s="989">
        <v>18</v>
      </c>
      <c r="C29" s="5">
        <f t="shared" si="1"/>
        <v>39906</v>
      </c>
      <c r="D29" s="488">
        <f t="shared" si="2"/>
        <v>2956.56</v>
      </c>
      <c r="E29" s="15">
        <f t="shared" si="3"/>
        <v>13.497442974267392</v>
      </c>
      <c r="F29" s="363"/>
      <c r="G29" s="64"/>
      <c r="H29" s="1034"/>
      <c r="I29" s="1034"/>
      <c r="N29" s="993"/>
      <c r="O29" s="26">
        <v>39906</v>
      </c>
      <c r="P29" s="36"/>
      <c r="Q29" s="277">
        <f t="shared" si="4"/>
        <v>2956.56</v>
      </c>
      <c r="R29" s="1227">
        <f t="shared" si="5"/>
        <v>2956.56</v>
      </c>
      <c r="S29" s="27">
        <f t="shared" si="6"/>
        <v>13.497442974267392</v>
      </c>
      <c r="T29" s="33"/>
      <c r="U29" s="2023">
        <v>2218.58</v>
      </c>
      <c r="V29" s="2024">
        <v>737.9799999999999</v>
      </c>
      <c r="W29" s="2024">
        <v>0</v>
      </c>
      <c r="X29" s="1038"/>
      <c r="Y29" s="1"/>
      <c r="Z29" s="847"/>
      <c r="AA29" s="1025">
        <v>4443.01</v>
      </c>
      <c r="AB29" s="1025">
        <v>4443.01</v>
      </c>
      <c r="AC29" s="1025">
        <v>0</v>
      </c>
      <c r="AD29" s="1025">
        <v>0</v>
      </c>
      <c r="AE29" s="1025" cm="1">
        <f t="array" ref="AE29">SUMPRODUCT(('DB Hauling TIS'!$C$2:$C$951="TIS-ROM SB1 BK05-ROM 6")*('DB Hauling TIS'!$H$2:$H$951="MPE")*ISNUMBER(SEARCH(TEXT('May TIS'!$B29,"00")&amp;"/04/2026",'DB Hauling TIS'!$E$2:$E$951))*'DB Hauling TIS'!$N$2:$N$951)</f>
        <v>0</v>
      </c>
      <c r="AF29" s="1025" cm="1">
        <f t="array" ref="AF29">SUMPRODUCT(('DB Hauling TIS'!$C$2:$C$951="TIS-ROM SB1 BK05-ROM 6")*('DB Hauling TIS'!$H$2:$H$951="RP")*ISNUMBER(SEARCH(TEXT('May TIS'!$B29,"00")&amp;"/04/2026",'DB Hauling TIS'!$E$2:$E$951))*'DB Hauling TIS'!$N$2:$N$951)</f>
        <v>0</v>
      </c>
      <c r="AG29" s="1025">
        <f t="shared" si="7"/>
        <v>0</v>
      </c>
      <c r="AH29" s="1025"/>
      <c r="AI29" s="1039"/>
      <c r="AJ29" s="1026">
        <f t="shared" si="8"/>
        <v>731.69488613999999</v>
      </c>
      <c r="AK29" s="1026">
        <f t="shared" si="14"/>
        <v>79650.210258610008</v>
      </c>
      <c r="AL29" s="1040">
        <f t="shared" si="0"/>
        <v>80381.90514475001</v>
      </c>
      <c r="AM29" s="1414"/>
      <c r="AN29" s="1414"/>
      <c r="AO29" s="1310"/>
      <c r="AP29" s="1310"/>
      <c r="AQ29" s="1934">
        <f t="shared" si="9"/>
        <v>0</v>
      </c>
      <c r="AR29" s="1729">
        <f t="shared" si="15"/>
        <v>0</v>
      </c>
      <c r="AS29" s="1729">
        <f t="shared" si="15"/>
        <v>39914.017873673482</v>
      </c>
      <c r="AT29" s="1007"/>
      <c r="AU29" s="1476">
        <v>0</v>
      </c>
      <c r="AV29" s="1414"/>
      <c r="AW29" s="987"/>
      <c r="AX29" s="310">
        <v>4443.01</v>
      </c>
      <c r="AY29" s="868"/>
      <c r="AZ29" s="2">
        <v>7348.990294301816</v>
      </c>
      <c r="BA29" s="2110">
        <v>1.3465369442705071</v>
      </c>
      <c r="BB29" s="2110">
        <v>1.9219254852849093</v>
      </c>
      <c r="BC29" s="2110">
        <v>5.1427332498434559</v>
      </c>
      <c r="BD29" s="2111">
        <v>9.1440978021289911</v>
      </c>
      <c r="BF29" s="987"/>
      <c r="BG29" s="987"/>
      <c r="BH29" s="987"/>
      <c r="BI29" s="987"/>
      <c r="BJ29" s="987"/>
      <c r="BK29" s="847"/>
      <c r="BL29" s="847"/>
      <c r="BM29" s="847"/>
      <c r="BN29" s="847"/>
      <c r="BO29" s="310"/>
      <c r="BP29" s="1041">
        <f>'May TCM'!LO27</f>
        <v>7.87</v>
      </c>
      <c r="BQ29" s="1042"/>
      <c r="BR29" s="1"/>
      <c r="BS29" s="1032">
        <f t="shared" si="11"/>
        <v>32237.667597479987</v>
      </c>
      <c r="BT29" s="1"/>
      <c r="BU29" s="1"/>
      <c r="BV29" s="1"/>
      <c r="BW29" s="1"/>
      <c r="BX29" s="1"/>
      <c r="BY29" s="1"/>
      <c r="BZ29" s="1"/>
      <c r="CA29" s="1"/>
      <c r="CB29" s="1"/>
      <c r="CC29" s="1"/>
      <c r="CD29" s="1"/>
      <c r="CE29" s="1"/>
      <c r="CF29" s="1"/>
      <c r="CG29" s="1"/>
      <c r="CH29" s="1"/>
      <c r="CI29" s="1"/>
      <c r="CJ29" s="1"/>
      <c r="CK29" s="1"/>
      <c r="CM29" s="1033">
        <v>18</v>
      </c>
      <c r="CN29" s="1">
        <f t="shared" si="12"/>
        <v>2956.56</v>
      </c>
      <c r="CO29">
        <v>2605184743</v>
      </c>
      <c r="CQ29" s="412">
        <v>18</v>
      </c>
      <c r="CR29" s="1">
        <f t="shared" si="13"/>
        <v>4443.01</v>
      </c>
      <c r="CS29">
        <v>2605187492</v>
      </c>
    </row>
    <row r="30" spans="2:97" ht="15" thickBot="1">
      <c r="B30" s="989">
        <v>19</v>
      </c>
      <c r="C30" s="5">
        <f t="shared" si="1"/>
        <v>26275</v>
      </c>
      <c r="D30" s="488">
        <f t="shared" si="2"/>
        <v>2117.2800000000002</v>
      </c>
      <c r="E30" s="15">
        <f t="shared" si="3"/>
        <v>12.40978991914154</v>
      </c>
      <c r="F30" s="363"/>
      <c r="G30" s="64"/>
      <c r="H30" s="1034">
        <v>47</v>
      </c>
      <c r="I30" s="1034">
        <v>7.7</v>
      </c>
      <c r="N30" s="993"/>
      <c r="O30" s="26">
        <v>26275</v>
      </c>
      <c r="P30" s="36"/>
      <c r="Q30" s="277">
        <f t="shared" si="4"/>
        <v>2117.2800000000002</v>
      </c>
      <c r="R30" s="1227">
        <f t="shared" si="5"/>
        <v>2117.2800000000002</v>
      </c>
      <c r="S30" s="27">
        <f t="shared" si="6"/>
        <v>12.40978991914154</v>
      </c>
      <c r="T30" s="33"/>
      <c r="U30" s="2023">
        <v>1857.44</v>
      </c>
      <c r="V30" s="2024">
        <v>259.83999999999997</v>
      </c>
      <c r="W30" s="2024">
        <v>0</v>
      </c>
      <c r="X30" s="1038"/>
      <c r="Y30" s="1"/>
      <c r="Z30" s="847"/>
      <c r="AA30" s="1025">
        <v>7398.22</v>
      </c>
      <c r="AB30" s="1025">
        <v>7398.22</v>
      </c>
      <c r="AC30" s="1025">
        <v>0</v>
      </c>
      <c r="AD30" s="1025">
        <v>0</v>
      </c>
      <c r="AE30" s="1025" cm="1">
        <f t="array" ref="AE30">SUMPRODUCT(('DB Hauling TIS'!$C$2:$C$951="TIS-ROM SB1 BK05-ROM 6")*('DB Hauling TIS'!$H$2:$H$951="MPE")*ISNUMBER(SEARCH(TEXT('May TIS'!$B30,"00")&amp;"/04/2026",'DB Hauling TIS'!$E$2:$E$951))*'DB Hauling TIS'!$N$2:$N$951)</f>
        <v>0</v>
      </c>
      <c r="AF30" s="1025" cm="1">
        <f t="array" ref="AF30">SUMPRODUCT(('DB Hauling TIS'!$C$2:$C$951="TIS-ROM SB1 BK05-ROM 6")*('DB Hauling TIS'!$H$2:$H$951="RP")*ISNUMBER(SEARCH(TEXT('May TIS'!$B30,"00")&amp;"/04/2026",'DB Hauling TIS'!$E$2:$E$951))*'DB Hauling TIS'!$N$2:$N$951)</f>
        <v>0</v>
      </c>
      <c r="AG30" s="1025">
        <f t="shared" si="7"/>
        <v>0</v>
      </c>
      <c r="AH30" s="1025"/>
      <c r="AI30" s="1039"/>
      <c r="AJ30" s="1026">
        <f t="shared" si="8"/>
        <v>731.69488613999999</v>
      </c>
      <c r="AK30" s="1026">
        <f t="shared" si="14"/>
        <v>74996.610258610002</v>
      </c>
      <c r="AL30" s="1040">
        <f t="shared" si="0"/>
        <v>75728.305144750004</v>
      </c>
      <c r="AM30" s="1414"/>
      <c r="AN30" s="1414"/>
      <c r="AO30" s="1310"/>
      <c r="AP30" s="1310"/>
      <c r="AQ30" s="1934">
        <f t="shared" si="9"/>
        <v>0</v>
      </c>
      <c r="AR30" s="1729">
        <f t="shared" si="15"/>
        <v>0</v>
      </c>
      <c r="AS30" s="1729">
        <f t="shared" si="15"/>
        <v>39286.677873673485</v>
      </c>
      <c r="AT30" s="1007"/>
      <c r="AU30" s="1476">
        <v>627.33999999999992</v>
      </c>
      <c r="AV30" s="1414"/>
      <c r="AW30" s="987"/>
      <c r="AX30" s="310">
        <v>7398.22</v>
      </c>
      <c r="AY30" s="998"/>
      <c r="AZ30" s="2">
        <v>7198.4982757454864</v>
      </c>
      <c r="BA30" s="2110">
        <v>1.3578369058083712</v>
      </c>
      <c r="BB30" s="2110">
        <v>2.6964892825748872</v>
      </c>
      <c r="BC30" s="2110">
        <v>6.1817553587125564</v>
      </c>
      <c r="BD30" s="2111">
        <v>12.626271404692675</v>
      </c>
      <c r="BF30" s="987"/>
      <c r="BG30" s="987"/>
      <c r="BH30" s="987"/>
      <c r="BI30" s="987"/>
      <c r="BJ30" s="987"/>
      <c r="BK30" s="847"/>
      <c r="BL30" s="310"/>
      <c r="BM30" s="310"/>
      <c r="BN30" s="310"/>
      <c r="BO30" s="310"/>
      <c r="BP30" s="1041">
        <f>'May TCM'!LO28</f>
        <v>7.91</v>
      </c>
      <c r="BQ30" s="1042"/>
      <c r="BR30" s="1"/>
      <c r="BS30" s="1032">
        <f t="shared" si="11"/>
        <v>39635.887597479988</v>
      </c>
      <c r="BT30" s="1"/>
      <c r="BU30" s="1"/>
      <c r="BV30" s="1"/>
      <c r="BW30" s="1"/>
      <c r="BX30" s="1"/>
      <c r="BY30" s="1"/>
      <c r="BZ30" s="1"/>
      <c r="CA30" s="1"/>
      <c r="CB30" s="1"/>
      <c r="CC30" s="1"/>
      <c r="CD30" s="1"/>
      <c r="CE30" s="1"/>
      <c r="CF30" s="1"/>
      <c r="CG30" s="1"/>
      <c r="CH30" s="1"/>
      <c r="CI30" s="1"/>
      <c r="CJ30" s="1"/>
      <c r="CK30" s="1"/>
      <c r="CM30" s="1033">
        <v>19</v>
      </c>
      <c r="CN30" s="1">
        <f t="shared" si="12"/>
        <v>2117.2800000000002</v>
      </c>
      <c r="CO30">
        <v>2605195069</v>
      </c>
      <c r="CQ30" s="412">
        <v>19</v>
      </c>
      <c r="CR30" s="1">
        <f t="shared" si="13"/>
        <v>7398.22</v>
      </c>
      <c r="CS30">
        <v>2605197822</v>
      </c>
    </row>
    <row r="31" spans="2:97" ht="15" thickBot="1">
      <c r="B31" s="989">
        <v>20</v>
      </c>
      <c r="C31" s="5">
        <f t="shared" si="1"/>
        <v>27979</v>
      </c>
      <c r="D31" s="488">
        <f t="shared" si="2"/>
        <v>1251</v>
      </c>
      <c r="E31" s="15">
        <f t="shared" si="3"/>
        <v>22.365307753796962</v>
      </c>
      <c r="F31" s="363"/>
      <c r="G31" s="64"/>
      <c r="H31" s="1034">
        <v>5</v>
      </c>
      <c r="I31" s="1034">
        <v>3.82</v>
      </c>
      <c r="N31" s="993"/>
      <c r="O31" s="26">
        <v>27979</v>
      </c>
      <c r="P31" s="36"/>
      <c r="Q31" s="277">
        <f t="shared" si="4"/>
        <v>1251</v>
      </c>
      <c r="R31" s="1227">
        <f t="shared" si="5"/>
        <v>1251</v>
      </c>
      <c r="S31" s="5">
        <f t="shared" si="6"/>
        <v>22.365307753796962</v>
      </c>
      <c r="T31" s="12"/>
      <c r="U31" s="2023">
        <v>1251</v>
      </c>
      <c r="V31" s="2024">
        <v>0</v>
      </c>
      <c r="W31" s="2024">
        <v>0</v>
      </c>
      <c r="X31" s="1038"/>
      <c r="Y31" s="1"/>
      <c r="Z31" s="847"/>
      <c r="AA31" s="1025">
        <v>8704.010000000002</v>
      </c>
      <c r="AB31" s="1025">
        <v>8704.010000000002</v>
      </c>
      <c r="AC31" s="1025">
        <v>0</v>
      </c>
      <c r="AD31" s="1025">
        <v>0</v>
      </c>
      <c r="AE31" s="1025" cm="1">
        <f t="array" ref="AE31">SUMPRODUCT(('DB Hauling TIS'!$C$2:$C$951="TIS-ROM SB1 BK05-ROM 6")*('DB Hauling TIS'!$H$2:$H$951="MPE")*ISNUMBER(SEARCH(TEXT('May TIS'!$B31,"00")&amp;"/04/2026",'DB Hauling TIS'!$E$2:$E$951))*'DB Hauling TIS'!$N$2:$N$951)</f>
        <v>0</v>
      </c>
      <c r="AF31" s="1025" cm="1">
        <f t="array" ref="AF31">SUMPRODUCT(('DB Hauling TIS'!$C$2:$C$951="TIS-ROM SB1 BK05-ROM 6")*('DB Hauling TIS'!$H$2:$H$951="RP")*ISNUMBER(SEARCH(TEXT('May TIS'!$B31,"00")&amp;"/04/2026",'DB Hauling TIS'!$E$2:$E$951))*'DB Hauling TIS'!$N$2:$N$951)</f>
        <v>0</v>
      </c>
      <c r="AG31" s="1025">
        <f t="shared" si="7"/>
        <v>0</v>
      </c>
      <c r="AH31" s="1025"/>
      <c r="AI31" s="1039"/>
      <c r="AJ31" s="1026">
        <f t="shared" si="8"/>
        <v>731.69488613999999</v>
      </c>
      <c r="AK31" s="1026">
        <f t="shared" si="14"/>
        <v>69241.700258610013</v>
      </c>
      <c r="AL31" s="1040">
        <f t="shared" si="0"/>
        <v>69973.395144750015</v>
      </c>
      <c r="AM31" s="1414"/>
      <c r="AN31" s="1414"/>
      <c r="AO31" s="1310"/>
      <c r="AP31" s="1310"/>
      <c r="AQ31" s="1934">
        <f t="shared" si="9"/>
        <v>0</v>
      </c>
      <c r="AR31" s="1729">
        <f t="shared" si="15"/>
        <v>0</v>
      </c>
      <c r="AS31" s="1729">
        <f t="shared" si="15"/>
        <v>37588.577873673486</v>
      </c>
      <c r="AT31" s="1007"/>
      <c r="AU31" s="1476">
        <v>1698.1</v>
      </c>
      <c r="AV31" s="1414"/>
      <c r="AW31" s="987"/>
      <c r="AX31" s="310">
        <v>8704.010000000002</v>
      </c>
      <c r="AY31" s="868"/>
      <c r="AZ31" s="2">
        <v>7182.2148190695007</v>
      </c>
      <c r="BA31" s="2110">
        <v>1.4302711085582998</v>
      </c>
      <c r="BB31" s="2110">
        <v>3.1452693854106837</v>
      </c>
      <c r="BC31" s="2110">
        <v>5.552439977024699</v>
      </c>
      <c r="BD31" s="2111">
        <v>11.121146542217115</v>
      </c>
      <c r="BF31" s="987"/>
      <c r="BG31" s="987"/>
      <c r="BH31" s="987"/>
      <c r="BI31" s="987"/>
      <c r="BJ31" s="987"/>
      <c r="BK31" s="847"/>
      <c r="BL31" s="847"/>
      <c r="BM31" s="847"/>
      <c r="BN31" s="847"/>
      <c r="BO31" s="310"/>
      <c r="BP31" s="1041">
        <f>'May TCM'!LO29</f>
        <v>8.4499999999999993</v>
      </c>
      <c r="BQ31" s="1042"/>
      <c r="BR31" s="1"/>
      <c r="BS31" s="1032">
        <f t="shared" si="11"/>
        <v>48339.897597479991</v>
      </c>
      <c r="BT31" s="1"/>
      <c r="BU31" s="1"/>
      <c r="BV31" s="1"/>
      <c r="BW31" s="1"/>
      <c r="BX31" s="1"/>
      <c r="BY31" s="1"/>
      <c r="BZ31" s="1"/>
      <c r="CA31" s="1"/>
      <c r="CB31" s="1"/>
      <c r="CC31" s="1"/>
      <c r="CD31" s="1"/>
      <c r="CE31" s="1"/>
      <c r="CF31" s="1"/>
      <c r="CG31" s="1"/>
      <c r="CH31" s="1"/>
      <c r="CI31" s="1"/>
      <c r="CJ31" s="1"/>
      <c r="CK31" s="1"/>
      <c r="CM31" s="1033">
        <v>20</v>
      </c>
      <c r="CN31" s="1">
        <f t="shared" si="12"/>
        <v>1251</v>
      </c>
      <c r="CQ31" s="412">
        <v>20</v>
      </c>
      <c r="CR31" s="1">
        <f t="shared" si="13"/>
        <v>8704.010000000002</v>
      </c>
      <c r="CS31">
        <v>2605208314</v>
      </c>
    </row>
    <row r="32" spans="2:97" ht="15" thickBot="1">
      <c r="B32" s="989">
        <v>21</v>
      </c>
      <c r="C32" s="5">
        <f t="shared" si="1"/>
        <v>34237</v>
      </c>
      <c r="D32" s="488">
        <f t="shared" si="2"/>
        <v>3401.64</v>
      </c>
      <c r="E32" s="15">
        <f t="shared" si="3"/>
        <v>10.064851071835939</v>
      </c>
      <c r="F32" s="363"/>
      <c r="G32" s="64"/>
      <c r="H32" s="1034"/>
      <c r="I32" s="1034"/>
      <c r="N32" s="993"/>
      <c r="O32" s="26">
        <v>34237</v>
      </c>
      <c r="P32" s="36"/>
      <c r="Q32" s="277">
        <f t="shared" si="4"/>
        <v>3401.64</v>
      </c>
      <c r="R32" s="1227">
        <f t="shared" si="5"/>
        <v>3401.64</v>
      </c>
      <c r="S32" s="27">
        <f t="shared" si="6"/>
        <v>10.064851071835939</v>
      </c>
      <c r="T32" s="33"/>
      <c r="U32" s="2023">
        <v>3401.64</v>
      </c>
      <c r="V32" s="2024">
        <v>0</v>
      </c>
      <c r="W32" s="2024">
        <v>0</v>
      </c>
      <c r="X32" s="1038"/>
      <c r="Y32" s="1"/>
      <c r="Z32" s="847"/>
      <c r="AA32" s="1025">
        <v>9043.61</v>
      </c>
      <c r="AB32" s="1025">
        <v>9043.61</v>
      </c>
      <c r="AC32" s="1025">
        <v>0</v>
      </c>
      <c r="AD32" s="1025">
        <v>0</v>
      </c>
      <c r="AE32" s="1025" cm="1">
        <f t="array" ref="AE32">SUMPRODUCT(('DB Hauling TIS'!$C$2:$C$951="TIS-ROM SB1 BK05-ROM 6")*('DB Hauling TIS'!$H$2:$H$951="MPE")*ISNUMBER(SEARCH(TEXT('May TIS'!$B32,"00")&amp;"/04/2026",'DB Hauling TIS'!$E$2:$E$951))*'DB Hauling TIS'!$N$2:$N$951)</f>
        <v>0</v>
      </c>
      <c r="AF32" s="1025" cm="1">
        <f t="array" ref="AF32">SUMPRODUCT(('DB Hauling TIS'!$C$2:$C$951="TIS-ROM SB1 BK05-ROM 6")*('DB Hauling TIS'!$H$2:$H$951="RP")*ISNUMBER(SEARCH(TEXT('May TIS'!$B32,"00")&amp;"/04/2026",'DB Hauling TIS'!$E$2:$E$951))*'DB Hauling TIS'!$N$2:$N$951)</f>
        <v>0</v>
      </c>
      <c r="AG32" s="1025">
        <f t="shared" si="7"/>
        <v>0</v>
      </c>
      <c r="AH32" s="1025"/>
      <c r="AI32" s="1039"/>
      <c r="AJ32" s="1026">
        <f t="shared" si="8"/>
        <v>731.69488613999999</v>
      </c>
      <c r="AK32" s="1026">
        <f t="shared" si="14"/>
        <v>64051.690258610019</v>
      </c>
      <c r="AL32" s="1040">
        <f t="shared" si="0"/>
        <v>64783.38514475002</v>
      </c>
      <c r="AM32" s="1414"/>
      <c r="AN32" s="1414"/>
      <c r="AO32" s="1310"/>
      <c r="AP32" s="1310"/>
      <c r="AQ32" s="1934">
        <f t="shared" si="9"/>
        <v>0</v>
      </c>
      <c r="AR32" s="1729">
        <f t="shared" si="15"/>
        <v>0</v>
      </c>
      <c r="AS32" s="1729">
        <f t="shared" si="15"/>
        <v>37136.617873673487</v>
      </c>
      <c r="AT32" s="1007"/>
      <c r="AU32" s="1476">
        <v>451.96000000000004</v>
      </c>
      <c r="AV32" s="1414"/>
      <c r="AW32" s="987"/>
      <c r="AX32" s="310">
        <v>9043.61</v>
      </c>
      <c r="AY32" s="998"/>
      <c r="AZ32" s="2">
        <v>7143.5454644097226</v>
      </c>
      <c r="BA32" s="2110">
        <v>1.3899999999999997</v>
      </c>
      <c r="BB32" s="2110">
        <v>2.5770366753472222</v>
      </c>
      <c r="BC32" s="2110">
        <v>5.3107085503472229</v>
      </c>
      <c r="BD32" s="2111">
        <v>10.592055167100694</v>
      </c>
      <c r="BF32" s="987"/>
      <c r="BG32" s="987"/>
      <c r="BH32" s="987"/>
      <c r="BI32" s="987"/>
      <c r="BJ32" s="987"/>
      <c r="BK32" s="847"/>
      <c r="BL32" s="310"/>
      <c r="BM32" s="310"/>
      <c r="BN32" s="310"/>
      <c r="BO32" s="310">
        <v>1</v>
      </c>
      <c r="BP32" s="1041">
        <f>'May TCM'!LO30</f>
        <v>8.86</v>
      </c>
      <c r="BQ32" s="1042"/>
      <c r="BR32" s="1"/>
      <c r="BS32" s="1032">
        <f t="shared" si="11"/>
        <v>57383.507597479991</v>
      </c>
      <c r="BT32" s="1"/>
      <c r="BU32" s="1"/>
      <c r="BV32" s="1"/>
      <c r="BW32" s="1"/>
      <c r="BX32" s="1"/>
      <c r="BY32" s="1"/>
      <c r="BZ32" s="1"/>
      <c r="CA32" s="1"/>
      <c r="CB32" s="1"/>
      <c r="CC32" s="1"/>
      <c r="CD32" s="1"/>
      <c r="CE32" s="1"/>
      <c r="CF32" s="1"/>
      <c r="CG32" s="1"/>
      <c r="CH32" s="1"/>
      <c r="CI32" s="1"/>
      <c r="CJ32" s="1"/>
      <c r="CK32" s="1"/>
      <c r="CM32" s="1033">
        <v>21</v>
      </c>
      <c r="CN32" s="1">
        <f t="shared" si="12"/>
        <v>3401.64</v>
      </c>
      <c r="CO32">
        <v>2605215591</v>
      </c>
      <c r="CQ32" s="412">
        <v>21</v>
      </c>
      <c r="CR32" s="1">
        <f t="shared" si="13"/>
        <v>9043.61</v>
      </c>
      <c r="CS32">
        <v>2605218755</v>
      </c>
    </row>
    <row r="33" spans="2:97" ht="15" thickBot="1">
      <c r="B33" s="989">
        <v>22</v>
      </c>
      <c r="C33" s="5">
        <f t="shared" si="1"/>
        <v>9814</v>
      </c>
      <c r="D33" s="488">
        <f t="shared" si="2"/>
        <v>1623.4800000000002</v>
      </c>
      <c r="E33" s="15">
        <f t="shared" si="3"/>
        <v>6.0450390519131734</v>
      </c>
      <c r="F33" s="363"/>
      <c r="G33" s="64"/>
      <c r="H33" s="1034">
        <v>87</v>
      </c>
      <c r="I33" s="1034" t="s">
        <v>1010</v>
      </c>
      <c r="N33" s="993"/>
      <c r="O33" s="26">
        <v>9814</v>
      </c>
      <c r="P33" s="36"/>
      <c r="Q33" s="277">
        <f t="shared" si="4"/>
        <v>1623.4800000000002</v>
      </c>
      <c r="R33" s="1227">
        <f t="shared" si="5"/>
        <v>1623.4800000000002</v>
      </c>
      <c r="S33" s="27">
        <f t="shared" si="6"/>
        <v>6.0450390519131734</v>
      </c>
      <c r="T33" s="33"/>
      <c r="U33" s="2023">
        <v>1623.4800000000002</v>
      </c>
      <c r="V33" s="2024">
        <v>0</v>
      </c>
      <c r="W33" s="2024">
        <v>0</v>
      </c>
      <c r="X33" s="1038"/>
      <c r="Y33" s="1"/>
      <c r="Z33" s="847"/>
      <c r="AA33" s="1025">
        <v>9019.06</v>
      </c>
      <c r="AB33" s="1025">
        <v>9019.06</v>
      </c>
      <c r="AC33" s="1025">
        <v>0</v>
      </c>
      <c r="AD33" s="1025">
        <v>0</v>
      </c>
      <c r="AE33" s="1025" cm="1">
        <f t="array" ref="AE33">SUMPRODUCT(('DB Hauling TIS'!$C$2:$C$951="TIS-ROM SB1 BK05-ROM 6")*('DB Hauling TIS'!$H$2:$H$951="MPE")*ISNUMBER(SEARCH(TEXT('May TIS'!$B33,"00")&amp;"/04/2026",'DB Hauling TIS'!$E$2:$E$951))*'DB Hauling TIS'!$N$2:$N$951)</f>
        <v>0</v>
      </c>
      <c r="AF33" s="1025" cm="1">
        <f t="array" ref="AF33">SUMPRODUCT(('DB Hauling TIS'!$C$2:$C$951="TIS-ROM SB1 BK05-ROM 6")*('DB Hauling TIS'!$H$2:$H$951="RP")*ISNUMBER(SEARCH(TEXT('May TIS'!$B33,"00")&amp;"/04/2026",'DB Hauling TIS'!$E$2:$E$951))*'DB Hauling TIS'!$N$2:$N$951)</f>
        <v>0</v>
      </c>
      <c r="AG33" s="1025">
        <f t="shared" si="7"/>
        <v>0</v>
      </c>
      <c r="AH33" s="1025"/>
      <c r="AI33" s="1039"/>
      <c r="AJ33" s="1026">
        <f t="shared" si="8"/>
        <v>731.69488613999999</v>
      </c>
      <c r="AK33" s="1026">
        <f t="shared" si="14"/>
        <v>56704.710258610023</v>
      </c>
      <c r="AL33" s="1040">
        <f t="shared" si="0"/>
        <v>57436.405144750024</v>
      </c>
      <c r="AM33" s="1414"/>
      <c r="AN33" s="1414"/>
      <c r="AO33" s="1310"/>
      <c r="AP33" s="1310"/>
      <c r="AQ33" s="1934">
        <f t="shared" si="9"/>
        <v>0</v>
      </c>
      <c r="AR33" s="1729">
        <f t="shared" si="15"/>
        <v>0</v>
      </c>
      <c r="AS33" s="1729">
        <f t="shared" si="15"/>
        <v>37088.017873673489</v>
      </c>
      <c r="AT33" s="1007"/>
      <c r="AU33" s="1476">
        <v>48.6</v>
      </c>
      <c r="AV33" s="1414"/>
      <c r="AW33" s="987"/>
      <c r="AX33" s="310">
        <v>9019.06</v>
      </c>
      <c r="AY33" s="998"/>
      <c r="AZ33" s="2">
        <v>7182.925074925075</v>
      </c>
      <c r="BA33" s="2110">
        <v>1.4382362082362081</v>
      </c>
      <c r="BB33" s="2110">
        <v>3.8736563436563434</v>
      </c>
      <c r="BC33" s="2110">
        <v>6.1519758019758015</v>
      </c>
      <c r="BD33" s="2111">
        <v>10.697899587301588</v>
      </c>
      <c r="BF33" s="987"/>
      <c r="BG33" s="987"/>
      <c r="BH33" s="987"/>
      <c r="BI33" s="987"/>
      <c r="BJ33" s="987"/>
      <c r="BK33" s="847"/>
      <c r="BL33" s="310"/>
      <c r="BM33" s="310">
        <v>1</v>
      </c>
      <c r="BN33" s="310"/>
      <c r="BO33" s="310"/>
      <c r="BP33" s="1041">
        <f>'May TCM'!LO31</f>
        <v>9.1</v>
      </c>
      <c r="BQ33" s="1042"/>
      <c r="BR33" s="1"/>
      <c r="BS33" s="1032">
        <f t="shared" si="11"/>
        <v>66402.567597479996</v>
      </c>
      <c r="BT33" s="1"/>
      <c r="BU33" s="1"/>
      <c r="BV33" s="1"/>
      <c r="BW33" s="1"/>
      <c r="BX33" s="1"/>
      <c r="BY33" s="1"/>
      <c r="BZ33" s="1"/>
      <c r="CA33" s="1"/>
      <c r="CB33" s="1"/>
      <c r="CC33" s="1"/>
      <c r="CD33" s="1"/>
      <c r="CE33" s="1"/>
      <c r="CF33" s="1"/>
      <c r="CG33" s="1"/>
      <c r="CH33" s="1"/>
      <c r="CI33" s="1"/>
      <c r="CJ33" s="1"/>
      <c r="CK33" s="1"/>
      <c r="CM33" s="1033">
        <v>22</v>
      </c>
      <c r="CN33" s="1">
        <f t="shared" si="12"/>
        <v>1623.4800000000002</v>
      </c>
      <c r="CO33" s="1048">
        <v>2605225988</v>
      </c>
      <c r="CP33" s="1048"/>
      <c r="CQ33" s="412">
        <v>22</v>
      </c>
      <c r="CR33" s="1">
        <f t="shared" si="13"/>
        <v>9019.06</v>
      </c>
      <c r="CS33">
        <v>2605229280</v>
      </c>
    </row>
    <row r="34" spans="2:97" ht="15" thickBot="1">
      <c r="B34" s="989">
        <v>23</v>
      </c>
      <c r="C34" s="5">
        <f t="shared" si="1"/>
        <v>33448</v>
      </c>
      <c r="D34" s="488">
        <f t="shared" si="2"/>
        <v>3829.6400000000003</v>
      </c>
      <c r="E34" s="15">
        <f t="shared" si="3"/>
        <v>8.7339802174616921</v>
      </c>
      <c r="F34" s="363"/>
      <c r="G34" s="64"/>
      <c r="H34" s="1034"/>
      <c r="I34" s="1034"/>
      <c r="N34" s="993"/>
      <c r="O34" s="26">
        <v>33448</v>
      </c>
      <c r="P34" s="36"/>
      <c r="Q34" s="277">
        <f t="shared" si="4"/>
        <v>3829.6400000000003</v>
      </c>
      <c r="R34" s="1227">
        <f t="shared" si="5"/>
        <v>3829.6400000000003</v>
      </c>
      <c r="S34" s="27">
        <f t="shared" si="6"/>
        <v>8.7339802174616921</v>
      </c>
      <c r="T34" s="33"/>
      <c r="U34" s="2023">
        <v>3829.6400000000003</v>
      </c>
      <c r="V34" s="2024">
        <v>0</v>
      </c>
      <c r="W34" s="2024">
        <v>0</v>
      </c>
      <c r="X34" s="1038"/>
      <c r="Y34" s="1"/>
      <c r="Z34" s="847"/>
      <c r="AA34" s="1025">
        <v>9393.99</v>
      </c>
      <c r="AB34" s="1025">
        <v>9393.99</v>
      </c>
      <c r="AC34" s="1025">
        <v>0</v>
      </c>
      <c r="AD34" s="1025">
        <v>0</v>
      </c>
      <c r="AE34" s="1025" cm="1">
        <f t="array" ref="AE34">SUMPRODUCT(('DB Hauling TIS'!$C$2:$C$951="TIS-ROM SB1 BK05-ROM 6")*('DB Hauling TIS'!$H$2:$H$951="MPE")*ISNUMBER(SEARCH(TEXT('May TIS'!$B34,"00")&amp;"/04/2026",'DB Hauling TIS'!$E$2:$E$951))*'DB Hauling TIS'!$N$2:$N$951)</f>
        <v>0</v>
      </c>
      <c r="AF34" s="1025" cm="1">
        <f t="array" ref="AF34">SUMPRODUCT(('DB Hauling TIS'!$C$2:$C$951="TIS-ROM SB1 BK05-ROM 6")*('DB Hauling TIS'!$H$2:$H$951="RP")*ISNUMBER(SEARCH(TEXT('May TIS'!$B34,"00")&amp;"/04/2026",'DB Hauling TIS'!$E$2:$E$951))*'DB Hauling TIS'!$N$2:$N$951)</f>
        <v>0</v>
      </c>
      <c r="AG34" s="1025">
        <f t="shared" si="7"/>
        <v>0</v>
      </c>
      <c r="AH34" s="1025"/>
      <c r="AI34" s="1039"/>
      <c r="AJ34" s="1026">
        <f t="shared" si="8"/>
        <v>731.69488613999999</v>
      </c>
      <c r="AK34" s="1026">
        <f t="shared" si="14"/>
        <v>51165.040258610024</v>
      </c>
      <c r="AL34" s="1040">
        <f t="shared" si="0"/>
        <v>51896.735144750026</v>
      </c>
      <c r="AM34" s="1414"/>
      <c r="AN34" s="1414"/>
      <c r="AO34" s="1310"/>
      <c r="AP34" s="1310"/>
      <c r="AQ34" s="1934">
        <f t="shared" si="9"/>
        <v>0</v>
      </c>
      <c r="AR34" s="1729">
        <f t="shared" si="15"/>
        <v>0</v>
      </c>
      <c r="AS34" s="1729">
        <f t="shared" si="15"/>
        <v>37063.337873673489</v>
      </c>
      <c r="AT34" s="1007"/>
      <c r="AU34" s="1476">
        <v>24.68</v>
      </c>
      <c r="AV34" s="1414"/>
      <c r="AW34" s="987"/>
      <c r="AX34" s="310">
        <v>9393.99</v>
      </c>
      <c r="AY34" s="998"/>
      <c r="AZ34" s="2">
        <v>7226.5709909148536</v>
      </c>
      <c r="BA34" s="2110">
        <v>1.3823061483203043</v>
      </c>
      <c r="BB34" s="2110">
        <v>2.5695066553982677</v>
      </c>
      <c r="BC34" s="2110">
        <v>5.7144010141559258</v>
      </c>
      <c r="BD34" s="2111">
        <v>9.6802650750052806</v>
      </c>
      <c r="BF34" s="987"/>
      <c r="BG34" s="987"/>
      <c r="BH34" s="987"/>
      <c r="BI34" s="987"/>
      <c r="BJ34" s="987"/>
      <c r="BK34" s="847">
        <v>7435.89</v>
      </c>
      <c r="BL34" s="310">
        <v>1</v>
      </c>
      <c r="BM34" s="310"/>
      <c r="BN34" s="310"/>
      <c r="BO34" s="310"/>
      <c r="BP34" s="1041">
        <f>'May TCM'!LO32</f>
        <v>9.1199999999999992</v>
      </c>
      <c r="BQ34" s="1042"/>
      <c r="BR34" s="1"/>
      <c r="BS34" s="1032">
        <f t="shared" si="11"/>
        <v>68360.667597480002</v>
      </c>
      <c r="BT34" s="1"/>
      <c r="BU34" s="1"/>
      <c r="BV34" s="1"/>
      <c r="BW34" s="1"/>
      <c r="BX34" s="1"/>
      <c r="BY34" s="1"/>
      <c r="BZ34" s="1"/>
      <c r="CA34" s="1"/>
      <c r="CB34" s="1"/>
      <c r="CC34" s="1"/>
      <c r="CD34" s="1"/>
      <c r="CE34" s="1"/>
      <c r="CF34" s="1"/>
      <c r="CG34" s="1"/>
      <c r="CH34" s="1"/>
      <c r="CI34" s="1"/>
      <c r="CJ34" s="1"/>
      <c r="CK34" s="1"/>
      <c r="CM34" s="1033">
        <v>23</v>
      </c>
      <c r="CN34" s="1">
        <f t="shared" si="12"/>
        <v>3829.6400000000003</v>
      </c>
      <c r="CO34">
        <v>2605239777</v>
      </c>
      <c r="CQ34" s="412">
        <v>23</v>
      </c>
      <c r="CR34" s="1">
        <f t="shared" si="13"/>
        <v>9393.99</v>
      </c>
      <c r="CS34">
        <v>2605239772</v>
      </c>
    </row>
    <row r="35" spans="2:97" ht="15" thickBot="1">
      <c r="B35" s="989">
        <v>24</v>
      </c>
      <c r="C35" s="5">
        <f t="shared" si="1"/>
        <v>25758</v>
      </c>
      <c r="D35" s="488">
        <f t="shared" si="2"/>
        <v>3130.9600000000005</v>
      </c>
      <c r="E35" s="15">
        <f t="shared" si="3"/>
        <v>8.2268697140813032</v>
      </c>
      <c r="F35" s="363"/>
      <c r="G35" s="64"/>
      <c r="H35" s="1034">
        <v>45</v>
      </c>
      <c r="I35" s="1034">
        <v>8.4700000000000006</v>
      </c>
      <c r="N35" s="993"/>
      <c r="O35" s="26">
        <v>25758</v>
      </c>
      <c r="P35" s="36"/>
      <c r="Q35" s="277">
        <f t="shared" si="4"/>
        <v>3130.9600000000005</v>
      </c>
      <c r="R35" s="1227">
        <f t="shared" si="5"/>
        <v>3130.9600000000005</v>
      </c>
      <c r="S35" s="27">
        <f t="shared" si="6"/>
        <v>8.2268697140813032</v>
      </c>
      <c r="T35" s="33"/>
      <c r="U35" s="2023">
        <v>3130.9600000000005</v>
      </c>
      <c r="V35" s="2024">
        <v>0</v>
      </c>
      <c r="W35" s="2024">
        <v>0</v>
      </c>
      <c r="X35" s="1038"/>
      <c r="Y35" s="1"/>
      <c r="Z35" s="847"/>
      <c r="AA35" s="1025">
        <v>8738.83</v>
      </c>
      <c r="AB35" s="1025">
        <v>8738.83</v>
      </c>
      <c r="AC35" s="1025">
        <v>0</v>
      </c>
      <c r="AD35" s="1025">
        <v>0</v>
      </c>
      <c r="AE35" s="1025" cm="1">
        <f t="array" ref="AE35">SUMPRODUCT(('DB Hauling TIS'!$C$2:$C$951="TIS-ROM SB1 BK05-ROM 6")*('DB Hauling TIS'!$H$2:$H$951="MPE")*ISNUMBER(SEARCH(TEXT('May TIS'!$B35,"00")&amp;"/04/2026",'DB Hauling TIS'!$E$2:$E$951))*'DB Hauling TIS'!$N$2:$N$951)</f>
        <v>0</v>
      </c>
      <c r="AF35" s="1025" cm="1">
        <f t="array" ref="AF35">SUMPRODUCT(('DB Hauling TIS'!$C$2:$C$951="TIS-ROM SB1 BK05-ROM 6")*('DB Hauling TIS'!$H$2:$H$951="RP")*ISNUMBER(SEARCH(TEXT('May TIS'!$B35,"00")&amp;"/04/2026",'DB Hauling TIS'!$E$2:$E$951))*'DB Hauling TIS'!$N$2:$N$951)</f>
        <v>0</v>
      </c>
      <c r="AG35" s="1025">
        <f t="shared" si="7"/>
        <v>0</v>
      </c>
      <c r="AH35" s="1025"/>
      <c r="AI35" s="1039"/>
      <c r="AJ35" s="1026">
        <f t="shared" si="8"/>
        <v>731.69488613999999</v>
      </c>
      <c r="AK35" s="1026">
        <f t="shared" si="14"/>
        <v>45557.170258610022</v>
      </c>
      <c r="AL35" s="1040">
        <f t="shared" si="0"/>
        <v>46288.865144750023</v>
      </c>
      <c r="AM35" s="1414"/>
      <c r="AN35" s="1414"/>
      <c r="AO35" s="1310"/>
      <c r="AP35" s="1310"/>
      <c r="AQ35" s="1934">
        <f t="shared" si="9"/>
        <v>0</v>
      </c>
      <c r="AR35" s="1729">
        <f t="shared" si="15"/>
        <v>0</v>
      </c>
      <c r="AS35" s="1729">
        <f t="shared" si="15"/>
        <v>37063.337873673489</v>
      </c>
      <c r="AT35" s="1007"/>
      <c r="AU35" s="1476">
        <v>0</v>
      </c>
      <c r="AV35" s="1414"/>
      <c r="AW35" s="987"/>
      <c r="AX35" s="310">
        <v>8738.83</v>
      </c>
      <c r="AY35" s="998"/>
      <c r="AZ35" s="2">
        <v>7289.4291205591144</v>
      </c>
      <c r="BA35" s="2110">
        <v>1.3498112987769366</v>
      </c>
      <c r="BB35" s="2110">
        <v>2.6050471753057662</v>
      </c>
      <c r="BC35" s="2110">
        <v>5.6221234711706467</v>
      </c>
      <c r="BD35" s="2111">
        <v>10.292513735352358</v>
      </c>
      <c r="BF35" s="987"/>
      <c r="BG35" s="987"/>
      <c r="BH35" s="987"/>
      <c r="BI35" s="987"/>
      <c r="BJ35" s="987"/>
      <c r="BK35" s="310"/>
      <c r="BL35" s="310"/>
      <c r="BM35" s="310"/>
      <c r="BN35" s="310"/>
      <c r="BO35" s="310"/>
      <c r="BP35" s="1041">
        <f>'May TCM'!LO33</f>
        <v>8.93</v>
      </c>
      <c r="BQ35" s="1042"/>
      <c r="BR35" s="1"/>
      <c r="BS35" s="1032">
        <f t="shared" si="11"/>
        <v>77099.497597480004</v>
      </c>
      <c r="BT35" s="1"/>
      <c r="BU35" s="1"/>
      <c r="BV35" s="1"/>
      <c r="BW35" s="1"/>
      <c r="BX35" s="1"/>
      <c r="BY35" s="1"/>
      <c r="BZ35" s="1"/>
      <c r="CA35" s="1"/>
      <c r="CB35" s="1"/>
      <c r="CC35" s="1"/>
      <c r="CD35" s="1"/>
      <c r="CE35" s="1"/>
      <c r="CF35" s="1"/>
      <c r="CG35" s="1"/>
      <c r="CH35" s="1"/>
      <c r="CI35" s="1"/>
      <c r="CJ35" s="1"/>
      <c r="CK35" s="1"/>
      <c r="CM35" s="1033">
        <v>24</v>
      </c>
      <c r="CN35" s="1">
        <f t="shared" si="12"/>
        <v>3130.9600000000005</v>
      </c>
      <c r="CO35" s="1050">
        <v>2605246416</v>
      </c>
      <c r="CP35" s="1048"/>
      <c r="CQ35" s="412">
        <v>24</v>
      </c>
      <c r="CR35" s="1">
        <f t="shared" si="13"/>
        <v>8738.83</v>
      </c>
      <c r="CS35">
        <v>26052410283</v>
      </c>
    </row>
    <row r="36" spans="2:97" ht="15" thickBot="1">
      <c r="B36" s="989">
        <v>25</v>
      </c>
      <c r="C36" s="5">
        <f t="shared" si="1"/>
        <v>23717</v>
      </c>
      <c r="D36" s="488">
        <f t="shared" si="2"/>
        <v>2276.5</v>
      </c>
      <c r="E36" s="1051">
        <f t="shared" si="3"/>
        <v>10.418185811552823</v>
      </c>
      <c r="F36" s="363"/>
      <c r="G36" s="64"/>
      <c r="H36" s="1034">
        <v>7</v>
      </c>
      <c r="I36" s="1034">
        <v>6.37</v>
      </c>
      <c r="N36" s="993"/>
      <c r="O36" s="26">
        <v>23717</v>
      </c>
      <c r="P36" s="36"/>
      <c r="Q36" s="277">
        <f t="shared" si="4"/>
        <v>2276.5</v>
      </c>
      <c r="R36" s="1227">
        <f t="shared" si="5"/>
        <v>2276.5</v>
      </c>
      <c r="S36" s="53">
        <f t="shared" si="6"/>
        <v>10.418185811552823</v>
      </c>
      <c r="T36" s="33"/>
      <c r="U36" s="2023">
        <v>2276.5</v>
      </c>
      <c r="V36" s="2024">
        <v>0</v>
      </c>
      <c r="W36" s="2024">
        <v>0</v>
      </c>
      <c r="X36" s="1038"/>
      <c r="Y36" s="1"/>
      <c r="Z36" s="847"/>
      <c r="AA36" s="1025">
        <v>0</v>
      </c>
      <c r="AB36" s="1025">
        <v>0</v>
      </c>
      <c r="AC36" s="1025">
        <v>0</v>
      </c>
      <c r="AD36" s="1025">
        <v>0</v>
      </c>
      <c r="AE36" s="1025" cm="1">
        <f t="array" ref="AE36">SUMPRODUCT(('DB Hauling TIS'!$C$2:$C$951="TIS-ROM SB1 BK05-ROM 6")*('DB Hauling TIS'!$H$2:$H$951="MPE")*ISNUMBER(SEARCH(TEXT('May TIS'!$B36,"00")&amp;"/04/2026",'DB Hauling TIS'!$E$2:$E$951))*'DB Hauling TIS'!$N$2:$N$951)</f>
        <v>0</v>
      </c>
      <c r="AF36" s="1025" cm="1">
        <f t="array" ref="AF36">SUMPRODUCT(('DB Hauling TIS'!$C$2:$C$951="TIS-ROM SB1 BK05-ROM 6")*('DB Hauling TIS'!$H$2:$H$951="RP")*ISNUMBER(SEARCH(TEXT('May TIS'!$B36,"00")&amp;"/04/2026",'DB Hauling TIS'!$E$2:$E$951))*'DB Hauling TIS'!$N$2:$N$951)</f>
        <v>0</v>
      </c>
      <c r="AG36" s="1025">
        <f t="shared" si="7"/>
        <v>0</v>
      </c>
      <c r="AH36" s="1025"/>
      <c r="AI36" s="1039"/>
      <c r="AJ36" s="1026">
        <f t="shared" si="8"/>
        <v>731.69488613999999</v>
      </c>
      <c r="AK36" s="1026">
        <f t="shared" si="14"/>
        <v>48387.59025861002</v>
      </c>
      <c r="AL36" s="1040">
        <f t="shared" si="0"/>
        <v>49119.285144750022</v>
      </c>
      <c r="AM36" s="1414"/>
      <c r="AN36" s="1414"/>
      <c r="AO36" s="1310"/>
      <c r="AP36" s="1310"/>
      <c r="AQ36" s="1934">
        <f t="shared" si="9"/>
        <v>0</v>
      </c>
      <c r="AR36" s="1729">
        <f t="shared" si="15"/>
        <v>0</v>
      </c>
      <c r="AS36" s="1729">
        <f t="shared" si="15"/>
        <v>36509.41787367349</v>
      </c>
      <c r="AT36" s="1007"/>
      <c r="AU36" s="1476">
        <v>553.91999999999996</v>
      </c>
      <c r="AV36" s="1414"/>
      <c r="AW36" s="987"/>
      <c r="AX36" s="310">
        <v>0</v>
      </c>
      <c r="AY36" s="998"/>
      <c r="AZ36" s="2">
        <v>0</v>
      </c>
      <c r="BA36" s="2110">
        <v>0</v>
      </c>
      <c r="BB36" s="2110">
        <v>0</v>
      </c>
      <c r="BC36" s="2110">
        <v>0</v>
      </c>
      <c r="BD36" s="2111">
        <v>0</v>
      </c>
      <c r="BF36" s="987"/>
      <c r="BG36" s="987"/>
      <c r="BH36" s="987"/>
      <c r="BI36" s="987"/>
      <c r="BJ36" s="987"/>
      <c r="BK36" s="310"/>
      <c r="BL36" s="310"/>
      <c r="BM36" s="310"/>
      <c r="BN36" s="310"/>
      <c r="BO36" s="310"/>
      <c r="BP36" s="1041">
        <f>'May TCM'!LO34</f>
        <v>8.7799999999999994</v>
      </c>
      <c r="BQ36" s="1042"/>
      <c r="BR36" s="1"/>
      <c r="BS36" s="1032">
        <f t="shared" si="11"/>
        <v>77099.497597480004</v>
      </c>
      <c r="BT36" s="1"/>
      <c r="BU36" s="1"/>
      <c r="BV36" s="1"/>
      <c r="BW36" s="1"/>
      <c r="BX36" s="1"/>
      <c r="BY36" s="1"/>
      <c r="BZ36" s="1"/>
      <c r="CA36" s="1"/>
      <c r="CB36" s="1"/>
      <c r="CC36" s="1"/>
      <c r="CD36" s="1"/>
      <c r="CE36" s="1"/>
      <c r="CF36" s="1"/>
      <c r="CG36" s="1"/>
      <c r="CH36" s="1"/>
      <c r="CI36" s="1"/>
      <c r="CJ36" s="1"/>
      <c r="CK36" s="1"/>
      <c r="CM36" s="1033">
        <v>25</v>
      </c>
      <c r="CN36" s="1">
        <f t="shared" si="12"/>
        <v>2276.5</v>
      </c>
      <c r="CO36">
        <v>2605256714</v>
      </c>
      <c r="CQ36" s="412">
        <v>25</v>
      </c>
      <c r="CR36" s="1">
        <f t="shared" si="13"/>
        <v>0</v>
      </c>
    </row>
    <row r="37" spans="2:97" ht="15" thickBot="1">
      <c r="B37" s="989">
        <v>26</v>
      </c>
      <c r="C37" s="5">
        <f t="shared" si="1"/>
        <v>21663</v>
      </c>
      <c r="D37" s="488">
        <f t="shared" si="2"/>
        <v>3052.81</v>
      </c>
      <c r="E37" s="1051">
        <f t="shared" si="3"/>
        <v>7.0960852460519979</v>
      </c>
      <c r="F37" s="363"/>
      <c r="G37" s="64"/>
      <c r="H37" s="1034"/>
      <c r="I37" s="1034"/>
      <c r="N37" s="993"/>
      <c r="O37" s="26">
        <v>21663</v>
      </c>
      <c r="P37" s="36"/>
      <c r="Q37" s="277">
        <f t="shared" si="4"/>
        <v>3052.81</v>
      </c>
      <c r="R37" s="1227">
        <f t="shared" si="5"/>
        <v>3052.81</v>
      </c>
      <c r="S37" s="53">
        <f t="shared" si="6"/>
        <v>7.0960852460519979</v>
      </c>
      <c r="T37" s="33"/>
      <c r="U37" s="2023">
        <v>3052.81</v>
      </c>
      <c r="V37" s="2024">
        <v>0</v>
      </c>
      <c r="W37" s="2024">
        <v>0</v>
      </c>
      <c r="X37" s="1038"/>
      <c r="Y37" s="1"/>
      <c r="Z37" s="847"/>
      <c r="AA37" s="1025">
        <v>0</v>
      </c>
      <c r="AB37" s="1025">
        <v>0</v>
      </c>
      <c r="AC37" s="1025">
        <v>0</v>
      </c>
      <c r="AD37" s="1025">
        <v>0</v>
      </c>
      <c r="AE37" s="1025" cm="1">
        <f t="array" ref="AE37">SUMPRODUCT(('DB Hauling TIS'!$C$2:$C$951="TIS-ROM SB1 BK05-ROM 6")*('DB Hauling TIS'!$H$2:$H$951="MPE")*ISNUMBER(SEARCH(TEXT('May TIS'!$B37,"00")&amp;"/04/2026",'DB Hauling TIS'!$E$2:$E$951))*'DB Hauling TIS'!$N$2:$N$951)</f>
        <v>0</v>
      </c>
      <c r="AF37" s="1025" cm="1">
        <f t="array" ref="AF37">SUMPRODUCT(('DB Hauling TIS'!$C$2:$C$951="TIS-ROM SB1 BK05-ROM 6")*('DB Hauling TIS'!$H$2:$H$951="RP")*ISNUMBER(SEARCH(TEXT('May TIS'!$B37,"00")&amp;"/04/2026",'DB Hauling TIS'!$E$2:$E$951))*'DB Hauling TIS'!$N$2:$N$951)</f>
        <v>0</v>
      </c>
      <c r="AG37" s="1025">
        <f t="shared" si="7"/>
        <v>0</v>
      </c>
      <c r="AH37" s="1025"/>
      <c r="AI37" s="1039"/>
      <c r="AJ37" s="1026">
        <f t="shared" si="8"/>
        <v>731.69488613999999</v>
      </c>
      <c r="AK37" s="1026">
        <f t="shared" si="14"/>
        <v>51440.400258610018</v>
      </c>
      <c r="AL37" s="1040">
        <f t="shared" si="0"/>
        <v>52172.095144750019</v>
      </c>
      <c r="AM37" s="1414"/>
      <c r="AN37" s="1414"/>
      <c r="AO37" s="1310"/>
      <c r="AP37" s="1310"/>
      <c r="AQ37" s="1934">
        <f t="shared" si="9"/>
        <v>0</v>
      </c>
      <c r="AR37" s="1729">
        <f t="shared" si="15"/>
        <v>0</v>
      </c>
      <c r="AS37" s="1729">
        <f t="shared" si="15"/>
        <v>36509.41787367349</v>
      </c>
      <c r="AT37" s="1007"/>
      <c r="AU37" s="1476">
        <v>0</v>
      </c>
      <c r="AV37" s="1414"/>
      <c r="AW37" s="987"/>
      <c r="AX37" s="310">
        <v>0</v>
      </c>
      <c r="AY37" s="998"/>
      <c r="AZ37" s="2">
        <v>0</v>
      </c>
      <c r="BA37" s="2110">
        <v>0</v>
      </c>
      <c r="BB37" s="2110">
        <v>0</v>
      </c>
      <c r="BC37" s="2110">
        <v>0</v>
      </c>
      <c r="BD37" s="2111">
        <v>0</v>
      </c>
      <c r="BF37" s="987"/>
      <c r="BG37" s="987"/>
      <c r="BH37" s="987"/>
      <c r="BI37" s="987"/>
      <c r="BJ37" s="987"/>
      <c r="BK37" s="310"/>
      <c r="BL37" s="310"/>
      <c r="BM37" s="310"/>
      <c r="BN37" s="310"/>
      <c r="BO37" s="310"/>
      <c r="BP37" s="1041">
        <f>'May TCM'!LO35</f>
        <v>8.6300000000000008</v>
      </c>
      <c r="BQ37" s="1052"/>
      <c r="BR37" s="857"/>
      <c r="BS37" s="1032">
        <f t="shared" si="11"/>
        <v>77099.497597480004</v>
      </c>
      <c r="BT37" s="857"/>
      <c r="BU37" s="857"/>
      <c r="BV37" s="857"/>
      <c r="BW37" s="857"/>
      <c r="BX37" s="857"/>
      <c r="BY37" s="857"/>
      <c r="BZ37" s="857"/>
      <c r="CA37" s="857"/>
      <c r="CB37" s="857"/>
      <c r="CC37" s="857"/>
      <c r="CD37" s="857"/>
      <c r="CE37" s="857"/>
      <c r="CF37" s="857"/>
      <c r="CG37" s="857"/>
      <c r="CH37" s="857"/>
      <c r="CI37" s="857"/>
      <c r="CJ37" s="857"/>
      <c r="CK37" s="857"/>
      <c r="CM37" s="1033">
        <v>26</v>
      </c>
      <c r="CN37" s="1">
        <f t="shared" si="12"/>
        <v>3052.81</v>
      </c>
      <c r="CO37" s="1048"/>
      <c r="CP37" s="1048"/>
      <c r="CQ37" s="412">
        <v>26</v>
      </c>
      <c r="CR37" s="1">
        <f t="shared" si="13"/>
        <v>0</v>
      </c>
    </row>
    <row r="38" spans="2:97" ht="15" thickBot="1">
      <c r="B38" s="989">
        <v>27</v>
      </c>
      <c r="C38" s="5">
        <f t="shared" si="1"/>
        <v>0</v>
      </c>
      <c r="D38" s="488">
        <f t="shared" si="2"/>
        <v>0</v>
      </c>
      <c r="E38" s="1051">
        <f t="shared" si="3"/>
        <v>0</v>
      </c>
      <c r="F38" s="363"/>
      <c r="G38" s="64"/>
      <c r="H38" s="1034"/>
      <c r="I38" s="1034"/>
      <c r="N38" s="993"/>
      <c r="O38" s="26">
        <v>0</v>
      </c>
      <c r="P38" s="36"/>
      <c r="Q38" s="277">
        <f t="shared" si="4"/>
        <v>0</v>
      </c>
      <c r="R38" s="1227">
        <f t="shared" si="5"/>
        <v>0</v>
      </c>
      <c r="S38" s="53">
        <f t="shared" si="6"/>
        <v>0</v>
      </c>
      <c r="T38" s="33"/>
      <c r="U38" s="2023">
        <v>0</v>
      </c>
      <c r="V38" s="2024">
        <v>0</v>
      </c>
      <c r="W38" s="2024">
        <v>0</v>
      </c>
      <c r="X38" s="1038"/>
      <c r="Y38" s="1"/>
      <c r="Z38" s="847"/>
      <c r="AA38" s="1025">
        <v>0</v>
      </c>
      <c r="AB38" s="1025">
        <v>0</v>
      </c>
      <c r="AC38" s="1025">
        <v>0</v>
      </c>
      <c r="AD38" s="1025">
        <v>0</v>
      </c>
      <c r="AE38" s="1025" cm="1">
        <f t="array" ref="AE38">SUMPRODUCT(('DB Hauling TIS'!$C$2:$C$951="TIS-ROM SB1 BK05-ROM 6")*('DB Hauling TIS'!$H$2:$H$951="MPE")*ISNUMBER(SEARCH(TEXT('May TIS'!$B38,"00")&amp;"/04/2026",'DB Hauling TIS'!$E$2:$E$951))*'DB Hauling TIS'!$N$2:$N$951)</f>
        <v>0</v>
      </c>
      <c r="AF38" s="1025" cm="1">
        <f t="array" ref="AF38">SUMPRODUCT(('DB Hauling TIS'!$C$2:$C$951="TIS-ROM SB1 BK05-ROM 6")*('DB Hauling TIS'!$H$2:$H$951="RP")*ISNUMBER(SEARCH(TEXT('May TIS'!$B38,"00")&amp;"/04/2026",'DB Hauling TIS'!$E$2:$E$951))*'DB Hauling TIS'!$N$2:$N$951)</f>
        <v>0</v>
      </c>
      <c r="AG38" s="1025">
        <f t="shared" si="7"/>
        <v>0</v>
      </c>
      <c r="AH38" s="1025"/>
      <c r="AI38" s="1039"/>
      <c r="AJ38" s="1026">
        <f t="shared" si="8"/>
        <v>731.69488613999999</v>
      </c>
      <c r="AK38" s="1026">
        <f t="shared" si="14"/>
        <v>51440.400258610018</v>
      </c>
      <c r="AL38" s="1040">
        <f t="shared" si="0"/>
        <v>52172.095144750019</v>
      </c>
      <c r="AM38" s="1414"/>
      <c r="AN38" s="1414"/>
      <c r="AO38" s="1310"/>
      <c r="AP38" s="1310"/>
      <c r="AQ38" s="1934">
        <f t="shared" si="9"/>
        <v>0</v>
      </c>
      <c r="AR38" s="1729">
        <f t="shared" si="15"/>
        <v>0</v>
      </c>
      <c r="AS38" s="1729">
        <f t="shared" si="15"/>
        <v>36509.41787367349</v>
      </c>
      <c r="AT38" s="1007"/>
      <c r="AU38" s="1476">
        <v>0</v>
      </c>
      <c r="AV38" s="1414"/>
      <c r="AW38" s="987"/>
      <c r="AX38" s="310">
        <v>0</v>
      </c>
      <c r="AY38" s="998"/>
      <c r="AZ38" s="2">
        <v>0</v>
      </c>
      <c r="BA38" s="2110">
        <v>0</v>
      </c>
      <c r="BB38" s="2110">
        <v>0</v>
      </c>
      <c r="BC38" s="2110">
        <v>0</v>
      </c>
      <c r="BD38" s="2111">
        <v>0</v>
      </c>
      <c r="BF38" s="987"/>
      <c r="BG38" s="987"/>
      <c r="BH38" s="987"/>
      <c r="BI38" s="987"/>
      <c r="BJ38" s="987"/>
      <c r="BK38" s="310"/>
      <c r="BL38" s="310"/>
      <c r="BM38" s="310"/>
      <c r="BN38" s="310"/>
      <c r="BO38" s="310"/>
      <c r="BP38" s="1041">
        <f>'May TCM'!LO36</f>
        <v>8.49</v>
      </c>
      <c r="BQ38" s="1053"/>
      <c r="BR38" s="857"/>
      <c r="BS38" s="1032">
        <f t="shared" si="11"/>
        <v>77099.497597480004</v>
      </c>
      <c r="BT38" s="857"/>
      <c r="BU38" s="857"/>
      <c r="BV38" s="857"/>
      <c r="BW38" s="857"/>
      <c r="BX38" s="857"/>
      <c r="BY38" s="857"/>
      <c r="BZ38" s="857"/>
      <c r="CA38" s="857"/>
      <c r="CB38" s="857"/>
      <c r="CC38" s="857"/>
      <c r="CD38" s="857"/>
      <c r="CE38" s="857"/>
      <c r="CF38" s="857"/>
      <c r="CG38" s="857"/>
      <c r="CH38" s="857"/>
      <c r="CI38" s="857"/>
      <c r="CJ38" s="857"/>
      <c r="CK38" s="857"/>
      <c r="CM38" s="1033">
        <v>27</v>
      </c>
      <c r="CN38" s="1">
        <f t="shared" si="12"/>
        <v>0</v>
      </c>
      <c r="CO38" s="1048"/>
      <c r="CP38" s="1048"/>
      <c r="CQ38" s="412">
        <v>27</v>
      </c>
      <c r="CR38" s="1">
        <f t="shared" si="13"/>
        <v>0</v>
      </c>
    </row>
    <row r="39" spans="2:97" ht="15" thickBot="1">
      <c r="B39" s="989">
        <v>28</v>
      </c>
      <c r="C39" s="5">
        <f t="shared" si="1"/>
        <v>26847</v>
      </c>
      <c r="D39" s="488">
        <f t="shared" si="2"/>
        <v>3618.1400000000003</v>
      </c>
      <c r="E39" s="1051">
        <f t="shared" si="3"/>
        <v>7.4201108857037035</v>
      </c>
      <c r="F39" s="363"/>
      <c r="G39" s="64"/>
      <c r="H39" s="1034">
        <v>5</v>
      </c>
      <c r="I39" s="1034">
        <v>2.67</v>
      </c>
      <c r="N39" s="993"/>
      <c r="O39" s="26">
        <v>26847</v>
      </c>
      <c r="P39" s="36"/>
      <c r="Q39" s="277">
        <f t="shared" si="4"/>
        <v>3618.1400000000003</v>
      </c>
      <c r="R39" s="1227">
        <f t="shared" si="5"/>
        <v>3618.1400000000003</v>
      </c>
      <c r="S39" s="53">
        <f t="shared" si="6"/>
        <v>7.4201108857037035</v>
      </c>
      <c r="T39" s="33"/>
      <c r="U39" s="2023">
        <v>3618.1400000000003</v>
      </c>
      <c r="V39" s="2024">
        <v>0</v>
      </c>
      <c r="W39" s="2024">
        <v>0</v>
      </c>
      <c r="X39" s="1038"/>
      <c r="Y39" s="1"/>
      <c r="Z39" s="847"/>
      <c r="AA39" s="1025">
        <v>0</v>
      </c>
      <c r="AB39" s="1025">
        <v>0</v>
      </c>
      <c r="AC39" s="1025">
        <v>0</v>
      </c>
      <c r="AD39" s="1025">
        <v>0</v>
      </c>
      <c r="AE39" s="1025" cm="1">
        <f t="array" ref="AE39">SUMPRODUCT(('DB Hauling TIS'!$C$2:$C$951="TIS-ROM SB1 BK05-ROM 6")*('DB Hauling TIS'!$H$2:$H$951="MPE")*ISNUMBER(SEARCH(TEXT('May TIS'!$B39,"00")&amp;"/04/2026",'DB Hauling TIS'!$E$2:$E$951))*'DB Hauling TIS'!$N$2:$N$951)</f>
        <v>0</v>
      </c>
      <c r="AF39" s="1025" cm="1">
        <f t="array" ref="AF39">SUMPRODUCT(('DB Hauling TIS'!$C$2:$C$951="TIS-ROM SB1 BK05-ROM 6")*('DB Hauling TIS'!$H$2:$H$951="RP")*ISNUMBER(SEARCH(TEXT('May TIS'!$B39,"00")&amp;"/04/2026",'DB Hauling TIS'!$E$2:$E$951))*'DB Hauling TIS'!$N$2:$N$951)</f>
        <v>0</v>
      </c>
      <c r="AG39" s="1025">
        <f t="shared" si="7"/>
        <v>0</v>
      </c>
      <c r="AH39" s="1025"/>
      <c r="AI39" s="1039"/>
      <c r="AJ39" s="1026">
        <f t="shared" si="8"/>
        <v>731.69488613999999</v>
      </c>
      <c r="AK39" s="1026">
        <f t="shared" si="14"/>
        <v>55058.540258610017</v>
      </c>
      <c r="AL39" s="1040">
        <f t="shared" si="0"/>
        <v>55790.235144750019</v>
      </c>
      <c r="AM39" s="1414"/>
      <c r="AN39" s="1414"/>
      <c r="AO39" s="1310"/>
      <c r="AP39" s="1310"/>
      <c r="AQ39" s="1934">
        <f t="shared" si="9"/>
        <v>0</v>
      </c>
      <c r="AR39" s="1729">
        <f t="shared" si="15"/>
        <v>0</v>
      </c>
      <c r="AS39" s="1729">
        <f t="shared" si="15"/>
        <v>36509.41787367349</v>
      </c>
      <c r="AT39" s="1007"/>
      <c r="AU39" s="1476">
        <v>0</v>
      </c>
      <c r="AV39" s="1414"/>
      <c r="AW39" s="987"/>
      <c r="AX39" s="310">
        <v>0</v>
      </c>
      <c r="AY39" s="998"/>
      <c r="AZ39" s="2">
        <v>0</v>
      </c>
      <c r="BA39" s="2110">
        <v>0</v>
      </c>
      <c r="BB39" s="2110">
        <v>0</v>
      </c>
      <c r="BC39" s="2110">
        <v>0</v>
      </c>
      <c r="BD39" s="2111">
        <v>0</v>
      </c>
      <c r="BF39" s="987"/>
      <c r="BG39" s="987"/>
      <c r="BH39" s="987"/>
      <c r="BI39" s="987"/>
      <c r="BJ39" s="987"/>
      <c r="BK39" s="310"/>
      <c r="BL39" s="310"/>
      <c r="BM39" s="310"/>
      <c r="BN39" s="310"/>
      <c r="BO39" s="310"/>
      <c r="BP39" s="1041">
        <f>'May TCM'!LO37</f>
        <v>8.31</v>
      </c>
      <c r="BQ39" s="1042"/>
      <c r="BR39" s="1"/>
      <c r="BS39" s="1032">
        <f t="shared" si="11"/>
        <v>77099.497597480004</v>
      </c>
      <c r="BT39" s="1"/>
      <c r="BU39" s="1"/>
      <c r="BV39" s="1"/>
      <c r="BW39" s="1"/>
      <c r="BX39" s="1"/>
      <c r="BY39" s="1"/>
      <c r="BZ39" s="1"/>
      <c r="CA39" s="1"/>
      <c r="CB39" s="1"/>
      <c r="CC39" s="1"/>
      <c r="CD39" s="1"/>
      <c r="CE39" s="1"/>
      <c r="CF39" s="1"/>
      <c r="CG39" s="1"/>
      <c r="CH39" s="1"/>
      <c r="CI39" s="1"/>
      <c r="CJ39" s="1"/>
      <c r="CK39" s="1"/>
      <c r="CM39" s="1033">
        <v>28</v>
      </c>
      <c r="CN39" s="1">
        <f t="shared" si="12"/>
        <v>3618.1400000000003</v>
      </c>
      <c r="CO39" s="1045">
        <v>2605287203</v>
      </c>
      <c r="CQ39" s="412">
        <v>28</v>
      </c>
      <c r="CR39" s="1">
        <f t="shared" si="13"/>
        <v>0</v>
      </c>
    </row>
    <row r="40" spans="2:97" ht="15" thickBot="1">
      <c r="B40" s="989">
        <v>29</v>
      </c>
      <c r="C40" s="5">
        <f t="shared" si="1"/>
        <v>15392</v>
      </c>
      <c r="D40" s="488">
        <f t="shared" si="2"/>
        <v>584.74</v>
      </c>
      <c r="E40" s="1051">
        <f t="shared" si="3"/>
        <v>26.322810137839038</v>
      </c>
      <c r="F40" s="363"/>
      <c r="G40" s="64"/>
      <c r="H40" s="1034">
        <v>40</v>
      </c>
      <c r="I40" s="1034">
        <v>9.27</v>
      </c>
      <c r="N40" s="993"/>
      <c r="O40" s="26">
        <v>15392</v>
      </c>
      <c r="P40" s="36"/>
      <c r="Q40" s="277">
        <f t="shared" si="4"/>
        <v>584.74</v>
      </c>
      <c r="R40" s="1227">
        <f t="shared" si="5"/>
        <v>584.74</v>
      </c>
      <c r="S40" s="53">
        <f t="shared" si="6"/>
        <v>26.322810137839038</v>
      </c>
      <c r="T40" s="33"/>
      <c r="U40" s="2023">
        <v>584.74</v>
      </c>
      <c r="V40" s="2024">
        <v>0</v>
      </c>
      <c r="W40" s="2024">
        <v>0</v>
      </c>
      <c r="X40" s="1038"/>
      <c r="Y40" s="1"/>
      <c r="Z40" s="847"/>
      <c r="AA40" s="1025">
        <v>0</v>
      </c>
      <c r="AB40" s="1025">
        <v>0</v>
      </c>
      <c r="AC40" s="1025">
        <v>0</v>
      </c>
      <c r="AD40" s="1025">
        <v>0</v>
      </c>
      <c r="AE40" s="1025" cm="1">
        <f t="array" ref="AE40">SUMPRODUCT(('DB Hauling TIS'!$C$2:$C$951="TIS-ROM SB1 BK05-ROM 6")*('DB Hauling TIS'!$H$2:$H$951="MPE")*ISNUMBER(SEARCH(TEXT('May TIS'!$B40,"00")&amp;"/04/2026",'DB Hauling TIS'!$E$2:$E$951))*'DB Hauling TIS'!$N$2:$N$951)</f>
        <v>0</v>
      </c>
      <c r="AF40" s="1025" cm="1">
        <f t="array" ref="AF40">SUMPRODUCT(('DB Hauling TIS'!$C$2:$C$951="TIS-ROM SB1 BK05-ROM 6")*('DB Hauling TIS'!$H$2:$H$951="RP")*ISNUMBER(SEARCH(TEXT('May TIS'!$B40,"00")&amp;"/04/2026",'DB Hauling TIS'!$E$2:$E$951))*'DB Hauling TIS'!$N$2:$N$951)</f>
        <v>0</v>
      </c>
      <c r="AG40" s="1025">
        <f t="shared" si="7"/>
        <v>0</v>
      </c>
      <c r="AH40" s="1025"/>
      <c r="AI40" s="1039"/>
      <c r="AJ40" s="1026">
        <f t="shared" si="8"/>
        <v>731.69488613999999</v>
      </c>
      <c r="AK40" s="1026">
        <f t="shared" si="14"/>
        <v>57409.740258610014</v>
      </c>
      <c r="AL40" s="1040">
        <f t="shared" si="0"/>
        <v>58141.435144750016</v>
      </c>
      <c r="AM40" s="1414"/>
      <c r="AN40" s="1414"/>
      <c r="AO40" s="1310"/>
      <c r="AP40" s="1310"/>
      <c r="AQ40" s="1934">
        <f t="shared" si="9"/>
        <v>0</v>
      </c>
      <c r="AR40" s="1729">
        <f t="shared" si="15"/>
        <v>0</v>
      </c>
      <c r="AS40" s="1729">
        <f t="shared" si="15"/>
        <v>34742.957873673491</v>
      </c>
      <c r="AT40" s="1007"/>
      <c r="AU40" s="1476">
        <v>1766.46</v>
      </c>
      <c r="AV40" s="1414"/>
      <c r="AW40" s="987"/>
      <c r="AX40" s="310">
        <v>0</v>
      </c>
      <c r="AY40" s="998"/>
      <c r="AZ40" s="2">
        <v>0</v>
      </c>
      <c r="BA40" s="2110">
        <v>0</v>
      </c>
      <c r="BB40" s="2110">
        <v>0</v>
      </c>
      <c r="BC40" s="2110">
        <v>0</v>
      </c>
      <c r="BD40" s="2111">
        <v>0</v>
      </c>
      <c r="BF40" s="987"/>
      <c r="BG40" s="987"/>
      <c r="BH40" s="987"/>
      <c r="BI40" s="987"/>
      <c r="BJ40" s="987"/>
      <c r="BK40" s="310"/>
      <c r="BL40" s="310"/>
      <c r="BM40" s="310"/>
      <c r="BN40" s="310"/>
      <c r="BO40" s="310"/>
      <c r="BP40" s="1041">
        <f>'May TCM'!LO38</f>
        <v>8.09</v>
      </c>
      <c r="BQ40" s="1042"/>
      <c r="BR40" s="1"/>
      <c r="BS40" s="1032">
        <f t="shared" si="11"/>
        <v>77099.497597480004</v>
      </c>
      <c r="BT40" s="1"/>
      <c r="BU40" s="1"/>
      <c r="BV40" s="1"/>
      <c r="BW40" s="1"/>
      <c r="BX40" s="1"/>
      <c r="BY40" s="1"/>
      <c r="BZ40" s="1"/>
      <c r="CA40" s="1"/>
      <c r="CB40" s="1"/>
      <c r="CC40" s="1"/>
      <c r="CD40" s="1"/>
      <c r="CE40" s="1"/>
      <c r="CF40" s="1"/>
      <c r="CG40" s="1"/>
      <c r="CH40" s="1"/>
      <c r="CI40" s="1"/>
      <c r="CJ40" s="1"/>
      <c r="CK40" s="1"/>
      <c r="CM40" s="1033">
        <v>29</v>
      </c>
      <c r="CN40" s="1">
        <f t="shared" si="12"/>
        <v>584.74</v>
      </c>
      <c r="CO40">
        <v>2605297569</v>
      </c>
      <c r="CQ40" s="412">
        <v>29</v>
      </c>
      <c r="CR40" s="1">
        <f t="shared" si="13"/>
        <v>0</v>
      </c>
    </row>
    <row r="41" spans="2:97" ht="15" thickBot="1">
      <c r="B41" s="990">
        <v>30</v>
      </c>
      <c r="C41" s="5">
        <f t="shared" si="1"/>
        <v>16889</v>
      </c>
      <c r="D41" s="488">
        <f t="shared" si="2"/>
        <v>284.42</v>
      </c>
      <c r="E41" s="1051">
        <f t="shared" si="3"/>
        <v>59.380493636171856</v>
      </c>
      <c r="F41" s="845"/>
      <c r="G41" s="64"/>
      <c r="H41" s="1034">
        <v>35</v>
      </c>
      <c r="I41" s="1034">
        <v>8.43</v>
      </c>
      <c r="N41" s="1054"/>
      <c r="O41" s="26">
        <v>16889</v>
      </c>
      <c r="P41" s="36"/>
      <c r="Q41" s="277">
        <f t="shared" si="4"/>
        <v>284.42</v>
      </c>
      <c r="R41" s="1227">
        <f t="shared" si="5"/>
        <v>284.42</v>
      </c>
      <c r="S41" s="53">
        <f t="shared" si="6"/>
        <v>59.380493636171856</v>
      </c>
      <c r="T41" s="33"/>
      <c r="U41" s="2023">
        <v>284.42</v>
      </c>
      <c r="V41" s="2024">
        <v>0</v>
      </c>
      <c r="W41" s="2024">
        <v>0</v>
      </c>
      <c r="X41" s="1038"/>
      <c r="Y41" s="1"/>
      <c r="Z41" s="847"/>
      <c r="AA41" s="1025">
        <v>8907.02</v>
      </c>
      <c r="AB41" s="1025">
        <v>8907.02</v>
      </c>
      <c r="AC41" s="1025">
        <v>0</v>
      </c>
      <c r="AD41" s="1025">
        <v>0</v>
      </c>
      <c r="AE41" s="1025" cm="1">
        <f t="array" ref="AE41">SUMPRODUCT(('DB Hauling TIS'!$C$2:$C$951="TIS-ROM SB1 BK05-ROM 6")*('DB Hauling TIS'!$H$2:$H$951="MPE")*ISNUMBER(SEARCH(TEXT('May TIS'!$B41,"00")&amp;"/04/2026",'DB Hauling TIS'!$E$2:$E$951))*'DB Hauling TIS'!$N$2:$N$951)</f>
        <v>0</v>
      </c>
      <c r="AF41" s="1025" cm="1">
        <f t="array" ref="AF41">SUMPRODUCT(('DB Hauling TIS'!$C$2:$C$951="TIS-ROM SB1 BK05-ROM 6")*('DB Hauling TIS'!$H$2:$H$951="RP")*ISNUMBER(SEARCH(TEXT('May TIS'!$B41,"00")&amp;"/04/2026",'DB Hauling TIS'!$E$2:$E$951))*'DB Hauling TIS'!$N$2:$N$951)</f>
        <v>0</v>
      </c>
      <c r="AG41" s="1025">
        <f t="shared" si="7"/>
        <v>0</v>
      </c>
      <c r="AH41" s="1025"/>
      <c r="AI41" s="1039"/>
      <c r="AJ41" s="1026">
        <f t="shared" si="8"/>
        <v>731.69488613999999</v>
      </c>
      <c r="AK41" s="1026">
        <f t="shared" si="14"/>
        <v>51027.020258610006</v>
      </c>
      <c r="AL41" s="1040">
        <f t="shared" si="0"/>
        <v>51758.715144750007</v>
      </c>
      <c r="AM41" s="1414"/>
      <c r="AN41" s="1414"/>
      <c r="AO41" s="1310"/>
      <c r="AP41" s="1310"/>
      <c r="AQ41" s="1934">
        <f t="shared" si="9"/>
        <v>0</v>
      </c>
      <c r="AR41" s="1729">
        <f t="shared" si="15"/>
        <v>0</v>
      </c>
      <c r="AS41" s="1729">
        <f t="shared" si="15"/>
        <v>32503.07787367349</v>
      </c>
      <c r="AT41" s="1007"/>
      <c r="AU41" s="1476">
        <v>2239.8799999999997</v>
      </c>
      <c r="AV41" s="1414"/>
      <c r="AW41" s="987"/>
      <c r="AX41" s="310">
        <v>8907.02</v>
      </c>
      <c r="AY41" s="998"/>
      <c r="AZ41" s="2">
        <v>7353.7543329978753</v>
      </c>
      <c r="BA41" s="2110">
        <v>1.4197081516269709</v>
      </c>
      <c r="BB41" s="2110">
        <v>2.5242815609974283</v>
      </c>
      <c r="BC41" s="2110">
        <v>5.1905356144470538</v>
      </c>
      <c r="BD41" s="2111">
        <v>10.289726778933245</v>
      </c>
      <c r="BF41" s="987"/>
      <c r="BG41" s="987"/>
      <c r="BH41" s="987"/>
      <c r="BI41" s="987"/>
      <c r="BJ41" s="987"/>
      <c r="BK41" s="310"/>
      <c r="BL41" s="310"/>
      <c r="BM41" s="310"/>
      <c r="BN41" s="310"/>
      <c r="BO41" s="310"/>
      <c r="BP41" s="1041">
        <f>'May TCM'!LO39</f>
        <v>7.79</v>
      </c>
      <c r="BQ41" s="275"/>
      <c r="BR41" s="1"/>
      <c r="BS41" s="1032">
        <f t="shared" si="11"/>
        <v>86006.517597480008</v>
      </c>
      <c r="BT41" s="1"/>
      <c r="BU41" s="1"/>
      <c r="BV41" s="1"/>
      <c r="BW41" s="1"/>
      <c r="BX41" s="1"/>
      <c r="BY41" s="1"/>
      <c r="BZ41" s="1"/>
      <c r="CA41" s="1"/>
      <c r="CB41" s="1"/>
      <c r="CC41" s="1"/>
      <c r="CD41" s="1"/>
      <c r="CE41" s="1"/>
      <c r="CF41" s="72"/>
      <c r="CG41" s="72"/>
      <c r="CH41" s="72"/>
      <c r="CI41" s="72"/>
      <c r="CJ41" s="72"/>
      <c r="CK41" s="72"/>
      <c r="CM41" s="1033">
        <v>30</v>
      </c>
      <c r="CN41" s="1">
        <f t="shared" si="12"/>
        <v>284.42</v>
      </c>
      <c r="CO41" s="1096">
        <v>2605307772</v>
      </c>
      <c r="CQ41" s="412">
        <v>30</v>
      </c>
      <c r="CR41" s="1">
        <f t="shared" si="13"/>
        <v>8907.02</v>
      </c>
      <c r="CS41">
        <v>26053012661</v>
      </c>
    </row>
    <row r="42" spans="2:97" ht="15" thickBot="1">
      <c r="B42" s="990">
        <v>31</v>
      </c>
      <c r="C42" s="1450">
        <f t="shared" si="1"/>
        <v>9971</v>
      </c>
      <c r="D42" s="7">
        <f>Q42+P42+AQ42</f>
        <v>332.78</v>
      </c>
      <c r="E42" s="1452">
        <f t="shared" si="3"/>
        <v>29.962738145321236</v>
      </c>
      <c r="F42" s="1453"/>
      <c r="G42" s="1454"/>
      <c r="H42" s="1455">
        <v>36</v>
      </c>
      <c r="I42" s="1455">
        <v>4.53</v>
      </c>
      <c r="J42" s="1456"/>
      <c r="K42" s="1457"/>
      <c r="L42" s="1457"/>
      <c r="M42" s="1457"/>
      <c r="N42" s="1458"/>
      <c r="O42" s="1459">
        <v>9971</v>
      </c>
      <c r="P42" s="1460"/>
      <c r="Q42" s="1935">
        <f t="shared" si="4"/>
        <v>332.78</v>
      </c>
      <c r="R42" s="1936">
        <f t="shared" si="5"/>
        <v>332.78</v>
      </c>
      <c r="S42" s="1056">
        <f t="shared" si="6"/>
        <v>29.962738145321236</v>
      </c>
      <c r="T42" s="1057"/>
      <c r="U42" s="2211">
        <v>332.78</v>
      </c>
      <c r="V42" s="2212">
        <v>0</v>
      </c>
      <c r="W42" s="2212">
        <v>0</v>
      </c>
      <c r="X42" s="1055"/>
      <c r="Y42" s="1"/>
      <c r="Z42" s="1059"/>
      <c r="AA42" s="2175">
        <v>9232.35</v>
      </c>
      <c r="AB42" s="1059">
        <v>9232.35</v>
      </c>
      <c r="AC42" s="1059">
        <v>0</v>
      </c>
      <c r="AD42" s="1059">
        <v>0</v>
      </c>
      <c r="AE42" s="1059" cm="1">
        <f t="array" ref="AE42">SUMPRODUCT(('DB Hauling TIS'!$C$2:$C$951="TIS-ROM SB1 BK05-ROM 6")*('DB Hauling TIS'!$H$2:$H$951="MPE")*ISNUMBER(SEARCH(TEXT('May TIS'!$B42,"00")&amp;"/04/2026",'DB Hauling TIS'!$E$2:$E$951))*'DB Hauling TIS'!$N$2:$N$951)</f>
        <v>0</v>
      </c>
      <c r="AF42" s="1059" cm="1">
        <f t="array" ref="AF42">SUMPRODUCT(('DB Hauling TIS'!$C$2:$C$951="TIS-ROM SB1 BK05-ROM 6")*('DB Hauling TIS'!$H$2:$H$951="RP")*ISNUMBER(SEARCH(TEXT('May TIS'!$B42,"00")&amp;"/04/2026",'DB Hauling TIS'!$E$2:$E$951))*'DB Hauling TIS'!$N$2:$N$951)</f>
        <v>0</v>
      </c>
      <c r="AG42" s="1059">
        <f t="shared" si="7"/>
        <v>0</v>
      </c>
      <c r="AH42" s="1059"/>
      <c r="AI42" s="1060"/>
      <c r="AJ42" s="1026">
        <f t="shared" si="8"/>
        <v>731.69488613999999</v>
      </c>
      <c r="AK42" s="1026">
        <f t="shared" si="14"/>
        <v>43408.910258610005</v>
      </c>
      <c r="AL42" s="1061">
        <f t="shared" si="0"/>
        <v>44140.605144750007</v>
      </c>
      <c r="AM42" s="1414"/>
      <c r="AN42" s="1414"/>
      <c r="AO42" s="1311"/>
      <c r="AP42" s="1311"/>
      <c r="AQ42" s="1937">
        <f t="shared" si="9"/>
        <v>0</v>
      </c>
      <c r="AR42" s="1730">
        <f t="shared" si="15"/>
        <v>0</v>
      </c>
      <c r="AS42" s="1729">
        <f t="shared" si="15"/>
        <v>31221.617873673491</v>
      </c>
      <c r="AT42" s="1377"/>
      <c r="AU42" s="1476">
        <v>1281.46</v>
      </c>
      <c r="AV42" s="1414"/>
      <c r="AW42" s="987"/>
      <c r="AX42" s="332">
        <v>9232.35</v>
      </c>
      <c r="AY42" s="1062"/>
      <c r="AZ42" s="2192">
        <v>7242.5786823781464</v>
      </c>
      <c r="BA42" s="2193">
        <v>1.3475993572576326</v>
      </c>
      <c r="BB42" s="2193">
        <v>2.9085902517407609</v>
      </c>
      <c r="BC42" s="2193">
        <v>5.8054215318693094</v>
      </c>
      <c r="BD42" s="2194">
        <v>9.671814720085699</v>
      </c>
      <c r="BF42" s="987"/>
      <c r="BG42" s="987"/>
      <c r="BH42" s="987"/>
      <c r="BI42" s="987"/>
      <c r="BJ42" s="987"/>
      <c r="BK42" s="332"/>
      <c r="BL42" s="332"/>
      <c r="BM42" s="332"/>
      <c r="BN42" s="332"/>
      <c r="BO42" s="332"/>
      <c r="BP42" s="1103">
        <f>'May TCM'!LO40</f>
        <v>7.45</v>
      </c>
      <c r="BQ42" s="332"/>
      <c r="BR42" s="1"/>
      <c r="BS42" s="1032">
        <f t="shared" si="11"/>
        <v>95238.867597480014</v>
      </c>
      <c r="BT42" s="1"/>
      <c r="BU42" s="1"/>
      <c r="BV42" s="1"/>
      <c r="BW42" s="1"/>
      <c r="BX42" s="1"/>
      <c r="BY42" s="1"/>
      <c r="BZ42" s="1"/>
      <c r="CA42" s="1"/>
      <c r="CB42" s="1"/>
      <c r="CC42" s="1"/>
      <c r="CD42" s="1"/>
      <c r="CE42" s="1"/>
      <c r="CF42" s="72"/>
      <c r="CG42" s="72"/>
      <c r="CH42" s="72"/>
      <c r="CI42" s="72"/>
      <c r="CJ42" s="72"/>
      <c r="CK42" s="72"/>
      <c r="CM42" s="1033">
        <v>31</v>
      </c>
      <c r="CN42" s="1">
        <f t="shared" si="12"/>
        <v>332.78</v>
      </c>
      <c r="CO42">
        <v>2605317964</v>
      </c>
      <c r="CQ42" s="412">
        <v>31</v>
      </c>
      <c r="CR42" s="1">
        <f t="shared" si="13"/>
        <v>9232.35</v>
      </c>
      <c r="CS42">
        <v>2606010006</v>
      </c>
    </row>
    <row r="43" spans="2:97">
      <c r="B43" s="307" t="s">
        <v>206</v>
      </c>
      <c r="C43" s="72">
        <f t="shared" si="1"/>
        <v>841664</v>
      </c>
      <c r="D43" s="95">
        <f>SUM(D12:D42)</f>
        <v>51709.299999999996</v>
      </c>
      <c r="E43" s="1065">
        <f>IFERROR(C43/D43,0)</f>
        <v>16.276839949486845</v>
      </c>
      <c r="H43" s="38">
        <f>SUM(H12:H42)</f>
        <v>479.5</v>
      </c>
      <c r="I43" s="1904">
        <f>SUM(I12:I42)</f>
        <v>106.6</v>
      </c>
      <c r="O43" s="72">
        <f>SUM(O12:O42)</f>
        <v>841664</v>
      </c>
      <c r="P43" s="72">
        <f>SUM(P12:P42)</f>
        <v>0</v>
      </c>
      <c r="Q43" s="72">
        <f>SUM(Q12:Q42)</f>
        <v>51709.299999999996</v>
      </c>
      <c r="R43" s="72">
        <f>SUM(R12:R42)</f>
        <v>51709.299999999996</v>
      </c>
      <c r="S43" s="72">
        <f>IFERROR(O43/Q43,0)</f>
        <v>16.276839949486845</v>
      </c>
      <c r="T43" s="72"/>
      <c r="U43" s="364">
        <f>SUM(U12:U42)</f>
        <v>46236.959999999992</v>
      </c>
      <c r="V43" s="307">
        <f>SUM(V12:V42)</f>
        <v>5472.34</v>
      </c>
      <c r="W43" s="364">
        <f>SUM(W12:W42)</f>
        <v>0</v>
      </c>
      <c r="X43" s="72">
        <f>SUM(X12:X42)</f>
        <v>0</v>
      </c>
      <c r="Y43" s="1"/>
      <c r="Z43" s="1068">
        <f t="shared" ref="Z43:AF43" si="16">SUM(Z12:Z42)</f>
        <v>0</v>
      </c>
      <c r="AA43" s="2152">
        <f t="shared" si="16"/>
        <v>83977.58</v>
      </c>
      <c r="AB43" s="1068">
        <f t="shared" si="16"/>
        <v>83977.58</v>
      </c>
      <c r="AC43" s="1068">
        <f t="shared" si="16"/>
        <v>0</v>
      </c>
      <c r="AD43" s="1068">
        <f t="shared" si="16"/>
        <v>0</v>
      </c>
      <c r="AE43" s="1068">
        <f t="shared" si="16"/>
        <v>0</v>
      </c>
      <c r="AF43" s="1068">
        <f t="shared" si="16"/>
        <v>0</v>
      </c>
      <c r="AG43" s="1068">
        <f t="shared" si="7"/>
        <v>0</v>
      </c>
      <c r="AH43" s="39"/>
      <c r="AI43" s="1068">
        <f>+AI42</f>
        <v>0</v>
      </c>
      <c r="AJ43" s="1068">
        <f>+AJ42</f>
        <v>731.69488613999999</v>
      </c>
      <c r="AK43" s="1068">
        <f>+AK42</f>
        <v>43408.910258610005</v>
      </c>
      <c r="AL43" s="1066">
        <f>AL42</f>
        <v>44140.605144750007</v>
      </c>
      <c r="AM43" s="1066"/>
      <c r="AN43" s="1066"/>
      <c r="AO43" s="1066">
        <f>SUM(AO12:AO42)</f>
        <v>0</v>
      </c>
      <c r="AP43" s="1362">
        <f>SUM(AP12:AP42)</f>
        <v>0</v>
      </c>
      <c r="AQ43" s="1066">
        <f>SUM(AQ12:AQ42)</f>
        <v>0</v>
      </c>
      <c r="AR43" s="1066">
        <f>+AR42</f>
        <v>0</v>
      </c>
      <c r="AS43" s="1066">
        <f>+AS42</f>
        <v>31221.617873673491</v>
      </c>
      <c r="AT43" s="1066"/>
      <c r="AU43" s="1376">
        <f>SUM(AU11:AU42)</f>
        <v>25267.839999999993</v>
      </c>
      <c r="AV43" s="1066"/>
      <c r="AX43" s="341">
        <f>SUM(AX12:AX42)</f>
        <v>83977.58</v>
      </c>
      <c r="AY43" s="72"/>
      <c r="AZ43" s="72" cm="1">
        <f t="array" ref="AZ43">IFERROR(SUMPRODUCT((AZ12:AZ42&lt;&gt;"")*AZ12:AZ42,$AX$12:$AX$42)/SUMIFS($AX$12:$AX$42,AZ12:AZ42,"&gt;"&amp;0),0)</f>
        <v>7227.2253756446589</v>
      </c>
      <c r="BA43" s="38" cm="1">
        <f t="array" ref="BA43">IFERROR(SUMPRODUCT((BA12:BA42&lt;&gt;"")*BA12:BA42,$AX$12:$AX$42)/SUMIFS($AX$12:$AX$42,BA12:BA42,"&gt;"&amp;0),0)</f>
        <v>1.3859744541237715</v>
      </c>
      <c r="BB43" s="38" cm="1">
        <f t="array" ref="BB43">IFERROR(SUMPRODUCT((BB12:BB42&lt;&gt;"")*BB12:BB42,$AX$12:$AX$42)/SUMIFS($AX$12:$AX$42,BB12:BB42,"&gt;"&amp;0),0)</f>
        <v>2.8049880342027529</v>
      </c>
      <c r="BC43" s="38" cm="1">
        <f t="array" ref="BC43">IFERROR(SUMPRODUCT((BC12:BC42&lt;&gt;"")*BC12:BC42,$AX$12:$AX$42)/SUMIFS($AX$12:$AX$42,BC12:BC42,"&gt;"&amp;0),0)</f>
        <v>5.6823202434051927</v>
      </c>
      <c r="BD43" s="38" cm="1">
        <f t="array" ref="BD43">IFERROR(SUMPRODUCT((BD12:BD42&lt;&gt;"")*BD12:BD42,$AX$12:$AX$42)/SUMIFS($AX$12:$AX$42,BD12:BD42,"&gt;"&amp;0),0)</f>
        <v>10.539568910849809</v>
      </c>
      <c r="BE43" s="38"/>
      <c r="BK43" s="72">
        <f>SUM(BK12:BK42)</f>
        <v>82782</v>
      </c>
      <c r="BL43" s="72">
        <f>SUM(BL12:BL42)</f>
        <v>10</v>
      </c>
      <c r="BM43" s="72">
        <f>SUM(BM12:BM42)</f>
        <v>3</v>
      </c>
      <c r="BN43" s="72">
        <f>SUM(BN12:BN42)</f>
        <v>1</v>
      </c>
      <c r="BO43" s="72">
        <f>SUM(BO12:BO42)</f>
        <v>8</v>
      </c>
      <c r="BP43" s="38">
        <f>AVERAGE(BP12:BP42)</f>
        <v>7.057096774193548</v>
      </c>
      <c r="BQ43" s="72">
        <f>SUM(BQ12:BQ42)</f>
        <v>0</v>
      </c>
      <c r="BR43" s="1"/>
      <c r="BS43" s="72">
        <f>+BS42</f>
        <v>95238.867597480014</v>
      </c>
      <c r="BT43" s="1"/>
      <c r="BU43" s="1"/>
      <c r="BV43" s="1"/>
      <c r="BW43" s="1"/>
      <c r="BX43" s="1"/>
      <c r="BY43" s="1"/>
      <c r="BZ43" s="1"/>
      <c r="CA43" s="1"/>
      <c r="CB43" s="1"/>
      <c r="CC43" s="1"/>
      <c r="CD43" s="1"/>
      <c r="CE43" s="1"/>
      <c r="CF43" s="72"/>
      <c r="CG43" s="72"/>
      <c r="CH43" s="72"/>
      <c r="CI43" s="72"/>
      <c r="CJ43" s="72"/>
      <c r="CK43" s="72"/>
      <c r="CO43" s="281"/>
    </row>
    <row r="44" spans="2:97">
      <c r="B44" s="307" t="s">
        <v>207</v>
      </c>
      <c r="C44" s="364">
        <f>C43</f>
        <v>841664</v>
      </c>
      <c r="D44" s="412">
        <f>D43</f>
        <v>51709.299999999996</v>
      </c>
      <c r="E44" s="347">
        <f>IFERROR(C44/D44,0)</f>
        <v>16.276839949486845</v>
      </c>
      <c r="H44" s="307">
        <f>H43</f>
        <v>479.5</v>
      </c>
      <c r="I44" s="364">
        <f>I43</f>
        <v>106.6</v>
      </c>
      <c r="O44" s="1">
        <v>824624.0797</v>
      </c>
      <c r="P44" s="95">
        <f>P43</f>
        <v>0</v>
      </c>
      <c r="Q44" s="95">
        <f>Q43</f>
        <v>51709.299999999996</v>
      </c>
      <c r="R44" s="95">
        <f>R43</f>
        <v>51709.299999999996</v>
      </c>
      <c r="S44" s="1067">
        <f>IFERROR(O44/Q44,0)</f>
        <v>15.947306958322779</v>
      </c>
      <c r="U44" s="1068">
        <f>U43</f>
        <v>46236.959999999992</v>
      </c>
      <c r="V44" s="1068">
        <f>V43</f>
        <v>5472.34</v>
      </c>
      <c r="W44" s="1068">
        <f>W43</f>
        <v>0</v>
      </c>
      <c r="X44" s="1">
        <f>X43</f>
        <v>0</v>
      </c>
      <c r="Y44" s="1"/>
      <c r="Z44" s="1068">
        <f t="shared" ref="Z44:AG44" si="17">Z43</f>
        <v>0</v>
      </c>
      <c r="AA44" s="1068">
        <f t="shared" si="17"/>
        <v>83977.58</v>
      </c>
      <c r="AB44" s="1068">
        <f t="shared" si="17"/>
        <v>83977.58</v>
      </c>
      <c r="AC44" s="1068">
        <f t="shared" si="17"/>
        <v>0</v>
      </c>
      <c r="AD44" s="1068">
        <f t="shared" si="17"/>
        <v>0</v>
      </c>
      <c r="AE44" s="1068">
        <f t="shared" si="17"/>
        <v>0</v>
      </c>
      <c r="AF44" s="1068">
        <f t="shared" si="17"/>
        <v>0</v>
      </c>
      <c r="AG44" s="1068">
        <f t="shared" si="17"/>
        <v>0</v>
      </c>
      <c r="AH44" s="1068"/>
      <c r="AI44" s="1068">
        <f>AI43</f>
        <v>0</v>
      </c>
      <c r="AJ44" s="1068">
        <v>731.69488613999999</v>
      </c>
      <c r="AK44" s="1068">
        <v>42401.838512669994</v>
      </c>
      <c r="AL44" s="1066">
        <f>AJ44+AK44</f>
        <v>43133.533398809996</v>
      </c>
      <c r="AM44" s="1066"/>
      <c r="AN44" s="1066"/>
      <c r="AO44" s="1066">
        <f>AO43</f>
        <v>0</v>
      </c>
      <c r="AP44" s="1066">
        <f>AP43</f>
        <v>0</v>
      </c>
      <c r="AQ44" s="1066">
        <f>AQ43</f>
        <v>0</v>
      </c>
      <c r="AR44" s="1066">
        <f>AR43</f>
        <v>0</v>
      </c>
      <c r="AS44" s="1066">
        <v>31221.617873673484</v>
      </c>
      <c r="AT44" s="1066"/>
      <c r="AU44" s="1362">
        <v>25267.84</v>
      </c>
      <c r="AV44" s="1066"/>
      <c r="AX44" s="72">
        <f>+AX43</f>
        <v>83977.58</v>
      </c>
      <c r="AY44" s="72"/>
      <c r="AZ44" s="72">
        <f>AZ43</f>
        <v>7227.2253756446589</v>
      </c>
      <c r="BA44" s="38">
        <f>BA43</f>
        <v>1.3859744541237715</v>
      </c>
      <c r="BB44" s="38">
        <f>BB43</f>
        <v>2.8049880342027529</v>
      </c>
      <c r="BC44" s="38">
        <f>BC43</f>
        <v>5.6823202434051927</v>
      </c>
      <c r="BD44" s="38">
        <f>BD43</f>
        <v>10.539568910849809</v>
      </c>
      <c r="BE44" s="38"/>
      <c r="BK44" s="72">
        <f t="shared" ref="BK44:BQ44" si="18">+BK43</f>
        <v>82782</v>
      </c>
      <c r="BL44" s="72">
        <f t="shared" si="18"/>
        <v>10</v>
      </c>
      <c r="BM44" s="72">
        <f t="shared" si="18"/>
        <v>3</v>
      </c>
      <c r="BN44" s="72">
        <f t="shared" si="18"/>
        <v>1</v>
      </c>
      <c r="BO44" s="72"/>
      <c r="BP44" s="38">
        <f t="shared" si="18"/>
        <v>7.057096774193548</v>
      </c>
      <c r="BQ44" s="72">
        <f t="shared" si="18"/>
        <v>0</v>
      </c>
      <c r="BR44" s="1"/>
      <c r="BS44" s="364">
        <v>98589.913847770003</v>
      </c>
      <c r="BT44" s="1"/>
      <c r="BU44" s="1"/>
      <c r="BV44" s="1"/>
      <c r="BW44" s="1"/>
      <c r="BX44" s="1"/>
      <c r="BY44" s="1"/>
      <c r="BZ44" s="1"/>
      <c r="CA44" s="1"/>
      <c r="CB44" s="1"/>
      <c r="CC44" s="1"/>
      <c r="CD44" s="1"/>
      <c r="CE44" s="1"/>
      <c r="CF44" s="72"/>
      <c r="CG44" s="72"/>
      <c r="CH44" s="72"/>
      <c r="CI44" s="72"/>
      <c r="CJ44" s="72"/>
      <c r="CK44" s="72"/>
      <c r="CO44" s="281"/>
    </row>
    <row r="45" spans="2:97">
      <c r="B45" s="312" t="s">
        <v>12</v>
      </c>
      <c r="C45" s="991">
        <f>O45</f>
        <v>1000000</v>
      </c>
      <c r="D45" s="1069">
        <f>R45</f>
        <v>63000</v>
      </c>
      <c r="E45" s="1231"/>
      <c r="F45" s="1069"/>
      <c r="G45" s="1069"/>
      <c r="H45" s="1069"/>
      <c r="I45" s="1069"/>
      <c r="J45" s="1069"/>
      <c r="K45" s="1069"/>
      <c r="L45" s="1069"/>
      <c r="M45" s="1069"/>
      <c r="N45" s="1069"/>
      <c r="O45" s="2166">
        <v>1000000</v>
      </c>
      <c r="P45" s="2166"/>
      <c r="Q45" s="2166"/>
      <c r="R45" s="2166">
        <v>63000</v>
      </c>
      <c r="S45" s="1070">
        <f>IFERROR(O45/Q45,0)</f>
        <v>0</v>
      </c>
      <c r="T45" s="1069"/>
      <c r="U45" s="1069"/>
      <c r="V45" s="1069"/>
      <c r="W45" s="1069"/>
      <c r="X45" s="1069"/>
      <c r="Y45" s="39"/>
      <c r="Z45" s="1071"/>
      <c r="AA45" s="1071"/>
      <c r="AB45" s="1071">
        <v>70000</v>
      </c>
      <c r="AC45" s="1071"/>
      <c r="AD45" s="1071"/>
      <c r="AE45" s="1071"/>
      <c r="AF45" s="1071"/>
      <c r="AG45" s="1071"/>
      <c r="AH45" s="1071"/>
      <c r="AI45" s="1071"/>
      <c r="AJ45" s="1071"/>
      <c r="AK45" s="1071"/>
      <c r="AL45" s="1072"/>
      <c r="AM45" s="1072"/>
      <c r="AN45" s="1072"/>
      <c r="AO45" s="1072"/>
      <c r="AP45" s="1072"/>
      <c r="AQ45" s="1072"/>
      <c r="AR45" s="1072"/>
      <c r="AS45" s="1072"/>
      <c r="AT45" s="1072"/>
      <c r="AU45" s="1072"/>
      <c r="AV45" s="1072"/>
      <c r="AW45" s="887"/>
      <c r="AX45" s="337">
        <v>70000</v>
      </c>
      <c r="AY45" s="337"/>
      <c r="AZ45" s="72">
        <v>6824.4902225997603</v>
      </c>
      <c r="BA45" s="38">
        <v>1.6046894421393501</v>
      </c>
      <c r="BB45" s="38">
        <v>2.9538162037923099</v>
      </c>
      <c r="BC45" s="38">
        <v>4.4327769749624304</v>
      </c>
      <c r="BD45" s="38">
        <v>9.2954142043572094</v>
      </c>
      <c r="BE45" s="38"/>
      <c r="BF45" s="887"/>
      <c r="BG45" s="887"/>
      <c r="BH45" s="887"/>
      <c r="BI45" s="887"/>
      <c r="BJ45" s="887"/>
      <c r="BK45" s="337">
        <v>105000</v>
      </c>
      <c r="BL45" s="308"/>
      <c r="BM45" s="308"/>
      <c r="BN45" s="308"/>
      <c r="BO45" s="308"/>
      <c r="BP45" s="308"/>
      <c r="BQ45" s="308"/>
      <c r="BR45" s="1073"/>
      <c r="BS45" s="308"/>
      <c r="BT45" s="1073"/>
      <c r="BU45" s="1073"/>
      <c r="BV45" s="1073"/>
      <c r="BW45" s="1073"/>
      <c r="BX45" s="1073"/>
      <c r="BY45" s="1073"/>
      <c r="BZ45" s="1073"/>
      <c r="CA45" s="1073"/>
      <c r="CB45" s="1073"/>
      <c r="CC45" s="1073"/>
      <c r="CD45" s="1073"/>
      <c r="CE45" s="1073"/>
      <c r="CF45" s="308"/>
      <c r="CG45" s="308"/>
      <c r="CH45" s="308"/>
      <c r="CI45" s="308"/>
      <c r="CJ45" s="308"/>
      <c r="CK45" s="308"/>
      <c r="CO45" s="1"/>
    </row>
    <row r="46" spans="2:97">
      <c r="B46" t="s">
        <v>208</v>
      </c>
      <c r="U46" s="39"/>
      <c r="V46" s="39"/>
      <c r="W46" s="39"/>
      <c r="AB46" s="1"/>
      <c r="AX46" s="110">
        <f>IFERROR(AX44/AX45,"")</f>
        <v>1.1996797142857143</v>
      </c>
      <c r="AY46" s="110"/>
      <c r="BK46" s="38">
        <f>IFERROR(BK44/BK45,"")</f>
        <v>0.78839999999999999</v>
      </c>
      <c r="BL46" s="38"/>
      <c r="BM46" s="38"/>
      <c r="BN46" s="38" t="str">
        <f t="shared" ref="BN46:BQ47" si="19">IFERROR(BN44/BN45,"")</f>
        <v/>
      </c>
      <c r="BO46" s="2151"/>
      <c r="BP46" s="38" t="str">
        <f t="shared" si="19"/>
        <v/>
      </c>
      <c r="BQ46" s="38" t="str">
        <f t="shared" si="19"/>
        <v/>
      </c>
      <c r="CF46" s="38"/>
      <c r="CG46" s="38"/>
      <c r="CH46" s="38"/>
      <c r="CI46" s="38"/>
      <c r="CJ46" s="38"/>
      <c r="CK46" s="38"/>
      <c r="CO46" s="887"/>
    </row>
    <row r="47" spans="2:97">
      <c r="R47" s="95">
        <f>R43+AU43</f>
        <v>76977.139999999985</v>
      </c>
      <c r="AX47" s="110">
        <f>IFERROR(AX45/AX46,"")</f>
        <v>58348.906934446073</v>
      </c>
      <c r="AY47" s="110"/>
      <c r="BK47" s="38">
        <f>IFERROR(BK45/BK46,"")</f>
        <v>133181.12633181128</v>
      </c>
      <c r="BL47" s="38"/>
      <c r="BM47" s="38"/>
      <c r="BN47" s="38" t="str">
        <f t="shared" si="19"/>
        <v/>
      </c>
      <c r="BO47" s="2151"/>
      <c r="BP47" s="38" t="str">
        <f t="shared" si="19"/>
        <v/>
      </c>
      <c r="BQ47" s="38" t="str">
        <f t="shared" si="19"/>
        <v/>
      </c>
      <c r="CF47" s="38"/>
      <c r="CG47" s="38"/>
      <c r="CH47" s="38"/>
      <c r="CI47" s="38"/>
      <c r="CJ47" s="38"/>
      <c r="CK47" s="38"/>
      <c r="CO47" s="281"/>
    </row>
    <row r="48" spans="2:97">
      <c r="O48" s="987"/>
      <c r="P48" s="1"/>
      <c r="BO48" s="281"/>
      <c r="CO48" s="281"/>
    </row>
    <row r="49" spans="4:93">
      <c r="D49" s="1"/>
      <c r="BO49" s="281"/>
      <c r="CO49" s="1"/>
    </row>
    <row r="50" spans="4:93">
      <c r="D50" s="1">
        <f>C45/31</f>
        <v>32258.064516129034</v>
      </c>
      <c r="S50" s="1"/>
      <c r="BO50" s="281"/>
      <c r="CO50" s="887"/>
    </row>
    <row r="51" spans="4:93">
      <c r="S51" s="1"/>
      <c r="BO51" s="281"/>
    </row>
    <row r="52" spans="4:93">
      <c r="S52" s="887"/>
      <c r="BO52" s="281"/>
    </row>
    <row r="53" spans="4:93">
      <c r="G53" s="887"/>
      <c r="H53" s="887"/>
      <c r="BO53" s="281"/>
    </row>
    <row r="54" spans="4:93">
      <c r="O54" s="887"/>
      <c r="P54" s="887"/>
      <c r="BO54" s="281"/>
    </row>
    <row r="55" spans="4:93">
      <c r="BO55" s="281"/>
    </row>
    <row r="56" spans="4:93">
      <c r="O56" s="887"/>
      <c r="P56" s="887"/>
      <c r="R56" s="887"/>
      <c r="BO56" s="281"/>
    </row>
    <row r="57" spans="4:93">
      <c r="G57" s="887"/>
      <c r="H57" s="987"/>
      <c r="O57" s="39"/>
      <c r="P57" s="39"/>
      <c r="Q57" s="39"/>
      <c r="R57" s="39"/>
      <c r="X57" s="39"/>
      <c r="Y57" s="39"/>
      <c r="Z57" s="39"/>
      <c r="AA57" s="39"/>
      <c r="AB57" s="39"/>
      <c r="AC57" s="39"/>
      <c r="AD57" s="39"/>
      <c r="AE57" s="39"/>
      <c r="AF57" s="39"/>
      <c r="AG57" s="39"/>
      <c r="AH57" s="39"/>
      <c r="AI57" s="39"/>
      <c r="AJ57" s="39"/>
      <c r="AK57" s="39"/>
      <c r="BO57" s="281"/>
    </row>
    <row r="58" spans="4:93">
      <c r="BN58" s="1"/>
      <c r="BO58" s="281"/>
    </row>
    <row r="59" spans="4:93">
      <c r="O59" s="987"/>
      <c r="P59" s="987"/>
      <c r="X59" s="987"/>
      <c r="Y59" s="987"/>
      <c r="Z59" s="987"/>
      <c r="AA59" s="987"/>
      <c r="AB59" s="987"/>
      <c r="AC59" s="987"/>
      <c r="AD59" s="987"/>
      <c r="AE59" s="987"/>
      <c r="AF59" s="987"/>
      <c r="AG59" s="987"/>
      <c r="AH59" s="987"/>
      <c r="AI59" s="987"/>
      <c r="AJ59" s="987"/>
      <c r="AK59" s="987"/>
      <c r="BO59" s="281"/>
    </row>
    <row r="60" spans="4:93">
      <c r="O60" s="987"/>
      <c r="P60" s="987"/>
      <c r="X60" s="987"/>
      <c r="Y60" s="987"/>
      <c r="Z60" s="987"/>
      <c r="AA60" s="987"/>
      <c r="AB60" s="987"/>
      <c r="AC60" s="987"/>
      <c r="AD60" s="987"/>
      <c r="AE60" s="987"/>
      <c r="AF60" s="987"/>
      <c r="AG60" s="987"/>
      <c r="AH60" s="987"/>
      <c r="AI60" s="987"/>
      <c r="AJ60" s="987"/>
      <c r="AK60" s="987"/>
      <c r="BO60" s="281"/>
    </row>
    <row r="61" spans="4:93">
      <c r="O61" s="987"/>
      <c r="P61" s="987"/>
      <c r="X61" s="987"/>
      <c r="Y61" s="987"/>
      <c r="Z61" s="987"/>
      <c r="AA61" s="987"/>
      <c r="AB61" s="987"/>
      <c r="AC61" s="987"/>
      <c r="AD61" s="987"/>
      <c r="AE61" s="987"/>
      <c r="AF61" s="987"/>
      <c r="AG61" s="987"/>
      <c r="AH61" s="987"/>
      <c r="AI61" s="987"/>
      <c r="AJ61" s="987"/>
      <c r="AK61" s="987"/>
      <c r="BO61" s="281"/>
    </row>
    <row r="62" spans="4:93">
      <c r="O62" s="987"/>
      <c r="P62" s="987"/>
      <c r="X62" s="987"/>
      <c r="Y62" s="987"/>
      <c r="Z62" s="987"/>
      <c r="AA62" s="987"/>
      <c r="AB62" s="987"/>
      <c r="AC62" s="987"/>
      <c r="AD62" s="987"/>
      <c r="AE62" s="987"/>
      <c r="AF62" s="987"/>
      <c r="AG62" s="987"/>
      <c r="AH62" s="987"/>
      <c r="AI62" s="987"/>
      <c r="AJ62" s="987"/>
      <c r="AK62" s="987"/>
      <c r="BO62" s="281"/>
    </row>
    <row r="63" spans="4:93">
      <c r="O63" s="987"/>
      <c r="P63" s="987"/>
      <c r="X63" s="987"/>
      <c r="Y63" s="987"/>
      <c r="Z63" s="987"/>
      <c r="AA63" s="987"/>
      <c r="AB63" s="987"/>
      <c r="AC63" s="987"/>
      <c r="AD63" s="987"/>
      <c r="AE63" s="987"/>
      <c r="AF63" s="987"/>
      <c r="AG63" s="987"/>
      <c r="AH63" s="987"/>
      <c r="AI63" s="987"/>
      <c r="AJ63" s="987"/>
      <c r="AK63" s="987"/>
      <c r="BO63" s="281"/>
    </row>
    <row r="64" spans="4:93">
      <c r="O64" s="987"/>
      <c r="P64" s="987"/>
      <c r="X64" s="987"/>
      <c r="Y64" s="987"/>
      <c r="Z64" s="987"/>
      <c r="AA64" s="987"/>
      <c r="AB64" s="987"/>
      <c r="AC64" s="987"/>
      <c r="AD64" s="987"/>
      <c r="AE64" s="987"/>
      <c r="AF64" s="987"/>
      <c r="AG64" s="987"/>
      <c r="AH64" s="987"/>
      <c r="AI64" s="987"/>
      <c r="AJ64" s="987"/>
      <c r="AK64" s="987"/>
      <c r="BO64" s="281"/>
    </row>
    <row r="65" spans="15:67">
      <c r="O65" s="987"/>
      <c r="P65" s="987"/>
      <c r="X65" s="987"/>
      <c r="Y65" s="987"/>
      <c r="Z65" s="987"/>
      <c r="AA65" s="987"/>
      <c r="AB65" s="987"/>
      <c r="AC65" s="987"/>
      <c r="AD65" s="987"/>
      <c r="AE65" s="987"/>
      <c r="AF65" s="987"/>
      <c r="AG65" s="987"/>
      <c r="AH65" s="987"/>
      <c r="AI65" s="987"/>
      <c r="AJ65" s="987"/>
      <c r="AK65" s="987"/>
      <c r="BO65" s="281"/>
    </row>
    <row r="66" spans="15:67">
      <c r="O66" s="987"/>
      <c r="P66" s="987"/>
      <c r="X66" s="987"/>
      <c r="Y66" s="987"/>
      <c r="Z66" s="987"/>
      <c r="AA66" s="987"/>
      <c r="AB66" s="987"/>
      <c r="AC66" s="987"/>
      <c r="AD66" s="987"/>
      <c r="AE66" s="987"/>
      <c r="AF66" s="987"/>
      <c r="AG66" s="987"/>
      <c r="AH66" s="987"/>
      <c r="AI66" s="987"/>
      <c r="AJ66" s="987"/>
      <c r="AK66" s="987"/>
      <c r="BO66" s="281"/>
    </row>
    <row r="67" spans="15:67">
      <c r="O67" s="987"/>
      <c r="P67" s="987"/>
      <c r="X67" s="987"/>
      <c r="Y67" s="987"/>
      <c r="Z67" s="987"/>
      <c r="AA67" s="987"/>
      <c r="AB67" s="987"/>
      <c r="AC67" s="987"/>
      <c r="AD67" s="987"/>
      <c r="AE67" s="987"/>
      <c r="AF67" s="987"/>
      <c r="AG67" s="987"/>
      <c r="AH67" s="987"/>
      <c r="AI67" s="987"/>
      <c r="AJ67" s="987"/>
      <c r="AK67" s="987"/>
      <c r="BO67" s="281"/>
    </row>
    <row r="68" spans="15:67" ht="14.4" hidden="1" customHeight="1">
      <c r="O68" s="987"/>
      <c r="P68" s="987"/>
      <c r="X68" s="987"/>
      <c r="Y68" s="987"/>
      <c r="Z68" s="987"/>
      <c r="AA68" s="987"/>
      <c r="AB68" s="987"/>
      <c r="AC68" s="987"/>
      <c r="AD68" s="987"/>
      <c r="AE68" s="987"/>
      <c r="AF68" s="987"/>
      <c r="AG68" s="987"/>
      <c r="AH68" s="987"/>
      <c r="AI68" s="987"/>
      <c r="AJ68" s="987"/>
      <c r="AK68" s="987"/>
      <c r="BO68" s="281">
        <v>64344</v>
      </c>
    </row>
    <row r="69" spans="15:67" hidden="1">
      <c r="O69" s="987"/>
      <c r="P69" s="987"/>
      <c r="X69" s="987"/>
      <c r="Y69" s="987"/>
      <c r="Z69" s="987"/>
      <c r="AA69" s="987"/>
      <c r="AB69" s="987"/>
      <c r="AC69" s="987"/>
      <c r="AD69" s="987"/>
      <c r="AE69" s="987"/>
      <c r="AF69" s="987"/>
      <c r="AG69" s="987"/>
      <c r="AH69" s="987"/>
      <c r="AI69" s="987"/>
      <c r="AJ69" s="987"/>
      <c r="AK69" s="987"/>
    </row>
    <row r="70" spans="15:67" hidden="1">
      <c r="O70" s="987"/>
      <c r="P70" s="987"/>
      <c r="X70" s="987"/>
      <c r="Y70" s="987"/>
      <c r="Z70" s="987"/>
      <c r="AA70" s="987"/>
      <c r="AB70" s="987"/>
      <c r="AC70" s="987"/>
      <c r="AD70" s="987"/>
      <c r="AE70" s="987"/>
      <c r="AF70" s="987"/>
      <c r="AG70" s="987"/>
      <c r="AH70" s="987"/>
      <c r="AI70" s="987"/>
      <c r="AJ70" s="987"/>
      <c r="AK70" s="987"/>
    </row>
    <row r="71" spans="15:67" hidden="1">
      <c r="O71" s="987"/>
      <c r="P71" s="987"/>
      <c r="X71" s="987"/>
      <c r="Y71" s="987"/>
      <c r="Z71" s="987"/>
      <c r="AA71" s="987"/>
      <c r="AB71" s="987"/>
      <c r="AC71" s="987"/>
      <c r="AD71" s="987"/>
      <c r="AE71" s="987"/>
      <c r="AF71" s="987"/>
      <c r="AG71" s="987"/>
      <c r="AH71" s="987"/>
      <c r="AI71" s="987"/>
      <c r="AJ71" s="987"/>
      <c r="AK71" s="987"/>
    </row>
    <row r="72" spans="15:67" hidden="1">
      <c r="O72" s="987"/>
      <c r="P72" s="987"/>
      <c r="X72" s="987"/>
      <c r="Y72" s="987"/>
      <c r="Z72" s="987"/>
      <c r="AA72" s="987"/>
      <c r="AB72" s="987"/>
      <c r="AC72" s="987"/>
      <c r="AD72" s="987"/>
      <c r="AE72" s="987"/>
      <c r="AF72" s="987"/>
      <c r="AG72" s="987"/>
      <c r="AH72" s="987"/>
      <c r="AI72" s="987"/>
      <c r="AJ72" s="987"/>
      <c r="AK72" s="987"/>
    </row>
    <row r="73" spans="15:67" hidden="1">
      <c r="O73" s="987"/>
      <c r="P73" s="987"/>
      <c r="X73" s="987"/>
      <c r="Y73" s="987"/>
      <c r="Z73" s="987"/>
      <c r="AA73" s="987"/>
      <c r="AB73" s="987"/>
      <c r="AC73" s="987"/>
      <c r="AD73" s="987"/>
      <c r="AE73" s="987"/>
      <c r="AF73" s="987"/>
      <c r="AG73" s="987"/>
      <c r="AH73" s="987"/>
      <c r="AI73" s="987"/>
      <c r="AJ73" s="987"/>
      <c r="AK73" s="987"/>
    </row>
    <row r="74" spans="15:67" hidden="1">
      <c r="O74" s="987"/>
      <c r="P74" s="987"/>
      <c r="X74" s="987"/>
      <c r="Y74" s="987"/>
      <c r="Z74" s="987"/>
      <c r="AA74" s="987"/>
      <c r="AB74" s="987"/>
      <c r="AC74" s="987"/>
      <c r="AD74" s="987"/>
      <c r="AE74" s="987"/>
      <c r="AF74" s="987"/>
      <c r="AG74" s="987"/>
      <c r="AH74" s="987"/>
      <c r="AI74" s="987"/>
      <c r="AJ74" s="987"/>
      <c r="AK74" s="987"/>
    </row>
    <row r="75" spans="15:67" hidden="1">
      <c r="O75" s="987"/>
      <c r="P75" s="987"/>
      <c r="X75" s="987"/>
      <c r="Y75" s="987"/>
      <c r="Z75" s="987"/>
      <c r="AA75" s="987"/>
      <c r="AB75" s="987"/>
      <c r="AC75" s="987"/>
      <c r="AD75" s="987"/>
      <c r="AE75" s="987"/>
      <c r="AF75" s="987"/>
      <c r="AG75" s="987"/>
      <c r="AH75" s="987"/>
      <c r="AI75" s="987"/>
      <c r="AJ75" s="987"/>
      <c r="AK75" s="987"/>
    </row>
    <row r="76" spans="15:67" hidden="1">
      <c r="O76" s="987"/>
      <c r="P76" s="987"/>
      <c r="X76" s="987"/>
      <c r="Y76" s="987"/>
      <c r="Z76" s="987"/>
      <c r="AA76" s="987"/>
      <c r="AB76" s="987"/>
      <c r="AC76" s="987"/>
      <c r="AD76" s="987"/>
      <c r="AE76" s="987"/>
      <c r="AF76" s="987"/>
      <c r="AG76" s="987"/>
      <c r="AH76" s="987"/>
      <c r="AI76" s="987"/>
      <c r="AJ76" s="987"/>
      <c r="AK76" s="987"/>
    </row>
    <row r="77" spans="15:67" hidden="1">
      <c r="O77" s="987"/>
      <c r="P77" s="987"/>
      <c r="X77" s="987"/>
      <c r="Y77" s="987"/>
      <c r="Z77" s="987"/>
      <c r="AA77" s="987"/>
      <c r="AB77" s="987"/>
      <c r="AC77" s="987"/>
      <c r="AD77" s="987"/>
      <c r="AE77" s="987"/>
      <c r="AF77" s="987"/>
      <c r="AG77" s="987"/>
      <c r="AH77" s="987"/>
      <c r="AI77" s="987"/>
      <c r="AJ77" s="987"/>
      <c r="AK77" s="987"/>
    </row>
    <row r="78" spans="15:67" hidden="1">
      <c r="O78" s="987"/>
      <c r="P78" s="987"/>
      <c r="X78" s="987"/>
      <c r="Y78" s="987"/>
      <c r="Z78" s="987"/>
      <c r="AA78" s="987"/>
      <c r="AB78" s="987"/>
      <c r="AC78" s="987"/>
      <c r="AD78" s="987"/>
      <c r="AE78" s="987"/>
      <c r="AF78" s="987"/>
      <c r="AG78" s="987"/>
      <c r="AH78" s="987"/>
      <c r="AI78" s="987"/>
      <c r="AJ78" s="987"/>
      <c r="AK78" s="987"/>
    </row>
    <row r="79" spans="15:67" hidden="1">
      <c r="O79" s="987"/>
      <c r="P79" s="987"/>
      <c r="X79" s="987"/>
      <c r="Y79" s="987"/>
      <c r="Z79" s="987"/>
      <c r="AA79" s="987"/>
      <c r="AB79" s="987"/>
      <c r="AC79" s="987"/>
      <c r="AD79" s="987"/>
      <c r="AE79" s="987"/>
      <c r="AF79" s="987"/>
      <c r="AG79" s="987"/>
      <c r="AH79" s="987"/>
      <c r="AI79" s="987"/>
      <c r="AJ79" s="987"/>
      <c r="AK79" s="987"/>
    </row>
    <row r="80" spans="15:67" hidden="1">
      <c r="O80" s="987"/>
      <c r="P80" s="987"/>
      <c r="X80" s="987"/>
      <c r="Y80" s="987"/>
      <c r="Z80" s="987"/>
      <c r="AA80" s="987"/>
      <c r="AB80" s="987"/>
      <c r="AC80" s="987"/>
      <c r="AD80" s="987"/>
      <c r="AE80" s="987"/>
      <c r="AF80" s="987"/>
      <c r="AG80" s="987"/>
      <c r="AH80" s="987"/>
      <c r="AI80" s="987"/>
      <c r="AJ80" s="987"/>
      <c r="AK80" s="987"/>
    </row>
    <row r="81" spans="15:37" hidden="1">
      <c r="O81" s="987"/>
      <c r="P81" s="987"/>
      <c r="X81" s="987"/>
      <c r="Y81" s="987"/>
      <c r="Z81" s="987"/>
      <c r="AA81" s="987"/>
      <c r="AB81" s="987"/>
      <c r="AC81" s="987"/>
      <c r="AD81" s="987"/>
      <c r="AE81" s="987"/>
      <c r="AF81" s="987"/>
      <c r="AG81" s="987"/>
      <c r="AH81" s="987"/>
      <c r="AI81" s="987"/>
      <c r="AJ81" s="987"/>
      <c r="AK81" s="987"/>
    </row>
    <row r="82" spans="15:37" hidden="1">
      <c r="O82" s="987"/>
      <c r="P82" s="987"/>
      <c r="X82" s="987"/>
      <c r="Y82" s="987"/>
      <c r="Z82" s="987"/>
      <c r="AA82" s="987"/>
      <c r="AB82" s="987"/>
      <c r="AC82" s="987"/>
      <c r="AD82" s="987"/>
      <c r="AE82" s="987"/>
      <c r="AF82" s="987"/>
      <c r="AG82" s="987"/>
      <c r="AH82" s="987"/>
      <c r="AI82" s="987"/>
      <c r="AJ82" s="987"/>
      <c r="AK82" s="987"/>
    </row>
    <row r="83" spans="15:37" hidden="1">
      <c r="O83" s="987"/>
      <c r="P83" s="987"/>
      <c r="X83" s="987"/>
      <c r="Y83" s="987"/>
      <c r="Z83" s="987"/>
      <c r="AA83" s="987"/>
      <c r="AB83" s="987"/>
      <c r="AC83" s="987"/>
      <c r="AD83" s="987"/>
      <c r="AE83" s="987"/>
      <c r="AF83" s="987"/>
      <c r="AG83" s="987"/>
      <c r="AH83" s="987"/>
      <c r="AI83" s="987"/>
      <c r="AJ83" s="987"/>
      <c r="AK83" s="987"/>
    </row>
    <row r="84" spans="15:37" hidden="1">
      <c r="O84" s="987"/>
      <c r="P84" s="987"/>
      <c r="X84" s="987"/>
      <c r="Y84" s="987"/>
      <c r="Z84" s="987"/>
      <c r="AA84" s="987"/>
      <c r="AB84" s="987"/>
      <c r="AC84" s="987"/>
      <c r="AD84" s="987"/>
      <c r="AE84" s="987"/>
      <c r="AF84" s="987"/>
      <c r="AG84" s="987"/>
      <c r="AH84" s="987"/>
      <c r="AI84" s="987"/>
      <c r="AJ84" s="987"/>
      <c r="AK84" s="987"/>
    </row>
    <row r="85" spans="15:37" hidden="1">
      <c r="O85" s="987"/>
      <c r="P85" s="987"/>
      <c r="X85" s="987"/>
      <c r="Y85" s="987"/>
      <c r="Z85" s="987"/>
      <c r="AA85" s="987"/>
      <c r="AB85" s="987"/>
      <c r="AC85" s="987"/>
      <c r="AD85" s="987"/>
      <c r="AE85" s="987"/>
      <c r="AF85" s="987"/>
      <c r="AG85" s="987"/>
      <c r="AH85" s="987"/>
      <c r="AI85" s="987"/>
      <c r="AJ85" s="987"/>
      <c r="AK85" s="987"/>
    </row>
    <row r="86" spans="15:37" hidden="1">
      <c r="O86" s="987"/>
      <c r="P86" s="987"/>
      <c r="X86" s="987"/>
      <c r="Y86" s="987"/>
      <c r="Z86" s="987"/>
      <c r="AA86" s="987"/>
      <c r="AB86" s="987"/>
      <c r="AC86" s="987"/>
      <c r="AD86" s="987"/>
      <c r="AE86" s="987"/>
      <c r="AF86" s="987"/>
      <c r="AG86" s="987"/>
      <c r="AH86" s="987"/>
      <c r="AI86" s="987"/>
      <c r="AJ86" s="987"/>
      <c r="AK86" s="987"/>
    </row>
    <row r="87" spans="15:37" hidden="1">
      <c r="O87" s="987"/>
      <c r="P87" s="987"/>
      <c r="X87" s="987"/>
      <c r="Y87" s="987"/>
      <c r="Z87" s="987"/>
      <c r="AA87" s="987"/>
      <c r="AB87" s="987"/>
      <c r="AC87" s="987"/>
      <c r="AD87" s="987"/>
      <c r="AE87" s="987"/>
      <c r="AF87" s="987"/>
      <c r="AG87" s="987"/>
      <c r="AH87" s="987"/>
      <c r="AI87" s="987"/>
      <c r="AJ87" s="987"/>
      <c r="AK87" s="987"/>
    </row>
    <row r="88" spans="15:37" hidden="1">
      <c r="O88" s="987"/>
      <c r="P88" s="987"/>
      <c r="X88" s="987"/>
      <c r="Y88" s="987"/>
      <c r="Z88" s="987"/>
      <c r="AA88" s="987"/>
      <c r="AB88" s="987"/>
      <c r="AC88" s="987"/>
      <c r="AD88" s="987"/>
      <c r="AE88" s="987"/>
      <c r="AF88" s="987"/>
      <c r="AG88" s="987"/>
      <c r="AH88" s="987"/>
      <c r="AI88" s="987"/>
      <c r="AJ88" s="987"/>
      <c r="AK88" s="987"/>
    </row>
    <row r="89" spans="15:37" hidden="1"/>
    <row r="90" spans="15:37" hidden="1"/>
    <row r="91" spans="15:37" hidden="1"/>
    <row r="92" spans="15:37" hidden="1"/>
    <row r="93" spans="15:37" hidden="1"/>
    <row r="94" spans="15:37" hidden="1"/>
    <row r="95" spans="15:37" hidden="1"/>
    <row r="96" spans="15:37" hidden="1"/>
    <row r="97" spans="2:37" hidden="1"/>
    <row r="98" spans="2:37" hidden="1"/>
    <row r="99" spans="2:37" hidden="1">
      <c r="O99" s="39">
        <v>9677.4193548387102</v>
      </c>
      <c r="P99" s="39"/>
      <c r="Q99" s="39">
        <v>347.15938203065798</v>
      </c>
      <c r="R99" s="39"/>
      <c r="X99" s="39"/>
      <c r="Y99" s="39"/>
      <c r="Z99" s="39"/>
      <c r="AA99" s="39"/>
      <c r="AB99" s="39"/>
      <c r="AC99" s="39"/>
      <c r="AD99" s="39"/>
      <c r="AE99" s="39"/>
      <c r="AF99" s="39"/>
      <c r="AG99" s="39"/>
      <c r="AH99" s="39"/>
      <c r="AI99" s="39"/>
      <c r="AJ99" s="39"/>
      <c r="AK99" s="39"/>
    </row>
    <row r="100" spans="2:37" hidden="1">
      <c r="B100">
        <v>1</v>
      </c>
      <c r="C100" t="e">
        <f>SUM(O100,#REF!,#REF!)</f>
        <v>#REF!</v>
      </c>
      <c r="D100" t="e">
        <f>SUM(Q100,#REF!,X100)</f>
        <v>#REF!</v>
      </c>
      <c r="N100">
        <v>1</v>
      </c>
      <c r="O100">
        <f>O99</f>
        <v>9677.4193548387102</v>
      </c>
    </row>
    <row r="101" spans="2:37" hidden="1">
      <c r="B101">
        <v>2</v>
      </c>
      <c r="C101" t="e">
        <f>SUM(O101,#REF!,#REF!)</f>
        <v>#REF!</v>
      </c>
      <c r="D101" t="e">
        <f>SUM(Q101,#REF!,X101)</f>
        <v>#REF!</v>
      </c>
      <c r="N101">
        <v>2</v>
      </c>
      <c r="O101">
        <f t="shared" ref="O101:O130" si="20">O100+($O$99)</f>
        <v>19354.83870967742</v>
      </c>
    </row>
    <row r="102" spans="2:37" hidden="1">
      <c r="B102">
        <v>3</v>
      </c>
      <c r="C102" t="e">
        <f>SUM(O102,#REF!,#REF!)</f>
        <v>#REF!</v>
      </c>
      <c r="D102" t="e">
        <f>SUM(Q102,#REF!,X102)</f>
        <v>#REF!</v>
      </c>
      <c r="N102">
        <v>3</v>
      </c>
      <c r="O102">
        <f t="shared" si="20"/>
        <v>29032.258064516129</v>
      </c>
    </row>
    <row r="103" spans="2:37" hidden="1">
      <c r="B103">
        <v>4</v>
      </c>
      <c r="C103" t="e">
        <f>SUM(O103,#REF!,#REF!)</f>
        <v>#REF!</v>
      </c>
      <c r="D103" t="e">
        <f>SUM(Q103,#REF!,X103)</f>
        <v>#REF!</v>
      </c>
      <c r="N103">
        <v>4</v>
      </c>
      <c r="O103">
        <f t="shared" si="20"/>
        <v>38709.677419354841</v>
      </c>
    </row>
    <row r="104" spans="2:37" hidden="1">
      <c r="B104">
        <v>5</v>
      </c>
      <c r="C104" t="e">
        <f>SUM(O104,#REF!,#REF!)</f>
        <v>#REF!</v>
      </c>
      <c r="D104" t="e">
        <f>SUM(Q104,#REF!,X104)</f>
        <v>#REF!</v>
      </c>
      <c r="N104">
        <v>5</v>
      </c>
      <c r="O104">
        <f t="shared" si="20"/>
        <v>48387.096774193553</v>
      </c>
    </row>
    <row r="105" spans="2:37" hidden="1">
      <c r="B105">
        <v>6</v>
      </c>
      <c r="C105" t="e">
        <f>SUM(O105,#REF!,#REF!)</f>
        <v>#REF!</v>
      </c>
      <c r="D105" t="e">
        <f>SUM(Q105,#REF!,X105)</f>
        <v>#REF!</v>
      </c>
      <c r="N105">
        <v>6</v>
      </c>
      <c r="O105">
        <f t="shared" si="20"/>
        <v>58064.516129032265</v>
      </c>
    </row>
    <row r="106" spans="2:37" hidden="1">
      <c r="B106">
        <v>7</v>
      </c>
      <c r="C106" t="e">
        <f>SUM(O106,#REF!,#REF!)</f>
        <v>#REF!</v>
      </c>
      <c r="D106" t="e">
        <f>SUM(Q106,#REF!,X106)</f>
        <v>#REF!</v>
      </c>
      <c r="N106">
        <v>7</v>
      </c>
      <c r="O106">
        <f t="shared" si="20"/>
        <v>67741.93548387097</v>
      </c>
    </row>
    <row r="107" spans="2:37" hidden="1">
      <c r="B107">
        <v>8</v>
      </c>
      <c r="C107" t="e">
        <f>SUM(O107,#REF!,#REF!)</f>
        <v>#REF!</v>
      </c>
      <c r="D107" t="e">
        <f>SUM(Q107,#REF!,X107)</f>
        <v>#REF!</v>
      </c>
      <c r="N107">
        <v>8</v>
      </c>
      <c r="O107">
        <f t="shared" si="20"/>
        <v>77419.354838709682</v>
      </c>
    </row>
    <row r="108" spans="2:37" hidden="1">
      <c r="B108">
        <v>9</v>
      </c>
      <c r="C108" t="e">
        <f>SUM(O108,#REF!,#REF!)</f>
        <v>#REF!</v>
      </c>
      <c r="D108" t="e">
        <f>SUM(Q108,#REF!,X108)</f>
        <v>#REF!</v>
      </c>
      <c r="N108">
        <v>9</v>
      </c>
      <c r="O108">
        <f t="shared" si="20"/>
        <v>87096.774193548394</v>
      </c>
    </row>
    <row r="109" spans="2:37" hidden="1">
      <c r="B109">
        <v>10</v>
      </c>
      <c r="C109" t="e">
        <f>SUM(O109,#REF!,#REF!)</f>
        <v>#REF!</v>
      </c>
      <c r="D109" t="e">
        <f>SUM(Q109,#REF!,X109)</f>
        <v>#REF!</v>
      </c>
      <c r="N109">
        <v>10</v>
      </c>
      <c r="O109">
        <f t="shared" si="20"/>
        <v>96774.193548387106</v>
      </c>
    </row>
    <row r="110" spans="2:37" hidden="1">
      <c r="B110">
        <v>11</v>
      </c>
      <c r="C110" t="e">
        <f>SUM(O110,#REF!,#REF!)</f>
        <v>#REF!</v>
      </c>
      <c r="D110" t="e">
        <f>SUM(Q110,#REF!,X110)</f>
        <v>#REF!</v>
      </c>
      <c r="N110">
        <v>11</v>
      </c>
      <c r="O110">
        <f t="shared" si="20"/>
        <v>106451.61290322582</v>
      </c>
    </row>
    <row r="111" spans="2:37" hidden="1">
      <c r="B111">
        <v>12</v>
      </c>
      <c r="C111" t="e">
        <f>SUM(O111,#REF!,#REF!)</f>
        <v>#REF!</v>
      </c>
      <c r="D111" t="e">
        <f>SUM(Q111,#REF!,X111)</f>
        <v>#REF!</v>
      </c>
      <c r="N111">
        <v>12</v>
      </c>
      <c r="O111">
        <f t="shared" si="20"/>
        <v>116129.03225806453</v>
      </c>
    </row>
    <row r="112" spans="2:37" hidden="1">
      <c r="B112">
        <v>13</v>
      </c>
      <c r="C112" t="e">
        <f>SUM(O112,#REF!,#REF!)</f>
        <v>#REF!</v>
      </c>
      <c r="D112" t="e">
        <f>SUM(Q112,#REF!,X112)</f>
        <v>#REF!</v>
      </c>
      <c r="N112">
        <v>13</v>
      </c>
      <c r="O112">
        <f t="shared" si="20"/>
        <v>125806.45161290324</v>
      </c>
    </row>
    <row r="113" spans="2:15" hidden="1">
      <c r="B113">
        <v>14</v>
      </c>
      <c r="C113" t="e">
        <f>SUM(O113,#REF!,#REF!)</f>
        <v>#REF!</v>
      </c>
      <c r="D113" t="e">
        <f>SUM(Q113,#REF!,X113)</f>
        <v>#REF!</v>
      </c>
      <c r="N113">
        <v>14</v>
      </c>
      <c r="O113">
        <f t="shared" si="20"/>
        <v>135483.87096774194</v>
      </c>
    </row>
    <row r="114" spans="2:15" hidden="1">
      <c r="B114">
        <v>15</v>
      </c>
      <c r="C114" t="e">
        <f>SUM(O114,#REF!,#REF!)</f>
        <v>#REF!</v>
      </c>
      <c r="D114" t="e">
        <f>SUM(Q114,#REF!,X114)</f>
        <v>#REF!</v>
      </c>
      <c r="N114">
        <v>15</v>
      </c>
      <c r="O114">
        <f t="shared" si="20"/>
        <v>145161.29032258064</v>
      </c>
    </row>
    <row r="115" spans="2:15" hidden="1">
      <c r="B115">
        <v>16</v>
      </c>
      <c r="C115" t="e">
        <f>SUM(O115,#REF!,#REF!)</f>
        <v>#REF!</v>
      </c>
      <c r="D115" t="e">
        <f>SUM(Q115,#REF!,X115)</f>
        <v>#REF!</v>
      </c>
      <c r="N115">
        <v>16</v>
      </c>
      <c r="O115">
        <f t="shared" si="20"/>
        <v>154838.70967741933</v>
      </c>
    </row>
    <row r="116" spans="2:15" hidden="1">
      <c r="B116">
        <v>17</v>
      </c>
      <c r="C116" t="e">
        <f>SUM(O116,#REF!,#REF!)</f>
        <v>#REF!</v>
      </c>
      <c r="D116" t="e">
        <f>SUM(Q116,#REF!,X116)</f>
        <v>#REF!</v>
      </c>
      <c r="N116">
        <v>17</v>
      </c>
      <c r="O116">
        <f t="shared" si="20"/>
        <v>164516.12903225803</v>
      </c>
    </row>
    <row r="117" spans="2:15" hidden="1">
      <c r="B117">
        <v>18</v>
      </c>
      <c r="C117" t="e">
        <f>SUM(O117,#REF!,#REF!)</f>
        <v>#REF!</v>
      </c>
      <c r="D117" t="e">
        <f>SUM(Q117,#REF!,X117)</f>
        <v>#REF!</v>
      </c>
      <c r="N117">
        <v>18</v>
      </c>
      <c r="O117">
        <f t="shared" si="20"/>
        <v>174193.54838709673</v>
      </c>
    </row>
    <row r="118" spans="2:15" hidden="1">
      <c r="B118">
        <v>19</v>
      </c>
      <c r="C118" t="e">
        <f>SUM(O118,#REF!,#REF!)</f>
        <v>#REF!</v>
      </c>
      <c r="D118" t="e">
        <f>SUM(Q118,#REF!,X118)</f>
        <v>#REF!</v>
      </c>
      <c r="N118">
        <v>19</v>
      </c>
      <c r="O118">
        <f t="shared" si="20"/>
        <v>183870.96774193543</v>
      </c>
    </row>
    <row r="119" spans="2:15" hidden="1">
      <c r="B119">
        <v>20</v>
      </c>
      <c r="C119" t="e">
        <f>SUM(O119,#REF!,#REF!)</f>
        <v>#REF!</v>
      </c>
      <c r="D119" t="e">
        <f>SUM(Q119,#REF!,X119)</f>
        <v>#REF!</v>
      </c>
      <c r="N119">
        <v>20</v>
      </c>
      <c r="O119">
        <f t="shared" si="20"/>
        <v>193548.38709677412</v>
      </c>
    </row>
    <row r="120" spans="2:15" hidden="1">
      <c r="B120">
        <v>21</v>
      </c>
      <c r="C120" t="e">
        <f>SUM(O120,#REF!,#REF!)</f>
        <v>#REF!</v>
      </c>
      <c r="D120" t="e">
        <f>SUM(Q120,#REF!,X120)</f>
        <v>#REF!</v>
      </c>
      <c r="N120">
        <v>21</v>
      </c>
      <c r="O120">
        <f t="shared" si="20"/>
        <v>203225.80645161282</v>
      </c>
    </row>
    <row r="121" spans="2:15" hidden="1">
      <c r="B121">
        <v>22</v>
      </c>
      <c r="C121" t="e">
        <f>SUM(O121,#REF!,#REF!)</f>
        <v>#REF!</v>
      </c>
      <c r="D121" t="e">
        <f>SUM(Q121,#REF!,X121)</f>
        <v>#REF!</v>
      </c>
      <c r="N121">
        <v>22</v>
      </c>
      <c r="O121">
        <f t="shared" si="20"/>
        <v>212903.22580645152</v>
      </c>
    </row>
    <row r="122" spans="2:15" hidden="1">
      <c r="B122">
        <v>23</v>
      </c>
      <c r="C122" t="e">
        <f>SUM(O122,#REF!,#REF!)</f>
        <v>#REF!</v>
      </c>
      <c r="D122" t="e">
        <f>SUM(Q122,#REF!,X122)</f>
        <v>#REF!</v>
      </c>
      <c r="N122">
        <v>23</v>
      </c>
      <c r="O122">
        <f t="shared" si="20"/>
        <v>222580.64516129022</v>
      </c>
    </row>
    <row r="123" spans="2:15" hidden="1">
      <c r="B123">
        <v>24</v>
      </c>
      <c r="C123" t="e">
        <f>SUM(O123,#REF!,#REF!)</f>
        <v>#REF!</v>
      </c>
      <c r="D123" t="e">
        <f>SUM(Q123,#REF!,X123)</f>
        <v>#REF!</v>
      </c>
      <c r="N123">
        <v>24</v>
      </c>
      <c r="O123">
        <f t="shared" si="20"/>
        <v>232258.06451612891</v>
      </c>
    </row>
    <row r="124" spans="2:15" hidden="1">
      <c r="B124">
        <v>25</v>
      </c>
      <c r="C124" t="e">
        <f>SUM(O124,#REF!,#REF!)</f>
        <v>#REF!</v>
      </c>
      <c r="D124" t="e">
        <f>SUM(Q124,#REF!,X124)</f>
        <v>#REF!</v>
      </c>
      <c r="N124">
        <v>25</v>
      </c>
      <c r="O124">
        <f t="shared" si="20"/>
        <v>241935.48387096761</v>
      </c>
    </row>
    <row r="125" spans="2:15" hidden="1">
      <c r="B125">
        <v>26</v>
      </c>
      <c r="C125" t="e">
        <f>SUM(O125,#REF!,#REF!)</f>
        <v>#REF!</v>
      </c>
      <c r="D125" t="e">
        <f>SUM(Q125,#REF!,X125)</f>
        <v>#REF!</v>
      </c>
      <c r="N125">
        <v>26</v>
      </c>
      <c r="O125">
        <f t="shared" si="20"/>
        <v>251612.90322580631</v>
      </c>
    </row>
    <row r="126" spans="2:15" hidden="1">
      <c r="B126">
        <v>27</v>
      </c>
      <c r="C126" t="e">
        <f>SUM(O126,#REF!,#REF!)</f>
        <v>#REF!</v>
      </c>
      <c r="D126" t="e">
        <f>SUM(Q126,#REF!,X126)</f>
        <v>#REF!</v>
      </c>
      <c r="N126">
        <v>27</v>
      </c>
      <c r="O126">
        <f t="shared" si="20"/>
        <v>261290.32258064501</v>
      </c>
    </row>
    <row r="127" spans="2:15" hidden="1">
      <c r="B127">
        <v>28</v>
      </c>
      <c r="C127" t="e">
        <f>SUM(O127,#REF!,#REF!)</f>
        <v>#REF!</v>
      </c>
      <c r="D127" t="e">
        <f>SUM(Q127,#REF!,X127)</f>
        <v>#REF!</v>
      </c>
      <c r="N127">
        <v>28</v>
      </c>
      <c r="O127">
        <f t="shared" si="20"/>
        <v>270967.7419354837</v>
      </c>
    </row>
    <row r="128" spans="2:15" hidden="1">
      <c r="B128">
        <v>29</v>
      </c>
      <c r="C128" t="e">
        <f>SUM(O128,#REF!,#REF!)</f>
        <v>#REF!</v>
      </c>
      <c r="D128" t="e">
        <f>SUM(Q128,#REF!,X128)</f>
        <v>#REF!</v>
      </c>
      <c r="N128">
        <v>29</v>
      </c>
      <c r="O128">
        <f t="shared" si="20"/>
        <v>280645.16129032243</v>
      </c>
    </row>
    <row r="129" spans="2:15" hidden="1">
      <c r="B129">
        <v>30</v>
      </c>
      <c r="C129" t="e">
        <f>SUM(O129,#REF!,#REF!)</f>
        <v>#REF!</v>
      </c>
      <c r="D129" t="e">
        <f>SUM(Q129,#REF!,X129)</f>
        <v>#REF!</v>
      </c>
      <c r="N129">
        <v>30</v>
      </c>
      <c r="O129">
        <f t="shared" si="20"/>
        <v>290322.58064516116</v>
      </c>
    </row>
    <row r="130" spans="2:15" hidden="1">
      <c r="B130">
        <v>31</v>
      </c>
      <c r="C130" t="e">
        <f>SUM(O130,#REF!,#REF!)</f>
        <v>#REF!</v>
      </c>
      <c r="D130" t="e">
        <f>SUM(Q130,#REF!,X130)</f>
        <v>#REF!</v>
      </c>
      <c r="N130">
        <v>31</v>
      </c>
      <c r="O130">
        <f t="shared" si="20"/>
        <v>299999.99999999988</v>
      </c>
    </row>
    <row r="131" spans="2:15" hidden="1"/>
    <row r="132" spans="2:15" hidden="1"/>
    <row r="133" spans="2:15" hidden="1"/>
    <row r="134" spans="2:15" hidden="1"/>
    <row r="135" spans="2:15" hidden="1"/>
    <row r="136" spans="2:15" hidden="1"/>
    <row r="137" spans="2:15" hidden="1"/>
    <row r="138" spans="2:15" hidden="1"/>
    <row r="139" spans="2:15" hidden="1"/>
    <row r="140" spans="2:15" hidden="1"/>
    <row r="141" spans="2:15" hidden="1"/>
  </sheetData>
  <mergeCells count="31">
    <mergeCell ref="B8:B11"/>
    <mergeCell ref="O8:T8"/>
    <mergeCell ref="Z8:AB8"/>
    <mergeCell ref="AI8:AL8"/>
    <mergeCell ref="AX8:BD8"/>
    <mergeCell ref="AX9:AX11"/>
    <mergeCell ref="AY9:AY11"/>
    <mergeCell ref="AZ9:BD9"/>
    <mergeCell ref="D10:D11"/>
    <mergeCell ref="E10:E11"/>
    <mergeCell ref="F10:G10"/>
    <mergeCell ref="H10:I10"/>
    <mergeCell ref="J10:K10"/>
    <mergeCell ref="L10:M10"/>
    <mergeCell ref="U10:W10"/>
    <mergeCell ref="BS8:BS9"/>
    <mergeCell ref="C9:M9"/>
    <mergeCell ref="O9:O11"/>
    <mergeCell ref="P9:R10"/>
    <mergeCell ref="S9:S11"/>
    <mergeCell ref="T9:T11"/>
    <mergeCell ref="X9:X11"/>
    <mergeCell ref="Z9:AB10"/>
    <mergeCell ref="AI9:AL9"/>
    <mergeCell ref="AO9:AR9"/>
    <mergeCell ref="BK8:BQ8"/>
    <mergeCell ref="BL9:BO9"/>
    <mergeCell ref="AZ10:BD10"/>
    <mergeCell ref="BP9:BP10"/>
    <mergeCell ref="BQ9:BQ10"/>
    <mergeCell ref="C10:C11"/>
  </mergeCells>
  <conditionalFormatting sqref="C43">
    <cfRule type="expression" dxfId="124" priority="12">
      <formula>OR(AND(C43&lt;(#REF!-(10%*#REF!)),#REF!="OB"),AND(C43&lt;(#REF!-(10%*#REF!)),#REF!="ROM"))</formula>
    </cfRule>
    <cfRule type="expression" dxfId="123" priority="13">
      <formula>$B43=DAY(TODAY()-1)</formula>
    </cfRule>
  </conditionalFormatting>
  <conditionalFormatting sqref="O12:U12 S13:T22 O13:R42 U13:U42 S23 O43:W43">
    <cfRule type="expression" dxfId="122" priority="14">
      <formula>OR(AND(O12&lt;(#REF!-(10%*#REF!)),#REF!="OB"),AND(O12&lt;(#REF!-(10%*#REF!)),#REF!="ROM"))</formula>
    </cfRule>
  </conditionalFormatting>
  <conditionalFormatting sqref="O12:U12 AX12:AY12 BQ12:BR37 BT12:CK37 AY13 S13:T22 O13:R42 U13:U42 AX13:AX42 AY15:AY18 S23 BQ39:BR42 BT39:CK43 O43:W43 BK43:BR43">
    <cfRule type="expression" dxfId="121" priority="15">
      <formula>$B12=DAY(TODAY()-1)</formula>
    </cfRule>
  </conditionalFormatting>
  <conditionalFormatting sqref="V12:W42 S24:T42">
    <cfRule type="expression" dxfId="120" priority="4">
      <formula>OR(AND(S12&lt;(#REF!-(10%*#REF!)),#REF!="OB"),AND(S12&lt;(#REF!-(10%*#REF!)),#REF!="ROM"))</formula>
    </cfRule>
    <cfRule type="expression" dxfId="119" priority="5">
      <formula>$B12=DAY(TODAY()-1)</formula>
    </cfRule>
  </conditionalFormatting>
  <conditionalFormatting sqref="X12:AK43">
    <cfRule type="expression" dxfId="118" priority="10">
      <formula>OR(AND(X12&lt;(#REF!-(10%*#REF!)),#REF!="OB"),AND(X12&lt;(#REF!-(10%*#REF!)),#REF!="ROM"))</formula>
    </cfRule>
    <cfRule type="expression" dxfId="117" priority="11">
      <formula>$B12=DAY(TODAY()-1)</formula>
    </cfRule>
  </conditionalFormatting>
  <conditionalFormatting sqref="AO1:AU100">
    <cfRule type="expression" dxfId="116" priority="2">
      <formula>OR(TEXT($A2,"dd/mm/yyyy")=TEXT(DATE(2025,4,18),"dd/mm/yyyy"), TEXT($A2,"dd/mm/yyyy")=TEXT(TODAY()-1,"dd/mm/yyyy"))</formula>
    </cfRule>
  </conditionalFormatting>
  <conditionalFormatting sqref="AO2:AU100">
    <cfRule type="expression" dxfId="115" priority="1">
      <formula>OR($B2=DAY(TODAY()-1))</formula>
    </cfRule>
  </conditionalFormatting>
  <conditionalFormatting sqref="AX43:AY43">
    <cfRule type="expression" dxfId="114" priority="8">
      <formula>$B43=DAY(TODAY()-1)</formula>
    </cfRule>
  </conditionalFormatting>
  <conditionalFormatting sqref="AY19">
    <cfRule type="expression" dxfId="113" priority="16">
      <formula>$B14=DAY(TODAY()-1)</formula>
    </cfRule>
  </conditionalFormatting>
  <conditionalFormatting sqref="AY20:AY42">
    <cfRule type="expression" dxfId="112" priority="7">
      <formula>$B20=DAY(TODAY()-1)</formula>
    </cfRule>
  </conditionalFormatting>
  <conditionalFormatting sqref="AZ12:BE43">
    <cfRule type="expression" dxfId="111" priority="6">
      <formula>$B12=DAY(TODAY()-1)</formula>
    </cfRule>
  </conditionalFormatting>
  <conditionalFormatting sqref="BK12:BP42">
    <cfRule type="expression" dxfId="110" priority="3">
      <formula>$B12=DAY(TODAY()-1)</formula>
    </cfRule>
  </conditionalFormatting>
  <conditionalFormatting sqref="BS12:BS42">
    <cfRule type="expression" dxfId="109" priority="9">
      <formula>$B12=DAY(TODAY()-1)</formula>
    </cfRule>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1:SH301"/>
  <sheetViews>
    <sheetView showGridLines="0" zoomScale="70" zoomScaleNormal="70" workbookViewId="0">
      <pane xSplit="2" ySplit="9" topLeftCell="FV31" activePane="bottomRight" state="frozen"/>
      <selection pane="topRight" activeCell="BM11" sqref="BM11"/>
      <selection pane="bottomLeft" activeCell="BM11" sqref="BM11"/>
      <selection pane="bottomRight" activeCell="JN299" sqref="JN299"/>
    </sheetView>
  </sheetViews>
  <sheetFormatPr defaultColWidth="8.6640625" defaultRowHeight="14.4"/>
  <cols>
    <col min="1" max="1" width="2.33203125" customWidth="1"/>
    <col min="2" max="2" width="7.33203125" customWidth="1"/>
    <col min="3" max="3" width="15.33203125" customWidth="1"/>
    <col min="4" max="4" width="13" customWidth="1"/>
    <col min="5" max="5" width="10.44140625" customWidth="1"/>
    <col min="6" max="7" width="10.44140625" hidden="1" customWidth="1"/>
    <col min="8" max="8" width="13.6640625" customWidth="1"/>
    <col min="9" max="9" width="10.44140625" customWidth="1"/>
    <col min="10" max="10" width="12.33203125" customWidth="1"/>
    <col min="11" max="11" width="11.5546875" customWidth="1"/>
    <col min="12" max="12" width="10" customWidth="1"/>
    <col min="13" max="13" width="8.6640625" customWidth="1"/>
    <col min="14" max="14" width="5" customWidth="1"/>
    <col min="15" max="15" width="14.6640625" customWidth="1"/>
    <col min="16" max="16" width="16.6640625" customWidth="1"/>
    <col min="17" max="17" width="11.6640625" customWidth="1"/>
    <col min="18" max="18" width="8.33203125" customWidth="1"/>
    <col min="19" max="19" width="12.6640625" customWidth="1"/>
    <col min="20" max="20" width="15.33203125" customWidth="1"/>
    <col min="21" max="21" width="10.33203125" customWidth="1"/>
    <col min="22" max="22" width="8.6640625" customWidth="1"/>
    <col min="23" max="23" width="13" customWidth="1"/>
    <col min="24" max="24" width="13.6640625" customWidth="1"/>
    <col min="25" max="25" width="10.6640625" customWidth="1"/>
    <col min="26" max="26" width="9.33203125" customWidth="1"/>
    <col min="27" max="27" width="15.44140625" customWidth="1"/>
    <col min="28" max="28" width="12.6640625" customWidth="1"/>
    <col min="29" max="30" width="9.33203125" customWidth="1"/>
    <col min="31" max="31" width="14.33203125" hidden="1" customWidth="1"/>
    <col min="32" max="33" width="12.6640625" hidden="1" customWidth="1"/>
    <col min="34" max="34" width="8.6640625" hidden="1" customWidth="1"/>
    <col min="35" max="35" width="10.33203125" hidden="1" customWidth="1"/>
    <col min="36" max="36" width="9.33203125" hidden="1" customWidth="1"/>
    <col min="37" max="38" width="8.6640625" hidden="1" customWidth="1"/>
    <col min="39" max="39" width="1.33203125" customWidth="1"/>
    <col min="40" max="40" width="12" hidden="1" customWidth="1"/>
    <col min="41" max="42" width="8.6640625" hidden="1" customWidth="1"/>
    <col min="43" max="43" width="14.5546875" hidden="1" customWidth="1"/>
    <col min="44" max="45" width="12.33203125" hidden="1" customWidth="1"/>
    <col min="46" max="46" width="14.6640625" hidden="1" customWidth="1"/>
    <col min="47" max="47" width="11.44140625" hidden="1" customWidth="1"/>
    <col min="48" max="48" width="11.6640625" hidden="1" customWidth="1"/>
    <col min="49" max="49" width="14.5546875" customWidth="1"/>
    <col min="50" max="50" width="17" customWidth="1"/>
    <col min="51" max="51" width="16.5546875" customWidth="1"/>
    <col min="52" max="52" width="8.5546875" hidden="1" customWidth="1"/>
    <col min="53" max="53" width="8.6640625" hidden="1" customWidth="1"/>
    <col min="54" max="54" width="9.33203125" hidden="1" customWidth="1"/>
    <col min="55" max="55" width="15" customWidth="1"/>
    <col min="56" max="56" width="12.33203125" customWidth="1"/>
    <col min="57" max="57" width="10.44140625" customWidth="1"/>
    <col min="58" max="58" width="13.6640625" hidden="1" customWidth="1"/>
    <col min="59" max="59" width="15.33203125" hidden="1" customWidth="1"/>
    <col min="60" max="60" width="9.33203125" hidden="1" customWidth="1"/>
    <col min="61" max="61" width="11.6640625" hidden="1" customWidth="1"/>
    <col min="62" max="62" width="12.33203125" hidden="1" customWidth="1"/>
    <col min="63" max="63" width="8.6640625" hidden="1" customWidth="1"/>
    <col min="64" max="64" width="13.109375" customWidth="1"/>
    <col min="65" max="66" width="12.33203125" customWidth="1"/>
    <col min="67" max="67" width="8.6640625" customWidth="1"/>
    <col min="68" max="68" width="11.44140625" customWidth="1"/>
    <col min="69" max="69" width="14.6640625" customWidth="1"/>
    <col min="70" max="70" width="10.6640625" customWidth="1"/>
    <col min="71" max="72" width="11.44140625" hidden="1" customWidth="1"/>
    <col min="73" max="73" width="8.6640625" hidden="1" customWidth="1"/>
    <col min="74" max="74" width="13.33203125" customWidth="1"/>
    <col min="75" max="75" width="12.6640625" customWidth="1"/>
    <col min="76" max="76" width="11.88671875" customWidth="1"/>
    <col min="77" max="77" width="13.5546875" hidden="1" customWidth="1"/>
    <col min="78" max="78" width="12.33203125" hidden="1" customWidth="1"/>
    <col min="79" max="79" width="9.33203125" hidden="1" customWidth="1"/>
    <col min="80" max="80" width="12.6640625" hidden="1" customWidth="1"/>
    <col min="81" max="81" width="11.33203125" hidden="1" customWidth="1"/>
    <col min="82" max="82" width="9.33203125" hidden="1" customWidth="1"/>
    <col min="83" max="83" width="13.44140625" hidden="1" customWidth="1"/>
    <col min="84" max="84" width="13" hidden="1" customWidth="1"/>
    <col min="85" max="85" width="9.33203125" hidden="1" customWidth="1"/>
    <col min="86" max="86" width="7.6640625" customWidth="1"/>
    <col min="87" max="88" width="10.6640625" customWidth="1"/>
    <col min="89" max="89" width="12.33203125" customWidth="1"/>
    <col min="90" max="90" width="11" customWidth="1"/>
    <col min="91" max="91" width="0" hidden="1" customWidth="1"/>
    <col min="92" max="92" width="11.6640625" customWidth="1"/>
    <col min="93" max="93" width="0" hidden="1" customWidth="1"/>
    <col min="94" max="94" width="18.33203125" customWidth="1"/>
    <col min="95" max="95" width="6.6640625" customWidth="1"/>
    <col min="97" max="97" width="11.6640625" bestFit="1" customWidth="1"/>
    <col min="99" max="99" width="11.6640625" bestFit="1" customWidth="1"/>
    <col min="101" max="101" width="11.6640625" bestFit="1" customWidth="1"/>
    <col min="103" max="103" width="11.6640625" bestFit="1" customWidth="1"/>
    <col min="104" max="104" width="11.5546875" customWidth="1"/>
    <col min="105" max="105" width="11.6640625" bestFit="1" customWidth="1"/>
    <col min="106" max="106" width="10.33203125" customWidth="1"/>
    <col min="107" max="107" width="11.6640625" bestFit="1" customWidth="1"/>
    <col min="108" max="108" width="13.33203125" bestFit="1" customWidth="1"/>
    <col min="109" max="109" width="7.6640625" customWidth="1"/>
    <col min="110" max="110" width="12.33203125" customWidth="1"/>
    <col min="111" max="111" width="11.6640625" bestFit="1" customWidth="1"/>
    <col min="112" max="112" width="11.6640625" customWidth="1"/>
    <col min="113" max="113" width="11.6640625" bestFit="1" customWidth="1"/>
    <col min="114" max="114" width="12.5546875" bestFit="1" customWidth="1"/>
    <col min="115" max="115" width="11.6640625" bestFit="1" customWidth="1"/>
    <col min="116" max="116" width="12.5546875" customWidth="1"/>
    <col min="117" max="117" width="11.6640625" bestFit="1" customWidth="1"/>
    <col min="118" max="118" width="12.6640625" bestFit="1" customWidth="1"/>
    <col min="119" max="119" width="11.6640625" bestFit="1" customWidth="1"/>
    <col min="120" max="120" width="12.33203125" customWidth="1"/>
    <col min="121" max="121" width="11.6640625" bestFit="1" customWidth="1"/>
    <col min="122" max="122" width="13.6640625" bestFit="1" customWidth="1"/>
    <col min="123" max="123" width="11.33203125" customWidth="1"/>
    <col min="124" max="124" width="16.6640625" customWidth="1"/>
    <col min="125" max="125" width="9.6640625" customWidth="1"/>
    <col min="126" max="126" width="11.6640625" bestFit="1" customWidth="1"/>
    <col min="127" max="127" width="10.33203125" bestFit="1" customWidth="1"/>
    <col min="128" max="128" width="11.6640625" bestFit="1" customWidth="1"/>
    <col min="129" max="129" width="10.33203125" customWidth="1"/>
    <col min="130" max="130" width="11.6640625" bestFit="1" customWidth="1"/>
    <col min="131" max="131" width="12.33203125" customWidth="1"/>
    <col min="132" max="132" width="10.33203125" customWidth="1"/>
    <col min="133" max="133" width="9.33203125" customWidth="1"/>
    <col min="134" max="134" width="11.6640625" bestFit="1" customWidth="1"/>
    <col min="135" max="135" width="14.6640625" customWidth="1"/>
    <col min="136" max="136" width="12.6640625" bestFit="1" customWidth="1"/>
    <col min="137" max="137" width="12.33203125" customWidth="1"/>
    <col min="138" max="138" width="12.6640625" bestFit="1" customWidth="1"/>
    <col min="139" max="139" width="12.33203125" customWidth="1"/>
    <col min="140" max="140" width="12.6640625" bestFit="1" customWidth="1"/>
    <col min="141" max="141" width="12.33203125" customWidth="1"/>
    <col min="142" max="142" width="12.6640625" bestFit="1" customWidth="1"/>
    <col min="143" max="143" width="12.33203125" customWidth="1"/>
    <col min="144" max="144" width="12.6640625" bestFit="1" customWidth="1"/>
    <col min="145" max="145" width="12.33203125" customWidth="1"/>
    <col min="146" max="146" width="12.6640625" bestFit="1" customWidth="1"/>
    <col min="147" max="147" width="11.6640625" customWidth="1"/>
    <col min="148" max="148" width="12.6640625" customWidth="1"/>
    <col min="149" max="155" width="8.6640625" hidden="1" customWidth="1"/>
    <col min="156" max="156" width="1.33203125" customWidth="1"/>
    <col min="157" max="157" width="6.6640625" customWidth="1"/>
    <col min="160" max="160" width="9.33203125" bestFit="1" customWidth="1"/>
    <col min="163" max="163" width="1.33203125" customWidth="1"/>
    <col min="164" max="177" width="8.6640625" hidden="1" customWidth="1"/>
    <col min="178" max="178" width="7.33203125" bestFit="1" customWidth="1"/>
    <col min="179" max="179" width="11.6640625" bestFit="1" customWidth="1"/>
    <col min="180" max="180" width="6.6640625" bestFit="1" customWidth="1"/>
    <col min="181" max="181" width="11.6640625" bestFit="1" customWidth="1"/>
    <col min="182" max="182" width="6.6640625" bestFit="1" customWidth="1"/>
    <col min="183" max="183" width="11.6640625" bestFit="1" customWidth="1"/>
    <col min="184" max="184" width="6.6640625" bestFit="1" customWidth="1"/>
    <col min="185" max="185" width="11.6640625" bestFit="1" customWidth="1"/>
    <col min="186" max="186" width="10.33203125" bestFit="1" customWidth="1"/>
    <col min="187" max="187" width="11.6640625" bestFit="1" customWidth="1"/>
    <col min="188" max="188" width="8.44140625" customWidth="1"/>
    <col min="189" max="189" width="11.6640625" bestFit="1" customWidth="1"/>
    <col min="191" max="191" width="1.33203125" customWidth="1"/>
    <col min="192" max="192" width="6.6640625" customWidth="1"/>
    <col min="193" max="193" width="13" customWidth="1"/>
    <col min="194" max="194" width="13.44140625" customWidth="1"/>
    <col min="195" max="195" width="14.33203125" customWidth="1"/>
    <col min="196" max="196" width="17.33203125" customWidth="1"/>
    <col min="197" max="197" width="10.33203125" hidden="1" customWidth="1"/>
    <col min="198" max="198" width="8.6640625" hidden="1" customWidth="1"/>
    <col min="199" max="199" width="45.33203125" customWidth="1"/>
    <col min="200" max="200" width="1.33203125" customWidth="1"/>
    <col min="201" max="201" width="15.44140625" customWidth="1"/>
    <col min="202" max="203" width="13.33203125" customWidth="1"/>
    <col min="204" max="204" width="12.33203125" customWidth="1"/>
    <col min="205" max="205" width="15.33203125" customWidth="1"/>
    <col min="206" max="206" width="1.33203125" customWidth="1"/>
    <col min="207" max="207" width="13.5546875" customWidth="1"/>
    <col min="208" max="208" width="12.33203125" customWidth="1"/>
    <col min="209" max="209" width="13.33203125" customWidth="1"/>
    <col min="210" max="210" width="13" customWidth="1"/>
    <col min="211" max="211" width="12.6640625" customWidth="1"/>
    <col min="212" max="212" width="14.44140625" customWidth="1"/>
    <col min="213" max="213" width="12" customWidth="1"/>
    <col min="214" max="215" width="11.6640625" customWidth="1"/>
    <col min="216" max="216" width="13" customWidth="1"/>
    <col min="217" max="217" width="11.5546875" customWidth="1"/>
    <col min="218" max="218" width="11.6640625" customWidth="1"/>
    <col min="219" max="219" width="10.44140625" customWidth="1"/>
    <col min="220" max="220" width="10.33203125" customWidth="1"/>
    <col min="221" max="221" width="11.44140625" customWidth="1"/>
    <col min="222" max="235" width="10.44140625" hidden="1" customWidth="1"/>
    <col min="236" max="236" width="0.5546875" hidden="1" customWidth="1"/>
    <col min="237" max="237" width="11.33203125" customWidth="1"/>
    <col min="238" max="238" width="11.6640625" customWidth="1"/>
    <col min="239" max="239" width="10.33203125" customWidth="1"/>
    <col min="240" max="240" width="11.6640625" customWidth="1"/>
    <col min="241" max="241" width="12.33203125" bestFit="1" customWidth="1"/>
    <col min="242" max="242" width="11.6640625" bestFit="1" customWidth="1"/>
    <col min="243" max="243" width="12" customWidth="1"/>
    <col min="244" max="244" width="11.6640625" bestFit="1" customWidth="1"/>
    <col min="245" max="245" width="12.33203125" bestFit="1" customWidth="1"/>
    <col min="246" max="246" width="11.6640625" bestFit="1" customWidth="1"/>
    <col min="247" max="247" width="13.33203125" customWidth="1"/>
    <col min="248" max="248" width="12.33203125" customWidth="1"/>
    <col min="249" max="250" width="8.6640625" customWidth="1"/>
    <col min="251" max="251" width="13" customWidth="1"/>
    <col min="252" max="252" width="10.6640625" customWidth="1"/>
    <col min="253" max="253" width="11.6640625" bestFit="1" customWidth="1"/>
    <col min="254" max="254" width="9.44140625" customWidth="1"/>
    <col min="255" max="255" width="11.6640625" bestFit="1" customWidth="1"/>
    <col min="256" max="257" width="12" bestFit="1" customWidth="1"/>
    <col min="258" max="258" width="10.5546875" customWidth="1"/>
    <col min="259" max="259" width="11.6640625" bestFit="1" customWidth="1"/>
    <col min="260" max="260" width="12.5546875" bestFit="1" customWidth="1"/>
    <col min="261" max="261" width="12" bestFit="1" customWidth="1"/>
    <col min="262" max="262" width="11.6640625" customWidth="1"/>
    <col min="263" max="263" width="11.6640625" bestFit="1" customWidth="1"/>
    <col min="266" max="266" width="13" customWidth="1"/>
    <col min="267" max="267" width="1.33203125" customWidth="1"/>
    <col min="268" max="268" width="6.6640625" customWidth="1"/>
    <col min="269" max="269" width="15.33203125" customWidth="1"/>
    <col min="270" max="270" width="16" customWidth="1"/>
    <col min="271" max="271" width="15.5546875" bestFit="1" customWidth="1"/>
    <col min="272" max="272" width="13.6640625" customWidth="1"/>
    <col min="273" max="273" width="13" bestFit="1" customWidth="1"/>
    <col min="274" max="274" width="3.6640625" customWidth="1"/>
    <col min="275" max="275" width="9.6640625" customWidth="1"/>
    <col min="277" max="277" width="12.33203125" bestFit="1" customWidth="1"/>
    <col min="278" max="278" width="12.44140625" customWidth="1"/>
    <col min="279" max="279" width="11.5546875" customWidth="1"/>
    <col min="283" max="287" width="8.6640625" customWidth="1"/>
    <col min="288" max="288" width="9.33203125" customWidth="1"/>
    <col min="289" max="290" width="8.6640625" customWidth="1"/>
    <col min="297" max="297" width="8.6640625" customWidth="1"/>
    <col min="298" max="298" width="6.33203125" customWidth="1"/>
    <col min="300" max="300" width="1.33203125" customWidth="1"/>
    <col min="301" max="301" width="10.6640625" bestFit="1" customWidth="1"/>
    <col min="302" max="302" width="8.88671875" bestFit="1" customWidth="1"/>
    <col min="303" max="305" width="8.6640625" bestFit="1" customWidth="1"/>
    <col min="306" max="306" width="10.33203125" customWidth="1"/>
    <col min="307" max="307" width="8.33203125" customWidth="1"/>
    <col min="308" max="310" width="8.6640625" customWidth="1"/>
    <col min="316" max="316" width="0" hidden="1" customWidth="1"/>
    <col min="317" max="317" width="1.33203125" customWidth="1"/>
    <col min="318" max="318" width="6.6640625" customWidth="1"/>
    <col min="319" max="319" width="16.33203125" customWidth="1"/>
    <col min="320" max="320" width="15.33203125" customWidth="1"/>
    <col min="321" max="321" width="15.109375" customWidth="1"/>
    <col min="322" max="322" width="14.33203125" bestFit="1" customWidth="1"/>
    <col min="323" max="323" width="15.88671875" customWidth="1"/>
    <col min="324" max="324" width="13.44140625" bestFit="1" customWidth="1"/>
    <col min="326" max="326" width="0" hidden="1" customWidth="1"/>
    <col min="328" max="328" width="49.33203125" customWidth="1"/>
    <col min="329" max="329" width="1.33203125" customWidth="1"/>
    <col min="330" max="330" width="15.33203125" customWidth="1"/>
    <col min="331" max="331" width="10.33203125" bestFit="1" customWidth="1"/>
    <col min="332" max="332" width="13.6640625" bestFit="1" customWidth="1"/>
    <col min="333" max="333" width="9.44140625" customWidth="1"/>
    <col min="334" max="334" width="9.6640625" customWidth="1"/>
    <col min="335" max="335" width="12.33203125" customWidth="1"/>
    <col min="336" max="336" width="10.44140625" bestFit="1" customWidth="1"/>
    <col min="337" max="337" width="11.33203125" customWidth="1"/>
    <col min="338" max="338" width="13.6640625" bestFit="1" customWidth="1"/>
    <col min="339" max="339" width="12" bestFit="1" customWidth="1"/>
    <col min="340" max="340" width="13" bestFit="1" customWidth="1"/>
    <col min="341" max="341" width="9.6640625" bestFit="1" customWidth="1"/>
    <col min="342" max="342" width="9.33203125" bestFit="1" customWidth="1"/>
    <col min="343" max="343" width="12.6640625" customWidth="1"/>
    <col min="344" max="344" width="13.6640625" bestFit="1" customWidth="1"/>
    <col min="345" max="345" width="9.44140625" bestFit="1" customWidth="1"/>
    <col min="346" max="346" width="9.6640625" bestFit="1" customWidth="1"/>
    <col min="347" max="347" width="13.5546875" bestFit="1" customWidth="1"/>
    <col min="348" max="348" width="7.6640625" customWidth="1"/>
    <col min="349" max="349" width="9.33203125" customWidth="1"/>
    <col min="350" max="350" width="15.5546875" customWidth="1"/>
    <col min="351" max="351" width="9.44140625" customWidth="1"/>
    <col min="352" max="352" width="9.6640625" customWidth="1"/>
    <col min="353" max="353" width="13.5546875" customWidth="1"/>
    <col min="354" max="355" width="9.33203125" customWidth="1"/>
    <col min="356" max="356" width="15.5546875" customWidth="1"/>
    <col min="357" max="357" width="9.44140625" customWidth="1"/>
    <col min="358" max="358" width="9.6640625" customWidth="1"/>
    <col min="359" max="359" width="8.6640625" customWidth="1"/>
    <col min="360" max="360" width="1.33203125" customWidth="1"/>
    <col min="361" max="361" width="6.6640625" customWidth="1"/>
    <col min="362" max="362" width="13" customWidth="1"/>
    <col min="363" max="363" width="12.33203125" customWidth="1"/>
    <col min="365" max="365" width="12" customWidth="1"/>
    <col min="366" max="366" width="1.33203125" customWidth="1"/>
    <col min="367" max="367" width="17.33203125" customWidth="1"/>
    <col min="368" max="368" width="17.6640625" customWidth="1"/>
    <col min="369" max="369" width="17.6640625" hidden="1" customWidth="1"/>
    <col min="370" max="370" width="15.33203125" customWidth="1"/>
    <col min="371" max="371" width="13.6640625" hidden="1" customWidth="1"/>
    <col min="372" max="372" width="14.44140625" hidden="1" customWidth="1"/>
    <col min="373" max="373" width="12.33203125" hidden="1" customWidth="1"/>
    <col min="374" max="374" width="11.6640625" hidden="1" customWidth="1"/>
    <col min="375" max="375" width="12" hidden="1" customWidth="1"/>
    <col min="376" max="376" width="11.6640625" hidden="1" customWidth="1"/>
    <col min="377" max="377" width="13.33203125" hidden="1" customWidth="1"/>
    <col min="378" max="378" width="13.44140625" hidden="1" customWidth="1"/>
    <col min="379" max="379" width="12.5546875" customWidth="1"/>
    <col min="380" max="380" width="11.6640625" customWidth="1"/>
    <col min="381" max="381" width="9.33203125" customWidth="1"/>
    <col min="382" max="382" width="11.6640625" bestFit="1" customWidth="1"/>
    <col min="383" max="383" width="11.5546875" bestFit="1" customWidth="1"/>
    <col min="384" max="384" width="12.33203125" hidden="1" customWidth="1"/>
    <col min="385" max="385" width="11.6640625" hidden="1" customWidth="1"/>
    <col min="386" max="386" width="11.33203125" hidden="1" customWidth="1"/>
    <col min="387" max="387" width="11.6640625" hidden="1" customWidth="1"/>
    <col min="388" max="388" width="10.33203125" hidden="1" customWidth="1"/>
    <col min="389" max="389" width="11.6640625" hidden="1" customWidth="1"/>
    <col min="390" max="390" width="12.33203125" customWidth="1"/>
    <col min="391" max="391" width="11.6640625" hidden="1" customWidth="1"/>
    <col min="392" max="392" width="13.44140625" customWidth="1"/>
    <col min="393" max="393" width="14.6640625" hidden="1" customWidth="1"/>
    <col min="394" max="394" width="11.33203125" bestFit="1" customWidth="1"/>
    <col min="395" max="395" width="12.6640625" hidden="1" customWidth="1"/>
    <col min="396" max="396" width="12.33203125" customWidth="1"/>
    <col min="397" max="397" width="10" hidden="1" customWidth="1"/>
    <col min="398" max="398" width="11.6640625" hidden="1" customWidth="1"/>
    <col min="399" max="399" width="9.6640625" hidden="1" customWidth="1"/>
    <col min="400" max="400" width="11.6640625" hidden="1" customWidth="1"/>
    <col min="401" max="401" width="11" hidden="1" customWidth="1"/>
    <col min="402" max="402" width="11.6640625" hidden="1" customWidth="1"/>
    <col min="403" max="403" width="9.6640625" hidden="1" customWidth="1"/>
    <col min="404" max="404" width="11.6640625" hidden="1" customWidth="1"/>
    <col min="405" max="405" width="10.6640625" customWidth="1"/>
    <col min="406" max="406" width="11.6640625" hidden="1" customWidth="1"/>
    <col min="407" max="407" width="10.6640625" customWidth="1"/>
    <col min="408" max="408" width="11.6640625" hidden="1" customWidth="1"/>
    <col min="409" max="409" width="13.6640625" customWidth="1"/>
    <col min="410" max="410" width="9.33203125" hidden="1" customWidth="1"/>
    <col min="411" max="411" width="9.5546875" hidden="1" customWidth="1"/>
    <col min="412" max="415" width="9.33203125" hidden="1" customWidth="1"/>
    <col min="416" max="416" width="9.5546875" hidden="1" customWidth="1"/>
    <col min="417" max="420" width="8.6640625" hidden="1" customWidth="1"/>
    <col min="421" max="421" width="13.44140625" hidden="1" customWidth="1"/>
    <col min="422" max="422" width="8.6640625" hidden="1" customWidth="1"/>
    <col min="423" max="423" width="9.33203125" hidden="1" customWidth="1"/>
    <col min="424" max="424" width="1.33203125" hidden="1" customWidth="1"/>
    <col min="425" max="425" width="10.44140625" customWidth="1"/>
    <col min="426" max="426" width="11.6640625" customWidth="1"/>
    <col min="427" max="429" width="9.5546875" customWidth="1"/>
    <col min="430" max="430" width="11.5546875" customWidth="1"/>
    <col min="431" max="431" width="11.88671875" customWidth="1"/>
    <col min="432" max="432" width="15.6640625" customWidth="1"/>
    <col min="433" max="433" width="1.33203125" customWidth="1"/>
    <col min="434" max="434" width="6.6640625" customWidth="1"/>
    <col min="435" max="436" width="14" customWidth="1"/>
    <col min="438" max="439" width="12.33203125" customWidth="1"/>
    <col min="440" max="441" width="14" customWidth="1"/>
    <col min="442" max="442" width="10.6640625" customWidth="1"/>
    <col min="443" max="443" width="12" bestFit="1" customWidth="1"/>
    <col min="444" max="444" width="11.33203125" customWidth="1"/>
    <col min="445" max="448" width="12" customWidth="1"/>
    <col min="449" max="449" width="12.6640625" customWidth="1"/>
    <col min="450" max="450" width="11.5546875" customWidth="1"/>
    <col min="451" max="451" width="14.33203125" customWidth="1"/>
    <col min="452" max="452" width="14.33203125" hidden="1" customWidth="1"/>
    <col min="462" max="477" width="0" hidden="1" customWidth="1"/>
    <col min="478" max="478" width="12.33203125" hidden="1" customWidth="1"/>
    <col min="479" max="481" width="8.6640625" hidden="1" customWidth="1"/>
    <col min="482" max="482" width="8.6640625" customWidth="1"/>
    <col min="483" max="484" width="11.33203125" customWidth="1"/>
    <col min="485" max="485" width="10" bestFit="1" customWidth="1"/>
    <col min="486" max="486" width="10" customWidth="1"/>
    <col min="487" max="487" width="18.33203125" bestFit="1" customWidth="1"/>
    <col min="488" max="488" width="19.5546875" bestFit="1" customWidth="1"/>
    <col min="492" max="492" width="11.6640625" customWidth="1"/>
    <col min="493" max="493" width="19.5546875" bestFit="1" customWidth="1"/>
    <col min="502" max="502" width="19.44140625" customWidth="1"/>
  </cols>
  <sheetData>
    <row r="1" spans="1:502">
      <c r="AQ1" s="887"/>
      <c r="AR1" s="887"/>
      <c r="AW1" s="887"/>
      <c r="AX1" s="887"/>
      <c r="BF1" s="887"/>
      <c r="BG1" s="887"/>
      <c r="BI1" s="887"/>
      <c r="BJ1" s="887"/>
      <c r="BP1" s="887"/>
      <c r="BQ1" s="887"/>
      <c r="BS1" s="887"/>
      <c r="BT1" s="887"/>
      <c r="CJ1" s="1">
        <f>CF28+CC28</f>
        <v>0</v>
      </c>
      <c r="EE1" s="28"/>
      <c r="EK1" s="281"/>
      <c r="GN1">
        <v>721.35</v>
      </c>
      <c r="GP1" s="314"/>
      <c r="HI1" s="1">
        <v>89.9</v>
      </c>
      <c r="IK1" s="1692"/>
      <c r="IP1">
        <v>58.5</v>
      </c>
      <c r="JI1" s="106"/>
      <c r="JJ1" s="106"/>
      <c r="JK1" s="106"/>
      <c r="LN1" s="106"/>
      <c r="NE1" s="98"/>
      <c r="NF1" s="98"/>
      <c r="NG1" s="145"/>
      <c r="NL1" s="1"/>
      <c r="NP1" s="1"/>
      <c r="OD1">
        <v>2540.64</v>
      </c>
      <c r="OJ1" s="72"/>
      <c r="PP1" s="1"/>
      <c r="PS1" s="1"/>
      <c r="RY1" s="1"/>
    </row>
    <row r="2" spans="1:502">
      <c r="BT2" s="1"/>
      <c r="BW2" s="1"/>
      <c r="CF2" s="1"/>
      <c r="DF2">
        <v>214.42</v>
      </c>
      <c r="DN2" s="852"/>
      <c r="DR2" s="25"/>
      <c r="EH2" s="281"/>
      <c r="EI2" s="281"/>
      <c r="GP2" s="314"/>
      <c r="HJ2">
        <v>726.15</v>
      </c>
      <c r="IZ2" s="106"/>
      <c r="MA2">
        <v>3250.7799999997887</v>
      </c>
      <c r="NE2" s="145"/>
      <c r="NF2" s="98"/>
      <c r="NI2" s="1"/>
      <c r="NM2" s="98"/>
      <c r="NN2" s="98"/>
      <c r="NO2" s="98"/>
      <c r="NR2" s="1"/>
      <c r="NV2" s="1"/>
      <c r="OP2" s="1"/>
      <c r="OS2" s="1"/>
      <c r="PJ2">
        <v>1550.98</v>
      </c>
      <c r="QN2" t="s">
        <v>209</v>
      </c>
      <c r="RY2" s="1"/>
    </row>
    <row r="3" spans="1:502">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489"/>
      <c r="AR3" s="489"/>
      <c r="AS3" s="145"/>
      <c r="AT3" s="489"/>
      <c r="AU3" s="489"/>
      <c r="AV3" s="145"/>
      <c r="AW3" s="489"/>
      <c r="AX3" s="489"/>
      <c r="AY3" s="145"/>
      <c r="AZ3" s="145"/>
      <c r="BA3" s="145"/>
      <c r="BB3" s="145"/>
      <c r="BC3" s="145"/>
      <c r="BD3" s="145"/>
      <c r="BE3" s="145"/>
      <c r="BF3" s="489"/>
      <c r="BG3" s="489"/>
      <c r="BH3" s="145"/>
      <c r="BI3" s="489"/>
      <c r="BJ3" s="489"/>
      <c r="BK3" s="145"/>
      <c r="BL3" s="489"/>
      <c r="BM3" s="489"/>
      <c r="BN3" s="489"/>
      <c r="BO3" s="145"/>
      <c r="BP3" s="489"/>
      <c r="BQ3" s="489"/>
      <c r="BR3" s="145"/>
      <c r="BS3" s="489"/>
      <c r="BT3" s="489"/>
      <c r="BU3" s="145"/>
      <c r="BV3" s="489"/>
      <c r="BW3" s="489"/>
      <c r="BX3" s="145"/>
      <c r="BY3" s="489"/>
      <c r="BZ3" s="489"/>
      <c r="CA3" s="145"/>
      <c r="CB3" s="489"/>
      <c r="CC3" s="489">
        <f>CC43/31</f>
        <v>0</v>
      </c>
      <c r="CD3" s="145"/>
      <c r="CE3" s="489">
        <f>CE43/31</f>
        <v>0</v>
      </c>
      <c r="CF3" s="489">
        <f>CF43/31</f>
        <v>0</v>
      </c>
      <c r="CG3" s="145"/>
      <c r="CH3" s="145"/>
      <c r="CI3" s="145"/>
      <c r="CJ3" s="145"/>
      <c r="CK3" s="145"/>
      <c r="CL3" s="145"/>
      <c r="CM3" s="145"/>
      <c r="CN3" s="145"/>
      <c r="CO3" s="145"/>
      <c r="CP3" s="145"/>
      <c r="DN3" s="95"/>
      <c r="DP3" s="95"/>
      <c r="EF3" s="1"/>
      <c r="EG3" s="1"/>
      <c r="GP3" s="314"/>
      <c r="NE3" s="145">
        <v>10013.654684596553</v>
      </c>
      <c r="NF3" s="98"/>
      <c r="NI3" s="1"/>
      <c r="NS3" s="1"/>
      <c r="NZ3" s="1"/>
      <c r="OD3" s="1"/>
      <c r="RY3" s="1"/>
    </row>
    <row r="4" spans="1:502" s="39" customFormat="1" ht="36" customHeight="1">
      <c r="B4" s="2625" t="s">
        <v>103</v>
      </c>
      <c r="C4" s="2692" t="s">
        <v>104</v>
      </c>
      <c r="D4" s="2693"/>
      <c r="E4" s="2693"/>
      <c r="F4" s="2693"/>
      <c r="G4" s="2693"/>
      <c r="H4" s="2693"/>
      <c r="I4" s="2693"/>
      <c r="J4" s="2693"/>
      <c r="K4" s="2693"/>
      <c r="L4" s="2693"/>
      <c r="M4" s="2693"/>
      <c r="N4" s="2693"/>
      <c r="O4" s="2693"/>
      <c r="P4" s="2693"/>
      <c r="Q4" s="2693"/>
      <c r="R4" s="2693"/>
      <c r="S4" s="2693"/>
      <c r="T4" s="2693"/>
      <c r="U4" s="2693"/>
      <c r="V4" s="2693"/>
      <c r="W4" s="2693"/>
      <c r="X4" s="2693"/>
      <c r="Y4" s="2693"/>
      <c r="Z4" s="2693"/>
      <c r="AA4" s="2693"/>
      <c r="AB4" s="2693"/>
      <c r="AC4" s="2693"/>
      <c r="AD4" s="2693"/>
      <c r="AE4" s="2693"/>
      <c r="AF4" s="2693"/>
      <c r="AG4" s="2693"/>
      <c r="AH4" s="2693"/>
      <c r="AI4" s="2693"/>
      <c r="AJ4" s="2693"/>
      <c r="AK4" s="2693"/>
      <c r="AL4" s="2693"/>
      <c r="AM4" s="2693"/>
      <c r="AN4" s="2693"/>
      <c r="AO4" s="2693"/>
      <c r="AP4" s="2693"/>
      <c r="AQ4" s="2693"/>
      <c r="AR4" s="2693"/>
      <c r="AS4" s="2693"/>
      <c r="AT4" s="2693"/>
      <c r="AU4" s="2693"/>
      <c r="AV4" s="2693"/>
      <c r="AW4" s="2693"/>
      <c r="AX4" s="2693"/>
      <c r="AY4" s="2693"/>
      <c r="AZ4" s="2693"/>
      <c r="BA4" s="2693"/>
      <c r="BB4" s="2693"/>
      <c r="BC4" s="2693"/>
      <c r="BD4" s="2693"/>
      <c r="BE4" s="2693"/>
      <c r="BF4" s="2693"/>
      <c r="BG4" s="2693"/>
      <c r="BH4" s="2693"/>
      <c r="BI4" s="2693"/>
      <c r="BJ4" s="2693"/>
      <c r="BK4" s="2693"/>
      <c r="BL4" s="2693"/>
      <c r="BM4" s="2693"/>
      <c r="BN4" s="2693"/>
      <c r="BO4" s="2693"/>
      <c r="BP4" s="2693"/>
      <c r="BQ4" s="2693"/>
      <c r="BR4" s="2693"/>
      <c r="BS4" s="2693"/>
      <c r="BT4" s="2693"/>
      <c r="BU4" s="2693"/>
      <c r="BV4" s="2693"/>
      <c r="BW4" s="2693"/>
      <c r="BX4" s="2693"/>
      <c r="BY4" s="2693"/>
      <c r="BZ4" s="2693"/>
      <c r="CA4" s="2693"/>
      <c r="CB4" s="2693"/>
      <c r="CC4" s="2693"/>
      <c r="CD4" s="2693"/>
      <c r="CE4" s="2693"/>
      <c r="CF4" s="2693"/>
      <c r="CG4" s="2693"/>
      <c r="CH4" s="2693"/>
      <c r="CI4" s="2693"/>
      <c r="CJ4" s="2693"/>
      <c r="CK4" s="2693"/>
      <c r="CL4" s="2693"/>
      <c r="CM4" s="2693"/>
      <c r="CN4" s="2693"/>
      <c r="CO4" s="2693"/>
      <c r="CP4" s="2694"/>
      <c r="CR4" s="2646" t="s">
        <v>105</v>
      </c>
      <c r="CS4" s="2647"/>
      <c r="CT4" s="2647"/>
      <c r="CU4" s="2647"/>
      <c r="CV4" s="2647"/>
      <c r="CW4" s="2647"/>
      <c r="CX4" s="2647"/>
      <c r="CY4" s="2647"/>
      <c r="CZ4" s="2647"/>
      <c r="DA4" s="2647"/>
      <c r="DB4" s="2647"/>
      <c r="DC4" s="2647"/>
      <c r="DD4" s="2647"/>
      <c r="DE4" s="2647"/>
      <c r="DF4" s="2647"/>
      <c r="DG4" s="2647"/>
      <c r="DH4" s="2647"/>
      <c r="DI4" s="2647"/>
      <c r="DJ4" s="2647"/>
      <c r="DK4" s="2647"/>
      <c r="DL4" s="2647"/>
      <c r="DM4" s="2647"/>
      <c r="DN4" s="2647"/>
      <c r="DO4" s="2647"/>
      <c r="DP4" s="2647"/>
      <c r="DQ4" s="2647"/>
      <c r="DR4" s="2647"/>
      <c r="DS4" s="2647"/>
      <c r="DT4" s="2647"/>
      <c r="DU4" s="2647"/>
      <c r="DV4" s="2647"/>
      <c r="DW4" s="2647"/>
      <c r="DX4" s="2647"/>
      <c r="DY4" s="2647"/>
      <c r="DZ4" s="2647"/>
      <c r="EA4" s="2647"/>
      <c r="EB4" s="2647"/>
      <c r="EC4" s="2647"/>
      <c r="ED4" s="2647"/>
      <c r="EE4" s="2647"/>
      <c r="EF4" s="2647"/>
      <c r="EG4" s="2647"/>
      <c r="EH4" s="2647"/>
      <c r="EI4" s="2647"/>
      <c r="EJ4" s="2647"/>
      <c r="EK4" s="2647"/>
      <c r="EL4" s="2647"/>
      <c r="EM4" s="2647"/>
      <c r="EN4" s="2647"/>
      <c r="EO4" s="2647"/>
      <c r="EP4" s="2647"/>
      <c r="EQ4" s="2647"/>
      <c r="ER4" s="2647"/>
      <c r="ES4" s="2647"/>
      <c r="ET4" s="2647"/>
      <c r="EU4" s="2647"/>
      <c r="EV4" s="2647"/>
      <c r="EW4" s="2647"/>
      <c r="EX4" s="2647"/>
      <c r="EY4" s="2647"/>
      <c r="EZ4" s="2648"/>
      <c r="FB4" s="2649" t="s">
        <v>106</v>
      </c>
      <c r="FC4" s="2650"/>
      <c r="FD4" s="2650"/>
      <c r="FE4" s="2650"/>
      <c r="FF4" s="2650"/>
      <c r="FG4" s="2650"/>
      <c r="FH4" s="2650"/>
      <c r="FI4" s="2650"/>
      <c r="FJ4" s="2650"/>
      <c r="FK4" s="2650"/>
      <c r="FL4" s="2650"/>
      <c r="FM4" s="2650"/>
      <c r="FN4" s="2650"/>
      <c r="FO4" s="2650"/>
      <c r="FP4" s="2650"/>
      <c r="FQ4" s="2650"/>
      <c r="FR4" s="2650"/>
      <c r="FS4" s="2650"/>
      <c r="FT4" s="2650"/>
      <c r="FU4" s="2650"/>
      <c r="FV4" s="2650"/>
      <c r="FW4" s="2650"/>
      <c r="FX4" s="2650"/>
      <c r="FY4" s="2650"/>
      <c r="FZ4" s="2650"/>
      <c r="GA4" s="2650"/>
      <c r="GB4" s="2650"/>
      <c r="GC4" s="2650"/>
      <c r="GD4" s="2650"/>
      <c r="GE4" s="2650"/>
      <c r="GF4" s="2650"/>
      <c r="GG4" s="2650"/>
      <c r="GH4" s="2650"/>
      <c r="GI4" s="2651"/>
      <c r="GK4" s="2652" t="s">
        <v>22</v>
      </c>
      <c r="GL4" s="2653"/>
      <c r="GM4" s="2653"/>
      <c r="GN4" s="2653"/>
      <c r="GO4" s="2653"/>
      <c r="GP4" s="2653"/>
      <c r="GQ4" s="2653"/>
      <c r="GR4" s="2653"/>
      <c r="GS4" s="2653"/>
      <c r="GT4" s="2653"/>
      <c r="GU4" s="2653"/>
      <c r="GV4" s="2653"/>
      <c r="GW4" s="2653"/>
      <c r="GX4" s="2653"/>
      <c r="GY4" s="2653"/>
      <c r="GZ4" s="2653"/>
      <c r="HA4" s="2653"/>
      <c r="HB4" s="2653"/>
      <c r="HC4" s="2653"/>
      <c r="HD4" s="2653"/>
      <c r="HE4" s="2653"/>
      <c r="HF4" s="2653"/>
      <c r="HG4" s="2653"/>
      <c r="HH4" s="2653"/>
      <c r="HI4" s="2653"/>
      <c r="HJ4" s="2653"/>
      <c r="HK4" s="2653"/>
      <c r="HL4" s="2653"/>
      <c r="HM4" s="2653"/>
      <c r="HN4" s="2653"/>
      <c r="HO4" s="2653"/>
      <c r="HP4" s="2653"/>
      <c r="HQ4" s="2653"/>
      <c r="HR4" s="2653"/>
      <c r="HS4" s="2653"/>
      <c r="HT4" s="2653"/>
      <c r="HU4" s="2653"/>
      <c r="HV4" s="2653"/>
      <c r="HW4" s="2653"/>
      <c r="HX4" s="2653"/>
      <c r="HY4" s="2653"/>
      <c r="HZ4" s="2653"/>
      <c r="IA4" s="2653"/>
      <c r="IB4" s="2653"/>
      <c r="IC4" s="2653"/>
      <c r="ID4" s="2653"/>
      <c r="IE4" s="2653"/>
      <c r="IF4" s="2653"/>
      <c r="IG4" s="2653"/>
      <c r="IH4" s="2653"/>
      <c r="II4" s="2653"/>
      <c r="IJ4" s="2653"/>
      <c r="IK4" s="2653"/>
      <c r="IL4" s="2653"/>
      <c r="IM4" s="2653"/>
      <c r="IN4" s="2653"/>
      <c r="IO4" s="2653"/>
      <c r="IP4" s="2653"/>
      <c r="IQ4" s="2653"/>
      <c r="IR4" s="2653"/>
      <c r="IS4" s="2653"/>
      <c r="IT4" s="2653"/>
      <c r="IU4" s="2653"/>
      <c r="IV4" s="2653"/>
      <c r="IW4" s="2653"/>
      <c r="IX4" s="2653"/>
      <c r="IY4" s="2653"/>
      <c r="IZ4" s="2653"/>
      <c r="JA4" s="2653"/>
      <c r="JB4" s="2653"/>
      <c r="JC4" s="2653"/>
      <c r="JD4" s="2653"/>
      <c r="JE4" s="2653"/>
      <c r="JF4" s="2653"/>
      <c r="JG4" s="2654"/>
      <c r="JI4" s="2655" t="s">
        <v>107</v>
      </c>
      <c r="JJ4" s="2656"/>
      <c r="JK4" s="2656"/>
      <c r="JL4" s="2656"/>
      <c r="JM4" s="2656"/>
      <c r="JN4" s="2656"/>
      <c r="JO4" s="2656"/>
      <c r="JP4" s="2656"/>
      <c r="JQ4" s="2656"/>
      <c r="JR4" s="2656"/>
      <c r="JS4" s="2656"/>
      <c r="JT4" s="2656"/>
      <c r="JU4" s="2656"/>
      <c r="JV4" s="2656"/>
      <c r="JW4" s="2656"/>
      <c r="JX4" s="2656"/>
      <c r="JY4" s="2656"/>
      <c r="JZ4" s="2656"/>
      <c r="KA4" s="2656"/>
      <c r="KB4" s="2656"/>
      <c r="KC4" s="2656"/>
      <c r="KD4" s="2656"/>
      <c r="KE4" s="2656"/>
      <c r="KF4" s="2656"/>
      <c r="KG4" s="2656"/>
      <c r="KH4" s="2656"/>
      <c r="KI4" s="2656"/>
      <c r="KJ4" s="2656"/>
      <c r="KK4" s="2656"/>
      <c r="KL4" s="2656"/>
      <c r="KM4" s="2656"/>
      <c r="KN4" s="2656"/>
      <c r="KO4" s="2656"/>
      <c r="KP4" s="2656"/>
      <c r="KQ4" s="2656"/>
      <c r="KR4" s="2656"/>
      <c r="KS4" s="2656"/>
      <c r="KT4" s="2656"/>
      <c r="KU4" s="2656"/>
      <c r="KV4" s="2656"/>
      <c r="KW4" s="2656"/>
      <c r="KX4" s="2656"/>
      <c r="KY4" s="2656"/>
      <c r="KZ4" s="2656"/>
      <c r="LA4" s="2656"/>
      <c r="LB4" s="2656"/>
      <c r="LC4" s="2656"/>
      <c r="LD4" s="2656"/>
      <c r="LE4" s="2657"/>
      <c r="LG4" s="2658" t="s">
        <v>108</v>
      </c>
      <c r="LH4" s="2659"/>
      <c r="LI4" s="2659"/>
      <c r="LJ4" s="2659"/>
      <c r="LK4" s="2659"/>
      <c r="LL4" s="2659"/>
      <c r="LM4" s="2659"/>
      <c r="LN4" s="2659"/>
      <c r="LO4" s="2659"/>
      <c r="LP4" s="2659"/>
      <c r="LQ4" s="2659"/>
      <c r="LR4" s="2659"/>
      <c r="LS4" s="2659"/>
      <c r="LT4" s="2659"/>
      <c r="LU4" s="2659"/>
      <c r="LV4" s="2659"/>
      <c r="LW4" s="2659"/>
      <c r="LX4" s="2659"/>
      <c r="LY4" s="2659"/>
      <c r="LZ4" s="2659"/>
      <c r="MA4" s="2659"/>
      <c r="MB4" s="2659"/>
      <c r="MC4" s="2659"/>
      <c r="MD4" s="2659"/>
      <c r="ME4" s="2659"/>
      <c r="MF4" s="2659"/>
      <c r="MG4" s="2659"/>
      <c r="MH4" s="2659"/>
      <c r="MI4" s="2659"/>
      <c r="MJ4" s="2659"/>
      <c r="MK4" s="2659"/>
      <c r="ML4" s="2659"/>
      <c r="MM4" s="2659"/>
      <c r="MN4" s="2659"/>
      <c r="MO4" s="2659"/>
      <c r="MP4" s="2659"/>
      <c r="MQ4" s="2659"/>
      <c r="MR4" s="2659"/>
      <c r="MS4" s="2659"/>
      <c r="MT4" s="2659"/>
      <c r="MU4" s="2659"/>
      <c r="MV4" s="2660"/>
      <c r="MX4" s="2661"/>
      <c r="MY4" s="2662"/>
      <c r="MZ4" s="2662"/>
      <c r="NA4" s="2662"/>
      <c r="NB4" s="2662"/>
      <c r="NC4" s="2662"/>
      <c r="ND4" s="2662"/>
      <c r="NE4" s="2662"/>
      <c r="NF4" s="2662"/>
      <c r="NG4" s="2662"/>
      <c r="NH4" s="2662"/>
      <c r="NI4" s="2662"/>
      <c r="NJ4" s="2662"/>
      <c r="NK4" s="2662"/>
      <c r="NL4" s="2662"/>
      <c r="NM4" s="2662"/>
      <c r="NN4" s="2662"/>
      <c r="NO4" s="2662"/>
      <c r="NP4" s="2662"/>
      <c r="NQ4" s="2662"/>
      <c r="NR4" s="2662"/>
      <c r="NS4" s="2662"/>
      <c r="NT4" s="2662"/>
      <c r="NU4" s="2662"/>
      <c r="NV4" s="2662"/>
      <c r="NW4" s="2662"/>
      <c r="NX4" s="2662"/>
      <c r="NY4" s="2662"/>
      <c r="NZ4" s="2662"/>
      <c r="OA4" s="2662"/>
      <c r="OB4" s="2662"/>
      <c r="OC4" s="2662"/>
      <c r="OD4" s="2662"/>
      <c r="OE4" s="2662"/>
      <c r="OF4" s="2662"/>
      <c r="OG4" s="2662"/>
      <c r="OH4" s="2662"/>
      <c r="OI4" s="2662"/>
      <c r="OJ4" s="2662"/>
      <c r="OK4" s="2662"/>
      <c r="OL4" s="2662"/>
      <c r="OM4" s="2662"/>
      <c r="ON4" s="2662"/>
      <c r="OO4" s="2662"/>
      <c r="OP4" s="2662"/>
      <c r="OQ4" s="2662"/>
      <c r="OR4" s="2662"/>
      <c r="OS4" s="2662"/>
      <c r="OT4" s="2662"/>
      <c r="OU4" s="2662"/>
      <c r="OV4" s="2662"/>
      <c r="OW4" s="2662"/>
      <c r="OX4" s="2662"/>
      <c r="OY4" s="2662"/>
      <c r="OZ4" s="2662"/>
      <c r="PA4" s="2662"/>
      <c r="PB4" s="2662"/>
      <c r="PC4" s="2662"/>
      <c r="PD4" s="2662"/>
      <c r="PE4" s="2662"/>
      <c r="PF4" s="2662"/>
      <c r="PG4" s="2662"/>
      <c r="PH4" s="2663"/>
      <c r="PJ4" s="2664" t="s">
        <v>110</v>
      </c>
      <c r="PK4" s="2665"/>
      <c r="PL4" s="2665"/>
      <c r="PM4" s="2665"/>
      <c r="PN4" s="2665"/>
      <c r="PO4" s="2665"/>
      <c r="PP4" s="2665"/>
      <c r="PQ4" s="2666"/>
      <c r="PS4" s="2677" t="s">
        <v>30</v>
      </c>
      <c r="PT4" s="2678"/>
      <c r="PU4" s="2678"/>
      <c r="PV4" s="2678"/>
      <c r="PW4" s="2678"/>
      <c r="PX4" s="2678"/>
      <c r="PY4" s="2678"/>
      <c r="PZ4" s="2678"/>
      <c r="QA4" s="2678"/>
      <c r="QB4" s="2678"/>
      <c r="QC4" s="2678"/>
      <c r="QD4" s="2678"/>
      <c r="QE4" s="2678"/>
      <c r="QF4" s="2678"/>
      <c r="QG4" s="2678"/>
      <c r="QH4" s="2678"/>
      <c r="QI4" s="2678"/>
      <c r="QJ4" s="2678"/>
      <c r="QK4" s="2678"/>
      <c r="QL4" s="2679"/>
      <c r="RY4" s="1068"/>
    </row>
    <row r="5" spans="1:502" s="40" customFormat="1" ht="12.75" customHeight="1">
      <c r="B5" s="2626"/>
      <c r="C5" s="2624" t="s">
        <v>111</v>
      </c>
      <c r="D5" s="2628"/>
      <c r="E5" s="2628"/>
      <c r="F5" s="2628"/>
      <c r="G5" s="2628"/>
      <c r="H5" s="2628"/>
      <c r="I5" s="2628"/>
      <c r="J5" s="2628"/>
      <c r="K5" s="2628"/>
      <c r="L5" s="2628"/>
      <c r="M5" s="2628"/>
      <c r="N5" s="2629"/>
      <c r="O5" s="2631" t="s">
        <v>112</v>
      </c>
      <c r="P5" s="2623"/>
      <c r="Q5" s="2623"/>
      <c r="R5" s="2623"/>
      <c r="S5" s="2623"/>
      <c r="T5" s="2623"/>
      <c r="U5" s="2623"/>
      <c r="V5" s="2623"/>
      <c r="W5" s="2623"/>
      <c r="X5" s="2623"/>
      <c r="Y5" s="2623"/>
      <c r="Z5" s="2623"/>
      <c r="AA5" s="2623"/>
      <c r="AB5" s="2623"/>
      <c r="AC5" s="2623"/>
      <c r="AD5" s="2623"/>
      <c r="AE5" s="2623"/>
      <c r="AF5" s="2623"/>
      <c r="AG5" s="2623"/>
      <c r="AH5" s="2623"/>
      <c r="AI5" s="2623"/>
      <c r="AJ5" s="2623"/>
      <c r="AK5" s="2623"/>
      <c r="AL5" s="2624"/>
      <c r="AM5" s="2629"/>
      <c r="AN5" s="2680" t="s">
        <v>113</v>
      </c>
      <c r="AO5" s="2681"/>
      <c r="AP5" s="2681"/>
      <c r="AQ5" s="2681"/>
      <c r="AR5" s="2681"/>
      <c r="AS5" s="2681"/>
      <c r="AT5" s="2681"/>
      <c r="AU5" s="2681"/>
      <c r="AV5" s="2681"/>
      <c r="AW5" s="2681"/>
      <c r="AX5" s="2681"/>
      <c r="AY5" s="2681"/>
      <c r="AZ5" s="2681"/>
      <c r="BA5" s="2681"/>
      <c r="BB5" s="2681"/>
      <c r="BC5" s="2681"/>
      <c r="BD5" s="2681"/>
      <c r="BE5" s="2681"/>
      <c r="BF5" s="2681"/>
      <c r="BG5" s="2681"/>
      <c r="BH5" s="2681"/>
      <c r="BI5" s="2681"/>
      <c r="BJ5" s="2681"/>
      <c r="BK5" s="2681"/>
      <c r="BL5" s="2681"/>
      <c r="BM5" s="2681"/>
      <c r="BN5" s="2681"/>
      <c r="BO5" s="2681"/>
      <c r="BP5" s="2681"/>
      <c r="BQ5" s="2681"/>
      <c r="BR5" s="2681"/>
      <c r="BS5" s="2681"/>
      <c r="BT5" s="2681"/>
      <c r="BU5" s="2681"/>
      <c r="BV5" s="2681"/>
      <c r="BW5" s="2681"/>
      <c r="BX5" s="2681"/>
      <c r="BY5" s="2681"/>
      <c r="BZ5" s="2681"/>
      <c r="CA5" s="2681"/>
      <c r="CB5" s="2681"/>
      <c r="CC5" s="2681"/>
      <c r="CD5" s="2681"/>
      <c r="CE5" s="2681"/>
      <c r="CF5" s="2681"/>
      <c r="CG5" s="2682"/>
      <c r="CH5" s="147"/>
      <c r="CI5" s="2633" t="s">
        <v>114</v>
      </c>
      <c r="CJ5" s="2635"/>
      <c r="CK5" s="2635"/>
      <c r="CL5" s="2635"/>
      <c r="CM5" s="2635"/>
      <c r="CN5" s="2635"/>
      <c r="CO5" s="2634"/>
      <c r="CP5" s="348" t="s">
        <v>210</v>
      </c>
      <c r="CQ5" s="41"/>
      <c r="CR5" s="2623" t="s">
        <v>111</v>
      </c>
      <c r="CS5" s="2623"/>
      <c r="CT5" s="2623"/>
      <c r="CU5" s="2623"/>
      <c r="CV5" s="2623"/>
      <c r="CW5" s="2623"/>
      <c r="CX5" s="2623"/>
      <c r="CY5" s="2623"/>
      <c r="CZ5" s="2623"/>
      <c r="DA5" s="2623"/>
      <c r="DB5" s="2623"/>
      <c r="DC5" s="2624"/>
      <c r="DD5" s="2624"/>
      <c r="DE5" s="2685"/>
      <c r="DF5" s="2624" t="s">
        <v>115</v>
      </c>
      <c r="DG5" s="2628"/>
      <c r="DH5" s="2628"/>
      <c r="DI5" s="2628"/>
      <c r="DJ5" s="2628"/>
      <c r="DK5" s="2628"/>
      <c r="DL5" s="2628"/>
      <c r="DM5" s="2628"/>
      <c r="DN5" s="2628"/>
      <c r="DO5" s="2628"/>
      <c r="DP5" s="2628"/>
      <c r="DQ5" s="2628"/>
      <c r="DR5" s="2628"/>
      <c r="DS5" s="2628"/>
      <c r="DT5" s="2628"/>
      <c r="DU5" s="2628"/>
      <c r="DV5" s="2628"/>
      <c r="DW5" s="2628"/>
      <c r="DX5" s="2628"/>
      <c r="DY5" s="2628"/>
      <c r="DZ5" s="2628"/>
      <c r="EA5" s="2628"/>
      <c r="EB5" s="2628"/>
      <c r="EC5" s="2628"/>
      <c r="ED5" s="2628"/>
      <c r="EE5" s="2628"/>
      <c r="EF5" s="2628"/>
      <c r="EG5" s="2628"/>
      <c r="EH5" s="2628"/>
      <c r="EI5" s="2628"/>
      <c r="EJ5" s="2628"/>
      <c r="EK5" s="2628"/>
      <c r="EL5" s="2628"/>
      <c r="EM5" s="2628"/>
      <c r="EN5" s="2628"/>
      <c r="EO5" s="2628"/>
      <c r="EP5" s="2628"/>
      <c r="EQ5" s="2628"/>
      <c r="ER5" s="2628"/>
      <c r="ES5" s="2628"/>
      <c r="ET5" s="2628"/>
      <c r="EU5" s="2628"/>
      <c r="EV5" s="2628"/>
      <c r="EW5" s="2628"/>
      <c r="EX5" s="2628"/>
      <c r="EY5" s="2631"/>
      <c r="EZ5" s="2685"/>
      <c r="FB5" s="2624" t="s">
        <v>111</v>
      </c>
      <c r="FC5" s="2628"/>
      <c r="FD5" s="2628"/>
      <c r="FE5" s="2628"/>
      <c r="FF5" s="2631"/>
      <c r="FG5" s="2674"/>
      <c r="FH5" s="2631" t="s">
        <v>116</v>
      </c>
      <c r="FI5" s="2623"/>
      <c r="FJ5" s="2623"/>
      <c r="FK5" s="2623"/>
      <c r="FL5" s="2623"/>
      <c r="FM5" s="2623"/>
      <c r="FN5" s="2623"/>
      <c r="FO5" s="2623"/>
      <c r="FP5" s="2623"/>
      <c r="FQ5" s="2623"/>
      <c r="FR5" s="2623"/>
      <c r="FS5" s="2623"/>
      <c r="FT5" s="2623"/>
      <c r="FU5" s="2623"/>
      <c r="FV5" s="2623"/>
      <c r="FW5" s="2623"/>
      <c r="FX5" s="2623"/>
      <c r="FY5" s="2623"/>
      <c r="FZ5" s="2623"/>
      <c r="GA5" s="2623"/>
      <c r="GB5" s="2623"/>
      <c r="GC5" s="2623"/>
      <c r="GD5" s="2623"/>
      <c r="GE5" s="2623"/>
      <c r="GF5" s="2623"/>
      <c r="GG5" s="2624"/>
      <c r="GH5" s="2624"/>
      <c r="GI5" s="2674"/>
      <c r="GK5" s="2623" t="s">
        <v>111</v>
      </c>
      <c r="GL5" s="2623"/>
      <c r="GM5" s="2623"/>
      <c r="GN5" s="2623"/>
      <c r="GO5" s="2623"/>
      <c r="GP5" s="2623"/>
      <c r="GQ5" s="2624"/>
      <c r="GR5" s="2667"/>
      <c r="GS5" s="2631" t="s">
        <v>112</v>
      </c>
      <c r="GT5" s="2623"/>
      <c r="GU5" s="2623"/>
      <c r="GV5" s="2623"/>
      <c r="GW5" s="2624"/>
      <c r="GX5" s="2667"/>
      <c r="GY5" s="2631" t="s">
        <v>117</v>
      </c>
      <c r="GZ5" s="2631"/>
      <c r="HA5" s="2623"/>
      <c r="HB5" s="2623"/>
      <c r="HC5" s="2623"/>
      <c r="HD5" s="2623"/>
      <c r="HE5" s="2623"/>
      <c r="HF5" s="2623"/>
      <c r="HG5" s="2623"/>
      <c r="HH5" s="2623"/>
      <c r="HI5" s="2623"/>
      <c r="HJ5" s="2623"/>
      <c r="HK5" s="2623"/>
      <c r="HL5" s="2623"/>
      <c r="HM5" s="2623"/>
      <c r="HN5" s="2623"/>
      <c r="HO5" s="2623"/>
      <c r="HP5" s="2623"/>
      <c r="HQ5" s="2623"/>
      <c r="HR5" s="2623"/>
      <c r="HS5" s="2623"/>
      <c r="HT5" s="2623"/>
      <c r="HU5" s="2623"/>
      <c r="HV5" s="2623"/>
      <c r="HW5" s="2623"/>
      <c r="HX5" s="2623"/>
      <c r="HY5" s="2623"/>
      <c r="HZ5" s="2623"/>
      <c r="IA5" s="2623"/>
      <c r="IB5" s="2623"/>
      <c r="IC5" s="2623"/>
      <c r="ID5" s="2623"/>
      <c r="IE5" s="2623"/>
      <c r="IF5" s="2623"/>
      <c r="IG5" s="2623"/>
      <c r="IH5" s="2623"/>
      <c r="II5" s="2623"/>
      <c r="IJ5" s="2623"/>
      <c r="IK5" s="2623"/>
      <c r="IL5" s="2623"/>
      <c r="IM5" s="2623"/>
      <c r="IN5" s="2623"/>
      <c r="IO5" s="2623"/>
      <c r="IP5" s="2623"/>
      <c r="IQ5" s="2623"/>
      <c r="IR5" s="2623"/>
      <c r="IS5" s="2623"/>
      <c r="IT5" s="2623"/>
      <c r="IU5" s="2623"/>
      <c r="IV5" s="2623"/>
      <c r="IW5" s="2623"/>
      <c r="IX5" s="2623"/>
      <c r="IY5" s="2623"/>
      <c r="IZ5" s="2623"/>
      <c r="JA5" s="2623"/>
      <c r="JB5" s="2623"/>
      <c r="JC5" s="2623"/>
      <c r="JD5" s="2623"/>
      <c r="JE5" s="2623"/>
      <c r="JF5" s="2624"/>
      <c r="JG5" s="2667"/>
      <c r="JI5" s="2623" t="s">
        <v>111</v>
      </c>
      <c r="JJ5" s="2623"/>
      <c r="JK5" s="2623"/>
      <c r="JL5" s="2623"/>
      <c r="JM5" s="2624"/>
      <c r="JN5" s="2669"/>
      <c r="JO5" s="2631" t="s">
        <v>118</v>
      </c>
      <c r="JP5" s="2623"/>
      <c r="JQ5" s="2623"/>
      <c r="JR5" s="2623"/>
      <c r="JS5" s="2623"/>
      <c r="JT5" s="2623"/>
      <c r="JU5" s="2623"/>
      <c r="JV5" s="2623"/>
      <c r="JW5" s="2623"/>
      <c r="JX5" s="2623"/>
      <c r="JY5" s="2623"/>
      <c r="JZ5" s="2623"/>
      <c r="KA5" s="2623"/>
      <c r="KB5" s="2623"/>
      <c r="KC5" s="2623"/>
      <c r="KD5" s="2623"/>
      <c r="KE5" s="2623"/>
      <c r="KF5" s="2623"/>
      <c r="KG5" s="2623"/>
      <c r="KH5" s="2623"/>
      <c r="KI5" s="2623"/>
      <c r="KJ5" s="2623"/>
      <c r="KK5" s="2623"/>
      <c r="KL5" s="2623"/>
      <c r="KM5" s="2624"/>
      <c r="KN5" s="2669"/>
      <c r="KO5" s="2631" t="s">
        <v>119</v>
      </c>
      <c r="KP5" s="2623"/>
      <c r="KQ5" s="2623"/>
      <c r="KR5" s="2623"/>
      <c r="KS5" s="2623"/>
      <c r="KT5" s="2623"/>
      <c r="KU5" s="2623"/>
      <c r="KV5" s="2623"/>
      <c r="KW5" s="2623"/>
      <c r="KX5" s="2623"/>
      <c r="KY5" s="2623"/>
      <c r="KZ5" s="2623"/>
      <c r="LA5" s="2623"/>
      <c r="LB5" s="2623"/>
      <c r="LC5" s="2623"/>
      <c r="LD5" s="2624"/>
      <c r="LE5" s="2669"/>
      <c r="LG5" s="2623" t="s">
        <v>111</v>
      </c>
      <c r="LH5" s="2623"/>
      <c r="LI5" s="2623"/>
      <c r="LJ5" s="2623"/>
      <c r="LK5" s="2623"/>
      <c r="LL5" s="2623"/>
      <c r="LM5" s="2623"/>
      <c r="LN5" s="2623"/>
      <c r="LO5" s="2623"/>
      <c r="LP5" s="2624"/>
      <c r="LQ5" s="2688"/>
      <c r="LR5" s="2631" t="s">
        <v>120</v>
      </c>
      <c r="LS5" s="2631"/>
      <c r="LT5" s="2623"/>
      <c r="LU5" s="2623"/>
      <c r="LV5" s="2623"/>
      <c r="LW5" s="2623"/>
      <c r="LX5" s="2623"/>
      <c r="LY5" s="2623"/>
      <c r="LZ5" s="2623"/>
      <c r="MA5" s="2623"/>
      <c r="MB5" s="2623"/>
      <c r="MC5" s="2623"/>
      <c r="MD5" s="2623"/>
      <c r="ME5" s="2623"/>
      <c r="MF5" s="2623"/>
      <c r="MG5" s="2623"/>
      <c r="MH5" s="2623"/>
      <c r="MI5" s="2623"/>
      <c r="MJ5" s="2623"/>
      <c r="MK5" s="2623"/>
      <c r="ML5" s="2623"/>
      <c r="MM5" s="2623"/>
      <c r="MN5" s="2623"/>
      <c r="MO5" s="2623"/>
      <c r="MP5" s="2623"/>
      <c r="MQ5" s="2623"/>
      <c r="MR5" s="2623"/>
      <c r="MS5" s="2623"/>
      <c r="MT5" s="2623"/>
      <c r="MU5" s="2624"/>
      <c r="MV5" s="2688"/>
      <c r="MX5" s="2623" t="s">
        <v>111</v>
      </c>
      <c r="MY5" s="2623"/>
      <c r="MZ5" s="2623"/>
      <c r="NA5" s="2624"/>
      <c r="NB5" s="2621"/>
      <c r="NC5" s="2631" t="s">
        <v>121</v>
      </c>
      <c r="ND5" s="2631"/>
      <c r="NE5" s="2623"/>
      <c r="NF5" s="2623"/>
      <c r="NG5" s="2623"/>
      <c r="NH5" s="2623"/>
      <c r="NI5" s="2623"/>
      <c r="NJ5" s="2623"/>
      <c r="NK5" s="2623"/>
      <c r="NL5" s="2623"/>
      <c r="NM5" s="2623"/>
      <c r="NN5" s="2623"/>
      <c r="NO5" s="2623"/>
      <c r="NP5" s="2623"/>
      <c r="NQ5" s="2623"/>
      <c r="NR5" s="2623"/>
      <c r="NS5" s="2623"/>
      <c r="NT5" s="2623"/>
      <c r="NU5" s="2623"/>
      <c r="NV5" s="2623"/>
      <c r="NW5" s="2623"/>
      <c r="NX5" s="2623"/>
      <c r="NY5" s="2623"/>
      <c r="NZ5" s="2623"/>
      <c r="OA5" s="2623"/>
      <c r="OB5" s="2623"/>
      <c r="OC5" s="2623"/>
      <c r="OD5" s="2623"/>
      <c r="OE5" s="2623"/>
      <c r="OF5" s="2623"/>
      <c r="OG5" s="2623"/>
      <c r="OH5" s="2623"/>
      <c r="OI5" s="2623"/>
      <c r="OJ5" s="2623"/>
      <c r="OK5" s="2623"/>
      <c r="OL5" s="2623"/>
      <c r="OM5" s="2623"/>
      <c r="ON5" s="2623"/>
      <c r="OO5" s="2623"/>
      <c r="OP5" s="2623"/>
      <c r="OQ5" s="2623"/>
      <c r="OR5" s="2623"/>
      <c r="OS5" s="2623"/>
      <c r="OT5" s="2623"/>
      <c r="OU5" s="2623"/>
      <c r="OV5" s="2623"/>
      <c r="OW5" s="2623"/>
      <c r="OX5" s="2623"/>
      <c r="OY5" s="2623"/>
      <c r="OZ5" s="2623"/>
      <c r="PA5" s="2623"/>
      <c r="PB5" s="2623"/>
      <c r="PC5" s="2623"/>
      <c r="PD5" s="2623"/>
      <c r="PE5" s="2623"/>
      <c r="PF5" s="2623"/>
      <c r="PG5" s="2624"/>
      <c r="PH5" s="2621"/>
      <c r="PJ5" s="2623" t="s">
        <v>111</v>
      </c>
      <c r="PK5" s="2623"/>
      <c r="PL5" s="2623"/>
      <c r="PM5" s="2623"/>
      <c r="PN5" s="2623"/>
      <c r="PO5" s="2624"/>
      <c r="PP5" s="2624"/>
      <c r="PQ5" s="2615"/>
      <c r="PS5" s="2633" t="s">
        <v>211</v>
      </c>
      <c r="PT5" s="2635"/>
      <c r="PU5" s="2635"/>
      <c r="PV5" s="2635"/>
      <c r="PW5" s="2635"/>
      <c r="PX5" s="2635"/>
      <c r="PY5" s="2635"/>
      <c r="PZ5" s="2635"/>
      <c r="QA5" s="2635"/>
      <c r="QB5" s="2635"/>
      <c r="QC5" s="2635"/>
      <c r="QD5" s="2635"/>
      <c r="QE5" s="2635"/>
      <c r="QF5" s="2635"/>
      <c r="QG5" s="2635"/>
      <c r="QH5" s="2635"/>
      <c r="QI5" s="2635"/>
      <c r="QJ5" s="2635"/>
      <c r="QK5" s="2634"/>
      <c r="QL5" s="2615"/>
      <c r="QN5" s="2617" t="s">
        <v>122</v>
      </c>
      <c r="QO5" s="2617"/>
      <c r="QQ5" s="2617" t="s">
        <v>123</v>
      </c>
      <c r="QR5" s="2617"/>
      <c r="QT5" s="2618" t="s">
        <v>124</v>
      </c>
      <c r="QU5" s="2618"/>
      <c r="QV5" s="2618"/>
      <c r="QW5" s="2618"/>
      <c r="QX5" s="2618"/>
      <c r="QY5" s="2618"/>
      <c r="QZ5" s="89"/>
      <c r="RA5" s="2618" t="s">
        <v>125</v>
      </c>
      <c r="RB5" s="2618"/>
      <c r="RC5" s="2618"/>
      <c r="RD5" s="2618"/>
      <c r="RE5" s="2618"/>
      <c r="RF5" s="2618"/>
      <c r="RY5" s="1148"/>
    </row>
    <row r="6" spans="1:502" s="42" customFormat="1" ht="31.2" customHeight="1">
      <c r="B6" s="2626"/>
      <c r="C6" s="2632" t="s">
        <v>3</v>
      </c>
      <c r="D6" s="2632" t="s">
        <v>126</v>
      </c>
      <c r="E6" s="2632" t="s">
        <v>127</v>
      </c>
      <c r="F6" s="2633" t="s">
        <v>212</v>
      </c>
      <c r="G6" s="2634"/>
      <c r="H6" s="2633" t="s">
        <v>212</v>
      </c>
      <c r="I6" s="2634"/>
      <c r="J6" s="2633" t="s">
        <v>128</v>
      </c>
      <c r="K6" s="2634"/>
      <c r="L6" s="2633" t="s">
        <v>129</v>
      </c>
      <c r="M6" s="2635"/>
      <c r="N6" s="2629"/>
      <c r="O6" s="2636" t="s">
        <v>16</v>
      </c>
      <c r="P6" s="2637"/>
      <c r="Q6" s="2637"/>
      <c r="R6" s="2559"/>
      <c r="S6" s="2638" t="s">
        <v>17</v>
      </c>
      <c r="T6" s="2638"/>
      <c r="U6" s="2638"/>
      <c r="V6" s="2638"/>
      <c r="W6" s="2697" t="s">
        <v>213</v>
      </c>
      <c r="X6" s="2698"/>
      <c r="Y6" s="2698"/>
      <c r="Z6" s="2698"/>
      <c r="AA6" s="2699" t="s">
        <v>18</v>
      </c>
      <c r="AB6" s="2700"/>
      <c r="AC6" s="2700"/>
      <c r="AD6" s="2700"/>
      <c r="AE6" s="2701" t="s">
        <v>66</v>
      </c>
      <c r="AF6" s="2701"/>
      <c r="AG6" s="2701"/>
      <c r="AH6" s="2701"/>
      <c r="AI6" s="2640" t="s">
        <v>214</v>
      </c>
      <c r="AJ6" s="2640"/>
      <c r="AK6" s="2640"/>
      <c r="AL6" s="2641"/>
      <c r="AM6" s="2629"/>
      <c r="AN6" s="2636" t="s">
        <v>215</v>
      </c>
      <c r="AO6" s="2637"/>
      <c r="AP6" s="2637"/>
      <c r="AQ6" s="2637" t="s">
        <v>216</v>
      </c>
      <c r="AR6" s="2637"/>
      <c r="AS6" s="2637"/>
      <c r="AT6" s="2637" t="s">
        <v>217</v>
      </c>
      <c r="AU6" s="2637"/>
      <c r="AV6" s="2559"/>
      <c r="AW6" s="2637" t="s">
        <v>218</v>
      </c>
      <c r="AX6" s="2637"/>
      <c r="AY6" s="2637"/>
      <c r="AZ6" s="2637" t="s">
        <v>219</v>
      </c>
      <c r="BA6" s="2637"/>
      <c r="BB6" s="2637"/>
      <c r="BC6" s="2637" t="s">
        <v>220</v>
      </c>
      <c r="BD6" s="2637"/>
      <c r="BE6" s="2637"/>
      <c r="BF6" s="2638" t="s">
        <v>221</v>
      </c>
      <c r="BG6" s="2708"/>
      <c r="BH6" s="2709"/>
      <c r="BI6" s="2638" t="s">
        <v>222</v>
      </c>
      <c r="BJ6" s="2638"/>
      <c r="BK6" s="2638"/>
      <c r="BL6" s="2638" t="s">
        <v>223</v>
      </c>
      <c r="BM6" s="2638"/>
      <c r="BN6" s="2638"/>
      <c r="BO6" s="2638"/>
      <c r="BP6" s="2706" t="s">
        <v>224</v>
      </c>
      <c r="BQ6" s="2706"/>
      <c r="BR6" s="2706"/>
      <c r="BS6" s="2698" t="s">
        <v>225</v>
      </c>
      <c r="BT6" s="2698"/>
      <c r="BU6" s="2698"/>
      <c r="BV6" s="2698" t="s">
        <v>226</v>
      </c>
      <c r="BW6" s="2707"/>
      <c r="BX6" s="2697"/>
      <c r="BY6" s="2638" t="s">
        <v>227</v>
      </c>
      <c r="BZ6" s="2638"/>
      <c r="CA6" s="2645"/>
      <c r="CB6" s="2698" t="s">
        <v>228</v>
      </c>
      <c r="CC6" s="2698"/>
      <c r="CD6" s="2710"/>
      <c r="CE6" s="2698" t="s">
        <v>229</v>
      </c>
      <c r="CF6" s="2698"/>
      <c r="CG6" s="2710"/>
      <c r="CH6" s="147"/>
      <c r="CI6" s="2634" t="s">
        <v>16</v>
      </c>
      <c r="CJ6" s="2632" t="s">
        <v>17</v>
      </c>
      <c r="CK6" s="2632" t="s">
        <v>18</v>
      </c>
      <c r="CL6" s="2632" t="s">
        <v>83</v>
      </c>
      <c r="CM6" s="2632" t="s">
        <v>130</v>
      </c>
      <c r="CN6" s="2671" t="s">
        <v>7</v>
      </c>
      <c r="CO6" s="2633" t="s">
        <v>145</v>
      </c>
      <c r="CP6" s="2632" t="s">
        <v>18</v>
      </c>
      <c r="CR6" s="2632" t="s">
        <v>146</v>
      </c>
      <c r="CS6" s="2632" t="s">
        <v>230</v>
      </c>
      <c r="CT6" s="2632" t="s">
        <v>147</v>
      </c>
      <c r="CU6" s="2632" t="s">
        <v>231</v>
      </c>
      <c r="CV6" s="2632" t="s">
        <v>148</v>
      </c>
      <c r="CW6" s="2632" t="s">
        <v>232</v>
      </c>
      <c r="CX6" s="2632" t="s">
        <v>149</v>
      </c>
      <c r="CY6" s="2632" t="s">
        <v>233</v>
      </c>
      <c r="CZ6" s="2632" t="s">
        <v>69</v>
      </c>
      <c r="DA6" s="2632" t="s">
        <v>234</v>
      </c>
      <c r="DB6" s="2632" t="s">
        <v>71</v>
      </c>
      <c r="DC6" s="2632" t="s">
        <v>235</v>
      </c>
      <c r="DD6" s="2633" t="s">
        <v>7</v>
      </c>
      <c r="DE6" s="2685"/>
      <c r="DF6" s="2633" t="s">
        <v>236</v>
      </c>
      <c r="DG6" s="2635"/>
      <c r="DH6" s="2635"/>
      <c r="DI6" s="2635"/>
      <c r="DJ6" s="2635"/>
      <c r="DK6" s="2635"/>
      <c r="DL6" s="2635"/>
      <c r="DM6" s="2635"/>
      <c r="DN6" s="2635"/>
      <c r="DO6" s="2635"/>
      <c r="DP6" s="2635"/>
      <c r="DQ6" s="1394"/>
      <c r="DR6" s="2711" t="s">
        <v>151</v>
      </c>
      <c r="DS6" s="2633" t="s">
        <v>237</v>
      </c>
      <c r="DT6" s="2635"/>
      <c r="DU6" s="2635"/>
      <c r="DV6" s="2635"/>
      <c r="DW6" s="2635"/>
      <c r="DX6" s="2635"/>
      <c r="DY6" s="2635"/>
      <c r="DZ6" s="2635"/>
      <c r="EA6" s="2635"/>
      <c r="EB6" s="2635"/>
      <c r="EC6" s="2635"/>
      <c r="ED6" s="1394"/>
      <c r="EE6" s="2711" t="s">
        <v>151</v>
      </c>
      <c r="EF6" s="2953" t="s">
        <v>238</v>
      </c>
      <c r="EG6" s="2954"/>
      <c r="EH6" s="2954"/>
      <c r="EI6" s="2954"/>
      <c r="EJ6" s="2954"/>
      <c r="EK6" s="2954"/>
      <c r="EL6" s="2954"/>
      <c r="EM6" s="2954"/>
      <c r="EN6" s="2954"/>
      <c r="EO6" s="2954"/>
      <c r="EP6" s="2954"/>
      <c r="EQ6" s="1394"/>
      <c r="ER6" s="2711" t="s">
        <v>151</v>
      </c>
      <c r="ES6" s="2633" t="s">
        <v>154</v>
      </c>
      <c r="ET6" s="2635"/>
      <c r="EU6" s="2635"/>
      <c r="EV6" s="2635"/>
      <c r="EW6" s="2635"/>
      <c r="EX6" s="2635"/>
      <c r="EY6" s="2711" t="s">
        <v>151</v>
      </c>
      <c r="EZ6" s="2685"/>
      <c r="FB6" s="2690" t="s">
        <v>239</v>
      </c>
      <c r="FC6" s="2690" t="s">
        <v>240</v>
      </c>
      <c r="FD6" s="2690" t="s">
        <v>242</v>
      </c>
      <c r="FE6" s="2671" t="s">
        <v>7</v>
      </c>
      <c r="FF6" s="2671" t="s">
        <v>145</v>
      </c>
      <c r="FG6" s="2674"/>
      <c r="FH6" s="2634" t="s">
        <v>158</v>
      </c>
      <c r="FI6" s="2632"/>
      <c r="FJ6" s="2632"/>
      <c r="FK6" s="2632"/>
      <c r="FL6" s="2632"/>
      <c r="FM6" s="2633"/>
      <c r="FN6" s="2676" t="s">
        <v>151</v>
      </c>
      <c r="FO6" s="2632" t="s">
        <v>159</v>
      </c>
      <c r="FP6" s="2632"/>
      <c r="FQ6" s="2632"/>
      <c r="FR6" s="2632"/>
      <c r="FS6" s="2632"/>
      <c r="FT6" s="2633"/>
      <c r="FU6" s="2676" t="s">
        <v>151</v>
      </c>
      <c r="FV6" s="2632" t="s">
        <v>242</v>
      </c>
      <c r="FW6" s="2632"/>
      <c r="FX6" s="2632"/>
      <c r="FY6" s="2632"/>
      <c r="FZ6" s="2632"/>
      <c r="GA6" s="2632"/>
      <c r="GB6" s="2632"/>
      <c r="GC6" s="2632"/>
      <c r="GD6" s="2632"/>
      <c r="GE6" s="2633"/>
      <c r="GF6" s="2633"/>
      <c r="GG6" s="1394"/>
      <c r="GH6" s="2673" t="s">
        <v>151</v>
      </c>
      <c r="GI6" s="2674"/>
      <c r="GK6" s="2632" t="s">
        <v>161</v>
      </c>
      <c r="GL6" s="2632"/>
      <c r="GM6" s="2633"/>
      <c r="GN6" s="2634" t="s">
        <v>7</v>
      </c>
      <c r="GO6" s="181" t="s">
        <v>162</v>
      </c>
      <c r="GP6" s="181" t="s">
        <v>163</v>
      </c>
      <c r="GQ6" s="2633" t="s">
        <v>145</v>
      </c>
      <c r="GR6" s="2667"/>
      <c r="GS6" s="2634" t="s">
        <v>130</v>
      </c>
      <c r="GT6" s="2632" t="s">
        <v>243</v>
      </c>
      <c r="GU6" s="2632" t="s">
        <v>244</v>
      </c>
      <c r="GV6" s="2632" t="s">
        <v>165</v>
      </c>
      <c r="GW6" s="2619" t="s">
        <v>7</v>
      </c>
      <c r="GX6" s="2667"/>
      <c r="GY6" s="2634" t="s">
        <v>35</v>
      </c>
      <c r="GZ6" s="2634"/>
      <c r="HA6" s="2632"/>
      <c r="HB6" s="2632"/>
      <c r="HC6" s="2632"/>
      <c r="HD6" s="2632"/>
      <c r="HE6" s="2632"/>
      <c r="HF6" s="2632"/>
      <c r="HG6" s="2632"/>
      <c r="HH6" s="2632"/>
      <c r="HI6" s="2632"/>
      <c r="HJ6" s="2632"/>
      <c r="HK6" s="2632"/>
      <c r="HL6" s="2633"/>
      <c r="HM6" s="2676" t="s">
        <v>151</v>
      </c>
      <c r="HN6" s="2619" t="s">
        <v>110</v>
      </c>
      <c r="HO6" s="2673"/>
      <c r="HP6" s="2673"/>
      <c r="HQ6" s="2673"/>
      <c r="HR6" s="2673"/>
      <c r="HS6" s="2673"/>
      <c r="HT6" s="2673"/>
      <c r="HU6" s="2673"/>
      <c r="HV6" s="2673"/>
      <c r="HW6" s="2673"/>
      <c r="HX6" s="2673"/>
      <c r="HY6" s="2673"/>
      <c r="HZ6" s="2673"/>
      <c r="IA6" s="2673"/>
      <c r="IB6" s="2711" t="s">
        <v>151</v>
      </c>
      <c r="IC6" s="2632" t="s">
        <v>245</v>
      </c>
      <c r="ID6" s="2632"/>
      <c r="IE6" s="2632"/>
      <c r="IF6" s="2632"/>
      <c r="IG6" s="2632"/>
      <c r="IH6" s="2632"/>
      <c r="II6" s="2632"/>
      <c r="IJ6" s="2632"/>
      <c r="IK6" s="2632"/>
      <c r="IL6" s="2632"/>
      <c r="IM6" s="2632"/>
      <c r="IN6" s="2632"/>
      <c r="IO6" s="2632"/>
      <c r="IP6" s="2633"/>
      <c r="IQ6" s="2676" t="s">
        <v>151</v>
      </c>
      <c r="IR6" s="2632" t="s">
        <v>246</v>
      </c>
      <c r="IS6" s="2632"/>
      <c r="IT6" s="2632"/>
      <c r="IU6" s="2632"/>
      <c r="IV6" s="2632"/>
      <c r="IW6" s="2632"/>
      <c r="IX6" s="2632"/>
      <c r="IY6" s="2632"/>
      <c r="IZ6" s="2632"/>
      <c r="JA6" s="2632"/>
      <c r="JB6" s="2632"/>
      <c r="JC6" s="2632"/>
      <c r="JD6" s="2632"/>
      <c r="JE6" s="2633"/>
      <c r="JF6" s="2673" t="s">
        <v>151</v>
      </c>
      <c r="JG6" s="2667"/>
      <c r="JI6" s="2632" t="s">
        <v>76</v>
      </c>
      <c r="JJ6" s="2671" t="s">
        <v>77</v>
      </c>
      <c r="JK6" s="2632" t="s">
        <v>247</v>
      </c>
      <c r="JL6" s="2632" t="s">
        <v>7</v>
      </c>
      <c r="JM6" s="2633" t="s">
        <v>145</v>
      </c>
      <c r="JN6" s="2669"/>
      <c r="JO6" s="2634" t="str">
        <f>JI6</f>
        <v>TCM.HCV.LS</v>
      </c>
      <c r="JP6" s="2632"/>
      <c r="JQ6" s="2632"/>
      <c r="JR6" s="2632"/>
      <c r="JS6" s="2632"/>
      <c r="JT6" s="2632"/>
      <c r="JU6" s="2632"/>
      <c r="JV6" s="2632"/>
      <c r="JW6" s="2634" t="str">
        <f>JJ6</f>
        <v>TCM.HCV.HS</v>
      </c>
      <c r="JX6" s="2632"/>
      <c r="JY6" s="2632"/>
      <c r="JZ6" s="2632"/>
      <c r="KA6" s="2632"/>
      <c r="KB6" s="2632"/>
      <c r="KC6" s="2632"/>
      <c r="KD6" s="2632"/>
      <c r="KE6" s="2632" t="str">
        <f>JK6</f>
        <v>LCV.MS.HA</v>
      </c>
      <c r="KF6" s="2632"/>
      <c r="KG6" s="2632"/>
      <c r="KH6" s="2632"/>
      <c r="KI6" s="2632"/>
      <c r="KJ6" s="2632"/>
      <c r="KK6" s="2632"/>
      <c r="KL6" s="2632"/>
      <c r="KM6" s="2633" t="s">
        <v>145</v>
      </c>
      <c r="KN6" s="2669"/>
      <c r="KO6" s="2634" t="s">
        <v>167</v>
      </c>
      <c r="KP6" s="2632"/>
      <c r="KQ6" s="2632"/>
      <c r="KR6" s="2632"/>
      <c r="KS6" s="2632"/>
      <c r="KT6" s="2634" t="s">
        <v>168</v>
      </c>
      <c r="KU6" s="2632"/>
      <c r="KV6" s="2632"/>
      <c r="KW6" s="2632"/>
      <c r="KX6" s="2632"/>
      <c r="KY6" s="2632" t="s">
        <v>247</v>
      </c>
      <c r="KZ6" s="2632"/>
      <c r="LA6" s="2632"/>
      <c r="LB6" s="2632"/>
      <c r="LC6" s="2632"/>
      <c r="LD6" s="2633" t="s">
        <v>145</v>
      </c>
      <c r="LE6" s="2669"/>
      <c r="LG6" s="2633" t="s">
        <v>170</v>
      </c>
      <c r="LH6" s="2635"/>
      <c r="LI6" s="2635"/>
      <c r="LJ6" s="2634"/>
      <c r="LK6" s="2619" t="s">
        <v>171</v>
      </c>
      <c r="LL6" s="2673"/>
      <c r="LM6" s="2673"/>
      <c r="LN6" s="2673"/>
      <c r="LO6" s="2690" t="s">
        <v>172</v>
      </c>
      <c r="LP6" s="2633" t="s">
        <v>145</v>
      </c>
      <c r="LQ6" s="2688"/>
      <c r="LR6" s="2634" t="s">
        <v>173</v>
      </c>
      <c r="LS6" s="2634"/>
      <c r="LT6" s="2632"/>
      <c r="LU6" s="2632"/>
      <c r="LV6" s="2632"/>
      <c r="LW6" s="2620" t="s">
        <v>151</v>
      </c>
      <c r="LX6" s="2632" t="s">
        <v>174</v>
      </c>
      <c r="LY6" s="2632"/>
      <c r="LZ6" s="2632"/>
      <c r="MA6" s="2632"/>
      <c r="MB6" s="2632"/>
      <c r="MC6" s="2632"/>
      <c r="MD6" s="2632" t="s">
        <v>175</v>
      </c>
      <c r="ME6" s="2632"/>
      <c r="MF6" s="2632"/>
      <c r="MG6" s="2632"/>
      <c r="MH6" s="2632"/>
      <c r="MI6" s="2620" t="s">
        <v>151</v>
      </c>
      <c r="MJ6" s="2632" t="s">
        <v>176</v>
      </c>
      <c r="MK6" s="2632"/>
      <c r="ML6" s="2632"/>
      <c r="MM6" s="2632"/>
      <c r="MN6" s="2632"/>
      <c r="MO6" s="2620" t="s">
        <v>151</v>
      </c>
      <c r="MP6" s="2632" t="s">
        <v>248</v>
      </c>
      <c r="MQ6" s="2632"/>
      <c r="MR6" s="2632"/>
      <c r="MS6" s="2632"/>
      <c r="MT6" s="2632"/>
      <c r="MU6" s="2619" t="s">
        <v>151</v>
      </c>
      <c r="MV6" s="2688"/>
      <c r="MX6" s="2632" t="s">
        <v>178</v>
      </c>
      <c r="MY6" s="2632" t="s">
        <v>126</v>
      </c>
      <c r="MZ6" s="2632" t="s">
        <v>179</v>
      </c>
      <c r="NA6" s="2633" t="s">
        <v>249</v>
      </c>
      <c r="NB6" s="2621"/>
      <c r="NC6" s="2634" t="s">
        <v>181</v>
      </c>
      <c r="ND6" s="2634"/>
      <c r="NE6" s="2632"/>
      <c r="NF6" s="2632" t="s">
        <v>7</v>
      </c>
      <c r="NG6" s="2633" t="s">
        <v>35</v>
      </c>
      <c r="NH6" s="2635"/>
      <c r="NI6" s="2635"/>
      <c r="NJ6" s="2635"/>
      <c r="NK6" s="2635"/>
      <c r="NL6" s="2635"/>
      <c r="NM6" s="2635"/>
      <c r="NN6" s="2635"/>
      <c r="NO6" s="2635"/>
      <c r="NP6" s="2635"/>
      <c r="NQ6" s="2635"/>
      <c r="NR6" s="2634"/>
      <c r="NS6" s="2620" t="s">
        <v>151</v>
      </c>
      <c r="NT6" s="2632" t="s">
        <v>245</v>
      </c>
      <c r="NU6" s="2632"/>
      <c r="NV6" s="2632"/>
      <c r="NW6" s="2632"/>
      <c r="NX6" s="2632"/>
      <c r="NY6" s="2632"/>
      <c r="NZ6" s="2632"/>
      <c r="OA6" s="2632"/>
      <c r="OB6" s="2632"/>
      <c r="OC6" s="2632"/>
      <c r="OD6" s="2632"/>
      <c r="OE6" s="181"/>
      <c r="OF6" s="2620" t="s">
        <v>151</v>
      </c>
      <c r="OG6" s="2632" t="s">
        <v>246</v>
      </c>
      <c r="OH6" s="2632"/>
      <c r="OI6" s="2632"/>
      <c r="OJ6" s="2632"/>
      <c r="OK6" s="2632"/>
      <c r="OL6" s="2632"/>
      <c r="OM6" s="2632"/>
      <c r="ON6" s="2632"/>
      <c r="OO6" s="2632"/>
      <c r="OP6" s="2632"/>
      <c r="OQ6" s="2632"/>
      <c r="OR6" s="181"/>
      <c r="OS6" s="2620" t="s">
        <v>151</v>
      </c>
      <c r="OT6" s="2632" t="s">
        <v>250</v>
      </c>
      <c r="OU6" s="2632"/>
      <c r="OV6" s="2632"/>
      <c r="OW6" s="2632"/>
      <c r="OX6" s="2632"/>
      <c r="OY6" s="2632"/>
      <c r="OZ6" s="2620" t="s">
        <v>151</v>
      </c>
      <c r="PA6" s="2632" t="s">
        <v>251</v>
      </c>
      <c r="PB6" s="2632"/>
      <c r="PC6" s="2632"/>
      <c r="PD6" s="2632"/>
      <c r="PE6" s="2632"/>
      <c r="PF6" s="2632"/>
      <c r="PG6" s="2619" t="s">
        <v>151</v>
      </c>
      <c r="PH6" s="2621"/>
      <c r="PJ6" s="2620" t="s">
        <v>184</v>
      </c>
      <c r="PK6" s="2620" t="s">
        <v>252</v>
      </c>
      <c r="PL6" s="2703" t="s">
        <v>253</v>
      </c>
      <c r="PM6" s="2705" t="s">
        <v>186</v>
      </c>
      <c r="PN6" s="2619" t="s">
        <v>91</v>
      </c>
      <c r="PO6" s="2619" t="s">
        <v>254</v>
      </c>
      <c r="PP6" s="2619" t="s">
        <v>145</v>
      </c>
      <c r="PQ6" s="2615"/>
      <c r="PS6" s="2619" t="s">
        <v>255</v>
      </c>
      <c r="PT6" s="2676"/>
      <c r="PU6" s="2619" t="s">
        <v>256</v>
      </c>
      <c r="PV6" s="2673"/>
      <c r="PW6" s="2673"/>
      <c r="PX6" s="2673"/>
      <c r="PY6" s="2676"/>
      <c r="PZ6" s="2620" t="s">
        <v>184</v>
      </c>
      <c r="QA6" s="2620" t="s">
        <v>189</v>
      </c>
      <c r="QB6" s="2620" t="s">
        <v>189</v>
      </c>
      <c r="QC6" s="2690" t="s">
        <v>257</v>
      </c>
      <c r="QD6" s="2690" t="s">
        <v>258</v>
      </c>
      <c r="QE6" s="2620" t="s">
        <v>259</v>
      </c>
      <c r="QF6" s="2620" t="s">
        <v>260</v>
      </c>
      <c r="QG6" s="2716" t="s">
        <v>191</v>
      </c>
      <c r="QH6" s="2717"/>
      <c r="QI6" s="2711"/>
      <c r="QJ6" s="1405"/>
      <c r="QK6" s="2619" t="s">
        <v>145</v>
      </c>
      <c r="QL6" s="2615"/>
      <c r="QQ6" s="105" t="s">
        <v>192</v>
      </c>
      <c r="QR6" s="105">
        <v>13000</v>
      </c>
      <c r="RJ6" s="2718" t="s">
        <v>261</v>
      </c>
      <c r="RK6" s="2718"/>
      <c r="RL6" s="2719"/>
      <c r="RM6" s="2719" t="s">
        <v>7</v>
      </c>
      <c r="RY6" s="1134"/>
    </row>
    <row r="7" spans="1:502" s="42" customFormat="1" ht="46.2" customHeight="1">
      <c r="B7" s="2627"/>
      <c r="C7" s="2632"/>
      <c r="D7" s="2632"/>
      <c r="E7" s="2632"/>
      <c r="F7" s="181"/>
      <c r="G7" s="181"/>
      <c r="H7" s="181" t="s">
        <v>193</v>
      </c>
      <c r="I7" s="181" t="s">
        <v>194</v>
      </c>
      <c r="J7" s="181" t="s">
        <v>193</v>
      </c>
      <c r="K7" s="181" t="s">
        <v>194</v>
      </c>
      <c r="L7" s="181" t="s">
        <v>193</v>
      </c>
      <c r="M7" s="182" t="s">
        <v>194</v>
      </c>
      <c r="N7" s="2629"/>
      <c r="O7" s="183" t="s">
        <v>3</v>
      </c>
      <c r="P7" s="181" t="s">
        <v>126</v>
      </c>
      <c r="Q7" s="181" t="s">
        <v>127</v>
      </c>
      <c r="R7" s="182" t="s">
        <v>145</v>
      </c>
      <c r="S7" s="181" t="s">
        <v>3</v>
      </c>
      <c r="T7" s="181" t="s">
        <v>126</v>
      </c>
      <c r="U7" s="181" t="s">
        <v>127</v>
      </c>
      <c r="V7" s="181" t="s">
        <v>145</v>
      </c>
      <c r="W7" s="183" t="s">
        <v>3</v>
      </c>
      <c r="X7" s="181" t="s">
        <v>126</v>
      </c>
      <c r="Y7" s="181" t="s">
        <v>127</v>
      </c>
      <c r="Z7" s="181" t="s">
        <v>145</v>
      </c>
      <c r="AA7" s="183" t="s">
        <v>3</v>
      </c>
      <c r="AB7" s="181" t="s">
        <v>126</v>
      </c>
      <c r="AC7" s="181" t="s">
        <v>127</v>
      </c>
      <c r="AD7" s="181" t="s">
        <v>145</v>
      </c>
      <c r="AE7" s="181" t="s">
        <v>3</v>
      </c>
      <c r="AF7" s="181" t="s">
        <v>126</v>
      </c>
      <c r="AG7" s="181" t="s">
        <v>127</v>
      </c>
      <c r="AH7" s="181" t="s">
        <v>145</v>
      </c>
      <c r="AI7" s="181" t="s">
        <v>3</v>
      </c>
      <c r="AJ7" s="181" t="s">
        <v>126</v>
      </c>
      <c r="AK7" s="181" t="s">
        <v>127</v>
      </c>
      <c r="AL7" s="182" t="s">
        <v>145</v>
      </c>
      <c r="AM7" s="2629"/>
      <c r="AN7" s="183" t="s">
        <v>3</v>
      </c>
      <c r="AO7" s="181" t="s">
        <v>126</v>
      </c>
      <c r="AP7" s="181" t="s">
        <v>127</v>
      </c>
      <c r="AQ7" s="181" t="s">
        <v>3</v>
      </c>
      <c r="AR7" s="181" t="s">
        <v>126</v>
      </c>
      <c r="AS7" s="181" t="s">
        <v>127</v>
      </c>
      <c r="AT7" s="181" t="s">
        <v>3</v>
      </c>
      <c r="AU7" s="181" t="s">
        <v>126</v>
      </c>
      <c r="AV7" s="182" t="s">
        <v>127</v>
      </c>
      <c r="AW7" s="181" t="s">
        <v>3</v>
      </c>
      <c r="AX7" s="181" t="s">
        <v>126</v>
      </c>
      <c r="AY7" s="181" t="s">
        <v>127</v>
      </c>
      <c r="AZ7" s="181" t="s">
        <v>3</v>
      </c>
      <c r="BA7" s="181" t="s">
        <v>126</v>
      </c>
      <c r="BB7" s="181" t="s">
        <v>127</v>
      </c>
      <c r="BC7" s="181" t="s">
        <v>3</v>
      </c>
      <c r="BD7" s="181" t="s">
        <v>126</v>
      </c>
      <c r="BE7" s="181" t="s">
        <v>127</v>
      </c>
      <c r="BF7" s="181" t="s">
        <v>3</v>
      </c>
      <c r="BG7" s="181" t="s">
        <v>126</v>
      </c>
      <c r="BH7" s="181" t="s">
        <v>127</v>
      </c>
      <c r="BI7" s="181" t="s">
        <v>3</v>
      </c>
      <c r="BJ7" s="181" t="s">
        <v>126</v>
      </c>
      <c r="BK7" s="181" t="s">
        <v>127</v>
      </c>
      <c r="BL7" s="181" t="s">
        <v>3</v>
      </c>
      <c r="BM7" s="181" t="s">
        <v>126</v>
      </c>
      <c r="BN7" s="181" t="s">
        <v>262</v>
      </c>
      <c r="BO7" s="181" t="s">
        <v>127</v>
      </c>
      <c r="BP7" s="181" t="s">
        <v>3</v>
      </c>
      <c r="BQ7" s="181" t="s">
        <v>126</v>
      </c>
      <c r="BR7" s="181" t="s">
        <v>127</v>
      </c>
      <c r="BS7" s="181" t="s">
        <v>3</v>
      </c>
      <c r="BT7" s="181" t="s">
        <v>126</v>
      </c>
      <c r="BU7" s="181" t="s">
        <v>127</v>
      </c>
      <c r="BV7" s="181" t="s">
        <v>3</v>
      </c>
      <c r="BW7" s="181" t="s">
        <v>126</v>
      </c>
      <c r="BX7" s="182" t="s">
        <v>127</v>
      </c>
      <c r="BY7" s="182" t="s">
        <v>3</v>
      </c>
      <c r="BZ7" s="182" t="s">
        <v>126</v>
      </c>
      <c r="CA7" s="182" t="s">
        <v>127</v>
      </c>
      <c r="CB7" s="181" t="s">
        <v>3</v>
      </c>
      <c r="CC7" s="181" t="s">
        <v>126</v>
      </c>
      <c r="CD7" s="182" t="s">
        <v>127</v>
      </c>
      <c r="CE7" s="181" t="s">
        <v>3</v>
      </c>
      <c r="CF7" s="181" t="s">
        <v>126</v>
      </c>
      <c r="CG7" s="182" t="s">
        <v>127</v>
      </c>
      <c r="CH7" s="148"/>
      <c r="CI7" s="2634"/>
      <c r="CJ7" s="2632"/>
      <c r="CK7" s="2632"/>
      <c r="CL7" s="2632"/>
      <c r="CM7" s="2632"/>
      <c r="CN7" s="2672"/>
      <c r="CO7" s="2633"/>
      <c r="CP7" s="2632"/>
      <c r="CR7" s="2632"/>
      <c r="CS7" s="2632"/>
      <c r="CT7" s="2632"/>
      <c r="CU7" s="2632"/>
      <c r="CV7" s="2632"/>
      <c r="CW7" s="2632"/>
      <c r="CX7" s="2632"/>
      <c r="CY7" s="2632"/>
      <c r="CZ7" s="2632"/>
      <c r="DA7" s="2632"/>
      <c r="DB7" s="2632"/>
      <c r="DC7" s="2632"/>
      <c r="DD7" s="2633"/>
      <c r="DE7" s="2685"/>
      <c r="DF7" s="183" t="s">
        <v>146</v>
      </c>
      <c r="DG7" s="183" t="s">
        <v>230</v>
      </c>
      <c r="DH7" s="181" t="s">
        <v>147</v>
      </c>
      <c r="DI7" s="181" t="s">
        <v>231</v>
      </c>
      <c r="DJ7" s="181" t="s">
        <v>148</v>
      </c>
      <c r="DK7" s="181" t="s">
        <v>232</v>
      </c>
      <c r="DL7" s="181" t="s">
        <v>149</v>
      </c>
      <c r="DM7" s="181" t="s">
        <v>233</v>
      </c>
      <c r="DN7" s="181" t="s">
        <v>69</v>
      </c>
      <c r="DO7" s="181" t="s">
        <v>234</v>
      </c>
      <c r="DP7" s="181" t="s">
        <v>71</v>
      </c>
      <c r="DQ7" s="181" t="s">
        <v>235</v>
      </c>
      <c r="DR7" s="2712"/>
      <c r="DS7" s="183" t="s">
        <v>146</v>
      </c>
      <c r="DT7" s="183" t="s">
        <v>230</v>
      </c>
      <c r="DU7" s="181" t="s">
        <v>147</v>
      </c>
      <c r="DV7" s="181" t="s">
        <v>231</v>
      </c>
      <c r="DW7" s="181" t="s">
        <v>148</v>
      </c>
      <c r="DX7" s="181" t="s">
        <v>232</v>
      </c>
      <c r="DY7" s="181" t="s">
        <v>149</v>
      </c>
      <c r="DZ7" s="181" t="s">
        <v>233</v>
      </c>
      <c r="EA7" s="181" t="s">
        <v>69</v>
      </c>
      <c r="EB7" s="181" t="s">
        <v>234</v>
      </c>
      <c r="EC7" s="181" t="s">
        <v>71</v>
      </c>
      <c r="ED7" s="181" t="s">
        <v>235</v>
      </c>
      <c r="EE7" s="2712"/>
      <c r="EF7" s="183" t="s">
        <v>263</v>
      </c>
      <c r="EG7" s="181" t="s">
        <v>264</v>
      </c>
      <c r="EH7" s="181" t="s">
        <v>265</v>
      </c>
      <c r="EI7" s="181" t="s">
        <v>266</v>
      </c>
      <c r="EJ7" s="181" t="s">
        <v>267</v>
      </c>
      <c r="EK7" s="181" t="s">
        <v>268</v>
      </c>
      <c r="EL7" s="181" t="s">
        <v>269</v>
      </c>
      <c r="EM7" s="181" t="s">
        <v>270</v>
      </c>
      <c r="EN7" s="181" t="s">
        <v>271</v>
      </c>
      <c r="EO7" s="181" t="s">
        <v>272</v>
      </c>
      <c r="EP7" s="181" t="s">
        <v>273</v>
      </c>
      <c r="EQ7" s="181" t="s">
        <v>274</v>
      </c>
      <c r="ER7" s="2712"/>
      <c r="ES7" s="181" t="s">
        <v>146</v>
      </c>
      <c r="ET7" s="181" t="s">
        <v>147</v>
      </c>
      <c r="EU7" s="181" t="s">
        <v>148</v>
      </c>
      <c r="EV7" s="181" t="s">
        <v>149</v>
      </c>
      <c r="EW7" s="181" t="s">
        <v>69</v>
      </c>
      <c r="EX7" s="181" t="s">
        <v>71</v>
      </c>
      <c r="EY7" s="2712"/>
      <c r="EZ7" s="2685"/>
      <c r="FB7" s="2691"/>
      <c r="FC7" s="2691"/>
      <c r="FD7" s="2691"/>
      <c r="FE7" s="2672"/>
      <c r="FF7" s="2672"/>
      <c r="FG7" s="2674"/>
      <c r="FH7" s="183" t="s">
        <v>146</v>
      </c>
      <c r="FI7" s="181" t="s">
        <v>147</v>
      </c>
      <c r="FJ7" s="181" t="s">
        <v>148</v>
      </c>
      <c r="FK7" s="181" t="s">
        <v>149</v>
      </c>
      <c r="FL7" s="181" t="s">
        <v>69</v>
      </c>
      <c r="FM7" s="181" t="s">
        <v>71</v>
      </c>
      <c r="FN7" s="2620"/>
      <c r="FO7" s="181" t="s">
        <v>146</v>
      </c>
      <c r="FP7" s="181" t="s">
        <v>147</v>
      </c>
      <c r="FQ7" s="181" t="s">
        <v>148</v>
      </c>
      <c r="FR7" s="181" t="s">
        <v>149</v>
      </c>
      <c r="FS7" s="181" t="s">
        <v>69</v>
      </c>
      <c r="FT7" s="181" t="s">
        <v>71</v>
      </c>
      <c r="FU7" s="2620"/>
      <c r="FV7" s="181" t="s">
        <v>275</v>
      </c>
      <c r="FW7" s="181" t="s">
        <v>230</v>
      </c>
      <c r="FX7" s="181" t="s">
        <v>147</v>
      </c>
      <c r="FY7" s="181" t="s">
        <v>231</v>
      </c>
      <c r="FZ7" s="181" t="s">
        <v>148</v>
      </c>
      <c r="GA7" s="181" t="s">
        <v>232</v>
      </c>
      <c r="GB7" s="181" t="s">
        <v>149</v>
      </c>
      <c r="GC7" s="181" t="s">
        <v>233</v>
      </c>
      <c r="GD7" s="181" t="s">
        <v>69</v>
      </c>
      <c r="GE7" s="181" t="s">
        <v>234</v>
      </c>
      <c r="GF7" s="181" t="s">
        <v>71</v>
      </c>
      <c r="GG7" s="182" t="s">
        <v>235</v>
      </c>
      <c r="GH7" s="2619"/>
      <c r="GI7" s="2674"/>
      <c r="GK7" s="181" t="s">
        <v>276</v>
      </c>
      <c r="GL7" s="181" t="s">
        <v>81</v>
      </c>
      <c r="GM7" s="181" t="s">
        <v>37</v>
      </c>
      <c r="GN7" s="2632"/>
      <c r="GO7" s="181" t="s">
        <v>277</v>
      </c>
      <c r="GP7" s="181" t="s">
        <v>277</v>
      </c>
      <c r="GQ7" s="2633"/>
      <c r="GR7" s="2667"/>
      <c r="GS7" s="2634"/>
      <c r="GT7" s="2632"/>
      <c r="GU7" s="2632"/>
      <c r="GV7" s="2632"/>
      <c r="GW7" s="2619"/>
      <c r="GX7" s="2667"/>
      <c r="GY7" s="183" t="s">
        <v>263</v>
      </c>
      <c r="GZ7" s="181" t="s">
        <v>264</v>
      </c>
      <c r="HA7" s="181" t="s">
        <v>265</v>
      </c>
      <c r="HB7" s="181" t="s">
        <v>266</v>
      </c>
      <c r="HC7" s="181" t="s">
        <v>267</v>
      </c>
      <c r="HD7" s="181" t="s">
        <v>268</v>
      </c>
      <c r="HE7" s="181" t="s">
        <v>269</v>
      </c>
      <c r="HF7" s="181" t="s">
        <v>270</v>
      </c>
      <c r="HG7" s="181" t="s">
        <v>271</v>
      </c>
      <c r="HH7" s="181" t="s">
        <v>272</v>
      </c>
      <c r="HI7" s="181" t="s">
        <v>273</v>
      </c>
      <c r="HJ7" s="181" t="s">
        <v>274</v>
      </c>
      <c r="HK7" s="181" t="s">
        <v>179</v>
      </c>
      <c r="HL7" s="181" t="s">
        <v>278</v>
      </c>
      <c r="HM7" s="2620"/>
      <c r="HN7" s="1001" t="s">
        <v>275</v>
      </c>
      <c r="HO7" s="1001" t="s">
        <v>230</v>
      </c>
      <c r="HP7" s="1001" t="s">
        <v>147</v>
      </c>
      <c r="HQ7" s="1001" t="s">
        <v>231</v>
      </c>
      <c r="HR7" s="1001" t="s">
        <v>148</v>
      </c>
      <c r="HS7" s="1001" t="s">
        <v>232</v>
      </c>
      <c r="HT7" s="1001" t="s">
        <v>149</v>
      </c>
      <c r="HU7" s="1001" t="s">
        <v>233</v>
      </c>
      <c r="HV7" s="1001" t="s">
        <v>69</v>
      </c>
      <c r="HW7" s="1001" t="s">
        <v>234</v>
      </c>
      <c r="HX7" s="1001" t="s">
        <v>71</v>
      </c>
      <c r="HY7" s="1001" t="s">
        <v>235</v>
      </c>
      <c r="HZ7" s="1001" t="s">
        <v>179</v>
      </c>
      <c r="IA7" s="1001" t="s">
        <v>30</v>
      </c>
      <c r="IB7" s="2712"/>
      <c r="IC7" s="183" t="s">
        <v>275</v>
      </c>
      <c r="ID7" s="181" t="s">
        <v>230</v>
      </c>
      <c r="IE7" s="181" t="s">
        <v>147</v>
      </c>
      <c r="IF7" s="181" t="s">
        <v>231</v>
      </c>
      <c r="IG7" s="181" t="s">
        <v>148</v>
      </c>
      <c r="IH7" s="181" t="s">
        <v>232</v>
      </c>
      <c r="II7" s="181" t="s">
        <v>149</v>
      </c>
      <c r="IJ7" s="181" t="s">
        <v>233</v>
      </c>
      <c r="IK7" s="181" t="s">
        <v>69</v>
      </c>
      <c r="IL7" s="181" t="s">
        <v>234</v>
      </c>
      <c r="IM7" s="181" t="s">
        <v>71</v>
      </c>
      <c r="IN7" s="181" t="s">
        <v>235</v>
      </c>
      <c r="IO7" s="181" t="s">
        <v>179</v>
      </c>
      <c r="IP7" s="181" t="s">
        <v>30</v>
      </c>
      <c r="IQ7" s="2620"/>
      <c r="IR7" s="183" t="s">
        <v>275</v>
      </c>
      <c r="IS7" s="181" t="s">
        <v>230</v>
      </c>
      <c r="IT7" s="181" t="s">
        <v>147</v>
      </c>
      <c r="IU7" s="181" t="s">
        <v>231</v>
      </c>
      <c r="IV7" s="181" t="s">
        <v>148</v>
      </c>
      <c r="IW7" s="181" t="s">
        <v>232</v>
      </c>
      <c r="IX7" s="181" t="s">
        <v>149</v>
      </c>
      <c r="IY7" s="181" t="s">
        <v>233</v>
      </c>
      <c r="IZ7" s="181" t="s">
        <v>69</v>
      </c>
      <c r="JA7" s="181" t="s">
        <v>234</v>
      </c>
      <c r="JB7" s="181" t="s">
        <v>71</v>
      </c>
      <c r="JC7" s="181" t="s">
        <v>235</v>
      </c>
      <c r="JD7" s="181" t="s">
        <v>179</v>
      </c>
      <c r="JE7" s="181" t="s">
        <v>30</v>
      </c>
      <c r="JF7" s="2619"/>
      <c r="JG7" s="2667"/>
      <c r="JI7" s="2632"/>
      <c r="JJ7" s="2672"/>
      <c r="JK7" s="2632"/>
      <c r="JL7" s="2632"/>
      <c r="JM7" s="2633"/>
      <c r="JN7" s="2669"/>
      <c r="JO7" s="183" t="s">
        <v>146</v>
      </c>
      <c r="JP7" s="181" t="s">
        <v>147</v>
      </c>
      <c r="JQ7" s="181" t="s">
        <v>148</v>
      </c>
      <c r="JR7" s="181" t="s">
        <v>149</v>
      </c>
      <c r="JS7" s="181" t="s">
        <v>69</v>
      </c>
      <c r="JT7" s="181" t="s">
        <v>71</v>
      </c>
      <c r="JU7" s="181" t="s">
        <v>179</v>
      </c>
      <c r="JV7" s="181" t="s">
        <v>30</v>
      </c>
      <c r="JW7" s="183" t="s">
        <v>146</v>
      </c>
      <c r="JX7" s="181" t="s">
        <v>147</v>
      </c>
      <c r="JY7" s="181" t="s">
        <v>148</v>
      </c>
      <c r="JZ7" s="181" t="s">
        <v>149</v>
      </c>
      <c r="KA7" s="181" t="s">
        <v>69</v>
      </c>
      <c r="KB7" s="181" t="s">
        <v>71</v>
      </c>
      <c r="KC7" s="181" t="s">
        <v>179</v>
      </c>
      <c r="KD7" s="181" t="s">
        <v>30</v>
      </c>
      <c r="KE7" s="181" t="s">
        <v>146</v>
      </c>
      <c r="KF7" s="181" t="s">
        <v>147</v>
      </c>
      <c r="KG7" s="181" t="s">
        <v>148</v>
      </c>
      <c r="KH7" s="181" t="s">
        <v>149</v>
      </c>
      <c r="KI7" s="181" t="s">
        <v>69</v>
      </c>
      <c r="KJ7" s="181" t="s">
        <v>71</v>
      </c>
      <c r="KK7" s="181" t="s">
        <v>179</v>
      </c>
      <c r="KL7" s="181" t="s">
        <v>30</v>
      </c>
      <c r="KM7" s="2633"/>
      <c r="KN7" s="2669"/>
      <c r="KO7" s="183" t="s">
        <v>61</v>
      </c>
      <c r="KP7" s="181" t="s">
        <v>62</v>
      </c>
      <c r="KQ7" s="181" t="s">
        <v>63</v>
      </c>
      <c r="KR7" s="181" t="s">
        <v>196</v>
      </c>
      <c r="KS7" s="181" t="s">
        <v>197</v>
      </c>
      <c r="KT7" s="183" t="s">
        <v>61</v>
      </c>
      <c r="KU7" s="181" t="s">
        <v>62</v>
      </c>
      <c r="KV7" s="181" t="s">
        <v>63</v>
      </c>
      <c r="KW7" s="181" t="s">
        <v>196</v>
      </c>
      <c r="KX7" s="181" t="s">
        <v>197</v>
      </c>
      <c r="KY7" s="181" t="s">
        <v>61</v>
      </c>
      <c r="KZ7" s="181" t="s">
        <v>62</v>
      </c>
      <c r="LA7" s="181" t="s">
        <v>63</v>
      </c>
      <c r="LB7" s="181" t="s">
        <v>196</v>
      </c>
      <c r="LC7" s="181" t="s">
        <v>197</v>
      </c>
      <c r="LD7" s="2633"/>
      <c r="LE7" s="2669"/>
      <c r="LG7" s="184" t="s">
        <v>167</v>
      </c>
      <c r="LH7" s="184" t="s">
        <v>168</v>
      </c>
      <c r="LI7" s="184" t="s">
        <v>279</v>
      </c>
      <c r="LJ7" s="184" t="s">
        <v>7</v>
      </c>
      <c r="LK7" s="43" t="s">
        <v>198</v>
      </c>
      <c r="LL7" s="43" t="s">
        <v>199</v>
      </c>
      <c r="LM7" s="44" t="s">
        <v>200</v>
      </c>
      <c r="LN7" s="45" t="s">
        <v>201</v>
      </c>
      <c r="LO7" s="2691"/>
      <c r="LP7" s="2633"/>
      <c r="LQ7" s="2688"/>
      <c r="LR7" s="183" t="s">
        <v>167</v>
      </c>
      <c r="LS7" s="184" t="s">
        <v>168</v>
      </c>
      <c r="LT7" s="181" t="s">
        <v>169</v>
      </c>
      <c r="LU7" s="181" t="s">
        <v>202</v>
      </c>
      <c r="LV7" s="181" t="s">
        <v>280</v>
      </c>
      <c r="LW7" s="2620"/>
      <c r="LX7" s="181" t="s">
        <v>167</v>
      </c>
      <c r="LY7" s="184" t="s">
        <v>168</v>
      </c>
      <c r="LZ7" s="181" t="s">
        <v>169</v>
      </c>
      <c r="MA7" s="181" t="s">
        <v>202</v>
      </c>
      <c r="MB7" s="181" t="s">
        <v>280</v>
      </c>
      <c r="MC7" s="181" t="s">
        <v>151</v>
      </c>
      <c r="MD7" s="181" t="s">
        <v>167</v>
      </c>
      <c r="ME7" s="184" t="s">
        <v>168</v>
      </c>
      <c r="MF7" s="181" t="s">
        <v>169</v>
      </c>
      <c r="MG7" s="181" t="s">
        <v>202</v>
      </c>
      <c r="MH7" s="181" t="s">
        <v>203</v>
      </c>
      <c r="MI7" s="2620"/>
      <c r="MJ7" s="181" t="s">
        <v>167</v>
      </c>
      <c r="MK7" s="181" t="s">
        <v>168</v>
      </c>
      <c r="ML7" s="181" t="s">
        <v>169</v>
      </c>
      <c r="MM7" s="181" t="s">
        <v>202</v>
      </c>
      <c r="MN7" s="181" t="s">
        <v>203</v>
      </c>
      <c r="MO7" s="2620"/>
      <c r="MP7" s="181" t="s">
        <v>167</v>
      </c>
      <c r="MQ7" s="184" t="s">
        <v>168</v>
      </c>
      <c r="MR7" s="181" t="s">
        <v>169</v>
      </c>
      <c r="MS7" s="181" t="s">
        <v>202</v>
      </c>
      <c r="MT7" s="181" t="s">
        <v>280</v>
      </c>
      <c r="MU7" s="2619"/>
      <c r="MV7" s="2688"/>
      <c r="MX7" s="2632"/>
      <c r="MY7" s="2632"/>
      <c r="MZ7" s="2632"/>
      <c r="NA7" s="2633"/>
      <c r="NB7" s="2621"/>
      <c r="NC7" s="183" t="s">
        <v>167</v>
      </c>
      <c r="ND7" s="183" t="s">
        <v>168</v>
      </c>
      <c r="NE7" s="181" t="s">
        <v>169</v>
      </c>
      <c r="NF7" s="2632"/>
      <c r="NG7" s="183" t="s">
        <v>263</v>
      </c>
      <c r="NH7" s="181" t="s">
        <v>230</v>
      </c>
      <c r="NI7" s="181" t="s">
        <v>265</v>
      </c>
      <c r="NJ7" s="181" t="s">
        <v>231</v>
      </c>
      <c r="NK7" s="181" t="s">
        <v>267</v>
      </c>
      <c r="NL7" s="181" t="s">
        <v>232</v>
      </c>
      <c r="NM7" s="181" t="s">
        <v>269</v>
      </c>
      <c r="NN7" s="181" t="s">
        <v>233</v>
      </c>
      <c r="NO7" s="181" t="s">
        <v>69</v>
      </c>
      <c r="NP7" s="999" t="s">
        <v>281</v>
      </c>
      <c r="NQ7" s="181" t="s">
        <v>146</v>
      </c>
      <c r="NR7" s="181" t="s">
        <v>71</v>
      </c>
      <c r="NS7" s="2620"/>
      <c r="NT7" s="183" t="s">
        <v>275</v>
      </c>
      <c r="NU7" s="181" t="s">
        <v>230</v>
      </c>
      <c r="NV7" s="181" t="s">
        <v>147</v>
      </c>
      <c r="NW7" s="181" t="s">
        <v>231</v>
      </c>
      <c r="NX7" s="181" t="s">
        <v>148</v>
      </c>
      <c r="NY7" s="181" t="s">
        <v>232</v>
      </c>
      <c r="NZ7" s="181" t="s">
        <v>149</v>
      </c>
      <c r="OA7" s="181" t="s">
        <v>233</v>
      </c>
      <c r="OB7" s="181" t="s">
        <v>69</v>
      </c>
      <c r="OC7" s="181" t="s">
        <v>234</v>
      </c>
      <c r="OD7" s="181" t="s">
        <v>71</v>
      </c>
      <c r="OE7" s="181" t="s">
        <v>235</v>
      </c>
      <c r="OF7" s="2620"/>
      <c r="OG7" s="183" t="s">
        <v>275</v>
      </c>
      <c r="OH7" s="181" t="s">
        <v>230</v>
      </c>
      <c r="OI7" s="181" t="s">
        <v>147</v>
      </c>
      <c r="OJ7" s="181" t="s">
        <v>231</v>
      </c>
      <c r="OK7" s="181" t="s">
        <v>148</v>
      </c>
      <c r="OL7" s="181" t="s">
        <v>232</v>
      </c>
      <c r="OM7" s="181" t="s">
        <v>149</v>
      </c>
      <c r="ON7" s="181" t="s">
        <v>233</v>
      </c>
      <c r="OO7" s="181" t="s">
        <v>69</v>
      </c>
      <c r="OP7" s="181" t="s">
        <v>234</v>
      </c>
      <c r="OQ7" s="181" t="s">
        <v>71</v>
      </c>
      <c r="OR7" s="181" t="s">
        <v>235</v>
      </c>
      <c r="OS7" s="2620"/>
      <c r="OT7" s="181" t="s">
        <v>146</v>
      </c>
      <c r="OU7" s="181" t="s">
        <v>147</v>
      </c>
      <c r="OV7" s="181" t="s">
        <v>148</v>
      </c>
      <c r="OW7" s="181" t="s">
        <v>149</v>
      </c>
      <c r="OX7" s="181" t="s">
        <v>69</v>
      </c>
      <c r="OY7" s="181" t="s">
        <v>71</v>
      </c>
      <c r="OZ7" s="2620"/>
      <c r="PA7" s="181" t="s">
        <v>146</v>
      </c>
      <c r="PB7" s="181" t="s">
        <v>147</v>
      </c>
      <c r="PC7" s="181" t="s">
        <v>148</v>
      </c>
      <c r="PD7" s="181" t="s">
        <v>149</v>
      </c>
      <c r="PE7" s="181" t="s">
        <v>69</v>
      </c>
      <c r="PF7" s="181" t="s">
        <v>71</v>
      </c>
      <c r="PG7" s="2619"/>
      <c r="PH7" s="2621"/>
      <c r="PJ7" s="2620"/>
      <c r="PK7" s="2620"/>
      <c r="PL7" s="2704"/>
      <c r="PM7" s="2705"/>
      <c r="PN7" s="2619"/>
      <c r="PO7" s="2619"/>
      <c r="PP7" s="2619"/>
      <c r="PQ7" s="2615"/>
      <c r="PS7" s="999" t="s">
        <v>243</v>
      </c>
      <c r="PT7" s="999" t="s">
        <v>72</v>
      </c>
      <c r="PU7" s="999" t="s">
        <v>35</v>
      </c>
      <c r="PV7" s="999" t="s">
        <v>81</v>
      </c>
      <c r="PW7" s="999" t="s">
        <v>282</v>
      </c>
      <c r="PX7" s="999" t="s">
        <v>283</v>
      </c>
      <c r="PY7" s="999" t="s">
        <v>284</v>
      </c>
      <c r="PZ7" s="2620"/>
      <c r="QA7" s="2620"/>
      <c r="QB7" s="2620"/>
      <c r="QC7" s="2691"/>
      <c r="QD7" s="2691"/>
      <c r="QE7" s="2620"/>
      <c r="QF7" s="2620"/>
      <c r="QG7" s="999" t="s">
        <v>35</v>
      </c>
      <c r="QH7" s="999" t="s">
        <v>81</v>
      </c>
      <c r="QI7" s="999" t="s">
        <v>37</v>
      </c>
      <c r="QJ7" s="1000"/>
      <c r="QK7" s="2619"/>
      <c r="QL7" s="2615"/>
      <c r="QN7" s="181" t="s">
        <v>204</v>
      </c>
      <c r="QO7" s="181" t="s">
        <v>205</v>
      </c>
      <c r="QQ7" s="181" t="s">
        <v>204</v>
      </c>
      <c r="QR7" s="181" t="s">
        <v>205</v>
      </c>
      <c r="QT7" s="89" t="s">
        <v>146</v>
      </c>
      <c r="QU7" s="89" t="s">
        <v>147</v>
      </c>
      <c r="QV7" s="89" t="s">
        <v>148</v>
      </c>
      <c r="QW7" s="89" t="s">
        <v>149</v>
      </c>
      <c r="QX7" s="89" t="s">
        <v>69</v>
      </c>
      <c r="QY7" s="89" t="s">
        <v>71</v>
      </c>
      <c r="QZ7" s="89"/>
      <c r="RA7" s="89" t="s">
        <v>146</v>
      </c>
      <c r="RB7" s="89" t="s">
        <v>147</v>
      </c>
      <c r="RC7" s="89" t="s">
        <v>148</v>
      </c>
      <c r="RD7" s="89" t="s">
        <v>149</v>
      </c>
      <c r="RE7" s="89" t="s">
        <v>69</v>
      </c>
      <c r="RF7" s="89" t="s">
        <v>71</v>
      </c>
      <c r="RJ7" s="1004" t="s">
        <v>167</v>
      </c>
      <c r="RK7" s="1004" t="s">
        <v>168</v>
      </c>
      <c r="RL7" s="1003" t="s">
        <v>169</v>
      </c>
      <c r="RM7" s="2719"/>
      <c r="RY7" s="1134"/>
    </row>
    <row r="8" spans="1:502" s="89" customFormat="1" ht="15" customHeight="1">
      <c r="C8" s="1395"/>
      <c r="D8" s="1395"/>
      <c r="E8" s="1395"/>
      <c r="F8" s="1395"/>
      <c r="G8" s="1395"/>
      <c r="H8" s="1395"/>
      <c r="I8" s="1395"/>
      <c r="J8" s="1395"/>
      <c r="K8" s="1395"/>
      <c r="L8" s="1395"/>
      <c r="M8" s="1395"/>
      <c r="N8" s="2629"/>
      <c r="O8" s="1395"/>
      <c r="P8" s="1395"/>
      <c r="Q8" s="1395"/>
      <c r="R8" s="1395"/>
      <c r="S8" s="1147"/>
      <c r="T8" s="1395"/>
      <c r="U8" s="1406"/>
      <c r="V8" s="1146"/>
      <c r="W8" s="1395"/>
      <c r="X8" s="1395"/>
      <c r="Y8" s="1395"/>
      <c r="Z8" s="1395"/>
      <c r="AA8" s="2720"/>
      <c r="AB8" s="2721"/>
      <c r="AC8" s="2721"/>
      <c r="AD8" s="2722"/>
      <c r="AE8" s="1395"/>
      <c r="AF8" s="1395"/>
      <c r="AG8" s="1395"/>
      <c r="AH8" s="1395"/>
      <c r="AI8" s="1395"/>
      <c r="AJ8" s="1395"/>
      <c r="AK8" s="1395"/>
      <c r="AL8" s="1395"/>
      <c r="AM8" s="2629"/>
      <c r="AN8" s="1395"/>
      <c r="AO8" s="1395"/>
      <c r="AP8" s="1395"/>
      <c r="AQ8" s="1395"/>
      <c r="AR8" s="1395"/>
      <c r="AS8" s="1395"/>
      <c r="AT8" s="1395"/>
      <c r="AU8" s="1395"/>
      <c r="AV8" s="1395"/>
      <c r="AW8" s="1147"/>
      <c r="AX8" s="1395"/>
      <c r="AY8" s="1395"/>
      <c r="AZ8" s="1395"/>
      <c r="BA8" s="1395"/>
      <c r="BB8" s="1395"/>
      <c r="BC8" s="1395"/>
      <c r="BD8" s="1395"/>
      <c r="BE8" s="1395"/>
      <c r="BF8" s="1395"/>
      <c r="BG8" s="1395"/>
      <c r="BH8" s="1395"/>
      <c r="BI8" s="1395"/>
      <c r="BJ8" s="1395"/>
      <c r="BK8" s="1395"/>
      <c r="BL8" s="1395"/>
      <c r="BM8" s="1395"/>
      <c r="BN8" s="1395"/>
      <c r="BO8" s="1395"/>
      <c r="BP8" s="1395"/>
      <c r="BQ8" s="1395"/>
      <c r="BR8" s="1395"/>
      <c r="BS8" s="1395"/>
      <c r="BT8" s="1395"/>
      <c r="BU8" s="1395"/>
      <c r="BV8" s="1395"/>
      <c r="BW8" s="1395"/>
      <c r="BX8" s="1395"/>
      <c r="CH8" s="147"/>
      <c r="CI8" s="1395"/>
      <c r="CJ8" s="1395"/>
      <c r="CK8" s="1395"/>
      <c r="CL8" s="1395"/>
      <c r="CM8" s="1395"/>
      <c r="CO8" s="1395"/>
      <c r="CP8" s="323"/>
      <c r="CR8" s="1395"/>
      <c r="CS8" s="1395"/>
      <c r="CT8" s="1395"/>
      <c r="CU8" s="1395"/>
      <c r="CV8" s="1395"/>
      <c r="CW8" s="1395"/>
      <c r="CX8" s="1395"/>
      <c r="CY8" s="1395"/>
      <c r="CZ8" s="1395"/>
      <c r="DA8" s="1395"/>
      <c r="DB8" s="1395"/>
      <c r="DC8" s="1395"/>
      <c r="DD8" s="1395"/>
      <c r="DE8" s="2685"/>
      <c r="DF8" s="1395"/>
      <c r="DG8" s="1395"/>
      <c r="DH8" s="1395"/>
      <c r="DI8" s="1395"/>
      <c r="DJ8" s="1395"/>
      <c r="DK8" s="1395"/>
      <c r="DL8" s="1395"/>
      <c r="DM8" s="1395"/>
      <c r="DN8" s="1395"/>
      <c r="DO8" s="1395"/>
      <c r="DP8" s="1395"/>
      <c r="DQ8" s="1395"/>
      <c r="DR8" s="1396"/>
      <c r="DS8" s="1395"/>
      <c r="DT8" s="1395"/>
      <c r="DU8" s="1395"/>
      <c r="DV8" s="1395"/>
      <c r="DW8" s="1395"/>
      <c r="DX8" s="1395"/>
      <c r="DY8" s="1395"/>
      <c r="DZ8" s="1395"/>
      <c r="EA8" s="1395"/>
      <c r="EB8" s="1395"/>
      <c r="EC8" s="1395"/>
      <c r="ED8" s="1395"/>
      <c r="EE8" s="1396"/>
      <c r="EF8" s="1395"/>
      <c r="EG8" s="1395"/>
      <c r="EH8" s="1395"/>
      <c r="EI8" s="1395"/>
      <c r="EJ8" s="1395"/>
      <c r="EK8" s="1395"/>
      <c r="EL8" s="1395"/>
      <c r="EM8" s="1395"/>
      <c r="EN8" s="1395"/>
      <c r="EO8" s="1395"/>
      <c r="EP8" s="1395"/>
      <c r="EQ8" s="1395"/>
      <c r="ER8" s="1396"/>
      <c r="ES8" s="1395"/>
      <c r="ET8" s="1395"/>
      <c r="EU8" s="1395"/>
      <c r="EV8" s="1395"/>
      <c r="EW8" s="1395"/>
      <c r="EX8" s="1395"/>
      <c r="EY8" s="1396"/>
      <c r="EZ8" s="2685"/>
      <c r="FB8" s="1396"/>
      <c r="FC8" s="1396"/>
      <c r="FD8" s="1396"/>
      <c r="FE8" s="1395"/>
      <c r="FF8" s="1395"/>
      <c r="FG8" s="2674"/>
      <c r="FH8" s="1395"/>
      <c r="FI8" s="1395"/>
      <c r="FJ8" s="1395"/>
      <c r="FK8" s="1395"/>
      <c r="FL8" s="1395"/>
      <c r="FM8" s="1395"/>
      <c r="FN8" s="1396"/>
      <c r="FO8" s="1395"/>
      <c r="FP8" s="1395"/>
      <c r="FQ8" s="1395"/>
      <c r="FR8" s="1395"/>
      <c r="FS8" s="1395"/>
      <c r="FT8" s="1395"/>
      <c r="FU8" s="1396"/>
      <c r="FV8" s="1395"/>
      <c r="FW8" s="1395"/>
      <c r="FX8" s="1395"/>
      <c r="FY8" s="1395"/>
      <c r="FZ8" s="1395"/>
      <c r="GA8" s="1395"/>
      <c r="GB8" s="1395"/>
      <c r="GC8" s="1395"/>
      <c r="GD8" s="1395"/>
      <c r="GE8" s="1395"/>
      <c r="GF8" s="1395"/>
      <c r="GG8" s="1395"/>
      <c r="GH8" s="1396"/>
      <c r="GI8" s="2674"/>
      <c r="GK8" s="1395"/>
      <c r="GL8" s="1395"/>
      <c r="GM8" s="1395"/>
      <c r="GN8" s="1395"/>
      <c r="GO8" s="1395"/>
      <c r="GP8" s="1395"/>
      <c r="GQ8" s="1395"/>
      <c r="GR8" s="2667"/>
      <c r="GS8" s="1395"/>
      <c r="GT8" s="1395"/>
      <c r="GU8" s="1395"/>
      <c r="GV8" s="1395"/>
      <c r="GW8" s="1396"/>
      <c r="GX8" s="2667"/>
      <c r="GY8" s="1395"/>
      <c r="GZ8" s="1395"/>
      <c r="HA8" s="1395"/>
      <c r="HB8" s="1395"/>
      <c r="HC8" s="1395"/>
      <c r="HD8" s="1395"/>
      <c r="HE8" s="1395"/>
      <c r="HF8" s="1395"/>
      <c r="HG8" s="1395"/>
      <c r="HH8" s="1395"/>
      <c r="HI8" s="1395"/>
      <c r="HJ8" s="1395"/>
      <c r="HK8" s="1395"/>
      <c r="HL8" s="1395"/>
      <c r="HM8" s="1396"/>
      <c r="HN8" s="1145"/>
      <c r="HO8" s="1407"/>
      <c r="HP8" s="1407"/>
      <c r="HQ8" s="1407"/>
      <c r="HR8" s="1407"/>
      <c r="HS8" s="1407"/>
      <c r="HT8" s="1407"/>
      <c r="HU8" s="1407"/>
      <c r="HV8" s="1407"/>
      <c r="HW8" s="1407"/>
      <c r="HX8" s="1407"/>
      <c r="HY8" s="1407"/>
      <c r="HZ8" s="1407"/>
      <c r="IA8" s="1407"/>
      <c r="IB8" s="1144"/>
      <c r="IC8" s="1395"/>
      <c r="ID8" s="1395"/>
      <c r="IE8" s="1395"/>
      <c r="IF8" s="1395"/>
      <c r="IG8" s="1395"/>
      <c r="IH8" s="1395"/>
      <c r="II8" s="1395"/>
      <c r="IJ8" s="1395"/>
      <c r="IK8" s="1395"/>
      <c r="IL8" s="1395"/>
      <c r="IM8" s="1395"/>
      <c r="IN8" s="1395"/>
      <c r="IO8" s="1395"/>
      <c r="IP8" s="1395"/>
      <c r="IQ8" s="1396"/>
      <c r="IR8" s="1395"/>
      <c r="IS8" s="1395"/>
      <c r="IT8" s="1395"/>
      <c r="IU8" s="1395"/>
      <c r="IV8" s="1395"/>
      <c r="IW8" s="1395"/>
      <c r="IX8" s="1395"/>
      <c r="IY8" s="1395"/>
      <c r="IZ8" s="1395"/>
      <c r="JA8" s="1395"/>
      <c r="JB8" s="1395"/>
      <c r="JC8" s="1395"/>
      <c r="JD8" s="1395"/>
      <c r="JE8" s="1395"/>
      <c r="JF8" s="1396"/>
      <c r="JG8" s="2667"/>
      <c r="JI8" s="1395"/>
      <c r="JJ8" s="1395"/>
      <c r="JK8" s="1395"/>
      <c r="JL8" s="1395"/>
      <c r="JM8" s="1395"/>
      <c r="JN8" s="2669"/>
      <c r="JO8" s="1395"/>
      <c r="JP8" s="1395"/>
      <c r="JQ8" s="1395"/>
      <c r="JR8" s="1395"/>
      <c r="JS8" s="1395"/>
      <c r="JT8" s="1395"/>
      <c r="JU8" s="1395"/>
      <c r="JV8" s="1395"/>
      <c r="JW8" s="1395"/>
      <c r="JX8" s="1395"/>
      <c r="JY8" s="1395"/>
      <c r="JZ8" s="1395"/>
      <c r="KA8" s="1395"/>
      <c r="KB8" s="1395"/>
      <c r="KC8" s="1395"/>
      <c r="KD8" s="1395"/>
      <c r="KF8" s="1395"/>
      <c r="KG8" s="1395"/>
      <c r="KH8" s="1395"/>
      <c r="KI8" s="1395"/>
      <c r="KJ8" s="1395"/>
      <c r="KK8" s="1395"/>
      <c r="KL8" s="1395"/>
      <c r="KM8" s="1395"/>
      <c r="KN8" s="2669"/>
      <c r="KO8" s="1395"/>
      <c r="KP8" s="1395"/>
      <c r="KQ8" s="1395"/>
      <c r="KR8" s="1395"/>
      <c r="KS8" s="1395"/>
      <c r="KT8" s="1395"/>
      <c r="KU8" s="1395"/>
      <c r="KV8" s="1395"/>
      <c r="KW8" s="1395"/>
      <c r="KX8" s="1395"/>
      <c r="KY8" s="1395"/>
      <c r="KZ8" s="1395"/>
      <c r="LA8" s="1395"/>
      <c r="LB8" s="1395"/>
      <c r="LC8" s="1395"/>
      <c r="LD8" s="1395"/>
      <c r="LE8" s="2669"/>
      <c r="LG8" s="1395"/>
      <c r="LH8" s="1395"/>
      <c r="LI8" s="1395"/>
      <c r="LJ8" s="1395"/>
      <c r="LK8" s="17"/>
      <c r="LL8" s="18"/>
      <c r="LM8" s="1397"/>
      <c r="LN8" s="17"/>
      <c r="LO8" s="17"/>
      <c r="LP8" s="1395"/>
      <c r="LQ8" s="2688"/>
      <c r="LR8" s="1395"/>
      <c r="LS8" s="1395"/>
      <c r="LT8" s="1395"/>
      <c r="LU8" s="1395"/>
      <c r="LV8" s="1395"/>
      <c r="LW8" s="1396"/>
      <c r="LX8" s="1395"/>
      <c r="LY8" s="1395"/>
      <c r="LZ8" s="1395"/>
      <c r="MA8" s="1395"/>
      <c r="MB8" s="1395"/>
      <c r="MC8" s="1395"/>
      <c r="MD8" s="1395"/>
      <c r="ME8" s="1395"/>
      <c r="MF8" s="1395"/>
      <c r="MG8" s="1395"/>
      <c r="MH8" s="1395"/>
      <c r="MI8" s="1396"/>
      <c r="MJ8" s="1395"/>
      <c r="MK8" s="1395"/>
      <c r="ML8" s="1395"/>
      <c r="MM8" s="1395"/>
      <c r="MN8" s="1395"/>
      <c r="MO8" s="1396"/>
      <c r="MP8" s="1395"/>
      <c r="MQ8" s="1395"/>
      <c r="MR8" s="1395"/>
      <c r="MS8" s="1395"/>
      <c r="MT8" s="1395"/>
      <c r="MU8" s="1396"/>
      <c r="MV8" s="2688"/>
      <c r="NB8" s="2621"/>
      <c r="NC8" s="303"/>
      <c r="ND8" s="303"/>
      <c r="NE8" s="303"/>
      <c r="NS8" s="298">
        <f t="shared" ref="NS8:NS40" si="0">SUM(NG8:NR8)</f>
        <v>0</v>
      </c>
      <c r="NT8" s="105"/>
      <c r="NU8" s="105"/>
      <c r="NV8" s="105"/>
      <c r="NW8" s="105"/>
      <c r="NX8" s="105"/>
      <c r="NY8" s="105"/>
      <c r="NZ8" s="105"/>
      <c r="OA8" s="105"/>
      <c r="OB8" s="105"/>
      <c r="OC8" s="105"/>
      <c r="OD8" s="105"/>
      <c r="OE8" s="105"/>
      <c r="OF8" s="298">
        <f t="shared" ref="OF8:OF40" si="1">SUM(NT8:OE8)</f>
        <v>0</v>
      </c>
      <c r="OK8" s="304"/>
      <c r="OL8" s="304"/>
      <c r="OO8" s="304"/>
      <c r="OP8" s="304"/>
      <c r="OS8" s="298">
        <f t="shared" ref="OS8:OS40" si="2">SUM(OG8:OR8)</f>
        <v>0</v>
      </c>
      <c r="OZ8" s="19"/>
      <c r="PG8" s="298">
        <f t="shared" ref="PG8:PG40" si="3">SUM(PA8:PF8)</f>
        <v>0</v>
      </c>
      <c r="PH8" s="2621"/>
      <c r="PQ8" s="2615"/>
      <c r="QL8" s="2615"/>
      <c r="RO8" s="2713" t="s">
        <v>285</v>
      </c>
      <c r="RP8" s="2713"/>
      <c r="RQ8" s="2713"/>
      <c r="RR8" s="2713"/>
      <c r="RS8" s="2713"/>
      <c r="RT8" s="2713"/>
      <c r="RW8" s="2713" t="s">
        <v>286</v>
      </c>
      <c r="RX8" s="2713"/>
      <c r="RY8" s="2713"/>
      <c r="RZ8" s="2713"/>
      <c r="SA8" s="2714" t="s">
        <v>287</v>
      </c>
      <c r="SB8" s="2714"/>
      <c r="SC8" s="2714"/>
      <c r="SD8" s="2714"/>
      <c r="SF8" s="1143" t="s">
        <v>288</v>
      </c>
      <c r="SG8" s="1143"/>
      <c r="SH8" s="1143"/>
    </row>
    <row r="9" spans="1:502" s="89" customFormat="1" ht="15" customHeight="1">
      <c r="B9" s="89">
        <f>COUNTIF(MX10:QE40,"&lt;"&amp;0)</f>
        <v>0</v>
      </c>
      <c r="N9" s="2629"/>
      <c r="S9" s="300"/>
      <c r="U9" s="105"/>
      <c r="V9" s="301"/>
      <c r="AA9" s="2723"/>
      <c r="AB9" s="2724"/>
      <c r="AC9" s="2724"/>
      <c r="AD9" s="2725"/>
      <c r="AM9" s="2629"/>
      <c r="AW9" s="300"/>
      <c r="CH9" s="147"/>
      <c r="CP9" s="323"/>
      <c r="DE9" s="2685"/>
      <c r="DF9" s="105"/>
      <c r="DG9" s="105"/>
      <c r="DH9" s="105"/>
      <c r="DI9" s="105"/>
      <c r="DJ9" s="105"/>
      <c r="DK9" s="105"/>
      <c r="DL9" s="105"/>
      <c r="DM9" s="105"/>
      <c r="DN9" s="105"/>
      <c r="DO9" s="105"/>
      <c r="DP9" s="105"/>
      <c r="DQ9" s="105"/>
      <c r="DR9" s="1142"/>
      <c r="EE9" s="19"/>
      <c r="ER9" s="19"/>
      <c r="EY9" s="19"/>
      <c r="EZ9" s="2685"/>
      <c r="FB9" s="19"/>
      <c r="FC9" s="19"/>
      <c r="FD9" s="19"/>
      <c r="FG9" s="2674"/>
      <c r="FN9" s="19"/>
      <c r="FU9" s="19"/>
      <c r="GH9" s="19"/>
      <c r="GI9" s="2674"/>
      <c r="GR9" s="2667"/>
      <c r="GW9" s="19"/>
      <c r="GX9" s="2667"/>
      <c r="HM9" s="19"/>
      <c r="HN9" s="1141"/>
      <c r="HO9" s="1140"/>
      <c r="HP9" s="1140"/>
      <c r="HQ9" s="1140"/>
      <c r="HR9" s="1140"/>
      <c r="HS9" s="1140"/>
      <c r="HT9" s="1140"/>
      <c r="HU9" s="1140"/>
      <c r="HV9" s="1140"/>
      <c r="HW9" s="1140"/>
      <c r="HX9" s="1140"/>
      <c r="HY9" s="1140"/>
      <c r="HZ9" s="1140"/>
      <c r="IA9" s="1140"/>
      <c r="IB9" s="1139"/>
      <c r="IQ9" s="19"/>
      <c r="JF9" s="19"/>
      <c r="JG9" s="2667"/>
      <c r="JN9" s="2669"/>
      <c r="KN9" s="2669"/>
      <c r="LE9" s="2669"/>
      <c r="LK9" s="17"/>
      <c r="LL9" s="18"/>
      <c r="LM9" s="180"/>
      <c r="LN9" s="17"/>
      <c r="LO9" s="17"/>
      <c r="LQ9" s="2688"/>
      <c r="LW9" s="19"/>
      <c r="MI9" s="19"/>
      <c r="MO9" s="19"/>
      <c r="MU9" s="19"/>
      <c r="MV9" s="2688"/>
      <c r="NB9" s="2621"/>
      <c r="NC9" s="1138">
        <f>'June TCM'!NC42</f>
        <v>102735.03485483871</v>
      </c>
      <c r="ND9" s="1138">
        <f>'June TCM'!ND42</f>
        <v>100693.56083241603</v>
      </c>
      <c r="NE9" s="866">
        <v>0</v>
      </c>
      <c r="NF9" s="349">
        <f t="shared" ref="NF9:NF40" si="4">SUM(NC9:NE9)</f>
        <v>203428.59568725474</v>
      </c>
      <c r="NG9" s="349"/>
      <c r="NH9" s="349"/>
      <c r="NI9" s="349"/>
      <c r="NJ9" s="349"/>
      <c r="NK9" s="349">
        <v>0</v>
      </c>
      <c r="NL9" s="349"/>
      <c r="NM9" s="349">
        <v>0</v>
      </c>
      <c r="NN9" s="349"/>
      <c r="NO9" s="349">
        <f>'June TCM'!NO42</f>
        <v>16645.650671164178</v>
      </c>
      <c r="NP9" s="349">
        <f>'June TCM'!NP42</f>
        <v>24549.88002237798</v>
      </c>
      <c r="NQ9" s="349">
        <f>'June TCM'!NQ42</f>
        <v>8756.5482322711578</v>
      </c>
      <c r="NR9" s="349">
        <f>'June TCM'!NR42</f>
        <v>10133.851351487181</v>
      </c>
      <c r="NS9" s="362">
        <f t="shared" si="0"/>
        <v>60085.930277300497</v>
      </c>
      <c r="NT9" s="349"/>
      <c r="NU9" s="349"/>
      <c r="NV9" s="349"/>
      <c r="NW9" s="349"/>
      <c r="NX9" s="349"/>
      <c r="NY9" s="349"/>
      <c r="NZ9" s="349">
        <f>'June TCM'!NZ42</f>
        <v>10016.588814178836</v>
      </c>
      <c r="OA9" s="349">
        <f>'June TCM'!OA42</f>
        <v>0</v>
      </c>
      <c r="OB9" s="349">
        <f>'June TCM'!OB42</f>
        <v>75596.949365972585</v>
      </c>
      <c r="OC9" s="349">
        <f>'June TCM'!OC42</f>
        <v>0</v>
      </c>
      <c r="OD9" s="349">
        <f>'June TCM'!OD42</f>
        <v>0</v>
      </c>
      <c r="OE9" s="349">
        <f>'May TCM'!OE42</f>
        <v>0</v>
      </c>
      <c r="OF9" s="349">
        <f t="shared" si="1"/>
        <v>85613.538180151416</v>
      </c>
      <c r="OG9" s="349">
        <v>0</v>
      </c>
      <c r="OH9" s="349"/>
      <c r="OI9" s="349">
        <v>0</v>
      </c>
      <c r="OJ9" s="349"/>
      <c r="OK9" s="349">
        <v>0</v>
      </c>
      <c r="OL9" s="349"/>
      <c r="OM9" s="349">
        <v>0</v>
      </c>
      <c r="ON9" s="349"/>
      <c r="OO9" s="349">
        <f>'June TCM'!OO42</f>
        <v>35233.135076326238</v>
      </c>
      <c r="OP9" s="349">
        <f>'June TCM'!OP42</f>
        <v>0</v>
      </c>
      <c r="OQ9" s="349">
        <f>'June TCM'!OQ42</f>
        <v>13046.877258794844</v>
      </c>
      <c r="OR9" s="349"/>
      <c r="OS9" s="349">
        <f t="shared" si="2"/>
        <v>48280.012335121079</v>
      </c>
      <c r="PA9" s="42"/>
      <c r="PB9" s="42"/>
      <c r="PC9" s="42"/>
      <c r="PD9" s="42"/>
      <c r="PE9" s="42"/>
      <c r="PF9" s="42"/>
      <c r="PG9" s="298">
        <f t="shared" si="3"/>
        <v>0</v>
      </c>
      <c r="PH9" s="2621"/>
      <c r="PN9" s="2028">
        <f>'June TCM'!PN42</f>
        <v>28024.74350465872</v>
      </c>
      <c r="PO9" s="2028">
        <f>'June TCM'!PO42</f>
        <v>21441.84521011731</v>
      </c>
      <c r="PQ9" s="2615"/>
      <c r="QG9" s="1137">
        <f>'June TCM'!QG42</f>
        <v>29562.488999999998</v>
      </c>
      <c r="QH9" s="1137">
        <f>'June TCM'!QH42</f>
        <v>304624.53180818999</v>
      </c>
      <c r="QI9" s="1137">
        <f>'June TCM'!QI42</f>
        <v>2219.9567940000002</v>
      </c>
      <c r="QJ9" s="1136">
        <v>5505.3678056099998</v>
      </c>
      <c r="QL9" s="2615"/>
      <c r="QN9" s="105"/>
      <c r="QO9" s="105"/>
      <c r="RJ9" s="42">
        <v>45424.161751083164</v>
      </c>
      <c r="RK9" s="42">
        <v>3925.5835498622801</v>
      </c>
      <c r="RL9" s="42">
        <v>9178.5689913333827</v>
      </c>
      <c r="RM9" s="42">
        <f t="shared" ref="RM9:RM40" si="5">SUM(RJ9:RL9)</f>
        <v>58528.314292278832</v>
      </c>
      <c r="RO9" s="866" t="s">
        <v>81</v>
      </c>
      <c r="RP9" s="866" t="s">
        <v>289</v>
      </c>
      <c r="RQ9" s="1135" t="s">
        <v>290</v>
      </c>
      <c r="RR9" s="1135" t="s">
        <v>37</v>
      </c>
      <c r="RS9" s="42" t="s">
        <v>291</v>
      </c>
      <c r="RT9" s="42" t="s">
        <v>292</v>
      </c>
      <c r="RY9" s="1134" t="s">
        <v>293</v>
      </c>
      <c r="SA9" s="1133"/>
      <c r="SB9" s="1133" t="s">
        <v>294</v>
      </c>
      <c r="SC9" s="1133"/>
      <c r="SD9" s="1133" t="s">
        <v>178</v>
      </c>
      <c r="SH9" s="89" t="s">
        <v>293</v>
      </c>
    </row>
    <row r="10" spans="1:502" s="1" customFormat="1" ht="15" customHeight="1">
      <c r="B10" s="471">
        <v>1</v>
      </c>
      <c r="C10" s="4">
        <f t="shared" ref="C10:C40" si="6">+O10+S10+W10+AE10+AI10+AA10</f>
        <v>142198</v>
      </c>
      <c r="D10" s="1590">
        <f>P10+T10+X10+AB10</f>
        <v>10971.35</v>
      </c>
      <c r="E10" s="1895">
        <f t="shared" ref="E10:E42" si="7">IFERROR(C10/D10,0)</f>
        <v>12.960848026906442</v>
      </c>
      <c r="F10" s="870"/>
      <c r="G10" s="870"/>
      <c r="H10" s="295"/>
      <c r="I10" s="299"/>
      <c r="J10" s="48"/>
      <c r="K10" s="50"/>
      <c r="L10" s="48">
        <v>2</v>
      </c>
      <c r="M10" s="60">
        <v>2.83</v>
      </c>
      <c r="N10" s="2629"/>
      <c r="O10" s="4">
        <f>+SUM(AQ10,BC10,AW10)</f>
        <v>77112</v>
      </c>
      <c r="P10" s="1225">
        <f t="shared" ref="P10:P40" si="8">+SUM(AR10,AU10,AX10,BD10)</f>
        <v>7816.2800000000007</v>
      </c>
      <c r="Q10" s="1950">
        <f t="shared" ref="Q10:Q43" si="9">IFERROR(O10/P10,0)</f>
        <v>9.8655626461692769</v>
      </c>
      <c r="R10" s="32"/>
      <c r="S10" s="26">
        <f t="shared" ref="S10:S42" si="10">SUM(BF10,BI10,BL10,BY10)</f>
        <v>39324</v>
      </c>
      <c r="T10" s="27">
        <f>+SUM(BZ10,BJ10,BM10,BG10,BN10)</f>
        <v>1715.0700000000002</v>
      </c>
      <c r="U10" s="1919">
        <f t="shared" ref="U10:U44" si="11">IFERROR(S10/T10,0)</f>
        <v>22.928510206580487</v>
      </c>
      <c r="V10" s="25"/>
      <c r="W10" s="1742">
        <f t="shared" ref="W10:X40" si="12">BV10+CE10+BS10</f>
        <v>25762</v>
      </c>
      <c r="X10" s="5">
        <f t="shared" si="12"/>
        <v>1440</v>
      </c>
      <c r="Y10" s="1919">
        <f t="shared" ref="Y10:Y43" si="13">IFERROR(W10/X10,0)</f>
        <v>17.890277777777779</v>
      </c>
      <c r="Z10" s="32"/>
      <c r="AA10" s="26">
        <f t="shared" ref="AA10:AA39" si="14">SUM(BP10)</f>
        <v>0</v>
      </c>
      <c r="AB10" s="27">
        <f t="shared" ref="AB10:AB41" si="15">BQ10+CC10</f>
        <v>0</v>
      </c>
      <c r="AC10" s="1909">
        <f t="shared" ref="AC10:AC41" si="16">IFERROR(AA10/AB10,0)</f>
        <v>0</v>
      </c>
      <c r="AD10" s="28"/>
      <c r="AE10" s="36"/>
      <c r="AF10" s="36"/>
      <c r="AG10" s="49">
        <f t="shared" ref="AG10:AG42" si="17">IFERROR(AE10/AF10,0)</f>
        <v>0</v>
      </c>
      <c r="AH10" s="25"/>
      <c r="AI10" s="23"/>
      <c r="AJ10" s="24"/>
      <c r="AK10" s="49">
        <f t="shared" ref="AK10:AK43" si="18">IFERROR(AI10/AJ10,0)</f>
        <v>0</v>
      </c>
      <c r="AL10" s="25"/>
      <c r="AM10" s="2629"/>
      <c r="AN10" s="8"/>
      <c r="AO10" s="3"/>
      <c r="AP10" s="60">
        <f t="shared" ref="AP10:AP41" si="19">IFERROR(AN10/AO10,0)</f>
        <v>0</v>
      </c>
      <c r="AQ10" s="35"/>
      <c r="AR10" s="49"/>
      <c r="AS10" s="60">
        <f t="shared" ref="AS10:AS42" si="20">IFERROR(AQ10/AR10,0)</f>
        <v>0</v>
      </c>
      <c r="AT10" s="35"/>
      <c r="AU10" s="24"/>
      <c r="AV10" s="50">
        <f t="shared" ref="AV10:AV41" si="21">IFERROR(AT10/AU10,0)</f>
        <v>0</v>
      </c>
      <c r="AW10" s="1121">
        <v>41748</v>
      </c>
      <c r="AX10" s="24">
        <v>4922.22</v>
      </c>
      <c r="AY10" s="1734">
        <f>IFERROR(AW9/AX10,0)</f>
        <v>0</v>
      </c>
      <c r="AZ10" s="35"/>
      <c r="BA10" s="24"/>
      <c r="BB10" s="60">
        <f t="shared" ref="BB10:BB40" si="22">IFERROR(AZ10/BA10,0)</f>
        <v>0</v>
      </c>
      <c r="BC10" s="1739">
        <v>35364</v>
      </c>
      <c r="BD10" s="1926">
        <v>2894.06</v>
      </c>
      <c r="BE10" s="1734">
        <f t="shared" ref="BE10:BE40" si="23">IFERROR(BC10/BD10,0)</f>
        <v>12.21951168946048</v>
      </c>
      <c r="BF10" s="35"/>
      <c r="BG10" s="49"/>
      <c r="BH10" s="60">
        <f t="shared" ref="BH10:BH40" si="24">IFERROR(BF10/BG10,0)</f>
        <v>0</v>
      </c>
      <c r="BI10" s="35">
        <v>0</v>
      </c>
      <c r="BJ10" s="49">
        <v>0</v>
      </c>
      <c r="BK10" s="60">
        <f t="shared" ref="BK10:BK40" si="25">IFERROR(BI10/BJ10,0)</f>
        <v>0</v>
      </c>
      <c r="BL10" s="1742">
        <v>39324</v>
      </c>
      <c r="BM10" s="1736">
        <v>1715.0700000000002</v>
      </c>
      <c r="BN10" s="2169"/>
      <c r="BO10" s="1734">
        <f t="shared" ref="BO10:BO40" si="26">IFERROR(BL10/BM10,0)</f>
        <v>22.928510206580487</v>
      </c>
      <c r="BP10" s="1132">
        <v>0</v>
      </c>
      <c r="BQ10" s="49">
        <v>0</v>
      </c>
      <c r="BR10" s="1734">
        <f t="shared" ref="BR10:BR40" si="27">IFERROR(BP10/BQ10,0)</f>
        <v>0</v>
      </c>
      <c r="BS10" s="35"/>
      <c r="BT10" s="49"/>
      <c r="BU10" s="60">
        <f t="shared" ref="BU10:BU40" si="28">IFERROR(BS10/BT10,0)</f>
        <v>0</v>
      </c>
      <c r="BV10" s="35">
        <v>25762</v>
      </c>
      <c r="BW10" s="24">
        <f>EN10+EP10</f>
        <v>1440</v>
      </c>
      <c r="BX10" s="1905">
        <f t="shared" ref="BX10:BX40" si="29">IFERROR(BV10/BW10,0)</f>
        <v>17.890277777777779</v>
      </c>
      <c r="BY10" s="26"/>
      <c r="BZ10" s="24"/>
      <c r="CA10" s="61">
        <f t="shared" ref="CA10:CA43" si="30">IFERROR(BY10/BZ10,0)</f>
        <v>0</v>
      </c>
      <c r="CB10" s="35"/>
      <c r="CC10" s="24"/>
      <c r="CD10" s="60">
        <f t="shared" ref="CD10:CD43" si="31">IFERROR(CB10/CC10,0)</f>
        <v>0</v>
      </c>
      <c r="CE10" s="23"/>
      <c r="CF10" s="1345"/>
      <c r="CG10" s="25">
        <f t="shared" ref="CG10:CG41" si="32">IFERROR(CE10/CF10,0)</f>
        <v>0</v>
      </c>
      <c r="CH10" s="149"/>
      <c r="CI10" s="1131"/>
      <c r="CJ10" s="3"/>
      <c r="CK10" s="3">
        <v>1810</v>
      </c>
      <c r="CL10" s="3"/>
      <c r="CM10" s="3"/>
      <c r="CN10" s="3">
        <f t="shared" ref="CN10:CN39" si="33">SUM(CI10:CM10)</f>
        <v>1810</v>
      </c>
      <c r="CO10" s="32"/>
      <c r="CP10" s="366"/>
      <c r="CR10" s="2">
        <f t="shared" ref="CR10:DC31" si="34">SUM(DF10,DS10,EF10)</f>
        <v>0</v>
      </c>
      <c r="CS10" s="8">
        <f t="shared" si="34"/>
        <v>0</v>
      </c>
      <c r="CT10" s="3">
        <f t="shared" si="34"/>
        <v>0</v>
      </c>
      <c r="CU10" s="3">
        <f t="shared" si="34"/>
        <v>0</v>
      </c>
      <c r="CV10" s="3">
        <f t="shared" si="34"/>
        <v>0</v>
      </c>
      <c r="CW10" s="3">
        <f t="shared" si="34"/>
        <v>0</v>
      </c>
      <c r="CX10" s="1408">
        <f t="shared" si="34"/>
        <v>0</v>
      </c>
      <c r="CY10" s="3">
        <f t="shared" si="34"/>
        <v>0</v>
      </c>
      <c r="CZ10" s="3">
        <f t="shared" si="34"/>
        <v>7778.0300000000007</v>
      </c>
      <c r="DA10" s="3">
        <f t="shared" si="34"/>
        <v>0</v>
      </c>
      <c r="DB10" s="1408">
        <f t="shared" si="34"/>
        <v>2574.44</v>
      </c>
      <c r="DC10" s="11">
        <f t="shared" si="34"/>
        <v>0</v>
      </c>
      <c r="DD10" s="310">
        <f t="shared" ref="DD10:DD31" si="35">SUM(CR10:DC10,PW10,PX10)</f>
        <v>10971.35</v>
      </c>
      <c r="DE10" s="2695"/>
      <c r="DF10" s="8"/>
      <c r="DG10" s="8"/>
      <c r="DH10" s="3"/>
      <c r="DI10" s="3"/>
      <c r="DJ10" s="3"/>
      <c r="DK10" s="3"/>
      <c r="DL10" s="3">
        <v>0</v>
      </c>
      <c r="DM10" s="3"/>
      <c r="DN10" s="3">
        <v>4303.34</v>
      </c>
      <c r="DO10" s="3"/>
      <c r="DP10" s="3">
        <v>0</v>
      </c>
      <c r="DQ10" s="11"/>
      <c r="DR10" s="1905">
        <f t="shared" ref="DR10:DR40" si="36">SUM(DF10:DQ10)</f>
        <v>4303.34</v>
      </c>
      <c r="DS10" s="35"/>
      <c r="DT10" s="35"/>
      <c r="DU10" s="24"/>
      <c r="DV10" s="24"/>
      <c r="DW10" s="3"/>
      <c r="DX10" s="3"/>
      <c r="DY10" s="3"/>
      <c r="DZ10" s="3"/>
      <c r="EA10" s="3">
        <v>2034.69</v>
      </c>
      <c r="EB10" s="49"/>
      <c r="EC10" s="24">
        <v>2574.44</v>
      </c>
      <c r="ED10" s="32"/>
      <c r="EE10" s="28">
        <f t="shared" ref="EE10:EE40" si="37">SUM(DS10:ED10)</f>
        <v>4609.13</v>
      </c>
      <c r="EF10" s="24"/>
      <c r="EG10" s="35"/>
      <c r="EH10" s="3"/>
      <c r="EI10" s="24"/>
      <c r="EJ10" s="24"/>
      <c r="EK10" s="24"/>
      <c r="EL10" s="24"/>
      <c r="EM10" s="24"/>
      <c r="EN10" s="3">
        <v>1440</v>
      </c>
      <c r="EO10" s="3"/>
      <c r="EP10" s="3"/>
      <c r="EQ10" s="32"/>
      <c r="ER10" s="25">
        <f t="shared" ref="ER10:ER40" si="38">SUM(EF10:EP10)</f>
        <v>1440</v>
      </c>
      <c r="ES10" s="35"/>
      <c r="ET10" s="24"/>
      <c r="EU10" s="24"/>
      <c r="EV10" s="24"/>
      <c r="EW10" s="24"/>
      <c r="EX10" s="24"/>
      <c r="EY10" s="32">
        <f t="shared" ref="EY10:EY40" si="39">SUM(ES10:EX10)</f>
        <v>0</v>
      </c>
      <c r="EZ10" s="2685"/>
      <c r="FB10" s="2">
        <f t="shared" ref="FB10:FB40" si="40">+FN10</f>
        <v>0</v>
      </c>
      <c r="FC10" s="3">
        <f t="shared" ref="FC10:FC40" si="41">+FU10</f>
        <v>0</v>
      </c>
      <c r="FD10" s="3">
        <f t="shared" ref="FD10:FD40" si="42">+GH10</f>
        <v>0</v>
      </c>
      <c r="FE10" s="11">
        <f t="shared" ref="FE10:FE40" si="43">SUM(FB10:FD10)</f>
        <v>0</v>
      </c>
      <c r="FF10" s="32"/>
      <c r="FG10" s="2674"/>
      <c r="FH10" s="8"/>
      <c r="FI10" s="3"/>
      <c r="FJ10" s="3"/>
      <c r="FK10" s="3"/>
      <c r="FL10" s="3"/>
      <c r="FM10" s="24"/>
      <c r="FN10" s="25">
        <f t="shared" ref="FN10:FN40" si="44">SUM(FH10:FM10)</f>
        <v>0</v>
      </c>
      <c r="FO10" s="35"/>
      <c r="FP10" s="24"/>
      <c r="FQ10" s="24"/>
      <c r="FR10" s="24"/>
      <c r="FS10" s="24"/>
      <c r="FT10" s="24"/>
      <c r="FU10" s="25">
        <f t="shared" ref="FU10:FU40" si="45">SUM(FO10:FT10)</f>
        <v>0</v>
      </c>
      <c r="FV10" s="35"/>
      <c r="FW10" s="35"/>
      <c r="FX10" s="24"/>
      <c r="FY10" s="24"/>
      <c r="FZ10" s="24"/>
      <c r="GA10" s="24"/>
      <c r="GB10" s="24"/>
      <c r="GC10" s="24"/>
      <c r="GD10" s="24">
        <v>0</v>
      </c>
      <c r="GE10" s="24"/>
      <c r="GF10" s="24"/>
      <c r="GG10" s="32"/>
      <c r="GH10" s="32">
        <f t="shared" ref="GH10:GH40" si="46">SUM(FV10:GF10)</f>
        <v>0</v>
      </c>
      <c r="GI10" s="2674"/>
      <c r="GK10" s="2">
        <f>+HM10</f>
        <v>0</v>
      </c>
      <c r="GL10" s="63">
        <f>+IQ10</f>
        <v>0</v>
      </c>
      <c r="GM10" s="24">
        <f>+JF10</f>
        <v>0</v>
      </c>
      <c r="GN10" s="1926">
        <f t="shared" ref="GN10:GN40" si="47">SUM(GK10:GM10)</f>
        <v>0</v>
      </c>
      <c r="GO10" s="140"/>
      <c r="GP10" s="140"/>
      <c r="GQ10" s="1130" t="s">
        <v>295</v>
      </c>
      <c r="GR10" s="2667"/>
      <c r="GS10" s="1721">
        <v>0</v>
      </c>
      <c r="GT10" s="1721">
        <v>0</v>
      </c>
      <c r="GV10" s="1721">
        <v>0</v>
      </c>
      <c r="GW10" s="1722">
        <v>0</v>
      </c>
      <c r="GX10" s="2667"/>
      <c r="GY10" s="35"/>
      <c r="GZ10" s="35"/>
      <c r="HA10" s="24"/>
      <c r="HB10" s="24"/>
      <c r="HC10" s="24"/>
      <c r="HD10" s="24"/>
      <c r="HE10" s="24"/>
      <c r="HF10" s="24"/>
      <c r="HG10" s="24">
        <v>0</v>
      </c>
      <c r="HH10" s="24"/>
      <c r="HI10" s="24">
        <v>0</v>
      </c>
      <c r="HJ10" s="24"/>
      <c r="HK10" s="24">
        <v>0</v>
      </c>
      <c r="HL10" s="24"/>
      <c r="HM10" s="25">
        <f t="shared" ref="HM10:HM16" si="48">SUM(GY10:HL10)</f>
        <v>0</v>
      </c>
      <c r="HN10" s="35"/>
      <c r="HO10" s="24"/>
      <c r="HP10" s="24"/>
      <c r="HQ10" s="24"/>
      <c r="HR10" s="24"/>
      <c r="HS10" s="24"/>
      <c r="HT10" s="24">
        <f t="array" ref="HT10">SUMPRODUCT(('Data Base hauling'!$C$2:$C$2000="TCM-ROM SB1 BK05-ROM 4")*(ISNUMBER(SEARCH(TEXT('July TCM'!$B10,"00")&amp;"/03/2026",'Data Base hauling'!$E$2:$E$2000)))*'Data Base hauling'!$N$2:$N$2000)</f>
        <v>0</v>
      </c>
      <c r="HU10" s="24"/>
      <c r="HV10" s="24">
        <f t="array" ref="HV10">SUMPRODUCT(('Data Base hauling'!$C$2:$C$2000="TCM-ROM SB1 BK05-ROM 5")*(ISNUMBER(SEARCH(TEXT('July TCM'!$B10,"00")&amp;"/03/2026",'Data Base hauling'!$E$2:$E$2000)))*'Data Base hauling'!$N$2:$N$2000)</f>
        <v>0</v>
      </c>
      <c r="HW10" s="24"/>
      <c r="HX10" s="24"/>
      <c r="HY10" s="24"/>
      <c r="HZ10" s="24"/>
      <c r="IA10" s="24"/>
      <c r="IB10" s="32">
        <f t="shared" ref="IB10:IB42" si="49">SUM(HN10:IA10)</f>
        <v>0</v>
      </c>
      <c r="IC10" s="48"/>
      <c r="ID10" s="1129"/>
      <c r="IE10" s="49"/>
      <c r="IF10" s="49"/>
      <c r="IG10" s="49"/>
      <c r="IH10" s="49"/>
      <c r="II10" s="1926">
        <v>0</v>
      </c>
      <c r="IJ10" s="1926"/>
      <c r="IK10" s="1926">
        <v>0</v>
      </c>
      <c r="IL10" s="49"/>
      <c r="IM10" s="49">
        <v>0</v>
      </c>
      <c r="IN10" s="49"/>
      <c r="IO10" s="49"/>
      <c r="IP10" s="49">
        <v>0</v>
      </c>
      <c r="IQ10" s="2195">
        <f t="shared" ref="IQ10:IQ16" si="50">SUM(IC10:IP10)</f>
        <v>0</v>
      </c>
      <c r="IR10" s="35"/>
      <c r="IS10" s="35"/>
      <c r="IT10" s="24"/>
      <c r="IU10" s="24"/>
      <c r="IV10" s="49"/>
      <c r="IW10" s="24"/>
      <c r="IX10" s="24">
        <v>0</v>
      </c>
      <c r="IY10" s="24"/>
      <c r="IZ10" s="24">
        <v>0</v>
      </c>
      <c r="JA10" s="24"/>
      <c r="JB10" s="24">
        <v>0</v>
      </c>
      <c r="JC10" s="24"/>
      <c r="JD10" s="24"/>
      <c r="JE10" s="24"/>
      <c r="JF10" s="32">
        <f t="shared" ref="JF10" si="51">SUM(IR10:JE10)</f>
        <v>0</v>
      </c>
      <c r="JG10" s="2667"/>
      <c r="JI10" s="2014">
        <v>0</v>
      </c>
      <c r="JJ10" s="2015">
        <v>0</v>
      </c>
      <c r="JK10" s="49"/>
      <c r="JL10" s="1736">
        <f t="shared" ref="JL10:JL40" si="52">+JI10+JK10+JJ10</f>
        <v>0</v>
      </c>
      <c r="JM10" s="32"/>
      <c r="JN10" s="2669"/>
      <c r="JO10" s="66" t="s">
        <v>296</v>
      </c>
      <c r="JP10" s="67" t="s">
        <v>296</v>
      </c>
      <c r="JQ10" s="67" t="s">
        <v>296</v>
      </c>
      <c r="JR10" s="67" t="s">
        <v>296</v>
      </c>
      <c r="JS10" s="67" t="s">
        <v>296</v>
      </c>
      <c r="JT10" s="67" t="s">
        <v>296</v>
      </c>
      <c r="JU10" s="67" t="s">
        <v>296</v>
      </c>
      <c r="JV10" s="1921">
        <v>0</v>
      </c>
      <c r="JW10" s="66" t="s">
        <v>296</v>
      </c>
      <c r="JX10" s="67" t="s">
        <v>296</v>
      </c>
      <c r="JY10" s="67" t="s">
        <v>296</v>
      </c>
      <c r="JZ10" s="67" t="s">
        <v>296</v>
      </c>
      <c r="KA10" s="67" t="s">
        <v>296</v>
      </c>
      <c r="KB10" s="67" t="s">
        <v>296</v>
      </c>
      <c r="KC10" s="67" t="s">
        <v>296</v>
      </c>
      <c r="KD10" s="68" t="s">
        <v>296</v>
      </c>
      <c r="KE10" s="66"/>
      <c r="KF10" s="67"/>
      <c r="KG10" s="67"/>
      <c r="KH10" s="67"/>
      <c r="KI10" s="67"/>
      <c r="KJ10" s="67"/>
      <c r="KK10" s="67"/>
      <c r="KL10" s="67"/>
      <c r="KM10" s="32"/>
      <c r="KN10" s="2669"/>
      <c r="KO10" s="2203">
        <v>0</v>
      </c>
      <c r="KP10" s="1721">
        <v>0</v>
      </c>
      <c r="KQ10" s="1721">
        <v>0</v>
      </c>
      <c r="KR10" s="1721">
        <v>0</v>
      </c>
      <c r="KS10" s="1722">
        <v>0</v>
      </c>
      <c r="KT10" s="1958">
        <v>0</v>
      </c>
      <c r="KU10" s="1961">
        <v>0</v>
      </c>
      <c r="KV10" s="1961">
        <v>0</v>
      </c>
      <c r="KW10" s="1961">
        <v>0</v>
      </c>
      <c r="KX10" s="1962">
        <v>0</v>
      </c>
      <c r="KY10" s="35"/>
      <c r="KZ10" s="49"/>
      <c r="LA10" s="49"/>
      <c r="LB10" s="49"/>
      <c r="LC10" s="49"/>
      <c r="LD10" s="32"/>
      <c r="LE10" s="2669"/>
      <c r="LG10" s="998">
        <f t="shared" ref="LG10:LI40" si="53">SUM(LR10,LX10,MJ10,MP10+MD10)</f>
        <v>0</v>
      </c>
      <c r="LH10" s="27">
        <f t="shared" si="53"/>
        <v>0</v>
      </c>
      <c r="LI10" s="27">
        <f t="shared" si="53"/>
        <v>0</v>
      </c>
      <c r="LJ10" s="28">
        <f t="shared" ref="LJ10:LJ40" si="54">SUM(LG10:LI10)</f>
        <v>0</v>
      </c>
      <c r="LK10" s="35"/>
      <c r="LL10" s="24"/>
      <c r="LM10" s="24"/>
      <c r="LN10" s="32"/>
      <c r="LO10" s="1030">
        <v>4.6100000000000003</v>
      </c>
      <c r="LP10" s="1128"/>
      <c r="LQ10" s="2688"/>
      <c r="LR10" s="35"/>
      <c r="LS10" s="35"/>
      <c r="LT10" s="24"/>
      <c r="LU10" s="24"/>
      <c r="LV10" s="24"/>
      <c r="LW10" s="1117">
        <f t="shared" ref="LW10:LW40" si="55">SUM(LR10:LV10)</f>
        <v>0</v>
      </c>
      <c r="LX10" s="35"/>
      <c r="LY10" s="35"/>
      <c r="LZ10" s="24"/>
      <c r="MA10" s="24"/>
      <c r="MB10" s="417"/>
      <c r="MC10" s="28">
        <f t="shared" ref="MC10:MC40" si="56">SUM(LX10:MB10)</f>
        <v>0</v>
      </c>
      <c r="MD10" s="23"/>
      <c r="ME10" s="35"/>
      <c r="MF10" s="24"/>
      <c r="MG10" s="24"/>
      <c r="MH10" s="24"/>
      <c r="MI10" s="25"/>
      <c r="MJ10" s="35"/>
      <c r="MK10" s="35"/>
      <c r="ML10" s="24"/>
      <c r="MM10" s="24"/>
      <c r="MN10" s="24"/>
      <c r="MO10" s="25"/>
      <c r="MP10" s="35"/>
      <c r="MQ10" s="35"/>
      <c r="MR10" s="24"/>
      <c r="MS10" s="24"/>
      <c r="MT10" s="24"/>
      <c r="MU10" s="32">
        <f t="shared" ref="MU10:MU40" si="57">SUM(MP10:MT10)</f>
        <v>0</v>
      </c>
      <c r="MV10" s="2688"/>
      <c r="MX10" s="23">
        <f t="shared" ref="MX10:MX40" si="58">+NF10</f>
        <v>203428.59568725474</v>
      </c>
      <c r="MY10" s="24">
        <f t="shared" ref="MY10:MY40" si="59">+SUM(NS10,OF10,OS10,OZ10,PG10)</f>
        <v>204331.95079257298</v>
      </c>
      <c r="MZ10" s="24">
        <f t="shared" ref="MZ10:MZ40" si="60">+PO10</f>
        <v>21750.84521011731</v>
      </c>
      <c r="NA10" s="333">
        <f t="shared" ref="NA10:NA40" si="61">+SUM(QG10,QH10,QI10)</f>
        <v>336259.69760219002</v>
      </c>
      <c r="NB10" s="2621"/>
      <c r="NC10" s="23">
        <f t="shared" ref="NC10:NC40" si="62">+NC9+JI10-LG10-LI10</f>
        <v>102735.03485483871</v>
      </c>
      <c r="ND10" s="1655">
        <f t="shared" ref="ND10:ND40" si="63">+ND9+JJ10-LH10</f>
        <v>100693.56083241603</v>
      </c>
      <c r="NE10" s="60">
        <f t="shared" ref="NE10:NE40" si="64">+NE9+JK10</f>
        <v>0</v>
      </c>
      <c r="NF10" s="274">
        <f t="shared" si="4"/>
        <v>203428.59568725474</v>
      </c>
      <c r="NG10" s="23">
        <f t="shared" ref="NG10:NP25" si="65">+NG9+EF10-GY10</f>
        <v>0</v>
      </c>
      <c r="NH10" s="23">
        <f t="shared" si="65"/>
        <v>0</v>
      </c>
      <c r="NI10" s="24">
        <f t="shared" si="65"/>
        <v>0</v>
      </c>
      <c r="NJ10" s="24">
        <f t="shared" si="65"/>
        <v>0</v>
      </c>
      <c r="NK10" s="24">
        <f t="shared" si="65"/>
        <v>0</v>
      </c>
      <c r="NL10" s="24">
        <f t="shared" si="65"/>
        <v>0</v>
      </c>
      <c r="NM10" s="24">
        <f>+NM9+EL10-HE10</f>
        <v>0</v>
      </c>
      <c r="NN10" s="24">
        <f t="shared" si="65"/>
        <v>0</v>
      </c>
      <c r="NO10" s="24">
        <f>+NO9+EN10-HG10</f>
        <v>18085.650671164178</v>
      </c>
      <c r="NP10" s="24">
        <f t="shared" si="65"/>
        <v>24549.88002237798</v>
      </c>
      <c r="NQ10" s="24">
        <f>'May TCM'!NQ42</f>
        <v>8756.5482322711578</v>
      </c>
      <c r="NR10" s="24">
        <f>+NR9+EP10-HI10</f>
        <v>10133.851351487181</v>
      </c>
      <c r="NS10" s="24">
        <f t="shared" si="0"/>
        <v>61525.930277300497</v>
      </c>
      <c r="NT10" s="27">
        <f t="shared" ref="NT10:OB25" si="66">+NT9+DF10-IC10</f>
        <v>0</v>
      </c>
      <c r="NU10" s="280">
        <f t="shared" si="66"/>
        <v>0</v>
      </c>
      <c r="NV10" s="1127">
        <f t="shared" si="66"/>
        <v>0</v>
      </c>
      <c r="NW10" s="280">
        <f t="shared" si="66"/>
        <v>0</v>
      </c>
      <c r="NX10" s="27">
        <f t="shared" si="66"/>
        <v>0</v>
      </c>
      <c r="NY10" s="27">
        <f t="shared" si="66"/>
        <v>0</v>
      </c>
      <c r="NZ10" s="27">
        <f t="shared" si="66"/>
        <v>10016.588814178836</v>
      </c>
      <c r="OA10" s="27">
        <f t="shared" si="66"/>
        <v>0</v>
      </c>
      <c r="OB10" s="27">
        <f t="shared" si="66"/>
        <v>79900.289365972581</v>
      </c>
      <c r="OC10" s="280"/>
      <c r="OD10" s="24">
        <f t="shared" ref="OD10:OE25" si="67">+OD9+DP10-IM10</f>
        <v>0</v>
      </c>
      <c r="OE10" s="24">
        <f t="shared" si="67"/>
        <v>0</v>
      </c>
      <c r="OF10" s="24">
        <f t="shared" si="1"/>
        <v>89916.878180151412</v>
      </c>
      <c r="OG10" s="24">
        <f t="shared" ref="OG10:OR25" si="68">+OG9+DS10+FV10-IR10</f>
        <v>0</v>
      </c>
      <c r="OH10" s="24">
        <f t="shared" si="68"/>
        <v>0</v>
      </c>
      <c r="OI10" s="24">
        <f t="shared" si="68"/>
        <v>0</v>
      </c>
      <c r="OJ10" s="24">
        <f t="shared" si="68"/>
        <v>0</v>
      </c>
      <c r="OK10" s="27">
        <f t="shared" si="68"/>
        <v>0</v>
      </c>
      <c r="OL10" s="24">
        <f t="shared" si="68"/>
        <v>0</v>
      </c>
      <c r="OM10" s="24">
        <f t="shared" si="68"/>
        <v>0</v>
      </c>
      <c r="ON10" s="24">
        <f t="shared" si="68"/>
        <v>0</v>
      </c>
      <c r="OO10" s="24">
        <f>+OO9+EA10+GD10+QF10-IZ10</f>
        <v>37267.82507632624</v>
      </c>
      <c r="OP10" s="24">
        <f t="shared" si="68"/>
        <v>0</v>
      </c>
      <c r="OQ10" s="24">
        <f t="shared" si="68"/>
        <v>15621.317258794845</v>
      </c>
      <c r="OR10" s="24">
        <f t="shared" si="68"/>
        <v>0</v>
      </c>
      <c r="OS10" s="25">
        <f t="shared" si="2"/>
        <v>52889.142335121083</v>
      </c>
      <c r="OT10" s="35"/>
      <c r="OU10" s="24"/>
      <c r="OV10" s="24"/>
      <c r="OW10" s="24"/>
      <c r="OX10" s="24"/>
      <c r="OY10" s="24"/>
      <c r="OZ10" s="25">
        <f t="shared" ref="OZ10:OZ40" si="69">SUM(OT10:OY10)</f>
        <v>0</v>
      </c>
      <c r="PA10" s="35">
        <f t="shared" ref="PA10:PA40" si="70">+PA9+ES10-FV10</f>
        <v>0</v>
      </c>
      <c r="PB10" s="24">
        <f t="shared" ref="PB10:PB40" si="71">+PB9+ET10-FX10</f>
        <v>0</v>
      </c>
      <c r="PC10" s="24">
        <f t="shared" ref="PC10:PC40" si="72">+PC9+EU10-FZ10</f>
        <v>0</v>
      </c>
      <c r="PD10" s="24">
        <f t="shared" ref="PD10:PD40" si="73">+PD9+EV10-GB10</f>
        <v>0</v>
      </c>
      <c r="PE10" s="24"/>
      <c r="PF10" s="24">
        <f t="shared" ref="PF10:PF40" si="74">+PF9+EX10-GF10</f>
        <v>0</v>
      </c>
      <c r="PG10" s="32">
        <f t="shared" si="3"/>
        <v>0</v>
      </c>
      <c r="PH10" s="2621"/>
      <c r="PJ10" s="1907">
        <v>766.16000000000008</v>
      </c>
      <c r="PK10" s="1101">
        <v>1081.5</v>
      </c>
      <c r="PL10" s="1101">
        <v>309</v>
      </c>
      <c r="PM10" s="3">
        <v>0</v>
      </c>
      <c r="PN10" s="3">
        <f t="shared" ref="PN10:PN40" si="75">PN9+PJ10-PK10</f>
        <v>27709.40350465872</v>
      </c>
      <c r="PO10" s="11">
        <f t="shared" ref="PO10:PO40" si="76">PO9+PL10-PM10</f>
        <v>21750.84521011731</v>
      </c>
      <c r="PP10" s="14"/>
      <c r="PQ10" s="2615"/>
      <c r="PS10" s="2"/>
      <c r="PT10" s="8"/>
      <c r="PU10" s="8"/>
      <c r="PV10" s="8"/>
      <c r="PW10" s="8">
        <v>618.88</v>
      </c>
      <c r="PX10" s="8"/>
      <c r="PY10" s="8">
        <f t="shared" ref="PY10:PY40" si="77">SUM(PV10:PX10)</f>
        <v>618.88</v>
      </c>
      <c r="PZ10" s="3">
        <f t="shared" ref="PZ10:PZ40" si="78">+PJ10</f>
        <v>766.16000000000008</v>
      </c>
      <c r="QA10" s="3"/>
      <c r="QB10" s="3"/>
      <c r="QC10" s="3"/>
      <c r="QD10" s="3"/>
      <c r="QE10" s="3"/>
      <c r="QF10" s="11"/>
      <c r="QG10" s="11">
        <f t="shared" ref="QG10:QG40" si="79">+QG9+PS10-HL10</f>
        <v>29562.488999999998</v>
      </c>
      <c r="QH10" s="420">
        <f t="shared" ref="QH10:QH40" si="80">+QH9+PV10+PW10-IP10-PZ10</f>
        <v>304477.25180819002</v>
      </c>
      <c r="QI10" s="1106">
        <f>+QI9+PX10-QE10</f>
        <v>2219.9567940000002</v>
      </c>
      <c r="QJ10" s="484">
        <f t="shared" ref="QJ10:QJ40" si="81">QJ9-QD10</f>
        <v>5505.3678056099998</v>
      </c>
      <c r="QK10" s="11"/>
      <c r="QL10" s="2615"/>
      <c r="QN10" s="139" t="str">
        <f t="shared" ref="QN10:QN40" si="82">IF(JI10=0,"",(IFERROR(IF(1-ABS(1-(JO10/JO$43))&lt;0,0,1-ABS(1-(JO10/JO$43))),0)*JO$43)+(IFERROR(IF(1-ABS(1-(JP10/JP$43))&lt;0,0,1-ABS(1-(JP10/JP$43))),0)*JP$43)+(IFERROR(IF(1-ABS(1-(JQ10/JQ$43))&lt;0,0,1-ABS(1-(JQ10/JQ$43))),0)*JQ$43)+(IFERROR(IF(1-ABS(1-(JR10/JR$43))&lt;0,0,1-ABS(1-(JR10/JR$43))),0)*JR$43)+(IFERROR(IF(1-ABS(1-(JS10/JS$43))&lt;0,0,1-ABS(1-(JS10/JS$43))),0)*JS$43)+(IFERROR(IF(1-ABS(1-(JT10/JT$43))&lt;0,0,1-ABS(1-(JT10/JT$43))),0)*JT$43)+(IFERROR(IF(1-ABS(1-(JU10/JU$43))&lt;0,0,1-ABS(1-(JU10/JU$43))),0)*JU$43)+(IFERROR(IF(1-ABS(1-(JV10/JV$43))&lt;0,0,1-ABS(1-(JV10/JV$43))),0)*JV$43))</f>
        <v/>
      </c>
      <c r="QO10" s="139" t="str">
        <f t="shared" ref="QO10:QO40" si="83">IF(JK10=0,"",(IFERROR(IF(1-ABS(1-(KE10/KE$43))&lt;0,0,1-ABS(1-(KE10/KE$43))),0)*KE$43)+(IFERROR(IF(1-ABS(1-(KF10/KF$43))&lt;0,0,1-ABS(1-(KF10/KF$43))),0)*KF$43)+(IFERROR(IF(1-ABS(1-(KG10/KG$43))&lt;0,0,1-ABS(1-(KG10/KG$43))),0)*KG$43)+(IFERROR(IF(1-ABS(1-(KH10/KH$43))&lt;0,0,1-ABS(1-(KH10/KH$43))),0)*KH$43)+(IFERROR(IF(1-ABS(1-(KI10/KI$43))&lt;0,0,1-ABS(1-(KI10/KI$43))),0)*KI$43)+(IFERROR(IF(1-ABS(1-(KJ10/KJ$43))&lt;0,0,1-ABS(1-(KJ10/KJ$43))),0)*KJ$43)+(IFERROR(IF(1-ABS(1-(KK10/KK$43))&lt;0,0,1-ABS(1-(KK10/KK$43))),0)*KK$43)+(IFERROR(IF(1-ABS(1-(KL10/KL$43))&lt;0,0,1-ABS(1-(KL10/KL$43))),0)*KL$43))</f>
        <v/>
      </c>
      <c r="QQ10" s="139" t="str">
        <f t="shared" ref="QQ10:QQ40" si="84">IF(JL10&gt;0,SUMPRODUCT(QT10:QY10,$JO$43:$JT$43),"")</f>
        <v/>
      </c>
      <c r="QR10" s="139" t="str">
        <f t="shared" ref="QR10:QR40" si="85">IF(JL10&gt;0,SUMPRODUCT(RA10:RF10,$KE$43:$KJ$43),"")</f>
        <v/>
      </c>
      <c r="QT10" s="1">
        <f t="shared" ref="QT10:QT40" si="86">IF(NT$43=0,0,IF(SUM(NT10,OG10)-NT$8-OG$8&gt;NT$43,1,(SUM(NT10,OG10)-NT$8-OG$8)/NT$43))</f>
        <v>0</v>
      </c>
      <c r="QU10" s="1">
        <f t="shared" ref="QU10:QU40" si="87">IF(NV$43=0,0,IF(SUM(NV10,OI10)-NV$8-OI$8&gt;NV$43,1,(SUM(NV10,OI10)-NV$8-OI$8)/NV$43))</f>
        <v>0</v>
      </c>
      <c r="QV10" s="1">
        <f t="shared" ref="QV10:QV40" si="88">IF(NX$43=0,0,IF(SUM(NX10,OK10)-NX$8-OK$8&gt;NX$43,1,(SUM(NX10,OK10)-NX$8-OK$8)/NX$43))</f>
        <v>0</v>
      </c>
      <c r="QW10" s="1">
        <f t="shared" ref="QW10:QW40" si="89">IF(NZ$43=0,0,IF(SUM(NZ10,OM10)-NZ$8-OM$8&gt;NZ$43,1,(SUM(NZ10,OM10)-NZ$8-OM$8)/NZ$43))</f>
        <v>0</v>
      </c>
      <c r="QX10" s="1">
        <f t="shared" ref="QX10:QX40" si="90">IF(OB$43=0,0,IF(SUM(OB10,OO10)-OB$8-OO$8&gt;OB$43,1,(SUM(OB10,OO10)-OB$8-OO$8)/OB$43))</f>
        <v>0</v>
      </c>
      <c r="QY10" s="1">
        <f t="shared" ref="QY10:QY40" si="91">IF(OD$43=0,0,IF(SUM(OD10,OQ10)-OD$8-OQ$8&gt;OD$43,1,(SUM(OD10,OQ10)-OD$8-OQ$8)/OD$43))</f>
        <v>0</v>
      </c>
      <c r="RA10" s="1">
        <f t="shared" ref="RA10:RA40" si="92">+IF(NT$43=0,0,IF(SUM(NT10,OG10)-NT$8-OG$8&gt;NT$43,1,(SUM(NT10,OG10)-NT$8-OG$8)/NT$43))</f>
        <v>0</v>
      </c>
      <c r="RB10" s="1">
        <f t="shared" ref="RB10:RB40" si="93">+IF(NV$43=0,0,IF(SUM(NV10,OI10)-NV$8-OI$8&gt;NV$43,1,(SUM(NV10,OI10)-NV$8-OI$8)/NV$43))</f>
        <v>0</v>
      </c>
      <c r="RC10" s="1">
        <f t="shared" ref="RC10:RC40" si="94">+IF(NX$43=0,0,IF(SUM(NX10,OK10)-NX$8-OK$8&gt;NX$43,1,(SUM(NX10,OK10)-NX$8-OK$8)/NX$43))</f>
        <v>0</v>
      </c>
      <c r="RD10" s="1">
        <f t="shared" ref="RD10:RD40" si="95">+IF(NZ$43=0,0,IF(SUM(NZ10,OM10)-NZ$8-OM$8&gt;NZ$43,1,(SUM(NZ10,OM10)-NZ$8-OM$8)/NZ$43))</f>
        <v>0</v>
      </c>
      <c r="RE10" s="1">
        <f t="shared" ref="RE10:RE40" si="96">+IF(OB$43=0,0,IF(SUM(OB10,OO10)-OB$8-OO$8&gt;OB$43,1,(SUM(OB10,OO10)-OB$8-OO$8)/OB$43))</f>
        <v>0</v>
      </c>
      <c r="RF10" s="1">
        <f t="shared" ref="RF10:RF40" si="97">+IF(OD$43=0,0,IF(SUM(OD10,OQ10)-OD$8-OQ$8&gt;OD$43,1,(SUM(OD10,OQ10)-OD$8-OQ$8)/OD$43))</f>
        <v>0</v>
      </c>
      <c r="RI10" s="1">
        <v>1</v>
      </c>
      <c r="RJ10" s="1">
        <f t="shared" ref="RJ10:RL17" si="98">+RJ9+JI10-LG10</f>
        <v>45424.161751083164</v>
      </c>
      <c r="RK10" s="1">
        <f t="shared" si="98"/>
        <v>3925.5835498622801</v>
      </c>
      <c r="RL10" s="1">
        <f t="shared" si="98"/>
        <v>9178.5689913333827</v>
      </c>
      <c r="RM10" s="89">
        <f t="shared" si="5"/>
        <v>58528.314292278832</v>
      </c>
      <c r="RN10" s="1033">
        <v>1</v>
      </c>
      <c r="RO10" s="1098">
        <v>0</v>
      </c>
      <c r="RP10" s="1098">
        <f t="shared" ref="RP10:RQ40" si="99">PW10</f>
        <v>618.88</v>
      </c>
      <c r="RQ10" s="1097">
        <f t="shared" si="99"/>
        <v>0</v>
      </c>
      <c r="RR10" s="1097">
        <f>BG10+AX10+BJ10+BM10+BZ10+BD10+BQ10-PX10</f>
        <v>9531.35</v>
      </c>
      <c r="RS10" s="1094"/>
      <c r="RT10" s="1094" t="s">
        <v>1011</v>
      </c>
      <c r="RW10" s="421">
        <v>1</v>
      </c>
      <c r="RX10" s="1095">
        <f t="shared" ref="RX10:RX40" si="100">GW10</f>
        <v>0</v>
      </c>
      <c r="RY10" s="1094" t="s">
        <v>295</v>
      </c>
      <c r="SA10" s="1090"/>
      <c r="SB10" s="1090">
        <f t="shared" ref="SB10:SB40" si="101">(DR10+EE10)-(RO10+RR10)</f>
        <v>-618.8799999999992</v>
      </c>
      <c r="SC10" s="1090"/>
      <c r="SD10" s="1090">
        <f t="shared" ref="SD10:SD17" si="102">JL10-RX10</f>
        <v>0</v>
      </c>
      <c r="SF10" s="1">
        <v>1</v>
      </c>
      <c r="SG10" s="1">
        <f t="shared" ref="SG10:SG40" si="103">PM10</f>
        <v>0</v>
      </c>
    </row>
    <row r="11" spans="1:502" s="1" customFormat="1">
      <c r="B11" s="471">
        <v>2</v>
      </c>
      <c r="C11" s="4">
        <f t="shared" si="6"/>
        <v>151824</v>
      </c>
      <c r="D11" s="1590">
        <f t="shared" ref="D11:D15" si="104">P11+T11+X11+AB11</f>
        <v>11403.720000000001</v>
      </c>
      <c r="E11" s="1895">
        <f t="shared" si="7"/>
        <v>13.313550315160315</v>
      </c>
      <c r="F11" s="870"/>
      <c r="G11" s="870"/>
      <c r="H11" s="52"/>
      <c r="I11" s="61"/>
      <c r="J11" s="52"/>
      <c r="K11" s="54"/>
      <c r="L11" s="52">
        <v>5</v>
      </c>
      <c r="M11" s="61">
        <v>3</v>
      </c>
      <c r="N11" s="2629"/>
      <c r="O11" s="4">
        <f>+SUM(AQ11,BC11,AW11)</f>
        <v>86352</v>
      </c>
      <c r="P11" s="1225">
        <f t="shared" si="8"/>
        <v>7783.58</v>
      </c>
      <c r="Q11" s="1951">
        <f t="shared" si="9"/>
        <v>11.094123783657391</v>
      </c>
      <c r="R11" s="33"/>
      <c r="S11" s="26">
        <f t="shared" si="10"/>
        <v>42158</v>
      </c>
      <c r="T11" s="27">
        <f t="shared" ref="T11:T40" si="105">+SUM(BZ11,BJ11,BM11,BG11,BN11)</f>
        <v>1520.1400000000003</v>
      </c>
      <c r="U11" s="1909">
        <f t="shared" si="11"/>
        <v>27.732971963108653</v>
      </c>
      <c r="V11" s="28"/>
      <c r="W11" s="1742">
        <f t="shared" si="12"/>
        <v>23314</v>
      </c>
      <c r="X11" s="5">
        <f t="shared" si="12"/>
        <v>2100</v>
      </c>
      <c r="Y11" s="1909">
        <f t="shared" si="13"/>
        <v>11.101904761904763</v>
      </c>
      <c r="Z11" s="33"/>
      <c r="AA11" s="26">
        <f t="shared" si="14"/>
        <v>0</v>
      </c>
      <c r="AB11" s="27">
        <f t="shared" si="15"/>
        <v>0</v>
      </c>
      <c r="AC11" s="1909">
        <f t="shared" si="16"/>
        <v>0</v>
      </c>
      <c r="AD11" s="28"/>
      <c r="AE11" s="36"/>
      <c r="AF11" s="36"/>
      <c r="AG11" s="53">
        <f t="shared" si="17"/>
        <v>0</v>
      </c>
      <c r="AH11" s="28"/>
      <c r="AI11" s="26"/>
      <c r="AJ11" s="27"/>
      <c r="AK11" s="53">
        <f t="shared" si="18"/>
        <v>0</v>
      </c>
      <c r="AL11" s="28"/>
      <c r="AM11" s="2629"/>
      <c r="AN11" s="9"/>
      <c r="AO11" s="5"/>
      <c r="AP11" s="61">
        <f t="shared" si="19"/>
        <v>0</v>
      </c>
      <c r="AQ11" s="36"/>
      <c r="AR11" s="53"/>
      <c r="AS11" s="61">
        <f t="shared" si="20"/>
        <v>0</v>
      </c>
      <c r="AT11" s="36"/>
      <c r="AU11" s="27"/>
      <c r="AV11" s="54">
        <f t="shared" si="21"/>
        <v>0</v>
      </c>
      <c r="AW11" s="1">
        <v>50022</v>
      </c>
      <c r="AX11" s="24">
        <v>4530.72</v>
      </c>
      <c r="AY11" s="1735">
        <f>IFERROR(AW10/AX11,0)</f>
        <v>9.2144294946498562</v>
      </c>
      <c r="AZ11" s="36"/>
      <c r="BA11" s="27"/>
      <c r="BB11" s="61">
        <f t="shared" si="22"/>
        <v>0</v>
      </c>
      <c r="BC11" s="1740">
        <v>36330</v>
      </c>
      <c r="BD11" s="1926">
        <v>3252.8599999999997</v>
      </c>
      <c r="BE11" s="1735">
        <f t="shared" si="23"/>
        <v>11.168633141297198</v>
      </c>
      <c r="BF11" s="36"/>
      <c r="BG11" s="53"/>
      <c r="BH11" s="61">
        <f t="shared" si="24"/>
        <v>0</v>
      </c>
      <c r="BI11" s="36">
        <v>0</v>
      </c>
      <c r="BJ11" s="53">
        <v>0</v>
      </c>
      <c r="BK11" s="61">
        <f t="shared" si="25"/>
        <v>0</v>
      </c>
      <c r="BL11" s="1742">
        <v>42158</v>
      </c>
      <c r="BM11" s="1736">
        <v>1520.1400000000003</v>
      </c>
      <c r="BN11" s="2170"/>
      <c r="BO11" s="1735">
        <f t="shared" si="26"/>
        <v>27.732971963108653</v>
      </c>
      <c r="BP11" s="1126">
        <v>0</v>
      </c>
      <c r="BQ11" s="49">
        <v>0</v>
      </c>
      <c r="BR11" s="1735">
        <f t="shared" si="27"/>
        <v>0</v>
      </c>
      <c r="BS11" s="36"/>
      <c r="BT11" s="53"/>
      <c r="BU11" s="61">
        <f t="shared" si="28"/>
        <v>0</v>
      </c>
      <c r="BV11" s="36">
        <v>23314</v>
      </c>
      <c r="BW11" s="27">
        <f t="shared" ref="BW11:BW38" si="106">EN11+EP11</f>
        <v>2100</v>
      </c>
      <c r="BX11" s="1906">
        <f t="shared" si="29"/>
        <v>11.101904761904763</v>
      </c>
      <c r="BY11" s="26"/>
      <c r="BZ11" s="419"/>
      <c r="CA11" s="61">
        <f t="shared" si="30"/>
        <v>0</v>
      </c>
      <c r="CB11" s="36"/>
      <c r="CC11" s="5"/>
      <c r="CD11" s="482">
        <f t="shared" si="31"/>
        <v>0</v>
      </c>
      <c r="CE11" s="4"/>
      <c r="CF11" s="27"/>
      <c r="CG11" s="28">
        <f t="shared" si="32"/>
        <v>0</v>
      </c>
      <c r="CH11" s="149"/>
      <c r="CI11" s="4"/>
      <c r="CJ11" s="5"/>
      <c r="CK11" s="5">
        <v>5704</v>
      </c>
      <c r="CL11" s="5"/>
      <c r="CM11" s="5"/>
      <c r="CN11" s="5">
        <f t="shared" si="33"/>
        <v>5704</v>
      </c>
      <c r="CO11" s="33"/>
      <c r="CP11" s="366"/>
      <c r="CR11" s="4">
        <f t="shared" si="34"/>
        <v>0</v>
      </c>
      <c r="CS11" s="9">
        <f t="shared" si="34"/>
        <v>0</v>
      </c>
      <c r="CT11" s="5">
        <f t="shared" si="34"/>
        <v>0</v>
      </c>
      <c r="CU11" s="5">
        <f t="shared" si="34"/>
        <v>0</v>
      </c>
      <c r="CV11" s="5">
        <f t="shared" si="34"/>
        <v>0</v>
      </c>
      <c r="CW11" s="12">
        <f t="shared" si="34"/>
        <v>0</v>
      </c>
      <c r="CX11" s="486">
        <f t="shared" si="34"/>
        <v>991.54</v>
      </c>
      <c r="CY11" s="9">
        <f t="shared" si="34"/>
        <v>0</v>
      </c>
      <c r="CZ11" s="5">
        <f t="shared" si="34"/>
        <v>7912.46</v>
      </c>
      <c r="DA11" s="12">
        <f t="shared" si="34"/>
        <v>0</v>
      </c>
      <c r="DB11" s="486">
        <f t="shared" si="34"/>
        <v>2499.7199999999998</v>
      </c>
      <c r="DC11" s="486">
        <f t="shared" si="34"/>
        <v>0</v>
      </c>
      <c r="DD11" s="310">
        <f t="shared" si="35"/>
        <v>11403.72</v>
      </c>
      <c r="DE11" s="2695"/>
      <c r="DF11" s="8"/>
      <c r="DG11" s="9"/>
      <c r="DH11" s="5"/>
      <c r="DI11" s="5"/>
      <c r="DJ11" s="5"/>
      <c r="DK11" s="5"/>
      <c r="DL11" s="3">
        <v>991.54</v>
      </c>
      <c r="DM11" s="5"/>
      <c r="DN11" s="3">
        <v>3539.18</v>
      </c>
      <c r="DO11" s="5"/>
      <c r="DP11" s="3">
        <v>0</v>
      </c>
      <c r="DQ11" s="12"/>
      <c r="DR11" s="1906">
        <f t="shared" si="36"/>
        <v>4530.7199999999993</v>
      </c>
      <c r="DS11" s="36"/>
      <c r="DT11" s="36"/>
      <c r="DU11" s="27"/>
      <c r="DV11" s="27"/>
      <c r="DW11" s="5"/>
      <c r="DX11" s="5"/>
      <c r="DY11" s="64"/>
      <c r="DZ11" s="5"/>
      <c r="EA11" s="3">
        <v>2273.2800000000002</v>
      </c>
      <c r="EB11" s="53"/>
      <c r="EC11" s="24">
        <v>2499.7199999999998</v>
      </c>
      <c r="ED11" s="33"/>
      <c r="EE11" s="28">
        <f t="shared" si="37"/>
        <v>4773</v>
      </c>
      <c r="EF11" s="9"/>
      <c r="EG11" s="9"/>
      <c r="EH11" s="5"/>
      <c r="EI11" s="5"/>
      <c r="EJ11" s="27"/>
      <c r="EK11" s="27"/>
      <c r="EL11" s="27"/>
      <c r="EM11" s="27"/>
      <c r="EN11" s="5">
        <v>2100</v>
      </c>
      <c r="EO11" s="5"/>
      <c r="EP11" s="5"/>
      <c r="EQ11" s="33"/>
      <c r="ER11" s="28">
        <f t="shared" si="38"/>
        <v>2100</v>
      </c>
      <c r="ES11" s="36"/>
      <c r="ET11" s="27"/>
      <c r="EU11" s="27"/>
      <c r="EV11" s="27"/>
      <c r="EW11" s="27"/>
      <c r="EX11" s="27"/>
      <c r="EY11" s="33">
        <f t="shared" si="39"/>
        <v>0</v>
      </c>
      <c r="EZ11" s="2685"/>
      <c r="FB11" s="4">
        <f t="shared" si="40"/>
        <v>0</v>
      </c>
      <c r="FC11" s="5">
        <f t="shared" si="41"/>
        <v>0</v>
      </c>
      <c r="FD11" s="5">
        <f t="shared" si="42"/>
        <v>0</v>
      </c>
      <c r="FE11" s="12">
        <f t="shared" si="43"/>
        <v>0</v>
      </c>
      <c r="FF11" s="33"/>
      <c r="FG11" s="2674"/>
      <c r="FH11" s="9"/>
      <c r="FI11" s="5"/>
      <c r="FJ11" s="5"/>
      <c r="FK11" s="5"/>
      <c r="FL11" s="5"/>
      <c r="FM11" s="27"/>
      <c r="FN11" s="28">
        <f t="shared" si="44"/>
        <v>0</v>
      </c>
      <c r="FO11" s="36"/>
      <c r="FP11" s="27"/>
      <c r="FQ11" s="27"/>
      <c r="FR11" s="27"/>
      <c r="FS11" s="27"/>
      <c r="FT11" s="27"/>
      <c r="FU11" s="28">
        <f t="shared" si="45"/>
        <v>0</v>
      </c>
      <c r="FV11" s="36"/>
      <c r="FW11" s="36"/>
      <c r="FX11" s="27"/>
      <c r="FY11" s="27"/>
      <c r="FZ11" s="27"/>
      <c r="GA11" s="27"/>
      <c r="GB11" s="27"/>
      <c r="GC11" s="27"/>
      <c r="GD11" s="24">
        <v>0</v>
      </c>
      <c r="GE11" s="27"/>
      <c r="GF11" s="27"/>
      <c r="GG11" s="33"/>
      <c r="GH11" s="33">
        <f t="shared" si="46"/>
        <v>0</v>
      </c>
      <c r="GI11" s="2674"/>
      <c r="GK11" s="2">
        <f t="shared" ref="GK11:GK40" si="107">+HM11</f>
        <v>0</v>
      </c>
      <c r="GL11" s="63">
        <f t="shared" ref="GL11:GL41" si="108">+IQ11</f>
        <v>0</v>
      </c>
      <c r="GM11" s="24">
        <f t="shared" ref="GM11:GM40" si="109">+JF11</f>
        <v>0</v>
      </c>
      <c r="GN11" s="1736">
        <f t="shared" si="47"/>
        <v>0</v>
      </c>
      <c r="GO11" s="141"/>
      <c r="GP11" s="141"/>
      <c r="GQ11" s="33" t="s">
        <v>295</v>
      </c>
      <c r="GR11" s="2667"/>
      <c r="GS11" s="1739">
        <v>0</v>
      </c>
      <c r="GT11" s="1721">
        <v>0</v>
      </c>
      <c r="GU11" s="1721">
        <v>0</v>
      </c>
      <c r="GV11" s="1721">
        <v>0</v>
      </c>
      <c r="GW11" s="1724">
        <v>0</v>
      </c>
      <c r="GX11" s="2667"/>
      <c r="GY11" s="36"/>
      <c r="GZ11" s="36"/>
      <c r="HA11" s="27"/>
      <c r="HB11" s="27"/>
      <c r="HC11" s="27"/>
      <c r="HD11" s="27"/>
      <c r="HE11" s="27"/>
      <c r="HF11" s="27"/>
      <c r="HG11" s="24">
        <v>0</v>
      </c>
      <c r="HH11" s="27"/>
      <c r="HI11" s="24">
        <v>0</v>
      </c>
      <c r="HJ11" s="27"/>
      <c r="HK11" s="24">
        <v>0</v>
      </c>
      <c r="HL11" s="27"/>
      <c r="HM11" s="28">
        <f t="shared" si="48"/>
        <v>0</v>
      </c>
      <c r="HN11" s="36"/>
      <c r="HO11" s="27"/>
      <c r="HP11" s="27"/>
      <c r="HQ11" s="27"/>
      <c r="HR11" s="27"/>
      <c r="HS11" s="27"/>
      <c r="HT11" s="27">
        <f t="array" ref="HT11">SUMPRODUCT(('Data Base hauling'!$C$2:$C$2000="TCM-ROM SB1 BK05-ROM 4")*(ISNUMBER(SEARCH(TEXT('July TCM'!$B11,"00")&amp;"/03/2026",'Data Base hauling'!$E$2:$E$2000)))*'Data Base hauling'!$N$2:$N$2000)</f>
        <v>0</v>
      </c>
      <c r="HU11" s="27"/>
      <c r="HV11" s="27">
        <f t="array" ref="HV11">SUMPRODUCT(('Data Base hauling'!$C$2:$C$2000="TCM-ROM SB1 BK05-ROM 5")*(ISNUMBER(SEARCH(TEXT('July TCM'!$B11,"00")&amp;"/03/2026",'Data Base hauling'!$E$2:$E$2000)))*'Data Base hauling'!$N$2:$N$2000)</f>
        <v>0</v>
      </c>
      <c r="HW11" s="27"/>
      <c r="HX11" s="27"/>
      <c r="HY11" s="27"/>
      <c r="HZ11" s="27"/>
      <c r="IA11" s="27"/>
      <c r="IB11" s="33">
        <f t="shared" si="49"/>
        <v>0</v>
      </c>
      <c r="IC11" s="52"/>
      <c r="ID11" s="152"/>
      <c r="IE11" s="53"/>
      <c r="IF11" s="53"/>
      <c r="IG11" s="53"/>
      <c r="IH11" s="53"/>
      <c r="II11" s="1926">
        <v>0</v>
      </c>
      <c r="IJ11" s="1736"/>
      <c r="IK11" s="1926">
        <v>0</v>
      </c>
      <c r="IL11" s="53"/>
      <c r="IM11" s="49">
        <v>0</v>
      </c>
      <c r="IN11" s="53"/>
      <c r="IO11" s="53"/>
      <c r="IP11" s="49">
        <v>0</v>
      </c>
      <c r="IQ11" s="2195">
        <f t="shared" si="50"/>
        <v>0</v>
      </c>
      <c r="IR11" s="36"/>
      <c r="IS11" s="36"/>
      <c r="IT11" s="27"/>
      <c r="IU11" s="27"/>
      <c r="IV11" s="53"/>
      <c r="IW11" s="27"/>
      <c r="IX11" s="24">
        <v>0</v>
      </c>
      <c r="IY11" s="27"/>
      <c r="IZ11" s="24">
        <v>0</v>
      </c>
      <c r="JA11" s="27"/>
      <c r="JB11" s="24">
        <v>0</v>
      </c>
      <c r="JC11" s="27"/>
      <c r="JD11" s="27"/>
      <c r="JE11" s="27"/>
      <c r="JF11" s="33">
        <f>SUM(IR11:JE11)</f>
        <v>0</v>
      </c>
      <c r="JG11" s="2667"/>
      <c r="JI11" s="2014">
        <v>0</v>
      </c>
      <c r="JJ11" s="2015">
        <v>0</v>
      </c>
      <c r="JK11" s="53"/>
      <c r="JL11" s="1736">
        <f t="shared" si="52"/>
        <v>0</v>
      </c>
      <c r="JM11" s="33"/>
      <c r="JN11" s="2669"/>
      <c r="JO11" s="66" t="s">
        <v>296</v>
      </c>
      <c r="JP11" s="67" t="s">
        <v>296</v>
      </c>
      <c r="JQ11" s="67" t="s">
        <v>296</v>
      </c>
      <c r="JR11" s="67" t="s">
        <v>296</v>
      </c>
      <c r="JS11" s="67" t="s">
        <v>296</v>
      </c>
      <c r="JT11" s="67" t="s">
        <v>296</v>
      </c>
      <c r="JU11" s="67" t="s">
        <v>296</v>
      </c>
      <c r="JV11" s="1921">
        <v>0</v>
      </c>
      <c r="JW11" s="66" t="s">
        <v>296</v>
      </c>
      <c r="JX11" s="67" t="s">
        <v>296</v>
      </c>
      <c r="JY11" s="67" t="s">
        <v>296</v>
      </c>
      <c r="JZ11" s="67" t="s">
        <v>296</v>
      </c>
      <c r="KA11" s="67" t="s">
        <v>296</v>
      </c>
      <c r="KB11" s="67" t="s">
        <v>296</v>
      </c>
      <c r="KC11" s="67" t="s">
        <v>296</v>
      </c>
      <c r="KD11" s="68" t="s">
        <v>296</v>
      </c>
      <c r="KE11" s="69"/>
      <c r="KF11" s="70"/>
      <c r="KG11" s="70"/>
      <c r="KH11" s="70"/>
      <c r="KI11" s="70"/>
      <c r="KJ11" s="70"/>
      <c r="KK11" s="70"/>
      <c r="KL11" s="70"/>
      <c r="KM11" s="33"/>
      <c r="KN11" s="2669"/>
      <c r="KO11" s="2203">
        <v>0</v>
      </c>
      <c r="KP11" s="1721">
        <v>0</v>
      </c>
      <c r="KQ11" s="1721">
        <v>0</v>
      </c>
      <c r="KR11" s="1721">
        <v>0</v>
      </c>
      <c r="KS11" s="1722">
        <v>0</v>
      </c>
      <c r="KT11" s="1958">
        <v>0</v>
      </c>
      <c r="KU11" s="1961">
        <v>0</v>
      </c>
      <c r="KV11" s="1961">
        <v>0</v>
      </c>
      <c r="KW11" s="1961">
        <v>0</v>
      </c>
      <c r="KX11" s="1962">
        <v>0</v>
      </c>
      <c r="KY11" s="36"/>
      <c r="KZ11" s="53"/>
      <c r="LA11" s="53"/>
      <c r="LB11" s="53"/>
      <c r="LC11" s="53"/>
      <c r="LD11" s="33"/>
      <c r="LE11" s="2669"/>
      <c r="LG11" s="998">
        <f t="shared" si="53"/>
        <v>0</v>
      </c>
      <c r="LH11" s="27">
        <f t="shared" si="53"/>
        <v>6698.91</v>
      </c>
      <c r="LI11" s="27">
        <f t="shared" si="53"/>
        <v>0</v>
      </c>
      <c r="LJ11" s="28">
        <f t="shared" si="54"/>
        <v>6698.91</v>
      </c>
      <c r="LK11" s="36">
        <v>1</v>
      </c>
      <c r="LL11" s="27"/>
      <c r="LM11" s="27">
        <v>2</v>
      </c>
      <c r="LN11" s="33"/>
      <c r="LO11" s="1044">
        <v>4.53</v>
      </c>
      <c r="LP11" s="486"/>
      <c r="LQ11" s="2688"/>
      <c r="LR11" s="36"/>
      <c r="LS11" s="36"/>
      <c r="LT11" s="27"/>
      <c r="LU11" s="27"/>
      <c r="LV11" s="27"/>
      <c r="LW11" s="1117">
        <f t="shared" si="55"/>
        <v>0</v>
      </c>
      <c r="LX11" s="36"/>
      <c r="LY11" s="36">
        <v>6698.91</v>
      </c>
      <c r="LZ11" s="27"/>
      <c r="MA11" s="27"/>
      <c r="MB11" s="33"/>
      <c r="MC11" s="28">
        <f t="shared" si="56"/>
        <v>6698.91</v>
      </c>
      <c r="MD11" s="26"/>
      <c r="ME11" s="36"/>
      <c r="MF11" s="27"/>
      <c r="MG11" s="27"/>
      <c r="MH11" s="27"/>
      <c r="MI11" s="28"/>
      <c r="MJ11" s="36"/>
      <c r="MK11" s="36"/>
      <c r="ML11" s="27"/>
      <c r="MM11" s="27"/>
      <c r="MN11" s="27"/>
      <c r="MO11" s="28"/>
      <c r="MP11" s="36"/>
      <c r="MQ11" s="36"/>
      <c r="MR11" s="27"/>
      <c r="MS11" s="27"/>
      <c r="MT11" s="27"/>
      <c r="MU11" s="33">
        <f t="shared" si="57"/>
        <v>0</v>
      </c>
      <c r="MV11" s="2688"/>
      <c r="MX11" s="26">
        <f t="shared" si="58"/>
        <v>196729.68568725474</v>
      </c>
      <c r="MY11" s="27">
        <f t="shared" si="59"/>
        <v>215735.67079257299</v>
      </c>
      <c r="MZ11" s="27">
        <f t="shared" si="60"/>
        <v>22054.84521011731</v>
      </c>
      <c r="NA11" s="28">
        <f t="shared" si="61"/>
        <v>335442.81760219001</v>
      </c>
      <c r="NB11" s="2621"/>
      <c r="NC11" s="23">
        <f t="shared" si="62"/>
        <v>102735.03485483871</v>
      </c>
      <c r="ND11" s="1655">
        <f t="shared" si="63"/>
        <v>93994.650832416024</v>
      </c>
      <c r="NE11" s="60">
        <f t="shared" si="64"/>
        <v>0</v>
      </c>
      <c r="NF11" s="275">
        <f t="shared" si="4"/>
        <v>196729.68568725474</v>
      </c>
      <c r="NG11" s="26">
        <f t="shared" si="65"/>
        <v>0</v>
      </c>
      <c r="NH11" s="27">
        <f t="shared" si="65"/>
        <v>0</v>
      </c>
      <c r="NI11" s="27">
        <f t="shared" si="65"/>
        <v>0</v>
      </c>
      <c r="NJ11" s="27">
        <f t="shared" si="65"/>
        <v>0</v>
      </c>
      <c r="NK11" s="27">
        <f t="shared" si="65"/>
        <v>0</v>
      </c>
      <c r="NL11" s="33">
        <f t="shared" si="65"/>
        <v>0</v>
      </c>
      <c r="NM11" s="280">
        <f t="shared" si="65"/>
        <v>0</v>
      </c>
      <c r="NN11" s="36">
        <f t="shared" si="65"/>
        <v>0</v>
      </c>
      <c r="NO11" s="24">
        <f t="shared" si="65"/>
        <v>20185.650671164178</v>
      </c>
      <c r="NP11" s="27">
        <f t="shared" si="65"/>
        <v>24549.88002237798</v>
      </c>
      <c r="NQ11" s="24">
        <f t="shared" ref="NQ11:NQ40" si="110">+NQ10+EF11-GY11</f>
        <v>8756.5482322711578</v>
      </c>
      <c r="NR11" s="24">
        <f t="shared" ref="NR11:NR40" si="111">+NR10+EP11-HI11</f>
        <v>10133.851351487181</v>
      </c>
      <c r="NS11" s="27">
        <f t="shared" si="0"/>
        <v>63625.930277300497</v>
      </c>
      <c r="NT11" s="27">
        <f t="shared" si="66"/>
        <v>0</v>
      </c>
      <c r="NU11" s="27">
        <f t="shared" si="66"/>
        <v>0</v>
      </c>
      <c r="NV11" s="27">
        <f t="shared" si="66"/>
        <v>0</v>
      </c>
      <c r="NW11" s="27">
        <f t="shared" si="66"/>
        <v>0</v>
      </c>
      <c r="NX11" s="27">
        <f t="shared" si="66"/>
        <v>0</v>
      </c>
      <c r="NY11" s="27">
        <f t="shared" si="66"/>
        <v>0</v>
      </c>
      <c r="NZ11" s="27">
        <f t="shared" si="66"/>
        <v>11008.128814178835</v>
      </c>
      <c r="OA11" s="27">
        <f t="shared" si="66"/>
        <v>0</v>
      </c>
      <c r="OB11" s="27">
        <f t="shared" si="66"/>
        <v>83439.469365972574</v>
      </c>
      <c r="OC11" s="280"/>
      <c r="OD11" s="24">
        <f t="shared" si="67"/>
        <v>0</v>
      </c>
      <c r="OE11" s="27">
        <f t="shared" si="67"/>
        <v>0</v>
      </c>
      <c r="OF11" s="27">
        <f t="shared" si="1"/>
        <v>94447.598180151414</v>
      </c>
      <c r="OG11" s="27">
        <f t="shared" si="68"/>
        <v>0</v>
      </c>
      <c r="OH11" s="27">
        <f t="shared" si="68"/>
        <v>0</v>
      </c>
      <c r="OI11" s="27">
        <f t="shared" si="68"/>
        <v>0</v>
      </c>
      <c r="OJ11" s="27">
        <f t="shared" si="68"/>
        <v>0</v>
      </c>
      <c r="OK11" s="27">
        <f t="shared" si="68"/>
        <v>0</v>
      </c>
      <c r="OL11" s="27">
        <f t="shared" si="68"/>
        <v>0</v>
      </c>
      <c r="OM11" s="24">
        <f t="shared" si="68"/>
        <v>0</v>
      </c>
      <c r="ON11" s="27">
        <f t="shared" si="68"/>
        <v>0</v>
      </c>
      <c r="OO11" s="24">
        <f t="shared" ref="OO11:OO12" si="112">+OO10+EA11+GD11+QF11-IZ11</f>
        <v>39541.105076326239</v>
      </c>
      <c r="OP11" s="27">
        <f t="shared" si="68"/>
        <v>0</v>
      </c>
      <c r="OQ11" s="24">
        <f t="shared" si="68"/>
        <v>18121.037258794844</v>
      </c>
      <c r="OR11" s="27">
        <f t="shared" si="68"/>
        <v>0</v>
      </c>
      <c r="OS11" s="28">
        <f t="shared" si="2"/>
        <v>57662.142335121083</v>
      </c>
      <c r="OT11" s="36"/>
      <c r="OU11" s="27"/>
      <c r="OV11" s="27"/>
      <c r="OW11" s="27"/>
      <c r="OX11" s="27"/>
      <c r="OY11" s="27"/>
      <c r="OZ11" s="28">
        <f t="shared" si="69"/>
        <v>0</v>
      </c>
      <c r="PA11" s="36">
        <f t="shared" si="70"/>
        <v>0</v>
      </c>
      <c r="PB11" s="27">
        <f t="shared" si="71"/>
        <v>0</v>
      </c>
      <c r="PC11" s="27">
        <f t="shared" si="72"/>
        <v>0</v>
      </c>
      <c r="PD11" s="27">
        <f t="shared" si="73"/>
        <v>0</v>
      </c>
      <c r="PE11" s="24"/>
      <c r="PF11" s="27">
        <f t="shared" si="74"/>
        <v>0</v>
      </c>
      <c r="PG11" s="33">
        <f t="shared" si="3"/>
        <v>0</v>
      </c>
      <c r="PH11" s="2621"/>
      <c r="PJ11" s="1907">
        <v>816.88</v>
      </c>
      <c r="PK11" s="1101">
        <v>1064</v>
      </c>
      <c r="PL11" s="1101">
        <v>304</v>
      </c>
      <c r="PM11" s="3">
        <v>0</v>
      </c>
      <c r="PN11" s="3">
        <f t="shared" si="75"/>
        <v>27462.283504658721</v>
      </c>
      <c r="PO11" s="11">
        <f t="shared" si="76"/>
        <v>22054.84521011731</v>
      </c>
      <c r="PP11" s="15"/>
      <c r="PQ11" s="2615"/>
      <c r="PS11" s="4"/>
      <c r="PT11" s="9"/>
      <c r="PU11" s="9"/>
      <c r="PV11" s="9"/>
      <c r="PW11" s="8">
        <v>0</v>
      </c>
      <c r="PX11" s="9"/>
      <c r="PY11" s="8">
        <f t="shared" si="77"/>
        <v>0</v>
      </c>
      <c r="PZ11" s="5">
        <f t="shared" si="78"/>
        <v>816.88</v>
      </c>
      <c r="QA11" s="5"/>
      <c r="QB11" s="5"/>
      <c r="QC11" s="5"/>
      <c r="QD11" s="5"/>
      <c r="QE11" s="5"/>
      <c r="QF11" s="12"/>
      <c r="QG11" s="12">
        <f t="shared" si="79"/>
        <v>29562.488999999998</v>
      </c>
      <c r="QH11" s="420">
        <f t="shared" si="80"/>
        <v>303660.37180819002</v>
      </c>
      <c r="QI11" s="1106">
        <f t="shared" ref="QI11:QI39" si="113">+QI10+PX11-QE11</f>
        <v>2219.9567940000002</v>
      </c>
      <c r="QJ11" s="484">
        <f t="shared" si="81"/>
        <v>5505.3678056099998</v>
      </c>
      <c r="QK11" s="12"/>
      <c r="QL11" s="2615"/>
      <c r="QN11" s="139" t="str">
        <f t="shared" si="82"/>
        <v/>
      </c>
      <c r="QO11" s="139" t="str">
        <f t="shared" si="83"/>
        <v/>
      </c>
      <c r="QQ11" s="139" t="str">
        <f t="shared" si="84"/>
        <v/>
      </c>
      <c r="QR11" s="139" t="str">
        <f t="shared" si="85"/>
        <v/>
      </c>
      <c r="QT11" s="1">
        <f t="shared" si="86"/>
        <v>0</v>
      </c>
      <c r="QU11" s="1">
        <f t="shared" si="87"/>
        <v>0</v>
      </c>
      <c r="QV11" s="1">
        <f t="shared" si="88"/>
        <v>0</v>
      </c>
      <c r="QW11" s="1">
        <f t="shared" si="89"/>
        <v>0</v>
      </c>
      <c r="QX11" s="1">
        <f t="shared" si="90"/>
        <v>0</v>
      </c>
      <c r="QY11" s="1">
        <f t="shared" si="91"/>
        <v>0</v>
      </c>
      <c r="RA11" s="1">
        <f t="shared" si="92"/>
        <v>0</v>
      </c>
      <c r="RB11" s="1">
        <f t="shared" si="93"/>
        <v>0</v>
      </c>
      <c r="RC11" s="1">
        <f t="shared" si="94"/>
        <v>0</v>
      </c>
      <c r="RD11" s="1">
        <f t="shared" si="95"/>
        <v>0</v>
      </c>
      <c r="RE11" s="1">
        <f t="shared" si="96"/>
        <v>0</v>
      </c>
      <c r="RF11" s="1">
        <f t="shared" si="97"/>
        <v>0</v>
      </c>
      <c r="RI11" s="1">
        <v>2</v>
      </c>
      <c r="RJ11" s="1">
        <f t="shared" si="98"/>
        <v>45424.161751083164</v>
      </c>
      <c r="RK11" s="1">
        <f t="shared" si="98"/>
        <v>-2773.3264501377198</v>
      </c>
      <c r="RL11" s="1">
        <f t="shared" si="98"/>
        <v>9178.5689913333827</v>
      </c>
      <c r="RM11" s="89">
        <f t="shared" si="5"/>
        <v>51829.404292278829</v>
      </c>
      <c r="RN11" s="1033">
        <v>2</v>
      </c>
      <c r="RO11" s="1098">
        <v>0</v>
      </c>
      <c r="RP11" s="1098">
        <f t="shared" si="99"/>
        <v>0</v>
      </c>
      <c r="RQ11" s="1097">
        <f t="shared" si="99"/>
        <v>0</v>
      </c>
      <c r="RR11" s="1097">
        <f t="shared" ref="RR11:RR40" si="114">BG11+AX11+BJ11+BM11+BZ11+BD11+BQ11-PX11</f>
        <v>9303.7200000000012</v>
      </c>
      <c r="RS11" s="1094"/>
      <c r="RT11" s="1096" t="s">
        <v>1012</v>
      </c>
      <c r="RW11" s="421">
        <v>2</v>
      </c>
      <c r="RX11" s="1095">
        <f t="shared" si="100"/>
        <v>0</v>
      </c>
      <c r="RY11" s="1096" t="s">
        <v>295</v>
      </c>
      <c r="SA11" s="1090"/>
      <c r="SB11" s="1090">
        <f t="shared" si="101"/>
        <v>0</v>
      </c>
      <c r="SC11" s="1090"/>
      <c r="SD11" s="1090">
        <f t="shared" si="102"/>
        <v>0</v>
      </c>
      <c r="SF11" s="1">
        <v>2</v>
      </c>
      <c r="SG11" s="1">
        <f t="shared" si="103"/>
        <v>0</v>
      </c>
      <c r="SH11" s="1094"/>
    </row>
    <row r="12" spans="1:502" s="1" customFormat="1">
      <c r="A12" s="1">
        <v>1630.7189913362533</v>
      </c>
      <c r="B12" s="471">
        <v>3</v>
      </c>
      <c r="C12" s="4">
        <f t="shared" si="6"/>
        <v>143214</v>
      </c>
      <c r="D12" s="1590">
        <f t="shared" si="104"/>
        <v>10965.45</v>
      </c>
      <c r="E12" s="1895">
        <f t="shared" si="7"/>
        <v>13.060476314241548</v>
      </c>
      <c r="F12" s="870"/>
      <c r="G12" s="870"/>
      <c r="H12" s="52"/>
      <c r="I12" s="61"/>
      <c r="J12" s="52"/>
      <c r="K12" s="54"/>
      <c r="L12" s="52">
        <v>2.5</v>
      </c>
      <c r="M12" s="61">
        <v>1.62</v>
      </c>
      <c r="N12" s="2629"/>
      <c r="O12" s="4">
        <f>+SUM(AQ12,BC12,AW12)</f>
        <v>86310</v>
      </c>
      <c r="P12" s="1225">
        <f t="shared" si="8"/>
        <v>6999.49</v>
      </c>
      <c r="Q12" s="1913">
        <f t="shared" si="9"/>
        <v>12.330898394025851</v>
      </c>
      <c r="R12" s="33"/>
      <c r="S12" s="26">
        <f t="shared" si="10"/>
        <v>35057</v>
      </c>
      <c r="T12" s="27">
        <f t="shared" si="105"/>
        <v>1905.9600000000003</v>
      </c>
      <c r="U12" s="1909">
        <f t="shared" si="11"/>
        <v>18.393355579340593</v>
      </c>
      <c r="V12" s="28"/>
      <c r="W12" s="1742">
        <f t="shared" si="12"/>
        <v>21847</v>
      </c>
      <c r="X12" s="5">
        <f t="shared" si="12"/>
        <v>2060</v>
      </c>
      <c r="Y12" s="1909">
        <f t="shared" si="13"/>
        <v>10.605339805825242</v>
      </c>
      <c r="Z12" s="33"/>
      <c r="AA12" s="26">
        <f t="shared" si="14"/>
        <v>0</v>
      </c>
      <c r="AB12" s="27">
        <f t="shared" si="15"/>
        <v>0</v>
      </c>
      <c r="AC12" s="1909">
        <f t="shared" si="16"/>
        <v>0</v>
      </c>
      <c r="AD12" s="28"/>
      <c r="AE12" s="36"/>
      <c r="AF12" s="36"/>
      <c r="AG12" s="53">
        <f t="shared" si="17"/>
        <v>0</v>
      </c>
      <c r="AH12" s="28"/>
      <c r="AI12" s="23"/>
      <c r="AJ12" s="27"/>
      <c r="AK12" s="53">
        <f t="shared" si="18"/>
        <v>0</v>
      </c>
      <c r="AL12" s="28"/>
      <c r="AM12" s="2629"/>
      <c r="AN12" s="9"/>
      <c r="AO12" s="5"/>
      <c r="AP12" s="61">
        <f t="shared" si="19"/>
        <v>0</v>
      </c>
      <c r="AQ12" s="36"/>
      <c r="AR12" s="53"/>
      <c r="AS12" s="61">
        <f t="shared" si="20"/>
        <v>0</v>
      </c>
      <c r="AT12" s="36"/>
      <c r="AU12" s="27"/>
      <c r="AV12" s="54">
        <f t="shared" si="21"/>
        <v>0</v>
      </c>
      <c r="AW12" s="26">
        <v>46158</v>
      </c>
      <c r="AX12" s="24">
        <v>5132.76</v>
      </c>
      <c r="AY12" s="1735">
        <f t="shared" ref="AY12:AY40" si="115">IFERROR(AW12/AX12,0)</f>
        <v>8.9928225749888941</v>
      </c>
      <c r="AZ12" s="36"/>
      <c r="BA12" s="27"/>
      <c r="BB12" s="61">
        <f t="shared" si="22"/>
        <v>0</v>
      </c>
      <c r="BC12" s="1740">
        <v>40152</v>
      </c>
      <c r="BD12" s="1926">
        <v>1866.73</v>
      </c>
      <c r="BE12" s="1735">
        <f t="shared" si="23"/>
        <v>21.509270221188924</v>
      </c>
      <c r="BF12" s="36"/>
      <c r="BG12" s="53"/>
      <c r="BH12" s="61">
        <f t="shared" si="24"/>
        <v>0</v>
      </c>
      <c r="BI12" s="36">
        <v>0</v>
      </c>
      <c r="BJ12" s="53">
        <v>0</v>
      </c>
      <c r="BK12" s="61">
        <f t="shared" si="25"/>
        <v>0</v>
      </c>
      <c r="BL12" s="1742">
        <v>35057</v>
      </c>
      <c r="BM12" s="1736">
        <v>1905.9600000000003</v>
      </c>
      <c r="BN12" s="2170"/>
      <c r="BO12" s="1735">
        <f t="shared" si="26"/>
        <v>18.393355579340593</v>
      </c>
      <c r="BP12" s="1125">
        <v>0</v>
      </c>
      <c r="BQ12" s="49">
        <v>0</v>
      </c>
      <c r="BR12" s="1735">
        <f t="shared" si="27"/>
        <v>0</v>
      </c>
      <c r="BS12" s="36"/>
      <c r="BT12" s="53"/>
      <c r="BU12" s="61">
        <f t="shared" si="28"/>
        <v>0</v>
      </c>
      <c r="BV12" s="36">
        <v>21847</v>
      </c>
      <c r="BW12" s="27">
        <f t="shared" si="106"/>
        <v>2060</v>
      </c>
      <c r="BX12" s="1906">
        <f t="shared" si="29"/>
        <v>10.605339805825242</v>
      </c>
      <c r="BY12" s="26"/>
      <c r="BZ12" s="27"/>
      <c r="CA12" s="61">
        <f t="shared" si="30"/>
        <v>0</v>
      </c>
      <c r="CB12" s="36"/>
      <c r="CC12" s="5"/>
      <c r="CD12" s="482">
        <f t="shared" si="31"/>
        <v>0</v>
      </c>
      <c r="CE12" s="4"/>
      <c r="CF12" s="280"/>
      <c r="CG12" s="28">
        <f t="shared" si="32"/>
        <v>0</v>
      </c>
      <c r="CH12" s="150"/>
      <c r="CI12" s="4"/>
      <c r="CJ12" s="5"/>
      <c r="CK12" s="5">
        <v>8289</v>
      </c>
      <c r="CL12" s="5"/>
      <c r="CM12" s="5"/>
      <c r="CN12" s="5">
        <f t="shared" si="33"/>
        <v>8289</v>
      </c>
      <c r="CO12" s="33"/>
      <c r="CP12" s="366"/>
      <c r="CR12" s="4">
        <f t="shared" si="34"/>
        <v>0</v>
      </c>
      <c r="CS12" s="9">
        <f t="shared" si="34"/>
        <v>0</v>
      </c>
      <c r="CT12" s="5">
        <f t="shared" si="34"/>
        <v>0</v>
      </c>
      <c r="CU12" s="5">
        <f t="shared" si="34"/>
        <v>0</v>
      </c>
      <c r="CV12" s="5">
        <f t="shared" si="34"/>
        <v>0</v>
      </c>
      <c r="CW12" s="5">
        <f t="shared" si="34"/>
        <v>0</v>
      </c>
      <c r="CX12" s="488">
        <f t="shared" si="34"/>
        <v>590.66000000000008</v>
      </c>
      <c r="CY12" s="5">
        <f t="shared" si="34"/>
        <v>0</v>
      </c>
      <c r="CZ12" s="5">
        <f t="shared" si="34"/>
        <v>8168.06</v>
      </c>
      <c r="DA12" s="5">
        <f t="shared" si="34"/>
        <v>0</v>
      </c>
      <c r="DB12" s="488">
        <f t="shared" si="34"/>
        <v>2206.73</v>
      </c>
      <c r="DC12" s="12">
        <f t="shared" si="34"/>
        <v>0</v>
      </c>
      <c r="DD12" s="310">
        <f t="shared" si="35"/>
        <v>10965.45</v>
      </c>
      <c r="DE12" s="2695"/>
      <c r="DF12" s="8"/>
      <c r="DG12" s="9"/>
      <c r="DH12" s="5"/>
      <c r="DI12" s="5"/>
      <c r="DJ12" s="5"/>
      <c r="DK12" s="5"/>
      <c r="DL12" s="3">
        <v>590.66000000000008</v>
      </c>
      <c r="DM12" s="5"/>
      <c r="DN12" s="3">
        <v>4542.1000000000004</v>
      </c>
      <c r="DO12" s="5"/>
      <c r="DP12" s="3">
        <v>0</v>
      </c>
      <c r="DQ12" s="12"/>
      <c r="DR12" s="1906">
        <f t="shared" si="36"/>
        <v>5132.76</v>
      </c>
      <c r="DS12" s="36"/>
      <c r="DT12" s="36"/>
      <c r="DU12" s="27"/>
      <c r="DV12" s="27"/>
      <c r="DW12" s="5"/>
      <c r="DX12" s="5"/>
      <c r="DY12" s="64"/>
      <c r="DZ12" s="5"/>
      <c r="EA12" s="3">
        <v>1905.9600000000003</v>
      </c>
      <c r="EB12" s="53"/>
      <c r="EC12" s="24">
        <v>1866.73</v>
      </c>
      <c r="ED12" s="33"/>
      <c r="EE12" s="28">
        <f t="shared" si="37"/>
        <v>3772.6900000000005</v>
      </c>
      <c r="EF12" s="9"/>
      <c r="EG12" s="9"/>
      <c r="EH12" s="491"/>
      <c r="EI12" s="5"/>
      <c r="EJ12" s="27"/>
      <c r="EK12" s="27"/>
      <c r="EL12" s="27"/>
      <c r="EM12" s="27"/>
      <c r="EN12" s="5">
        <v>1720</v>
      </c>
      <c r="EO12" s="5"/>
      <c r="EP12" s="5">
        <v>340</v>
      </c>
      <c r="EQ12" s="33"/>
      <c r="ER12" s="28">
        <f t="shared" si="38"/>
        <v>2060</v>
      </c>
      <c r="ES12" s="36"/>
      <c r="ET12" s="27"/>
      <c r="EU12" s="27"/>
      <c r="EV12" s="27"/>
      <c r="EW12" s="27"/>
      <c r="EX12" s="27"/>
      <c r="EY12" s="33">
        <f t="shared" si="39"/>
        <v>0</v>
      </c>
      <c r="EZ12" s="2685"/>
      <c r="FB12" s="4">
        <f t="shared" si="40"/>
        <v>0</v>
      </c>
      <c r="FC12" s="5">
        <f t="shared" si="41"/>
        <v>0</v>
      </c>
      <c r="FD12" s="5">
        <f t="shared" si="42"/>
        <v>0</v>
      </c>
      <c r="FE12" s="12">
        <f t="shared" si="43"/>
        <v>0</v>
      </c>
      <c r="FF12" s="33"/>
      <c r="FG12" s="2674"/>
      <c r="FH12" s="9"/>
      <c r="FI12" s="5"/>
      <c r="FJ12" s="5"/>
      <c r="FK12" s="5"/>
      <c r="FL12" s="5"/>
      <c r="FM12" s="27"/>
      <c r="FN12" s="28">
        <f t="shared" si="44"/>
        <v>0</v>
      </c>
      <c r="FO12" s="36"/>
      <c r="FP12" s="27"/>
      <c r="FQ12" s="27"/>
      <c r="FR12" s="27"/>
      <c r="FS12" s="27"/>
      <c r="FT12" s="27"/>
      <c r="FU12" s="28">
        <f t="shared" si="45"/>
        <v>0</v>
      </c>
      <c r="FV12" s="36"/>
      <c r="FW12" s="36"/>
      <c r="FX12" s="27"/>
      <c r="FY12" s="27"/>
      <c r="FZ12" s="27"/>
      <c r="GA12" s="27"/>
      <c r="GB12" s="27"/>
      <c r="GC12" s="27"/>
      <c r="GD12" s="24">
        <v>0</v>
      </c>
      <c r="GE12" s="27"/>
      <c r="GF12" s="27"/>
      <c r="GG12" s="33"/>
      <c r="GH12" s="33">
        <f t="shared" si="46"/>
        <v>0</v>
      </c>
      <c r="GI12" s="2674"/>
      <c r="GK12" s="2">
        <f t="shared" si="107"/>
        <v>0</v>
      </c>
      <c r="GL12" s="63">
        <f t="shared" si="108"/>
        <v>0</v>
      </c>
      <c r="GM12" s="24">
        <f t="shared" si="109"/>
        <v>0</v>
      </c>
      <c r="GN12" s="1736">
        <f t="shared" si="47"/>
        <v>0</v>
      </c>
      <c r="GO12" s="141"/>
      <c r="GP12" s="141"/>
      <c r="GQ12" s="33" t="s">
        <v>295</v>
      </c>
      <c r="GR12" s="2667"/>
      <c r="GS12" s="1739">
        <v>0</v>
      </c>
      <c r="GT12" s="1721">
        <v>0</v>
      </c>
      <c r="GU12" s="1721">
        <v>0</v>
      </c>
      <c r="GV12" s="1721">
        <v>0</v>
      </c>
      <c r="GW12" s="1724">
        <v>0</v>
      </c>
      <c r="GX12" s="2667"/>
      <c r="GY12" s="36"/>
      <c r="GZ12" s="36"/>
      <c r="HA12" s="27"/>
      <c r="HB12" s="27"/>
      <c r="HC12" s="27"/>
      <c r="HD12" s="27"/>
      <c r="HE12" s="27"/>
      <c r="HF12" s="27"/>
      <c r="HG12" s="24">
        <v>0</v>
      </c>
      <c r="HH12" s="27"/>
      <c r="HI12" s="24">
        <v>0</v>
      </c>
      <c r="HJ12" s="27"/>
      <c r="HK12" s="24">
        <v>0</v>
      </c>
      <c r="HL12" s="27"/>
      <c r="HM12" s="28">
        <f t="shared" si="48"/>
        <v>0</v>
      </c>
      <c r="HN12" s="36"/>
      <c r="HO12" s="27"/>
      <c r="HP12" s="27"/>
      <c r="HQ12" s="27"/>
      <c r="HR12" s="27"/>
      <c r="HS12" s="27"/>
      <c r="HT12" s="27">
        <f t="array" ref="HT12">SUMPRODUCT(('Data Base hauling'!$C$2:$C$2000="TCM-ROM SB1 BK05-ROM 4")*(ISNUMBER(SEARCH(TEXT('July TCM'!$B12,"00")&amp;"/03/2026",'Data Base hauling'!$E$2:$E$2000)))*'Data Base hauling'!$N$2:$N$2000)</f>
        <v>0</v>
      </c>
      <c r="HU12" s="27"/>
      <c r="HV12" s="27">
        <f t="array" ref="HV12">SUMPRODUCT(('Data Base hauling'!$C$2:$C$2000="TCM-ROM SB1 BK05-ROM 5")*(ISNUMBER(SEARCH(TEXT('July TCM'!$B12,"00")&amp;"/03/2026",'Data Base hauling'!$E$2:$E$2000)))*'Data Base hauling'!$N$2:$N$2000)</f>
        <v>0</v>
      </c>
      <c r="HW12" s="27"/>
      <c r="HX12" s="27"/>
      <c r="HY12" s="27"/>
      <c r="HZ12" s="27"/>
      <c r="IA12" s="27"/>
      <c r="IB12" s="33">
        <f t="shared" si="49"/>
        <v>0</v>
      </c>
      <c r="IC12" s="52"/>
      <c r="ID12" s="152"/>
      <c r="IE12" s="53"/>
      <c r="IF12" s="53"/>
      <c r="IG12" s="53"/>
      <c r="IH12" s="53"/>
      <c r="II12" s="1926">
        <v>0</v>
      </c>
      <c r="IJ12" s="1736"/>
      <c r="IK12" s="1926">
        <v>0</v>
      </c>
      <c r="IL12" s="53"/>
      <c r="IM12" s="49">
        <v>0</v>
      </c>
      <c r="IN12" s="53"/>
      <c r="IO12" s="53"/>
      <c r="IP12" s="49">
        <v>0</v>
      </c>
      <c r="IQ12" s="2195">
        <f t="shared" si="50"/>
        <v>0</v>
      </c>
      <c r="IR12" s="36"/>
      <c r="IS12" s="36"/>
      <c r="IT12" s="27"/>
      <c r="IU12" s="27"/>
      <c r="IV12" s="53"/>
      <c r="IW12" s="27"/>
      <c r="IX12" s="24">
        <v>0</v>
      </c>
      <c r="IY12" s="27"/>
      <c r="IZ12" s="24">
        <v>0</v>
      </c>
      <c r="JA12" s="27"/>
      <c r="JB12" s="24">
        <v>0</v>
      </c>
      <c r="JC12" s="27"/>
      <c r="JD12" s="27"/>
      <c r="JE12" s="27"/>
      <c r="JF12" s="33">
        <f t="shared" ref="JF12:JF16" si="116">SUM(IR12:JE12)</f>
        <v>0</v>
      </c>
      <c r="JG12" s="2667"/>
      <c r="JI12" s="2014">
        <v>0</v>
      </c>
      <c r="JJ12" s="2015">
        <v>0</v>
      </c>
      <c r="JK12" s="53"/>
      <c r="JL12" s="1736">
        <f t="shared" si="52"/>
        <v>0</v>
      </c>
      <c r="JM12" s="33"/>
      <c r="JN12" s="2669"/>
      <c r="JO12" s="66" t="s">
        <v>296</v>
      </c>
      <c r="JP12" s="67" t="s">
        <v>296</v>
      </c>
      <c r="JQ12" s="67" t="s">
        <v>296</v>
      </c>
      <c r="JR12" s="67" t="s">
        <v>296</v>
      </c>
      <c r="JS12" s="67" t="s">
        <v>296</v>
      </c>
      <c r="JT12" s="67" t="s">
        <v>296</v>
      </c>
      <c r="JU12" s="67" t="s">
        <v>296</v>
      </c>
      <c r="JV12" s="1921">
        <v>0</v>
      </c>
      <c r="JW12" s="66" t="s">
        <v>296</v>
      </c>
      <c r="JX12" s="67" t="s">
        <v>296</v>
      </c>
      <c r="JY12" s="67" t="s">
        <v>296</v>
      </c>
      <c r="JZ12" s="67" t="s">
        <v>296</v>
      </c>
      <c r="KA12" s="67" t="s">
        <v>296</v>
      </c>
      <c r="KB12" s="67" t="s">
        <v>296</v>
      </c>
      <c r="KC12" s="67" t="s">
        <v>296</v>
      </c>
      <c r="KD12" s="68" t="s">
        <v>296</v>
      </c>
      <c r="KE12" s="69"/>
      <c r="KF12" s="70"/>
      <c r="KG12" s="70"/>
      <c r="KH12" s="70"/>
      <c r="KI12" s="70"/>
      <c r="KJ12" s="70"/>
      <c r="KK12" s="70"/>
      <c r="KL12" s="70"/>
      <c r="KM12" s="33"/>
      <c r="KN12" s="2669"/>
      <c r="KO12" s="2203">
        <v>0</v>
      </c>
      <c r="KP12" s="1721">
        <v>0</v>
      </c>
      <c r="KQ12" s="1721">
        <v>0</v>
      </c>
      <c r="KR12" s="1721">
        <v>0</v>
      </c>
      <c r="KS12" s="1722">
        <v>0</v>
      </c>
      <c r="KT12" s="1958">
        <v>0</v>
      </c>
      <c r="KU12" s="1961">
        <v>0</v>
      </c>
      <c r="KV12" s="1961">
        <v>0</v>
      </c>
      <c r="KW12" s="1961">
        <v>0</v>
      </c>
      <c r="KX12" s="1962">
        <v>0</v>
      </c>
      <c r="KY12" s="36"/>
      <c r="KZ12" s="53"/>
      <c r="LA12" s="53"/>
      <c r="LB12" s="53"/>
      <c r="LC12" s="53"/>
      <c r="LD12" s="33"/>
      <c r="LE12" s="2669"/>
      <c r="LG12" s="998">
        <f t="shared" si="53"/>
        <v>5704.17</v>
      </c>
      <c r="LH12" s="27">
        <f t="shared" si="53"/>
        <v>1901.39</v>
      </c>
      <c r="LI12" s="27">
        <f t="shared" si="53"/>
        <v>0</v>
      </c>
      <c r="LJ12" s="28">
        <f t="shared" si="54"/>
        <v>7605.56</v>
      </c>
      <c r="LK12" s="36">
        <v>1</v>
      </c>
      <c r="LL12" s="27"/>
      <c r="LM12" s="27"/>
      <c r="LN12" s="33"/>
      <c r="LO12" s="1041">
        <v>4.63</v>
      </c>
      <c r="LP12" s="486"/>
      <c r="LQ12" s="2688"/>
      <c r="LR12" s="36"/>
      <c r="LS12" s="27"/>
      <c r="LT12" s="27"/>
      <c r="LU12" s="27"/>
      <c r="LV12" s="27"/>
      <c r="LW12" s="1117">
        <f t="shared" si="55"/>
        <v>0</v>
      </c>
      <c r="LX12" s="36">
        <v>5704.17</v>
      </c>
      <c r="LY12" s="36">
        <v>1901.39</v>
      </c>
      <c r="LZ12" s="27"/>
      <c r="MA12" s="27"/>
      <c r="MB12" s="33"/>
      <c r="MC12" s="28">
        <f t="shared" si="56"/>
        <v>7605.56</v>
      </c>
      <c r="MD12" s="26"/>
      <c r="ME12" s="36"/>
      <c r="MF12" s="27"/>
      <c r="MG12" s="27"/>
      <c r="MH12" s="27"/>
      <c r="MI12" s="28"/>
      <c r="MJ12" s="36"/>
      <c r="MK12" s="36"/>
      <c r="ML12" s="27"/>
      <c r="MM12" s="27"/>
      <c r="MN12" s="27"/>
      <c r="MO12" s="28"/>
      <c r="MP12" s="36"/>
      <c r="MQ12" s="36"/>
      <c r="MR12" s="27"/>
      <c r="MS12" s="27"/>
      <c r="MT12" s="27"/>
      <c r="MU12" s="33">
        <f t="shared" si="57"/>
        <v>0</v>
      </c>
      <c r="MV12" s="2688"/>
      <c r="MX12" s="26">
        <f t="shared" si="58"/>
        <v>189124.12568725474</v>
      </c>
      <c r="MY12" s="27">
        <f t="shared" si="59"/>
        <v>226701.120792573</v>
      </c>
      <c r="MZ12" s="27">
        <f t="shared" si="60"/>
        <v>22142.84521011731</v>
      </c>
      <c r="NA12" s="28">
        <f t="shared" si="61"/>
        <v>333770.69760219002</v>
      </c>
      <c r="NB12" s="2621"/>
      <c r="NC12" s="23">
        <f t="shared" si="62"/>
        <v>97030.864854838714</v>
      </c>
      <c r="ND12" s="1655">
        <f t="shared" si="63"/>
        <v>92093.260832416025</v>
      </c>
      <c r="NE12" s="60">
        <f t="shared" si="64"/>
        <v>0</v>
      </c>
      <c r="NF12" s="275">
        <f t="shared" si="4"/>
        <v>189124.12568725474</v>
      </c>
      <c r="NG12" s="26">
        <f t="shared" si="65"/>
        <v>0</v>
      </c>
      <c r="NH12" s="27">
        <f t="shared" si="65"/>
        <v>0</v>
      </c>
      <c r="NI12" s="27">
        <f t="shared" si="65"/>
        <v>0</v>
      </c>
      <c r="NJ12" s="27">
        <f t="shared" si="65"/>
        <v>0</v>
      </c>
      <c r="NK12" s="27">
        <f t="shared" si="65"/>
        <v>0</v>
      </c>
      <c r="NL12" s="33">
        <f t="shared" si="65"/>
        <v>0</v>
      </c>
      <c r="NM12" s="27">
        <f t="shared" si="65"/>
        <v>0</v>
      </c>
      <c r="NN12" s="36">
        <f t="shared" si="65"/>
        <v>0</v>
      </c>
      <c r="NO12" s="24">
        <f t="shared" si="65"/>
        <v>21905.650671164178</v>
      </c>
      <c r="NP12" s="27">
        <f t="shared" si="65"/>
        <v>24549.88002237798</v>
      </c>
      <c r="NQ12" s="24">
        <f t="shared" si="110"/>
        <v>8756.5482322711578</v>
      </c>
      <c r="NR12" s="24">
        <f t="shared" si="111"/>
        <v>10473.851351487181</v>
      </c>
      <c r="NS12" s="27">
        <f t="shared" si="0"/>
        <v>65685.930277300504</v>
      </c>
      <c r="NT12" s="27">
        <f t="shared" si="66"/>
        <v>0</v>
      </c>
      <c r="NU12" s="27">
        <f t="shared" si="66"/>
        <v>0</v>
      </c>
      <c r="NV12" s="27">
        <f t="shared" si="66"/>
        <v>0</v>
      </c>
      <c r="NW12" s="27">
        <f t="shared" si="66"/>
        <v>0</v>
      </c>
      <c r="NX12" s="27">
        <f t="shared" si="66"/>
        <v>0</v>
      </c>
      <c r="NY12" s="27">
        <f t="shared" si="66"/>
        <v>0</v>
      </c>
      <c r="NZ12" s="27">
        <f t="shared" si="66"/>
        <v>11598.788814178835</v>
      </c>
      <c r="OA12" s="27">
        <f t="shared" si="66"/>
        <v>0</v>
      </c>
      <c r="OB12" s="27">
        <f t="shared" si="66"/>
        <v>87981.56936597258</v>
      </c>
      <c r="OC12" s="280"/>
      <c r="OD12" s="24">
        <f t="shared" si="67"/>
        <v>0</v>
      </c>
      <c r="OE12" s="27">
        <f t="shared" si="67"/>
        <v>0</v>
      </c>
      <c r="OF12" s="28">
        <f t="shared" si="1"/>
        <v>99580.358180151408</v>
      </c>
      <c r="OG12" s="27">
        <f t="shared" si="68"/>
        <v>0</v>
      </c>
      <c r="OH12" s="27">
        <f t="shared" si="68"/>
        <v>0</v>
      </c>
      <c r="OI12" s="27">
        <f t="shared" si="68"/>
        <v>0</v>
      </c>
      <c r="OJ12" s="27">
        <f t="shared" si="68"/>
        <v>0</v>
      </c>
      <c r="OK12" s="27">
        <f t="shared" si="68"/>
        <v>0</v>
      </c>
      <c r="OL12" s="27">
        <f t="shared" si="68"/>
        <v>0</v>
      </c>
      <c r="OM12" s="24">
        <f t="shared" si="68"/>
        <v>0</v>
      </c>
      <c r="ON12" s="27">
        <f t="shared" si="68"/>
        <v>0</v>
      </c>
      <c r="OO12" s="24">
        <f t="shared" si="112"/>
        <v>41447.065076326238</v>
      </c>
      <c r="OP12" s="27">
        <f t="shared" si="68"/>
        <v>0</v>
      </c>
      <c r="OQ12" s="24">
        <f t="shared" si="68"/>
        <v>19987.767258794844</v>
      </c>
      <c r="OR12" s="27">
        <f t="shared" si="68"/>
        <v>0</v>
      </c>
      <c r="OS12" s="28">
        <f t="shared" si="2"/>
        <v>61434.832335121086</v>
      </c>
      <c r="OT12" s="36"/>
      <c r="OU12" s="27"/>
      <c r="OV12" s="27"/>
      <c r="OW12" s="27"/>
      <c r="OX12" s="27"/>
      <c r="OY12" s="27"/>
      <c r="OZ12" s="28">
        <f t="shared" si="69"/>
        <v>0</v>
      </c>
      <c r="PA12" s="36">
        <f t="shared" si="70"/>
        <v>0</v>
      </c>
      <c r="PB12" s="27">
        <f t="shared" si="71"/>
        <v>0</v>
      </c>
      <c r="PC12" s="27">
        <f t="shared" si="72"/>
        <v>0</v>
      </c>
      <c r="PD12" s="27">
        <f t="shared" si="73"/>
        <v>0</v>
      </c>
      <c r="PE12" s="24"/>
      <c r="PF12" s="27">
        <f t="shared" si="74"/>
        <v>0</v>
      </c>
      <c r="PG12" s="33">
        <f t="shared" si="3"/>
        <v>0</v>
      </c>
      <c r="PH12" s="2621"/>
      <c r="PJ12" s="1907">
        <v>1672.1200000000001</v>
      </c>
      <c r="PK12" s="1101">
        <v>307.99999999999989</v>
      </c>
      <c r="PL12" s="1101">
        <v>87.999999999999972</v>
      </c>
      <c r="PM12" s="3">
        <v>0</v>
      </c>
      <c r="PN12" s="3">
        <f t="shared" si="75"/>
        <v>28826.40350465872</v>
      </c>
      <c r="PO12" s="11">
        <f t="shared" si="76"/>
        <v>22142.84521011731</v>
      </c>
      <c r="PP12" s="15"/>
      <c r="PQ12" s="2615"/>
      <c r="PS12" s="4"/>
      <c r="PT12" s="9"/>
      <c r="PU12" s="9"/>
      <c r="PV12" s="9"/>
      <c r="PW12" s="8">
        <v>0</v>
      </c>
      <c r="PX12" s="9"/>
      <c r="PY12" s="8">
        <f t="shared" si="77"/>
        <v>0</v>
      </c>
      <c r="PZ12" s="5">
        <f t="shared" si="78"/>
        <v>1672.1200000000001</v>
      </c>
      <c r="QA12" s="5"/>
      <c r="QB12" s="5"/>
      <c r="QC12" s="5"/>
      <c r="QD12" s="5"/>
      <c r="QE12" s="5"/>
      <c r="QF12" s="12"/>
      <c r="QG12" s="12">
        <f t="shared" si="79"/>
        <v>29562.488999999998</v>
      </c>
      <c r="QH12" s="420">
        <f t="shared" si="80"/>
        <v>301988.25180819002</v>
      </c>
      <c r="QI12" s="1106">
        <f t="shared" si="113"/>
        <v>2219.9567940000002</v>
      </c>
      <c r="QJ12" s="484">
        <f t="shared" si="81"/>
        <v>5505.3678056099998</v>
      </c>
      <c r="QK12" s="12"/>
      <c r="QL12" s="2615"/>
      <c r="QN12" s="139" t="str">
        <f t="shared" si="82"/>
        <v/>
      </c>
      <c r="QO12" s="139" t="str">
        <f t="shared" si="83"/>
        <v/>
      </c>
      <c r="QQ12" s="139" t="str">
        <f t="shared" si="84"/>
        <v/>
      </c>
      <c r="QR12" s="139" t="str">
        <f t="shared" si="85"/>
        <v/>
      </c>
      <c r="QT12" s="1">
        <f t="shared" si="86"/>
        <v>0</v>
      </c>
      <c r="QU12" s="1">
        <f t="shared" si="87"/>
        <v>0</v>
      </c>
      <c r="QV12" s="1">
        <f t="shared" si="88"/>
        <v>0</v>
      </c>
      <c r="QW12" s="1">
        <f t="shared" si="89"/>
        <v>0</v>
      </c>
      <c r="QX12" s="1">
        <f t="shared" si="90"/>
        <v>0</v>
      </c>
      <c r="QY12" s="1">
        <f t="shared" si="91"/>
        <v>0</v>
      </c>
      <c r="RA12" s="1">
        <f t="shared" si="92"/>
        <v>0</v>
      </c>
      <c r="RB12" s="1">
        <f t="shared" si="93"/>
        <v>0</v>
      </c>
      <c r="RC12" s="1">
        <f t="shared" si="94"/>
        <v>0</v>
      </c>
      <c r="RD12" s="1">
        <f t="shared" si="95"/>
        <v>0</v>
      </c>
      <c r="RE12" s="1">
        <f t="shared" si="96"/>
        <v>0</v>
      </c>
      <c r="RF12" s="1">
        <f t="shared" si="97"/>
        <v>0</v>
      </c>
      <c r="RI12" s="1">
        <v>3</v>
      </c>
      <c r="RJ12" s="1">
        <f t="shared" si="98"/>
        <v>39719.991751083166</v>
      </c>
      <c r="RK12" s="1">
        <f t="shared" si="98"/>
        <v>-4674.7164501377201</v>
      </c>
      <c r="RL12" s="1">
        <f t="shared" si="98"/>
        <v>9178.5689913333827</v>
      </c>
      <c r="RM12" s="89">
        <f t="shared" si="5"/>
        <v>44223.844292278831</v>
      </c>
      <c r="RN12" s="1033">
        <v>3</v>
      </c>
      <c r="RO12" s="1098">
        <v>0</v>
      </c>
      <c r="RP12" s="1098">
        <f t="shared" si="99"/>
        <v>0</v>
      </c>
      <c r="RQ12" s="1097">
        <f t="shared" si="99"/>
        <v>0</v>
      </c>
      <c r="RR12" s="1097">
        <f t="shared" si="114"/>
        <v>8905.4500000000007</v>
      </c>
      <c r="RS12" s="1094"/>
      <c r="RT12" s="1094" t="s">
        <v>1013</v>
      </c>
      <c r="RW12" s="421">
        <v>3</v>
      </c>
      <c r="RX12" s="1095">
        <f t="shared" si="100"/>
        <v>0</v>
      </c>
      <c r="RY12" s="1094" t="s">
        <v>295</v>
      </c>
      <c r="SA12" s="1090"/>
      <c r="SB12" s="1090">
        <f t="shared" si="101"/>
        <v>0</v>
      </c>
      <c r="SC12" s="1090"/>
      <c r="SD12" s="1090">
        <f t="shared" si="102"/>
        <v>0</v>
      </c>
      <c r="SF12" s="1">
        <v>3</v>
      </c>
      <c r="SG12" s="1">
        <f t="shared" si="103"/>
        <v>0</v>
      </c>
      <c r="SH12" s="1094"/>
    </row>
    <row r="13" spans="1:502" s="1" customFormat="1" ht="16.95" customHeight="1">
      <c r="B13" s="471">
        <v>4</v>
      </c>
      <c r="C13" s="4">
        <f t="shared" si="6"/>
        <v>162709</v>
      </c>
      <c r="D13" s="1590">
        <f t="shared" si="104"/>
        <v>12040.1</v>
      </c>
      <c r="E13" s="1895">
        <f t="shared" si="7"/>
        <v>13.513924302954294</v>
      </c>
      <c r="F13" s="870"/>
      <c r="G13" s="870"/>
      <c r="H13" s="52"/>
      <c r="I13" s="61"/>
      <c r="J13" s="52"/>
      <c r="K13" s="61"/>
      <c r="L13" s="52"/>
      <c r="M13" s="61"/>
      <c r="N13" s="2629"/>
      <c r="O13" s="4">
        <f t="shared" ref="O13:O40" si="117">+SUM(AQ13,BC13,AW13)</f>
        <v>98448</v>
      </c>
      <c r="P13" s="1225">
        <f t="shared" si="8"/>
        <v>6218.82</v>
      </c>
      <c r="Q13" s="1913">
        <f t="shared" si="9"/>
        <v>15.830655976535743</v>
      </c>
      <c r="R13" s="33"/>
      <c r="S13" s="26">
        <f t="shared" si="10"/>
        <v>43305</v>
      </c>
      <c r="T13" s="27">
        <f t="shared" si="105"/>
        <v>2081.2800000000002</v>
      </c>
      <c r="U13" s="1909">
        <f t="shared" si="11"/>
        <v>20.806907287822877</v>
      </c>
      <c r="V13" s="28"/>
      <c r="W13" s="1742">
        <f t="shared" si="12"/>
        <v>20956</v>
      </c>
      <c r="X13" s="5">
        <f t="shared" si="12"/>
        <v>3740</v>
      </c>
      <c r="Y13" s="1909">
        <f t="shared" si="13"/>
        <v>5.6032085561497329</v>
      </c>
      <c r="Z13" s="33"/>
      <c r="AA13" s="26">
        <f t="shared" si="14"/>
        <v>0</v>
      </c>
      <c r="AB13" s="27">
        <f t="shared" si="15"/>
        <v>0</v>
      </c>
      <c r="AC13" s="1909">
        <f t="shared" si="16"/>
        <v>0</v>
      </c>
      <c r="AD13" s="28"/>
      <c r="AE13" s="36"/>
      <c r="AF13" s="36"/>
      <c r="AG13" s="53">
        <f t="shared" si="17"/>
        <v>0</v>
      </c>
      <c r="AH13" s="28"/>
      <c r="AI13" s="26"/>
      <c r="AJ13" s="27"/>
      <c r="AK13" s="53">
        <f t="shared" si="18"/>
        <v>0</v>
      </c>
      <c r="AL13" s="28"/>
      <c r="AM13" s="2629"/>
      <c r="AN13" s="9"/>
      <c r="AO13" s="5"/>
      <c r="AP13" s="61">
        <f t="shared" si="19"/>
        <v>0</v>
      </c>
      <c r="AQ13" s="36"/>
      <c r="AR13" s="53"/>
      <c r="AS13" s="61">
        <f t="shared" si="20"/>
        <v>0</v>
      </c>
      <c r="AT13" s="36"/>
      <c r="AU13" s="27"/>
      <c r="AV13" s="54">
        <f t="shared" si="21"/>
        <v>0</v>
      </c>
      <c r="AW13" s="26">
        <v>54390</v>
      </c>
      <c r="AX13" s="24">
        <v>5260.08</v>
      </c>
      <c r="AY13" s="1735">
        <f t="shared" si="115"/>
        <v>10.340146917917599</v>
      </c>
      <c r="AZ13" s="36"/>
      <c r="BA13" s="27"/>
      <c r="BB13" s="61">
        <f t="shared" si="22"/>
        <v>0</v>
      </c>
      <c r="BC13" s="1740">
        <v>44058</v>
      </c>
      <c r="BD13" s="1926">
        <v>958.74</v>
      </c>
      <c r="BE13" s="1735">
        <f t="shared" si="23"/>
        <v>45.954064709931785</v>
      </c>
      <c r="BF13" s="36"/>
      <c r="BG13" s="53"/>
      <c r="BH13" s="61">
        <f t="shared" si="24"/>
        <v>0</v>
      </c>
      <c r="BI13" s="36">
        <v>0</v>
      </c>
      <c r="BJ13" s="53">
        <v>0</v>
      </c>
      <c r="BK13" s="61">
        <f t="shared" si="25"/>
        <v>0</v>
      </c>
      <c r="BL13" s="1742">
        <v>43305</v>
      </c>
      <c r="BM13" s="1736">
        <v>2081.2800000000002</v>
      </c>
      <c r="BN13" s="2170"/>
      <c r="BO13" s="1735">
        <f t="shared" si="26"/>
        <v>20.806907287822877</v>
      </c>
      <c r="BP13" s="1125">
        <v>0</v>
      </c>
      <c r="BQ13" s="49">
        <v>0</v>
      </c>
      <c r="BR13" s="1735">
        <f t="shared" si="27"/>
        <v>0</v>
      </c>
      <c r="BS13" s="36"/>
      <c r="BT13" s="53"/>
      <c r="BU13" s="61">
        <f t="shared" si="28"/>
        <v>0</v>
      </c>
      <c r="BV13" s="36">
        <v>20956</v>
      </c>
      <c r="BW13" s="27">
        <f t="shared" si="106"/>
        <v>3740</v>
      </c>
      <c r="BX13" s="1906">
        <f t="shared" si="29"/>
        <v>5.6032085561497329</v>
      </c>
      <c r="BY13" s="26"/>
      <c r="BZ13" s="27"/>
      <c r="CA13" s="61">
        <f t="shared" si="30"/>
        <v>0</v>
      </c>
      <c r="CB13" s="36"/>
      <c r="CC13" s="5"/>
      <c r="CD13" s="482">
        <f t="shared" si="31"/>
        <v>0</v>
      </c>
      <c r="CE13" s="4"/>
      <c r="CF13" s="5"/>
      <c r="CG13" s="28">
        <f t="shared" si="32"/>
        <v>0</v>
      </c>
      <c r="CH13" s="150"/>
      <c r="CI13" s="4"/>
      <c r="CJ13" s="5"/>
      <c r="CK13" s="5">
        <v>9707</v>
      </c>
      <c r="CL13" s="5"/>
      <c r="CM13" s="5"/>
      <c r="CN13" s="5">
        <f t="shared" si="33"/>
        <v>9707</v>
      </c>
      <c r="CO13" s="33"/>
      <c r="CP13" s="366"/>
      <c r="CR13" s="4">
        <f t="shared" si="34"/>
        <v>0</v>
      </c>
      <c r="CS13" s="9">
        <f t="shared" si="34"/>
        <v>0</v>
      </c>
      <c r="CT13" s="5">
        <f t="shared" si="34"/>
        <v>0</v>
      </c>
      <c r="CU13" s="5">
        <f t="shared" si="34"/>
        <v>0</v>
      </c>
      <c r="CV13" s="5">
        <f t="shared" si="34"/>
        <v>0</v>
      </c>
      <c r="CW13" s="5">
        <f t="shared" si="34"/>
        <v>0</v>
      </c>
      <c r="CX13" s="5">
        <f t="shared" si="34"/>
        <v>0</v>
      </c>
      <c r="CY13" s="5">
        <f t="shared" si="34"/>
        <v>0</v>
      </c>
      <c r="CZ13" s="5">
        <f t="shared" si="34"/>
        <v>10440.1</v>
      </c>
      <c r="DA13" s="5">
        <f t="shared" si="34"/>
        <v>0</v>
      </c>
      <c r="DB13" s="5">
        <f t="shared" si="34"/>
        <v>1600</v>
      </c>
      <c r="DC13" s="12">
        <f t="shared" si="34"/>
        <v>0</v>
      </c>
      <c r="DD13" s="310">
        <f t="shared" si="35"/>
        <v>12040.1</v>
      </c>
      <c r="DE13" s="2695"/>
      <c r="DF13" s="8"/>
      <c r="DG13" s="9"/>
      <c r="DH13" s="5"/>
      <c r="DI13" s="5"/>
      <c r="DJ13" s="5"/>
      <c r="DK13" s="5"/>
      <c r="DL13" s="3">
        <v>0</v>
      </c>
      <c r="DM13" s="5"/>
      <c r="DN13" s="3">
        <v>5260.08</v>
      </c>
      <c r="DO13" s="5"/>
      <c r="DP13" s="3">
        <v>0</v>
      </c>
      <c r="DQ13" s="12"/>
      <c r="DR13" s="1906">
        <f t="shared" si="36"/>
        <v>5260.08</v>
      </c>
      <c r="DS13" s="36"/>
      <c r="DT13" s="36"/>
      <c r="DU13" s="27"/>
      <c r="DV13" s="27"/>
      <c r="DW13" s="5"/>
      <c r="DX13" s="5"/>
      <c r="DY13" s="64"/>
      <c r="DZ13" s="5"/>
      <c r="EA13" s="3">
        <v>3040.0200000000004</v>
      </c>
      <c r="EB13" s="27"/>
      <c r="EC13" s="24">
        <v>0</v>
      </c>
      <c r="ED13" s="33"/>
      <c r="EE13" s="28">
        <f t="shared" si="37"/>
        <v>3040.0200000000004</v>
      </c>
      <c r="EF13" s="9"/>
      <c r="EG13" s="9"/>
      <c r="EH13" s="5"/>
      <c r="EI13" s="5"/>
      <c r="EJ13" s="27"/>
      <c r="EK13" s="27"/>
      <c r="EL13" s="27"/>
      <c r="EM13" s="27"/>
      <c r="EN13" s="5">
        <v>2140</v>
      </c>
      <c r="EO13" s="5"/>
      <c r="EP13" s="5">
        <v>1600</v>
      </c>
      <c r="EQ13" s="33"/>
      <c r="ER13" s="28">
        <f>SUM(EF13:EP13)</f>
        <v>3740</v>
      </c>
      <c r="ES13" s="36"/>
      <c r="ET13" s="27"/>
      <c r="EU13" s="27"/>
      <c r="EV13" s="27"/>
      <c r="EW13" s="27"/>
      <c r="EX13" s="27"/>
      <c r="EY13" s="33">
        <f t="shared" si="39"/>
        <v>0</v>
      </c>
      <c r="EZ13" s="2685"/>
      <c r="FB13" s="4">
        <f t="shared" si="40"/>
        <v>0</v>
      </c>
      <c r="FC13" s="5">
        <f t="shared" si="41"/>
        <v>0</v>
      </c>
      <c r="FD13" s="5">
        <f t="shared" si="42"/>
        <v>0</v>
      </c>
      <c r="FE13" s="12">
        <f t="shared" si="43"/>
        <v>0</v>
      </c>
      <c r="FF13" s="33"/>
      <c r="FG13" s="2674"/>
      <c r="FH13" s="9"/>
      <c r="FI13" s="5"/>
      <c r="FJ13" s="5"/>
      <c r="FK13" s="5"/>
      <c r="FL13" s="5"/>
      <c r="FM13" s="27"/>
      <c r="FN13" s="28">
        <f t="shared" si="44"/>
        <v>0</v>
      </c>
      <c r="FO13" s="36"/>
      <c r="FP13" s="27"/>
      <c r="FQ13" s="27"/>
      <c r="FR13" s="27"/>
      <c r="FS13" s="27"/>
      <c r="FT13" s="27"/>
      <c r="FU13" s="28">
        <f t="shared" si="45"/>
        <v>0</v>
      </c>
      <c r="FV13" s="36"/>
      <c r="FW13" s="36"/>
      <c r="FX13" s="27"/>
      <c r="FY13" s="27"/>
      <c r="FZ13" s="27"/>
      <c r="GA13" s="27"/>
      <c r="GB13" s="27"/>
      <c r="GC13" s="27"/>
      <c r="GD13" s="24">
        <v>0</v>
      </c>
      <c r="GE13" s="27"/>
      <c r="GF13" s="27"/>
      <c r="GG13" s="33"/>
      <c r="GH13" s="33">
        <f t="shared" si="46"/>
        <v>0</v>
      </c>
      <c r="GI13" s="2674"/>
      <c r="GK13" s="2">
        <f t="shared" si="107"/>
        <v>3689.0500000000006</v>
      </c>
      <c r="GL13" s="63">
        <f t="shared" si="108"/>
        <v>2955.13</v>
      </c>
      <c r="GM13" s="24">
        <f t="shared" si="109"/>
        <v>3881.3999999999996</v>
      </c>
      <c r="GN13" s="1736">
        <f t="shared" si="47"/>
        <v>10525.58</v>
      </c>
      <c r="GO13" s="141"/>
      <c r="GP13" s="141"/>
      <c r="GQ13" s="33"/>
      <c r="GR13" s="2667"/>
      <c r="GS13" s="1739">
        <v>0</v>
      </c>
      <c r="GT13" s="1721">
        <v>726.15</v>
      </c>
      <c r="GU13" s="1721">
        <v>4453.55</v>
      </c>
      <c r="GV13" s="1721">
        <v>5345.88</v>
      </c>
      <c r="GW13" s="1724">
        <v>10525.58</v>
      </c>
      <c r="GX13" s="2667"/>
      <c r="GY13" s="36"/>
      <c r="GZ13" s="36"/>
      <c r="HA13" s="27"/>
      <c r="HB13" s="27"/>
      <c r="HC13" s="27"/>
      <c r="HD13" s="27"/>
      <c r="HE13" s="27"/>
      <c r="HF13" s="27"/>
      <c r="HG13" s="24">
        <v>2962.9000000000005</v>
      </c>
      <c r="HH13" s="27"/>
      <c r="HI13" s="24">
        <v>0</v>
      </c>
      <c r="HJ13" s="27"/>
      <c r="HK13" s="24">
        <v>726.15</v>
      </c>
      <c r="HL13" s="27"/>
      <c r="HM13" s="28">
        <f t="shared" si="48"/>
        <v>3689.0500000000006</v>
      </c>
      <c r="HN13" s="36"/>
      <c r="HO13" s="27"/>
      <c r="HP13" s="27"/>
      <c r="HQ13" s="27"/>
      <c r="HR13" s="27"/>
      <c r="HS13" s="27"/>
      <c r="HT13" s="27">
        <f t="array" ref="HT13">SUMPRODUCT(('Data Base hauling'!$C$2:$C$2000="TCM-ROM SB1 BK05-ROM 4")*(ISNUMBER(SEARCH(TEXT('July TCM'!$B13,"00")&amp;"/03/2026",'Data Base hauling'!$E$2:$E$2000)))*'Data Base hauling'!$N$2:$N$2000)</f>
        <v>0</v>
      </c>
      <c r="HU13" s="27"/>
      <c r="HV13" s="27">
        <f t="array" ref="HV13">SUMPRODUCT(('Data Base hauling'!$C$2:$C$2000="TCM-ROM SB1 BK05-ROM 5")*(ISNUMBER(SEARCH(TEXT('July TCM'!$B13,"00")&amp;"/03/2026",'Data Base hauling'!$E$2:$E$2000)))*'Data Base hauling'!$N$2:$N$2000)</f>
        <v>0</v>
      </c>
      <c r="HW13" s="27"/>
      <c r="HX13" s="27"/>
      <c r="HY13" s="27"/>
      <c r="HZ13" s="27"/>
      <c r="IA13" s="27"/>
      <c r="IB13" s="33">
        <f t="shared" si="49"/>
        <v>0</v>
      </c>
      <c r="IC13" s="845"/>
      <c r="ID13" s="363"/>
      <c r="IE13" s="64"/>
      <c r="IF13" s="64"/>
      <c r="IG13" s="64"/>
      <c r="IH13" s="64"/>
      <c r="II13" s="1926">
        <v>0</v>
      </c>
      <c r="IJ13" s="1590"/>
      <c r="IK13" s="1926">
        <v>2955.13</v>
      </c>
      <c r="IL13" s="64"/>
      <c r="IM13" s="49">
        <v>0</v>
      </c>
      <c r="IN13" s="64"/>
      <c r="IO13" s="64"/>
      <c r="IP13" s="49">
        <v>0</v>
      </c>
      <c r="IQ13" s="2195">
        <f t="shared" si="50"/>
        <v>2955.13</v>
      </c>
      <c r="IR13" s="36"/>
      <c r="IS13" s="36"/>
      <c r="IT13" s="27"/>
      <c r="IU13" s="27"/>
      <c r="IV13" s="53"/>
      <c r="IW13" s="27"/>
      <c r="IX13" s="24">
        <v>0</v>
      </c>
      <c r="IY13" s="27"/>
      <c r="IZ13" s="24">
        <v>3881.3999999999996</v>
      </c>
      <c r="JA13" s="27"/>
      <c r="JB13" s="24">
        <v>0</v>
      </c>
      <c r="JC13" s="27"/>
      <c r="JD13" s="27"/>
      <c r="JE13" s="27"/>
      <c r="JF13" s="33">
        <f t="shared" si="116"/>
        <v>3881.3999999999996</v>
      </c>
      <c r="JG13" s="2667"/>
      <c r="JI13" s="2014">
        <v>10525.579999999996</v>
      </c>
      <c r="JJ13" s="2015">
        <v>0</v>
      </c>
      <c r="JK13" s="53"/>
      <c r="JL13" s="1736">
        <f t="shared" si="52"/>
        <v>10525.579999999996</v>
      </c>
      <c r="JM13" s="33"/>
      <c r="JN13" s="2669"/>
      <c r="JO13" s="66">
        <v>0</v>
      </c>
      <c r="JP13" s="67">
        <v>0</v>
      </c>
      <c r="JQ13" s="67">
        <v>0</v>
      </c>
      <c r="JR13" s="67">
        <v>0</v>
      </c>
      <c r="JS13" s="67">
        <v>0.93101092766384375</v>
      </c>
      <c r="JT13" s="67">
        <v>0</v>
      </c>
      <c r="JU13" s="67">
        <v>6.8989072336156324E-2</v>
      </c>
      <c r="JV13" s="1921">
        <v>0</v>
      </c>
      <c r="JW13" s="66" t="s">
        <v>296</v>
      </c>
      <c r="JX13" s="67" t="s">
        <v>296</v>
      </c>
      <c r="JY13" s="67" t="s">
        <v>296</v>
      </c>
      <c r="JZ13" s="67" t="s">
        <v>296</v>
      </c>
      <c r="KA13" s="67" t="s">
        <v>296</v>
      </c>
      <c r="KB13" s="67" t="s">
        <v>296</v>
      </c>
      <c r="KC13" s="67" t="s">
        <v>296</v>
      </c>
      <c r="KD13" s="68" t="s">
        <v>296</v>
      </c>
      <c r="KE13" s="69"/>
      <c r="KF13" s="70"/>
      <c r="KG13" s="70"/>
      <c r="KH13" s="70"/>
      <c r="KI13" s="70"/>
      <c r="KJ13" s="70"/>
      <c r="KK13" s="70"/>
      <c r="KL13" s="70"/>
      <c r="KM13" s="33"/>
      <c r="KN13" s="2669"/>
      <c r="KO13" s="2203">
        <v>7105.416845643851</v>
      </c>
      <c r="KP13" s="1721">
        <v>0.8033924736203194</v>
      </c>
      <c r="KQ13" s="1721">
        <v>3.2211532355962276</v>
      </c>
      <c r="KR13" s="1721">
        <v>5.7171397889625544</v>
      </c>
      <c r="KS13" s="1722">
        <v>9.6429397800915115</v>
      </c>
      <c r="KT13" s="1958">
        <v>0</v>
      </c>
      <c r="KU13" s="1961">
        <v>0</v>
      </c>
      <c r="KV13" s="1961">
        <v>0</v>
      </c>
      <c r="KW13" s="1961">
        <v>0</v>
      </c>
      <c r="KX13" s="1962">
        <v>0</v>
      </c>
      <c r="KY13" s="36"/>
      <c r="KZ13" s="53"/>
      <c r="LA13" s="53"/>
      <c r="LB13" s="53"/>
      <c r="LC13" s="53"/>
      <c r="LD13" s="33"/>
      <c r="LE13" s="2669"/>
      <c r="LG13" s="998">
        <f t="shared" si="53"/>
        <v>5462.85</v>
      </c>
      <c r="LH13" s="27">
        <f t="shared" si="53"/>
        <v>1820.95</v>
      </c>
      <c r="LI13" s="27">
        <f t="shared" si="53"/>
        <v>0</v>
      </c>
      <c r="LJ13" s="28">
        <f t="shared" si="54"/>
        <v>7283.8</v>
      </c>
      <c r="LK13" s="36">
        <v>1</v>
      </c>
      <c r="LL13" s="27"/>
      <c r="LM13" s="27"/>
      <c r="LN13" s="33"/>
      <c r="LO13" s="1041">
        <v>4.71</v>
      </c>
      <c r="LP13" s="486"/>
      <c r="LQ13" s="2688"/>
      <c r="LR13" s="21"/>
      <c r="LS13" s="2213"/>
      <c r="LT13" s="27"/>
      <c r="LU13" s="27"/>
      <c r="LV13" s="27"/>
      <c r="LW13" s="1117">
        <f t="shared" si="55"/>
        <v>0</v>
      </c>
      <c r="LX13" s="36">
        <v>5462.85</v>
      </c>
      <c r="LY13" s="36">
        <v>1820.95</v>
      </c>
      <c r="LZ13" s="27"/>
      <c r="MA13" s="27"/>
      <c r="MB13" s="33"/>
      <c r="MC13" s="28">
        <f t="shared" si="56"/>
        <v>7283.8</v>
      </c>
      <c r="MD13" s="26"/>
      <c r="ME13" s="36"/>
      <c r="MF13" s="27"/>
      <c r="MG13" s="27"/>
      <c r="MH13" s="27"/>
      <c r="MI13" s="28"/>
      <c r="MJ13" s="36"/>
      <c r="MK13" s="36"/>
      <c r="ML13" s="27"/>
      <c r="MM13" s="27"/>
      <c r="MN13" s="27"/>
      <c r="MO13" s="28"/>
      <c r="MP13" s="36"/>
      <c r="MQ13" s="36"/>
      <c r="MR13" s="27"/>
      <c r="MS13" s="27"/>
      <c r="MT13" s="27"/>
      <c r="MU13" s="33">
        <f t="shared" si="57"/>
        <v>0</v>
      </c>
      <c r="MV13" s="2688"/>
      <c r="MX13" s="26">
        <f t="shared" si="58"/>
        <v>192365.90568725474</v>
      </c>
      <c r="MY13" s="27">
        <f t="shared" si="59"/>
        <v>228941.79079257301</v>
      </c>
      <c r="MZ13" s="27">
        <f t="shared" si="60"/>
        <v>21538.695210117308</v>
      </c>
      <c r="NA13" s="28">
        <f t="shared" si="61"/>
        <v>332794.57760219002</v>
      </c>
      <c r="NB13" s="2621"/>
      <c r="NC13" s="23">
        <f t="shared" si="62"/>
        <v>102093.59485483871</v>
      </c>
      <c r="ND13" s="1655">
        <f t="shared" si="63"/>
        <v>90272.310832416028</v>
      </c>
      <c r="NE13" s="60">
        <f t="shared" si="64"/>
        <v>0</v>
      </c>
      <c r="NF13" s="275">
        <f t="shared" si="4"/>
        <v>192365.90568725474</v>
      </c>
      <c r="NG13" s="26">
        <f t="shared" si="65"/>
        <v>0</v>
      </c>
      <c r="NH13" s="27">
        <f t="shared" si="65"/>
        <v>0</v>
      </c>
      <c r="NI13" s="27">
        <f t="shared" si="65"/>
        <v>0</v>
      </c>
      <c r="NJ13" s="27">
        <f t="shared" si="65"/>
        <v>0</v>
      </c>
      <c r="NK13" s="27">
        <f t="shared" si="65"/>
        <v>0</v>
      </c>
      <c r="NL13" s="33">
        <f t="shared" si="65"/>
        <v>0</v>
      </c>
      <c r="NM13" s="27">
        <f t="shared" si="65"/>
        <v>0</v>
      </c>
      <c r="NN13" s="36">
        <f t="shared" si="65"/>
        <v>0</v>
      </c>
      <c r="NO13" s="24">
        <f t="shared" si="65"/>
        <v>21082.750671164176</v>
      </c>
      <c r="NP13" s="27">
        <f t="shared" si="65"/>
        <v>24549.88002237798</v>
      </c>
      <c r="NQ13" s="24">
        <f t="shared" si="110"/>
        <v>8756.5482322711578</v>
      </c>
      <c r="NR13" s="24">
        <f t="shared" si="111"/>
        <v>12073.851351487181</v>
      </c>
      <c r="NS13" s="27">
        <f t="shared" si="0"/>
        <v>66463.03027730051</v>
      </c>
      <c r="NT13" s="27">
        <f t="shared" si="66"/>
        <v>0</v>
      </c>
      <c r="NU13" s="27">
        <f t="shared" si="66"/>
        <v>0</v>
      </c>
      <c r="NV13" s="27">
        <f t="shared" si="66"/>
        <v>0</v>
      </c>
      <c r="NW13" s="27">
        <f t="shared" si="66"/>
        <v>0</v>
      </c>
      <c r="NX13" s="27">
        <f t="shared" si="66"/>
        <v>0</v>
      </c>
      <c r="NY13" s="27">
        <f t="shared" si="66"/>
        <v>0</v>
      </c>
      <c r="NZ13" s="27">
        <f t="shared" si="66"/>
        <v>11598.788814178835</v>
      </c>
      <c r="OA13" s="27">
        <f t="shared" si="66"/>
        <v>0</v>
      </c>
      <c r="OB13" s="27">
        <f t="shared" si="66"/>
        <v>90286.519365972577</v>
      </c>
      <c r="OC13" s="280"/>
      <c r="OD13" s="24">
        <f t="shared" si="67"/>
        <v>0</v>
      </c>
      <c r="OE13" s="27">
        <f t="shared" si="67"/>
        <v>0</v>
      </c>
      <c r="OF13" s="28">
        <f t="shared" si="1"/>
        <v>101885.30818015142</v>
      </c>
      <c r="OG13" s="27">
        <f t="shared" si="68"/>
        <v>0</v>
      </c>
      <c r="OH13" s="27">
        <f t="shared" si="68"/>
        <v>0</v>
      </c>
      <c r="OI13" s="27">
        <f t="shared" si="68"/>
        <v>0</v>
      </c>
      <c r="OJ13" s="27">
        <f t="shared" si="68"/>
        <v>0</v>
      </c>
      <c r="OK13" s="27">
        <f t="shared" si="68"/>
        <v>0</v>
      </c>
      <c r="OL13" s="27">
        <f t="shared" si="68"/>
        <v>0</v>
      </c>
      <c r="OM13" s="24">
        <f t="shared" si="68"/>
        <v>0</v>
      </c>
      <c r="ON13" s="27">
        <f t="shared" si="68"/>
        <v>0</v>
      </c>
      <c r="OO13" s="24">
        <f>+OO12+EA13+GD13+QF13-IZ13</f>
        <v>40605.685076326241</v>
      </c>
      <c r="OP13" s="27">
        <f t="shared" si="68"/>
        <v>0</v>
      </c>
      <c r="OQ13" s="24">
        <f t="shared" si="68"/>
        <v>19987.767258794844</v>
      </c>
      <c r="OR13" s="27">
        <f t="shared" si="68"/>
        <v>0</v>
      </c>
      <c r="OS13" s="28">
        <f t="shared" si="2"/>
        <v>60593.452335121081</v>
      </c>
      <c r="OT13" s="36"/>
      <c r="OU13" s="27"/>
      <c r="OV13" s="27"/>
      <c r="OW13" s="27"/>
      <c r="OX13" s="27"/>
      <c r="OY13" s="27"/>
      <c r="OZ13" s="28">
        <f t="shared" si="69"/>
        <v>0</v>
      </c>
      <c r="PA13" s="36">
        <f t="shared" si="70"/>
        <v>0</v>
      </c>
      <c r="PB13" s="27">
        <f t="shared" si="71"/>
        <v>0</v>
      </c>
      <c r="PC13" s="27">
        <f t="shared" si="72"/>
        <v>0</v>
      </c>
      <c r="PD13" s="27">
        <f t="shared" si="73"/>
        <v>0</v>
      </c>
      <c r="PE13" s="24"/>
      <c r="PF13" s="27">
        <f t="shared" si="74"/>
        <v>0</v>
      </c>
      <c r="PG13" s="33">
        <f t="shared" si="3"/>
        <v>0</v>
      </c>
      <c r="PH13" s="2621"/>
      <c r="PJ13" s="1907">
        <v>976.12</v>
      </c>
      <c r="PK13" s="2192">
        <v>427</v>
      </c>
      <c r="PL13" s="2262">
        <v>122</v>
      </c>
      <c r="PM13" s="8">
        <v>726.15</v>
      </c>
      <c r="PN13" s="3">
        <f t="shared" si="75"/>
        <v>29375.523504658719</v>
      </c>
      <c r="PO13" s="11">
        <f t="shared" si="76"/>
        <v>21538.695210117308</v>
      </c>
      <c r="PP13" s="15"/>
      <c r="PQ13" s="2615"/>
      <c r="PS13" s="4"/>
      <c r="PT13" s="9"/>
      <c r="PU13" s="9"/>
      <c r="PV13" s="9"/>
      <c r="PW13" s="8">
        <v>0</v>
      </c>
      <c r="PX13" s="9"/>
      <c r="PY13" s="8">
        <f t="shared" si="77"/>
        <v>0</v>
      </c>
      <c r="PZ13" s="5">
        <f t="shared" si="78"/>
        <v>976.12</v>
      </c>
      <c r="QA13" s="5"/>
      <c r="QB13" s="5"/>
      <c r="QC13" s="5"/>
      <c r="QD13" s="5"/>
      <c r="QE13" s="5"/>
      <c r="QF13" s="12"/>
      <c r="QG13" s="12">
        <f t="shared" si="79"/>
        <v>29562.488999999998</v>
      </c>
      <c r="QH13" s="420">
        <f t="shared" si="80"/>
        <v>301012.13180819002</v>
      </c>
      <c r="QI13" s="1106">
        <f t="shared" si="113"/>
        <v>2219.9567940000002</v>
      </c>
      <c r="QJ13" s="484">
        <f t="shared" si="81"/>
        <v>5505.3678056099998</v>
      </c>
      <c r="QK13" s="12"/>
      <c r="QL13" s="2615"/>
      <c r="QN13" s="139">
        <f t="shared" si="82"/>
        <v>0</v>
      </c>
      <c r="QO13" s="139" t="str">
        <f t="shared" si="83"/>
        <v/>
      </c>
      <c r="QQ13" s="139">
        <f t="shared" si="84"/>
        <v>0</v>
      </c>
      <c r="QR13" s="139">
        <f t="shared" si="85"/>
        <v>0</v>
      </c>
      <c r="QT13" s="1">
        <f t="shared" si="86"/>
        <v>0</v>
      </c>
      <c r="QU13" s="1">
        <f t="shared" si="87"/>
        <v>0</v>
      </c>
      <c r="QV13" s="1">
        <f t="shared" si="88"/>
        <v>0</v>
      </c>
      <c r="QW13" s="1">
        <f t="shared" si="89"/>
        <v>0</v>
      </c>
      <c r="QX13" s="1">
        <f t="shared" si="90"/>
        <v>0</v>
      </c>
      <c r="QY13" s="1">
        <f t="shared" si="91"/>
        <v>0</v>
      </c>
      <c r="RA13" s="1">
        <f t="shared" si="92"/>
        <v>0</v>
      </c>
      <c r="RB13" s="1">
        <f t="shared" si="93"/>
        <v>0</v>
      </c>
      <c r="RC13" s="1">
        <f t="shared" si="94"/>
        <v>0</v>
      </c>
      <c r="RD13" s="1">
        <f t="shared" si="95"/>
        <v>0</v>
      </c>
      <c r="RE13" s="1">
        <f t="shared" si="96"/>
        <v>0</v>
      </c>
      <c r="RF13" s="1">
        <f t="shared" si="97"/>
        <v>0</v>
      </c>
      <c r="RI13" s="1">
        <v>4</v>
      </c>
      <c r="RJ13" s="1">
        <f t="shared" si="98"/>
        <v>44782.721751083162</v>
      </c>
      <c r="RK13" s="1">
        <f t="shared" si="98"/>
        <v>-6495.6664501377199</v>
      </c>
      <c r="RL13" s="1">
        <f t="shared" si="98"/>
        <v>9178.5689913333827</v>
      </c>
      <c r="RM13" s="89">
        <f t="shared" si="5"/>
        <v>47465.62429227883</v>
      </c>
      <c r="RN13" s="1033">
        <v>4</v>
      </c>
      <c r="RO13" s="1098">
        <v>0</v>
      </c>
      <c r="RP13" s="1098">
        <f t="shared" si="99"/>
        <v>0</v>
      </c>
      <c r="RQ13" s="1097">
        <f t="shared" si="99"/>
        <v>0</v>
      </c>
      <c r="RR13" s="1097">
        <f t="shared" si="114"/>
        <v>8300.1</v>
      </c>
      <c r="RS13" s="1094"/>
      <c r="RT13" s="1094" t="s">
        <v>1014</v>
      </c>
      <c r="RW13" s="421">
        <v>4</v>
      </c>
      <c r="RX13" s="1095">
        <f t="shared" si="100"/>
        <v>10525.58</v>
      </c>
      <c r="RY13" s="1094" t="s">
        <v>1015</v>
      </c>
      <c r="SA13" s="1090"/>
      <c r="SB13" s="1090">
        <f t="shared" si="101"/>
        <v>0</v>
      </c>
      <c r="SC13" s="1090"/>
      <c r="SD13" s="1090">
        <f t="shared" si="102"/>
        <v>0</v>
      </c>
      <c r="SF13" s="1">
        <v>4</v>
      </c>
      <c r="SG13" s="1">
        <f t="shared" si="103"/>
        <v>726.15</v>
      </c>
      <c r="SH13" s="1094" t="s">
        <v>1016</v>
      </c>
    </row>
    <row r="14" spans="1:502" s="1" customFormat="1" ht="13.5" customHeight="1">
      <c r="B14" s="471">
        <v>5</v>
      </c>
      <c r="C14" s="4">
        <f t="shared" si="6"/>
        <v>160583</v>
      </c>
      <c r="D14" s="1590">
        <f t="shared" si="104"/>
        <v>11745.58</v>
      </c>
      <c r="E14" s="1895">
        <f t="shared" si="7"/>
        <v>13.671781214720772</v>
      </c>
      <c r="F14" s="870"/>
      <c r="G14" s="870"/>
      <c r="H14" s="52"/>
      <c r="I14" s="61"/>
      <c r="J14" s="52"/>
      <c r="K14" s="54"/>
      <c r="L14" s="52"/>
      <c r="M14" s="61"/>
      <c r="N14" s="2629"/>
      <c r="O14" s="4">
        <f t="shared" si="117"/>
        <v>97650</v>
      </c>
      <c r="P14" s="1225">
        <f t="shared" si="8"/>
        <v>6939.5199999999995</v>
      </c>
      <c r="Q14" s="1913">
        <f t="shared" si="9"/>
        <v>14.071578437701744</v>
      </c>
      <c r="R14" s="33"/>
      <c r="S14" s="26">
        <f t="shared" si="10"/>
        <v>42606</v>
      </c>
      <c r="T14" s="27">
        <f t="shared" si="105"/>
        <v>2126.06</v>
      </c>
      <c r="U14" s="1909">
        <f t="shared" si="11"/>
        <v>20.039885986284489</v>
      </c>
      <c r="V14" s="28"/>
      <c r="W14" s="1742">
        <f t="shared" si="12"/>
        <v>20327</v>
      </c>
      <c r="X14" s="5">
        <f t="shared" si="12"/>
        <v>2680</v>
      </c>
      <c r="Y14" s="1909">
        <f t="shared" si="13"/>
        <v>7.5847014925373131</v>
      </c>
      <c r="Z14" s="33"/>
      <c r="AA14" s="26">
        <f t="shared" si="14"/>
        <v>0</v>
      </c>
      <c r="AB14" s="27">
        <f t="shared" si="15"/>
        <v>0</v>
      </c>
      <c r="AC14" s="1909">
        <f t="shared" si="16"/>
        <v>0</v>
      </c>
      <c r="AD14" s="28"/>
      <c r="AE14" s="36"/>
      <c r="AF14" s="36"/>
      <c r="AG14" s="53">
        <f t="shared" si="17"/>
        <v>0</v>
      </c>
      <c r="AH14" s="28"/>
      <c r="AI14" s="23"/>
      <c r="AJ14" s="27"/>
      <c r="AK14" s="53">
        <f t="shared" si="18"/>
        <v>0</v>
      </c>
      <c r="AL14" s="28"/>
      <c r="AM14" s="2629"/>
      <c r="AN14" s="9"/>
      <c r="AO14" s="5"/>
      <c r="AP14" s="61">
        <f t="shared" si="19"/>
        <v>0</v>
      </c>
      <c r="AQ14" s="36"/>
      <c r="AR14" s="53"/>
      <c r="AS14" s="61">
        <f t="shared" si="20"/>
        <v>0</v>
      </c>
      <c r="AT14" s="36"/>
      <c r="AU14" s="27"/>
      <c r="AV14" s="54">
        <f t="shared" si="21"/>
        <v>0</v>
      </c>
      <c r="AW14" s="26">
        <v>59598</v>
      </c>
      <c r="AX14" s="24">
        <v>4030.2</v>
      </c>
      <c r="AY14" s="1735">
        <f t="shared" si="115"/>
        <v>14.787851719517642</v>
      </c>
      <c r="AZ14" s="36"/>
      <c r="BA14" s="27"/>
      <c r="BB14" s="61">
        <f t="shared" si="22"/>
        <v>0</v>
      </c>
      <c r="BC14" s="1740">
        <v>38052</v>
      </c>
      <c r="BD14" s="1926">
        <v>2909.3199999999997</v>
      </c>
      <c r="BE14" s="1735">
        <f t="shared" si="23"/>
        <v>13.079345001581126</v>
      </c>
      <c r="BF14" s="36"/>
      <c r="BG14" s="53"/>
      <c r="BH14" s="61">
        <f t="shared" si="24"/>
        <v>0</v>
      </c>
      <c r="BI14" s="36">
        <v>0</v>
      </c>
      <c r="BJ14" s="53">
        <v>0</v>
      </c>
      <c r="BK14" s="61">
        <f t="shared" si="25"/>
        <v>0</v>
      </c>
      <c r="BL14" s="1742">
        <v>42606</v>
      </c>
      <c r="BM14" s="1736">
        <v>2126.06</v>
      </c>
      <c r="BN14" s="2170"/>
      <c r="BO14" s="1735">
        <f t="shared" si="26"/>
        <v>20.039885986284489</v>
      </c>
      <c r="BP14" s="36">
        <v>0</v>
      </c>
      <c r="BQ14" s="49">
        <v>0</v>
      </c>
      <c r="BR14" s="1735">
        <f t="shared" si="27"/>
        <v>0</v>
      </c>
      <c r="BS14" s="36"/>
      <c r="BT14" s="53"/>
      <c r="BU14" s="61">
        <f t="shared" si="28"/>
        <v>0</v>
      </c>
      <c r="BV14" s="36">
        <v>20327</v>
      </c>
      <c r="BW14" s="27">
        <f t="shared" si="106"/>
        <v>2680</v>
      </c>
      <c r="BX14" s="1906">
        <f t="shared" si="29"/>
        <v>7.5847014925373131</v>
      </c>
      <c r="BY14" s="26"/>
      <c r="BZ14" s="27"/>
      <c r="CA14" s="61">
        <f t="shared" si="30"/>
        <v>0</v>
      </c>
      <c r="CB14" s="36"/>
      <c r="CC14" s="481"/>
      <c r="CD14" s="482">
        <f t="shared" si="31"/>
        <v>0</v>
      </c>
      <c r="CE14" s="4"/>
      <c r="CF14" s="5"/>
      <c r="CG14" s="28">
        <f t="shared" si="32"/>
        <v>0</v>
      </c>
      <c r="CH14" s="150"/>
      <c r="CI14" s="4"/>
      <c r="CJ14" s="5"/>
      <c r="CK14" s="5">
        <v>13448</v>
      </c>
      <c r="CL14" s="5"/>
      <c r="CM14" s="5"/>
      <c r="CN14" s="5">
        <f t="shared" si="33"/>
        <v>13448</v>
      </c>
      <c r="CO14" s="33"/>
      <c r="CP14" s="366"/>
      <c r="CR14" s="4">
        <f t="shared" si="34"/>
        <v>0</v>
      </c>
      <c r="CS14" s="9">
        <f t="shared" si="34"/>
        <v>0</v>
      </c>
      <c r="CT14" s="5">
        <f t="shared" si="34"/>
        <v>0</v>
      </c>
      <c r="CU14" s="5">
        <f t="shared" si="34"/>
        <v>0</v>
      </c>
      <c r="CV14" s="5">
        <f t="shared" si="34"/>
        <v>0</v>
      </c>
      <c r="CW14" s="5">
        <f t="shared" si="34"/>
        <v>0</v>
      </c>
      <c r="CX14" s="5">
        <f t="shared" si="34"/>
        <v>1645.72</v>
      </c>
      <c r="CY14" s="5">
        <f t="shared" si="34"/>
        <v>0</v>
      </c>
      <c r="CZ14" s="5">
        <f t="shared" si="34"/>
        <v>8170.28</v>
      </c>
      <c r="DA14" s="5">
        <f t="shared" si="34"/>
        <v>0</v>
      </c>
      <c r="DB14" s="5">
        <f t="shared" si="34"/>
        <v>1929.58</v>
      </c>
      <c r="DC14" s="12">
        <f t="shared" si="34"/>
        <v>0</v>
      </c>
      <c r="DD14" s="310">
        <f t="shared" si="35"/>
        <v>11745.58</v>
      </c>
      <c r="DE14" s="2695"/>
      <c r="DF14" s="8"/>
      <c r="DG14" s="9"/>
      <c r="DH14" s="5"/>
      <c r="DI14" s="5"/>
      <c r="DJ14" s="5"/>
      <c r="DK14" s="5"/>
      <c r="DL14" s="3">
        <v>1645.72</v>
      </c>
      <c r="DM14" s="5"/>
      <c r="DN14" s="3">
        <v>2384.4799999999996</v>
      </c>
      <c r="DO14" s="5"/>
      <c r="DP14" s="3">
        <v>0</v>
      </c>
      <c r="DQ14" s="12"/>
      <c r="DR14" s="1906">
        <f t="shared" si="36"/>
        <v>4030.2</v>
      </c>
      <c r="DS14" s="36"/>
      <c r="DT14" s="36"/>
      <c r="DU14" s="27"/>
      <c r="DV14" s="27"/>
      <c r="DW14" s="5"/>
      <c r="DX14" s="5"/>
      <c r="DY14" s="5"/>
      <c r="DZ14" s="5"/>
      <c r="EA14" s="3">
        <v>4665.8</v>
      </c>
      <c r="EB14" s="53"/>
      <c r="EC14" s="24">
        <v>369.58</v>
      </c>
      <c r="ED14" s="33"/>
      <c r="EE14" s="28">
        <f t="shared" si="37"/>
        <v>5035.38</v>
      </c>
      <c r="EF14" s="9"/>
      <c r="EG14" s="9"/>
      <c r="EH14" s="5"/>
      <c r="EI14" s="5"/>
      <c r="EJ14" s="27"/>
      <c r="EK14" s="27"/>
      <c r="EL14" s="27"/>
      <c r="EM14" s="27"/>
      <c r="EN14" s="5">
        <v>1120</v>
      </c>
      <c r="EO14" s="5"/>
      <c r="EP14" s="5">
        <v>1560</v>
      </c>
      <c r="EQ14" s="33"/>
      <c r="ER14" s="28">
        <f t="shared" si="38"/>
        <v>2680</v>
      </c>
      <c r="ES14" s="36"/>
      <c r="ET14" s="27"/>
      <c r="EU14" s="27"/>
      <c r="EV14" s="27"/>
      <c r="EW14" s="27"/>
      <c r="EX14" s="27"/>
      <c r="EY14" s="33">
        <f t="shared" si="39"/>
        <v>0</v>
      </c>
      <c r="EZ14" s="2685"/>
      <c r="FB14" s="4">
        <f t="shared" si="40"/>
        <v>0</v>
      </c>
      <c r="FC14" s="5">
        <f t="shared" si="41"/>
        <v>0</v>
      </c>
      <c r="FD14" s="5">
        <f t="shared" si="42"/>
        <v>0</v>
      </c>
      <c r="FE14" s="12">
        <f t="shared" si="43"/>
        <v>0</v>
      </c>
      <c r="FF14" s="33"/>
      <c r="FG14" s="2674"/>
      <c r="FH14" s="9"/>
      <c r="FI14" s="5"/>
      <c r="FJ14" s="5"/>
      <c r="FK14" s="5"/>
      <c r="FL14" s="5"/>
      <c r="FM14" s="27"/>
      <c r="FN14" s="28">
        <f t="shared" si="44"/>
        <v>0</v>
      </c>
      <c r="FO14" s="36"/>
      <c r="FP14" s="27"/>
      <c r="FQ14" s="27"/>
      <c r="FR14" s="27"/>
      <c r="FS14" s="27"/>
      <c r="FT14" s="27"/>
      <c r="FU14" s="28">
        <f t="shared" si="45"/>
        <v>0</v>
      </c>
      <c r="FV14" s="36"/>
      <c r="FW14" s="36"/>
      <c r="FX14" s="27"/>
      <c r="FY14" s="27"/>
      <c r="FZ14" s="27"/>
      <c r="GA14" s="27"/>
      <c r="GB14" s="27"/>
      <c r="GC14" s="27"/>
      <c r="GD14" s="24">
        <v>0</v>
      </c>
      <c r="GE14" s="27"/>
      <c r="GF14" s="27"/>
      <c r="GG14" s="33"/>
      <c r="GH14" s="33">
        <f t="shared" si="46"/>
        <v>0</v>
      </c>
      <c r="GI14" s="2674"/>
      <c r="GK14" s="2">
        <f t="shared" si="107"/>
        <v>3679.0499999999997</v>
      </c>
      <c r="GL14" s="63">
        <f t="shared" si="108"/>
        <v>3114.1</v>
      </c>
      <c r="GM14" s="24">
        <f t="shared" si="109"/>
        <v>4791.4799999999987</v>
      </c>
      <c r="GN14" s="1736">
        <f t="shared" si="47"/>
        <v>11584.629999999997</v>
      </c>
      <c r="GO14" s="141"/>
      <c r="GP14" s="141"/>
      <c r="GQ14" s="33"/>
      <c r="GR14" s="2667"/>
      <c r="GS14" s="1739">
        <v>0</v>
      </c>
      <c r="GT14" s="1721">
        <v>0</v>
      </c>
      <c r="GU14" s="1721">
        <v>5096.9499999999989</v>
      </c>
      <c r="GV14" s="1721">
        <v>6487.6799999999994</v>
      </c>
      <c r="GW14" s="1724">
        <v>11584.629999999997</v>
      </c>
      <c r="GX14" s="2667"/>
      <c r="GY14" s="9"/>
      <c r="GZ14" s="9"/>
      <c r="HA14" s="5"/>
      <c r="HB14" s="5"/>
      <c r="HC14" s="5"/>
      <c r="HD14" s="5"/>
      <c r="HE14" s="5"/>
      <c r="HF14" s="5"/>
      <c r="HG14" s="24">
        <v>3679.0499999999997</v>
      </c>
      <c r="HH14" s="5"/>
      <c r="HI14" s="24">
        <v>0</v>
      </c>
      <c r="HJ14" s="5"/>
      <c r="HK14" s="24">
        <v>0</v>
      </c>
      <c r="HL14" s="5"/>
      <c r="HM14" s="15">
        <f t="shared" si="48"/>
        <v>3679.0499999999997</v>
      </c>
      <c r="HN14" s="9"/>
      <c r="HO14" s="5"/>
      <c r="HP14" s="5"/>
      <c r="HQ14" s="5"/>
      <c r="HR14" s="5"/>
      <c r="HS14" s="5"/>
      <c r="HT14" s="5">
        <f t="array" ref="HT14">SUMPRODUCT(('Data Base hauling'!$C$2:$C$2000="TCM-ROM SB1 BK05-ROM 4")*(ISNUMBER(SEARCH(TEXT('July TCM'!$B14,"00")&amp;"/03/2026",'Data Base hauling'!$E$2:$E$2000)))*'Data Base hauling'!$N$2:$N$2000)</f>
        <v>0</v>
      </c>
      <c r="HU14" s="5"/>
      <c r="HV14" s="5">
        <f t="array" ref="HV14">SUMPRODUCT(('Data Base hauling'!$C$2:$C$2000="TCM-ROM SB1 BK05-ROM 5")*(ISNUMBER(SEARCH(TEXT('July TCM'!$B14,"00")&amp;"/03/2026",'Data Base hauling'!$E$2:$E$2000)))*'Data Base hauling'!$N$2:$N$2000)</f>
        <v>0</v>
      </c>
      <c r="HW14" s="5"/>
      <c r="HX14" s="5"/>
      <c r="HY14" s="5"/>
      <c r="HZ14" s="5"/>
      <c r="IA14" s="5"/>
      <c r="IB14" s="12">
        <f t="shared" si="49"/>
        <v>0</v>
      </c>
      <c r="IC14" s="845"/>
      <c r="ID14" s="363"/>
      <c r="IE14" s="64"/>
      <c r="IF14" s="64"/>
      <c r="IG14" s="64"/>
      <c r="IH14" s="64"/>
      <c r="II14" s="1926">
        <v>0</v>
      </c>
      <c r="IJ14" s="1590"/>
      <c r="IK14" s="1926">
        <v>3114.1</v>
      </c>
      <c r="IL14" s="64"/>
      <c r="IM14" s="49">
        <v>0</v>
      </c>
      <c r="IN14" s="64"/>
      <c r="IO14" s="64"/>
      <c r="IP14" s="49">
        <v>0</v>
      </c>
      <c r="IQ14" s="2195">
        <f t="shared" si="50"/>
        <v>3114.1</v>
      </c>
      <c r="IR14" s="9"/>
      <c r="IS14" s="9"/>
      <c r="IT14" s="5"/>
      <c r="IU14" s="5"/>
      <c r="IV14" s="64"/>
      <c r="IW14" s="5"/>
      <c r="IX14" s="24">
        <v>0</v>
      </c>
      <c r="IY14" s="5"/>
      <c r="IZ14" s="24">
        <v>4791.4799999999987</v>
      </c>
      <c r="JA14" s="5"/>
      <c r="JB14" s="24">
        <v>0</v>
      </c>
      <c r="JC14" s="5"/>
      <c r="JD14" s="5"/>
      <c r="JE14" s="5"/>
      <c r="JF14" s="12">
        <f t="shared" si="116"/>
        <v>4791.4799999999987</v>
      </c>
      <c r="JG14" s="2667"/>
      <c r="JI14" s="2014">
        <v>11584.63</v>
      </c>
      <c r="JJ14" s="2015">
        <v>0</v>
      </c>
      <c r="JK14" s="53"/>
      <c r="JL14" s="1736">
        <f t="shared" si="52"/>
        <v>11584.63</v>
      </c>
      <c r="JM14" s="33"/>
      <c r="JN14" s="2669"/>
      <c r="JO14" s="66">
        <v>0</v>
      </c>
      <c r="JP14" s="67">
        <v>0</v>
      </c>
      <c r="JQ14" s="67">
        <v>0</v>
      </c>
      <c r="JR14" s="67">
        <v>0</v>
      </c>
      <c r="JS14" s="67">
        <v>1</v>
      </c>
      <c r="JT14" s="67">
        <v>0</v>
      </c>
      <c r="JU14" s="67">
        <v>0</v>
      </c>
      <c r="JV14" s="1921">
        <v>0</v>
      </c>
      <c r="JW14" s="66" t="s">
        <v>296</v>
      </c>
      <c r="JX14" s="67" t="s">
        <v>296</v>
      </c>
      <c r="JY14" s="67" t="s">
        <v>296</v>
      </c>
      <c r="JZ14" s="67" t="s">
        <v>296</v>
      </c>
      <c r="KA14" s="67" t="s">
        <v>296</v>
      </c>
      <c r="KB14" s="67" t="s">
        <v>296</v>
      </c>
      <c r="KC14" s="67" t="s">
        <v>296</v>
      </c>
      <c r="KD14" s="68" t="s">
        <v>296</v>
      </c>
      <c r="KE14" s="69"/>
      <c r="KF14" s="70"/>
      <c r="KG14" s="70"/>
      <c r="KH14" s="70"/>
      <c r="KI14" s="70"/>
      <c r="KJ14" s="70"/>
      <c r="KK14" s="70"/>
      <c r="KL14" s="70"/>
      <c r="KM14" s="33"/>
      <c r="KN14" s="2669"/>
      <c r="KO14" s="2203">
        <v>7320.8530559167748</v>
      </c>
      <c r="KP14" s="1721">
        <v>0.63003727785002162</v>
      </c>
      <c r="KQ14" s="1721">
        <v>2.421752925877763</v>
      </c>
      <c r="KR14" s="1721">
        <v>5.5908859991330733</v>
      </c>
      <c r="KS14" s="1722">
        <v>9.4687408726484605</v>
      </c>
      <c r="KT14" s="1958">
        <v>0</v>
      </c>
      <c r="KU14" s="1961">
        <v>0</v>
      </c>
      <c r="KV14" s="1961">
        <v>0</v>
      </c>
      <c r="KW14" s="1961">
        <v>0</v>
      </c>
      <c r="KX14" s="1962">
        <v>0</v>
      </c>
      <c r="KY14" s="36"/>
      <c r="KZ14" s="53"/>
      <c r="LA14" s="53"/>
      <c r="LB14" s="53"/>
      <c r="LC14" s="53"/>
      <c r="LD14" s="33"/>
      <c r="LE14" s="2669"/>
      <c r="LG14" s="998">
        <f t="shared" si="53"/>
        <v>0</v>
      </c>
      <c r="LH14" s="27">
        <f t="shared" si="53"/>
        <v>0</v>
      </c>
      <c r="LI14" s="27">
        <f t="shared" si="53"/>
        <v>0</v>
      </c>
      <c r="LJ14" s="28">
        <f t="shared" si="54"/>
        <v>0</v>
      </c>
      <c r="LK14" s="36"/>
      <c r="LL14" s="27"/>
      <c r="LM14" s="27"/>
      <c r="LN14" s="33"/>
      <c r="LO14" s="1041">
        <v>4.75</v>
      </c>
      <c r="LP14" s="486"/>
      <c r="LQ14" s="2688"/>
      <c r="LR14" s="21"/>
      <c r="LS14" s="27"/>
      <c r="LT14" s="27"/>
      <c r="LU14" s="27"/>
      <c r="LV14" s="27"/>
      <c r="LW14" s="1117">
        <f t="shared" si="55"/>
        <v>0</v>
      </c>
      <c r="LX14" s="36"/>
      <c r="LY14" s="36"/>
      <c r="LZ14" s="27"/>
      <c r="MA14" s="27"/>
      <c r="MB14" s="33"/>
      <c r="MC14" s="28">
        <f t="shared" si="56"/>
        <v>0</v>
      </c>
      <c r="MD14" s="26"/>
      <c r="ME14" s="36"/>
      <c r="MF14" s="27"/>
      <c r="MG14" s="27"/>
      <c r="MH14" s="27"/>
      <c r="MI14" s="28"/>
      <c r="MJ14" s="36"/>
      <c r="MK14" s="36"/>
      <c r="ML14" s="27"/>
      <c r="MM14" s="27"/>
      <c r="MN14" s="27"/>
      <c r="MO14" s="28"/>
      <c r="MP14" s="36"/>
      <c r="MQ14" s="36"/>
      <c r="MR14" s="27"/>
      <c r="MS14" s="27"/>
      <c r="MT14" s="27"/>
      <c r="MU14" s="33">
        <f t="shared" si="57"/>
        <v>0</v>
      </c>
      <c r="MV14" s="2688"/>
      <c r="MX14" s="26">
        <f t="shared" si="58"/>
        <v>203950.53568725474</v>
      </c>
      <c r="MY14" s="27">
        <f t="shared" si="59"/>
        <v>229102.74079257296</v>
      </c>
      <c r="MZ14" s="27">
        <f t="shared" si="60"/>
        <v>21598.695210117308</v>
      </c>
      <c r="NA14" s="28">
        <f t="shared" si="61"/>
        <v>331243.59760219004</v>
      </c>
      <c r="NB14" s="2621"/>
      <c r="NC14" s="23">
        <f t="shared" si="62"/>
        <v>113678.22485483871</v>
      </c>
      <c r="ND14" s="1655">
        <f t="shared" si="63"/>
        <v>90272.310832416028</v>
      </c>
      <c r="NE14" s="60">
        <f t="shared" si="64"/>
        <v>0</v>
      </c>
      <c r="NF14" s="275">
        <f t="shared" si="4"/>
        <v>203950.53568725474</v>
      </c>
      <c r="NG14" s="26">
        <f t="shared" si="65"/>
        <v>0</v>
      </c>
      <c r="NH14" s="27">
        <f t="shared" si="65"/>
        <v>0</v>
      </c>
      <c r="NI14" s="27">
        <f t="shared" si="65"/>
        <v>0</v>
      </c>
      <c r="NJ14" s="27">
        <f t="shared" si="65"/>
        <v>0</v>
      </c>
      <c r="NK14" s="27">
        <f t="shared" si="65"/>
        <v>0</v>
      </c>
      <c r="NL14" s="33">
        <f t="shared" si="65"/>
        <v>0</v>
      </c>
      <c r="NM14" s="27">
        <f t="shared" si="65"/>
        <v>0</v>
      </c>
      <c r="NN14" s="36">
        <f t="shared" si="65"/>
        <v>0</v>
      </c>
      <c r="NO14" s="24">
        <f t="shared" si="65"/>
        <v>18523.700671164177</v>
      </c>
      <c r="NP14" s="27">
        <f t="shared" si="65"/>
        <v>24549.88002237798</v>
      </c>
      <c r="NQ14" s="24">
        <f t="shared" si="110"/>
        <v>8756.5482322711578</v>
      </c>
      <c r="NR14" s="24">
        <f t="shared" si="111"/>
        <v>13633.851351487181</v>
      </c>
      <c r="NS14" s="27">
        <f t="shared" si="0"/>
        <v>65463.980277300499</v>
      </c>
      <c r="NT14" s="27">
        <f t="shared" si="66"/>
        <v>0</v>
      </c>
      <c r="NU14" s="27">
        <f t="shared" si="66"/>
        <v>0</v>
      </c>
      <c r="NV14" s="27">
        <f t="shared" si="66"/>
        <v>0</v>
      </c>
      <c r="NW14" s="27">
        <f t="shared" si="66"/>
        <v>0</v>
      </c>
      <c r="NX14" s="27">
        <f t="shared" si="66"/>
        <v>0</v>
      </c>
      <c r="NY14" s="27">
        <f t="shared" si="66"/>
        <v>0</v>
      </c>
      <c r="NZ14" s="27">
        <f t="shared" si="66"/>
        <v>13244.508814178835</v>
      </c>
      <c r="OA14" s="27">
        <f t="shared" si="66"/>
        <v>0</v>
      </c>
      <c r="OB14" s="27">
        <f t="shared" si="66"/>
        <v>89556.899365972567</v>
      </c>
      <c r="OC14" s="280"/>
      <c r="OD14" s="24">
        <f t="shared" si="67"/>
        <v>0</v>
      </c>
      <c r="OE14" s="27">
        <f t="shared" si="67"/>
        <v>0</v>
      </c>
      <c r="OF14" s="28">
        <f t="shared" si="1"/>
        <v>102801.4081801514</v>
      </c>
      <c r="OG14" s="27">
        <f t="shared" si="68"/>
        <v>0</v>
      </c>
      <c r="OH14" s="27">
        <f t="shared" si="68"/>
        <v>0</v>
      </c>
      <c r="OI14" s="27">
        <f t="shared" si="68"/>
        <v>0</v>
      </c>
      <c r="OJ14" s="27">
        <f t="shared" si="68"/>
        <v>0</v>
      </c>
      <c r="OK14" s="27">
        <f t="shared" si="68"/>
        <v>0</v>
      </c>
      <c r="OL14" s="27">
        <f t="shared" si="68"/>
        <v>0</v>
      </c>
      <c r="OM14" s="24">
        <f t="shared" si="68"/>
        <v>0</v>
      </c>
      <c r="ON14" s="27">
        <f t="shared" si="68"/>
        <v>0</v>
      </c>
      <c r="OO14" s="24">
        <f t="shared" ref="OO14:OO40" si="118">+OO13+EA14+GD14+QF14-IZ14</f>
        <v>40480.005076326248</v>
      </c>
      <c r="OP14" s="27">
        <f t="shared" si="68"/>
        <v>0</v>
      </c>
      <c r="OQ14" s="24">
        <f t="shared" si="68"/>
        <v>20357.347258794845</v>
      </c>
      <c r="OR14" s="27">
        <f t="shared" si="68"/>
        <v>0</v>
      </c>
      <c r="OS14" s="28">
        <f t="shared" si="2"/>
        <v>60837.35233512109</v>
      </c>
      <c r="OT14" s="36"/>
      <c r="OU14" s="27"/>
      <c r="OV14" s="27"/>
      <c r="OW14" s="27"/>
      <c r="OX14" s="27"/>
      <c r="OY14" s="27"/>
      <c r="OZ14" s="28">
        <f t="shared" si="69"/>
        <v>0</v>
      </c>
      <c r="PA14" s="36">
        <f t="shared" si="70"/>
        <v>0</v>
      </c>
      <c r="PB14" s="27">
        <f t="shared" si="71"/>
        <v>0</v>
      </c>
      <c r="PC14" s="27">
        <f t="shared" si="72"/>
        <v>0</v>
      </c>
      <c r="PD14" s="27">
        <f t="shared" si="73"/>
        <v>0</v>
      </c>
      <c r="PE14" s="24"/>
      <c r="PF14" s="27">
        <f t="shared" si="74"/>
        <v>0</v>
      </c>
      <c r="PG14" s="33">
        <f t="shared" si="3"/>
        <v>0</v>
      </c>
      <c r="PH14" s="2621"/>
      <c r="PJ14" s="1907">
        <v>1550.98</v>
      </c>
      <c r="PK14" s="1101">
        <v>210</v>
      </c>
      <c r="PL14" s="1101">
        <v>60</v>
      </c>
      <c r="PM14" s="3">
        <v>0</v>
      </c>
      <c r="PN14" s="3">
        <f t="shared" si="75"/>
        <v>30716.503504658718</v>
      </c>
      <c r="PO14" s="11">
        <f t="shared" si="76"/>
        <v>21598.695210117308</v>
      </c>
      <c r="PP14" s="15"/>
      <c r="PQ14" s="2615"/>
      <c r="PS14" s="4"/>
      <c r="PT14" s="9"/>
      <c r="PU14" s="9"/>
      <c r="PV14" s="9"/>
      <c r="PW14" s="8">
        <v>0</v>
      </c>
      <c r="PX14" s="9"/>
      <c r="PY14" s="8">
        <f t="shared" si="77"/>
        <v>0</v>
      </c>
      <c r="PZ14" s="5">
        <f t="shared" si="78"/>
        <v>1550.98</v>
      </c>
      <c r="QA14" s="5"/>
      <c r="QB14" s="5"/>
      <c r="QC14" s="5"/>
      <c r="QD14" s="5"/>
      <c r="QE14" s="5"/>
      <c r="QF14" s="12"/>
      <c r="QG14" s="12">
        <f t="shared" si="79"/>
        <v>29562.488999999998</v>
      </c>
      <c r="QH14" s="420">
        <f t="shared" si="80"/>
        <v>299461.15180819004</v>
      </c>
      <c r="QI14" s="1106">
        <f t="shared" si="113"/>
        <v>2219.9567940000002</v>
      </c>
      <c r="QJ14" s="484">
        <f t="shared" si="81"/>
        <v>5505.3678056099998</v>
      </c>
      <c r="QK14" s="12"/>
      <c r="QL14" s="2615"/>
      <c r="QN14" s="139">
        <f t="shared" si="82"/>
        <v>0</v>
      </c>
      <c r="QO14" s="139" t="str">
        <f t="shared" si="83"/>
        <v/>
      </c>
      <c r="QQ14" s="139">
        <f t="shared" si="84"/>
        <v>0</v>
      </c>
      <c r="QR14" s="139">
        <f t="shared" si="85"/>
        <v>0</v>
      </c>
      <c r="QT14" s="1">
        <f t="shared" si="86"/>
        <v>0</v>
      </c>
      <c r="QU14" s="1">
        <f t="shared" si="87"/>
        <v>0</v>
      </c>
      <c r="QV14" s="1">
        <f t="shared" si="88"/>
        <v>0</v>
      </c>
      <c r="QW14" s="1">
        <f t="shared" si="89"/>
        <v>0</v>
      </c>
      <c r="QX14" s="1">
        <f t="shared" si="90"/>
        <v>0</v>
      </c>
      <c r="QY14" s="1">
        <f t="shared" si="91"/>
        <v>0</v>
      </c>
      <c r="RA14" s="1">
        <f t="shared" si="92"/>
        <v>0</v>
      </c>
      <c r="RB14" s="1">
        <f t="shared" si="93"/>
        <v>0</v>
      </c>
      <c r="RC14" s="1">
        <f t="shared" si="94"/>
        <v>0</v>
      </c>
      <c r="RD14" s="1">
        <f t="shared" si="95"/>
        <v>0</v>
      </c>
      <c r="RE14" s="1">
        <f t="shared" si="96"/>
        <v>0</v>
      </c>
      <c r="RF14" s="1">
        <f t="shared" si="97"/>
        <v>0</v>
      </c>
      <c r="RI14" s="1">
        <v>5</v>
      </c>
      <c r="RJ14" s="1">
        <f t="shared" si="98"/>
        <v>56367.351751083159</v>
      </c>
      <c r="RK14" s="1">
        <f t="shared" si="98"/>
        <v>-6495.6664501377199</v>
      </c>
      <c r="RL14" s="1">
        <f t="shared" si="98"/>
        <v>9178.5689913333827</v>
      </c>
      <c r="RM14" s="89">
        <f t="shared" si="5"/>
        <v>59050.25429227882</v>
      </c>
      <c r="RN14" s="1033">
        <v>5</v>
      </c>
      <c r="RO14" s="1098">
        <v>0</v>
      </c>
      <c r="RP14" s="1098">
        <f t="shared" si="99"/>
        <v>0</v>
      </c>
      <c r="RQ14" s="1097">
        <f t="shared" si="99"/>
        <v>0</v>
      </c>
      <c r="RR14" s="1097">
        <f t="shared" si="114"/>
        <v>9065.58</v>
      </c>
      <c r="RS14" s="1094"/>
      <c r="RT14" s="1123" t="s">
        <v>1017</v>
      </c>
      <c r="RW14" s="421">
        <v>5</v>
      </c>
      <c r="RX14" s="1095">
        <f t="shared" si="100"/>
        <v>11584.629999999997</v>
      </c>
      <c r="RY14" s="1094" t="s">
        <v>1018</v>
      </c>
      <c r="SA14" s="1090"/>
      <c r="SB14" s="1090">
        <f t="shared" si="101"/>
        <v>0</v>
      </c>
      <c r="SC14" s="1090"/>
      <c r="SD14" s="1090">
        <f t="shared" si="102"/>
        <v>0</v>
      </c>
      <c r="SF14" s="1">
        <v>5</v>
      </c>
      <c r="SG14" s="1">
        <f t="shared" si="103"/>
        <v>0</v>
      </c>
      <c r="SH14" s="1094"/>
    </row>
    <row r="15" spans="1:502" s="1" customFormat="1">
      <c r="B15" s="471">
        <v>6</v>
      </c>
      <c r="C15" s="4">
        <f t="shared" si="6"/>
        <v>163315</v>
      </c>
      <c r="D15" s="1736">
        <f t="shared" si="104"/>
        <v>12681.899999999998</v>
      </c>
      <c r="E15" s="1895">
        <f t="shared" si="7"/>
        <v>12.877802222064519</v>
      </c>
      <c r="F15" s="870"/>
      <c r="G15" s="870"/>
      <c r="H15" s="52"/>
      <c r="I15" s="61"/>
      <c r="J15" s="52"/>
      <c r="K15" s="54"/>
      <c r="L15" s="52"/>
      <c r="M15" s="61"/>
      <c r="N15" s="2629"/>
      <c r="O15" s="4">
        <f t="shared" si="117"/>
        <v>100338</v>
      </c>
      <c r="P15" s="1225">
        <f t="shared" si="8"/>
        <v>8263.6999999999989</v>
      </c>
      <c r="Q15" s="1913">
        <f t="shared" si="9"/>
        <v>12.142018708326781</v>
      </c>
      <c r="R15" s="33"/>
      <c r="S15" s="26">
        <f t="shared" si="10"/>
        <v>43478</v>
      </c>
      <c r="T15" s="27">
        <f t="shared" si="105"/>
        <v>1978.1999999999998</v>
      </c>
      <c r="U15" s="1909">
        <f t="shared" si="11"/>
        <v>21.978566373470834</v>
      </c>
      <c r="V15" s="28"/>
      <c r="W15" s="1742">
        <f t="shared" si="12"/>
        <v>19499</v>
      </c>
      <c r="X15" s="5">
        <f t="shared" si="12"/>
        <v>2440</v>
      </c>
      <c r="Y15" s="1909">
        <f t="shared" si="13"/>
        <v>7.9913934426229511</v>
      </c>
      <c r="Z15" s="33"/>
      <c r="AA15" s="26">
        <f t="shared" si="14"/>
        <v>0</v>
      </c>
      <c r="AB15" s="27">
        <f t="shared" si="15"/>
        <v>0</v>
      </c>
      <c r="AC15" s="1909">
        <f t="shared" si="16"/>
        <v>0</v>
      </c>
      <c r="AD15" s="28"/>
      <c r="AE15" s="36"/>
      <c r="AF15" s="36"/>
      <c r="AG15" s="53">
        <f t="shared" si="17"/>
        <v>0</v>
      </c>
      <c r="AH15" s="28"/>
      <c r="AI15" s="26"/>
      <c r="AJ15" s="27"/>
      <c r="AK15" s="53">
        <f t="shared" si="18"/>
        <v>0</v>
      </c>
      <c r="AL15" s="28"/>
      <c r="AM15" s="2629"/>
      <c r="AN15" s="9"/>
      <c r="AO15" s="5"/>
      <c r="AP15" s="61">
        <f t="shared" si="19"/>
        <v>0</v>
      </c>
      <c r="AQ15" s="36"/>
      <c r="AR15" s="53"/>
      <c r="AS15" s="61">
        <f t="shared" si="20"/>
        <v>0</v>
      </c>
      <c r="AT15" s="36"/>
      <c r="AU15" s="27"/>
      <c r="AV15" s="54">
        <f t="shared" si="21"/>
        <v>0</v>
      </c>
      <c r="AW15" s="26">
        <v>54516</v>
      </c>
      <c r="AX15" s="24">
        <v>5131.7599999999993</v>
      </c>
      <c r="AY15" s="1735">
        <f t="shared" si="115"/>
        <v>10.623255958969244</v>
      </c>
      <c r="AZ15" s="36"/>
      <c r="BA15" s="27"/>
      <c r="BB15" s="61">
        <f t="shared" si="22"/>
        <v>0</v>
      </c>
      <c r="BC15" s="1740">
        <v>45822</v>
      </c>
      <c r="BD15" s="1926">
        <v>3131.9399999999996</v>
      </c>
      <c r="BE15" s="1735">
        <f t="shared" si="23"/>
        <v>14.630548477940192</v>
      </c>
      <c r="BF15" s="36"/>
      <c r="BG15" s="53"/>
      <c r="BH15" s="61">
        <f t="shared" si="24"/>
        <v>0</v>
      </c>
      <c r="BI15" s="36">
        <v>0</v>
      </c>
      <c r="BJ15" s="53">
        <v>0</v>
      </c>
      <c r="BK15" s="61">
        <f t="shared" si="25"/>
        <v>0</v>
      </c>
      <c r="BL15" s="1742">
        <v>43478</v>
      </c>
      <c r="BM15" s="1736">
        <v>1978.1999999999998</v>
      </c>
      <c r="BN15" s="2170"/>
      <c r="BO15" s="1735">
        <f t="shared" si="26"/>
        <v>21.978566373470834</v>
      </c>
      <c r="BP15" s="36">
        <v>0</v>
      </c>
      <c r="BQ15" s="49">
        <v>0</v>
      </c>
      <c r="BR15" s="1735">
        <f t="shared" si="27"/>
        <v>0</v>
      </c>
      <c r="BS15" s="36"/>
      <c r="BT15" s="53"/>
      <c r="BU15" s="61">
        <f t="shared" si="28"/>
        <v>0</v>
      </c>
      <c r="BV15" s="36">
        <v>19499</v>
      </c>
      <c r="BW15" s="27">
        <f t="shared" si="106"/>
        <v>2440</v>
      </c>
      <c r="BX15" s="1906">
        <f t="shared" si="29"/>
        <v>7.9913934426229511</v>
      </c>
      <c r="BY15" s="26"/>
      <c r="BZ15" s="27"/>
      <c r="CA15" s="61">
        <f t="shared" si="30"/>
        <v>0</v>
      </c>
      <c r="CB15" s="36"/>
      <c r="CC15" s="481"/>
      <c r="CD15" s="482">
        <f t="shared" si="31"/>
        <v>0</v>
      </c>
      <c r="CE15" s="4"/>
      <c r="CF15" s="5"/>
      <c r="CG15" s="28">
        <f t="shared" si="32"/>
        <v>0</v>
      </c>
      <c r="CH15" s="149"/>
      <c r="CI15" s="4"/>
      <c r="CJ15" s="5"/>
      <c r="CK15" s="5">
        <v>13643</v>
      </c>
      <c r="CL15" s="5"/>
      <c r="CM15" s="5"/>
      <c r="CN15" s="5">
        <f t="shared" si="33"/>
        <v>13643</v>
      </c>
      <c r="CO15" s="33"/>
      <c r="CP15" s="366"/>
      <c r="CR15" s="4">
        <f t="shared" si="34"/>
        <v>0</v>
      </c>
      <c r="CS15" s="9">
        <f t="shared" si="34"/>
        <v>0</v>
      </c>
      <c r="CT15" s="5">
        <f t="shared" si="34"/>
        <v>0</v>
      </c>
      <c r="CU15" s="5">
        <f t="shared" si="34"/>
        <v>0</v>
      </c>
      <c r="CV15" s="5">
        <f t="shared" si="34"/>
        <v>0</v>
      </c>
      <c r="CW15" s="5">
        <f t="shared" si="34"/>
        <v>0</v>
      </c>
      <c r="CX15" s="5">
        <f t="shared" si="34"/>
        <v>1696.98</v>
      </c>
      <c r="CY15" s="5">
        <f t="shared" si="34"/>
        <v>0</v>
      </c>
      <c r="CZ15" s="5">
        <f t="shared" si="34"/>
        <v>6783.4599999999991</v>
      </c>
      <c r="DA15" s="5">
        <f t="shared" si="34"/>
        <v>0</v>
      </c>
      <c r="DB15" s="5">
        <f t="shared" si="34"/>
        <v>4201.46</v>
      </c>
      <c r="DC15" s="12">
        <f t="shared" si="34"/>
        <v>0</v>
      </c>
      <c r="DD15" s="310">
        <f t="shared" si="35"/>
        <v>12681.899999999998</v>
      </c>
      <c r="DE15" s="2695"/>
      <c r="DF15" s="8"/>
      <c r="DG15" s="9"/>
      <c r="DH15" s="5"/>
      <c r="DI15" s="5"/>
      <c r="DJ15" s="5"/>
      <c r="DK15" s="5"/>
      <c r="DL15" s="3">
        <v>1696.98</v>
      </c>
      <c r="DM15" s="5"/>
      <c r="DN15" s="3">
        <v>3434.7799999999997</v>
      </c>
      <c r="DO15" s="5"/>
      <c r="DP15" s="3">
        <v>0</v>
      </c>
      <c r="DQ15" s="12"/>
      <c r="DR15" s="1906">
        <f t="shared" si="36"/>
        <v>5131.76</v>
      </c>
      <c r="DS15" s="36"/>
      <c r="DT15" s="36"/>
      <c r="DU15" s="27"/>
      <c r="DV15" s="27"/>
      <c r="DW15" s="5"/>
      <c r="DX15" s="5"/>
      <c r="DY15" s="5"/>
      <c r="DZ15" s="5"/>
      <c r="EA15" s="3">
        <v>2528.6799999999998</v>
      </c>
      <c r="EB15" s="53"/>
      <c r="EC15" s="24">
        <v>2581.46</v>
      </c>
      <c r="ED15" s="33"/>
      <c r="EE15" s="28">
        <f t="shared" si="37"/>
        <v>5110.1399999999994</v>
      </c>
      <c r="EF15" s="9"/>
      <c r="EG15" s="9"/>
      <c r="EH15" s="5"/>
      <c r="EI15" s="5"/>
      <c r="EJ15" s="27"/>
      <c r="EK15" s="27"/>
      <c r="EL15" s="27"/>
      <c r="EM15" s="27"/>
      <c r="EN15" s="5">
        <v>820</v>
      </c>
      <c r="EO15" s="5"/>
      <c r="EP15" s="5">
        <v>1620</v>
      </c>
      <c r="EQ15" s="33"/>
      <c r="ER15" s="28">
        <f t="shared" si="38"/>
        <v>2440</v>
      </c>
      <c r="ES15" s="36"/>
      <c r="ET15" s="27"/>
      <c r="EU15" s="27"/>
      <c r="EV15" s="27"/>
      <c r="EW15" s="27"/>
      <c r="EX15" s="27"/>
      <c r="EY15" s="33">
        <f t="shared" si="39"/>
        <v>0</v>
      </c>
      <c r="EZ15" s="2685"/>
      <c r="FB15" s="4">
        <f t="shared" si="40"/>
        <v>0</v>
      </c>
      <c r="FC15" s="5">
        <f t="shared" si="41"/>
        <v>0</v>
      </c>
      <c r="FD15" s="5">
        <f t="shared" si="42"/>
        <v>0</v>
      </c>
      <c r="FE15" s="12">
        <f t="shared" si="43"/>
        <v>0</v>
      </c>
      <c r="FF15" s="33"/>
      <c r="FG15" s="2674"/>
      <c r="FH15" s="9"/>
      <c r="FI15" s="5"/>
      <c r="FJ15" s="5"/>
      <c r="FK15" s="5"/>
      <c r="FL15" s="5"/>
      <c r="FM15" s="27"/>
      <c r="FN15" s="28">
        <f t="shared" si="44"/>
        <v>0</v>
      </c>
      <c r="FO15" s="36"/>
      <c r="FP15" s="27"/>
      <c r="FQ15" s="27"/>
      <c r="FR15" s="27"/>
      <c r="FS15" s="27"/>
      <c r="FT15" s="27"/>
      <c r="FU15" s="28">
        <f t="shared" si="45"/>
        <v>0</v>
      </c>
      <c r="FV15" s="36"/>
      <c r="FW15" s="36"/>
      <c r="FX15" s="27"/>
      <c r="FY15" s="27"/>
      <c r="FZ15" s="27"/>
      <c r="GA15" s="27"/>
      <c r="GB15" s="27"/>
      <c r="GC15" s="27"/>
      <c r="GD15" s="24">
        <v>0</v>
      </c>
      <c r="GE15" s="27"/>
      <c r="GF15" s="27"/>
      <c r="GG15" s="33"/>
      <c r="GH15" s="33">
        <f t="shared" si="46"/>
        <v>0</v>
      </c>
      <c r="GI15" s="2674"/>
      <c r="GK15" s="2">
        <f t="shared" si="107"/>
        <v>2975.1</v>
      </c>
      <c r="GL15" s="63">
        <f t="shared" si="108"/>
        <v>3166.66</v>
      </c>
      <c r="GM15" s="24">
        <f t="shared" si="109"/>
        <v>6005.95</v>
      </c>
      <c r="GN15" s="1736">
        <f t="shared" si="47"/>
        <v>12147.71</v>
      </c>
      <c r="GO15" s="141"/>
      <c r="GP15" s="141"/>
      <c r="GQ15" s="33"/>
      <c r="GR15" s="2702"/>
      <c r="GS15" s="1739">
        <v>0</v>
      </c>
      <c r="GT15" s="1721">
        <v>214.60000000000002</v>
      </c>
      <c r="GU15" s="1721">
        <v>5376.829999999999</v>
      </c>
      <c r="GV15" s="1721">
        <v>6556.28</v>
      </c>
      <c r="GW15" s="1724">
        <v>12147.71</v>
      </c>
      <c r="GX15" s="2667"/>
      <c r="GY15" s="9"/>
      <c r="GZ15" s="9"/>
      <c r="HA15" s="5"/>
      <c r="HB15" s="5"/>
      <c r="HC15" s="5"/>
      <c r="HD15" s="5"/>
      <c r="HE15" s="5"/>
      <c r="HF15" s="5"/>
      <c r="HG15" s="24">
        <v>2760.5</v>
      </c>
      <c r="HH15" s="5"/>
      <c r="HI15" s="24">
        <v>0</v>
      </c>
      <c r="HJ15" s="5"/>
      <c r="HK15" s="24">
        <v>214.60000000000002</v>
      </c>
      <c r="HL15" s="5"/>
      <c r="HM15" s="15">
        <f t="shared" si="48"/>
        <v>2975.1</v>
      </c>
      <c r="HN15" s="9"/>
      <c r="HO15" s="5"/>
      <c r="HP15" s="5"/>
      <c r="HQ15" s="5"/>
      <c r="HR15" s="5"/>
      <c r="HS15" s="5"/>
      <c r="HT15" s="5">
        <f t="array" ref="HT15">SUMPRODUCT(('Data Base hauling'!$C$2:$C$2000="TCM-ROM SB1 BK05-ROM 4")*(ISNUMBER(SEARCH(TEXT('July TCM'!$B15,"00")&amp;"/03/2026",'Data Base hauling'!$E$2:$E$2000)))*'Data Base hauling'!$N$2:$N$2000)</f>
        <v>0</v>
      </c>
      <c r="HU15" s="5"/>
      <c r="HV15" s="5">
        <f t="array" ref="HV15">SUMPRODUCT(('Data Base hauling'!$C$2:$C$2000="TCM-ROM SB1 BK05-ROM 5")*(ISNUMBER(SEARCH(TEXT('July TCM'!$B15,"00")&amp;"/03/2026",'Data Base hauling'!$E$2:$E$2000)))*'Data Base hauling'!$N$2:$N$2000)</f>
        <v>0</v>
      </c>
      <c r="HW15" s="5"/>
      <c r="HX15" s="5"/>
      <c r="HY15" s="5"/>
      <c r="HZ15" s="5"/>
      <c r="IA15" s="5"/>
      <c r="IB15" s="12">
        <f t="shared" si="49"/>
        <v>0</v>
      </c>
      <c r="IC15" s="845"/>
      <c r="ID15" s="363"/>
      <c r="IE15" s="64"/>
      <c r="IF15" s="64"/>
      <c r="IG15" s="64"/>
      <c r="IH15" s="64"/>
      <c r="II15" s="1926">
        <v>0</v>
      </c>
      <c r="IJ15" s="1590"/>
      <c r="IK15" s="1926">
        <v>3166.66</v>
      </c>
      <c r="IL15" s="64"/>
      <c r="IM15" s="49">
        <v>0</v>
      </c>
      <c r="IN15" s="64"/>
      <c r="IO15" s="64"/>
      <c r="IP15" s="49">
        <v>0</v>
      </c>
      <c r="IQ15" s="2195">
        <f t="shared" si="50"/>
        <v>3166.66</v>
      </c>
      <c r="IR15" s="9"/>
      <c r="IS15" s="9"/>
      <c r="IT15" s="5"/>
      <c r="IU15" s="5"/>
      <c r="IV15" s="64"/>
      <c r="IW15" s="5"/>
      <c r="IX15" s="24">
        <v>0</v>
      </c>
      <c r="IY15" s="5"/>
      <c r="IZ15" s="24">
        <v>6005.95</v>
      </c>
      <c r="JA15" s="5"/>
      <c r="JB15" s="24">
        <v>0</v>
      </c>
      <c r="JC15" s="5"/>
      <c r="JD15" s="5"/>
      <c r="JE15" s="5"/>
      <c r="JF15" s="12">
        <f t="shared" si="116"/>
        <v>6005.95</v>
      </c>
      <c r="JG15" s="2667"/>
      <c r="JI15" s="2014">
        <v>12147.710000000001</v>
      </c>
      <c r="JJ15" s="2015">
        <v>0</v>
      </c>
      <c r="JK15" s="53"/>
      <c r="JL15" s="1736">
        <f t="shared" si="52"/>
        <v>12147.710000000001</v>
      </c>
      <c r="JM15" s="33"/>
      <c r="JN15" s="2669"/>
      <c r="JO15" s="66">
        <v>0</v>
      </c>
      <c r="JP15" s="67">
        <v>0</v>
      </c>
      <c r="JQ15" s="67">
        <v>0</v>
      </c>
      <c r="JR15" s="67">
        <v>0</v>
      </c>
      <c r="JS15" s="67">
        <v>0.98233411894093603</v>
      </c>
      <c r="JT15" s="67">
        <v>0</v>
      </c>
      <c r="JU15" s="67">
        <v>1.7665881059063807E-2</v>
      </c>
      <c r="JV15" s="1921">
        <v>0</v>
      </c>
      <c r="JW15" s="66" t="s">
        <v>296</v>
      </c>
      <c r="JX15" s="67" t="s">
        <v>296</v>
      </c>
      <c r="JY15" s="67" t="s">
        <v>296</v>
      </c>
      <c r="JZ15" s="67" t="s">
        <v>296</v>
      </c>
      <c r="KA15" s="67" t="s">
        <v>296</v>
      </c>
      <c r="KB15" s="67" t="s">
        <v>296</v>
      </c>
      <c r="KC15" s="67" t="s">
        <v>296</v>
      </c>
      <c r="KD15" s="68" t="s">
        <v>296</v>
      </c>
      <c r="KE15" s="69"/>
      <c r="KF15" s="70"/>
      <c r="KG15" s="70"/>
      <c r="KH15" s="70"/>
      <c r="KI15" s="70"/>
      <c r="KJ15" s="70"/>
      <c r="KK15" s="70"/>
      <c r="KL15" s="70"/>
      <c r="KM15" s="33"/>
      <c r="KN15" s="2669"/>
      <c r="KO15" s="2203">
        <v>7086.0413311421526</v>
      </c>
      <c r="KP15" s="1721">
        <v>0.75926376335250612</v>
      </c>
      <c r="KQ15" s="1721">
        <v>3.9521717337715696</v>
      </c>
      <c r="KR15" s="1721">
        <v>6.2742161051766629</v>
      </c>
      <c r="KS15" s="1722">
        <v>10.243163661133934</v>
      </c>
      <c r="KT15" s="1958">
        <v>0</v>
      </c>
      <c r="KU15" s="1961">
        <v>0</v>
      </c>
      <c r="KV15" s="1961">
        <v>0</v>
      </c>
      <c r="KW15" s="1961">
        <v>0</v>
      </c>
      <c r="KX15" s="1962">
        <v>0</v>
      </c>
      <c r="KY15" s="36"/>
      <c r="KZ15" s="53"/>
      <c r="LA15" s="53"/>
      <c r="LB15" s="53"/>
      <c r="LC15" s="53"/>
      <c r="LD15" s="33"/>
      <c r="LE15" s="2669"/>
      <c r="LG15" s="998">
        <f t="shared" si="53"/>
        <v>0</v>
      </c>
      <c r="LH15" s="27">
        <f t="shared" si="53"/>
        <v>0</v>
      </c>
      <c r="LI15" s="27">
        <f t="shared" si="53"/>
        <v>0</v>
      </c>
      <c r="LJ15" s="28">
        <f t="shared" si="54"/>
        <v>0</v>
      </c>
      <c r="LK15" s="36"/>
      <c r="LL15" s="27"/>
      <c r="LM15" s="27"/>
      <c r="LN15" s="33"/>
      <c r="LO15" s="1041">
        <v>4.75</v>
      </c>
      <c r="LP15" s="486"/>
      <c r="LQ15" s="2688"/>
      <c r="LR15" s="1122"/>
      <c r="LS15" s="27"/>
      <c r="LT15" s="27"/>
      <c r="LU15" s="27"/>
      <c r="LV15" s="27"/>
      <c r="LW15" s="1117">
        <f t="shared" si="55"/>
        <v>0</v>
      </c>
      <c r="LX15" s="36"/>
      <c r="LY15" s="36"/>
      <c r="LZ15" s="27"/>
      <c r="MA15" s="27"/>
      <c r="MB15" s="33"/>
      <c r="MC15" s="28">
        <f t="shared" si="56"/>
        <v>0</v>
      </c>
      <c r="MD15" s="26"/>
      <c r="ME15" s="36"/>
      <c r="MF15" s="27"/>
      <c r="MG15" s="27"/>
      <c r="MH15" s="27"/>
      <c r="MI15" s="28"/>
      <c r="MJ15" s="36"/>
      <c r="MK15" s="36"/>
      <c r="ML15" s="27"/>
      <c r="MM15" s="27"/>
      <c r="MN15" s="27"/>
      <c r="MO15" s="28"/>
      <c r="MP15" s="36"/>
      <c r="MQ15" s="36"/>
      <c r="MR15" s="27"/>
      <c r="MS15" s="27"/>
      <c r="MT15" s="27"/>
      <c r="MU15" s="33">
        <f t="shared" si="57"/>
        <v>0</v>
      </c>
      <c r="MV15" s="2688"/>
      <c r="MX15" s="26">
        <f t="shared" si="58"/>
        <v>216098.24568725476</v>
      </c>
      <c r="MY15" s="27">
        <f t="shared" si="59"/>
        <v>229851.530792573</v>
      </c>
      <c r="MZ15" s="27">
        <f t="shared" si="60"/>
        <v>21686.09521011731</v>
      </c>
      <c r="NA15" s="28">
        <f t="shared" si="61"/>
        <v>330553.77760219004</v>
      </c>
      <c r="NB15" s="2621"/>
      <c r="NC15" s="23">
        <f t="shared" si="62"/>
        <v>125825.93485483872</v>
      </c>
      <c r="ND15" s="1655">
        <f t="shared" si="63"/>
        <v>90272.310832416028</v>
      </c>
      <c r="NE15" s="60">
        <f t="shared" si="64"/>
        <v>0</v>
      </c>
      <c r="NF15" s="275">
        <f t="shared" si="4"/>
        <v>216098.24568725476</v>
      </c>
      <c r="NG15" s="26">
        <f t="shared" si="65"/>
        <v>0</v>
      </c>
      <c r="NH15" s="27">
        <f t="shared" si="65"/>
        <v>0</v>
      </c>
      <c r="NI15" s="27">
        <f t="shared" si="65"/>
        <v>0</v>
      </c>
      <c r="NJ15" s="27">
        <f t="shared" si="65"/>
        <v>0</v>
      </c>
      <c r="NK15" s="27">
        <f t="shared" si="65"/>
        <v>0</v>
      </c>
      <c r="NL15" s="33">
        <f t="shared" si="65"/>
        <v>0</v>
      </c>
      <c r="NM15" s="27">
        <f t="shared" si="65"/>
        <v>0</v>
      </c>
      <c r="NN15" s="36">
        <f t="shared" si="65"/>
        <v>0</v>
      </c>
      <c r="NO15" s="24">
        <f t="shared" si="65"/>
        <v>16583.200671164177</v>
      </c>
      <c r="NP15" s="27">
        <f t="shared" si="65"/>
        <v>24549.88002237798</v>
      </c>
      <c r="NQ15" s="24">
        <f t="shared" si="110"/>
        <v>8756.5482322711578</v>
      </c>
      <c r="NR15" s="24">
        <f t="shared" si="111"/>
        <v>15253.851351487181</v>
      </c>
      <c r="NS15" s="27">
        <f t="shared" si="0"/>
        <v>65143.480277300499</v>
      </c>
      <c r="NT15" s="27">
        <f t="shared" si="66"/>
        <v>0</v>
      </c>
      <c r="NU15" s="27">
        <f t="shared" si="66"/>
        <v>0</v>
      </c>
      <c r="NV15" s="27">
        <f t="shared" si="66"/>
        <v>0</v>
      </c>
      <c r="NW15" s="27">
        <f t="shared" si="66"/>
        <v>0</v>
      </c>
      <c r="NX15" s="27">
        <f t="shared" si="66"/>
        <v>0</v>
      </c>
      <c r="NY15" s="27">
        <f t="shared" si="66"/>
        <v>0</v>
      </c>
      <c r="NZ15" s="27">
        <f t="shared" si="66"/>
        <v>14941.488814178834</v>
      </c>
      <c r="OA15" s="27">
        <f t="shared" si="66"/>
        <v>0</v>
      </c>
      <c r="OB15" s="27">
        <f t="shared" si="66"/>
        <v>89825.019365972563</v>
      </c>
      <c r="OC15" s="280"/>
      <c r="OD15" s="24">
        <f t="shared" si="67"/>
        <v>0</v>
      </c>
      <c r="OE15" s="27">
        <f t="shared" si="67"/>
        <v>0</v>
      </c>
      <c r="OF15" s="28">
        <f t="shared" si="1"/>
        <v>104766.5081801514</v>
      </c>
      <c r="OG15" s="27">
        <f t="shared" si="68"/>
        <v>0</v>
      </c>
      <c r="OH15" s="27">
        <f t="shared" si="68"/>
        <v>0</v>
      </c>
      <c r="OI15" s="27">
        <f t="shared" si="68"/>
        <v>0</v>
      </c>
      <c r="OJ15" s="27">
        <f t="shared" si="68"/>
        <v>0</v>
      </c>
      <c r="OK15" s="27">
        <f t="shared" si="68"/>
        <v>0</v>
      </c>
      <c r="OL15" s="27">
        <f t="shared" si="68"/>
        <v>0</v>
      </c>
      <c r="OM15" s="24">
        <v>0</v>
      </c>
      <c r="ON15" s="27">
        <f t="shared" si="68"/>
        <v>0</v>
      </c>
      <c r="OO15" s="24">
        <f t="shared" si="118"/>
        <v>37002.735076326251</v>
      </c>
      <c r="OP15" s="27">
        <f t="shared" si="68"/>
        <v>0</v>
      </c>
      <c r="OQ15" s="24">
        <f t="shared" si="68"/>
        <v>22938.807258794845</v>
      </c>
      <c r="OR15" s="27">
        <f t="shared" si="68"/>
        <v>0</v>
      </c>
      <c r="OS15" s="28">
        <f t="shared" si="2"/>
        <v>59941.542335121092</v>
      </c>
      <c r="OT15" s="36"/>
      <c r="OU15" s="27"/>
      <c r="OV15" s="27"/>
      <c r="OW15" s="27"/>
      <c r="OX15" s="27"/>
      <c r="OY15" s="27"/>
      <c r="OZ15" s="28">
        <f t="shared" si="69"/>
        <v>0</v>
      </c>
      <c r="PA15" s="36">
        <f t="shared" si="70"/>
        <v>0</v>
      </c>
      <c r="PB15" s="27">
        <f t="shared" si="71"/>
        <v>0</v>
      </c>
      <c r="PC15" s="27">
        <f t="shared" si="72"/>
        <v>0</v>
      </c>
      <c r="PD15" s="27">
        <f t="shared" si="73"/>
        <v>0</v>
      </c>
      <c r="PE15" s="24"/>
      <c r="PF15" s="27">
        <f t="shared" si="74"/>
        <v>0</v>
      </c>
      <c r="PG15" s="33">
        <f t="shared" si="3"/>
        <v>0</v>
      </c>
      <c r="PH15" s="2621"/>
      <c r="PJ15" s="1907">
        <v>689.81999999999994</v>
      </c>
      <c r="PK15" s="2192">
        <v>1057</v>
      </c>
      <c r="PL15" s="2262">
        <v>302</v>
      </c>
      <c r="PM15" s="8">
        <v>214.60000000000002</v>
      </c>
      <c r="PN15" s="3">
        <f t="shared" si="75"/>
        <v>30349.323504658718</v>
      </c>
      <c r="PO15" s="11">
        <f t="shared" si="76"/>
        <v>21686.09521011731</v>
      </c>
      <c r="PP15" s="15"/>
      <c r="PQ15" s="2615"/>
      <c r="PS15" s="4"/>
      <c r="PT15" s="9"/>
      <c r="PU15" s="9"/>
      <c r="PV15" s="9"/>
      <c r="PW15" s="8">
        <v>0</v>
      </c>
      <c r="PX15" s="9"/>
      <c r="PY15" s="8">
        <f t="shared" si="77"/>
        <v>0</v>
      </c>
      <c r="PZ15" s="5">
        <f t="shared" si="78"/>
        <v>689.81999999999994</v>
      </c>
      <c r="QA15" s="5"/>
      <c r="QB15" s="5"/>
      <c r="QC15" s="5"/>
      <c r="QD15" s="5"/>
      <c r="QE15" s="5"/>
      <c r="QF15" s="12"/>
      <c r="QG15" s="12">
        <f t="shared" si="79"/>
        <v>29562.488999999998</v>
      </c>
      <c r="QH15" s="420">
        <f t="shared" si="80"/>
        <v>298771.33180819004</v>
      </c>
      <c r="QI15" s="1106">
        <f t="shared" si="113"/>
        <v>2219.9567940000002</v>
      </c>
      <c r="QJ15" s="484">
        <f t="shared" si="81"/>
        <v>5505.3678056099998</v>
      </c>
      <c r="QK15" s="12"/>
      <c r="QL15" s="2615"/>
      <c r="QN15" s="139">
        <f t="shared" si="82"/>
        <v>0</v>
      </c>
      <c r="QO15" s="139" t="str">
        <f t="shared" si="83"/>
        <v/>
      </c>
      <c r="QQ15" s="139">
        <f t="shared" si="84"/>
        <v>0</v>
      </c>
      <c r="QR15" s="139">
        <f t="shared" si="85"/>
        <v>0</v>
      </c>
      <c r="QT15" s="1">
        <f t="shared" si="86"/>
        <v>0</v>
      </c>
      <c r="QU15" s="1">
        <f t="shared" si="87"/>
        <v>0</v>
      </c>
      <c r="QV15" s="1">
        <f t="shared" si="88"/>
        <v>0</v>
      </c>
      <c r="QW15" s="1">
        <f t="shared" si="89"/>
        <v>0</v>
      </c>
      <c r="QX15" s="1">
        <f t="shared" si="90"/>
        <v>0</v>
      </c>
      <c r="QY15" s="1">
        <f t="shared" si="91"/>
        <v>0</v>
      </c>
      <c r="RA15" s="1">
        <f t="shared" si="92"/>
        <v>0</v>
      </c>
      <c r="RB15" s="1">
        <f t="shared" si="93"/>
        <v>0</v>
      </c>
      <c r="RC15" s="1">
        <f t="shared" si="94"/>
        <v>0</v>
      </c>
      <c r="RD15" s="1">
        <f t="shared" si="95"/>
        <v>0</v>
      </c>
      <c r="RE15" s="1">
        <f t="shared" si="96"/>
        <v>0</v>
      </c>
      <c r="RF15" s="1">
        <f t="shared" si="97"/>
        <v>0</v>
      </c>
      <c r="RI15" s="1">
        <v>6</v>
      </c>
      <c r="RJ15" s="1">
        <f t="shared" si="98"/>
        <v>68515.061751083165</v>
      </c>
      <c r="RK15" s="1">
        <f t="shared" si="98"/>
        <v>-6495.6664501377199</v>
      </c>
      <c r="RL15" s="1">
        <f t="shared" si="98"/>
        <v>9178.5689913333827</v>
      </c>
      <c r="RM15" s="89">
        <f t="shared" si="5"/>
        <v>71197.964292278819</v>
      </c>
      <c r="RN15" s="1033">
        <v>6</v>
      </c>
      <c r="RO15" s="1098">
        <v>0</v>
      </c>
      <c r="RP15" s="1098">
        <f t="shared" si="99"/>
        <v>0</v>
      </c>
      <c r="RQ15" s="1097">
        <f t="shared" si="99"/>
        <v>0</v>
      </c>
      <c r="RR15" s="1097">
        <f t="shared" si="114"/>
        <v>10241.899999999998</v>
      </c>
      <c r="RS15" s="1094"/>
      <c r="RT15" s="1094" t="s">
        <v>1019</v>
      </c>
      <c r="RW15" s="421">
        <v>6</v>
      </c>
      <c r="RX15" s="1095">
        <f t="shared" si="100"/>
        <v>12147.71</v>
      </c>
      <c r="RY15" s="1094" t="s">
        <v>1020</v>
      </c>
      <c r="SA15" s="1090"/>
      <c r="SB15" s="1090">
        <f t="shared" si="101"/>
        <v>0</v>
      </c>
      <c r="SC15" s="1090"/>
      <c r="SD15" s="1090">
        <f t="shared" si="102"/>
        <v>0</v>
      </c>
      <c r="SF15" s="1">
        <v>6</v>
      </c>
      <c r="SG15" s="1">
        <f t="shared" si="103"/>
        <v>214.60000000000002</v>
      </c>
      <c r="SH15" s="1094" t="s">
        <v>1021</v>
      </c>
    </row>
    <row r="16" spans="1:502" s="1" customFormat="1">
      <c r="B16" s="471">
        <v>7</v>
      </c>
      <c r="C16" s="4">
        <f t="shared" si="6"/>
        <v>148165</v>
      </c>
      <c r="D16" s="1590">
        <f>P16+T16+X16+AB16</f>
        <v>13009.7</v>
      </c>
      <c r="E16" s="1895">
        <f t="shared" si="7"/>
        <v>11.388809888006641</v>
      </c>
      <c r="F16" s="870"/>
      <c r="G16" s="870"/>
      <c r="H16" s="52"/>
      <c r="I16" s="61"/>
      <c r="J16" s="52"/>
      <c r="K16" s="54"/>
      <c r="L16" s="52"/>
      <c r="M16" s="61"/>
      <c r="N16" s="2629"/>
      <c r="O16" s="4">
        <f t="shared" si="117"/>
        <v>82866</v>
      </c>
      <c r="P16" s="1225">
        <f t="shared" si="8"/>
        <v>8109.9</v>
      </c>
      <c r="Q16" s="1913">
        <f t="shared" si="9"/>
        <v>10.217881848111567</v>
      </c>
      <c r="R16" s="33"/>
      <c r="S16" s="26">
        <f t="shared" si="10"/>
        <v>45558</v>
      </c>
      <c r="T16" s="27">
        <f t="shared" si="105"/>
        <v>2179.8000000000002</v>
      </c>
      <c r="U16" s="1909">
        <f t="shared" si="11"/>
        <v>20.900082576383152</v>
      </c>
      <c r="V16" s="15"/>
      <c r="W16" s="1742">
        <f t="shared" si="12"/>
        <v>19741</v>
      </c>
      <c r="X16" s="5">
        <f t="shared" si="12"/>
        <v>2720</v>
      </c>
      <c r="Y16" s="1909">
        <f t="shared" si="13"/>
        <v>7.2577205882352942</v>
      </c>
      <c r="Z16" s="33"/>
      <c r="AA16" s="26">
        <f t="shared" si="14"/>
        <v>0</v>
      </c>
      <c r="AB16" s="27">
        <f t="shared" si="15"/>
        <v>0</v>
      </c>
      <c r="AC16" s="1909">
        <f t="shared" si="16"/>
        <v>0</v>
      </c>
      <c r="AD16" s="28"/>
      <c r="AE16" s="36"/>
      <c r="AF16" s="36"/>
      <c r="AG16" s="53">
        <f t="shared" si="17"/>
        <v>0</v>
      </c>
      <c r="AH16" s="28"/>
      <c r="AI16" s="23"/>
      <c r="AJ16" s="27"/>
      <c r="AK16" s="53">
        <f t="shared" si="18"/>
        <v>0</v>
      </c>
      <c r="AL16" s="28"/>
      <c r="AM16" s="2629"/>
      <c r="AN16" s="9"/>
      <c r="AO16" s="5"/>
      <c r="AP16" s="61">
        <f t="shared" si="19"/>
        <v>0</v>
      </c>
      <c r="AQ16" s="36"/>
      <c r="AR16" s="53"/>
      <c r="AS16" s="61">
        <f t="shared" si="20"/>
        <v>0</v>
      </c>
      <c r="AT16" s="36">
        <v>0</v>
      </c>
      <c r="AU16" s="27"/>
      <c r="AV16" s="54">
        <f t="shared" si="21"/>
        <v>0</v>
      </c>
      <c r="AW16" s="26">
        <v>51660</v>
      </c>
      <c r="AX16" s="24">
        <v>5386.74</v>
      </c>
      <c r="AY16" s="1735">
        <f t="shared" si="115"/>
        <v>9.590215974782522</v>
      </c>
      <c r="AZ16" s="36"/>
      <c r="BA16" s="27"/>
      <c r="BB16" s="61">
        <f t="shared" si="22"/>
        <v>0</v>
      </c>
      <c r="BC16" s="1740">
        <v>31206</v>
      </c>
      <c r="BD16" s="1926">
        <v>2723.16</v>
      </c>
      <c r="BE16" s="1735">
        <f t="shared" si="23"/>
        <v>11.459480897192968</v>
      </c>
      <c r="BF16" s="36"/>
      <c r="BG16" s="53"/>
      <c r="BH16" s="61">
        <f t="shared" si="24"/>
        <v>0</v>
      </c>
      <c r="BI16" s="36">
        <v>0</v>
      </c>
      <c r="BJ16" s="53">
        <v>0</v>
      </c>
      <c r="BK16" s="61">
        <f t="shared" si="25"/>
        <v>0</v>
      </c>
      <c r="BL16" s="1742">
        <v>45558</v>
      </c>
      <c r="BM16" s="1736">
        <v>2179.8000000000002</v>
      </c>
      <c r="BN16" s="2170"/>
      <c r="BO16" s="1735">
        <f t="shared" si="26"/>
        <v>20.900082576383152</v>
      </c>
      <c r="BP16" s="36">
        <v>0</v>
      </c>
      <c r="BQ16" s="49">
        <v>0</v>
      </c>
      <c r="BR16" s="1735">
        <f t="shared" si="27"/>
        <v>0</v>
      </c>
      <c r="BS16" s="36"/>
      <c r="BT16" s="53"/>
      <c r="BU16" s="61">
        <f t="shared" si="28"/>
        <v>0</v>
      </c>
      <c r="BV16" s="36">
        <v>19741</v>
      </c>
      <c r="BW16" s="27">
        <f t="shared" si="106"/>
        <v>2720</v>
      </c>
      <c r="BX16" s="1906">
        <f t="shared" si="29"/>
        <v>7.2577205882352942</v>
      </c>
      <c r="BY16" s="26"/>
      <c r="BZ16" s="27"/>
      <c r="CA16" s="61">
        <f t="shared" si="30"/>
        <v>0</v>
      </c>
      <c r="CB16" s="36"/>
      <c r="CC16" s="481"/>
      <c r="CD16" s="482">
        <f t="shared" si="31"/>
        <v>0</v>
      </c>
      <c r="CE16" s="4"/>
      <c r="CF16" s="5"/>
      <c r="CG16" s="28">
        <f t="shared" si="32"/>
        <v>0</v>
      </c>
      <c r="CH16" s="150"/>
      <c r="CI16" s="4"/>
      <c r="CJ16" s="5"/>
      <c r="CK16" s="5">
        <v>12222</v>
      </c>
      <c r="CL16" s="5"/>
      <c r="CM16" s="5"/>
      <c r="CN16" s="5">
        <f t="shared" si="33"/>
        <v>12222</v>
      </c>
      <c r="CO16" s="33"/>
      <c r="CP16" s="366"/>
      <c r="CR16" s="4">
        <f t="shared" si="34"/>
        <v>0</v>
      </c>
      <c r="CS16" s="9">
        <f t="shared" si="34"/>
        <v>0</v>
      </c>
      <c r="CT16" s="5">
        <f t="shared" si="34"/>
        <v>0</v>
      </c>
      <c r="CU16" s="5">
        <f t="shared" si="34"/>
        <v>0</v>
      </c>
      <c r="CV16" s="5">
        <f t="shared" si="34"/>
        <v>0</v>
      </c>
      <c r="CW16" s="5">
        <f t="shared" si="34"/>
        <v>0</v>
      </c>
      <c r="CX16" s="5">
        <f t="shared" si="34"/>
        <v>142.13999999999999</v>
      </c>
      <c r="CY16" s="5">
        <f t="shared" si="34"/>
        <v>0</v>
      </c>
      <c r="CZ16" s="5">
        <f t="shared" si="34"/>
        <v>10182.720000000001</v>
      </c>
      <c r="DA16" s="5">
        <f t="shared" si="34"/>
        <v>0</v>
      </c>
      <c r="DB16" s="5">
        <f t="shared" si="34"/>
        <v>2532.42</v>
      </c>
      <c r="DC16" s="12">
        <f t="shared" si="34"/>
        <v>0</v>
      </c>
      <c r="DD16" s="310">
        <f t="shared" si="35"/>
        <v>13009.7</v>
      </c>
      <c r="DE16" s="2695"/>
      <c r="DF16" s="8"/>
      <c r="DG16" s="9"/>
      <c r="DH16" s="5"/>
      <c r="DI16" s="5"/>
      <c r="DJ16" s="5"/>
      <c r="DK16" s="5"/>
      <c r="DL16" s="3">
        <v>142.13999999999999</v>
      </c>
      <c r="DM16" s="5"/>
      <c r="DN16" s="3">
        <v>5092.18</v>
      </c>
      <c r="DO16" s="5"/>
      <c r="DP16" s="3">
        <v>0</v>
      </c>
      <c r="DQ16" s="12"/>
      <c r="DR16" s="1906">
        <f t="shared" si="36"/>
        <v>5234.3200000000006</v>
      </c>
      <c r="DS16" s="36"/>
      <c r="DT16" s="36"/>
      <c r="DU16" s="27"/>
      <c r="DV16" s="27"/>
      <c r="DW16" s="5"/>
      <c r="DX16" s="5"/>
      <c r="DY16" s="5"/>
      <c r="DZ16" s="5"/>
      <c r="EA16" s="3">
        <v>4390.5400000000009</v>
      </c>
      <c r="EB16" s="53"/>
      <c r="EC16" s="24">
        <v>512.41999999999996</v>
      </c>
      <c r="ED16" s="33"/>
      <c r="EE16" s="28">
        <f t="shared" si="37"/>
        <v>4902.9600000000009</v>
      </c>
      <c r="EF16" s="9"/>
      <c r="EG16" s="9"/>
      <c r="EH16" s="5"/>
      <c r="EI16" s="492"/>
      <c r="EJ16" s="27"/>
      <c r="EK16" s="27"/>
      <c r="EL16" s="27"/>
      <c r="EM16" s="27"/>
      <c r="EN16" s="5">
        <v>700</v>
      </c>
      <c r="EO16" s="5"/>
      <c r="EP16" s="5">
        <v>2020</v>
      </c>
      <c r="EQ16" s="33"/>
      <c r="ER16" s="28">
        <f t="shared" si="38"/>
        <v>2720</v>
      </c>
      <c r="ES16" s="36"/>
      <c r="ET16" s="27"/>
      <c r="EU16" s="27"/>
      <c r="EV16" s="27"/>
      <c r="EW16" s="27"/>
      <c r="EX16" s="27"/>
      <c r="EY16" s="33">
        <f t="shared" si="39"/>
        <v>0</v>
      </c>
      <c r="EZ16" s="2685"/>
      <c r="FB16" s="4">
        <f t="shared" si="40"/>
        <v>0</v>
      </c>
      <c r="FC16" s="5">
        <f t="shared" si="41"/>
        <v>0</v>
      </c>
      <c r="FD16" s="5">
        <f t="shared" si="42"/>
        <v>0</v>
      </c>
      <c r="FE16" s="12">
        <f t="shared" si="43"/>
        <v>0</v>
      </c>
      <c r="FF16" s="33"/>
      <c r="FG16" s="2674"/>
      <c r="FH16" s="9"/>
      <c r="FI16" s="5"/>
      <c r="FJ16" s="5"/>
      <c r="FK16" s="5"/>
      <c r="FL16" s="5"/>
      <c r="FM16" s="27"/>
      <c r="FN16" s="28">
        <f t="shared" si="44"/>
        <v>0</v>
      </c>
      <c r="FO16" s="36"/>
      <c r="FP16" s="27"/>
      <c r="FQ16" s="27"/>
      <c r="FR16" s="27"/>
      <c r="FS16" s="27"/>
      <c r="FT16" s="27"/>
      <c r="FU16" s="28">
        <f t="shared" si="45"/>
        <v>0</v>
      </c>
      <c r="FV16" s="36"/>
      <c r="FW16" s="36"/>
      <c r="FX16" s="27"/>
      <c r="FY16" s="27"/>
      <c r="FZ16" s="27"/>
      <c r="GA16" s="27"/>
      <c r="GB16" s="27"/>
      <c r="GC16" s="27"/>
      <c r="GD16" s="24">
        <v>0</v>
      </c>
      <c r="GE16" s="27"/>
      <c r="GF16" s="27"/>
      <c r="GG16" s="33"/>
      <c r="GH16" s="33">
        <f t="shared" si="46"/>
        <v>0</v>
      </c>
      <c r="GI16" s="2674"/>
      <c r="GK16" s="2">
        <f t="shared" si="107"/>
        <v>3640.8500000000004</v>
      </c>
      <c r="GL16" s="63">
        <f t="shared" si="108"/>
        <v>2980.26</v>
      </c>
      <c r="GM16" s="24">
        <f t="shared" si="109"/>
        <v>5657.0600000000013</v>
      </c>
      <c r="GN16" s="1736">
        <f t="shared" si="47"/>
        <v>12278.170000000002</v>
      </c>
      <c r="GO16" s="141"/>
      <c r="GP16" s="141"/>
      <c r="GQ16" s="33"/>
      <c r="GR16" s="2667"/>
      <c r="GS16" s="1739">
        <v>0</v>
      </c>
      <c r="GT16" s="1721">
        <v>561.70000000000005</v>
      </c>
      <c r="GU16" s="1721">
        <v>4793.9700000000012</v>
      </c>
      <c r="GV16" s="1721">
        <v>6922.5000000000009</v>
      </c>
      <c r="GW16" s="1724">
        <v>12278.170000000002</v>
      </c>
      <c r="GX16" s="2667"/>
      <c r="GY16" s="36"/>
      <c r="GZ16" s="36"/>
      <c r="HA16" s="27"/>
      <c r="HB16" s="27"/>
      <c r="HC16" s="27"/>
      <c r="HD16" s="27"/>
      <c r="HE16" s="27"/>
      <c r="HF16" s="27"/>
      <c r="HG16" s="24">
        <v>3079.15</v>
      </c>
      <c r="HH16" s="27"/>
      <c r="HI16" s="24">
        <v>0</v>
      </c>
      <c r="HJ16" s="27"/>
      <c r="HK16" s="24">
        <v>561.70000000000005</v>
      </c>
      <c r="HL16" s="27"/>
      <c r="HM16" s="28">
        <f t="shared" si="48"/>
        <v>3640.8500000000004</v>
      </c>
      <c r="HN16" s="36"/>
      <c r="HO16" s="27"/>
      <c r="HP16" s="27"/>
      <c r="HQ16" s="27"/>
      <c r="HR16" s="27"/>
      <c r="HS16" s="27"/>
      <c r="HT16" s="27">
        <f t="array" ref="HT16">SUMPRODUCT(('Data Base hauling'!$C$2:$C$2000="TCM-ROM SB1 BK05-ROM 4")*(ISNUMBER(SEARCH(TEXT('July TCM'!$B16,"00")&amp;"/03/2026",'Data Base hauling'!$E$2:$E$2000)))*'Data Base hauling'!$N$2:$N$2000)</f>
        <v>0</v>
      </c>
      <c r="HU16" s="27"/>
      <c r="HV16" s="27">
        <f t="array" ref="HV16">SUMPRODUCT(('Data Base hauling'!$C$2:$C$2000="TCM-ROM SB1 BK05-ROM 5")*(ISNUMBER(SEARCH(TEXT('July TCM'!$B16,"00")&amp;"/03/2026",'Data Base hauling'!$E$2:$E$2000)))*'Data Base hauling'!$N$2:$N$2000)</f>
        <v>0</v>
      </c>
      <c r="HW16" s="27"/>
      <c r="HX16" s="27"/>
      <c r="HY16" s="27"/>
      <c r="HZ16" s="27"/>
      <c r="IA16" s="27"/>
      <c r="IB16" s="33">
        <f t="shared" si="49"/>
        <v>0</v>
      </c>
      <c r="IC16" s="52"/>
      <c r="ID16" s="152"/>
      <c r="IE16" s="53"/>
      <c r="IF16" s="53"/>
      <c r="IG16" s="53"/>
      <c r="IH16" s="53"/>
      <c r="II16" s="1926">
        <v>0</v>
      </c>
      <c r="IJ16" s="1736"/>
      <c r="IK16" s="1926">
        <v>2980.26</v>
      </c>
      <c r="IL16" s="53"/>
      <c r="IM16" s="49">
        <v>0</v>
      </c>
      <c r="IN16" s="53"/>
      <c r="IO16" s="53"/>
      <c r="IP16" s="49">
        <v>0</v>
      </c>
      <c r="IQ16" s="2195">
        <f t="shared" si="50"/>
        <v>2980.26</v>
      </c>
      <c r="IR16" s="36"/>
      <c r="IS16" s="36"/>
      <c r="IT16" s="27"/>
      <c r="IU16" s="27"/>
      <c r="IV16" s="53"/>
      <c r="IW16" s="27"/>
      <c r="IX16" s="24">
        <v>0</v>
      </c>
      <c r="IY16" s="27"/>
      <c r="IZ16" s="24">
        <v>5657.0600000000013</v>
      </c>
      <c r="JA16" s="27"/>
      <c r="JB16" s="24">
        <v>0</v>
      </c>
      <c r="JC16" s="27"/>
      <c r="JD16" s="27"/>
      <c r="JE16" s="27"/>
      <c r="JF16" s="54">
        <f t="shared" si="116"/>
        <v>5657.0600000000013</v>
      </c>
      <c r="JG16" s="2667"/>
      <c r="JI16" s="2014">
        <v>12278.169999999998</v>
      </c>
      <c r="JJ16" s="2015">
        <v>0</v>
      </c>
      <c r="JK16" s="53"/>
      <c r="JL16" s="1736">
        <f t="shared" si="52"/>
        <v>12278.169999999998</v>
      </c>
      <c r="JM16" s="33"/>
      <c r="JN16" s="2669"/>
      <c r="JO16" s="66">
        <v>0</v>
      </c>
      <c r="JP16" s="67">
        <v>0</v>
      </c>
      <c r="JQ16" s="67">
        <v>0</v>
      </c>
      <c r="JR16" s="67">
        <v>0</v>
      </c>
      <c r="JS16" s="67">
        <v>0.9542521401804992</v>
      </c>
      <c r="JT16" s="67">
        <v>0</v>
      </c>
      <c r="JU16" s="67">
        <v>4.5747859819500802E-2</v>
      </c>
      <c r="JV16" s="1921">
        <v>0</v>
      </c>
      <c r="JW16" s="66" t="s">
        <v>296</v>
      </c>
      <c r="JX16" s="67" t="s">
        <v>296</v>
      </c>
      <c r="JY16" s="67" t="s">
        <v>296</v>
      </c>
      <c r="JZ16" s="67" t="s">
        <v>296</v>
      </c>
      <c r="KA16" s="67" t="s">
        <v>296</v>
      </c>
      <c r="KB16" s="67" t="s">
        <v>296</v>
      </c>
      <c r="KC16" s="67" t="s">
        <v>296</v>
      </c>
      <c r="KD16" s="68" t="s">
        <v>296</v>
      </c>
      <c r="KE16" s="21"/>
      <c r="KF16" s="70"/>
      <c r="KG16" s="70"/>
      <c r="KH16" s="70"/>
      <c r="KI16" s="70"/>
      <c r="KJ16" s="70"/>
      <c r="KK16" s="70"/>
      <c r="KL16" s="70"/>
      <c r="KM16" s="33"/>
      <c r="KN16" s="2669"/>
      <c r="KO16" s="2203">
        <v>7232.574789915966</v>
      </c>
      <c r="KP16" s="1721">
        <v>0.70745378151260507</v>
      </c>
      <c r="KQ16" s="1721">
        <v>3.2126386554621851</v>
      </c>
      <c r="KR16" s="1721">
        <v>5.4600336134453782</v>
      </c>
      <c r="KS16" s="1722">
        <v>8.6420751756302518</v>
      </c>
      <c r="KT16" s="1958">
        <v>0</v>
      </c>
      <c r="KU16" s="1961">
        <v>0</v>
      </c>
      <c r="KV16" s="1961">
        <v>0</v>
      </c>
      <c r="KW16" s="1961">
        <v>0</v>
      </c>
      <c r="KX16" s="1962">
        <v>0</v>
      </c>
      <c r="KY16" s="36"/>
      <c r="KZ16" s="53"/>
      <c r="LA16" s="53"/>
      <c r="LB16" s="53"/>
      <c r="LC16" s="53"/>
      <c r="LD16" s="33"/>
      <c r="LE16" s="2669"/>
      <c r="LG16" s="1121">
        <f t="shared" si="53"/>
        <v>0</v>
      </c>
      <c r="LH16" s="280">
        <f t="shared" si="53"/>
        <v>0</v>
      </c>
      <c r="LI16" s="280">
        <f t="shared" si="53"/>
        <v>0</v>
      </c>
      <c r="LJ16" s="844">
        <f t="shared" si="54"/>
        <v>0</v>
      </c>
      <c r="LK16" s="36"/>
      <c r="LL16" s="27"/>
      <c r="LM16" s="27">
        <v>10</v>
      </c>
      <c r="LN16" s="33"/>
      <c r="LO16" s="1041">
        <v>4.7300000000000004</v>
      </c>
      <c r="LP16" s="486"/>
      <c r="LQ16" s="2688"/>
      <c r="LR16" s="867"/>
      <c r="LS16" s="27"/>
      <c r="LT16" s="27"/>
      <c r="LU16" s="27"/>
      <c r="LV16" s="27"/>
      <c r="LW16" s="1117">
        <f t="shared" si="55"/>
        <v>0</v>
      </c>
      <c r="LX16" s="36"/>
      <c r="LY16" s="36"/>
      <c r="LZ16" s="27"/>
      <c r="MA16" s="27"/>
      <c r="MB16" s="33"/>
      <c r="MC16" s="28">
        <f t="shared" si="56"/>
        <v>0</v>
      </c>
      <c r="MD16" s="36"/>
      <c r="ME16" s="36"/>
      <c r="MF16" s="27"/>
      <c r="MG16" s="27"/>
      <c r="MH16" s="33"/>
      <c r="MI16" s="28"/>
      <c r="MJ16" s="36"/>
      <c r="MK16" s="36"/>
      <c r="ML16" s="27"/>
      <c r="MM16" s="27"/>
      <c r="MN16" s="27"/>
      <c r="MO16" s="28"/>
      <c r="MP16" s="36"/>
      <c r="MQ16" s="36"/>
      <c r="MR16" s="27"/>
      <c r="MS16" s="27"/>
      <c r="MT16" s="27"/>
      <c r="MU16" s="33">
        <f t="shared" si="57"/>
        <v>0</v>
      </c>
      <c r="MV16" s="2688"/>
      <c r="MX16" s="26">
        <f t="shared" si="58"/>
        <v>228376.41568725475</v>
      </c>
      <c r="MY16" s="27">
        <f t="shared" si="59"/>
        <v>230992.340792573</v>
      </c>
      <c r="MZ16" s="27">
        <f t="shared" si="60"/>
        <v>21320.395210117309</v>
      </c>
      <c r="NA16" s="28">
        <f t="shared" si="61"/>
        <v>329517.05760219001</v>
      </c>
      <c r="NB16" s="2621"/>
      <c r="NC16" s="23">
        <f t="shared" si="62"/>
        <v>138104.10485483872</v>
      </c>
      <c r="ND16" s="1655">
        <f t="shared" si="63"/>
        <v>90272.310832416028</v>
      </c>
      <c r="NE16" s="60">
        <f t="shared" si="64"/>
        <v>0</v>
      </c>
      <c r="NF16" s="275">
        <f t="shared" si="4"/>
        <v>228376.41568725475</v>
      </c>
      <c r="NG16" s="26">
        <f t="shared" si="65"/>
        <v>0</v>
      </c>
      <c r="NH16" s="27">
        <f t="shared" si="65"/>
        <v>0</v>
      </c>
      <c r="NI16" s="27">
        <f t="shared" si="65"/>
        <v>0</v>
      </c>
      <c r="NJ16" s="27">
        <f t="shared" si="65"/>
        <v>0</v>
      </c>
      <c r="NK16" s="27">
        <f t="shared" si="65"/>
        <v>0</v>
      </c>
      <c r="NL16" s="33">
        <f t="shared" si="65"/>
        <v>0</v>
      </c>
      <c r="NM16" s="27">
        <f t="shared" si="65"/>
        <v>0</v>
      </c>
      <c r="NN16" s="36">
        <f t="shared" si="65"/>
        <v>0</v>
      </c>
      <c r="NO16" s="24">
        <f t="shared" si="65"/>
        <v>14204.050671164177</v>
      </c>
      <c r="NP16" s="27">
        <f t="shared" si="65"/>
        <v>24549.88002237798</v>
      </c>
      <c r="NQ16" s="24">
        <f t="shared" si="110"/>
        <v>8756.5482322711578</v>
      </c>
      <c r="NR16" s="24">
        <f t="shared" si="111"/>
        <v>17273.851351487181</v>
      </c>
      <c r="NS16" s="27">
        <f t="shared" si="0"/>
        <v>64784.330277300491</v>
      </c>
      <c r="NT16" s="27">
        <f t="shared" si="66"/>
        <v>0</v>
      </c>
      <c r="NU16" s="27">
        <f t="shared" si="66"/>
        <v>0</v>
      </c>
      <c r="NV16" s="27">
        <f t="shared" si="66"/>
        <v>0</v>
      </c>
      <c r="NW16" s="27">
        <f t="shared" si="66"/>
        <v>0</v>
      </c>
      <c r="NX16" s="27">
        <f t="shared" si="66"/>
        <v>0</v>
      </c>
      <c r="NY16" s="27">
        <f t="shared" si="66"/>
        <v>0</v>
      </c>
      <c r="NZ16" s="27">
        <f t="shared" si="66"/>
        <v>15083.628814178834</v>
      </c>
      <c r="OA16" s="27">
        <f t="shared" si="66"/>
        <v>0</v>
      </c>
      <c r="OB16" s="27">
        <f t="shared" si="66"/>
        <v>91936.939365972576</v>
      </c>
      <c r="OC16" s="280"/>
      <c r="OD16" s="24">
        <f t="shared" si="67"/>
        <v>0</v>
      </c>
      <c r="OE16" s="27">
        <f t="shared" si="67"/>
        <v>0</v>
      </c>
      <c r="OF16" s="28">
        <f t="shared" si="1"/>
        <v>107020.56818015141</v>
      </c>
      <c r="OG16" s="27">
        <f t="shared" si="68"/>
        <v>0</v>
      </c>
      <c r="OH16" s="27">
        <f t="shared" si="68"/>
        <v>0</v>
      </c>
      <c r="OI16" s="27">
        <f t="shared" si="68"/>
        <v>0</v>
      </c>
      <c r="OJ16" s="27">
        <f t="shared" si="68"/>
        <v>0</v>
      </c>
      <c r="OK16" s="27">
        <f t="shared" si="68"/>
        <v>0</v>
      </c>
      <c r="OL16" s="27">
        <f t="shared" si="68"/>
        <v>0</v>
      </c>
      <c r="OM16" s="24">
        <v>0</v>
      </c>
      <c r="ON16" s="27">
        <f t="shared" si="68"/>
        <v>0</v>
      </c>
      <c r="OO16" s="24">
        <f t="shared" si="118"/>
        <v>35736.215076326247</v>
      </c>
      <c r="OP16" s="27">
        <f t="shared" si="68"/>
        <v>0</v>
      </c>
      <c r="OQ16" s="24">
        <f t="shared" si="68"/>
        <v>23451.227258794843</v>
      </c>
      <c r="OR16" s="27">
        <f t="shared" si="68"/>
        <v>0</v>
      </c>
      <c r="OS16" s="28">
        <f t="shared" si="2"/>
        <v>59187.442335121086</v>
      </c>
      <c r="OT16" s="36"/>
      <c r="OU16" s="27"/>
      <c r="OV16" s="27"/>
      <c r="OW16" s="27"/>
      <c r="OX16" s="27"/>
      <c r="OY16" s="27"/>
      <c r="OZ16" s="28">
        <f t="shared" si="69"/>
        <v>0</v>
      </c>
      <c r="PA16" s="36">
        <f t="shared" si="70"/>
        <v>0</v>
      </c>
      <c r="PB16" s="27">
        <f t="shared" si="71"/>
        <v>0</v>
      </c>
      <c r="PC16" s="27">
        <f t="shared" si="72"/>
        <v>0</v>
      </c>
      <c r="PD16" s="27">
        <f t="shared" si="73"/>
        <v>0</v>
      </c>
      <c r="PE16" s="24"/>
      <c r="PF16" s="27">
        <f t="shared" si="74"/>
        <v>0</v>
      </c>
      <c r="PG16" s="33">
        <f t="shared" si="3"/>
        <v>0</v>
      </c>
      <c r="PH16" s="2621"/>
      <c r="PJ16" s="1907">
        <v>1189.1399999999999</v>
      </c>
      <c r="PK16" s="1101">
        <v>686</v>
      </c>
      <c r="PL16" s="1101">
        <v>196</v>
      </c>
      <c r="PM16" s="3">
        <v>561.70000000000005</v>
      </c>
      <c r="PN16" s="3">
        <f t="shared" si="75"/>
        <v>30852.463504658717</v>
      </c>
      <c r="PO16" s="11">
        <f t="shared" si="76"/>
        <v>21320.395210117309</v>
      </c>
      <c r="PP16" s="15"/>
      <c r="PQ16" s="2615"/>
      <c r="PS16" s="4"/>
      <c r="PT16" s="9"/>
      <c r="PU16" s="9"/>
      <c r="PV16" s="9"/>
      <c r="PW16" s="8">
        <v>152.41999999999999</v>
      </c>
      <c r="PX16" s="9"/>
      <c r="PY16" s="8">
        <f t="shared" si="77"/>
        <v>152.41999999999999</v>
      </c>
      <c r="PZ16" s="5">
        <f t="shared" si="78"/>
        <v>1189.1399999999999</v>
      </c>
      <c r="QA16" s="5"/>
      <c r="QB16" s="5"/>
      <c r="QC16" s="5"/>
      <c r="QD16" s="5"/>
      <c r="QE16" s="5"/>
      <c r="QF16" s="12"/>
      <c r="QG16" s="12">
        <f t="shared" si="79"/>
        <v>29562.488999999998</v>
      </c>
      <c r="QH16" s="420">
        <f t="shared" si="80"/>
        <v>297734.61180819001</v>
      </c>
      <c r="QI16" s="1106">
        <f t="shared" si="113"/>
        <v>2219.9567940000002</v>
      </c>
      <c r="QJ16" s="484">
        <f t="shared" si="81"/>
        <v>5505.3678056099998</v>
      </c>
      <c r="QK16" s="12"/>
      <c r="QL16" s="2615"/>
      <c r="QN16" s="139">
        <f t="shared" si="82"/>
        <v>0</v>
      </c>
      <c r="QO16" s="139" t="str">
        <f t="shared" si="83"/>
        <v/>
      </c>
      <c r="QQ16" s="139">
        <f t="shared" si="84"/>
        <v>0</v>
      </c>
      <c r="QR16" s="139">
        <f t="shared" si="85"/>
        <v>0</v>
      </c>
      <c r="QT16" s="1">
        <f t="shared" si="86"/>
        <v>0</v>
      </c>
      <c r="QU16" s="1">
        <f t="shared" si="87"/>
        <v>0</v>
      </c>
      <c r="QV16" s="1">
        <f t="shared" si="88"/>
        <v>0</v>
      </c>
      <c r="QW16" s="1">
        <f t="shared" si="89"/>
        <v>0</v>
      </c>
      <c r="QX16" s="1">
        <f t="shared" si="90"/>
        <v>0</v>
      </c>
      <c r="QY16" s="1">
        <f t="shared" si="91"/>
        <v>0</v>
      </c>
      <c r="RA16" s="1">
        <f t="shared" si="92"/>
        <v>0</v>
      </c>
      <c r="RB16" s="1">
        <f t="shared" si="93"/>
        <v>0</v>
      </c>
      <c r="RC16" s="1">
        <f t="shared" si="94"/>
        <v>0</v>
      </c>
      <c r="RD16" s="1">
        <f t="shared" si="95"/>
        <v>0</v>
      </c>
      <c r="RE16" s="1">
        <f t="shared" si="96"/>
        <v>0</v>
      </c>
      <c r="RF16" s="1">
        <f t="shared" si="97"/>
        <v>0</v>
      </c>
      <c r="RI16" s="1">
        <v>7</v>
      </c>
      <c r="RJ16" s="1">
        <f t="shared" si="98"/>
        <v>80793.231751083164</v>
      </c>
      <c r="RK16" s="1">
        <f t="shared" si="98"/>
        <v>-6495.6664501377199</v>
      </c>
      <c r="RL16" s="1">
        <f t="shared" si="98"/>
        <v>9178.5689913333827</v>
      </c>
      <c r="RM16" s="89">
        <f t="shared" si="5"/>
        <v>83476.134292278817</v>
      </c>
      <c r="RN16" s="1033">
        <v>7</v>
      </c>
      <c r="RO16" s="1098">
        <v>0</v>
      </c>
      <c r="RP16" s="1098">
        <f t="shared" si="99"/>
        <v>152.41999999999999</v>
      </c>
      <c r="RQ16" s="1097">
        <f t="shared" si="99"/>
        <v>0</v>
      </c>
      <c r="RR16" s="1097">
        <f t="shared" si="114"/>
        <v>10289.700000000001</v>
      </c>
      <c r="RS16" s="1094"/>
      <c r="RT16" s="1094" t="s">
        <v>1022</v>
      </c>
      <c r="RW16" s="421">
        <v>7</v>
      </c>
      <c r="RX16" s="1095">
        <f t="shared" si="100"/>
        <v>12278.170000000002</v>
      </c>
      <c r="RY16" s="1094" t="s">
        <v>1023</v>
      </c>
      <c r="SA16" s="1090"/>
      <c r="SB16" s="1090">
        <f t="shared" si="101"/>
        <v>-152.41999999999825</v>
      </c>
      <c r="SC16" s="1090"/>
      <c r="SD16" s="1090">
        <f t="shared" si="102"/>
        <v>0</v>
      </c>
      <c r="SF16" s="1">
        <v>7</v>
      </c>
      <c r="SG16" s="1">
        <f t="shared" si="103"/>
        <v>561.70000000000005</v>
      </c>
      <c r="SH16" s="1094" t="s">
        <v>1024</v>
      </c>
    </row>
    <row r="17" spans="1:502" s="1" customFormat="1">
      <c r="B17" s="471">
        <v>8</v>
      </c>
      <c r="C17" s="4">
        <f t="shared" si="6"/>
        <v>157653</v>
      </c>
      <c r="D17" s="1590">
        <f t="shared" ref="D17:D39" si="119">P17+T17+X17+AB17</f>
        <v>13130.810000000001</v>
      </c>
      <c r="E17" s="1895">
        <f t="shared" si="7"/>
        <v>12.006342335316708</v>
      </c>
      <c r="F17" s="870"/>
      <c r="G17" s="870"/>
      <c r="H17" s="52"/>
      <c r="I17" s="61"/>
      <c r="J17" s="52"/>
      <c r="K17" s="54"/>
      <c r="L17" s="52"/>
      <c r="M17" s="61"/>
      <c r="N17" s="2629"/>
      <c r="O17" s="4">
        <f t="shared" si="117"/>
        <v>96852</v>
      </c>
      <c r="P17" s="1225">
        <f t="shared" si="8"/>
        <v>8642.8100000000013</v>
      </c>
      <c r="Q17" s="1913">
        <f t="shared" si="9"/>
        <v>11.206077652985543</v>
      </c>
      <c r="R17" s="33"/>
      <c r="S17" s="26">
        <f t="shared" si="10"/>
        <v>43927</v>
      </c>
      <c r="T17" s="27">
        <f t="shared" si="105"/>
        <v>2288</v>
      </c>
      <c r="U17" s="1909">
        <f t="shared" si="11"/>
        <v>19.198863636363637</v>
      </c>
      <c r="W17" s="1742">
        <f t="shared" si="12"/>
        <v>16874</v>
      </c>
      <c r="X17" s="5">
        <f t="shared" si="12"/>
        <v>2200</v>
      </c>
      <c r="Y17" s="1909">
        <f t="shared" si="13"/>
        <v>7.67</v>
      </c>
      <c r="Z17" s="33"/>
      <c r="AA17" s="26">
        <f t="shared" si="14"/>
        <v>0</v>
      </c>
      <c r="AB17" s="27">
        <f t="shared" si="15"/>
        <v>0</v>
      </c>
      <c r="AC17" s="1909">
        <f t="shared" si="16"/>
        <v>0</v>
      </c>
      <c r="AD17" s="28"/>
      <c r="AE17" s="36"/>
      <c r="AF17" s="36"/>
      <c r="AG17" s="53">
        <f t="shared" si="17"/>
        <v>0</v>
      </c>
      <c r="AH17" s="28"/>
      <c r="AI17" s="26"/>
      <c r="AJ17" s="27"/>
      <c r="AK17" s="53">
        <f t="shared" si="18"/>
        <v>0</v>
      </c>
      <c r="AL17" s="28"/>
      <c r="AM17" s="2629"/>
      <c r="AN17" s="9"/>
      <c r="AO17" s="5"/>
      <c r="AP17" s="61">
        <f t="shared" si="19"/>
        <v>0</v>
      </c>
      <c r="AQ17" s="36"/>
      <c r="AR17" s="53"/>
      <c r="AS17" s="61">
        <f t="shared" si="20"/>
        <v>0</v>
      </c>
      <c r="AT17" s="36">
        <v>0</v>
      </c>
      <c r="AU17" s="27"/>
      <c r="AV17" s="54">
        <f t="shared" si="21"/>
        <v>0</v>
      </c>
      <c r="AW17" s="26">
        <v>50316</v>
      </c>
      <c r="AX17" s="24">
        <v>5839.43</v>
      </c>
      <c r="AY17" s="1735">
        <f t="shared" si="115"/>
        <v>8.6165944278808038</v>
      </c>
      <c r="AZ17" s="36"/>
      <c r="BA17" s="27"/>
      <c r="BB17" s="61">
        <f t="shared" si="22"/>
        <v>0</v>
      </c>
      <c r="BC17" s="1740">
        <v>46536</v>
      </c>
      <c r="BD17" s="1926">
        <v>2803.38</v>
      </c>
      <c r="BE17" s="1735">
        <f t="shared" si="23"/>
        <v>16.599961475076515</v>
      </c>
      <c r="BF17" s="36"/>
      <c r="BG17" s="53"/>
      <c r="BH17" s="61">
        <f t="shared" si="24"/>
        <v>0</v>
      </c>
      <c r="BI17" s="36">
        <v>0</v>
      </c>
      <c r="BJ17" s="53">
        <v>0</v>
      </c>
      <c r="BK17" s="61">
        <f t="shared" si="25"/>
        <v>0</v>
      </c>
      <c r="BL17" s="1742">
        <v>43927</v>
      </c>
      <c r="BM17" s="1736">
        <v>2288</v>
      </c>
      <c r="BN17" s="2170"/>
      <c r="BO17" s="1735">
        <f t="shared" si="26"/>
        <v>19.198863636363637</v>
      </c>
      <c r="BP17" s="36">
        <v>0</v>
      </c>
      <c r="BQ17" s="49">
        <v>0</v>
      </c>
      <c r="BR17" s="1735">
        <f t="shared" si="27"/>
        <v>0</v>
      </c>
      <c r="BS17" s="36"/>
      <c r="BT17" s="53"/>
      <c r="BU17" s="61">
        <f t="shared" si="28"/>
        <v>0</v>
      </c>
      <c r="BV17" s="36">
        <v>16874</v>
      </c>
      <c r="BW17" s="27">
        <f t="shared" si="106"/>
        <v>2200</v>
      </c>
      <c r="BX17" s="1906">
        <f t="shared" si="29"/>
        <v>7.67</v>
      </c>
      <c r="BY17" s="26"/>
      <c r="BZ17" s="27"/>
      <c r="CA17" s="61">
        <f t="shared" si="30"/>
        <v>0</v>
      </c>
      <c r="CB17" s="36"/>
      <c r="CC17" s="481"/>
      <c r="CD17" s="482">
        <f t="shared" si="31"/>
        <v>0</v>
      </c>
      <c r="CE17" s="4"/>
      <c r="CF17" s="5"/>
      <c r="CG17" s="28">
        <f t="shared" si="32"/>
        <v>0</v>
      </c>
      <c r="CH17" s="150"/>
      <c r="CI17" s="4"/>
      <c r="CJ17" s="5"/>
      <c r="CK17" s="5">
        <v>11086</v>
      </c>
      <c r="CL17" s="5"/>
      <c r="CM17" s="5"/>
      <c r="CN17" s="5">
        <f t="shared" si="33"/>
        <v>11086</v>
      </c>
      <c r="CO17" s="33"/>
      <c r="CP17" s="366"/>
      <c r="CR17" s="4">
        <f t="shared" si="34"/>
        <v>0</v>
      </c>
      <c r="CS17" s="9">
        <f t="shared" si="34"/>
        <v>0</v>
      </c>
      <c r="CT17" s="5">
        <f t="shared" si="34"/>
        <v>0</v>
      </c>
      <c r="CU17" s="5">
        <f t="shared" si="34"/>
        <v>0</v>
      </c>
      <c r="CV17" s="5">
        <f t="shared" si="34"/>
        <v>0</v>
      </c>
      <c r="CW17" s="5">
        <f t="shared" si="34"/>
        <v>0</v>
      </c>
      <c r="CX17" s="5">
        <f t="shared" si="34"/>
        <v>1351.12</v>
      </c>
      <c r="CY17" s="5">
        <f t="shared" si="34"/>
        <v>0</v>
      </c>
      <c r="CZ17" s="5">
        <f t="shared" si="34"/>
        <v>10401.77</v>
      </c>
      <c r="DA17" s="5">
        <f t="shared" si="34"/>
        <v>0</v>
      </c>
      <c r="DB17" s="5">
        <f t="shared" si="34"/>
        <v>1377.92</v>
      </c>
      <c r="DC17" s="12">
        <f t="shared" si="34"/>
        <v>0</v>
      </c>
      <c r="DD17" s="310">
        <f t="shared" si="35"/>
        <v>13130.81</v>
      </c>
      <c r="DE17" s="2695"/>
      <c r="DF17" s="8"/>
      <c r="DG17" s="9"/>
      <c r="DH17" s="5"/>
      <c r="DI17" s="5"/>
      <c r="DJ17" s="5"/>
      <c r="DK17" s="5"/>
      <c r="DL17" s="3">
        <v>1351.12</v>
      </c>
      <c r="DM17" s="5"/>
      <c r="DN17" s="3">
        <v>4488.3099999999995</v>
      </c>
      <c r="DO17" s="5"/>
      <c r="DP17" s="3">
        <v>0</v>
      </c>
      <c r="DQ17" s="12"/>
      <c r="DR17" s="1906">
        <f t="shared" si="36"/>
        <v>5839.4299999999994</v>
      </c>
      <c r="DS17" s="36"/>
      <c r="DT17" s="36"/>
      <c r="DU17" s="27"/>
      <c r="DV17" s="27"/>
      <c r="DW17" s="5"/>
      <c r="DX17" s="5"/>
      <c r="DY17" s="5"/>
      <c r="DZ17" s="5"/>
      <c r="EA17" s="3">
        <v>3713.46</v>
      </c>
      <c r="EB17" s="53"/>
      <c r="EC17" s="24">
        <v>1377.92</v>
      </c>
      <c r="ED17" s="33"/>
      <c r="EE17" s="28">
        <f t="shared" si="37"/>
        <v>5091.38</v>
      </c>
      <c r="EF17" s="9"/>
      <c r="EG17" s="9"/>
      <c r="EH17" s="5"/>
      <c r="EI17" s="492"/>
      <c r="EJ17" s="27"/>
      <c r="EK17" s="27"/>
      <c r="EL17" s="27"/>
      <c r="EM17" s="27"/>
      <c r="EN17" s="5">
        <v>2200</v>
      </c>
      <c r="EO17" s="5"/>
      <c r="EP17" s="5"/>
      <c r="EQ17" s="33"/>
      <c r="ER17" s="28">
        <f t="shared" si="38"/>
        <v>2200</v>
      </c>
      <c r="ES17" s="36"/>
      <c r="ET17" s="27"/>
      <c r="EU17" s="27"/>
      <c r="EV17" s="27"/>
      <c r="EW17" s="27"/>
      <c r="EX17" s="27"/>
      <c r="EY17" s="33">
        <f t="shared" si="39"/>
        <v>0</v>
      </c>
      <c r="EZ17" s="2685"/>
      <c r="FB17" s="4">
        <f t="shared" si="40"/>
        <v>0</v>
      </c>
      <c r="FC17" s="5">
        <f t="shared" si="41"/>
        <v>0</v>
      </c>
      <c r="FD17" s="5">
        <f t="shared" si="42"/>
        <v>0</v>
      </c>
      <c r="FE17" s="12">
        <f t="shared" si="43"/>
        <v>0</v>
      </c>
      <c r="FF17" s="33"/>
      <c r="FG17" s="2674"/>
      <c r="FH17" s="9"/>
      <c r="FI17" s="5"/>
      <c r="FJ17" s="5"/>
      <c r="FK17" s="5"/>
      <c r="FL17" s="5"/>
      <c r="FM17" s="27"/>
      <c r="FN17" s="28">
        <f t="shared" si="44"/>
        <v>0</v>
      </c>
      <c r="FO17" s="36"/>
      <c r="FP17" s="27"/>
      <c r="FQ17" s="27"/>
      <c r="FR17" s="27"/>
      <c r="FS17" s="27"/>
      <c r="FT17" s="27"/>
      <c r="FU17" s="28">
        <f t="shared" si="45"/>
        <v>0</v>
      </c>
      <c r="FV17" s="36"/>
      <c r="FW17" s="36"/>
      <c r="FX17" s="27"/>
      <c r="FY17" s="27"/>
      <c r="FZ17" s="27"/>
      <c r="GA17" s="27"/>
      <c r="GB17" s="27"/>
      <c r="GC17" s="27"/>
      <c r="GD17" s="24">
        <v>0</v>
      </c>
      <c r="GE17" s="27"/>
      <c r="GF17" s="27"/>
      <c r="GG17" s="33"/>
      <c r="GH17" s="33">
        <f t="shared" si="46"/>
        <v>0</v>
      </c>
      <c r="GI17" s="2674"/>
      <c r="GK17" s="2">
        <f t="shared" si="107"/>
        <v>3571.79</v>
      </c>
      <c r="GL17" s="63">
        <f t="shared" si="108"/>
        <v>3636.5599999999995</v>
      </c>
      <c r="GM17" s="24">
        <f t="shared" si="109"/>
        <v>4767.8099999999995</v>
      </c>
      <c r="GN17" s="1736">
        <f t="shared" si="47"/>
        <v>11976.16</v>
      </c>
      <c r="GO17" s="141"/>
      <c r="GP17" s="141"/>
      <c r="GQ17" s="33"/>
      <c r="GR17" s="2667"/>
      <c r="GS17" s="1739">
        <v>0</v>
      </c>
      <c r="GT17" s="1721">
        <v>398.7</v>
      </c>
      <c r="GU17" s="1721">
        <v>4953.09</v>
      </c>
      <c r="GV17" s="1721">
        <v>6624.369999999999</v>
      </c>
      <c r="GW17" s="54">
        <v>11976.16</v>
      </c>
      <c r="GX17" s="2667"/>
      <c r="GY17" s="36"/>
      <c r="GZ17" s="36"/>
      <c r="HA17" s="27"/>
      <c r="HB17" s="27"/>
      <c r="HC17" s="27"/>
      <c r="HD17" s="27"/>
      <c r="HE17" s="27"/>
      <c r="HF17" s="27"/>
      <c r="HG17" s="24">
        <v>3173.09</v>
      </c>
      <c r="HH17" s="27"/>
      <c r="HI17" s="24">
        <v>0</v>
      </c>
      <c r="HJ17" s="27"/>
      <c r="HK17" s="24">
        <v>398.7</v>
      </c>
      <c r="HL17" s="27"/>
      <c r="HM17" s="28">
        <f>SUM(GY17:HL17)</f>
        <v>3571.79</v>
      </c>
      <c r="HN17" s="36"/>
      <c r="HO17" s="27"/>
      <c r="HP17" s="27"/>
      <c r="HQ17" s="27"/>
      <c r="HR17" s="27"/>
      <c r="HS17" s="27"/>
      <c r="HT17" s="27">
        <f t="array" ref="HT17">SUMPRODUCT(('Data Base hauling'!$C$2:$C$2000="TCM-ROM SB1 BK05-ROM 4")*(ISNUMBER(SEARCH(TEXT('July TCM'!$B17,"00")&amp;"/03/2026",'Data Base hauling'!$E$2:$E$2000)))*'Data Base hauling'!$N$2:$N$2000)</f>
        <v>0</v>
      </c>
      <c r="HU17" s="27"/>
      <c r="HV17" s="27">
        <f t="array" ref="HV17">SUMPRODUCT(('Data Base hauling'!$C$2:$C$2000="TCM-ROM SB1 BK05-ROM 5")*(ISNUMBER(SEARCH(TEXT('July TCM'!$B17,"00")&amp;"/03/2026",'Data Base hauling'!$E$2:$E$2000)))*'Data Base hauling'!$N$2:$N$2000)</f>
        <v>0</v>
      </c>
      <c r="HW17" s="27"/>
      <c r="HX17" s="27"/>
      <c r="HY17" s="27"/>
      <c r="HZ17" s="27"/>
      <c r="IA17" s="27"/>
      <c r="IB17" s="33">
        <f t="shared" si="49"/>
        <v>0</v>
      </c>
      <c r="IC17" s="52"/>
      <c r="ID17" s="152"/>
      <c r="IE17" s="53"/>
      <c r="IF17" s="53"/>
      <c r="IG17" s="64"/>
      <c r="IH17" s="64"/>
      <c r="II17" s="1926">
        <v>0</v>
      </c>
      <c r="IJ17" s="1590"/>
      <c r="IK17" s="1926">
        <v>3636.5599999999995</v>
      </c>
      <c r="IL17" s="53"/>
      <c r="IM17" s="49">
        <v>0</v>
      </c>
      <c r="IN17" s="53"/>
      <c r="IO17" s="53"/>
      <c r="IP17" s="49">
        <v>0</v>
      </c>
      <c r="IQ17" s="2195">
        <f>SUM(IC17:IP17)</f>
        <v>3636.5599999999995</v>
      </c>
      <c r="IR17" s="36"/>
      <c r="IS17" s="36"/>
      <c r="IT17" s="27"/>
      <c r="IU17" s="27"/>
      <c r="IV17" s="53"/>
      <c r="IW17" s="27"/>
      <c r="IX17" s="24">
        <v>0</v>
      </c>
      <c r="IY17" s="27"/>
      <c r="IZ17" s="24">
        <v>4767.8099999999995</v>
      </c>
      <c r="JA17" s="27"/>
      <c r="JB17" s="24">
        <v>0</v>
      </c>
      <c r="JC17" s="27"/>
      <c r="JD17" s="27"/>
      <c r="JE17" s="27"/>
      <c r="JF17" s="33">
        <f>SUM(IR17:JE17)</f>
        <v>4767.8099999999995</v>
      </c>
      <c r="JG17" s="2667"/>
      <c r="JI17" s="2014">
        <v>11976.16</v>
      </c>
      <c r="JJ17" s="2015">
        <v>0</v>
      </c>
      <c r="JK17" s="53"/>
      <c r="JL17" s="1736">
        <f t="shared" si="52"/>
        <v>11976.16</v>
      </c>
      <c r="JM17" s="33"/>
      <c r="JN17" s="2669"/>
      <c r="JO17" s="66">
        <v>0</v>
      </c>
      <c r="JP17" s="67">
        <v>0</v>
      </c>
      <c r="JQ17" s="67">
        <v>0</v>
      </c>
      <c r="JR17" s="67">
        <v>0</v>
      </c>
      <c r="JS17" s="67">
        <v>0.96670886160505543</v>
      </c>
      <c r="JT17" s="67">
        <v>0</v>
      </c>
      <c r="JU17" s="67">
        <v>3.3291138394944624E-2</v>
      </c>
      <c r="JV17" s="1921">
        <v>0</v>
      </c>
      <c r="JW17" s="66" t="s">
        <v>296</v>
      </c>
      <c r="JX17" s="67" t="s">
        <v>296</v>
      </c>
      <c r="JY17" s="67" t="s">
        <v>296</v>
      </c>
      <c r="JZ17" s="67" t="s">
        <v>296</v>
      </c>
      <c r="KA17" s="67" t="s">
        <v>296</v>
      </c>
      <c r="KB17" s="67" t="s">
        <v>296</v>
      </c>
      <c r="KC17" s="67" t="s">
        <v>296</v>
      </c>
      <c r="KD17" s="68" t="s">
        <v>296</v>
      </c>
      <c r="KE17" s="69"/>
      <c r="KF17" s="70"/>
      <c r="KG17" s="70"/>
      <c r="KH17" s="70"/>
      <c r="KI17" s="70"/>
      <c r="KJ17" s="70"/>
      <c r="KK17" s="70"/>
      <c r="KL17" s="70"/>
      <c r="KM17" s="33"/>
      <c r="KN17" s="2669"/>
      <c r="KO17" s="2203">
        <v>7232.574789915966</v>
      </c>
      <c r="KP17" s="1721">
        <v>0.70745378151260507</v>
      </c>
      <c r="KQ17" s="1721">
        <v>3.2126386554621851</v>
      </c>
      <c r="KR17" s="1721">
        <v>5.4600336134453782</v>
      </c>
      <c r="KS17" s="1722">
        <v>8.6420751756302518</v>
      </c>
      <c r="KT17" s="1958">
        <v>0</v>
      </c>
      <c r="KU17" s="1961">
        <v>0</v>
      </c>
      <c r="KV17" s="1961">
        <v>0</v>
      </c>
      <c r="KW17" s="1961">
        <v>0</v>
      </c>
      <c r="KX17" s="1962">
        <v>0</v>
      </c>
      <c r="KY17" s="36"/>
      <c r="KZ17" s="53"/>
      <c r="LA17" s="53"/>
      <c r="LB17" s="53"/>
      <c r="LC17" s="53"/>
      <c r="LD17" s="33"/>
      <c r="LE17" s="2669"/>
      <c r="LG17" s="26">
        <f t="shared" si="53"/>
        <v>24416.407999999999</v>
      </c>
      <c r="LH17" s="27">
        <f t="shared" si="53"/>
        <v>6104.1019999999999</v>
      </c>
      <c r="LI17" s="27">
        <f t="shared" si="53"/>
        <v>0</v>
      </c>
      <c r="LJ17" s="28">
        <f t="shared" si="54"/>
        <v>30520.51</v>
      </c>
      <c r="LK17" s="36">
        <v>4</v>
      </c>
      <c r="LL17" s="27">
        <v>1</v>
      </c>
      <c r="LM17" s="27">
        <v>5</v>
      </c>
      <c r="LN17" s="33"/>
      <c r="LO17" s="1041">
        <v>4.57</v>
      </c>
      <c r="LP17" s="486"/>
      <c r="LQ17" s="2688"/>
      <c r="LR17" s="21">
        <v>24416.407999999999</v>
      </c>
      <c r="LS17" s="27">
        <v>6104.1019999999999</v>
      </c>
      <c r="LT17" s="27"/>
      <c r="LU17" s="27"/>
      <c r="LV17" s="27"/>
      <c r="LW17" s="1117">
        <f t="shared" si="55"/>
        <v>30520.51</v>
      </c>
      <c r="LX17" s="36"/>
      <c r="LY17" s="36"/>
      <c r="LZ17" s="27"/>
      <c r="MA17" s="27"/>
      <c r="MB17" s="33"/>
      <c r="MC17" s="28">
        <f t="shared" si="56"/>
        <v>0</v>
      </c>
      <c r="MD17" s="26"/>
      <c r="ME17" s="36"/>
      <c r="MF17" s="27"/>
      <c r="MG17" s="27"/>
      <c r="MH17" s="27"/>
      <c r="MI17" s="28"/>
      <c r="MJ17" s="36"/>
      <c r="MK17" s="36"/>
      <c r="ML17" s="27"/>
      <c r="MM17" s="27"/>
      <c r="MN17" s="27"/>
      <c r="MO17" s="28"/>
      <c r="MP17" s="36"/>
      <c r="MQ17" s="36"/>
      <c r="MR17" s="27"/>
      <c r="MS17" s="27"/>
      <c r="MT17" s="27"/>
      <c r="MU17" s="33">
        <f t="shared" si="57"/>
        <v>0</v>
      </c>
      <c r="MV17" s="2688"/>
      <c r="MX17" s="26">
        <f t="shared" si="58"/>
        <v>209832.06568725477</v>
      </c>
      <c r="MY17" s="27">
        <f t="shared" si="59"/>
        <v>232545.69079257298</v>
      </c>
      <c r="MZ17" s="27">
        <f t="shared" si="60"/>
        <v>21131.695210117308</v>
      </c>
      <c r="NA17" s="28">
        <f t="shared" si="61"/>
        <v>328916.35760218999</v>
      </c>
      <c r="NB17" s="2621"/>
      <c r="NC17" s="23">
        <f t="shared" si="62"/>
        <v>125663.85685483873</v>
      </c>
      <c r="ND17" s="1655">
        <f t="shared" si="63"/>
        <v>84168.208832416029</v>
      </c>
      <c r="NE17" s="60">
        <f t="shared" si="64"/>
        <v>0</v>
      </c>
      <c r="NF17" s="275">
        <f t="shared" si="4"/>
        <v>209832.06568725477</v>
      </c>
      <c r="NG17" s="26">
        <f t="shared" si="65"/>
        <v>0</v>
      </c>
      <c r="NH17" s="27">
        <f t="shared" si="65"/>
        <v>0</v>
      </c>
      <c r="NI17" s="27">
        <f t="shared" si="65"/>
        <v>0</v>
      </c>
      <c r="NJ17" s="27">
        <f t="shared" si="65"/>
        <v>0</v>
      </c>
      <c r="NK17" s="27">
        <f t="shared" si="65"/>
        <v>0</v>
      </c>
      <c r="NL17" s="33">
        <f t="shared" si="65"/>
        <v>0</v>
      </c>
      <c r="NM17" s="27">
        <f t="shared" si="65"/>
        <v>0</v>
      </c>
      <c r="NN17" s="36">
        <f t="shared" si="65"/>
        <v>0</v>
      </c>
      <c r="NO17" s="24">
        <f t="shared" si="65"/>
        <v>13230.960671164179</v>
      </c>
      <c r="NP17" s="27">
        <f t="shared" si="65"/>
        <v>24549.88002237798</v>
      </c>
      <c r="NQ17" s="24">
        <f t="shared" si="110"/>
        <v>8756.5482322711578</v>
      </c>
      <c r="NR17" s="24">
        <f t="shared" si="111"/>
        <v>17273.851351487181</v>
      </c>
      <c r="NS17" s="27">
        <f t="shared" si="0"/>
        <v>63811.240277300494</v>
      </c>
      <c r="NT17" s="27">
        <f t="shared" si="66"/>
        <v>0</v>
      </c>
      <c r="NU17" s="27">
        <f t="shared" si="66"/>
        <v>0</v>
      </c>
      <c r="NV17" s="27">
        <f t="shared" si="66"/>
        <v>0</v>
      </c>
      <c r="NW17" s="27">
        <f t="shared" si="66"/>
        <v>0</v>
      </c>
      <c r="NX17" s="27">
        <f t="shared" si="66"/>
        <v>0</v>
      </c>
      <c r="NY17" s="27">
        <f t="shared" si="66"/>
        <v>0</v>
      </c>
      <c r="NZ17" s="27">
        <f t="shared" si="66"/>
        <v>16434.748814178834</v>
      </c>
      <c r="OA17" s="27">
        <f t="shared" si="66"/>
        <v>0</v>
      </c>
      <c r="OB17" s="28">
        <f t="shared" si="66"/>
        <v>92788.689365972576</v>
      </c>
      <c r="OC17" s="1999"/>
      <c r="OD17" s="24">
        <f t="shared" si="67"/>
        <v>0</v>
      </c>
      <c r="OE17" s="27">
        <f t="shared" si="67"/>
        <v>0</v>
      </c>
      <c r="OF17" s="28">
        <f t="shared" si="1"/>
        <v>109223.43818015141</v>
      </c>
      <c r="OG17" s="27">
        <f t="shared" si="68"/>
        <v>0</v>
      </c>
      <c r="OH17" s="27">
        <f t="shared" si="68"/>
        <v>0</v>
      </c>
      <c r="OI17" s="27">
        <f t="shared" si="68"/>
        <v>0</v>
      </c>
      <c r="OJ17" s="27">
        <f t="shared" si="68"/>
        <v>0</v>
      </c>
      <c r="OK17" s="27">
        <f t="shared" si="68"/>
        <v>0</v>
      </c>
      <c r="OL17" s="27">
        <f t="shared" si="68"/>
        <v>0</v>
      </c>
      <c r="OM17" s="24">
        <f t="shared" si="68"/>
        <v>0</v>
      </c>
      <c r="ON17" s="27">
        <f t="shared" si="68"/>
        <v>0</v>
      </c>
      <c r="OO17" s="24">
        <f t="shared" si="118"/>
        <v>34681.865076326249</v>
      </c>
      <c r="OP17" s="27">
        <f t="shared" si="68"/>
        <v>0</v>
      </c>
      <c r="OQ17" s="24">
        <f t="shared" si="68"/>
        <v>24829.147258794845</v>
      </c>
      <c r="OR17" s="27">
        <f t="shared" si="68"/>
        <v>0</v>
      </c>
      <c r="OS17" s="28">
        <f t="shared" si="2"/>
        <v>59511.012335121093</v>
      </c>
      <c r="OT17" s="36"/>
      <c r="OU17" s="27"/>
      <c r="OV17" s="27"/>
      <c r="OW17" s="27"/>
      <c r="OX17" s="27"/>
      <c r="OY17" s="27"/>
      <c r="OZ17" s="28">
        <f t="shared" si="69"/>
        <v>0</v>
      </c>
      <c r="PA17" s="36">
        <f t="shared" si="70"/>
        <v>0</v>
      </c>
      <c r="PB17" s="27">
        <f t="shared" si="71"/>
        <v>0</v>
      </c>
      <c r="PC17" s="27">
        <f t="shared" si="72"/>
        <v>0</v>
      </c>
      <c r="PD17" s="27">
        <f t="shared" si="73"/>
        <v>0</v>
      </c>
      <c r="PE17" s="24"/>
      <c r="PF17" s="27">
        <f t="shared" si="74"/>
        <v>0</v>
      </c>
      <c r="PG17" s="33">
        <f t="shared" si="3"/>
        <v>0</v>
      </c>
      <c r="PH17" s="2621"/>
      <c r="PJ17" s="1907">
        <v>600.70000000000005</v>
      </c>
      <c r="PK17" s="1101">
        <v>735</v>
      </c>
      <c r="PL17" s="1101">
        <v>210</v>
      </c>
      <c r="PM17" s="3">
        <v>398.7</v>
      </c>
      <c r="PN17" s="3">
        <f t="shared" si="75"/>
        <v>30718.163504658718</v>
      </c>
      <c r="PO17" s="11">
        <f t="shared" si="76"/>
        <v>21131.695210117308</v>
      </c>
      <c r="PP17" s="15"/>
      <c r="PQ17" s="2615"/>
      <c r="PS17" s="4"/>
      <c r="PT17" s="9"/>
      <c r="PU17" s="9"/>
      <c r="PV17" s="9"/>
      <c r="PW17" s="8">
        <v>0</v>
      </c>
      <c r="PX17" s="9"/>
      <c r="PY17" s="8">
        <f t="shared" si="77"/>
        <v>0</v>
      </c>
      <c r="PZ17" s="5">
        <f t="shared" si="78"/>
        <v>600.70000000000005</v>
      </c>
      <c r="QA17" s="5"/>
      <c r="QB17" s="5"/>
      <c r="QC17" s="5"/>
      <c r="QD17" s="5"/>
      <c r="QE17" s="5"/>
      <c r="QF17" s="12"/>
      <c r="QG17" s="12">
        <f t="shared" si="79"/>
        <v>29562.488999999998</v>
      </c>
      <c r="QH17" s="420">
        <f t="shared" si="80"/>
        <v>297133.91180818999</v>
      </c>
      <c r="QI17" s="1106">
        <f t="shared" si="113"/>
        <v>2219.9567940000002</v>
      </c>
      <c r="QJ17" s="484">
        <f t="shared" si="81"/>
        <v>5505.3678056099998</v>
      </c>
      <c r="QK17" s="12"/>
      <c r="QL17" s="2615"/>
      <c r="QN17" s="139">
        <f t="shared" si="82"/>
        <v>0</v>
      </c>
      <c r="QO17" s="139" t="str">
        <f t="shared" si="83"/>
        <v/>
      </c>
      <c r="QQ17" s="139">
        <f t="shared" si="84"/>
        <v>0</v>
      </c>
      <c r="QR17" s="139">
        <f t="shared" si="85"/>
        <v>0</v>
      </c>
      <c r="QT17" s="1">
        <f t="shared" si="86"/>
        <v>0</v>
      </c>
      <c r="QU17" s="1">
        <f t="shared" si="87"/>
        <v>0</v>
      </c>
      <c r="QV17" s="1">
        <f t="shared" si="88"/>
        <v>0</v>
      </c>
      <c r="QW17" s="1">
        <f t="shared" si="89"/>
        <v>0</v>
      </c>
      <c r="QX17" s="1">
        <f t="shared" si="90"/>
        <v>0</v>
      </c>
      <c r="QY17" s="1">
        <f t="shared" si="91"/>
        <v>0</v>
      </c>
      <c r="RA17" s="1">
        <f t="shared" si="92"/>
        <v>0</v>
      </c>
      <c r="RB17" s="1">
        <f t="shared" si="93"/>
        <v>0</v>
      </c>
      <c r="RC17" s="1">
        <f t="shared" si="94"/>
        <v>0</v>
      </c>
      <c r="RD17" s="1">
        <f t="shared" si="95"/>
        <v>0</v>
      </c>
      <c r="RE17" s="1">
        <f t="shared" si="96"/>
        <v>0</v>
      </c>
      <c r="RF17" s="1">
        <f t="shared" si="97"/>
        <v>0</v>
      </c>
      <c r="RI17" s="1">
        <v>8</v>
      </c>
      <c r="RJ17" s="1">
        <f t="shared" si="98"/>
        <v>68352.983751083171</v>
      </c>
      <c r="RK17" s="1">
        <f t="shared" si="98"/>
        <v>-12599.768450137719</v>
      </c>
      <c r="RL17" s="1">
        <f t="shared" si="98"/>
        <v>9178.5689913333827</v>
      </c>
      <c r="RM17" s="89">
        <f t="shared" si="5"/>
        <v>64931.784292278833</v>
      </c>
      <c r="RN17" s="1033">
        <v>8</v>
      </c>
      <c r="RO17" s="1098">
        <v>0</v>
      </c>
      <c r="RP17" s="1098">
        <f t="shared" si="99"/>
        <v>0</v>
      </c>
      <c r="RQ17" s="1097">
        <f t="shared" si="99"/>
        <v>0</v>
      </c>
      <c r="RR17" s="1097">
        <f t="shared" si="114"/>
        <v>10930.810000000001</v>
      </c>
      <c r="RS17" s="1096"/>
      <c r="RT17" s="1050" t="s">
        <v>1025</v>
      </c>
      <c r="RU17" s="1048"/>
      <c r="RW17" s="421">
        <v>8</v>
      </c>
      <c r="RX17" s="1095">
        <f t="shared" si="100"/>
        <v>11976.16</v>
      </c>
      <c r="RY17" s="2163" t="s">
        <v>1026</v>
      </c>
      <c r="RZ17" s="1048"/>
      <c r="SA17" s="1090"/>
      <c r="SB17" s="1090">
        <f t="shared" si="101"/>
        <v>0</v>
      </c>
      <c r="SC17" s="1090"/>
      <c r="SD17" s="1090">
        <f t="shared" si="102"/>
        <v>0</v>
      </c>
      <c r="SF17" s="1">
        <v>8</v>
      </c>
      <c r="SG17" s="1">
        <f t="shared" si="103"/>
        <v>398.7</v>
      </c>
      <c r="SH17" s="1094" t="s">
        <v>1027</v>
      </c>
    </row>
    <row r="18" spans="1:502" s="1" customFormat="1" ht="15" customHeight="1">
      <c r="B18" s="471">
        <v>9</v>
      </c>
      <c r="C18" s="4">
        <f t="shared" si="6"/>
        <v>153278</v>
      </c>
      <c r="D18" s="1590">
        <f t="shared" si="119"/>
        <v>12142.16</v>
      </c>
      <c r="E18" s="1895">
        <f t="shared" si="7"/>
        <v>12.623618861882894</v>
      </c>
      <c r="F18" s="870"/>
      <c r="G18" s="870"/>
      <c r="H18" s="52"/>
      <c r="I18" s="61"/>
      <c r="J18" s="52"/>
      <c r="K18" s="54"/>
      <c r="L18" s="52"/>
      <c r="M18" s="61"/>
      <c r="N18" s="2629"/>
      <c r="O18" s="4">
        <f t="shared" si="117"/>
        <v>90468</v>
      </c>
      <c r="P18" s="1225">
        <f t="shared" si="8"/>
        <v>7691.1</v>
      </c>
      <c r="Q18" s="1952">
        <f t="shared" si="9"/>
        <v>11.762686741818465</v>
      </c>
      <c r="R18" s="33"/>
      <c r="S18" s="26">
        <f t="shared" si="10"/>
        <v>43267</v>
      </c>
      <c r="T18" s="27">
        <f t="shared" si="105"/>
        <v>1831.06</v>
      </c>
      <c r="U18" s="1909">
        <f t="shared" si="11"/>
        <v>23.629482376328465</v>
      </c>
      <c r="V18" s="15"/>
      <c r="W18" s="1742">
        <f t="shared" si="12"/>
        <v>19543</v>
      </c>
      <c r="X18" s="1918">
        <f t="shared" si="12"/>
        <v>2620</v>
      </c>
      <c r="Y18" s="1909">
        <f t="shared" si="13"/>
        <v>7.4591603053435112</v>
      </c>
      <c r="Z18" s="33"/>
      <c r="AA18" s="26">
        <f t="shared" si="14"/>
        <v>0</v>
      </c>
      <c r="AB18" s="27">
        <f t="shared" si="15"/>
        <v>0</v>
      </c>
      <c r="AC18" s="1909">
        <f t="shared" si="16"/>
        <v>0</v>
      </c>
      <c r="AD18" s="28"/>
      <c r="AE18" s="36"/>
      <c r="AF18" s="36"/>
      <c r="AG18" s="53">
        <f t="shared" si="17"/>
        <v>0</v>
      </c>
      <c r="AH18" s="28"/>
      <c r="AI18" s="23"/>
      <c r="AJ18" s="27"/>
      <c r="AK18" s="53">
        <f t="shared" si="18"/>
        <v>0</v>
      </c>
      <c r="AL18" s="28"/>
      <c r="AM18" s="2629"/>
      <c r="AN18" s="9"/>
      <c r="AO18" s="5"/>
      <c r="AP18" s="61">
        <f t="shared" si="19"/>
        <v>0</v>
      </c>
      <c r="AQ18" s="36"/>
      <c r="AR18" s="53"/>
      <c r="AS18" s="61">
        <f t="shared" si="20"/>
        <v>0</v>
      </c>
      <c r="AT18" s="36">
        <v>0</v>
      </c>
      <c r="AU18" s="27"/>
      <c r="AV18" s="54">
        <f t="shared" si="21"/>
        <v>0</v>
      </c>
      <c r="AW18" s="26">
        <v>51492</v>
      </c>
      <c r="AX18" s="24">
        <v>2282.2599999999998</v>
      </c>
      <c r="AY18" s="1735">
        <f t="shared" si="115"/>
        <v>22.561846590660139</v>
      </c>
      <c r="AZ18" s="36"/>
      <c r="BA18" s="27"/>
      <c r="BB18" s="61">
        <f t="shared" si="22"/>
        <v>0</v>
      </c>
      <c r="BC18" s="1740">
        <v>38976</v>
      </c>
      <c r="BD18" s="1926">
        <v>5408.84</v>
      </c>
      <c r="BE18" s="1735">
        <f t="shared" si="23"/>
        <v>7.2059813194696085</v>
      </c>
      <c r="BF18" s="36"/>
      <c r="BG18" s="53"/>
      <c r="BH18" s="61">
        <f t="shared" si="24"/>
        <v>0</v>
      </c>
      <c r="BI18" s="36">
        <v>0</v>
      </c>
      <c r="BJ18" s="53">
        <v>0</v>
      </c>
      <c r="BK18" s="61">
        <f t="shared" si="25"/>
        <v>0</v>
      </c>
      <c r="BL18" s="1742">
        <v>43267</v>
      </c>
      <c r="BM18" s="1736">
        <v>1831.06</v>
      </c>
      <c r="BN18" s="2171"/>
      <c r="BO18" s="1920">
        <f t="shared" si="26"/>
        <v>23.629482376328465</v>
      </c>
      <c r="BP18" s="9">
        <v>0</v>
      </c>
      <c r="BQ18" s="49">
        <v>0</v>
      </c>
      <c r="BR18" s="1920">
        <f t="shared" si="27"/>
        <v>0</v>
      </c>
      <c r="BS18" s="9"/>
      <c r="BT18" s="53"/>
      <c r="BU18" s="482">
        <f t="shared" si="28"/>
        <v>0</v>
      </c>
      <c r="BV18" s="9">
        <v>19543</v>
      </c>
      <c r="BW18" s="27">
        <f t="shared" si="106"/>
        <v>2620</v>
      </c>
      <c r="BX18" s="1051">
        <f t="shared" si="29"/>
        <v>7.4591603053435112</v>
      </c>
      <c r="BY18" s="26"/>
      <c r="BZ18" s="27"/>
      <c r="CA18" s="869">
        <f t="shared" si="30"/>
        <v>0</v>
      </c>
      <c r="CB18" s="9"/>
      <c r="CC18" s="481"/>
      <c r="CD18" s="482">
        <f t="shared" si="31"/>
        <v>0</v>
      </c>
      <c r="CE18" s="4"/>
      <c r="CF18" s="5"/>
      <c r="CG18" s="28">
        <f t="shared" si="32"/>
        <v>0</v>
      </c>
      <c r="CH18" s="150"/>
      <c r="CI18" s="4"/>
      <c r="CJ18" s="5"/>
      <c r="CK18" s="5">
        <v>9057</v>
      </c>
      <c r="CL18" s="5"/>
      <c r="CM18" s="5"/>
      <c r="CN18" s="5">
        <f t="shared" si="33"/>
        <v>9057</v>
      </c>
      <c r="CO18" s="33"/>
      <c r="CP18" s="366"/>
      <c r="CR18" s="4">
        <f t="shared" si="34"/>
        <v>0</v>
      </c>
      <c r="CS18" s="9">
        <f t="shared" si="34"/>
        <v>0</v>
      </c>
      <c r="CT18" s="5">
        <f t="shared" si="34"/>
        <v>0</v>
      </c>
      <c r="CU18" s="5">
        <f t="shared" si="34"/>
        <v>0</v>
      </c>
      <c r="CV18" s="5">
        <f t="shared" si="34"/>
        <v>0</v>
      </c>
      <c r="CW18" s="5">
        <f t="shared" si="34"/>
        <v>0</v>
      </c>
      <c r="CX18" s="5">
        <f t="shared" si="34"/>
        <v>1700.5200000000002</v>
      </c>
      <c r="CY18" s="5">
        <f t="shared" si="34"/>
        <v>0</v>
      </c>
      <c r="CZ18" s="5">
        <f t="shared" si="34"/>
        <v>9239.26</v>
      </c>
      <c r="DA18" s="5">
        <f t="shared" si="34"/>
        <v>0</v>
      </c>
      <c r="DB18" s="5">
        <f t="shared" si="34"/>
        <v>1202.3799999999999</v>
      </c>
      <c r="DC18" s="12">
        <f t="shared" si="34"/>
        <v>0</v>
      </c>
      <c r="DD18" s="310">
        <f t="shared" si="35"/>
        <v>12142.16</v>
      </c>
      <c r="DE18" s="2695"/>
      <c r="DF18" s="8"/>
      <c r="DG18" s="9"/>
      <c r="DH18" s="5"/>
      <c r="DI18" s="5"/>
      <c r="DJ18" s="5"/>
      <c r="DK18" s="5"/>
      <c r="DL18" s="3">
        <v>1700.5200000000002</v>
      </c>
      <c r="DM18" s="5"/>
      <c r="DN18" s="3">
        <v>581.74</v>
      </c>
      <c r="DO18" s="5"/>
      <c r="DP18" s="3">
        <v>0</v>
      </c>
      <c r="DQ18" s="12"/>
      <c r="DR18" s="1906">
        <f t="shared" si="36"/>
        <v>2282.2600000000002</v>
      </c>
      <c r="DS18" s="36"/>
      <c r="DT18" s="36"/>
      <c r="DU18" s="27"/>
      <c r="DV18" s="27"/>
      <c r="DW18" s="5"/>
      <c r="DX18" s="5"/>
      <c r="DY18" s="5"/>
      <c r="DZ18" s="5"/>
      <c r="EA18" s="3">
        <v>6037.52</v>
      </c>
      <c r="EB18" s="53"/>
      <c r="EC18" s="24">
        <v>1202.3799999999999</v>
      </c>
      <c r="ED18" s="33"/>
      <c r="EE18" s="28">
        <f t="shared" si="37"/>
        <v>7239.9000000000005</v>
      </c>
      <c r="EF18" s="9"/>
      <c r="EG18" s="36"/>
      <c r="EH18" s="5"/>
      <c r="EI18" s="313"/>
      <c r="EJ18" s="27"/>
      <c r="EK18" s="27"/>
      <c r="EL18" s="27"/>
      <c r="EM18" s="27"/>
      <c r="EN18" s="5">
        <v>2620</v>
      </c>
      <c r="EO18" s="5"/>
      <c r="EP18" s="5"/>
      <c r="EQ18" s="33"/>
      <c r="ER18" s="28">
        <f t="shared" si="38"/>
        <v>2620</v>
      </c>
      <c r="ES18" s="36"/>
      <c r="ET18" s="27"/>
      <c r="EU18" s="27"/>
      <c r="EV18" s="27"/>
      <c r="EW18" s="27"/>
      <c r="EX18" s="27"/>
      <c r="EY18" s="33">
        <f t="shared" si="39"/>
        <v>0</v>
      </c>
      <c r="EZ18" s="2685"/>
      <c r="FB18" s="4">
        <f t="shared" si="40"/>
        <v>0</v>
      </c>
      <c r="FC18" s="5">
        <f t="shared" si="41"/>
        <v>0</v>
      </c>
      <c r="FD18" s="5">
        <f t="shared" si="42"/>
        <v>0</v>
      </c>
      <c r="FE18" s="12">
        <f t="shared" si="43"/>
        <v>0</v>
      </c>
      <c r="FF18" s="33"/>
      <c r="FG18" s="2674"/>
      <c r="FH18" s="9"/>
      <c r="FI18" s="5"/>
      <c r="FJ18" s="5"/>
      <c r="FK18" s="5"/>
      <c r="FL18" s="5"/>
      <c r="FM18" s="27"/>
      <c r="FN18" s="28">
        <f t="shared" si="44"/>
        <v>0</v>
      </c>
      <c r="FO18" s="36"/>
      <c r="FP18" s="27"/>
      <c r="FQ18" s="27"/>
      <c r="FR18" s="27"/>
      <c r="FS18" s="27"/>
      <c r="FT18" s="27"/>
      <c r="FU18" s="28">
        <f t="shared" si="45"/>
        <v>0</v>
      </c>
      <c r="FV18" s="36"/>
      <c r="FW18" s="36"/>
      <c r="FX18" s="27"/>
      <c r="FY18" s="27"/>
      <c r="FZ18" s="27"/>
      <c r="GA18" s="27"/>
      <c r="GB18" s="27"/>
      <c r="GC18" s="27"/>
      <c r="GD18" s="24">
        <v>0</v>
      </c>
      <c r="GE18" s="27"/>
      <c r="GF18" s="27"/>
      <c r="GG18" s="33"/>
      <c r="GH18" s="33">
        <f t="shared" si="46"/>
        <v>0</v>
      </c>
      <c r="GI18" s="2674"/>
      <c r="GK18" s="2">
        <f t="shared" si="107"/>
        <v>0</v>
      </c>
      <c r="GL18" s="63">
        <f t="shared" si="108"/>
        <v>0</v>
      </c>
      <c r="GM18" s="24">
        <f t="shared" si="109"/>
        <v>0</v>
      </c>
      <c r="GN18" s="1736">
        <f t="shared" si="47"/>
        <v>0</v>
      </c>
      <c r="GO18" s="141"/>
      <c r="GP18" s="141"/>
      <c r="GQ18" s="33" t="s">
        <v>295</v>
      </c>
      <c r="GR18" s="2667"/>
      <c r="GS18" s="1739">
        <v>0</v>
      </c>
      <c r="GT18" s="1721">
        <v>0</v>
      </c>
      <c r="GU18" s="1721">
        <v>0</v>
      </c>
      <c r="GV18" s="1721">
        <v>0</v>
      </c>
      <c r="GW18" s="54">
        <v>0</v>
      </c>
      <c r="GX18" s="2667"/>
      <c r="GY18" s="36"/>
      <c r="GZ18" s="36"/>
      <c r="HA18" s="27"/>
      <c r="HB18" s="27"/>
      <c r="HC18" s="27"/>
      <c r="HD18" s="27"/>
      <c r="HE18" s="27"/>
      <c r="HF18" s="27"/>
      <c r="HG18" s="24">
        <v>0</v>
      </c>
      <c r="HH18" s="27"/>
      <c r="HI18" s="24">
        <v>0</v>
      </c>
      <c r="HJ18" s="27"/>
      <c r="HK18" s="24">
        <v>0</v>
      </c>
      <c r="HL18" s="27"/>
      <c r="HM18" s="28">
        <f t="shared" ref="HM18:HM42" si="120">SUM(GY18:HL18)</f>
        <v>0</v>
      </c>
      <c r="HN18" s="36"/>
      <c r="HO18" s="27"/>
      <c r="HP18" s="27"/>
      <c r="HQ18" s="27"/>
      <c r="HR18" s="27"/>
      <c r="HS18" s="27"/>
      <c r="HT18" s="27">
        <f t="array" ref="HT18">SUMPRODUCT(('Data Base hauling'!$C$2:$C$2000="TCM-ROM SB1 BK05-ROM 4")*(ISNUMBER(SEARCH(TEXT('July TCM'!$B18,"00")&amp;"/03/2026",'Data Base hauling'!$E$2:$E$2000)))*'Data Base hauling'!$N$2:$N$2000)</f>
        <v>0</v>
      </c>
      <c r="HU18" s="27"/>
      <c r="HV18" s="27">
        <f t="array" ref="HV18">SUMPRODUCT(('Data Base hauling'!$C$2:$C$2000="TCM-ROM SB1 BK05-ROM 5")*(ISNUMBER(SEARCH(TEXT('July TCM'!$B18,"00")&amp;"/03/2026",'Data Base hauling'!$E$2:$E$2000)))*'Data Base hauling'!$N$2:$N$2000)</f>
        <v>0</v>
      </c>
      <c r="HW18" s="27"/>
      <c r="HX18" s="27"/>
      <c r="HY18" s="27"/>
      <c r="HZ18" s="27"/>
      <c r="IA18" s="27"/>
      <c r="IB18" s="33">
        <f t="shared" si="49"/>
        <v>0</v>
      </c>
      <c r="IC18" s="52"/>
      <c r="ID18" s="152"/>
      <c r="IE18" s="53"/>
      <c r="IF18" s="53"/>
      <c r="IG18" s="53"/>
      <c r="IH18" s="53"/>
      <c r="II18" s="1926">
        <v>0</v>
      </c>
      <c r="IJ18" s="1736"/>
      <c r="IK18" s="1926">
        <v>0</v>
      </c>
      <c r="IL18" s="53"/>
      <c r="IM18" s="49">
        <v>0</v>
      </c>
      <c r="IN18" s="53"/>
      <c r="IO18" s="53"/>
      <c r="IP18" s="49">
        <v>0</v>
      </c>
      <c r="IQ18" s="2195">
        <f t="shared" ref="IQ18:IQ40" si="121">SUM(IC18:IP18)</f>
        <v>0</v>
      </c>
      <c r="IR18" s="36"/>
      <c r="IS18" s="36"/>
      <c r="IT18" s="27"/>
      <c r="IU18" s="27"/>
      <c r="IV18" s="53"/>
      <c r="IW18" s="27"/>
      <c r="IX18" s="24">
        <v>0</v>
      </c>
      <c r="IY18" s="27"/>
      <c r="IZ18" s="24">
        <v>0</v>
      </c>
      <c r="JA18" s="27"/>
      <c r="JB18" s="24">
        <v>0</v>
      </c>
      <c r="JC18" s="27"/>
      <c r="JD18" s="27"/>
      <c r="JE18" s="27"/>
      <c r="JF18" s="33">
        <f t="shared" ref="JF18:JF40" si="122">SUM(IR18:JE18)</f>
        <v>0</v>
      </c>
      <c r="JG18" s="2667"/>
      <c r="JI18" s="2014">
        <v>0</v>
      </c>
      <c r="JJ18" s="2015">
        <v>0</v>
      </c>
      <c r="JK18" s="53"/>
      <c r="JL18" s="1736">
        <f t="shared" si="52"/>
        <v>0</v>
      </c>
      <c r="JM18" s="33"/>
      <c r="JN18" s="2669"/>
      <c r="JO18" s="66" t="s">
        <v>296</v>
      </c>
      <c r="JP18" s="67" t="s">
        <v>296</v>
      </c>
      <c r="JQ18" s="67" t="s">
        <v>296</v>
      </c>
      <c r="JR18" s="67" t="s">
        <v>296</v>
      </c>
      <c r="JS18" s="67" t="s">
        <v>296</v>
      </c>
      <c r="JT18" s="67" t="s">
        <v>296</v>
      </c>
      <c r="JU18" s="67" t="s">
        <v>296</v>
      </c>
      <c r="JV18" s="1921">
        <v>0</v>
      </c>
      <c r="JW18" s="66" t="s">
        <v>296</v>
      </c>
      <c r="JX18" s="67" t="s">
        <v>296</v>
      </c>
      <c r="JY18" s="67" t="s">
        <v>296</v>
      </c>
      <c r="JZ18" s="67" t="s">
        <v>296</v>
      </c>
      <c r="KA18" s="67" t="s">
        <v>296</v>
      </c>
      <c r="KB18" s="67" t="s">
        <v>296</v>
      </c>
      <c r="KC18" s="67" t="s">
        <v>296</v>
      </c>
      <c r="KD18" s="68" t="s">
        <v>296</v>
      </c>
      <c r="KE18" s="69"/>
      <c r="KF18" s="70"/>
      <c r="KG18" s="70"/>
      <c r="KH18" s="70"/>
      <c r="KI18" s="70"/>
      <c r="KJ18" s="70"/>
      <c r="KK18" s="70"/>
      <c r="KL18" s="70"/>
      <c r="KM18" s="33"/>
      <c r="KN18" s="2669"/>
      <c r="KO18" s="2203">
        <v>0</v>
      </c>
      <c r="KP18" s="1721">
        <v>0</v>
      </c>
      <c r="KQ18" s="1721">
        <v>0</v>
      </c>
      <c r="KR18" s="1721">
        <v>0</v>
      </c>
      <c r="KS18" s="1722">
        <v>0</v>
      </c>
      <c r="KT18" s="1958">
        <v>0</v>
      </c>
      <c r="KU18" s="1961">
        <v>0</v>
      </c>
      <c r="KV18" s="1961">
        <v>0</v>
      </c>
      <c r="KW18" s="1961">
        <v>0</v>
      </c>
      <c r="KX18" s="1962">
        <v>0</v>
      </c>
      <c r="KY18" s="36"/>
      <c r="KZ18" s="53"/>
      <c r="LA18" s="53"/>
      <c r="LB18" s="53"/>
      <c r="LC18" s="53"/>
      <c r="LD18" s="33"/>
      <c r="LE18" s="2669"/>
      <c r="LG18" s="26">
        <f t="shared" si="53"/>
        <v>10320.442999999999</v>
      </c>
      <c r="LH18" s="27">
        <f t="shared" si="53"/>
        <v>4423.0469999999996</v>
      </c>
      <c r="LI18" s="27">
        <f t="shared" si="53"/>
        <v>0</v>
      </c>
      <c r="LJ18" s="28">
        <f t="shared" si="54"/>
        <v>14743.489999999998</v>
      </c>
      <c r="LK18" s="36">
        <v>2</v>
      </c>
      <c r="LL18" s="27">
        <v>1</v>
      </c>
      <c r="LM18" s="27">
        <v>3</v>
      </c>
      <c r="LN18" s="33"/>
      <c r="LO18" s="1041">
        <v>4.47</v>
      </c>
      <c r="LP18" s="486"/>
      <c r="LQ18" s="2688"/>
      <c r="LR18" s="21">
        <v>10320.442999999999</v>
      </c>
      <c r="LS18" s="27">
        <v>4423.0469999999996</v>
      </c>
      <c r="LT18" s="27"/>
      <c r="LU18" s="27"/>
      <c r="LV18" s="27"/>
      <c r="LW18" s="1117">
        <f t="shared" si="55"/>
        <v>14743.489999999998</v>
      </c>
      <c r="LX18" s="36"/>
      <c r="LY18" s="36"/>
      <c r="LZ18" s="27"/>
      <c r="MA18" s="27"/>
      <c r="MB18" s="33"/>
      <c r="MC18" s="28">
        <f t="shared" si="56"/>
        <v>0</v>
      </c>
      <c r="MD18" s="26"/>
      <c r="ME18" s="36"/>
      <c r="MF18" s="27"/>
      <c r="MG18" s="27"/>
      <c r="MH18" s="27"/>
      <c r="MI18" s="28"/>
      <c r="MJ18" s="36"/>
      <c r="MK18" s="36"/>
      <c r="ML18" s="27"/>
      <c r="MM18" s="27"/>
      <c r="MN18" s="27"/>
      <c r="MO18" s="28"/>
      <c r="MP18" s="36"/>
      <c r="MQ18" s="36"/>
      <c r="MR18" s="27"/>
      <c r="MS18" s="27"/>
      <c r="MT18" s="27"/>
      <c r="MU18" s="33">
        <f t="shared" si="57"/>
        <v>0</v>
      </c>
      <c r="MV18" s="2688"/>
      <c r="MX18" s="26">
        <f t="shared" si="58"/>
        <v>195088.57568725475</v>
      </c>
      <c r="MY18" s="27">
        <f t="shared" si="59"/>
        <v>244687.85079257301</v>
      </c>
      <c r="MZ18" s="27">
        <f t="shared" si="60"/>
        <v>21287.695210117308</v>
      </c>
      <c r="NA18" s="28">
        <f t="shared" si="61"/>
        <v>328490.89760218997</v>
      </c>
      <c r="NB18" s="2621"/>
      <c r="NC18" s="23">
        <f t="shared" si="62"/>
        <v>115343.41385483873</v>
      </c>
      <c r="ND18" s="1655">
        <f t="shared" si="63"/>
        <v>79745.161832416023</v>
      </c>
      <c r="NE18" s="60">
        <f t="shared" si="64"/>
        <v>0</v>
      </c>
      <c r="NF18" s="1110">
        <f t="shared" si="4"/>
        <v>195088.57568725475</v>
      </c>
      <c r="NG18" s="26">
        <f t="shared" si="65"/>
        <v>0</v>
      </c>
      <c r="NH18" s="27">
        <f t="shared" si="65"/>
        <v>0</v>
      </c>
      <c r="NI18" s="27">
        <f t="shared" si="65"/>
        <v>0</v>
      </c>
      <c r="NJ18" s="27">
        <f t="shared" si="65"/>
        <v>0</v>
      </c>
      <c r="NK18" s="27">
        <f t="shared" si="65"/>
        <v>0</v>
      </c>
      <c r="NL18" s="33">
        <f t="shared" si="65"/>
        <v>0</v>
      </c>
      <c r="NM18" s="27">
        <f t="shared" si="65"/>
        <v>0</v>
      </c>
      <c r="NN18" s="36">
        <f t="shared" si="65"/>
        <v>0</v>
      </c>
      <c r="NO18" s="24">
        <f t="shared" si="65"/>
        <v>15850.960671164179</v>
      </c>
      <c r="NP18" s="27">
        <f t="shared" si="65"/>
        <v>24549.88002237798</v>
      </c>
      <c r="NQ18" s="24">
        <f t="shared" si="110"/>
        <v>8756.5482322711578</v>
      </c>
      <c r="NR18" s="24">
        <f t="shared" si="111"/>
        <v>17273.851351487181</v>
      </c>
      <c r="NS18" s="27">
        <f t="shared" si="0"/>
        <v>66431.240277300501</v>
      </c>
      <c r="NT18" s="27">
        <f t="shared" si="66"/>
        <v>0</v>
      </c>
      <c r="NU18" s="27">
        <f t="shared" si="66"/>
        <v>0</v>
      </c>
      <c r="NV18" s="27">
        <f t="shared" si="66"/>
        <v>0</v>
      </c>
      <c r="NW18" s="27">
        <f t="shared" si="66"/>
        <v>0</v>
      </c>
      <c r="NX18" s="27">
        <f t="shared" si="66"/>
        <v>0</v>
      </c>
      <c r="NY18" s="27">
        <f t="shared" si="66"/>
        <v>0</v>
      </c>
      <c r="NZ18" s="27">
        <f t="shared" si="66"/>
        <v>18135.268814178835</v>
      </c>
      <c r="OA18" s="27">
        <f t="shared" si="66"/>
        <v>0</v>
      </c>
      <c r="OB18" s="27">
        <f t="shared" si="66"/>
        <v>93370.429365972581</v>
      </c>
      <c r="OC18" s="280"/>
      <c r="OD18" s="24">
        <f t="shared" si="67"/>
        <v>0</v>
      </c>
      <c r="OE18" s="27">
        <f t="shared" si="67"/>
        <v>0</v>
      </c>
      <c r="OF18" s="28">
        <f t="shared" si="1"/>
        <v>111505.69818015142</v>
      </c>
      <c r="OG18" s="27">
        <f t="shared" si="68"/>
        <v>0</v>
      </c>
      <c r="OH18" s="27">
        <f t="shared" si="68"/>
        <v>0</v>
      </c>
      <c r="OI18" s="27">
        <f t="shared" si="68"/>
        <v>0</v>
      </c>
      <c r="OJ18" s="27">
        <f t="shared" si="68"/>
        <v>0</v>
      </c>
      <c r="OK18" s="27">
        <f t="shared" si="68"/>
        <v>0</v>
      </c>
      <c r="OL18" s="27">
        <f t="shared" si="68"/>
        <v>0</v>
      </c>
      <c r="OM18" s="24">
        <f t="shared" si="68"/>
        <v>0</v>
      </c>
      <c r="ON18" s="27">
        <f t="shared" si="68"/>
        <v>0</v>
      </c>
      <c r="OO18" s="24">
        <f t="shared" si="118"/>
        <v>40719.385076326245</v>
      </c>
      <c r="OP18" s="27">
        <f t="shared" si="68"/>
        <v>0</v>
      </c>
      <c r="OQ18" s="24">
        <f t="shared" si="68"/>
        <v>26031.527258794846</v>
      </c>
      <c r="OR18" s="27">
        <f t="shared" si="68"/>
        <v>0</v>
      </c>
      <c r="OS18" s="28">
        <f t="shared" si="2"/>
        <v>66750.912335121087</v>
      </c>
      <c r="OT18" s="36"/>
      <c r="OU18" s="27"/>
      <c r="OV18" s="27"/>
      <c r="OW18" s="27"/>
      <c r="OX18" s="27"/>
      <c r="OY18" s="27"/>
      <c r="OZ18" s="28">
        <f t="shared" si="69"/>
        <v>0</v>
      </c>
      <c r="PA18" s="36">
        <f t="shared" si="70"/>
        <v>0</v>
      </c>
      <c r="PB18" s="27">
        <f t="shared" si="71"/>
        <v>0</v>
      </c>
      <c r="PC18" s="27">
        <f t="shared" si="72"/>
        <v>0</v>
      </c>
      <c r="PD18" s="27">
        <f t="shared" si="73"/>
        <v>0</v>
      </c>
      <c r="PE18" s="24"/>
      <c r="PF18" s="27">
        <f t="shared" si="74"/>
        <v>0</v>
      </c>
      <c r="PG18" s="33">
        <f t="shared" si="3"/>
        <v>0</v>
      </c>
      <c r="PH18" s="2621"/>
      <c r="PJ18" s="1907">
        <v>425.46</v>
      </c>
      <c r="PK18" s="1101">
        <v>546</v>
      </c>
      <c r="PL18" s="1101">
        <v>156</v>
      </c>
      <c r="PM18" s="3">
        <v>0</v>
      </c>
      <c r="PN18" s="3">
        <f t="shared" si="75"/>
        <v>30597.623504658717</v>
      </c>
      <c r="PO18" s="11">
        <f t="shared" si="76"/>
        <v>21287.695210117308</v>
      </c>
      <c r="PP18" s="15"/>
      <c r="PQ18" s="2615"/>
      <c r="PS18" s="4"/>
      <c r="PT18" s="9"/>
      <c r="PU18" s="9"/>
      <c r="PV18" s="9"/>
      <c r="PW18" s="8">
        <v>0</v>
      </c>
      <c r="PX18" s="9"/>
      <c r="PY18" s="8">
        <f t="shared" si="77"/>
        <v>0</v>
      </c>
      <c r="PZ18" s="5">
        <f t="shared" si="78"/>
        <v>425.46</v>
      </c>
      <c r="QA18" s="5"/>
      <c r="QB18" s="5"/>
      <c r="QC18" s="5"/>
      <c r="QD18" s="5"/>
      <c r="QE18" s="5"/>
      <c r="QF18" s="12"/>
      <c r="QG18" s="12">
        <f t="shared" si="79"/>
        <v>29562.488999999998</v>
      </c>
      <c r="QH18" s="420">
        <f t="shared" si="80"/>
        <v>296708.45180818997</v>
      </c>
      <c r="QI18" s="1106">
        <f t="shared" si="113"/>
        <v>2219.9567940000002</v>
      </c>
      <c r="QJ18" s="484">
        <f t="shared" si="81"/>
        <v>5505.3678056099998</v>
      </c>
      <c r="QK18" s="12"/>
      <c r="QL18" s="2615"/>
      <c r="QN18" s="139" t="str">
        <f t="shared" si="82"/>
        <v/>
      </c>
      <c r="QO18" s="139" t="str">
        <f t="shared" si="83"/>
        <v/>
      </c>
      <c r="QQ18" s="139" t="str">
        <f t="shared" si="84"/>
        <v/>
      </c>
      <c r="QR18" s="139" t="str">
        <f t="shared" si="85"/>
        <v/>
      </c>
      <c r="QT18" s="1">
        <f t="shared" si="86"/>
        <v>0</v>
      </c>
      <c r="QU18" s="1">
        <f t="shared" si="87"/>
        <v>0</v>
      </c>
      <c r="QV18" s="1">
        <f t="shared" si="88"/>
        <v>0</v>
      </c>
      <c r="QW18" s="1">
        <f t="shared" si="89"/>
        <v>0</v>
      </c>
      <c r="QX18" s="1">
        <f t="shared" si="90"/>
        <v>0</v>
      </c>
      <c r="QY18" s="1">
        <f t="shared" si="91"/>
        <v>0</v>
      </c>
      <c r="RA18" s="1">
        <f t="shared" si="92"/>
        <v>0</v>
      </c>
      <c r="RB18" s="1">
        <f t="shared" si="93"/>
        <v>0</v>
      </c>
      <c r="RC18" s="1">
        <f t="shared" si="94"/>
        <v>0</v>
      </c>
      <c r="RD18" s="1">
        <f t="shared" si="95"/>
        <v>0</v>
      </c>
      <c r="RE18" s="1">
        <f t="shared" si="96"/>
        <v>0</v>
      </c>
      <c r="RF18" s="1">
        <f t="shared" si="97"/>
        <v>0</v>
      </c>
      <c r="RI18" s="1">
        <v>9</v>
      </c>
      <c r="RJ18" s="421">
        <v>5984.4452097170979</v>
      </c>
      <c r="RK18" s="421">
        <v>5074.1017804837184</v>
      </c>
      <c r="RL18" s="421">
        <v>13404.263703387322</v>
      </c>
      <c r="RM18" s="490">
        <f t="shared" si="5"/>
        <v>24462.810693588137</v>
      </c>
      <c r="RN18" s="1033">
        <v>9</v>
      </c>
      <c r="RO18" s="1098">
        <v>0</v>
      </c>
      <c r="RP18" s="1098">
        <f t="shared" si="99"/>
        <v>0</v>
      </c>
      <c r="RQ18" s="1097">
        <f t="shared" si="99"/>
        <v>0</v>
      </c>
      <c r="RR18" s="1097">
        <f t="shared" si="114"/>
        <v>9522.16</v>
      </c>
      <c r="RS18" s="1046"/>
      <c r="RT18" s="1046" t="s">
        <v>1028</v>
      </c>
      <c r="RW18" s="421">
        <v>9</v>
      </c>
      <c r="RX18" s="1095">
        <f t="shared" si="100"/>
        <v>0</v>
      </c>
      <c r="RY18" s="1094" t="s">
        <v>295</v>
      </c>
      <c r="SA18" s="1090"/>
      <c r="SB18" s="1090">
        <f t="shared" si="101"/>
        <v>0</v>
      </c>
      <c r="SC18" s="1090"/>
      <c r="SD18" s="1090">
        <f>JL18-RX18</f>
        <v>0</v>
      </c>
      <c r="SF18" s="1">
        <v>9</v>
      </c>
      <c r="SG18" s="1">
        <f t="shared" si="103"/>
        <v>0</v>
      </c>
      <c r="SH18" s="1094"/>
    </row>
    <row r="19" spans="1:502" s="1" customFormat="1" ht="15" customHeight="1">
      <c r="B19" s="471">
        <v>10</v>
      </c>
      <c r="C19" s="4">
        <f t="shared" si="6"/>
        <v>147693</v>
      </c>
      <c r="D19" s="1590">
        <f t="shared" si="119"/>
        <v>12605.7</v>
      </c>
      <c r="E19" s="1895">
        <f t="shared" si="7"/>
        <v>11.716366405673623</v>
      </c>
      <c r="F19" s="870"/>
      <c r="G19" s="870"/>
      <c r="H19" s="52"/>
      <c r="I19" s="61"/>
      <c r="J19" s="52"/>
      <c r="K19" s="54"/>
      <c r="L19" s="52"/>
      <c r="M19" s="61"/>
      <c r="N19" s="2629"/>
      <c r="O19" s="4">
        <f t="shared" si="117"/>
        <v>100283</v>
      </c>
      <c r="P19" s="1225">
        <f t="shared" si="8"/>
        <v>8246.92</v>
      </c>
      <c r="Q19" s="1952">
        <f t="shared" si="9"/>
        <v>12.160054905346481</v>
      </c>
      <c r="R19" s="33"/>
      <c r="S19" s="26">
        <f t="shared" si="10"/>
        <v>30550</v>
      </c>
      <c r="T19" s="27">
        <f t="shared" si="105"/>
        <v>1558.7800000000004</v>
      </c>
      <c r="U19" s="1909">
        <f t="shared" si="11"/>
        <v>19.598660490896723</v>
      </c>
      <c r="V19" s="15"/>
      <c r="W19" s="1742">
        <f t="shared" si="12"/>
        <v>16860</v>
      </c>
      <c r="X19" s="1918">
        <f t="shared" si="12"/>
        <v>2800</v>
      </c>
      <c r="Y19" s="1909">
        <f t="shared" si="13"/>
        <v>6.0214285714285714</v>
      </c>
      <c r="Z19" s="33"/>
      <c r="AA19" s="26">
        <f t="shared" si="14"/>
        <v>0</v>
      </c>
      <c r="AB19" s="27">
        <f t="shared" si="15"/>
        <v>0</v>
      </c>
      <c r="AC19" s="1909">
        <f t="shared" si="16"/>
        <v>0</v>
      </c>
      <c r="AD19" s="28"/>
      <c r="AE19" s="36"/>
      <c r="AF19" s="36"/>
      <c r="AG19" s="53">
        <f t="shared" si="17"/>
        <v>0</v>
      </c>
      <c r="AH19" s="28"/>
      <c r="AI19" s="26"/>
      <c r="AJ19" s="27"/>
      <c r="AK19" s="53">
        <f t="shared" si="18"/>
        <v>0</v>
      </c>
      <c r="AL19" s="28"/>
      <c r="AM19" s="2629"/>
      <c r="AN19" s="9"/>
      <c r="AO19" s="5"/>
      <c r="AP19" s="61">
        <f t="shared" si="19"/>
        <v>0</v>
      </c>
      <c r="AQ19" s="36"/>
      <c r="AR19" s="53"/>
      <c r="AS19" s="61">
        <f t="shared" si="20"/>
        <v>0</v>
      </c>
      <c r="AT19" s="36">
        <v>0</v>
      </c>
      <c r="AU19" s="27"/>
      <c r="AV19" s="54">
        <f t="shared" si="21"/>
        <v>0</v>
      </c>
      <c r="AW19" s="26">
        <v>56994</v>
      </c>
      <c r="AX19" s="24">
        <v>4651.74</v>
      </c>
      <c r="AY19" s="1735">
        <f t="shared" si="115"/>
        <v>12.252189503282644</v>
      </c>
      <c r="AZ19" s="36"/>
      <c r="BA19" s="27"/>
      <c r="BB19" s="61">
        <f t="shared" si="22"/>
        <v>0</v>
      </c>
      <c r="BC19" s="1740">
        <v>43289</v>
      </c>
      <c r="BD19" s="1926">
        <v>3595.1800000000003</v>
      </c>
      <c r="BE19" s="1735">
        <f t="shared" si="23"/>
        <v>12.04084357389616</v>
      </c>
      <c r="BF19" s="36"/>
      <c r="BG19" s="53"/>
      <c r="BH19" s="61">
        <f t="shared" si="24"/>
        <v>0</v>
      </c>
      <c r="BI19" s="36">
        <v>0</v>
      </c>
      <c r="BJ19" s="53">
        <v>0</v>
      </c>
      <c r="BK19" s="61">
        <f t="shared" si="25"/>
        <v>0</v>
      </c>
      <c r="BL19" s="1742">
        <v>30550</v>
      </c>
      <c r="BM19" s="1736">
        <v>1558.7800000000004</v>
      </c>
      <c r="BN19" s="2170"/>
      <c r="BO19" s="1920">
        <f t="shared" si="26"/>
        <v>19.598660490896723</v>
      </c>
      <c r="BP19" s="9">
        <v>0</v>
      </c>
      <c r="BQ19" s="49">
        <v>0</v>
      </c>
      <c r="BR19" s="1920">
        <f t="shared" si="27"/>
        <v>0</v>
      </c>
      <c r="BS19" s="9"/>
      <c r="BT19" s="53"/>
      <c r="BU19" s="482">
        <f t="shared" si="28"/>
        <v>0</v>
      </c>
      <c r="BV19" s="9">
        <v>16860</v>
      </c>
      <c r="BW19" s="27">
        <f t="shared" si="106"/>
        <v>2800</v>
      </c>
      <c r="BX19" s="1051">
        <f t="shared" si="29"/>
        <v>6.0214285714285714</v>
      </c>
      <c r="BY19" s="26"/>
      <c r="BZ19" s="27"/>
      <c r="CA19" s="482">
        <f t="shared" si="30"/>
        <v>0</v>
      </c>
      <c r="CB19" s="9"/>
      <c r="CC19" s="481"/>
      <c r="CD19" s="482">
        <f t="shared" si="31"/>
        <v>0</v>
      </c>
      <c r="CE19" s="4"/>
      <c r="CF19" s="5"/>
      <c r="CG19" s="28">
        <f t="shared" si="32"/>
        <v>0</v>
      </c>
      <c r="CH19" s="150"/>
      <c r="CI19" s="4"/>
      <c r="CJ19" s="5"/>
      <c r="CK19" s="5">
        <v>5196</v>
      </c>
      <c r="CL19" s="5"/>
      <c r="CM19" s="5"/>
      <c r="CN19" s="5">
        <f t="shared" si="33"/>
        <v>5196</v>
      </c>
      <c r="CO19" s="5"/>
      <c r="CP19" s="5"/>
      <c r="CR19" s="4">
        <f t="shared" si="34"/>
        <v>0</v>
      </c>
      <c r="CS19" s="9">
        <f t="shared" si="34"/>
        <v>0</v>
      </c>
      <c r="CT19" s="5">
        <f t="shared" si="34"/>
        <v>0</v>
      </c>
      <c r="CU19" s="5">
        <f t="shared" si="34"/>
        <v>0</v>
      </c>
      <c r="CV19" s="5">
        <f t="shared" si="34"/>
        <v>0</v>
      </c>
      <c r="CW19" s="5">
        <f t="shared" si="34"/>
        <v>0</v>
      </c>
      <c r="CX19" s="5">
        <f t="shared" si="34"/>
        <v>195.88</v>
      </c>
      <c r="CY19" s="5">
        <f t="shared" si="34"/>
        <v>0</v>
      </c>
      <c r="CZ19" s="5">
        <f t="shared" si="34"/>
        <v>11430.52</v>
      </c>
      <c r="DA19" s="5">
        <f t="shared" si="34"/>
        <v>0</v>
      </c>
      <c r="DB19" s="5">
        <f t="shared" si="34"/>
        <v>979.3</v>
      </c>
      <c r="DC19" s="12">
        <f t="shared" si="34"/>
        <v>0</v>
      </c>
      <c r="DD19" s="310">
        <f t="shared" si="35"/>
        <v>12605.699999999999</v>
      </c>
      <c r="DE19" s="2695"/>
      <c r="DF19" s="8"/>
      <c r="DG19" s="9"/>
      <c r="DH19" s="5"/>
      <c r="DI19" s="5"/>
      <c r="DJ19" s="5"/>
      <c r="DK19" s="5"/>
      <c r="DL19" s="3">
        <v>195.88</v>
      </c>
      <c r="DM19" s="5"/>
      <c r="DN19" s="3">
        <v>4455.8600000000006</v>
      </c>
      <c r="DO19" s="5"/>
      <c r="DP19" s="3">
        <v>0</v>
      </c>
      <c r="DQ19" s="12"/>
      <c r="DR19" s="1906">
        <f t="shared" si="36"/>
        <v>4651.7400000000007</v>
      </c>
      <c r="DS19" s="36"/>
      <c r="DT19" s="36"/>
      <c r="DU19" s="27"/>
      <c r="DV19" s="27"/>
      <c r="DW19" s="5"/>
      <c r="DX19" s="5"/>
      <c r="DY19" s="5"/>
      <c r="DZ19" s="5"/>
      <c r="EA19" s="3">
        <v>4894.66</v>
      </c>
      <c r="EB19" s="27"/>
      <c r="EC19" s="24">
        <v>259.3</v>
      </c>
      <c r="ED19" s="33"/>
      <c r="EE19" s="28">
        <f t="shared" si="37"/>
        <v>5153.96</v>
      </c>
      <c r="EF19" s="9"/>
      <c r="EG19" s="36"/>
      <c r="EH19" s="5"/>
      <c r="EI19" s="313"/>
      <c r="EJ19" s="27"/>
      <c r="EK19" s="27"/>
      <c r="EL19" s="27"/>
      <c r="EM19" s="27"/>
      <c r="EN19" s="5">
        <v>2080</v>
      </c>
      <c r="EO19" s="5"/>
      <c r="EP19" s="5">
        <v>720</v>
      </c>
      <c r="EQ19" s="33"/>
      <c r="ER19" s="28">
        <f t="shared" si="38"/>
        <v>2800</v>
      </c>
      <c r="ES19" s="36"/>
      <c r="ET19" s="27"/>
      <c r="EU19" s="27"/>
      <c r="EV19" s="27"/>
      <c r="EW19" s="27"/>
      <c r="EX19" s="27"/>
      <c r="EY19" s="33">
        <f t="shared" si="39"/>
        <v>0</v>
      </c>
      <c r="EZ19" s="2685"/>
      <c r="FB19" s="4">
        <f t="shared" si="40"/>
        <v>0</v>
      </c>
      <c r="FC19" s="5">
        <f t="shared" si="41"/>
        <v>0</v>
      </c>
      <c r="FD19" s="5">
        <f t="shared" si="42"/>
        <v>0</v>
      </c>
      <c r="FE19" s="12">
        <f t="shared" si="43"/>
        <v>0</v>
      </c>
      <c r="FF19" s="33"/>
      <c r="FG19" s="2674"/>
      <c r="FH19" s="9"/>
      <c r="FI19" s="5"/>
      <c r="FJ19" s="5"/>
      <c r="FK19" s="5"/>
      <c r="FL19" s="5"/>
      <c r="FM19" s="27"/>
      <c r="FN19" s="28">
        <f t="shared" si="44"/>
        <v>0</v>
      </c>
      <c r="FO19" s="36"/>
      <c r="FP19" s="27"/>
      <c r="FQ19" s="27"/>
      <c r="FR19" s="27"/>
      <c r="FS19" s="27"/>
      <c r="FT19" s="27"/>
      <c r="FU19" s="28">
        <f t="shared" si="45"/>
        <v>0</v>
      </c>
      <c r="FV19" s="36"/>
      <c r="FW19" s="36"/>
      <c r="FX19" s="27"/>
      <c r="FY19" s="27"/>
      <c r="FZ19" s="27"/>
      <c r="GA19" s="27"/>
      <c r="GB19" s="27"/>
      <c r="GC19" s="27"/>
      <c r="GD19" s="24">
        <v>0</v>
      </c>
      <c r="GE19" s="27"/>
      <c r="GF19" s="27"/>
      <c r="GG19" s="33"/>
      <c r="GH19" s="33">
        <f t="shared" si="46"/>
        <v>0</v>
      </c>
      <c r="GI19" s="2674"/>
      <c r="GK19" s="2">
        <f t="shared" si="107"/>
        <v>0</v>
      </c>
      <c r="GL19" s="63">
        <f t="shared" si="108"/>
        <v>0</v>
      </c>
      <c r="GM19" s="24">
        <f t="shared" si="109"/>
        <v>0</v>
      </c>
      <c r="GN19" s="1736">
        <f t="shared" si="47"/>
        <v>0</v>
      </c>
      <c r="GO19" s="141"/>
      <c r="GP19" s="141"/>
      <c r="GQ19" s="33" t="s">
        <v>295</v>
      </c>
      <c r="GR19" s="2667"/>
      <c r="GS19" s="1739">
        <v>0</v>
      </c>
      <c r="GT19" s="1721">
        <v>0</v>
      </c>
      <c r="GU19" s="1721">
        <v>0</v>
      </c>
      <c r="GV19" s="1721">
        <v>0</v>
      </c>
      <c r="GW19" s="54">
        <v>0</v>
      </c>
      <c r="GX19" s="2667"/>
      <c r="GY19" s="36"/>
      <c r="GZ19" s="36"/>
      <c r="HA19" s="27"/>
      <c r="HB19" s="27"/>
      <c r="HC19" s="27"/>
      <c r="HD19" s="27"/>
      <c r="HE19" s="27"/>
      <c r="HF19" s="27"/>
      <c r="HG19" s="24">
        <v>0</v>
      </c>
      <c r="HH19" s="27"/>
      <c r="HI19" s="24">
        <v>0</v>
      </c>
      <c r="HJ19" s="27"/>
      <c r="HK19" s="24">
        <v>0</v>
      </c>
      <c r="HL19" s="27"/>
      <c r="HM19" s="28">
        <f t="shared" si="120"/>
        <v>0</v>
      </c>
      <c r="HN19" s="36"/>
      <c r="HO19" s="27"/>
      <c r="HP19" s="27"/>
      <c r="HQ19" s="27"/>
      <c r="HR19" s="27"/>
      <c r="HS19" s="27"/>
      <c r="HT19" s="27">
        <f t="array" ref="HT19">SUMPRODUCT(('Data Base hauling'!$C$2:$C$2000="TCM-ROM SB1 BK05-ROM 4")*(ISNUMBER(SEARCH(TEXT('July TCM'!$B19,"00")&amp;"/03/2026",'Data Base hauling'!$E$2:$E$2000)))*'Data Base hauling'!$N$2:$N$2000)</f>
        <v>0</v>
      </c>
      <c r="HU19" s="27"/>
      <c r="HV19" s="27">
        <f t="array" ref="HV19">SUMPRODUCT(('Data Base hauling'!$C$2:$C$2000="TCM-ROM SB1 BK05-ROM 5")*(ISNUMBER(SEARCH(TEXT('July TCM'!$B19,"00")&amp;"/03/2026",'Data Base hauling'!$E$2:$E$2000)))*'Data Base hauling'!$N$2:$N$2000)</f>
        <v>0</v>
      </c>
      <c r="HW19" s="27"/>
      <c r="HX19" s="27"/>
      <c r="HY19" s="27"/>
      <c r="HZ19" s="27"/>
      <c r="IA19" s="27"/>
      <c r="IB19" s="33">
        <f t="shared" si="49"/>
        <v>0</v>
      </c>
      <c r="IC19" s="52"/>
      <c r="ID19" s="152"/>
      <c r="IE19" s="53"/>
      <c r="IF19" s="53"/>
      <c r="IG19" s="53"/>
      <c r="IH19" s="53"/>
      <c r="II19" s="1926">
        <v>0</v>
      </c>
      <c r="IJ19" s="1736"/>
      <c r="IK19" s="1926">
        <v>0</v>
      </c>
      <c r="IL19" s="53"/>
      <c r="IM19" s="49">
        <v>0</v>
      </c>
      <c r="IN19" s="53"/>
      <c r="IO19" s="53"/>
      <c r="IP19" s="49">
        <v>0</v>
      </c>
      <c r="IQ19" s="2195">
        <f t="shared" si="121"/>
        <v>0</v>
      </c>
      <c r="IR19" s="36"/>
      <c r="IS19" s="36"/>
      <c r="IT19" s="27"/>
      <c r="IU19" s="27"/>
      <c r="IV19" s="53"/>
      <c r="IW19" s="27"/>
      <c r="IX19" s="24">
        <v>0</v>
      </c>
      <c r="IY19" s="27"/>
      <c r="IZ19" s="24">
        <v>0</v>
      </c>
      <c r="JA19" s="27"/>
      <c r="JB19" s="24">
        <v>0</v>
      </c>
      <c r="JC19" s="27"/>
      <c r="JD19" s="27"/>
      <c r="JE19" s="27"/>
      <c r="JF19" s="33">
        <f t="shared" si="122"/>
        <v>0</v>
      </c>
      <c r="JG19" s="2667"/>
      <c r="JI19" s="2014">
        <v>0</v>
      </c>
      <c r="JJ19" s="2015">
        <v>0</v>
      </c>
      <c r="JK19" s="53"/>
      <c r="JL19" s="1736">
        <f t="shared" si="52"/>
        <v>0</v>
      </c>
      <c r="JM19" s="33"/>
      <c r="JN19" s="2669"/>
      <c r="JO19" s="66" t="s">
        <v>296</v>
      </c>
      <c r="JP19" s="67" t="s">
        <v>296</v>
      </c>
      <c r="JQ19" s="67" t="s">
        <v>296</v>
      </c>
      <c r="JR19" s="67" t="s">
        <v>296</v>
      </c>
      <c r="JS19" s="67" t="s">
        <v>296</v>
      </c>
      <c r="JT19" s="67" t="s">
        <v>296</v>
      </c>
      <c r="JU19" s="67" t="s">
        <v>296</v>
      </c>
      <c r="JV19" s="1921">
        <v>0</v>
      </c>
      <c r="JW19" s="66" t="s">
        <v>296</v>
      </c>
      <c r="JX19" s="67" t="s">
        <v>296</v>
      </c>
      <c r="JY19" s="67" t="s">
        <v>296</v>
      </c>
      <c r="JZ19" s="67" t="s">
        <v>296</v>
      </c>
      <c r="KA19" s="67" t="s">
        <v>296</v>
      </c>
      <c r="KB19" s="67" t="s">
        <v>296</v>
      </c>
      <c r="KC19" s="67" t="s">
        <v>296</v>
      </c>
      <c r="KD19" s="68" t="s">
        <v>296</v>
      </c>
      <c r="KE19" s="69"/>
      <c r="KF19" s="70"/>
      <c r="KG19" s="70"/>
      <c r="KH19" s="70"/>
      <c r="KI19" s="70"/>
      <c r="KJ19" s="70"/>
      <c r="KK19" s="70"/>
      <c r="KL19" s="70"/>
      <c r="KM19" s="33"/>
      <c r="KN19" s="2669"/>
      <c r="KO19" s="2203">
        <v>0</v>
      </c>
      <c r="KP19" s="1721">
        <v>0</v>
      </c>
      <c r="KQ19" s="1721">
        <v>0</v>
      </c>
      <c r="KR19" s="1721">
        <v>0</v>
      </c>
      <c r="KS19" s="1722">
        <v>0</v>
      </c>
      <c r="KT19" s="1958">
        <v>0</v>
      </c>
      <c r="KU19" s="1961">
        <v>0</v>
      </c>
      <c r="KV19" s="1961">
        <v>0</v>
      </c>
      <c r="KW19" s="1961">
        <v>0</v>
      </c>
      <c r="KX19" s="1962">
        <v>0</v>
      </c>
      <c r="KY19" s="36"/>
      <c r="KZ19" s="53"/>
      <c r="LA19" s="53"/>
      <c r="LB19" s="53"/>
      <c r="LC19" s="53"/>
      <c r="LD19" s="33"/>
      <c r="LE19" s="2669"/>
      <c r="LG19" s="26">
        <f t="shared" si="53"/>
        <v>0</v>
      </c>
      <c r="LH19" s="27">
        <f t="shared" si="53"/>
        <v>0</v>
      </c>
      <c r="LI19" s="27">
        <f t="shared" si="53"/>
        <v>0</v>
      </c>
      <c r="LJ19" s="28">
        <f t="shared" si="54"/>
        <v>0</v>
      </c>
      <c r="LK19" s="36"/>
      <c r="LL19" s="27"/>
      <c r="LM19" s="27"/>
      <c r="LN19" s="33"/>
      <c r="LO19" s="1041">
        <v>4.32</v>
      </c>
      <c r="LP19" s="486" t="s">
        <v>1029</v>
      </c>
      <c r="LQ19" s="2688"/>
      <c r="LR19" s="36"/>
      <c r="LS19" s="36"/>
      <c r="LT19" s="27"/>
      <c r="LU19" s="27"/>
      <c r="LV19" s="27"/>
      <c r="LW19" s="1117">
        <f t="shared" si="55"/>
        <v>0</v>
      </c>
      <c r="LX19" s="36"/>
      <c r="LY19" s="36"/>
      <c r="LZ19" s="27"/>
      <c r="MA19" s="27"/>
      <c r="MB19" s="33"/>
      <c r="MC19" s="28">
        <f t="shared" si="56"/>
        <v>0</v>
      </c>
      <c r="MD19" s="26"/>
      <c r="ME19" s="36"/>
      <c r="MF19" s="27"/>
      <c r="MG19" s="27"/>
      <c r="MH19" s="27"/>
      <c r="MI19" s="28"/>
      <c r="MJ19" s="36"/>
      <c r="MK19" s="36"/>
      <c r="ML19" s="27"/>
      <c r="MM19" s="27"/>
      <c r="MN19" s="27"/>
      <c r="MO19" s="28"/>
      <c r="MP19" s="36"/>
      <c r="MQ19" s="36"/>
      <c r="MR19" s="27"/>
      <c r="MS19" s="27"/>
      <c r="MT19" s="27"/>
      <c r="MU19" s="33">
        <f t="shared" si="57"/>
        <v>0</v>
      </c>
      <c r="MV19" s="2688"/>
      <c r="MX19" s="26">
        <f t="shared" si="58"/>
        <v>187405.76197881001</v>
      </c>
      <c r="MY19" s="27">
        <f t="shared" si="59"/>
        <v>257293.55079257302</v>
      </c>
      <c r="MZ19" s="27">
        <f t="shared" si="60"/>
        <v>21581.695210117308</v>
      </c>
      <c r="NA19" s="28">
        <f t="shared" si="61"/>
        <v>326742.57760218997</v>
      </c>
      <c r="NB19" s="2621"/>
      <c r="NC19" s="23">
        <v>113032.81652607</v>
      </c>
      <c r="ND19" s="1655">
        <v>74372.945452740008</v>
      </c>
      <c r="NE19" s="60">
        <f t="shared" si="64"/>
        <v>0</v>
      </c>
      <c r="NF19" s="275">
        <f t="shared" si="4"/>
        <v>187405.76197881001</v>
      </c>
      <c r="NG19" s="26">
        <f t="shared" si="65"/>
        <v>0</v>
      </c>
      <c r="NH19" s="27">
        <f t="shared" si="65"/>
        <v>0</v>
      </c>
      <c r="NI19" s="27">
        <f t="shared" si="65"/>
        <v>0</v>
      </c>
      <c r="NJ19" s="27">
        <f t="shared" si="65"/>
        <v>0</v>
      </c>
      <c r="NK19" s="27">
        <f t="shared" si="65"/>
        <v>0</v>
      </c>
      <c r="NL19" s="33">
        <f t="shared" si="65"/>
        <v>0</v>
      </c>
      <c r="NM19" s="27">
        <f t="shared" si="65"/>
        <v>0</v>
      </c>
      <c r="NN19" s="36">
        <f t="shared" si="65"/>
        <v>0</v>
      </c>
      <c r="NO19" s="24">
        <f t="shared" si="65"/>
        <v>17930.960671164179</v>
      </c>
      <c r="NP19" s="27">
        <f t="shared" si="65"/>
        <v>24549.88002237798</v>
      </c>
      <c r="NQ19" s="24">
        <f t="shared" si="110"/>
        <v>8756.5482322711578</v>
      </c>
      <c r="NR19" s="24">
        <f t="shared" si="111"/>
        <v>17993.851351487181</v>
      </c>
      <c r="NS19" s="27">
        <f t="shared" si="0"/>
        <v>69231.240277300501</v>
      </c>
      <c r="NT19" s="27">
        <f t="shared" si="66"/>
        <v>0</v>
      </c>
      <c r="NU19" s="27">
        <f t="shared" si="66"/>
        <v>0</v>
      </c>
      <c r="NV19" s="27">
        <f t="shared" si="66"/>
        <v>0</v>
      </c>
      <c r="NW19" s="27">
        <f t="shared" si="66"/>
        <v>0</v>
      </c>
      <c r="NX19" s="27">
        <f t="shared" si="66"/>
        <v>0</v>
      </c>
      <c r="NY19" s="27">
        <f t="shared" si="66"/>
        <v>0</v>
      </c>
      <c r="NZ19" s="27">
        <f t="shared" si="66"/>
        <v>18331.148814178836</v>
      </c>
      <c r="OA19" s="27">
        <f t="shared" si="66"/>
        <v>0</v>
      </c>
      <c r="OB19" s="27">
        <f t="shared" si="66"/>
        <v>97826.289365972581</v>
      </c>
      <c r="OC19" s="280"/>
      <c r="OD19" s="24">
        <f t="shared" si="67"/>
        <v>0</v>
      </c>
      <c r="OE19" s="27">
        <f t="shared" si="67"/>
        <v>0</v>
      </c>
      <c r="OF19" s="28">
        <f t="shared" si="1"/>
        <v>116157.43818015142</v>
      </c>
      <c r="OG19" s="27">
        <f t="shared" si="68"/>
        <v>0</v>
      </c>
      <c r="OH19" s="27">
        <f t="shared" si="68"/>
        <v>0</v>
      </c>
      <c r="OI19" s="27">
        <f t="shared" si="68"/>
        <v>0</v>
      </c>
      <c r="OJ19" s="27">
        <f t="shared" si="68"/>
        <v>0</v>
      </c>
      <c r="OK19" s="27">
        <f t="shared" si="68"/>
        <v>0</v>
      </c>
      <c r="OL19" s="27">
        <f t="shared" si="68"/>
        <v>0</v>
      </c>
      <c r="OM19" s="24">
        <f t="shared" si="68"/>
        <v>0</v>
      </c>
      <c r="ON19" s="27">
        <f t="shared" si="68"/>
        <v>0</v>
      </c>
      <c r="OO19" s="24">
        <f t="shared" si="118"/>
        <v>45614.045076326249</v>
      </c>
      <c r="OP19" s="27">
        <f t="shared" si="68"/>
        <v>0</v>
      </c>
      <c r="OQ19" s="24">
        <f t="shared" si="68"/>
        <v>26290.827258794845</v>
      </c>
      <c r="OR19" s="27">
        <f t="shared" si="68"/>
        <v>0</v>
      </c>
      <c r="OS19" s="28">
        <f t="shared" si="2"/>
        <v>71904.872335121094</v>
      </c>
      <c r="OT19" s="36"/>
      <c r="OU19" s="27"/>
      <c r="OV19" s="27"/>
      <c r="OW19" s="27"/>
      <c r="OX19" s="27"/>
      <c r="OY19" s="27"/>
      <c r="OZ19" s="28">
        <f t="shared" si="69"/>
        <v>0</v>
      </c>
      <c r="PA19" s="36">
        <f t="shared" si="70"/>
        <v>0</v>
      </c>
      <c r="PB19" s="27">
        <f t="shared" si="71"/>
        <v>0</v>
      </c>
      <c r="PC19" s="27">
        <f t="shared" si="72"/>
        <v>0</v>
      </c>
      <c r="PD19" s="27">
        <f t="shared" si="73"/>
        <v>0</v>
      </c>
      <c r="PE19" s="24"/>
      <c r="PF19" s="27">
        <f t="shared" si="74"/>
        <v>0</v>
      </c>
      <c r="PG19" s="33">
        <f t="shared" si="3"/>
        <v>0</v>
      </c>
      <c r="PH19" s="2621"/>
      <c r="PJ19" s="1907">
        <v>1748.32</v>
      </c>
      <c r="PK19" s="2298">
        <v>1029</v>
      </c>
      <c r="PL19" s="2298">
        <v>294</v>
      </c>
      <c r="PM19" s="3">
        <v>0</v>
      </c>
      <c r="PN19" s="3">
        <f t="shared" si="75"/>
        <v>31316.943504658717</v>
      </c>
      <c r="PO19" s="11">
        <f t="shared" si="76"/>
        <v>21581.695210117308</v>
      </c>
      <c r="PP19" s="15"/>
      <c r="PQ19" s="2615"/>
      <c r="PS19" s="4"/>
      <c r="PT19" s="9"/>
      <c r="PU19" s="9"/>
      <c r="PV19" s="9"/>
      <c r="PW19" s="8">
        <v>0</v>
      </c>
      <c r="PX19" s="9"/>
      <c r="PY19" s="8">
        <f t="shared" si="77"/>
        <v>0</v>
      </c>
      <c r="PZ19" s="5">
        <f t="shared" si="78"/>
        <v>1748.32</v>
      </c>
      <c r="QA19" s="5"/>
      <c r="QB19" s="5"/>
      <c r="QC19" s="5"/>
      <c r="QD19" s="5"/>
      <c r="QE19" s="5"/>
      <c r="QF19" s="12"/>
      <c r="QG19" s="12">
        <f t="shared" si="79"/>
        <v>29562.488999999998</v>
      </c>
      <c r="QH19" s="420">
        <f t="shared" si="80"/>
        <v>294960.13180818997</v>
      </c>
      <c r="QI19" s="1106">
        <f t="shared" si="113"/>
        <v>2219.9567940000002</v>
      </c>
      <c r="QJ19" s="484">
        <f t="shared" si="81"/>
        <v>5505.3678056099998</v>
      </c>
      <c r="QK19" s="12"/>
      <c r="QL19" s="2615"/>
      <c r="QN19" s="139" t="str">
        <f t="shared" si="82"/>
        <v/>
      </c>
      <c r="QO19" s="139" t="str">
        <f t="shared" si="83"/>
        <v/>
      </c>
      <c r="QQ19" s="139" t="str">
        <f t="shared" si="84"/>
        <v/>
      </c>
      <c r="QR19" s="139" t="str">
        <f t="shared" si="85"/>
        <v/>
      </c>
      <c r="QT19" s="1">
        <f t="shared" si="86"/>
        <v>0</v>
      </c>
      <c r="QU19" s="1">
        <f t="shared" si="87"/>
        <v>0</v>
      </c>
      <c r="QV19" s="1">
        <f t="shared" si="88"/>
        <v>0</v>
      </c>
      <c r="QW19" s="1">
        <f t="shared" si="89"/>
        <v>0</v>
      </c>
      <c r="QX19" s="1">
        <f t="shared" si="90"/>
        <v>0</v>
      </c>
      <c r="QY19" s="1">
        <f t="shared" si="91"/>
        <v>0</v>
      </c>
      <c r="RA19" s="1">
        <f t="shared" si="92"/>
        <v>0</v>
      </c>
      <c r="RB19" s="1">
        <f t="shared" si="93"/>
        <v>0</v>
      </c>
      <c r="RC19" s="1">
        <f t="shared" si="94"/>
        <v>0</v>
      </c>
      <c r="RD19" s="1">
        <f t="shared" si="95"/>
        <v>0</v>
      </c>
      <c r="RE19" s="1">
        <f t="shared" si="96"/>
        <v>0</v>
      </c>
      <c r="RF19" s="1">
        <f t="shared" si="97"/>
        <v>0</v>
      </c>
      <c r="RI19" s="1">
        <v>10</v>
      </c>
      <c r="RJ19" s="1">
        <f t="shared" ref="RJ19:RL34" si="123">+RJ18+JI19-LG19</f>
        <v>5984.4452097170979</v>
      </c>
      <c r="RK19" s="1">
        <f t="shared" si="123"/>
        <v>5074.1017804837184</v>
      </c>
      <c r="RL19" s="1">
        <f t="shared" si="123"/>
        <v>13404.263703387322</v>
      </c>
      <c r="RM19" s="89">
        <f t="shared" si="5"/>
        <v>24462.810693588137</v>
      </c>
      <c r="RN19" s="1033">
        <v>10</v>
      </c>
      <c r="RO19" s="1098">
        <v>0</v>
      </c>
      <c r="RP19" s="1098">
        <f t="shared" si="99"/>
        <v>0</v>
      </c>
      <c r="RQ19" s="1097">
        <f t="shared" si="99"/>
        <v>0</v>
      </c>
      <c r="RR19" s="1097">
        <f t="shared" si="114"/>
        <v>9805.7000000000007</v>
      </c>
      <c r="RS19" s="1109"/>
      <c r="RT19" s="1050" t="s">
        <v>1030</v>
      </c>
      <c r="RU19" s="1048"/>
      <c r="RW19" s="421">
        <v>10</v>
      </c>
      <c r="RX19" s="1095">
        <f t="shared" si="100"/>
        <v>0</v>
      </c>
      <c r="RY19" s="1046" t="s">
        <v>295</v>
      </c>
      <c r="SA19" s="1090"/>
      <c r="SB19" s="1090">
        <f t="shared" si="101"/>
        <v>0</v>
      </c>
      <c r="SC19" s="1090"/>
      <c r="SD19" s="1090">
        <f t="shared" ref="SD19:SD40" si="124">JL19-RX19</f>
        <v>0</v>
      </c>
      <c r="SF19" s="1">
        <v>10</v>
      </c>
      <c r="SG19" s="1">
        <f t="shared" si="103"/>
        <v>0</v>
      </c>
      <c r="SH19" s="1094"/>
    </row>
    <row r="20" spans="1:502" s="1" customFormat="1">
      <c r="B20" s="471">
        <v>11</v>
      </c>
      <c r="C20" s="4">
        <f t="shared" si="6"/>
        <v>152738</v>
      </c>
      <c r="D20" s="1590">
        <f t="shared" si="119"/>
        <v>12578.06</v>
      </c>
      <c r="E20" s="1895">
        <f t="shared" si="7"/>
        <v>12.143208094094001</v>
      </c>
      <c r="F20" s="870"/>
      <c r="G20" s="870"/>
      <c r="H20" s="52"/>
      <c r="I20" s="61"/>
      <c r="J20" s="52"/>
      <c r="K20" s="54"/>
      <c r="L20" s="52"/>
      <c r="M20" s="61"/>
      <c r="N20" s="2629"/>
      <c r="O20" s="4">
        <f t="shared" si="117"/>
        <v>96697</v>
      </c>
      <c r="P20" s="1225">
        <f t="shared" si="8"/>
        <v>8412.9</v>
      </c>
      <c r="Q20" s="1952">
        <f t="shared" si="9"/>
        <v>11.493896278334462</v>
      </c>
      <c r="R20" s="33"/>
      <c r="S20" s="26">
        <f t="shared" si="10"/>
        <v>36637</v>
      </c>
      <c r="T20" s="27">
        <f t="shared" si="105"/>
        <v>1525.1599999999999</v>
      </c>
      <c r="U20" s="1909">
        <f t="shared" si="11"/>
        <v>24.021741981169193</v>
      </c>
      <c r="V20" s="28"/>
      <c r="W20" s="1742">
        <f t="shared" si="12"/>
        <v>19404</v>
      </c>
      <c r="X20" s="1918">
        <f t="shared" si="12"/>
        <v>2640</v>
      </c>
      <c r="Y20" s="1909">
        <f t="shared" si="13"/>
        <v>7.35</v>
      </c>
      <c r="Z20" s="33"/>
      <c r="AA20" s="26">
        <f t="shared" si="14"/>
        <v>0</v>
      </c>
      <c r="AB20" s="27">
        <f t="shared" si="15"/>
        <v>0</v>
      </c>
      <c r="AC20" s="1909">
        <f t="shared" si="16"/>
        <v>0</v>
      </c>
      <c r="AD20" s="28"/>
      <c r="AE20" s="36"/>
      <c r="AF20" s="36"/>
      <c r="AG20" s="53">
        <f t="shared" si="17"/>
        <v>0</v>
      </c>
      <c r="AH20" s="28"/>
      <c r="AI20" s="23"/>
      <c r="AJ20" s="27"/>
      <c r="AK20" s="53">
        <f t="shared" si="18"/>
        <v>0</v>
      </c>
      <c r="AL20" s="28"/>
      <c r="AM20" s="2629"/>
      <c r="AN20" s="9"/>
      <c r="AO20" s="5"/>
      <c r="AP20" s="61">
        <f t="shared" si="19"/>
        <v>0</v>
      </c>
      <c r="AQ20" s="36"/>
      <c r="AR20" s="53"/>
      <c r="AS20" s="61">
        <f t="shared" si="20"/>
        <v>0</v>
      </c>
      <c r="AT20" s="36">
        <v>0</v>
      </c>
      <c r="AU20" s="27"/>
      <c r="AV20" s="54">
        <f t="shared" si="21"/>
        <v>0</v>
      </c>
      <c r="AW20" s="26">
        <v>46830</v>
      </c>
      <c r="AX20" s="24">
        <v>5287.78</v>
      </c>
      <c r="AY20" s="1735">
        <f t="shared" si="115"/>
        <v>8.8562686042157583</v>
      </c>
      <c r="AZ20" s="1908"/>
      <c r="BA20" s="1909"/>
      <c r="BB20" s="1895">
        <f t="shared" si="22"/>
        <v>0</v>
      </c>
      <c r="BC20" s="1740">
        <v>49867</v>
      </c>
      <c r="BD20" s="1926">
        <v>3125.1200000000003</v>
      </c>
      <c r="BE20" s="1895">
        <f t="shared" si="23"/>
        <v>15.956827257833297</v>
      </c>
      <c r="BF20" s="1908"/>
      <c r="BG20" s="1909"/>
      <c r="BH20" s="1895">
        <f t="shared" si="24"/>
        <v>0</v>
      </c>
      <c r="BI20" s="1908">
        <v>0</v>
      </c>
      <c r="BJ20" s="1909">
        <v>0</v>
      </c>
      <c r="BK20" s="1895">
        <f t="shared" si="25"/>
        <v>0</v>
      </c>
      <c r="BL20" s="1742">
        <v>36637</v>
      </c>
      <c r="BM20" s="1736">
        <v>1525.1599999999999</v>
      </c>
      <c r="BN20" s="2170"/>
      <c r="BO20" s="1920">
        <f t="shared" si="26"/>
        <v>24.021741981169193</v>
      </c>
      <c r="BP20" s="9">
        <v>0</v>
      </c>
      <c r="BQ20" s="49">
        <v>0</v>
      </c>
      <c r="BR20" s="1920">
        <f t="shared" si="27"/>
        <v>0</v>
      </c>
      <c r="BS20" s="9"/>
      <c r="BT20" s="53"/>
      <c r="BU20" s="482">
        <f t="shared" si="28"/>
        <v>0</v>
      </c>
      <c r="BV20" s="9">
        <v>19404</v>
      </c>
      <c r="BW20" s="27">
        <f t="shared" si="106"/>
        <v>2640</v>
      </c>
      <c r="BX20" s="1051">
        <f t="shared" si="29"/>
        <v>7.35</v>
      </c>
      <c r="BY20" s="26"/>
      <c r="BZ20" s="27"/>
      <c r="CA20" s="482">
        <f t="shared" si="30"/>
        <v>0</v>
      </c>
      <c r="CB20" s="9"/>
      <c r="CC20" s="481"/>
      <c r="CD20" s="482">
        <f t="shared" si="31"/>
        <v>0</v>
      </c>
      <c r="CE20" s="4"/>
      <c r="CF20" s="5"/>
      <c r="CG20" s="28">
        <f t="shared" si="32"/>
        <v>0</v>
      </c>
      <c r="CH20" s="150"/>
      <c r="CI20" s="4"/>
      <c r="CJ20" s="5"/>
      <c r="CK20" s="5">
        <v>5540</v>
      </c>
      <c r="CL20" s="5"/>
      <c r="CM20" s="5"/>
      <c r="CN20" s="5">
        <f t="shared" si="33"/>
        <v>5540</v>
      </c>
      <c r="CO20" s="33"/>
      <c r="CP20" s="366"/>
      <c r="CR20" s="4">
        <f t="shared" si="34"/>
        <v>0</v>
      </c>
      <c r="CS20" s="9">
        <f t="shared" si="34"/>
        <v>0</v>
      </c>
      <c r="CT20" s="5">
        <f t="shared" si="34"/>
        <v>0</v>
      </c>
      <c r="CU20" s="5">
        <f t="shared" si="34"/>
        <v>0</v>
      </c>
      <c r="CV20" s="5">
        <f t="shared" si="34"/>
        <v>0</v>
      </c>
      <c r="CW20" s="5">
        <f t="shared" si="34"/>
        <v>0</v>
      </c>
      <c r="CX20" s="5">
        <f t="shared" si="34"/>
        <v>1767.12</v>
      </c>
      <c r="CY20" s="5">
        <f t="shared" si="34"/>
        <v>0</v>
      </c>
      <c r="CZ20" s="5">
        <f t="shared" si="34"/>
        <v>10609</v>
      </c>
      <c r="DA20" s="5">
        <f t="shared" si="34"/>
        <v>0</v>
      </c>
      <c r="DB20" s="5">
        <f t="shared" si="34"/>
        <v>201.94</v>
      </c>
      <c r="DC20" s="12">
        <f t="shared" si="34"/>
        <v>0</v>
      </c>
      <c r="DD20" s="310">
        <f t="shared" si="35"/>
        <v>12578.06</v>
      </c>
      <c r="DE20" s="2695"/>
      <c r="DF20" s="8"/>
      <c r="DG20" s="9"/>
      <c r="DH20" s="5"/>
      <c r="DI20" s="5"/>
      <c r="DJ20" s="5"/>
      <c r="DK20" s="5"/>
      <c r="DL20" s="3">
        <v>1767.12</v>
      </c>
      <c r="DM20" s="5"/>
      <c r="DN20" s="3">
        <v>3520.66</v>
      </c>
      <c r="DO20" s="27"/>
      <c r="DP20" s="3">
        <v>0</v>
      </c>
      <c r="DQ20" s="12"/>
      <c r="DR20" s="1906">
        <f t="shared" si="36"/>
        <v>5287.78</v>
      </c>
      <c r="DS20" s="36"/>
      <c r="DT20" s="36"/>
      <c r="DU20" s="27"/>
      <c r="DV20" s="27"/>
      <c r="DW20" s="5"/>
      <c r="DX20" s="5"/>
      <c r="DY20" s="5"/>
      <c r="DZ20" s="5"/>
      <c r="EA20" s="3">
        <v>4548.3399999999992</v>
      </c>
      <c r="EB20" s="27"/>
      <c r="EC20" s="24">
        <v>101.94</v>
      </c>
      <c r="ED20" s="33"/>
      <c r="EE20" s="28">
        <f t="shared" si="37"/>
        <v>4650.2799999999988</v>
      </c>
      <c r="EF20" s="9"/>
      <c r="EG20" s="416"/>
      <c r="EH20" s="5"/>
      <c r="EI20" s="313"/>
      <c r="EJ20" s="27"/>
      <c r="EK20" s="27"/>
      <c r="EL20" s="27"/>
      <c r="EM20" s="27"/>
      <c r="EN20" s="5">
        <v>2540</v>
      </c>
      <c r="EO20" s="5"/>
      <c r="EP20" s="5">
        <v>100</v>
      </c>
      <c r="EQ20" s="33"/>
      <c r="ER20" s="28">
        <f t="shared" si="38"/>
        <v>2640</v>
      </c>
      <c r="ES20" s="36"/>
      <c r="ET20" s="27"/>
      <c r="EU20" s="27"/>
      <c r="EV20" s="27"/>
      <c r="EW20" s="27"/>
      <c r="EX20" s="27"/>
      <c r="EY20" s="33">
        <f t="shared" si="39"/>
        <v>0</v>
      </c>
      <c r="EZ20" s="2685"/>
      <c r="FB20" s="4">
        <f t="shared" si="40"/>
        <v>0</v>
      </c>
      <c r="FC20" s="5">
        <f t="shared" si="41"/>
        <v>0</v>
      </c>
      <c r="FD20" s="5">
        <f t="shared" si="42"/>
        <v>369.46</v>
      </c>
      <c r="FE20" s="12">
        <f t="shared" si="43"/>
        <v>369.46</v>
      </c>
      <c r="FF20" s="33"/>
      <c r="FG20" s="2674"/>
      <c r="FH20" s="9"/>
      <c r="FI20" s="5"/>
      <c r="FJ20" s="5"/>
      <c r="FK20" s="5"/>
      <c r="FL20" s="5"/>
      <c r="FM20" s="27"/>
      <c r="FN20" s="28">
        <f t="shared" si="44"/>
        <v>0</v>
      </c>
      <c r="FO20" s="36"/>
      <c r="FP20" s="27"/>
      <c r="FQ20" s="27"/>
      <c r="FR20" s="27"/>
      <c r="FS20" s="27"/>
      <c r="FT20" s="27"/>
      <c r="FU20" s="28">
        <f t="shared" si="45"/>
        <v>0</v>
      </c>
      <c r="FV20" s="36"/>
      <c r="FW20" s="36"/>
      <c r="FX20" s="27"/>
      <c r="FY20" s="27"/>
      <c r="FZ20" s="27"/>
      <c r="GA20" s="27"/>
      <c r="GB20" s="27"/>
      <c r="GC20" s="27"/>
      <c r="GD20" s="24">
        <v>369.46</v>
      </c>
      <c r="GE20" s="27"/>
      <c r="GF20" s="27"/>
      <c r="GG20" s="33"/>
      <c r="GH20" s="33">
        <f t="shared" si="46"/>
        <v>369.46</v>
      </c>
      <c r="GI20" s="2674"/>
      <c r="GK20" s="2">
        <f t="shared" si="107"/>
        <v>0</v>
      </c>
      <c r="GL20" s="63">
        <f t="shared" si="108"/>
        <v>0</v>
      </c>
      <c r="GM20" s="24">
        <f t="shared" si="109"/>
        <v>0</v>
      </c>
      <c r="GN20" s="1736">
        <f t="shared" si="47"/>
        <v>0</v>
      </c>
      <c r="GO20" s="141"/>
      <c r="GP20" s="141"/>
      <c r="GQ20" s="33" t="s">
        <v>295</v>
      </c>
      <c r="GR20" s="2667"/>
      <c r="GS20" s="1739">
        <v>0</v>
      </c>
      <c r="GT20" s="1721">
        <v>0</v>
      </c>
      <c r="GU20" s="1721">
        <v>0</v>
      </c>
      <c r="GV20" s="1721">
        <v>0</v>
      </c>
      <c r="GW20" s="54">
        <v>0</v>
      </c>
      <c r="GX20" s="2667"/>
      <c r="GY20" s="36"/>
      <c r="GZ20" s="36"/>
      <c r="HA20" s="27"/>
      <c r="HB20" s="27"/>
      <c r="HC20" s="27"/>
      <c r="HD20" s="27"/>
      <c r="HE20" s="27"/>
      <c r="HF20" s="27"/>
      <c r="HG20" s="24">
        <v>0</v>
      </c>
      <c r="HH20" s="27"/>
      <c r="HI20" s="24">
        <v>0</v>
      </c>
      <c r="HJ20" s="27"/>
      <c r="HK20" s="24">
        <v>0</v>
      </c>
      <c r="HL20" s="27"/>
      <c r="HM20" s="28">
        <f t="shared" si="120"/>
        <v>0</v>
      </c>
      <c r="HN20" s="36"/>
      <c r="HO20" s="27"/>
      <c r="HP20" s="27"/>
      <c r="HQ20" s="27"/>
      <c r="HR20" s="27"/>
      <c r="HS20" s="27"/>
      <c r="HT20" s="27">
        <f t="array" ref="HT20">SUMPRODUCT(('Data Base hauling'!$C$2:$C$2000="TCM-ROM SB1 BK05-ROM 4")*(ISNUMBER(SEARCH(TEXT('July TCM'!$B20,"00")&amp;"/03/2026",'Data Base hauling'!$E$2:$E$2000)))*'Data Base hauling'!$N$2:$N$2000)</f>
        <v>0</v>
      </c>
      <c r="HU20" s="27"/>
      <c r="HV20" s="27">
        <f t="array" ref="HV20">SUMPRODUCT(('Data Base hauling'!$C$2:$C$2000="TCM-ROM SB1 BK05-ROM 5")*(ISNUMBER(SEARCH(TEXT('July TCM'!$B20,"00")&amp;"/03/2026",'Data Base hauling'!$E$2:$E$2000)))*'Data Base hauling'!$N$2:$N$2000)</f>
        <v>0</v>
      </c>
      <c r="HW20" s="27"/>
      <c r="HX20" s="27"/>
      <c r="HY20" s="27"/>
      <c r="HZ20" s="27"/>
      <c r="IA20" s="27"/>
      <c r="IB20" s="33">
        <f t="shared" si="49"/>
        <v>0</v>
      </c>
      <c r="IC20" s="52"/>
      <c r="ID20" s="152"/>
      <c r="IE20" s="53"/>
      <c r="IF20" s="53"/>
      <c r="IG20" s="53"/>
      <c r="IH20" s="53"/>
      <c r="II20" s="1926">
        <v>0</v>
      </c>
      <c r="IJ20" s="1736"/>
      <c r="IK20" s="1926">
        <v>0</v>
      </c>
      <c r="IL20" s="53"/>
      <c r="IM20" s="49">
        <v>0</v>
      </c>
      <c r="IN20" s="53"/>
      <c r="IO20" s="53"/>
      <c r="IP20" s="49">
        <v>0</v>
      </c>
      <c r="IQ20" s="2195">
        <f t="shared" si="121"/>
        <v>0</v>
      </c>
      <c r="IR20" s="36"/>
      <c r="IS20" s="36"/>
      <c r="IT20" s="27"/>
      <c r="IU20" s="27"/>
      <c r="IV20" s="53"/>
      <c r="IW20" s="27"/>
      <c r="IX20" s="24">
        <v>0</v>
      </c>
      <c r="IY20" s="27"/>
      <c r="IZ20" s="24">
        <v>0</v>
      </c>
      <c r="JA20" s="27"/>
      <c r="JB20" s="24">
        <v>0</v>
      </c>
      <c r="JC20" s="27"/>
      <c r="JD20" s="27"/>
      <c r="JE20" s="27"/>
      <c r="JF20" s="33">
        <f t="shared" si="122"/>
        <v>0</v>
      </c>
      <c r="JG20" s="2667"/>
      <c r="JI20" s="2014">
        <v>0</v>
      </c>
      <c r="JJ20" s="2015">
        <v>0</v>
      </c>
      <c r="JK20" s="53"/>
      <c r="JL20" s="1736">
        <f t="shared" si="52"/>
        <v>0</v>
      </c>
      <c r="JM20" s="33"/>
      <c r="JN20" s="2669"/>
      <c r="JO20" s="66" t="s">
        <v>296</v>
      </c>
      <c r="JP20" s="67" t="s">
        <v>296</v>
      </c>
      <c r="JQ20" s="67" t="s">
        <v>296</v>
      </c>
      <c r="JR20" s="67" t="s">
        <v>296</v>
      </c>
      <c r="JS20" s="67" t="s">
        <v>296</v>
      </c>
      <c r="JT20" s="67" t="s">
        <v>296</v>
      </c>
      <c r="JU20" s="67" t="s">
        <v>296</v>
      </c>
      <c r="JV20" s="1921">
        <v>0</v>
      </c>
      <c r="JW20" s="66" t="s">
        <v>296</v>
      </c>
      <c r="JX20" s="67" t="s">
        <v>296</v>
      </c>
      <c r="JY20" s="67" t="s">
        <v>296</v>
      </c>
      <c r="JZ20" s="67" t="s">
        <v>296</v>
      </c>
      <c r="KA20" s="67" t="s">
        <v>296</v>
      </c>
      <c r="KB20" s="67" t="s">
        <v>296</v>
      </c>
      <c r="KC20" s="67" t="s">
        <v>296</v>
      </c>
      <c r="KD20" s="68" t="s">
        <v>296</v>
      </c>
      <c r="KE20" s="69"/>
      <c r="KF20" s="70"/>
      <c r="KG20" s="70"/>
      <c r="KH20" s="70"/>
      <c r="KI20" s="70"/>
      <c r="KJ20" s="70"/>
      <c r="KK20" s="70"/>
      <c r="KL20" s="70"/>
      <c r="KM20" s="33"/>
      <c r="KN20" s="2669"/>
      <c r="KO20" s="2203">
        <v>0</v>
      </c>
      <c r="KP20" s="1721">
        <v>0</v>
      </c>
      <c r="KQ20" s="1721">
        <v>0</v>
      </c>
      <c r="KR20" s="1721">
        <v>0</v>
      </c>
      <c r="KS20" s="1722">
        <v>0</v>
      </c>
      <c r="KT20" s="1958">
        <v>0</v>
      </c>
      <c r="KU20" s="1961">
        <v>0</v>
      </c>
      <c r="KV20" s="1961">
        <v>0</v>
      </c>
      <c r="KW20" s="1961">
        <v>0</v>
      </c>
      <c r="KX20" s="1962">
        <v>0</v>
      </c>
      <c r="KY20" s="36"/>
      <c r="KZ20" s="53"/>
      <c r="LA20" s="53"/>
      <c r="LB20" s="53"/>
      <c r="LC20" s="53"/>
      <c r="LD20" s="33"/>
      <c r="LE20" s="2669"/>
      <c r="LG20" s="26">
        <f t="shared" si="53"/>
        <v>15792.386000000002</v>
      </c>
      <c r="LH20" s="27">
        <f t="shared" si="53"/>
        <v>11459.604000000001</v>
      </c>
      <c r="LI20" s="27">
        <f t="shared" si="53"/>
        <v>0</v>
      </c>
      <c r="LJ20" s="28">
        <f t="shared" si="54"/>
        <v>27251.990000000005</v>
      </c>
      <c r="LK20" s="36">
        <v>4</v>
      </c>
      <c r="LL20" s="27"/>
      <c r="LM20" s="27">
        <v>5</v>
      </c>
      <c r="LN20" s="33"/>
      <c r="LO20" s="1041">
        <v>3.68</v>
      </c>
      <c r="LP20" s="486"/>
      <c r="LQ20" s="2688"/>
      <c r="LR20" s="36"/>
      <c r="LS20" s="36"/>
      <c r="LT20" s="27"/>
      <c r="LU20" s="27"/>
      <c r="LV20" s="27"/>
      <c r="LW20" s="1117">
        <f t="shared" si="55"/>
        <v>0</v>
      </c>
      <c r="LX20" s="36">
        <v>15792.386000000002</v>
      </c>
      <c r="LY20" s="36">
        <v>11459.604000000001</v>
      </c>
      <c r="LZ20" s="277"/>
      <c r="MA20" s="27"/>
      <c r="MB20" s="33"/>
      <c r="MC20" s="28">
        <f t="shared" si="56"/>
        <v>27251.990000000005</v>
      </c>
      <c r="MD20" s="26"/>
      <c r="ME20" s="36"/>
      <c r="MF20" s="27"/>
      <c r="MG20" s="27"/>
      <c r="MH20" s="27"/>
      <c r="MI20" s="28"/>
      <c r="MJ20" s="36"/>
      <c r="MK20" s="36"/>
      <c r="ML20" s="27"/>
      <c r="MM20" s="27"/>
      <c r="MN20" s="27"/>
      <c r="MO20" s="28"/>
      <c r="MP20" s="36"/>
      <c r="MQ20" s="36"/>
      <c r="MR20" s="27"/>
      <c r="MS20" s="27"/>
      <c r="MT20" s="27"/>
      <c r="MU20" s="33">
        <f t="shared" si="57"/>
        <v>0</v>
      </c>
      <c r="MV20" s="2688"/>
      <c r="MX20" s="26">
        <f t="shared" si="58"/>
        <v>160153.77197881002</v>
      </c>
      <c r="MY20" s="27">
        <f t="shared" si="59"/>
        <v>270241.07079257304</v>
      </c>
      <c r="MZ20" s="27">
        <f t="shared" si="60"/>
        <v>21748.695210117308</v>
      </c>
      <c r="NA20" s="28">
        <f t="shared" si="61"/>
        <v>324850.19760218996</v>
      </c>
      <c r="NB20" s="2621"/>
      <c r="NC20" s="23">
        <f t="shared" si="62"/>
        <v>97240.430526070006</v>
      </c>
      <c r="ND20" s="1655">
        <f t="shared" si="63"/>
        <v>62913.341452740009</v>
      </c>
      <c r="NE20" s="60">
        <f t="shared" si="64"/>
        <v>0</v>
      </c>
      <c r="NF20" s="275">
        <f t="shared" si="4"/>
        <v>160153.77197881002</v>
      </c>
      <c r="NG20" s="26">
        <f t="shared" si="65"/>
        <v>0</v>
      </c>
      <c r="NH20" s="27">
        <f t="shared" si="65"/>
        <v>0</v>
      </c>
      <c r="NI20" s="27">
        <f t="shared" si="65"/>
        <v>0</v>
      </c>
      <c r="NJ20" s="27">
        <f t="shared" si="65"/>
        <v>0</v>
      </c>
      <c r="NK20" s="27">
        <f t="shared" si="65"/>
        <v>0</v>
      </c>
      <c r="NL20" s="33">
        <f t="shared" si="65"/>
        <v>0</v>
      </c>
      <c r="NM20" s="27">
        <f t="shared" si="65"/>
        <v>0</v>
      </c>
      <c r="NN20" s="36">
        <f t="shared" si="65"/>
        <v>0</v>
      </c>
      <c r="NO20" s="24">
        <f t="shared" si="65"/>
        <v>20470.960671164179</v>
      </c>
      <c r="NP20" s="27">
        <f t="shared" si="65"/>
        <v>24549.88002237798</v>
      </c>
      <c r="NQ20" s="24">
        <f t="shared" si="110"/>
        <v>8756.5482322711578</v>
      </c>
      <c r="NR20" s="24">
        <f t="shared" si="111"/>
        <v>18093.851351487181</v>
      </c>
      <c r="NS20" s="27">
        <f t="shared" si="0"/>
        <v>71871.240277300501</v>
      </c>
      <c r="NT20" s="27">
        <f t="shared" si="66"/>
        <v>0</v>
      </c>
      <c r="NU20" s="27">
        <f t="shared" si="66"/>
        <v>0</v>
      </c>
      <c r="NV20" s="27">
        <f t="shared" si="66"/>
        <v>0</v>
      </c>
      <c r="NW20" s="27">
        <f t="shared" si="66"/>
        <v>0</v>
      </c>
      <c r="NX20" s="27">
        <f t="shared" si="66"/>
        <v>0</v>
      </c>
      <c r="NY20" s="27">
        <f t="shared" si="66"/>
        <v>0</v>
      </c>
      <c r="NZ20" s="27">
        <f t="shared" si="66"/>
        <v>20098.268814178835</v>
      </c>
      <c r="OA20" s="27">
        <f t="shared" si="66"/>
        <v>0</v>
      </c>
      <c r="OB20" s="27">
        <f t="shared" si="66"/>
        <v>101346.94936597258</v>
      </c>
      <c r="OC20" s="280"/>
      <c r="OD20" s="24">
        <f t="shared" si="67"/>
        <v>0</v>
      </c>
      <c r="OE20" s="27">
        <f t="shared" si="67"/>
        <v>0</v>
      </c>
      <c r="OF20" s="28">
        <f t="shared" si="1"/>
        <v>121445.21818015142</v>
      </c>
      <c r="OG20" s="27">
        <f t="shared" si="68"/>
        <v>0</v>
      </c>
      <c r="OH20" s="27">
        <f t="shared" si="68"/>
        <v>0</v>
      </c>
      <c r="OI20" s="27">
        <v>0</v>
      </c>
      <c r="OJ20" s="27">
        <f t="shared" si="68"/>
        <v>0</v>
      </c>
      <c r="OK20" s="27">
        <f t="shared" si="68"/>
        <v>0</v>
      </c>
      <c r="OL20" s="27">
        <f t="shared" si="68"/>
        <v>0</v>
      </c>
      <c r="OM20" s="24">
        <f t="shared" si="68"/>
        <v>0</v>
      </c>
      <c r="ON20" s="27">
        <f t="shared" si="68"/>
        <v>0</v>
      </c>
      <c r="OO20" s="24">
        <f t="shared" si="118"/>
        <v>50531.845076326244</v>
      </c>
      <c r="OP20" s="27">
        <f t="shared" si="68"/>
        <v>0</v>
      </c>
      <c r="OQ20" s="24">
        <f t="shared" si="68"/>
        <v>26392.767258794844</v>
      </c>
      <c r="OR20" s="27">
        <f t="shared" si="68"/>
        <v>0</v>
      </c>
      <c r="OS20" s="28">
        <f t="shared" si="2"/>
        <v>76924.612335121084</v>
      </c>
      <c r="OT20" s="36"/>
      <c r="OU20" s="27"/>
      <c r="OV20" s="27"/>
      <c r="OW20" s="27"/>
      <c r="OX20" s="27"/>
      <c r="OY20" s="27"/>
      <c r="OZ20" s="28">
        <f t="shared" si="69"/>
        <v>0</v>
      </c>
      <c r="PA20" s="36">
        <f t="shared" si="70"/>
        <v>0</v>
      </c>
      <c r="PB20" s="27">
        <f t="shared" si="71"/>
        <v>0</v>
      </c>
      <c r="PC20" s="27">
        <f t="shared" si="72"/>
        <v>0</v>
      </c>
      <c r="PD20" s="27">
        <f t="shared" si="73"/>
        <v>0</v>
      </c>
      <c r="PE20" s="24"/>
      <c r="PF20" s="27">
        <f t="shared" si="74"/>
        <v>0</v>
      </c>
      <c r="PG20" s="33">
        <f t="shared" si="3"/>
        <v>0</v>
      </c>
      <c r="PH20" s="2621"/>
      <c r="PJ20" s="1907">
        <v>1892.38</v>
      </c>
      <c r="PK20" s="1101">
        <v>584.5</v>
      </c>
      <c r="PL20" s="1101">
        <v>167</v>
      </c>
      <c r="PM20" s="3">
        <v>0</v>
      </c>
      <c r="PN20" s="3">
        <f t="shared" si="75"/>
        <v>32624.823504658714</v>
      </c>
      <c r="PO20" s="11">
        <f t="shared" si="76"/>
        <v>21748.695210117308</v>
      </c>
      <c r="PP20" s="15"/>
      <c r="PQ20" s="2615"/>
      <c r="PS20" s="4"/>
      <c r="PT20" s="9"/>
      <c r="PU20" s="9"/>
      <c r="PV20" s="9"/>
      <c r="PW20" s="8">
        <v>0</v>
      </c>
      <c r="PX20" s="9"/>
      <c r="PY20" s="8">
        <f t="shared" si="77"/>
        <v>0</v>
      </c>
      <c r="PZ20" s="5">
        <f t="shared" si="78"/>
        <v>1892.38</v>
      </c>
      <c r="QA20" s="5"/>
      <c r="QB20" s="5"/>
      <c r="QC20" s="5"/>
      <c r="QD20" s="5"/>
      <c r="QE20" s="5"/>
      <c r="QF20" s="12"/>
      <c r="QG20" s="12">
        <f t="shared" si="79"/>
        <v>29562.488999999998</v>
      </c>
      <c r="QH20" s="420">
        <f t="shared" si="80"/>
        <v>293067.75180818996</v>
      </c>
      <c r="QI20" s="1106">
        <f t="shared" si="113"/>
        <v>2219.9567940000002</v>
      </c>
      <c r="QJ20" s="484">
        <f t="shared" si="81"/>
        <v>5505.3678056099998</v>
      </c>
      <c r="QK20" s="12"/>
      <c r="QL20" s="2615"/>
      <c r="QN20" s="139" t="str">
        <f t="shared" si="82"/>
        <v/>
      </c>
      <c r="QO20" s="139" t="str">
        <f t="shared" si="83"/>
        <v/>
      </c>
      <c r="QQ20" s="139" t="str">
        <f t="shared" si="84"/>
        <v/>
      </c>
      <c r="QR20" s="139" t="str">
        <f t="shared" si="85"/>
        <v/>
      </c>
      <c r="QT20" s="1">
        <f t="shared" si="86"/>
        <v>0</v>
      </c>
      <c r="QU20" s="1">
        <f t="shared" si="87"/>
        <v>0</v>
      </c>
      <c r="QV20" s="1">
        <f t="shared" si="88"/>
        <v>0</v>
      </c>
      <c r="QW20" s="1">
        <f t="shared" si="89"/>
        <v>0</v>
      </c>
      <c r="QX20" s="1">
        <f t="shared" si="90"/>
        <v>0</v>
      </c>
      <c r="QY20" s="1">
        <f t="shared" si="91"/>
        <v>0</v>
      </c>
      <c r="RA20" s="1">
        <f t="shared" si="92"/>
        <v>0</v>
      </c>
      <c r="RB20" s="1">
        <f t="shared" si="93"/>
        <v>0</v>
      </c>
      <c r="RC20" s="1">
        <f t="shared" si="94"/>
        <v>0</v>
      </c>
      <c r="RD20" s="1">
        <f t="shared" si="95"/>
        <v>0</v>
      </c>
      <c r="RE20" s="1">
        <f t="shared" si="96"/>
        <v>0</v>
      </c>
      <c r="RF20" s="1">
        <f t="shared" si="97"/>
        <v>0</v>
      </c>
      <c r="RI20" s="1">
        <v>11</v>
      </c>
      <c r="RJ20" s="1">
        <f t="shared" si="123"/>
        <v>-9807.9407902829043</v>
      </c>
      <c r="RK20" s="1">
        <f t="shared" si="123"/>
        <v>-6385.5022195162828</v>
      </c>
      <c r="RL20" s="1">
        <f t="shared" si="123"/>
        <v>13404.263703387322</v>
      </c>
      <c r="RM20" s="89">
        <f t="shared" si="5"/>
        <v>-2789.1793064118647</v>
      </c>
      <c r="RN20" s="1033">
        <v>11</v>
      </c>
      <c r="RO20" s="1098">
        <v>0</v>
      </c>
      <c r="RP20" s="1098">
        <f t="shared" si="99"/>
        <v>0</v>
      </c>
      <c r="RQ20" s="1097">
        <f t="shared" si="99"/>
        <v>0</v>
      </c>
      <c r="RR20" s="1097">
        <f t="shared" si="114"/>
        <v>9938.06</v>
      </c>
      <c r="RS20" s="1109"/>
      <c r="RT20" s="1046" t="s">
        <v>1031</v>
      </c>
      <c r="RW20" s="421">
        <v>11</v>
      </c>
      <c r="RX20" s="1095">
        <f t="shared" si="100"/>
        <v>0</v>
      </c>
      <c r="RY20" s="1046" t="s">
        <v>295</v>
      </c>
      <c r="SA20" s="1090"/>
      <c r="SB20" s="1090">
        <f t="shared" si="101"/>
        <v>0</v>
      </c>
      <c r="SC20" s="1090"/>
      <c r="SD20" s="1090">
        <f t="shared" si="124"/>
        <v>0</v>
      </c>
      <c r="SF20" s="1">
        <v>11</v>
      </c>
      <c r="SG20" s="1">
        <f t="shared" si="103"/>
        <v>0</v>
      </c>
      <c r="SH20" s="1094"/>
    </row>
    <row r="21" spans="1:502" s="1" customFormat="1" ht="16.95" customHeight="1">
      <c r="B21" s="471">
        <v>12</v>
      </c>
      <c r="C21" s="4">
        <f t="shared" si="6"/>
        <v>149407</v>
      </c>
      <c r="D21" s="1590">
        <f t="shared" si="119"/>
        <v>11966.019999999999</v>
      </c>
      <c r="E21" s="1895">
        <f t="shared" si="7"/>
        <v>12.485939351597274</v>
      </c>
      <c r="F21" s="870"/>
      <c r="G21" s="870"/>
      <c r="H21" s="52"/>
      <c r="I21" s="61"/>
      <c r="J21" s="52"/>
      <c r="K21" s="54"/>
      <c r="L21" s="52"/>
      <c r="M21" s="61"/>
      <c r="N21" s="2629"/>
      <c r="O21" s="4">
        <f t="shared" si="117"/>
        <v>94060</v>
      </c>
      <c r="P21" s="1225">
        <f t="shared" si="8"/>
        <v>7813.7799999999988</v>
      </c>
      <c r="Q21" s="1913">
        <f t="shared" si="9"/>
        <v>12.037707741963558</v>
      </c>
      <c r="R21" s="33"/>
      <c r="S21" s="26">
        <f t="shared" si="10"/>
        <v>30996</v>
      </c>
      <c r="T21" s="27">
        <f t="shared" si="105"/>
        <v>1932.2400000000002</v>
      </c>
      <c r="U21" s="1909">
        <f t="shared" si="11"/>
        <v>16.041485529747856</v>
      </c>
      <c r="V21" s="28"/>
      <c r="W21" s="1742">
        <f t="shared" si="12"/>
        <v>19211</v>
      </c>
      <c r="X21" s="5">
        <f t="shared" si="12"/>
        <v>2220</v>
      </c>
      <c r="Y21" s="1909">
        <f t="shared" si="13"/>
        <v>8.653603603603603</v>
      </c>
      <c r="Z21" s="33"/>
      <c r="AA21" s="26">
        <f t="shared" si="14"/>
        <v>5140</v>
      </c>
      <c r="AB21" s="27">
        <f t="shared" si="15"/>
        <v>0</v>
      </c>
      <c r="AC21" s="1909">
        <f t="shared" si="16"/>
        <v>0</v>
      </c>
      <c r="AD21" s="28"/>
      <c r="AE21" s="36"/>
      <c r="AF21" s="36"/>
      <c r="AG21" s="53">
        <f t="shared" si="17"/>
        <v>0</v>
      </c>
      <c r="AH21" s="28"/>
      <c r="AI21" s="26"/>
      <c r="AJ21" s="27"/>
      <c r="AK21" s="53">
        <f t="shared" si="18"/>
        <v>0</v>
      </c>
      <c r="AL21" s="28"/>
      <c r="AM21" s="2629"/>
      <c r="AN21" s="9"/>
      <c r="AO21" s="5"/>
      <c r="AP21" s="61">
        <f t="shared" si="19"/>
        <v>0</v>
      </c>
      <c r="AQ21" s="36"/>
      <c r="AR21" s="53"/>
      <c r="AS21" s="61">
        <f t="shared" si="20"/>
        <v>0</v>
      </c>
      <c r="AT21" s="36">
        <v>0</v>
      </c>
      <c r="AU21" s="27"/>
      <c r="AV21" s="54">
        <f t="shared" si="21"/>
        <v>0</v>
      </c>
      <c r="AW21" s="26">
        <v>49770</v>
      </c>
      <c r="AX21" s="24">
        <v>4394.8</v>
      </c>
      <c r="AY21" s="1895">
        <f t="shared" si="115"/>
        <v>11.324747428779466</v>
      </c>
      <c r="AZ21" s="1908"/>
      <c r="BA21" s="1909"/>
      <c r="BB21" s="1895">
        <f t="shared" si="22"/>
        <v>0</v>
      </c>
      <c r="BC21" s="1740">
        <v>44290</v>
      </c>
      <c r="BD21" s="1926">
        <v>3418.9799999999991</v>
      </c>
      <c r="BE21" s="1895">
        <f t="shared" si="23"/>
        <v>12.954155917846846</v>
      </c>
      <c r="BF21" s="1908"/>
      <c r="BG21" s="1909"/>
      <c r="BH21" s="1895">
        <f t="shared" si="24"/>
        <v>0</v>
      </c>
      <c r="BI21" s="1908">
        <v>0</v>
      </c>
      <c r="BJ21" s="1909">
        <v>0</v>
      </c>
      <c r="BK21" s="1895">
        <f t="shared" si="25"/>
        <v>0</v>
      </c>
      <c r="BL21" s="1742">
        <v>30996</v>
      </c>
      <c r="BM21" s="1736">
        <v>1932.2400000000002</v>
      </c>
      <c r="BN21" s="2170"/>
      <c r="BO21" s="1920">
        <f t="shared" si="26"/>
        <v>16.041485529747856</v>
      </c>
      <c r="BP21" s="9">
        <v>5140</v>
      </c>
      <c r="BQ21" s="49">
        <v>0</v>
      </c>
      <c r="BR21" s="1920">
        <f t="shared" si="27"/>
        <v>0</v>
      </c>
      <c r="BS21" s="9"/>
      <c r="BT21" s="53"/>
      <c r="BU21" s="482">
        <f t="shared" si="28"/>
        <v>0</v>
      </c>
      <c r="BV21" s="9">
        <v>19211</v>
      </c>
      <c r="BW21" s="27">
        <f t="shared" si="106"/>
        <v>2220</v>
      </c>
      <c r="BX21" s="1051">
        <f t="shared" si="29"/>
        <v>8.653603603603603</v>
      </c>
      <c r="BY21" s="26"/>
      <c r="BZ21" s="27"/>
      <c r="CA21" s="482">
        <f t="shared" si="30"/>
        <v>0</v>
      </c>
      <c r="CB21" s="9"/>
      <c r="CC21" s="481"/>
      <c r="CD21" s="482">
        <f t="shared" si="31"/>
        <v>0</v>
      </c>
      <c r="CE21" s="4"/>
      <c r="CF21" s="5"/>
      <c r="CG21" s="28">
        <f t="shared" si="32"/>
        <v>0</v>
      </c>
      <c r="CH21" s="150"/>
      <c r="CI21" s="4"/>
      <c r="CJ21" s="5"/>
      <c r="CK21" s="5">
        <v>2700</v>
      </c>
      <c r="CL21" s="5"/>
      <c r="CM21" s="5"/>
      <c r="CN21" s="5">
        <f t="shared" si="33"/>
        <v>2700</v>
      </c>
      <c r="CO21" s="33"/>
      <c r="CP21" s="366"/>
      <c r="CR21" s="4">
        <f t="shared" si="34"/>
        <v>0</v>
      </c>
      <c r="CS21" s="9">
        <f t="shared" si="34"/>
        <v>0</v>
      </c>
      <c r="CT21" s="5">
        <f t="shared" si="34"/>
        <v>0</v>
      </c>
      <c r="CU21" s="5">
        <f t="shared" si="34"/>
        <v>0</v>
      </c>
      <c r="CV21" s="5">
        <f t="shared" si="34"/>
        <v>0</v>
      </c>
      <c r="CW21" s="5">
        <f t="shared" si="34"/>
        <v>0</v>
      </c>
      <c r="CX21" s="5">
        <f t="shared" si="34"/>
        <v>1797.76</v>
      </c>
      <c r="CY21" s="5">
        <f t="shared" si="34"/>
        <v>0</v>
      </c>
      <c r="CZ21" s="5">
        <f t="shared" si="34"/>
        <v>7878.2199999999993</v>
      </c>
      <c r="DA21" s="5">
        <f t="shared" si="34"/>
        <v>0</v>
      </c>
      <c r="DB21" s="5">
        <f t="shared" si="34"/>
        <v>2290.04</v>
      </c>
      <c r="DC21" s="12">
        <f t="shared" si="34"/>
        <v>0</v>
      </c>
      <c r="DD21" s="310">
        <f t="shared" si="35"/>
        <v>11966.02</v>
      </c>
      <c r="DE21" s="2695"/>
      <c r="DF21" s="8"/>
      <c r="DG21" s="9"/>
      <c r="DH21" s="5"/>
      <c r="DI21" s="5"/>
      <c r="DJ21" s="5"/>
      <c r="DK21" s="5"/>
      <c r="DL21" s="3">
        <v>1797.76</v>
      </c>
      <c r="DM21" s="5"/>
      <c r="DN21" s="3">
        <v>2597.04</v>
      </c>
      <c r="DO21" s="5"/>
      <c r="DP21" s="3">
        <v>0</v>
      </c>
      <c r="DQ21" s="12"/>
      <c r="DR21" s="28">
        <f t="shared" si="36"/>
        <v>4394.8</v>
      </c>
      <c r="DS21" s="36"/>
      <c r="DT21" s="36"/>
      <c r="DU21" s="53"/>
      <c r="DV21" s="27"/>
      <c r="DW21" s="5"/>
      <c r="DX21" s="5"/>
      <c r="DY21" s="5"/>
      <c r="DZ21" s="5"/>
      <c r="EA21" s="3">
        <v>3661.18</v>
      </c>
      <c r="EB21" s="27"/>
      <c r="EC21" s="24">
        <v>1690.0400000000002</v>
      </c>
      <c r="ED21" s="33"/>
      <c r="EE21" s="28">
        <f t="shared" si="37"/>
        <v>5351.22</v>
      </c>
      <c r="EF21" s="9"/>
      <c r="EG21" s="36"/>
      <c r="EH21" s="5"/>
      <c r="EI21" s="313"/>
      <c r="EJ21" s="27"/>
      <c r="EK21" s="27"/>
      <c r="EL21" s="27"/>
      <c r="EM21" s="27"/>
      <c r="EN21" s="5">
        <v>1620</v>
      </c>
      <c r="EO21" s="5"/>
      <c r="EP21" s="5">
        <v>600</v>
      </c>
      <c r="EQ21" s="33"/>
      <c r="ER21" s="28">
        <f t="shared" si="38"/>
        <v>2220</v>
      </c>
      <c r="ES21" s="36"/>
      <c r="ET21" s="27"/>
      <c r="EU21" s="27"/>
      <c r="EV21" s="27"/>
      <c r="EW21" s="27"/>
      <c r="EX21" s="27"/>
      <c r="EY21" s="33">
        <f t="shared" si="39"/>
        <v>0</v>
      </c>
      <c r="EZ21" s="2685"/>
      <c r="FB21" s="4">
        <f t="shared" si="40"/>
        <v>0</v>
      </c>
      <c r="FC21" s="5">
        <f t="shared" si="41"/>
        <v>0</v>
      </c>
      <c r="FD21" s="5">
        <f t="shared" si="42"/>
        <v>0</v>
      </c>
      <c r="FE21" s="12">
        <f t="shared" si="43"/>
        <v>0</v>
      </c>
      <c r="FF21" s="33"/>
      <c r="FG21" s="2674"/>
      <c r="FH21" s="9"/>
      <c r="FI21" s="5"/>
      <c r="FJ21" s="5"/>
      <c r="FK21" s="5"/>
      <c r="FL21" s="5"/>
      <c r="FM21" s="27"/>
      <c r="FN21" s="28">
        <f t="shared" si="44"/>
        <v>0</v>
      </c>
      <c r="FO21" s="36"/>
      <c r="FP21" s="27"/>
      <c r="FQ21" s="27"/>
      <c r="FR21" s="27"/>
      <c r="FS21" s="27"/>
      <c r="FT21" s="27"/>
      <c r="FU21" s="28">
        <f t="shared" si="45"/>
        <v>0</v>
      </c>
      <c r="FV21" s="36"/>
      <c r="FW21" s="36"/>
      <c r="FX21" s="27"/>
      <c r="FY21" s="27"/>
      <c r="FZ21" s="27"/>
      <c r="GA21" s="27"/>
      <c r="GB21" s="27"/>
      <c r="GC21" s="27"/>
      <c r="GD21" s="24">
        <v>0</v>
      </c>
      <c r="GE21" s="27"/>
      <c r="GF21" s="27"/>
      <c r="GG21" s="33"/>
      <c r="GH21" s="33">
        <f t="shared" si="46"/>
        <v>0</v>
      </c>
      <c r="GI21" s="2674"/>
      <c r="GK21" s="2">
        <f t="shared" si="107"/>
        <v>3943.1</v>
      </c>
      <c r="GL21" s="63">
        <f t="shared" si="108"/>
        <v>3964.0800000000008</v>
      </c>
      <c r="GM21" s="24">
        <f t="shared" si="109"/>
        <v>5122.43</v>
      </c>
      <c r="GN21" s="1736">
        <f t="shared" si="47"/>
        <v>13029.61</v>
      </c>
      <c r="GO21" s="141"/>
      <c r="GP21" s="141"/>
      <c r="GQ21" s="33"/>
      <c r="GR21" s="2667"/>
      <c r="GS21" s="1739">
        <v>0</v>
      </c>
      <c r="GT21" s="1721">
        <v>364.07000000000005</v>
      </c>
      <c r="GU21" s="1721">
        <v>5409.4299999999994</v>
      </c>
      <c r="GV21" s="1721">
        <v>7256.11</v>
      </c>
      <c r="GW21" s="54">
        <v>13029.609999999999</v>
      </c>
      <c r="GX21" s="2667"/>
      <c r="GY21" s="36"/>
      <c r="GZ21" s="36"/>
      <c r="HA21" s="27"/>
      <c r="HB21" s="27"/>
      <c r="HC21" s="27"/>
      <c r="HD21" s="27"/>
      <c r="HE21" s="27"/>
      <c r="HF21" s="27"/>
      <c r="HG21" s="24">
        <v>3579.0299999999997</v>
      </c>
      <c r="HH21" s="27"/>
      <c r="HI21" s="24">
        <v>0</v>
      </c>
      <c r="HJ21" s="27"/>
      <c r="HK21" s="24">
        <v>364.07000000000005</v>
      </c>
      <c r="HL21" s="27"/>
      <c r="HM21" s="28">
        <f t="shared" si="120"/>
        <v>3943.1</v>
      </c>
      <c r="HN21" s="36"/>
      <c r="HO21" s="27"/>
      <c r="HP21" s="27"/>
      <c r="HQ21" s="27"/>
      <c r="HR21" s="27"/>
      <c r="HS21" s="27"/>
      <c r="HT21" s="27">
        <f t="array" ref="HT21">SUMPRODUCT(('Data Base hauling'!$C$2:$C$2000="TCM-ROM SB1 BK05-ROM 4")*(ISNUMBER(SEARCH(TEXT('July TCM'!$B21,"00")&amp;"/03/2026",'Data Base hauling'!$E$2:$E$2000)))*'Data Base hauling'!$N$2:$N$2000)</f>
        <v>0</v>
      </c>
      <c r="HU21" s="27"/>
      <c r="HV21" s="27">
        <f t="array" ref="HV21">SUMPRODUCT(('Data Base hauling'!$C$2:$C$2000="TCM-ROM SB1 BK05-ROM 5")*(ISNUMBER(SEARCH(TEXT('July TCM'!$B21,"00")&amp;"/03/2026",'Data Base hauling'!$E$2:$E$2000)))*'Data Base hauling'!$N$2:$N$2000)</f>
        <v>0</v>
      </c>
      <c r="HW21" s="27"/>
      <c r="HX21" s="27"/>
      <c r="HY21" s="27"/>
      <c r="HZ21" s="27"/>
      <c r="IA21" s="27"/>
      <c r="IB21" s="33">
        <f t="shared" si="49"/>
        <v>0</v>
      </c>
      <c r="IC21" s="52"/>
      <c r="ID21" s="152"/>
      <c r="IE21" s="53"/>
      <c r="IF21" s="53"/>
      <c r="IG21" s="53"/>
      <c r="IH21" s="53"/>
      <c r="II21" s="1926">
        <v>0</v>
      </c>
      <c r="IJ21" s="1736"/>
      <c r="IK21" s="1926">
        <v>3964.0800000000008</v>
      </c>
      <c r="IL21" s="53"/>
      <c r="IM21" s="1926">
        <v>0</v>
      </c>
      <c r="IN21" s="53"/>
      <c r="IO21" s="53"/>
      <c r="IP21" s="49">
        <v>0</v>
      </c>
      <c r="IQ21" s="2195">
        <f t="shared" si="121"/>
        <v>3964.0800000000008</v>
      </c>
      <c r="IR21" s="36"/>
      <c r="IS21" s="36"/>
      <c r="IT21" s="27"/>
      <c r="IU21" s="27"/>
      <c r="IV21" s="53"/>
      <c r="IW21" s="27"/>
      <c r="IX21" s="24">
        <v>0</v>
      </c>
      <c r="IY21" s="27"/>
      <c r="IZ21" s="24">
        <v>5122.43</v>
      </c>
      <c r="JA21" s="27"/>
      <c r="JB21" s="24">
        <v>0</v>
      </c>
      <c r="JC21" s="27"/>
      <c r="JD21" s="27"/>
      <c r="JE21" s="27"/>
      <c r="JF21" s="33">
        <f t="shared" si="122"/>
        <v>5122.43</v>
      </c>
      <c r="JG21" s="2667"/>
      <c r="JI21" s="2014">
        <v>13029.609999999999</v>
      </c>
      <c r="JJ21" s="2015">
        <v>0</v>
      </c>
      <c r="JK21" s="53"/>
      <c r="JL21" s="1736">
        <f t="shared" si="52"/>
        <v>13029.609999999999</v>
      </c>
      <c r="JM21" s="33"/>
      <c r="JN21" s="2669"/>
      <c r="JO21" s="66">
        <v>0</v>
      </c>
      <c r="JP21" s="67">
        <v>0</v>
      </c>
      <c r="JQ21" s="67">
        <v>0</v>
      </c>
      <c r="JR21" s="67">
        <v>0</v>
      </c>
      <c r="JS21" s="67">
        <v>0.97205825807526092</v>
      </c>
      <c r="JT21" s="67">
        <v>0</v>
      </c>
      <c r="JU21" s="67">
        <v>2.7941741924739121E-2</v>
      </c>
      <c r="JV21" s="1921">
        <v>0</v>
      </c>
      <c r="JW21" s="66" t="s">
        <v>296</v>
      </c>
      <c r="JX21" s="67" t="s">
        <v>296</v>
      </c>
      <c r="JY21" s="67" t="s">
        <v>296</v>
      </c>
      <c r="JZ21" s="67" t="s">
        <v>296</v>
      </c>
      <c r="KA21" s="67" t="s">
        <v>296</v>
      </c>
      <c r="KB21" s="67" t="s">
        <v>296</v>
      </c>
      <c r="KC21" s="67" t="s">
        <v>296</v>
      </c>
      <c r="KD21" s="68" t="s">
        <v>296</v>
      </c>
      <c r="KE21" s="69"/>
      <c r="KF21" s="70"/>
      <c r="KG21" s="70"/>
      <c r="KH21" s="70"/>
      <c r="KI21" s="70"/>
      <c r="KJ21" s="70"/>
      <c r="KK21" s="70"/>
      <c r="KL21" s="70"/>
      <c r="KM21" s="33"/>
      <c r="KN21" s="2669"/>
      <c r="KO21" s="2203">
        <v>7186.8299147268954</v>
      </c>
      <c r="KP21" s="1721">
        <v>0.62570177460244303</v>
      </c>
      <c r="KQ21" s="1721">
        <v>4.3754805254666982</v>
      </c>
      <c r="KR21" s="1721">
        <v>5.4670792041176925</v>
      </c>
      <c r="KS21" s="1722">
        <v>8.2934674033955602</v>
      </c>
      <c r="KT21" s="1958">
        <v>0</v>
      </c>
      <c r="KU21" s="1961">
        <v>0</v>
      </c>
      <c r="KV21" s="1961">
        <v>0</v>
      </c>
      <c r="KW21" s="1961">
        <v>0</v>
      </c>
      <c r="KX21" s="1962">
        <v>0</v>
      </c>
      <c r="KY21" s="36"/>
      <c r="KZ21" s="53"/>
      <c r="LA21" s="53"/>
      <c r="LB21" s="53"/>
      <c r="LC21" s="53"/>
      <c r="LD21" s="33"/>
      <c r="LE21" s="2669"/>
      <c r="LG21" s="26">
        <f t="shared" si="53"/>
        <v>18766.175500000001</v>
      </c>
      <c r="LH21" s="27">
        <f t="shared" si="53"/>
        <v>10690.104499999999</v>
      </c>
      <c r="LI21" s="27">
        <f t="shared" si="53"/>
        <v>0</v>
      </c>
      <c r="LJ21" s="28">
        <f t="shared" si="54"/>
        <v>29456.28</v>
      </c>
      <c r="LK21" s="36">
        <v>4</v>
      </c>
      <c r="LL21" s="27">
        <v>1</v>
      </c>
      <c r="LM21" s="27">
        <v>1</v>
      </c>
      <c r="LN21" s="33"/>
      <c r="LO21" s="1041">
        <v>2.97</v>
      </c>
      <c r="LP21" s="486"/>
      <c r="LQ21" s="2688"/>
      <c r="LR21" s="36"/>
      <c r="LS21" s="36"/>
      <c r="LT21" s="27"/>
      <c r="LU21" s="27"/>
      <c r="LV21" s="27"/>
      <c r="LW21" s="1117">
        <f t="shared" si="55"/>
        <v>0</v>
      </c>
      <c r="LX21" s="36">
        <v>18766.175500000001</v>
      </c>
      <c r="LY21" s="36">
        <v>10690.104499999999</v>
      </c>
      <c r="LZ21" s="27"/>
      <c r="MA21" s="27"/>
      <c r="MB21" s="33"/>
      <c r="MC21" s="28">
        <f t="shared" si="56"/>
        <v>29456.28</v>
      </c>
      <c r="MD21" s="26"/>
      <c r="ME21" s="36"/>
      <c r="MF21" s="27"/>
      <c r="MG21" s="27"/>
      <c r="MH21" s="27"/>
      <c r="MI21" s="28"/>
      <c r="MJ21" s="36"/>
      <c r="MK21" s="36"/>
      <c r="ML21" s="27"/>
      <c r="MM21" s="27"/>
      <c r="MN21" s="27"/>
      <c r="MO21" s="28"/>
      <c r="MP21" s="36"/>
      <c r="MQ21" s="36"/>
      <c r="MR21" s="27"/>
      <c r="MS21" s="27"/>
      <c r="MT21" s="27"/>
      <c r="MU21" s="33">
        <f t="shared" si="57"/>
        <v>0</v>
      </c>
      <c r="MV21" s="2688"/>
      <c r="MX21" s="26">
        <f t="shared" si="58"/>
        <v>143727.10197881001</v>
      </c>
      <c r="MY21" s="27">
        <f t="shared" si="59"/>
        <v>269541.55079257302</v>
      </c>
      <c r="MZ21" s="27">
        <f t="shared" si="60"/>
        <v>21597.625210117309</v>
      </c>
      <c r="NA21" s="28">
        <f t="shared" si="61"/>
        <v>323415.73760218994</v>
      </c>
      <c r="NB21" s="2621"/>
      <c r="NC21" s="23">
        <f t="shared" si="62"/>
        <v>91503.865026070009</v>
      </c>
      <c r="ND21" s="1655">
        <f t="shared" si="63"/>
        <v>52223.236952740008</v>
      </c>
      <c r="NE21" s="60">
        <f t="shared" si="64"/>
        <v>0</v>
      </c>
      <c r="NF21" s="275">
        <f t="shared" si="4"/>
        <v>143727.10197881001</v>
      </c>
      <c r="NG21" s="26">
        <f t="shared" si="65"/>
        <v>0</v>
      </c>
      <c r="NH21" s="27">
        <f t="shared" si="65"/>
        <v>0</v>
      </c>
      <c r="NI21" s="27">
        <f t="shared" si="65"/>
        <v>0</v>
      </c>
      <c r="NJ21" s="27">
        <f t="shared" si="65"/>
        <v>0</v>
      </c>
      <c r="NK21" s="27">
        <f t="shared" si="65"/>
        <v>0</v>
      </c>
      <c r="NL21" s="33">
        <f t="shared" si="65"/>
        <v>0</v>
      </c>
      <c r="NM21" s="27">
        <f t="shared" si="65"/>
        <v>0</v>
      </c>
      <c r="NN21" s="36">
        <f t="shared" si="65"/>
        <v>0</v>
      </c>
      <c r="NO21" s="24">
        <f t="shared" si="65"/>
        <v>18511.93067116418</v>
      </c>
      <c r="NP21" s="27">
        <f t="shared" si="65"/>
        <v>24549.88002237798</v>
      </c>
      <c r="NQ21" s="24">
        <f t="shared" si="110"/>
        <v>8756.5482322711578</v>
      </c>
      <c r="NR21" s="24">
        <f t="shared" si="111"/>
        <v>18693.851351487181</v>
      </c>
      <c r="NS21" s="27">
        <f t="shared" si="0"/>
        <v>70512.210277300503</v>
      </c>
      <c r="NT21" s="27">
        <f t="shared" si="66"/>
        <v>0</v>
      </c>
      <c r="NU21" s="27">
        <f t="shared" si="66"/>
        <v>0</v>
      </c>
      <c r="NV21" s="27">
        <f t="shared" si="66"/>
        <v>0</v>
      </c>
      <c r="NW21" s="27">
        <f t="shared" si="66"/>
        <v>0</v>
      </c>
      <c r="NX21" s="27">
        <f t="shared" si="66"/>
        <v>0</v>
      </c>
      <c r="NY21" s="27">
        <f t="shared" si="66"/>
        <v>0</v>
      </c>
      <c r="NZ21" s="27">
        <f t="shared" si="66"/>
        <v>21896.028814178833</v>
      </c>
      <c r="OA21" s="27">
        <f t="shared" si="66"/>
        <v>0</v>
      </c>
      <c r="OB21" s="27">
        <f t="shared" si="66"/>
        <v>99979.909365972577</v>
      </c>
      <c r="OC21" s="280"/>
      <c r="OD21" s="24">
        <f t="shared" si="67"/>
        <v>0</v>
      </c>
      <c r="OE21" s="27">
        <f t="shared" si="67"/>
        <v>0</v>
      </c>
      <c r="OF21" s="28">
        <f t="shared" si="1"/>
        <v>121875.93818015141</v>
      </c>
      <c r="OG21" s="27">
        <f t="shared" si="68"/>
        <v>0</v>
      </c>
      <c r="OH21" s="27">
        <f t="shared" si="68"/>
        <v>0</v>
      </c>
      <c r="OI21" s="27">
        <f>+OI20+DU21+FX21-IT21</f>
        <v>0</v>
      </c>
      <c r="OJ21" s="27">
        <f t="shared" si="68"/>
        <v>0</v>
      </c>
      <c r="OK21" s="27">
        <f t="shared" si="68"/>
        <v>0</v>
      </c>
      <c r="OL21" s="27">
        <f t="shared" si="68"/>
        <v>0</v>
      </c>
      <c r="OM21" s="24">
        <f t="shared" si="68"/>
        <v>0</v>
      </c>
      <c r="ON21" s="27">
        <f t="shared" si="68"/>
        <v>0</v>
      </c>
      <c r="OO21" s="24">
        <f t="shared" si="118"/>
        <v>49070.595076326244</v>
      </c>
      <c r="OP21" s="27">
        <f t="shared" si="68"/>
        <v>0</v>
      </c>
      <c r="OQ21" s="24">
        <f t="shared" si="68"/>
        <v>28082.807258794845</v>
      </c>
      <c r="OR21" s="27">
        <f t="shared" si="68"/>
        <v>0</v>
      </c>
      <c r="OS21" s="28">
        <f t="shared" si="2"/>
        <v>77153.402335121093</v>
      </c>
      <c r="OT21" s="36"/>
      <c r="OU21" s="27"/>
      <c r="OV21" s="27"/>
      <c r="OW21" s="27"/>
      <c r="OX21" s="27"/>
      <c r="OY21" s="27"/>
      <c r="OZ21" s="28">
        <f t="shared" si="69"/>
        <v>0</v>
      </c>
      <c r="PA21" s="36">
        <f t="shared" si="70"/>
        <v>0</v>
      </c>
      <c r="PB21" s="27">
        <f t="shared" si="71"/>
        <v>0</v>
      </c>
      <c r="PC21" s="27">
        <f t="shared" si="72"/>
        <v>0</v>
      </c>
      <c r="PD21" s="27">
        <f t="shared" si="73"/>
        <v>0</v>
      </c>
      <c r="PE21" s="24"/>
      <c r="PF21" s="27">
        <f t="shared" si="74"/>
        <v>0</v>
      </c>
      <c r="PG21" s="33">
        <f t="shared" si="3"/>
        <v>0</v>
      </c>
      <c r="PH21" s="2621"/>
      <c r="PJ21" s="1907">
        <v>1434.46</v>
      </c>
      <c r="PK21" s="1101">
        <v>745.5</v>
      </c>
      <c r="PL21" s="1101">
        <v>213</v>
      </c>
      <c r="PM21" s="3">
        <v>364.07000000000005</v>
      </c>
      <c r="PN21" s="3">
        <f t="shared" si="75"/>
        <v>33313.783504658713</v>
      </c>
      <c r="PO21" s="11">
        <f t="shared" si="76"/>
        <v>21597.625210117309</v>
      </c>
      <c r="PP21" s="15"/>
      <c r="PQ21" s="2615"/>
      <c r="PS21" s="4"/>
      <c r="PT21" s="9"/>
      <c r="PU21" s="9"/>
      <c r="PV21" s="9"/>
      <c r="PW21" s="8">
        <v>0</v>
      </c>
      <c r="PX21" s="9"/>
      <c r="PY21" s="8">
        <f t="shared" si="77"/>
        <v>0</v>
      </c>
      <c r="PZ21" s="5">
        <f t="shared" si="78"/>
        <v>1434.46</v>
      </c>
      <c r="QA21" s="5"/>
      <c r="QB21" s="5"/>
      <c r="QC21" s="5"/>
      <c r="QD21" s="5"/>
      <c r="QE21" s="5"/>
      <c r="QF21" s="12"/>
      <c r="QG21" s="12">
        <f t="shared" si="79"/>
        <v>29562.488999999998</v>
      </c>
      <c r="QH21" s="420">
        <f t="shared" si="80"/>
        <v>291633.29180818994</v>
      </c>
      <c r="QI21" s="1106">
        <f t="shared" si="113"/>
        <v>2219.9567940000002</v>
      </c>
      <c r="QJ21" s="484">
        <f t="shared" si="81"/>
        <v>5505.3678056099998</v>
      </c>
      <c r="QK21" s="12"/>
      <c r="QL21" s="2615"/>
      <c r="QN21" s="139">
        <f t="shared" si="82"/>
        <v>0</v>
      </c>
      <c r="QO21" s="139" t="str">
        <f t="shared" si="83"/>
        <v/>
      </c>
      <c r="QQ21" s="139">
        <f t="shared" si="84"/>
        <v>0</v>
      </c>
      <c r="QR21" s="139">
        <f t="shared" si="85"/>
        <v>0</v>
      </c>
      <c r="QT21" s="1">
        <f t="shared" si="86"/>
        <v>0</v>
      </c>
      <c r="QU21" s="1">
        <f t="shared" si="87"/>
        <v>0</v>
      </c>
      <c r="QV21" s="1">
        <f t="shared" si="88"/>
        <v>0</v>
      </c>
      <c r="QW21" s="1">
        <f t="shared" si="89"/>
        <v>0</v>
      </c>
      <c r="QX21" s="1">
        <f t="shared" si="90"/>
        <v>0</v>
      </c>
      <c r="QY21" s="1">
        <f t="shared" si="91"/>
        <v>0</v>
      </c>
      <c r="RA21" s="1">
        <f t="shared" si="92"/>
        <v>0</v>
      </c>
      <c r="RB21" s="1">
        <f t="shared" si="93"/>
        <v>0</v>
      </c>
      <c r="RC21" s="1">
        <f t="shared" si="94"/>
        <v>0</v>
      </c>
      <c r="RD21" s="1">
        <f t="shared" si="95"/>
        <v>0</v>
      </c>
      <c r="RE21" s="1">
        <f t="shared" si="96"/>
        <v>0</v>
      </c>
      <c r="RF21" s="1">
        <f t="shared" si="97"/>
        <v>0</v>
      </c>
      <c r="RI21" s="1">
        <v>12</v>
      </c>
      <c r="RJ21" s="1">
        <f t="shared" si="123"/>
        <v>-15544.506290282907</v>
      </c>
      <c r="RK21" s="1">
        <f t="shared" si="123"/>
        <v>-17075.606719516283</v>
      </c>
      <c r="RL21" s="1">
        <f t="shared" si="123"/>
        <v>13404.263703387322</v>
      </c>
      <c r="RM21" s="89">
        <f t="shared" si="5"/>
        <v>-19215.84930641187</v>
      </c>
      <c r="RN21" s="1033">
        <v>12</v>
      </c>
      <c r="RO21" s="1098">
        <v>0</v>
      </c>
      <c r="RP21" s="1098">
        <f t="shared" si="99"/>
        <v>0</v>
      </c>
      <c r="RQ21" s="1097">
        <f t="shared" si="99"/>
        <v>0</v>
      </c>
      <c r="RR21" s="1097">
        <f t="shared" si="114"/>
        <v>9746.02</v>
      </c>
      <c r="RS21" s="1109"/>
      <c r="RT21" s="1046" t="s">
        <v>1031</v>
      </c>
      <c r="RU21" s="1048"/>
      <c r="RW21" s="421">
        <v>12</v>
      </c>
      <c r="RX21" s="1095">
        <f t="shared" si="100"/>
        <v>13029.609999999999</v>
      </c>
      <c r="RY21" s="1928" t="s">
        <v>1032</v>
      </c>
      <c r="SA21" s="1090"/>
      <c r="SB21" s="1090">
        <f t="shared" si="101"/>
        <v>0</v>
      </c>
      <c r="SC21" s="1090"/>
      <c r="SD21" s="1090">
        <f t="shared" si="124"/>
        <v>0</v>
      </c>
      <c r="SF21" s="1">
        <v>12</v>
      </c>
      <c r="SG21" s="1">
        <f t="shared" si="103"/>
        <v>364.07000000000005</v>
      </c>
      <c r="SH21" s="1094" t="s">
        <v>1033</v>
      </c>
    </row>
    <row r="22" spans="1:502" s="1" customFormat="1">
      <c r="B22" s="471">
        <v>13</v>
      </c>
      <c r="C22" s="4">
        <f t="shared" si="6"/>
        <v>154727</v>
      </c>
      <c r="D22" s="1590">
        <f t="shared" si="119"/>
        <v>12011.240000000002</v>
      </c>
      <c r="E22" s="1895">
        <f t="shared" si="7"/>
        <v>12.881850666542338</v>
      </c>
      <c r="F22" s="870"/>
      <c r="G22" s="870"/>
      <c r="H22" s="52"/>
      <c r="I22" s="61"/>
      <c r="J22" s="52"/>
      <c r="K22" s="54"/>
      <c r="L22" s="52"/>
      <c r="M22" s="61"/>
      <c r="N22" s="2629"/>
      <c r="O22" s="4">
        <f t="shared" si="117"/>
        <v>100850</v>
      </c>
      <c r="P22" s="1225">
        <f t="shared" si="8"/>
        <v>7128.2000000000007</v>
      </c>
      <c r="Q22" s="1913">
        <f t="shared" si="9"/>
        <v>14.148031761173927</v>
      </c>
      <c r="R22" s="33"/>
      <c r="S22" s="26">
        <f t="shared" si="10"/>
        <v>34370</v>
      </c>
      <c r="T22" s="27">
        <f t="shared" si="105"/>
        <v>1983.0400000000002</v>
      </c>
      <c r="U22" s="1909">
        <f t="shared" si="11"/>
        <v>17.331975149265773</v>
      </c>
      <c r="V22" s="28"/>
      <c r="W22" s="26">
        <f t="shared" si="12"/>
        <v>15251</v>
      </c>
      <c r="X22" s="5">
        <f t="shared" si="12"/>
        <v>2900</v>
      </c>
      <c r="Y22" s="1909">
        <f t="shared" si="13"/>
        <v>5.2589655172413794</v>
      </c>
      <c r="Z22" s="33"/>
      <c r="AA22" s="26">
        <f t="shared" si="14"/>
        <v>4256</v>
      </c>
      <c r="AB22" s="27">
        <f t="shared" si="15"/>
        <v>0</v>
      </c>
      <c r="AC22" s="1909">
        <f t="shared" si="16"/>
        <v>0</v>
      </c>
      <c r="AD22" s="28"/>
      <c r="AE22" s="36"/>
      <c r="AF22" s="36"/>
      <c r="AG22" s="53">
        <f t="shared" si="17"/>
        <v>0</v>
      </c>
      <c r="AH22" s="28"/>
      <c r="AI22" s="23"/>
      <c r="AJ22" s="27"/>
      <c r="AK22" s="53">
        <f t="shared" si="18"/>
        <v>0</v>
      </c>
      <c r="AL22" s="28"/>
      <c r="AM22" s="2629"/>
      <c r="AN22" s="9"/>
      <c r="AO22" s="64"/>
      <c r="AP22" s="61">
        <f t="shared" si="19"/>
        <v>0</v>
      </c>
      <c r="AQ22" s="36"/>
      <c r="AR22" s="53"/>
      <c r="AS22" s="61">
        <f t="shared" si="20"/>
        <v>0</v>
      </c>
      <c r="AT22" s="36">
        <v>0</v>
      </c>
      <c r="AU22" s="27"/>
      <c r="AV22" s="54">
        <f t="shared" si="21"/>
        <v>0</v>
      </c>
      <c r="AW22" s="26">
        <v>53130</v>
      </c>
      <c r="AX22" s="24">
        <v>4098.78</v>
      </c>
      <c r="AY22" s="1895">
        <f t="shared" si="115"/>
        <v>12.962393687877857</v>
      </c>
      <c r="AZ22" s="1908"/>
      <c r="BA22" s="1909"/>
      <c r="BB22" s="1895">
        <f t="shared" si="22"/>
        <v>0</v>
      </c>
      <c r="BC22" s="1740">
        <v>47720</v>
      </c>
      <c r="BD22" s="1926">
        <v>3029.4200000000005</v>
      </c>
      <c r="BE22" s="1895">
        <f t="shared" si="23"/>
        <v>15.752190188220844</v>
      </c>
      <c r="BF22" s="1908"/>
      <c r="BG22" s="1909"/>
      <c r="BH22" s="1895">
        <f t="shared" si="24"/>
        <v>0</v>
      </c>
      <c r="BI22" s="1908">
        <v>0</v>
      </c>
      <c r="BJ22" s="1909">
        <v>0</v>
      </c>
      <c r="BK22" s="1895">
        <f t="shared" si="25"/>
        <v>0</v>
      </c>
      <c r="BL22" s="1742">
        <v>34370</v>
      </c>
      <c r="BM22" s="1736">
        <v>1983.0400000000002</v>
      </c>
      <c r="BN22" s="2170"/>
      <c r="BO22" s="1920">
        <f t="shared" si="26"/>
        <v>17.331975149265773</v>
      </c>
      <c r="BP22" s="9">
        <v>4256</v>
      </c>
      <c r="BQ22" s="63">
        <v>0</v>
      </c>
      <c r="BR22" s="1920">
        <f t="shared" si="27"/>
        <v>0</v>
      </c>
      <c r="BS22" s="9"/>
      <c r="BT22" s="64"/>
      <c r="BU22" s="482">
        <f t="shared" si="28"/>
        <v>0</v>
      </c>
      <c r="BV22" s="9">
        <v>15251</v>
      </c>
      <c r="BW22" s="5">
        <f t="shared" si="106"/>
        <v>2900</v>
      </c>
      <c r="BX22" s="2131">
        <f t="shared" si="29"/>
        <v>5.2589655172413794</v>
      </c>
      <c r="BY22" s="26"/>
      <c r="BZ22" s="27"/>
      <c r="CA22" s="482">
        <f t="shared" si="30"/>
        <v>0</v>
      </c>
      <c r="CB22" s="9"/>
      <c r="CC22" s="481"/>
      <c r="CD22" s="482">
        <f t="shared" si="31"/>
        <v>0</v>
      </c>
      <c r="CE22" s="4"/>
      <c r="CF22" s="5"/>
      <c r="CG22" s="28">
        <f t="shared" si="32"/>
        <v>0</v>
      </c>
      <c r="CH22" s="150"/>
      <c r="CI22" s="4"/>
      <c r="CJ22" s="5"/>
      <c r="CK22" s="5">
        <v>2410</v>
      </c>
      <c r="CL22" s="5"/>
      <c r="CM22" s="5"/>
      <c r="CN22" s="5">
        <f t="shared" si="33"/>
        <v>2410</v>
      </c>
      <c r="CO22" s="33"/>
      <c r="CP22" s="366"/>
      <c r="CR22" s="4">
        <f t="shared" si="34"/>
        <v>0</v>
      </c>
      <c r="CS22" s="9">
        <f t="shared" si="34"/>
        <v>0</v>
      </c>
      <c r="CT22" s="5">
        <f t="shared" si="34"/>
        <v>0</v>
      </c>
      <c r="CU22" s="5">
        <f t="shared" si="34"/>
        <v>0</v>
      </c>
      <c r="CV22" s="5">
        <f t="shared" si="34"/>
        <v>0</v>
      </c>
      <c r="CW22" s="5">
        <f t="shared" si="34"/>
        <v>0</v>
      </c>
      <c r="CX22" s="5">
        <f t="shared" si="34"/>
        <v>0</v>
      </c>
      <c r="CY22" s="5">
        <f t="shared" si="34"/>
        <v>0</v>
      </c>
      <c r="CZ22" s="5">
        <f t="shared" si="34"/>
        <v>9389</v>
      </c>
      <c r="DA22" s="5">
        <f t="shared" si="34"/>
        <v>0</v>
      </c>
      <c r="DB22" s="5">
        <f t="shared" si="34"/>
        <v>2622.2400000000002</v>
      </c>
      <c r="DC22" s="12">
        <f t="shared" si="34"/>
        <v>0</v>
      </c>
      <c r="DD22" s="310">
        <f t="shared" si="35"/>
        <v>12011.24</v>
      </c>
      <c r="DE22" s="2695"/>
      <c r="DF22" s="8"/>
      <c r="DG22" s="9"/>
      <c r="DH22" s="5"/>
      <c r="DI22" s="5"/>
      <c r="DJ22" s="5"/>
      <c r="DK22" s="5"/>
      <c r="DL22" s="3">
        <v>0</v>
      </c>
      <c r="DM22" s="5"/>
      <c r="DN22" s="3">
        <v>4098.78</v>
      </c>
      <c r="DO22" s="5"/>
      <c r="DP22" s="3">
        <v>0</v>
      </c>
      <c r="DQ22" s="12"/>
      <c r="DR22" s="28">
        <f t="shared" si="36"/>
        <v>4098.78</v>
      </c>
      <c r="DS22" s="36"/>
      <c r="DT22" s="36"/>
      <c r="DU22" s="53"/>
      <c r="DV22" s="27"/>
      <c r="DW22" s="5"/>
      <c r="DX22" s="5"/>
      <c r="DY22" s="5"/>
      <c r="DZ22" s="5"/>
      <c r="EA22" s="3">
        <v>2390.2200000000007</v>
      </c>
      <c r="EB22" s="27"/>
      <c r="EC22" s="24">
        <v>2622.2400000000002</v>
      </c>
      <c r="ED22" s="33"/>
      <c r="EE22" s="28">
        <f t="shared" si="37"/>
        <v>5012.4600000000009</v>
      </c>
      <c r="EF22" s="9"/>
      <c r="EG22" s="36"/>
      <c r="EH22" s="5"/>
      <c r="EI22" s="325"/>
      <c r="EJ22" s="27"/>
      <c r="EK22" s="27"/>
      <c r="EL22" s="27"/>
      <c r="EM22" s="27"/>
      <c r="EN22" s="5">
        <v>2900</v>
      </c>
      <c r="EO22" s="5"/>
      <c r="EP22" s="5"/>
      <c r="EQ22" s="33"/>
      <c r="ER22" s="28">
        <f t="shared" si="38"/>
        <v>2900</v>
      </c>
      <c r="ES22" s="36"/>
      <c r="ET22" s="27"/>
      <c r="EU22" s="27"/>
      <c r="EV22" s="27"/>
      <c r="EW22" s="27"/>
      <c r="EX22" s="27"/>
      <c r="EY22" s="33">
        <f t="shared" si="39"/>
        <v>0</v>
      </c>
      <c r="EZ22" s="2685"/>
      <c r="FB22" s="4">
        <f t="shared" si="40"/>
        <v>0</v>
      </c>
      <c r="FC22" s="5">
        <f t="shared" si="41"/>
        <v>0</v>
      </c>
      <c r="FD22" s="5">
        <f t="shared" si="42"/>
        <v>137.6</v>
      </c>
      <c r="FE22" s="12">
        <f t="shared" si="43"/>
        <v>137.6</v>
      </c>
      <c r="FF22" s="33"/>
      <c r="FG22" s="2674"/>
      <c r="FH22" s="9"/>
      <c r="FI22" s="5"/>
      <c r="FJ22" s="5"/>
      <c r="FK22" s="5"/>
      <c r="FL22" s="5"/>
      <c r="FM22" s="27"/>
      <c r="FN22" s="28">
        <f t="shared" si="44"/>
        <v>0</v>
      </c>
      <c r="FO22" s="36"/>
      <c r="FP22" s="27"/>
      <c r="FQ22" s="27"/>
      <c r="FR22" s="27"/>
      <c r="FS22" s="27"/>
      <c r="FT22" s="27"/>
      <c r="FU22" s="28">
        <f t="shared" si="45"/>
        <v>0</v>
      </c>
      <c r="FV22" s="36"/>
      <c r="FW22" s="36"/>
      <c r="FX22" s="27"/>
      <c r="FY22" s="27"/>
      <c r="FZ22" s="27"/>
      <c r="GA22" s="27"/>
      <c r="GB22" s="27"/>
      <c r="GC22" s="27"/>
      <c r="GD22" s="24">
        <v>137.6</v>
      </c>
      <c r="GE22" s="27"/>
      <c r="GF22" s="27"/>
      <c r="GG22" s="33"/>
      <c r="GH22" s="33">
        <f t="shared" si="46"/>
        <v>137.6</v>
      </c>
      <c r="GI22" s="2674"/>
      <c r="GK22" s="2">
        <f t="shared" si="107"/>
        <v>2497.04</v>
      </c>
      <c r="GL22" s="63">
        <f t="shared" si="108"/>
        <v>8029.9500000000007</v>
      </c>
      <c r="GM22" s="24">
        <f t="shared" si="109"/>
        <v>3457.2999999999997</v>
      </c>
      <c r="GN22" s="1736">
        <f t="shared" si="47"/>
        <v>13984.29</v>
      </c>
      <c r="GO22" s="141"/>
      <c r="GP22" s="141"/>
      <c r="GQ22" s="33"/>
      <c r="GR22" s="2667"/>
      <c r="GS22" s="1739">
        <v>0</v>
      </c>
      <c r="GT22" s="1721">
        <v>509.25</v>
      </c>
      <c r="GU22" s="1721">
        <v>5914.5199999999995</v>
      </c>
      <c r="GV22" s="1721">
        <v>7560.52</v>
      </c>
      <c r="GW22" s="54">
        <v>13984.29</v>
      </c>
      <c r="GX22" s="2667"/>
      <c r="GY22" s="36"/>
      <c r="GZ22" s="36"/>
      <c r="HA22" s="27"/>
      <c r="HB22" s="27"/>
      <c r="HC22" s="27"/>
      <c r="HD22" s="27"/>
      <c r="HE22" s="27"/>
      <c r="HF22" s="27"/>
      <c r="HG22" s="24">
        <v>125.55</v>
      </c>
      <c r="HH22" s="27"/>
      <c r="HI22" s="24">
        <v>1862.24</v>
      </c>
      <c r="HJ22" s="27"/>
      <c r="HK22" s="24">
        <v>509.25</v>
      </c>
      <c r="HL22" s="27"/>
      <c r="HM22" s="28">
        <f t="shared" si="120"/>
        <v>2497.04</v>
      </c>
      <c r="HN22" s="36"/>
      <c r="HO22" s="27"/>
      <c r="HP22" s="27"/>
      <c r="HQ22" s="27"/>
      <c r="HR22" s="27"/>
      <c r="HS22" s="27"/>
      <c r="HT22" s="27">
        <f t="array" ref="HT22">SUMPRODUCT(('Data Base hauling'!$C$2:$C$2000="TCM-ROM SB1 BK05-ROM 4")*(ISNUMBER(SEARCH(TEXT('July TCM'!$B22,"00")&amp;"/03/2026",'Data Base hauling'!$E$2:$E$2000)))*'Data Base hauling'!$N$2:$N$2000)</f>
        <v>0</v>
      </c>
      <c r="HU22" s="27"/>
      <c r="HV22" s="27">
        <f t="array" ref="HV22">SUMPRODUCT(('Data Base hauling'!$C$2:$C$2000="TCM-ROM SB1 BK05-ROM 5")*(ISNUMBER(SEARCH(TEXT('July TCM'!$B22,"00")&amp;"/03/2026",'Data Base hauling'!$E$2:$E$2000)))*'Data Base hauling'!$N$2:$N$2000)</f>
        <v>0</v>
      </c>
      <c r="HW22" s="27"/>
      <c r="HX22" s="27"/>
      <c r="HY22" s="27"/>
      <c r="HZ22" s="27"/>
      <c r="IA22" s="27"/>
      <c r="IB22" s="33">
        <f t="shared" si="49"/>
        <v>0</v>
      </c>
      <c r="IC22" s="363"/>
      <c r="ID22" s="363"/>
      <c r="IE22" s="64"/>
      <c r="IF22" s="64"/>
      <c r="IG22" s="64"/>
      <c r="IH22" s="64"/>
      <c r="II22" s="1926">
        <v>3193.8599999999997</v>
      </c>
      <c r="IJ22" s="1590"/>
      <c r="IK22" s="1926">
        <v>4836.0900000000011</v>
      </c>
      <c r="IL22" s="64"/>
      <c r="IM22" s="1926">
        <v>0</v>
      </c>
      <c r="IN22" s="53"/>
      <c r="IO22" s="53"/>
      <c r="IP22" s="49">
        <v>0</v>
      </c>
      <c r="IQ22" s="2195">
        <f t="shared" si="121"/>
        <v>8029.9500000000007</v>
      </c>
      <c r="IR22" s="36"/>
      <c r="IS22" s="36"/>
      <c r="IT22" s="53"/>
      <c r="IU22" s="27"/>
      <c r="IV22" s="53"/>
      <c r="IW22" s="27"/>
      <c r="IX22" s="24">
        <v>0</v>
      </c>
      <c r="IY22" s="27"/>
      <c r="IZ22" s="24">
        <v>78.5</v>
      </c>
      <c r="JA22" s="27"/>
      <c r="JB22" s="24">
        <v>3378.7999999999997</v>
      </c>
      <c r="JC22" s="27"/>
      <c r="JD22" s="27"/>
      <c r="JE22" s="27"/>
      <c r="JF22" s="33">
        <f t="shared" si="122"/>
        <v>3457.2999999999997</v>
      </c>
      <c r="JG22" s="2667"/>
      <c r="JI22" s="2014">
        <v>0</v>
      </c>
      <c r="JJ22" s="2015">
        <v>13984.29</v>
      </c>
      <c r="JK22" s="53"/>
      <c r="JL22" s="1736">
        <f t="shared" si="52"/>
        <v>13984.29</v>
      </c>
      <c r="JM22" s="33"/>
      <c r="JN22" s="2669"/>
      <c r="JO22" s="66" t="s">
        <v>296</v>
      </c>
      <c r="JP22" s="67" t="s">
        <v>296</v>
      </c>
      <c r="JQ22" s="67" t="s">
        <v>296</v>
      </c>
      <c r="JR22" s="67" t="s">
        <v>296</v>
      </c>
      <c r="JS22" s="67" t="s">
        <v>296</v>
      </c>
      <c r="JT22" s="67" t="s">
        <v>296</v>
      </c>
      <c r="JU22" s="67" t="s">
        <v>296</v>
      </c>
      <c r="JV22" s="1921">
        <v>0</v>
      </c>
      <c r="JW22" s="66">
        <v>0</v>
      </c>
      <c r="JX22" s="67">
        <v>0</v>
      </c>
      <c r="JY22" s="67">
        <v>0</v>
      </c>
      <c r="JZ22" s="67">
        <v>0.22838914238763638</v>
      </c>
      <c r="KA22" s="67">
        <v>0.36041443648551341</v>
      </c>
      <c r="KB22" s="67">
        <v>0.37478055732539867</v>
      </c>
      <c r="KC22" s="67">
        <v>3.6415863801451481E-2</v>
      </c>
      <c r="KD22" s="68">
        <v>0</v>
      </c>
      <c r="KE22" s="69"/>
      <c r="KF22" s="70"/>
      <c r="KG22" s="70"/>
      <c r="KH22" s="70"/>
      <c r="KI22" s="70"/>
      <c r="KJ22" s="70"/>
      <c r="KK22" s="70"/>
      <c r="KL22" s="70"/>
      <c r="KM22" s="33"/>
      <c r="KN22" s="2669"/>
      <c r="KO22" s="2203">
        <v>0</v>
      </c>
      <c r="KP22" s="1721">
        <v>0</v>
      </c>
      <c r="KQ22" s="1721">
        <v>0</v>
      </c>
      <c r="KR22" s="1721">
        <v>0</v>
      </c>
      <c r="KS22" s="1722">
        <v>0</v>
      </c>
      <c r="KT22" s="1958">
        <v>6919.968770331815</v>
      </c>
      <c r="KU22" s="1961">
        <v>1.9209846020386032</v>
      </c>
      <c r="KV22" s="1961">
        <v>4.8879845297477056</v>
      </c>
      <c r="KW22" s="1961">
        <v>5.6940338321405326</v>
      </c>
      <c r="KX22" s="1962">
        <v>9.2655534808067657</v>
      </c>
      <c r="KY22" s="36"/>
      <c r="KZ22" s="53"/>
      <c r="LA22" s="53"/>
      <c r="LB22" s="53"/>
      <c r="LC22" s="53"/>
      <c r="LD22" s="33"/>
      <c r="LE22" s="2669"/>
      <c r="LG22" s="4">
        <f t="shared" si="53"/>
        <v>10204.464</v>
      </c>
      <c r="LH22" s="27">
        <f t="shared" si="53"/>
        <v>3297.5360000000001</v>
      </c>
      <c r="LI22" s="27">
        <f t="shared" si="53"/>
        <v>0</v>
      </c>
      <c r="LJ22" s="28">
        <f t="shared" si="54"/>
        <v>13502</v>
      </c>
      <c r="LK22" s="36">
        <v>2</v>
      </c>
      <c r="LL22" s="27"/>
      <c r="LM22" s="27"/>
      <c r="LN22" s="33"/>
      <c r="LO22" s="1041">
        <v>2.44</v>
      </c>
      <c r="LP22" s="486"/>
      <c r="LQ22" s="2688"/>
      <c r="LR22" s="36">
        <v>10204.464</v>
      </c>
      <c r="LS22" s="36">
        <v>3297.5360000000001</v>
      </c>
      <c r="LT22" s="27"/>
      <c r="LU22" s="27"/>
      <c r="LV22" s="27"/>
      <c r="LW22" s="1117">
        <f t="shared" si="55"/>
        <v>13502</v>
      </c>
      <c r="LX22" s="36"/>
      <c r="LY22" s="36"/>
      <c r="LZ22" s="27"/>
      <c r="MA22" s="27"/>
      <c r="MB22" s="33"/>
      <c r="MC22" s="28">
        <f t="shared" si="56"/>
        <v>0</v>
      </c>
      <c r="MD22" s="26"/>
      <c r="ME22" s="36"/>
      <c r="MF22" s="27"/>
      <c r="MG22" s="27"/>
      <c r="MH22" s="27"/>
      <c r="MI22" s="28"/>
      <c r="MJ22" s="36"/>
      <c r="MK22" s="36"/>
      <c r="ML22" s="27"/>
      <c r="MM22" s="27"/>
      <c r="MN22" s="27"/>
      <c r="MO22" s="28"/>
      <c r="MP22" s="36"/>
      <c r="MQ22" s="36"/>
      <c r="MR22" s="27"/>
      <c r="MS22" s="27"/>
      <c r="MT22" s="27"/>
      <c r="MU22" s="33">
        <f t="shared" si="57"/>
        <v>0</v>
      </c>
      <c r="MV22" s="2688"/>
      <c r="MX22" s="26">
        <f t="shared" si="58"/>
        <v>144209.39197881002</v>
      </c>
      <c r="MY22" s="27">
        <f t="shared" si="59"/>
        <v>268215.35079257301</v>
      </c>
      <c r="MZ22" s="27">
        <f t="shared" si="60"/>
        <v>21236.375210117309</v>
      </c>
      <c r="NA22" s="28">
        <f t="shared" si="61"/>
        <v>322140.03760218993</v>
      </c>
      <c r="NB22" s="2621"/>
      <c r="NC22" s="23">
        <f t="shared" si="62"/>
        <v>81299.401026070002</v>
      </c>
      <c r="ND22" s="1655">
        <f t="shared" si="63"/>
        <v>62909.990952740009</v>
      </c>
      <c r="NE22" s="60">
        <f t="shared" si="64"/>
        <v>0</v>
      </c>
      <c r="NF22" s="275">
        <f t="shared" si="4"/>
        <v>144209.39197881002</v>
      </c>
      <c r="NG22" s="26">
        <f t="shared" si="65"/>
        <v>0</v>
      </c>
      <c r="NH22" s="27">
        <f t="shared" si="65"/>
        <v>0</v>
      </c>
      <c r="NI22" s="27">
        <f t="shared" si="65"/>
        <v>0</v>
      </c>
      <c r="NJ22" s="27">
        <f t="shared" si="65"/>
        <v>0</v>
      </c>
      <c r="NK22" s="27">
        <f t="shared" si="65"/>
        <v>0</v>
      </c>
      <c r="NL22" s="33">
        <f t="shared" si="65"/>
        <v>0</v>
      </c>
      <c r="NM22" s="27">
        <f t="shared" si="65"/>
        <v>0</v>
      </c>
      <c r="NN22" s="36">
        <f t="shared" si="65"/>
        <v>0</v>
      </c>
      <c r="NO22" s="24">
        <f t="shared" si="65"/>
        <v>21286.380671164181</v>
      </c>
      <c r="NP22" s="27">
        <f t="shared" si="65"/>
        <v>24549.88002237798</v>
      </c>
      <c r="NQ22" s="24">
        <f t="shared" si="110"/>
        <v>8756.5482322711578</v>
      </c>
      <c r="NR22" s="24">
        <f t="shared" si="111"/>
        <v>16831.611351487179</v>
      </c>
      <c r="NS22" s="27">
        <f t="shared" si="0"/>
        <v>71424.420277300509</v>
      </c>
      <c r="NT22" s="27">
        <f t="shared" si="66"/>
        <v>0</v>
      </c>
      <c r="NU22" s="27">
        <f t="shared" si="66"/>
        <v>0</v>
      </c>
      <c r="NV22" s="27">
        <f t="shared" si="66"/>
        <v>0</v>
      </c>
      <c r="NW22" s="27">
        <f t="shared" si="66"/>
        <v>0</v>
      </c>
      <c r="NX22" s="27">
        <f t="shared" si="66"/>
        <v>0</v>
      </c>
      <c r="NY22" s="27">
        <f t="shared" si="66"/>
        <v>0</v>
      </c>
      <c r="NZ22" s="27">
        <f t="shared" si="66"/>
        <v>18702.168814178833</v>
      </c>
      <c r="OA22" s="27">
        <f t="shared" si="66"/>
        <v>0</v>
      </c>
      <c r="OB22" s="27">
        <f t="shared" si="66"/>
        <v>99242.599365972579</v>
      </c>
      <c r="OC22" s="280"/>
      <c r="OD22" s="24">
        <f t="shared" si="67"/>
        <v>0</v>
      </c>
      <c r="OE22" s="27">
        <f t="shared" si="67"/>
        <v>0</v>
      </c>
      <c r="OF22" s="28">
        <f t="shared" si="1"/>
        <v>117944.76818015141</v>
      </c>
      <c r="OG22" s="27">
        <f t="shared" si="68"/>
        <v>0</v>
      </c>
      <c r="OH22" s="27">
        <f t="shared" si="68"/>
        <v>0</v>
      </c>
      <c r="OI22" s="27">
        <v>0</v>
      </c>
      <c r="OJ22" s="27">
        <f t="shared" si="68"/>
        <v>0</v>
      </c>
      <c r="OK22" s="27">
        <f t="shared" si="68"/>
        <v>0</v>
      </c>
      <c r="OL22" s="27">
        <f t="shared" si="68"/>
        <v>0</v>
      </c>
      <c r="OM22" s="24">
        <f t="shared" si="68"/>
        <v>0</v>
      </c>
      <c r="ON22" s="27">
        <f t="shared" si="68"/>
        <v>0</v>
      </c>
      <c r="OO22" s="24">
        <f t="shared" si="118"/>
        <v>51519.915076326244</v>
      </c>
      <c r="OP22" s="27">
        <f t="shared" si="68"/>
        <v>0</v>
      </c>
      <c r="OQ22" s="24">
        <f t="shared" si="68"/>
        <v>27326.247258794847</v>
      </c>
      <c r="OR22" s="27">
        <f t="shared" si="68"/>
        <v>0</v>
      </c>
      <c r="OS22" s="28">
        <f t="shared" si="2"/>
        <v>78846.162335121087</v>
      </c>
      <c r="OT22" s="36"/>
      <c r="OU22" s="27"/>
      <c r="OV22" s="27"/>
      <c r="OW22" s="27"/>
      <c r="OX22" s="27"/>
      <c r="OY22" s="27"/>
      <c r="OZ22" s="28">
        <f t="shared" si="69"/>
        <v>0</v>
      </c>
      <c r="PA22" s="36">
        <f t="shared" si="70"/>
        <v>0</v>
      </c>
      <c r="PB22" s="27">
        <f t="shared" si="71"/>
        <v>0</v>
      </c>
      <c r="PC22" s="27">
        <f t="shared" si="72"/>
        <v>0</v>
      </c>
      <c r="PD22" s="27">
        <f t="shared" si="73"/>
        <v>0</v>
      </c>
      <c r="PE22" s="24"/>
      <c r="PF22" s="27">
        <f t="shared" si="74"/>
        <v>0</v>
      </c>
      <c r="PG22" s="33">
        <f t="shared" si="3"/>
        <v>0</v>
      </c>
      <c r="PH22" s="2621"/>
      <c r="PJ22" s="1907">
        <v>1275.7</v>
      </c>
      <c r="PK22" s="1101">
        <v>518</v>
      </c>
      <c r="PL22" s="1101">
        <v>148</v>
      </c>
      <c r="PM22" s="1101">
        <v>509.25</v>
      </c>
      <c r="PN22" s="3">
        <f t="shared" si="75"/>
        <v>34071.48350465871</v>
      </c>
      <c r="PO22" s="11">
        <f t="shared" si="76"/>
        <v>21236.375210117309</v>
      </c>
      <c r="PP22" s="15"/>
      <c r="PQ22" s="2615"/>
      <c r="PS22" s="4"/>
      <c r="PT22" s="9"/>
      <c r="PU22" s="9"/>
      <c r="PV22" s="9"/>
      <c r="PW22" s="8">
        <v>0</v>
      </c>
      <c r="PX22" s="9"/>
      <c r="PY22" s="8">
        <f t="shared" si="77"/>
        <v>0</v>
      </c>
      <c r="PZ22" s="5">
        <f t="shared" si="78"/>
        <v>1275.7</v>
      </c>
      <c r="QA22" s="5"/>
      <c r="QB22" s="5"/>
      <c r="QC22" s="5"/>
      <c r="QD22" s="5"/>
      <c r="QE22" s="5"/>
      <c r="QF22" s="12"/>
      <c r="QG22" s="12">
        <f t="shared" si="79"/>
        <v>29562.488999999998</v>
      </c>
      <c r="QH22" s="420">
        <f t="shared" si="80"/>
        <v>290357.59180818993</v>
      </c>
      <c r="QI22" s="1106">
        <f t="shared" si="113"/>
        <v>2219.9567940000002</v>
      </c>
      <c r="QJ22" s="484">
        <f t="shared" si="81"/>
        <v>5505.3678056099998</v>
      </c>
      <c r="QK22" s="12"/>
      <c r="QL22" s="2615"/>
      <c r="QN22" s="139" t="str">
        <f t="shared" si="82"/>
        <v/>
      </c>
      <c r="QO22" s="139" t="str">
        <f t="shared" si="83"/>
        <v/>
      </c>
      <c r="QQ22" s="139">
        <f t="shared" si="84"/>
        <v>0</v>
      </c>
      <c r="QR22" s="139">
        <f t="shared" si="85"/>
        <v>0</v>
      </c>
      <c r="QT22" s="1">
        <f t="shared" si="86"/>
        <v>0</v>
      </c>
      <c r="QU22" s="1">
        <f t="shared" si="87"/>
        <v>0</v>
      </c>
      <c r="QV22" s="1">
        <f t="shared" si="88"/>
        <v>0</v>
      </c>
      <c r="QW22" s="1">
        <f t="shared" si="89"/>
        <v>0</v>
      </c>
      <c r="QX22" s="1">
        <f t="shared" si="90"/>
        <v>0</v>
      </c>
      <c r="QY22" s="1">
        <f t="shared" si="91"/>
        <v>0</v>
      </c>
      <c r="RA22" s="1">
        <f t="shared" si="92"/>
        <v>0</v>
      </c>
      <c r="RB22" s="1">
        <f t="shared" si="93"/>
        <v>0</v>
      </c>
      <c r="RC22" s="1">
        <f t="shared" si="94"/>
        <v>0</v>
      </c>
      <c r="RD22" s="1">
        <f t="shared" si="95"/>
        <v>0</v>
      </c>
      <c r="RE22" s="1">
        <f t="shared" si="96"/>
        <v>0</v>
      </c>
      <c r="RF22" s="1">
        <f t="shared" si="97"/>
        <v>0</v>
      </c>
      <c r="RI22" s="1">
        <v>13</v>
      </c>
      <c r="RJ22" s="1">
        <f t="shared" si="123"/>
        <v>-25748.970290282909</v>
      </c>
      <c r="RK22" s="1">
        <f t="shared" si="123"/>
        <v>-6388.8527195162824</v>
      </c>
      <c r="RL22" s="1">
        <f t="shared" si="123"/>
        <v>13404.263703387322</v>
      </c>
      <c r="RM22" s="89">
        <f t="shared" si="5"/>
        <v>-18733.559306411869</v>
      </c>
      <c r="RN22" s="1033">
        <v>13</v>
      </c>
      <c r="RO22" s="1098">
        <v>0</v>
      </c>
      <c r="RP22" s="1098">
        <f t="shared" si="99"/>
        <v>0</v>
      </c>
      <c r="RQ22" s="1097">
        <f t="shared" si="99"/>
        <v>0</v>
      </c>
      <c r="RR22" s="1097">
        <f t="shared" si="114"/>
        <v>9111.24</v>
      </c>
      <c r="RS22" s="1050"/>
      <c r="RT22" s="1050" t="s">
        <v>1034</v>
      </c>
      <c r="RU22" s="1048"/>
      <c r="RW22" s="421">
        <v>13</v>
      </c>
      <c r="RX22" s="1095">
        <f t="shared" si="100"/>
        <v>13984.29</v>
      </c>
      <c r="RY22" s="1096" t="s">
        <v>1035</v>
      </c>
      <c r="RZ22" s="1048"/>
      <c r="SA22" s="1090"/>
      <c r="SB22" s="1090">
        <f t="shared" si="101"/>
        <v>0</v>
      </c>
      <c r="SC22" s="1090"/>
      <c r="SD22" s="1090">
        <f t="shared" si="124"/>
        <v>0</v>
      </c>
      <c r="SF22" s="1">
        <v>13</v>
      </c>
      <c r="SG22" s="1">
        <f t="shared" si="103"/>
        <v>509.25</v>
      </c>
      <c r="SH22" s="1094" t="s">
        <v>1036</v>
      </c>
    </row>
    <row r="23" spans="1:502" s="1" customFormat="1" ht="15" customHeight="1">
      <c r="A23" s="1">
        <v>160</v>
      </c>
      <c r="B23" s="471">
        <v>14</v>
      </c>
      <c r="C23" s="4">
        <f t="shared" si="6"/>
        <v>165873</v>
      </c>
      <c r="D23" s="1590">
        <f t="shared" si="119"/>
        <v>14041.85</v>
      </c>
      <c r="E23" s="1895">
        <f t="shared" si="7"/>
        <v>11.812759714709957</v>
      </c>
      <c r="F23" s="870"/>
      <c r="G23" s="870"/>
      <c r="H23" s="52"/>
      <c r="I23" s="61"/>
      <c r="J23" s="52"/>
      <c r="K23" s="54"/>
      <c r="L23" s="52"/>
      <c r="M23" s="61"/>
      <c r="N23" s="2629"/>
      <c r="O23" s="4">
        <f t="shared" si="117"/>
        <v>102984</v>
      </c>
      <c r="P23" s="1225">
        <f t="shared" si="8"/>
        <v>8299.49</v>
      </c>
      <c r="Q23" s="1913">
        <f t="shared" si="9"/>
        <v>12.408473291732383</v>
      </c>
      <c r="R23" s="33"/>
      <c r="S23" s="26">
        <f t="shared" si="10"/>
        <v>40394</v>
      </c>
      <c r="T23" s="27">
        <f t="shared" si="105"/>
        <v>2282.36</v>
      </c>
      <c r="U23" s="1909">
        <f t="shared" si="11"/>
        <v>17.698347324698993</v>
      </c>
      <c r="V23" s="28"/>
      <c r="W23" s="26">
        <f t="shared" si="12"/>
        <v>17097</v>
      </c>
      <c r="X23" s="5">
        <f t="shared" si="12"/>
        <v>3460</v>
      </c>
      <c r="Y23" s="1909">
        <f t="shared" si="13"/>
        <v>4.9413294797687861</v>
      </c>
      <c r="Z23" s="33"/>
      <c r="AA23" s="26">
        <f t="shared" si="14"/>
        <v>5398</v>
      </c>
      <c r="AB23" s="27">
        <f t="shared" si="15"/>
        <v>0</v>
      </c>
      <c r="AC23" s="1909">
        <f t="shared" si="16"/>
        <v>0</v>
      </c>
      <c r="AD23" s="28"/>
      <c r="AE23" s="36"/>
      <c r="AF23" s="36"/>
      <c r="AG23" s="53">
        <f t="shared" si="17"/>
        <v>0</v>
      </c>
      <c r="AH23" s="28"/>
      <c r="AI23" s="26"/>
      <c r="AJ23" s="27"/>
      <c r="AK23" s="53">
        <f t="shared" si="18"/>
        <v>0</v>
      </c>
      <c r="AL23" s="28"/>
      <c r="AM23" s="2629"/>
      <c r="AN23" s="9"/>
      <c r="AO23" s="5"/>
      <c r="AP23" s="61">
        <f t="shared" si="19"/>
        <v>0</v>
      </c>
      <c r="AQ23" s="36"/>
      <c r="AR23" s="53"/>
      <c r="AS23" s="61">
        <f t="shared" si="20"/>
        <v>0</v>
      </c>
      <c r="AT23" s="36">
        <v>0</v>
      </c>
      <c r="AU23" s="27"/>
      <c r="AV23" s="54">
        <f t="shared" si="21"/>
        <v>0</v>
      </c>
      <c r="AW23" s="26">
        <v>63000</v>
      </c>
      <c r="AX23" s="24">
        <v>5226.07</v>
      </c>
      <c r="AY23" s="1895">
        <f t="shared" si="115"/>
        <v>12.054947599247619</v>
      </c>
      <c r="AZ23" s="1908"/>
      <c r="BA23" s="1909"/>
      <c r="BB23" s="1895">
        <f t="shared" si="22"/>
        <v>0</v>
      </c>
      <c r="BC23" s="1740">
        <v>39984</v>
      </c>
      <c r="BD23" s="1926">
        <v>3073.42</v>
      </c>
      <c r="BE23" s="1895">
        <f t="shared" si="23"/>
        <v>13.009611442627431</v>
      </c>
      <c r="BF23" s="1908"/>
      <c r="BG23" s="1909"/>
      <c r="BH23" s="1895">
        <f t="shared" si="24"/>
        <v>0</v>
      </c>
      <c r="BI23" s="1908">
        <v>0</v>
      </c>
      <c r="BJ23" s="1909">
        <v>0</v>
      </c>
      <c r="BK23" s="1895">
        <f t="shared" si="25"/>
        <v>0</v>
      </c>
      <c r="BL23" s="1742">
        <v>40394</v>
      </c>
      <c r="BM23" s="1736">
        <v>2282.36</v>
      </c>
      <c r="BN23" s="2170"/>
      <c r="BO23" s="1911">
        <f t="shared" si="26"/>
        <v>17.698347324698993</v>
      </c>
      <c r="BP23" s="9">
        <v>5398</v>
      </c>
      <c r="BQ23" s="63">
        <v>0</v>
      </c>
      <c r="BR23" s="1920">
        <f t="shared" si="27"/>
        <v>0</v>
      </c>
      <c r="BS23" s="9"/>
      <c r="BT23" s="64"/>
      <c r="BU23" s="482">
        <f t="shared" si="28"/>
        <v>0</v>
      </c>
      <c r="BV23" s="9">
        <v>17097</v>
      </c>
      <c r="BW23" s="5">
        <f t="shared" si="106"/>
        <v>3460</v>
      </c>
      <c r="BX23" s="1051">
        <f t="shared" si="29"/>
        <v>4.9413294797687861</v>
      </c>
      <c r="BY23" s="26"/>
      <c r="BZ23" s="27"/>
      <c r="CA23" s="482">
        <f t="shared" si="30"/>
        <v>0</v>
      </c>
      <c r="CB23" s="9"/>
      <c r="CC23" s="481"/>
      <c r="CD23" s="482">
        <f t="shared" si="31"/>
        <v>0</v>
      </c>
      <c r="CE23" s="4"/>
      <c r="CF23" s="5"/>
      <c r="CG23" s="28">
        <f t="shared" si="32"/>
        <v>0</v>
      </c>
      <c r="CH23" s="150"/>
      <c r="CI23" s="1108"/>
      <c r="CJ23" s="5"/>
      <c r="CK23" s="5">
        <v>2860</v>
      </c>
      <c r="CL23" s="5"/>
      <c r="CM23" s="5"/>
      <c r="CN23" s="5">
        <f t="shared" si="33"/>
        <v>2860</v>
      </c>
      <c r="CO23" s="33"/>
      <c r="CP23" s="366"/>
      <c r="CR23" s="4">
        <f t="shared" si="34"/>
        <v>0</v>
      </c>
      <c r="CS23" s="9">
        <f t="shared" si="34"/>
        <v>0</v>
      </c>
      <c r="CT23" s="5">
        <f t="shared" si="34"/>
        <v>0</v>
      </c>
      <c r="CU23" s="5">
        <f t="shared" si="34"/>
        <v>0</v>
      </c>
      <c r="CV23" s="5">
        <f t="shared" si="34"/>
        <v>0</v>
      </c>
      <c r="CW23" s="5">
        <f t="shared" si="34"/>
        <v>0</v>
      </c>
      <c r="CX23" s="5">
        <f t="shared" si="34"/>
        <v>680.31999999999994</v>
      </c>
      <c r="CY23" s="5">
        <f t="shared" si="34"/>
        <v>0</v>
      </c>
      <c r="CZ23" s="5">
        <f t="shared" si="34"/>
        <v>10463.310000000001</v>
      </c>
      <c r="DA23" s="5">
        <f t="shared" si="34"/>
        <v>0</v>
      </c>
      <c r="DB23" s="5">
        <f t="shared" si="34"/>
        <v>2898.22</v>
      </c>
      <c r="DC23" s="12">
        <f t="shared" si="34"/>
        <v>0</v>
      </c>
      <c r="DD23" s="310">
        <f t="shared" si="35"/>
        <v>14041.85</v>
      </c>
      <c r="DE23" s="2695"/>
      <c r="DF23" s="8"/>
      <c r="DG23" s="9"/>
      <c r="DH23" s="5"/>
      <c r="DI23" s="5"/>
      <c r="DJ23" s="5"/>
      <c r="DK23" s="5"/>
      <c r="DL23" s="3">
        <v>680.31999999999994</v>
      </c>
      <c r="DM23" s="5"/>
      <c r="DN23" s="3">
        <v>4545.75</v>
      </c>
      <c r="DO23" s="5"/>
      <c r="DP23" s="3">
        <v>0</v>
      </c>
      <c r="DQ23" s="12"/>
      <c r="DR23" s="28">
        <f t="shared" si="36"/>
        <v>5226.07</v>
      </c>
      <c r="DS23" s="36"/>
      <c r="DT23" s="9"/>
      <c r="DU23" s="5"/>
      <c r="DV23" s="5"/>
      <c r="DW23" s="5"/>
      <c r="DX23" s="5"/>
      <c r="DY23" s="5"/>
      <c r="DZ23" s="5"/>
      <c r="EA23" s="3">
        <v>2457.5600000000004</v>
      </c>
      <c r="EB23" s="27"/>
      <c r="EC23" s="24">
        <v>2898.22</v>
      </c>
      <c r="ED23" s="33"/>
      <c r="EE23" s="28">
        <f t="shared" si="37"/>
        <v>5355.7800000000007</v>
      </c>
      <c r="EF23" s="9"/>
      <c r="EG23" s="36"/>
      <c r="EH23" s="5"/>
      <c r="EI23" s="27"/>
      <c r="EJ23" s="27"/>
      <c r="EK23" s="27"/>
      <c r="EL23" s="27"/>
      <c r="EM23" s="27"/>
      <c r="EN23" s="5">
        <v>3460</v>
      </c>
      <c r="EO23" s="5"/>
      <c r="EP23" s="5"/>
      <c r="EQ23" s="33"/>
      <c r="ER23" s="28">
        <f t="shared" si="38"/>
        <v>3460</v>
      </c>
      <c r="ES23" s="36"/>
      <c r="ET23" s="27"/>
      <c r="EU23" s="27"/>
      <c r="EV23" s="27"/>
      <c r="EW23" s="27"/>
      <c r="EX23" s="27"/>
      <c r="EY23" s="33">
        <f t="shared" si="39"/>
        <v>0</v>
      </c>
      <c r="EZ23" s="2685"/>
      <c r="FB23" s="4">
        <f t="shared" si="40"/>
        <v>0</v>
      </c>
      <c r="FC23" s="5">
        <f t="shared" si="41"/>
        <v>0</v>
      </c>
      <c r="FD23" s="5">
        <f t="shared" si="42"/>
        <v>26.96</v>
      </c>
      <c r="FE23" s="12">
        <f t="shared" si="43"/>
        <v>26.96</v>
      </c>
      <c r="FF23" s="33"/>
      <c r="FG23" s="2674"/>
      <c r="FH23" s="9"/>
      <c r="FI23" s="5"/>
      <c r="FJ23" s="5"/>
      <c r="FK23" s="5"/>
      <c r="FL23" s="5"/>
      <c r="FM23" s="27"/>
      <c r="FN23" s="28">
        <f t="shared" si="44"/>
        <v>0</v>
      </c>
      <c r="FO23" s="36"/>
      <c r="FP23" s="27"/>
      <c r="FQ23" s="27"/>
      <c r="FR23" s="27"/>
      <c r="FS23" s="27"/>
      <c r="FT23" s="27"/>
      <c r="FU23" s="28">
        <f t="shared" si="45"/>
        <v>0</v>
      </c>
      <c r="FV23" s="36"/>
      <c r="FW23" s="36"/>
      <c r="FX23" s="27"/>
      <c r="FY23" s="27"/>
      <c r="FZ23" s="27"/>
      <c r="GA23" s="27"/>
      <c r="GB23" s="27"/>
      <c r="GC23" s="27"/>
      <c r="GD23" s="24">
        <v>26.96</v>
      </c>
      <c r="GE23" s="27"/>
      <c r="GF23" s="27"/>
      <c r="GG23" s="33"/>
      <c r="GH23" s="33">
        <f t="shared" si="46"/>
        <v>26.96</v>
      </c>
      <c r="GI23" s="2674"/>
      <c r="GK23" s="2">
        <f t="shared" si="107"/>
        <v>3778.27</v>
      </c>
      <c r="GL23" s="63">
        <f t="shared" si="108"/>
        <v>8718.5400000000009</v>
      </c>
      <c r="GM23" s="24">
        <f t="shared" si="109"/>
        <v>3127.61</v>
      </c>
      <c r="GN23" s="1736">
        <f t="shared" si="47"/>
        <v>15624.420000000002</v>
      </c>
      <c r="GO23" s="141"/>
      <c r="GP23" s="141"/>
      <c r="GQ23" s="33"/>
      <c r="GR23" s="2667"/>
      <c r="GS23" s="1739">
        <v>0</v>
      </c>
      <c r="GT23" s="1721">
        <v>219.05</v>
      </c>
      <c r="GU23" s="1721">
        <v>7086.04</v>
      </c>
      <c r="GV23" s="1721">
        <v>8319.33</v>
      </c>
      <c r="GW23" s="54">
        <v>15624.42</v>
      </c>
      <c r="GX23" s="2667"/>
      <c r="GY23" s="36"/>
      <c r="GZ23" s="36"/>
      <c r="HA23" s="27"/>
      <c r="HB23" s="27"/>
      <c r="HC23" s="27"/>
      <c r="HD23" s="27"/>
      <c r="HE23" s="27"/>
      <c r="HF23" s="27"/>
      <c r="HG23" s="24">
        <v>1777.8999999999999</v>
      </c>
      <c r="HH23" s="27"/>
      <c r="HI23" s="24">
        <v>1781.32</v>
      </c>
      <c r="HJ23" s="27"/>
      <c r="HK23" s="24">
        <v>219.05</v>
      </c>
      <c r="HL23" s="27"/>
      <c r="HM23" s="28">
        <f t="shared" si="120"/>
        <v>3778.27</v>
      </c>
      <c r="HN23" s="36"/>
      <c r="HO23" s="27"/>
      <c r="HP23" s="27"/>
      <c r="HQ23" s="27"/>
      <c r="HR23" s="27"/>
      <c r="HS23" s="27"/>
      <c r="HT23" s="27">
        <f t="array" ref="HT23">SUMPRODUCT(('Data Base hauling'!$C$2:$C$2000="TCM-ROM SB1 BK05-ROM 4")*(ISNUMBER(SEARCH(TEXT('July TCM'!$B23,"00")&amp;"/03/2026",'Data Base hauling'!$E$2:$E$2000)))*'Data Base hauling'!$N$2:$N$2000)</f>
        <v>0</v>
      </c>
      <c r="HU23" s="27"/>
      <c r="HV23" s="27">
        <f t="array" ref="HV23">SUMPRODUCT(('Data Base hauling'!$C$2:$C$2000="TCM-ROM SB1 BK05-ROM 5")*(ISNUMBER(SEARCH(TEXT('July TCM'!$B23,"00")&amp;"/03/2026",'Data Base hauling'!$E$2:$E$2000)))*'Data Base hauling'!$N$2:$N$2000)</f>
        <v>0</v>
      </c>
      <c r="HW23" s="27"/>
      <c r="HX23" s="27"/>
      <c r="HY23" s="27"/>
      <c r="HZ23" s="27"/>
      <c r="IA23" s="27"/>
      <c r="IB23" s="33">
        <f t="shared" si="49"/>
        <v>0</v>
      </c>
      <c r="IC23" s="52"/>
      <c r="ID23" s="152"/>
      <c r="IE23" s="53"/>
      <c r="IF23" s="53"/>
      <c r="IG23" s="53"/>
      <c r="IH23" s="53"/>
      <c r="II23" s="1926">
        <v>2486.5</v>
      </c>
      <c r="IJ23" s="1736"/>
      <c r="IK23" s="1926">
        <v>6232.04</v>
      </c>
      <c r="IL23" s="53"/>
      <c r="IM23" s="49">
        <v>0</v>
      </c>
      <c r="IN23" s="53"/>
      <c r="IO23" s="53"/>
      <c r="IP23" s="49">
        <v>0</v>
      </c>
      <c r="IQ23" s="2195">
        <f t="shared" si="121"/>
        <v>8718.5400000000009</v>
      </c>
      <c r="IR23" s="36"/>
      <c r="IS23" s="36"/>
      <c r="IT23" s="27"/>
      <c r="IU23" s="27"/>
      <c r="IV23" s="53"/>
      <c r="IW23" s="27"/>
      <c r="IX23" s="24">
        <v>0</v>
      </c>
      <c r="IY23" s="27"/>
      <c r="IZ23" s="24">
        <v>1649.3500000000001</v>
      </c>
      <c r="JA23" s="27"/>
      <c r="JB23" s="24">
        <v>1478.26</v>
      </c>
      <c r="JC23" s="27"/>
      <c r="JD23" s="27"/>
      <c r="JE23" s="27"/>
      <c r="JF23" s="33">
        <f t="shared" si="122"/>
        <v>3127.61</v>
      </c>
      <c r="JG23" s="2667"/>
      <c r="JI23" s="2014">
        <v>7347.31</v>
      </c>
      <c r="JJ23" s="2015">
        <v>8277.11</v>
      </c>
      <c r="JK23" s="53"/>
      <c r="JL23" s="1736">
        <f t="shared" si="52"/>
        <v>15624.420000000002</v>
      </c>
      <c r="JM23" s="33"/>
      <c r="JN23" s="2669"/>
      <c r="JO23" s="66">
        <v>0</v>
      </c>
      <c r="JP23" s="67">
        <v>0</v>
      </c>
      <c r="JQ23" s="67">
        <v>0</v>
      </c>
      <c r="JR23" s="67">
        <v>0</v>
      </c>
      <c r="JS23" s="67">
        <v>1</v>
      </c>
      <c r="JT23" s="67">
        <v>0</v>
      </c>
      <c r="JU23" s="67">
        <v>0</v>
      </c>
      <c r="JV23" s="1921">
        <v>0</v>
      </c>
      <c r="JW23" s="66">
        <v>0</v>
      </c>
      <c r="JX23" s="67">
        <v>0</v>
      </c>
      <c r="JY23" s="67">
        <v>0</v>
      </c>
      <c r="JZ23" s="67">
        <v>0.30040678449362157</v>
      </c>
      <c r="KA23" s="67">
        <v>0.2793221305503974</v>
      </c>
      <c r="KB23" s="67">
        <v>0.39380653392307213</v>
      </c>
      <c r="KC23" s="67">
        <v>2.6464551032908828E-2</v>
      </c>
      <c r="KD23" s="68">
        <v>0</v>
      </c>
      <c r="KE23" s="69"/>
      <c r="KF23" s="70"/>
      <c r="KG23" s="70"/>
      <c r="KH23" s="70"/>
      <c r="KI23" s="70"/>
      <c r="KJ23" s="70"/>
      <c r="KK23" s="70"/>
      <c r="KL23" s="70"/>
      <c r="KM23" s="33"/>
      <c r="KN23" s="2669"/>
      <c r="KO23" s="2203">
        <v>6984.864864864865</v>
      </c>
      <c r="KP23" s="1721">
        <v>0.93378378378378379</v>
      </c>
      <c r="KQ23" s="1721">
        <v>3.2524324324324323</v>
      </c>
      <c r="KR23" s="1721">
        <v>6.8424324324324326</v>
      </c>
      <c r="KS23" s="1722">
        <v>9.7059055945945936</v>
      </c>
      <c r="KT23" s="1958">
        <v>6884.0568493968713</v>
      </c>
      <c r="KU23" s="1961">
        <v>2.4503797921891795</v>
      </c>
      <c r="KV23" s="1961">
        <v>5.3756407500298575</v>
      </c>
      <c r="KW23" s="1961">
        <v>6.4608527409530634</v>
      </c>
      <c r="KX23" s="1962">
        <v>9.2637505066284476</v>
      </c>
      <c r="KY23" s="36"/>
      <c r="KZ23" s="53"/>
      <c r="LA23" s="53"/>
      <c r="LB23" s="53"/>
      <c r="LC23" s="53"/>
      <c r="LD23" s="33"/>
      <c r="LE23" s="2669"/>
      <c r="LG23" s="4">
        <f t="shared" si="53"/>
        <v>0</v>
      </c>
      <c r="LH23" s="27">
        <f t="shared" si="53"/>
        <v>0</v>
      </c>
      <c r="LI23" s="27">
        <f t="shared" si="53"/>
        <v>0</v>
      </c>
      <c r="LJ23" s="28">
        <f t="shared" si="54"/>
        <v>0</v>
      </c>
      <c r="LK23" s="36"/>
      <c r="LL23" s="27"/>
      <c r="LM23" s="27">
        <v>1</v>
      </c>
      <c r="LN23" s="33"/>
      <c r="LO23" s="1957">
        <v>2.0499999999999998</v>
      </c>
      <c r="LP23" s="486"/>
      <c r="LQ23" s="2688"/>
      <c r="LR23" s="36"/>
      <c r="LS23" s="36"/>
      <c r="LT23" s="27"/>
      <c r="LU23" s="27"/>
      <c r="LV23" s="27"/>
      <c r="LW23" s="1117">
        <f t="shared" si="55"/>
        <v>0</v>
      </c>
      <c r="LX23" s="36"/>
      <c r="LY23" s="36"/>
      <c r="LZ23" s="27"/>
      <c r="MA23" s="27"/>
      <c r="MB23" s="33"/>
      <c r="MC23" s="28">
        <f t="shared" si="56"/>
        <v>0</v>
      </c>
      <c r="MD23" s="26"/>
      <c r="ME23" s="36"/>
      <c r="MF23" s="27"/>
      <c r="MG23" s="27"/>
      <c r="MH23" s="27"/>
      <c r="MI23" s="28"/>
      <c r="MJ23" s="36"/>
      <c r="MK23" s="36"/>
      <c r="ML23" s="27"/>
      <c r="MM23" s="27"/>
      <c r="MN23" s="27"/>
      <c r="MO23" s="28"/>
      <c r="MP23" s="36"/>
      <c r="MQ23" s="36"/>
      <c r="MR23" s="27"/>
      <c r="MS23" s="27"/>
      <c r="MT23" s="27"/>
      <c r="MU23" s="33">
        <f t="shared" si="57"/>
        <v>0</v>
      </c>
      <c r="MV23" s="2688"/>
      <c r="MX23" s="26">
        <f t="shared" si="58"/>
        <v>159833.81197881</v>
      </c>
      <c r="MY23" s="27">
        <f t="shared" si="59"/>
        <v>266878.79079257301</v>
      </c>
      <c r="MZ23" s="27">
        <f t="shared" si="60"/>
        <v>21183.325210117309</v>
      </c>
      <c r="NA23" s="28">
        <f t="shared" si="61"/>
        <v>321335.09760218993</v>
      </c>
      <c r="NB23" s="2621"/>
      <c r="NC23" s="23">
        <f t="shared" si="62"/>
        <v>88646.711026069999</v>
      </c>
      <c r="ND23" s="1655">
        <f t="shared" si="63"/>
        <v>71187.100952740002</v>
      </c>
      <c r="NE23" s="60">
        <f t="shared" si="64"/>
        <v>0</v>
      </c>
      <c r="NF23" s="275">
        <f t="shared" si="4"/>
        <v>159833.81197881</v>
      </c>
      <c r="NG23" s="26">
        <f t="shared" si="65"/>
        <v>0</v>
      </c>
      <c r="NH23" s="27">
        <f t="shared" si="65"/>
        <v>0</v>
      </c>
      <c r="NI23" s="27">
        <f t="shared" si="65"/>
        <v>0</v>
      </c>
      <c r="NJ23" s="27">
        <f t="shared" si="65"/>
        <v>0</v>
      </c>
      <c r="NK23" s="27">
        <f t="shared" si="65"/>
        <v>0</v>
      </c>
      <c r="NL23" s="33">
        <f t="shared" si="65"/>
        <v>0</v>
      </c>
      <c r="NM23" s="27">
        <f t="shared" si="65"/>
        <v>0</v>
      </c>
      <c r="NN23" s="36">
        <f t="shared" si="65"/>
        <v>0</v>
      </c>
      <c r="NO23" s="24">
        <f t="shared" si="65"/>
        <v>22968.48067116418</v>
      </c>
      <c r="NP23" s="27">
        <f t="shared" si="65"/>
        <v>24549.88002237798</v>
      </c>
      <c r="NQ23" s="24">
        <f t="shared" si="110"/>
        <v>8756.5482322711578</v>
      </c>
      <c r="NR23" s="24">
        <f t="shared" si="111"/>
        <v>15050.29135148718</v>
      </c>
      <c r="NS23" s="27">
        <f t="shared" si="0"/>
        <v>71325.200277300493</v>
      </c>
      <c r="NT23" s="27">
        <f t="shared" si="66"/>
        <v>0</v>
      </c>
      <c r="NU23" s="27">
        <f t="shared" si="66"/>
        <v>0</v>
      </c>
      <c r="NV23" s="27">
        <f t="shared" si="66"/>
        <v>0</v>
      </c>
      <c r="NW23" s="27">
        <f t="shared" si="66"/>
        <v>0</v>
      </c>
      <c r="NX23" s="27">
        <f t="shared" si="66"/>
        <v>0</v>
      </c>
      <c r="NY23" s="5">
        <f t="shared" si="66"/>
        <v>0</v>
      </c>
      <c r="NZ23" s="27">
        <f t="shared" si="66"/>
        <v>16895.988814178832</v>
      </c>
      <c r="OA23" s="27">
        <f t="shared" si="66"/>
        <v>0</v>
      </c>
      <c r="OB23" s="27">
        <f t="shared" si="66"/>
        <v>97556.309365972586</v>
      </c>
      <c r="OC23" s="280"/>
      <c r="OD23" s="24">
        <f t="shared" si="67"/>
        <v>0</v>
      </c>
      <c r="OE23" s="27">
        <f t="shared" si="67"/>
        <v>0</v>
      </c>
      <c r="OF23" s="28">
        <f t="shared" si="1"/>
        <v>114452.29818015141</v>
      </c>
      <c r="OG23" s="27">
        <f t="shared" si="68"/>
        <v>0</v>
      </c>
      <c r="OH23" s="27">
        <f t="shared" si="68"/>
        <v>0</v>
      </c>
      <c r="OI23" s="27">
        <v>0</v>
      </c>
      <c r="OJ23" s="27">
        <f t="shared" si="68"/>
        <v>0</v>
      </c>
      <c r="OK23" s="27">
        <f t="shared" si="68"/>
        <v>0</v>
      </c>
      <c r="OL23" s="27">
        <f t="shared" si="68"/>
        <v>0</v>
      </c>
      <c r="OM23" s="24">
        <f t="shared" si="68"/>
        <v>0</v>
      </c>
      <c r="ON23" s="27">
        <f t="shared" si="68"/>
        <v>0</v>
      </c>
      <c r="OO23" s="24">
        <f t="shared" si="118"/>
        <v>52355.085076326242</v>
      </c>
      <c r="OP23" s="27">
        <f t="shared" si="68"/>
        <v>0</v>
      </c>
      <c r="OQ23" s="24">
        <f t="shared" si="68"/>
        <v>28746.20725879485</v>
      </c>
      <c r="OR23" s="27">
        <f t="shared" si="68"/>
        <v>0</v>
      </c>
      <c r="OS23" s="28">
        <f t="shared" si="2"/>
        <v>81101.292335121092</v>
      </c>
      <c r="OT23" s="36"/>
      <c r="OU23" s="27"/>
      <c r="OV23" s="27"/>
      <c r="OW23" s="27"/>
      <c r="OX23" s="27"/>
      <c r="OY23" s="27"/>
      <c r="OZ23" s="28">
        <f t="shared" si="69"/>
        <v>0</v>
      </c>
      <c r="PA23" s="36">
        <f t="shared" si="70"/>
        <v>0</v>
      </c>
      <c r="PB23" s="27">
        <f t="shared" si="71"/>
        <v>0</v>
      </c>
      <c r="PC23" s="27">
        <f t="shared" si="72"/>
        <v>0</v>
      </c>
      <c r="PD23" s="27">
        <f t="shared" si="73"/>
        <v>0</v>
      </c>
      <c r="PE23" s="24"/>
      <c r="PF23" s="27">
        <f t="shared" si="74"/>
        <v>0</v>
      </c>
      <c r="PG23" s="33">
        <f t="shared" si="3"/>
        <v>0</v>
      </c>
      <c r="PH23" s="2621"/>
      <c r="PJ23" s="1907">
        <v>804.94</v>
      </c>
      <c r="PK23" s="1101">
        <v>581</v>
      </c>
      <c r="PL23" s="1101">
        <v>166</v>
      </c>
      <c r="PM23" s="488">
        <v>219.05</v>
      </c>
      <c r="PN23" s="3">
        <f t="shared" si="75"/>
        <v>34295.423504658713</v>
      </c>
      <c r="PO23" s="11">
        <f t="shared" si="76"/>
        <v>21183.325210117309</v>
      </c>
      <c r="PP23" s="15"/>
      <c r="PQ23" s="2615"/>
      <c r="PS23" s="4"/>
      <c r="PT23" s="9"/>
      <c r="PU23" s="9"/>
      <c r="PV23" s="9"/>
      <c r="PW23" s="8">
        <v>0</v>
      </c>
      <c r="PX23" s="9"/>
      <c r="PY23" s="8">
        <f t="shared" si="77"/>
        <v>0</v>
      </c>
      <c r="PZ23" s="5">
        <f t="shared" si="78"/>
        <v>804.94</v>
      </c>
      <c r="QA23" s="5"/>
      <c r="QB23" s="5"/>
      <c r="QC23" s="5"/>
      <c r="QD23" s="5"/>
      <c r="QE23" s="5"/>
      <c r="QF23" s="12"/>
      <c r="QG23" s="12">
        <f t="shared" si="79"/>
        <v>29562.488999999998</v>
      </c>
      <c r="QH23" s="420">
        <f t="shared" si="80"/>
        <v>289552.65180818993</v>
      </c>
      <c r="QI23" s="1106">
        <f t="shared" si="113"/>
        <v>2219.9567940000002</v>
      </c>
      <c r="QJ23" s="484">
        <f t="shared" si="81"/>
        <v>5505.3678056099998</v>
      </c>
      <c r="QK23" s="12"/>
      <c r="QL23" s="2615"/>
      <c r="QN23" s="139">
        <f t="shared" si="82"/>
        <v>0</v>
      </c>
      <c r="QO23" s="139" t="str">
        <f t="shared" si="83"/>
        <v/>
      </c>
      <c r="QQ23" s="139">
        <f t="shared" si="84"/>
        <v>0</v>
      </c>
      <c r="QR23" s="139">
        <f t="shared" si="85"/>
        <v>0</v>
      </c>
      <c r="QT23" s="1">
        <f t="shared" si="86"/>
        <v>0</v>
      </c>
      <c r="QU23" s="1">
        <f t="shared" si="87"/>
        <v>0</v>
      </c>
      <c r="QV23" s="1">
        <f t="shared" si="88"/>
        <v>0</v>
      </c>
      <c r="QW23" s="1">
        <f t="shared" si="89"/>
        <v>0</v>
      </c>
      <c r="QX23" s="1">
        <f t="shared" si="90"/>
        <v>0</v>
      </c>
      <c r="QY23" s="1">
        <f t="shared" si="91"/>
        <v>0</v>
      </c>
      <c r="RA23" s="1">
        <f t="shared" si="92"/>
        <v>0</v>
      </c>
      <c r="RB23" s="1">
        <f t="shared" si="93"/>
        <v>0</v>
      </c>
      <c r="RC23" s="1">
        <f t="shared" si="94"/>
        <v>0</v>
      </c>
      <c r="RD23" s="1">
        <f t="shared" si="95"/>
        <v>0</v>
      </c>
      <c r="RE23" s="1">
        <f t="shared" si="96"/>
        <v>0</v>
      </c>
      <c r="RF23" s="1">
        <f t="shared" si="97"/>
        <v>0</v>
      </c>
      <c r="RI23" s="1">
        <v>14</v>
      </c>
      <c r="RJ23" s="1">
        <f t="shared" si="123"/>
        <v>-18401.660290282907</v>
      </c>
      <c r="RK23" s="1">
        <f t="shared" si="123"/>
        <v>1888.2572804837182</v>
      </c>
      <c r="RL23" s="1">
        <f t="shared" si="123"/>
        <v>13404.263703387322</v>
      </c>
      <c r="RM23" s="89">
        <f t="shared" si="5"/>
        <v>-3109.1393064118674</v>
      </c>
      <c r="RN23" s="1033">
        <v>14</v>
      </c>
      <c r="RO23" s="1098">
        <v>0</v>
      </c>
      <c r="RP23" s="1098">
        <f t="shared" si="99"/>
        <v>0</v>
      </c>
      <c r="RQ23" s="1097">
        <f t="shared" si="99"/>
        <v>0</v>
      </c>
      <c r="RR23" s="1097">
        <f t="shared" si="114"/>
        <v>10581.85</v>
      </c>
      <c r="RS23" s="1050"/>
      <c r="RT23" s="1050" t="s">
        <v>1037</v>
      </c>
      <c r="RU23" s="1048"/>
      <c r="RW23" s="421">
        <v>14</v>
      </c>
      <c r="RX23" s="1095">
        <f t="shared" si="100"/>
        <v>15624.42</v>
      </c>
      <c r="RY23" s="1115" t="s">
        <v>1038</v>
      </c>
      <c r="RZ23" s="1114"/>
      <c r="SA23" s="1090"/>
      <c r="SB23" s="1090">
        <f t="shared" si="101"/>
        <v>0</v>
      </c>
      <c r="SC23" s="1090"/>
      <c r="SD23" s="1090">
        <f t="shared" si="124"/>
        <v>0</v>
      </c>
      <c r="SF23" s="1">
        <v>14</v>
      </c>
      <c r="SG23" s="1">
        <f t="shared" si="103"/>
        <v>219.05</v>
      </c>
      <c r="SH23" s="1094" t="s">
        <v>1039</v>
      </c>
    </row>
    <row r="24" spans="1:502" s="1" customFormat="1" ht="15" customHeight="1">
      <c r="B24" s="471">
        <v>15</v>
      </c>
      <c r="C24" s="1959">
        <f t="shared" si="6"/>
        <v>173359</v>
      </c>
      <c r="D24" s="1590">
        <f t="shared" si="119"/>
        <v>11546.09</v>
      </c>
      <c r="E24" s="1895">
        <f t="shared" si="7"/>
        <v>15.014520066966393</v>
      </c>
      <c r="F24" s="870"/>
      <c r="G24" s="870"/>
      <c r="H24" s="52"/>
      <c r="I24" s="61"/>
      <c r="J24" s="52"/>
      <c r="K24" s="54"/>
      <c r="L24" s="52"/>
      <c r="M24" s="61"/>
      <c r="N24" s="2629"/>
      <c r="O24" s="4">
        <f t="shared" si="117"/>
        <v>104832</v>
      </c>
      <c r="P24" s="1225">
        <f t="shared" si="8"/>
        <v>7018.0700000000006</v>
      </c>
      <c r="Q24" s="1913">
        <f t="shared" si="9"/>
        <v>14.937440065431092</v>
      </c>
      <c r="R24" s="33"/>
      <c r="S24" s="26">
        <f t="shared" si="10"/>
        <v>44290</v>
      </c>
      <c r="T24" s="27">
        <f t="shared" si="105"/>
        <v>2548.0200000000004</v>
      </c>
      <c r="U24" s="1909">
        <f t="shared" si="11"/>
        <v>17.382124159151026</v>
      </c>
      <c r="V24" s="28"/>
      <c r="W24" s="26">
        <f t="shared" si="12"/>
        <v>18512</v>
      </c>
      <c r="X24" s="5">
        <f t="shared" si="12"/>
        <v>1980</v>
      </c>
      <c r="Y24" s="1909">
        <f t="shared" si="13"/>
        <v>9.3494949494949502</v>
      </c>
      <c r="Z24" s="33"/>
      <c r="AA24" s="26">
        <f t="shared" si="14"/>
        <v>5725</v>
      </c>
      <c r="AB24" s="27">
        <f t="shared" si="15"/>
        <v>0</v>
      </c>
      <c r="AC24" s="1909">
        <f t="shared" si="16"/>
        <v>0</v>
      </c>
      <c r="AD24" s="28"/>
      <c r="AE24" s="36"/>
      <c r="AF24" s="36"/>
      <c r="AG24" s="53">
        <f t="shared" si="17"/>
        <v>0</v>
      </c>
      <c r="AH24" s="28"/>
      <c r="AI24" s="23"/>
      <c r="AJ24" s="27"/>
      <c r="AK24" s="53">
        <f t="shared" si="18"/>
        <v>0</v>
      </c>
      <c r="AL24" s="28"/>
      <c r="AM24" s="2629"/>
      <c r="AN24" s="9"/>
      <c r="AO24" s="5"/>
      <c r="AP24" s="61">
        <f t="shared" si="19"/>
        <v>0</v>
      </c>
      <c r="AQ24" s="36"/>
      <c r="AR24" s="53"/>
      <c r="AS24" s="61">
        <f t="shared" si="20"/>
        <v>0</v>
      </c>
      <c r="AT24" s="36">
        <v>0</v>
      </c>
      <c r="AU24" s="27"/>
      <c r="AV24" s="54">
        <f t="shared" si="21"/>
        <v>0</v>
      </c>
      <c r="AW24" s="26">
        <v>61698</v>
      </c>
      <c r="AX24" s="24">
        <v>4972.1100000000006</v>
      </c>
      <c r="AY24" s="1895">
        <f t="shared" si="115"/>
        <v>12.408816377755116</v>
      </c>
      <c r="AZ24" s="1908"/>
      <c r="BA24" s="1909"/>
      <c r="BB24" s="1895">
        <f t="shared" si="22"/>
        <v>0</v>
      </c>
      <c r="BC24" s="1740">
        <v>43134</v>
      </c>
      <c r="BD24" s="1926">
        <v>2045.96</v>
      </c>
      <c r="BE24" s="1895">
        <f t="shared" si="23"/>
        <v>21.082523607499656</v>
      </c>
      <c r="BF24" s="1908"/>
      <c r="BG24" s="1909"/>
      <c r="BH24" s="1895">
        <f t="shared" si="24"/>
        <v>0</v>
      </c>
      <c r="BI24" s="1908">
        <v>0</v>
      </c>
      <c r="BJ24" s="1909">
        <v>0</v>
      </c>
      <c r="BK24" s="1895">
        <f t="shared" si="25"/>
        <v>0</v>
      </c>
      <c r="BL24" s="1742">
        <v>44290</v>
      </c>
      <c r="BM24" s="1736">
        <v>2548.0200000000004</v>
      </c>
      <c r="BN24" s="1941"/>
      <c r="BO24" s="1911">
        <f t="shared" si="26"/>
        <v>17.382124159151026</v>
      </c>
      <c r="BP24" s="9">
        <v>5725</v>
      </c>
      <c r="BQ24" s="63">
        <v>0</v>
      </c>
      <c r="BR24" s="1920">
        <f t="shared" si="27"/>
        <v>0</v>
      </c>
      <c r="BS24" s="9"/>
      <c r="BT24" s="64"/>
      <c r="BU24" s="482">
        <f t="shared" si="28"/>
        <v>0</v>
      </c>
      <c r="BV24" s="9">
        <v>18512</v>
      </c>
      <c r="BW24" s="5">
        <f t="shared" si="106"/>
        <v>1980</v>
      </c>
      <c r="BX24" s="1051">
        <f t="shared" si="29"/>
        <v>9.3494949494949502</v>
      </c>
      <c r="BY24" s="26"/>
      <c r="BZ24" s="27"/>
      <c r="CA24" s="482">
        <f t="shared" si="30"/>
        <v>0</v>
      </c>
      <c r="CB24" s="9"/>
      <c r="CC24" s="481"/>
      <c r="CD24" s="482">
        <f t="shared" si="31"/>
        <v>0</v>
      </c>
      <c r="CE24" s="4"/>
      <c r="CF24" s="5"/>
      <c r="CG24" s="28">
        <f t="shared" si="32"/>
        <v>0</v>
      </c>
      <c r="CH24" s="150"/>
      <c r="CI24" s="1108"/>
      <c r="CJ24" s="5"/>
      <c r="CK24" s="5">
        <v>2130</v>
      </c>
      <c r="CL24" s="5"/>
      <c r="CM24" s="5"/>
      <c r="CN24" s="5">
        <f t="shared" si="33"/>
        <v>2130</v>
      </c>
      <c r="CO24" s="33"/>
      <c r="CP24" s="366"/>
      <c r="CR24" s="4">
        <f t="shared" si="34"/>
        <v>0</v>
      </c>
      <c r="CS24" s="9">
        <f t="shared" si="34"/>
        <v>0</v>
      </c>
      <c r="CT24" s="5">
        <f t="shared" si="34"/>
        <v>0</v>
      </c>
      <c r="CU24" s="5">
        <f t="shared" si="34"/>
        <v>0</v>
      </c>
      <c r="CV24" s="5">
        <f t="shared" si="34"/>
        <v>0</v>
      </c>
      <c r="CW24" s="5">
        <f t="shared" si="34"/>
        <v>0</v>
      </c>
      <c r="CX24" s="5">
        <f t="shared" si="34"/>
        <v>2392.87</v>
      </c>
      <c r="CY24" s="5">
        <f t="shared" si="34"/>
        <v>0</v>
      </c>
      <c r="CZ24" s="5">
        <f t="shared" si="34"/>
        <v>8706.5</v>
      </c>
      <c r="DA24" s="5">
        <f t="shared" si="34"/>
        <v>0</v>
      </c>
      <c r="DB24" s="5">
        <f t="shared" si="34"/>
        <v>446.72</v>
      </c>
      <c r="DC24" s="12">
        <f t="shared" si="34"/>
        <v>0</v>
      </c>
      <c r="DD24" s="2168">
        <f t="shared" si="35"/>
        <v>11546.089999999998</v>
      </c>
      <c r="DE24" s="2695"/>
      <c r="DF24" s="8"/>
      <c r="DG24" s="9"/>
      <c r="DH24" s="5"/>
      <c r="DI24" s="5"/>
      <c r="DJ24" s="5"/>
      <c r="DK24" s="5"/>
      <c r="DL24" s="3">
        <v>2392.87</v>
      </c>
      <c r="DM24" s="5"/>
      <c r="DN24" s="3">
        <v>2579.2400000000002</v>
      </c>
      <c r="DO24" s="5"/>
      <c r="DP24" s="3">
        <v>0</v>
      </c>
      <c r="DQ24" s="12"/>
      <c r="DR24" s="28">
        <f t="shared" si="36"/>
        <v>4972.1100000000006</v>
      </c>
      <c r="DS24" s="36"/>
      <c r="DT24" s="9"/>
      <c r="DU24" s="5"/>
      <c r="DV24" s="5"/>
      <c r="DW24" s="5"/>
      <c r="DX24" s="5"/>
      <c r="DY24" s="5"/>
      <c r="DZ24" s="5"/>
      <c r="EA24" s="3">
        <v>4147.26</v>
      </c>
      <c r="EB24" s="27"/>
      <c r="EC24" s="24">
        <v>446.72</v>
      </c>
      <c r="ED24" s="33"/>
      <c r="EE24" s="28">
        <f t="shared" si="37"/>
        <v>4593.9800000000005</v>
      </c>
      <c r="EF24" s="9"/>
      <c r="EG24" s="36"/>
      <c r="EH24" s="5"/>
      <c r="EI24" s="27"/>
      <c r="EJ24" s="27"/>
      <c r="EK24" s="27"/>
      <c r="EL24" s="27"/>
      <c r="EM24" s="27"/>
      <c r="EN24" s="5">
        <v>1980</v>
      </c>
      <c r="EO24" s="5"/>
      <c r="EP24" s="5"/>
      <c r="EQ24" s="33"/>
      <c r="ER24" s="28">
        <f t="shared" si="38"/>
        <v>1980</v>
      </c>
      <c r="ES24" s="36"/>
      <c r="ET24" s="27"/>
      <c r="EU24" s="27"/>
      <c r="EV24" s="27"/>
      <c r="EW24" s="27"/>
      <c r="EX24" s="27"/>
      <c r="EY24" s="33">
        <f t="shared" si="39"/>
        <v>0</v>
      </c>
      <c r="EZ24" s="2685"/>
      <c r="FB24" s="4">
        <f t="shared" si="40"/>
        <v>0</v>
      </c>
      <c r="FC24" s="5">
        <f t="shared" si="41"/>
        <v>0</v>
      </c>
      <c r="FD24" s="5">
        <f t="shared" si="42"/>
        <v>156.13999999999999</v>
      </c>
      <c r="FE24" s="12">
        <f t="shared" si="43"/>
        <v>156.13999999999999</v>
      </c>
      <c r="FF24" s="33"/>
      <c r="FG24" s="2674"/>
      <c r="FH24" s="9"/>
      <c r="FI24" s="5"/>
      <c r="FJ24" s="5"/>
      <c r="FK24" s="5"/>
      <c r="FL24" s="5"/>
      <c r="FM24" s="27"/>
      <c r="FN24" s="28">
        <f t="shared" si="44"/>
        <v>0</v>
      </c>
      <c r="FO24" s="36"/>
      <c r="FP24" s="27"/>
      <c r="FQ24" s="27"/>
      <c r="FR24" s="27"/>
      <c r="FS24" s="27"/>
      <c r="FT24" s="27"/>
      <c r="FU24" s="28">
        <f t="shared" si="45"/>
        <v>0</v>
      </c>
      <c r="FV24" s="36"/>
      <c r="FW24" s="36"/>
      <c r="FX24" s="27"/>
      <c r="FY24" s="27"/>
      <c r="FZ24" s="27"/>
      <c r="GA24" s="27"/>
      <c r="GB24" s="27"/>
      <c r="GC24" s="27"/>
      <c r="GD24" s="24">
        <v>156.13999999999999</v>
      </c>
      <c r="GE24" s="27"/>
      <c r="GF24" s="27"/>
      <c r="GG24" s="33"/>
      <c r="GH24" s="33">
        <f t="shared" si="46"/>
        <v>156.13999999999999</v>
      </c>
      <c r="GI24" s="2674"/>
      <c r="GK24" s="2">
        <f t="shared" si="107"/>
        <v>2282.25</v>
      </c>
      <c r="GL24" s="1942">
        <f t="shared" si="108"/>
        <v>6399.82</v>
      </c>
      <c r="GM24" s="1943">
        <f t="shared" si="109"/>
        <v>3977.2699999999995</v>
      </c>
      <c r="GN24" s="1736">
        <f t="shared" si="47"/>
        <v>12659.34</v>
      </c>
      <c r="GO24" s="141"/>
      <c r="GP24" s="141"/>
      <c r="GQ24" s="33"/>
      <c r="GR24" s="2667"/>
      <c r="GS24" s="1739">
        <v>0</v>
      </c>
      <c r="GT24" s="1721">
        <v>0</v>
      </c>
      <c r="GU24" s="1721">
        <v>5917.4099999999989</v>
      </c>
      <c r="GV24" s="1721">
        <v>6741.93</v>
      </c>
      <c r="GW24" s="1941">
        <v>12659.34</v>
      </c>
      <c r="GX24" s="2667"/>
      <c r="GY24" s="36"/>
      <c r="GZ24" s="36"/>
      <c r="HA24" s="27"/>
      <c r="HB24" s="27"/>
      <c r="HC24" s="27"/>
      <c r="HD24" s="27"/>
      <c r="HE24" s="27"/>
      <c r="HF24" s="27"/>
      <c r="HG24" s="24">
        <v>1568.33</v>
      </c>
      <c r="HH24" s="27"/>
      <c r="HI24" s="24">
        <v>713.92000000000007</v>
      </c>
      <c r="HJ24" s="27"/>
      <c r="HK24" s="24">
        <v>0</v>
      </c>
      <c r="HL24" s="27"/>
      <c r="HM24" s="1906">
        <f t="shared" si="120"/>
        <v>2282.25</v>
      </c>
      <c r="HN24" s="36"/>
      <c r="HO24" s="27"/>
      <c r="HP24" s="27"/>
      <c r="HQ24" s="27"/>
      <c r="HR24" s="27"/>
      <c r="HS24" s="27"/>
      <c r="HT24" s="27">
        <f t="array" ref="HT24">SUMPRODUCT(('Data Base hauling'!$C$2:$C$2000="TCM-ROM SB1 BK05-ROM 4")*(ISNUMBER(SEARCH(TEXT('July TCM'!$B24,"00")&amp;"/03/2026",'Data Base hauling'!$E$2:$E$2000)))*'Data Base hauling'!$N$2:$N$2000)</f>
        <v>0</v>
      </c>
      <c r="HU24" s="27"/>
      <c r="HV24" s="27">
        <f t="array" ref="HV24">SUMPRODUCT(('Data Base hauling'!$C$2:$C$2000="TCM-ROM SB1 BK05-ROM 5")*(ISNUMBER(SEARCH(TEXT('July TCM'!$B24,"00")&amp;"/03/2026",'Data Base hauling'!$E$2:$E$2000)))*'Data Base hauling'!$N$2:$N$2000)</f>
        <v>0</v>
      </c>
      <c r="HW24" s="27"/>
      <c r="HX24" s="27"/>
      <c r="HY24" s="27"/>
      <c r="HZ24" s="27"/>
      <c r="IA24" s="27"/>
      <c r="IB24" s="33">
        <f t="shared" si="49"/>
        <v>0</v>
      </c>
      <c r="IC24" s="52"/>
      <c r="ID24" s="152"/>
      <c r="IE24" s="53"/>
      <c r="IF24" s="53"/>
      <c r="IG24" s="53"/>
      <c r="IH24" s="53"/>
      <c r="II24" s="1926">
        <v>2281.4500000000003</v>
      </c>
      <c r="IJ24" s="1736"/>
      <c r="IK24" s="1926">
        <v>4118.369999999999</v>
      </c>
      <c r="IL24" s="53"/>
      <c r="IM24" s="49">
        <v>0</v>
      </c>
      <c r="IN24" s="53"/>
      <c r="IO24" s="53"/>
      <c r="IP24" s="49">
        <v>0</v>
      </c>
      <c r="IQ24" s="2195">
        <f t="shared" si="121"/>
        <v>6399.82</v>
      </c>
      <c r="IR24" s="36"/>
      <c r="IS24" s="36"/>
      <c r="IT24" s="53"/>
      <c r="IU24" s="27"/>
      <c r="IV24" s="53"/>
      <c r="IW24" s="27"/>
      <c r="IX24" s="24">
        <v>0</v>
      </c>
      <c r="IY24" s="27"/>
      <c r="IZ24" s="24">
        <v>2041.95</v>
      </c>
      <c r="JA24" s="27"/>
      <c r="JB24" s="24">
        <v>1935.3199999999997</v>
      </c>
      <c r="JC24" s="27"/>
      <c r="JD24" s="27"/>
      <c r="JE24" s="27"/>
      <c r="JF24" s="1941">
        <f t="shared" si="122"/>
        <v>3977.2699999999995</v>
      </c>
      <c r="JG24" s="2667"/>
      <c r="JI24" s="2014">
        <v>5584.0800000000008</v>
      </c>
      <c r="JJ24" s="2015">
        <v>7075.26</v>
      </c>
      <c r="JK24" s="53"/>
      <c r="JL24" s="1736">
        <f t="shared" si="52"/>
        <v>12659.34</v>
      </c>
      <c r="JM24" s="33"/>
      <c r="JN24" s="2669"/>
      <c r="JO24" s="66">
        <v>0</v>
      </c>
      <c r="JP24" s="67">
        <v>0</v>
      </c>
      <c r="JQ24" s="67">
        <v>0</v>
      </c>
      <c r="JR24" s="67">
        <v>0</v>
      </c>
      <c r="JS24" s="67">
        <v>1</v>
      </c>
      <c r="JT24" s="67">
        <v>0</v>
      </c>
      <c r="JU24" s="67">
        <v>0</v>
      </c>
      <c r="JV24" s="1921">
        <v>0</v>
      </c>
      <c r="JW24" s="66">
        <v>0</v>
      </c>
      <c r="JX24" s="67">
        <v>0</v>
      </c>
      <c r="JY24" s="67">
        <v>0</v>
      </c>
      <c r="JZ24" s="67">
        <v>0.32245458117440212</v>
      </c>
      <c r="KA24" s="67">
        <v>0.30310829566687297</v>
      </c>
      <c r="KB24" s="67">
        <v>0.37443712315872485</v>
      </c>
      <c r="KC24" s="67">
        <v>0</v>
      </c>
      <c r="KD24" s="68">
        <v>0</v>
      </c>
      <c r="KE24" s="69"/>
      <c r="KF24" s="70"/>
      <c r="KG24" s="70"/>
      <c r="KH24" s="70"/>
      <c r="KI24" s="70"/>
      <c r="KJ24" s="70"/>
      <c r="KK24" s="70"/>
      <c r="KL24" s="70"/>
      <c r="KM24" s="33"/>
      <c r="KN24" s="2669"/>
      <c r="KO24" s="2203">
        <v>7195</v>
      </c>
      <c r="KP24" s="1721">
        <v>0.78</v>
      </c>
      <c r="KQ24" s="1721">
        <v>4.88</v>
      </c>
      <c r="KR24" s="1721">
        <v>5.12</v>
      </c>
      <c r="KS24" s="1722">
        <v>8.5546560000000014</v>
      </c>
      <c r="KT24" s="1958">
        <v>7046.4316330904412</v>
      </c>
      <c r="KU24" s="1961">
        <v>2.0127989712816117</v>
      </c>
      <c r="KV24" s="1961">
        <v>4.0901143020431485</v>
      </c>
      <c r="KW24" s="1961">
        <v>6.7271224460637242</v>
      </c>
      <c r="KX24" s="1962">
        <v>8.8565096468066855</v>
      </c>
      <c r="KY24" s="36"/>
      <c r="KZ24" s="53"/>
      <c r="LA24" s="53"/>
      <c r="LB24" s="53"/>
      <c r="LC24" s="53"/>
      <c r="LD24" s="33"/>
      <c r="LE24" s="2669"/>
      <c r="LG24" s="4">
        <f>SUM(LR24,LX24,MJ24,MP24+MD24)</f>
        <v>7277.87</v>
      </c>
      <c r="LH24" s="27">
        <f t="shared" si="53"/>
        <v>0</v>
      </c>
      <c r="LI24" s="27">
        <f t="shared" si="53"/>
        <v>0</v>
      </c>
      <c r="LJ24" s="28">
        <f t="shared" si="54"/>
        <v>7277.87</v>
      </c>
      <c r="LK24" s="36">
        <v>1</v>
      </c>
      <c r="LL24" s="27"/>
      <c r="LM24" s="27"/>
      <c r="LN24" s="33"/>
      <c r="LO24" s="1957">
        <v>1.75</v>
      </c>
      <c r="LP24" s="486"/>
      <c r="LQ24" s="2688"/>
      <c r="LR24" s="36">
        <v>7277.87</v>
      </c>
      <c r="LS24" s="36"/>
      <c r="LT24" s="27"/>
      <c r="LU24" s="27"/>
      <c r="LV24" s="27"/>
      <c r="LW24" s="1107">
        <f t="shared" si="55"/>
        <v>7277.87</v>
      </c>
      <c r="LX24" s="36"/>
      <c r="LY24" s="36"/>
      <c r="LZ24" s="27"/>
      <c r="MA24" s="27"/>
      <c r="MB24" s="33"/>
      <c r="MC24" s="28">
        <f t="shared" si="56"/>
        <v>0</v>
      </c>
      <c r="MD24" s="26"/>
      <c r="ME24" s="36"/>
      <c r="MF24" s="27"/>
      <c r="MG24" s="27"/>
      <c r="MH24" s="27"/>
      <c r="MI24" s="28"/>
      <c r="MJ24" s="36"/>
      <c r="MK24" s="36"/>
      <c r="ML24" s="27"/>
      <c r="MM24" s="27"/>
      <c r="MN24" s="27"/>
      <c r="MO24" s="28"/>
      <c r="MP24" s="36"/>
      <c r="MQ24" s="36"/>
      <c r="MR24" s="27"/>
      <c r="MS24" s="27"/>
      <c r="MT24" s="27"/>
      <c r="MU24" s="33">
        <f t="shared" si="57"/>
        <v>0</v>
      </c>
      <c r="MV24" s="2688"/>
      <c r="MX24" s="26">
        <f t="shared" si="58"/>
        <v>165215.28197881</v>
      </c>
      <c r="MY24" s="27">
        <f t="shared" si="59"/>
        <v>265921.68079257302</v>
      </c>
      <c r="MZ24" s="27">
        <f t="shared" si="60"/>
        <v>21505.325210117309</v>
      </c>
      <c r="NA24" s="28">
        <f t="shared" si="61"/>
        <v>319416.13760218991</v>
      </c>
      <c r="NB24" s="2621"/>
      <c r="NC24" s="23">
        <f t="shared" si="62"/>
        <v>86952.921026070006</v>
      </c>
      <c r="ND24" s="1655">
        <f t="shared" si="63"/>
        <v>78262.360952739997</v>
      </c>
      <c r="NE24" s="60">
        <f t="shared" si="64"/>
        <v>0</v>
      </c>
      <c r="NF24" s="275">
        <f t="shared" si="4"/>
        <v>165215.28197881</v>
      </c>
      <c r="NG24" s="26">
        <f t="shared" si="65"/>
        <v>0</v>
      </c>
      <c r="NH24" s="27">
        <f t="shared" si="65"/>
        <v>0</v>
      </c>
      <c r="NI24" s="27">
        <f t="shared" si="65"/>
        <v>0</v>
      </c>
      <c r="NJ24" s="27">
        <f t="shared" si="65"/>
        <v>0</v>
      </c>
      <c r="NK24" s="27">
        <f t="shared" si="65"/>
        <v>0</v>
      </c>
      <c r="NL24" s="33">
        <f t="shared" si="65"/>
        <v>0</v>
      </c>
      <c r="NM24" s="27">
        <f t="shared" si="65"/>
        <v>0</v>
      </c>
      <c r="NN24" s="36">
        <f t="shared" si="65"/>
        <v>0</v>
      </c>
      <c r="NO24" s="24">
        <f t="shared" si="65"/>
        <v>23380.150671164178</v>
      </c>
      <c r="NP24" s="27">
        <f t="shared" si="65"/>
        <v>24549.88002237798</v>
      </c>
      <c r="NQ24" s="24">
        <f t="shared" si="110"/>
        <v>8756.5482322711578</v>
      </c>
      <c r="NR24" s="24">
        <f t="shared" si="111"/>
        <v>14336.37135148718</v>
      </c>
      <c r="NS24" s="27">
        <f t="shared" si="0"/>
        <v>71022.950277300493</v>
      </c>
      <c r="NT24" s="27">
        <f t="shared" si="66"/>
        <v>0</v>
      </c>
      <c r="NU24" s="27">
        <f t="shared" si="66"/>
        <v>0</v>
      </c>
      <c r="NV24" s="27">
        <f t="shared" si="66"/>
        <v>0</v>
      </c>
      <c r="NW24" s="27">
        <f t="shared" si="66"/>
        <v>0</v>
      </c>
      <c r="NX24" s="27">
        <f t="shared" si="66"/>
        <v>0</v>
      </c>
      <c r="NY24" s="5">
        <f t="shared" si="66"/>
        <v>0</v>
      </c>
      <c r="NZ24" s="27">
        <f t="shared" si="66"/>
        <v>17007.408814178831</v>
      </c>
      <c r="OA24" s="27">
        <f t="shared" si="66"/>
        <v>0</v>
      </c>
      <c r="OB24" s="27">
        <f t="shared" si="66"/>
        <v>96017.179365972595</v>
      </c>
      <c r="OC24" s="280"/>
      <c r="OD24" s="24">
        <f t="shared" si="67"/>
        <v>0</v>
      </c>
      <c r="OE24" s="27">
        <f t="shared" si="67"/>
        <v>0</v>
      </c>
      <c r="OF24" s="28">
        <f t="shared" si="1"/>
        <v>113024.58818015142</v>
      </c>
      <c r="OG24" s="27">
        <f t="shared" si="68"/>
        <v>0</v>
      </c>
      <c r="OH24" s="27">
        <f t="shared" si="68"/>
        <v>0</v>
      </c>
      <c r="OI24" s="27">
        <f t="shared" si="68"/>
        <v>0</v>
      </c>
      <c r="OJ24" s="27">
        <f t="shared" si="68"/>
        <v>0</v>
      </c>
      <c r="OK24" s="27">
        <f t="shared" si="68"/>
        <v>0</v>
      </c>
      <c r="OL24" s="27">
        <f t="shared" si="68"/>
        <v>0</v>
      </c>
      <c r="OM24" s="24">
        <f t="shared" si="68"/>
        <v>0</v>
      </c>
      <c r="ON24" s="27">
        <f t="shared" si="68"/>
        <v>0</v>
      </c>
      <c r="OO24" s="24">
        <f t="shared" si="118"/>
        <v>54616.535076326247</v>
      </c>
      <c r="OP24" s="27">
        <f t="shared" si="68"/>
        <v>0</v>
      </c>
      <c r="OQ24" s="24">
        <f t="shared" si="68"/>
        <v>27257.607258794851</v>
      </c>
      <c r="OR24" s="27">
        <f t="shared" si="68"/>
        <v>0</v>
      </c>
      <c r="OS24" s="28">
        <f t="shared" si="2"/>
        <v>81874.142335121098</v>
      </c>
      <c r="OT24" s="36"/>
      <c r="OU24" s="27"/>
      <c r="OV24" s="27"/>
      <c r="OW24" s="27"/>
      <c r="OX24" s="27"/>
      <c r="OY24" s="27"/>
      <c r="OZ24" s="28">
        <f t="shared" si="69"/>
        <v>0</v>
      </c>
      <c r="PA24" s="36">
        <f t="shared" si="70"/>
        <v>0</v>
      </c>
      <c r="PB24" s="27">
        <f t="shared" si="71"/>
        <v>0</v>
      </c>
      <c r="PC24" s="27">
        <f t="shared" si="72"/>
        <v>0</v>
      </c>
      <c r="PD24" s="27">
        <f t="shared" si="73"/>
        <v>0</v>
      </c>
      <c r="PE24" s="24"/>
      <c r="PF24" s="27">
        <f t="shared" si="74"/>
        <v>0</v>
      </c>
      <c r="PG24" s="33">
        <f t="shared" si="3"/>
        <v>0</v>
      </c>
      <c r="PH24" s="2621"/>
      <c r="PJ24" s="1907">
        <v>1918.96</v>
      </c>
      <c r="PK24" s="488">
        <v>1127</v>
      </c>
      <c r="PL24" s="488">
        <v>322</v>
      </c>
      <c r="PM24" s="3">
        <v>0</v>
      </c>
      <c r="PN24" s="3">
        <f t="shared" si="75"/>
        <v>35087.383504658712</v>
      </c>
      <c r="PO24" s="11">
        <f>PO23+PL24-PM24</f>
        <v>21505.325210117309</v>
      </c>
      <c r="PP24" s="15"/>
      <c r="PQ24" s="2615"/>
      <c r="PS24" s="4"/>
      <c r="PT24" s="9"/>
      <c r="PU24" s="9"/>
      <c r="PV24" s="9"/>
      <c r="PW24" s="8">
        <v>0</v>
      </c>
      <c r="PX24" s="9"/>
      <c r="PY24" s="8">
        <f t="shared" si="77"/>
        <v>0</v>
      </c>
      <c r="PZ24" s="5">
        <f t="shared" si="78"/>
        <v>1918.96</v>
      </c>
      <c r="QA24" s="5"/>
      <c r="QB24" s="5"/>
      <c r="QC24" s="5"/>
      <c r="QD24" s="5"/>
      <c r="QE24" s="5"/>
      <c r="QF24" s="12"/>
      <c r="QG24" s="12">
        <f t="shared" si="79"/>
        <v>29562.488999999998</v>
      </c>
      <c r="QH24" s="420">
        <f t="shared" si="80"/>
        <v>287633.69180818991</v>
      </c>
      <c r="QI24" s="1106">
        <f t="shared" si="113"/>
        <v>2219.9567940000002</v>
      </c>
      <c r="QJ24" s="484">
        <f t="shared" si="81"/>
        <v>5505.3678056099998</v>
      </c>
      <c r="QK24" s="12"/>
      <c r="QL24" s="2615"/>
      <c r="QN24" s="139">
        <f t="shared" si="82"/>
        <v>0</v>
      </c>
      <c r="QO24" s="139" t="str">
        <f t="shared" si="83"/>
        <v/>
      </c>
      <c r="QQ24" s="139">
        <f t="shared" si="84"/>
        <v>0</v>
      </c>
      <c r="QR24" s="139">
        <f t="shared" si="85"/>
        <v>0</v>
      </c>
      <c r="QT24" s="1">
        <f t="shared" si="86"/>
        <v>0</v>
      </c>
      <c r="QU24" s="1">
        <f t="shared" si="87"/>
        <v>0</v>
      </c>
      <c r="QV24" s="1">
        <f t="shared" si="88"/>
        <v>0</v>
      </c>
      <c r="QW24" s="1">
        <f t="shared" si="89"/>
        <v>0</v>
      </c>
      <c r="QX24" s="1">
        <f t="shared" si="90"/>
        <v>0</v>
      </c>
      <c r="QY24" s="1">
        <f t="shared" si="91"/>
        <v>0</v>
      </c>
      <c r="RA24" s="1">
        <f t="shared" si="92"/>
        <v>0</v>
      </c>
      <c r="RB24" s="1">
        <f t="shared" si="93"/>
        <v>0</v>
      </c>
      <c r="RC24" s="1">
        <f t="shared" si="94"/>
        <v>0</v>
      </c>
      <c r="RD24" s="1">
        <f t="shared" si="95"/>
        <v>0</v>
      </c>
      <c r="RE24" s="1">
        <f t="shared" si="96"/>
        <v>0</v>
      </c>
      <c r="RF24" s="1">
        <f t="shared" si="97"/>
        <v>0</v>
      </c>
      <c r="RI24" s="1">
        <v>15</v>
      </c>
      <c r="RJ24" s="1">
        <f t="shared" si="123"/>
        <v>-20095.450290282904</v>
      </c>
      <c r="RK24" s="1">
        <f t="shared" si="123"/>
        <v>8963.5172804837184</v>
      </c>
      <c r="RL24" s="1">
        <f t="shared" si="123"/>
        <v>13404.263703387322</v>
      </c>
      <c r="RM24" s="89">
        <f t="shared" si="5"/>
        <v>2272.3306935881355</v>
      </c>
      <c r="RN24" s="1033">
        <v>15</v>
      </c>
      <c r="RO24" s="1098">
        <v>0</v>
      </c>
      <c r="RP24" s="1098">
        <f t="shared" si="99"/>
        <v>0</v>
      </c>
      <c r="RQ24" s="1097">
        <f t="shared" si="99"/>
        <v>0</v>
      </c>
      <c r="RR24" s="1097">
        <f t="shared" si="114"/>
        <v>9566.09</v>
      </c>
      <c r="RS24" s="1050"/>
      <c r="RT24" s="1050" t="s">
        <v>1040</v>
      </c>
      <c r="RU24" s="1048"/>
      <c r="RW24" s="421">
        <v>15</v>
      </c>
      <c r="RX24" s="1095">
        <f t="shared" si="100"/>
        <v>12659.34</v>
      </c>
      <c r="RY24" s="1046" t="s">
        <v>1041</v>
      </c>
      <c r="SA24" s="1090"/>
      <c r="SB24" s="1090">
        <f t="shared" si="101"/>
        <v>0</v>
      </c>
      <c r="SC24" s="1090"/>
      <c r="SD24" s="1090">
        <f t="shared" si="124"/>
        <v>0</v>
      </c>
      <c r="SF24" s="1">
        <v>15</v>
      </c>
      <c r="SG24" s="1">
        <f t="shared" si="103"/>
        <v>0</v>
      </c>
      <c r="SH24" s="1094"/>
    </row>
    <row r="25" spans="1:502" s="1" customFormat="1">
      <c r="B25" s="471">
        <v>16</v>
      </c>
      <c r="C25" s="4">
        <f t="shared" si="6"/>
        <v>166869</v>
      </c>
      <c r="D25" s="1590">
        <f t="shared" si="119"/>
        <v>11761.92</v>
      </c>
      <c r="E25" s="1895">
        <f t="shared" si="7"/>
        <v>14.187224534769834</v>
      </c>
      <c r="F25" s="870"/>
      <c r="G25" s="870"/>
      <c r="H25" s="52"/>
      <c r="I25" s="61"/>
      <c r="J25" s="52"/>
      <c r="K25" s="54"/>
      <c r="L25" s="52"/>
      <c r="M25" s="61"/>
      <c r="N25" s="2629"/>
      <c r="O25" s="4">
        <f t="shared" si="117"/>
        <v>98490</v>
      </c>
      <c r="P25" s="1225">
        <f t="shared" si="8"/>
        <v>7165</v>
      </c>
      <c r="Q25" s="1913">
        <f t="shared" si="9"/>
        <v>13.745987438939288</v>
      </c>
      <c r="R25" s="33"/>
      <c r="S25" s="26">
        <f t="shared" si="10"/>
        <v>45427</v>
      </c>
      <c r="T25" s="27">
        <f t="shared" si="105"/>
        <v>2316.9199999999996</v>
      </c>
      <c r="U25" s="1909">
        <f t="shared" si="11"/>
        <v>19.606632943735651</v>
      </c>
      <c r="V25" s="28"/>
      <c r="W25" s="26">
        <f t="shared" si="12"/>
        <v>18139</v>
      </c>
      <c r="X25" s="5">
        <f t="shared" si="12"/>
        <v>2280</v>
      </c>
      <c r="Y25" s="1909">
        <f t="shared" si="13"/>
        <v>7.9557017543859647</v>
      </c>
      <c r="Z25" s="33"/>
      <c r="AA25" s="26">
        <f t="shared" si="14"/>
        <v>4813</v>
      </c>
      <c r="AB25" s="27">
        <f t="shared" si="15"/>
        <v>0</v>
      </c>
      <c r="AC25" s="1909">
        <f t="shared" si="16"/>
        <v>0</v>
      </c>
      <c r="AD25" s="28"/>
      <c r="AE25" s="36"/>
      <c r="AF25" s="36"/>
      <c r="AG25" s="53">
        <f t="shared" si="17"/>
        <v>0</v>
      </c>
      <c r="AH25" s="28"/>
      <c r="AI25" s="26"/>
      <c r="AJ25" s="27"/>
      <c r="AK25" s="53">
        <f t="shared" si="18"/>
        <v>0</v>
      </c>
      <c r="AL25" s="28"/>
      <c r="AM25" s="2629"/>
      <c r="AN25" s="9"/>
      <c r="AO25" s="5"/>
      <c r="AP25" s="61">
        <f t="shared" si="19"/>
        <v>0</v>
      </c>
      <c r="AQ25" s="36"/>
      <c r="AR25" s="53"/>
      <c r="AS25" s="61">
        <f t="shared" si="20"/>
        <v>0</v>
      </c>
      <c r="AT25" s="36">
        <v>0</v>
      </c>
      <c r="AU25" s="27"/>
      <c r="AV25" s="54">
        <f t="shared" si="21"/>
        <v>0</v>
      </c>
      <c r="AW25" s="26">
        <v>58170</v>
      </c>
      <c r="AX25" s="24">
        <v>3546.74</v>
      </c>
      <c r="AY25" s="1895">
        <f t="shared" si="115"/>
        <v>16.400976671534988</v>
      </c>
      <c r="AZ25" s="1908"/>
      <c r="BA25" s="1909"/>
      <c r="BB25" s="1895">
        <f t="shared" si="22"/>
        <v>0</v>
      </c>
      <c r="BC25" s="1740">
        <v>40320</v>
      </c>
      <c r="BD25" s="1926">
        <v>3618.2600000000007</v>
      </c>
      <c r="BE25" s="1895">
        <f t="shared" si="23"/>
        <v>11.143477804248448</v>
      </c>
      <c r="BF25" s="1908"/>
      <c r="BG25" s="1909"/>
      <c r="BH25" s="1895">
        <f t="shared" si="24"/>
        <v>0</v>
      </c>
      <c r="BI25" s="1908">
        <v>0</v>
      </c>
      <c r="BJ25" s="1909">
        <v>0</v>
      </c>
      <c r="BK25" s="1895">
        <f t="shared" si="25"/>
        <v>0</v>
      </c>
      <c r="BL25" s="1742">
        <v>45427</v>
      </c>
      <c r="BM25" s="1736">
        <v>2316.9199999999996</v>
      </c>
      <c r="BN25" s="2170"/>
      <c r="BO25" s="1911">
        <f t="shared" si="26"/>
        <v>19.606632943735651</v>
      </c>
      <c r="BP25" s="9">
        <v>4813</v>
      </c>
      <c r="BQ25" s="63">
        <v>0</v>
      </c>
      <c r="BR25" s="1920">
        <f t="shared" si="27"/>
        <v>0</v>
      </c>
      <c r="BS25" s="9"/>
      <c r="BT25" s="64"/>
      <c r="BU25" s="482">
        <f t="shared" si="28"/>
        <v>0</v>
      </c>
      <c r="BV25" s="9">
        <v>18139</v>
      </c>
      <c r="BW25" s="5">
        <f t="shared" si="106"/>
        <v>2280</v>
      </c>
      <c r="BX25" s="1051">
        <f>IFERROR(BV25/BW25,0)</f>
        <v>7.9557017543859647</v>
      </c>
      <c r="BY25" s="26"/>
      <c r="BZ25" s="5"/>
      <c r="CA25" s="482">
        <f t="shared" si="30"/>
        <v>0</v>
      </c>
      <c r="CB25" s="9"/>
      <c r="CC25" s="481"/>
      <c r="CD25" s="482">
        <f t="shared" si="31"/>
        <v>0</v>
      </c>
      <c r="CE25" s="4"/>
      <c r="CF25" s="5"/>
      <c r="CG25" s="28">
        <f t="shared" si="32"/>
        <v>0</v>
      </c>
      <c r="CH25" s="150"/>
      <c r="CI25" s="1108"/>
      <c r="CJ25" s="5"/>
      <c r="CK25" s="5">
        <v>1950</v>
      </c>
      <c r="CL25" s="5"/>
      <c r="CM25" s="5"/>
      <c r="CN25" s="5">
        <f t="shared" si="33"/>
        <v>1950</v>
      </c>
      <c r="CO25" s="33"/>
      <c r="CP25" s="366"/>
      <c r="CR25" s="4">
        <f t="shared" si="34"/>
        <v>0</v>
      </c>
      <c r="CS25" s="9">
        <f t="shared" si="34"/>
        <v>0</v>
      </c>
      <c r="CT25" s="5">
        <f t="shared" si="34"/>
        <v>0</v>
      </c>
      <c r="CU25" s="5">
        <f t="shared" si="34"/>
        <v>0</v>
      </c>
      <c r="CV25" s="5">
        <f t="shared" si="34"/>
        <v>0</v>
      </c>
      <c r="CW25" s="5">
        <f t="shared" si="34"/>
        <v>0</v>
      </c>
      <c r="CX25" s="5">
        <f t="shared" si="34"/>
        <v>0</v>
      </c>
      <c r="CY25" s="5">
        <f t="shared" si="34"/>
        <v>0</v>
      </c>
      <c r="CZ25" s="5">
        <f t="shared" si="34"/>
        <v>10920.880000000001</v>
      </c>
      <c r="DA25" s="5">
        <f t="shared" si="34"/>
        <v>0</v>
      </c>
      <c r="DB25" s="5">
        <f t="shared" si="34"/>
        <v>841.04000000000008</v>
      </c>
      <c r="DC25" s="12">
        <f t="shared" si="34"/>
        <v>0</v>
      </c>
      <c r="DD25" s="310">
        <f t="shared" si="35"/>
        <v>11761.920000000002</v>
      </c>
      <c r="DE25" s="2695"/>
      <c r="DF25" s="8"/>
      <c r="DG25" s="9"/>
      <c r="DH25" s="5"/>
      <c r="DI25" s="5"/>
      <c r="DJ25" s="5"/>
      <c r="DK25" s="5"/>
      <c r="DL25" s="3">
        <v>0</v>
      </c>
      <c r="DM25" s="5"/>
      <c r="DN25" s="3">
        <v>3546.74</v>
      </c>
      <c r="DO25" s="5"/>
      <c r="DP25" s="3">
        <v>0</v>
      </c>
      <c r="DQ25" s="12"/>
      <c r="DR25" s="28">
        <f t="shared" si="36"/>
        <v>3546.74</v>
      </c>
      <c r="DS25" s="36"/>
      <c r="DT25" s="9"/>
      <c r="DU25" s="5"/>
      <c r="DV25" s="5"/>
      <c r="DW25" s="5"/>
      <c r="DX25" s="5"/>
      <c r="DY25" s="5"/>
      <c r="DZ25" s="5"/>
      <c r="EA25" s="3">
        <v>5114.1400000000003</v>
      </c>
      <c r="EB25" s="27"/>
      <c r="EC25" s="24">
        <v>821.04000000000008</v>
      </c>
      <c r="ED25" s="33"/>
      <c r="EE25" s="28">
        <f t="shared" si="37"/>
        <v>5935.18</v>
      </c>
      <c r="EF25" s="9"/>
      <c r="EG25" s="36"/>
      <c r="EH25" s="5"/>
      <c r="EI25" s="27"/>
      <c r="EJ25" s="27"/>
      <c r="EK25" s="27"/>
      <c r="EL25" s="27"/>
      <c r="EM25" s="27"/>
      <c r="EN25" s="5">
        <v>2260</v>
      </c>
      <c r="EO25" s="5"/>
      <c r="EP25" s="5">
        <v>20</v>
      </c>
      <c r="EQ25" s="33"/>
      <c r="ER25" s="28">
        <f t="shared" si="38"/>
        <v>2280</v>
      </c>
      <c r="ES25" s="36"/>
      <c r="ET25" s="27"/>
      <c r="EU25" s="27"/>
      <c r="EV25" s="27"/>
      <c r="EW25" s="27"/>
      <c r="EX25" s="27"/>
      <c r="EY25" s="33">
        <f t="shared" si="39"/>
        <v>0</v>
      </c>
      <c r="EZ25" s="2685"/>
      <c r="FB25" s="4">
        <f t="shared" si="40"/>
        <v>0</v>
      </c>
      <c r="FC25" s="5">
        <f t="shared" si="41"/>
        <v>0</v>
      </c>
      <c r="FD25" s="5">
        <f t="shared" si="42"/>
        <v>183.88</v>
      </c>
      <c r="FE25" s="12">
        <f t="shared" si="43"/>
        <v>183.88</v>
      </c>
      <c r="FF25" s="33"/>
      <c r="FG25" s="2674"/>
      <c r="FH25" s="9"/>
      <c r="FI25" s="5"/>
      <c r="FJ25" s="5"/>
      <c r="FK25" s="5"/>
      <c r="FL25" s="5"/>
      <c r="FM25" s="27"/>
      <c r="FN25" s="28">
        <f t="shared" si="44"/>
        <v>0</v>
      </c>
      <c r="FO25" s="36"/>
      <c r="FP25" s="27"/>
      <c r="FQ25" s="27"/>
      <c r="FR25" s="27"/>
      <c r="FS25" s="27"/>
      <c r="FT25" s="27"/>
      <c r="FU25" s="28">
        <f t="shared" si="45"/>
        <v>0</v>
      </c>
      <c r="FV25" s="36"/>
      <c r="FW25" s="36"/>
      <c r="FX25" s="27"/>
      <c r="FY25" s="27"/>
      <c r="FZ25" s="27"/>
      <c r="GA25" s="27"/>
      <c r="GB25" s="27"/>
      <c r="GC25" s="27"/>
      <c r="GD25" s="24">
        <v>183.88</v>
      </c>
      <c r="GE25" s="27"/>
      <c r="GF25" s="27"/>
      <c r="GG25" s="33"/>
      <c r="GH25" s="33">
        <f t="shared" si="46"/>
        <v>183.88</v>
      </c>
      <c r="GI25" s="2674"/>
      <c r="GK25" s="2">
        <f t="shared" si="107"/>
        <v>1541.7000000000003</v>
      </c>
      <c r="GL25" s="63">
        <f t="shared" si="108"/>
        <v>5602.74</v>
      </c>
      <c r="GM25" s="24">
        <f t="shared" si="109"/>
        <v>2648.2000000000003</v>
      </c>
      <c r="GN25" s="1736">
        <f t="shared" si="47"/>
        <v>9792.6400000000012</v>
      </c>
      <c r="GO25" s="141"/>
      <c r="GP25" s="141"/>
      <c r="GQ25" s="33"/>
      <c r="GR25" s="2667"/>
      <c r="GS25" s="1739">
        <v>0</v>
      </c>
      <c r="GT25" s="1721">
        <v>443.35</v>
      </c>
      <c r="GU25" s="1721">
        <v>5472.8500000000013</v>
      </c>
      <c r="GV25" s="1721">
        <v>3876.44</v>
      </c>
      <c r="GW25" s="33">
        <v>9792.6400000000012</v>
      </c>
      <c r="GX25" s="2667"/>
      <c r="GY25" s="26"/>
      <c r="GZ25" s="27"/>
      <c r="HA25" s="64"/>
      <c r="HB25" s="27"/>
      <c r="HC25" s="27"/>
      <c r="HD25" s="27"/>
      <c r="HE25" s="27"/>
      <c r="HF25" s="27"/>
      <c r="HG25" s="24">
        <v>1098.3500000000001</v>
      </c>
      <c r="HH25" s="27"/>
      <c r="HI25" s="24">
        <v>0</v>
      </c>
      <c r="HJ25" s="27"/>
      <c r="HK25" s="24">
        <v>443.35</v>
      </c>
      <c r="HL25" s="27"/>
      <c r="HM25" s="28">
        <f t="shared" si="120"/>
        <v>1541.7000000000003</v>
      </c>
      <c r="HN25" s="36"/>
      <c r="HO25" s="27"/>
      <c r="HP25" s="27"/>
      <c r="HQ25" s="27"/>
      <c r="HR25" s="27"/>
      <c r="HS25" s="27"/>
      <c r="HT25" s="27">
        <f t="array" ref="HT25">SUMPRODUCT(('Data Base hauling'!$C$2:$C$2000="TCM-ROM SB1 BK05-ROM 4")*(ISNUMBER(SEARCH(TEXT('July TCM'!$B25,"00")&amp;"/03/2026",'Data Base hauling'!$E$2:$E$2000)))*'Data Base hauling'!$N$2:$N$2000)</f>
        <v>0</v>
      </c>
      <c r="HU25" s="27"/>
      <c r="HV25" s="27">
        <f t="array" ref="HV25">SUMPRODUCT(('Data Base hauling'!$C$2:$C$2000="TCM-ROM SB1 BK05-ROM 5")*(ISNUMBER(SEARCH(TEXT('July TCM'!$B25,"00")&amp;"/03/2026",'Data Base hauling'!$E$2:$E$2000)))*'Data Base hauling'!$N$2:$N$2000)</f>
        <v>0</v>
      </c>
      <c r="HW25" s="27"/>
      <c r="HX25" s="27"/>
      <c r="HY25" s="27"/>
      <c r="HZ25" s="27"/>
      <c r="IA25" s="27"/>
      <c r="IB25" s="33">
        <f t="shared" si="49"/>
        <v>0</v>
      </c>
      <c r="IC25" s="52"/>
      <c r="ID25" s="152"/>
      <c r="IE25" s="53"/>
      <c r="IF25" s="53"/>
      <c r="IG25" s="53"/>
      <c r="IH25" s="53"/>
      <c r="II25" s="1926">
        <v>1026.3499999999999</v>
      </c>
      <c r="IJ25" s="1736"/>
      <c r="IK25" s="1926">
        <v>4576.3899999999994</v>
      </c>
      <c r="IL25" s="53"/>
      <c r="IM25" s="49">
        <v>0</v>
      </c>
      <c r="IN25" s="53"/>
      <c r="IO25" s="53"/>
      <c r="IP25" s="49">
        <v>0</v>
      </c>
      <c r="IQ25" s="2195">
        <f t="shared" si="121"/>
        <v>5602.74</v>
      </c>
      <c r="IR25" s="36"/>
      <c r="IS25" s="36"/>
      <c r="IT25" s="27"/>
      <c r="IU25" s="27"/>
      <c r="IV25" s="53"/>
      <c r="IW25" s="27"/>
      <c r="IX25" s="24">
        <v>0</v>
      </c>
      <c r="IY25" s="27"/>
      <c r="IZ25" s="24">
        <v>2212.15</v>
      </c>
      <c r="JA25" s="27"/>
      <c r="JB25" s="24">
        <v>436.05</v>
      </c>
      <c r="JC25" s="27"/>
      <c r="JD25" s="27"/>
      <c r="JE25" s="27"/>
      <c r="JF25" s="33">
        <f t="shared" si="122"/>
        <v>2648.2000000000003</v>
      </c>
      <c r="JG25" s="2667"/>
      <c r="JI25" s="2014">
        <v>6857.3899999999994</v>
      </c>
      <c r="JJ25" s="2015">
        <v>2935.25</v>
      </c>
      <c r="JK25" s="53"/>
      <c r="JL25" s="1736">
        <f t="shared" si="52"/>
        <v>9792.64</v>
      </c>
      <c r="JM25" s="33"/>
      <c r="JN25" s="2669"/>
      <c r="JO25" s="66">
        <v>0</v>
      </c>
      <c r="JP25" s="67">
        <v>0</v>
      </c>
      <c r="JQ25" s="67">
        <v>0</v>
      </c>
      <c r="JR25" s="67">
        <v>0</v>
      </c>
      <c r="JS25" s="67">
        <v>0.93534712186414937</v>
      </c>
      <c r="JT25" s="67">
        <v>0</v>
      </c>
      <c r="JU25" s="67">
        <v>6.4652878135850536E-2</v>
      </c>
      <c r="JV25" s="1921">
        <v>0</v>
      </c>
      <c r="JW25" s="66">
        <v>0</v>
      </c>
      <c r="JX25" s="67">
        <v>0</v>
      </c>
      <c r="JY25" s="67">
        <v>0</v>
      </c>
      <c r="JZ25" s="67">
        <v>0.34966357209777699</v>
      </c>
      <c r="KA25" s="67">
        <v>0.50178008687505316</v>
      </c>
      <c r="KB25" s="67">
        <v>0.14855634102716975</v>
      </c>
      <c r="KC25" s="67">
        <v>0</v>
      </c>
      <c r="KD25" s="68">
        <v>0</v>
      </c>
      <c r="KE25" s="69"/>
      <c r="KF25" s="70"/>
      <c r="KG25" s="70"/>
      <c r="KH25" s="70"/>
      <c r="KI25" s="70"/>
      <c r="KJ25" s="70"/>
      <c r="KK25" s="70"/>
      <c r="KL25" s="70"/>
      <c r="KM25" s="33"/>
      <c r="KN25" s="2669"/>
      <c r="KO25" s="2203">
        <v>7082.3070819864824</v>
      </c>
      <c r="KP25" s="1721">
        <v>0.72714957390537749</v>
      </c>
      <c r="KQ25" s="1721">
        <v>4.1018895092565382</v>
      </c>
      <c r="KR25" s="1721">
        <v>5.8836849838377905</v>
      </c>
      <c r="KS25" s="1722">
        <v>9.5536136009403467</v>
      </c>
      <c r="KT25" s="1958">
        <v>6686</v>
      </c>
      <c r="KU25" s="1961">
        <v>2.12</v>
      </c>
      <c r="KV25" s="1961">
        <v>8.84</v>
      </c>
      <c r="KW25" s="1961">
        <v>5.7700000000000005</v>
      </c>
      <c r="KX25" s="1962">
        <v>13.176477999999999</v>
      </c>
      <c r="KY25" s="36"/>
      <c r="KZ25" s="53"/>
      <c r="LA25" s="53"/>
      <c r="LB25" s="53"/>
      <c r="LC25" s="53"/>
      <c r="LD25" s="33"/>
      <c r="LE25" s="2669"/>
      <c r="LG25" s="4">
        <f t="shared" si="53"/>
        <v>0</v>
      </c>
      <c r="LH25" s="27">
        <f t="shared" si="53"/>
        <v>0</v>
      </c>
      <c r="LI25" s="27">
        <f t="shared" si="53"/>
        <v>0</v>
      </c>
      <c r="LJ25" s="28">
        <f t="shared" si="54"/>
        <v>0</v>
      </c>
      <c r="LK25" s="36"/>
      <c r="LL25" s="27">
        <v>1</v>
      </c>
      <c r="LM25" s="27">
        <v>2</v>
      </c>
      <c r="LN25" s="33"/>
      <c r="LO25" s="1041">
        <v>1.45</v>
      </c>
      <c r="LP25" s="486"/>
      <c r="LQ25" s="2688"/>
      <c r="LR25" s="36"/>
      <c r="LS25" s="36"/>
      <c r="LT25" s="27"/>
      <c r="LU25" s="27"/>
      <c r="LV25" s="27"/>
      <c r="LW25" s="1107">
        <f t="shared" si="55"/>
        <v>0</v>
      </c>
      <c r="LX25" s="36"/>
      <c r="LY25" s="36"/>
      <c r="LZ25" s="27"/>
      <c r="MA25" s="27"/>
      <c r="MB25" s="33"/>
      <c r="MC25" s="28">
        <f t="shared" si="56"/>
        <v>0</v>
      </c>
      <c r="MD25" s="26"/>
      <c r="ME25" s="36"/>
      <c r="MF25" s="27"/>
      <c r="MG25" s="27"/>
      <c r="MH25" s="27"/>
      <c r="MI25" s="28"/>
      <c r="MJ25" s="36"/>
      <c r="MK25" s="36"/>
      <c r="ML25" s="27"/>
      <c r="MM25" s="27"/>
      <c r="MN25" s="27"/>
      <c r="MO25" s="28"/>
      <c r="MP25" s="36"/>
      <c r="MQ25" s="36"/>
      <c r="MR25" s="27"/>
      <c r="MS25" s="27"/>
      <c r="MT25" s="27"/>
      <c r="MU25" s="33">
        <f t="shared" si="57"/>
        <v>0</v>
      </c>
      <c r="MV25" s="2688"/>
      <c r="MX25" s="26">
        <f t="shared" si="58"/>
        <v>175007.92197880999</v>
      </c>
      <c r="MY25" s="27">
        <f t="shared" si="59"/>
        <v>268518.19079257303</v>
      </c>
      <c r="MZ25" s="27">
        <f t="shared" si="60"/>
        <v>21152.975210117311</v>
      </c>
      <c r="NA25" s="28">
        <f t="shared" si="61"/>
        <v>319416.13760218991</v>
      </c>
      <c r="NB25" s="2621"/>
      <c r="NC25" s="23">
        <f t="shared" si="62"/>
        <v>93810.311026070005</v>
      </c>
      <c r="ND25" s="1655">
        <f t="shared" si="63"/>
        <v>81197.610952739997</v>
      </c>
      <c r="NE25" s="60">
        <f t="shared" si="64"/>
        <v>0</v>
      </c>
      <c r="NF25" s="275">
        <f t="shared" si="4"/>
        <v>175007.92197880999</v>
      </c>
      <c r="NG25" s="26">
        <f t="shared" si="65"/>
        <v>0</v>
      </c>
      <c r="NH25" s="27">
        <f t="shared" si="65"/>
        <v>0</v>
      </c>
      <c r="NI25" s="27">
        <f t="shared" si="65"/>
        <v>0</v>
      </c>
      <c r="NJ25" s="27">
        <f t="shared" si="65"/>
        <v>0</v>
      </c>
      <c r="NK25" s="27">
        <f t="shared" si="65"/>
        <v>0</v>
      </c>
      <c r="NL25" s="33">
        <f t="shared" si="65"/>
        <v>0</v>
      </c>
      <c r="NM25" s="27">
        <f t="shared" si="65"/>
        <v>0</v>
      </c>
      <c r="NN25" s="36">
        <f t="shared" si="65"/>
        <v>0</v>
      </c>
      <c r="NO25" s="24">
        <f t="shared" si="65"/>
        <v>24541.800671164179</v>
      </c>
      <c r="NP25" s="27">
        <f t="shared" si="65"/>
        <v>24549.88002237798</v>
      </c>
      <c r="NQ25" s="24">
        <f t="shared" si="110"/>
        <v>8756.5482322711578</v>
      </c>
      <c r="NR25" s="24">
        <f t="shared" si="111"/>
        <v>14356.37135148718</v>
      </c>
      <c r="NS25" s="27">
        <f t="shared" si="0"/>
        <v>72204.600277300502</v>
      </c>
      <c r="NT25" s="27">
        <f t="shared" si="66"/>
        <v>0</v>
      </c>
      <c r="NU25" s="27">
        <f t="shared" si="66"/>
        <v>0</v>
      </c>
      <c r="NV25" s="27">
        <f t="shared" si="66"/>
        <v>0</v>
      </c>
      <c r="NW25" s="27">
        <f t="shared" si="66"/>
        <v>0</v>
      </c>
      <c r="NX25" s="27">
        <f t="shared" si="66"/>
        <v>0</v>
      </c>
      <c r="NY25" s="5">
        <f t="shared" si="66"/>
        <v>0</v>
      </c>
      <c r="NZ25" s="27">
        <f t="shared" si="66"/>
        <v>15981.05881417883</v>
      </c>
      <c r="OA25" s="27">
        <f t="shared" si="66"/>
        <v>0</v>
      </c>
      <c r="OB25" s="27">
        <f t="shared" si="66"/>
        <v>94987.529365972601</v>
      </c>
      <c r="OC25" s="280"/>
      <c r="OD25" s="24">
        <f t="shared" si="67"/>
        <v>0</v>
      </c>
      <c r="OE25" s="27">
        <f t="shared" si="67"/>
        <v>0</v>
      </c>
      <c r="OF25" s="28">
        <f t="shared" si="1"/>
        <v>110968.58818015143</v>
      </c>
      <c r="OG25" s="27">
        <f t="shared" si="68"/>
        <v>0</v>
      </c>
      <c r="OH25" s="27">
        <f t="shared" si="68"/>
        <v>0</v>
      </c>
      <c r="OI25" s="27">
        <f t="shared" si="68"/>
        <v>0</v>
      </c>
      <c r="OJ25" s="27">
        <f t="shared" si="68"/>
        <v>0</v>
      </c>
      <c r="OK25" s="27">
        <f t="shared" si="68"/>
        <v>0</v>
      </c>
      <c r="OL25" s="27">
        <f t="shared" si="68"/>
        <v>0</v>
      </c>
      <c r="OM25" s="24">
        <f t="shared" si="68"/>
        <v>0</v>
      </c>
      <c r="ON25" s="27">
        <f t="shared" si="68"/>
        <v>0</v>
      </c>
      <c r="OO25" s="24">
        <f t="shared" si="118"/>
        <v>57702.405076326242</v>
      </c>
      <c r="OP25" s="27">
        <f t="shared" si="68"/>
        <v>0</v>
      </c>
      <c r="OQ25" s="24">
        <f t="shared" si="68"/>
        <v>27642.597258794853</v>
      </c>
      <c r="OR25" s="27">
        <f t="shared" si="68"/>
        <v>0</v>
      </c>
      <c r="OS25" s="28">
        <f t="shared" si="2"/>
        <v>85345.002335121098</v>
      </c>
      <c r="OT25" s="36"/>
      <c r="OU25" s="27"/>
      <c r="OV25" s="27"/>
      <c r="OW25" s="27"/>
      <c r="OX25" s="27"/>
      <c r="OY25" s="27"/>
      <c r="OZ25" s="28">
        <f t="shared" si="69"/>
        <v>0</v>
      </c>
      <c r="PA25" s="36">
        <f t="shared" si="70"/>
        <v>0</v>
      </c>
      <c r="PB25" s="27">
        <f t="shared" si="71"/>
        <v>0</v>
      </c>
      <c r="PC25" s="27">
        <f t="shared" si="72"/>
        <v>0</v>
      </c>
      <c r="PD25" s="27">
        <f t="shared" si="73"/>
        <v>0</v>
      </c>
      <c r="PE25" s="24"/>
      <c r="PF25" s="27">
        <f t="shared" si="74"/>
        <v>0</v>
      </c>
      <c r="PG25" s="33">
        <f t="shared" si="3"/>
        <v>0</v>
      </c>
      <c r="PH25" s="2621"/>
      <c r="PJ25" s="1907">
        <v>0</v>
      </c>
      <c r="PK25" s="3">
        <v>318.49999999999994</v>
      </c>
      <c r="PL25" s="3">
        <v>90.999999999999972</v>
      </c>
      <c r="PM25" s="3">
        <v>443.35</v>
      </c>
      <c r="PN25" s="3">
        <f t="shared" si="75"/>
        <v>34768.883504658712</v>
      </c>
      <c r="PO25" s="11">
        <f t="shared" si="76"/>
        <v>21152.975210117311</v>
      </c>
      <c r="PP25" s="15"/>
      <c r="PQ25" s="2615"/>
      <c r="PS25" s="4"/>
      <c r="PT25" s="9"/>
      <c r="PU25" s="9"/>
      <c r="PV25" s="486"/>
      <c r="PW25" s="8">
        <v>0</v>
      </c>
      <c r="PX25" s="9"/>
      <c r="PY25" s="8">
        <f t="shared" si="77"/>
        <v>0</v>
      </c>
      <c r="PZ25" s="5">
        <f t="shared" si="78"/>
        <v>0</v>
      </c>
      <c r="QA25" s="5"/>
      <c r="QB25" s="5"/>
      <c r="QC25" s="5"/>
      <c r="QD25" s="5"/>
      <c r="QE25" s="5"/>
      <c r="QF25" s="12"/>
      <c r="QG25" s="12">
        <f t="shared" si="79"/>
        <v>29562.488999999998</v>
      </c>
      <c r="QH25" s="420">
        <f t="shared" si="80"/>
        <v>287633.69180818991</v>
      </c>
      <c r="QI25" s="1106">
        <f t="shared" si="113"/>
        <v>2219.9567940000002</v>
      </c>
      <c r="QJ25" s="484">
        <f t="shared" si="81"/>
        <v>5505.3678056099998</v>
      </c>
      <c r="QK25" s="12"/>
      <c r="QL25" s="2615"/>
      <c r="QN25" s="139">
        <f t="shared" si="82"/>
        <v>0</v>
      </c>
      <c r="QO25" s="139" t="str">
        <f t="shared" si="83"/>
        <v/>
      </c>
      <c r="QQ25" s="139">
        <f t="shared" si="84"/>
        <v>0</v>
      </c>
      <c r="QR25" s="139">
        <f t="shared" si="85"/>
        <v>0</v>
      </c>
      <c r="QT25" s="1">
        <f t="shared" si="86"/>
        <v>0</v>
      </c>
      <c r="QU25" s="1">
        <f t="shared" si="87"/>
        <v>0</v>
      </c>
      <c r="QV25" s="1">
        <f t="shared" si="88"/>
        <v>0</v>
      </c>
      <c r="QW25" s="1">
        <f t="shared" si="89"/>
        <v>0</v>
      </c>
      <c r="QX25" s="1">
        <f t="shared" si="90"/>
        <v>0</v>
      </c>
      <c r="QY25" s="1">
        <f t="shared" si="91"/>
        <v>0</v>
      </c>
      <c r="RA25" s="1">
        <f t="shared" si="92"/>
        <v>0</v>
      </c>
      <c r="RB25" s="1">
        <f t="shared" si="93"/>
        <v>0</v>
      </c>
      <c r="RC25" s="1">
        <f t="shared" si="94"/>
        <v>0</v>
      </c>
      <c r="RD25" s="1">
        <f t="shared" si="95"/>
        <v>0</v>
      </c>
      <c r="RE25" s="1">
        <f t="shared" si="96"/>
        <v>0</v>
      </c>
      <c r="RF25" s="1">
        <f t="shared" si="97"/>
        <v>0</v>
      </c>
      <c r="RI25" s="1">
        <v>16</v>
      </c>
      <c r="RJ25" s="1">
        <f t="shared" si="123"/>
        <v>-13238.060290282905</v>
      </c>
      <c r="RK25" s="1">
        <f t="shared" si="123"/>
        <v>11898.767280483718</v>
      </c>
      <c r="RL25" s="1">
        <f t="shared" si="123"/>
        <v>13404.263703387322</v>
      </c>
      <c r="RM25" s="89">
        <f t="shared" si="5"/>
        <v>12064.970693588135</v>
      </c>
      <c r="RN25" s="1033">
        <v>16</v>
      </c>
      <c r="RO25" s="1098">
        <v>0</v>
      </c>
      <c r="RP25" s="1098">
        <f t="shared" si="99"/>
        <v>0</v>
      </c>
      <c r="RQ25" s="1097">
        <f t="shared" si="99"/>
        <v>0</v>
      </c>
      <c r="RR25" s="1097">
        <f t="shared" si="114"/>
        <v>9481.92</v>
      </c>
      <c r="RS25" s="1046"/>
      <c r="RT25" s="1928">
        <v>2607162844</v>
      </c>
      <c r="RU25" s="1048"/>
      <c r="RW25" s="421">
        <v>16</v>
      </c>
      <c r="RX25" s="1095">
        <f t="shared" si="100"/>
        <v>9792.6400000000012</v>
      </c>
      <c r="RY25" s="1109">
        <v>2607167628</v>
      </c>
      <c r="RZ25" s="1048"/>
      <c r="SA25" s="1090"/>
      <c r="SB25" s="1090">
        <f t="shared" si="101"/>
        <v>0</v>
      </c>
      <c r="SC25" s="1090"/>
      <c r="SD25" s="1090">
        <f t="shared" si="124"/>
        <v>0</v>
      </c>
      <c r="SF25" s="1">
        <v>16</v>
      </c>
      <c r="SG25" s="1">
        <f t="shared" si="103"/>
        <v>443.35</v>
      </c>
      <c r="SH25" s="2420">
        <v>2607167836</v>
      </c>
    </row>
    <row r="26" spans="1:502" s="1" customFormat="1" ht="13.95" customHeight="1">
      <c r="B26" s="471">
        <v>17</v>
      </c>
      <c r="C26" s="4">
        <f t="shared" si="6"/>
        <v>158718</v>
      </c>
      <c r="D26" s="1590">
        <f t="shared" si="119"/>
        <v>10264.74</v>
      </c>
      <c r="E26" s="1895">
        <f t="shared" si="7"/>
        <v>15.46244717352802</v>
      </c>
      <c r="F26" s="870"/>
      <c r="G26" s="870"/>
      <c r="H26" s="52"/>
      <c r="I26" s="61"/>
      <c r="J26" s="52"/>
      <c r="K26" s="54"/>
      <c r="L26" s="52"/>
      <c r="M26" s="61"/>
      <c r="N26" s="2629"/>
      <c r="O26" s="4">
        <f t="shared" si="117"/>
        <v>93240</v>
      </c>
      <c r="P26" s="1225">
        <f t="shared" si="8"/>
        <v>6529.84</v>
      </c>
      <c r="Q26" s="1913">
        <f t="shared" si="9"/>
        <v>14.279063499258786</v>
      </c>
      <c r="R26" s="33"/>
      <c r="S26" s="26">
        <f t="shared" si="10"/>
        <v>39980</v>
      </c>
      <c r="T26" s="27">
        <f t="shared" si="105"/>
        <v>1474.9</v>
      </c>
      <c r="U26" s="1909">
        <f t="shared" si="11"/>
        <v>27.106922503220556</v>
      </c>
      <c r="V26" s="28"/>
      <c r="W26" s="26">
        <f t="shared" si="12"/>
        <v>21820</v>
      </c>
      <c r="X26" s="5">
        <f t="shared" si="12"/>
        <v>2260</v>
      </c>
      <c r="Y26" s="1909">
        <f t="shared" si="13"/>
        <v>9.6548672566371678</v>
      </c>
      <c r="Z26" s="33"/>
      <c r="AA26" s="26">
        <f t="shared" si="14"/>
        <v>3678</v>
      </c>
      <c r="AB26" s="27">
        <f t="shared" si="15"/>
        <v>0</v>
      </c>
      <c r="AC26" s="1909">
        <f t="shared" si="16"/>
        <v>0</v>
      </c>
      <c r="AD26" s="28"/>
      <c r="AE26" s="36"/>
      <c r="AF26" s="36"/>
      <c r="AG26" s="53">
        <f t="shared" si="17"/>
        <v>0</v>
      </c>
      <c r="AH26" s="28"/>
      <c r="AI26" s="23"/>
      <c r="AJ26" s="27"/>
      <c r="AK26" s="53">
        <f t="shared" si="18"/>
        <v>0</v>
      </c>
      <c r="AL26" s="28"/>
      <c r="AM26" s="2629"/>
      <c r="AN26" s="9"/>
      <c r="AO26" s="5"/>
      <c r="AP26" s="61">
        <f t="shared" si="19"/>
        <v>0</v>
      </c>
      <c r="AQ26" s="36"/>
      <c r="AR26" s="53"/>
      <c r="AS26" s="61">
        <f t="shared" si="20"/>
        <v>0</v>
      </c>
      <c r="AT26" s="36">
        <v>0</v>
      </c>
      <c r="AU26" s="27"/>
      <c r="AV26" s="54">
        <f t="shared" si="21"/>
        <v>0</v>
      </c>
      <c r="AW26" s="26">
        <v>54852</v>
      </c>
      <c r="AX26" s="24">
        <v>3001.3</v>
      </c>
      <c r="AY26" s="1895">
        <f t="shared" si="115"/>
        <v>18.27608036517509</v>
      </c>
      <c r="AZ26" s="1908"/>
      <c r="BA26" s="1909"/>
      <c r="BB26" s="1895">
        <f t="shared" si="22"/>
        <v>0</v>
      </c>
      <c r="BC26" s="1740">
        <v>38388</v>
      </c>
      <c r="BD26" s="1926">
        <v>3528.54</v>
      </c>
      <c r="BE26" s="1895">
        <f t="shared" si="23"/>
        <v>10.879287183934432</v>
      </c>
      <c r="BF26" s="1908"/>
      <c r="BG26" s="1909"/>
      <c r="BH26" s="1895">
        <f t="shared" si="24"/>
        <v>0</v>
      </c>
      <c r="BI26" s="1908">
        <v>0</v>
      </c>
      <c r="BJ26" s="1909">
        <v>0</v>
      </c>
      <c r="BK26" s="1895">
        <f t="shared" si="25"/>
        <v>0</v>
      </c>
      <c r="BL26" s="1742">
        <v>39980</v>
      </c>
      <c r="BM26" s="1736">
        <v>1474.9</v>
      </c>
      <c r="BN26" s="2170"/>
      <c r="BO26" s="1911">
        <f t="shared" si="26"/>
        <v>27.106922503220556</v>
      </c>
      <c r="BP26" s="9">
        <v>3678</v>
      </c>
      <c r="BQ26" s="63">
        <v>0</v>
      </c>
      <c r="BR26" s="1920">
        <f t="shared" si="27"/>
        <v>0</v>
      </c>
      <c r="BS26" s="9"/>
      <c r="BT26" s="64"/>
      <c r="BU26" s="482">
        <f t="shared" si="28"/>
        <v>0</v>
      </c>
      <c r="BV26" s="9">
        <v>21820</v>
      </c>
      <c r="BW26" s="5">
        <f t="shared" si="106"/>
        <v>2260</v>
      </c>
      <c r="BX26" s="1051">
        <f t="shared" si="29"/>
        <v>9.6548672566371678</v>
      </c>
      <c r="BY26" s="26"/>
      <c r="BZ26" s="5"/>
      <c r="CA26" s="482">
        <f t="shared" si="30"/>
        <v>0</v>
      </c>
      <c r="CB26" s="9"/>
      <c r="CC26" s="5"/>
      <c r="CD26" s="483">
        <f t="shared" si="31"/>
        <v>0</v>
      </c>
      <c r="CE26" s="4"/>
      <c r="CF26" s="5"/>
      <c r="CG26" s="28">
        <f t="shared" si="32"/>
        <v>0</v>
      </c>
      <c r="CH26" s="150"/>
      <c r="CI26" s="1108"/>
      <c r="CJ26" s="5"/>
      <c r="CK26" s="5">
        <v>2360</v>
      </c>
      <c r="CL26" s="5"/>
      <c r="CM26" s="5"/>
      <c r="CN26" s="5">
        <f t="shared" si="33"/>
        <v>2360</v>
      </c>
      <c r="CO26" s="33"/>
      <c r="CP26" s="366"/>
      <c r="CR26" s="4">
        <f t="shared" si="34"/>
        <v>0</v>
      </c>
      <c r="CS26" s="9">
        <f t="shared" si="34"/>
        <v>0</v>
      </c>
      <c r="CT26" s="5">
        <f t="shared" si="34"/>
        <v>0</v>
      </c>
      <c r="CU26" s="5">
        <f t="shared" si="34"/>
        <v>0</v>
      </c>
      <c r="CV26" s="5">
        <f t="shared" si="34"/>
        <v>0</v>
      </c>
      <c r="CW26" s="5">
        <f t="shared" si="34"/>
        <v>0</v>
      </c>
      <c r="CX26" s="5">
        <f t="shared" si="34"/>
        <v>2042.9199999999998</v>
      </c>
      <c r="CY26" s="5">
        <f t="shared" si="34"/>
        <v>0</v>
      </c>
      <c r="CZ26" s="5">
        <f t="shared" si="34"/>
        <v>7351.02</v>
      </c>
      <c r="DA26" s="5">
        <f t="shared" si="34"/>
        <v>0</v>
      </c>
      <c r="DB26" s="5">
        <f t="shared" si="34"/>
        <v>870.8</v>
      </c>
      <c r="DC26" s="12">
        <f t="shared" si="34"/>
        <v>0</v>
      </c>
      <c r="DD26" s="310">
        <f t="shared" si="35"/>
        <v>10264.74</v>
      </c>
      <c r="DE26" s="2695"/>
      <c r="DF26" s="8"/>
      <c r="DG26" s="9"/>
      <c r="DH26" s="5"/>
      <c r="DI26" s="5"/>
      <c r="DJ26" s="5"/>
      <c r="DK26" s="5"/>
      <c r="DL26" s="3">
        <v>2042.9199999999998</v>
      </c>
      <c r="DM26" s="5"/>
      <c r="DN26" s="3">
        <v>958.37999999999988</v>
      </c>
      <c r="DO26" s="5"/>
      <c r="DP26" s="3">
        <v>0</v>
      </c>
      <c r="DQ26" s="12"/>
      <c r="DR26" s="28">
        <f t="shared" si="36"/>
        <v>3001.2999999999997</v>
      </c>
      <c r="DS26" s="36"/>
      <c r="DT26" s="9"/>
      <c r="DU26" s="5"/>
      <c r="DV26" s="5"/>
      <c r="DW26" s="5"/>
      <c r="DX26" s="5"/>
      <c r="DY26" s="5"/>
      <c r="DZ26" s="5"/>
      <c r="EA26" s="3">
        <v>4132.6400000000003</v>
      </c>
      <c r="EB26" s="27"/>
      <c r="EC26" s="24">
        <v>870.8</v>
      </c>
      <c r="ED26" s="33"/>
      <c r="EE26" s="28">
        <f t="shared" si="37"/>
        <v>5003.4400000000005</v>
      </c>
      <c r="EF26" s="9"/>
      <c r="EG26" s="36"/>
      <c r="EH26" s="5"/>
      <c r="EI26" s="27"/>
      <c r="EJ26" s="27"/>
      <c r="EK26" s="27"/>
      <c r="EL26" s="27"/>
      <c r="EM26" s="27"/>
      <c r="EN26" s="5">
        <v>2260</v>
      </c>
      <c r="EO26" s="5"/>
      <c r="EP26" s="5"/>
      <c r="EQ26" s="33"/>
      <c r="ER26" s="28">
        <f t="shared" si="38"/>
        <v>2260</v>
      </c>
      <c r="ES26" s="36"/>
      <c r="ET26" s="27"/>
      <c r="EU26" s="27"/>
      <c r="EV26" s="27"/>
      <c r="EW26" s="27"/>
      <c r="EX26" s="27"/>
      <c r="EY26" s="33">
        <f t="shared" si="39"/>
        <v>0</v>
      </c>
      <c r="EZ26" s="2685"/>
      <c r="FB26" s="4">
        <f t="shared" si="40"/>
        <v>0</v>
      </c>
      <c r="FC26" s="5">
        <f t="shared" si="41"/>
        <v>0</v>
      </c>
      <c r="FD26" s="5">
        <f t="shared" si="42"/>
        <v>105.04</v>
      </c>
      <c r="FE26" s="12">
        <f t="shared" si="43"/>
        <v>105.04</v>
      </c>
      <c r="FF26" s="33"/>
      <c r="FG26" s="2674"/>
      <c r="FH26" s="9"/>
      <c r="FI26" s="5"/>
      <c r="FJ26" s="5"/>
      <c r="FK26" s="5"/>
      <c r="FL26" s="5"/>
      <c r="FM26" s="27"/>
      <c r="FN26" s="28">
        <f t="shared" si="44"/>
        <v>0</v>
      </c>
      <c r="FO26" s="36"/>
      <c r="FP26" s="27"/>
      <c r="FQ26" s="27"/>
      <c r="FR26" s="27"/>
      <c r="FS26" s="27"/>
      <c r="FT26" s="27"/>
      <c r="FU26" s="28">
        <f t="shared" si="45"/>
        <v>0</v>
      </c>
      <c r="FV26" s="36"/>
      <c r="FW26" s="36"/>
      <c r="FX26" s="27"/>
      <c r="FY26" s="27"/>
      <c r="FZ26" s="27"/>
      <c r="GA26" s="27"/>
      <c r="GB26" s="27"/>
      <c r="GC26" s="27"/>
      <c r="GD26" s="24">
        <v>105.04</v>
      </c>
      <c r="GE26" s="27"/>
      <c r="GF26" s="27"/>
      <c r="GG26" s="33"/>
      <c r="GH26" s="33">
        <f t="shared" si="46"/>
        <v>105.04</v>
      </c>
      <c r="GI26" s="2674"/>
      <c r="GK26" s="2">
        <f t="shared" si="107"/>
        <v>3700.7999999999997</v>
      </c>
      <c r="GL26" s="63">
        <f t="shared" si="108"/>
        <v>6545.0599999999995</v>
      </c>
      <c r="GM26" s="24">
        <f t="shared" si="109"/>
        <v>4481.1000000000004</v>
      </c>
      <c r="GN26" s="1736">
        <f t="shared" si="47"/>
        <v>14726.96</v>
      </c>
      <c r="GO26" s="141"/>
      <c r="GP26" s="141"/>
      <c r="GQ26" s="33"/>
      <c r="GR26" s="2667"/>
      <c r="GS26" s="1739">
        <v>0</v>
      </c>
      <c r="GT26" s="1721">
        <v>1065.3499999999999</v>
      </c>
      <c r="GU26" s="1721">
        <v>5951.7699999999995</v>
      </c>
      <c r="GV26" s="1721">
        <v>7709.8399999999992</v>
      </c>
      <c r="GW26" s="33">
        <v>14726.96</v>
      </c>
      <c r="GX26" s="2667"/>
      <c r="GY26" s="36"/>
      <c r="GZ26" s="36"/>
      <c r="HA26" s="27"/>
      <c r="HB26" s="27"/>
      <c r="HC26" s="27"/>
      <c r="HD26" s="27"/>
      <c r="HE26" s="27"/>
      <c r="HF26" s="27"/>
      <c r="HG26" s="24">
        <v>1754.2</v>
      </c>
      <c r="HH26" s="27"/>
      <c r="HI26" s="24">
        <v>881.25</v>
      </c>
      <c r="HJ26" s="27"/>
      <c r="HK26" s="24">
        <v>1065.3499999999999</v>
      </c>
      <c r="HL26" s="27"/>
      <c r="HM26" s="28">
        <f t="shared" si="120"/>
        <v>3700.7999999999997</v>
      </c>
      <c r="HN26" s="36"/>
      <c r="HO26" s="27"/>
      <c r="HP26" s="27"/>
      <c r="HQ26" s="27"/>
      <c r="HR26" s="27"/>
      <c r="HS26" s="27"/>
      <c r="HT26" s="27">
        <f t="array" ref="HT26">SUMPRODUCT(('Data Base hauling'!$C$2:$C$2000="TCM-ROM SB1 BK05-ROM 4")*(ISNUMBER(SEARCH(TEXT('July TCM'!$B26,"00")&amp;"/03/2026",'Data Base hauling'!$E$2:$E$2000)))*'Data Base hauling'!$N$2:$N$2000)</f>
        <v>0</v>
      </c>
      <c r="HU26" s="27"/>
      <c r="HV26" s="27">
        <f t="array" ref="HV26">SUMPRODUCT(('Data Base hauling'!$C$2:$C$2000="TCM-ROM SB1 BK05-ROM 5")*(ISNUMBER(SEARCH(TEXT('July TCM'!$B26,"00")&amp;"/03/2026",'Data Base hauling'!$E$2:$E$2000)))*'Data Base hauling'!$N$2:$N$2000)</f>
        <v>0</v>
      </c>
      <c r="HW26" s="27"/>
      <c r="HX26" s="27"/>
      <c r="HY26" s="27"/>
      <c r="HZ26" s="27"/>
      <c r="IA26" s="27"/>
      <c r="IB26" s="33">
        <f t="shared" si="49"/>
        <v>0</v>
      </c>
      <c r="IC26" s="52"/>
      <c r="ID26" s="152"/>
      <c r="IE26" s="53"/>
      <c r="IF26" s="53"/>
      <c r="IG26" s="53"/>
      <c r="IH26" s="53"/>
      <c r="II26" s="1926">
        <v>1186.2700000000002</v>
      </c>
      <c r="IJ26" s="1736"/>
      <c r="IK26" s="1926">
        <v>5283.5899999999992</v>
      </c>
      <c r="IL26" s="53"/>
      <c r="IM26" s="49">
        <v>0</v>
      </c>
      <c r="IN26" s="64"/>
      <c r="IO26" s="53"/>
      <c r="IP26" s="49">
        <v>75.2</v>
      </c>
      <c r="IQ26" s="2195">
        <f t="shared" si="121"/>
        <v>6545.0599999999995</v>
      </c>
      <c r="IR26" s="36"/>
      <c r="IS26" s="36"/>
      <c r="IT26" s="53"/>
      <c r="IU26" s="27"/>
      <c r="IV26" s="53"/>
      <c r="IW26" s="27"/>
      <c r="IX26" s="24">
        <v>0</v>
      </c>
      <c r="IY26" s="27"/>
      <c r="IZ26" s="24">
        <v>2648.81</v>
      </c>
      <c r="JA26" s="27"/>
      <c r="JB26" s="24">
        <v>1832.29</v>
      </c>
      <c r="JC26" s="27"/>
      <c r="JD26" s="27"/>
      <c r="JE26" s="27"/>
      <c r="JF26" s="33">
        <f t="shared" si="122"/>
        <v>4481.1000000000004</v>
      </c>
      <c r="JG26" s="2667"/>
      <c r="JI26" s="2014">
        <v>7035.98</v>
      </c>
      <c r="JJ26" s="2015">
        <v>7690.98</v>
      </c>
      <c r="JK26" s="53"/>
      <c r="JL26" s="1736">
        <f t="shared" si="52"/>
        <v>14726.96</v>
      </c>
      <c r="JM26" s="33"/>
      <c r="JN26" s="2669"/>
      <c r="JO26" s="66">
        <v>0</v>
      </c>
      <c r="JP26" s="67">
        <v>0</v>
      </c>
      <c r="JQ26" s="67">
        <v>0</v>
      </c>
      <c r="JR26" s="67">
        <v>0</v>
      </c>
      <c r="JS26" s="67">
        <v>0.91358701986077273</v>
      </c>
      <c r="JT26" s="67">
        <v>0</v>
      </c>
      <c r="JU26" s="67">
        <v>8.6412980139227241E-2</v>
      </c>
      <c r="JV26" s="1921">
        <v>0</v>
      </c>
      <c r="JW26" s="66">
        <v>0</v>
      </c>
      <c r="JX26" s="67">
        <v>0</v>
      </c>
      <c r="JY26" s="67">
        <v>0</v>
      </c>
      <c r="JZ26" s="67">
        <v>0.15424172212123816</v>
      </c>
      <c r="KA26" s="67">
        <v>0.42369372953771822</v>
      </c>
      <c r="KB26" s="67">
        <v>0.35282109692132863</v>
      </c>
      <c r="KC26" s="67">
        <v>5.9465763790830302E-2</v>
      </c>
      <c r="KD26" s="68">
        <v>0</v>
      </c>
      <c r="KE26" s="69"/>
      <c r="KF26" s="70"/>
      <c r="KG26" s="70"/>
      <c r="KH26" s="70"/>
      <c r="KI26" s="70"/>
      <c r="KJ26" s="70"/>
      <c r="KK26" s="70"/>
      <c r="KL26" s="70"/>
      <c r="KM26" s="33"/>
      <c r="KN26" s="2669"/>
      <c r="KO26" s="2203">
        <v>6989.7562220804084</v>
      </c>
      <c r="KP26" s="1721">
        <v>0.92595405232929162</v>
      </c>
      <c r="KQ26" s="1721">
        <v>4.0368283343969367</v>
      </c>
      <c r="KR26" s="1721">
        <v>6.3654945756222077</v>
      </c>
      <c r="KS26" s="1722">
        <v>9.4450492099553287</v>
      </c>
      <c r="KT26" s="1958">
        <v>6875.4595062797744</v>
      </c>
      <c r="KU26" s="1961">
        <v>1.526164284683124</v>
      </c>
      <c r="KV26" s="1961">
        <v>4.5730648188248884</v>
      </c>
      <c r="KW26" s="1961">
        <v>6.8618868196910645</v>
      </c>
      <c r="KX26" s="1962">
        <v>8.5971964934036951</v>
      </c>
      <c r="KY26" s="36"/>
      <c r="KZ26" s="53"/>
      <c r="LA26" s="53"/>
      <c r="LB26" s="53"/>
      <c r="LC26" s="53"/>
      <c r="LD26" s="33"/>
      <c r="LE26" s="2669"/>
      <c r="LG26" s="853">
        <f t="shared" si="53"/>
        <v>22450.55</v>
      </c>
      <c r="LH26" s="27">
        <f t="shared" si="53"/>
        <v>0</v>
      </c>
      <c r="LI26" s="27">
        <f t="shared" si="53"/>
        <v>0</v>
      </c>
      <c r="LJ26" s="28">
        <f t="shared" si="54"/>
        <v>22450.55</v>
      </c>
      <c r="LK26" s="36">
        <v>3</v>
      </c>
      <c r="LL26" s="27"/>
      <c r="LM26" s="27">
        <v>1</v>
      </c>
      <c r="LN26" s="33"/>
      <c r="LO26" s="1041">
        <v>1.26</v>
      </c>
      <c r="LP26" s="486"/>
      <c r="LQ26" s="2688"/>
      <c r="LR26" s="36">
        <v>22450.55</v>
      </c>
      <c r="LS26" s="36"/>
      <c r="LT26" s="27"/>
      <c r="LU26" s="27"/>
      <c r="LV26" s="27"/>
      <c r="LW26" s="1107">
        <f t="shared" si="55"/>
        <v>22450.55</v>
      </c>
      <c r="LX26" s="36"/>
      <c r="LY26" s="36"/>
      <c r="LZ26" s="27"/>
      <c r="MA26" s="27"/>
      <c r="MB26" s="33"/>
      <c r="MC26" s="28">
        <f t="shared" si="56"/>
        <v>0</v>
      </c>
      <c r="MD26" s="26"/>
      <c r="ME26" s="36"/>
      <c r="MF26" s="27"/>
      <c r="MG26" s="27"/>
      <c r="MH26" s="27"/>
      <c r="MI26" s="28"/>
      <c r="MJ26" s="36"/>
      <c r="MK26" s="36"/>
      <c r="ML26" s="27"/>
      <c r="MM26" s="27"/>
      <c r="MN26" s="27"/>
      <c r="MO26" s="28"/>
      <c r="MP26" s="36"/>
      <c r="MQ26" s="36"/>
      <c r="MR26" s="27"/>
      <c r="MS26" s="27"/>
      <c r="MT26" s="27"/>
      <c r="MU26" s="33">
        <f t="shared" si="57"/>
        <v>0</v>
      </c>
      <c r="MV26" s="2688"/>
      <c r="MX26" s="26">
        <f t="shared" si="58"/>
        <v>167284.33197880999</v>
      </c>
      <c r="MY26" s="27">
        <f t="shared" si="59"/>
        <v>265301.56079257303</v>
      </c>
      <c r="MZ26" s="27">
        <f t="shared" si="60"/>
        <v>20443.625210117312</v>
      </c>
      <c r="NA26" s="28">
        <f t="shared" si="61"/>
        <v>318822.6976021899</v>
      </c>
      <c r="NB26" s="2621"/>
      <c r="NC26" s="23">
        <f t="shared" si="62"/>
        <v>78395.741026069998</v>
      </c>
      <c r="ND26" s="1655">
        <f t="shared" si="63"/>
        <v>88888.590952739993</v>
      </c>
      <c r="NE26" s="60">
        <f t="shared" si="64"/>
        <v>0</v>
      </c>
      <c r="NF26" s="275">
        <f t="shared" si="4"/>
        <v>167284.33197880999</v>
      </c>
      <c r="NG26" s="26">
        <f t="shared" ref="NG26:NP40" si="125">+NG25+EF26-GY26</f>
        <v>0</v>
      </c>
      <c r="NH26" s="27">
        <f t="shared" si="125"/>
        <v>0</v>
      </c>
      <c r="NI26" s="27">
        <f t="shared" si="125"/>
        <v>0</v>
      </c>
      <c r="NJ26" s="27">
        <f t="shared" si="125"/>
        <v>0</v>
      </c>
      <c r="NK26" s="27">
        <f t="shared" si="125"/>
        <v>0</v>
      </c>
      <c r="NL26" s="33">
        <f t="shared" si="125"/>
        <v>0</v>
      </c>
      <c r="NM26" s="27">
        <f t="shared" si="125"/>
        <v>0</v>
      </c>
      <c r="NN26" s="36">
        <f t="shared" si="125"/>
        <v>0</v>
      </c>
      <c r="NO26" s="24">
        <f t="shared" si="125"/>
        <v>25047.600671164178</v>
      </c>
      <c r="NP26" s="27">
        <f t="shared" si="125"/>
        <v>24549.88002237798</v>
      </c>
      <c r="NQ26" s="24">
        <f t="shared" si="110"/>
        <v>8756.5482322711578</v>
      </c>
      <c r="NR26" s="24">
        <f t="shared" si="111"/>
        <v>13475.12135148718</v>
      </c>
      <c r="NS26" s="27">
        <f t="shared" si="0"/>
        <v>71829.15027730049</v>
      </c>
      <c r="NT26" s="27">
        <f t="shared" ref="NT26:OB40" si="126">+NT25+DF26-IC26</f>
        <v>0</v>
      </c>
      <c r="NU26" s="27">
        <f t="shared" si="126"/>
        <v>0</v>
      </c>
      <c r="NV26" s="27">
        <f t="shared" si="126"/>
        <v>0</v>
      </c>
      <c r="NW26" s="27">
        <f t="shared" si="126"/>
        <v>0</v>
      </c>
      <c r="NX26" s="27">
        <f t="shared" si="126"/>
        <v>0</v>
      </c>
      <c r="NY26" s="5">
        <f t="shared" si="126"/>
        <v>0</v>
      </c>
      <c r="NZ26" s="27">
        <f t="shared" si="126"/>
        <v>16837.70881417883</v>
      </c>
      <c r="OA26" s="27">
        <f t="shared" si="126"/>
        <v>0</v>
      </c>
      <c r="OB26" s="27">
        <f t="shared" si="126"/>
        <v>90662.319365972609</v>
      </c>
      <c r="OC26" s="280"/>
      <c r="OD26" s="24">
        <f t="shared" ref="OD26:OE40" si="127">+OD25+DP26-IM26</f>
        <v>0</v>
      </c>
      <c r="OE26" s="27">
        <f t="shared" si="127"/>
        <v>0</v>
      </c>
      <c r="OF26" s="28">
        <f t="shared" si="1"/>
        <v>107500.02818015144</v>
      </c>
      <c r="OG26" s="27">
        <f t="shared" ref="OG26:OR40" si="128">+OG25+DS26+FV26-IR26</f>
        <v>0</v>
      </c>
      <c r="OH26" s="27">
        <f t="shared" si="128"/>
        <v>0</v>
      </c>
      <c r="OI26" s="27">
        <f t="shared" si="128"/>
        <v>0</v>
      </c>
      <c r="OJ26" s="27">
        <f t="shared" si="128"/>
        <v>0</v>
      </c>
      <c r="OK26" s="27">
        <f t="shared" si="128"/>
        <v>0</v>
      </c>
      <c r="OL26" s="27">
        <f t="shared" si="128"/>
        <v>0</v>
      </c>
      <c r="OM26" s="24">
        <f t="shared" si="128"/>
        <v>0</v>
      </c>
      <c r="ON26" s="27">
        <f t="shared" si="128"/>
        <v>0</v>
      </c>
      <c r="OO26" s="24">
        <f t="shared" si="118"/>
        <v>59291.275076326245</v>
      </c>
      <c r="OP26" s="27">
        <f t="shared" si="128"/>
        <v>0</v>
      </c>
      <c r="OQ26" s="24">
        <f t="shared" si="128"/>
        <v>26681.107258794851</v>
      </c>
      <c r="OR26" s="27">
        <f t="shared" si="128"/>
        <v>0</v>
      </c>
      <c r="OS26" s="28">
        <f t="shared" si="2"/>
        <v>85972.382335121103</v>
      </c>
      <c r="OT26" s="36"/>
      <c r="OU26" s="27"/>
      <c r="OV26" s="27"/>
      <c r="OW26" s="27"/>
      <c r="OX26" s="27"/>
      <c r="OY26" s="27"/>
      <c r="OZ26" s="28">
        <f t="shared" si="69"/>
        <v>0</v>
      </c>
      <c r="PA26" s="36">
        <f t="shared" si="70"/>
        <v>0</v>
      </c>
      <c r="PB26" s="27">
        <f t="shared" si="71"/>
        <v>0</v>
      </c>
      <c r="PC26" s="27">
        <f t="shared" si="72"/>
        <v>0</v>
      </c>
      <c r="PD26" s="27">
        <f t="shared" si="73"/>
        <v>0</v>
      </c>
      <c r="PE26" s="24"/>
      <c r="PF26" s="27">
        <f t="shared" si="74"/>
        <v>0</v>
      </c>
      <c r="PG26" s="33">
        <f t="shared" si="3"/>
        <v>0</v>
      </c>
      <c r="PH26" s="2621"/>
      <c r="PJ26" s="1907">
        <v>518.24</v>
      </c>
      <c r="PK26" s="3">
        <v>1246</v>
      </c>
      <c r="PL26" s="3">
        <v>356</v>
      </c>
      <c r="PM26" s="3">
        <v>1065.3499999999999</v>
      </c>
      <c r="PN26" s="3">
        <f t="shared" si="75"/>
        <v>34041.12350465871</v>
      </c>
      <c r="PO26" s="11">
        <f t="shared" si="76"/>
        <v>20443.625210117312</v>
      </c>
      <c r="PP26" s="15"/>
      <c r="PQ26" s="2615"/>
      <c r="PS26" s="4"/>
      <c r="PT26" s="9"/>
      <c r="PU26" s="9"/>
      <c r="PV26" s="9"/>
      <c r="PW26" s="8">
        <v>0</v>
      </c>
      <c r="PX26" s="9"/>
      <c r="PY26" s="8">
        <f t="shared" si="77"/>
        <v>0</v>
      </c>
      <c r="PZ26" s="5">
        <f t="shared" si="78"/>
        <v>518.24</v>
      </c>
      <c r="QA26" s="5"/>
      <c r="QB26" s="5"/>
      <c r="QC26" s="5"/>
      <c r="QD26" s="5"/>
      <c r="QE26" s="5"/>
      <c r="QF26" s="12"/>
      <c r="QG26" s="12">
        <f t="shared" si="79"/>
        <v>29562.488999999998</v>
      </c>
      <c r="QH26" s="420">
        <f t="shared" si="80"/>
        <v>287040.2518081899</v>
      </c>
      <c r="QI26" s="1106">
        <f t="shared" si="113"/>
        <v>2219.9567940000002</v>
      </c>
      <c r="QJ26" s="484">
        <f t="shared" si="81"/>
        <v>5505.3678056099998</v>
      </c>
      <c r="QK26" s="12"/>
      <c r="QL26" s="2615"/>
      <c r="QN26" s="139">
        <f t="shared" si="82"/>
        <v>0</v>
      </c>
      <c r="QO26" s="139" t="str">
        <f t="shared" si="83"/>
        <v/>
      </c>
      <c r="QQ26" s="139">
        <f t="shared" si="84"/>
        <v>0</v>
      </c>
      <c r="QR26" s="139">
        <f t="shared" si="85"/>
        <v>0</v>
      </c>
      <c r="QT26" s="1">
        <f t="shared" si="86"/>
        <v>0</v>
      </c>
      <c r="QU26" s="1">
        <f t="shared" si="87"/>
        <v>0</v>
      </c>
      <c r="QV26" s="1">
        <f t="shared" si="88"/>
        <v>0</v>
      </c>
      <c r="QW26" s="1">
        <f t="shared" si="89"/>
        <v>0</v>
      </c>
      <c r="QX26" s="1">
        <f t="shared" si="90"/>
        <v>0</v>
      </c>
      <c r="QY26" s="1">
        <f t="shared" si="91"/>
        <v>0</v>
      </c>
      <c r="RA26" s="1">
        <f t="shared" si="92"/>
        <v>0</v>
      </c>
      <c r="RB26" s="1">
        <f t="shared" si="93"/>
        <v>0</v>
      </c>
      <c r="RC26" s="1">
        <f t="shared" si="94"/>
        <v>0</v>
      </c>
      <c r="RD26" s="1">
        <f t="shared" si="95"/>
        <v>0</v>
      </c>
      <c r="RE26" s="1">
        <f t="shared" si="96"/>
        <v>0</v>
      </c>
      <c r="RF26" s="1">
        <f t="shared" si="97"/>
        <v>0</v>
      </c>
      <c r="RI26" s="1">
        <v>17</v>
      </c>
      <c r="RJ26" s="1">
        <f t="shared" si="123"/>
        <v>-28652.630290282905</v>
      </c>
      <c r="RK26" s="1">
        <f t="shared" si="123"/>
        <v>19589.747280483716</v>
      </c>
      <c r="RL26" s="1">
        <f t="shared" si="123"/>
        <v>13404.263703387322</v>
      </c>
      <c r="RM26" s="89">
        <f t="shared" si="5"/>
        <v>4341.380693588133</v>
      </c>
      <c r="RN26" s="1033">
        <v>17</v>
      </c>
      <c r="RO26" s="1098">
        <v>0</v>
      </c>
      <c r="RP26" s="1098">
        <f t="shared" si="99"/>
        <v>0</v>
      </c>
      <c r="RQ26" s="1097">
        <f t="shared" si="99"/>
        <v>0</v>
      </c>
      <c r="RR26" s="1097">
        <f t="shared" si="114"/>
        <v>8004.7400000000007</v>
      </c>
      <c r="RS26" s="1050"/>
      <c r="RT26" s="1928">
        <v>2607173087</v>
      </c>
      <c r="RU26" s="1048"/>
      <c r="RW26" s="421">
        <v>17</v>
      </c>
      <c r="RX26" s="1095">
        <f t="shared" si="100"/>
        <v>14726.96</v>
      </c>
      <c r="RY26" s="1928">
        <v>2607178132</v>
      </c>
      <c r="SA26" s="1090"/>
      <c r="SB26" s="1090">
        <f t="shared" si="101"/>
        <v>0</v>
      </c>
      <c r="SC26" s="1090"/>
      <c r="SD26" s="1090">
        <f t="shared" si="124"/>
        <v>0</v>
      </c>
      <c r="SF26" s="1">
        <v>17</v>
      </c>
      <c r="SG26" s="1">
        <f t="shared" si="103"/>
        <v>1065.3499999999999</v>
      </c>
      <c r="SH26" s="2420">
        <v>2607178235</v>
      </c>
    </row>
    <row r="27" spans="1:502" s="1" customFormat="1" ht="15.6" customHeight="1">
      <c r="B27" s="471">
        <v>18</v>
      </c>
      <c r="C27" s="4">
        <f t="shared" si="6"/>
        <v>146282</v>
      </c>
      <c r="D27" s="1590">
        <f t="shared" si="119"/>
        <v>10346.650000000001</v>
      </c>
      <c r="E27" s="1911">
        <f t="shared" si="7"/>
        <v>14.138102670912806</v>
      </c>
      <c r="F27" s="1113"/>
      <c r="G27" s="1113"/>
      <c r="H27" s="845"/>
      <c r="I27" s="482"/>
      <c r="J27" s="845"/>
      <c r="K27" s="846"/>
      <c r="L27" s="845">
        <v>21</v>
      </c>
      <c r="M27" s="482">
        <v>3.25</v>
      </c>
      <c r="N27" s="2629"/>
      <c r="O27" s="4">
        <f t="shared" si="117"/>
        <v>88830</v>
      </c>
      <c r="P27" s="1225">
        <f t="shared" si="8"/>
        <v>7501.1900000000005</v>
      </c>
      <c r="Q27" s="1913">
        <f t="shared" si="9"/>
        <v>11.842121050126712</v>
      </c>
      <c r="R27" s="12"/>
      <c r="S27" s="4">
        <f t="shared" si="10"/>
        <v>29468</v>
      </c>
      <c r="T27" s="27">
        <f t="shared" si="105"/>
        <v>1185.46</v>
      </c>
      <c r="U27" s="1913">
        <f t="shared" si="11"/>
        <v>24.857861083461273</v>
      </c>
      <c r="V27" s="15"/>
      <c r="W27" s="26">
        <f t="shared" si="12"/>
        <v>24343</v>
      </c>
      <c r="X27" s="5">
        <f t="shared" si="12"/>
        <v>1660</v>
      </c>
      <c r="Y27" s="1913">
        <f t="shared" si="13"/>
        <v>14.664457831325301</v>
      </c>
      <c r="Z27" s="12"/>
      <c r="AA27" s="26">
        <f t="shared" si="14"/>
        <v>3641</v>
      </c>
      <c r="AB27" s="27">
        <f t="shared" si="15"/>
        <v>0</v>
      </c>
      <c r="AC27" s="1913">
        <f t="shared" si="16"/>
        <v>0</v>
      </c>
      <c r="AD27" s="15"/>
      <c r="AE27" s="9"/>
      <c r="AF27" s="9"/>
      <c r="AG27" s="64">
        <f t="shared" si="17"/>
        <v>0</v>
      </c>
      <c r="AH27" s="15"/>
      <c r="AI27" s="4"/>
      <c r="AJ27" s="5"/>
      <c r="AK27" s="64">
        <f t="shared" si="18"/>
        <v>0</v>
      </c>
      <c r="AL27" s="15"/>
      <c r="AM27" s="2629"/>
      <c r="AN27" s="9"/>
      <c r="AO27" s="5"/>
      <c r="AP27" s="482">
        <f t="shared" si="19"/>
        <v>0</v>
      </c>
      <c r="AQ27" s="9"/>
      <c r="AR27" s="64"/>
      <c r="AS27" s="482">
        <f t="shared" si="20"/>
        <v>0</v>
      </c>
      <c r="AT27" s="9">
        <v>0</v>
      </c>
      <c r="AU27" s="5"/>
      <c r="AV27" s="846">
        <f t="shared" si="21"/>
        <v>0</v>
      </c>
      <c r="AW27" s="4">
        <v>60648</v>
      </c>
      <c r="AX27" s="24">
        <v>4081.9300000000003</v>
      </c>
      <c r="AY27" s="1911">
        <f t="shared" si="115"/>
        <v>14.857677618185514</v>
      </c>
      <c r="AZ27" s="1912"/>
      <c r="BA27" s="1913"/>
      <c r="BB27" s="1911">
        <f t="shared" si="22"/>
        <v>0</v>
      </c>
      <c r="BC27" s="1940">
        <v>28182</v>
      </c>
      <c r="BD27" s="1926">
        <v>3419.26</v>
      </c>
      <c r="BE27" s="1911">
        <f t="shared" si="23"/>
        <v>8.2421342629691807</v>
      </c>
      <c r="BF27" s="1908"/>
      <c r="BG27" s="1909"/>
      <c r="BH27" s="1911">
        <f t="shared" si="24"/>
        <v>0</v>
      </c>
      <c r="BI27" s="1908">
        <v>0</v>
      </c>
      <c r="BJ27" s="1909">
        <v>0</v>
      </c>
      <c r="BK27" s="1911">
        <f t="shared" si="25"/>
        <v>0</v>
      </c>
      <c r="BL27" s="1741">
        <v>29468</v>
      </c>
      <c r="BM27" s="1736">
        <v>1185.46</v>
      </c>
      <c r="BN27" s="2172"/>
      <c r="BO27" s="1911">
        <f t="shared" si="26"/>
        <v>24.857861083461273</v>
      </c>
      <c r="BP27" s="9">
        <v>3641</v>
      </c>
      <c r="BQ27" s="63">
        <v>0</v>
      </c>
      <c r="BR27" s="1920">
        <f t="shared" si="27"/>
        <v>0</v>
      </c>
      <c r="BS27" s="9"/>
      <c r="BT27" s="64"/>
      <c r="BU27" s="482">
        <f t="shared" si="28"/>
        <v>0</v>
      </c>
      <c r="BV27" s="9">
        <v>24343</v>
      </c>
      <c r="BW27" s="5">
        <f t="shared" si="106"/>
        <v>1660</v>
      </c>
      <c r="BX27" s="1051">
        <f t="shared" si="29"/>
        <v>14.664457831325301</v>
      </c>
      <c r="BY27" s="26"/>
      <c r="BZ27" s="5"/>
      <c r="CA27" s="482">
        <f t="shared" si="30"/>
        <v>0</v>
      </c>
      <c r="CB27" s="9"/>
      <c r="CC27" s="5"/>
      <c r="CD27" s="482">
        <f t="shared" si="31"/>
        <v>0</v>
      </c>
      <c r="CE27" s="4"/>
      <c r="CF27" s="5"/>
      <c r="CG27" s="15">
        <f t="shared" si="32"/>
        <v>0</v>
      </c>
      <c r="CH27" s="150"/>
      <c r="CI27" s="1108"/>
      <c r="CJ27" s="5"/>
      <c r="CK27" s="5">
        <v>2390</v>
      </c>
      <c r="CL27" s="5"/>
      <c r="CM27" s="5"/>
      <c r="CN27" s="5">
        <f t="shared" si="33"/>
        <v>2390</v>
      </c>
      <c r="CO27" s="12"/>
      <c r="CP27" s="366"/>
      <c r="CR27" s="4">
        <f t="shared" si="34"/>
        <v>0</v>
      </c>
      <c r="CS27" s="9">
        <f t="shared" si="34"/>
        <v>0</v>
      </c>
      <c r="CT27" s="5">
        <f t="shared" si="34"/>
        <v>0</v>
      </c>
      <c r="CU27" s="5">
        <f t="shared" si="34"/>
        <v>0</v>
      </c>
      <c r="CV27" s="5">
        <f t="shared" si="34"/>
        <v>0</v>
      </c>
      <c r="CW27" s="5">
        <f t="shared" si="34"/>
        <v>0</v>
      </c>
      <c r="CX27" s="5">
        <f t="shared" si="34"/>
        <v>1546.3200000000002</v>
      </c>
      <c r="CY27" s="5">
        <f t="shared" si="34"/>
        <v>0</v>
      </c>
      <c r="CZ27" s="5">
        <f t="shared" si="34"/>
        <v>7887.1100000000006</v>
      </c>
      <c r="DA27" s="5">
        <f t="shared" si="34"/>
        <v>0</v>
      </c>
      <c r="DB27" s="5">
        <f t="shared" si="34"/>
        <v>913.22</v>
      </c>
      <c r="DC27" s="12">
        <f t="shared" si="34"/>
        <v>0</v>
      </c>
      <c r="DD27" s="847">
        <f t="shared" si="35"/>
        <v>10346.65</v>
      </c>
      <c r="DE27" s="2695"/>
      <c r="DF27" s="8"/>
      <c r="DG27" s="9"/>
      <c r="DH27" s="5"/>
      <c r="DI27" s="5"/>
      <c r="DJ27" s="5"/>
      <c r="DK27" s="5"/>
      <c r="DL27" s="3">
        <v>1546.3200000000002</v>
      </c>
      <c r="DM27" s="5"/>
      <c r="DN27" s="3">
        <v>2535.6099999999997</v>
      </c>
      <c r="DO27" s="12"/>
      <c r="DP27" s="3">
        <v>0</v>
      </c>
      <c r="DQ27" s="486"/>
      <c r="DR27" s="15">
        <f t="shared" si="36"/>
        <v>4081.93</v>
      </c>
      <c r="DS27" s="9"/>
      <c r="DT27" s="9"/>
      <c r="DU27" s="5"/>
      <c r="DV27" s="5"/>
      <c r="DW27" s="5"/>
      <c r="DX27" s="5"/>
      <c r="DY27" s="5"/>
      <c r="DZ27" s="5"/>
      <c r="EA27" s="3">
        <v>3691.5000000000005</v>
      </c>
      <c r="EB27" s="5"/>
      <c r="EC27" s="24">
        <v>913.22</v>
      </c>
      <c r="ED27" s="12"/>
      <c r="EE27" s="15">
        <f t="shared" si="37"/>
        <v>4604.72</v>
      </c>
      <c r="EF27" s="9"/>
      <c r="EG27" s="9"/>
      <c r="EH27" s="5"/>
      <c r="EI27" s="5"/>
      <c r="EJ27" s="5"/>
      <c r="EK27" s="5"/>
      <c r="EL27" s="5"/>
      <c r="EM27" s="5"/>
      <c r="EN27" s="5">
        <v>1660</v>
      </c>
      <c r="EO27" s="5"/>
      <c r="EP27" s="5"/>
      <c r="EQ27" s="12"/>
      <c r="ER27" s="15">
        <f t="shared" si="38"/>
        <v>1660</v>
      </c>
      <c r="ES27" s="9"/>
      <c r="ET27" s="5"/>
      <c r="EU27" s="5"/>
      <c r="EV27" s="5"/>
      <c r="EW27" s="5"/>
      <c r="EX27" s="5"/>
      <c r="EY27" s="12">
        <f t="shared" si="39"/>
        <v>0</v>
      </c>
      <c r="EZ27" s="2685"/>
      <c r="FB27" s="4">
        <f t="shared" si="40"/>
        <v>0</v>
      </c>
      <c r="FC27" s="5">
        <f t="shared" si="41"/>
        <v>0</v>
      </c>
      <c r="FD27" s="5">
        <f t="shared" si="42"/>
        <v>78.959999999999994</v>
      </c>
      <c r="FE27" s="12">
        <f t="shared" si="43"/>
        <v>78.959999999999994</v>
      </c>
      <c r="FF27" s="12"/>
      <c r="FG27" s="2674"/>
      <c r="FH27" s="9"/>
      <c r="FI27" s="5"/>
      <c r="FJ27" s="5"/>
      <c r="FK27" s="5"/>
      <c r="FL27" s="5"/>
      <c r="FM27" s="5"/>
      <c r="FN27" s="15">
        <f t="shared" si="44"/>
        <v>0</v>
      </c>
      <c r="FO27" s="9"/>
      <c r="FP27" s="5"/>
      <c r="FQ27" s="5"/>
      <c r="FR27" s="5"/>
      <c r="FS27" s="5"/>
      <c r="FT27" s="5"/>
      <c r="FU27" s="15">
        <f t="shared" si="45"/>
        <v>0</v>
      </c>
      <c r="FV27" s="9"/>
      <c r="FW27" s="9"/>
      <c r="FX27" s="5"/>
      <c r="FY27" s="5"/>
      <c r="FZ27" s="5"/>
      <c r="GA27" s="5"/>
      <c r="GB27" s="5"/>
      <c r="GC27" s="5"/>
      <c r="GD27" s="24">
        <v>78.959999999999994</v>
      </c>
      <c r="GE27" s="5"/>
      <c r="GF27" s="5"/>
      <c r="GG27" s="12"/>
      <c r="GH27" s="12">
        <f t="shared" si="46"/>
        <v>78.959999999999994</v>
      </c>
      <c r="GI27" s="2674"/>
      <c r="GK27" s="2">
        <f t="shared" si="107"/>
        <v>2420.0300000000002</v>
      </c>
      <c r="GL27" s="63">
        <f t="shared" si="108"/>
        <v>6783.2699999999986</v>
      </c>
      <c r="GM27" s="24">
        <f t="shared" si="109"/>
        <v>4018.84</v>
      </c>
      <c r="GN27" s="1590">
        <f t="shared" si="47"/>
        <v>13222.14</v>
      </c>
      <c r="GO27" s="848"/>
      <c r="GP27" s="848"/>
      <c r="GQ27" s="12"/>
      <c r="GR27" s="2667"/>
      <c r="GS27" s="1739">
        <v>0</v>
      </c>
      <c r="GT27" s="1721">
        <v>330.1</v>
      </c>
      <c r="GU27" s="1721">
        <v>5861.78</v>
      </c>
      <c r="GV27" s="1721">
        <v>7030.26</v>
      </c>
      <c r="GW27" s="12">
        <v>13222.14</v>
      </c>
      <c r="GX27" s="2667"/>
      <c r="GY27" s="9"/>
      <c r="GZ27" s="9"/>
      <c r="HA27" s="5"/>
      <c r="HB27" s="5"/>
      <c r="HC27" s="5"/>
      <c r="HD27" s="5"/>
      <c r="HE27" s="5"/>
      <c r="HF27" s="5"/>
      <c r="HG27" s="24">
        <v>1288.9000000000001</v>
      </c>
      <c r="HH27" s="5"/>
      <c r="HI27" s="24">
        <v>801.03</v>
      </c>
      <c r="HJ27" s="5"/>
      <c r="HK27" s="24">
        <v>330.1</v>
      </c>
      <c r="HL27" s="5"/>
      <c r="HM27" s="15">
        <f t="shared" si="120"/>
        <v>2420.0300000000002</v>
      </c>
      <c r="HN27" s="9"/>
      <c r="HO27" s="5"/>
      <c r="HP27" s="5"/>
      <c r="HQ27" s="5"/>
      <c r="HR27" s="5"/>
      <c r="HS27" s="5"/>
      <c r="HT27" s="5">
        <f t="array" ref="HT27">SUMPRODUCT(('Data Base hauling'!$C$2:$C$2000="TCM-ROM SB1 BK05-ROM 4")*(ISNUMBER(SEARCH(TEXT('July TCM'!$B27,"00")&amp;"/03/2026",'Data Base hauling'!$E$2:$E$2000)))*'Data Base hauling'!$N$2:$N$2000)</f>
        <v>0</v>
      </c>
      <c r="HU27" s="5"/>
      <c r="HV27" s="5">
        <f t="array" ref="HV27">SUMPRODUCT(('Data Base hauling'!$C$2:$C$2000="TCM-ROM SB1 BK05-ROM 5")*(ISNUMBER(SEARCH(TEXT('July TCM'!$B27,"00")&amp;"/03/2026",'Data Base hauling'!$E$2:$E$2000)))*'Data Base hauling'!$N$2:$N$2000)</f>
        <v>0</v>
      </c>
      <c r="HW27" s="5"/>
      <c r="HX27" s="5"/>
      <c r="HY27" s="5"/>
      <c r="HZ27" s="5"/>
      <c r="IA27" s="5"/>
      <c r="IB27" s="12">
        <f t="shared" si="49"/>
        <v>0</v>
      </c>
      <c r="IC27" s="845"/>
      <c r="ID27" s="363"/>
      <c r="IE27" s="64"/>
      <c r="IF27" s="64"/>
      <c r="IG27" s="64"/>
      <c r="IH27" s="64"/>
      <c r="II27" s="1926">
        <v>932.13999999999987</v>
      </c>
      <c r="IJ27" s="1590"/>
      <c r="IK27" s="1926">
        <v>5851.1299999999992</v>
      </c>
      <c r="IL27" s="64"/>
      <c r="IM27" s="49">
        <v>0</v>
      </c>
      <c r="IN27" s="64"/>
      <c r="IO27" s="64"/>
      <c r="IP27" s="49">
        <v>0</v>
      </c>
      <c r="IQ27" s="2195">
        <f t="shared" si="121"/>
        <v>6783.2699999999986</v>
      </c>
      <c r="IR27" s="9"/>
      <c r="IS27" s="9"/>
      <c r="IT27" s="64"/>
      <c r="IU27" s="5"/>
      <c r="IV27" s="64"/>
      <c r="IW27" s="5"/>
      <c r="IX27" s="24">
        <v>0</v>
      </c>
      <c r="IY27" s="5"/>
      <c r="IZ27" s="24">
        <v>2565.63</v>
      </c>
      <c r="JA27" s="5"/>
      <c r="JB27" s="24">
        <v>1453.2099999999998</v>
      </c>
      <c r="JC27" s="5"/>
      <c r="JD27" s="5"/>
      <c r="JE27" s="5"/>
      <c r="JF27" s="12">
        <f t="shared" si="122"/>
        <v>4018.84</v>
      </c>
      <c r="JG27" s="2667"/>
      <c r="JI27" s="2014">
        <v>6307.4</v>
      </c>
      <c r="JJ27" s="2015">
        <v>6914.74</v>
      </c>
      <c r="JK27" s="64"/>
      <c r="JL27" s="1736">
        <f t="shared" si="52"/>
        <v>13222.14</v>
      </c>
      <c r="JM27" s="12"/>
      <c r="JN27" s="2669"/>
      <c r="JO27" s="66">
        <v>0</v>
      </c>
      <c r="JP27" s="67">
        <v>0</v>
      </c>
      <c r="JQ27" s="67">
        <v>0</v>
      </c>
      <c r="JR27" s="67">
        <v>9.6347147794653906E-3</v>
      </c>
      <c r="JS27" s="67">
        <v>0.99036528522053457</v>
      </c>
      <c r="JT27" s="67">
        <v>0</v>
      </c>
      <c r="JU27" s="67">
        <v>0</v>
      </c>
      <c r="JV27" s="1921">
        <v>0</v>
      </c>
      <c r="JW27" s="66">
        <v>0</v>
      </c>
      <c r="JX27" s="67">
        <v>0</v>
      </c>
      <c r="JY27" s="67">
        <v>0</v>
      </c>
      <c r="JZ27" s="67">
        <v>0.12601630719303977</v>
      </c>
      <c r="KA27" s="67">
        <v>0.50024006687163947</v>
      </c>
      <c r="KB27" s="67">
        <v>0.32600502694244465</v>
      </c>
      <c r="KC27" s="67">
        <v>4.7738598992876094E-2</v>
      </c>
      <c r="KD27" s="68">
        <v>0</v>
      </c>
      <c r="KE27" s="849"/>
      <c r="KF27" s="850"/>
      <c r="KG27" s="850"/>
      <c r="KH27" s="850"/>
      <c r="KI27" s="850"/>
      <c r="KJ27" s="850"/>
      <c r="KK27" s="850"/>
      <c r="KL27" s="850"/>
      <c r="KM27" s="12"/>
      <c r="KN27" s="2669"/>
      <c r="KO27" s="2203">
        <v>6989.7562220804084</v>
      </c>
      <c r="KP27" s="1721">
        <v>0.92595405232929162</v>
      </c>
      <c r="KQ27" s="1721">
        <v>4.0368283343969367</v>
      </c>
      <c r="KR27" s="1721">
        <v>6.3654945756222077</v>
      </c>
      <c r="KS27" s="1722">
        <v>9.4450492099553287</v>
      </c>
      <c r="KT27" s="1958">
        <v>6875.4595062797744</v>
      </c>
      <c r="KU27" s="1961">
        <v>1.526164284683124</v>
      </c>
      <c r="KV27" s="1961">
        <v>4.5730648188248884</v>
      </c>
      <c r="KW27" s="1961">
        <v>6.8618868196910645</v>
      </c>
      <c r="KX27" s="1962">
        <v>9.416478565757183</v>
      </c>
      <c r="KY27" s="9"/>
      <c r="KZ27" s="64"/>
      <c r="LA27" s="64"/>
      <c r="LB27" s="64"/>
      <c r="LC27" s="64"/>
      <c r="LD27" s="12"/>
      <c r="LE27" s="2669"/>
      <c r="LG27" s="4">
        <f t="shared" si="53"/>
        <v>5487.9</v>
      </c>
      <c r="LH27" s="5">
        <f t="shared" si="53"/>
        <v>1829.3</v>
      </c>
      <c r="LI27" s="5">
        <f t="shared" si="53"/>
        <v>0</v>
      </c>
      <c r="LJ27" s="15">
        <f t="shared" si="54"/>
        <v>7317.2</v>
      </c>
      <c r="LK27" s="9">
        <v>1</v>
      </c>
      <c r="LL27" s="5"/>
      <c r="LM27" s="5"/>
      <c r="LN27" s="12"/>
      <c r="LO27" s="1111">
        <v>1.68</v>
      </c>
      <c r="LP27" s="486"/>
      <c r="LQ27" s="2688"/>
      <c r="LR27" s="9"/>
      <c r="LS27" s="9"/>
      <c r="LT27" s="5"/>
      <c r="LU27" s="5"/>
      <c r="LV27" s="5"/>
      <c r="LW27" s="1107">
        <f t="shared" si="55"/>
        <v>0</v>
      </c>
      <c r="LX27" s="9">
        <v>5487.9</v>
      </c>
      <c r="LY27" s="9">
        <v>1829.3</v>
      </c>
      <c r="LZ27" s="5"/>
      <c r="MA27" s="5"/>
      <c r="MB27" s="12"/>
      <c r="MC27" s="28">
        <f t="shared" si="56"/>
        <v>7317.2</v>
      </c>
      <c r="MD27" s="4"/>
      <c r="ME27" s="9"/>
      <c r="MF27" s="5"/>
      <c r="MG27" s="5"/>
      <c r="MH27" s="5"/>
      <c r="MI27" s="15"/>
      <c r="MJ27" s="9"/>
      <c r="MK27" s="9"/>
      <c r="ML27" s="5"/>
      <c r="MM27" s="5"/>
      <c r="MN27" s="5"/>
      <c r="MO27" s="15"/>
      <c r="MP27" s="9"/>
      <c r="MQ27" s="9"/>
      <c r="MR27" s="5"/>
      <c r="MS27" s="5"/>
      <c r="MT27" s="5"/>
      <c r="MU27" s="12">
        <f t="shared" si="57"/>
        <v>0</v>
      </c>
      <c r="MV27" s="2688"/>
      <c r="MX27" s="4">
        <f t="shared" si="58"/>
        <v>173189.27197880999</v>
      </c>
      <c r="MY27" s="5">
        <f t="shared" si="59"/>
        <v>262835.13079257304</v>
      </c>
      <c r="MZ27" s="5">
        <f t="shared" si="60"/>
        <v>20321.525210117314</v>
      </c>
      <c r="NA27" s="15">
        <f t="shared" si="61"/>
        <v>318133.17760218988</v>
      </c>
      <c r="NB27" s="2621"/>
      <c r="NC27" s="23">
        <f t="shared" si="62"/>
        <v>79215.241026069998</v>
      </c>
      <c r="ND27" s="1655">
        <f t="shared" si="63"/>
        <v>93974.030952739995</v>
      </c>
      <c r="NE27" s="60">
        <f t="shared" si="64"/>
        <v>0</v>
      </c>
      <c r="NF27" s="1042">
        <f t="shared" si="4"/>
        <v>173189.27197880999</v>
      </c>
      <c r="NG27" s="4">
        <f t="shared" si="125"/>
        <v>0</v>
      </c>
      <c r="NH27" s="5">
        <f t="shared" si="125"/>
        <v>0</v>
      </c>
      <c r="NI27" s="5">
        <f t="shared" si="125"/>
        <v>0</v>
      </c>
      <c r="NJ27" s="5">
        <f t="shared" si="125"/>
        <v>0</v>
      </c>
      <c r="NK27" s="5">
        <f t="shared" si="125"/>
        <v>0</v>
      </c>
      <c r="NL27" s="12">
        <f t="shared" si="125"/>
        <v>0</v>
      </c>
      <c r="NM27" s="27">
        <f t="shared" si="125"/>
        <v>0</v>
      </c>
      <c r="NN27" s="9">
        <f t="shared" si="125"/>
        <v>0</v>
      </c>
      <c r="NO27" s="24">
        <f t="shared" si="125"/>
        <v>25418.700671164177</v>
      </c>
      <c r="NP27" s="5">
        <f t="shared" si="125"/>
        <v>24549.88002237798</v>
      </c>
      <c r="NQ27" s="24">
        <f t="shared" si="110"/>
        <v>8756.5482322711578</v>
      </c>
      <c r="NR27" s="24">
        <f t="shared" si="111"/>
        <v>12674.091351487179</v>
      </c>
      <c r="NS27" s="5">
        <f t="shared" si="0"/>
        <v>71399.220277300497</v>
      </c>
      <c r="NT27" s="27">
        <f t="shared" si="126"/>
        <v>0</v>
      </c>
      <c r="NU27" s="5">
        <f t="shared" si="126"/>
        <v>0</v>
      </c>
      <c r="NV27" s="5">
        <f t="shared" si="126"/>
        <v>0</v>
      </c>
      <c r="NW27" s="5">
        <f t="shared" si="126"/>
        <v>0</v>
      </c>
      <c r="NX27" s="5">
        <f t="shared" si="126"/>
        <v>0</v>
      </c>
      <c r="NY27" s="5">
        <f t="shared" si="126"/>
        <v>0</v>
      </c>
      <c r="NZ27" s="27">
        <f t="shared" si="126"/>
        <v>17451.88881417883</v>
      </c>
      <c r="OA27" s="5">
        <f t="shared" si="126"/>
        <v>0</v>
      </c>
      <c r="OB27" s="27">
        <f t="shared" si="126"/>
        <v>87346.799365972605</v>
      </c>
      <c r="OC27" s="5"/>
      <c r="OD27" s="24">
        <f t="shared" si="127"/>
        <v>0</v>
      </c>
      <c r="OE27" s="5">
        <f t="shared" si="127"/>
        <v>0</v>
      </c>
      <c r="OF27" s="5">
        <f t="shared" si="1"/>
        <v>104798.68818015144</v>
      </c>
      <c r="OG27" s="5">
        <f t="shared" si="128"/>
        <v>0</v>
      </c>
      <c r="OH27" s="5">
        <f t="shared" si="128"/>
        <v>0</v>
      </c>
      <c r="OI27" s="5">
        <f t="shared" si="128"/>
        <v>0</v>
      </c>
      <c r="OJ27" s="5">
        <f t="shared" si="128"/>
        <v>0</v>
      </c>
      <c r="OK27" s="27">
        <f t="shared" si="128"/>
        <v>0</v>
      </c>
      <c r="OL27" s="5">
        <f t="shared" si="128"/>
        <v>0</v>
      </c>
      <c r="OM27" s="24">
        <f t="shared" si="128"/>
        <v>0</v>
      </c>
      <c r="ON27" s="5">
        <f t="shared" si="128"/>
        <v>0</v>
      </c>
      <c r="OO27" s="24">
        <f t="shared" si="118"/>
        <v>60496.105076326246</v>
      </c>
      <c r="OP27" s="5">
        <f t="shared" si="128"/>
        <v>0</v>
      </c>
      <c r="OQ27" s="24">
        <f t="shared" si="128"/>
        <v>26141.117258794853</v>
      </c>
      <c r="OR27" s="5">
        <f t="shared" si="128"/>
        <v>0</v>
      </c>
      <c r="OS27" s="15">
        <f t="shared" si="2"/>
        <v>86637.2223351211</v>
      </c>
      <c r="OT27" s="9"/>
      <c r="OU27" s="5"/>
      <c r="OV27" s="5"/>
      <c r="OW27" s="5"/>
      <c r="OX27" s="5"/>
      <c r="OY27" s="5"/>
      <c r="OZ27" s="15">
        <f t="shared" si="69"/>
        <v>0</v>
      </c>
      <c r="PA27" s="9">
        <f t="shared" si="70"/>
        <v>0</v>
      </c>
      <c r="PB27" s="5">
        <f t="shared" si="71"/>
        <v>0</v>
      </c>
      <c r="PC27" s="5">
        <f t="shared" si="72"/>
        <v>0</v>
      </c>
      <c r="PD27" s="5">
        <f t="shared" si="73"/>
        <v>0</v>
      </c>
      <c r="PE27" s="24"/>
      <c r="PF27" s="5">
        <f t="shared" si="74"/>
        <v>0</v>
      </c>
      <c r="PG27" s="12">
        <f t="shared" si="3"/>
        <v>0</v>
      </c>
      <c r="PH27" s="2621"/>
      <c r="PJ27" s="1907">
        <v>689.52</v>
      </c>
      <c r="PK27" s="3">
        <v>728</v>
      </c>
      <c r="PL27" s="3">
        <v>208</v>
      </c>
      <c r="PM27" s="3">
        <v>330.1</v>
      </c>
      <c r="PN27" s="3">
        <f t="shared" si="75"/>
        <v>34002.643504658707</v>
      </c>
      <c r="PO27" s="11">
        <f t="shared" si="76"/>
        <v>20321.525210117314</v>
      </c>
      <c r="PP27" s="15"/>
      <c r="PQ27" s="2615"/>
      <c r="PS27" s="4"/>
      <c r="PT27" s="9"/>
      <c r="PU27" s="9"/>
      <c r="PV27" s="9"/>
      <c r="PW27" s="8">
        <v>0</v>
      </c>
      <c r="PX27" s="9"/>
      <c r="PY27" s="8">
        <f t="shared" si="77"/>
        <v>0</v>
      </c>
      <c r="PZ27" s="5">
        <f t="shared" si="78"/>
        <v>689.52</v>
      </c>
      <c r="QA27" s="5"/>
      <c r="QB27" s="5"/>
      <c r="QC27" s="5"/>
      <c r="QD27" s="5"/>
      <c r="QE27" s="5"/>
      <c r="QF27" s="12"/>
      <c r="QG27" s="12">
        <f t="shared" si="79"/>
        <v>29562.488999999998</v>
      </c>
      <c r="QH27" s="420">
        <f t="shared" si="80"/>
        <v>286350.73180818988</v>
      </c>
      <c r="QI27" s="1106">
        <f t="shared" si="113"/>
        <v>2219.9567940000002</v>
      </c>
      <c r="QJ27" s="484">
        <f t="shared" si="81"/>
        <v>5505.3678056099998</v>
      </c>
      <c r="QK27" s="12"/>
      <c r="QL27" s="2615"/>
      <c r="QN27" s="139">
        <f t="shared" si="82"/>
        <v>0</v>
      </c>
      <c r="QO27" s="139" t="str">
        <f t="shared" si="83"/>
        <v/>
      </c>
      <c r="QQ27" s="139">
        <f t="shared" si="84"/>
        <v>0</v>
      </c>
      <c r="QR27" s="139">
        <f t="shared" si="85"/>
        <v>0</v>
      </c>
      <c r="QT27" s="1">
        <f t="shared" si="86"/>
        <v>0</v>
      </c>
      <c r="QU27" s="1">
        <f t="shared" si="87"/>
        <v>0</v>
      </c>
      <c r="QV27" s="1">
        <f t="shared" si="88"/>
        <v>0</v>
      </c>
      <c r="QW27" s="1">
        <f t="shared" si="89"/>
        <v>0</v>
      </c>
      <c r="QX27" s="1">
        <f t="shared" si="90"/>
        <v>0</v>
      </c>
      <c r="QY27" s="1">
        <f t="shared" si="91"/>
        <v>0</v>
      </c>
      <c r="RA27" s="1">
        <f t="shared" si="92"/>
        <v>0</v>
      </c>
      <c r="RB27" s="1">
        <f t="shared" si="93"/>
        <v>0</v>
      </c>
      <c r="RC27" s="1">
        <f t="shared" si="94"/>
        <v>0</v>
      </c>
      <c r="RD27" s="1">
        <f t="shared" si="95"/>
        <v>0</v>
      </c>
      <c r="RE27" s="1">
        <f t="shared" si="96"/>
        <v>0</v>
      </c>
      <c r="RF27" s="1">
        <f t="shared" si="97"/>
        <v>0</v>
      </c>
      <c r="RI27" s="1">
        <v>18</v>
      </c>
      <c r="RJ27" s="1">
        <f t="shared" si="123"/>
        <v>-27833.130290282905</v>
      </c>
      <c r="RK27" s="1">
        <f t="shared" si="123"/>
        <v>24675.187280483715</v>
      </c>
      <c r="RL27" s="1">
        <f t="shared" si="123"/>
        <v>13404.263703387322</v>
      </c>
      <c r="RM27" s="89">
        <f t="shared" si="5"/>
        <v>10246.320693588132</v>
      </c>
      <c r="RN27" s="1033">
        <v>18</v>
      </c>
      <c r="RO27" s="1098">
        <v>0</v>
      </c>
      <c r="RP27" s="1098">
        <f t="shared" si="99"/>
        <v>0</v>
      </c>
      <c r="RQ27" s="1097">
        <f t="shared" si="99"/>
        <v>0</v>
      </c>
      <c r="RR27" s="1097">
        <f t="shared" si="114"/>
        <v>8686.6500000000015</v>
      </c>
      <c r="RS27" s="1050"/>
      <c r="RT27" s="1109">
        <v>2607183274</v>
      </c>
      <c r="RU27" s="1048"/>
      <c r="RW27" s="421">
        <v>18</v>
      </c>
      <c r="RX27" s="1095">
        <f t="shared" si="100"/>
        <v>13222.14</v>
      </c>
      <c r="RY27" s="1928">
        <v>2607188744</v>
      </c>
      <c r="RZ27" s="1048"/>
      <c r="SA27" s="1090"/>
      <c r="SB27" s="1090">
        <f t="shared" si="101"/>
        <v>0</v>
      </c>
      <c r="SC27" s="1090"/>
      <c r="SD27" s="1090">
        <f t="shared" si="124"/>
        <v>0</v>
      </c>
      <c r="SF27" s="1">
        <v>18</v>
      </c>
      <c r="SG27" s="1">
        <f t="shared" si="103"/>
        <v>330.1</v>
      </c>
      <c r="SH27" s="2420">
        <v>2607188815</v>
      </c>
    </row>
    <row r="28" spans="1:502" s="1" customFormat="1">
      <c r="B28" s="471">
        <v>19</v>
      </c>
      <c r="C28" s="4">
        <f t="shared" si="6"/>
        <v>165877</v>
      </c>
      <c r="D28" s="1590">
        <f t="shared" si="119"/>
        <v>10760.32</v>
      </c>
      <c r="E28" s="1895">
        <f t="shared" si="7"/>
        <v>15.415619609825731</v>
      </c>
      <c r="F28" s="870"/>
      <c r="G28" s="870"/>
      <c r="H28" s="52"/>
      <c r="I28" s="61"/>
      <c r="J28" s="52"/>
      <c r="K28" s="54"/>
      <c r="L28" s="52"/>
      <c r="M28" s="61"/>
      <c r="N28" s="2629"/>
      <c r="O28" s="4">
        <f t="shared" si="117"/>
        <v>101640</v>
      </c>
      <c r="P28" s="1225">
        <f t="shared" si="8"/>
        <v>7223.7000000000007</v>
      </c>
      <c r="Q28" s="1913">
        <f t="shared" si="9"/>
        <v>14.070351758793969</v>
      </c>
      <c r="R28" s="33"/>
      <c r="S28" s="26">
        <f t="shared" si="10"/>
        <v>35088</v>
      </c>
      <c r="T28" s="27">
        <f t="shared" si="105"/>
        <v>1896.6199999999997</v>
      </c>
      <c r="U28" s="1909">
        <f t="shared" si="11"/>
        <v>18.500279444485457</v>
      </c>
      <c r="V28" s="28"/>
      <c r="W28" s="26">
        <f t="shared" si="12"/>
        <v>24355</v>
      </c>
      <c r="X28" s="5">
        <f t="shared" si="12"/>
        <v>1640</v>
      </c>
      <c r="Y28" s="1909">
        <f t="shared" si="13"/>
        <v>14.850609756097562</v>
      </c>
      <c r="Z28" s="33"/>
      <c r="AA28" s="26">
        <f t="shared" si="14"/>
        <v>4794</v>
      </c>
      <c r="AB28" s="27">
        <f t="shared" si="15"/>
        <v>0</v>
      </c>
      <c r="AC28" s="1909">
        <f t="shared" si="16"/>
        <v>0</v>
      </c>
      <c r="AD28" s="28"/>
      <c r="AE28" s="36"/>
      <c r="AF28" s="36"/>
      <c r="AG28" s="53">
        <f t="shared" si="17"/>
        <v>0</v>
      </c>
      <c r="AH28" s="28"/>
      <c r="AI28" s="23"/>
      <c r="AJ28" s="27"/>
      <c r="AK28" s="53">
        <f t="shared" si="18"/>
        <v>0</v>
      </c>
      <c r="AL28" s="28"/>
      <c r="AM28" s="2629"/>
      <c r="AN28" s="9"/>
      <c r="AO28" s="5"/>
      <c r="AP28" s="61">
        <f t="shared" si="19"/>
        <v>0</v>
      </c>
      <c r="AQ28" s="36"/>
      <c r="AR28" s="53"/>
      <c r="AS28" s="61">
        <f t="shared" si="20"/>
        <v>0</v>
      </c>
      <c r="AT28" s="36">
        <v>0</v>
      </c>
      <c r="AU28" s="27"/>
      <c r="AV28" s="54">
        <f t="shared" si="21"/>
        <v>0</v>
      </c>
      <c r="AW28" s="26">
        <v>53970</v>
      </c>
      <c r="AX28" s="24">
        <v>4292.9400000000005</v>
      </c>
      <c r="AY28" s="1895">
        <f t="shared" si="115"/>
        <v>12.571803938559587</v>
      </c>
      <c r="AZ28" s="1908"/>
      <c r="BA28" s="1909"/>
      <c r="BB28" s="1895">
        <f t="shared" si="22"/>
        <v>0</v>
      </c>
      <c r="BC28" s="1740">
        <v>47670</v>
      </c>
      <c r="BD28" s="1926">
        <v>2930.76</v>
      </c>
      <c r="BE28" s="1895">
        <f t="shared" si="23"/>
        <v>16.265405560332471</v>
      </c>
      <c r="BF28" s="1908"/>
      <c r="BG28" s="1909"/>
      <c r="BH28" s="1895">
        <f t="shared" si="24"/>
        <v>0</v>
      </c>
      <c r="BI28" s="1908">
        <v>0</v>
      </c>
      <c r="BJ28" s="1909">
        <v>0</v>
      </c>
      <c r="BK28" s="1895">
        <f t="shared" si="25"/>
        <v>0</v>
      </c>
      <c r="BL28" s="1742">
        <v>35088</v>
      </c>
      <c r="BM28" s="1736">
        <v>1896.6199999999997</v>
      </c>
      <c r="BN28" s="2170"/>
      <c r="BO28" s="1911">
        <f t="shared" si="26"/>
        <v>18.500279444485457</v>
      </c>
      <c r="BP28" s="9">
        <v>4794</v>
      </c>
      <c r="BQ28" s="63">
        <v>0</v>
      </c>
      <c r="BR28" s="1920">
        <f t="shared" si="27"/>
        <v>0</v>
      </c>
      <c r="BS28" s="9"/>
      <c r="BT28" s="64"/>
      <c r="BU28" s="482">
        <f t="shared" si="28"/>
        <v>0</v>
      </c>
      <c r="BV28" s="9">
        <v>24355</v>
      </c>
      <c r="BW28" s="5">
        <f t="shared" si="106"/>
        <v>1640</v>
      </c>
      <c r="BX28" s="1051">
        <f t="shared" si="29"/>
        <v>14.850609756097562</v>
      </c>
      <c r="BY28" s="26"/>
      <c r="BZ28" s="5"/>
      <c r="CA28" s="482">
        <f t="shared" si="30"/>
        <v>0</v>
      </c>
      <c r="CB28" s="9"/>
      <c r="CC28" s="5"/>
      <c r="CD28" s="482">
        <f t="shared" si="31"/>
        <v>0</v>
      </c>
      <c r="CE28" s="4"/>
      <c r="CF28" s="5"/>
      <c r="CG28" s="28">
        <f t="shared" si="32"/>
        <v>0</v>
      </c>
      <c r="CH28" s="150"/>
      <c r="CI28" s="1108"/>
      <c r="CJ28" s="5"/>
      <c r="CK28" s="5">
        <v>2430</v>
      </c>
      <c r="CL28" s="5"/>
      <c r="CM28" s="5"/>
      <c r="CN28" s="5">
        <f t="shared" si="33"/>
        <v>2430</v>
      </c>
      <c r="CO28" s="33"/>
      <c r="CP28" s="366"/>
      <c r="CR28" s="4">
        <f t="shared" si="34"/>
        <v>0</v>
      </c>
      <c r="CS28" s="9">
        <f t="shared" si="34"/>
        <v>0</v>
      </c>
      <c r="CT28" s="5">
        <f t="shared" si="34"/>
        <v>0</v>
      </c>
      <c r="CU28" s="5">
        <f t="shared" si="34"/>
        <v>0</v>
      </c>
      <c r="CV28" s="5">
        <f t="shared" si="34"/>
        <v>0</v>
      </c>
      <c r="CW28" s="5">
        <f t="shared" si="34"/>
        <v>0</v>
      </c>
      <c r="CX28" s="5">
        <f t="shared" si="34"/>
        <v>0</v>
      </c>
      <c r="CY28" s="5">
        <f t="shared" si="34"/>
        <v>0</v>
      </c>
      <c r="CZ28" s="5">
        <f>SUM(DN28,EA28,EN28)</f>
        <v>8086.38</v>
      </c>
      <c r="DA28" s="5">
        <f t="shared" si="34"/>
        <v>0</v>
      </c>
      <c r="DB28" s="5">
        <f t="shared" si="34"/>
        <v>2673.94</v>
      </c>
      <c r="DC28" s="12">
        <f t="shared" si="34"/>
        <v>0</v>
      </c>
      <c r="DD28" s="310">
        <f t="shared" si="35"/>
        <v>10760.32</v>
      </c>
      <c r="DE28" s="2695"/>
      <c r="DF28" s="8"/>
      <c r="DG28" s="9"/>
      <c r="DH28" s="5"/>
      <c r="DI28" s="5"/>
      <c r="DJ28" s="5"/>
      <c r="DK28" s="5"/>
      <c r="DL28" s="3">
        <v>0</v>
      </c>
      <c r="DM28" s="5"/>
      <c r="DN28" s="3">
        <v>4292.9400000000005</v>
      </c>
      <c r="DO28" s="5"/>
      <c r="DP28" s="3">
        <v>0</v>
      </c>
      <c r="DQ28" s="324"/>
      <c r="DR28" s="28">
        <f t="shared" si="36"/>
        <v>4292.9400000000005</v>
      </c>
      <c r="DS28" s="36"/>
      <c r="DT28" s="9"/>
      <c r="DU28" s="5"/>
      <c r="DV28" s="5"/>
      <c r="DW28" s="5"/>
      <c r="DX28" s="5"/>
      <c r="DY28" s="27"/>
      <c r="DZ28" s="27"/>
      <c r="EA28" s="3">
        <v>2153.4399999999996</v>
      </c>
      <c r="EB28" s="27"/>
      <c r="EC28" s="24">
        <v>2673.94</v>
      </c>
      <c r="ED28" s="33"/>
      <c r="EE28" s="28">
        <f t="shared" si="37"/>
        <v>4827.3799999999992</v>
      </c>
      <c r="EF28" s="856"/>
      <c r="EG28" s="36"/>
      <c r="EH28" s="27"/>
      <c r="EI28" s="27"/>
      <c r="EJ28" s="27"/>
      <c r="EK28" s="27"/>
      <c r="EL28" s="27"/>
      <c r="EM28" s="27"/>
      <c r="EN28" s="5">
        <v>1640</v>
      </c>
      <c r="EO28" s="5"/>
      <c r="EP28" s="5"/>
      <c r="EQ28" s="33"/>
      <c r="ER28" s="28">
        <f t="shared" si="38"/>
        <v>1640</v>
      </c>
      <c r="ES28" s="36"/>
      <c r="ET28" s="27"/>
      <c r="EU28" s="27"/>
      <c r="EV28" s="27"/>
      <c r="EW28" s="27"/>
      <c r="EX28" s="27"/>
      <c r="EY28" s="33">
        <f t="shared" si="39"/>
        <v>0</v>
      </c>
      <c r="EZ28" s="2685"/>
      <c r="FB28" s="4">
        <f t="shared" si="40"/>
        <v>0</v>
      </c>
      <c r="FC28" s="5">
        <f t="shared" si="41"/>
        <v>0</v>
      </c>
      <c r="FD28" s="5">
        <f t="shared" si="42"/>
        <v>129.13999999999999</v>
      </c>
      <c r="FE28" s="12">
        <f t="shared" si="43"/>
        <v>129.13999999999999</v>
      </c>
      <c r="FF28" s="33"/>
      <c r="FG28" s="2674"/>
      <c r="FH28" s="9"/>
      <c r="FI28" s="5"/>
      <c r="FJ28" s="5"/>
      <c r="FK28" s="5"/>
      <c r="FL28" s="5"/>
      <c r="FM28" s="27"/>
      <c r="FN28" s="28">
        <f t="shared" si="44"/>
        <v>0</v>
      </c>
      <c r="FO28" s="36"/>
      <c r="FP28" s="27"/>
      <c r="FQ28" s="27"/>
      <c r="FR28" s="27"/>
      <c r="FS28" s="27"/>
      <c r="FT28" s="27"/>
      <c r="FU28" s="28">
        <f t="shared" si="45"/>
        <v>0</v>
      </c>
      <c r="FV28" s="36"/>
      <c r="FW28" s="36"/>
      <c r="FX28" s="27"/>
      <c r="FY28" s="27"/>
      <c r="FZ28" s="27"/>
      <c r="GA28" s="27"/>
      <c r="GB28" s="27"/>
      <c r="GC28" s="27"/>
      <c r="GD28" s="24">
        <v>129.13999999999999</v>
      </c>
      <c r="GE28" s="27"/>
      <c r="GF28" s="27"/>
      <c r="GG28" s="33"/>
      <c r="GH28" s="33">
        <f t="shared" si="46"/>
        <v>129.13999999999999</v>
      </c>
      <c r="GI28" s="2674"/>
      <c r="GK28" s="2">
        <f t="shared" si="107"/>
        <v>1749.8000000000002</v>
      </c>
      <c r="GL28" s="63">
        <f t="shared" si="108"/>
        <v>2273.48</v>
      </c>
      <c r="GM28" s="24">
        <f t="shared" si="109"/>
        <v>1926.4699999999998</v>
      </c>
      <c r="GN28" s="1736">
        <f t="shared" si="47"/>
        <v>5949.75</v>
      </c>
      <c r="GO28" s="141"/>
      <c r="GP28" s="141"/>
      <c r="GQ28" s="33"/>
      <c r="GR28" s="2667"/>
      <c r="GS28" s="1739">
        <v>0</v>
      </c>
      <c r="GT28" s="1721">
        <v>439.80000000000007</v>
      </c>
      <c r="GU28" s="1721">
        <v>5509.9500000000007</v>
      </c>
      <c r="GV28" s="1721">
        <v>0</v>
      </c>
      <c r="GW28" s="33">
        <v>5949.7500000000009</v>
      </c>
      <c r="GX28" s="2667"/>
      <c r="GY28" s="36"/>
      <c r="GZ28" s="36"/>
      <c r="HA28" s="27"/>
      <c r="HB28" s="27"/>
      <c r="HC28" s="27"/>
      <c r="HD28" s="27"/>
      <c r="HE28" s="27"/>
      <c r="HF28" s="27"/>
      <c r="HG28" s="24">
        <v>898.35000000000014</v>
      </c>
      <c r="HH28" s="27"/>
      <c r="HI28" s="24">
        <v>411.65</v>
      </c>
      <c r="HJ28" s="27"/>
      <c r="HK28" s="24">
        <v>439.80000000000007</v>
      </c>
      <c r="HL28" s="27"/>
      <c r="HM28" s="28">
        <f t="shared" si="120"/>
        <v>1749.8000000000002</v>
      </c>
      <c r="HN28" s="36"/>
      <c r="HO28" s="27"/>
      <c r="HP28" s="27"/>
      <c r="HQ28" s="27"/>
      <c r="HR28" s="27"/>
      <c r="HS28" s="27"/>
      <c r="HT28" s="27">
        <f t="array" ref="HT28">SUMPRODUCT(('Data Base hauling'!$C$2:$C$2000="TCM-ROM SB1 BK05-ROM 4")*(ISNUMBER(SEARCH(TEXT('July TCM'!$B28,"00")&amp;"/03/2026",'Data Base hauling'!$E$2:$E$2000)))*'Data Base hauling'!$N$2:$N$2000)</f>
        <v>0</v>
      </c>
      <c r="HU28" s="27"/>
      <c r="HV28" s="27">
        <f t="array" ref="HV28">SUMPRODUCT(('Data Base hauling'!$C$2:$C$2000="TCM-ROM SB1 BK05-ROM 5")*(ISNUMBER(SEARCH(TEXT('July TCM'!$B28,"00")&amp;"/03/2026",'Data Base hauling'!$E$2:$E$2000)))*'Data Base hauling'!$N$2:$N$2000)</f>
        <v>0</v>
      </c>
      <c r="HW28" s="27"/>
      <c r="HX28" s="27"/>
      <c r="HY28" s="27"/>
      <c r="HZ28" s="27"/>
      <c r="IA28" s="27"/>
      <c r="IB28" s="33">
        <f t="shared" si="49"/>
        <v>0</v>
      </c>
      <c r="IC28" s="52"/>
      <c r="ID28" s="152"/>
      <c r="IE28" s="53"/>
      <c r="IF28" s="53"/>
      <c r="IG28" s="53"/>
      <c r="IH28" s="53"/>
      <c r="II28" s="1926">
        <v>956.3</v>
      </c>
      <c r="IJ28" s="1736"/>
      <c r="IK28" s="1926">
        <v>1317.18</v>
      </c>
      <c r="IL28" s="53"/>
      <c r="IM28" s="49">
        <v>0</v>
      </c>
      <c r="IN28" s="53"/>
      <c r="IO28" s="53"/>
      <c r="IP28" s="49">
        <v>0</v>
      </c>
      <c r="IQ28" s="2195">
        <f t="shared" si="121"/>
        <v>2273.48</v>
      </c>
      <c r="IR28" s="36"/>
      <c r="IS28" s="36"/>
      <c r="IT28" s="27"/>
      <c r="IU28" s="27"/>
      <c r="IV28" s="53"/>
      <c r="IW28" s="27"/>
      <c r="IX28" s="24">
        <v>0</v>
      </c>
      <c r="IY28" s="27"/>
      <c r="IZ28" s="24">
        <v>1219.3499999999999</v>
      </c>
      <c r="JA28" s="27"/>
      <c r="JB28" s="24">
        <v>707.11999999999989</v>
      </c>
      <c r="JC28" s="27"/>
      <c r="JD28" s="27"/>
      <c r="JE28" s="27"/>
      <c r="JF28" s="33">
        <f t="shared" si="122"/>
        <v>1926.4699999999998</v>
      </c>
      <c r="JG28" s="2667"/>
      <c r="JI28" s="2014">
        <v>2974.83</v>
      </c>
      <c r="JJ28" s="2015">
        <v>2974.9199999999996</v>
      </c>
      <c r="JK28" s="53"/>
      <c r="JL28" s="1736">
        <f t="shared" si="52"/>
        <v>5949.75</v>
      </c>
      <c r="JM28" s="33"/>
      <c r="JN28" s="2669"/>
      <c r="JO28" s="66">
        <v>0</v>
      </c>
      <c r="JP28" s="67">
        <v>0</v>
      </c>
      <c r="JQ28" s="67">
        <v>0</v>
      </c>
      <c r="JR28" s="67">
        <v>0</v>
      </c>
      <c r="JS28" s="67">
        <v>0.9689225938961219</v>
      </c>
      <c r="JT28" s="67">
        <v>0</v>
      </c>
      <c r="JU28" s="67">
        <v>3.1077406103878207E-2</v>
      </c>
      <c r="JV28" s="1921">
        <v>0</v>
      </c>
      <c r="JW28" s="66">
        <v>0</v>
      </c>
      <c r="JX28" s="67">
        <v>0</v>
      </c>
      <c r="JY28" s="67">
        <v>0</v>
      </c>
      <c r="JZ28" s="67">
        <v>0.32145402229303649</v>
      </c>
      <c r="KA28" s="67">
        <v>0.18571927984618075</v>
      </c>
      <c r="KB28" s="67">
        <v>0.37606725559006632</v>
      </c>
      <c r="KC28" s="67">
        <v>0.11675944227071655</v>
      </c>
      <c r="KD28" s="68">
        <v>0</v>
      </c>
      <c r="KE28" s="69"/>
      <c r="KF28" s="70"/>
      <c r="KG28" s="70"/>
      <c r="KH28" s="70"/>
      <c r="KI28" s="70"/>
      <c r="KJ28" s="70"/>
      <c r="KK28" s="70"/>
      <c r="KL28" s="70"/>
      <c r="KM28" s="33"/>
      <c r="KN28" s="2669"/>
      <c r="KO28" s="2203">
        <v>7324</v>
      </c>
      <c r="KP28" s="1721">
        <v>0.6</v>
      </c>
      <c r="KQ28" s="1721">
        <v>3.26</v>
      </c>
      <c r="KR28" s="1721">
        <v>6.45</v>
      </c>
      <c r="KS28" s="1722">
        <v>9.8178000000000001</v>
      </c>
      <c r="KT28" s="1958">
        <v>6673</v>
      </c>
      <c r="KU28" s="1961">
        <v>1.99</v>
      </c>
      <c r="KV28" s="1961">
        <v>8.07</v>
      </c>
      <c r="KW28" s="1961">
        <v>5.57</v>
      </c>
      <c r="KX28" s="1962">
        <v>9.8854509999999998</v>
      </c>
      <c r="KY28" s="36"/>
      <c r="KZ28" s="53"/>
      <c r="LA28" s="53"/>
      <c r="LB28" s="53"/>
      <c r="LC28" s="53"/>
      <c r="LD28" s="33"/>
      <c r="LE28" s="2669"/>
      <c r="LG28" s="4">
        <f t="shared" si="53"/>
        <v>3787.72</v>
      </c>
      <c r="LH28" s="27">
        <f t="shared" si="53"/>
        <v>3787.72</v>
      </c>
      <c r="LI28" s="27">
        <f t="shared" si="53"/>
        <v>0</v>
      </c>
      <c r="LJ28" s="28">
        <f t="shared" si="54"/>
        <v>7575.44</v>
      </c>
      <c r="LK28" s="36">
        <v>1</v>
      </c>
      <c r="LL28" s="27"/>
      <c r="LM28" s="27">
        <v>3</v>
      </c>
      <c r="LN28" s="33"/>
      <c r="LO28" s="1041">
        <v>2.27</v>
      </c>
      <c r="LP28" s="486"/>
      <c r="LQ28" s="2688"/>
      <c r="LR28" s="1036"/>
      <c r="LS28" s="36"/>
      <c r="LT28" s="27"/>
      <c r="LU28" s="27"/>
      <c r="LV28" s="27"/>
      <c r="LW28" s="1107">
        <f t="shared" si="55"/>
        <v>0</v>
      </c>
      <c r="LX28" s="36">
        <v>3787.72</v>
      </c>
      <c r="LY28" s="36">
        <v>3787.72</v>
      </c>
      <c r="LZ28" s="27"/>
      <c r="MA28" s="27"/>
      <c r="MB28" s="33"/>
      <c r="MC28" s="28">
        <f t="shared" si="56"/>
        <v>7575.44</v>
      </c>
      <c r="MD28" s="26"/>
      <c r="ME28" s="36"/>
      <c r="MF28" s="27"/>
      <c r="MG28" s="27"/>
      <c r="MH28" s="27"/>
      <c r="MI28" s="28"/>
      <c r="MJ28" s="36"/>
      <c r="MK28" s="36"/>
      <c r="ML28" s="27"/>
      <c r="MM28" s="27"/>
      <c r="MN28" s="27"/>
      <c r="MO28" s="28"/>
      <c r="MP28" s="36"/>
      <c r="MQ28" s="36"/>
      <c r="MR28" s="27"/>
      <c r="MS28" s="27"/>
      <c r="MT28" s="27"/>
      <c r="MU28" s="33">
        <f t="shared" si="57"/>
        <v>0</v>
      </c>
      <c r="MV28" s="2688"/>
      <c r="MX28" s="26">
        <f t="shared" si="58"/>
        <v>171563.58197880999</v>
      </c>
      <c r="MY28" s="27">
        <f t="shared" si="59"/>
        <v>268214.64079257305</v>
      </c>
      <c r="MZ28" s="27">
        <f t="shared" si="60"/>
        <v>20159.725210117314</v>
      </c>
      <c r="NA28" s="28">
        <f t="shared" si="61"/>
        <v>316848.74760218989</v>
      </c>
      <c r="NB28" s="2621"/>
      <c r="NC28" s="23">
        <f t="shared" si="62"/>
        <v>78402.351026069999</v>
      </c>
      <c r="ND28" s="1655">
        <f t="shared" si="63"/>
        <v>93161.230952739992</v>
      </c>
      <c r="NE28" s="60">
        <f t="shared" si="64"/>
        <v>0</v>
      </c>
      <c r="NF28" s="1110">
        <f t="shared" si="4"/>
        <v>171563.58197880999</v>
      </c>
      <c r="NG28" s="26">
        <f t="shared" si="125"/>
        <v>0</v>
      </c>
      <c r="NH28" s="27">
        <f t="shared" si="125"/>
        <v>0</v>
      </c>
      <c r="NI28" s="27">
        <f t="shared" si="125"/>
        <v>0</v>
      </c>
      <c r="NJ28" s="27">
        <f t="shared" si="125"/>
        <v>0</v>
      </c>
      <c r="NK28" s="27">
        <f t="shared" si="125"/>
        <v>0</v>
      </c>
      <c r="NL28" s="33">
        <f t="shared" si="125"/>
        <v>0</v>
      </c>
      <c r="NM28" s="27">
        <f t="shared" si="125"/>
        <v>0</v>
      </c>
      <c r="NN28" s="36">
        <f t="shared" si="125"/>
        <v>0</v>
      </c>
      <c r="NO28" s="24">
        <f t="shared" si="125"/>
        <v>26160.350671164178</v>
      </c>
      <c r="NP28" s="27">
        <f t="shared" si="125"/>
        <v>24549.88002237798</v>
      </c>
      <c r="NQ28" s="24">
        <f t="shared" si="110"/>
        <v>8756.5482322711578</v>
      </c>
      <c r="NR28" s="24">
        <f t="shared" si="111"/>
        <v>12262.441351487179</v>
      </c>
      <c r="NS28" s="27">
        <f t="shared" si="0"/>
        <v>71729.220277300497</v>
      </c>
      <c r="NT28" s="27">
        <f t="shared" si="126"/>
        <v>0</v>
      </c>
      <c r="NU28" s="27">
        <f t="shared" si="126"/>
        <v>0</v>
      </c>
      <c r="NV28" s="27">
        <f t="shared" si="126"/>
        <v>0</v>
      </c>
      <c r="NW28" s="27">
        <f t="shared" si="126"/>
        <v>0</v>
      </c>
      <c r="NX28" s="27">
        <f t="shared" si="126"/>
        <v>0</v>
      </c>
      <c r="NY28" s="5">
        <f t="shared" si="126"/>
        <v>0</v>
      </c>
      <c r="NZ28" s="27">
        <f t="shared" si="126"/>
        <v>16495.588814178831</v>
      </c>
      <c r="OA28" s="27">
        <f t="shared" si="126"/>
        <v>0</v>
      </c>
      <c r="OB28" s="27">
        <f t="shared" si="126"/>
        <v>90322.559365972615</v>
      </c>
      <c r="OC28" s="27"/>
      <c r="OD28" s="24">
        <f t="shared" si="127"/>
        <v>0</v>
      </c>
      <c r="OE28" s="27">
        <f t="shared" si="127"/>
        <v>0</v>
      </c>
      <c r="OF28" s="28">
        <f t="shared" si="1"/>
        <v>106818.14818015145</v>
      </c>
      <c r="OG28" s="27">
        <f t="shared" si="128"/>
        <v>0</v>
      </c>
      <c r="OH28" s="27">
        <f t="shared" si="128"/>
        <v>0</v>
      </c>
      <c r="OI28" s="27">
        <f t="shared" si="128"/>
        <v>0</v>
      </c>
      <c r="OJ28" s="27">
        <f t="shared" si="128"/>
        <v>0</v>
      </c>
      <c r="OK28" s="27">
        <f t="shared" si="128"/>
        <v>0</v>
      </c>
      <c r="OL28" s="27">
        <f t="shared" si="128"/>
        <v>0</v>
      </c>
      <c r="OM28" s="24">
        <f t="shared" si="128"/>
        <v>0</v>
      </c>
      <c r="ON28" s="27">
        <f t="shared" si="128"/>
        <v>0</v>
      </c>
      <c r="OO28" s="24">
        <f t="shared" si="118"/>
        <v>61559.33507632625</v>
      </c>
      <c r="OP28" s="27">
        <f t="shared" si="128"/>
        <v>0</v>
      </c>
      <c r="OQ28" s="24">
        <f t="shared" si="128"/>
        <v>28107.937258794853</v>
      </c>
      <c r="OR28" s="27">
        <f t="shared" si="128"/>
        <v>0</v>
      </c>
      <c r="OS28" s="28">
        <f t="shared" si="2"/>
        <v>89667.272335121103</v>
      </c>
      <c r="OT28" s="36"/>
      <c r="OU28" s="27"/>
      <c r="OV28" s="27"/>
      <c r="OW28" s="27"/>
      <c r="OX28" s="27"/>
      <c r="OY28" s="27"/>
      <c r="OZ28" s="28">
        <f t="shared" si="69"/>
        <v>0</v>
      </c>
      <c r="PA28" s="36">
        <f t="shared" si="70"/>
        <v>0</v>
      </c>
      <c r="PB28" s="27">
        <f t="shared" si="71"/>
        <v>0</v>
      </c>
      <c r="PC28" s="27">
        <f t="shared" si="72"/>
        <v>0</v>
      </c>
      <c r="PD28" s="27">
        <f t="shared" si="73"/>
        <v>0</v>
      </c>
      <c r="PE28" s="24"/>
      <c r="PF28" s="27">
        <f t="shared" si="74"/>
        <v>0</v>
      </c>
      <c r="PG28" s="33">
        <f t="shared" si="3"/>
        <v>0</v>
      </c>
      <c r="PH28" s="2621"/>
      <c r="PJ28" s="1907">
        <v>1284.4299999999998</v>
      </c>
      <c r="PK28" s="3">
        <v>973</v>
      </c>
      <c r="PL28" s="3">
        <v>278</v>
      </c>
      <c r="PM28" s="3">
        <v>439.80000000000007</v>
      </c>
      <c r="PN28" s="3">
        <f t="shared" si="75"/>
        <v>34314.073504658707</v>
      </c>
      <c r="PO28" s="11">
        <f t="shared" si="76"/>
        <v>20159.725210117314</v>
      </c>
      <c r="PP28" s="15"/>
      <c r="PQ28" s="2615"/>
      <c r="PS28" s="4"/>
      <c r="PT28" s="9"/>
      <c r="PU28" s="9"/>
      <c r="PV28" s="9"/>
      <c r="PW28" s="8">
        <v>0</v>
      </c>
      <c r="PX28" s="9"/>
      <c r="PY28" s="8">
        <f t="shared" si="77"/>
        <v>0</v>
      </c>
      <c r="PZ28" s="5">
        <f t="shared" si="78"/>
        <v>1284.4299999999998</v>
      </c>
      <c r="QA28" s="5"/>
      <c r="QB28" s="5"/>
      <c r="QC28" s="5"/>
      <c r="QD28" s="5"/>
      <c r="QE28" s="5"/>
      <c r="QF28" s="12"/>
      <c r="QG28" s="12">
        <f t="shared" si="79"/>
        <v>29562.488999999998</v>
      </c>
      <c r="QH28" s="420">
        <f t="shared" si="80"/>
        <v>285066.30180818989</v>
      </c>
      <c r="QI28" s="1106">
        <f t="shared" si="113"/>
        <v>2219.9567940000002</v>
      </c>
      <c r="QJ28" s="484">
        <f t="shared" si="81"/>
        <v>5505.3678056099998</v>
      </c>
      <c r="QK28" s="12"/>
      <c r="QL28" s="2615"/>
      <c r="QN28" s="139">
        <f t="shared" si="82"/>
        <v>0</v>
      </c>
      <c r="QO28" s="139" t="str">
        <f t="shared" si="83"/>
        <v/>
      </c>
      <c r="QQ28" s="139">
        <f t="shared" si="84"/>
        <v>0</v>
      </c>
      <c r="QR28" s="139">
        <f t="shared" si="85"/>
        <v>0</v>
      </c>
      <c r="QT28" s="1">
        <f t="shared" si="86"/>
        <v>0</v>
      </c>
      <c r="QU28" s="1">
        <f t="shared" si="87"/>
        <v>0</v>
      </c>
      <c r="QV28" s="1">
        <f t="shared" si="88"/>
        <v>0</v>
      </c>
      <c r="QW28" s="1">
        <f t="shared" si="89"/>
        <v>0</v>
      </c>
      <c r="QX28" s="1">
        <f t="shared" si="90"/>
        <v>0</v>
      </c>
      <c r="QY28" s="1">
        <f t="shared" si="91"/>
        <v>0</v>
      </c>
      <c r="RA28" s="1">
        <f t="shared" si="92"/>
        <v>0</v>
      </c>
      <c r="RB28" s="1">
        <f t="shared" si="93"/>
        <v>0</v>
      </c>
      <c r="RC28" s="1">
        <f t="shared" si="94"/>
        <v>0</v>
      </c>
      <c r="RD28" s="1">
        <f t="shared" si="95"/>
        <v>0</v>
      </c>
      <c r="RE28" s="1">
        <f t="shared" si="96"/>
        <v>0</v>
      </c>
      <c r="RF28" s="1">
        <f t="shared" si="97"/>
        <v>0</v>
      </c>
      <c r="RI28" s="1">
        <v>19</v>
      </c>
      <c r="RJ28" s="1">
        <f t="shared" si="123"/>
        <v>-28646.020290282904</v>
      </c>
      <c r="RK28" s="1">
        <f t="shared" si="123"/>
        <v>23862.387280483712</v>
      </c>
      <c r="RL28" s="1">
        <f t="shared" si="123"/>
        <v>13404.263703387322</v>
      </c>
      <c r="RM28" s="89">
        <f t="shared" si="5"/>
        <v>8620.6306935881294</v>
      </c>
      <c r="RN28" s="1033">
        <v>19</v>
      </c>
      <c r="RO28" s="1098">
        <v>0</v>
      </c>
      <c r="RP28" s="1098">
        <f t="shared" si="99"/>
        <v>0</v>
      </c>
      <c r="RQ28" s="1097">
        <f t="shared" si="99"/>
        <v>0</v>
      </c>
      <c r="RR28" s="1097">
        <f t="shared" si="114"/>
        <v>9120.32</v>
      </c>
      <c r="RS28" s="1050"/>
      <c r="RT28" s="1928">
        <v>2607193446</v>
      </c>
      <c r="RU28" s="1048"/>
      <c r="RW28" s="421">
        <v>19</v>
      </c>
      <c r="RX28" s="1095">
        <f t="shared" si="100"/>
        <v>5949.7500000000009</v>
      </c>
      <c r="RY28" s="1928">
        <v>2607199289</v>
      </c>
      <c r="RZ28" s="1048"/>
      <c r="SA28" s="1090"/>
      <c r="SB28" s="1090">
        <f t="shared" si="101"/>
        <v>0</v>
      </c>
      <c r="SC28" s="1090"/>
      <c r="SD28" s="1090">
        <f t="shared" si="124"/>
        <v>0</v>
      </c>
      <c r="SF28" s="1">
        <v>19</v>
      </c>
      <c r="SG28" s="1">
        <f t="shared" si="103"/>
        <v>439.80000000000007</v>
      </c>
      <c r="SH28" s="2441">
        <v>2607199413</v>
      </c>
    </row>
    <row r="29" spans="1:502" s="1" customFormat="1">
      <c r="B29" s="471">
        <v>20</v>
      </c>
      <c r="C29" s="4">
        <f t="shared" si="6"/>
        <v>139870</v>
      </c>
      <c r="D29" s="1590">
        <f t="shared" si="119"/>
        <v>11531.34</v>
      </c>
      <c r="E29" s="1911">
        <f t="shared" si="7"/>
        <v>12.129553026794804</v>
      </c>
      <c r="F29" s="870"/>
      <c r="G29" s="870"/>
      <c r="H29" s="845"/>
      <c r="I29" s="482"/>
      <c r="J29" s="845"/>
      <c r="K29" s="846"/>
      <c r="L29" s="845">
        <v>25</v>
      </c>
      <c r="M29" s="482">
        <v>5.25</v>
      </c>
      <c r="N29" s="2629"/>
      <c r="O29" s="4">
        <f t="shared" si="117"/>
        <v>78456</v>
      </c>
      <c r="P29" s="1225">
        <f t="shared" si="8"/>
        <v>5489.4000000000005</v>
      </c>
      <c r="Q29" s="1913">
        <f t="shared" si="9"/>
        <v>14.292272379495026</v>
      </c>
      <c r="R29" s="12"/>
      <c r="S29" s="26">
        <f t="shared" si="10"/>
        <v>33234</v>
      </c>
      <c r="T29" s="27">
        <f t="shared" si="105"/>
        <v>1941.9399999999998</v>
      </c>
      <c r="U29" s="1913">
        <f t="shared" si="11"/>
        <v>17.113814021030517</v>
      </c>
      <c r="V29" s="15"/>
      <c r="W29" s="26">
        <f t="shared" si="12"/>
        <v>24006</v>
      </c>
      <c r="X29" s="5">
        <f t="shared" si="12"/>
        <v>4100</v>
      </c>
      <c r="Y29" s="1913">
        <f t="shared" si="13"/>
        <v>5.8551219512195125</v>
      </c>
      <c r="Z29" s="12"/>
      <c r="AA29" s="26">
        <f t="shared" si="14"/>
        <v>4174</v>
      </c>
      <c r="AB29" s="27">
        <f t="shared" si="15"/>
        <v>0</v>
      </c>
      <c r="AC29" s="1913">
        <f t="shared" si="16"/>
        <v>0</v>
      </c>
      <c r="AD29" s="15"/>
      <c r="AE29" s="9"/>
      <c r="AF29" s="9"/>
      <c r="AG29" s="64">
        <f t="shared" si="17"/>
        <v>0</v>
      </c>
      <c r="AH29" s="15"/>
      <c r="AI29" s="4"/>
      <c r="AJ29" s="5"/>
      <c r="AK29" s="64">
        <f t="shared" si="18"/>
        <v>0</v>
      </c>
      <c r="AL29" s="15"/>
      <c r="AM29" s="2629"/>
      <c r="AN29" s="9"/>
      <c r="AO29" s="5"/>
      <c r="AP29" s="482">
        <f t="shared" si="19"/>
        <v>0</v>
      </c>
      <c r="AQ29" s="9"/>
      <c r="AR29" s="64"/>
      <c r="AS29" s="482">
        <f t="shared" si="20"/>
        <v>0</v>
      </c>
      <c r="AT29" s="9">
        <v>0</v>
      </c>
      <c r="AU29" s="5"/>
      <c r="AV29" s="846">
        <f t="shared" si="21"/>
        <v>0</v>
      </c>
      <c r="AW29" s="4">
        <v>38220</v>
      </c>
      <c r="AX29" s="24">
        <v>4165.9800000000005</v>
      </c>
      <c r="AY29" s="1911">
        <f t="shared" si="115"/>
        <v>9.1743119266055029</v>
      </c>
      <c r="AZ29" s="1912"/>
      <c r="BA29" s="1913"/>
      <c r="BB29" s="1911">
        <f t="shared" si="22"/>
        <v>0</v>
      </c>
      <c r="BC29" s="1940">
        <v>40236</v>
      </c>
      <c r="BD29" s="1926">
        <v>1323.42</v>
      </c>
      <c r="BE29" s="1911">
        <f t="shared" si="23"/>
        <v>30.403046651856553</v>
      </c>
      <c r="BF29" s="1908"/>
      <c r="BG29" s="1909"/>
      <c r="BH29" s="1911">
        <f t="shared" si="24"/>
        <v>0</v>
      </c>
      <c r="BI29" s="1912">
        <v>0</v>
      </c>
      <c r="BJ29" s="1909">
        <v>0</v>
      </c>
      <c r="BK29" s="1911">
        <f t="shared" si="25"/>
        <v>0</v>
      </c>
      <c r="BL29" s="1742">
        <v>33234</v>
      </c>
      <c r="BM29" s="1736">
        <v>1941.9399999999998</v>
      </c>
      <c r="BN29" s="2170"/>
      <c r="BO29" s="1911">
        <f t="shared" si="26"/>
        <v>17.113814021030517</v>
      </c>
      <c r="BP29" s="9">
        <v>4174</v>
      </c>
      <c r="BQ29" s="63">
        <v>0</v>
      </c>
      <c r="BR29" s="1920">
        <f t="shared" si="27"/>
        <v>0</v>
      </c>
      <c r="BS29" s="9"/>
      <c r="BT29" s="64"/>
      <c r="BU29" s="482">
        <f t="shared" si="28"/>
        <v>0</v>
      </c>
      <c r="BV29" s="9">
        <v>24006</v>
      </c>
      <c r="BW29" s="5">
        <f t="shared" si="106"/>
        <v>4100</v>
      </c>
      <c r="BX29" s="1051">
        <f t="shared" si="29"/>
        <v>5.8551219512195125</v>
      </c>
      <c r="BY29" s="26"/>
      <c r="BZ29" s="5"/>
      <c r="CA29" s="482">
        <f t="shared" si="30"/>
        <v>0</v>
      </c>
      <c r="CB29" s="9"/>
      <c r="CC29" s="5"/>
      <c r="CD29" s="482">
        <f t="shared" si="31"/>
        <v>0</v>
      </c>
      <c r="CE29" s="4"/>
      <c r="CF29" s="494"/>
      <c r="CG29" s="15">
        <f t="shared" si="32"/>
        <v>0</v>
      </c>
      <c r="CH29" s="150"/>
      <c r="CI29" s="1108"/>
      <c r="CJ29" s="5"/>
      <c r="CK29" s="5">
        <v>3260</v>
      </c>
      <c r="CL29" s="5"/>
      <c r="CM29" s="5"/>
      <c r="CN29" s="5">
        <f t="shared" si="33"/>
        <v>3260</v>
      </c>
      <c r="CO29" s="12"/>
      <c r="CP29" s="366"/>
      <c r="CR29" s="4">
        <f t="shared" si="34"/>
        <v>0</v>
      </c>
      <c r="CS29" s="9">
        <f t="shared" si="34"/>
        <v>0</v>
      </c>
      <c r="CT29" s="5">
        <f t="shared" si="34"/>
        <v>0</v>
      </c>
      <c r="CU29" s="5">
        <f t="shared" si="34"/>
        <v>0</v>
      </c>
      <c r="CV29" s="5">
        <f t="shared" si="34"/>
        <v>0</v>
      </c>
      <c r="CW29" s="5">
        <f t="shared" si="34"/>
        <v>0</v>
      </c>
      <c r="CX29" s="5">
        <f t="shared" si="34"/>
        <v>1012.08</v>
      </c>
      <c r="CY29" s="5">
        <f t="shared" si="34"/>
        <v>0</v>
      </c>
      <c r="CZ29" s="5">
        <f t="shared" si="34"/>
        <v>9620.98</v>
      </c>
      <c r="DA29" s="5">
        <f t="shared" si="34"/>
        <v>0</v>
      </c>
      <c r="DB29" s="5">
        <f t="shared" si="34"/>
        <v>898.28000000000009</v>
      </c>
      <c r="DC29" s="12">
        <f t="shared" si="34"/>
        <v>0</v>
      </c>
      <c r="DD29" s="847">
        <f t="shared" si="35"/>
        <v>11531.34</v>
      </c>
      <c r="DE29" s="2695"/>
      <c r="DF29" s="8"/>
      <c r="DG29" s="9"/>
      <c r="DH29" s="5"/>
      <c r="DI29" s="5"/>
      <c r="DJ29" s="5"/>
      <c r="DK29" s="5"/>
      <c r="DL29" s="3">
        <v>1012.08</v>
      </c>
      <c r="DM29" s="5"/>
      <c r="DN29" s="3">
        <v>3153.8999999999992</v>
      </c>
      <c r="DO29" s="5"/>
      <c r="DP29" s="3">
        <v>0</v>
      </c>
      <c r="DQ29" s="12"/>
      <c r="DR29" s="15">
        <f t="shared" si="36"/>
        <v>4165.9799999999996</v>
      </c>
      <c r="DS29" s="9"/>
      <c r="DT29" s="9"/>
      <c r="DU29" s="5"/>
      <c r="DV29" s="5"/>
      <c r="DW29" s="5"/>
      <c r="DX29" s="5"/>
      <c r="DY29" s="5"/>
      <c r="DZ29" s="5"/>
      <c r="EA29" s="3">
        <v>2367.0800000000004</v>
      </c>
      <c r="EB29" s="5"/>
      <c r="EC29" s="24">
        <v>898.28000000000009</v>
      </c>
      <c r="ED29" s="12"/>
      <c r="EE29" s="15">
        <f t="shared" si="37"/>
        <v>3265.3600000000006</v>
      </c>
      <c r="EF29" s="9"/>
      <c r="EG29" s="9"/>
      <c r="EH29" s="5"/>
      <c r="EI29" s="5"/>
      <c r="EJ29" s="5"/>
      <c r="EK29" s="5"/>
      <c r="EL29" s="5"/>
      <c r="EM29" s="5"/>
      <c r="EN29" s="5">
        <v>4100</v>
      </c>
      <c r="EO29" s="5"/>
      <c r="EP29" s="5"/>
      <c r="EQ29" s="12"/>
      <c r="ER29" s="15">
        <f t="shared" si="38"/>
        <v>4100</v>
      </c>
      <c r="ES29" s="9"/>
      <c r="ET29" s="5"/>
      <c r="EU29" s="5"/>
      <c r="EV29" s="5"/>
      <c r="EW29" s="5"/>
      <c r="EX29" s="5"/>
      <c r="EY29" s="12">
        <f t="shared" si="39"/>
        <v>0</v>
      </c>
      <c r="EZ29" s="2685"/>
      <c r="FB29" s="4">
        <f t="shared" si="40"/>
        <v>0</v>
      </c>
      <c r="FC29" s="5">
        <f t="shared" si="41"/>
        <v>0</v>
      </c>
      <c r="FD29" s="5">
        <f t="shared" si="42"/>
        <v>0</v>
      </c>
      <c r="FE29" s="12">
        <f t="shared" si="43"/>
        <v>0</v>
      </c>
      <c r="FF29" s="12"/>
      <c r="FG29" s="2674"/>
      <c r="FH29" s="9"/>
      <c r="FI29" s="5"/>
      <c r="FJ29" s="5"/>
      <c r="FK29" s="5"/>
      <c r="FL29" s="5"/>
      <c r="FM29" s="5"/>
      <c r="FN29" s="15">
        <f t="shared" si="44"/>
        <v>0</v>
      </c>
      <c r="FO29" s="9"/>
      <c r="FP29" s="5"/>
      <c r="FQ29" s="5"/>
      <c r="FR29" s="5"/>
      <c r="FS29" s="5"/>
      <c r="FT29" s="5"/>
      <c r="FU29" s="15">
        <f t="shared" si="45"/>
        <v>0</v>
      </c>
      <c r="FV29" s="9"/>
      <c r="FW29" s="9"/>
      <c r="FX29" s="5"/>
      <c r="FY29" s="5"/>
      <c r="FZ29" s="5"/>
      <c r="GA29" s="5"/>
      <c r="GB29" s="5"/>
      <c r="GC29" s="5"/>
      <c r="GD29" s="24">
        <v>0</v>
      </c>
      <c r="GE29" s="5"/>
      <c r="GF29" s="5"/>
      <c r="GG29" s="12"/>
      <c r="GH29" s="12">
        <f t="shared" si="46"/>
        <v>0</v>
      </c>
      <c r="GI29" s="2674"/>
      <c r="GK29" s="2">
        <f t="shared" si="107"/>
        <v>2295.69</v>
      </c>
      <c r="GL29" s="63">
        <f t="shared" si="108"/>
        <v>4659.72</v>
      </c>
      <c r="GM29" s="24">
        <f t="shared" si="109"/>
        <v>2827.96</v>
      </c>
      <c r="GN29" s="1590">
        <f t="shared" si="47"/>
        <v>9783.369999999999</v>
      </c>
      <c r="GO29" s="848"/>
      <c r="GP29" s="848"/>
      <c r="GQ29" s="12"/>
      <c r="GR29" s="2667"/>
      <c r="GS29" s="1739">
        <v>0</v>
      </c>
      <c r="GT29" s="1721">
        <v>310.14999999999998</v>
      </c>
      <c r="GU29" s="1721">
        <v>5919.2899999999991</v>
      </c>
      <c r="GV29" s="1721">
        <v>3553.9300000000003</v>
      </c>
      <c r="GW29" s="12">
        <v>9783.369999999999</v>
      </c>
      <c r="GX29" s="2667"/>
      <c r="GY29" s="9"/>
      <c r="GZ29" s="9"/>
      <c r="HA29" s="5"/>
      <c r="HB29" s="5"/>
      <c r="HC29" s="5"/>
      <c r="HD29" s="5"/>
      <c r="HE29" s="5"/>
      <c r="HF29" s="5"/>
      <c r="HG29" s="24">
        <v>1657.29</v>
      </c>
      <c r="HH29" s="5"/>
      <c r="HI29" s="24">
        <v>328.25</v>
      </c>
      <c r="HJ29" s="5"/>
      <c r="HK29" s="24">
        <v>310.14999999999998</v>
      </c>
      <c r="HL29" s="5"/>
      <c r="HM29" s="15">
        <f t="shared" si="120"/>
        <v>2295.69</v>
      </c>
      <c r="HN29" s="9"/>
      <c r="HO29" s="5"/>
      <c r="HP29" s="5"/>
      <c r="HQ29" s="5"/>
      <c r="HR29" s="5"/>
      <c r="HS29" s="5"/>
      <c r="HT29" s="5">
        <f t="array" ref="HT29">SUMPRODUCT(('Data Base hauling'!$C$2:$C$2000="TCM-ROM SB1 BK05-ROM 4")*(ISNUMBER(SEARCH(TEXT('July TCM'!$B29,"00")&amp;"/03/2026",'Data Base hauling'!$E$2:$E$2000)))*'Data Base hauling'!$N$2:$N$2000)</f>
        <v>0</v>
      </c>
      <c r="HU29" s="5"/>
      <c r="HV29" s="5">
        <f t="array" ref="HV29">SUMPRODUCT(('Data Base hauling'!$C$2:$C$2000="TCM-ROM SB1 BK05-ROM 5")*(ISNUMBER(SEARCH(TEXT('July TCM'!$B29,"00")&amp;"/03/2026",'Data Base hauling'!$E$2:$E$2000)))*'Data Base hauling'!$N$2:$N$2000)</f>
        <v>0</v>
      </c>
      <c r="HW29" s="5"/>
      <c r="HX29" s="5"/>
      <c r="HY29" s="5"/>
      <c r="HZ29" s="5"/>
      <c r="IA29" s="5"/>
      <c r="IB29" s="12">
        <f t="shared" si="49"/>
        <v>0</v>
      </c>
      <c r="IC29" s="845"/>
      <c r="ID29" s="363"/>
      <c r="IE29" s="64"/>
      <c r="IF29" s="64"/>
      <c r="IG29" s="64"/>
      <c r="IH29" s="64"/>
      <c r="II29" s="1926">
        <v>751.2</v>
      </c>
      <c r="IJ29" s="1590"/>
      <c r="IK29" s="1926">
        <v>3572.5200000000004</v>
      </c>
      <c r="IL29" s="64"/>
      <c r="IM29" s="49">
        <v>0</v>
      </c>
      <c r="IN29" s="64"/>
      <c r="IO29" s="64"/>
      <c r="IP29" s="49">
        <v>336</v>
      </c>
      <c r="IQ29" s="2195">
        <f t="shared" si="121"/>
        <v>4659.72</v>
      </c>
      <c r="IR29" s="9"/>
      <c r="IS29" s="9"/>
      <c r="IT29" s="5"/>
      <c r="IU29" s="5"/>
      <c r="IV29" s="64"/>
      <c r="IW29" s="5"/>
      <c r="IX29" s="24">
        <v>0</v>
      </c>
      <c r="IY29" s="5"/>
      <c r="IZ29" s="24">
        <v>1979.6100000000001</v>
      </c>
      <c r="JA29" s="5"/>
      <c r="JB29" s="24">
        <v>848.34999999999991</v>
      </c>
      <c r="JC29" s="5"/>
      <c r="JD29" s="5"/>
      <c r="JE29" s="5"/>
      <c r="JF29" s="12">
        <f t="shared" si="122"/>
        <v>2827.96</v>
      </c>
      <c r="JG29" s="2667"/>
      <c r="JI29" s="2014">
        <v>5237.4000000000005</v>
      </c>
      <c r="JJ29" s="2015">
        <v>4545.97</v>
      </c>
      <c r="JK29" s="64"/>
      <c r="JL29" s="1736">
        <f t="shared" si="52"/>
        <v>9783.3700000000008</v>
      </c>
      <c r="JM29" s="12"/>
      <c r="JN29" s="2669"/>
      <c r="JO29" s="66">
        <v>0</v>
      </c>
      <c r="JP29" s="67">
        <v>0</v>
      </c>
      <c r="JQ29" s="67">
        <v>0</v>
      </c>
      <c r="JR29" s="67">
        <v>0</v>
      </c>
      <c r="JS29" s="67">
        <v>0.93584603047313553</v>
      </c>
      <c r="JT29" s="67">
        <v>0</v>
      </c>
      <c r="JU29" s="67">
        <v>0</v>
      </c>
      <c r="JV29" s="1921">
        <v>0</v>
      </c>
      <c r="JW29" s="66">
        <v>0</v>
      </c>
      <c r="JX29" s="67">
        <v>0</v>
      </c>
      <c r="JY29" s="67">
        <v>0</v>
      </c>
      <c r="JZ29" s="67">
        <v>0.16524526118738136</v>
      </c>
      <c r="KA29" s="67">
        <v>0.50770682604592632</v>
      </c>
      <c r="KB29" s="67">
        <v>0.25882264951154538</v>
      </c>
      <c r="KC29" s="67">
        <v>6.8225263255146856E-2</v>
      </c>
      <c r="KD29" s="68">
        <v>0</v>
      </c>
      <c r="KE29" s="849"/>
      <c r="KF29" s="850"/>
      <c r="KG29" s="850"/>
      <c r="KH29" s="850"/>
      <c r="KI29" s="850"/>
      <c r="KJ29" s="850"/>
      <c r="KK29" s="850"/>
      <c r="KL29" s="850"/>
      <c r="KM29" s="12"/>
      <c r="KN29" s="2669"/>
      <c r="KO29" s="2203">
        <v>7426</v>
      </c>
      <c r="KP29" s="1721">
        <v>0.59</v>
      </c>
      <c r="KQ29" s="1721">
        <v>1.86</v>
      </c>
      <c r="KR29" s="1721">
        <v>5.33</v>
      </c>
      <c r="KS29" s="1722">
        <v>8.6434499999999996</v>
      </c>
      <c r="KT29" s="1958">
        <v>6828</v>
      </c>
      <c r="KU29" s="1961">
        <v>2.0299999999999998</v>
      </c>
      <c r="KV29" s="1961">
        <v>5.67</v>
      </c>
      <c r="KW29" s="1961">
        <v>6.57</v>
      </c>
      <c r="KX29" s="1962">
        <v>9.2047260000000009</v>
      </c>
      <c r="KY29" s="9"/>
      <c r="KZ29" s="64"/>
      <c r="LA29" s="64"/>
      <c r="LB29" s="64"/>
      <c r="LC29" s="64"/>
      <c r="LD29" s="12"/>
      <c r="LE29" s="2669"/>
      <c r="LG29" s="4">
        <f t="shared" si="53"/>
        <v>10173.64</v>
      </c>
      <c r="LH29" s="5">
        <f t="shared" si="53"/>
        <v>10173.64</v>
      </c>
      <c r="LI29" s="5">
        <f t="shared" si="53"/>
        <v>0</v>
      </c>
      <c r="LJ29" s="15">
        <f t="shared" si="54"/>
        <v>20347.28</v>
      </c>
      <c r="LK29" s="9">
        <v>3</v>
      </c>
      <c r="LL29" s="5"/>
      <c r="LM29" s="5">
        <v>1</v>
      </c>
      <c r="LN29" s="12"/>
      <c r="LO29" s="1956">
        <v>1.5</v>
      </c>
      <c r="LP29" s="486"/>
      <c r="LQ29" s="2688"/>
      <c r="LR29" s="9"/>
      <c r="LS29" s="9"/>
      <c r="LT29" s="5"/>
      <c r="LU29" s="5"/>
      <c r="LV29" s="5"/>
      <c r="LW29" s="1107">
        <f t="shared" si="55"/>
        <v>0</v>
      </c>
      <c r="LX29" s="9">
        <v>10173.64</v>
      </c>
      <c r="LY29" s="9">
        <v>10173.64</v>
      </c>
      <c r="LZ29" s="5"/>
      <c r="MA29" s="5"/>
      <c r="MB29" s="12"/>
      <c r="MC29" s="28">
        <f t="shared" si="56"/>
        <v>20347.28</v>
      </c>
      <c r="MD29" s="4"/>
      <c r="ME29" s="9"/>
      <c r="MF29" s="5"/>
      <c r="MG29" s="5"/>
      <c r="MH29" s="5"/>
      <c r="MI29" s="15"/>
      <c r="MJ29" s="9"/>
      <c r="MK29" s="9"/>
      <c r="ML29" s="5"/>
      <c r="MM29" s="5"/>
      <c r="MN29" s="5"/>
      <c r="MO29" s="15"/>
      <c r="MP29" s="9"/>
      <c r="MQ29" s="9"/>
      <c r="MR29" s="5"/>
      <c r="MS29" s="5"/>
      <c r="MT29" s="5"/>
      <c r="MU29" s="12">
        <f t="shared" si="57"/>
        <v>0</v>
      </c>
      <c r="MV29" s="2688"/>
      <c r="MX29" s="4">
        <f t="shared" si="58"/>
        <v>160999.67197880999</v>
      </c>
      <c r="MY29" s="5">
        <f t="shared" si="59"/>
        <v>270608.7607925731</v>
      </c>
      <c r="MZ29" s="5">
        <f t="shared" si="60"/>
        <v>20113.575210117313</v>
      </c>
      <c r="NA29" s="15">
        <f t="shared" si="61"/>
        <v>316410.54760218988</v>
      </c>
      <c r="NB29" s="2621"/>
      <c r="NC29" s="23">
        <f t="shared" si="62"/>
        <v>73466.111026069993</v>
      </c>
      <c r="ND29" s="1655">
        <f t="shared" si="63"/>
        <v>87533.560952739994</v>
      </c>
      <c r="NE29" s="60">
        <f t="shared" si="64"/>
        <v>0</v>
      </c>
      <c r="NF29" s="1042">
        <f t="shared" si="4"/>
        <v>160999.67197880999</v>
      </c>
      <c r="NG29" s="4">
        <f t="shared" si="125"/>
        <v>0</v>
      </c>
      <c r="NH29" s="5">
        <f t="shared" si="125"/>
        <v>0</v>
      </c>
      <c r="NI29" s="27">
        <f t="shared" si="125"/>
        <v>0</v>
      </c>
      <c r="NJ29" s="5">
        <f t="shared" si="125"/>
        <v>0</v>
      </c>
      <c r="NK29" s="5">
        <f t="shared" si="125"/>
        <v>0</v>
      </c>
      <c r="NL29" s="12">
        <f t="shared" si="125"/>
        <v>0</v>
      </c>
      <c r="NM29" s="27">
        <f t="shared" si="125"/>
        <v>0</v>
      </c>
      <c r="NN29" s="9">
        <f t="shared" si="125"/>
        <v>0</v>
      </c>
      <c r="NO29" s="24">
        <f t="shared" si="125"/>
        <v>28603.060671164178</v>
      </c>
      <c r="NP29" s="5">
        <f t="shared" si="125"/>
        <v>24549.88002237798</v>
      </c>
      <c r="NQ29" s="24">
        <f t="shared" si="110"/>
        <v>8756.5482322711578</v>
      </c>
      <c r="NR29" s="24">
        <f t="shared" si="111"/>
        <v>11934.191351487179</v>
      </c>
      <c r="NS29" s="5">
        <f t="shared" si="0"/>
        <v>73843.680277300504</v>
      </c>
      <c r="NT29" s="27">
        <f t="shared" si="126"/>
        <v>0</v>
      </c>
      <c r="NU29" s="5">
        <f t="shared" si="126"/>
        <v>0</v>
      </c>
      <c r="NV29" s="27">
        <f t="shared" si="126"/>
        <v>0</v>
      </c>
      <c r="NW29" s="5">
        <f t="shared" si="126"/>
        <v>0</v>
      </c>
      <c r="NX29" s="5">
        <f t="shared" si="126"/>
        <v>0</v>
      </c>
      <c r="NY29" s="5">
        <f t="shared" si="126"/>
        <v>0</v>
      </c>
      <c r="NZ29" s="27">
        <f t="shared" si="126"/>
        <v>16756.468814178832</v>
      </c>
      <c r="OA29" s="5">
        <f t="shared" si="126"/>
        <v>0</v>
      </c>
      <c r="OB29" s="27">
        <f t="shared" si="126"/>
        <v>89903.939365972605</v>
      </c>
      <c r="OC29" s="27"/>
      <c r="OD29" s="24">
        <f t="shared" si="127"/>
        <v>0</v>
      </c>
      <c r="OE29" s="5">
        <f t="shared" si="127"/>
        <v>0</v>
      </c>
      <c r="OF29" s="15">
        <f t="shared" si="1"/>
        <v>106660.40818015144</v>
      </c>
      <c r="OG29" s="27">
        <f t="shared" si="128"/>
        <v>0</v>
      </c>
      <c r="OH29" s="5">
        <f t="shared" si="128"/>
        <v>0</v>
      </c>
      <c r="OI29" s="5">
        <f t="shared" si="128"/>
        <v>0</v>
      </c>
      <c r="OJ29" s="5">
        <f t="shared" si="128"/>
        <v>0</v>
      </c>
      <c r="OK29" s="27">
        <f t="shared" si="128"/>
        <v>0</v>
      </c>
      <c r="OL29" s="5">
        <f t="shared" si="128"/>
        <v>0</v>
      </c>
      <c r="OM29" s="24">
        <f t="shared" si="128"/>
        <v>0</v>
      </c>
      <c r="ON29" s="5">
        <f t="shared" si="128"/>
        <v>0</v>
      </c>
      <c r="OO29" s="24">
        <f t="shared" si="118"/>
        <v>61946.805076326251</v>
      </c>
      <c r="OP29" s="5">
        <f t="shared" si="128"/>
        <v>0</v>
      </c>
      <c r="OQ29" s="24">
        <f t="shared" si="128"/>
        <v>28157.867258794853</v>
      </c>
      <c r="OR29" s="5">
        <f t="shared" si="128"/>
        <v>0</v>
      </c>
      <c r="OS29" s="15">
        <f t="shared" si="2"/>
        <v>90104.672335121111</v>
      </c>
      <c r="OT29" s="9"/>
      <c r="OU29" s="5"/>
      <c r="OV29" s="5"/>
      <c r="OW29" s="5"/>
      <c r="OX29" s="5"/>
      <c r="OY29" s="5"/>
      <c r="OZ29" s="15">
        <f t="shared" si="69"/>
        <v>0</v>
      </c>
      <c r="PA29" s="9">
        <f t="shared" si="70"/>
        <v>0</v>
      </c>
      <c r="PB29" s="5">
        <f t="shared" si="71"/>
        <v>0</v>
      </c>
      <c r="PC29" s="5">
        <f t="shared" si="72"/>
        <v>0</v>
      </c>
      <c r="PD29" s="5">
        <f t="shared" si="73"/>
        <v>0</v>
      </c>
      <c r="PE29" s="24"/>
      <c r="PF29" s="5">
        <f t="shared" si="74"/>
        <v>0</v>
      </c>
      <c r="PG29" s="12">
        <f t="shared" si="3"/>
        <v>0</v>
      </c>
      <c r="PH29" s="2621"/>
      <c r="PJ29" s="1907">
        <v>102.2</v>
      </c>
      <c r="PK29" s="3">
        <v>924</v>
      </c>
      <c r="PL29" s="3">
        <v>264</v>
      </c>
      <c r="PM29" s="3">
        <v>310.14999999999998</v>
      </c>
      <c r="PN29" s="3">
        <f t="shared" si="75"/>
        <v>33492.273504658704</v>
      </c>
      <c r="PO29" s="11">
        <f t="shared" si="76"/>
        <v>20113.575210117313</v>
      </c>
      <c r="PP29" s="15"/>
      <c r="PQ29" s="2615"/>
      <c r="PS29" s="4"/>
      <c r="PT29" s="9"/>
      <c r="PU29" s="9"/>
      <c r="PV29" s="9"/>
      <c r="PW29" s="8">
        <v>0</v>
      </c>
      <c r="PX29" s="9"/>
      <c r="PY29" s="8">
        <f t="shared" si="77"/>
        <v>0</v>
      </c>
      <c r="PZ29" s="5">
        <f t="shared" si="78"/>
        <v>102.2</v>
      </c>
      <c r="QA29" s="5"/>
      <c r="QB29" s="5"/>
      <c r="QC29" s="5"/>
      <c r="QD29" s="5"/>
      <c r="QE29" s="5"/>
      <c r="QF29" s="12"/>
      <c r="QG29" s="12">
        <f t="shared" si="79"/>
        <v>29562.488999999998</v>
      </c>
      <c r="QH29" s="420">
        <f t="shared" si="80"/>
        <v>284628.10180818988</v>
      </c>
      <c r="QI29" s="1106">
        <f t="shared" si="113"/>
        <v>2219.9567940000002</v>
      </c>
      <c r="QJ29" s="484">
        <f t="shared" si="81"/>
        <v>5505.3678056099998</v>
      </c>
      <c r="QK29" s="12"/>
      <c r="QL29" s="2615"/>
      <c r="QN29" s="139">
        <f t="shared" si="82"/>
        <v>0</v>
      </c>
      <c r="QO29" s="139" t="str">
        <f t="shared" si="83"/>
        <v/>
      </c>
      <c r="QQ29" s="139">
        <f t="shared" si="84"/>
        <v>0</v>
      </c>
      <c r="QR29" s="139">
        <f t="shared" si="85"/>
        <v>0</v>
      </c>
      <c r="QT29" s="1">
        <f t="shared" si="86"/>
        <v>0</v>
      </c>
      <c r="QU29" s="1">
        <f t="shared" si="87"/>
        <v>0</v>
      </c>
      <c r="QV29" s="1">
        <f t="shared" si="88"/>
        <v>0</v>
      </c>
      <c r="QW29" s="1">
        <f t="shared" si="89"/>
        <v>0</v>
      </c>
      <c r="QX29" s="1">
        <f t="shared" si="90"/>
        <v>0</v>
      </c>
      <c r="QY29" s="1">
        <f t="shared" si="91"/>
        <v>0</v>
      </c>
      <c r="RA29" s="1">
        <f t="shared" si="92"/>
        <v>0</v>
      </c>
      <c r="RB29" s="1">
        <f t="shared" si="93"/>
        <v>0</v>
      </c>
      <c r="RC29" s="1">
        <f t="shared" si="94"/>
        <v>0</v>
      </c>
      <c r="RD29" s="1">
        <f t="shared" si="95"/>
        <v>0</v>
      </c>
      <c r="RE29" s="1">
        <f t="shared" si="96"/>
        <v>0</v>
      </c>
      <c r="RF29" s="1">
        <f t="shared" si="97"/>
        <v>0</v>
      </c>
      <c r="RI29" s="1">
        <v>20</v>
      </c>
      <c r="RJ29" s="1">
        <f t="shared" si="123"/>
        <v>-33582.260290282902</v>
      </c>
      <c r="RK29" s="1">
        <f t="shared" si="123"/>
        <v>18234.717280483714</v>
      </c>
      <c r="RL29" s="1">
        <f t="shared" si="123"/>
        <v>13404.263703387322</v>
      </c>
      <c r="RM29" s="89">
        <f t="shared" si="5"/>
        <v>-1943.2793064118669</v>
      </c>
      <c r="RN29" s="1033">
        <v>20</v>
      </c>
      <c r="RO29" s="1098">
        <v>0</v>
      </c>
      <c r="RP29" s="1098">
        <f t="shared" si="99"/>
        <v>0</v>
      </c>
      <c r="RQ29" s="1097">
        <f t="shared" si="99"/>
        <v>0</v>
      </c>
      <c r="RR29" s="1097">
        <f t="shared" si="114"/>
        <v>7431.34</v>
      </c>
      <c r="RS29" s="1109"/>
      <c r="RT29" s="1928">
        <v>2607203632</v>
      </c>
      <c r="RW29" s="421">
        <v>20</v>
      </c>
      <c r="RX29" s="1095">
        <f t="shared" si="100"/>
        <v>9783.369999999999</v>
      </c>
      <c r="RY29" s="1109">
        <v>2607209683</v>
      </c>
      <c r="RZ29" s="1048"/>
      <c r="SA29" s="1090"/>
      <c r="SB29" s="1090">
        <f t="shared" si="101"/>
        <v>0</v>
      </c>
      <c r="SC29" s="1090"/>
      <c r="SD29" s="1090">
        <f t="shared" si="124"/>
        <v>0</v>
      </c>
      <c r="SF29" s="1">
        <v>20</v>
      </c>
      <c r="SG29" s="1">
        <f t="shared" si="103"/>
        <v>310.14999999999998</v>
      </c>
      <c r="SH29" s="2420">
        <v>2607209704</v>
      </c>
    </row>
    <row r="30" spans="1:502" s="1" customFormat="1">
      <c r="B30" s="471">
        <v>21</v>
      </c>
      <c r="C30" s="4">
        <f t="shared" si="6"/>
        <v>102999</v>
      </c>
      <c r="D30" s="1590">
        <f t="shared" si="119"/>
        <v>11167.96</v>
      </c>
      <c r="E30" s="1895">
        <f t="shared" si="7"/>
        <v>9.2227228607552334</v>
      </c>
      <c r="F30" s="870"/>
      <c r="G30" s="870"/>
      <c r="H30" s="52"/>
      <c r="I30" s="61"/>
      <c r="J30" s="52"/>
      <c r="K30" s="54"/>
      <c r="L30" s="52">
        <v>18</v>
      </c>
      <c r="M30" s="61">
        <v>12.67</v>
      </c>
      <c r="N30" s="2629"/>
      <c r="O30" s="4">
        <f t="shared" si="117"/>
        <v>53718</v>
      </c>
      <c r="P30" s="1225">
        <f t="shared" si="8"/>
        <v>5209.8599999999997</v>
      </c>
      <c r="Q30" s="1913">
        <f t="shared" si="9"/>
        <v>10.310833688429248</v>
      </c>
      <c r="R30" s="33"/>
      <c r="S30" s="26">
        <f t="shared" si="10"/>
        <v>23046</v>
      </c>
      <c r="T30" s="27">
        <f t="shared" si="105"/>
        <v>892.1</v>
      </c>
      <c r="U30" s="1909">
        <f t="shared" si="11"/>
        <v>25.833426745880505</v>
      </c>
      <c r="V30" s="28"/>
      <c r="W30" s="26">
        <f t="shared" si="12"/>
        <v>17726</v>
      </c>
      <c r="X30" s="5">
        <f t="shared" si="12"/>
        <v>5066</v>
      </c>
      <c r="Y30" s="1909">
        <f t="shared" si="13"/>
        <v>3.4990130280300038</v>
      </c>
      <c r="Z30" s="33"/>
      <c r="AA30" s="26">
        <f t="shared" si="14"/>
        <v>8509</v>
      </c>
      <c r="AB30" s="27">
        <f t="shared" si="15"/>
        <v>0</v>
      </c>
      <c r="AC30" s="1909">
        <f t="shared" si="16"/>
        <v>0</v>
      </c>
      <c r="AD30" s="28"/>
      <c r="AE30" s="36"/>
      <c r="AF30" s="36"/>
      <c r="AG30" s="53">
        <f t="shared" si="17"/>
        <v>0</v>
      </c>
      <c r="AH30" s="28"/>
      <c r="AI30" s="23"/>
      <c r="AJ30" s="27"/>
      <c r="AK30" s="53">
        <f t="shared" si="18"/>
        <v>0</v>
      </c>
      <c r="AL30" s="28"/>
      <c r="AM30" s="2629"/>
      <c r="AN30" s="9"/>
      <c r="AO30" s="5"/>
      <c r="AP30" s="61">
        <f t="shared" si="19"/>
        <v>0</v>
      </c>
      <c r="AQ30" s="36"/>
      <c r="AR30" s="53"/>
      <c r="AS30" s="61">
        <f t="shared" si="20"/>
        <v>0</v>
      </c>
      <c r="AT30" s="36">
        <v>0</v>
      </c>
      <c r="AU30" s="27"/>
      <c r="AV30" s="54">
        <f t="shared" si="21"/>
        <v>0</v>
      </c>
      <c r="AW30" s="26">
        <v>24822</v>
      </c>
      <c r="AX30" s="24">
        <v>2265.6</v>
      </c>
      <c r="AY30" s="1895">
        <f t="shared" si="115"/>
        <v>10.956038135593221</v>
      </c>
      <c r="AZ30" s="1908"/>
      <c r="BA30" s="1909"/>
      <c r="BB30" s="1895">
        <f t="shared" si="22"/>
        <v>0</v>
      </c>
      <c r="BC30" s="1740">
        <v>28896</v>
      </c>
      <c r="BD30" s="1926">
        <v>2944.2599999999998</v>
      </c>
      <c r="BE30" s="1895">
        <f t="shared" si="23"/>
        <v>9.8143506347944829</v>
      </c>
      <c r="BF30" s="1908"/>
      <c r="BG30" s="1909"/>
      <c r="BH30" s="1895">
        <f t="shared" si="24"/>
        <v>0</v>
      </c>
      <c r="BI30" s="1908">
        <v>0</v>
      </c>
      <c r="BJ30" s="1909">
        <v>0</v>
      </c>
      <c r="BK30" s="1895">
        <f t="shared" si="25"/>
        <v>0</v>
      </c>
      <c r="BL30" s="1742">
        <v>23046</v>
      </c>
      <c r="BM30" s="1736">
        <v>892.1</v>
      </c>
      <c r="BN30" s="2170"/>
      <c r="BO30" s="1911">
        <f t="shared" si="26"/>
        <v>25.833426745880505</v>
      </c>
      <c r="BP30" s="9">
        <v>8509</v>
      </c>
      <c r="BQ30" s="63">
        <v>0</v>
      </c>
      <c r="BR30" s="1920">
        <f t="shared" si="27"/>
        <v>0</v>
      </c>
      <c r="BS30" s="9"/>
      <c r="BT30" s="64"/>
      <c r="BU30" s="482">
        <f t="shared" si="28"/>
        <v>0</v>
      </c>
      <c r="BV30" s="9">
        <v>17726</v>
      </c>
      <c r="BW30" s="5">
        <f t="shared" si="106"/>
        <v>5066</v>
      </c>
      <c r="BX30" s="1051">
        <f t="shared" si="29"/>
        <v>3.4990130280300038</v>
      </c>
      <c r="BY30" s="4"/>
      <c r="BZ30" s="5"/>
      <c r="CA30" s="482">
        <f t="shared" si="30"/>
        <v>0</v>
      </c>
      <c r="CB30" s="9"/>
      <c r="CC30" s="5"/>
      <c r="CD30" s="482">
        <f t="shared" si="31"/>
        <v>0</v>
      </c>
      <c r="CE30" s="4"/>
      <c r="CF30" s="5"/>
      <c r="CG30" s="28">
        <f t="shared" si="32"/>
        <v>0</v>
      </c>
      <c r="CH30" s="150"/>
      <c r="CI30" s="1108"/>
      <c r="CJ30" s="5"/>
      <c r="CK30" s="5">
        <v>1487</v>
      </c>
      <c r="CL30" s="5"/>
      <c r="CM30" s="5"/>
      <c r="CN30" s="5">
        <f t="shared" si="33"/>
        <v>1487</v>
      </c>
      <c r="CO30" s="33"/>
      <c r="CP30" s="366"/>
      <c r="CR30" s="4">
        <f t="shared" si="34"/>
        <v>0</v>
      </c>
      <c r="CS30" s="9">
        <f t="shared" si="34"/>
        <v>0</v>
      </c>
      <c r="CT30" s="5">
        <f t="shared" si="34"/>
        <v>0</v>
      </c>
      <c r="CU30" s="5">
        <f t="shared" si="34"/>
        <v>0</v>
      </c>
      <c r="CV30" s="5">
        <f t="shared" si="34"/>
        <v>0</v>
      </c>
      <c r="CW30" s="5">
        <f t="shared" si="34"/>
        <v>0</v>
      </c>
      <c r="CX30" s="5">
        <f t="shared" si="34"/>
        <v>0</v>
      </c>
      <c r="CY30" s="5">
        <f t="shared" si="34"/>
        <v>0</v>
      </c>
      <c r="CZ30" s="5">
        <f t="shared" si="34"/>
        <v>8911.94</v>
      </c>
      <c r="DA30" s="5">
        <f t="shared" si="34"/>
        <v>0</v>
      </c>
      <c r="DB30" s="5">
        <f t="shared" si="34"/>
        <v>2256.02</v>
      </c>
      <c r="DC30" s="12">
        <f t="shared" si="34"/>
        <v>0</v>
      </c>
      <c r="DD30" s="310">
        <f t="shared" si="35"/>
        <v>11167.960000000001</v>
      </c>
      <c r="DE30" s="2695"/>
      <c r="DF30" s="8"/>
      <c r="DG30" s="9"/>
      <c r="DH30" s="5"/>
      <c r="DI30" s="5"/>
      <c r="DJ30" s="5"/>
      <c r="DK30" s="5"/>
      <c r="DL30" s="3">
        <v>0</v>
      </c>
      <c r="DM30" s="5"/>
      <c r="DN30" s="3">
        <v>2265.6</v>
      </c>
      <c r="DO30" s="5"/>
      <c r="DP30" s="3">
        <v>0</v>
      </c>
      <c r="DQ30" s="12"/>
      <c r="DR30" s="28">
        <f t="shared" si="36"/>
        <v>2265.6</v>
      </c>
      <c r="DS30" s="36"/>
      <c r="DT30" s="9"/>
      <c r="DU30" s="5"/>
      <c r="DV30" s="5"/>
      <c r="DW30" s="5"/>
      <c r="DX30" s="5"/>
      <c r="DY30" s="27"/>
      <c r="DZ30" s="27"/>
      <c r="EA30" s="3">
        <v>1580.3400000000001</v>
      </c>
      <c r="EB30" s="27"/>
      <c r="EC30" s="24">
        <v>2256.02</v>
      </c>
      <c r="ED30" s="33"/>
      <c r="EE30" s="28">
        <f t="shared" si="37"/>
        <v>3836.36</v>
      </c>
      <c r="EF30" s="9"/>
      <c r="EG30" s="36"/>
      <c r="EH30" s="27"/>
      <c r="EI30" s="27"/>
      <c r="EJ30" s="27"/>
      <c r="EK30" s="27"/>
      <c r="EL30" s="27"/>
      <c r="EM30" s="27"/>
      <c r="EN30" s="5">
        <v>5066</v>
      </c>
      <c r="EO30" s="5"/>
      <c r="EP30" s="5"/>
      <c r="EQ30" s="33"/>
      <c r="ER30" s="28">
        <f t="shared" si="38"/>
        <v>5066</v>
      </c>
      <c r="ES30" s="36"/>
      <c r="ET30" s="27"/>
      <c r="EU30" s="27"/>
      <c r="EV30" s="27"/>
      <c r="EW30" s="27"/>
      <c r="EX30" s="27"/>
      <c r="EY30" s="33">
        <f t="shared" si="39"/>
        <v>0</v>
      </c>
      <c r="EZ30" s="2685"/>
      <c r="FB30" s="4">
        <f t="shared" si="40"/>
        <v>0</v>
      </c>
      <c r="FC30" s="5">
        <f t="shared" si="41"/>
        <v>0</v>
      </c>
      <c r="FD30" s="5">
        <f t="shared" si="42"/>
        <v>26.34</v>
      </c>
      <c r="FE30" s="12">
        <f t="shared" si="43"/>
        <v>26.34</v>
      </c>
      <c r="FF30" s="33"/>
      <c r="FG30" s="2674"/>
      <c r="FH30" s="9"/>
      <c r="FI30" s="5"/>
      <c r="FJ30" s="5"/>
      <c r="FK30" s="5"/>
      <c r="FL30" s="5"/>
      <c r="FM30" s="27"/>
      <c r="FN30" s="28">
        <f t="shared" si="44"/>
        <v>0</v>
      </c>
      <c r="FO30" s="36"/>
      <c r="FP30" s="27"/>
      <c r="FQ30" s="27"/>
      <c r="FR30" s="27"/>
      <c r="FS30" s="27"/>
      <c r="FT30" s="27"/>
      <c r="FU30" s="28">
        <f t="shared" si="45"/>
        <v>0</v>
      </c>
      <c r="FV30" s="36"/>
      <c r="FW30" s="36"/>
      <c r="FX30" s="27"/>
      <c r="FY30" s="27"/>
      <c r="FZ30" s="27"/>
      <c r="GA30" s="27"/>
      <c r="GB30" s="27"/>
      <c r="GC30" s="27"/>
      <c r="GD30" s="24">
        <v>26.34</v>
      </c>
      <c r="GE30" s="27"/>
      <c r="GF30" s="27"/>
      <c r="GG30" s="33"/>
      <c r="GH30" s="33">
        <f t="shared" si="46"/>
        <v>26.34</v>
      </c>
      <c r="GI30" s="2674"/>
      <c r="GK30" s="2">
        <f t="shared" si="107"/>
        <v>2124.85</v>
      </c>
      <c r="GL30" s="63">
        <f t="shared" si="108"/>
        <v>7043.0700000000006</v>
      </c>
      <c r="GM30" s="24">
        <f t="shared" si="109"/>
        <v>4198.2800000000007</v>
      </c>
      <c r="GN30" s="1736">
        <f t="shared" si="47"/>
        <v>13366.2</v>
      </c>
      <c r="GO30" s="141"/>
      <c r="GP30" s="141"/>
      <c r="GQ30" s="33"/>
      <c r="GR30" s="2667"/>
      <c r="GS30" s="1739">
        <v>0</v>
      </c>
      <c r="GT30" s="1721">
        <v>328.85</v>
      </c>
      <c r="GU30" s="1721">
        <v>6678.6400000000012</v>
      </c>
      <c r="GV30" s="1721">
        <v>6358.71</v>
      </c>
      <c r="GW30" s="33">
        <v>13366.2</v>
      </c>
      <c r="GX30" s="2667"/>
      <c r="GY30" s="36"/>
      <c r="GZ30" s="36"/>
      <c r="HA30" s="27"/>
      <c r="HB30" s="27"/>
      <c r="HC30" s="27"/>
      <c r="HD30" s="27"/>
      <c r="HE30" s="27"/>
      <c r="HF30" s="27"/>
      <c r="HG30" s="24">
        <v>1331.85</v>
      </c>
      <c r="HH30" s="27"/>
      <c r="HI30" s="24">
        <v>464.15</v>
      </c>
      <c r="HJ30" s="27"/>
      <c r="HK30" s="24">
        <v>328.85</v>
      </c>
      <c r="HL30" s="27"/>
      <c r="HM30" s="28">
        <f t="shared" si="120"/>
        <v>2124.85</v>
      </c>
      <c r="HN30" s="36"/>
      <c r="HO30" s="27"/>
      <c r="HP30" s="27"/>
      <c r="HQ30" s="27"/>
      <c r="HR30" s="27"/>
      <c r="HS30" s="27"/>
      <c r="HT30" s="27">
        <f t="array" ref="HT30">SUMPRODUCT(('Data Base hauling'!$C$2:$C$2000="TCM-ROM SB1 BK05-ROM 4")*(ISNUMBER(SEARCH(TEXT('July TCM'!$B30,"00")&amp;"/03/2026",'Data Base hauling'!$E$2:$E$2000)))*'Data Base hauling'!$N$2:$N$2000)</f>
        <v>0</v>
      </c>
      <c r="HU30" s="27"/>
      <c r="HV30" s="27">
        <f t="array" ref="HV30">SUMPRODUCT(('Data Base hauling'!$C$2:$C$2000="TCM-ROM SB1 BK05-ROM 5")*(ISNUMBER(SEARCH(TEXT('July TCM'!$B30,"00")&amp;"/03/2026",'Data Base hauling'!$E$2:$E$2000)))*'Data Base hauling'!$N$2:$N$2000)</f>
        <v>0</v>
      </c>
      <c r="HW30" s="27"/>
      <c r="HX30" s="27"/>
      <c r="HY30" s="27"/>
      <c r="HZ30" s="27"/>
      <c r="IA30" s="27"/>
      <c r="IB30" s="33">
        <f t="shared" si="49"/>
        <v>0</v>
      </c>
      <c r="IC30" s="52"/>
      <c r="ID30" s="152"/>
      <c r="IE30" s="53"/>
      <c r="IF30" s="53"/>
      <c r="IG30" s="53"/>
      <c r="IH30" s="53"/>
      <c r="II30" s="1926">
        <v>1075.22</v>
      </c>
      <c r="IJ30" s="1736"/>
      <c r="IK30" s="1926">
        <v>5363.05</v>
      </c>
      <c r="IL30" s="53"/>
      <c r="IM30" s="49">
        <v>0</v>
      </c>
      <c r="IN30" s="53"/>
      <c r="IO30" s="53"/>
      <c r="IP30" s="49">
        <v>604.80000000000007</v>
      </c>
      <c r="IQ30" s="2195">
        <f t="shared" si="121"/>
        <v>7043.0700000000006</v>
      </c>
      <c r="IR30" s="36"/>
      <c r="IS30" s="36"/>
      <c r="IT30" s="27"/>
      <c r="IU30" s="27"/>
      <c r="IV30" s="53"/>
      <c r="IW30" s="27"/>
      <c r="IX30" s="24">
        <v>0</v>
      </c>
      <c r="IY30" s="27"/>
      <c r="IZ30" s="24">
        <v>2768.63</v>
      </c>
      <c r="JA30" s="27"/>
      <c r="JB30" s="24">
        <v>1429.65</v>
      </c>
      <c r="JC30" s="27"/>
      <c r="JD30" s="27"/>
      <c r="JE30" s="27"/>
      <c r="JF30" s="33">
        <f t="shared" si="122"/>
        <v>4198.2800000000007</v>
      </c>
      <c r="JG30" s="2667"/>
      <c r="JI30" s="2014">
        <v>6514.2699999999995</v>
      </c>
      <c r="JJ30" s="2015">
        <v>6851.9299999999994</v>
      </c>
      <c r="JK30" s="53"/>
      <c r="JL30" s="1736">
        <f t="shared" si="52"/>
        <v>13366.199999999999</v>
      </c>
      <c r="JM30" s="33"/>
      <c r="JN30" s="2669"/>
      <c r="JO30" s="66">
        <v>0</v>
      </c>
      <c r="JP30" s="67">
        <v>0</v>
      </c>
      <c r="JQ30" s="67">
        <v>0</v>
      </c>
      <c r="JR30" s="67">
        <v>0</v>
      </c>
      <c r="JS30" s="67">
        <v>0.9226313923125693</v>
      </c>
      <c r="JT30" s="67">
        <v>0</v>
      </c>
      <c r="JU30" s="67">
        <v>0</v>
      </c>
      <c r="JV30" s="1921">
        <v>0</v>
      </c>
      <c r="JW30" s="66">
        <v>0</v>
      </c>
      <c r="JX30" s="67">
        <v>0</v>
      </c>
      <c r="JY30" s="67">
        <v>0</v>
      </c>
      <c r="JZ30" s="67">
        <v>0.15692221023857514</v>
      </c>
      <c r="KA30" s="67">
        <v>0.50398354916060151</v>
      </c>
      <c r="KB30" s="67">
        <v>0.27638928010064318</v>
      </c>
      <c r="KC30" s="67">
        <v>4.7993776935841441E-2</v>
      </c>
      <c r="KD30" s="68">
        <v>0</v>
      </c>
      <c r="KE30" s="69"/>
      <c r="KF30" s="70"/>
      <c r="KG30" s="70"/>
      <c r="KH30" s="70"/>
      <c r="KI30" s="70"/>
      <c r="KJ30" s="70"/>
      <c r="KK30" s="70"/>
      <c r="KL30" s="70"/>
      <c r="KM30" s="33"/>
      <c r="KN30" s="2669"/>
      <c r="KO30" s="2203">
        <v>7048.9564680456933</v>
      </c>
      <c r="KP30" s="1721">
        <v>0.97859215807347943</v>
      </c>
      <c r="KQ30" s="1721">
        <v>3.9689317690645258</v>
      </c>
      <c r="KR30" s="1721">
        <v>6.883590614387157</v>
      </c>
      <c r="KS30" s="1722">
        <v>10.671077980858289</v>
      </c>
      <c r="KT30" s="1958">
        <v>6860.5154185022029</v>
      </c>
      <c r="KU30" s="1961">
        <v>1.4446842878120409</v>
      </c>
      <c r="KV30" s="1961">
        <v>4.0063729809104265</v>
      </c>
      <c r="KW30" s="1961">
        <v>7.5426578560939799</v>
      </c>
      <c r="KX30" s="1962">
        <v>9.9451324816446398</v>
      </c>
      <c r="KY30" s="36"/>
      <c r="KZ30" s="53"/>
      <c r="LA30" s="53"/>
      <c r="LB30" s="53"/>
      <c r="LC30" s="53"/>
      <c r="LD30" s="33"/>
      <c r="LE30" s="2669"/>
      <c r="LG30" s="4">
        <f t="shared" si="53"/>
        <v>0</v>
      </c>
      <c r="LH30" s="27">
        <f t="shared" si="53"/>
        <v>0</v>
      </c>
      <c r="LI30" s="27">
        <f t="shared" si="53"/>
        <v>0</v>
      </c>
      <c r="LJ30" s="28">
        <f t="shared" si="54"/>
        <v>0</v>
      </c>
      <c r="LK30" s="36"/>
      <c r="LL30" s="27"/>
      <c r="LM30" s="27">
        <v>2</v>
      </c>
      <c r="LN30" s="33"/>
      <c r="LO30" s="1041">
        <v>1.89</v>
      </c>
      <c r="LP30" s="486"/>
      <c r="LQ30" s="2688"/>
      <c r="LR30" s="36"/>
      <c r="LS30" s="36"/>
      <c r="LT30" s="27"/>
      <c r="LU30" s="27"/>
      <c r="LV30" s="27"/>
      <c r="LW30" s="1107">
        <f t="shared" si="55"/>
        <v>0</v>
      </c>
      <c r="LX30" s="36"/>
      <c r="LY30" s="36"/>
      <c r="LZ30" s="27"/>
      <c r="MA30" s="27"/>
      <c r="MB30" s="33"/>
      <c r="MC30" s="28">
        <f t="shared" si="56"/>
        <v>0</v>
      </c>
      <c r="MD30" s="26"/>
      <c r="ME30" s="36"/>
      <c r="MF30" s="27"/>
      <c r="MG30" s="27"/>
      <c r="MH30" s="27"/>
      <c r="MI30" s="28"/>
      <c r="MJ30" s="36"/>
      <c r="MK30" s="36"/>
      <c r="ML30" s="27"/>
      <c r="MM30" s="27"/>
      <c r="MN30" s="27"/>
      <c r="MO30" s="28"/>
      <c r="MP30" s="36"/>
      <c r="MQ30" s="36"/>
      <c r="MR30" s="27"/>
      <c r="MS30" s="27"/>
      <c r="MT30" s="27"/>
      <c r="MU30" s="33">
        <f t="shared" si="57"/>
        <v>0</v>
      </c>
      <c r="MV30" s="2688"/>
      <c r="MX30" s="26">
        <f t="shared" si="58"/>
        <v>172603.72549195669</v>
      </c>
      <c r="MY30" s="27">
        <f t="shared" si="59"/>
        <v>269370.51079257304</v>
      </c>
      <c r="MZ30" s="27">
        <f t="shared" si="60"/>
        <v>19920.725210117314</v>
      </c>
      <c r="NA30" s="28">
        <f t="shared" si="61"/>
        <v>315542.9476021899</v>
      </c>
      <c r="NB30" s="2621"/>
      <c r="NC30" s="23">
        <v>74047.727468159195</v>
      </c>
      <c r="ND30" s="1655">
        <v>98555.998023797496</v>
      </c>
      <c r="NE30" s="60">
        <f t="shared" si="64"/>
        <v>0</v>
      </c>
      <c r="NF30" s="275">
        <f t="shared" si="4"/>
        <v>172603.72549195669</v>
      </c>
      <c r="NG30" s="26">
        <f t="shared" si="125"/>
        <v>0</v>
      </c>
      <c r="NH30" s="27">
        <f t="shared" si="125"/>
        <v>0</v>
      </c>
      <c r="NI30" s="27">
        <f t="shared" si="125"/>
        <v>0</v>
      </c>
      <c r="NJ30" s="27">
        <v>0</v>
      </c>
      <c r="NK30" s="27">
        <f t="shared" si="125"/>
        <v>0</v>
      </c>
      <c r="NL30" s="33">
        <f t="shared" si="125"/>
        <v>0</v>
      </c>
      <c r="NM30" s="27">
        <f t="shared" si="125"/>
        <v>0</v>
      </c>
      <c r="NN30" s="36">
        <f t="shared" si="125"/>
        <v>0</v>
      </c>
      <c r="NO30" s="24">
        <f t="shared" si="125"/>
        <v>32337.210671164175</v>
      </c>
      <c r="NP30" s="27">
        <f t="shared" si="125"/>
        <v>24549.88002237798</v>
      </c>
      <c r="NQ30" s="24">
        <f t="shared" si="110"/>
        <v>8756.5482322711578</v>
      </c>
      <c r="NR30" s="24">
        <f t="shared" si="111"/>
        <v>11470.04135148718</v>
      </c>
      <c r="NS30" s="27">
        <f t="shared" si="0"/>
        <v>77113.680277300489</v>
      </c>
      <c r="NT30" s="27">
        <f t="shared" si="126"/>
        <v>0</v>
      </c>
      <c r="NU30" s="27">
        <f t="shared" si="126"/>
        <v>0</v>
      </c>
      <c r="NV30" s="27">
        <f t="shared" si="126"/>
        <v>0</v>
      </c>
      <c r="NW30" s="27">
        <f t="shared" si="126"/>
        <v>0</v>
      </c>
      <c r="NX30" s="27">
        <f t="shared" si="126"/>
        <v>0</v>
      </c>
      <c r="NY30" s="5">
        <f t="shared" si="126"/>
        <v>0</v>
      </c>
      <c r="NZ30" s="27">
        <f t="shared" si="126"/>
        <v>15681.248814178833</v>
      </c>
      <c r="OA30" s="27">
        <f t="shared" si="126"/>
        <v>0</v>
      </c>
      <c r="OB30" s="27">
        <f t="shared" si="126"/>
        <v>86806.489365972608</v>
      </c>
      <c r="OC30" s="27"/>
      <c r="OD30" s="24">
        <f t="shared" si="127"/>
        <v>0</v>
      </c>
      <c r="OE30" s="27">
        <f t="shared" si="127"/>
        <v>0</v>
      </c>
      <c r="OF30" s="28">
        <f t="shared" si="1"/>
        <v>102487.73818015144</v>
      </c>
      <c r="OG30" s="27">
        <f t="shared" si="128"/>
        <v>0</v>
      </c>
      <c r="OH30" s="27">
        <f t="shared" si="128"/>
        <v>0</v>
      </c>
      <c r="OI30" s="27">
        <f t="shared" si="128"/>
        <v>0</v>
      </c>
      <c r="OJ30" s="27">
        <f t="shared" si="128"/>
        <v>0</v>
      </c>
      <c r="OK30" s="27">
        <f t="shared" si="128"/>
        <v>0</v>
      </c>
      <c r="OL30" s="27">
        <f t="shared" si="128"/>
        <v>0</v>
      </c>
      <c r="OM30" s="24">
        <f t="shared" si="128"/>
        <v>0</v>
      </c>
      <c r="ON30" s="27">
        <f t="shared" si="128"/>
        <v>0</v>
      </c>
      <c r="OO30" s="24">
        <f t="shared" si="118"/>
        <v>60784.855076326254</v>
      </c>
      <c r="OP30" s="27">
        <f t="shared" si="128"/>
        <v>0</v>
      </c>
      <c r="OQ30" s="24">
        <f t="shared" si="128"/>
        <v>28984.237258794852</v>
      </c>
      <c r="OR30" s="27">
        <f t="shared" si="128"/>
        <v>0</v>
      </c>
      <c r="OS30" s="28">
        <f t="shared" si="2"/>
        <v>89769.092335121109</v>
      </c>
      <c r="OT30" s="36"/>
      <c r="OU30" s="27"/>
      <c r="OV30" s="27"/>
      <c r="OW30" s="27"/>
      <c r="OX30" s="27"/>
      <c r="OY30" s="27"/>
      <c r="OZ30" s="28">
        <f t="shared" si="69"/>
        <v>0</v>
      </c>
      <c r="PA30" s="36">
        <f t="shared" si="70"/>
        <v>0</v>
      </c>
      <c r="PB30" s="27">
        <f t="shared" si="71"/>
        <v>0</v>
      </c>
      <c r="PC30" s="27">
        <f t="shared" si="72"/>
        <v>0</v>
      </c>
      <c r="PD30" s="27">
        <f t="shared" si="73"/>
        <v>0</v>
      </c>
      <c r="PE30" s="24"/>
      <c r="PF30" s="27">
        <f t="shared" si="74"/>
        <v>0</v>
      </c>
      <c r="PG30" s="33">
        <f t="shared" si="3"/>
        <v>0</v>
      </c>
      <c r="PH30" s="2621"/>
      <c r="PJ30" s="1907">
        <v>262.79999999999995</v>
      </c>
      <c r="PK30" s="3">
        <v>476.00000000000006</v>
      </c>
      <c r="PL30" s="3">
        <v>136</v>
      </c>
      <c r="PM30" s="3">
        <v>328.85</v>
      </c>
      <c r="PN30" s="3">
        <f t="shared" si="75"/>
        <v>33279.073504658707</v>
      </c>
      <c r="PO30" s="11">
        <f t="shared" si="76"/>
        <v>19920.725210117314</v>
      </c>
      <c r="PP30" s="15"/>
      <c r="PQ30" s="2615"/>
      <c r="PS30" s="4"/>
      <c r="PT30" s="9"/>
      <c r="PU30" s="9"/>
      <c r="PV30" s="9"/>
      <c r="PW30" s="8">
        <v>0</v>
      </c>
      <c r="PX30" s="9"/>
      <c r="PY30" s="8">
        <f t="shared" si="77"/>
        <v>0</v>
      </c>
      <c r="PZ30" s="5">
        <f t="shared" si="78"/>
        <v>262.79999999999995</v>
      </c>
      <c r="QA30" s="5"/>
      <c r="QB30" s="5"/>
      <c r="QC30" s="5"/>
      <c r="QD30" s="5"/>
      <c r="QE30" s="5"/>
      <c r="QF30" s="12"/>
      <c r="QG30" s="12">
        <f t="shared" si="79"/>
        <v>29562.488999999998</v>
      </c>
      <c r="QH30" s="420">
        <f t="shared" si="80"/>
        <v>283760.5018081899</v>
      </c>
      <c r="QI30" s="1106">
        <f t="shared" si="113"/>
        <v>2219.9567940000002</v>
      </c>
      <c r="QJ30" s="484">
        <f t="shared" si="81"/>
        <v>5505.3678056099998</v>
      </c>
      <c r="QK30" s="12"/>
      <c r="QL30" s="2615"/>
      <c r="QN30" s="139">
        <f t="shared" si="82"/>
        <v>0</v>
      </c>
      <c r="QO30" s="139" t="str">
        <f t="shared" si="83"/>
        <v/>
      </c>
      <c r="QQ30" s="139">
        <f t="shared" si="84"/>
        <v>0</v>
      </c>
      <c r="QR30" s="139">
        <f t="shared" si="85"/>
        <v>0</v>
      </c>
      <c r="QT30" s="1">
        <f t="shared" si="86"/>
        <v>0</v>
      </c>
      <c r="QU30" s="1">
        <f t="shared" si="87"/>
        <v>0</v>
      </c>
      <c r="QV30" s="1">
        <f t="shared" si="88"/>
        <v>0</v>
      </c>
      <c r="QW30" s="1">
        <f t="shared" si="89"/>
        <v>0</v>
      </c>
      <c r="QX30" s="1">
        <f t="shared" si="90"/>
        <v>0</v>
      </c>
      <c r="QY30" s="1">
        <f t="shared" si="91"/>
        <v>0</v>
      </c>
      <c r="RA30" s="1">
        <f t="shared" si="92"/>
        <v>0</v>
      </c>
      <c r="RB30" s="1">
        <f t="shared" si="93"/>
        <v>0</v>
      </c>
      <c r="RC30" s="1">
        <f t="shared" si="94"/>
        <v>0</v>
      </c>
      <c r="RD30" s="1">
        <f t="shared" si="95"/>
        <v>0</v>
      </c>
      <c r="RE30" s="1">
        <f t="shared" si="96"/>
        <v>0</v>
      </c>
      <c r="RF30" s="1">
        <f t="shared" si="97"/>
        <v>0</v>
      </c>
      <c r="RI30" s="1">
        <v>21</v>
      </c>
      <c r="RJ30" s="1">
        <f t="shared" si="123"/>
        <v>-27067.990290282902</v>
      </c>
      <c r="RK30" s="1">
        <f t="shared" si="123"/>
        <v>25086.647280483714</v>
      </c>
      <c r="RL30" s="1">
        <f t="shared" si="123"/>
        <v>13404.263703387322</v>
      </c>
      <c r="RM30" s="89">
        <f t="shared" si="5"/>
        <v>11422.920693588134</v>
      </c>
      <c r="RN30" s="1033">
        <v>21</v>
      </c>
      <c r="RO30" s="1098">
        <v>0</v>
      </c>
      <c r="RP30" s="1098">
        <f t="shared" si="99"/>
        <v>0</v>
      </c>
      <c r="RQ30" s="1097">
        <f t="shared" si="99"/>
        <v>0</v>
      </c>
      <c r="RR30" s="1097">
        <f t="shared" si="114"/>
        <v>6101.9599999999991</v>
      </c>
      <c r="RS30" s="1109"/>
      <c r="RT30" s="1050" t="s">
        <v>1042</v>
      </c>
      <c r="RU30" s="1048"/>
      <c r="RW30" s="421">
        <v>21</v>
      </c>
      <c r="RX30" s="1095">
        <f t="shared" si="100"/>
        <v>13366.2</v>
      </c>
      <c r="RY30" s="1050" t="s">
        <v>1043</v>
      </c>
      <c r="SA30" s="1090"/>
      <c r="SB30" s="1090">
        <f t="shared" si="101"/>
        <v>0</v>
      </c>
      <c r="SC30" s="1090"/>
      <c r="SD30" s="1090">
        <f t="shared" si="124"/>
        <v>0</v>
      </c>
      <c r="SF30" s="1">
        <v>21</v>
      </c>
      <c r="SG30" s="1">
        <f t="shared" si="103"/>
        <v>328.85</v>
      </c>
      <c r="SH30" s="1094" t="s">
        <v>1044</v>
      </c>
    </row>
    <row r="31" spans="1:502" s="1" customFormat="1">
      <c r="B31" s="471">
        <v>22</v>
      </c>
      <c r="C31" s="4">
        <f t="shared" si="6"/>
        <v>117071</v>
      </c>
      <c r="D31" s="1590">
        <f t="shared" si="119"/>
        <v>11114.24</v>
      </c>
      <c r="E31" s="1895">
        <f t="shared" si="7"/>
        <v>10.533423787861338</v>
      </c>
      <c r="F31" s="870"/>
      <c r="G31" s="870"/>
      <c r="H31" s="52">
        <v>1</v>
      </c>
      <c r="I31" s="61">
        <v>1.72</v>
      </c>
      <c r="J31" s="52"/>
      <c r="K31" s="54"/>
      <c r="L31" s="52">
        <v>13</v>
      </c>
      <c r="M31" s="61">
        <v>5.6</v>
      </c>
      <c r="N31" s="2629"/>
      <c r="O31" s="4">
        <f t="shared" si="117"/>
        <v>66066</v>
      </c>
      <c r="P31" s="1225">
        <f t="shared" si="8"/>
        <v>4767.84</v>
      </c>
      <c r="Q31" s="1913">
        <f t="shared" si="9"/>
        <v>13.856589147286821</v>
      </c>
      <c r="R31" s="33"/>
      <c r="S31" s="26">
        <f t="shared" si="10"/>
        <v>28994</v>
      </c>
      <c r="T31" s="27">
        <f t="shared" si="105"/>
        <v>1348.3999999999999</v>
      </c>
      <c r="U31" s="1909">
        <f t="shared" si="11"/>
        <v>21.502521506971227</v>
      </c>
      <c r="V31" s="28"/>
      <c r="W31" s="26">
        <f t="shared" si="12"/>
        <v>16741</v>
      </c>
      <c r="X31" s="5">
        <f t="shared" si="12"/>
        <v>4998</v>
      </c>
      <c r="Y31" s="1909">
        <f t="shared" si="13"/>
        <v>3.3495398159263705</v>
      </c>
      <c r="Z31" s="33"/>
      <c r="AA31" s="26">
        <f t="shared" si="14"/>
        <v>5270</v>
      </c>
      <c r="AB31" s="27">
        <f t="shared" si="15"/>
        <v>0</v>
      </c>
      <c r="AC31" s="1909">
        <f t="shared" si="16"/>
        <v>0</v>
      </c>
      <c r="AD31" s="28"/>
      <c r="AE31" s="36"/>
      <c r="AF31" s="36"/>
      <c r="AG31" s="53">
        <f t="shared" si="17"/>
        <v>0</v>
      </c>
      <c r="AH31" s="28"/>
      <c r="AI31" s="26"/>
      <c r="AJ31" s="27"/>
      <c r="AK31" s="53">
        <f t="shared" si="18"/>
        <v>0</v>
      </c>
      <c r="AL31" s="28"/>
      <c r="AM31" s="2629"/>
      <c r="AN31" s="9"/>
      <c r="AO31" s="5"/>
      <c r="AP31" s="61">
        <f t="shared" si="19"/>
        <v>0</v>
      </c>
      <c r="AQ31" s="36"/>
      <c r="AR31" s="53"/>
      <c r="AS31" s="61">
        <f t="shared" si="20"/>
        <v>0</v>
      </c>
      <c r="AT31" s="36">
        <v>0</v>
      </c>
      <c r="AU31" s="27"/>
      <c r="AV31" s="54">
        <f t="shared" si="21"/>
        <v>0</v>
      </c>
      <c r="AW31" s="26">
        <v>29736</v>
      </c>
      <c r="AX31" s="24">
        <v>3082.94</v>
      </c>
      <c r="AY31" s="1895">
        <f t="shared" si="115"/>
        <v>9.645338540484083</v>
      </c>
      <c r="AZ31" s="1908"/>
      <c r="BA31" s="1909"/>
      <c r="BB31" s="1895">
        <f t="shared" si="22"/>
        <v>0</v>
      </c>
      <c r="BC31" s="1740">
        <v>36330</v>
      </c>
      <c r="BD31" s="1926">
        <v>1684.8999999999996</v>
      </c>
      <c r="BE31" s="1895">
        <f t="shared" si="23"/>
        <v>21.562110511009561</v>
      </c>
      <c r="BF31" s="1908"/>
      <c r="BG31" s="1909"/>
      <c r="BH31" s="1895">
        <f t="shared" si="24"/>
        <v>0</v>
      </c>
      <c r="BI31" s="1908">
        <v>0</v>
      </c>
      <c r="BJ31" s="1909">
        <v>0</v>
      </c>
      <c r="BK31" s="1895">
        <f t="shared" si="25"/>
        <v>0</v>
      </c>
      <c r="BL31" s="2491">
        <v>28994</v>
      </c>
      <c r="BM31" s="1736">
        <v>1348.3999999999999</v>
      </c>
      <c r="BN31" s="2170"/>
      <c r="BO31" s="1911">
        <f t="shared" si="26"/>
        <v>21.502521506971227</v>
      </c>
      <c r="BP31" s="9">
        <v>5270</v>
      </c>
      <c r="BQ31" s="63">
        <v>0</v>
      </c>
      <c r="BR31" s="1920">
        <f t="shared" si="27"/>
        <v>0</v>
      </c>
      <c r="BS31" s="9"/>
      <c r="BT31" s="64"/>
      <c r="BU31" s="482">
        <f t="shared" si="28"/>
        <v>0</v>
      </c>
      <c r="BV31" s="9">
        <v>16741</v>
      </c>
      <c r="BW31" s="5">
        <f t="shared" si="106"/>
        <v>4998</v>
      </c>
      <c r="BX31" s="15">
        <f>IFERROR(BV31/BW31,0)</f>
        <v>3.3495398159263705</v>
      </c>
      <c r="BY31" s="4"/>
      <c r="BZ31" s="5"/>
      <c r="CA31" s="482">
        <f t="shared" si="30"/>
        <v>0</v>
      </c>
      <c r="CB31" s="9"/>
      <c r="CC31" s="5"/>
      <c r="CD31" s="482">
        <f t="shared" si="31"/>
        <v>0</v>
      </c>
      <c r="CE31" s="4"/>
      <c r="CF31" s="5"/>
      <c r="CG31" s="28">
        <f t="shared" si="32"/>
        <v>0</v>
      </c>
      <c r="CH31" s="150"/>
      <c r="CI31" s="1108"/>
      <c r="CJ31" s="5"/>
      <c r="CK31" s="5">
        <v>1760</v>
      </c>
      <c r="CL31" s="5"/>
      <c r="CM31" s="5"/>
      <c r="CN31" s="5">
        <f t="shared" si="33"/>
        <v>1760</v>
      </c>
      <c r="CO31" s="33"/>
      <c r="CP31" s="366"/>
      <c r="CR31" s="4">
        <f t="shared" si="34"/>
        <v>0</v>
      </c>
      <c r="CS31" s="9">
        <f t="shared" si="34"/>
        <v>0</v>
      </c>
      <c r="CT31" s="5">
        <f t="shared" si="34"/>
        <v>0</v>
      </c>
      <c r="CU31" s="5">
        <f t="shared" ref="CU31:DC40" si="129">SUM(DI31,DV31,EI31)</f>
        <v>0</v>
      </c>
      <c r="CV31" s="5">
        <f t="shared" si="129"/>
        <v>0</v>
      </c>
      <c r="CW31" s="5">
        <f t="shared" si="129"/>
        <v>0</v>
      </c>
      <c r="CX31" s="5">
        <f t="shared" si="129"/>
        <v>0</v>
      </c>
      <c r="CY31" s="5">
        <f t="shared" si="129"/>
        <v>0</v>
      </c>
      <c r="CZ31" s="5">
        <f t="shared" si="129"/>
        <v>9750.08</v>
      </c>
      <c r="DA31" s="5">
        <f t="shared" si="129"/>
        <v>0</v>
      </c>
      <c r="DB31" s="5">
        <f t="shared" si="129"/>
        <v>1364.1599999999999</v>
      </c>
      <c r="DC31" s="12">
        <f t="shared" si="129"/>
        <v>0</v>
      </c>
      <c r="DD31" s="310">
        <f t="shared" si="35"/>
        <v>11114.24</v>
      </c>
      <c r="DE31" s="2695"/>
      <c r="DF31" s="8"/>
      <c r="DG31" s="9"/>
      <c r="DH31" s="5"/>
      <c r="DI31" s="5"/>
      <c r="DJ31" s="5"/>
      <c r="DK31" s="5"/>
      <c r="DL31" s="3">
        <v>0</v>
      </c>
      <c r="DM31" s="5"/>
      <c r="DN31" s="3">
        <v>3082.94</v>
      </c>
      <c r="DO31" s="5"/>
      <c r="DP31" s="3">
        <v>0</v>
      </c>
      <c r="DQ31" s="12"/>
      <c r="DR31" s="28">
        <f t="shared" si="36"/>
        <v>3082.94</v>
      </c>
      <c r="DS31" s="36"/>
      <c r="DT31" s="9"/>
      <c r="DU31" s="5"/>
      <c r="DV31" s="5"/>
      <c r="DW31" s="5"/>
      <c r="DX31" s="5"/>
      <c r="DY31" s="27"/>
      <c r="DZ31" s="27"/>
      <c r="EA31" s="3">
        <v>1669.1399999999999</v>
      </c>
      <c r="EB31" s="27"/>
      <c r="EC31" s="24">
        <v>1364.1599999999999</v>
      </c>
      <c r="ED31" s="33"/>
      <c r="EE31" s="28">
        <f t="shared" si="37"/>
        <v>3033.2999999999997</v>
      </c>
      <c r="EF31" s="9"/>
      <c r="EG31" s="36"/>
      <c r="EH31"/>
      <c r="EI31" s="27"/>
      <c r="EJ31" s="27"/>
      <c r="EK31" s="27"/>
      <c r="EL31" s="27"/>
      <c r="EM31" s="27"/>
      <c r="EN31" s="5">
        <v>4998</v>
      </c>
      <c r="EO31" s="5"/>
      <c r="EP31" s="5"/>
      <c r="EQ31" s="33"/>
      <c r="ER31" s="28">
        <f t="shared" si="38"/>
        <v>4998</v>
      </c>
      <c r="ES31" s="36"/>
      <c r="ET31" s="27"/>
      <c r="EU31" s="27"/>
      <c r="EV31" s="27"/>
      <c r="EW31" s="27"/>
      <c r="EX31" s="27"/>
      <c r="EY31" s="33">
        <f t="shared" si="39"/>
        <v>0</v>
      </c>
      <c r="EZ31" s="2685"/>
      <c r="FB31" s="4">
        <f t="shared" si="40"/>
        <v>0</v>
      </c>
      <c r="FC31" s="5">
        <f t="shared" si="41"/>
        <v>0</v>
      </c>
      <c r="FD31" s="5">
        <f t="shared" si="42"/>
        <v>45.56</v>
      </c>
      <c r="FE31" s="12">
        <f t="shared" si="43"/>
        <v>45.56</v>
      </c>
      <c r="FF31" s="33"/>
      <c r="FG31" s="2674"/>
      <c r="FH31" s="9"/>
      <c r="FI31" s="5"/>
      <c r="FJ31" s="5"/>
      <c r="FK31" s="5"/>
      <c r="FL31" s="5"/>
      <c r="FM31" s="27"/>
      <c r="FN31" s="28">
        <f t="shared" si="44"/>
        <v>0</v>
      </c>
      <c r="FO31" s="36"/>
      <c r="FP31" s="27"/>
      <c r="FQ31" s="27"/>
      <c r="FR31" s="27"/>
      <c r="FS31" s="27"/>
      <c r="FT31" s="27"/>
      <c r="FU31" s="28">
        <f t="shared" si="45"/>
        <v>0</v>
      </c>
      <c r="FV31" s="36"/>
      <c r="FW31" s="36"/>
      <c r="FX31" s="27"/>
      <c r="FY31" s="27"/>
      <c r="FZ31" s="27"/>
      <c r="GA31" s="27"/>
      <c r="GB31" s="27"/>
      <c r="GC31" s="27"/>
      <c r="GD31" s="24">
        <v>45.56</v>
      </c>
      <c r="GE31" s="27"/>
      <c r="GF31" s="27"/>
      <c r="GG31" s="33"/>
      <c r="GH31" s="33">
        <f t="shared" si="46"/>
        <v>45.56</v>
      </c>
      <c r="GI31" s="2674"/>
      <c r="GK31" s="2">
        <f t="shared" si="107"/>
        <v>1525.14</v>
      </c>
      <c r="GL31" s="63">
        <f t="shared" si="108"/>
        <v>7123.5399999999991</v>
      </c>
      <c r="GM31" s="24">
        <f t="shared" si="109"/>
        <v>3778.23</v>
      </c>
      <c r="GN31" s="1736">
        <f t="shared" si="47"/>
        <v>12426.909999999998</v>
      </c>
      <c r="GO31" s="141"/>
      <c r="GP31" s="141"/>
      <c r="GQ31" s="33"/>
      <c r="GR31" s="2667"/>
      <c r="GS31" s="1739">
        <v>0</v>
      </c>
      <c r="GT31" s="1721">
        <v>0</v>
      </c>
      <c r="GU31" s="1721">
        <v>5386.9299999999985</v>
      </c>
      <c r="GV31" s="1721">
        <v>7039.9800000000005</v>
      </c>
      <c r="GW31" s="33">
        <v>12426.91</v>
      </c>
      <c r="GX31" s="2667"/>
      <c r="GY31" s="36"/>
      <c r="GZ31" s="36"/>
      <c r="HA31" s="27"/>
      <c r="HB31" s="27"/>
      <c r="HC31" s="27"/>
      <c r="HD31" s="27"/>
      <c r="HE31" s="27"/>
      <c r="HF31" s="27"/>
      <c r="HG31" s="24">
        <v>1116.0900000000001</v>
      </c>
      <c r="HH31" s="27"/>
      <c r="HI31" s="24">
        <v>409.05</v>
      </c>
      <c r="HJ31" s="27"/>
      <c r="HK31" s="24">
        <v>0</v>
      </c>
      <c r="HL31" s="27"/>
      <c r="HM31" s="28">
        <f t="shared" si="120"/>
        <v>1525.14</v>
      </c>
      <c r="HN31" s="36"/>
      <c r="HO31" s="27"/>
      <c r="HP31" s="27"/>
      <c r="HQ31" s="27"/>
      <c r="HR31" s="27"/>
      <c r="HS31" s="27"/>
      <c r="HT31" s="27">
        <f t="array" ref="HT31">SUMPRODUCT(('Data Base hauling'!$C$2:$C$2000="TCM-ROM SB1 BK05-ROM 4")*(ISNUMBER(SEARCH(TEXT('July TCM'!$B31,"00")&amp;"/03/2026",'Data Base hauling'!$E$2:$E$2000)))*'Data Base hauling'!$N$2:$N$2000)</f>
        <v>0</v>
      </c>
      <c r="HU31" s="27"/>
      <c r="HV31" s="27">
        <f t="array" ref="HV31">SUMPRODUCT(('Data Base hauling'!$C$2:$C$2000="TCM-ROM SB1 BK05-ROM 5")*(ISNUMBER(SEARCH(TEXT('July TCM'!$B31,"00")&amp;"/03/2026",'Data Base hauling'!$E$2:$E$2000)))*'Data Base hauling'!$N$2:$N$2000)</f>
        <v>0</v>
      </c>
      <c r="HW31" s="27"/>
      <c r="HX31" s="27"/>
      <c r="HY31" s="27"/>
      <c r="HZ31" s="27"/>
      <c r="IA31" s="27"/>
      <c r="IB31" s="33">
        <f t="shared" si="49"/>
        <v>0</v>
      </c>
      <c r="IC31" s="52"/>
      <c r="ID31" s="152"/>
      <c r="IE31" s="53"/>
      <c r="IF31" s="53"/>
      <c r="IG31" s="53"/>
      <c r="IH31" s="53"/>
      <c r="II31" s="1926">
        <v>1009.5999999999999</v>
      </c>
      <c r="IJ31" s="1736"/>
      <c r="IK31" s="1926">
        <v>5996.3399999999983</v>
      </c>
      <c r="IL31" s="53"/>
      <c r="IM31" s="49">
        <v>0</v>
      </c>
      <c r="IN31" s="53"/>
      <c r="IO31" s="53"/>
      <c r="IP31" s="49">
        <v>117.6</v>
      </c>
      <c r="IQ31" s="2195">
        <f t="shared" si="121"/>
        <v>7123.5399999999991</v>
      </c>
      <c r="IR31" s="36"/>
      <c r="IS31" s="36"/>
      <c r="IT31" s="27"/>
      <c r="IU31" s="27"/>
      <c r="IV31" s="53"/>
      <c r="IW31" s="27"/>
      <c r="IX31" s="24">
        <v>0</v>
      </c>
      <c r="IY31" s="27"/>
      <c r="IZ31" s="24">
        <v>2430.92</v>
      </c>
      <c r="JA31" s="27"/>
      <c r="JB31" s="24">
        <v>1347.31</v>
      </c>
      <c r="JC31" s="27"/>
      <c r="JD31" s="27"/>
      <c r="JE31" s="27"/>
      <c r="JF31" s="33">
        <f t="shared" si="122"/>
        <v>3778.23</v>
      </c>
      <c r="JG31" s="2667"/>
      <c r="JI31" s="2014">
        <v>5953.81</v>
      </c>
      <c r="JJ31" s="2015">
        <v>6473.1000000000013</v>
      </c>
      <c r="JK31" s="53"/>
      <c r="JL31" s="1736">
        <f t="shared" si="52"/>
        <v>12426.910000000002</v>
      </c>
      <c r="JM31" s="33"/>
      <c r="JN31" s="2669"/>
      <c r="JO31" s="66">
        <v>0</v>
      </c>
      <c r="JP31" s="67">
        <v>0</v>
      </c>
      <c r="JQ31" s="67">
        <v>0</v>
      </c>
      <c r="JR31" s="67">
        <v>0</v>
      </c>
      <c r="JS31" s="67">
        <v>0.99153483231745709</v>
      </c>
      <c r="JT31" s="67">
        <v>0</v>
      </c>
      <c r="JU31" s="67">
        <v>0</v>
      </c>
      <c r="JV31" s="1921">
        <v>0</v>
      </c>
      <c r="JW31" s="66">
        <v>0</v>
      </c>
      <c r="JX31" s="67">
        <v>0</v>
      </c>
      <c r="JY31" s="67">
        <v>0</v>
      </c>
      <c r="JZ31" s="67">
        <v>0.15596854675503233</v>
      </c>
      <c r="KA31" s="67">
        <v>0.56231790023327288</v>
      </c>
      <c r="KB31" s="67">
        <v>0.2713321283465418</v>
      </c>
      <c r="KC31" s="67">
        <v>0</v>
      </c>
      <c r="KD31" s="68">
        <v>0</v>
      </c>
      <c r="KE31" s="69"/>
      <c r="KF31" s="70"/>
      <c r="KG31" s="70"/>
      <c r="KH31" s="70"/>
      <c r="KI31" s="70"/>
      <c r="KJ31" s="70"/>
      <c r="KK31" s="70"/>
      <c r="KL31" s="70"/>
      <c r="KM31" s="33"/>
      <c r="KN31" s="2669"/>
      <c r="KO31" s="2203">
        <v>7186</v>
      </c>
      <c r="KP31" s="1721">
        <v>0.97000000000000008</v>
      </c>
      <c r="KQ31" s="1721">
        <v>2.91</v>
      </c>
      <c r="KR31" s="1721">
        <v>6.089999999999999</v>
      </c>
      <c r="KS31" s="1722">
        <v>10.59768</v>
      </c>
      <c r="KT31" s="1958">
        <v>6926.4169884169887</v>
      </c>
      <c r="KU31" s="1961">
        <v>1.5345559845559846</v>
      </c>
      <c r="KV31" s="1961">
        <v>3.3694980694980696</v>
      </c>
      <c r="KW31" s="1961">
        <v>6.6635135135135135</v>
      </c>
      <c r="KX31" s="1962">
        <v>9.8312488416988426</v>
      </c>
      <c r="KY31" s="36"/>
      <c r="KZ31" s="53"/>
      <c r="LA31" s="53"/>
      <c r="LB31" s="53"/>
      <c r="LC31" s="53"/>
      <c r="LD31" s="33"/>
      <c r="LE31" s="2669"/>
      <c r="LG31" s="4">
        <f t="shared" si="53"/>
        <v>6377.7030000000004</v>
      </c>
      <c r="LH31" s="5">
        <f t="shared" si="53"/>
        <v>1125.4770000000001</v>
      </c>
      <c r="LI31" s="27">
        <f t="shared" si="53"/>
        <v>0</v>
      </c>
      <c r="LJ31" s="28">
        <f t="shared" si="54"/>
        <v>7503.18</v>
      </c>
      <c r="LK31" s="36">
        <v>1</v>
      </c>
      <c r="LL31" s="27"/>
      <c r="LM31" s="27">
        <v>4</v>
      </c>
      <c r="LN31" s="33"/>
      <c r="LO31" s="1041">
        <v>1.89</v>
      </c>
      <c r="LP31" s="486"/>
      <c r="LQ31" s="2688"/>
      <c r="LR31" s="36"/>
      <c r="LS31" s="36"/>
      <c r="LT31" s="27"/>
      <c r="LU31" s="27"/>
      <c r="LV31" s="27"/>
      <c r="LW31" s="1107">
        <f t="shared" si="55"/>
        <v>0</v>
      </c>
      <c r="LX31" s="36">
        <v>6377.7030000000004</v>
      </c>
      <c r="LY31" s="36">
        <v>1125.4770000000001</v>
      </c>
      <c r="LZ31" s="27"/>
      <c r="MA31" s="27"/>
      <c r="MB31" s="33"/>
      <c r="MC31" s="28">
        <f t="shared" si="56"/>
        <v>7503.18</v>
      </c>
      <c r="MD31" s="26"/>
      <c r="ME31" s="36"/>
      <c r="MF31" s="27"/>
      <c r="MG31" s="27"/>
      <c r="MH31" s="27"/>
      <c r="MI31" s="28"/>
      <c r="MJ31" s="36"/>
      <c r="MK31" s="36"/>
      <c r="ML31" s="27"/>
      <c r="MM31" s="27"/>
      <c r="MN31" s="27"/>
      <c r="MO31" s="28"/>
      <c r="MP31" s="36"/>
      <c r="MQ31" s="36"/>
      <c r="MR31" s="27"/>
      <c r="MS31" s="27"/>
      <c r="MT31" s="27"/>
      <c r="MU31" s="33">
        <f t="shared" si="57"/>
        <v>0</v>
      </c>
      <c r="MV31" s="2688"/>
      <c r="MX31" s="26">
        <f t="shared" si="58"/>
        <v>177527.4554919567</v>
      </c>
      <c r="MY31" s="27">
        <f t="shared" si="59"/>
        <v>268221.00079257303</v>
      </c>
      <c r="MZ31" s="27">
        <f t="shared" si="60"/>
        <v>20290.725210117314</v>
      </c>
      <c r="NA31" s="28">
        <f t="shared" si="61"/>
        <v>315361.32760218991</v>
      </c>
      <c r="NB31" s="2621"/>
      <c r="NC31" s="23">
        <f t="shared" si="62"/>
        <v>73623.834468159199</v>
      </c>
      <c r="ND31" s="1655">
        <f t="shared" si="63"/>
        <v>103903.6210237975</v>
      </c>
      <c r="NE31" s="60">
        <f t="shared" si="64"/>
        <v>0</v>
      </c>
      <c r="NF31" s="1110">
        <f t="shared" si="4"/>
        <v>177527.4554919567</v>
      </c>
      <c r="NG31" s="26">
        <f t="shared" si="125"/>
        <v>0</v>
      </c>
      <c r="NH31" s="27">
        <f t="shared" si="125"/>
        <v>0</v>
      </c>
      <c r="NI31" s="27">
        <f t="shared" si="125"/>
        <v>0</v>
      </c>
      <c r="NJ31" s="27">
        <f t="shared" si="125"/>
        <v>0</v>
      </c>
      <c r="NK31" s="27">
        <f t="shared" si="125"/>
        <v>0</v>
      </c>
      <c r="NL31" s="33">
        <f t="shared" si="125"/>
        <v>0</v>
      </c>
      <c r="NM31" s="27">
        <f t="shared" si="125"/>
        <v>0</v>
      </c>
      <c r="NN31" s="36">
        <f t="shared" si="125"/>
        <v>0</v>
      </c>
      <c r="NO31" s="24">
        <f t="shared" si="125"/>
        <v>36219.120671164172</v>
      </c>
      <c r="NP31" s="27">
        <f t="shared" si="125"/>
        <v>24549.88002237798</v>
      </c>
      <c r="NQ31" s="24">
        <f t="shared" si="110"/>
        <v>8756.5482322711578</v>
      </c>
      <c r="NR31" s="24">
        <f t="shared" si="111"/>
        <v>11060.991351487181</v>
      </c>
      <c r="NS31" s="27">
        <f t="shared" si="0"/>
        <v>80586.54027730049</v>
      </c>
      <c r="NT31" s="27">
        <f t="shared" si="126"/>
        <v>0</v>
      </c>
      <c r="NU31" s="27">
        <f t="shared" si="126"/>
        <v>0</v>
      </c>
      <c r="NV31" s="27">
        <f t="shared" si="126"/>
        <v>0</v>
      </c>
      <c r="NW31" s="27">
        <f t="shared" si="126"/>
        <v>0</v>
      </c>
      <c r="NX31" s="27">
        <f t="shared" si="126"/>
        <v>0</v>
      </c>
      <c r="NY31" s="5">
        <f t="shared" si="126"/>
        <v>0</v>
      </c>
      <c r="NZ31" s="27">
        <f t="shared" si="126"/>
        <v>14671.648814178832</v>
      </c>
      <c r="OA31" s="27">
        <f t="shared" si="126"/>
        <v>0</v>
      </c>
      <c r="OB31" s="27">
        <f t="shared" si="126"/>
        <v>83893.089365972613</v>
      </c>
      <c r="OC31" s="27"/>
      <c r="OD31" s="24">
        <f t="shared" si="127"/>
        <v>0</v>
      </c>
      <c r="OE31" s="27">
        <f t="shared" si="127"/>
        <v>0</v>
      </c>
      <c r="OF31" s="28">
        <f t="shared" si="1"/>
        <v>98564.738180151442</v>
      </c>
      <c r="OG31" s="27">
        <f t="shared" si="128"/>
        <v>0</v>
      </c>
      <c r="OH31" s="27">
        <f t="shared" si="128"/>
        <v>0</v>
      </c>
      <c r="OI31" s="27">
        <f t="shared" si="128"/>
        <v>0</v>
      </c>
      <c r="OJ31" s="27">
        <f t="shared" si="128"/>
        <v>0</v>
      </c>
      <c r="OK31" s="27">
        <f t="shared" si="128"/>
        <v>0</v>
      </c>
      <c r="OL31" s="27">
        <f t="shared" si="128"/>
        <v>0</v>
      </c>
      <c r="OM31" s="24">
        <f t="shared" si="128"/>
        <v>0</v>
      </c>
      <c r="ON31" s="27">
        <f t="shared" si="128"/>
        <v>0</v>
      </c>
      <c r="OO31" s="24">
        <f t="shared" si="118"/>
        <v>60068.635076326253</v>
      </c>
      <c r="OP31" s="27">
        <f t="shared" si="128"/>
        <v>0</v>
      </c>
      <c r="OQ31" s="24">
        <f t="shared" si="128"/>
        <v>29001.087258794851</v>
      </c>
      <c r="OR31" s="27">
        <f t="shared" si="128"/>
        <v>0</v>
      </c>
      <c r="OS31" s="28">
        <f t="shared" si="2"/>
        <v>89069.7223351211</v>
      </c>
      <c r="OT31" s="36"/>
      <c r="OU31" s="27"/>
      <c r="OV31" s="27"/>
      <c r="OW31" s="27"/>
      <c r="OX31" s="27"/>
      <c r="OY31" s="27"/>
      <c r="OZ31" s="28">
        <f t="shared" si="69"/>
        <v>0</v>
      </c>
      <c r="PA31" s="36">
        <f t="shared" si="70"/>
        <v>0</v>
      </c>
      <c r="PB31" s="27">
        <f t="shared" si="71"/>
        <v>0</v>
      </c>
      <c r="PC31" s="27">
        <f t="shared" si="72"/>
        <v>0</v>
      </c>
      <c r="PD31" s="27">
        <f t="shared" si="73"/>
        <v>0</v>
      </c>
      <c r="PE31" s="24"/>
      <c r="PF31" s="27">
        <f t="shared" si="74"/>
        <v>0</v>
      </c>
      <c r="PG31" s="33">
        <f t="shared" si="3"/>
        <v>0</v>
      </c>
      <c r="PH31" s="2621"/>
      <c r="PJ31" s="1907">
        <v>64.02</v>
      </c>
      <c r="PK31" s="3">
        <v>1295</v>
      </c>
      <c r="PL31" s="3">
        <v>370</v>
      </c>
      <c r="PM31" s="3">
        <v>0</v>
      </c>
      <c r="PN31" s="3">
        <f t="shared" si="75"/>
        <v>32048.093504658704</v>
      </c>
      <c r="PO31" s="11">
        <f t="shared" si="76"/>
        <v>20290.725210117314</v>
      </c>
      <c r="PP31" s="15"/>
      <c r="PQ31" s="2615"/>
      <c r="PS31" s="4"/>
      <c r="PT31" s="9"/>
      <c r="PU31" s="9"/>
      <c r="PV31" s="9"/>
      <c r="PW31" s="8">
        <v>0</v>
      </c>
      <c r="PX31" s="9"/>
      <c r="PY31" s="8">
        <f t="shared" si="77"/>
        <v>0</v>
      </c>
      <c r="PZ31" s="5">
        <f t="shared" si="78"/>
        <v>64.02</v>
      </c>
      <c r="QA31" s="5"/>
      <c r="QB31" s="5"/>
      <c r="QC31" s="5"/>
      <c r="QD31" s="5"/>
      <c r="QE31" s="5"/>
      <c r="QF31" s="12"/>
      <c r="QG31" s="12">
        <f t="shared" si="79"/>
        <v>29562.488999999998</v>
      </c>
      <c r="QH31" s="420">
        <f t="shared" si="80"/>
        <v>283578.88180818991</v>
      </c>
      <c r="QI31" s="1106">
        <f t="shared" si="113"/>
        <v>2219.9567940000002</v>
      </c>
      <c r="QJ31" s="484">
        <f t="shared" si="81"/>
        <v>5505.3678056099998</v>
      </c>
      <c r="QK31" s="12"/>
      <c r="QL31" s="2615"/>
      <c r="QN31" s="139">
        <f t="shared" si="82"/>
        <v>0</v>
      </c>
      <c r="QO31" s="139" t="str">
        <f t="shared" si="83"/>
        <v/>
      </c>
      <c r="QQ31" s="139">
        <f t="shared" si="84"/>
        <v>0</v>
      </c>
      <c r="QR31" s="139">
        <f t="shared" si="85"/>
        <v>0</v>
      </c>
      <c r="QT31" s="1">
        <f t="shared" si="86"/>
        <v>0</v>
      </c>
      <c r="QU31" s="1">
        <f t="shared" si="87"/>
        <v>0</v>
      </c>
      <c r="QV31" s="1">
        <f t="shared" si="88"/>
        <v>0</v>
      </c>
      <c r="QW31" s="1">
        <f t="shared" si="89"/>
        <v>0</v>
      </c>
      <c r="QX31" s="1">
        <f t="shared" si="90"/>
        <v>0</v>
      </c>
      <c r="QY31" s="1">
        <f t="shared" si="91"/>
        <v>0</v>
      </c>
      <c r="RA31" s="1">
        <f t="shared" si="92"/>
        <v>0</v>
      </c>
      <c r="RB31" s="1">
        <f t="shared" si="93"/>
        <v>0</v>
      </c>
      <c r="RC31" s="1">
        <f t="shared" si="94"/>
        <v>0</v>
      </c>
      <c r="RD31" s="1">
        <f t="shared" si="95"/>
        <v>0</v>
      </c>
      <c r="RE31" s="1">
        <f t="shared" si="96"/>
        <v>0</v>
      </c>
      <c r="RF31" s="1">
        <f t="shared" si="97"/>
        <v>0</v>
      </c>
      <c r="RI31" s="1">
        <v>22</v>
      </c>
      <c r="RJ31" s="1">
        <f t="shared" si="123"/>
        <v>-27491.883290282902</v>
      </c>
      <c r="RK31" s="1">
        <f t="shared" si="123"/>
        <v>30434.270280483717</v>
      </c>
      <c r="RL31" s="1">
        <f t="shared" si="123"/>
        <v>13404.263703387322</v>
      </c>
      <c r="RM31" s="89">
        <f t="shared" si="5"/>
        <v>16346.650693588137</v>
      </c>
      <c r="RN31" s="1033">
        <v>22</v>
      </c>
      <c r="RO31" s="1098">
        <v>0</v>
      </c>
      <c r="RP31" s="1098">
        <f t="shared" si="99"/>
        <v>0</v>
      </c>
      <c r="RQ31" s="1097">
        <f t="shared" si="99"/>
        <v>0</v>
      </c>
      <c r="RR31" s="1097">
        <f t="shared" si="114"/>
        <v>6116.24</v>
      </c>
      <c r="RS31" s="1109"/>
      <c r="RT31" s="1109" t="s">
        <v>1045</v>
      </c>
      <c r="RU31" s="1048"/>
      <c r="RW31" s="421">
        <v>22</v>
      </c>
      <c r="RX31" s="1095">
        <f t="shared" si="100"/>
        <v>12426.91</v>
      </c>
      <c r="RY31" s="1046" t="s">
        <v>1046</v>
      </c>
      <c r="SA31" s="1090"/>
      <c r="SB31" s="1090">
        <f t="shared" si="101"/>
        <v>0</v>
      </c>
      <c r="SC31" s="1090"/>
      <c r="SD31" s="1090">
        <f t="shared" si="124"/>
        <v>0</v>
      </c>
      <c r="SF31" s="1">
        <v>22</v>
      </c>
      <c r="SG31" s="1">
        <f t="shared" si="103"/>
        <v>0</v>
      </c>
      <c r="SH31" s="1094"/>
    </row>
    <row r="32" spans="1:502" s="1" customFormat="1">
      <c r="B32" s="471">
        <v>23</v>
      </c>
      <c r="C32" s="4">
        <f t="shared" si="6"/>
        <v>161815</v>
      </c>
      <c r="D32" s="1590">
        <f t="shared" si="119"/>
        <v>12105.39</v>
      </c>
      <c r="E32" s="1895">
        <f t="shared" si="7"/>
        <v>13.367186022094291</v>
      </c>
      <c r="F32" s="870"/>
      <c r="G32" s="870"/>
      <c r="H32" s="52">
        <v>17</v>
      </c>
      <c r="I32" s="61">
        <v>5.35</v>
      </c>
      <c r="J32" s="52"/>
      <c r="K32" s="54"/>
      <c r="L32" s="52">
        <v>1</v>
      </c>
      <c r="M32" s="61">
        <v>1.25</v>
      </c>
      <c r="N32" s="2629"/>
      <c r="O32" s="4">
        <f t="shared" si="117"/>
        <v>104328</v>
      </c>
      <c r="P32" s="1225">
        <f t="shared" si="8"/>
        <v>7506.44</v>
      </c>
      <c r="Q32" s="1913">
        <f t="shared" si="9"/>
        <v>13.898465850656237</v>
      </c>
      <c r="R32" s="33"/>
      <c r="S32" s="26">
        <f t="shared" si="10"/>
        <v>37492</v>
      </c>
      <c r="T32" s="27">
        <f t="shared" si="105"/>
        <v>2420.9500000000003</v>
      </c>
      <c r="U32" s="1909">
        <f t="shared" si="11"/>
        <v>15.48648257915281</v>
      </c>
      <c r="V32" s="28"/>
      <c r="W32" s="26">
        <f t="shared" si="12"/>
        <v>13901</v>
      </c>
      <c r="X32" s="5">
        <f t="shared" si="12"/>
        <v>2178</v>
      </c>
      <c r="Y32" s="1909">
        <f t="shared" si="13"/>
        <v>6.3824609733700646</v>
      </c>
      <c r="Z32" s="33"/>
      <c r="AA32" s="26">
        <f t="shared" si="14"/>
        <v>6094</v>
      </c>
      <c r="AB32" s="27">
        <f t="shared" si="15"/>
        <v>0</v>
      </c>
      <c r="AC32" s="1909">
        <f t="shared" si="16"/>
        <v>0</v>
      </c>
      <c r="AD32" s="28"/>
      <c r="AE32" s="36"/>
      <c r="AF32" s="36"/>
      <c r="AG32" s="53">
        <f t="shared" si="17"/>
        <v>0</v>
      </c>
      <c r="AH32" s="28"/>
      <c r="AI32" s="23"/>
      <c r="AJ32" s="27"/>
      <c r="AK32" s="53">
        <f t="shared" si="18"/>
        <v>0</v>
      </c>
      <c r="AL32" s="28"/>
      <c r="AM32" s="2629"/>
      <c r="AN32" s="9"/>
      <c r="AO32" s="5"/>
      <c r="AP32" s="61">
        <f t="shared" si="19"/>
        <v>0</v>
      </c>
      <c r="AQ32" s="36"/>
      <c r="AR32" s="53"/>
      <c r="AS32" s="61">
        <f t="shared" si="20"/>
        <v>0</v>
      </c>
      <c r="AT32" s="36">
        <v>0</v>
      </c>
      <c r="AU32" s="27"/>
      <c r="AV32" s="54">
        <f t="shared" si="21"/>
        <v>0</v>
      </c>
      <c r="AW32" s="26">
        <v>59640</v>
      </c>
      <c r="AX32" s="24">
        <v>4976.3999999999996</v>
      </c>
      <c r="AY32" s="1895">
        <f t="shared" si="115"/>
        <v>11.984567156980951</v>
      </c>
      <c r="AZ32" s="1908"/>
      <c r="BA32" s="1909"/>
      <c r="BB32" s="1895">
        <f t="shared" si="22"/>
        <v>0</v>
      </c>
      <c r="BC32" s="1740">
        <v>44688</v>
      </c>
      <c r="BD32" s="1926">
        <v>2530.04</v>
      </c>
      <c r="BE32" s="1895">
        <f t="shared" si="23"/>
        <v>17.662961850405527</v>
      </c>
      <c r="BF32" s="1908"/>
      <c r="BG32" s="1909"/>
      <c r="BH32" s="1895">
        <f t="shared" si="24"/>
        <v>0</v>
      </c>
      <c r="BI32" s="1908">
        <v>0</v>
      </c>
      <c r="BJ32" s="1909">
        <v>0</v>
      </c>
      <c r="BK32" s="1895">
        <f t="shared" si="25"/>
        <v>0</v>
      </c>
      <c r="BL32" s="2491">
        <v>37492</v>
      </c>
      <c r="BM32" s="1736">
        <v>2420.9500000000003</v>
      </c>
      <c r="BN32" s="2170"/>
      <c r="BO32" s="1911">
        <f t="shared" si="26"/>
        <v>15.48648257915281</v>
      </c>
      <c r="BP32" s="9">
        <v>6094</v>
      </c>
      <c r="BQ32" s="63">
        <v>0</v>
      </c>
      <c r="BR32" s="1920">
        <f t="shared" si="27"/>
        <v>0</v>
      </c>
      <c r="BS32" s="9"/>
      <c r="BT32" s="64"/>
      <c r="BU32" s="482">
        <f t="shared" si="28"/>
        <v>0</v>
      </c>
      <c r="BV32" s="9">
        <v>13901</v>
      </c>
      <c r="BW32" s="5">
        <f t="shared" si="106"/>
        <v>2178</v>
      </c>
      <c r="BX32" s="15">
        <f t="shared" si="29"/>
        <v>6.3824609733700646</v>
      </c>
      <c r="BY32" s="4"/>
      <c r="BZ32" s="5"/>
      <c r="CA32" s="482">
        <f t="shared" si="30"/>
        <v>0</v>
      </c>
      <c r="CB32" s="9"/>
      <c r="CC32" s="5"/>
      <c r="CD32" s="482">
        <f t="shared" si="31"/>
        <v>0</v>
      </c>
      <c r="CE32" s="4"/>
      <c r="CF32" s="5"/>
      <c r="CG32" s="28">
        <f t="shared" si="32"/>
        <v>0</v>
      </c>
      <c r="CH32" s="150"/>
      <c r="CI32" s="1108"/>
      <c r="CJ32" s="5"/>
      <c r="CK32" s="5">
        <v>3695</v>
      </c>
      <c r="CL32" s="5"/>
      <c r="CM32" s="5"/>
      <c r="CN32" s="5">
        <f t="shared" si="33"/>
        <v>3695</v>
      </c>
      <c r="CO32" s="33"/>
      <c r="CP32" s="368"/>
      <c r="CR32" s="4">
        <f t="shared" ref="CR32:CT40" si="130">SUM(DF32,DS32,EF32)</f>
        <v>0</v>
      </c>
      <c r="CS32" s="9">
        <f t="shared" si="130"/>
        <v>0</v>
      </c>
      <c r="CT32" s="5">
        <f t="shared" si="130"/>
        <v>0</v>
      </c>
      <c r="CU32" s="5">
        <f t="shared" si="129"/>
        <v>0</v>
      </c>
      <c r="CV32" s="5">
        <f t="shared" si="129"/>
        <v>0</v>
      </c>
      <c r="CW32" s="5">
        <f t="shared" si="129"/>
        <v>0</v>
      </c>
      <c r="CX32" s="5">
        <f t="shared" si="129"/>
        <v>1838.76</v>
      </c>
      <c r="CY32" s="5">
        <f t="shared" si="129"/>
        <v>0</v>
      </c>
      <c r="CZ32" s="5">
        <f t="shared" si="129"/>
        <v>10266.630000000001</v>
      </c>
      <c r="DA32" s="5">
        <f t="shared" si="129"/>
        <v>0</v>
      </c>
      <c r="DB32" s="5">
        <f t="shared" si="129"/>
        <v>0</v>
      </c>
      <c r="DC32" s="12">
        <f t="shared" si="129"/>
        <v>0</v>
      </c>
      <c r="DD32" s="310">
        <f>SUM(CR32:DC32,PW32,PX32,)</f>
        <v>12105.390000000001</v>
      </c>
      <c r="DE32" s="2695"/>
      <c r="DF32" s="8"/>
      <c r="DG32" s="9"/>
      <c r="DH32" s="5"/>
      <c r="DI32" s="5"/>
      <c r="DJ32" s="5"/>
      <c r="DK32" s="5"/>
      <c r="DL32" s="3">
        <v>1838.76</v>
      </c>
      <c r="DM32" s="12"/>
      <c r="DN32" s="3">
        <v>3137.64</v>
      </c>
      <c r="DO32" s="9"/>
      <c r="DP32" s="3">
        <v>0</v>
      </c>
      <c r="DQ32" s="12"/>
      <c r="DR32" s="28">
        <f t="shared" si="36"/>
        <v>4976.3999999999996</v>
      </c>
      <c r="DS32" s="36"/>
      <c r="DT32" s="9"/>
      <c r="DU32" s="5"/>
      <c r="DV32" s="5"/>
      <c r="DW32" s="5"/>
      <c r="DX32" s="5"/>
      <c r="DY32" s="27"/>
      <c r="DZ32" s="27"/>
      <c r="EA32" s="3">
        <v>4950.9900000000007</v>
      </c>
      <c r="EB32" s="27"/>
      <c r="EC32" s="24">
        <v>0</v>
      </c>
      <c r="ED32" s="33"/>
      <c r="EE32" s="28">
        <f t="shared" si="37"/>
        <v>4950.9900000000007</v>
      </c>
      <c r="EF32" s="9"/>
      <c r="EG32" s="36"/>
      <c r="EH32" s="27"/>
      <c r="EI32" s="27"/>
      <c r="EJ32" s="27"/>
      <c r="EK32" s="27"/>
      <c r="EL32" s="27"/>
      <c r="EM32" s="27"/>
      <c r="EN32" s="5">
        <v>2178</v>
      </c>
      <c r="EO32" s="5"/>
      <c r="EP32" s="5"/>
      <c r="EQ32" s="33"/>
      <c r="ER32" s="28">
        <f t="shared" si="38"/>
        <v>2178</v>
      </c>
      <c r="ES32" s="36"/>
      <c r="ET32" s="27"/>
      <c r="EU32" s="27"/>
      <c r="EV32" s="27"/>
      <c r="EW32" s="27"/>
      <c r="EX32" s="27"/>
      <c r="EY32" s="33">
        <f t="shared" si="39"/>
        <v>0</v>
      </c>
      <c r="EZ32" s="2685"/>
      <c r="FB32" s="4">
        <f t="shared" si="40"/>
        <v>0</v>
      </c>
      <c r="FC32" s="5">
        <f t="shared" si="41"/>
        <v>0</v>
      </c>
      <c r="FD32" s="5">
        <f t="shared" si="42"/>
        <v>0</v>
      </c>
      <c r="FE32" s="12">
        <f t="shared" si="43"/>
        <v>0</v>
      </c>
      <c r="FF32" s="33"/>
      <c r="FG32" s="2674"/>
      <c r="FH32" s="9"/>
      <c r="FI32" s="5"/>
      <c r="FJ32" s="5"/>
      <c r="FK32" s="5"/>
      <c r="FL32" s="5"/>
      <c r="FM32" s="27"/>
      <c r="FN32" s="28">
        <f t="shared" si="44"/>
        <v>0</v>
      </c>
      <c r="FO32" s="36"/>
      <c r="FP32" s="27"/>
      <c r="FQ32" s="27"/>
      <c r="FR32" s="27"/>
      <c r="FS32" s="27"/>
      <c r="FT32" s="27"/>
      <c r="FU32" s="28">
        <f t="shared" si="45"/>
        <v>0</v>
      </c>
      <c r="FV32" s="36"/>
      <c r="FW32" s="36"/>
      <c r="FX32" s="27"/>
      <c r="FY32" s="27"/>
      <c r="FZ32" s="27"/>
      <c r="GA32" s="27"/>
      <c r="GB32" s="27"/>
      <c r="GC32" s="27"/>
      <c r="GD32" s="24">
        <v>0</v>
      </c>
      <c r="GE32" s="27"/>
      <c r="GF32" s="27"/>
      <c r="GG32" s="33"/>
      <c r="GH32" s="33">
        <f t="shared" si="46"/>
        <v>0</v>
      </c>
      <c r="GI32" s="2674"/>
      <c r="GK32" s="2">
        <f t="shared" si="107"/>
        <v>0</v>
      </c>
      <c r="GL32" s="63">
        <f t="shared" si="108"/>
        <v>0</v>
      </c>
      <c r="GM32" s="24">
        <f t="shared" si="109"/>
        <v>0</v>
      </c>
      <c r="GN32" s="1736">
        <f t="shared" si="47"/>
        <v>0</v>
      </c>
      <c r="GO32" s="141"/>
      <c r="GP32" s="141"/>
      <c r="GQ32" s="33"/>
      <c r="GR32" s="2667"/>
      <c r="GS32" s="1739">
        <v>0</v>
      </c>
      <c r="GT32" s="1721">
        <v>0</v>
      </c>
      <c r="GU32" s="1721">
        <v>0</v>
      </c>
      <c r="GV32" s="1721">
        <v>0</v>
      </c>
      <c r="GW32" s="33">
        <v>0</v>
      </c>
      <c r="GX32" s="2667"/>
      <c r="GY32" s="36"/>
      <c r="GZ32" s="36"/>
      <c r="HA32" s="27"/>
      <c r="HB32" s="27"/>
      <c r="HC32" s="27"/>
      <c r="HD32" s="27"/>
      <c r="HE32" s="27"/>
      <c r="HF32" s="27"/>
      <c r="HG32" s="24">
        <v>0</v>
      </c>
      <c r="HH32" s="27"/>
      <c r="HI32" s="24">
        <v>0</v>
      </c>
      <c r="HJ32" s="27"/>
      <c r="HK32" s="24">
        <v>0</v>
      </c>
      <c r="HL32" s="27"/>
      <c r="HM32" s="28">
        <f t="shared" si="120"/>
        <v>0</v>
      </c>
      <c r="HN32" s="36"/>
      <c r="HO32" s="27"/>
      <c r="HP32" s="27"/>
      <c r="HQ32" s="27"/>
      <c r="HR32" s="27"/>
      <c r="HS32" s="27"/>
      <c r="HT32" s="27">
        <f t="array" ref="HT32">SUMPRODUCT(('Data Base hauling'!$C$2:$C$2000="TCM-ROM SB1 BK05-ROM 4")*(ISNUMBER(SEARCH(TEXT('July TCM'!$B32,"00")&amp;"/03/2026",'Data Base hauling'!$E$2:$E$2000)))*'Data Base hauling'!$N$2:$N$2000)</f>
        <v>0</v>
      </c>
      <c r="HU32" s="27"/>
      <c r="HV32" s="27">
        <f t="array" ref="HV32">SUMPRODUCT(('Data Base hauling'!$C$2:$C$2000="TCM-ROM SB1 BK05-ROM 5")*(ISNUMBER(SEARCH(TEXT('July TCM'!$B32,"00")&amp;"/03/2026",'Data Base hauling'!$E$2:$E$2000)))*'Data Base hauling'!$N$2:$N$2000)</f>
        <v>0</v>
      </c>
      <c r="HW32" s="27"/>
      <c r="HX32" s="27"/>
      <c r="HY32" s="27"/>
      <c r="HZ32" s="27"/>
      <c r="IA32" s="27"/>
      <c r="IB32" s="33">
        <f t="shared" si="49"/>
        <v>0</v>
      </c>
      <c r="IC32" s="52"/>
      <c r="ID32" s="152"/>
      <c r="IE32" s="53"/>
      <c r="IF32" s="53"/>
      <c r="IG32" s="53"/>
      <c r="IH32" s="53"/>
      <c r="II32" s="1926">
        <v>0</v>
      </c>
      <c r="IJ32" s="1736"/>
      <c r="IK32" s="1926">
        <v>0</v>
      </c>
      <c r="IL32" s="53"/>
      <c r="IM32" s="49">
        <v>0</v>
      </c>
      <c r="IN32" s="53"/>
      <c r="IO32" s="53"/>
      <c r="IP32" s="49">
        <v>0</v>
      </c>
      <c r="IQ32" s="2195">
        <f t="shared" si="121"/>
        <v>0</v>
      </c>
      <c r="IR32" s="36"/>
      <c r="IS32" s="36"/>
      <c r="IT32" s="27"/>
      <c r="IU32" s="27"/>
      <c r="IV32" s="53"/>
      <c r="IW32" s="27"/>
      <c r="IX32" s="24">
        <v>0</v>
      </c>
      <c r="IY32" s="27"/>
      <c r="IZ32" s="24">
        <v>0</v>
      </c>
      <c r="JA32" s="27"/>
      <c r="JB32" s="24">
        <v>0</v>
      </c>
      <c r="JC32" s="27"/>
      <c r="JD32" s="27"/>
      <c r="JE32" s="27"/>
      <c r="JF32" s="33">
        <f t="shared" si="122"/>
        <v>0</v>
      </c>
      <c r="JG32" s="2667"/>
      <c r="JI32" s="2014">
        <v>0</v>
      </c>
      <c r="JJ32" s="2015">
        <v>0</v>
      </c>
      <c r="JK32" s="53"/>
      <c r="JL32" s="1736">
        <f t="shared" si="52"/>
        <v>0</v>
      </c>
      <c r="JM32" s="33"/>
      <c r="JN32" s="2669"/>
      <c r="JO32" s="66" t="s">
        <v>296</v>
      </c>
      <c r="JP32" s="67" t="s">
        <v>296</v>
      </c>
      <c r="JQ32" s="67" t="s">
        <v>296</v>
      </c>
      <c r="JR32" s="67" t="s">
        <v>296</v>
      </c>
      <c r="JS32" s="67" t="s">
        <v>296</v>
      </c>
      <c r="JT32" s="67" t="s">
        <v>296</v>
      </c>
      <c r="JU32" s="67" t="s">
        <v>296</v>
      </c>
      <c r="JV32" s="1921">
        <v>0</v>
      </c>
      <c r="JW32" s="66" t="s">
        <v>296</v>
      </c>
      <c r="JX32" s="67" t="s">
        <v>296</v>
      </c>
      <c r="JY32" s="67" t="s">
        <v>296</v>
      </c>
      <c r="JZ32" s="67" t="s">
        <v>296</v>
      </c>
      <c r="KA32" s="67" t="s">
        <v>296</v>
      </c>
      <c r="KB32" s="67" t="s">
        <v>296</v>
      </c>
      <c r="KC32" s="67" t="s">
        <v>296</v>
      </c>
      <c r="KD32" s="68" t="s">
        <v>296</v>
      </c>
      <c r="KE32" s="69"/>
      <c r="KF32" s="70"/>
      <c r="KG32" s="70"/>
      <c r="KH32" s="70"/>
      <c r="KI32" s="70"/>
      <c r="KJ32" s="70"/>
      <c r="KK32" s="70"/>
      <c r="KL32" s="70"/>
      <c r="KM32" s="33"/>
      <c r="KN32" s="2669"/>
      <c r="KO32" s="2203">
        <v>0</v>
      </c>
      <c r="KP32" s="1721">
        <v>0</v>
      </c>
      <c r="KQ32" s="1721">
        <v>0</v>
      </c>
      <c r="KR32" s="1721">
        <v>0</v>
      </c>
      <c r="KS32" s="1722">
        <v>0</v>
      </c>
      <c r="KT32" s="1958">
        <v>0</v>
      </c>
      <c r="KU32" s="1961">
        <v>0</v>
      </c>
      <c r="KV32" s="1961">
        <v>0</v>
      </c>
      <c r="KW32" s="1961">
        <v>0</v>
      </c>
      <c r="KX32" s="1962">
        <v>0</v>
      </c>
      <c r="KY32" s="36"/>
      <c r="KZ32" s="53"/>
      <c r="LA32" s="53"/>
      <c r="LB32" s="53"/>
      <c r="LC32" s="53"/>
      <c r="LD32" s="33"/>
      <c r="LE32" s="2669"/>
      <c r="LG32" s="4">
        <f t="shared" si="53"/>
        <v>14610.61</v>
      </c>
      <c r="LH32" s="5">
        <f t="shared" si="53"/>
        <v>0</v>
      </c>
      <c r="LI32" s="27">
        <f t="shared" si="53"/>
        <v>0</v>
      </c>
      <c r="LJ32" s="28">
        <f t="shared" si="54"/>
        <v>14610.61</v>
      </c>
      <c r="LK32" s="36">
        <v>2</v>
      </c>
      <c r="LL32" s="27">
        <v>1</v>
      </c>
      <c r="LM32" s="27">
        <v>2</v>
      </c>
      <c r="LN32" s="33"/>
      <c r="LO32" s="1041">
        <v>1.89</v>
      </c>
      <c r="LP32" s="486"/>
      <c r="LQ32" s="2688"/>
      <c r="LR32" s="36">
        <v>14610.61</v>
      </c>
      <c r="LS32" s="36"/>
      <c r="LT32" s="27"/>
      <c r="LU32" s="27"/>
      <c r="LV32" s="27"/>
      <c r="LW32" s="1107">
        <f t="shared" si="55"/>
        <v>14610.61</v>
      </c>
      <c r="LX32" s="36"/>
      <c r="LY32" s="36"/>
      <c r="LZ32" s="27"/>
      <c r="MA32" s="27"/>
      <c r="MB32" s="33"/>
      <c r="MC32" s="28">
        <f t="shared" si="56"/>
        <v>0</v>
      </c>
      <c r="MD32" s="26"/>
      <c r="ME32" s="36"/>
      <c r="MF32" s="27"/>
      <c r="MG32" s="27"/>
      <c r="MH32" s="27"/>
      <c r="MI32" s="28"/>
      <c r="MJ32" s="36"/>
      <c r="MK32" s="36"/>
      <c r="ML32" s="27"/>
      <c r="MM32" s="27"/>
      <c r="MN32" s="27"/>
      <c r="MO32" s="28"/>
      <c r="MP32" s="36"/>
      <c r="MQ32" s="36"/>
      <c r="MR32" s="27"/>
      <c r="MS32" s="27"/>
      <c r="MT32" s="27"/>
      <c r="MU32" s="33">
        <f t="shared" si="57"/>
        <v>0</v>
      </c>
      <c r="MV32" s="2688"/>
      <c r="MX32" s="26">
        <f t="shared" si="58"/>
        <v>162916.84549195669</v>
      </c>
      <c r="MY32" s="27">
        <f t="shared" si="59"/>
        <v>280326.39079257305</v>
      </c>
      <c r="MZ32" s="27">
        <f t="shared" si="60"/>
        <v>20392.725210117314</v>
      </c>
      <c r="NA32" s="28">
        <f t="shared" si="61"/>
        <v>315361.32760218991</v>
      </c>
      <c r="NB32" s="2621"/>
      <c r="NC32" s="23">
        <f t="shared" si="62"/>
        <v>59013.224468159198</v>
      </c>
      <c r="ND32" s="1655">
        <f t="shared" si="63"/>
        <v>103903.6210237975</v>
      </c>
      <c r="NE32" s="60">
        <f t="shared" si="64"/>
        <v>0</v>
      </c>
      <c r="NF32" s="275">
        <f t="shared" si="4"/>
        <v>162916.84549195669</v>
      </c>
      <c r="NG32" s="26">
        <f t="shared" si="125"/>
        <v>0</v>
      </c>
      <c r="NH32" s="27">
        <f t="shared" si="125"/>
        <v>0</v>
      </c>
      <c r="NI32" s="27">
        <f t="shared" si="125"/>
        <v>0</v>
      </c>
      <c r="NJ32" s="27">
        <f t="shared" si="125"/>
        <v>0</v>
      </c>
      <c r="NK32" s="27">
        <f t="shared" si="125"/>
        <v>0</v>
      </c>
      <c r="NL32" s="33">
        <f t="shared" si="125"/>
        <v>0</v>
      </c>
      <c r="NM32" s="27">
        <f t="shared" si="125"/>
        <v>0</v>
      </c>
      <c r="NN32" s="36">
        <f t="shared" si="125"/>
        <v>0</v>
      </c>
      <c r="NO32" s="24">
        <f t="shared" si="125"/>
        <v>38397.120671164172</v>
      </c>
      <c r="NP32" s="27">
        <f t="shared" si="125"/>
        <v>24549.88002237798</v>
      </c>
      <c r="NQ32" s="24">
        <f t="shared" si="110"/>
        <v>8756.5482322711578</v>
      </c>
      <c r="NR32" s="24">
        <f t="shared" si="111"/>
        <v>11060.991351487181</v>
      </c>
      <c r="NS32" s="27">
        <f t="shared" si="0"/>
        <v>82764.54027730049</v>
      </c>
      <c r="NT32" s="27">
        <f t="shared" si="126"/>
        <v>0</v>
      </c>
      <c r="NU32" s="27">
        <f t="shared" si="126"/>
        <v>0</v>
      </c>
      <c r="NV32" s="27">
        <f t="shared" si="126"/>
        <v>0</v>
      </c>
      <c r="NW32" s="27">
        <f t="shared" si="126"/>
        <v>0</v>
      </c>
      <c r="NX32" s="27">
        <f t="shared" si="126"/>
        <v>0</v>
      </c>
      <c r="NY32" s="5">
        <f t="shared" si="126"/>
        <v>0</v>
      </c>
      <c r="NZ32" s="27">
        <f t="shared" si="126"/>
        <v>16510.408814178831</v>
      </c>
      <c r="OA32" s="27">
        <f t="shared" si="126"/>
        <v>0</v>
      </c>
      <c r="OB32" s="27">
        <f t="shared" si="126"/>
        <v>87030.729365972613</v>
      </c>
      <c r="OC32" s="27"/>
      <c r="OD32" s="24">
        <f t="shared" si="127"/>
        <v>0</v>
      </c>
      <c r="OE32" s="27">
        <f t="shared" si="127"/>
        <v>0</v>
      </c>
      <c r="OF32" s="28">
        <f t="shared" si="1"/>
        <v>103541.13818015144</v>
      </c>
      <c r="OG32" s="27">
        <f t="shared" si="128"/>
        <v>0</v>
      </c>
      <c r="OH32" s="27">
        <f t="shared" si="128"/>
        <v>0</v>
      </c>
      <c r="OI32" s="27">
        <f t="shared" si="128"/>
        <v>0</v>
      </c>
      <c r="OJ32" s="27">
        <f t="shared" si="128"/>
        <v>0</v>
      </c>
      <c r="OK32" s="27">
        <f t="shared" si="128"/>
        <v>0</v>
      </c>
      <c r="OL32" s="27">
        <f t="shared" si="128"/>
        <v>0</v>
      </c>
      <c r="OM32" s="24">
        <f t="shared" si="128"/>
        <v>0</v>
      </c>
      <c r="ON32" s="27">
        <f t="shared" si="128"/>
        <v>0</v>
      </c>
      <c r="OO32" s="24">
        <f t="shared" si="118"/>
        <v>65019.625076326251</v>
      </c>
      <c r="OP32" s="27">
        <f t="shared" si="128"/>
        <v>0</v>
      </c>
      <c r="OQ32" s="24">
        <f t="shared" si="128"/>
        <v>29001.087258794851</v>
      </c>
      <c r="OR32" s="27">
        <f t="shared" si="128"/>
        <v>0</v>
      </c>
      <c r="OS32" s="28">
        <f t="shared" si="2"/>
        <v>94020.712335121105</v>
      </c>
      <c r="OT32" s="36"/>
      <c r="OU32" s="27"/>
      <c r="OV32" s="27"/>
      <c r="OW32" s="27"/>
      <c r="OX32" s="27"/>
      <c r="OY32" s="27"/>
      <c r="OZ32" s="28">
        <f t="shared" si="69"/>
        <v>0</v>
      </c>
      <c r="PA32" s="36">
        <f t="shared" si="70"/>
        <v>0</v>
      </c>
      <c r="PB32" s="27">
        <f t="shared" si="71"/>
        <v>0</v>
      </c>
      <c r="PC32" s="27">
        <f t="shared" si="72"/>
        <v>0</v>
      </c>
      <c r="PD32" s="27">
        <f t="shared" si="73"/>
        <v>0</v>
      </c>
      <c r="PE32" s="24"/>
      <c r="PF32" s="27">
        <f t="shared" si="74"/>
        <v>0</v>
      </c>
      <c r="PG32" s="33">
        <f t="shared" si="3"/>
        <v>0</v>
      </c>
      <c r="PH32" s="2621"/>
      <c r="PJ32" s="1907">
        <v>0</v>
      </c>
      <c r="PK32" s="3">
        <v>357.00000000000006</v>
      </c>
      <c r="PL32" s="3">
        <v>102.00000000000001</v>
      </c>
      <c r="PM32" s="3">
        <v>0</v>
      </c>
      <c r="PN32" s="3">
        <f t="shared" si="75"/>
        <v>31691.093504658704</v>
      </c>
      <c r="PO32" s="11">
        <f t="shared" si="76"/>
        <v>20392.725210117314</v>
      </c>
      <c r="PP32" s="15"/>
      <c r="PQ32" s="2615"/>
      <c r="PS32" s="4"/>
      <c r="PT32" s="9"/>
      <c r="PU32" s="9"/>
      <c r="PV32" s="9"/>
      <c r="PW32" s="8">
        <v>0</v>
      </c>
      <c r="PX32" s="9"/>
      <c r="PY32" s="8">
        <f t="shared" si="77"/>
        <v>0</v>
      </c>
      <c r="PZ32" s="5">
        <f t="shared" si="78"/>
        <v>0</v>
      </c>
      <c r="QA32" s="5"/>
      <c r="QB32" s="5"/>
      <c r="QC32" s="5"/>
      <c r="QD32" s="5"/>
      <c r="QE32" s="5"/>
      <c r="QF32" s="12"/>
      <c r="QG32" s="12">
        <f t="shared" si="79"/>
        <v>29562.488999999998</v>
      </c>
      <c r="QH32" s="420">
        <f t="shared" si="80"/>
        <v>283578.88180818991</v>
      </c>
      <c r="QI32" s="1106">
        <f t="shared" si="113"/>
        <v>2219.9567940000002</v>
      </c>
      <c r="QJ32" s="484">
        <f t="shared" si="81"/>
        <v>5505.3678056099998</v>
      </c>
      <c r="QK32" s="12"/>
      <c r="QL32" s="2615"/>
      <c r="QN32" s="139" t="str">
        <f t="shared" si="82"/>
        <v/>
      </c>
      <c r="QO32" s="139" t="str">
        <f t="shared" si="83"/>
        <v/>
      </c>
      <c r="QQ32" s="139" t="str">
        <f t="shared" si="84"/>
        <v/>
      </c>
      <c r="QR32" s="139" t="str">
        <f t="shared" si="85"/>
        <v/>
      </c>
      <c r="QT32" s="1">
        <f t="shared" si="86"/>
        <v>0</v>
      </c>
      <c r="QU32" s="1">
        <f t="shared" si="87"/>
        <v>0</v>
      </c>
      <c r="QV32" s="1">
        <f t="shared" si="88"/>
        <v>0</v>
      </c>
      <c r="QW32" s="1">
        <f t="shared" si="89"/>
        <v>0</v>
      </c>
      <c r="QX32" s="1">
        <f t="shared" si="90"/>
        <v>0</v>
      </c>
      <c r="QY32" s="1">
        <f t="shared" si="91"/>
        <v>0</v>
      </c>
      <c r="RA32" s="1">
        <f t="shared" si="92"/>
        <v>0</v>
      </c>
      <c r="RB32" s="1">
        <f t="shared" si="93"/>
        <v>0</v>
      </c>
      <c r="RC32" s="1">
        <f t="shared" si="94"/>
        <v>0</v>
      </c>
      <c r="RD32" s="1">
        <f t="shared" si="95"/>
        <v>0</v>
      </c>
      <c r="RE32" s="1">
        <f t="shared" si="96"/>
        <v>0</v>
      </c>
      <c r="RF32" s="1">
        <f t="shared" si="97"/>
        <v>0</v>
      </c>
      <c r="RI32" s="1">
        <v>23</v>
      </c>
      <c r="RJ32" s="1">
        <f t="shared" si="123"/>
        <v>-42102.493290282902</v>
      </c>
      <c r="RK32" s="1">
        <f t="shared" si="123"/>
        <v>30434.270280483717</v>
      </c>
      <c r="RL32" s="1">
        <f t="shared" si="123"/>
        <v>13404.263703387322</v>
      </c>
      <c r="RM32" s="89">
        <f t="shared" si="5"/>
        <v>1736.0406935881365</v>
      </c>
      <c r="RN32" s="1033">
        <v>23</v>
      </c>
      <c r="RO32" s="1098">
        <v>0</v>
      </c>
      <c r="RP32" s="1098">
        <f t="shared" si="99"/>
        <v>0</v>
      </c>
      <c r="RQ32" s="1097">
        <f t="shared" si="99"/>
        <v>0</v>
      </c>
      <c r="RR32" s="1097">
        <f t="shared" si="114"/>
        <v>9927.39</v>
      </c>
      <c r="RS32" s="1094"/>
      <c r="RT32" s="2420">
        <v>2607234016</v>
      </c>
      <c r="RW32" s="421">
        <v>23</v>
      </c>
      <c r="RX32" s="1095">
        <f t="shared" si="100"/>
        <v>0</v>
      </c>
      <c r="RY32" s="1094"/>
      <c r="SA32" s="1090"/>
      <c r="SB32" s="1090">
        <f t="shared" si="101"/>
        <v>0</v>
      </c>
      <c r="SC32" s="1090"/>
      <c r="SD32" s="1090">
        <f t="shared" si="124"/>
        <v>0</v>
      </c>
      <c r="SF32" s="1">
        <v>23</v>
      </c>
      <c r="SG32" s="1">
        <f t="shared" si="103"/>
        <v>0</v>
      </c>
      <c r="SH32" s="1094"/>
    </row>
    <row r="33" spans="1:502" s="1" customFormat="1">
      <c r="B33" s="471">
        <v>24</v>
      </c>
      <c r="C33" s="4">
        <f t="shared" si="6"/>
        <v>159688</v>
      </c>
      <c r="D33" s="1590">
        <f t="shared" si="119"/>
        <v>11660.170000000002</v>
      </c>
      <c r="E33" s="1895">
        <f t="shared" si="7"/>
        <v>13.695169109884331</v>
      </c>
      <c r="F33" s="870"/>
      <c r="G33" s="870"/>
      <c r="H33" s="52">
        <v>2</v>
      </c>
      <c r="I33" s="61">
        <v>1.5</v>
      </c>
      <c r="J33" s="52"/>
      <c r="K33" s="54"/>
      <c r="L33" s="52"/>
      <c r="M33" s="61"/>
      <c r="N33" s="2629"/>
      <c r="O33" s="4">
        <f t="shared" si="117"/>
        <v>94080</v>
      </c>
      <c r="P33" s="1225">
        <f t="shared" si="8"/>
        <v>7452.9900000000007</v>
      </c>
      <c r="Q33" s="1913">
        <f t="shared" si="9"/>
        <v>12.623121726984738</v>
      </c>
      <c r="R33" s="33"/>
      <c r="S33" s="26">
        <f t="shared" si="10"/>
        <v>36585</v>
      </c>
      <c r="T33" s="27">
        <f t="shared" si="105"/>
        <v>1887.1800000000003</v>
      </c>
      <c r="U33" s="1909">
        <f t="shared" si="11"/>
        <v>19.386068101611926</v>
      </c>
      <c r="V33" s="28"/>
      <c r="W33" s="26">
        <f t="shared" si="12"/>
        <v>24696</v>
      </c>
      <c r="X33" s="5">
        <f t="shared" si="12"/>
        <v>2320</v>
      </c>
      <c r="Y33" s="1909">
        <f t="shared" si="13"/>
        <v>10.644827586206896</v>
      </c>
      <c r="Z33" s="33"/>
      <c r="AA33" s="26">
        <f t="shared" si="14"/>
        <v>4327</v>
      </c>
      <c r="AB33" s="27">
        <f t="shared" si="15"/>
        <v>0</v>
      </c>
      <c r="AC33" s="1909">
        <f t="shared" si="16"/>
        <v>0</v>
      </c>
      <c r="AD33" s="28"/>
      <c r="AE33" s="36"/>
      <c r="AF33" s="36"/>
      <c r="AG33" s="53">
        <f t="shared" si="17"/>
        <v>0</v>
      </c>
      <c r="AH33" s="28"/>
      <c r="AI33" s="26"/>
      <c r="AJ33" s="27"/>
      <c r="AK33" s="53">
        <f t="shared" si="18"/>
        <v>0</v>
      </c>
      <c r="AL33" s="28"/>
      <c r="AM33" s="2629"/>
      <c r="AN33" s="9"/>
      <c r="AO33" s="5"/>
      <c r="AP33" s="61">
        <f t="shared" si="19"/>
        <v>0</v>
      </c>
      <c r="AQ33" s="36"/>
      <c r="AR33" s="53"/>
      <c r="AS33" s="61">
        <f t="shared" si="20"/>
        <v>0</v>
      </c>
      <c r="AT33" s="36">
        <v>0</v>
      </c>
      <c r="AU33" s="27"/>
      <c r="AV33" s="54">
        <f t="shared" si="21"/>
        <v>0</v>
      </c>
      <c r="AW33" s="26">
        <v>51660</v>
      </c>
      <c r="AX33" s="24">
        <v>4407.8500000000004</v>
      </c>
      <c r="AY33" s="1895">
        <f t="shared" si="115"/>
        <v>11.71999954626405</v>
      </c>
      <c r="AZ33" s="1908"/>
      <c r="BA33" s="1909"/>
      <c r="BB33" s="1895">
        <f t="shared" si="22"/>
        <v>0</v>
      </c>
      <c r="BC33" s="1740">
        <v>42420</v>
      </c>
      <c r="BD33" s="1926">
        <v>3045.1400000000003</v>
      </c>
      <c r="BE33" s="1895">
        <f t="shared" si="23"/>
        <v>13.930394004873337</v>
      </c>
      <c r="BF33" s="1908"/>
      <c r="BG33" s="1909"/>
      <c r="BH33" s="1895">
        <f t="shared" si="24"/>
        <v>0</v>
      </c>
      <c r="BI33" s="1908">
        <v>0</v>
      </c>
      <c r="BJ33" s="1909">
        <v>0</v>
      </c>
      <c r="BK33" s="1895">
        <f t="shared" si="25"/>
        <v>0</v>
      </c>
      <c r="BL33" s="2491">
        <v>36585</v>
      </c>
      <c r="BM33" s="1736">
        <v>1887.1800000000003</v>
      </c>
      <c r="BN33" s="2170"/>
      <c r="BO33" s="1911">
        <f t="shared" si="26"/>
        <v>19.386068101611926</v>
      </c>
      <c r="BP33" s="9">
        <v>4327</v>
      </c>
      <c r="BQ33" s="63">
        <v>0</v>
      </c>
      <c r="BR33" s="1920">
        <f t="shared" si="27"/>
        <v>0</v>
      </c>
      <c r="BS33" s="9"/>
      <c r="BT33" s="64"/>
      <c r="BU33" s="482">
        <f t="shared" si="28"/>
        <v>0</v>
      </c>
      <c r="BV33" s="9">
        <v>24696</v>
      </c>
      <c r="BW33" s="5">
        <f t="shared" si="106"/>
        <v>2320</v>
      </c>
      <c r="BX33" s="15">
        <f t="shared" si="29"/>
        <v>10.644827586206896</v>
      </c>
      <c r="BY33" s="4"/>
      <c r="BZ33" s="5"/>
      <c r="CA33" s="482">
        <f t="shared" si="30"/>
        <v>0</v>
      </c>
      <c r="CB33" s="9"/>
      <c r="CC33" s="5"/>
      <c r="CD33" s="482">
        <f t="shared" si="31"/>
        <v>0</v>
      </c>
      <c r="CE33" s="4"/>
      <c r="CF33" s="5"/>
      <c r="CG33" s="28">
        <f t="shared" si="32"/>
        <v>0</v>
      </c>
      <c r="CH33" s="150"/>
      <c r="CI33" s="1108">
        <v>1134</v>
      </c>
      <c r="CJ33" s="5"/>
      <c r="CK33" s="5">
        <v>4004</v>
      </c>
      <c r="CL33" s="5"/>
      <c r="CM33" s="5"/>
      <c r="CN33" s="5">
        <f t="shared" si="33"/>
        <v>5138</v>
      </c>
      <c r="CO33" s="33"/>
      <c r="CP33" s="366"/>
      <c r="CR33" s="4">
        <f t="shared" si="130"/>
        <v>0</v>
      </c>
      <c r="CS33" s="9">
        <f t="shared" si="130"/>
        <v>0</v>
      </c>
      <c r="CT33" s="5">
        <f t="shared" si="130"/>
        <v>0</v>
      </c>
      <c r="CU33" s="5">
        <f t="shared" si="129"/>
        <v>0</v>
      </c>
      <c r="CV33" s="5">
        <f t="shared" si="129"/>
        <v>0</v>
      </c>
      <c r="CW33" s="5">
        <f t="shared" si="129"/>
        <v>0</v>
      </c>
      <c r="CX33" s="5">
        <f t="shared" si="129"/>
        <v>0</v>
      </c>
      <c r="CY33" s="5">
        <f t="shared" si="129"/>
        <v>0</v>
      </c>
      <c r="CZ33" s="5">
        <f t="shared" si="129"/>
        <v>11660.170000000002</v>
      </c>
      <c r="DA33" s="5">
        <f t="shared" si="129"/>
        <v>0</v>
      </c>
      <c r="DB33" s="5">
        <f t="shared" si="129"/>
        <v>0</v>
      </c>
      <c r="DC33" s="12">
        <f t="shared" si="129"/>
        <v>0</v>
      </c>
      <c r="DD33" s="310">
        <f>SUM(CR33:DC33,PW33)</f>
        <v>11660.170000000002</v>
      </c>
      <c r="DE33" s="2695"/>
      <c r="DF33" s="8"/>
      <c r="DG33" s="9"/>
      <c r="DH33" s="5"/>
      <c r="DI33" s="5"/>
      <c r="DJ33" s="5"/>
      <c r="DK33" s="5"/>
      <c r="DL33" s="3">
        <v>0</v>
      </c>
      <c r="DM33" s="5"/>
      <c r="DN33" s="3">
        <v>4407.8500000000004</v>
      </c>
      <c r="DO33" s="5"/>
      <c r="DP33" s="3">
        <v>0</v>
      </c>
      <c r="DQ33" s="12"/>
      <c r="DR33" s="28">
        <f t="shared" si="36"/>
        <v>4407.8500000000004</v>
      </c>
      <c r="DS33" s="36"/>
      <c r="DT33" s="9"/>
      <c r="DU33" s="5"/>
      <c r="DV33" s="5"/>
      <c r="DW33" s="5"/>
      <c r="DX33" s="5"/>
      <c r="DY33" s="27"/>
      <c r="DZ33" s="27"/>
      <c r="EA33" s="3">
        <v>4932.3200000000006</v>
      </c>
      <c r="EB33" s="27"/>
      <c r="EC33" s="24">
        <v>0</v>
      </c>
      <c r="ED33" s="33"/>
      <c r="EE33" s="28">
        <f t="shared" si="37"/>
        <v>4932.3200000000006</v>
      </c>
      <c r="EF33" s="9"/>
      <c r="EG33" s="36"/>
      <c r="EH33" s="27"/>
      <c r="EI33" s="27"/>
      <c r="EJ33" s="27"/>
      <c r="EK33" s="27"/>
      <c r="EL33" s="27"/>
      <c r="EM33" s="27"/>
      <c r="EN33" s="5">
        <v>2320</v>
      </c>
      <c r="EO33" s="5"/>
      <c r="EP33" s="5"/>
      <c r="EQ33" s="33"/>
      <c r="ER33" s="28">
        <f t="shared" si="38"/>
        <v>2320</v>
      </c>
      <c r="ES33" s="36"/>
      <c r="ET33" s="27"/>
      <c r="EU33" s="27"/>
      <c r="EV33" s="27"/>
      <c r="EW33" s="27"/>
      <c r="EX33" s="27"/>
      <c r="EY33" s="33">
        <f t="shared" si="39"/>
        <v>0</v>
      </c>
      <c r="EZ33" s="2685"/>
      <c r="FB33" s="4">
        <f t="shared" si="40"/>
        <v>0</v>
      </c>
      <c r="FC33" s="5">
        <f t="shared" si="41"/>
        <v>0</v>
      </c>
      <c r="FD33" s="5">
        <f t="shared" si="42"/>
        <v>0</v>
      </c>
      <c r="FE33" s="12">
        <f t="shared" si="43"/>
        <v>0</v>
      </c>
      <c r="FF33" s="33"/>
      <c r="FG33" s="2674"/>
      <c r="FH33" s="9"/>
      <c r="FI33" s="5"/>
      <c r="FJ33" s="5"/>
      <c r="FK33" s="5"/>
      <c r="FL33" s="5"/>
      <c r="FM33" s="27"/>
      <c r="FN33" s="28">
        <f t="shared" si="44"/>
        <v>0</v>
      </c>
      <c r="FO33" s="36"/>
      <c r="FP33" s="27"/>
      <c r="FQ33" s="27"/>
      <c r="FR33" s="27"/>
      <c r="FS33" s="27"/>
      <c r="FT33" s="27"/>
      <c r="FU33" s="28">
        <f t="shared" si="45"/>
        <v>0</v>
      </c>
      <c r="FV33" s="36"/>
      <c r="FW33" s="36"/>
      <c r="FX33" s="27"/>
      <c r="FY33" s="27"/>
      <c r="FZ33" s="27"/>
      <c r="GA33" s="27"/>
      <c r="GB33" s="27"/>
      <c r="GC33" s="27"/>
      <c r="GD33" s="24">
        <v>0</v>
      </c>
      <c r="GE33" s="27"/>
      <c r="GF33" s="27"/>
      <c r="GG33" s="33"/>
      <c r="GH33" s="33">
        <f t="shared" si="46"/>
        <v>0</v>
      </c>
      <c r="GI33" s="2674"/>
      <c r="GK33" s="2">
        <f t="shared" si="107"/>
        <v>2885.6099999999997</v>
      </c>
      <c r="GL33" s="63">
        <f t="shared" si="108"/>
        <v>7306.4999999999991</v>
      </c>
      <c r="GM33" s="24">
        <f t="shared" si="109"/>
        <v>5013.0099999999993</v>
      </c>
      <c r="GN33" s="1736">
        <f t="shared" si="47"/>
        <v>15205.119999999999</v>
      </c>
      <c r="GO33" s="141"/>
      <c r="GP33" s="141"/>
      <c r="GQ33" s="33"/>
      <c r="GR33" s="2667"/>
      <c r="GS33" s="1739">
        <v>0</v>
      </c>
      <c r="GT33" s="1721">
        <v>589.25</v>
      </c>
      <c r="GU33" s="1721">
        <v>6499.47</v>
      </c>
      <c r="GV33" s="1721">
        <v>8116.4000000000005</v>
      </c>
      <c r="GW33" s="33">
        <v>15205.12</v>
      </c>
      <c r="GX33" s="2667"/>
      <c r="GY33" s="36"/>
      <c r="GZ33" s="152"/>
      <c r="HA33" s="27"/>
      <c r="HB33" s="53"/>
      <c r="HC33" s="27"/>
      <c r="HD33" s="27"/>
      <c r="HE33" s="27"/>
      <c r="HF33" s="27"/>
      <c r="HG33" s="24">
        <v>1508.06</v>
      </c>
      <c r="HH33" s="27"/>
      <c r="HI33" s="24">
        <v>788.3</v>
      </c>
      <c r="HJ33" s="27"/>
      <c r="HK33" s="24">
        <v>589.25</v>
      </c>
      <c r="HL33" s="27"/>
      <c r="HM33" s="28">
        <f t="shared" si="120"/>
        <v>2885.6099999999997</v>
      </c>
      <c r="HN33" s="36"/>
      <c r="HO33" s="27"/>
      <c r="HP33" s="27"/>
      <c r="HQ33" s="27"/>
      <c r="HR33" s="27"/>
      <c r="HS33" s="27"/>
      <c r="HT33" s="27">
        <f t="array" ref="HT33">SUMPRODUCT(('Data Base hauling'!$C$2:$C$2000="TCM-ROM SB1 BK05-ROM 4")*(ISNUMBER(SEARCH(TEXT('July TCM'!$B33,"00")&amp;"/03/2026",'Data Base hauling'!$E$2:$E$2000)))*'Data Base hauling'!$N$2:$N$2000)</f>
        <v>0</v>
      </c>
      <c r="HU33" s="27"/>
      <c r="HV33" s="27">
        <f t="array" ref="HV33">SUMPRODUCT(('Data Base hauling'!$C$2:$C$2000="TCM-ROM SB1 BK05-ROM 5")*(ISNUMBER(SEARCH(TEXT('July TCM'!$B33,"00")&amp;"/03/2026",'Data Base hauling'!$E$2:$E$2000)))*'Data Base hauling'!$N$2:$N$2000)</f>
        <v>0</v>
      </c>
      <c r="HW33" s="27"/>
      <c r="HX33" s="27"/>
      <c r="HY33" s="27"/>
      <c r="HZ33" s="27"/>
      <c r="IA33" s="27"/>
      <c r="IB33" s="33">
        <f t="shared" si="49"/>
        <v>0</v>
      </c>
      <c r="IC33" s="52"/>
      <c r="ID33" s="152"/>
      <c r="IE33" s="53"/>
      <c r="IF33" s="53"/>
      <c r="IG33" s="53"/>
      <c r="IH33" s="53"/>
      <c r="II33" s="1926">
        <v>1379.1599999999999</v>
      </c>
      <c r="IJ33" s="1736"/>
      <c r="IK33" s="1926">
        <v>5843.3399999999992</v>
      </c>
      <c r="IL33" s="53"/>
      <c r="IM33" s="49">
        <v>0</v>
      </c>
      <c r="IN33" s="53"/>
      <c r="IO33" s="53"/>
      <c r="IP33" s="49">
        <v>84</v>
      </c>
      <c r="IQ33" s="2195">
        <f t="shared" si="121"/>
        <v>7306.4999999999991</v>
      </c>
      <c r="IR33" s="152"/>
      <c r="IS33" s="152"/>
      <c r="IT33" s="53"/>
      <c r="IU33" s="53"/>
      <c r="IV33" s="53"/>
      <c r="IW33" s="27"/>
      <c r="IX33" s="24">
        <v>0</v>
      </c>
      <c r="IY33" s="27"/>
      <c r="IZ33" s="24">
        <v>3312.8199999999997</v>
      </c>
      <c r="JA33" s="27"/>
      <c r="JB33" s="24">
        <v>1700.1899999999998</v>
      </c>
      <c r="JC33" s="27"/>
      <c r="JD33" s="27"/>
      <c r="JE33" s="27"/>
      <c r="JF33" s="33">
        <f t="shared" si="122"/>
        <v>5013.0099999999993</v>
      </c>
      <c r="JG33" s="2667"/>
      <c r="JI33" s="2014">
        <v>7470.630000000001</v>
      </c>
      <c r="JJ33" s="2015">
        <v>7734.49</v>
      </c>
      <c r="JK33" s="53"/>
      <c r="JL33" s="1736">
        <f t="shared" si="52"/>
        <v>15205.12</v>
      </c>
      <c r="JM33" s="33"/>
      <c r="JN33" s="2669"/>
      <c r="JO33" s="66">
        <v>0</v>
      </c>
      <c r="JP33" s="67">
        <v>0</v>
      </c>
      <c r="JQ33" s="67">
        <v>0</v>
      </c>
      <c r="JR33" s="67">
        <v>0</v>
      </c>
      <c r="JS33" s="67">
        <v>0.98875596837214519</v>
      </c>
      <c r="JT33" s="67">
        <v>0</v>
      </c>
      <c r="JU33" s="67">
        <v>0</v>
      </c>
      <c r="JV33" s="1921">
        <v>0</v>
      </c>
      <c r="JW33" s="66">
        <v>0</v>
      </c>
      <c r="JX33" s="67">
        <v>0</v>
      </c>
      <c r="JY33" s="67">
        <v>0</v>
      </c>
      <c r="JZ33" s="67">
        <v>0.17831298508369653</v>
      </c>
      <c r="KA33" s="67">
        <v>0.42376291132317706</v>
      </c>
      <c r="KB33" s="67">
        <v>0.32173937777410022</v>
      </c>
      <c r="KC33" s="67">
        <v>7.6184725819026203E-2</v>
      </c>
      <c r="KD33" s="68">
        <v>0</v>
      </c>
      <c r="KE33" s="69"/>
      <c r="KF33" s="70"/>
      <c r="KG33" s="70"/>
      <c r="KH33" s="70"/>
      <c r="KI33" s="70"/>
      <c r="KJ33" s="70"/>
      <c r="KK33" s="70"/>
      <c r="KL33" s="70"/>
      <c r="KM33" s="33"/>
      <c r="KN33" s="2669"/>
      <c r="KO33" s="2203">
        <v>7096.5216805817399</v>
      </c>
      <c r="KP33" s="1721">
        <v>0.81207110153514683</v>
      </c>
      <c r="KQ33" s="1721">
        <v>3.5039859951521679</v>
      </c>
      <c r="KR33" s="1721">
        <v>5.9906760032318882</v>
      </c>
      <c r="KS33" s="1722">
        <v>10.248875199569081</v>
      </c>
      <c r="KT33" s="1958">
        <v>6823.0200488369101</v>
      </c>
      <c r="KU33" s="1961">
        <v>1.5500745405474876</v>
      </c>
      <c r="KV33" s="1961">
        <v>4.5855031486955404</v>
      </c>
      <c r="KW33" s="1961">
        <v>7.2148322837681533</v>
      </c>
      <c r="KX33" s="1962">
        <v>10.392366431821104</v>
      </c>
      <c r="KY33" s="36"/>
      <c r="KZ33" s="53"/>
      <c r="LA33" s="53"/>
      <c r="LB33" s="53"/>
      <c r="LC33" s="53"/>
      <c r="LD33" s="33"/>
      <c r="LE33" s="2669"/>
      <c r="LG33" s="26">
        <f t="shared" si="53"/>
        <v>15110.69</v>
      </c>
      <c r="LH33" s="27">
        <f t="shared" si="53"/>
        <v>0</v>
      </c>
      <c r="LI33" s="27">
        <f t="shared" si="53"/>
        <v>0</v>
      </c>
      <c r="LJ33" s="28">
        <f t="shared" si="54"/>
        <v>15110.69</v>
      </c>
      <c r="LK33" s="36">
        <v>2</v>
      </c>
      <c r="LL33" s="27"/>
      <c r="LM33" s="27">
        <v>1</v>
      </c>
      <c r="LN33" s="33"/>
      <c r="LO33" s="1041">
        <v>1.89</v>
      </c>
      <c r="LP33" s="486"/>
      <c r="LQ33" s="2688"/>
      <c r="LR33" s="36">
        <v>15110.69</v>
      </c>
      <c r="LS33" s="36"/>
      <c r="LT33" s="27"/>
      <c r="LU33" s="27"/>
      <c r="LV33" s="27"/>
      <c r="LW33" s="1107">
        <f t="shared" si="55"/>
        <v>15110.69</v>
      </c>
      <c r="LX33" s="36"/>
      <c r="LY33" s="36"/>
      <c r="LZ33" s="27"/>
      <c r="MA33" s="27"/>
      <c r="MB33" s="33"/>
      <c r="MC33" s="28">
        <f t="shared" si="56"/>
        <v>0</v>
      </c>
      <c r="MD33" s="26"/>
      <c r="ME33" s="36"/>
      <c r="MF33" s="27"/>
      <c r="MG33" s="27"/>
      <c r="MH33" s="27"/>
      <c r="MI33" s="28"/>
      <c r="MJ33" s="36"/>
      <c r="MK33" s="152"/>
      <c r="ML33" s="27"/>
      <c r="MM33" s="27"/>
      <c r="MN33" s="27"/>
      <c r="MO33" s="28"/>
      <c r="MP33" s="36"/>
      <c r="MQ33" s="36"/>
      <c r="MR33" s="27"/>
      <c r="MS33" s="27"/>
      <c r="MT33" s="27"/>
      <c r="MU33" s="33">
        <f t="shared" si="57"/>
        <v>0</v>
      </c>
      <c r="MV33" s="2688"/>
      <c r="MX33" s="26">
        <f t="shared" si="58"/>
        <v>163011.27549195671</v>
      </c>
      <c r="MY33" s="27">
        <f t="shared" si="59"/>
        <v>277454.69079257309</v>
      </c>
      <c r="MZ33" s="27">
        <f t="shared" si="60"/>
        <v>19995.475210117314</v>
      </c>
      <c r="NA33" s="28">
        <f t="shared" si="61"/>
        <v>315277.32760218991</v>
      </c>
      <c r="NB33" s="2621"/>
      <c r="NC33" s="23">
        <f t="shared" si="62"/>
        <v>51373.164468159201</v>
      </c>
      <c r="ND33" s="1655">
        <f t="shared" si="63"/>
        <v>111638.11102379751</v>
      </c>
      <c r="NE33" s="60">
        <f t="shared" si="64"/>
        <v>0</v>
      </c>
      <c r="NF33" s="275">
        <f t="shared" si="4"/>
        <v>163011.27549195671</v>
      </c>
      <c r="NG33" s="26">
        <f t="shared" si="125"/>
        <v>0</v>
      </c>
      <c r="NH33" s="27">
        <f t="shared" si="125"/>
        <v>0</v>
      </c>
      <c r="NI33" s="27">
        <f t="shared" si="125"/>
        <v>0</v>
      </c>
      <c r="NJ33" s="27">
        <f t="shared" si="125"/>
        <v>0</v>
      </c>
      <c r="NK33" s="27">
        <f t="shared" si="125"/>
        <v>0</v>
      </c>
      <c r="NL33" s="33">
        <f t="shared" si="125"/>
        <v>0</v>
      </c>
      <c r="NM33" s="27">
        <f t="shared" si="125"/>
        <v>0</v>
      </c>
      <c r="NN33" s="36">
        <f t="shared" si="125"/>
        <v>0</v>
      </c>
      <c r="NO33" s="24">
        <f t="shared" si="125"/>
        <v>39209.060671164174</v>
      </c>
      <c r="NP33" s="27">
        <f t="shared" si="125"/>
        <v>24549.88002237798</v>
      </c>
      <c r="NQ33" s="24">
        <f t="shared" si="110"/>
        <v>8756.5482322711578</v>
      </c>
      <c r="NR33" s="24">
        <f t="shared" si="111"/>
        <v>10272.691351487181</v>
      </c>
      <c r="NS33" s="27">
        <f t="shared" si="0"/>
        <v>82788.180277300504</v>
      </c>
      <c r="NT33" s="27">
        <f t="shared" si="126"/>
        <v>0</v>
      </c>
      <c r="NU33" s="27">
        <f t="shared" si="126"/>
        <v>0</v>
      </c>
      <c r="NV33" s="27">
        <f t="shared" si="126"/>
        <v>0</v>
      </c>
      <c r="NW33" s="27">
        <f t="shared" si="126"/>
        <v>0</v>
      </c>
      <c r="NX33" s="27">
        <f t="shared" si="126"/>
        <v>0</v>
      </c>
      <c r="NY33" s="5">
        <f t="shared" si="126"/>
        <v>0</v>
      </c>
      <c r="NZ33" s="27">
        <f t="shared" si="126"/>
        <v>15131.248814178831</v>
      </c>
      <c r="OA33" s="27">
        <f t="shared" si="126"/>
        <v>0</v>
      </c>
      <c r="OB33" s="27">
        <f t="shared" si="126"/>
        <v>85595.239365972622</v>
      </c>
      <c r="OC33" s="27"/>
      <c r="OD33" s="24">
        <f t="shared" si="127"/>
        <v>0</v>
      </c>
      <c r="OE33" s="27">
        <f t="shared" si="127"/>
        <v>0</v>
      </c>
      <c r="OF33" s="28">
        <f t="shared" si="1"/>
        <v>100726.48818015146</v>
      </c>
      <c r="OG33" s="27">
        <f t="shared" si="128"/>
        <v>0</v>
      </c>
      <c r="OH33" s="27">
        <f t="shared" si="128"/>
        <v>0</v>
      </c>
      <c r="OI33" s="27">
        <f t="shared" si="128"/>
        <v>0</v>
      </c>
      <c r="OJ33" s="27">
        <f t="shared" si="128"/>
        <v>0</v>
      </c>
      <c r="OK33" s="27">
        <f t="shared" si="128"/>
        <v>0</v>
      </c>
      <c r="OL33" s="27">
        <f t="shared" si="128"/>
        <v>0</v>
      </c>
      <c r="OM33" s="24">
        <f t="shared" si="128"/>
        <v>0</v>
      </c>
      <c r="ON33" s="27">
        <f t="shared" si="128"/>
        <v>0</v>
      </c>
      <c r="OO33" s="24">
        <f t="shared" si="118"/>
        <v>66639.125076326251</v>
      </c>
      <c r="OP33" s="27">
        <f t="shared" si="128"/>
        <v>0</v>
      </c>
      <c r="OQ33" s="24">
        <f t="shared" si="128"/>
        <v>27300.897258794852</v>
      </c>
      <c r="OR33" s="27">
        <f t="shared" si="128"/>
        <v>0</v>
      </c>
      <c r="OS33" s="28">
        <f t="shared" si="2"/>
        <v>93940.022335121103</v>
      </c>
      <c r="OT33" s="36"/>
      <c r="OU33" s="27"/>
      <c r="OV33" s="27"/>
      <c r="OW33" s="27"/>
      <c r="OX33" s="27"/>
      <c r="OY33" s="27"/>
      <c r="OZ33" s="28">
        <f t="shared" si="69"/>
        <v>0</v>
      </c>
      <c r="PA33" s="36">
        <f t="shared" si="70"/>
        <v>0</v>
      </c>
      <c r="PB33" s="27">
        <f t="shared" si="71"/>
        <v>0</v>
      </c>
      <c r="PC33" s="27">
        <f t="shared" si="72"/>
        <v>0</v>
      </c>
      <c r="PD33" s="27">
        <f t="shared" si="73"/>
        <v>0</v>
      </c>
      <c r="PE33" s="24"/>
      <c r="PF33" s="27">
        <f t="shared" si="74"/>
        <v>0</v>
      </c>
      <c r="PG33" s="33">
        <f t="shared" si="3"/>
        <v>0</v>
      </c>
      <c r="PH33" s="2621"/>
      <c r="PJ33" s="1907">
        <v>0</v>
      </c>
      <c r="PK33" s="3">
        <v>672</v>
      </c>
      <c r="PL33" s="3">
        <v>192</v>
      </c>
      <c r="PM33" s="3">
        <v>589.25</v>
      </c>
      <c r="PN33" s="3">
        <f t="shared" si="75"/>
        <v>31019.093504658704</v>
      </c>
      <c r="PO33" s="11">
        <f t="shared" si="76"/>
        <v>19995.475210117314</v>
      </c>
      <c r="PP33" s="15"/>
      <c r="PQ33" s="2615"/>
      <c r="PS33" s="4"/>
      <c r="PT33" s="9"/>
      <c r="PU33" s="9"/>
      <c r="PV33" s="9"/>
      <c r="PW33" s="8">
        <v>0</v>
      </c>
      <c r="PX33" s="9"/>
      <c r="PY33" s="8">
        <f t="shared" si="77"/>
        <v>0</v>
      </c>
      <c r="PZ33" s="5">
        <f t="shared" si="78"/>
        <v>0</v>
      </c>
      <c r="QA33" s="5"/>
      <c r="QB33" s="5"/>
      <c r="QC33" s="5"/>
      <c r="QD33" s="5"/>
      <c r="QE33" s="5"/>
      <c r="QF33" s="12"/>
      <c r="QG33" s="12">
        <f t="shared" si="79"/>
        <v>29562.488999999998</v>
      </c>
      <c r="QH33" s="420">
        <f t="shared" si="80"/>
        <v>283494.88180818991</v>
      </c>
      <c r="QI33" s="1106">
        <f t="shared" si="113"/>
        <v>2219.9567940000002</v>
      </c>
      <c r="QJ33" s="484">
        <f t="shared" si="81"/>
        <v>5505.3678056099998</v>
      </c>
      <c r="QK33" s="12"/>
      <c r="QL33" s="2615"/>
      <c r="QN33" s="139">
        <f t="shared" si="82"/>
        <v>0</v>
      </c>
      <c r="QO33" s="139" t="str">
        <f t="shared" si="83"/>
        <v/>
      </c>
      <c r="QQ33" s="139">
        <f t="shared" si="84"/>
        <v>0</v>
      </c>
      <c r="QR33" s="139">
        <f t="shared" si="85"/>
        <v>0</v>
      </c>
      <c r="QT33" s="1">
        <f t="shared" si="86"/>
        <v>0</v>
      </c>
      <c r="QU33" s="1">
        <f t="shared" si="87"/>
        <v>0</v>
      </c>
      <c r="QV33" s="1">
        <f t="shared" si="88"/>
        <v>0</v>
      </c>
      <c r="QW33" s="1">
        <f t="shared" si="89"/>
        <v>0</v>
      </c>
      <c r="QX33" s="1">
        <f t="shared" si="90"/>
        <v>0</v>
      </c>
      <c r="QY33" s="1">
        <f t="shared" si="91"/>
        <v>0</v>
      </c>
      <c r="RA33" s="1">
        <f t="shared" si="92"/>
        <v>0</v>
      </c>
      <c r="RB33" s="1">
        <f t="shared" si="93"/>
        <v>0</v>
      </c>
      <c r="RC33" s="1">
        <f t="shared" si="94"/>
        <v>0</v>
      </c>
      <c r="RD33" s="1">
        <f t="shared" si="95"/>
        <v>0</v>
      </c>
      <c r="RE33" s="1">
        <f t="shared" si="96"/>
        <v>0</v>
      </c>
      <c r="RF33" s="1">
        <f t="shared" si="97"/>
        <v>0</v>
      </c>
      <c r="RI33" s="1">
        <v>24</v>
      </c>
      <c r="RJ33" s="1">
        <f t="shared" si="123"/>
        <v>-49742.5532902829</v>
      </c>
      <c r="RK33" s="1">
        <f t="shared" si="123"/>
        <v>38168.760280483715</v>
      </c>
      <c r="RL33" s="1">
        <f t="shared" si="123"/>
        <v>13404.263703387322</v>
      </c>
      <c r="RM33" s="89">
        <f t="shared" si="5"/>
        <v>1830.4706935881368</v>
      </c>
      <c r="RN33" s="1033">
        <v>24</v>
      </c>
      <c r="RO33" s="1098">
        <v>0</v>
      </c>
      <c r="RP33" s="1098">
        <f t="shared" si="99"/>
        <v>0</v>
      </c>
      <c r="RQ33" s="1097">
        <f t="shared" si="99"/>
        <v>0</v>
      </c>
      <c r="RR33" s="1097">
        <f t="shared" si="114"/>
        <v>9340.1700000000019</v>
      </c>
      <c r="RS33" s="1046"/>
      <c r="RT33" s="1928">
        <v>2607244208</v>
      </c>
      <c r="RU33" s="1048"/>
      <c r="RW33" s="421">
        <v>24</v>
      </c>
      <c r="RX33" s="1095">
        <f t="shared" si="100"/>
        <v>15205.12</v>
      </c>
      <c r="RY33" s="1928">
        <v>26072411731</v>
      </c>
      <c r="RZ33" s="1048"/>
      <c r="SA33" s="1090"/>
      <c r="SB33" s="1090">
        <f>(DR33+EE33)-(RO33+RR33)</f>
        <v>0</v>
      </c>
      <c r="SC33" s="1090"/>
      <c r="SD33" s="1090">
        <f t="shared" si="124"/>
        <v>0</v>
      </c>
      <c r="SF33" s="1">
        <v>24</v>
      </c>
      <c r="SG33" s="1">
        <f t="shared" si="103"/>
        <v>589.25</v>
      </c>
      <c r="SH33" s="2420">
        <v>26072411812</v>
      </c>
    </row>
    <row r="34" spans="1:502" s="1" customFormat="1">
      <c r="B34" s="471">
        <v>25</v>
      </c>
      <c r="C34" s="4">
        <f t="shared" si="6"/>
        <v>152074</v>
      </c>
      <c r="D34" s="2417">
        <f t="shared" si="119"/>
        <v>11083.94</v>
      </c>
      <c r="E34" s="1895">
        <f t="shared" si="7"/>
        <v>13.720211404969712</v>
      </c>
      <c r="F34" s="870"/>
      <c r="G34" s="870"/>
      <c r="H34" s="52">
        <v>2</v>
      </c>
      <c r="I34" s="61">
        <v>1.42</v>
      </c>
      <c r="J34" s="52"/>
      <c r="K34" s="54"/>
      <c r="L34" s="52">
        <v>2</v>
      </c>
      <c r="M34" s="61">
        <v>3.58</v>
      </c>
      <c r="N34" s="2629"/>
      <c r="O34" s="4">
        <f t="shared" si="117"/>
        <v>89376</v>
      </c>
      <c r="P34" s="1225">
        <f t="shared" si="8"/>
        <v>6153.26</v>
      </c>
      <c r="Q34" s="1913">
        <f t="shared" si="9"/>
        <v>14.52498350467882</v>
      </c>
      <c r="R34" s="33"/>
      <c r="S34" s="26">
        <f t="shared" si="10"/>
        <v>34034</v>
      </c>
      <c r="T34" s="27">
        <f t="shared" si="105"/>
        <v>2530.6799999999998</v>
      </c>
      <c r="U34" s="1909">
        <f t="shared" si="11"/>
        <v>13.448559280509587</v>
      </c>
      <c r="V34" s="28"/>
      <c r="W34" s="26">
        <f t="shared" si="12"/>
        <v>22072</v>
      </c>
      <c r="X34" s="5">
        <f t="shared" si="12"/>
        <v>2400</v>
      </c>
      <c r="Y34" s="1909">
        <f t="shared" si="13"/>
        <v>9.1966666666666672</v>
      </c>
      <c r="Z34" s="33"/>
      <c r="AA34" s="26">
        <f t="shared" si="14"/>
        <v>6592</v>
      </c>
      <c r="AB34" s="27">
        <f t="shared" si="15"/>
        <v>0</v>
      </c>
      <c r="AC34" s="1909">
        <f t="shared" si="16"/>
        <v>0</v>
      </c>
      <c r="AD34" s="28"/>
      <c r="AE34" s="36"/>
      <c r="AF34" s="36"/>
      <c r="AG34" s="53">
        <f t="shared" si="17"/>
        <v>0</v>
      </c>
      <c r="AH34" s="28"/>
      <c r="AI34" s="23"/>
      <c r="AJ34" s="27"/>
      <c r="AK34" s="53">
        <f t="shared" si="18"/>
        <v>0</v>
      </c>
      <c r="AL34" s="28"/>
      <c r="AM34" s="2629"/>
      <c r="AN34" s="9"/>
      <c r="AO34" s="5"/>
      <c r="AP34" s="61">
        <f t="shared" si="19"/>
        <v>0</v>
      </c>
      <c r="AQ34" s="36"/>
      <c r="AR34" s="53"/>
      <c r="AS34" s="61">
        <f t="shared" si="20"/>
        <v>0</v>
      </c>
      <c r="AT34" s="36">
        <v>0</v>
      </c>
      <c r="AU34" s="27"/>
      <c r="AV34" s="54">
        <f t="shared" si="21"/>
        <v>0</v>
      </c>
      <c r="AW34" s="26">
        <v>47964</v>
      </c>
      <c r="AX34" s="24">
        <v>3864.44</v>
      </c>
      <c r="AY34" s="1895">
        <f t="shared" si="115"/>
        <v>12.41163014563559</v>
      </c>
      <c r="AZ34" s="1908"/>
      <c r="BA34" s="1909"/>
      <c r="BB34" s="1895">
        <f t="shared" si="22"/>
        <v>0</v>
      </c>
      <c r="BC34" s="1740">
        <v>41412</v>
      </c>
      <c r="BD34" s="1926">
        <v>2288.8200000000002</v>
      </c>
      <c r="BE34" s="1895">
        <f t="shared" si="23"/>
        <v>18.093165910818673</v>
      </c>
      <c r="BF34" s="1908"/>
      <c r="BG34" s="1909"/>
      <c r="BH34" s="1895">
        <f t="shared" si="24"/>
        <v>0</v>
      </c>
      <c r="BI34" s="1908">
        <v>0</v>
      </c>
      <c r="BJ34" s="1909">
        <v>0</v>
      </c>
      <c r="BK34" s="1895">
        <f t="shared" si="25"/>
        <v>0</v>
      </c>
      <c r="BL34" s="2491">
        <v>34034</v>
      </c>
      <c r="BM34" s="1736">
        <v>2530.6799999999998</v>
      </c>
      <c r="BN34" s="2170"/>
      <c r="BO34" s="1911">
        <f t="shared" si="26"/>
        <v>13.448559280509587</v>
      </c>
      <c r="BP34" s="9">
        <v>6592</v>
      </c>
      <c r="BQ34" s="63">
        <v>0</v>
      </c>
      <c r="BR34" s="1920">
        <f t="shared" si="27"/>
        <v>0</v>
      </c>
      <c r="BS34" s="9"/>
      <c r="BT34" s="64"/>
      <c r="BU34" s="482">
        <f t="shared" si="28"/>
        <v>0</v>
      </c>
      <c r="BV34" s="9">
        <v>22072</v>
      </c>
      <c r="BW34" s="5">
        <f t="shared" si="106"/>
        <v>2400</v>
      </c>
      <c r="BX34" s="15">
        <f t="shared" si="29"/>
        <v>9.1966666666666672</v>
      </c>
      <c r="BY34" s="4"/>
      <c r="BZ34" s="5"/>
      <c r="CA34" s="482">
        <f t="shared" si="30"/>
        <v>0</v>
      </c>
      <c r="CB34" s="9"/>
      <c r="CC34" s="5"/>
      <c r="CD34" s="482">
        <f t="shared" si="31"/>
        <v>0</v>
      </c>
      <c r="CE34" s="4"/>
      <c r="CF34" s="5"/>
      <c r="CG34" s="28">
        <f t="shared" si="32"/>
        <v>0</v>
      </c>
      <c r="CH34" s="150"/>
      <c r="CI34" s="1108">
        <v>1008</v>
      </c>
      <c r="CJ34" s="5"/>
      <c r="CK34" s="5">
        <v>5203</v>
      </c>
      <c r="CL34" s="5"/>
      <c r="CM34" s="5"/>
      <c r="CN34" s="5">
        <f t="shared" si="33"/>
        <v>6211</v>
      </c>
      <c r="CO34" s="33"/>
      <c r="CP34" s="366"/>
      <c r="CR34" s="4">
        <f t="shared" si="130"/>
        <v>0</v>
      </c>
      <c r="CS34" s="9">
        <f t="shared" si="130"/>
        <v>0</v>
      </c>
      <c r="CT34" s="5">
        <f t="shared" si="130"/>
        <v>0</v>
      </c>
      <c r="CU34" s="5">
        <f t="shared" si="129"/>
        <v>0</v>
      </c>
      <c r="CV34" s="5">
        <f t="shared" si="129"/>
        <v>0</v>
      </c>
      <c r="CW34" s="5">
        <f t="shared" si="129"/>
        <v>0</v>
      </c>
      <c r="CX34" s="5">
        <f t="shared" si="129"/>
        <v>273.58</v>
      </c>
      <c r="CY34" s="5">
        <f t="shared" si="129"/>
        <v>0</v>
      </c>
      <c r="CZ34" s="5">
        <f t="shared" si="129"/>
        <v>9653.3799999999992</v>
      </c>
      <c r="DA34" s="5">
        <f t="shared" si="129"/>
        <v>0</v>
      </c>
      <c r="DB34" s="5">
        <f t="shared" si="129"/>
        <v>555.84</v>
      </c>
      <c r="DC34" s="12">
        <f t="shared" si="129"/>
        <v>0</v>
      </c>
      <c r="DD34" s="310">
        <f>SUM(CR34:DC34,PW34)</f>
        <v>11083.939999999999</v>
      </c>
      <c r="DE34" s="2695"/>
      <c r="DF34" s="8"/>
      <c r="DG34" s="9"/>
      <c r="DH34" s="5"/>
      <c r="DI34" s="5"/>
      <c r="DJ34" s="5"/>
      <c r="DK34" s="5"/>
      <c r="DL34" s="3">
        <v>273.58</v>
      </c>
      <c r="DM34" s="5"/>
      <c r="DN34" s="3">
        <v>2989.72</v>
      </c>
      <c r="DO34" s="5"/>
      <c r="DP34" s="3">
        <v>0</v>
      </c>
      <c r="DQ34" s="12"/>
      <c r="DR34" s="28">
        <f t="shared" si="36"/>
        <v>3263.2999999999997</v>
      </c>
      <c r="DS34" s="36"/>
      <c r="DT34" s="36"/>
      <c r="DU34" s="27"/>
      <c r="DV34" s="27"/>
      <c r="DW34" s="27"/>
      <c r="DX34" s="27"/>
      <c r="DY34" s="27"/>
      <c r="DZ34" s="27"/>
      <c r="EA34" s="3">
        <v>4263.66</v>
      </c>
      <c r="EB34" s="27"/>
      <c r="EC34" s="24">
        <v>555.84</v>
      </c>
      <c r="ED34" s="33"/>
      <c r="EE34" s="28">
        <f t="shared" si="37"/>
        <v>4819.5</v>
      </c>
      <c r="EF34" s="9"/>
      <c r="EG34" s="36"/>
      <c r="EH34" s="27"/>
      <c r="EI34" s="27"/>
      <c r="EJ34" s="27"/>
      <c r="EK34" s="27"/>
      <c r="EL34" s="27"/>
      <c r="EM34" s="27"/>
      <c r="EN34" s="5">
        <v>2400</v>
      </c>
      <c r="EO34" s="5"/>
      <c r="EP34" s="5"/>
      <c r="EQ34" s="33"/>
      <c r="ER34" s="28">
        <f t="shared" si="38"/>
        <v>2400</v>
      </c>
      <c r="ES34" s="36"/>
      <c r="ET34" s="27"/>
      <c r="EU34" s="27"/>
      <c r="EV34" s="27"/>
      <c r="EW34" s="27"/>
      <c r="EX34" s="27"/>
      <c r="EY34" s="33">
        <f t="shared" si="39"/>
        <v>0</v>
      </c>
      <c r="EZ34" s="2685"/>
      <c r="FB34" s="4">
        <f t="shared" si="40"/>
        <v>0</v>
      </c>
      <c r="FC34" s="5">
        <f t="shared" si="41"/>
        <v>0</v>
      </c>
      <c r="FD34" s="5">
        <f t="shared" si="42"/>
        <v>0</v>
      </c>
      <c r="FE34" s="12">
        <f t="shared" si="43"/>
        <v>0</v>
      </c>
      <c r="FF34" s="33"/>
      <c r="FG34" s="2674"/>
      <c r="FH34" s="9"/>
      <c r="FI34" s="5"/>
      <c r="FJ34" s="5"/>
      <c r="FK34" s="5"/>
      <c r="FL34" s="5"/>
      <c r="FM34" s="27"/>
      <c r="FN34" s="28">
        <f t="shared" si="44"/>
        <v>0</v>
      </c>
      <c r="FO34" s="36"/>
      <c r="FP34" s="27"/>
      <c r="FQ34" s="27"/>
      <c r="FR34" s="27"/>
      <c r="FS34" s="27"/>
      <c r="FT34" s="27"/>
      <c r="FU34" s="28">
        <f t="shared" si="45"/>
        <v>0</v>
      </c>
      <c r="FV34" s="36"/>
      <c r="FW34" s="36"/>
      <c r="FX34" s="27"/>
      <c r="FY34" s="27"/>
      <c r="FZ34" s="27"/>
      <c r="GA34" s="27"/>
      <c r="GB34" s="27"/>
      <c r="GC34" s="27"/>
      <c r="GD34" s="24">
        <v>0</v>
      </c>
      <c r="GE34" s="27"/>
      <c r="GF34" s="27"/>
      <c r="GG34" s="33"/>
      <c r="GH34" s="33">
        <f t="shared" si="46"/>
        <v>0</v>
      </c>
      <c r="GI34" s="2674"/>
      <c r="GK34" s="2">
        <f t="shared" si="107"/>
        <v>1838.5100000000002</v>
      </c>
      <c r="GL34" s="63">
        <f t="shared" si="108"/>
        <v>7786.2000000000016</v>
      </c>
      <c r="GM34" s="24">
        <f t="shared" si="109"/>
        <v>6092.92</v>
      </c>
      <c r="GN34" s="1736">
        <f t="shared" si="47"/>
        <v>15717.630000000003</v>
      </c>
      <c r="GO34" s="141"/>
      <c r="GP34" s="141"/>
      <c r="GQ34" s="33"/>
      <c r="GR34" s="2667"/>
      <c r="GS34" s="1739">
        <v>0</v>
      </c>
      <c r="GT34" s="1721">
        <v>0</v>
      </c>
      <c r="GU34" s="1721">
        <v>6979.3200000000006</v>
      </c>
      <c r="GV34" s="1721">
        <v>8738.3100000000013</v>
      </c>
      <c r="GW34" s="33">
        <v>15717.630000000001</v>
      </c>
      <c r="GX34" s="2667"/>
      <c r="GY34" s="36"/>
      <c r="GZ34" s="36"/>
      <c r="HA34" s="27"/>
      <c r="HB34" s="27"/>
      <c r="HC34" s="27"/>
      <c r="HD34" s="27"/>
      <c r="HE34" s="27"/>
      <c r="HF34" s="27"/>
      <c r="HG34" s="24">
        <v>1102.5</v>
      </c>
      <c r="HH34" s="27"/>
      <c r="HI34" s="24">
        <v>736.0100000000001</v>
      </c>
      <c r="HJ34" s="27"/>
      <c r="HK34" s="24">
        <v>0</v>
      </c>
      <c r="HL34" s="27"/>
      <c r="HM34" s="28">
        <f t="shared" si="120"/>
        <v>1838.5100000000002</v>
      </c>
      <c r="HN34" s="36"/>
      <c r="HO34" s="27"/>
      <c r="HP34" s="27"/>
      <c r="HQ34" s="27"/>
      <c r="HR34" s="27"/>
      <c r="HS34" s="27"/>
      <c r="HT34" s="27">
        <f t="array" ref="HT34">SUMPRODUCT(('Data Base hauling'!$C$2:$C$2000="TCM-ROM SB1 BK05-ROM 4")*(ISNUMBER(SEARCH(TEXT('July TCM'!$B34,"00")&amp;"/03/2026",'Data Base hauling'!$E$2:$E$2000)))*'Data Base hauling'!$N$2:$N$2000)</f>
        <v>0</v>
      </c>
      <c r="HU34" s="27"/>
      <c r="HV34" s="27">
        <f t="array" ref="HV34">SUMPRODUCT(('Data Base hauling'!$C$2:$C$2000="TCM-ROM SB1 BK05-ROM 5")*(ISNUMBER(SEARCH(TEXT('July TCM'!$B34,"00")&amp;"/03/2026",'Data Base hauling'!$E$2:$E$2000)))*'Data Base hauling'!$N$2:$N$2000)</f>
        <v>0</v>
      </c>
      <c r="HW34" s="27"/>
      <c r="HX34" s="27"/>
      <c r="HY34" s="27"/>
      <c r="HZ34" s="27"/>
      <c r="IA34" s="27"/>
      <c r="IB34" s="33">
        <f t="shared" si="49"/>
        <v>0</v>
      </c>
      <c r="IC34" s="52"/>
      <c r="ID34" s="152"/>
      <c r="IE34" s="53"/>
      <c r="IF34" s="53"/>
      <c r="IG34" s="53"/>
      <c r="IH34" s="53"/>
      <c r="II34" s="1926">
        <v>1172.44</v>
      </c>
      <c r="IJ34" s="1736"/>
      <c r="IK34" s="1926">
        <v>6596.9600000000009</v>
      </c>
      <c r="IL34" s="53"/>
      <c r="IM34" s="49">
        <v>0</v>
      </c>
      <c r="IN34" s="53"/>
      <c r="IO34" s="53"/>
      <c r="IP34" s="49">
        <v>16.8</v>
      </c>
      <c r="IQ34" s="2195">
        <f t="shared" si="121"/>
        <v>7786.2000000000016</v>
      </c>
      <c r="IR34" s="36"/>
      <c r="IS34" s="36"/>
      <c r="IT34" s="27"/>
      <c r="IU34" s="27"/>
      <c r="IV34" s="53"/>
      <c r="IW34" s="27"/>
      <c r="IX34" s="24">
        <v>0</v>
      </c>
      <c r="IY34" s="27"/>
      <c r="IZ34" s="24">
        <v>4460.95</v>
      </c>
      <c r="JA34" s="27"/>
      <c r="JB34" s="24">
        <v>1631.9699999999998</v>
      </c>
      <c r="JC34" s="27"/>
      <c r="JD34" s="27"/>
      <c r="JE34" s="27"/>
      <c r="JF34" s="33">
        <f t="shared" si="122"/>
        <v>6092.92</v>
      </c>
      <c r="JG34" s="2667"/>
      <c r="JI34" s="2014">
        <v>7577.4500000000007</v>
      </c>
      <c r="JJ34" s="2015">
        <v>8140.1799999999994</v>
      </c>
      <c r="JK34" s="53"/>
      <c r="JL34" s="1736">
        <f t="shared" si="52"/>
        <v>15717.630000000001</v>
      </c>
      <c r="JM34" s="33"/>
      <c r="JN34" s="2669"/>
      <c r="JO34" s="66">
        <v>0</v>
      </c>
      <c r="JP34" s="67">
        <v>0</v>
      </c>
      <c r="JQ34" s="67">
        <v>0</v>
      </c>
      <c r="JR34" s="67">
        <v>0</v>
      </c>
      <c r="JS34" s="67">
        <v>0.99778289530118969</v>
      </c>
      <c r="JT34" s="67">
        <v>0</v>
      </c>
      <c r="JU34" s="67">
        <v>0</v>
      </c>
      <c r="JV34" s="1921">
        <v>0</v>
      </c>
      <c r="JW34" s="66">
        <v>0</v>
      </c>
      <c r="JX34" s="67">
        <v>0</v>
      </c>
      <c r="JY34" s="67">
        <v>0</v>
      </c>
      <c r="JZ34" s="67">
        <v>0.14403121306899849</v>
      </c>
      <c r="KA34" s="67">
        <v>0.56506858570695007</v>
      </c>
      <c r="KB34" s="67">
        <v>0.29090020122405152</v>
      </c>
      <c r="KC34" s="67">
        <v>0</v>
      </c>
      <c r="KD34" s="68">
        <v>0</v>
      </c>
      <c r="KE34" s="69"/>
      <c r="KF34" s="70"/>
      <c r="KG34" s="70"/>
      <c r="KH34" s="70"/>
      <c r="KI34" s="70"/>
      <c r="KJ34" s="70"/>
      <c r="KK34" s="70"/>
      <c r="KL34" s="70"/>
      <c r="KM34" s="33"/>
      <c r="KN34" s="2669"/>
      <c r="KO34" s="2203">
        <v>7062.1413404114137</v>
      </c>
      <c r="KP34" s="1721">
        <v>0.78055739880557395</v>
      </c>
      <c r="KQ34" s="1721">
        <v>3.2037358991373592</v>
      </c>
      <c r="KR34" s="1721">
        <v>6.3444790975447916</v>
      </c>
      <c r="KS34" s="1722">
        <v>9.75378896084937</v>
      </c>
      <c r="KT34" s="1958">
        <v>6906.8276113951788</v>
      </c>
      <c r="KU34" s="1961">
        <v>1.7795690284879475</v>
      </c>
      <c r="KV34" s="1961">
        <v>5.0930460189919646</v>
      </c>
      <c r="KW34" s="1961">
        <v>6.753481860238618</v>
      </c>
      <c r="KX34" s="1962">
        <v>9.6523786778670573</v>
      </c>
      <c r="KY34" s="36"/>
      <c r="KZ34" s="53"/>
      <c r="LA34" s="53"/>
      <c r="LB34" s="53"/>
      <c r="LC34" s="53"/>
      <c r="LD34" s="33"/>
      <c r="LE34" s="2669"/>
      <c r="LG34" s="26">
        <f t="shared" si="53"/>
        <v>6763.3994999999995</v>
      </c>
      <c r="LH34" s="27">
        <f t="shared" si="53"/>
        <v>11245.0105</v>
      </c>
      <c r="LI34" s="27">
        <f t="shared" si="53"/>
        <v>0</v>
      </c>
      <c r="LJ34" s="28">
        <f t="shared" si="54"/>
        <v>18008.41</v>
      </c>
      <c r="LK34" s="36">
        <v>2</v>
      </c>
      <c r="LL34" s="27">
        <v>1</v>
      </c>
      <c r="LM34" s="27">
        <v>2</v>
      </c>
      <c r="LN34" s="33"/>
      <c r="LO34" s="1041">
        <v>1.75</v>
      </c>
      <c r="LP34" s="486"/>
      <c r="LQ34" s="2688"/>
      <c r="LR34" s="36"/>
      <c r="LS34" s="36"/>
      <c r="LT34" s="27"/>
      <c r="LU34" s="27"/>
      <c r="LV34" s="27"/>
      <c r="LW34" s="1107">
        <f t="shared" si="55"/>
        <v>0</v>
      </c>
      <c r="LX34" s="36">
        <v>6763.3994999999995</v>
      </c>
      <c r="LY34" s="36">
        <v>11245.0105</v>
      </c>
      <c r="LZ34" s="27"/>
      <c r="MA34" s="27"/>
      <c r="MB34" s="33"/>
      <c r="MC34" s="28">
        <f t="shared" si="56"/>
        <v>18008.41</v>
      </c>
      <c r="MD34" s="26"/>
      <c r="ME34" s="36"/>
      <c r="MF34" s="27"/>
      <c r="MG34" s="27"/>
      <c r="MH34" s="27"/>
      <c r="MI34" s="28"/>
      <c r="MJ34" s="36"/>
      <c r="MK34" s="36"/>
      <c r="ML34" s="27"/>
      <c r="MM34" s="27"/>
      <c r="MN34" s="27"/>
      <c r="MO34" s="28"/>
      <c r="MP34" s="36"/>
      <c r="MQ34" s="36"/>
      <c r="MR34" s="27"/>
      <c r="MS34" s="27"/>
      <c r="MT34" s="27"/>
      <c r="MU34" s="33">
        <f t="shared" si="57"/>
        <v>0</v>
      </c>
      <c r="MV34" s="2688"/>
      <c r="MX34" s="26">
        <f t="shared" si="58"/>
        <v>160720.49549195671</v>
      </c>
      <c r="MY34" s="27">
        <f t="shared" si="59"/>
        <v>272236.66079257301</v>
      </c>
      <c r="MZ34" s="27">
        <f t="shared" si="60"/>
        <v>19995.475210117314</v>
      </c>
      <c r="NA34" s="28">
        <f t="shared" si="61"/>
        <v>315324.06760218996</v>
      </c>
      <c r="NB34" s="2621"/>
      <c r="NC34" s="23">
        <f t="shared" si="62"/>
        <v>52187.214968159198</v>
      </c>
      <c r="ND34" s="1655">
        <f t="shared" si="63"/>
        <v>108533.2805237975</v>
      </c>
      <c r="NE34" s="60">
        <f t="shared" si="64"/>
        <v>0</v>
      </c>
      <c r="NF34" s="275">
        <f t="shared" si="4"/>
        <v>160720.49549195671</v>
      </c>
      <c r="NG34" s="26">
        <f t="shared" si="125"/>
        <v>0</v>
      </c>
      <c r="NH34" s="27">
        <f t="shared" si="125"/>
        <v>0</v>
      </c>
      <c r="NI34" s="27">
        <f t="shared" si="125"/>
        <v>0</v>
      </c>
      <c r="NJ34" s="27">
        <f t="shared" si="125"/>
        <v>0</v>
      </c>
      <c r="NK34" s="27">
        <f t="shared" si="125"/>
        <v>0</v>
      </c>
      <c r="NL34" s="33">
        <f t="shared" si="125"/>
        <v>0</v>
      </c>
      <c r="NM34" s="27">
        <f t="shared" si="125"/>
        <v>0</v>
      </c>
      <c r="NN34" s="36">
        <f t="shared" si="125"/>
        <v>0</v>
      </c>
      <c r="NO34" s="24">
        <f t="shared" si="125"/>
        <v>40506.560671164174</v>
      </c>
      <c r="NP34" s="27">
        <f t="shared" si="125"/>
        <v>24549.88002237798</v>
      </c>
      <c r="NQ34" s="24">
        <f t="shared" si="110"/>
        <v>8756.5482322711578</v>
      </c>
      <c r="NR34" s="24">
        <f t="shared" si="111"/>
        <v>9536.681351487181</v>
      </c>
      <c r="NS34" s="27">
        <f t="shared" si="0"/>
        <v>83349.670277300494</v>
      </c>
      <c r="NT34" s="27">
        <f t="shared" si="126"/>
        <v>0</v>
      </c>
      <c r="NU34" s="27">
        <f t="shared" si="126"/>
        <v>0</v>
      </c>
      <c r="NV34" s="27">
        <f t="shared" si="126"/>
        <v>0</v>
      </c>
      <c r="NW34" s="27">
        <f t="shared" si="126"/>
        <v>0</v>
      </c>
      <c r="NX34" s="27">
        <f t="shared" si="126"/>
        <v>0</v>
      </c>
      <c r="NY34" s="5">
        <f t="shared" si="126"/>
        <v>0</v>
      </c>
      <c r="NZ34" s="27">
        <f t="shared" si="126"/>
        <v>14232.38881417883</v>
      </c>
      <c r="OA34" s="27">
        <f t="shared" si="126"/>
        <v>0</v>
      </c>
      <c r="OB34" s="27">
        <f t="shared" si="126"/>
        <v>81987.999365972617</v>
      </c>
      <c r="OC34" s="27"/>
      <c r="OD34" s="24">
        <f t="shared" si="127"/>
        <v>0</v>
      </c>
      <c r="OE34" s="27">
        <f t="shared" si="127"/>
        <v>0</v>
      </c>
      <c r="OF34" s="28">
        <f t="shared" si="1"/>
        <v>96220.388180151451</v>
      </c>
      <c r="OG34" s="27">
        <f t="shared" si="128"/>
        <v>0</v>
      </c>
      <c r="OH34" s="27">
        <f t="shared" si="128"/>
        <v>0</v>
      </c>
      <c r="OI34" s="27">
        <f t="shared" si="128"/>
        <v>0</v>
      </c>
      <c r="OJ34" s="27">
        <f t="shared" si="128"/>
        <v>0</v>
      </c>
      <c r="OK34" s="27">
        <f t="shared" si="128"/>
        <v>0</v>
      </c>
      <c r="OL34" s="27">
        <f t="shared" si="128"/>
        <v>0</v>
      </c>
      <c r="OM34" s="24">
        <f t="shared" si="128"/>
        <v>0</v>
      </c>
      <c r="ON34" s="27">
        <f t="shared" si="128"/>
        <v>0</v>
      </c>
      <c r="OO34" s="24">
        <f t="shared" si="118"/>
        <v>66441.835076326257</v>
      </c>
      <c r="OP34" s="27">
        <f t="shared" si="128"/>
        <v>0</v>
      </c>
      <c r="OQ34" s="24">
        <f t="shared" si="128"/>
        <v>26224.767258794851</v>
      </c>
      <c r="OR34" s="27">
        <f t="shared" si="128"/>
        <v>0</v>
      </c>
      <c r="OS34" s="28">
        <f t="shared" si="2"/>
        <v>92666.602335121104</v>
      </c>
      <c r="OT34" s="36"/>
      <c r="OU34" s="27"/>
      <c r="OV34" s="27"/>
      <c r="OW34" s="27"/>
      <c r="OX34" s="27"/>
      <c r="OY34" s="27"/>
      <c r="OZ34" s="28">
        <f t="shared" si="69"/>
        <v>0</v>
      </c>
      <c r="PA34" s="36">
        <f t="shared" si="70"/>
        <v>0</v>
      </c>
      <c r="PB34" s="27">
        <f t="shared" si="71"/>
        <v>0</v>
      </c>
      <c r="PC34" s="27">
        <f t="shared" si="72"/>
        <v>0</v>
      </c>
      <c r="PD34" s="27">
        <f t="shared" si="73"/>
        <v>0</v>
      </c>
      <c r="PE34" s="24"/>
      <c r="PF34" s="27">
        <f t="shared" si="74"/>
        <v>0</v>
      </c>
      <c r="PG34" s="33">
        <f t="shared" si="3"/>
        <v>0</v>
      </c>
      <c r="PH34" s="2621"/>
      <c r="PJ34" s="1907">
        <v>537.6</v>
      </c>
      <c r="PK34" s="2192">
        <v>0</v>
      </c>
      <c r="PL34" s="2262">
        <v>0</v>
      </c>
      <c r="PM34" s="8">
        <v>0</v>
      </c>
      <c r="PN34" s="3">
        <f t="shared" si="75"/>
        <v>31556.693504658702</v>
      </c>
      <c r="PO34" s="11">
        <f t="shared" si="76"/>
        <v>19995.475210117314</v>
      </c>
      <c r="PP34" s="15"/>
      <c r="PQ34" s="2615"/>
      <c r="PS34" s="4"/>
      <c r="PT34" s="9"/>
      <c r="PU34" s="9"/>
      <c r="PV34" s="9"/>
      <c r="PW34" s="8">
        <v>601.14</v>
      </c>
      <c r="PX34" s="9"/>
      <c r="PY34" s="8">
        <f t="shared" si="77"/>
        <v>601.14</v>
      </c>
      <c r="PZ34" s="5">
        <f t="shared" si="78"/>
        <v>537.6</v>
      </c>
      <c r="QA34" s="5"/>
      <c r="QB34" s="5"/>
      <c r="QC34" s="5"/>
      <c r="QD34" s="5"/>
      <c r="QE34" s="5"/>
      <c r="QF34" s="12"/>
      <c r="QG34" s="12">
        <f t="shared" si="79"/>
        <v>29562.488999999998</v>
      </c>
      <c r="QH34" s="420">
        <f t="shared" si="80"/>
        <v>283541.62180818996</v>
      </c>
      <c r="QI34" s="1106">
        <f t="shared" si="113"/>
        <v>2219.9567940000002</v>
      </c>
      <c r="QJ34" s="484">
        <f t="shared" si="81"/>
        <v>5505.3678056099998</v>
      </c>
      <c r="QK34" s="12"/>
      <c r="QL34" s="2615"/>
      <c r="QN34" s="139">
        <f t="shared" si="82"/>
        <v>0</v>
      </c>
      <c r="QO34" s="139" t="str">
        <f t="shared" si="83"/>
        <v/>
      </c>
      <c r="QQ34" s="139">
        <f t="shared" si="84"/>
        <v>0</v>
      </c>
      <c r="QR34" s="139">
        <f t="shared" si="85"/>
        <v>0</v>
      </c>
      <c r="QT34" s="1">
        <f t="shared" si="86"/>
        <v>0</v>
      </c>
      <c r="QU34" s="1">
        <f t="shared" si="87"/>
        <v>0</v>
      </c>
      <c r="QV34" s="1">
        <f t="shared" si="88"/>
        <v>0</v>
      </c>
      <c r="QW34" s="1">
        <f t="shared" si="89"/>
        <v>0</v>
      </c>
      <c r="QX34" s="1">
        <f t="shared" si="90"/>
        <v>0</v>
      </c>
      <c r="QY34" s="1">
        <f t="shared" si="91"/>
        <v>0</v>
      </c>
      <c r="RA34" s="1">
        <f t="shared" si="92"/>
        <v>0</v>
      </c>
      <c r="RB34" s="1">
        <f t="shared" si="93"/>
        <v>0</v>
      </c>
      <c r="RC34" s="1">
        <f t="shared" si="94"/>
        <v>0</v>
      </c>
      <c r="RD34" s="1">
        <f t="shared" si="95"/>
        <v>0</v>
      </c>
      <c r="RE34" s="1">
        <f t="shared" si="96"/>
        <v>0</v>
      </c>
      <c r="RF34" s="1">
        <f t="shared" si="97"/>
        <v>0</v>
      </c>
      <c r="RI34" s="1">
        <v>25</v>
      </c>
      <c r="RJ34" s="1">
        <f t="shared" si="123"/>
        <v>-48928.502790282902</v>
      </c>
      <c r="RK34" s="1">
        <f t="shared" si="123"/>
        <v>35063.929780483712</v>
      </c>
      <c r="RL34" s="1">
        <f t="shared" si="123"/>
        <v>13404.263703387322</v>
      </c>
      <c r="RM34" s="89">
        <f t="shared" si="5"/>
        <v>-460.30930641186933</v>
      </c>
      <c r="RN34" s="1033">
        <v>25</v>
      </c>
      <c r="RO34" s="1098">
        <v>0</v>
      </c>
      <c r="RP34" s="1098">
        <f t="shared" si="99"/>
        <v>601.14</v>
      </c>
      <c r="RQ34" s="1097">
        <f t="shared" si="99"/>
        <v>0</v>
      </c>
      <c r="RR34" s="1097">
        <f t="shared" si="114"/>
        <v>8683.94</v>
      </c>
      <c r="RS34" s="1094"/>
      <c r="RT34" s="2420">
        <v>2607254395</v>
      </c>
      <c r="RW34" s="421">
        <v>25</v>
      </c>
      <c r="RX34" s="1095">
        <f t="shared" si="100"/>
        <v>15717.630000000001</v>
      </c>
      <c r="RY34" s="1928">
        <v>26072512340</v>
      </c>
      <c r="SA34" s="1090"/>
      <c r="SB34" s="1090">
        <f>(DR34+EE34)-(RO34+RR34)</f>
        <v>-601.14000000000124</v>
      </c>
      <c r="SC34" s="1090"/>
      <c r="SD34" s="1090">
        <f t="shared" si="124"/>
        <v>0</v>
      </c>
      <c r="SF34" s="1">
        <v>25</v>
      </c>
      <c r="SG34" s="1">
        <f t="shared" si="103"/>
        <v>0</v>
      </c>
      <c r="SH34" s="1094"/>
    </row>
    <row r="35" spans="1:502" s="1" customFormat="1">
      <c r="B35" s="471">
        <v>26</v>
      </c>
      <c r="C35" s="4">
        <f t="shared" si="6"/>
        <v>173307</v>
      </c>
      <c r="D35" s="1590">
        <f t="shared" si="119"/>
        <v>12038.74</v>
      </c>
      <c r="E35" s="1895">
        <f t="shared" si="7"/>
        <v>14.395775637649788</v>
      </c>
      <c r="F35" s="870"/>
      <c r="G35" s="870"/>
      <c r="H35" s="52"/>
      <c r="I35" s="61"/>
      <c r="J35" s="52"/>
      <c r="K35" s="54"/>
      <c r="L35" s="52"/>
      <c r="M35" s="61"/>
      <c r="N35" s="2629"/>
      <c r="O35" s="4">
        <f t="shared" si="117"/>
        <v>101388</v>
      </c>
      <c r="P35" s="1225">
        <f t="shared" si="8"/>
        <v>8379.48</v>
      </c>
      <c r="Q35" s="1913">
        <f t="shared" si="9"/>
        <v>12.099557490440935</v>
      </c>
      <c r="R35" s="33"/>
      <c r="S35" s="26">
        <f t="shared" si="10"/>
        <v>38156</v>
      </c>
      <c r="T35" s="27">
        <f t="shared" si="105"/>
        <v>1847.54</v>
      </c>
      <c r="U35" s="1909">
        <f t="shared" si="11"/>
        <v>20.65232687790251</v>
      </c>
      <c r="V35" s="28"/>
      <c r="W35" s="26">
        <f t="shared" si="12"/>
        <v>27879</v>
      </c>
      <c r="X35" s="5">
        <f t="shared" si="12"/>
        <v>1136</v>
      </c>
      <c r="Y35" s="1909">
        <f t="shared" si="13"/>
        <v>24.54137323943662</v>
      </c>
      <c r="Z35" s="33"/>
      <c r="AA35" s="26">
        <f t="shared" si="14"/>
        <v>5884</v>
      </c>
      <c r="AB35" s="27">
        <f t="shared" si="15"/>
        <v>675.72</v>
      </c>
      <c r="AC35" s="1909">
        <f t="shared" si="16"/>
        <v>8.7077487716805777</v>
      </c>
      <c r="AD35" s="28"/>
      <c r="AE35" s="36"/>
      <c r="AF35" s="36"/>
      <c r="AG35" s="53">
        <f t="shared" si="17"/>
        <v>0</v>
      </c>
      <c r="AH35" s="28"/>
      <c r="AI35" s="26"/>
      <c r="AJ35" s="27"/>
      <c r="AK35" s="53">
        <f t="shared" si="18"/>
        <v>0</v>
      </c>
      <c r="AL35" s="28"/>
      <c r="AM35" s="2629"/>
      <c r="AN35" s="9"/>
      <c r="AO35" s="5"/>
      <c r="AP35" s="61">
        <f t="shared" si="19"/>
        <v>0</v>
      </c>
      <c r="AQ35" s="36"/>
      <c r="AR35" s="53"/>
      <c r="AS35" s="61">
        <f t="shared" si="20"/>
        <v>0</v>
      </c>
      <c r="AT35" s="36">
        <v>0</v>
      </c>
      <c r="AU35" s="27"/>
      <c r="AV35" s="54">
        <f t="shared" si="21"/>
        <v>0</v>
      </c>
      <c r="AW35" s="26">
        <v>56448</v>
      </c>
      <c r="AX35" s="24">
        <v>6188.1</v>
      </c>
      <c r="AY35" s="1895">
        <f t="shared" si="115"/>
        <v>9.1220245309545742</v>
      </c>
      <c r="AZ35" s="1908"/>
      <c r="BA35" s="1909"/>
      <c r="BB35" s="1895">
        <f t="shared" si="22"/>
        <v>0</v>
      </c>
      <c r="BC35" s="1908">
        <v>44940</v>
      </c>
      <c r="BD35" s="1926">
        <v>2191.38</v>
      </c>
      <c r="BE35" s="1895">
        <f t="shared" si="23"/>
        <v>20.507625331982585</v>
      </c>
      <c r="BF35" s="1908"/>
      <c r="BG35" s="1909"/>
      <c r="BH35" s="1895">
        <f t="shared" si="24"/>
        <v>0</v>
      </c>
      <c r="BI35" s="1908">
        <v>0</v>
      </c>
      <c r="BJ35" s="1909">
        <v>0</v>
      </c>
      <c r="BK35" s="1895">
        <f t="shared" si="25"/>
        <v>0</v>
      </c>
      <c r="BL35" s="2491">
        <v>38156</v>
      </c>
      <c r="BM35" s="1736">
        <v>1847.54</v>
      </c>
      <c r="BN35" s="2170"/>
      <c r="BO35" s="1895">
        <f t="shared" si="26"/>
        <v>20.65232687790251</v>
      </c>
      <c r="BP35" s="9">
        <v>5884</v>
      </c>
      <c r="BQ35" s="63">
        <v>675.72</v>
      </c>
      <c r="BR35" s="1920">
        <f t="shared" si="27"/>
        <v>8.7077487716805777</v>
      </c>
      <c r="BS35" s="9"/>
      <c r="BT35" s="64"/>
      <c r="BU35" s="482">
        <f t="shared" si="28"/>
        <v>0</v>
      </c>
      <c r="BV35" s="9">
        <v>27879</v>
      </c>
      <c r="BW35" s="5">
        <f t="shared" si="106"/>
        <v>1136</v>
      </c>
      <c r="BX35" s="28">
        <f t="shared" si="29"/>
        <v>24.54137323943662</v>
      </c>
      <c r="BY35" s="4"/>
      <c r="BZ35" s="5"/>
      <c r="CA35" s="61">
        <f t="shared" si="30"/>
        <v>0</v>
      </c>
      <c r="CB35" s="36"/>
      <c r="CC35" s="5"/>
      <c r="CD35" s="61">
        <f t="shared" si="31"/>
        <v>0</v>
      </c>
      <c r="CE35" s="26"/>
      <c r="CF35" s="5"/>
      <c r="CG35" s="28">
        <f t="shared" si="32"/>
        <v>0</v>
      </c>
      <c r="CH35" s="150"/>
      <c r="CI35" s="1108">
        <v>609</v>
      </c>
      <c r="CJ35" s="5"/>
      <c r="CK35" s="5">
        <v>5423</v>
      </c>
      <c r="CL35" s="5"/>
      <c r="CM35" s="5"/>
      <c r="CN35" s="5">
        <f t="shared" si="33"/>
        <v>6032</v>
      </c>
      <c r="CO35" s="33"/>
      <c r="CP35" s="366"/>
      <c r="CR35" s="4">
        <f t="shared" si="130"/>
        <v>0</v>
      </c>
      <c r="CS35" s="9">
        <f t="shared" si="130"/>
        <v>0</v>
      </c>
      <c r="CT35" s="5">
        <f t="shared" si="130"/>
        <v>0</v>
      </c>
      <c r="CU35" s="5">
        <f t="shared" si="129"/>
        <v>0</v>
      </c>
      <c r="CV35" s="5">
        <f t="shared" si="129"/>
        <v>0</v>
      </c>
      <c r="CW35" s="5">
        <f t="shared" si="129"/>
        <v>0</v>
      </c>
      <c r="CX35" s="5">
        <f t="shared" si="129"/>
        <v>380.41999999999996</v>
      </c>
      <c r="CY35" s="5">
        <f t="shared" si="129"/>
        <v>0</v>
      </c>
      <c r="CZ35" s="5">
        <f t="shared" si="129"/>
        <v>11171.52</v>
      </c>
      <c r="DA35" s="5">
        <f t="shared" si="129"/>
        <v>0</v>
      </c>
      <c r="DB35" s="5">
        <f t="shared" si="129"/>
        <v>486.8</v>
      </c>
      <c r="DC35" s="12">
        <f t="shared" si="129"/>
        <v>0</v>
      </c>
      <c r="DD35" s="310">
        <f>SUM(CR35:DC35,PW35)</f>
        <v>12038.74</v>
      </c>
      <c r="DE35" s="2695"/>
      <c r="DF35" s="8"/>
      <c r="DG35" s="9"/>
      <c r="DH35" s="5"/>
      <c r="DI35" s="5"/>
      <c r="DJ35" s="5"/>
      <c r="DK35" s="5"/>
      <c r="DL35" s="3">
        <v>380.41999999999996</v>
      </c>
      <c r="DM35" s="5"/>
      <c r="DN35" s="3">
        <v>5807.68</v>
      </c>
      <c r="DO35" s="5"/>
      <c r="DP35" s="3">
        <v>0</v>
      </c>
      <c r="DQ35" s="12"/>
      <c r="DR35" s="28">
        <f t="shared" si="36"/>
        <v>6188.1</v>
      </c>
      <c r="DS35" s="36"/>
      <c r="DT35" s="36"/>
      <c r="DU35" s="27"/>
      <c r="DV35" s="27"/>
      <c r="DW35" s="27"/>
      <c r="DX35" s="27"/>
      <c r="DY35" s="27"/>
      <c r="DZ35" s="27"/>
      <c r="EA35" s="3">
        <v>4227.8400000000011</v>
      </c>
      <c r="EB35" s="27"/>
      <c r="EC35" s="24">
        <v>486.8</v>
      </c>
      <c r="ED35" s="33"/>
      <c r="EE35" s="28">
        <f t="shared" si="37"/>
        <v>4714.6400000000012</v>
      </c>
      <c r="EF35" s="9"/>
      <c r="EG35" s="36"/>
      <c r="EH35" s="27"/>
      <c r="EI35" s="27"/>
      <c r="EJ35" s="27"/>
      <c r="EK35" s="27"/>
      <c r="EL35" s="27"/>
      <c r="EM35" s="27"/>
      <c r="EN35" s="5">
        <v>1136</v>
      </c>
      <c r="EO35" s="5"/>
      <c r="EP35" s="5"/>
      <c r="EQ35" s="33"/>
      <c r="ER35" s="28">
        <f t="shared" si="38"/>
        <v>1136</v>
      </c>
      <c r="ES35" s="36"/>
      <c r="ET35" s="27"/>
      <c r="EU35" s="27"/>
      <c r="EV35" s="27"/>
      <c r="EW35" s="27"/>
      <c r="EX35" s="27"/>
      <c r="EY35" s="33">
        <f t="shared" si="39"/>
        <v>0</v>
      </c>
      <c r="EZ35" s="2685"/>
      <c r="FB35" s="4">
        <f t="shared" si="40"/>
        <v>0</v>
      </c>
      <c r="FC35" s="5">
        <f t="shared" si="41"/>
        <v>0</v>
      </c>
      <c r="FD35" s="5">
        <f>+GH35</f>
        <v>24.52</v>
      </c>
      <c r="FE35" s="12">
        <f t="shared" si="43"/>
        <v>24.52</v>
      </c>
      <c r="FF35" s="33"/>
      <c r="FG35" s="2674"/>
      <c r="FH35" s="9"/>
      <c r="FI35" s="5"/>
      <c r="FJ35" s="5"/>
      <c r="FK35" s="5"/>
      <c r="FL35" s="5"/>
      <c r="FM35" s="27"/>
      <c r="FN35" s="28">
        <f t="shared" si="44"/>
        <v>0</v>
      </c>
      <c r="FO35" s="36"/>
      <c r="FP35" s="27"/>
      <c r="FQ35" s="27"/>
      <c r="FR35" s="27"/>
      <c r="FS35" s="27"/>
      <c r="FT35" s="27"/>
      <c r="FU35" s="28">
        <f t="shared" si="45"/>
        <v>0</v>
      </c>
      <c r="FV35" s="36"/>
      <c r="FW35" s="36"/>
      <c r="FX35" s="27"/>
      <c r="FY35" s="27"/>
      <c r="FZ35" s="27"/>
      <c r="GA35" s="27"/>
      <c r="GB35" s="27"/>
      <c r="GC35" s="27"/>
      <c r="GD35" s="24">
        <v>24.52</v>
      </c>
      <c r="GE35" s="27"/>
      <c r="GF35" s="27"/>
      <c r="GG35" s="33"/>
      <c r="GH35" s="33">
        <f t="shared" si="46"/>
        <v>24.52</v>
      </c>
      <c r="GI35" s="2674"/>
      <c r="GK35" s="2">
        <f t="shared" si="107"/>
        <v>2426.9</v>
      </c>
      <c r="GL35" s="63">
        <f t="shared" si="108"/>
        <v>7199.68</v>
      </c>
      <c r="GM35" s="24">
        <f t="shared" si="109"/>
        <v>6597.4</v>
      </c>
      <c r="GN35" s="1736">
        <f t="shared" si="47"/>
        <v>16223.98</v>
      </c>
      <c r="GO35" s="141"/>
      <c r="GP35" s="141"/>
      <c r="GQ35" s="33"/>
      <c r="GR35" s="2667"/>
      <c r="GS35" s="1739">
        <v>0</v>
      </c>
      <c r="GT35" s="1721">
        <v>243.35</v>
      </c>
      <c r="GU35" s="1721">
        <v>6378.510000000002</v>
      </c>
      <c r="GV35" s="1721">
        <v>9602.1199999999972</v>
      </c>
      <c r="GW35" s="33">
        <v>16223.98</v>
      </c>
      <c r="GX35" s="2667"/>
      <c r="GY35" s="36"/>
      <c r="GZ35" s="36"/>
      <c r="HA35" s="27"/>
      <c r="HB35" s="27"/>
      <c r="HC35" s="27"/>
      <c r="HD35" s="27"/>
      <c r="HE35" s="27"/>
      <c r="HF35" s="27"/>
      <c r="HG35" s="24">
        <v>1424.3999999999999</v>
      </c>
      <c r="HH35" s="27"/>
      <c r="HI35" s="24">
        <v>759.15000000000009</v>
      </c>
      <c r="HJ35" s="27"/>
      <c r="HK35" s="24">
        <v>243.35</v>
      </c>
      <c r="HL35" s="27"/>
      <c r="HM35" s="28">
        <f t="shared" si="120"/>
        <v>2426.9</v>
      </c>
      <c r="HN35" s="36"/>
      <c r="HO35" s="27"/>
      <c r="HP35" s="27"/>
      <c r="HQ35" s="27"/>
      <c r="HR35" s="27"/>
      <c r="HS35" s="27"/>
      <c r="HT35" s="27">
        <f t="array" ref="HT35">SUMPRODUCT(('Data Base hauling'!$C$2:$C$2000="TCM-ROM SB1 BK05-ROM 4")*(ISNUMBER(SEARCH(TEXT('July TCM'!$B35,"00")&amp;"/03/2026",'Data Base hauling'!$E$2:$E$2000)))*'Data Base hauling'!$N$2:$N$2000)</f>
        <v>0</v>
      </c>
      <c r="HU35" s="27"/>
      <c r="HV35" s="27">
        <f t="array" ref="HV35">SUMPRODUCT(('Data Base hauling'!$C$2:$C$2000="TCM-ROM SB1 BK05-ROM 5")*(ISNUMBER(SEARCH(TEXT('July TCM'!$B35,"00")&amp;"/03/2026",'Data Base hauling'!$E$2:$E$2000)))*'Data Base hauling'!$N$2:$N$2000)</f>
        <v>0</v>
      </c>
      <c r="HW35" s="27"/>
      <c r="HX35" s="27"/>
      <c r="HY35" s="27"/>
      <c r="HZ35" s="27"/>
      <c r="IA35" s="27"/>
      <c r="IB35" s="33">
        <f t="shared" si="49"/>
        <v>0</v>
      </c>
      <c r="IC35" s="52"/>
      <c r="ID35" s="152"/>
      <c r="IE35" s="53"/>
      <c r="IF35" s="53"/>
      <c r="IG35" s="53"/>
      <c r="IH35" s="53"/>
      <c r="II35" s="1926">
        <v>1314.55</v>
      </c>
      <c r="IJ35" s="1736"/>
      <c r="IK35" s="1926">
        <v>5851.53</v>
      </c>
      <c r="IL35" s="53"/>
      <c r="IM35" s="49">
        <v>0</v>
      </c>
      <c r="IN35" s="53"/>
      <c r="IO35" s="53"/>
      <c r="IP35" s="49">
        <v>33.6</v>
      </c>
      <c r="IQ35" s="2195">
        <f t="shared" si="121"/>
        <v>7199.68</v>
      </c>
      <c r="IR35" s="36"/>
      <c r="IS35" s="36"/>
      <c r="IT35" s="27"/>
      <c r="IU35" s="27"/>
      <c r="IV35" s="53"/>
      <c r="IW35" s="27"/>
      <c r="IX35" s="24">
        <v>0</v>
      </c>
      <c r="IY35" s="27"/>
      <c r="IZ35" s="24">
        <v>3870.9700000000003</v>
      </c>
      <c r="JA35" s="27"/>
      <c r="JB35" s="24">
        <v>2726.43</v>
      </c>
      <c r="JC35" s="27"/>
      <c r="JD35" s="27"/>
      <c r="JE35" s="27"/>
      <c r="JF35" s="33">
        <f t="shared" si="122"/>
        <v>6597.4</v>
      </c>
      <c r="JG35" s="2667"/>
      <c r="JI35" s="2014">
        <v>7743.4999999999991</v>
      </c>
      <c r="JJ35" s="2015">
        <v>8480.48</v>
      </c>
      <c r="JK35" s="53"/>
      <c r="JL35" s="1736">
        <f t="shared" si="52"/>
        <v>16223.98</v>
      </c>
      <c r="JM35" s="33"/>
      <c r="JN35" s="2669"/>
      <c r="JO35" s="66">
        <v>0</v>
      </c>
      <c r="JP35" s="67">
        <v>0</v>
      </c>
      <c r="JQ35" s="67">
        <v>0</v>
      </c>
      <c r="JR35" s="67">
        <v>0</v>
      </c>
      <c r="JS35" s="67">
        <v>0.99023697294505064</v>
      </c>
      <c r="JT35" s="67">
        <v>9.763027054949313E-3</v>
      </c>
      <c r="JU35" s="67">
        <v>0</v>
      </c>
      <c r="JV35" s="1921">
        <v>0</v>
      </c>
      <c r="JW35" s="66">
        <v>0</v>
      </c>
      <c r="JX35" s="67">
        <v>0</v>
      </c>
      <c r="JY35" s="67">
        <v>0</v>
      </c>
      <c r="JZ35" s="67">
        <v>0.1550089145897402</v>
      </c>
      <c r="KA35" s="67">
        <v>0.41023621304454461</v>
      </c>
      <c r="KB35" s="67">
        <v>0.40209752278172933</v>
      </c>
      <c r="KC35" s="67">
        <v>2.8695309699450975E-2</v>
      </c>
      <c r="KD35" s="68">
        <v>0</v>
      </c>
      <c r="KE35" s="69"/>
      <c r="KF35" s="70"/>
      <c r="KG35" s="70"/>
      <c r="KH35" s="70"/>
      <c r="KI35" s="70"/>
      <c r="KJ35" s="70"/>
      <c r="KK35" s="70"/>
      <c r="KL35" s="70"/>
      <c r="KM35" s="33"/>
      <c r="KN35" s="2669"/>
      <c r="KO35" s="2203">
        <v>6930.7586922677738</v>
      </c>
      <c r="KP35" s="1721">
        <v>0.85459263103269345</v>
      </c>
      <c r="KQ35" s="1721">
        <v>4.6938090295796577</v>
      </c>
      <c r="KR35" s="1721">
        <v>5.8581162428645568</v>
      </c>
      <c r="KS35" s="1722">
        <v>9.2915088770108998</v>
      </c>
      <c r="KT35" s="1958">
        <v>7055.1390107935003</v>
      </c>
      <c r="KU35" s="1961">
        <v>1.4281390107935001</v>
      </c>
      <c r="KV35" s="1961">
        <v>4.1001233542877475</v>
      </c>
      <c r="KW35" s="1961">
        <v>7.206154667299252</v>
      </c>
      <c r="KX35" s="1962">
        <v>9.8940089569446084</v>
      </c>
      <c r="KY35" s="36"/>
      <c r="KZ35" s="53"/>
      <c r="LA35" s="53"/>
      <c r="LB35" s="53"/>
      <c r="LC35" s="53"/>
      <c r="LD35" s="33"/>
      <c r="LE35" s="2669"/>
      <c r="LG35" s="26">
        <f t="shared" si="53"/>
        <v>7317.61</v>
      </c>
      <c r="LH35" s="27">
        <f t="shared" si="53"/>
        <v>15031.33</v>
      </c>
      <c r="LI35" s="27">
        <f t="shared" si="53"/>
        <v>0</v>
      </c>
      <c r="LJ35" s="28">
        <f t="shared" si="54"/>
        <v>22348.94</v>
      </c>
      <c r="LK35" s="36">
        <v>3</v>
      </c>
      <c r="LL35" s="27"/>
      <c r="LM35" s="27">
        <v>3</v>
      </c>
      <c r="LN35" s="33"/>
      <c r="LO35" s="1041">
        <v>1.75</v>
      </c>
      <c r="LP35" s="486"/>
      <c r="LQ35" s="2688"/>
      <c r="LR35" s="36">
        <v>7317.61</v>
      </c>
      <c r="LS35" s="36"/>
      <c r="LT35" s="27"/>
      <c r="LU35" s="27"/>
      <c r="LV35" s="27"/>
      <c r="LW35" s="1107">
        <f t="shared" si="55"/>
        <v>7317.61</v>
      </c>
      <c r="LX35" s="36"/>
      <c r="LY35" s="36">
        <v>15031.33</v>
      </c>
      <c r="LZ35" s="27"/>
      <c r="MA35" s="27"/>
      <c r="MB35" s="33"/>
      <c r="MC35" s="28">
        <f t="shared" si="56"/>
        <v>15031.33</v>
      </c>
      <c r="MD35" s="26"/>
      <c r="ME35" s="36"/>
      <c r="MF35" s="27"/>
      <c r="MG35" s="27"/>
      <c r="MH35" s="27"/>
      <c r="MI35" s="28"/>
      <c r="MJ35" s="36"/>
      <c r="MK35" s="36"/>
      <c r="ML35" s="27"/>
      <c r="MM35" s="27"/>
      <c r="MN35" s="27"/>
      <c r="MO35" s="28"/>
      <c r="MP35" s="36"/>
      <c r="MQ35" s="36"/>
      <c r="MR35" s="27"/>
      <c r="MS35" s="27"/>
      <c r="MT35" s="27"/>
      <c r="MU35" s="33">
        <f t="shared" si="57"/>
        <v>0</v>
      </c>
      <c r="MV35" s="2688"/>
      <c r="MX35" s="26">
        <f t="shared" si="58"/>
        <v>154595.53549195669</v>
      </c>
      <c r="MY35" s="27">
        <f t="shared" si="59"/>
        <v>268352.89079257305</v>
      </c>
      <c r="MZ35" s="27">
        <f t="shared" si="60"/>
        <v>19752.125210117316</v>
      </c>
      <c r="NA35" s="28">
        <f t="shared" si="61"/>
        <v>315050.20760218997</v>
      </c>
      <c r="NB35" s="2621"/>
      <c r="NC35" s="23">
        <f t="shared" si="62"/>
        <v>52613.104968159198</v>
      </c>
      <c r="ND35" s="1655">
        <f t="shared" si="63"/>
        <v>101982.43052379749</v>
      </c>
      <c r="NE35" s="60">
        <f t="shared" si="64"/>
        <v>0</v>
      </c>
      <c r="NF35" s="275">
        <f t="shared" si="4"/>
        <v>154595.53549195669</v>
      </c>
      <c r="NG35" s="26">
        <f t="shared" si="125"/>
        <v>0</v>
      </c>
      <c r="NH35" s="27">
        <f t="shared" si="125"/>
        <v>0</v>
      </c>
      <c r="NI35" s="27">
        <f t="shared" si="125"/>
        <v>0</v>
      </c>
      <c r="NJ35" s="27">
        <f t="shared" si="125"/>
        <v>0</v>
      </c>
      <c r="NK35" s="27">
        <f t="shared" si="125"/>
        <v>0</v>
      </c>
      <c r="NL35" s="33">
        <f t="shared" si="125"/>
        <v>0</v>
      </c>
      <c r="NM35" s="27">
        <f t="shared" si="125"/>
        <v>0</v>
      </c>
      <c r="NN35" s="36">
        <f t="shared" si="125"/>
        <v>0</v>
      </c>
      <c r="NO35" s="24">
        <f t="shared" si="125"/>
        <v>40218.160671164173</v>
      </c>
      <c r="NP35" s="27">
        <f t="shared" si="125"/>
        <v>24549.88002237798</v>
      </c>
      <c r="NQ35" s="24">
        <f t="shared" si="110"/>
        <v>8756.5482322711578</v>
      </c>
      <c r="NR35" s="24">
        <f t="shared" si="111"/>
        <v>8777.5313514871814</v>
      </c>
      <c r="NS35" s="27">
        <f t="shared" si="0"/>
        <v>82302.120277300492</v>
      </c>
      <c r="NT35" s="27">
        <f t="shared" si="126"/>
        <v>0</v>
      </c>
      <c r="NU35" s="27">
        <f t="shared" si="126"/>
        <v>0</v>
      </c>
      <c r="NV35" s="27">
        <f t="shared" si="126"/>
        <v>0</v>
      </c>
      <c r="NW35" s="27">
        <f t="shared" si="126"/>
        <v>0</v>
      </c>
      <c r="NX35" s="27">
        <f t="shared" si="126"/>
        <v>0</v>
      </c>
      <c r="NY35" s="5">
        <f t="shared" si="126"/>
        <v>0</v>
      </c>
      <c r="NZ35" s="27">
        <f t="shared" si="126"/>
        <v>13298.258814178831</v>
      </c>
      <c r="OA35" s="27">
        <f t="shared" si="126"/>
        <v>0</v>
      </c>
      <c r="OB35" s="27">
        <f t="shared" si="126"/>
        <v>81944.149365972611</v>
      </c>
      <c r="OC35" s="27"/>
      <c r="OD35" s="24">
        <f t="shared" si="127"/>
        <v>0</v>
      </c>
      <c r="OE35" s="27">
        <f t="shared" si="127"/>
        <v>0</v>
      </c>
      <c r="OF35" s="28">
        <f t="shared" si="1"/>
        <v>95242.40818015144</v>
      </c>
      <c r="OG35" s="27">
        <f t="shared" si="128"/>
        <v>0</v>
      </c>
      <c r="OH35" s="27">
        <f t="shared" si="128"/>
        <v>0</v>
      </c>
      <c r="OI35" s="27">
        <f t="shared" si="128"/>
        <v>0</v>
      </c>
      <c r="OJ35" s="27">
        <f t="shared" si="128"/>
        <v>0</v>
      </c>
      <c r="OK35" s="27">
        <f t="shared" si="128"/>
        <v>0</v>
      </c>
      <c r="OL35" s="27">
        <f t="shared" si="128"/>
        <v>0</v>
      </c>
      <c r="OM35" s="24">
        <f t="shared" si="128"/>
        <v>0</v>
      </c>
      <c r="ON35" s="27">
        <f t="shared" si="128"/>
        <v>0</v>
      </c>
      <c r="OO35" s="24">
        <f t="shared" si="118"/>
        <v>66823.225076326256</v>
      </c>
      <c r="OP35" s="27">
        <f t="shared" si="128"/>
        <v>0</v>
      </c>
      <c r="OQ35" s="24">
        <f t="shared" si="128"/>
        <v>23985.13725879485</v>
      </c>
      <c r="OR35" s="27">
        <f t="shared" si="128"/>
        <v>0</v>
      </c>
      <c r="OS35" s="28">
        <f t="shared" si="2"/>
        <v>90808.362335121114</v>
      </c>
      <c r="OT35" s="36"/>
      <c r="OU35" s="27"/>
      <c r="OV35" s="27"/>
      <c r="OW35" s="27"/>
      <c r="OX35" s="27"/>
      <c r="OY35" s="27"/>
      <c r="OZ35" s="28">
        <f t="shared" si="69"/>
        <v>0</v>
      </c>
      <c r="PA35" s="36">
        <f t="shared" si="70"/>
        <v>0</v>
      </c>
      <c r="PB35" s="27">
        <f t="shared" si="71"/>
        <v>0</v>
      </c>
      <c r="PC35" s="27">
        <f t="shared" si="72"/>
        <v>0</v>
      </c>
      <c r="PD35" s="27">
        <f t="shared" si="73"/>
        <v>0</v>
      </c>
      <c r="PE35" s="24"/>
      <c r="PF35" s="27">
        <f t="shared" si="74"/>
        <v>0</v>
      </c>
      <c r="PG35" s="33">
        <f t="shared" si="3"/>
        <v>0</v>
      </c>
      <c r="PH35" s="2621"/>
      <c r="PJ35" s="1907">
        <v>240.26</v>
      </c>
      <c r="PK35" s="488">
        <v>0</v>
      </c>
      <c r="PL35" s="488">
        <v>0</v>
      </c>
      <c r="PM35" s="3">
        <v>243.35</v>
      </c>
      <c r="PN35" s="3">
        <f t="shared" si="75"/>
        <v>31796.953504658701</v>
      </c>
      <c r="PO35" s="11">
        <f t="shared" si="76"/>
        <v>19752.125210117316</v>
      </c>
      <c r="PP35" s="15"/>
      <c r="PQ35" s="2615"/>
      <c r="PS35" s="4"/>
      <c r="PT35" s="9"/>
      <c r="PU35" s="9"/>
      <c r="PV35" s="9"/>
      <c r="PW35" s="8">
        <v>0</v>
      </c>
      <c r="PX35" s="9"/>
      <c r="PY35" s="8">
        <f t="shared" si="77"/>
        <v>0</v>
      </c>
      <c r="PZ35" s="5">
        <f t="shared" si="78"/>
        <v>240.26</v>
      </c>
      <c r="QA35" s="5"/>
      <c r="QB35" s="5"/>
      <c r="QC35" s="5"/>
      <c r="QD35" s="5"/>
      <c r="QE35" s="5"/>
      <c r="QF35" s="12"/>
      <c r="QG35" s="12">
        <f t="shared" si="79"/>
        <v>29562.488999999998</v>
      </c>
      <c r="QH35" s="420">
        <f t="shared" si="80"/>
        <v>283267.76180818997</v>
      </c>
      <c r="QI35" s="1106">
        <f t="shared" si="113"/>
        <v>2219.9567940000002</v>
      </c>
      <c r="QJ35" s="484">
        <f t="shared" si="81"/>
        <v>5505.3678056099998</v>
      </c>
      <c r="QK35" s="12"/>
      <c r="QL35" s="2615"/>
      <c r="QN35" s="139">
        <f t="shared" si="82"/>
        <v>0</v>
      </c>
      <c r="QO35" s="139" t="str">
        <f t="shared" si="83"/>
        <v/>
      </c>
      <c r="QQ35" s="139">
        <f t="shared" si="84"/>
        <v>0</v>
      </c>
      <c r="QR35" s="139">
        <f t="shared" si="85"/>
        <v>0</v>
      </c>
      <c r="QT35" s="1">
        <f t="shared" si="86"/>
        <v>0</v>
      </c>
      <c r="QU35" s="1">
        <f t="shared" si="87"/>
        <v>0</v>
      </c>
      <c r="QV35" s="1">
        <f t="shared" si="88"/>
        <v>0</v>
      </c>
      <c r="QW35" s="1">
        <f t="shared" si="89"/>
        <v>0</v>
      </c>
      <c r="QX35" s="1">
        <f t="shared" si="90"/>
        <v>0</v>
      </c>
      <c r="QY35" s="1">
        <f t="shared" si="91"/>
        <v>0</v>
      </c>
      <c r="RA35" s="1">
        <f t="shared" si="92"/>
        <v>0</v>
      </c>
      <c r="RB35" s="1">
        <f t="shared" si="93"/>
        <v>0</v>
      </c>
      <c r="RC35" s="1">
        <f t="shared" si="94"/>
        <v>0</v>
      </c>
      <c r="RD35" s="1">
        <f t="shared" si="95"/>
        <v>0</v>
      </c>
      <c r="RE35" s="1">
        <f t="shared" si="96"/>
        <v>0</v>
      </c>
      <c r="RF35" s="1">
        <f t="shared" si="97"/>
        <v>0</v>
      </c>
      <c r="RI35" s="1">
        <v>26</v>
      </c>
      <c r="RJ35" s="1">
        <f t="shared" ref="RJ35:RL40" si="131">+RJ34+JI35-LG35</f>
        <v>-48502.612790282903</v>
      </c>
      <c r="RK35" s="1">
        <f t="shared" si="131"/>
        <v>28513.079780483706</v>
      </c>
      <c r="RL35" s="1">
        <f t="shared" si="131"/>
        <v>13404.263703387322</v>
      </c>
      <c r="RM35" s="89">
        <f t="shared" si="5"/>
        <v>-6585.2693064118757</v>
      </c>
      <c r="RN35" s="1033">
        <v>26</v>
      </c>
      <c r="RO35" s="1098">
        <v>0</v>
      </c>
      <c r="RP35" s="1098">
        <f t="shared" si="99"/>
        <v>0</v>
      </c>
      <c r="RQ35" s="1097">
        <f t="shared" si="99"/>
        <v>0</v>
      </c>
      <c r="RR35" s="1097">
        <f t="shared" si="114"/>
        <v>10902.74</v>
      </c>
      <c r="RS35" s="1050"/>
      <c r="RT35" s="1050" t="s">
        <v>1047</v>
      </c>
      <c r="RU35" s="1048"/>
      <c r="RW35" s="421">
        <v>26</v>
      </c>
      <c r="RX35" s="1095">
        <f t="shared" si="100"/>
        <v>16223.98</v>
      </c>
      <c r="RY35" s="1050" t="s">
        <v>1048</v>
      </c>
      <c r="RZ35" s="1048"/>
      <c r="SA35" s="1090"/>
      <c r="SB35" s="1090">
        <f t="shared" si="101"/>
        <v>0</v>
      </c>
      <c r="SC35" s="1090"/>
      <c r="SD35" s="1090">
        <f t="shared" si="124"/>
        <v>0</v>
      </c>
      <c r="SF35" s="1">
        <v>26</v>
      </c>
      <c r="SG35" s="1">
        <f t="shared" si="103"/>
        <v>243.35</v>
      </c>
      <c r="SH35" s="1094" t="s">
        <v>1049</v>
      </c>
    </row>
    <row r="36" spans="1:502" s="1" customFormat="1" ht="15">
      <c r="B36" s="471">
        <v>27</v>
      </c>
      <c r="C36" s="4">
        <f t="shared" si="6"/>
        <v>162478</v>
      </c>
      <c r="D36" s="1590">
        <f t="shared" si="119"/>
        <v>12653.650000000001</v>
      </c>
      <c r="E36" s="1895">
        <f t="shared" si="7"/>
        <v>12.840405732733242</v>
      </c>
      <c r="F36" s="870"/>
      <c r="G36" s="870"/>
      <c r="H36" s="52"/>
      <c r="I36" s="61"/>
      <c r="J36" s="52"/>
      <c r="K36" s="54"/>
      <c r="L36" s="52">
        <v>9</v>
      </c>
      <c r="M36" s="61">
        <v>2.83</v>
      </c>
      <c r="N36" s="2629"/>
      <c r="O36" s="4">
        <f t="shared" si="117"/>
        <v>87528</v>
      </c>
      <c r="P36" s="5">
        <f t="shared" si="8"/>
        <v>7657.09</v>
      </c>
      <c r="Q36" s="1913">
        <f t="shared" si="9"/>
        <v>11.43097443023394</v>
      </c>
      <c r="R36" s="33"/>
      <c r="S36" s="26">
        <f t="shared" si="10"/>
        <v>32213</v>
      </c>
      <c r="T36" s="27">
        <f t="shared" si="105"/>
        <v>1527.8600000000004</v>
      </c>
      <c r="U36" s="1909">
        <f t="shared" si="11"/>
        <v>21.08373803882554</v>
      </c>
      <c r="V36" s="28"/>
      <c r="W36" s="26">
        <f t="shared" si="12"/>
        <v>38751</v>
      </c>
      <c r="X36" s="5">
        <f t="shared" si="12"/>
        <v>2938</v>
      </c>
      <c r="Y36" s="1909">
        <f t="shared" si="13"/>
        <v>13.189584751531655</v>
      </c>
      <c r="Z36" s="33"/>
      <c r="AA36" s="26">
        <f t="shared" si="14"/>
        <v>3986</v>
      </c>
      <c r="AB36" s="27">
        <f t="shared" si="15"/>
        <v>530.70000000000005</v>
      </c>
      <c r="AC36" s="1909">
        <f t="shared" si="16"/>
        <v>7.5108347465611454</v>
      </c>
      <c r="AD36" s="28"/>
      <c r="AE36" s="36"/>
      <c r="AF36" s="36"/>
      <c r="AG36" s="53">
        <f t="shared" si="17"/>
        <v>0</v>
      </c>
      <c r="AH36" s="28"/>
      <c r="AI36" s="23"/>
      <c r="AJ36" s="27"/>
      <c r="AK36" s="53">
        <f t="shared" si="18"/>
        <v>0</v>
      </c>
      <c r="AL36" s="28"/>
      <c r="AM36" s="2629"/>
      <c r="AN36" s="9"/>
      <c r="AO36" s="5"/>
      <c r="AP36" s="61">
        <f t="shared" si="19"/>
        <v>0</v>
      </c>
      <c r="AQ36" s="36"/>
      <c r="AR36" s="53"/>
      <c r="AS36" s="61">
        <f t="shared" si="20"/>
        <v>0</v>
      </c>
      <c r="AT36" s="36"/>
      <c r="AU36" s="27"/>
      <c r="AV36" s="54">
        <f t="shared" si="21"/>
        <v>0</v>
      </c>
      <c r="AW36" s="26">
        <v>51912</v>
      </c>
      <c r="AX36" s="24">
        <v>5475.7000000000007</v>
      </c>
      <c r="AY36" s="1895">
        <f t="shared" si="115"/>
        <v>9.4804317256241202</v>
      </c>
      <c r="AZ36" s="1908"/>
      <c r="BA36" s="1909"/>
      <c r="BB36" s="1895">
        <f t="shared" si="22"/>
        <v>0</v>
      </c>
      <c r="BC36" s="1908">
        <v>35616</v>
      </c>
      <c r="BD36" s="1926">
        <v>2181.39</v>
      </c>
      <c r="BE36" s="1895">
        <f t="shared" si="23"/>
        <v>16.327204213826963</v>
      </c>
      <c r="BF36" s="1908"/>
      <c r="BG36" s="1909"/>
      <c r="BH36" s="1895">
        <f t="shared" si="24"/>
        <v>0</v>
      </c>
      <c r="BI36" s="1908">
        <v>0</v>
      </c>
      <c r="BJ36" s="1909">
        <v>0</v>
      </c>
      <c r="BK36" s="1895">
        <f t="shared" si="25"/>
        <v>0</v>
      </c>
      <c r="BL36" s="2491">
        <v>32213</v>
      </c>
      <c r="BM36" s="1736">
        <v>1527.8600000000004</v>
      </c>
      <c r="BN36" s="2170"/>
      <c r="BO36" s="1895">
        <f t="shared" si="26"/>
        <v>21.08373803882554</v>
      </c>
      <c r="BP36" s="9">
        <v>3986</v>
      </c>
      <c r="BQ36" s="63">
        <v>530.70000000000005</v>
      </c>
      <c r="BR36" s="1920">
        <f t="shared" si="27"/>
        <v>7.5108347465611454</v>
      </c>
      <c r="BS36" s="9"/>
      <c r="BT36" s="64"/>
      <c r="BU36" s="482">
        <f t="shared" si="28"/>
        <v>0</v>
      </c>
      <c r="BV36" s="9">
        <v>38751</v>
      </c>
      <c r="BW36" s="5">
        <f t="shared" si="106"/>
        <v>2938</v>
      </c>
      <c r="BX36" s="28">
        <f t="shared" si="29"/>
        <v>13.189584751531655</v>
      </c>
      <c r="BY36" s="4"/>
      <c r="BZ36" s="5"/>
      <c r="CA36" s="61">
        <f t="shared" si="30"/>
        <v>0</v>
      </c>
      <c r="CB36" s="36"/>
      <c r="CC36" s="5"/>
      <c r="CD36" s="61">
        <f t="shared" si="31"/>
        <v>0</v>
      </c>
      <c r="CE36" s="26"/>
      <c r="CF36" s="5"/>
      <c r="CG36" s="28">
        <f t="shared" si="32"/>
        <v>0</v>
      </c>
      <c r="CH36" s="150"/>
      <c r="CI36" s="1108">
        <v>581</v>
      </c>
      <c r="CJ36" s="5"/>
      <c r="CK36" s="5">
        <v>3047</v>
      </c>
      <c r="CL36" s="5"/>
      <c r="CM36" s="5"/>
      <c r="CN36" s="5">
        <f t="shared" si="33"/>
        <v>3628</v>
      </c>
      <c r="CO36" s="33"/>
      <c r="CP36" s="366"/>
      <c r="CR36" s="4">
        <f t="shared" si="130"/>
        <v>0</v>
      </c>
      <c r="CS36" s="9">
        <f t="shared" si="130"/>
        <v>0</v>
      </c>
      <c r="CT36" s="5">
        <f t="shared" si="130"/>
        <v>0</v>
      </c>
      <c r="CU36" s="5">
        <f t="shared" si="129"/>
        <v>0</v>
      </c>
      <c r="CV36" s="5">
        <f t="shared" si="129"/>
        <v>0</v>
      </c>
      <c r="CW36" s="5">
        <f t="shared" si="129"/>
        <v>0</v>
      </c>
      <c r="CX36" s="5">
        <f t="shared" si="129"/>
        <v>0</v>
      </c>
      <c r="CY36" s="5">
        <f t="shared" si="129"/>
        <v>0</v>
      </c>
      <c r="CZ36" s="5">
        <f t="shared" si="129"/>
        <v>10986.34</v>
      </c>
      <c r="DA36" s="5">
        <f t="shared" si="129"/>
        <v>0</v>
      </c>
      <c r="DB36" s="5">
        <f t="shared" si="129"/>
        <v>1667.31</v>
      </c>
      <c r="DC36" s="12">
        <f t="shared" si="129"/>
        <v>0</v>
      </c>
      <c r="DD36" s="310">
        <f>SUM(CR36:DC36,PW36)</f>
        <v>12653.65</v>
      </c>
      <c r="DE36" s="2695"/>
      <c r="DF36" s="8"/>
      <c r="DG36" s="9"/>
      <c r="DH36" s="5"/>
      <c r="DI36" s="5"/>
      <c r="DJ36" s="5"/>
      <c r="DK36" s="5"/>
      <c r="DL36" s="3">
        <v>0</v>
      </c>
      <c r="DM36" s="5"/>
      <c r="DN36" s="3">
        <v>5475.7000000000007</v>
      </c>
      <c r="DO36" s="5"/>
      <c r="DP36" s="3">
        <v>0</v>
      </c>
      <c r="DQ36" s="12"/>
      <c r="DR36" s="28">
        <f t="shared" si="36"/>
        <v>5475.7000000000007</v>
      </c>
      <c r="DS36" s="36"/>
      <c r="DT36" s="36"/>
      <c r="DU36" s="27"/>
      <c r="DV36" s="27"/>
      <c r="DW36" s="27"/>
      <c r="DX36" s="27"/>
      <c r="DY36" s="27"/>
      <c r="DZ36" s="27"/>
      <c r="EA36" s="3">
        <v>2572.6400000000003</v>
      </c>
      <c r="EB36" s="27"/>
      <c r="EC36" s="24">
        <v>1667.31</v>
      </c>
      <c r="ED36" s="33"/>
      <c r="EE36" s="28">
        <f t="shared" si="37"/>
        <v>4239.9500000000007</v>
      </c>
      <c r="EF36" s="9"/>
      <c r="EG36" s="36"/>
      <c r="EH36" s="27"/>
      <c r="EI36" s="27"/>
      <c r="EJ36" s="27"/>
      <c r="EK36" s="27"/>
      <c r="EL36" s="27"/>
      <c r="EM36" s="27"/>
      <c r="EN36" s="5">
        <v>2938</v>
      </c>
      <c r="EO36" s="5"/>
      <c r="EP36" s="5"/>
      <c r="EQ36" s="33"/>
      <c r="ER36" s="28">
        <f t="shared" si="38"/>
        <v>2938</v>
      </c>
      <c r="ES36" s="36"/>
      <c r="ET36" s="27"/>
      <c r="EU36" s="27"/>
      <c r="EV36" s="27"/>
      <c r="EW36" s="27"/>
      <c r="EX36" s="27"/>
      <c r="EY36" s="33">
        <f t="shared" si="39"/>
        <v>0</v>
      </c>
      <c r="EZ36" s="2685"/>
      <c r="FB36" s="4">
        <f t="shared" si="40"/>
        <v>0</v>
      </c>
      <c r="FC36" s="5">
        <f t="shared" si="41"/>
        <v>0</v>
      </c>
      <c r="FD36" s="5">
        <f t="shared" si="42"/>
        <v>0</v>
      </c>
      <c r="FE36" s="12">
        <f t="shared" si="43"/>
        <v>0</v>
      </c>
      <c r="FF36" s="33"/>
      <c r="FG36" s="2674"/>
      <c r="FH36" s="9"/>
      <c r="FI36" s="5"/>
      <c r="FJ36" s="5"/>
      <c r="FK36" s="5"/>
      <c r="FL36" s="5"/>
      <c r="FM36" s="27"/>
      <c r="FN36" s="28">
        <f t="shared" si="44"/>
        <v>0</v>
      </c>
      <c r="FO36" s="36"/>
      <c r="FP36" s="27"/>
      <c r="FQ36" s="27"/>
      <c r="FR36" s="27"/>
      <c r="FS36" s="27"/>
      <c r="FT36" s="27"/>
      <c r="FU36" s="28">
        <f t="shared" si="45"/>
        <v>0</v>
      </c>
      <c r="FV36" s="36"/>
      <c r="FW36" s="36"/>
      <c r="FX36" s="27"/>
      <c r="FY36" s="27"/>
      <c r="FZ36" s="27"/>
      <c r="GA36" s="27"/>
      <c r="GB36" s="27"/>
      <c r="GC36" s="27"/>
      <c r="GD36" s="24">
        <v>0</v>
      </c>
      <c r="GE36" s="27"/>
      <c r="GF36" s="27"/>
      <c r="GG36" s="33"/>
      <c r="GH36" s="33">
        <f t="shared" si="46"/>
        <v>0</v>
      </c>
      <c r="GI36" s="2674"/>
      <c r="GK36" s="2">
        <f t="shared" si="107"/>
        <v>4615.9599999999991</v>
      </c>
      <c r="GL36" s="63">
        <f t="shared" si="108"/>
        <v>5454.1100000000006</v>
      </c>
      <c r="GM36" s="24">
        <f t="shared" si="109"/>
        <v>5102.4800000000005</v>
      </c>
      <c r="GN36" s="1736">
        <f t="shared" si="47"/>
        <v>15172.55</v>
      </c>
      <c r="GO36" s="141"/>
      <c r="GP36" s="141"/>
      <c r="GQ36" s="33"/>
      <c r="GR36" s="2667"/>
      <c r="GS36" s="1739">
        <v>0</v>
      </c>
      <c r="GT36" s="1721">
        <v>0</v>
      </c>
      <c r="GU36" s="1721">
        <v>6211.3499999999985</v>
      </c>
      <c r="GV36" s="1721">
        <v>8961.2000000000007</v>
      </c>
      <c r="GW36" s="33">
        <v>15172.55</v>
      </c>
      <c r="GX36" s="2667"/>
      <c r="GY36" s="36"/>
      <c r="GZ36" s="36"/>
      <c r="HA36" s="27"/>
      <c r="HB36" s="27"/>
      <c r="HC36" s="27"/>
      <c r="HD36" s="27"/>
      <c r="HE36" s="27"/>
      <c r="HF36" s="27"/>
      <c r="HG36" s="24">
        <v>4615.9599999999991</v>
      </c>
      <c r="HH36" s="27"/>
      <c r="HI36" s="24">
        <v>0</v>
      </c>
      <c r="HJ36" s="27"/>
      <c r="HK36" s="24">
        <v>0</v>
      </c>
      <c r="HL36" s="27"/>
      <c r="HM36" s="28">
        <f t="shared" si="120"/>
        <v>4615.9599999999991</v>
      </c>
      <c r="HN36" s="36"/>
      <c r="HO36" s="27"/>
      <c r="HP36" s="27"/>
      <c r="HQ36" s="27"/>
      <c r="HR36" s="27"/>
      <c r="HS36" s="27"/>
      <c r="HT36" s="27">
        <f t="array" ref="HT36">SUMPRODUCT(('Data Base hauling'!$C$2:$C$2000="TCM-ROM SB1 BK05-ROM 4")*(ISNUMBER(SEARCH(TEXT('July TCM'!$B36,"00")&amp;"/03/2026",'Data Base hauling'!$E$2:$E$2000)))*'Data Base hauling'!$N$2:$N$2000)</f>
        <v>0</v>
      </c>
      <c r="HU36" s="27"/>
      <c r="HV36" s="27">
        <f t="array" ref="HV36">SUMPRODUCT(('Data Base hauling'!$C$2:$C$2000="TCM-ROM SB1 BK05-ROM 5")*(ISNUMBER(SEARCH(TEXT('July TCM'!$B36,"00")&amp;"/03/2026",'Data Base hauling'!$E$2:$E$2000)))*'Data Base hauling'!$N$2:$N$2000)</f>
        <v>0</v>
      </c>
      <c r="HW36" s="27"/>
      <c r="HX36" s="27"/>
      <c r="HY36" s="27"/>
      <c r="HZ36" s="27"/>
      <c r="IA36" s="27"/>
      <c r="IB36" s="33">
        <f t="shared" si="49"/>
        <v>0</v>
      </c>
      <c r="IC36" s="52"/>
      <c r="ID36" s="152"/>
      <c r="IE36" s="53"/>
      <c r="IF36" s="53"/>
      <c r="IG36" s="53"/>
      <c r="IH36" s="53"/>
      <c r="II36" s="1926">
        <v>0</v>
      </c>
      <c r="IJ36" s="1736"/>
      <c r="IK36" s="1926">
        <v>5454.1100000000006</v>
      </c>
      <c r="IL36" s="53"/>
      <c r="IM36" s="49">
        <v>0</v>
      </c>
      <c r="IN36" s="53"/>
      <c r="IO36" s="53"/>
      <c r="IP36" s="49">
        <v>0</v>
      </c>
      <c r="IQ36" s="2195">
        <f t="shared" si="121"/>
        <v>5454.1100000000006</v>
      </c>
      <c r="IR36" s="36"/>
      <c r="IS36" s="36"/>
      <c r="IT36" s="27"/>
      <c r="IU36" s="27"/>
      <c r="IV36" s="53"/>
      <c r="IW36" s="27"/>
      <c r="IX36" s="24">
        <v>0</v>
      </c>
      <c r="IY36" s="27"/>
      <c r="IZ36" s="24">
        <v>5102.4800000000005</v>
      </c>
      <c r="JA36" s="27"/>
      <c r="JB36" s="24">
        <v>0</v>
      </c>
      <c r="JC36" s="27"/>
      <c r="JD36" s="27"/>
      <c r="JE36" s="27"/>
      <c r="JF36" s="33">
        <f t="shared" si="122"/>
        <v>5102.4800000000005</v>
      </c>
      <c r="JG36" s="2667"/>
      <c r="JI36" s="2014">
        <v>15172.550000000003</v>
      </c>
      <c r="JJ36" s="2015">
        <v>0</v>
      </c>
      <c r="JK36" s="53"/>
      <c r="JL36" s="1736">
        <f t="shared" si="52"/>
        <v>15172.550000000003</v>
      </c>
      <c r="JM36" s="33"/>
      <c r="JN36" s="2669"/>
      <c r="JO36" s="66">
        <v>0</v>
      </c>
      <c r="JP36" s="67">
        <v>0</v>
      </c>
      <c r="JQ36" s="67">
        <v>0</v>
      </c>
      <c r="JR36" s="67">
        <v>0</v>
      </c>
      <c r="JS36" s="67">
        <v>1</v>
      </c>
      <c r="JT36" s="67">
        <v>0</v>
      </c>
      <c r="JU36" s="67">
        <v>0</v>
      </c>
      <c r="JV36" s="1921">
        <v>0</v>
      </c>
      <c r="JW36" s="66" t="s">
        <v>296</v>
      </c>
      <c r="JX36" s="67" t="s">
        <v>296</v>
      </c>
      <c r="JY36" s="67" t="s">
        <v>296</v>
      </c>
      <c r="JZ36" s="67" t="s">
        <v>296</v>
      </c>
      <c r="KA36" s="67" t="s">
        <v>296</v>
      </c>
      <c r="KB36" s="67" t="s">
        <v>296</v>
      </c>
      <c r="KC36" s="67" t="s">
        <v>296</v>
      </c>
      <c r="KD36" s="68" t="s">
        <v>296</v>
      </c>
      <c r="KE36" s="69"/>
      <c r="KF36" s="70"/>
      <c r="KG36" s="70"/>
      <c r="KH36" s="70"/>
      <c r="KI36" s="70"/>
      <c r="KJ36" s="70"/>
      <c r="KK36" s="70"/>
      <c r="KL36" s="70"/>
      <c r="KM36" s="33"/>
      <c r="KN36" s="2669"/>
      <c r="KO36" s="2203">
        <v>7101.6031746031749</v>
      </c>
      <c r="KP36" s="1721">
        <v>0.65126984126984122</v>
      </c>
      <c r="KQ36" s="1721">
        <v>3.8357445200302345</v>
      </c>
      <c r="KR36" s="1721">
        <v>5.9920710506424797</v>
      </c>
      <c r="KS36" s="1722">
        <v>9.1435363416477706</v>
      </c>
      <c r="KT36" s="1958">
        <v>6856.4051954667002</v>
      </c>
      <c r="KU36" s="1961">
        <v>1.7819088246529988</v>
      </c>
      <c r="KV36" s="1961">
        <v>3.8341130778046608</v>
      </c>
      <c r="KW36" s="1961">
        <v>6.8907143766713359</v>
      </c>
      <c r="KX36" s="1962">
        <v>9.6769345332993755</v>
      </c>
      <c r="KY36" s="36"/>
      <c r="KZ36" s="53"/>
      <c r="LA36" s="53"/>
      <c r="LB36" s="53"/>
      <c r="LC36" s="53"/>
      <c r="LD36" s="33"/>
      <c r="LE36" s="2669"/>
      <c r="LG36" s="26">
        <f t="shared" si="53"/>
        <v>4826.3085000000001</v>
      </c>
      <c r="LH36" s="27">
        <f t="shared" si="53"/>
        <v>2598.7815000000001</v>
      </c>
      <c r="LI36" s="27">
        <f t="shared" si="53"/>
        <v>0</v>
      </c>
      <c r="LJ36" s="28">
        <f t="shared" si="54"/>
        <v>7425.09</v>
      </c>
      <c r="LK36" s="36">
        <v>1</v>
      </c>
      <c r="LL36" s="27"/>
      <c r="LM36" s="27">
        <v>3</v>
      </c>
      <c r="LN36" s="33"/>
      <c r="LO36" s="1041">
        <v>1.89</v>
      </c>
      <c r="LP36" s="2196"/>
      <c r="LQ36" s="2688"/>
      <c r="LR36" s="36">
        <v>4826.3085000000001</v>
      </c>
      <c r="LS36" s="36">
        <v>2598.7815000000001</v>
      </c>
      <c r="LT36" s="27"/>
      <c r="LU36" s="27"/>
      <c r="LV36" s="27"/>
      <c r="LW36" s="1107">
        <f t="shared" si="55"/>
        <v>7425.09</v>
      </c>
      <c r="LX36" s="36"/>
      <c r="LY36" s="36"/>
      <c r="LZ36" s="27"/>
      <c r="MA36" s="27"/>
      <c r="MB36" s="33"/>
      <c r="MC36" s="28">
        <f t="shared" si="56"/>
        <v>0</v>
      </c>
      <c r="MD36" s="26"/>
      <c r="ME36" s="36"/>
      <c r="MF36" s="27"/>
      <c r="MG36" s="27"/>
      <c r="MH36" s="27"/>
      <c r="MI36" s="28"/>
      <c r="MJ36" s="36"/>
      <c r="MK36" s="36"/>
      <c r="ML36" s="27"/>
      <c r="MM36" s="27"/>
      <c r="MN36" s="27"/>
      <c r="MO36" s="28"/>
      <c r="MP36" s="36"/>
      <c r="MQ36" s="36"/>
      <c r="MR36" s="27"/>
      <c r="MS36" s="27"/>
      <c r="MT36" s="27"/>
      <c r="MU36" s="33">
        <f t="shared" si="57"/>
        <v>0</v>
      </c>
      <c r="MV36" s="2688"/>
      <c r="MX36" s="26">
        <f t="shared" si="58"/>
        <v>162342.99549195671</v>
      </c>
      <c r="MY36" s="27">
        <f t="shared" si="59"/>
        <v>265833.99079257302</v>
      </c>
      <c r="MZ36" s="27">
        <f t="shared" si="60"/>
        <v>19842.125210117316</v>
      </c>
      <c r="NA36" s="28">
        <f t="shared" si="61"/>
        <v>315050.20760218997</v>
      </c>
      <c r="NB36" s="2621"/>
      <c r="NC36" s="23">
        <f t="shared" si="62"/>
        <v>62959.346468159201</v>
      </c>
      <c r="ND36" s="1655">
        <f t="shared" si="63"/>
        <v>99383.649023797494</v>
      </c>
      <c r="NE36" s="60">
        <f t="shared" si="64"/>
        <v>0</v>
      </c>
      <c r="NF36" s="275">
        <f t="shared" si="4"/>
        <v>162342.99549195671</v>
      </c>
      <c r="NG36" s="26">
        <v>0</v>
      </c>
      <c r="NH36" s="27">
        <v>0</v>
      </c>
      <c r="NI36" s="27">
        <v>0</v>
      </c>
      <c r="NJ36" s="27">
        <v>0</v>
      </c>
      <c r="NK36" s="27">
        <v>0</v>
      </c>
      <c r="NL36" s="33">
        <v>0</v>
      </c>
      <c r="NM36" s="27">
        <v>0</v>
      </c>
      <c r="NN36" s="36">
        <v>0</v>
      </c>
      <c r="NO36" s="24">
        <f t="shared" si="125"/>
        <v>38540.200671164173</v>
      </c>
      <c r="NP36" s="27">
        <f t="shared" si="125"/>
        <v>24549.88002237798</v>
      </c>
      <c r="NQ36" s="24">
        <f t="shared" si="110"/>
        <v>8756.5482322711578</v>
      </c>
      <c r="NR36" s="24">
        <f t="shared" si="111"/>
        <v>8777.5313514871814</v>
      </c>
      <c r="NS36" s="27">
        <f t="shared" si="0"/>
        <v>80624.1602773005</v>
      </c>
      <c r="NT36" s="27">
        <f t="shared" si="126"/>
        <v>0</v>
      </c>
      <c r="NU36" s="27">
        <f t="shared" si="126"/>
        <v>0</v>
      </c>
      <c r="NV36" s="27">
        <f t="shared" si="126"/>
        <v>0</v>
      </c>
      <c r="NW36" s="27">
        <f t="shared" si="126"/>
        <v>0</v>
      </c>
      <c r="NX36" s="27">
        <f t="shared" si="126"/>
        <v>0</v>
      </c>
      <c r="NY36" s="5">
        <f t="shared" si="126"/>
        <v>0</v>
      </c>
      <c r="NZ36" s="27">
        <f t="shared" si="126"/>
        <v>13298.258814178831</v>
      </c>
      <c r="OA36" s="27">
        <f t="shared" si="126"/>
        <v>0</v>
      </c>
      <c r="OB36" s="27">
        <f t="shared" si="126"/>
        <v>81965.739365972608</v>
      </c>
      <c r="OC36" s="27"/>
      <c r="OD36" s="24">
        <f t="shared" si="127"/>
        <v>0</v>
      </c>
      <c r="OE36" s="27">
        <f t="shared" si="127"/>
        <v>0</v>
      </c>
      <c r="OF36" s="28">
        <f t="shared" si="1"/>
        <v>95263.998180151437</v>
      </c>
      <c r="OG36" s="27">
        <f t="shared" si="128"/>
        <v>0</v>
      </c>
      <c r="OH36" s="27">
        <f t="shared" si="128"/>
        <v>0</v>
      </c>
      <c r="OI36" s="27">
        <f t="shared" si="128"/>
        <v>0</v>
      </c>
      <c r="OJ36" s="27">
        <f t="shared" si="128"/>
        <v>0</v>
      </c>
      <c r="OK36" s="27">
        <f t="shared" si="128"/>
        <v>0</v>
      </c>
      <c r="OL36" s="27">
        <f t="shared" si="128"/>
        <v>0</v>
      </c>
      <c r="OM36" s="24">
        <f t="shared" si="128"/>
        <v>0</v>
      </c>
      <c r="ON36" s="27">
        <f t="shared" si="128"/>
        <v>0</v>
      </c>
      <c r="OO36" s="24">
        <f t="shared" si="118"/>
        <v>64293.385076326253</v>
      </c>
      <c r="OP36" s="27">
        <f t="shared" si="128"/>
        <v>0</v>
      </c>
      <c r="OQ36" s="24">
        <f t="shared" si="128"/>
        <v>25652.447258794851</v>
      </c>
      <c r="OR36" s="27">
        <f t="shared" si="128"/>
        <v>0</v>
      </c>
      <c r="OS36" s="28">
        <f t="shared" si="2"/>
        <v>89945.8323351211</v>
      </c>
      <c r="OT36" s="36"/>
      <c r="OU36" s="27"/>
      <c r="OV36" s="27"/>
      <c r="OW36" s="27"/>
      <c r="OX36" s="27"/>
      <c r="OY36" s="27"/>
      <c r="OZ36" s="28">
        <f t="shared" si="69"/>
        <v>0</v>
      </c>
      <c r="PA36" s="36">
        <f t="shared" si="70"/>
        <v>0</v>
      </c>
      <c r="PB36" s="27">
        <f t="shared" si="71"/>
        <v>0</v>
      </c>
      <c r="PC36" s="27">
        <f t="shared" si="72"/>
        <v>0</v>
      </c>
      <c r="PD36" s="27">
        <f t="shared" si="73"/>
        <v>0</v>
      </c>
      <c r="PE36" s="24"/>
      <c r="PF36" s="27">
        <f t="shared" si="74"/>
        <v>0</v>
      </c>
      <c r="PG36" s="33">
        <f t="shared" si="3"/>
        <v>0</v>
      </c>
      <c r="PH36" s="2621"/>
      <c r="PJ36" s="1907">
        <v>0</v>
      </c>
      <c r="PK36" s="3">
        <v>315</v>
      </c>
      <c r="PL36" s="3">
        <v>90</v>
      </c>
      <c r="PM36" s="3">
        <v>0</v>
      </c>
      <c r="PN36" s="3">
        <f t="shared" si="75"/>
        <v>31481.953504658701</v>
      </c>
      <c r="PO36" s="11">
        <f t="shared" si="76"/>
        <v>19842.125210117316</v>
      </c>
      <c r="PP36" s="15"/>
      <c r="PQ36" s="2615"/>
      <c r="PS36" s="4"/>
      <c r="PT36" s="9"/>
      <c r="PU36" s="9"/>
      <c r="PV36" s="9"/>
      <c r="PW36" s="8">
        <v>0</v>
      </c>
      <c r="PX36" s="9"/>
      <c r="PY36" s="8">
        <f t="shared" si="77"/>
        <v>0</v>
      </c>
      <c r="PZ36" s="5">
        <f t="shared" si="78"/>
        <v>0</v>
      </c>
      <c r="QA36" s="5"/>
      <c r="QB36" s="5"/>
      <c r="QC36" s="5"/>
      <c r="QD36" s="5"/>
      <c r="QE36" s="5"/>
      <c r="QF36" s="12"/>
      <c r="QG36" s="12">
        <f t="shared" si="79"/>
        <v>29562.488999999998</v>
      </c>
      <c r="QH36" s="420">
        <f t="shared" si="80"/>
        <v>283267.76180818997</v>
      </c>
      <c r="QI36" s="1106">
        <f t="shared" si="113"/>
        <v>2219.9567940000002</v>
      </c>
      <c r="QJ36" s="484">
        <f t="shared" si="81"/>
        <v>5505.3678056099998</v>
      </c>
      <c r="QK36" s="12"/>
      <c r="QL36" s="2615"/>
      <c r="QN36" s="139">
        <f t="shared" si="82"/>
        <v>0</v>
      </c>
      <c r="QO36" s="139" t="str">
        <f t="shared" si="83"/>
        <v/>
      </c>
      <c r="QQ36" s="139">
        <f t="shared" si="84"/>
        <v>0</v>
      </c>
      <c r="QR36" s="139">
        <f t="shared" si="85"/>
        <v>0</v>
      </c>
      <c r="QT36" s="1">
        <f t="shared" si="86"/>
        <v>0</v>
      </c>
      <c r="QU36" s="1">
        <f t="shared" si="87"/>
        <v>0</v>
      </c>
      <c r="QV36" s="1">
        <f t="shared" si="88"/>
        <v>0</v>
      </c>
      <c r="QW36" s="1">
        <f t="shared" si="89"/>
        <v>0</v>
      </c>
      <c r="QX36" s="1">
        <f t="shared" si="90"/>
        <v>0</v>
      </c>
      <c r="QY36" s="1">
        <f t="shared" si="91"/>
        <v>0</v>
      </c>
      <c r="RA36" s="1">
        <f t="shared" si="92"/>
        <v>0</v>
      </c>
      <c r="RB36" s="1">
        <f t="shared" si="93"/>
        <v>0</v>
      </c>
      <c r="RC36" s="1">
        <f t="shared" si="94"/>
        <v>0</v>
      </c>
      <c r="RD36" s="1">
        <f t="shared" si="95"/>
        <v>0</v>
      </c>
      <c r="RE36" s="1">
        <f t="shared" si="96"/>
        <v>0</v>
      </c>
      <c r="RF36" s="1">
        <f t="shared" si="97"/>
        <v>0</v>
      </c>
      <c r="RI36" s="1">
        <v>27</v>
      </c>
      <c r="RJ36" s="1">
        <f t="shared" si="131"/>
        <v>-38156.371290282899</v>
      </c>
      <c r="RK36" s="1">
        <f t="shared" si="131"/>
        <v>25914.298280483705</v>
      </c>
      <c r="RL36" s="1">
        <f t="shared" si="131"/>
        <v>13404.263703387322</v>
      </c>
      <c r="RM36" s="89">
        <f t="shared" si="5"/>
        <v>1162.190693588127</v>
      </c>
      <c r="RN36" s="1033">
        <v>27</v>
      </c>
      <c r="RO36" s="1098">
        <v>0</v>
      </c>
      <c r="RP36" s="1098">
        <f t="shared" si="99"/>
        <v>0</v>
      </c>
      <c r="RQ36" s="1097">
        <f t="shared" si="99"/>
        <v>0</v>
      </c>
      <c r="RR36" s="1097">
        <f t="shared" si="114"/>
        <v>9715.6500000000015</v>
      </c>
      <c r="RS36" s="1050"/>
      <c r="RT36" s="1050" t="s">
        <v>1050</v>
      </c>
      <c r="RW36" s="421">
        <v>27</v>
      </c>
      <c r="RX36" s="1095">
        <f t="shared" si="100"/>
        <v>15172.55</v>
      </c>
      <c r="RY36" s="1046" t="s">
        <v>1051</v>
      </c>
      <c r="SA36" s="1090"/>
      <c r="SB36" s="1090">
        <f t="shared" si="101"/>
        <v>0</v>
      </c>
      <c r="SC36" s="1090"/>
      <c r="SD36" s="1090">
        <f t="shared" si="124"/>
        <v>0</v>
      </c>
      <c r="SF36" s="1">
        <v>27</v>
      </c>
      <c r="SG36" s="1">
        <f t="shared" si="103"/>
        <v>0</v>
      </c>
      <c r="SH36" s="1094"/>
    </row>
    <row r="37" spans="1:502" s="1" customFormat="1">
      <c r="B37" s="471">
        <v>28</v>
      </c>
      <c r="C37" s="4">
        <f t="shared" si="6"/>
        <v>168572</v>
      </c>
      <c r="D37" s="1590">
        <f t="shared" si="119"/>
        <v>13304.31</v>
      </c>
      <c r="E37" s="1895">
        <f t="shared" si="7"/>
        <v>12.670480468359502</v>
      </c>
      <c r="F37" s="870"/>
      <c r="G37" s="870"/>
      <c r="H37" s="52"/>
      <c r="I37" s="61"/>
      <c r="J37" s="52"/>
      <c r="K37" s="54"/>
      <c r="L37" s="52">
        <v>20</v>
      </c>
      <c r="M37" s="61">
        <v>3.42</v>
      </c>
      <c r="N37" s="2629"/>
      <c r="O37" s="4">
        <f t="shared" si="117"/>
        <v>96936</v>
      </c>
      <c r="P37" s="5">
        <f t="shared" si="8"/>
        <v>7529.55</v>
      </c>
      <c r="Q37" s="1913">
        <f t="shared" si="9"/>
        <v>12.874076140008366</v>
      </c>
      <c r="R37" s="33"/>
      <c r="S37" s="26">
        <f t="shared" si="10"/>
        <v>37168</v>
      </c>
      <c r="T37" s="27">
        <f t="shared" si="105"/>
        <v>3041.8199999999993</v>
      </c>
      <c r="U37" s="1909">
        <f t="shared" si="11"/>
        <v>12.219000466825785</v>
      </c>
      <c r="V37" s="28"/>
      <c r="W37" s="26">
        <f t="shared" si="12"/>
        <v>28718</v>
      </c>
      <c r="X37" s="5">
        <f t="shared" si="12"/>
        <v>1920</v>
      </c>
      <c r="Y37" s="1909">
        <f t="shared" si="13"/>
        <v>14.957291666666666</v>
      </c>
      <c r="Z37" s="33"/>
      <c r="AA37" s="26">
        <f t="shared" si="14"/>
        <v>5750</v>
      </c>
      <c r="AB37" s="27">
        <f t="shared" si="15"/>
        <v>812.94</v>
      </c>
      <c r="AC37" s="1909">
        <f t="shared" si="16"/>
        <v>7.073092725170369</v>
      </c>
      <c r="AD37" s="28"/>
      <c r="AE37" s="36"/>
      <c r="AF37" s="36"/>
      <c r="AG37" s="53">
        <f t="shared" si="17"/>
        <v>0</v>
      </c>
      <c r="AH37" s="28"/>
      <c r="AI37" s="26"/>
      <c r="AJ37" s="27"/>
      <c r="AK37" s="53">
        <f t="shared" si="18"/>
        <v>0</v>
      </c>
      <c r="AL37" s="28"/>
      <c r="AM37" s="2629"/>
      <c r="AN37" s="9"/>
      <c r="AO37" s="5"/>
      <c r="AP37" s="61">
        <f t="shared" si="19"/>
        <v>0</v>
      </c>
      <c r="AQ37" s="36"/>
      <c r="AR37" s="53"/>
      <c r="AS37" s="61">
        <f t="shared" si="20"/>
        <v>0</v>
      </c>
      <c r="AT37" s="36"/>
      <c r="AU37" s="27"/>
      <c r="AV37" s="54">
        <f t="shared" si="21"/>
        <v>0</v>
      </c>
      <c r="AW37" s="26">
        <v>54936</v>
      </c>
      <c r="AX37" s="24">
        <v>5983.46</v>
      </c>
      <c r="AY37" s="1895">
        <f t="shared" si="115"/>
        <v>9.1813098107115287</v>
      </c>
      <c r="AZ37" s="1908"/>
      <c r="BA37" s="1909"/>
      <c r="BB37" s="1895">
        <f t="shared" si="22"/>
        <v>0</v>
      </c>
      <c r="BC37" s="1740">
        <v>42000</v>
      </c>
      <c r="BD37" s="1926">
        <v>1546.09</v>
      </c>
      <c r="BE37" s="1895">
        <f t="shared" si="23"/>
        <v>27.165300855706978</v>
      </c>
      <c r="BF37" s="1908"/>
      <c r="BG37" s="1909"/>
      <c r="BH37" s="1895">
        <f t="shared" si="24"/>
        <v>0</v>
      </c>
      <c r="BI37" s="1908">
        <v>0</v>
      </c>
      <c r="BJ37" s="1909">
        <v>0</v>
      </c>
      <c r="BK37" s="1895">
        <f t="shared" si="25"/>
        <v>0</v>
      </c>
      <c r="BL37" s="2491">
        <v>37168</v>
      </c>
      <c r="BM37" s="1736">
        <v>3041.8199999999993</v>
      </c>
      <c r="BN37" s="2170"/>
      <c r="BO37" s="1895">
        <f t="shared" si="26"/>
        <v>12.219000466825785</v>
      </c>
      <c r="BP37" s="9">
        <v>5750</v>
      </c>
      <c r="BQ37" s="63">
        <v>812.94</v>
      </c>
      <c r="BR37" s="1920">
        <f t="shared" si="27"/>
        <v>7.073092725170369</v>
      </c>
      <c r="BS37" s="9"/>
      <c r="BT37" s="64"/>
      <c r="BU37" s="482">
        <f t="shared" si="28"/>
        <v>0</v>
      </c>
      <c r="BV37" s="9">
        <v>28718</v>
      </c>
      <c r="BW37" s="5">
        <f t="shared" si="106"/>
        <v>1920</v>
      </c>
      <c r="BX37" s="28">
        <f t="shared" si="29"/>
        <v>14.957291666666666</v>
      </c>
      <c r="BY37" s="26"/>
      <c r="BZ37" s="5"/>
      <c r="CA37" s="61">
        <f t="shared" si="30"/>
        <v>0</v>
      </c>
      <c r="CB37" s="36"/>
      <c r="CC37" s="5"/>
      <c r="CD37" s="61">
        <f t="shared" si="31"/>
        <v>0</v>
      </c>
      <c r="CE37" s="26"/>
      <c r="CF37" s="5"/>
      <c r="CG37" s="28">
        <f t="shared" si="32"/>
        <v>0</v>
      </c>
      <c r="CH37" s="150"/>
      <c r="CI37" s="1108">
        <v>455</v>
      </c>
      <c r="CJ37" s="5"/>
      <c r="CK37" s="5">
        <v>3143</v>
      </c>
      <c r="CL37" s="5"/>
      <c r="CM37" s="5"/>
      <c r="CN37" s="5">
        <f t="shared" si="33"/>
        <v>3598</v>
      </c>
      <c r="CO37" s="33"/>
      <c r="CP37" s="366"/>
      <c r="CR37" s="4">
        <f t="shared" si="130"/>
        <v>0</v>
      </c>
      <c r="CS37" s="9">
        <f t="shared" si="130"/>
        <v>0</v>
      </c>
      <c r="CT37" s="5">
        <f t="shared" si="130"/>
        <v>0</v>
      </c>
      <c r="CU37" s="5">
        <f t="shared" si="129"/>
        <v>0</v>
      </c>
      <c r="CV37" s="5">
        <f t="shared" si="129"/>
        <v>0</v>
      </c>
      <c r="CW37" s="5">
        <f t="shared" si="129"/>
        <v>0</v>
      </c>
      <c r="CX37" s="5">
        <f t="shared" si="129"/>
        <v>1499.72</v>
      </c>
      <c r="CY37" s="5">
        <f t="shared" si="129"/>
        <v>0</v>
      </c>
      <c r="CZ37" s="5">
        <f t="shared" si="129"/>
        <v>10258.5</v>
      </c>
      <c r="DA37" s="5">
        <f t="shared" si="129"/>
        <v>0</v>
      </c>
      <c r="DB37" s="5">
        <f t="shared" si="129"/>
        <v>1546.09</v>
      </c>
      <c r="DC37" s="12">
        <f t="shared" si="129"/>
        <v>0</v>
      </c>
      <c r="DD37" s="310">
        <f>SUM(CR37:DC37,PW37,PX37)</f>
        <v>13304.31</v>
      </c>
      <c r="DE37" s="2695"/>
      <c r="DF37" s="8"/>
      <c r="DG37" s="9"/>
      <c r="DH37" s="5"/>
      <c r="DI37" s="5"/>
      <c r="DJ37" s="5"/>
      <c r="DK37" s="5"/>
      <c r="DL37" s="3">
        <v>1499.72</v>
      </c>
      <c r="DM37" s="5"/>
      <c r="DN37" s="3">
        <v>4483.74</v>
      </c>
      <c r="DO37" s="5"/>
      <c r="DP37" s="3">
        <v>0</v>
      </c>
      <c r="DQ37" s="12"/>
      <c r="DR37" s="28">
        <f t="shared" si="36"/>
        <v>5983.46</v>
      </c>
      <c r="DS37" s="36"/>
      <c r="DT37" s="36"/>
      <c r="DU37" s="27"/>
      <c r="DV37" s="27"/>
      <c r="DW37" s="27"/>
      <c r="DX37" s="27"/>
      <c r="DY37" s="27"/>
      <c r="DZ37" s="27"/>
      <c r="EA37" s="3">
        <v>3854.7599999999993</v>
      </c>
      <c r="EB37" s="27"/>
      <c r="EC37" s="24">
        <v>1546.09</v>
      </c>
      <c r="ED37" s="33"/>
      <c r="EE37" s="28">
        <f t="shared" si="37"/>
        <v>5400.8499999999995</v>
      </c>
      <c r="EF37" s="9"/>
      <c r="EG37" s="36"/>
      <c r="EH37" s="27"/>
      <c r="EI37" s="27"/>
      <c r="EJ37" s="27"/>
      <c r="EK37" s="27"/>
      <c r="EL37" s="27"/>
      <c r="EM37" s="27"/>
      <c r="EN37" s="5">
        <v>1920</v>
      </c>
      <c r="EO37" s="5"/>
      <c r="EP37" s="5"/>
      <c r="EQ37" s="33"/>
      <c r="ER37" s="28">
        <f t="shared" si="38"/>
        <v>1920</v>
      </c>
      <c r="ES37" s="36"/>
      <c r="ET37" s="27"/>
      <c r="EU37" s="27"/>
      <c r="EV37" s="27"/>
      <c r="EW37" s="27"/>
      <c r="EX37" s="27"/>
      <c r="EY37" s="33">
        <f t="shared" si="39"/>
        <v>0</v>
      </c>
      <c r="EZ37" s="2685"/>
      <c r="FB37" s="4">
        <f t="shared" si="40"/>
        <v>0</v>
      </c>
      <c r="FC37" s="5">
        <f t="shared" si="41"/>
        <v>0</v>
      </c>
      <c r="FD37" s="5">
        <f t="shared" si="42"/>
        <v>0</v>
      </c>
      <c r="FE37" s="12">
        <f t="shared" si="43"/>
        <v>0</v>
      </c>
      <c r="FF37" s="33"/>
      <c r="FG37" s="2674"/>
      <c r="FH37" s="9"/>
      <c r="FI37" s="5"/>
      <c r="FJ37" s="5"/>
      <c r="FK37" s="5"/>
      <c r="FL37" s="5"/>
      <c r="FM37" s="27"/>
      <c r="FN37" s="28">
        <f t="shared" si="44"/>
        <v>0</v>
      </c>
      <c r="FO37" s="36"/>
      <c r="FP37" s="27"/>
      <c r="FQ37" s="27"/>
      <c r="FR37" s="27"/>
      <c r="FS37" s="27"/>
      <c r="FT37" s="27"/>
      <c r="FU37" s="28">
        <f t="shared" si="45"/>
        <v>0</v>
      </c>
      <c r="FV37" s="36"/>
      <c r="FW37" s="36"/>
      <c r="FX37" s="27"/>
      <c r="FY37" s="27"/>
      <c r="FZ37" s="27"/>
      <c r="GA37" s="27"/>
      <c r="GB37" s="27"/>
      <c r="GC37" s="27"/>
      <c r="GD37" s="24">
        <v>0</v>
      </c>
      <c r="GE37" s="27"/>
      <c r="GF37" s="27"/>
      <c r="GG37" s="33"/>
      <c r="GH37" s="33">
        <f t="shared" si="46"/>
        <v>0</v>
      </c>
      <c r="GI37" s="2674"/>
      <c r="GK37" s="2">
        <f t="shared" si="107"/>
        <v>2660.05</v>
      </c>
      <c r="GL37" s="63">
        <f t="shared" si="108"/>
        <v>7000.84</v>
      </c>
      <c r="GM37" s="24">
        <f t="shared" si="109"/>
        <v>4904.3600000000006</v>
      </c>
      <c r="GN37" s="53">
        <f t="shared" si="47"/>
        <v>14565.25</v>
      </c>
      <c r="GO37" s="141"/>
      <c r="GP37" s="141"/>
      <c r="GQ37" s="33"/>
      <c r="GR37" s="2667"/>
      <c r="GS37" s="1739">
        <v>0</v>
      </c>
      <c r="GT37" s="1721">
        <v>0</v>
      </c>
      <c r="GU37" s="1721">
        <v>5862.1</v>
      </c>
      <c r="GV37" s="1721">
        <v>8703.15</v>
      </c>
      <c r="GW37" s="33">
        <v>14565.25</v>
      </c>
      <c r="GX37" s="2667"/>
      <c r="GY37" s="36"/>
      <c r="GZ37" s="36"/>
      <c r="HA37" s="27"/>
      <c r="HB37" s="27"/>
      <c r="HC37" s="27"/>
      <c r="HD37" s="27"/>
      <c r="HE37" s="27"/>
      <c r="HF37" s="27"/>
      <c r="HG37" s="24">
        <v>1867.2500000000002</v>
      </c>
      <c r="HH37" s="27"/>
      <c r="HI37" s="24">
        <v>792.8</v>
      </c>
      <c r="HJ37" s="27"/>
      <c r="HK37" s="24">
        <v>0</v>
      </c>
      <c r="HL37" s="27"/>
      <c r="HM37" s="28">
        <f t="shared" si="120"/>
        <v>2660.05</v>
      </c>
      <c r="HN37" s="36"/>
      <c r="HO37" s="27"/>
      <c r="HP37" s="27"/>
      <c r="HQ37" s="27"/>
      <c r="HR37" s="27"/>
      <c r="HS37" s="27"/>
      <c r="HT37" s="27">
        <f t="array" ref="HT37">SUMPRODUCT(('Data Base hauling'!$C$2:$C$2000="TCM-ROM SB1 BK05-ROM 4")*(ISNUMBER(SEARCH(TEXT('July TCM'!$B37,"00")&amp;"/03/2026",'Data Base hauling'!$E$2:$E$2000)))*'Data Base hauling'!$N$2:$N$2000)</f>
        <v>0</v>
      </c>
      <c r="HU37" s="27"/>
      <c r="HV37" s="27">
        <f t="array" ref="HV37">SUMPRODUCT(('Data Base hauling'!$C$2:$C$2000="TCM-ROM SB1 BK05-ROM 5")*(ISNUMBER(SEARCH(TEXT('July TCM'!$B37,"00")&amp;"/03/2026",'Data Base hauling'!$E$2:$E$2000)))*'Data Base hauling'!$N$2:$N$2000)</f>
        <v>0</v>
      </c>
      <c r="HW37" s="27"/>
      <c r="HX37" s="27"/>
      <c r="HY37" s="27"/>
      <c r="HZ37" s="27"/>
      <c r="IA37" s="27"/>
      <c r="IB37" s="33">
        <f t="shared" si="49"/>
        <v>0</v>
      </c>
      <c r="IC37" s="52"/>
      <c r="ID37" s="152"/>
      <c r="IE37" s="53"/>
      <c r="IF37" s="53"/>
      <c r="IG37" s="53"/>
      <c r="IH37" s="53"/>
      <c r="II37" s="1926">
        <v>1903.02</v>
      </c>
      <c r="IJ37" s="1736"/>
      <c r="IK37" s="1926">
        <v>4980.22</v>
      </c>
      <c r="IL37" s="53"/>
      <c r="IM37" s="49">
        <v>0</v>
      </c>
      <c r="IN37" s="53"/>
      <c r="IO37" s="53"/>
      <c r="IP37" s="49">
        <v>117.6</v>
      </c>
      <c r="IQ37" s="61">
        <f t="shared" si="121"/>
        <v>7000.84</v>
      </c>
      <c r="IR37" s="36"/>
      <c r="IS37" s="36"/>
      <c r="IT37" s="27"/>
      <c r="IU37" s="27"/>
      <c r="IV37" s="53"/>
      <c r="IW37" s="27"/>
      <c r="IX37" s="24">
        <v>0</v>
      </c>
      <c r="IY37" s="27"/>
      <c r="IZ37" s="24">
        <v>2973.59</v>
      </c>
      <c r="JA37" s="27"/>
      <c r="JB37" s="24">
        <v>1930.77</v>
      </c>
      <c r="JC37" s="27"/>
      <c r="JD37" s="27"/>
      <c r="JE37" s="27"/>
      <c r="JF37" s="33">
        <f t="shared" si="122"/>
        <v>4904.3600000000006</v>
      </c>
      <c r="JG37" s="2667"/>
      <c r="JI37" s="2014">
        <v>6625.3900000000012</v>
      </c>
      <c r="JJ37" s="2015">
        <v>7939.8599999999988</v>
      </c>
      <c r="JK37" s="53"/>
      <c r="JL37" s="1736">
        <f t="shared" si="52"/>
        <v>14565.25</v>
      </c>
      <c r="JM37" s="33"/>
      <c r="JN37" s="2669"/>
      <c r="JO37" s="66">
        <v>0</v>
      </c>
      <c r="JP37" s="67">
        <v>0</v>
      </c>
      <c r="JQ37" s="67">
        <v>0</v>
      </c>
      <c r="JR37" s="67">
        <v>0</v>
      </c>
      <c r="JS37" s="67">
        <v>0.99746430021477983</v>
      </c>
      <c r="JT37" s="67">
        <v>0</v>
      </c>
      <c r="JU37" s="67">
        <v>0</v>
      </c>
      <c r="JV37" s="1921">
        <v>0</v>
      </c>
      <c r="JW37" s="66">
        <v>0</v>
      </c>
      <c r="JX37" s="67">
        <v>0</v>
      </c>
      <c r="JY37" s="67">
        <v>0</v>
      </c>
      <c r="JZ37" s="67">
        <v>0.23967928905547456</v>
      </c>
      <c r="KA37" s="67">
        <v>0.4046003330033528</v>
      </c>
      <c r="KB37" s="67">
        <v>0.34302493998634737</v>
      </c>
      <c r="KC37" s="67">
        <v>0</v>
      </c>
      <c r="KD37" s="68">
        <v>0</v>
      </c>
      <c r="KE37" s="69"/>
      <c r="KF37" s="70"/>
      <c r="KG37" s="70"/>
      <c r="KH37" s="70"/>
      <c r="KI37" s="70"/>
      <c r="KJ37" s="70"/>
      <c r="KK37" s="70"/>
      <c r="KL37" s="70"/>
      <c r="KM37" s="33"/>
      <c r="KN37" s="2669"/>
      <c r="KO37" s="2203">
        <v>7101.6031746031749</v>
      </c>
      <c r="KP37" s="1721">
        <v>0.65126984126984122</v>
      </c>
      <c r="KQ37" s="1721">
        <v>3.8357445200302345</v>
      </c>
      <c r="KR37" s="1721">
        <v>5.9920710506424797</v>
      </c>
      <c r="KS37" s="1722">
        <v>9.1435363416477706</v>
      </c>
      <c r="KT37" s="1958">
        <v>6856.4051954667002</v>
      </c>
      <c r="KU37" s="1961">
        <v>1.7819088246529988</v>
      </c>
      <c r="KV37" s="1961">
        <v>3.8341130778046608</v>
      </c>
      <c r="KW37" s="1961">
        <v>6.8907143766713359</v>
      </c>
      <c r="KX37" s="1962">
        <v>9.6769345332993755</v>
      </c>
      <c r="KY37" s="36"/>
      <c r="KZ37" s="53"/>
      <c r="LA37" s="53"/>
      <c r="LB37" s="53"/>
      <c r="LC37" s="53"/>
      <c r="LD37" s="33"/>
      <c r="LE37" s="2669"/>
      <c r="LG37" s="26">
        <f t="shared" si="53"/>
        <v>10088.93</v>
      </c>
      <c r="LH37" s="27">
        <f t="shared" si="53"/>
        <v>5432.5</v>
      </c>
      <c r="LI37" s="27">
        <f t="shared" si="53"/>
        <v>0</v>
      </c>
      <c r="LJ37" s="28">
        <f t="shared" si="54"/>
        <v>15521.43</v>
      </c>
      <c r="LK37" s="36">
        <v>2</v>
      </c>
      <c r="LL37" s="27">
        <v>1</v>
      </c>
      <c r="LM37" s="27">
        <v>1</v>
      </c>
      <c r="LN37" s="33"/>
      <c r="LO37" s="1041">
        <v>1.87</v>
      </c>
      <c r="LP37" s="486"/>
      <c r="LQ37" s="2688"/>
      <c r="LR37" s="26">
        <v>10088.93</v>
      </c>
      <c r="LS37" s="36">
        <v>5432.5</v>
      </c>
      <c r="LT37" s="27"/>
      <c r="LU37" s="27"/>
      <c r="LV37" s="27"/>
      <c r="LW37" s="1107">
        <f t="shared" si="55"/>
        <v>15521.43</v>
      </c>
      <c r="LX37" s="36"/>
      <c r="LY37" s="36"/>
      <c r="LZ37" s="27"/>
      <c r="MA37" s="27"/>
      <c r="MB37" s="33"/>
      <c r="MC37" s="28">
        <f t="shared" si="56"/>
        <v>0</v>
      </c>
      <c r="MD37" s="26"/>
      <c r="ME37" s="36"/>
      <c r="MF37" s="27"/>
      <c r="MG37" s="27"/>
      <c r="MH37" s="27"/>
      <c r="MI37" s="28"/>
      <c r="MJ37" s="36"/>
      <c r="MK37" s="36"/>
      <c r="ML37" s="27"/>
      <c r="MM37" s="27"/>
      <c r="MN37" s="27"/>
      <c r="MO37" s="28"/>
      <c r="MP37" s="36"/>
      <c r="MQ37" s="36"/>
      <c r="MR37" s="27"/>
      <c r="MS37" s="27"/>
      <c r="MT37" s="27"/>
      <c r="MU37" s="33">
        <f t="shared" si="57"/>
        <v>0</v>
      </c>
      <c r="MV37" s="2688"/>
      <c r="MX37" s="26">
        <f t="shared" si="58"/>
        <v>161386.81549195669</v>
      </c>
      <c r="MY37" s="27">
        <f t="shared" si="59"/>
        <v>264690.65079257305</v>
      </c>
      <c r="MZ37" s="27">
        <f t="shared" si="60"/>
        <v>20210.125210117316</v>
      </c>
      <c r="NA37" s="28">
        <f t="shared" si="61"/>
        <v>314504.90760218998</v>
      </c>
      <c r="NB37" s="2621"/>
      <c r="NC37" s="23">
        <f t="shared" si="62"/>
        <v>59495.8064681592</v>
      </c>
      <c r="ND37" s="1655">
        <f t="shared" si="63"/>
        <v>101891.00902379749</v>
      </c>
      <c r="NE37" s="60">
        <f t="shared" si="64"/>
        <v>0</v>
      </c>
      <c r="NF37" s="275">
        <f t="shared" si="4"/>
        <v>161386.81549195669</v>
      </c>
      <c r="NG37" s="26">
        <f t="shared" ref="NG37:NP40" si="132">+NG36+EF37-GY37</f>
        <v>0</v>
      </c>
      <c r="NH37" s="27">
        <f t="shared" si="132"/>
        <v>0</v>
      </c>
      <c r="NI37" s="27">
        <f t="shared" si="132"/>
        <v>0</v>
      </c>
      <c r="NJ37" s="27">
        <f t="shared" si="132"/>
        <v>0</v>
      </c>
      <c r="NK37" s="27">
        <f t="shared" si="132"/>
        <v>0</v>
      </c>
      <c r="NL37" s="33">
        <f t="shared" si="132"/>
        <v>0</v>
      </c>
      <c r="NM37" s="27">
        <f t="shared" si="132"/>
        <v>0</v>
      </c>
      <c r="NN37" s="152">
        <f t="shared" si="132"/>
        <v>0</v>
      </c>
      <c r="NO37" s="24">
        <f t="shared" si="125"/>
        <v>38592.950671164173</v>
      </c>
      <c r="NP37" s="27">
        <f t="shared" si="132"/>
        <v>24549.88002237798</v>
      </c>
      <c r="NQ37" s="24">
        <f t="shared" si="110"/>
        <v>8756.5482322711578</v>
      </c>
      <c r="NR37" s="24">
        <f t="shared" si="111"/>
        <v>7984.7313514871812</v>
      </c>
      <c r="NS37" s="27">
        <f t="shared" si="0"/>
        <v>79884.110277300497</v>
      </c>
      <c r="NT37" s="27">
        <f t="shared" si="126"/>
        <v>0</v>
      </c>
      <c r="NU37" s="27">
        <f t="shared" si="126"/>
        <v>0</v>
      </c>
      <c r="NV37" s="27">
        <f t="shared" si="126"/>
        <v>0</v>
      </c>
      <c r="NW37" s="27">
        <f t="shared" si="126"/>
        <v>0</v>
      </c>
      <c r="NX37" s="27">
        <f t="shared" si="126"/>
        <v>0</v>
      </c>
      <c r="NY37" s="5">
        <f t="shared" si="126"/>
        <v>0</v>
      </c>
      <c r="NZ37" s="27">
        <f t="shared" si="126"/>
        <v>12894.95881417883</v>
      </c>
      <c r="OA37" s="27">
        <f t="shared" si="126"/>
        <v>0</v>
      </c>
      <c r="OB37" s="27">
        <f t="shared" si="126"/>
        <v>81469.259365972612</v>
      </c>
      <c r="OC37" s="27"/>
      <c r="OD37" s="24">
        <f t="shared" si="127"/>
        <v>0</v>
      </c>
      <c r="OE37" s="27">
        <f t="shared" si="127"/>
        <v>0</v>
      </c>
      <c r="OF37" s="28">
        <f t="shared" si="1"/>
        <v>94364.218180151438</v>
      </c>
      <c r="OG37" s="27">
        <f t="shared" si="128"/>
        <v>0</v>
      </c>
      <c r="OH37" s="27">
        <f t="shared" si="128"/>
        <v>0</v>
      </c>
      <c r="OI37" s="27">
        <f t="shared" si="128"/>
        <v>0</v>
      </c>
      <c r="OJ37" s="27">
        <f t="shared" si="128"/>
        <v>0</v>
      </c>
      <c r="OK37" s="27">
        <f t="shared" si="128"/>
        <v>0</v>
      </c>
      <c r="OL37" s="27">
        <f t="shared" si="128"/>
        <v>0</v>
      </c>
      <c r="OM37" s="24">
        <f t="shared" si="128"/>
        <v>0</v>
      </c>
      <c r="ON37" s="27">
        <f t="shared" si="128"/>
        <v>0</v>
      </c>
      <c r="OO37" s="24">
        <f t="shared" si="118"/>
        <v>65174.555076326258</v>
      </c>
      <c r="OP37" s="27">
        <f t="shared" si="128"/>
        <v>0</v>
      </c>
      <c r="OQ37" s="24">
        <f t="shared" si="128"/>
        <v>25267.767258794851</v>
      </c>
      <c r="OR37" s="27">
        <f t="shared" si="128"/>
        <v>0</v>
      </c>
      <c r="OS37" s="28">
        <f t="shared" si="2"/>
        <v>90442.322335121105</v>
      </c>
      <c r="OT37" s="36"/>
      <c r="OU37" s="27"/>
      <c r="OV37" s="27"/>
      <c r="OW37" s="27"/>
      <c r="OX37" s="27"/>
      <c r="OY37" s="27"/>
      <c r="OZ37" s="28">
        <f t="shared" si="69"/>
        <v>0</v>
      </c>
      <c r="PA37" s="36">
        <f t="shared" si="70"/>
        <v>0</v>
      </c>
      <c r="PB37" s="27">
        <f t="shared" si="71"/>
        <v>0</v>
      </c>
      <c r="PC37" s="27">
        <f t="shared" si="72"/>
        <v>0</v>
      </c>
      <c r="PD37" s="27">
        <f t="shared" si="73"/>
        <v>0</v>
      </c>
      <c r="PE37" s="24"/>
      <c r="PF37" s="27">
        <f t="shared" si="74"/>
        <v>0</v>
      </c>
      <c r="PG37" s="33">
        <f t="shared" si="3"/>
        <v>0</v>
      </c>
      <c r="PH37" s="2621"/>
      <c r="PJ37" s="1907">
        <v>427.7</v>
      </c>
      <c r="PK37" s="3">
        <v>1288</v>
      </c>
      <c r="PL37" s="3">
        <v>368</v>
      </c>
      <c r="PM37" s="3">
        <v>0</v>
      </c>
      <c r="PN37" s="3">
        <f t="shared" si="75"/>
        <v>30621.653504658701</v>
      </c>
      <c r="PO37" s="11">
        <f t="shared" si="76"/>
        <v>20210.125210117316</v>
      </c>
      <c r="PP37" s="15"/>
      <c r="PQ37" s="2615"/>
      <c r="PS37" s="4"/>
      <c r="PT37" s="9"/>
      <c r="PU37" s="9"/>
      <c r="PV37" s="9"/>
      <c r="PW37" s="8">
        <v>0</v>
      </c>
      <c r="PX37" s="9"/>
      <c r="PY37" s="8">
        <f t="shared" si="77"/>
        <v>0</v>
      </c>
      <c r="PZ37" s="5">
        <f t="shared" si="78"/>
        <v>427.7</v>
      </c>
      <c r="QA37" s="5"/>
      <c r="QB37" s="5"/>
      <c r="QC37" s="5"/>
      <c r="QD37" s="5"/>
      <c r="QE37" s="5"/>
      <c r="QF37" s="12"/>
      <c r="QG37" s="12">
        <f t="shared" si="79"/>
        <v>29562.488999999998</v>
      </c>
      <c r="QH37" s="420">
        <f t="shared" si="80"/>
        <v>282722.46180818998</v>
      </c>
      <c r="QI37" s="1106">
        <f t="shared" si="113"/>
        <v>2219.9567940000002</v>
      </c>
      <c r="QJ37" s="484">
        <f t="shared" si="81"/>
        <v>5505.3678056099998</v>
      </c>
      <c r="QK37" s="12"/>
      <c r="QL37" s="2615"/>
      <c r="QN37" s="139">
        <f t="shared" si="82"/>
        <v>0</v>
      </c>
      <c r="QO37" s="139" t="str">
        <f t="shared" si="83"/>
        <v/>
      </c>
      <c r="QQ37" s="139">
        <f t="shared" si="84"/>
        <v>0</v>
      </c>
      <c r="QR37" s="139">
        <f t="shared" si="85"/>
        <v>0</v>
      </c>
      <c r="QT37" s="1">
        <f t="shared" si="86"/>
        <v>0</v>
      </c>
      <c r="QU37" s="1">
        <f t="shared" si="87"/>
        <v>0</v>
      </c>
      <c r="QV37" s="1">
        <f t="shared" si="88"/>
        <v>0</v>
      </c>
      <c r="QW37" s="1">
        <f t="shared" si="89"/>
        <v>0</v>
      </c>
      <c r="QX37" s="1">
        <f t="shared" si="90"/>
        <v>0</v>
      </c>
      <c r="QY37" s="1">
        <f t="shared" si="91"/>
        <v>0</v>
      </c>
      <c r="RA37" s="1">
        <f t="shared" si="92"/>
        <v>0</v>
      </c>
      <c r="RB37" s="1">
        <f t="shared" si="93"/>
        <v>0</v>
      </c>
      <c r="RC37" s="1">
        <f t="shared" si="94"/>
        <v>0</v>
      </c>
      <c r="RD37" s="1">
        <f t="shared" si="95"/>
        <v>0</v>
      </c>
      <c r="RE37" s="1">
        <f t="shared" si="96"/>
        <v>0</v>
      </c>
      <c r="RF37" s="1">
        <f t="shared" si="97"/>
        <v>0</v>
      </c>
      <c r="RI37" s="1">
        <v>28</v>
      </c>
      <c r="RJ37" s="1">
        <f t="shared" si="131"/>
        <v>-41619.9112902829</v>
      </c>
      <c r="RK37" s="1">
        <f t="shared" si="131"/>
        <v>28421.658280483702</v>
      </c>
      <c r="RL37" s="1">
        <f t="shared" si="131"/>
        <v>13404.263703387322</v>
      </c>
      <c r="RM37" s="89">
        <f t="shared" si="5"/>
        <v>206.0106935881231</v>
      </c>
      <c r="RN37" s="1033">
        <v>28</v>
      </c>
      <c r="RO37" s="1098">
        <v>0</v>
      </c>
      <c r="RP37" s="1098">
        <f t="shared" si="99"/>
        <v>0</v>
      </c>
      <c r="RQ37" s="1097">
        <f t="shared" si="99"/>
        <v>0</v>
      </c>
      <c r="RR37" s="1097">
        <f t="shared" si="114"/>
        <v>11384.31</v>
      </c>
      <c r="RS37" s="1046"/>
      <c r="RT37" s="1928">
        <v>2607284924</v>
      </c>
      <c r="RW37" s="421">
        <v>28</v>
      </c>
      <c r="RX37" s="1095">
        <f t="shared" si="100"/>
        <v>14565.25</v>
      </c>
      <c r="RY37" s="1109">
        <v>26072813942</v>
      </c>
      <c r="RZ37" s="1048"/>
      <c r="SA37" s="1090"/>
      <c r="SB37" s="1090">
        <f t="shared" si="101"/>
        <v>0</v>
      </c>
      <c r="SC37" s="1090"/>
      <c r="SD37" s="1090">
        <f t="shared" si="124"/>
        <v>0</v>
      </c>
      <c r="SF37" s="1">
        <v>28</v>
      </c>
      <c r="SG37" s="1">
        <f t="shared" si="103"/>
        <v>0</v>
      </c>
      <c r="SH37" s="1094"/>
    </row>
    <row r="38" spans="1:502" s="1" customFormat="1">
      <c r="B38" s="471">
        <v>29</v>
      </c>
      <c r="C38" s="4">
        <f t="shared" si="6"/>
        <v>135941</v>
      </c>
      <c r="D38" s="1590">
        <f t="shared" si="119"/>
        <v>10508.300000000001</v>
      </c>
      <c r="E38" s="1895">
        <f t="shared" si="7"/>
        <v>12.936535881160605</v>
      </c>
      <c r="F38" s="870"/>
      <c r="G38" s="870"/>
      <c r="H38" s="52">
        <v>9</v>
      </c>
      <c r="I38" s="61">
        <v>5</v>
      </c>
      <c r="J38" s="52"/>
      <c r="K38" s="54"/>
      <c r="L38" s="52">
        <v>16</v>
      </c>
      <c r="M38" s="61">
        <v>4.67</v>
      </c>
      <c r="N38" s="2629"/>
      <c r="O38" s="4">
        <f t="shared" si="117"/>
        <v>80262</v>
      </c>
      <c r="P38" s="5">
        <f t="shared" si="8"/>
        <v>6265.4400000000005</v>
      </c>
      <c r="Q38" s="1913">
        <f t="shared" si="9"/>
        <v>12.810273500344747</v>
      </c>
      <c r="R38" s="33"/>
      <c r="S38" s="26">
        <f t="shared" si="10"/>
        <v>31238</v>
      </c>
      <c r="T38" s="27">
        <f t="shared" si="105"/>
        <v>1792.6799999999998</v>
      </c>
      <c r="U38" s="1909">
        <f t="shared" si="11"/>
        <v>17.425307361046034</v>
      </c>
      <c r="V38" s="28"/>
      <c r="W38" s="26">
        <f t="shared" si="12"/>
        <v>20593</v>
      </c>
      <c r="X38" s="5">
        <f t="shared" si="12"/>
        <v>2064</v>
      </c>
      <c r="Y38" s="1909">
        <f t="shared" si="13"/>
        <v>9.9772286821705425</v>
      </c>
      <c r="Z38" s="33"/>
      <c r="AA38" s="26">
        <f t="shared" si="14"/>
        <v>3848</v>
      </c>
      <c r="AB38" s="27">
        <f t="shared" si="15"/>
        <v>386.18</v>
      </c>
      <c r="AC38" s="1909">
        <f t="shared" si="16"/>
        <v>9.9642653684810192</v>
      </c>
      <c r="AD38" s="28"/>
      <c r="AE38" s="36"/>
      <c r="AF38" s="36"/>
      <c r="AG38" s="53">
        <f t="shared" si="17"/>
        <v>0</v>
      </c>
      <c r="AH38" s="28"/>
      <c r="AI38" s="23"/>
      <c r="AJ38" s="27"/>
      <c r="AK38" s="53">
        <f t="shared" si="18"/>
        <v>0</v>
      </c>
      <c r="AL38" s="28"/>
      <c r="AM38" s="2629"/>
      <c r="AN38" s="9"/>
      <c r="AO38" s="5"/>
      <c r="AP38" s="61">
        <f t="shared" si="19"/>
        <v>0</v>
      </c>
      <c r="AQ38" s="36"/>
      <c r="AR38" s="53"/>
      <c r="AS38" s="61">
        <f t="shared" si="20"/>
        <v>0</v>
      </c>
      <c r="AT38" s="36"/>
      <c r="AU38" s="27"/>
      <c r="AV38" s="54">
        <f t="shared" si="21"/>
        <v>0</v>
      </c>
      <c r="AW38" s="26">
        <v>45822</v>
      </c>
      <c r="AX38" s="24">
        <v>6028.8</v>
      </c>
      <c r="AY38" s="1895">
        <f t="shared" si="115"/>
        <v>7.6005175159235669</v>
      </c>
      <c r="AZ38" s="1908"/>
      <c r="BA38" s="1909"/>
      <c r="BB38" s="1895">
        <f t="shared" si="22"/>
        <v>0</v>
      </c>
      <c r="BC38" s="1740">
        <v>34440</v>
      </c>
      <c r="BD38" s="1926">
        <v>236.64</v>
      </c>
      <c r="BE38" s="1895">
        <f t="shared" si="23"/>
        <v>145.53752535496957</v>
      </c>
      <c r="BF38" s="1908"/>
      <c r="BG38" s="1909"/>
      <c r="BH38" s="1895">
        <f t="shared" si="24"/>
        <v>0</v>
      </c>
      <c r="BI38" s="1908">
        <v>0</v>
      </c>
      <c r="BJ38" s="1909">
        <v>0</v>
      </c>
      <c r="BK38" s="1895">
        <f t="shared" si="25"/>
        <v>0</v>
      </c>
      <c r="BL38" s="2491">
        <v>31238</v>
      </c>
      <c r="BM38" s="1736">
        <v>1792.6799999999998</v>
      </c>
      <c r="BN38" s="2170"/>
      <c r="BO38" s="1895">
        <f t="shared" si="26"/>
        <v>17.425307361046034</v>
      </c>
      <c r="BP38" s="9">
        <v>3848</v>
      </c>
      <c r="BQ38" s="63">
        <v>386.18</v>
      </c>
      <c r="BR38" s="1920">
        <f t="shared" si="27"/>
        <v>9.9642653684810192</v>
      </c>
      <c r="BS38" s="9"/>
      <c r="BT38" s="5"/>
      <c r="BU38" s="482">
        <f t="shared" si="28"/>
        <v>0</v>
      </c>
      <c r="BV38" s="9">
        <v>20593</v>
      </c>
      <c r="BW38" s="5">
        <f t="shared" si="106"/>
        <v>2064</v>
      </c>
      <c r="BX38" s="28">
        <f t="shared" si="29"/>
        <v>9.9772286821705425</v>
      </c>
      <c r="BY38" s="26"/>
      <c r="BZ38" s="5"/>
      <c r="CA38" s="61">
        <f t="shared" si="30"/>
        <v>0</v>
      </c>
      <c r="CB38" s="36"/>
      <c r="CC38" s="5"/>
      <c r="CD38" s="61">
        <f t="shared" si="31"/>
        <v>0</v>
      </c>
      <c r="CE38" s="26"/>
      <c r="CF38" s="5"/>
      <c r="CG38" s="28">
        <f t="shared" si="32"/>
        <v>0</v>
      </c>
      <c r="CH38" s="150"/>
      <c r="CI38" s="9">
        <v>343</v>
      </c>
      <c r="CJ38" s="5"/>
      <c r="CK38" s="5">
        <v>2075</v>
      </c>
      <c r="CL38" s="5"/>
      <c r="CM38" s="5"/>
      <c r="CN38" s="5">
        <f t="shared" si="33"/>
        <v>2418</v>
      </c>
      <c r="CO38" s="33"/>
      <c r="CP38" s="366"/>
      <c r="CR38" s="4">
        <f t="shared" si="130"/>
        <v>0</v>
      </c>
      <c r="CS38" s="9">
        <f t="shared" si="130"/>
        <v>0</v>
      </c>
      <c r="CT38" s="5">
        <f t="shared" si="130"/>
        <v>0</v>
      </c>
      <c r="CU38" s="5">
        <f t="shared" si="129"/>
        <v>0</v>
      </c>
      <c r="CV38" s="5">
        <f t="shared" si="129"/>
        <v>0</v>
      </c>
      <c r="CW38" s="5">
        <f t="shared" si="129"/>
        <v>0</v>
      </c>
      <c r="CX38" s="5">
        <f t="shared" si="129"/>
        <v>203.66</v>
      </c>
      <c r="CY38" s="5">
        <f t="shared" si="129"/>
        <v>0</v>
      </c>
      <c r="CZ38" s="5">
        <f t="shared" si="129"/>
        <v>10068</v>
      </c>
      <c r="DA38" s="5">
        <f t="shared" si="129"/>
        <v>0</v>
      </c>
      <c r="DB38" s="5">
        <f t="shared" si="129"/>
        <v>236.64</v>
      </c>
      <c r="DC38" s="12">
        <f t="shared" si="129"/>
        <v>0</v>
      </c>
      <c r="DD38" s="310">
        <f>SUM(CR38:DC38,PW38)</f>
        <v>10508.3</v>
      </c>
      <c r="DE38" s="2695"/>
      <c r="DF38" s="8"/>
      <c r="DG38" s="9"/>
      <c r="DH38" s="5"/>
      <c r="DI38" s="5"/>
      <c r="DJ38" s="5"/>
      <c r="DK38" s="5"/>
      <c r="DL38" s="3">
        <v>203.66</v>
      </c>
      <c r="DM38" s="5"/>
      <c r="DN38" s="3">
        <v>5825.14</v>
      </c>
      <c r="DO38" s="5"/>
      <c r="DP38" s="3">
        <v>0</v>
      </c>
      <c r="DQ38" s="12"/>
      <c r="DR38" s="28">
        <f t="shared" si="36"/>
        <v>6028.8</v>
      </c>
      <c r="DS38" s="36"/>
      <c r="DT38" s="36"/>
      <c r="DU38" s="27"/>
      <c r="DV38" s="27"/>
      <c r="DW38" s="27"/>
      <c r="DX38" s="27"/>
      <c r="DY38" s="27"/>
      <c r="DZ38" s="27"/>
      <c r="EA38" s="3">
        <v>2178.8599999999997</v>
      </c>
      <c r="EB38" s="27"/>
      <c r="EC38" s="24">
        <v>236.64</v>
      </c>
      <c r="ED38" s="33"/>
      <c r="EE38" s="28">
        <f t="shared" si="37"/>
        <v>2415.4999999999995</v>
      </c>
      <c r="EF38" s="36"/>
      <c r="EG38" s="36"/>
      <c r="EH38" s="27"/>
      <c r="EI38" s="27"/>
      <c r="EJ38" s="27"/>
      <c r="EK38" s="27"/>
      <c r="EL38" s="27"/>
      <c r="EM38" s="27"/>
      <c r="EN38" s="5">
        <v>2064</v>
      </c>
      <c r="EO38" s="5"/>
      <c r="EP38" s="5"/>
      <c r="EQ38" s="33"/>
      <c r="ER38" s="28">
        <f t="shared" si="38"/>
        <v>2064</v>
      </c>
      <c r="ES38" s="36"/>
      <c r="ET38" s="27"/>
      <c r="EU38" s="27"/>
      <c r="EV38" s="27"/>
      <c r="EW38" s="27"/>
      <c r="EX38" s="27"/>
      <c r="EY38" s="33">
        <f t="shared" si="39"/>
        <v>0</v>
      </c>
      <c r="EZ38" s="2685"/>
      <c r="FB38" s="4">
        <f t="shared" si="40"/>
        <v>0</v>
      </c>
      <c r="FC38" s="5">
        <f t="shared" si="41"/>
        <v>0</v>
      </c>
      <c r="FD38" s="5">
        <f t="shared" si="42"/>
        <v>32.18</v>
      </c>
      <c r="FE38" s="12">
        <f t="shared" si="43"/>
        <v>32.18</v>
      </c>
      <c r="FF38" s="33"/>
      <c r="FG38" s="2674"/>
      <c r="FH38" s="9"/>
      <c r="FI38" s="5"/>
      <c r="FJ38" s="5"/>
      <c r="FK38" s="5"/>
      <c r="FL38" s="5"/>
      <c r="FM38" s="27"/>
      <c r="FN38" s="28">
        <f t="shared" si="44"/>
        <v>0</v>
      </c>
      <c r="FO38" s="36"/>
      <c r="FP38" s="27"/>
      <c r="FQ38" s="27"/>
      <c r="FR38" s="27"/>
      <c r="FS38" s="27"/>
      <c r="FT38" s="27"/>
      <c r="FU38" s="28">
        <f t="shared" si="45"/>
        <v>0</v>
      </c>
      <c r="FV38" s="36"/>
      <c r="FW38" s="36"/>
      <c r="FX38" s="27"/>
      <c r="FY38" s="27"/>
      <c r="FZ38" s="27"/>
      <c r="GA38" s="27"/>
      <c r="GB38" s="27"/>
      <c r="GC38" s="27"/>
      <c r="GD38" s="24">
        <v>32.18</v>
      </c>
      <c r="GE38" s="27"/>
      <c r="GF38" s="27"/>
      <c r="GG38" s="33"/>
      <c r="GH38" s="33">
        <f t="shared" si="46"/>
        <v>32.18</v>
      </c>
      <c r="GI38" s="2674"/>
      <c r="GK38" s="2">
        <f t="shared" si="107"/>
        <v>3209.84</v>
      </c>
      <c r="GL38" s="63">
        <f t="shared" si="108"/>
        <v>3925.4000000000005</v>
      </c>
      <c r="GM38" s="24">
        <f t="shared" si="109"/>
        <v>5438.9800000000005</v>
      </c>
      <c r="GN38" s="53">
        <f t="shared" si="47"/>
        <v>12574.220000000001</v>
      </c>
      <c r="GO38" s="141"/>
      <c r="GP38" s="141"/>
      <c r="GQ38" s="33"/>
      <c r="GR38" s="2667"/>
      <c r="GS38" s="1739">
        <v>0</v>
      </c>
      <c r="GT38" s="1721">
        <v>536.01</v>
      </c>
      <c r="GU38" s="1721">
        <v>4770.8</v>
      </c>
      <c r="GV38" s="1721">
        <v>7267.4100000000008</v>
      </c>
      <c r="GW38" s="33">
        <v>12574.220000000001</v>
      </c>
      <c r="GX38" s="2667"/>
      <c r="GY38" s="36"/>
      <c r="GZ38" s="36"/>
      <c r="HA38" s="27"/>
      <c r="HB38" s="27"/>
      <c r="HC38" s="27"/>
      <c r="HD38" s="27"/>
      <c r="HE38" s="27"/>
      <c r="HF38" s="27"/>
      <c r="HG38" s="24">
        <v>2673.83</v>
      </c>
      <c r="HH38" s="27"/>
      <c r="HI38" s="24">
        <v>0</v>
      </c>
      <c r="HJ38" s="27"/>
      <c r="HK38" s="24">
        <v>536.01</v>
      </c>
      <c r="HL38" s="27"/>
      <c r="HM38" s="28">
        <f t="shared" si="120"/>
        <v>3209.84</v>
      </c>
      <c r="HN38" s="36"/>
      <c r="HO38" s="27"/>
      <c r="HP38" s="27"/>
      <c r="HQ38" s="27"/>
      <c r="HR38" s="27"/>
      <c r="HS38" s="27"/>
      <c r="HT38" s="27">
        <f t="array" ref="HT38">SUMPRODUCT(('Data Base hauling'!$C$2:$C$2000="TCM-ROM SB1 BK05-ROM 4")*(ISNUMBER(SEARCH(TEXT('July TCM'!$B38,"00")&amp;"/03/2026",'Data Base hauling'!$E$2:$E$2000)))*'Data Base hauling'!$N$2:$N$2000)</f>
        <v>0</v>
      </c>
      <c r="HU38" s="27"/>
      <c r="HV38" s="27">
        <f t="array" ref="HV38">SUMPRODUCT(('Data Base hauling'!$C$2:$C$2000="TCM-ROM SB1 BK05-ROM 5")*(ISNUMBER(SEARCH(TEXT('July TCM'!$B38,"00")&amp;"/03/2026",'Data Base hauling'!$E$2:$E$2000)))*'Data Base hauling'!$N$2:$N$2000)</f>
        <v>0</v>
      </c>
      <c r="HW38" s="27"/>
      <c r="HX38" s="27"/>
      <c r="HY38" s="27"/>
      <c r="HZ38" s="27"/>
      <c r="IA38" s="27"/>
      <c r="IB38" s="33">
        <f t="shared" si="49"/>
        <v>0</v>
      </c>
      <c r="IC38" s="52"/>
      <c r="ID38" s="152"/>
      <c r="IE38" s="53"/>
      <c r="IF38" s="53"/>
      <c r="IG38" s="53"/>
      <c r="IH38" s="53"/>
      <c r="II38" s="1926">
        <v>0</v>
      </c>
      <c r="IJ38" s="53"/>
      <c r="IK38" s="1926">
        <v>3925.4000000000005</v>
      </c>
      <c r="IL38" s="53"/>
      <c r="IM38" s="49">
        <v>0</v>
      </c>
      <c r="IN38" s="53"/>
      <c r="IO38" s="53"/>
      <c r="IP38" s="49">
        <v>0</v>
      </c>
      <c r="IQ38" s="61">
        <f t="shared" si="121"/>
        <v>3925.4000000000005</v>
      </c>
      <c r="IR38" s="36"/>
      <c r="IS38" s="36"/>
      <c r="IT38" s="27"/>
      <c r="IU38" s="27"/>
      <c r="IV38" s="53"/>
      <c r="IW38" s="53"/>
      <c r="IX38" s="24">
        <v>0</v>
      </c>
      <c r="IY38" s="53"/>
      <c r="IZ38" s="24">
        <v>5438.9800000000005</v>
      </c>
      <c r="JA38" s="53"/>
      <c r="JB38" s="24">
        <v>0</v>
      </c>
      <c r="JC38" s="27"/>
      <c r="JD38" s="27"/>
      <c r="JE38" s="27"/>
      <c r="JF38" s="33">
        <f t="shared" si="122"/>
        <v>5438.9800000000005</v>
      </c>
      <c r="JG38" s="2667"/>
      <c r="JI38" s="2014">
        <v>12574.22</v>
      </c>
      <c r="JJ38" s="2015">
        <v>0</v>
      </c>
      <c r="JK38" s="27"/>
      <c r="JL38" s="1736">
        <f t="shared" si="52"/>
        <v>12574.22</v>
      </c>
      <c r="JM38" s="33"/>
      <c r="JN38" s="2669"/>
      <c r="JO38" s="66">
        <v>0</v>
      </c>
      <c r="JP38" s="67">
        <v>0</v>
      </c>
      <c r="JQ38" s="67">
        <v>0</v>
      </c>
      <c r="JR38" s="67">
        <v>0</v>
      </c>
      <c r="JS38" s="67">
        <v>0.95737230619473812</v>
      </c>
      <c r="JT38" s="67">
        <v>0</v>
      </c>
      <c r="JU38" s="67">
        <v>4.2627693805261879E-2</v>
      </c>
      <c r="JV38" s="1921">
        <v>0</v>
      </c>
      <c r="JW38" s="66" t="s">
        <v>296</v>
      </c>
      <c r="JX38" s="67" t="s">
        <v>296</v>
      </c>
      <c r="JY38" s="67" t="s">
        <v>296</v>
      </c>
      <c r="JZ38" s="67" t="s">
        <v>296</v>
      </c>
      <c r="KA38" s="67" t="s">
        <v>296</v>
      </c>
      <c r="KB38" s="67" t="s">
        <v>296</v>
      </c>
      <c r="KC38" s="67" t="s">
        <v>296</v>
      </c>
      <c r="KD38" s="68" t="s">
        <v>296</v>
      </c>
      <c r="KE38" s="69"/>
      <c r="KF38" s="70"/>
      <c r="KG38" s="70"/>
      <c r="KH38" s="70"/>
      <c r="KI38" s="70"/>
      <c r="KJ38" s="70"/>
      <c r="KK38" s="70"/>
      <c r="KL38" s="70"/>
      <c r="KM38" s="33"/>
      <c r="KN38" s="2669"/>
      <c r="KO38" s="2203">
        <v>6929.3691915977088</v>
      </c>
      <c r="KP38" s="1721">
        <v>0.76789942711648629</v>
      </c>
      <c r="KQ38" s="1721">
        <v>6.7771960534691278</v>
      </c>
      <c r="KR38" s="1721">
        <v>7.9198949713558244</v>
      </c>
      <c r="KS38" s="1722">
        <v>11.867187412794399</v>
      </c>
      <c r="KT38" s="1958">
        <v>0</v>
      </c>
      <c r="KU38" s="1961">
        <v>0</v>
      </c>
      <c r="KV38" s="1961">
        <v>0</v>
      </c>
      <c r="KW38" s="1961">
        <v>0</v>
      </c>
      <c r="KX38" s="1962">
        <v>0</v>
      </c>
      <c r="KY38" s="36"/>
      <c r="KZ38" s="53"/>
      <c r="LA38" s="53"/>
      <c r="LB38" s="53"/>
      <c r="LC38" s="53"/>
      <c r="LD38" s="33"/>
      <c r="LE38" s="2669"/>
      <c r="LG38" s="26">
        <f t="shared" si="53"/>
        <v>14335.087500000001</v>
      </c>
      <c r="LH38" s="27">
        <f t="shared" si="53"/>
        <v>3751.7024999999999</v>
      </c>
      <c r="LI38" s="27">
        <f t="shared" si="53"/>
        <v>0</v>
      </c>
      <c r="LJ38" s="28">
        <f t="shared" si="54"/>
        <v>18086.79</v>
      </c>
      <c r="LK38" s="36">
        <v>3</v>
      </c>
      <c r="LL38" s="27"/>
      <c r="LM38" s="27"/>
      <c r="LN38" s="33"/>
      <c r="LO38" s="1041">
        <v>1.87</v>
      </c>
      <c r="LP38" s="486"/>
      <c r="LQ38" s="2688"/>
      <c r="LR38" s="26">
        <v>14335.087500000001</v>
      </c>
      <c r="LS38" s="36">
        <v>3751.7024999999999</v>
      </c>
      <c r="LT38" s="27"/>
      <c r="LU38" s="27"/>
      <c r="LV38" s="27"/>
      <c r="LW38" s="1107">
        <f t="shared" si="55"/>
        <v>18086.79</v>
      </c>
      <c r="LX38" s="36"/>
      <c r="LY38" s="36"/>
      <c r="LZ38" s="27"/>
      <c r="MA38" s="27"/>
      <c r="MB38" s="33"/>
      <c r="MC38" s="28">
        <f t="shared" si="56"/>
        <v>0</v>
      </c>
      <c r="MD38" s="26"/>
      <c r="ME38" s="36"/>
      <c r="MF38" s="27"/>
      <c r="MG38" s="27"/>
      <c r="MH38" s="27"/>
      <c r="MI38" s="28"/>
      <c r="MJ38" s="36"/>
      <c r="MK38" s="36"/>
      <c r="ML38" s="27"/>
      <c r="MM38" s="27"/>
      <c r="MN38" s="27"/>
      <c r="MO38" s="28"/>
      <c r="MP38" s="36"/>
      <c r="MQ38" s="36"/>
      <c r="MR38" s="27"/>
      <c r="MS38" s="27"/>
      <c r="MT38" s="27"/>
      <c r="MU38" s="33">
        <f t="shared" si="57"/>
        <v>0</v>
      </c>
      <c r="MV38" s="2688"/>
      <c r="MX38" s="26">
        <f t="shared" si="58"/>
        <v>155874.24549195668</v>
      </c>
      <c r="MY38" s="27">
        <f t="shared" si="59"/>
        <v>263192.92079257307</v>
      </c>
      <c r="MZ38" s="27">
        <f t="shared" si="60"/>
        <v>19992.115210117317</v>
      </c>
      <c r="NA38" s="28">
        <f t="shared" si="61"/>
        <v>314081.34760218998</v>
      </c>
      <c r="NB38" s="2621"/>
      <c r="NC38" s="23">
        <f t="shared" si="62"/>
        <v>57734.938968159193</v>
      </c>
      <c r="ND38" s="1655">
        <f t="shared" si="63"/>
        <v>98139.306523797495</v>
      </c>
      <c r="NE38" s="60">
        <f t="shared" si="64"/>
        <v>0</v>
      </c>
      <c r="NF38" s="275">
        <f t="shared" si="4"/>
        <v>155874.24549195668</v>
      </c>
      <c r="NG38" s="26">
        <f t="shared" si="132"/>
        <v>0</v>
      </c>
      <c r="NH38" s="27">
        <f t="shared" si="132"/>
        <v>0</v>
      </c>
      <c r="NI38" s="27">
        <f t="shared" si="132"/>
        <v>0</v>
      </c>
      <c r="NJ38" s="27">
        <f t="shared" si="132"/>
        <v>0</v>
      </c>
      <c r="NK38" s="27">
        <f t="shared" si="132"/>
        <v>0</v>
      </c>
      <c r="NL38" s="33">
        <f t="shared" si="132"/>
        <v>0</v>
      </c>
      <c r="NM38" s="27">
        <f t="shared" si="132"/>
        <v>0</v>
      </c>
      <c r="NN38" s="152">
        <f t="shared" si="132"/>
        <v>0</v>
      </c>
      <c r="NO38" s="24">
        <f t="shared" si="125"/>
        <v>37983.120671164172</v>
      </c>
      <c r="NP38" s="27">
        <f t="shared" si="132"/>
        <v>24549.88002237798</v>
      </c>
      <c r="NQ38" s="24">
        <f t="shared" si="110"/>
        <v>8756.5482322711578</v>
      </c>
      <c r="NR38" s="24">
        <f t="shared" si="111"/>
        <v>7984.7313514871812</v>
      </c>
      <c r="NS38" s="27">
        <f t="shared" si="0"/>
        <v>79274.280277300495</v>
      </c>
      <c r="NT38" s="27">
        <f t="shared" si="126"/>
        <v>0</v>
      </c>
      <c r="NU38" s="27">
        <f t="shared" si="126"/>
        <v>0</v>
      </c>
      <c r="NV38" s="27">
        <f t="shared" si="126"/>
        <v>0</v>
      </c>
      <c r="NW38" s="27">
        <f t="shared" si="126"/>
        <v>0</v>
      </c>
      <c r="NX38" s="5">
        <f t="shared" si="126"/>
        <v>0</v>
      </c>
      <c r="NY38" s="5">
        <f t="shared" si="126"/>
        <v>0</v>
      </c>
      <c r="NZ38" s="27">
        <f t="shared" si="126"/>
        <v>13098.61881417883</v>
      </c>
      <c r="OA38" s="27">
        <f t="shared" si="126"/>
        <v>0</v>
      </c>
      <c r="OB38" s="27">
        <f t="shared" si="126"/>
        <v>83368.999365972617</v>
      </c>
      <c r="OC38" s="27"/>
      <c r="OD38" s="24">
        <f t="shared" si="127"/>
        <v>0</v>
      </c>
      <c r="OE38" s="27">
        <f t="shared" si="127"/>
        <v>0</v>
      </c>
      <c r="OF38" s="28">
        <f t="shared" si="1"/>
        <v>96467.618180151447</v>
      </c>
      <c r="OG38" s="27">
        <f t="shared" si="128"/>
        <v>0</v>
      </c>
      <c r="OH38" s="27">
        <f t="shared" si="128"/>
        <v>0</v>
      </c>
      <c r="OI38" s="27">
        <f t="shared" si="128"/>
        <v>0</v>
      </c>
      <c r="OJ38" s="27">
        <f t="shared" si="128"/>
        <v>0</v>
      </c>
      <c r="OK38" s="27">
        <f t="shared" si="128"/>
        <v>0</v>
      </c>
      <c r="OL38" s="27">
        <f t="shared" si="128"/>
        <v>0</v>
      </c>
      <c r="OM38" s="24">
        <f t="shared" si="128"/>
        <v>0</v>
      </c>
      <c r="ON38" s="27">
        <f t="shared" si="128"/>
        <v>0</v>
      </c>
      <c r="OO38" s="24">
        <f t="shared" si="118"/>
        <v>61946.615076326249</v>
      </c>
      <c r="OP38" s="27">
        <f t="shared" si="128"/>
        <v>0</v>
      </c>
      <c r="OQ38" s="24">
        <f t="shared" si="128"/>
        <v>25504.40725879485</v>
      </c>
      <c r="OR38" s="27">
        <f t="shared" si="128"/>
        <v>0</v>
      </c>
      <c r="OS38" s="28">
        <f t="shared" si="2"/>
        <v>87451.022335121103</v>
      </c>
      <c r="OT38" s="36"/>
      <c r="OU38" s="27"/>
      <c r="OV38" s="27"/>
      <c r="OW38" s="27"/>
      <c r="OX38" s="27"/>
      <c r="OY38" s="27"/>
      <c r="OZ38" s="28">
        <f t="shared" si="69"/>
        <v>0</v>
      </c>
      <c r="PA38" s="36">
        <f t="shared" si="70"/>
        <v>0</v>
      </c>
      <c r="PB38" s="27">
        <f t="shared" si="71"/>
        <v>0</v>
      </c>
      <c r="PC38" s="27">
        <f t="shared" si="72"/>
        <v>0</v>
      </c>
      <c r="PD38" s="27">
        <f t="shared" si="73"/>
        <v>0</v>
      </c>
      <c r="PE38" s="24"/>
      <c r="PF38" s="27">
        <f t="shared" si="74"/>
        <v>0</v>
      </c>
      <c r="PG38" s="33">
        <f t="shared" si="3"/>
        <v>0</v>
      </c>
      <c r="PH38" s="2621"/>
      <c r="PJ38" s="1907">
        <v>423.56</v>
      </c>
      <c r="PK38" s="3">
        <v>1113</v>
      </c>
      <c r="PL38" s="3">
        <v>318</v>
      </c>
      <c r="PM38" s="3">
        <v>536.01</v>
      </c>
      <c r="PN38" s="3">
        <f t="shared" si="75"/>
        <v>29932.213504658703</v>
      </c>
      <c r="PO38" s="11">
        <f t="shared" si="76"/>
        <v>19992.115210117317</v>
      </c>
      <c r="PP38" s="15"/>
      <c r="PQ38" s="2615"/>
      <c r="PS38" s="4"/>
      <c r="PT38" s="9"/>
      <c r="PU38" s="9"/>
      <c r="PV38" s="9"/>
      <c r="PW38" s="8">
        <v>0</v>
      </c>
      <c r="PX38" s="9"/>
      <c r="PY38" s="8">
        <f t="shared" si="77"/>
        <v>0</v>
      </c>
      <c r="PZ38" s="5">
        <f t="shared" si="78"/>
        <v>423.56</v>
      </c>
      <c r="QA38" s="5"/>
      <c r="QB38" s="5"/>
      <c r="QC38" s="5"/>
      <c r="QD38" s="5"/>
      <c r="QE38" s="5"/>
      <c r="QF38" s="12"/>
      <c r="QG38" s="12">
        <f t="shared" si="79"/>
        <v>29562.488999999998</v>
      </c>
      <c r="QH38" s="420">
        <f t="shared" si="80"/>
        <v>282298.90180818998</v>
      </c>
      <c r="QI38" s="1106">
        <f t="shared" si="113"/>
        <v>2219.9567940000002</v>
      </c>
      <c r="QJ38" s="484">
        <f t="shared" si="81"/>
        <v>5505.3678056099998</v>
      </c>
      <c r="QK38" s="12"/>
      <c r="QL38" s="2615"/>
      <c r="QN38" s="139">
        <f t="shared" si="82"/>
        <v>0</v>
      </c>
      <c r="QO38" s="139" t="str">
        <f t="shared" si="83"/>
        <v/>
      </c>
      <c r="QQ38" s="139">
        <f t="shared" si="84"/>
        <v>0</v>
      </c>
      <c r="QR38" s="139">
        <f t="shared" si="85"/>
        <v>0</v>
      </c>
      <c r="QT38" s="1">
        <f t="shared" si="86"/>
        <v>0</v>
      </c>
      <c r="QU38" s="1">
        <f t="shared" si="87"/>
        <v>0</v>
      </c>
      <c r="QV38" s="1">
        <f t="shared" si="88"/>
        <v>0</v>
      </c>
      <c r="QW38" s="1">
        <f t="shared" si="89"/>
        <v>0</v>
      </c>
      <c r="QX38" s="1">
        <f t="shared" si="90"/>
        <v>0</v>
      </c>
      <c r="QY38" s="1">
        <f t="shared" si="91"/>
        <v>0</v>
      </c>
      <c r="RA38" s="1">
        <f t="shared" si="92"/>
        <v>0</v>
      </c>
      <c r="RB38" s="1">
        <f t="shared" si="93"/>
        <v>0</v>
      </c>
      <c r="RC38" s="1">
        <f t="shared" si="94"/>
        <v>0</v>
      </c>
      <c r="RD38" s="1">
        <f t="shared" si="95"/>
        <v>0</v>
      </c>
      <c r="RE38" s="1">
        <f t="shared" si="96"/>
        <v>0</v>
      </c>
      <c r="RF38" s="1">
        <f t="shared" si="97"/>
        <v>0</v>
      </c>
      <c r="RI38" s="1">
        <v>29</v>
      </c>
      <c r="RJ38" s="1">
        <f t="shared" si="131"/>
        <v>-43380.7787902829</v>
      </c>
      <c r="RK38" s="1">
        <f t="shared" si="131"/>
        <v>24669.955780483702</v>
      </c>
      <c r="RL38" s="1">
        <f t="shared" si="131"/>
        <v>13404.263703387322</v>
      </c>
      <c r="RM38" s="89">
        <f t="shared" si="5"/>
        <v>-5306.5593064118766</v>
      </c>
      <c r="RN38" s="1033">
        <v>29</v>
      </c>
      <c r="RO38" s="1098">
        <v>0</v>
      </c>
      <c r="RP38" s="1098">
        <f t="shared" si="99"/>
        <v>0</v>
      </c>
      <c r="RQ38" s="1097">
        <f t="shared" si="99"/>
        <v>0</v>
      </c>
      <c r="RR38" s="1097">
        <f t="shared" si="114"/>
        <v>8444.2999999999993</v>
      </c>
      <c r="RS38" s="1094"/>
      <c r="RT38" s="2420">
        <v>2607295142</v>
      </c>
      <c r="RW38" s="421">
        <v>29</v>
      </c>
      <c r="RX38" s="1095">
        <f t="shared" si="100"/>
        <v>12574.220000000001</v>
      </c>
      <c r="RY38" s="2441">
        <v>26072914469</v>
      </c>
      <c r="SA38" s="1090"/>
      <c r="SB38" s="1090">
        <f t="shared" si="101"/>
        <v>0</v>
      </c>
      <c r="SC38" s="1090"/>
      <c r="SD38" s="1090">
        <f t="shared" si="124"/>
        <v>0</v>
      </c>
      <c r="SF38" s="1">
        <v>29</v>
      </c>
      <c r="SG38" s="1">
        <f t="shared" si="103"/>
        <v>536.01</v>
      </c>
      <c r="SH38" s="2420">
        <v>26072914508</v>
      </c>
    </row>
    <row r="39" spans="1:502" s="1" customFormat="1">
      <c r="B39" s="471">
        <v>30</v>
      </c>
      <c r="C39" s="4">
        <f t="shared" si="6"/>
        <v>169997</v>
      </c>
      <c r="D39" s="1590">
        <f t="shared" si="119"/>
        <v>11887.84</v>
      </c>
      <c r="E39" s="1895">
        <f t="shared" si="7"/>
        <v>14.30007469817898</v>
      </c>
      <c r="F39" s="870"/>
      <c r="G39" s="870"/>
      <c r="H39" s="52"/>
      <c r="I39" s="61"/>
      <c r="J39" s="52"/>
      <c r="K39" s="54"/>
      <c r="L39" s="52"/>
      <c r="M39" s="61"/>
      <c r="N39" s="2629"/>
      <c r="O39" s="4">
        <f t="shared" si="117"/>
        <v>100212</v>
      </c>
      <c r="P39" s="5">
        <f t="shared" si="8"/>
        <v>6998.6500000000005</v>
      </c>
      <c r="Q39" s="1913">
        <f t="shared" si="9"/>
        <v>14.318761475427403</v>
      </c>
      <c r="R39" s="33"/>
      <c r="S39" s="26">
        <f t="shared" si="10"/>
        <v>33653</v>
      </c>
      <c r="T39" s="27">
        <f t="shared" si="105"/>
        <v>2209.19</v>
      </c>
      <c r="U39" s="1909">
        <f t="shared" si="11"/>
        <v>15.23318501351174</v>
      </c>
      <c r="V39" s="28"/>
      <c r="W39" s="26">
        <f t="shared" si="12"/>
        <v>30152</v>
      </c>
      <c r="X39" s="5">
        <f t="shared" si="12"/>
        <v>2680</v>
      </c>
      <c r="Y39" s="1909">
        <f t="shared" si="13"/>
        <v>11.250746268656716</v>
      </c>
      <c r="Z39" s="33"/>
      <c r="AA39" s="26">
        <f t="shared" si="14"/>
        <v>5980</v>
      </c>
      <c r="AB39" s="27">
        <f t="shared" si="15"/>
        <v>0</v>
      </c>
      <c r="AC39" s="1909">
        <f t="shared" si="16"/>
        <v>0</v>
      </c>
      <c r="AD39" s="28"/>
      <c r="AE39" s="36"/>
      <c r="AF39" s="36"/>
      <c r="AG39" s="53">
        <f t="shared" si="17"/>
        <v>0</v>
      </c>
      <c r="AH39" s="28"/>
      <c r="AI39" s="26"/>
      <c r="AJ39" s="27"/>
      <c r="AK39" s="53">
        <f t="shared" si="18"/>
        <v>0</v>
      </c>
      <c r="AL39" s="28"/>
      <c r="AM39" s="2629"/>
      <c r="AN39" s="9"/>
      <c r="AO39" s="5"/>
      <c r="AP39" s="61">
        <f t="shared" si="19"/>
        <v>0</v>
      </c>
      <c r="AQ39" s="36"/>
      <c r="AR39" s="53"/>
      <c r="AS39" s="61">
        <f t="shared" si="20"/>
        <v>0</v>
      </c>
      <c r="AT39" s="36"/>
      <c r="AU39" s="27"/>
      <c r="AV39" s="54">
        <f t="shared" si="21"/>
        <v>0</v>
      </c>
      <c r="AW39" s="26">
        <v>53298</v>
      </c>
      <c r="AX39" s="24">
        <v>6276.59</v>
      </c>
      <c r="AY39" s="1895">
        <f t="shared" si="115"/>
        <v>8.4915535346422182</v>
      </c>
      <c r="AZ39" s="1908"/>
      <c r="BA39" s="1909"/>
      <c r="BB39" s="1895">
        <f t="shared" si="22"/>
        <v>0</v>
      </c>
      <c r="BC39" s="1740">
        <v>46914</v>
      </c>
      <c r="BD39" s="1926">
        <v>722.06000000000006</v>
      </c>
      <c r="BE39" s="1895">
        <f t="shared" si="23"/>
        <v>64.972439963437935</v>
      </c>
      <c r="BF39" s="1908"/>
      <c r="BG39" s="1909"/>
      <c r="BH39" s="1895">
        <f t="shared" si="24"/>
        <v>0</v>
      </c>
      <c r="BI39" s="1908"/>
      <c r="BJ39" s="1909"/>
      <c r="BK39" s="1895">
        <f t="shared" si="25"/>
        <v>0</v>
      </c>
      <c r="BL39" s="2491">
        <v>33653</v>
      </c>
      <c r="BM39" s="1736">
        <v>2209.19</v>
      </c>
      <c r="BN39" s="2170"/>
      <c r="BO39" s="1895">
        <f t="shared" si="26"/>
        <v>15.23318501351174</v>
      </c>
      <c r="BP39" s="9">
        <v>5980</v>
      </c>
      <c r="BQ39" s="63">
        <v>0</v>
      </c>
      <c r="BR39" s="1920">
        <f t="shared" si="27"/>
        <v>0</v>
      </c>
      <c r="BS39" s="9"/>
      <c r="BT39" s="5"/>
      <c r="BU39" s="482">
        <f t="shared" si="28"/>
        <v>0</v>
      </c>
      <c r="BV39" s="9">
        <v>30152</v>
      </c>
      <c r="BW39" s="5">
        <v>2680</v>
      </c>
      <c r="BX39" s="28">
        <f t="shared" si="29"/>
        <v>11.250746268656716</v>
      </c>
      <c r="BY39" s="26"/>
      <c r="BZ39" s="5"/>
      <c r="CA39" s="61">
        <f t="shared" si="30"/>
        <v>0</v>
      </c>
      <c r="CB39" s="36"/>
      <c r="CC39" s="5"/>
      <c r="CD39" s="61">
        <f t="shared" si="31"/>
        <v>0</v>
      </c>
      <c r="CE39" s="26"/>
      <c r="CF39" s="27"/>
      <c r="CG39" s="28">
        <f t="shared" si="32"/>
        <v>0</v>
      </c>
      <c r="CH39" s="150"/>
      <c r="CI39" s="9">
        <v>1330</v>
      </c>
      <c r="CJ39" s="5"/>
      <c r="CK39" s="5">
        <v>3162</v>
      </c>
      <c r="CL39" s="5"/>
      <c r="CM39" s="5"/>
      <c r="CN39" s="5">
        <f t="shared" si="33"/>
        <v>4492</v>
      </c>
      <c r="CO39" s="33"/>
      <c r="CP39" s="366"/>
      <c r="CR39" s="4">
        <f t="shared" si="130"/>
        <v>0</v>
      </c>
      <c r="CS39" s="9">
        <f t="shared" si="130"/>
        <v>0</v>
      </c>
      <c r="CT39" s="5">
        <f t="shared" si="130"/>
        <v>0</v>
      </c>
      <c r="CU39" s="5">
        <f t="shared" si="129"/>
        <v>0</v>
      </c>
      <c r="CV39" s="5">
        <f t="shared" si="129"/>
        <v>0</v>
      </c>
      <c r="CW39" s="5">
        <f t="shared" si="129"/>
        <v>0</v>
      </c>
      <c r="CX39" s="5">
        <f t="shared" si="129"/>
        <v>108.34</v>
      </c>
      <c r="CY39" s="5">
        <f t="shared" si="129"/>
        <v>0</v>
      </c>
      <c r="CZ39" s="5">
        <f t="shared" si="129"/>
        <v>11057.44</v>
      </c>
      <c r="DA39" s="5">
        <f t="shared" si="129"/>
        <v>0</v>
      </c>
      <c r="DB39" s="5">
        <f t="shared" si="129"/>
        <v>722.06000000000006</v>
      </c>
      <c r="DC39" s="12">
        <f t="shared" si="129"/>
        <v>0</v>
      </c>
      <c r="DD39" s="310">
        <f>SUM(CR39:DC39,PW39)</f>
        <v>11887.84</v>
      </c>
      <c r="DE39" s="2695"/>
      <c r="DF39" s="8"/>
      <c r="DG39" s="9"/>
      <c r="DH39" s="5"/>
      <c r="DI39" s="5"/>
      <c r="DJ39" s="5"/>
      <c r="DK39" s="5"/>
      <c r="DL39" s="3">
        <v>108.34</v>
      </c>
      <c r="DM39" s="5"/>
      <c r="DN39" s="3">
        <v>6168.25</v>
      </c>
      <c r="DO39" s="5"/>
      <c r="DP39" s="3">
        <v>0</v>
      </c>
      <c r="DQ39" s="12"/>
      <c r="DR39" s="28">
        <f t="shared" si="36"/>
        <v>6276.59</v>
      </c>
      <c r="DS39" s="36"/>
      <c r="DT39" s="36"/>
      <c r="DU39" s="27"/>
      <c r="DV39" s="27"/>
      <c r="DW39" s="27"/>
      <c r="DX39" s="27"/>
      <c r="DY39" s="27"/>
      <c r="DZ39" s="27"/>
      <c r="EA39" s="3">
        <v>2209.19</v>
      </c>
      <c r="EB39" s="27"/>
      <c r="EC39" s="24">
        <v>722.06000000000006</v>
      </c>
      <c r="ED39" s="33"/>
      <c r="EE39" s="28">
        <f t="shared" si="37"/>
        <v>2931.25</v>
      </c>
      <c r="EF39" s="36"/>
      <c r="EG39" s="36"/>
      <c r="EH39" s="27"/>
      <c r="EI39" s="27"/>
      <c r="EJ39" s="27"/>
      <c r="EK39" s="27"/>
      <c r="EL39" s="27"/>
      <c r="EM39" s="27"/>
      <c r="EN39" s="5">
        <v>2680</v>
      </c>
      <c r="EO39" s="5"/>
      <c r="EP39" s="5"/>
      <c r="EQ39" s="33"/>
      <c r="ER39" s="28">
        <f t="shared" si="38"/>
        <v>2680</v>
      </c>
      <c r="ES39" s="36"/>
      <c r="ET39" s="27"/>
      <c r="EU39" s="27"/>
      <c r="EV39" s="27"/>
      <c r="EW39" s="27"/>
      <c r="EX39" s="27"/>
      <c r="EY39" s="33">
        <f t="shared" si="39"/>
        <v>0</v>
      </c>
      <c r="EZ39" s="2685"/>
      <c r="FB39" s="4">
        <f t="shared" si="40"/>
        <v>0</v>
      </c>
      <c r="FC39" s="5">
        <f t="shared" si="41"/>
        <v>0</v>
      </c>
      <c r="FD39" s="5">
        <f t="shared" si="42"/>
        <v>0</v>
      </c>
      <c r="FE39" s="12">
        <f t="shared" si="43"/>
        <v>0</v>
      </c>
      <c r="FF39" s="33"/>
      <c r="FG39" s="2674"/>
      <c r="FH39" s="9"/>
      <c r="FI39" s="5"/>
      <c r="FJ39" s="5"/>
      <c r="FK39" s="5"/>
      <c r="FL39" s="5"/>
      <c r="FM39" s="27"/>
      <c r="FN39" s="28">
        <f t="shared" si="44"/>
        <v>0</v>
      </c>
      <c r="FO39" s="36"/>
      <c r="FP39" s="27"/>
      <c r="FQ39" s="27"/>
      <c r="FR39" s="27"/>
      <c r="FS39" s="27"/>
      <c r="FT39" s="27"/>
      <c r="FU39" s="28">
        <f t="shared" si="45"/>
        <v>0</v>
      </c>
      <c r="FV39" s="36"/>
      <c r="FW39" s="36"/>
      <c r="FX39" s="27"/>
      <c r="FY39" s="27"/>
      <c r="FZ39" s="27"/>
      <c r="GA39" s="27"/>
      <c r="GB39" s="27"/>
      <c r="GC39" s="27"/>
      <c r="GD39" s="24">
        <v>0</v>
      </c>
      <c r="GE39" s="27"/>
      <c r="GF39" s="27"/>
      <c r="GG39" s="33"/>
      <c r="GH39" s="33">
        <f t="shared" si="46"/>
        <v>0</v>
      </c>
      <c r="GI39" s="2674"/>
      <c r="GK39" s="2">
        <f t="shared" si="107"/>
        <v>2233.62</v>
      </c>
      <c r="GL39" s="63">
        <f t="shared" si="108"/>
        <v>2749.92</v>
      </c>
      <c r="GM39" s="24">
        <f t="shared" si="109"/>
        <v>5540.9699999999993</v>
      </c>
      <c r="GN39" s="27">
        <f t="shared" si="47"/>
        <v>10524.509999999998</v>
      </c>
      <c r="GO39" s="141"/>
      <c r="GP39" s="141"/>
      <c r="GQ39" s="33"/>
      <c r="GR39" s="2667"/>
      <c r="GS39" s="1739">
        <v>0</v>
      </c>
      <c r="GT39" s="1721">
        <v>287</v>
      </c>
      <c r="GU39" s="1721">
        <v>5924.4899999999989</v>
      </c>
      <c r="GV39" s="1721">
        <v>4313.0200000000004</v>
      </c>
      <c r="GW39" s="33">
        <v>10524.509999999998</v>
      </c>
      <c r="GX39" s="2667"/>
      <c r="GY39" s="36"/>
      <c r="GZ39" s="36"/>
      <c r="HA39" s="27"/>
      <c r="HB39" s="27"/>
      <c r="HC39" s="27"/>
      <c r="HD39" s="27"/>
      <c r="HE39" s="27"/>
      <c r="HF39" s="27"/>
      <c r="HG39" s="24">
        <v>1946.6200000000001</v>
      </c>
      <c r="HH39" s="27"/>
      <c r="HI39" s="24">
        <v>0</v>
      </c>
      <c r="HJ39" s="27"/>
      <c r="HK39" s="24">
        <v>287</v>
      </c>
      <c r="HL39" s="27"/>
      <c r="HM39" s="28">
        <f t="shared" si="120"/>
        <v>2233.62</v>
      </c>
      <c r="HN39" s="36"/>
      <c r="HO39" s="27"/>
      <c r="HP39" s="27"/>
      <c r="HQ39" s="27"/>
      <c r="HR39" s="27"/>
      <c r="HS39" s="27"/>
      <c r="HT39" s="27">
        <f t="array" ref="HT39">SUMPRODUCT(('Data Base hauling'!$C$2:$C$2000="TCM-ROM SB1 BK05-ROM 4")*(ISNUMBER(SEARCH(TEXT('July TCM'!$B39,"00")&amp;"/03/2026",'Data Base hauling'!$E$2:$E$2000)))*'Data Base hauling'!$N$2:$N$2000)</f>
        <v>0</v>
      </c>
      <c r="HU39" s="27"/>
      <c r="HV39" s="27">
        <f t="array" ref="HV39">SUMPRODUCT(('Data Base hauling'!$C$2:$C$2000="TCM-ROM SB1 BK05-ROM 5")*(ISNUMBER(SEARCH(TEXT('July TCM'!$B39,"00")&amp;"/03/2026",'Data Base hauling'!$E$2:$E$2000)))*'Data Base hauling'!$N$2:$N$2000)</f>
        <v>0</v>
      </c>
      <c r="HW39" s="27"/>
      <c r="HX39" s="27"/>
      <c r="HY39" s="27"/>
      <c r="HZ39" s="27"/>
      <c r="IA39" s="27"/>
      <c r="IB39" s="33">
        <f t="shared" si="49"/>
        <v>0</v>
      </c>
      <c r="IC39" s="52"/>
      <c r="ID39" s="152"/>
      <c r="IE39" s="53"/>
      <c r="IF39" s="53"/>
      <c r="IG39" s="53"/>
      <c r="IH39" s="53"/>
      <c r="II39" s="1926">
        <v>0</v>
      </c>
      <c r="IJ39" s="53"/>
      <c r="IK39" s="1926">
        <v>2749.92</v>
      </c>
      <c r="IL39" s="53"/>
      <c r="IM39" s="49">
        <v>0</v>
      </c>
      <c r="IN39" s="27"/>
      <c r="IO39" s="27"/>
      <c r="IP39" s="49">
        <v>0</v>
      </c>
      <c r="IQ39" s="61">
        <f t="shared" si="121"/>
        <v>2749.92</v>
      </c>
      <c r="IR39" s="36"/>
      <c r="IS39" s="36"/>
      <c r="IT39" s="27"/>
      <c r="IU39" s="27"/>
      <c r="IV39" s="53"/>
      <c r="IW39" s="27"/>
      <c r="IX39" s="24">
        <v>0</v>
      </c>
      <c r="IY39" s="27"/>
      <c r="IZ39" s="24">
        <v>5540.9699999999993</v>
      </c>
      <c r="JA39" s="27"/>
      <c r="JB39" s="24">
        <v>0</v>
      </c>
      <c r="JC39" s="27"/>
      <c r="JD39" s="27"/>
      <c r="JE39" s="27"/>
      <c r="JF39" s="33">
        <f t="shared" si="122"/>
        <v>5540.9699999999993</v>
      </c>
      <c r="JG39" s="2667"/>
      <c r="JI39" s="2014">
        <v>10524.509999999997</v>
      </c>
      <c r="JJ39" s="2015">
        <v>0</v>
      </c>
      <c r="JK39" s="27"/>
      <c r="JL39" s="1736">
        <f t="shared" si="52"/>
        <v>10524.509999999997</v>
      </c>
      <c r="JM39" s="33"/>
      <c r="JN39" s="2669"/>
      <c r="JO39" s="66">
        <v>0</v>
      </c>
      <c r="JP39" s="67">
        <v>0</v>
      </c>
      <c r="JQ39" s="67">
        <v>0</v>
      </c>
      <c r="JR39" s="67">
        <v>0</v>
      </c>
      <c r="JS39" s="67">
        <v>0.97273032188671982</v>
      </c>
      <c r="JT39" s="67">
        <v>0</v>
      </c>
      <c r="JU39" s="67">
        <v>2.7269678113280342E-2</v>
      </c>
      <c r="JV39" s="1921">
        <v>0</v>
      </c>
      <c r="JW39" s="66" t="s">
        <v>296</v>
      </c>
      <c r="JX39" s="67" t="s">
        <v>296</v>
      </c>
      <c r="JY39" s="67" t="s">
        <v>296</v>
      </c>
      <c r="JZ39" s="67" t="s">
        <v>296</v>
      </c>
      <c r="KA39" s="67" t="s">
        <v>296</v>
      </c>
      <c r="KB39" s="67" t="s">
        <v>296</v>
      </c>
      <c r="KC39" s="67" t="s">
        <v>296</v>
      </c>
      <c r="KD39" s="68" t="s">
        <v>296</v>
      </c>
      <c r="KE39" s="69"/>
      <c r="KF39" s="70"/>
      <c r="KG39" s="70"/>
      <c r="KH39" s="70"/>
      <c r="KI39" s="70"/>
      <c r="KJ39" s="70"/>
      <c r="KK39" s="70"/>
      <c r="KL39" s="70"/>
      <c r="KM39" s="33"/>
      <c r="KN39" s="2669"/>
      <c r="KO39" s="2203">
        <v>7097.26242013922</v>
      </c>
      <c r="KP39" s="1721">
        <v>0.58498808048059503</v>
      </c>
      <c r="KQ39" s="1721">
        <v>3.9324754457900255</v>
      </c>
      <c r="KR39" s="1721">
        <v>6.5351854677219405</v>
      </c>
      <c r="KS39" s="1722">
        <v>10.278149679221892</v>
      </c>
      <c r="KT39" s="1958">
        <v>0</v>
      </c>
      <c r="KU39" s="1961">
        <v>0</v>
      </c>
      <c r="KV39" s="1961">
        <v>0</v>
      </c>
      <c r="KW39" s="1961">
        <v>0</v>
      </c>
      <c r="KX39" s="1962">
        <v>0</v>
      </c>
      <c r="KY39" s="36"/>
      <c r="KZ39" s="53"/>
      <c r="LA39" s="53"/>
      <c r="LB39" s="53"/>
      <c r="LC39" s="53"/>
      <c r="LD39" s="33"/>
      <c r="LE39" s="2669"/>
      <c r="LG39" s="26">
        <f t="shared" si="53"/>
        <v>0</v>
      </c>
      <c r="LH39" s="27">
        <f t="shared" si="53"/>
        <v>0</v>
      </c>
      <c r="LI39" s="27">
        <f t="shared" si="53"/>
        <v>0</v>
      </c>
      <c r="LJ39" s="28">
        <f t="shared" si="54"/>
        <v>0</v>
      </c>
      <c r="LK39" s="36"/>
      <c r="LL39" s="27"/>
      <c r="LM39" s="27">
        <v>1</v>
      </c>
      <c r="LN39" s="33"/>
      <c r="LO39" s="1041">
        <v>1.87</v>
      </c>
      <c r="LP39" s="21"/>
      <c r="LQ39" s="2688"/>
      <c r="LR39" s="26"/>
      <c r="LS39" s="36"/>
      <c r="LT39" s="27"/>
      <c r="LU39" s="27"/>
      <c r="LV39" s="27"/>
      <c r="LW39" s="1107">
        <f t="shared" si="55"/>
        <v>0</v>
      </c>
      <c r="LX39" s="36"/>
      <c r="LY39" s="36"/>
      <c r="LZ39" s="27"/>
      <c r="MA39" s="27"/>
      <c r="MB39" s="33"/>
      <c r="MC39" s="28">
        <f t="shared" si="56"/>
        <v>0</v>
      </c>
      <c r="MD39" s="26"/>
      <c r="ME39" s="36"/>
      <c r="MF39" s="27"/>
      <c r="MG39" s="27"/>
      <c r="MH39" s="27"/>
      <c r="MI39" s="28"/>
      <c r="MJ39" s="36"/>
      <c r="MK39" s="36"/>
      <c r="ML39" s="27"/>
      <c r="MM39" s="27"/>
      <c r="MN39" s="27"/>
      <c r="MO39" s="28"/>
      <c r="MP39" s="36"/>
      <c r="MQ39" s="36"/>
      <c r="MR39" s="27"/>
      <c r="MS39" s="27"/>
      <c r="MT39" s="27"/>
      <c r="MU39" s="33">
        <f t="shared" si="57"/>
        <v>0</v>
      </c>
      <c r="MV39" s="2688"/>
      <c r="MX39" s="26">
        <f t="shared" si="58"/>
        <v>166398.75549195669</v>
      </c>
      <c r="MY39" s="27">
        <f t="shared" si="59"/>
        <v>264843.25079257303</v>
      </c>
      <c r="MZ39" s="27">
        <f t="shared" si="60"/>
        <v>19895.115210117317</v>
      </c>
      <c r="NA39" s="28">
        <f t="shared" si="61"/>
        <v>313790.94760218996</v>
      </c>
      <c r="NB39" s="2621"/>
      <c r="NC39" s="23">
        <f t="shared" si="62"/>
        <v>68259.448968159195</v>
      </c>
      <c r="ND39" s="1655">
        <f t="shared" si="63"/>
        <v>98139.306523797495</v>
      </c>
      <c r="NE39" s="60">
        <f t="shared" si="64"/>
        <v>0</v>
      </c>
      <c r="NF39" s="275">
        <f t="shared" si="4"/>
        <v>166398.75549195669</v>
      </c>
      <c r="NG39" s="26">
        <f t="shared" si="132"/>
        <v>0</v>
      </c>
      <c r="NH39" s="27">
        <f t="shared" si="132"/>
        <v>0</v>
      </c>
      <c r="NI39" s="27">
        <f t="shared" si="132"/>
        <v>0</v>
      </c>
      <c r="NJ39" s="27">
        <f t="shared" si="132"/>
        <v>0</v>
      </c>
      <c r="NK39" s="27">
        <f t="shared" si="132"/>
        <v>0</v>
      </c>
      <c r="NL39" s="33">
        <f t="shared" si="132"/>
        <v>0</v>
      </c>
      <c r="NM39" s="27">
        <f t="shared" si="132"/>
        <v>0</v>
      </c>
      <c r="NN39" s="152">
        <f t="shared" si="132"/>
        <v>0</v>
      </c>
      <c r="NO39" s="24">
        <f t="shared" si="125"/>
        <v>38716.500671164169</v>
      </c>
      <c r="NP39" s="27">
        <f t="shared" si="132"/>
        <v>24549.88002237798</v>
      </c>
      <c r="NQ39" s="24">
        <f t="shared" si="110"/>
        <v>8756.5482322711578</v>
      </c>
      <c r="NR39" s="24">
        <f t="shared" si="111"/>
        <v>7984.7313514871812</v>
      </c>
      <c r="NS39" s="27">
        <f t="shared" si="0"/>
        <v>80007.660277300485</v>
      </c>
      <c r="NT39" s="27">
        <f t="shared" si="126"/>
        <v>0</v>
      </c>
      <c r="NU39" s="27">
        <f t="shared" si="126"/>
        <v>0</v>
      </c>
      <c r="NV39" s="27">
        <f t="shared" si="126"/>
        <v>0</v>
      </c>
      <c r="NW39" s="27">
        <f t="shared" si="126"/>
        <v>0</v>
      </c>
      <c r="NX39" s="5">
        <f t="shared" si="126"/>
        <v>0</v>
      </c>
      <c r="NY39" s="5">
        <f t="shared" si="126"/>
        <v>0</v>
      </c>
      <c r="NZ39" s="27">
        <f t="shared" si="126"/>
        <v>13206.95881417883</v>
      </c>
      <c r="OA39" s="27">
        <f t="shared" si="126"/>
        <v>0</v>
      </c>
      <c r="OB39" s="27">
        <f t="shared" si="126"/>
        <v>86787.329365972619</v>
      </c>
      <c r="OC39" s="27"/>
      <c r="OD39" s="24">
        <f t="shared" si="127"/>
        <v>0</v>
      </c>
      <c r="OE39" s="27">
        <f t="shared" si="127"/>
        <v>0</v>
      </c>
      <c r="OF39" s="28">
        <f t="shared" si="1"/>
        <v>99994.288180151445</v>
      </c>
      <c r="OG39" s="27">
        <f t="shared" si="128"/>
        <v>0</v>
      </c>
      <c r="OH39" s="27">
        <f t="shared" si="128"/>
        <v>0</v>
      </c>
      <c r="OI39" s="27">
        <f t="shared" si="128"/>
        <v>0</v>
      </c>
      <c r="OJ39" s="27">
        <f t="shared" si="128"/>
        <v>0</v>
      </c>
      <c r="OK39" s="27">
        <f t="shared" si="128"/>
        <v>0</v>
      </c>
      <c r="OL39" s="27">
        <f t="shared" si="128"/>
        <v>0</v>
      </c>
      <c r="OM39" s="24">
        <f t="shared" si="128"/>
        <v>0</v>
      </c>
      <c r="ON39" s="27">
        <f t="shared" si="128"/>
        <v>0</v>
      </c>
      <c r="OO39" s="24">
        <f t="shared" si="118"/>
        <v>58614.83507632625</v>
      </c>
      <c r="OP39" s="27">
        <f t="shared" si="128"/>
        <v>0</v>
      </c>
      <c r="OQ39" s="24">
        <f t="shared" si="128"/>
        <v>26226.467258794852</v>
      </c>
      <c r="OR39" s="27">
        <f t="shared" si="128"/>
        <v>0</v>
      </c>
      <c r="OS39" s="28">
        <f t="shared" si="2"/>
        <v>84841.302335121101</v>
      </c>
      <c r="OT39" s="36"/>
      <c r="OU39" s="27"/>
      <c r="OV39" s="27"/>
      <c r="OW39" s="27"/>
      <c r="OX39" s="27"/>
      <c r="OY39" s="27"/>
      <c r="OZ39" s="28">
        <f t="shared" si="69"/>
        <v>0</v>
      </c>
      <c r="PA39" s="36">
        <f t="shared" si="70"/>
        <v>0</v>
      </c>
      <c r="PB39" s="27">
        <f t="shared" si="71"/>
        <v>0</v>
      </c>
      <c r="PC39" s="27">
        <f t="shared" si="72"/>
        <v>0</v>
      </c>
      <c r="PD39" s="27">
        <f t="shared" si="73"/>
        <v>0</v>
      </c>
      <c r="PE39" s="24"/>
      <c r="PF39" s="27">
        <f t="shared" si="74"/>
        <v>0</v>
      </c>
      <c r="PG39" s="33">
        <f t="shared" si="3"/>
        <v>0</v>
      </c>
      <c r="PH39" s="2621"/>
      <c r="PI39" s="2263"/>
      <c r="PJ39" s="1907">
        <v>290.40000000000003</v>
      </c>
      <c r="PK39" s="3">
        <v>665</v>
      </c>
      <c r="PL39" s="3">
        <v>190</v>
      </c>
      <c r="PM39" s="3">
        <v>287</v>
      </c>
      <c r="PN39" s="3">
        <f t="shared" si="75"/>
        <v>29557.613504658704</v>
      </c>
      <c r="PO39" s="11">
        <f t="shared" si="76"/>
        <v>19895.115210117317</v>
      </c>
      <c r="PP39" s="15"/>
      <c r="PQ39" s="2615"/>
      <c r="PS39" s="4"/>
      <c r="PT39" s="9"/>
      <c r="PU39" s="9"/>
      <c r="PV39" s="9"/>
      <c r="PW39" s="8">
        <v>0</v>
      </c>
      <c r="PX39" s="9"/>
      <c r="PY39" s="8">
        <f t="shared" si="77"/>
        <v>0</v>
      </c>
      <c r="PZ39" s="5">
        <f t="shared" si="78"/>
        <v>290.40000000000003</v>
      </c>
      <c r="QA39" s="5"/>
      <c r="QB39" s="5"/>
      <c r="QC39" s="5"/>
      <c r="QD39" s="5"/>
      <c r="QE39" s="5"/>
      <c r="QF39" s="12"/>
      <c r="QG39" s="12">
        <f t="shared" si="79"/>
        <v>29562.488999999998</v>
      </c>
      <c r="QH39" s="420">
        <f t="shared" si="80"/>
        <v>282008.50180818996</v>
      </c>
      <c r="QI39" s="1106">
        <f t="shared" si="113"/>
        <v>2219.9567940000002</v>
      </c>
      <c r="QJ39" s="484">
        <f t="shared" si="81"/>
        <v>5505.3678056099998</v>
      </c>
      <c r="QK39" s="12"/>
      <c r="QL39" s="2615"/>
      <c r="QN39" s="139">
        <f t="shared" si="82"/>
        <v>0</v>
      </c>
      <c r="QO39" s="139" t="str">
        <f t="shared" si="83"/>
        <v/>
      </c>
      <c r="QQ39" s="139">
        <f t="shared" si="84"/>
        <v>0</v>
      </c>
      <c r="QR39" s="139">
        <f t="shared" si="85"/>
        <v>0</v>
      </c>
      <c r="QT39" s="1">
        <f t="shared" si="86"/>
        <v>0</v>
      </c>
      <c r="QU39" s="1">
        <f t="shared" si="87"/>
        <v>0</v>
      </c>
      <c r="QV39" s="1">
        <f t="shared" si="88"/>
        <v>0</v>
      </c>
      <c r="QW39" s="1">
        <f t="shared" si="89"/>
        <v>0</v>
      </c>
      <c r="QX39" s="1">
        <f t="shared" si="90"/>
        <v>0</v>
      </c>
      <c r="QY39" s="1">
        <f t="shared" si="91"/>
        <v>0</v>
      </c>
      <c r="RA39" s="1">
        <f t="shared" si="92"/>
        <v>0</v>
      </c>
      <c r="RB39" s="1">
        <f t="shared" si="93"/>
        <v>0</v>
      </c>
      <c r="RC39" s="1">
        <f t="shared" si="94"/>
        <v>0</v>
      </c>
      <c r="RD39" s="1">
        <f t="shared" si="95"/>
        <v>0</v>
      </c>
      <c r="RE39" s="1">
        <f t="shared" si="96"/>
        <v>0</v>
      </c>
      <c r="RF39" s="1">
        <f t="shared" si="97"/>
        <v>0</v>
      </c>
      <c r="RI39" s="1">
        <v>30</v>
      </c>
      <c r="RJ39" s="1">
        <f t="shared" si="131"/>
        <v>-32856.268790282906</v>
      </c>
      <c r="RK39" s="1">
        <f t="shared" si="131"/>
        <v>24669.955780483702</v>
      </c>
      <c r="RL39" s="1">
        <f t="shared" si="131"/>
        <v>13404.263703387322</v>
      </c>
      <c r="RM39" s="89">
        <f t="shared" si="5"/>
        <v>5217.9506935881182</v>
      </c>
      <c r="RN39" s="1033">
        <v>30</v>
      </c>
      <c r="RO39" s="1098">
        <v>0</v>
      </c>
      <c r="RP39" s="1098">
        <f t="shared" si="99"/>
        <v>0</v>
      </c>
      <c r="RQ39" s="1097">
        <f t="shared" si="99"/>
        <v>0</v>
      </c>
      <c r="RR39" s="1097">
        <f t="shared" si="114"/>
        <v>9207.84</v>
      </c>
      <c r="RS39" s="1094"/>
      <c r="RT39" s="2420">
        <v>2607305247</v>
      </c>
      <c r="RW39" s="421">
        <v>30</v>
      </c>
      <c r="RX39" s="1095">
        <f t="shared" si="100"/>
        <v>10524.509999999998</v>
      </c>
      <c r="RY39" s="2441">
        <v>26073015047</v>
      </c>
      <c r="SA39" s="1090"/>
      <c r="SB39" s="1090">
        <f t="shared" si="101"/>
        <v>0</v>
      </c>
      <c r="SC39" s="1090"/>
      <c r="SD39" s="1090">
        <f t="shared" si="124"/>
        <v>0</v>
      </c>
      <c r="SF39" s="1">
        <v>30</v>
      </c>
      <c r="SG39" s="1">
        <f t="shared" si="103"/>
        <v>287</v>
      </c>
      <c r="SH39" s="2420">
        <v>26073015095</v>
      </c>
    </row>
    <row r="40" spans="1:502" s="1" customFormat="1">
      <c r="B40" s="1105">
        <v>31</v>
      </c>
      <c r="C40" s="6">
        <f t="shared" si="6"/>
        <v>168603</v>
      </c>
      <c r="D40" s="2418">
        <f>P40+T40+X40+AB40</f>
        <v>10954.919999999998</v>
      </c>
      <c r="E40" s="1915">
        <f t="shared" si="7"/>
        <v>15.390619009540922</v>
      </c>
      <c r="F40" s="1444"/>
      <c r="G40" s="1445"/>
      <c r="H40" s="56"/>
      <c r="I40" s="62"/>
      <c r="J40" s="56"/>
      <c r="K40" s="58"/>
      <c r="L40" s="56"/>
      <c r="M40" s="62"/>
      <c r="N40" s="2630"/>
      <c r="O40" s="4">
        <f t="shared" si="117"/>
        <v>95424</v>
      </c>
      <c r="P40" s="5">
        <f t="shared" si="8"/>
        <v>5930.579999999999</v>
      </c>
      <c r="Q40" s="1955">
        <f t="shared" si="9"/>
        <v>16.090163188086159</v>
      </c>
      <c r="R40" s="34"/>
      <c r="S40" s="29">
        <f t="shared" si="10"/>
        <v>38727</v>
      </c>
      <c r="T40" s="27">
        <f t="shared" si="105"/>
        <v>2644.3399999999997</v>
      </c>
      <c r="U40" s="1917">
        <f t="shared" si="11"/>
        <v>14.645242291082086</v>
      </c>
      <c r="V40" s="31"/>
      <c r="W40" s="29">
        <f t="shared" si="12"/>
        <v>27421</v>
      </c>
      <c r="X40" s="7">
        <f t="shared" si="12"/>
        <v>2380</v>
      </c>
      <c r="Y40" s="1917">
        <f t="shared" si="13"/>
        <v>11.521428571428572</v>
      </c>
      <c r="Z40" s="34"/>
      <c r="AA40" s="29">
        <f>SUM(BP40,BS40)</f>
        <v>7031</v>
      </c>
      <c r="AB40" s="30">
        <f t="shared" si="15"/>
        <v>0</v>
      </c>
      <c r="AC40" s="1917">
        <f t="shared" si="16"/>
        <v>0</v>
      </c>
      <c r="AD40" s="31"/>
      <c r="AE40" s="36"/>
      <c r="AF40" s="36"/>
      <c r="AG40" s="57">
        <f t="shared" si="17"/>
        <v>0</v>
      </c>
      <c r="AH40" s="31"/>
      <c r="AI40" s="23"/>
      <c r="AJ40" s="30"/>
      <c r="AK40" s="57">
        <f t="shared" si="18"/>
        <v>0</v>
      </c>
      <c r="AL40" s="31"/>
      <c r="AM40" s="2630"/>
      <c r="AN40" s="10"/>
      <c r="AO40" s="7"/>
      <c r="AP40" s="62">
        <f t="shared" si="19"/>
        <v>0</v>
      </c>
      <c r="AQ40" s="37"/>
      <c r="AR40" s="57"/>
      <c r="AS40" s="62">
        <f t="shared" si="20"/>
        <v>0</v>
      </c>
      <c r="AT40" s="37"/>
      <c r="AU40" s="30"/>
      <c r="AV40" s="58">
        <f t="shared" si="21"/>
        <v>0</v>
      </c>
      <c r="AW40" s="29">
        <v>48468</v>
      </c>
      <c r="AX40" s="2234">
        <v>5184.5999999999995</v>
      </c>
      <c r="AY40" s="1915">
        <f t="shared" si="115"/>
        <v>9.3484550399259358</v>
      </c>
      <c r="AZ40" s="1916"/>
      <c r="BA40" s="1917"/>
      <c r="BB40" s="1915">
        <f t="shared" si="22"/>
        <v>0</v>
      </c>
      <c r="BC40" s="1740">
        <v>46956</v>
      </c>
      <c r="BD40" s="2482">
        <v>745.9799999999999</v>
      </c>
      <c r="BE40" s="1915">
        <f t="shared" si="23"/>
        <v>62.945387275798289</v>
      </c>
      <c r="BF40" s="1916"/>
      <c r="BG40" s="1917"/>
      <c r="BH40" s="1915">
        <f t="shared" si="24"/>
        <v>0</v>
      </c>
      <c r="BI40" s="1916"/>
      <c r="BJ40" s="1917"/>
      <c r="BK40" s="1915">
        <f t="shared" si="25"/>
        <v>0</v>
      </c>
      <c r="BL40" s="2493">
        <v>38727</v>
      </c>
      <c r="BM40" s="1736">
        <v>2644.3399999999997</v>
      </c>
      <c r="BN40" s="2173"/>
      <c r="BO40" s="1915">
        <f t="shared" si="26"/>
        <v>14.645242291082086</v>
      </c>
      <c r="BP40" s="37">
        <v>7031</v>
      </c>
      <c r="BQ40" s="49">
        <v>0</v>
      </c>
      <c r="BR40" s="2479">
        <f t="shared" si="27"/>
        <v>0</v>
      </c>
      <c r="BS40" s="37"/>
      <c r="BT40" s="30"/>
      <c r="BU40" s="62">
        <f t="shared" si="28"/>
        <v>0</v>
      </c>
      <c r="BV40" s="37">
        <v>27421</v>
      </c>
      <c r="BW40" s="30">
        <v>2380</v>
      </c>
      <c r="BX40" s="31">
        <f t="shared" si="29"/>
        <v>11.521428571428572</v>
      </c>
      <c r="BY40" s="29"/>
      <c r="BZ40" s="7"/>
      <c r="CA40" s="62">
        <f t="shared" si="30"/>
        <v>0</v>
      </c>
      <c r="CB40" s="37"/>
      <c r="CC40" s="30"/>
      <c r="CD40" s="62">
        <f t="shared" si="31"/>
        <v>0</v>
      </c>
      <c r="CE40" s="29"/>
      <c r="CF40" s="30"/>
      <c r="CG40" s="31">
        <f t="shared" si="32"/>
        <v>0</v>
      </c>
      <c r="CH40" s="151"/>
      <c r="CI40" s="10">
        <v>1050</v>
      </c>
      <c r="CJ40" s="7"/>
      <c r="CK40" s="7">
        <v>5247</v>
      </c>
      <c r="CL40" s="7"/>
      <c r="CM40" s="7"/>
      <c r="CN40" s="7">
        <f t="shared" ref="CN40" si="133">SUM(CI40:CM40)</f>
        <v>6297</v>
      </c>
      <c r="CO40" s="34"/>
      <c r="CP40" s="367"/>
      <c r="CR40" s="6">
        <f t="shared" si="130"/>
        <v>0</v>
      </c>
      <c r="CS40" s="10">
        <f t="shared" si="130"/>
        <v>0</v>
      </c>
      <c r="CT40" s="7">
        <f t="shared" si="130"/>
        <v>0</v>
      </c>
      <c r="CU40" s="7">
        <f t="shared" si="129"/>
        <v>0</v>
      </c>
      <c r="CV40" s="7">
        <f t="shared" si="129"/>
        <v>0</v>
      </c>
      <c r="CW40" s="7">
        <f t="shared" si="129"/>
        <v>0</v>
      </c>
      <c r="CX40" s="7">
        <f t="shared" si="129"/>
        <v>0</v>
      </c>
      <c r="CY40" s="7">
        <f t="shared" si="129"/>
        <v>0</v>
      </c>
      <c r="CZ40" s="7">
        <f t="shared" si="129"/>
        <v>10208.939999999999</v>
      </c>
      <c r="DA40" s="7">
        <f t="shared" si="129"/>
        <v>0</v>
      </c>
      <c r="DB40" s="7">
        <f t="shared" si="129"/>
        <v>745.9799999999999</v>
      </c>
      <c r="DC40" s="13">
        <f t="shared" si="129"/>
        <v>0</v>
      </c>
      <c r="DD40" s="310">
        <f>SUM(CR40:DC40,PW40)</f>
        <v>10954.919999999998</v>
      </c>
      <c r="DE40" s="2696"/>
      <c r="DF40" s="8"/>
      <c r="DG40" s="10"/>
      <c r="DH40" s="7"/>
      <c r="DI40" s="7"/>
      <c r="DJ40" s="7"/>
      <c r="DK40" s="7"/>
      <c r="DL40" s="1101">
        <v>0</v>
      </c>
      <c r="DM40" s="7"/>
      <c r="DN40" s="1101">
        <v>5184.5999999999995</v>
      </c>
      <c r="DO40" s="7"/>
      <c r="DP40" s="3">
        <v>0</v>
      </c>
      <c r="DQ40" s="13"/>
      <c r="DR40" s="31">
        <f t="shared" si="36"/>
        <v>5184.5999999999995</v>
      </c>
      <c r="DS40" s="37"/>
      <c r="DT40" s="37"/>
      <c r="DU40" s="30"/>
      <c r="DV40" s="30"/>
      <c r="DW40" s="30"/>
      <c r="DX40" s="30"/>
      <c r="DY40" s="30"/>
      <c r="DZ40" s="30"/>
      <c r="EA40" s="1101">
        <v>2644.3399999999997</v>
      </c>
      <c r="EB40" s="30"/>
      <c r="EC40" s="2234">
        <v>745.9799999999999</v>
      </c>
      <c r="ED40" s="34"/>
      <c r="EE40" s="31">
        <f t="shared" si="37"/>
        <v>3390.3199999999997</v>
      </c>
      <c r="EF40" s="37"/>
      <c r="EG40" s="37"/>
      <c r="EH40" s="30"/>
      <c r="EI40" s="30"/>
      <c r="EJ40" s="30"/>
      <c r="EK40" s="30"/>
      <c r="EL40" s="30"/>
      <c r="EM40" s="30"/>
      <c r="EN40" s="30">
        <v>2380</v>
      </c>
      <c r="EO40" s="30"/>
      <c r="EP40" s="30"/>
      <c r="EQ40" s="34"/>
      <c r="ER40" s="31">
        <f t="shared" si="38"/>
        <v>2380</v>
      </c>
      <c r="ES40" s="37"/>
      <c r="ET40" s="30"/>
      <c r="EU40" s="30"/>
      <c r="EV40" s="30"/>
      <c r="EW40" s="30"/>
      <c r="EX40" s="30"/>
      <c r="EY40" s="34">
        <f t="shared" si="39"/>
        <v>0</v>
      </c>
      <c r="EZ40" s="2686"/>
      <c r="FB40" s="6">
        <f t="shared" si="40"/>
        <v>0</v>
      </c>
      <c r="FC40" s="7">
        <f t="shared" si="41"/>
        <v>0</v>
      </c>
      <c r="FD40" s="7">
        <f t="shared" si="42"/>
        <v>0</v>
      </c>
      <c r="FE40" s="13">
        <f t="shared" si="43"/>
        <v>0</v>
      </c>
      <c r="FF40" s="34"/>
      <c r="FG40" s="2675"/>
      <c r="FH40" s="10"/>
      <c r="FI40" s="7"/>
      <c r="FJ40" s="7"/>
      <c r="FK40" s="7"/>
      <c r="FL40" s="7"/>
      <c r="FM40" s="30"/>
      <c r="FN40" s="31">
        <f t="shared" si="44"/>
        <v>0</v>
      </c>
      <c r="FO40" s="37"/>
      <c r="FP40" s="30"/>
      <c r="FQ40" s="30"/>
      <c r="FR40" s="30"/>
      <c r="FS40" s="30"/>
      <c r="FT40" s="30"/>
      <c r="FU40" s="31">
        <f t="shared" si="45"/>
        <v>0</v>
      </c>
      <c r="FV40" s="37"/>
      <c r="FW40" s="37"/>
      <c r="FX40" s="30"/>
      <c r="FY40" s="30"/>
      <c r="FZ40" s="30"/>
      <c r="GA40" s="30"/>
      <c r="GB40" s="30"/>
      <c r="GC40" s="30"/>
      <c r="GD40" s="24">
        <v>0</v>
      </c>
      <c r="GE40" s="30"/>
      <c r="GF40" s="30"/>
      <c r="GG40" s="34"/>
      <c r="GH40" s="34">
        <f t="shared" si="46"/>
        <v>0</v>
      </c>
      <c r="GI40" s="2675"/>
      <c r="GK40" s="2">
        <f t="shared" si="107"/>
        <v>2864.9300000000003</v>
      </c>
      <c r="GL40" s="63">
        <f t="shared" si="108"/>
        <v>3047.22</v>
      </c>
      <c r="GM40" s="24">
        <f t="shared" si="109"/>
        <v>6733.05</v>
      </c>
      <c r="GN40" s="30">
        <f t="shared" si="47"/>
        <v>12645.2</v>
      </c>
      <c r="GO40" s="279"/>
      <c r="GP40" s="279"/>
      <c r="GQ40" s="34"/>
      <c r="GR40" s="2668"/>
      <c r="GS40" s="1739">
        <v>0</v>
      </c>
      <c r="GT40" s="1721">
        <v>250.85</v>
      </c>
      <c r="GU40" s="1721">
        <v>5018.8899999999985</v>
      </c>
      <c r="GV40" s="1721">
        <v>7375.4600000000009</v>
      </c>
      <c r="GW40" s="31">
        <v>12645.2</v>
      </c>
      <c r="GX40" s="2668"/>
      <c r="GY40" s="37"/>
      <c r="GZ40" s="37"/>
      <c r="HA40" s="30"/>
      <c r="HB40" s="30"/>
      <c r="HC40" s="30"/>
      <c r="HD40" s="30"/>
      <c r="HE40" s="30"/>
      <c r="HF40" s="30"/>
      <c r="HG40" s="24">
        <v>2614.0800000000004</v>
      </c>
      <c r="HH40" s="30"/>
      <c r="HI40" s="24">
        <v>0</v>
      </c>
      <c r="HJ40" s="30"/>
      <c r="HK40" s="24">
        <v>250.85</v>
      </c>
      <c r="HL40" s="30"/>
      <c r="HM40" s="31">
        <f t="shared" si="120"/>
        <v>2864.9300000000003</v>
      </c>
      <c r="HN40" s="37"/>
      <c r="HO40" s="30"/>
      <c r="HP40" s="30"/>
      <c r="HQ40" s="30"/>
      <c r="HR40" s="30"/>
      <c r="HS40" s="30"/>
      <c r="HT40" s="30">
        <f t="array" ref="HT40">SUMPRODUCT(('Data Base hauling'!$C$2:$C$2000="TCM-ROM SB1 BK05-ROM 4")*(ISNUMBER(SEARCH(TEXT('July TCM'!$B40,"00")&amp;"/03/2026",'Data Base hauling'!$E$2:$E$2000)))*'Data Base hauling'!$N$2:$N$2000)</f>
        <v>0</v>
      </c>
      <c r="HU40" s="30"/>
      <c r="HV40" s="30">
        <f t="array" ref="HV40">SUMPRODUCT(('Data Base hauling'!$C$2:$C$2000="TCM-ROM SB1 BK05-ROM 5")*(ISNUMBER(SEARCH(TEXT('July TCM'!$B40,"00")&amp;"/03/2026",'Data Base hauling'!$E$2:$E$2000)))*'Data Base hauling'!$N$2:$N$2000)</f>
        <v>0</v>
      </c>
      <c r="HW40" s="30"/>
      <c r="HX40" s="30"/>
      <c r="HY40" s="30"/>
      <c r="HZ40" s="30"/>
      <c r="IA40" s="30"/>
      <c r="IB40" s="34">
        <f t="shared" si="49"/>
        <v>0</v>
      </c>
      <c r="IC40" s="56"/>
      <c r="ID40" s="1104"/>
      <c r="IE40" s="57"/>
      <c r="IF40" s="57"/>
      <c r="IG40" s="57"/>
      <c r="IH40" s="57"/>
      <c r="II40" s="1926">
        <v>0</v>
      </c>
      <c r="IJ40" s="57"/>
      <c r="IK40" s="1926">
        <v>3047.22</v>
      </c>
      <c r="IL40" s="57"/>
      <c r="IM40" s="49">
        <v>0</v>
      </c>
      <c r="IN40" s="30"/>
      <c r="IO40" s="30"/>
      <c r="IP40" s="49">
        <v>0</v>
      </c>
      <c r="IQ40" s="62">
        <f t="shared" si="121"/>
        <v>3047.22</v>
      </c>
      <c r="IR40" s="37"/>
      <c r="IS40" s="37"/>
      <c r="IT40" s="30"/>
      <c r="IU40" s="30"/>
      <c r="IV40" s="57"/>
      <c r="IW40" s="30"/>
      <c r="IX40" s="24">
        <v>0</v>
      </c>
      <c r="IY40" s="30"/>
      <c r="IZ40" s="24">
        <v>6733.05</v>
      </c>
      <c r="JA40" s="30"/>
      <c r="JB40" s="24">
        <v>0</v>
      </c>
      <c r="JC40" s="30"/>
      <c r="JD40" s="30"/>
      <c r="JE40" s="30"/>
      <c r="JF40" s="854">
        <f t="shared" si="122"/>
        <v>6733.05</v>
      </c>
      <c r="JG40" s="2668"/>
      <c r="JI40" s="2014">
        <v>12645.199999999997</v>
      </c>
      <c r="JJ40" s="2015">
        <v>0</v>
      </c>
      <c r="JK40" s="30"/>
      <c r="JL40" s="1736">
        <f t="shared" si="52"/>
        <v>12645.199999999997</v>
      </c>
      <c r="JM40" s="31"/>
      <c r="JN40" s="2670"/>
      <c r="JO40" s="66">
        <v>0</v>
      </c>
      <c r="JP40" s="67">
        <v>0</v>
      </c>
      <c r="JQ40" s="67">
        <v>0</v>
      </c>
      <c r="JR40" s="67">
        <v>0</v>
      </c>
      <c r="JS40" s="67">
        <v>0.98016243317622509</v>
      </c>
      <c r="JT40" s="67">
        <v>0</v>
      </c>
      <c r="JU40" s="67">
        <v>1.9837566823775032E-2</v>
      </c>
      <c r="JV40" s="1921">
        <v>0</v>
      </c>
      <c r="JW40" s="66" t="s">
        <v>296</v>
      </c>
      <c r="JX40" s="67" t="s">
        <v>296</v>
      </c>
      <c r="JY40" s="67" t="s">
        <v>296</v>
      </c>
      <c r="JZ40" s="67" t="s">
        <v>296</v>
      </c>
      <c r="KA40" s="67" t="s">
        <v>296</v>
      </c>
      <c r="KB40" s="67" t="s">
        <v>296</v>
      </c>
      <c r="KC40" s="67" t="s">
        <v>296</v>
      </c>
      <c r="KD40" s="68" t="s">
        <v>296</v>
      </c>
      <c r="KE40" s="77"/>
      <c r="KF40" s="75"/>
      <c r="KG40" s="75"/>
      <c r="KH40" s="75"/>
      <c r="KI40" s="75"/>
      <c r="KJ40" s="75"/>
      <c r="KK40" s="75"/>
      <c r="KL40" s="75"/>
      <c r="KM40" s="31"/>
      <c r="KN40" s="2670"/>
      <c r="KO40" s="2204">
        <v>6955.0911971345913</v>
      </c>
      <c r="KP40" s="2205">
        <v>0.58800799008127846</v>
      </c>
      <c r="KQ40" s="2205">
        <v>4.1918721586995451</v>
      </c>
      <c r="KR40" s="2205">
        <v>7.4233599669375945</v>
      </c>
      <c r="KS40" s="2206">
        <v>9.4102491704091484</v>
      </c>
      <c r="KT40" s="2207">
        <v>0</v>
      </c>
      <c r="KU40" s="2208">
        <v>0</v>
      </c>
      <c r="KV40" s="2208">
        <v>0</v>
      </c>
      <c r="KW40" s="2208">
        <v>0</v>
      </c>
      <c r="KX40" s="2209">
        <v>0</v>
      </c>
      <c r="KY40" s="37"/>
      <c r="KZ40" s="57"/>
      <c r="LA40" s="57"/>
      <c r="LB40" s="57"/>
      <c r="LC40" s="57"/>
      <c r="LD40" s="31"/>
      <c r="LE40" s="2670"/>
      <c r="LG40" s="29">
        <f t="shared" si="53"/>
        <v>0</v>
      </c>
      <c r="LH40" s="30">
        <f t="shared" si="53"/>
        <v>0</v>
      </c>
      <c r="LI40" s="30">
        <f t="shared" si="53"/>
        <v>0</v>
      </c>
      <c r="LJ40" s="31">
        <f t="shared" si="54"/>
        <v>0</v>
      </c>
      <c r="LK40" s="37"/>
      <c r="LL40" s="30"/>
      <c r="LM40" s="30">
        <v>1</v>
      </c>
      <c r="LN40" s="34"/>
      <c r="LO40" s="1103">
        <v>1.87</v>
      </c>
      <c r="LP40" s="332"/>
      <c r="LQ40" s="2689"/>
      <c r="LR40" s="29"/>
      <c r="LS40" s="37"/>
      <c r="LT40" s="30"/>
      <c r="LU40" s="30"/>
      <c r="LV40" s="30"/>
      <c r="LW40" s="1102">
        <f t="shared" si="55"/>
        <v>0</v>
      </c>
      <c r="LX40" s="37"/>
      <c r="LY40" s="37"/>
      <c r="LZ40" s="30"/>
      <c r="MA40" s="30"/>
      <c r="MB40" s="34"/>
      <c r="MC40" s="31">
        <f t="shared" si="56"/>
        <v>0</v>
      </c>
      <c r="MD40" s="29"/>
      <c r="ME40" s="37"/>
      <c r="MF40" s="30"/>
      <c r="MG40" s="30"/>
      <c r="MH40" s="30"/>
      <c r="MI40" s="31"/>
      <c r="MJ40" s="37"/>
      <c r="MK40" s="37"/>
      <c r="ML40" s="30"/>
      <c r="MM40" s="30"/>
      <c r="MN40" s="30"/>
      <c r="MO40" s="31"/>
      <c r="MP40" s="37"/>
      <c r="MQ40" s="37"/>
      <c r="MR40" s="30"/>
      <c r="MS40" s="30"/>
      <c r="MT40" s="30"/>
      <c r="MU40" s="34">
        <f t="shared" si="57"/>
        <v>0</v>
      </c>
      <c r="MV40" s="2689"/>
      <c r="MX40" s="29">
        <f t="shared" si="58"/>
        <v>179043.95549195667</v>
      </c>
      <c r="MY40" s="30">
        <f t="shared" si="59"/>
        <v>263403.82079257304</v>
      </c>
      <c r="MZ40" s="30">
        <f t="shared" si="60"/>
        <v>19776.265210117319</v>
      </c>
      <c r="NA40" s="31">
        <f t="shared" si="61"/>
        <v>313396.12760218995</v>
      </c>
      <c r="NB40" s="2622"/>
      <c r="NC40" s="23">
        <f t="shared" si="62"/>
        <v>80904.648968159192</v>
      </c>
      <c r="ND40" s="1655">
        <f t="shared" si="63"/>
        <v>98139.306523797495</v>
      </c>
      <c r="NE40" s="2233">
        <f t="shared" si="64"/>
        <v>0</v>
      </c>
      <c r="NF40" s="276">
        <f t="shared" si="4"/>
        <v>179043.95549195667</v>
      </c>
      <c r="NG40" s="29">
        <f t="shared" si="132"/>
        <v>0</v>
      </c>
      <c r="NH40" s="30">
        <f t="shared" si="132"/>
        <v>0</v>
      </c>
      <c r="NI40" s="30">
        <f t="shared" si="132"/>
        <v>0</v>
      </c>
      <c r="NJ40" s="30">
        <f t="shared" si="132"/>
        <v>0</v>
      </c>
      <c r="NK40" s="30">
        <f t="shared" si="132"/>
        <v>0</v>
      </c>
      <c r="NL40" s="34">
        <f t="shared" si="132"/>
        <v>0</v>
      </c>
      <c r="NM40" s="1233">
        <f t="shared" si="132"/>
        <v>0</v>
      </c>
      <c r="NN40" s="57">
        <f t="shared" si="132"/>
        <v>0</v>
      </c>
      <c r="NO40" s="2234">
        <f t="shared" si="125"/>
        <v>38482.420671164167</v>
      </c>
      <c r="NP40" s="30">
        <f t="shared" si="132"/>
        <v>24549.88002237798</v>
      </c>
      <c r="NQ40" s="2234">
        <f t="shared" si="110"/>
        <v>8756.5482322711578</v>
      </c>
      <c r="NR40" s="2234">
        <f t="shared" si="111"/>
        <v>7984.7313514871812</v>
      </c>
      <c r="NS40" s="30">
        <f t="shared" si="0"/>
        <v>79773.580277300483</v>
      </c>
      <c r="NT40" s="30">
        <f t="shared" si="126"/>
        <v>0</v>
      </c>
      <c r="NU40" s="30">
        <f t="shared" si="126"/>
        <v>0</v>
      </c>
      <c r="NV40" s="30">
        <f t="shared" si="126"/>
        <v>0</v>
      </c>
      <c r="NW40" s="30">
        <f t="shared" si="126"/>
        <v>0</v>
      </c>
      <c r="NX40" s="7">
        <f t="shared" si="126"/>
        <v>0</v>
      </c>
      <c r="NY40" s="7">
        <f t="shared" si="126"/>
        <v>0</v>
      </c>
      <c r="NZ40" s="30">
        <f t="shared" si="126"/>
        <v>13206.95881417883</v>
      </c>
      <c r="OA40" s="30">
        <f t="shared" si="126"/>
        <v>0</v>
      </c>
      <c r="OB40" s="30">
        <f t="shared" si="126"/>
        <v>88924.709365972623</v>
      </c>
      <c r="OC40" s="30"/>
      <c r="OD40" s="2234">
        <f t="shared" si="127"/>
        <v>0</v>
      </c>
      <c r="OE40" s="30">
        <f t="shared" si="127"/>
        <v>0</v>
      </c>
      <c r="OF40" s="30">
        <f t="shared" si="1"/>
        <v>102131.66818015145</v>
      </c>
      <c r="OG40" s="30">
        <f t="shared" si="128"/>
        <v>0</v>
      </c>
      <c r="OH40" s="30">
        <f t="shared" si="128"/>
        <v>0</v>
      </c>
      <c r="OI40" s="30">
        <f t="shared" si="128"/>
        <v>0</v>
      </c>
      <c r="OJ40" s="30">
        <f t="shared" si="128"/>
        <v>0</v>
      </c>
      <c r="OK40" s="30">
        <f t="shared" si="128"/>
        <v>0</v>
      </c>
      <c r="OL40" s="30">
        <f t="shared" si="128"/>
        <v>0</v>
      </c>
      <c r="OM40" s="2234">
        <f t="shared" si="128"/>
        <v>0</v>
      </c>
      <c r="ON40" s="30">
        <f t="shared" si="128"/>
        <v>0</v>
      </c>
      <c r="OO40" s="2234">
        <f t="shared" si="118"/>
        <v>54526.125076326243</v>
      </c>
      <c r="OP40" s="30">
        <f t="shared" si="128"/>
        <v>0</v>
      </c>
      <c r="OQ40" s="2234">
        <f t="shared" si="128"/>
        <v>26972.447258794851</v>
      </c>
      <c r="OR40" s="30">
        <f t="shared" si="128"/>
        <v>0</v>
      </c>
      <c r="OS40" s="31">
        <f t="shared" si="2"/>
        <v>81498.572335121091</v>
      </c>
      <c r="OT40" s="37"/>
      <c r="OU40" s="30"/>
      <c r="OV40" s="30"/>
      <c r="OW40" s="30"/>
      <c r="OX40" s="30"/>
      <c r="OY40" s="30"/>
      <c r="OZ40" s="31">
        <f t="shared" si="69"/>
        <v>0</v>
      </c>
      <c r="PA40" s="37">
        <f t="shared" si="70"/>
        <v>0</v>
      </c>
      <c r="PB40" s="30">
        <f t="shared" si="71"/>
        <v>0</v>
      </c>
      <c r="PC40" s="30">
        <f t="shared" si="72"/>
        <v>0</v>
      </c>
      <c r="PD40" s="30">
        <f t="shared" si="73"/>
        <v>0</v>
      </c>
      <c r="PE40" s="24"/>
      <c r="PF40" s="30">
        <f t="shared" si="74"/>
        <v>0</v>
      </c>
      <c r="PG40" s="34">
        <f t="shared" si="3"/>
        <v>0</v>
      </c>
      <c r="PH40" s="2622"/>
      <c r="PI40" s="2263"/>
      <c r="PJ40" s="1907">
        <v>394.82000000000005</v>
      </c>
      <c r="PK40" s="3">
        <v>462.00000000000011</v>
      </c>
      <c r="PL40" s="3">
        <v>132.00000000000003</v>
      </c>
      <c r="PM40" s="3">
        <v>250.85</v>
      </c>
      <c r="PN40" s="3">
        <f t="shared" si="75"/>
        <v>29490.433504658704</v>
      </c>
      <c r="PO40" s="11">
        <f t="shared" si="76"/>
        <v>19776.265210117319</v>
      </c>
      <c r="PP40" s="16"/>
      <c r="PQ40" s="2616"/>
      <c r="PS40" s="6"/>
      <c r="PT40" s="10"/>
      <c r="PU40" s="10"/>
      <c r="PV40" s="10"/>
      <c r="PW40" s="2483">
        <v>0</v>
      </c>
      <c r="PX40" s="10"/>
      <c r="PY40" s="1101">
        <f t="shared" si="77"/>
        <v>0</v>
      </c>
      <c r="PZ40" s="7">
        <f t="shared" si="78"/>
        <v>394.82000000000005</v>
      </c>
      <c r="QA40" s="7"/>
      <c r="QB40" s="7"/>
      <c r="QC40" s="7"/>
      <c r="QD40" s="7"/>
      <c r="QE40" s="7"/>
      <c r="QF40" s="13"/>
      <c r="QG40" s="13">
        <f t="shared" si="79"/>
        <v>29562.488999999998</v>
      </c>
      <c r="QH40" s="1100">
        <f t="shared" si="80"/>
        <v>281613.68180818995</v>
      </c>
      <c r="QI40" s="1106">
        <f>+QI39+PX40-QE40</f>
        <v>2219.9567940000002</v>
      </c>
      <c r="QJ40" s="484">
        <f t="shared" si="81"/>
        <v>5505.3678056099998</v>
      </c>
      <c r="QK40" s="13"/>
      <c r="QL40" s="2616"/>
      <c r="QN40" s="139">
        <f t="shared" si="82"/>
        <v>0</v>
      </c>
      <c r="QO40" s="139" t="str">
        <f t="shared" si="83"/>
        <v/>
      </c>
      <c r="QQ40" s="139">
        <f t="shared" si="84"/>
        <v>0</v>
      </c>
      <c r="QR40" s="139">
        <f t="shared" si="85"/>
        <v>0</v>
      </c>
      <c r="QT40" s="1">
        <f t="shared" si="86"/>
        <v>0</v>
      </c>
      <c r="QU40" s="1">
        <f t="shared" si="87"/>
        <v>0</v>
      </c>
      <c r="QV40" s="1">
        <f t="shared" si="88"/>
        <v>0</v>
      </c>
      <c r="QW40" s="1">
        <f t="shared" si="89"/>
        <v>0</v>
      </c>
      <c r="QX40" s="1">
        <f t="shared" si="90"/>
        <v>0</v>
      </c>
      <c r="QY40" s="1">
        <f t="shared" si="91"/>
        <v>0</v>
      </c>
      <c r="RA40" s="1">
        <f t="shared" si="92"/>
        <v>0</v>
      </c>
      <c r="RB40" s="1">
        <f t="shared" si="93"/>
        <v>0</v>
      </c>
      <c r="RC40" s="1">
        <f t="shared" si="94"/>
        <v>0</v>
      </c>
      <c r="RD40" s="1">
        <f t="shared" si="95"/>
        <v>0</v>
      </c>
      <c r="RE40" s="1">
        <f t="shared" si="96"/>
        <v>0</v>
      </c>
      <c r="RF40" s="1">
        <f t="shared" si="97"/>
        <v>0</v>
      </c>
      <c r="RI40" s="1">
        <v>31</v>
      </c>
      <c r="RJ40" s="1">
        <f t="shared" si="131"/>
        <v>-20211.068790282909</v>
      </c>
      <c r="RK40" s="1">
        <f t="shared" si="131"/>
        <v>24669.955780483702</v>
      </c>
      <c r="RL40" s="1">
        <f t="shared" si="131"/>
        <v>13404.263703387322</v>
      </c>
      <c r="RM40" s="89">
        <f t="shared" si="5"/>
        <v>17863.150693588115</v>
      </c>
      <c r="RN40" s="1033">
        <v>31</v>
      </c>
      <c r="RO40" s="1098">
        <v>0</v>
      </c>
      <c r="RP40" s="1098">
        <f t="shared" si="99"/>
        <v>0</v>
      </c>
      <c r="RQ40" s="1097">
        <f t="shared" si="99"/>
        <v>0</v>
      </c>
      <c r="RR40" s="1097">
        <f t="shared" si="114"/>
        <v>8574.9199999999983</v>
      </c>
      <c r="RS40" s="1094"/>
      <c r="RT40" s="2441">
        <v>2607315367</v>
      </c>
      <c r="RW40" s="421">
        <v>31</v>
      </c>
      <c r="RX40" s="1095">
        <f t="shared" si="100"/>
        <v>12645.2</v>
      </c>
      <c r="RY40" s="2420">
        <v>2608010001</v>
      </c>
      <c r="SA40" s="1090"/>
      <c r="SB40" s="1090">
        <f t="shared" si="101"/>
        <v>0</v>
      </c>
      <c r="SC40" s="1090"/>
      <c r="SD40" s="1090">
        <f t="shared" si="124"/>
        <v>0</v>
      </c>
      <c r="SF40" s="1">
        <v>31</v>
      </c>
      <c r="SG40" s="1">
        <f t="shared" si="103"/>
        <v>250.85</v>
      </c>
      <c r="SH40" s="2420">
        <v>26073115631</v>
      </c>
    </row>
    <row r="41" spans="1:502" s="38" customFormat="1" ht="13.95" customHeight="1">
      <c r="A41" s="307" t="s">
        <v>206</v>
      </c>
      <c r="B41" s="307"/>
      <c r="C41" s="72">
        <f>SUM(C10:C40)</f>
        <v>4776897</v>
      </c>
      <c r="D41" s="72">
        <f>SUM(D10:D40)</f>
        <v>365984.16</v>
      </c>
      <c r="E41" s="2266">
        <f t="shared" si="7"/>
        <v>13.052196029467506</v>
      </c>
      <c r="H41" s="38">
        <f t="shared" ref="H41:P41" si="134">SUM(H10:H40)</f>
        <v>31</v>
      </c>
      <c r="I41" s="38">
        <f t="shared" si="134"/>
        <v>14.99</v>
      </c>
      <c r="J41" s="38">
        <f t="shared" si="134"/>
        <v>0</v>
      </c>
      <c r="K41" s="38">
        <f t="shared" si="134"/>
        <v>0</v>
      </c>
      <c r="L41" s="38">
        <f t="shared" si="134"/>
        <v>134.5</v>
      </c>
      <c r="M41" s="38">
        <f t="shared" si="134"/>
        <v>49.97</v>
      </c>
      <c r="N41" s="72">
        <f t="shared" si="134"/>
        <v>0</v>
      </c>
      <c r="O41" s="72">
        <f t="shared" si="134"/>
        <v>2846076</v>
      </c>
      <c r="P41" s="38">
        <f t="shared" si="134"/>
        <v>223144.86999999997</v>
      </c>
      <c r="Q41" s="38">
        <f t="shared" si="9"/>
        <v>12.754386869839314</v>
      </c>
      <c r="R41" s="72">
        <f>SUM(R10:R40)</f>
        <v>0</v>
      </c>
      <c r="S41" s="1409">
        <f t="shared" si="10"/>
        <v>1150420</v>
      </c>
      <c r="T41" s="1410">
        <f>SUM(T10:T40)</f>
        <v>60413.75</v>
      </c>
      <c r="U41" s="1410">
        <f t="shared" si="11"/>
        <v>19.042353768802631</v>
      </c>
      <c r="V41" s="72">
        <f>SUM(V10:V40)</f>
        <v>0</v>
      </c>
      <c r="W41" s="72">
        <f>SUM(W10:W40)</f>
        <v>675511</v>
      </c>
      <c r="X41" s="72">
        <f>SUM(X10:X40)</f>
        <v>80020</v>
      </c>
      <c r="Y41" s="38">
        <f t="shared" si="13"/>
        <v>8.4417770557360665</v>
      </c>
      <c r="Z41" s="72">
        <f>SUM(Z10:Z40)</f>
        <v>0</v>
      </c>
      <c r="AA41" s="72">
        <f>SUM(AA10:AA40)</f>
        <v>104890</v>
      </c>
      <c r="AB41" s="72">
        <f t="shared" si="15"/>
        <v>2405.54</v>
      </c>
      <c r="AC41" s="38">
        <f t="shared" si="16"/>
        <v>43.603515219036062</v>
      </c>
      <c r="AD41" s="72"/>
      <c r="AE41" s="72">
        <f>SUM(AE10:AE40)</f>
        <v>0</v>
      </c>
      <c r="AF41" s="38">
        <f>SUM(AF10:AF40)</f>
        <v>0</v>
      </c>
      <c r="AG41" s="38">
        <f t="shared" si="17"/>
        <v>0</v>
      </c>
      <c r="AH41" s="72">
        <f>SUM(AH10:AH40)</f>
        <v>0</v>
      </c>
      <c r="AI41" s="72">
        <f>SUM(AI10:AI40)</f>
        <v>0</v>
      </c>
      <c r="AJ41" s="72">
        <f>SUM(AJ10:AJ40)</f>
        <v>0</v>
      </c>
      <c r="AK41" s="38">
        <f t="shared" si="18"/>
        <v>0</v>
      </c>
      <c r="AL41" s="72">
        <f>SUM(AL10:AL40)</f>
        <v>0</v>
      </c>
      <c r="AM41" s="72">
        <f>SUM(AM10:AM40)</f>
        <v>0</v>
      </c>
      <c r="AN41" s="72">
        <f>SUM(AN10:AN40)</f>
        <v>0</v>
      </c>
      <c r="AO41" s="72">
        <f>SUM(AO10:AO40)</f>
        <v>0</v>
      </c>
      <c r="AP41" s="38">
        <f t="shared" si="19"/>
        <v>0</v>
      </c>
      <c r="AQ41" s="72">
        <f>SUM(AQ10:AQ40)</f>
        <v>0</v>
      </c>
      <c r="AR41" s="38">
        <f>SUM(AR10:AR40)</f>
        <v>0</v>
      </c>
      <c r="AS41" s="38">
        <f t="shared" si="20"/>
        <v>0</v>
      </c>
      <c r="AT41" s="72">
        <f>SUM(AT10:AT40)</f>
        <v>0</v>
      </c>
      <c r="AU41" s="72">
        <f>SUM(AU10:AU40)</f>
        <v>0</v>
      </c>
      <c r="AV41" s="38">
        <f t="shared" si="21"/>
        <v>0</v>
      </c>
      <c r="AW41" s="72">
        <f>SUM(AW10:AW40)</f>
        <v>1581888</v>
      </c>
      <c r="AX41" s="38">
        <f>SUM(AX10:AX40)</f>
        <v>143970.82000000004</v>
      </c>
      <c r="AY41" s="1904">
        <f>IFERROR(SUM(AW10:AW40)/SUM(AX10:AX40),0)</f>
        <v>10.98755984025096</v>
      </c>
      <c r="AZ41" s="72">
        <f>SUM(AZ10:AZ40)</f>
        <v>0</v>
      </c>
      <c r="BA41" s="72">
        <f>SUM(BA10:BA40)</f>
        <v>0</v>
      </c>
      <c r="BB41" s="38">
        <f>IFERROR(SUM(AZ10:AZ40)/SUM(BA10:BA40),0)</f>
        <v>0</v>
      </c>
      <c r="BC41" s="72">
        <f>SUM(BC10:BC40)</f>
        <v>1264188</v>
      </c>
      <c r="BD41" s="865">
        <f>SUM(BD10:BD40)</f>
        <v>79174.05</v>
      </c>
      <c r="BE41" s="1904">
        <f>IFERROR(SUM(BC10:BC40)/SUM(BD10:BD40),0)</f>
        <v>15.967201374692843</v>
      </c>
      <c r="BF41" s="72">
        <f>SUM(BF10:BF40)</f>
        <v>0</v>
      </c>
      <c r="BG41" s="38">
        <f>SUM(BG10:BG40)</f>
        <v>0</v>
      </c>
      <c r="BH41" s="38">
        <f>IFERROR(SUM(BF10:BF40)/SUM(BG10:BG40),0)</f>
        <v>0</v>
      </c>
      <c r="BI41" s="72">
        <f>SUM(BI10:BI40)</f>
        <v>0</v>
      </c>
      <c r="BJ41" s="38">
        <f>SUM(BJ10:BJ40)</f>
        <v>0</v>
      </c>
      <c r="BK41" s="38">
        <f>IFERROR(SUM(BI10:BI40)/SUM(BJ10:BJ40),0)</f>
        <v>0</v>
      </c>
      <c r="BL41" s="72">
        <f>SUM(BL10:BL40)</f>
        <v>1150420</v>
      </c>
      <c r="BM41" s="1743">
        <f>SUM(BM10:BM40)</f>
        <v>60413.75</v>
      </c>
      <c r="BN41" s="72">
        <f>SUM(BN10:BN40)</f>
        <v>0</v>
      </c>
      <c r="BO41" s="1904">
        <f>IFERROR(SUM(BL10:BL40)/SUM(BM10:BM40),0)</f>
        <v>19.042353768802631</v>
      </c>
      <c r="BP41" s="72">
        <f>SUM(BP10:BP40)</f>
        <v>104890</v>
      </c>
      <c r="BQ41" s="38">
        <f>SUM(BQ10:BQ40)</f>
        <v>2405.54</v>
      </c>
      <c r="BR41" s="38">
        <f>IFERROR(SUM(BP10:BP40)/SUM(BQ10:BQ40),0)</f>
        <v>43.603515219036062</v>
      </c>
      <c r="BS41" s="72">
        <f>SUM(BS10:BS40)</f>
        <v>0</v>
      </c>
      <c r="BT41" s="38">
        <f>SUM(BT10:BT40)</f>
        <v>0</v>
      </c>
      <c r="BU41" s="38">
        <f>IFERROR(SUM(BS10:BS40)/SUM(BT10:BT40),0)</f>
        <v>0</v>
      </c>
      <c r="BV41" s="72">
        <f>SUM(BV10:BV40)</f>
        <v>675511</v>
      </c>
      <c r="BW41" s="72">
        <f>SUM(BW10:BW40)</f>
        <v>80020</v>
      </c>
      <c r="BX41" s="1904">
        <f>IFERROR(SUM(BV10:BV40)/SUM(BW10:BW40),0)</f>
        <v>8.4417770557360665</v>
      </c>
      <c r="BY41" s="72">
        <f>SUM(BY10:BY40)</f>
        <v>0</v>
      </c>
      <c r="BZ41" s="72">
        <f>SUM(BZ10:BZ40)</f>
        <v>0</v>
      </c>
      <c r="CA41" s="38">
        <f t="shared" si="30"/>
        <v>0</v>
      </c>
      <c r="CB41" s="72">
        <f>SUM(CB10:CB40)</f>
        <v>0</v>
      </c>
      <c r="CC41" s="72">
        <f>SUM(CC10:CC40)</f>
        <v>0</v>
      </c>
      <c r="CD41" s="38">
        <f t="shared" si="31"/>
        <v>0</v>
      </c>
      <c r="CE41" s="72">
        <f>SUM(CE10:CE40)</f>
        <v>0</v>
      </c>
      <c r="CF41" s="278">
        <f>SUM(CF10:CF40)</f>
        <v>0</v>
      </c>
      <c r="CG41" s="38">
        <f t="shared" si="32"/>
        <v>0</v>
      </c>
      <c r="CH41" s="72">
        <f t="shared" ref="CH41:CR41" si="135">SUM(CH10:CH40)</f>
        <v>0</v>
      </c>
      <c r="CI41" s="72">
        <f t="shared" si="135"/>
        <v>6510</v>
      </c>
      <c r="CJ41" s="72">
        <f t="shared" si="135"/>
        <v>0</v>
      </c>
      <c r="CK41" s="72">
        <f t="shared" si="135"/>
        <v>156438</v>
      </c>
      <c r="CL41" s="72">
        <f t="shared" si="135"/>
        <v>0</v>
      </c>
      <c r="CM41" s="72">
        <f t="shared" si="135"/>
        <v>0</v>
      </c>
      <c r="CN41" s="72">
        <f t="shared" si="135"/>
        <v>162948</v>
      </c>
      <c r="CO41" s="72">
        <f t="shared" si="135"/>
        <v>0</v>
      </c>
      <c r="CP41" s="72">
        <f t="shared" si="135"/>
        <v>0</v>
      </c>
      <c r="CQ41" s="72">
        <f t="shared" si="135"/>
        <v>0</v>
      </c>
      <c r="CR41" s="72">
        <f t="shared" si="135"/>
        <v>0</v>
      </c>
      <c r="CS41" s="72"/>
      <c r="CT41" s="72">
        <f>SUM(CT10:CT40)</f>
        <v>0</v>
      </c>
      <c r="CU41" s="72"/>
      <c r="CV41" s="72">
        <f>SUM(CV10:CV40)</f>
        <v>0</v>
      </c>
      <c r="CW41" s="72"/>
      <c r="CX41" s="72">
        <f>SUM(CX10:CX40)</f>
        <v>23858.43</v>
      </c>
      <c r="CY41" s="72"/>
      <c r="CZ41" s="72">
        <f>SUM(CZ10:CZ40)</f>
        <v>295412</v>
      </c>
      <c r="DA41" s="72"/>
      <c r="DB41" s="72">
        <f>SUM(DB10:DB40)</f>
        <v>45341.289999999986</v>
      </c>
      <c r="DC41" s="72"/>
      <c r="DD41" s="72">
        <f>SUM(DD10:DD40)</f>
        <v>365984.16</v>
      </c>
      <c r="DE41" s="72">
        <f>SUM(DE10:DE40)</f>
        <v>0</v>
      </c>
      <c r="DF41" s="72">
        <f>SUM(DF10:DF40)</f>
        <v>0</v>
      </c>
      <c r="DG41" s="72"/>
      <c r="DH41" s="72">
        <f>SUM(DH10:DH40)</f>
        <v>0</v>
      </c>
      <c r="DI41" s="72"/>
      <c r="DJ41" s="72">
        <f>SUM(DJ10:DJ40)</f>
        <v>0</v>
      </c>
      <c r="DK41" s="72"/>
      <c r="DL41" s="72">
        <f>SUM(DL10:DL40)</f>
        <v>23858.43</v>
      </c>
      <c r="DM41" s="72"/>
      <c r="DN41" s="72">
        <f t="shared" ref="DN41:DS41" si="136">SUM(DN10:DN40)</f>
        <v>118739.95</v>
      </c>
      <c r="DO41" s="72">
        <f t="shared" si="136"/>
        <v>0</v>
      </c>
      <c r="DP41" s="72">
        <f t="shared" si="136"/>
        <v>0</v>
      </c>
      <c r="DQ41" s="72">
        <f t="shared" si="136"/>
        <v>0</v>
      </c>
      <c r="DR41" s="72">
        <f t="shared" si="136"/>
        <v>142598.38</v>
      </c>
      <c r="DS41" s="72">
        <f t="shared" si="136"/>
        <v>0</v>
      </c>
      <c r="DT41" s="72"/>
      <c r="DU41" s="72">
        <f>SUM(DU10:DU40)</f>
        <v>0</v>
      </c>
      <c r="DV41" s="72"/>
      <c r="DW41" s="72">
        <f>SUM(DW10:DW40)</f>
        <v>0</v>
      </c>
      <c r="DX41" s="72"/>
      <c r="DY41" s="72">
        <f>SUM(DY10:DY40)</f>
        <v>0</v>
      </c>
      <c r="DZ41" s="72"/>
      <c r="EA41" s="72">
        <f>SUM(EA10:EA40)</f>
        <v>105232.05</v>
      </c>
      <c r="EC41" s="72">
        <f>SUM(EC10:EC40)</f>
        <v>36761.29</v>
      </c>
      <c r="ED41" s="72"/>
      <c r="EE41" s="72">
        <f t="shared" ref="EE41:EJ41" si="137">SUM(EE10:EE40)</f>
        <v>141993.34000000003</v>
      </c>
      <c r="EF41" s="72">
        <f t="shared" si="137"/>
        <v>0</v>
      </c>
      <c r="EG41" s="72">
        <f t="shared" si="137"/>
        <v>0</v>
      </c>
      <c r="EH41" s="72">
        <f t="shared" si="137"/>
        <v>0</v>
      </c>
      <c r="EI41" s="72">
        <f t="shared" si="137"/>
        <v>0</v>
      </c>
      <c r="EJ41" s="72">
        <f t="shared" si="137"/>
        <v>0</v>
      </c>
      <c r="EK41" s="72"/>
      <c r="EL41" s="72">
        <f>SUM(EL10:EL40)</f>
        <v>0</v>
      </c>
      <c r="EM41" s="278">
        <f>SUM(EM10:EM40)</f>
        <v>0</v>
      </c>
      <c r="EN41" s="72">
        <f>SUM(EN10:EN40)</f>
        <v>71440</v>
      </c>
      <c r="EO41" s="72"/>
      <c r="EP41" s="72">
        <f>SUM(EP10:EP40)</f>
        <v>8580</v>
      </c>
      <c r="EQ41" s="72"/>
      <c r="ER41" s="72">
        <f>SUM(ER10:ER40)</f>
        <v>80020</v>
      </c>
      <c r="ES41" s="72">
        <f>SUM(ES10:ES40)</f>
        <v>0</v>
      </c>
      <c r="ET41" s="72">
        <f>SUM(ET10:ET40)</f>
        <v>0</v>
      </c>
      <c r="EU41" s="72">
        <f>SUM(EU10:EU40)</f>
        <v>0</v>
      </c>
      <c r="EV41" s="72">
        <f t="shared" ref="EV41:FV41" si="138">SUM(EV10:EV40)</f>
        <v>0</v>
      </c>
      <c r="EW41" s="72">
        <f t="shared" si="138"/>
        <v>0</v>
      </c>
      <c r="EX41" s="72">
        <f t="shared" si="138"/>
        <v>0</v>
      </c>
      <c r="EY41" s="72">
        <f t="shared" si="138"/>
        <v>0</v>
      </c>
      <c r="EZ41" s="72">
        <f t="shared" si="138"/>
        <v>0</v>
      </c>
      <c r="FA41" s="72">
        <f t="shared" si="138"/>
        <v>0</v>
      </c>
      <c r="FB41" s="72">
        <f t="shared" si="138"/>
        <v>0</v>
      </c>
      <c r="FC41" s="72">
        <f t="shared" si="138"/>
        <v>0</v>
      </c>
      <c r="FD41" s="72">
        <f t="shared" si="138"/>
        <v>1315.7799999999997</v>
      </c>
      <c r="FE41" s="72">
        <f t="shared" si="138"/>
        <v>1315.7799999999997</v>
      </c>
      <c r="FF41" s="72">
        <f t="shared" si="138"/>
        <v>0</v>
      </c>
      <c r="FG41" s="72">
        <f t="shared" si="138"/>
        <v>0</v>
      </c>
      <c r="FH41" s="72">
        <f t="shared" si="138"/>
        <v>0</v>
      </c>
      <c r="FI41" s="72">
        <f t="shared" si="138"/>
        <v>0</v>
      </c>
      <c r="FJ41" s="72">
        <f t="shared" si="138"/>
        <v>0</v>
      </c>
      <c r="FK41" s="72">
        <f t="shared" si="138"/>
        <v>0</v>
      </c>
      <c r="FL41" s="72">
        <f t="shared" si="138"/>
        <v>0</v>
      </c>
      <c r="FM41" s="72">
        <f t="shared" si="138"/>
        <v>0</v>
      </c>
      <c r="FN41" s="72">
        <f t="shared" si="138"/>
        <v>0</v>
      </c>
      <c r="FO41" s="72">
        <f t="shared" si="138"/>
        <v>0</v>
      </c>
      <c r="FP41" s="72">
        <f t="shared" si="138"/>
        <v>0</v>
      </c>
      <c r="FQ41" s="72">
        <f t="shared" si="138"/>
        <v>0</v>
      </c>
      <c r="FR41" s="72">
        <f t="shared" si="138"/>
        <v>0</v>
      </c>
      <c r="FS41" s="72">
        <f t="shared" si="138"/>
        <v>0</v>
      </c>
      <c r="FT41" s="72">
        <f t="shared" si="138"/>
        <v>0</v>
      </c>
      <c r="FU41" s="72">
        <f t="shared" si="138"/>
        <v>0</v>
      </c>
      <c r="FV41" s="72">
        <f t="shared" si="138"/>
        <v>0</v>
      </c>
      <c r="FW41" s="72"/>
      <c r="FX41" s="72">
        <f>SUM(FX10:FX40)</f>
        <v>0</v>
      </c>
      <c r="FY41" s="72"/>
      <c r="FZ41" s="72">
        <f>SUM(FZ10:FZ40)</f>
        <v>0</v>
      </c>
      <c r="GA41" s="72"/>
      <c r="GB41" s="72">
        <f>SUM(GB10:GB40)</f>
        <v>0</v>
      </c>
      <c r="GC41" s="72"/>
      <c r="GD41" s="72">
        <f>SUM(GD10:GD40)</f>
        <v>1315.7799999999997</v>
      </c>
      <c r="GF41" s="72">
        <f>SUM(GF10:GF40)</f>
        <v>0</v>
      </c>
      <c r="GG41" s="72"/>
      <c r="GH41" s="72">
        <f t="shared" ref="GH41:HL41" si="139">SUM(GH10:GH40)</f>
        <v>1315.7799999999997</v>
      </c>
      <c r="GI41" s="72">
        <f t="shared" si="139"/>
        <v>0</v>
      </c>
      <c r="GJ41" s="72">
        <f t="shared" si="139"/>
        <v>0</v>
      </c>
      <c r="GK41" s="38">
        <f t="shared" si="139"/>
        <v>68149.930000000008</v>
      </c>
      <c r="GL41" s="63">
        <f t="shared" si="108"/>
        <v>127465.84999999998</v>
      </c>
      <c r="GM41" s="38">
        <f t="shared" si="139"/>
        <v>110090.55999999998</v>
      </c>
      <c r="GN41" s="2104">
        <f t="shared" si="139"/>
        <v>305706.34000000003</v>
      </c>
      <c r="GO41" s="72">
        <f t="shared" si="139"/>
        <v>0</v>
      </c>
      <c r="GP41" s="72">
        <f t="shared" si="139"/>
        <v>0</v>
      </c>
      <c r="GQ41" s="72">
        <f t="shared" si="139"/>
        <v>0</v>
      </c>
      <c r="GR41" s="72">
        <f t="shared" si="139"/>
        <v>0</v>
      </c>
      <c r="GS41" s="38">
        <f>SUM(GS10:GS40)</f>
        <v>0</v>
      </c>
      <c r="GT41" s="38">
        <f t="shared" si="139"/>
        <v>7817.5800000000017</v>
      </c>
      <c r="GU41" s="38">
        <f t="shared" si="139"/>
        <v>137427.93</v>
      </c>
      <c r="GV41" s="72">
        <f t="shared" si="139"/>
        <v>160460.82999999996</v>
      </c>
      <c r="GW41" s="38">
        <f t="shared" si="139"/>
        <v>305706.34000000003</v>
      </c>
      <c r="GX41" s="72">
        <f t="shared" si="139"/>
        <v>0</v>
      </c>
      <c r="GY41" s="38">
        <f t="shared" si="139"/>
        <v>0</v>
      </c>
      <c r="GZ41" s="72">
        <f t="shared" si="139"/>
        <v>0</v>
      </c>
      <c r="HA41" s="72">
        <f t="shared" si="139"/>
        <v>0</v>
      </c>
      <c r="HB41" s="72">
        <f t="shared" si="139"/>
        <v>0</v>
      </c>
      <c r="HC41" s="72">
        <f t="shared" si="139"/>
        <v>0</v>
      </c>
      <c r="HD41" s="72">
        <f t="shared" si="139"/>
        <v>0</v>
      </c>
      <c r="HE41" s="72">
        <f t="shared" si="139"/>
        <v>0</v>
      </c>
      <c r="HF41" s="72">
        <f t="shared" si="139"/>
        <v>0</v>
      </c>
      <c r="HG41" s="38">
        <f t="shared" si="139"/>
        <v>49603.23</v>
      </c>
      <c r="HH41" s="72">
        <f t="shared" si="139"/>
        <v>0</v>
      </c>
      <c r="HI41" s="38">
        <f t="shared" si="139"/>
        <v>10729.119999999997</v>
      </c>
      <c r="HJ41" s="72">
        <f t="shared" si="139"/>
        <v>0</v>
      </c>
      <c r="HK41" s="38">
        <f t="shared" si="139"/>
        <v>7817.5800000000017</v>
      </c>
      <c r="HL41" s="72">
        <f t="shared" si="139"/>
        <v>0</v>
      </c>
      <c r="HM41" s="38">
        <f t="shared" si="120"/>
        <v>68149.929999999993</v>
      </c>
      <c r="HN41" s="38">
        <f t="shared" ref="HN41:IA41" si="140">SUM(HN10:HN40)</f>
        <v>0</v>
      </c>
      <c r="HO41" s="38">
        <f t="shared" si="140"/>
        <v>0</v>
      </c>
      <c r="HP41" s="38">
        <f t="shared" si="140"/>
        <v>0</v>
      </c>
      <c r="HQ41" s="38">
        <f t="shared" si="140"/>
        <v>0</v>
      </c>
      <c r="HR41" s="38">
        <f t="shared" si="140"/>
        <v>0</v>
      </c>
      <c r="HS41" s="38">
        <f t="shared" si="140"/>
        <v>0</v>
      </c>
      <c r="HT41" s="38">
        <f t="shared" si="140"/>
        <v>0</v>
      </c>
      <c r="HU41" s="38">
        <f t="shared" si="140"/>
        <v>0</v>
      </c>
      <c r="HV41" s="38">
        <f t="shared" si="140"/>
        <v>0</v>
      </c>
      <c r="HW41" s="38">
        <f t="shared" si="140"/>
        <v>0</v>
      </c>
      <c r="HX41" s="38">
        <f t="shared" si="140"/>
        <v>0</v>
      </c>
      <c r="HY41" s="38">
        <f t="shared" si="140"/>
        <v>0</v>
      </c>
      <c r="HZ41" s="38">
        <f t="shared" si="140"/>
        <v>0</v>
      </c>
      <c r="IA41" s="38">
        <f t="shared" si="140"/>
        <v>0</v>
      </c>
      <c r="IB41" s="38">
        <f t="shared" si="49"/>
        <v>0</v>
      </c>
      <c r="IC41" s="38">
        <f t="shared" ref="IC41:JN41" si="141">SUM(IC10:IC40)</f>
        <v>0</v>
      </c>
      <c r="ID41" s="38">
        <f t="shared" si="141"/>
        <v>0</v>
      </c>
      <c r="IE41" s="38">
        <f t="shared" si="141"/>
        <v>0</v>
      </c>
      <c r="IF41" s="38">
        <f t="shared" si="141"/>
        <v>0</v>
      </c>
      <c r="IG41" s="38">
        <f t="shared" si="141"/>
        <v>0</v>
      </c>
      <c r="IH41" s="38">
        <f t="shared" si="141"/>
        <v>0</v>
      </c>
      <c r="II41" s="38">
        <f t="shared" si="141"/>
        <v>20668.059999999998</v>
      </c>
      <c r="IJ41" s="38">
        <f t="shared" si="141"/>
        <v>0</v>
      </c>
      <c r="IK41" s="38">
        <f t="shared" si="141"/>
        <v>105412.18999999999</v>
      </c>
      <c r="IL41" s="38">
        <f t="shared" si="141"/>
        <v>0</v>
      </c>
      <c r="IM41" s="38">
        <f t="shared" si="141"/>
        <v>0</v>
      </c>
      <c r="IN41" s="72">
        <f t="shared" si="141"/>
        <v>0</v>
      </c>
      <c r="IO41" s="72">
        <f t="shared" si="141"/>
        <v>0</v>
      </c>
      <c r="IP41" s="72">
        <f t="shared" si="141"/>
        <v>1385.5999999999997</v>
      </c>
      <c r="IQ41" s="38">
        <f t="shared" si="141"/>
        <v>127465.84999999998</v>
      </c>
      <c r="IR41" s="72">
        <f t="shared" si="141"/>
        <v>0</v>
      </c>
      <c r="IS41" s="72">
        <f t="shared" si="141"/>
        <v>0</v>
      </c>
      <c r="IT41" s="72">
        <f t="shared" si="141"/>
        <v>0</v>
      </c>
      <c r="IU41" s="72">
        <f t="shared" si="141"/>
        <v>0</v>
      </c>
      <c r="IV41" s="38">
        <f t="shared" si="141"/>
        <v>0</v>
      </c>
      <c r="IW41" s="72">
        <f t="shared" si="141"/>
        <v>0</v>
      </c>
      <c r="IX41" s="72">
        <f t="shared" si="141"/>
        <v>0</v>
      </c>
      <c r="IY41" s="72">
        <f t="shared" si="141"/>
        <v>0</v>
      </c>
      <c r="IZ41" s="38">
        <f t="shared" si="141"/>
        <v>87254.839999999982</v>
      </c>
      <c r="JA41" s="72">
        <f t="shared" si="141"/>
        <v>0</v>
      </c>
      <c r="JB41" s="38">
        <f t="shared" si="141"/>
        <v>22835.72</v>
      </c>
      <c r="JC41" s="72">
        <f t="shared" si="141"/>
        <v>0</v>
      </c>
      <c r="JD41" s="72">
        <f t="shared" si="141"/>
        <v>0</v>
      </c>
      <c r="JE41" s="72">
        <f t="shared" si="141"/>
        <v>0</v>
      </c>
      <c r="JF41" s="38">
        <f t="shared" si="141"/>
        <v>110090.55999999998</v>
      </c>
      <c r="JG41" s="72">
        <f t="shared" si="141"/>
        <v>0</v>
      </c>
      <c r="JH41" s="72">
        <f t="shared" si="141"/>
        <v>0</v>
      </c>
      <c r="JI41" s="2104">
        <f>SUM(JI10:JI40)</f>
        <v>205687.78000000003</v>
      </c>
      <c r="JJ41" s="2104">
        <f t="shared" si="141"/>
        <v>100018.56</v>
      </c>
      <c r="JK41" s="72">
        <f t="shared" si="141"/>
        <v>0</v>
      </c>
      <c r="JL41" s="2445">
        <f t="shared" si="141"/>
        <v>305706.33999999997</v>
      </c>
      <c r="JM41" s="72">
        <f t="shared" si="141"/>
        <v>0</v>
      </c>
      <c r="JN41" s="72">
        <f t="shared" si="141"/>
        <v>0</v>
      </c>
      <c r="JO41" s="305">
        <f t="shared" ref="JO41:JV41" si="142">IFERROR(SUM(JO10:JO40)/SUM($JO$10:$JV$40),"")</f>
        <v>0</v>
      </c>
      <c r="JP41" s="305">
        <f t="shared" si="142"/>
        <v>0</v>
      </c>
      <c r="JQ41" s="305">
        <f t="shared" si="142"/>
        <v>0</v>
      </c>
      <c r="JR41" s="305">
        <f t="shared" si="142"/>
        <v>4.2194570699344031E-4</v>
      </c>
      <c r="JS41" s="305">
        <f t="shared" si="142"/>
        <v>0.978763628315378</v>
      </c>
      <c r="JT41" s="305">
        <f t="shared" si="142"/>
        <v>4.2756505484485693E-4</v>
      </c>
      <c r="JU41" s="305">
        <f t="shared" si="142"/>
        <v>2.0386860922783887E-2</v>
      </c>
      <c r="JV41" s="305">
        <f t="shared" si="142"/>
        <v>0</v>
      </c>
      <c r="JW41" s="305">
        <f t="shared" ref="JW41:KL41" si="143">IFERROR(SUM(JW10:JW40)/SUM($JW$10:$KD$40),"")</f>
        <v>0</v>
      </c>
      <c r="JX41" s="305">
        <f t="shared" si="143"/>
        <v>0</v>
      </c>
      <c r="JY41" s="305">
        <f t="shared" si="143"/>
        <v>0</v>
      </c>
      <c r="JZ41" s="305">
        <f t="shared" si="143"/>
        <v>0.21491920427577643</v>
      </c>
      <c r="KA41" s="305">
        <f t="shared" si="143"/>
        <v>0.42527627743814644</v>
      </c>
      <c r="KB41" s="305">
        <f t="shared" si="143"/>
        <v>0.32338882434072641</v>
      </c>
      <c r="KC41" s="305">
        <f t="shared" si="143"/>
        <v>3.6415693945350776E-2</v>
      </c>
      <c r="KD41" s="305">
        <f t="shared" si="143"/>
        <v>0</v>
      </c>
      <c r="KE41" s="38">
        <f t="shared" si="143"/>
        <v>0</v>
      </c>
      <c r="KF41" s="38">
        <f t="shared" si="143"/>
        <v>0</v>
      </c>
      <c r="KG41" s="38">
        <f t="shared" si="143"/>
        <v>0</v>
      </c>
      <c r="KH41" s="38">
        <f t="shared" si="143"/>
        <v>0</v>
      </c>
      <c r="KI41" s="38">
        <f t="shared" si="143"/>
        <v>0</v>
      </c>
      <c r="KJ41" s="38">
        <f t="shared" si="143"/>
        <v>0</v>
      </c>
      <c r="KK41" s="38">
        <f t="shared" si="143"/>
        <v>0</v>
      </c>
      <c r="KL41" s="38">
        <f t="shared" si="143"/>
        <v>0</v>
      </c>
      <c r="KM41" s="72">
        <f>SUM(KM10:KM40)</f>
        <v>0</v>
      </c>
      <c r="KN41" s="72">
        <f>SUM(KN10:KN40)</f>
        <v>0</v>
      </c>
      <c r="KO41" s="72">
        <f>IFERROR(SUMPRODUCT((KO10:KO40&lt;&gt;"")*KO10:KO40,$JI$10:$JI$40)/SUMIFS($JI$10:$JI$40,KO10:KO40,"&gt;"&amp;0),0)</f>
        <v>7108.9606814956769</v>
      </c>
      <c r="KP41" s="1904">
        <f>IFERROR(SUMPRODUCT((KP10:KP40&lt;&gt;"")*KP10:KP40,$JI$10:$JI$40)/SUMIFS($JI$10:$JI$40,KP10:KP40,"&gt;"&amp;0),0)</f>
        <v>0.73857517393195216</v>
      </c>
      <c r="KQ41" s="38">
        <f>IFERROR(SUMPRODUCT((KQ10:KQ40&lt;&gt;"")*KQ10:KQ40,$JI$10:$JI$40)/SUMIFS($JI$10:$JI$40,KQ10:KQ40,"&gt;"&amp;0),0)</f>
        <v>3.8440977912637857</v>
      </c>
      <c r="KR41" s="38">
        <f>IFERROR(SUMPRODUCT((KR10:KR40&lt;&gt;"")*KR10:KR40,$JI$10:$JI$40)/SUMIFS($JI$10:$JI$40,KR10:KR40,"&gt;"&amp;0),0)</f>
        <v>6.1657463053149755</v>
      </c>
      <c r="KS41" s="38">
        <f>IFERROR(SUMPRODUCT((KS10:KS40&lt;&gt;"")*KS10:KS40,$JI$10:$JI$40)/SUMIFS($JI$10:$JI$40,KS10:KS40,"&gt;"&amp;0),0)</f>
        <v>9.5733450129612017</v>
      </c>
      <c r="KT41" s="72">
        <f>IFERROR(SUMPRODUCT((KT10:KT40&lt;&gt;"")*KT10:KT40,$JJ$10:$JJ$40)/SUMIFS($JJ$10:$JJ$40,KT10:KT40,"&gt;"&amp;0),0)</f>
        <v>6895.2437243285895</v>
      </c>
      <c r="KU41" s="1904">
        <f>IFERROR(SUMPRODUCT((KU10:KU40&lt;&gt;"")*KU10:KU40,$JJ$10:$JJ$40)/SUMIFS($JJ$10:$JJ$40,KU10:KU40,"&gt;"&amp;0),0)</f>
        <v>1.7758232285069711</v>
      </c>
      <c r="KV41" s="38">
        <f>IFERROR(SUMPRODUCT((KV10:KV40&lt;&gt;"")*KV10:KV40,$JJ$10:$JJ$40)/SUMIFS($JJ$10:$JJ$40,KV10:KV40,"&gt;"&amp;0),0)</f>
        <v>4.7562453770576578</v>
      </c>
      <c r="KW41" s="38">
        <f>IFERROR(SUMPRODUCT((KW10:KW40&lt;&gt;"")*KW10:KW40,$JJ$10:$JJ$40)/SUMIFS($JJ$10:$JJ$40,KW10:KW40,"&gt;"&amp;0),0)</f>
        <v>6.6558925063353716</v>
      </c>
      <c r="KX41" s="38">
        <f>IFERROR(SUMPRODUCT((KX10:KX40&lt;&gt;"")*KX10:KX40,$JJ$10:$JJ$40)/SUMIFS($JJ$10:$JJ$40,KX10:KX40,"&gt;"&amp;0),0)</f>
        <v>9.6136861884146505</v>
      </c>
      <c r="KY41" s="72">
        <f>IFERROR(SUMPRODUCT((KY10:KY40&lt;&gt;"")*KY10:KY40,$JK$10:$JK$40)/SUMIFS($JK$10:$JK$40,KY10:KY40,"&gt;"&amp;0),0)</f>
        <v>0</v>
      </c>
      <c r="KZ41" s="38">
        <f>IFERROR(SUMPRODUCT((KZ10:KZ40&lt;&gt;"")*KZ10:KZ40,$JK$10:$JK$40)/SUMIFS($JK$10:$JK$40,KZ10:KZ40,"&gt;"&amp;0),0)</f>
        <v>0</v>
      </c>
      <c r="LA41" s="38">
        <f>IFERROR(SUMPRODUCT((LA10:LA40&lt;&gt;"")*LA10:LA40,$JK$10:$JK$40)/SUMIFS($JK$10:$JK$40,LA10:LA40,"&gt;"&amp;0),0)</f>
        <v>0</v>
      </c>
      <c r="LB41" s="38">
        <f>IFERROR(SUMPRODUCT((LB10:LB40&lt;&gt;"")*LB10:LB40,$JK$10:$JK$40)/SUMIFS($JK$10:$JK$40,LB10:LB40,"&gt;"&amp;0),0)</f>
        <v>0</v>
      </c>
      <c r="LC41" s="38">
        <f>IFERROR(SUMPRODUCT((LC10:LC40&lt;&gt;"")*LC10:LC40,$JK$10:$JK$40)/SUMIFS($JK$10:$JK$40,LC10:LC40,"&gt;"&amp;0),0)</f>
        <v>0</v>
      </c>
      <c r="LD41" s="72"/>
      <c r="LE41" s="72">
        <f t="shared" ref="LE41:LN41" si="144">SUM(LE10:LE40)</f>
        <v>0</v>
      </c>
      <c r="LF41" s="72">
        <f t="shared" si="144"/>
        <v>0</v>
      </c>
      <c r="LG41" s="2104">
        <f t="shared" si="144"/>
        <v>219274.91499999998</v>
      </c>
      <c r="LH41" s="970">
        <f t="shared" si="144"/>
        <v>101371.105</v>
      </c>
      <c r="LI41" s="865">
        <f t="shared" si="144"/>
        <v>0</v>
      </c>
      <c r="LJ41" s="865">
        <f t="shared" si="144"/>
        <v>320646.01999999996</v>
      </c>
      <c r="LK41" s="72">
        <f t="shared" si="144"/>
        <v>44</v>
      </c>
      <c r="LL41" s="72">
        <f t="shared" si="144"/>
        <v>7</v>
      </c>
      <c r="LM41" s="72">
        <f t="shared" si="144"/>
        <v>54</v>
      </c>
      <c r="LN41" s="72">
        <f t="shared" si="144"/>
        <v>0</v>
      </c>
      <c r="LO41" s="72">
        <f>AVERAGE(LO10:LO40)</f>
        <v>2.8241935483870972</v>
      </c>
      <c r="LP41" s="72">
        <f t="shared" ref="LP41:MJ41" si="145">SUM(LP10:LP40)</f>
        <v>0</v>
      </c>
      <c r="LQ41" s="72">
        <f t="shared" si="145"/>
        <v>0</v>
      </c>
      <c r="LR41" s="38">
        <f t="shared" si="145"/>
        <v>140958.97099999999</v>
      </c>
      <c r="LS41" s="72">
        <f t="shared" si="145"/>
        <v>25607.668999999998</v>
      </c>
      <c r="LT41" s="72">
        <f t="shared" si="145"/>
        <v>0</v>
      </c>
      <c r="LU41" s="72">
        <f t="shared" si="145"/>
        <v>0</v>
      </c>
      <c r="LV41" s="72">
        <f t="shared" si="145"/>
        <v>0</v>
      </c>
      <c r="LW41" s="72">
        <f t="shared" si="145"/>
        <v>166566.64000000001</v>
      </c>
      <c r="LX41" s="72">
        <f t="shared" si="145"/>
        <v>78315.944000000003</v>
      </c>
      <c r="LY41" s="72">
        <f t="shared" si="145"/>
        <v>75763.436000000002</v>
      </c>
      <c r="LZ41" s="72">
        <f t="shared" si="145"/>
        <v>0</v>
      </c>
      <c r="MA41" s="72">
        <f t="shared" si="145"/>
        <v>0</v>
      </c>
      <c r="MB41" s="72">
        <f t="shared" si="145"/>
        <v>0</v>
      </c>
      <c r="MC41" s="72">
        <f t="shared" si="145"/>
        <v>154079.38</v>
      </c>
      <c r="MD41" s="72">
        <f t="shared" si="145"/>
        <v>0</v>
      </c>
      <c r="ME41" s="72">
        <f t="shared" si="145"/>
        <v>0</v>
      </c>
      <c r="MF41" s="72">
        <f t="shared" si="145"/>
        <v>0</v>
      </c>
      <c r="MG41" s="72">
        <f t="shared" si="145"/>
        <v>0</v>
      </c>
      <c r="MH41" s="72">
        <f t="shared" si="145"/>
        <v>0</v>
      </c>
      <c r="MI41" s="72">
        <f t="shared" si="145"/>
        <v>0</v>
      </c>
      <c r="MJ41" s="72">
        <f t="shared" si="145"/>
        <v>0</v>
      </c>
      <c r="MK41" s="72"/>
      <c r="ML41" s="72">
        <f>SUM(ML10:ML40)</f>
        <v>0</v>
      </c>
      <c r="MM41" s="72">
        <f>SUM(MM10:MM40)</f>
        <v>0</v>
      </c>
      <c r="MN41" s="72">
        <f>SUM(MN10:MN40)</f>
        <v>0</v>
      </c>
      <c r="MO41" s="72">
        <f>SUM(MO10:MO40)</f>
        <v>0</v>
      </c>
      <c r="MP41" s="72">
        <f>SUM(MP10:MP40)</f>
        <v>0</v>
      </c>
      <c r="MQ41" s="72"/>
      <c r="MR41" s="72">
        <f t="shared" ref="MR41:MW41" si="146">SUM(MR10:MR40)</f>
        <v>0</v>
      </c>
      <c r="MS41" s="72">
        <f t="shared" si="146"/>
        <v>0</v>
      </c>
      <c r="MT41" s="72">
        <f t="shared" si="146"/>
        <v>0</v>
      </c>
      <c r="MU41" s="72">
        <f t="shared" si="146"/>
        <v>0</v>
      </c>
      <c r="MV41" s="72">
        <f t="shared" si="146"/>
        <v>0</v>
      </c>
      <c r="MW41" s="72">
        <f t="shared" si="146"/>
        <v>0</v>
      </c>
      <c r="MX41" s="72">
        <f>+MX40</f>
        <v>179043.95549195667</v>
      </c>
      <c r="MY41" s="72">
        <f>+MY40</f>
        <v>263403.82079257304</v>
      </c>
      <c r="MZ41" s="72">
        <f>+MZ40</f>
        <v>19776.265210117319</v>
      </c>
      <c r="NA41" s="72">
        <f>+NA40</f>
        <v>313396.12760218995</v>
      </c>
      <c r="NB41" s="72">
        <f>+NB40</f>
        <v>0</v>
      </c>
      <c r="NC41" s="1093">
        <f t="shared" ref="NC41:NE42" si="147">NC40</f>
        <v>80904.648968159192</v>
      </c>
      <c r="ND41" s="1656">
        <f t="shared" si="147"/>
        <v>98139.306523797495</v>
      </c>
      <c r="NE41" s="72">
        <f t="shared" si="147"/>
        <v>0</v>
      </c>
      <c r="NF41" s="72">
        <f t="shared" ref="NF41:PG42" si="148">+NF40</f>
        <v>179043.95549195667</v>
      </c>
      <c r="NG41" s="72">
        <f t="shared" si="148"/>
        <v>0</v>
      </c>
      <c r="NH41" s="72">
        <f t="shared" si="148"/>
        <v>0</v>
      </c>
      <c r="NI41" s="72">
        <f t="shared" si="148"/>
        <v>0</v>
      </c>
      <c r="NJ41" s="72">
        <f t="shared" si="148"/>
        <v>0</v>
      </c>
      <c r="NK41" s="72">
        <f t="shared" si="148"/>
        <v>0</v>
      </c>
      <c r="NL41" s="72">
        <f t="shared" si="148"/>
        <v>0</v>
      </c>
      <c r="NM41" s="72">
        <f t="shared" si="148"/>
        <v>0</v>
      </c>
      <c r="NN41" s="278">
        <f t="shared" si="148"/>
        <v>0</v>
      </c>
      <c r="NO41" s="2437">
        <f t="shared" ref="NO41" si="149">+NO40</f>
        <v>38482.420671164167</v>
      </c>
      <c r="NP41" s="72">
        <f t="shared" si="148"/>
        <v>24549.88002237798</v>
      </c>
      <c r="NQ41" s="72">
        <f t="shared" si="148"/>
        <v>8756.5482322711578</v>
      </c>
      <c r="NR41" s="72">
        <f t="shared" si="148"/>
        <v>7984.7313514871812</v>
      </c>
      <c r="NS41" s="72">
        <f t="shared" si="148"/>
        <v>79773.580277300483</v>
      </c>
      <c r="NT41" s="72">
        <f t="shared" si="148"/>
        <v>0</v>
      </c>
      <c r="NU41" s="72">
        <f t="shared" si="148"/>
        <v>0</v>
      </c>
      <c r="NV41" s="72">
        <f t="shared" si="148"/>
        <v>0</v>
      </c>
      <c r="NW41" s="72">
        <f t="shared" si="148"/>
        <v>0</v>
      </c>
      <c r="NX41" s="72">
        <f t="shared" si="148"/>
        <v>0</v>
      </c>
      <c r="NY41" s="72">
        <f t="shared" si="148"/>
        <v>0</v>
      </c>
      <c r="NZ41" s="72">
        <f t="shared" si="148"/>
        <v>13206.95881417883</v>
      </c>
      <c r="OA41" s="72">
        <f t="shared" si="148"/>
        <v>0</v>
      </c>
      <c r="OB41" s="72">
        <f t="shared" si="148"/>
        <v>88924.709365972623</v>
      </c>
      <c r="OC41" s="72">
        <f t="shared" si="148"/>
        <v>0</v>
      </c>
      <c r="OD41" s="72">
        <f t="shared" si="148"/>
        <v>0</v>
      </c>
      <c r="OE41" s="72">
        <f t="shared" si="148"/>
        <v>0</v>
      </c>
      <c r="OF41" s="72">
        <f t="shared" si="148"/>
        <v>102131.66818015145</v>
      </c>
      <c r="OG41" s="72">
        <f t="shared" si="148"/>
        <v>0</v>
      </c>
      <c r="OH41" s="72">
        <f t="shared" si="148"/>
        <v>0</v>
      </c>
      <c r="OI41" s="72">
        <f t="shared" si="148"/>
        <v>0</v>
      </c>
      <c r="OJ41" s="72">
        <f t="shared" si="148"/>
        <v>0</v>
      </c>
      <c r="OK41" s="72">
        <f t="shared" si="148"/>
        <v>0</v>
      </c>
      <c r="OL41" s="72">
        <f t="shared" si="148"/>
        <v>0</v>
      </c>
      <c r="OM41" s="72">
        <f t="shared" si="148"/>
        <v>0</v>
      </c>
      <c r="ON41" s="72">
        <f t="shared" si="148"/>
        <v>0</v>
      </c>
      <c r="OO41" s="72">
        <f t="shared" si="148"/>
        <v>54526.125076326243</v>
      </c>
      <c r="OP41" s="72">
        <f t="shared" si="148"/>
        <v>0</v>
      </c>
      <c r="OQ41" s="72">
        <f t="shared" si="148"/>
        <v>26972.447258794851</v>
      </c>
      <c r="OR41" s="72">
        <f t="shared" si="148"/>
        <v>0</v>
      </c>
      <c r="OS41" s="72">
        <f t="shared" si="148"/>
        <v>81498.572335121091</v>
      </c>
      <c r="OT41" s="72">
        <f t="shared" si="148"/>
        <v>0</v>
      </c>
      <c r="OU41" s="72">
        <f t="shared" si="148"/>
        <v>0</v>
      </c>
      <c r="OV41" s="72">
        <f t="shared" si="148"/>
        <v>0</v>
      </c>
      <c r="OW41" s="72">
        <f t="shared" si="148"/>
        <v>0</v>
      </c>
      <c r="OX41" s="72">
        <f t="shared" si="148"/>
        <v>0</v>
      </c>
      <c r="OY41" s="72">
        <f t="shared" si="148"/>
        <v>0</v>
      </c>
      <c r="OZ41" s="72">
        <f t="shared" si="148"/>
        <v>0</v>
      </c>
      <c r="PA41" s="72">
        <f t="shared" si="148"/>
        <v>0</v>
      </c>
      <c r="PB41" s="72">
        <f t="shared" si="148"/>
        <v>0</v>
      </c>
      <c r="PC41" s="72">
        <f t="shared" si="148"/>
        <v>0</v>
      </c>
      <c r="PD41" s="72">
        <f t="shared" si="148"/>
        <v>0</v>
      </c>
      <c r="PE41" s="72">
        <f t="shared" si="148"/>
        <v>0</v>
      </c>
      <c r="PF41" s="72">
        <f t="shared" si="148"/>
        <v>0</v>
      </c>
      <c r="PG41" s="72">
        <f t="shared" si="148"/>
        <v>0</v>
      </c>
      <c r="PH41" s="72">
        <f t="shared" ref="PH41:PM41" si="150">SUM(PH10:PH40)</f>
        <v>0</v>
      </c>
      <c r="PI41" s="72">
        <f t="shared" si="150"/>
        <v>0</v>
      </c>
      <c r="PJ41" s="341">
        <f t="shared" si="150"/>
        <v>22997.690000000002</v>
      </c>
      <c r="PK41" s="72">
        <f t="shared" si="150"/>
        <v>21532</v>
      </c>
      <c r="PL41" s="72">
        <f t="shared" si="150"/>
        <v>6152</v>
      </c>
      <c r="PM41" s="72">
        <f t="shared" si="150"/>
        <v>7817.5800000000017</v>
      </c>
      <c r="PN41" s="72">
        <f>PN40</f>
        <v>29490.433504658704</v>
      </c>
      <c r="PO41" s="72">
        <f>+PO40</f>
        <v>19776.265210117319</v>
      </c>
      <c r="PP41" s="72">
        <f>SUM(PP10:PP40)</f>
        <v>0</v>
      </c>
      <c r="PQ41" s="72">
        <f>SUM(PQ10:PQ40)</f>
        <v>0</v>
      </c>
      <c r="PR41" s="72">
        <f>SUM(PR10:PR40)</f>
        <v>0</v>
      </c>
      <c r="PS41" s="72">
        <f>SUM(PS10:PS40)</f>
        <v>0</v>
      </c>
      <c r="PT41" s="72">
        <f>SUM(PT10:PT40)</f>
        <v>0</v>
      </c>
      <c r="PU41" s="72"/>
      <c r="PV41" s="72">
        <f>SUM(PV10:PV40)</f>
        <v>0</v>
      </c>
      <c r="PW41" s="341">
        <f>SUM(PW10:PW40)</f>
        <v>1372.44</v>
      </c>
      <c r="PX41" s="72">
        <f>SUM(PX10:PX40)</f>
        <v>0</v>
      </c>
      <c r="PY41" s="72">
        <f>SUM(PY10:PY40)</f>
        <v>1372.44</v>
      </c>
      <c r="PZ41" s="72">
        <f>SUM(PZ10:PZ40)</f>
        <v>22997.690000000002</v>
      </c>
      <c r="QA41" s="72">
        <f>+QA40</f>
        <v>0</v>
      </c>
      <c r="QB41" s="72"/>
      <c r="QC41" s="72"/>
      <c r="QD41" s="72"/>
      <c r="QE41" s="72"/>
      <c r="QF41" s="72"/>
      <c r="QG41" s="72">
        <f>+QG40</f>
        <v>29562.488999999998</v>
      </c>
      <c r="QH41" s="72">
        <f>+QH40</f>
        <v>281613.68180818995</v>
      </c>
      <c r="QI41" s="72">
        <f>+QI40</f>
        <v>2219.9567940000002</v>
      </c>
      <c r="QJ41" s="72">
        <f>+QJ40</f>
        <v>5505.3678056099998</v>
      </c>
      <c r="RR41" s="1091"/>
      <c r="RY41" s="72"/>
      <c r="SA41" s="1089"/>
      <c r="SB41" s="1090"/>
      <c r="SC41" s="1089"/>
      <c r="SD41" s="1089"/>
    </row>
    <row r="42" spans="1:502" s="38" customFormat="1">
      <c r="A42" s="307" t="s">
        <v>207</v>
      </c>
      <c r="B42" s="307"/>
      <c r="C42" s="1068">
        <f>SUM(O42,S42,W42,AA42)</f>
        <v>4534677.9929999998</v>
      </c>
      <c r="D42" s="1068">
        <f>SUM(P42,T42,X42,AB42)</f>
        <v>357371.81819999998</v>
      </c>
      <c r="E42" s="2266">
        <f t="shared" si="7"/>
        <v>12.688963600543921</v>
      </c>
      <c r="F42" s="72"/>
      <c r="G42" s="72"/>
      <c r="H42" s="307">
        <f t="shared" ref="H42:P42" si="151">H41</f>
        <v>31</v>
      </c>
      <c r="I42" s="364">
        <f t="shared" si="151"/>
        <v>14.99</v>
      </c>
      <c r="J42" s="307">
        <f t="shared" si="151"/>
        <v>0</v>
      </c>
      <c r="K42" s="364">
        <f t="shared" si="151"/>
        <v>0</v>
      </c>
      <c r="L42" s="307">
        <f t="shared" si="151"/>
        <v>134.5</v>
      </c>
      <c r="M42" s="364">
        <f t="shared" si="151"/>
        <v>49.97</v>
      </c>
      <c r="N42" s="72">
        <f t="shared" si="151"/>
        <v>0</v>
      </c>
      <c r="O42" s="364">
        <f>AW42+BC42</f>
        <v>2798513.3416999998</v>
      </c>
      <c r="P42" s="364">
        <f t="shared" si="151"/>
        <v>223144.86999999997</v>
      </c>
      <c r="Q42" s="307">
        <f t="shared" si="9"/>
        <v>12.541239875691518</v>
      </c>
      <c r="R42" s="72">
        <f>R41</f>
        <v>0</v>
      </c>
      <c r="S42" s="364">
        <f t="shared" si="10"/>
        <v>1083716.8306000002</v>
      </c>
      <c r="T42" s="364">
        <f>T41</f>
        <v>60413.75</v>
      </c>
      <c r="U42" s="38">
        <f t="shared" si="11"/>
        <v>17.93824800811074</v>
      </c>
      <c r="V42" s="72">
        <f>V41</f>
        <v>0</v>
      </c>
      <c r="W42" s="412">
        <f>BV42</f>
        <v>577453.13669999992</v>
      </c>
      <c r="X42" s="412">
        <f>BW42</f>
        <v>71407.658199999991</v>
      </c>
      <c r="Y42" s="38">
        <f t="shared" si="13"/>
        <v>8.086711583268249</v>
      </c>
      <c r="Z42" s="72">
        <f>Z41</f>
        <v>0</v>
      </c>
      <c r="AA42" s="364">
        <f>BP42</f>
        <v>74994.684000000008</v>
      </c>
      <c r="AB42" s="364">
        <f>AB41</f>
        <v>2405.54</v>
      </c>
      <c r="AC42" s="38">
        <f>AC41</f>
        <v>43.603515219036062</v>
      </c>
      <c r="AD42" s="72"/>
      <c r="AE42" s="412">
        <f>AE41</f>
        <v>0</v>
      </c>
      <c r="AF42" s="412">
        <f>AF41</f>
        <v>0</v>
      </c>
      <c r="AG42" s="38">
        <f t="shared" si="17"/>
        <v>0</v>
      </c>
      <c r="AH42" s="72">
        <f>AH41</f>
        <v>0</v>
      </c>
      <c r="AI42" s="412"/>
      <c r="AJ42" s="412"/>
      <c r="AK42" s="38">
        <f t="shared" si="18"/>
        <v>0</v>
      </c>
      <c r="AL42" s="72">
        <f t="shared" ref="AL42:AR42" si="152">AL41</f>
        <v>0</v>
      </c>
      <c r="AM42" s="72">
        <f t="shared" si="152"/>
        <v>0</v>
      </c>
      <c r="AN42" s="72">
        <f t="shared" si="152"/>
        <v>0</v>
      </c>
      <c r="AO42" s="72">
        <f t="shared" si="152"/>
        <v>0</v>
      </c>
      <c r="AP42" s="72">
        <f t="shared" si="152"/>
        <v>0</v>
      </c>
      <c r="AQ42" s="364">
        <f t="shared" si="152"/>
        <v>0</v>
      </c>
      <c r="AR42" s="1088">
        <f t="shared" si="152"/>
        <v>0</v>
      </c>
      <c r="AS42" s="38">
        <f t="shared" si="20"/>
        <v>0</v>
      </c>
      <c r="AT42" s="364">
        <f t="shared" ref="AT42:BZ42" si="153">AT41</f>
        <v>0</v>
      </c>
      <c r="AU42" s="364">
        <f t="shared" si="153"/>
        <v>0</v>
      </c>
      <c r="AV42" s="72">
        <f t="shared" si="153"/>
        <v>0</v>
      </c>
      <c r="AW42" s="412">
        <v>1594566.2376000001</v>
      </c>
      <c r="AX42" s="1088">
        <f t="shared" si="153"/>
        <v>143970.82000000004</v>
      </c>
      <c r="AY42" s="38">
        <f t="shared" si="153"/>
        <v>10.98755984025096</v>
      </c>
      <c r="AZ42" s="72">
        <f t="shared" si="153"/>
        <v>0</v>
      </c>
      <c r="BA42" s="72">
        <f t="shared" si="153"/>
        <v>0</v>
      </c>
      <c r="BB42" s="72">
        <f t="shared" si="153"/>
        <v>0</v>
      </c>
      <c r="BC42" s="412">
        <v>1203947.1040999999</v>
      </c>
      <c r="BD42" s="364">
        <f t="shared" si="153"/>
        <v>79174.05</v>
      </c>
      <c r="BE42" s="72">
        <f t="shared" si="153"/>
        <v>15.967201374692843</v>
      </c>
      <c r="BF42" s="364">
        <f t="shared" si="153"/>
        <v>0</v>
      </c>
      <c r="BG42" s="364">
        <f t="shared" si="153"/>
        <v>0</v>
      </c>
      <c r="BH42" s="307">
        <f t="shared" si="153"/>
        <v>0</v>
      </c>
      <c r="BI42" s="364">
        <f t="shared" si="153"/>
        <v>0</v>
      </c>
      <c r="BJ42" s="38">
        <f t="shared" si="153"/>
        <v>0</v>
      </c>
      <c r="BK42" s="38">
        <f t="shared" si="153"/>
        <v>0</v>
      </c>
      <c r="BL42" s="412">
        <v>1083716.8306000002</v>
      </c>
      <c r="BM42" s="364">
        <f t="shared" si="153"/>
        <v>60413.75</v>
      </c>
      <c r="BN42" s="364">
        <f>SUM(BN10:BN40)</f>
        <v>0</v>
      </c>
      <c r="BO42" s="72">
        <f t="shared" si="153"/>
        <v>19.042353768802631</v>
      </c>
      <c r="BP42" s="412">
        <v>74994.684000000008</v>
      </c>
      <c r="BQ42" s="307">
        <f t="shared" si="153"/>
        <v>2405.54</v>
      </c>
      <c r="BR42" s="38">
        <f t="shared" si="153"/>
        <v>43.603515219036062</v>
      </c>
      <c r="BS42" s="364">
        <f t="shared" si="153"/>
        <v>0</v>
      </c>
      <c r="BT42" s="307">
        <f t="shared" si="153"/>
        <v>0</v>
      </c>
      <c r="BU42" s="38">
        <f t="shared" si="153"/>
        <v>0</v>
      </c>
      <c r="BV42" s="412">
        <v>577453.13669999992</v>
      </c>
      <c r="BW42" s="412">
        <v>71407.658199999991</v>
      </c>
      <c r="BX42" s="38">
        <f t="shared" si="153"/>
        <v>8.4417770557360665</v>
      </c>
      <c r="BY42" s="364">
        <f t="shared" si="153"/>
        <v>0</v>
      </c>
      <c r="BZ42" s="72">
        <f t="shared" si="153"/>
        <v>0</v>
      </c>
      <c r="CA42" s="38">
        <f t="shared" si="30"/>
        <v>0</v>
      </c>
      <c r="CB42" s="364"/>
      <c r="CC42" s="364">
        <f>CC41</f>
        <v>0</v>
      </c>
      <c r="CD42" s="38">
        <f t="shared" si="31"/>
        <v>0</v>
      </c>
      <c r="CE42" s="364">
        <f>CE41</f>
        <v>0</v>
      </c>
      <c r="CF42" s="364">
        <f>CF41</f>
        <v>0</v>
      </c>
      <c r="CG42" s="38">
        <f>CG41</f>
        <v>0</v>
      </c>
      <c r="CH42" s="72">
        <f>+CH41</f>
        <v>0</v>
      </c>
      <c r="CI42" s="412">
        <v>3634.3038999999999</v>
      </c>
      <c r="CJ42" s="72">
        <f t="shared" ref="CJ42:CO42" si="154">+CJ41</f>
        <v>0</v>
      </c>
      <c r="CK42" s="421">
        <v>134121.39060000001</v>
      </c>
      <c r="CL42" s="72">
        <f t="shared" si="154"/>
        <v>0</v>
      </c>
      <c r="CM42" s="72">
        <f t="shared" si="154"/>
        <v>0</v>
      </c>
      <c r="CN42" s="72">
        <f t="shared" si="154"/>
        <v>162948</v>
      </c>
      <c r="CO42" s="72">
        <f t="shared" si="154"/>
        <v>0</v>
      </c>
      <c r="CP42" s="364"/>
      <c r="CQ42" s="72">
        <f>+CQ41</f>
        <v>0</v>
      </c>
      <c r="CR42" s="72">
        <f>+CR41</f>
        <v>0</v>
      </c>
      <c r="CS42" s="72"/>
      <c r="CT42" s="72">
        <f>+CT41</f>
        <v>0</v>
      </c>
      <c r="CU42" s="72"/>
      <c r="CV42" s="72">
        <f>+CV41</f>
        <v>0</v>
      </c>
      <c r="CW42" s="72"/>
      <c r="CX42" s="72">
        <f>+CX41</f>
        <v>23858.43</v>
      </c>
      <c r="CY42" s="72"/>
      <c r="CZ42" s="72">
        <f>+CZ41</f>
        <v>295412</v>
      </c>
      <c r="DA42" s="72"/>
      <c r="DB42" s="72">
        <f>+DB41</f>
        <v>45341.289999999986</v>
      </c>
      <c r="DC42" s="72"/>
      <c r="DD42" s="72">
        <f>+DD41</f>
        <v>365984.16</v>
      </c>
      <c r="DE42" s="72">
        <f>+DE41</f>
        <v>0</v>
      </c>
      <c r="DF42" s="72">
        <f>+DF41</f>
        <v>0</v>
      </c>
      <c r="DG42" s="72"/>
      <c r="DH42" s="72">
        <f>DH41</f>
        <v>0</v>
      </c>
      <c r="DI42" s="72"/>
      <c r="DJ42" s="72">
        <f>+DJ41</f>
        <v>0</v>
      </c>
      <c r="DK42" s="72"/>
      <c r="DL42" s="72">
        <f>DL41</f>
        <v>23858.43</v>
      </c>
      <c r="DM42" s="72"/>
      <c r="DN42" s="72">
        <f>DN41</f>
        <v>118739.95</v>
      </c>
      <c r="DO42" s="72">
        <f>+DO41</f>
        <v>0</v>
      </c>
      <c r="DP42" s="72">
        <f>+DP41</f>
        <v>0</v>
      </c>
      <c r="DQ42" s="72">
        <f>+DQ41</f>
        <v>0</v>
      </c>
      <c r="DR42" s="1904">
        <f>DR41</f>
        <v>142598.38</v>
      </c>
      <c r="DS42" s="72">
        <f>+DS41</f>
        <v>0</v>
      </c>
      <c r="DT42" s="72"/>
      <c r="DU42" s="72">
        <f>+DU41</f>
        <v>0</v>
      </c>
      <c r="DV42" s="72"/>
      <c r="DW42" s="72">
        <f>+DW41</f>
        <v>0</v>
      </c>
      <c r="DX42" s="72"/>
      <c r="DY42" s="72">
        <f>+DY41</f>
        <v>0</v>
      </c>
      <c r="DZ42" s="72"/>
      <c r="EA42" s="72">
        <f>EA41</f>
        <v>105232.05</v>
      </c>
      <c r="EB42" s="72"/>
      <c r="EC42" s="72">
        <f>EC41</f>
        <v>36761.29</v>
      </c>
      <c r="ED42" s="72"/>
      <c r="EE42" s="72">
        <f>EE41</f>
        <v>141993.34000000003</v>
      </c>
      <c r="EF42" s="72">
        <f>+EF41</f>
        <v>0</v>
      </c>
      <c r="EG42" s="72">
        <f>+EG41</f>
        <v>0</v>
      </c>
      <c r="EH42" s="72">
        <f>+EH41</f>
        <v>0</v>
      </c>
      <c r="EI42" s="72"/>
      <c r="EJ42" s="72">
        <f>+EJ41</f>
        <v>0</v>
      </c>
      <c r="EK42" s="72"/>
      <c r="EL42" s="72">
        <f>+EL41</f>
        <v>0</v>
      </c>
      <c r="EM42" s="72">
        <f>+EM41</f>
        <v>0</v>
      </c>
      <c r="EN42" s="72">
        <f>+EN41</f>
        <v>71440</v>
      </c>
      <c r="EO42" s="72"/>
      <c r="EP42" s="72">
        <f>+EP41</f>
        <v>8580</v>
      </c>
      <c r="EQ42" s="72"/>
      <c r="ER42" s="72">
        <f>+ER41</f>
        <v>80020</v>
      </c>
      <c r="ES42" s="72">
        <f>+ES41</f>
        <v>0</v>
      </c>
      <c r="ET42" s="72">
        <f>+ET41</f>
        <v>0</v>
      </c>
      <c r="EU42" s="72">
        <f>+EU41</f>
        <v>0</v>
      </c>
      <c r="EV42" s="72">
        <f t="shared" ref="EV42:FV42" si="155">+EV41</f>
        <v>0</v>
      </c>
      <c r="EW42" s="72">
        <f t="shared" si="155"/>
        <v>0</v>
      </c>
      <c r="EX42" s="72">
        <f t="shared" si="155"/>
        <v>0</v>
      </c>
      <c r="EY42" s="72">
        <f t="shared" si="155"/>
        <v>0</v>
      </c>
      <c r="EZ42" s="72">
        <f t="shared" si="155"/>
        <v>0</v>
      </c>
      <c r="FA42" s="72">
        <f t="shared" si="155"/>
        <v>0</v>
      </c>
      <c r="FB42" s="72">
        <f t="shared" si="155"/>
        <v>0</v>
      </c>
      <c r="FC42" s="72">
        <f t="shared" si="155"/>
        <v>0</v>
      </c>
      <c r="FD42" s="72">
        <f t="shared" si="155"/>
        <v>1315.7799999999997</v>
      </c>
      <c r="FE42" s="72">
        <f t="shared" si="155"/>
        <v>1315.7799999999997</v>
      </c>
      <c r="FF42" s="72">
        <f t="shared" si="155"/>
        <v>0</v>
      </c>
      <c r="FG42" s="72">
        <f t="shared" si="155"/>
        <v>0</v>
      </c>
      <c r="FH42" s="72">
        <f t="shared" si="155"/>
        <v>0</v>
      </c>
      <c r="FI42" s="72">
        <f t="shared" si="155"/>
        <v>0</v>
      </c>
      <c r="FJ42" s="72">
        <f t="shared" si="155"/>
        <v>0</v>
      </c>
      <c r="FK42" s="72">
        <f t="shared" si="155"/>
        <v>0</v>
      </c>
      <c r="FL42" s="72">
        <f t="shared" si="155"/>
        <v>0</v>
      </c>
      <c r="FM42" s="72">
        <f t="shared" si="155"/>
        <v>0</v>
      </c>
      <c r="FN42" s="72">
        <f t="shared" si="155"/>
        <v>0</v>
      </c>
      <c r="FO42" s="72">
        <f t="shared" si="155"/>
        <v>0</v>
      </c>
      <c r="FP42" s="72">
        <f t="shared" si="155"/>
        <v>0</v>
      </c>
      <c r="FQ42" s="72">
        <f t="shared" si="155"/>
        <v>0</v>
      </c>
      <c r="FR42" s="72">
        <f t="shared" si="155"/>
        <v>0</v>
      </c>
      <c r="FS42" s="72">
        <f t="shared" si="155"/>
        <v>0</v>
      </c>
      <c r="FT42" s="72">
        <f t="shared" si="155"/>
        <v>0</v>
      </c>
      <c r="FU42" s="72">
        <f t="shared" si="155"/>
        <v>0</v>
      </c>
      <c r="FV42" s="72">
        <f t="shared" si="155"/>
        <v>0</v>
      </c>
      <c r="FW42" s="72"/>
      <c r="FX42" s="72">
        <f>+FX41</f>
        <v>0</v>
      </c>
      <c r="FY42" s="72"/>
      <c r="FZ42" s="72">
        <f>+FZ41</f>
        <v>0</v>
      </c>
      <c r="GA42" s="72"/>
      <c r="GB42" s="72">
        <f>+GB41</f>
        <v>0</v>
      </c>
      <c r="GC42" s="72"/>
      <c r="GD42" s="72">
        <f>+GD41</f>
        <v>1315.7799999999997</v>
      </c>
      <c r="GE42" s="72"/>
      <c r="GF42" s="72">
        <f>+GF41</f>
        <v>0</v>
      </c>
      <c r="GG42" s="72"/>
      <c r="GH42" s="72">
        <f t="shared" ref="GH42:HL42" si="156">+GH41</f>
        <v>1315.7799999999997</v>
      </c>
      <c r="GI42" s="72">
        <f t="shared" si="156"/>
        <v>0</v>
      </c>
      <c r="GJ42" s="72">
        <f t="shared" si="156"/>
        <v>0</v>
      </c>
      <c r="GK42" s="72">
        <f t="shared" si="156"/>
        <v>68149.930000000008</v>
      </c>
      <c r="GL42" s="72">
        <f t="shared" si="156"/>
        <v>127465.84999999998</v>
      </c>
      <c r="GM42" s="72">
        <f t="shared" si="156"/>
        <v>110090.55999999998</v>
      </c>
      <c r="GN42" s="2104">
        <f t="shared" si="156"/>
        <v>305706.34000000003</v>
      </c>
      <c r="GO42" s="72">
        <f t="shared" si="156"/>
        <v>0</v>
      </c>
      <c r="GP42" s="72">
        <f t="shared" si="156"/>
        <v>0</v>
      </c>
      <c r="GQ42" s="72">
        <f t="shared" si="156"/>
        <v>0</v>
      </c>
      <c r="GR42" s="72">
        <f t="shared" si="156"/>
        <v>0</v>
      </c>
      <c r="GS42" s="72">
        <f t="shared" si="156"/>
        <v>0</v>
      </c>
      <c r="GT42" s="72">
        <f t="shared" si="156"/>
        <v>7817.5800000000017</v>
      </c>
      <c r="GU42" s="72">
        <f t="shared" si="156"/>
        <v>137427.93</v>
      </c>
      <c r="GV42" s="72">
        <f t="shared" si="156"/>
        <v>160460.82999999996</v>
      </c>
      <c r="GW42" s="72">
        <f t="shared" si="156"/>
        <v>305706.34000000003</v>
      </c>
      <c r="GX42" s="72">
        <f t="shared" si="156"/>
        <v>0</v>
      </c>
      <c r="GY42" s="72">
        <f t="shared" si="156"/>
        <v>0</v>
      </c>
      <c r="GZ42" s="72">
        <f t="shared" si="156"/>
        <v>0</v>
      </c>
      <c r="HA42" s="72">
        <f t="shared" si="156"/>
        <v>0</v>
      </c>
      <c r="HB42" s="72">
        <f t="shared" si="156"/>
        <v>0</v>
      </c>
      <c r="HC42" s="72">
        <f t="shared" si="156"/>
        <v>0</v>
      </c>
      <c r="HD42" s="72">
        <f t="shared" si="156"/>
        <v>0</v>
      </c>
      <c r="HE42" s="72">
        <f t="shared" si="156"/>
        <v>0</v>
      </c>
      <c r="HF42" s="72">
        <f t="shared" si="156"/>
        <v>0</v>
      </c>
      <c r="HG42" s="72">
        <f t="shared" si="156"/>
        <v>49603.23</v>
      </c>
      <c r="HH42" s="72">
        <f t="shared" si="156"/>
        <v>0</v>
      </c>
      <c r="HI42" s="72">
        <f t="shared" si="156"/>
        <v>10729.119999999997</v>
      </c>
      <c r="HJ42" s="72">
        <f t="shared" si="156"/>
        <v>0</v>
      </c>
      <c r="HK42" s="72">
        <f t="shared" si="156"/>
        <v>7817.5800000000017</v>
      </c>
      <c r="HL42" s="72">
        <f t="shared" si="156"/>
        <v>0</v>
      </c>
      <c r="HM42" s="72">
        <f t="shared" si="120"/>
        <v>68149.929999999993</v>
      </c>
      <c r="HN42" s="72">
        <f t="shared" ref="HN42:IA42" si="157">+HN41</f>
        <v>0</v>
      </c>
      <c r="HO42" s="72">
        <f t="shared" si="157"/>
        <v>0</v>
      </c>
      <c r="HP42" s="72">
        <f t="shared" si="157"/>
        <v>0</v>
      </c>
      <c r="HQ42" s="72">
        <f t="shared" si="157"/>
        <v>0</v>
      </c>
      <c r="HR42" s="72">
        <f t="shared" si="157"/>
        <v>0</v>
      </c>
      <c r="HS42" s="72">
        <f t="shared" si="157"/>
        <v>0</v>
      </c>
      <c r="HT42" s="72">
        <f t="shared" si="157"/>
        <v>0</v>
      </c>
      <c r="HU42" s="72">
        <f t="shared" si="157"/>
        <v>0</v>
      </c>
      <c r="HV42" s="72">
        <f t="shared" si="157"/>
        <v>0</v>
      </c>
      <c r="HW42" s="72">
        <f t="shared" si="157"/>
        <v>0</v>
      </c>
      <c r="HX42" s="72">
        <f t="shared" si="157"/>
        <v>0</v>
      </c>
      <c r="HY42" s="72">
        <f t="shared" si="157"/>
        <v>0</v>
      </c>
      <c r="HZ42" s="72">
        <f t="shared" si="157"/>
        <v>0</v>
      </c>
      <c r="IA42" s="72">
        <f t="shared" si="157"/>
        <v>0</v>
      </c>
      <c r="IB42" s="72">
        <f t="shared" si="49"/>
        <v>0</v>
      </c>
      <c r="IC42" s="72">
        <f t="shared" ref="IC42:IP42" si="158">+IC41</f>
        <v>0</v>
      </c>
      <c r="ID42" s="72">
        <f t="shared" si="158"/>
        <v>0</v>
      </c>
      <c r="IE42" s="72">
        <f t="shared" si="158"/>
        <v>0</v>
      </c>
      <c r="IF42" s="72">
        <f t="shared" si="158"/>
        <v>0</v>
      </c>
      <c r="IG42" s="72">
        <f t="shared" si="158"/>
        <v>0</v>
      </c>
      <c r="IH42" s="72">
        <f t="shared" si="158"/>
        <v>0</v>
      </c>
      <c r="II42" s="72">
        <f t="shared" si="158"/>
        <v>20668.059999999998</v>
      </c>
      <c r="IJ42" s="72">
        <f t="shared" si="158"/>
        <v>0</v>
      </c>
      <c r="IK42" s="38">
        <f t="shared" si="158"/>
        <v>105412.18999999999</v>
      </c>
      <c r="IL42" s="72">
        <f t="shared" si="158"/>
        <v>0</v>
      </c>
      <c r="IM42" s="72">
        <f t="shared" si="158"/>
        <v>0</v>
      </c>
      <c r="IN42" s="38">
        <f t="shared" si="158"/>
        <v>0</v>
      </c>
      <c r="IO42" s="72">
        <f t="shared" si="158"/>
        <v>0</v>
      </c>
      <c r="IP42" s="72">
        <f t="shared" si="158"/>
        <v>1385.5999999999997</v>
      </c>
      <c r="IQ42" s="421">
        <f>SUM(IC42:IP42)</f>
        <v>127465.84999999999</v>
      </c>
      <c r="IR42" s="72">
        <f t="shared" ref="IR42:JE42" si="159">+IR41</f>
        <v>0</v>
      </c>
      <c r="IS42" s="72">
        <f t="shared" si="159"/>
        <v>0</v>
      </c>
      <c r="IT42" s="38">
        <f t="shared" si="159"/>
        <v>0</v>
      </c>
      <c r="IU42" s="72">
        <f t="shared" si="159"/>
        <v>0</v>
      </c>
      <c r="IV42" s="38">
        <f t="shared" si="159"/>
        <v>0</v>
      </c>
      <c r="IW42" s="72">
        <f t="shared" si="159"/>
        <v>0</v>
      </c>
      <c r="IX42" s="72">
        <f t="shared" si="159"/>
        <v>0</v>
      </c>
      <c r="IY42" s="72">
        <f t="shared" si="159"/>
        <v>0</v>
      </c>
      <c r="IZ42" s="72">
        <f t="shared" si="159"/>
        <v>87254.839999999982</v>
      </c>
      <c r="JA42" s="72">
        <f t="shared" si="159"/>
        <v>0</v>
      </c>
      <c r="JB42" s="72">
        <f t="shared" si="159"/>
        <v>22835.72</v>
      </c>
      <c r="JC42" s="72">
        <f t="shared" si="159"/>
        <v>0</v>
      </c>
      <c r="JD42" s="72">
        <f t="shared" si="159"/>
        <v>0</v>
      </c>
      <c r="JE42" s="72">
        <f t="shared" si="159"/>
        <v>0</v>
      </c>
      <c r="JF42" s="421">
        <f>SUM(IR42:JE42)</f>
        <v>110090.55999999998</v>
      </c>
      <c r="JG42" s="72">
        <f t="shared" ref="JG42:KN42" si="160">+JG41</f>
        <v>0</v>
      </c>
      <c r="JH42" s="72">
        <f t="shared" si="160"/>
        <v>0</v>
      </c>
      <c r="JI42" s="72">
        <f t="shared" si="160"/>
        <v>205687.78000000003</v>
      </c>
      <c r="JJ42" s="72">
        <f t="shared" si="160"/>
        <v>100018.56</v>
      </c>
      <c r="JK42" s="38">
        <f t="shared" si="160"/>
        <v>0</v>
      </c>
      <c r="JL42" s="72">
        <f t="shared" si="160"/>
        <v>305706.33999999997</v>
      </c>
      <c r="JM42" s="72">
        <f t="shared" si="160"/>
        <v>0</v>
      </c>
      <c r="JN42" s="72">
        <f t="shared" si="160"/>
        <v>0</v>
      </c>
      <c r="JO42" s="305">
        <f t="shared" si="160"/>
        <v>0</v>
      </c>
      <c r="JP42" s="305">
        <f t="shared" si="160"/>
        <v>0</v>
      </c>
      <c r="JQ42" s="305">
        <f t="shared" si="160"/>
        <v>0</v>
      </c>
      <c r="JR42" s="305">
        <f t="shared" si="160"/>
        <v>4.2194570699344031E-4</v>
      </c>
      <c r="JS42" s="305">
        <f t="shared" si="160"/>
        <v>0.978763628315378</v>
      </c>
      <c r="JT42" s="305">
        <f t="shared" si="160"/>
        <v>4.2756505484485693E-4</v>
      </c>
      <c r="JU42" s="305">
        <f t="shared" si="160"/>
        <v>2.0386860922783887E-2</v>
      </c>
      <c r="JV42" s="305">
        <f t="shared" si="160"/>
        <v>0</v>
      </c>
      <c r="JW42" s="305">
        <f t="shared" si="160"/>
        <v>0</v>
      </c>
      <c r="JX42" s="305">
        <f t="shared" si="160"/>
        <v>0</v>
      </c>
      <c r="JY42" s="305">
        <f t="shared" si="160"/>
        <v>0</v>
      </c>
      <c r="JZ42" s="305">
        <f t="shared" si="160"/>
        <v>0.21491920427577643</v>
      </c>
      <c r="KA42" s="305">
        <f t="shared" si="160"/>
        <v>0.42527627743814644</v>
      </c>
      <c r="KB42" s="305">
        <f t="shared" si="160"/>
        <v>0.32338882434072641</v>
      </c>
      <c r="KC42" s="305">
        <f t="shared" si="160"/>
        <v>3.6415693945350776E-2</v>
      </c>
      <c r="KD42" s="305">
        <f t="shared" si="160"/>
        <v>0</v>
      </c>
      <c r="KE42" s="38">
        <f t="shared" si="160"/>
        <v>0</v>
      </c>
      <c r="KF42" s="38">
        <f t="shared" si="160"/>
        <v>0</v>
      </c>
      <c r="KG42" s="38">
        <f t="shared" si="160"/>
        <v>0</v>
      </c>
      <c r="KH42" s="38">
        <f t="shared" si="160"/>
        <v>0</v>
      </c>
      <c r="KI42" s="38">
        <f t="shared" si="160"/>
        <v>0</v>
      </c>
      <c r="KJ42" s="38">
        <f t="shared" si="160"/>
        <v>0</v>
      </c>
      <c r="KK42" s="38">
        <f t="shared" si="160"/>
        <v>0</v>
      </c>
      <c r="KL42" s="38">
        <f t="shared" si="160"/>
        <v>0</v>
      </c>
      <c r="KM42" s="72">
        <f t="shared" si="160"/>
        <v>0</v>
      </c>
      <c r="KN42" s="72">
        <f t="shared" si="160"/>
        <v>0</v>
      </c>
      <c r="KO42" s="72">
        <f t="shared" ref="KO42:LC42" si="161">KO41</f>
        <v>7108.9606814956769</v>
      </c>
      <c r="KP42" s="1904">
        <f t="shared" si="161"/>
        <v>0.73857517393195216</v>
      </c>
      <c r="KQ42" s="38">
        <f t="shared" si="161"/>
        <v>3.8440977912637857</v>
      </c>
      <c r="KR42" s="38">
        <f t="shared" si="161"/>
        <v>6.1657463053149755</v>
      </c>
      <c r="KS42" s="38">
        <f t="shared" si="161"/>
        <v>9.5733450129612017</v>
      </c>
      <c r="KT42" s="72">
        <f t="shared" si="161"/>
        <v>6895.2437243285895</v>
      </c>
      <c r="KU42" s="1904">
        <f t="shared" si="161"/>
        <v>1.7758232285069711</v>
      </c>
      <c r="KV42" s="38">
        <f t="shared" si="161"/>
        <v>4.7562453770576578</v>
      </c>
      <c r="KW42" s="38">
        <f t="shared" si="161"/>
        <v>6.6558925063353716</v>
      </c>
      <c r="KX42" s="38">
        <f t="shared" si="161"/>
        <v>9.6136861884146505</v>
      </c>
      <c r="KY42" s="72">
        <f t="shared" si="161"/>
        <v>0</v>
      </c>
      <c r="KZ42" s="38">
        <f t="shared" si="161"/>
        <v>0</v>
      </c>
      <c r="LA42" s="38">
        <f t="shared" si="161"/>
        <v>0</v>
      </c>
      <c r="LB42" s="38">
        <f t="shared" si="161"/>
        <v>0</v>
      </c>
      <c r="LC42" s="38">
        <f t="shared" si="161"/>
        <v>0</v>
      </c>
      <c r="LD42" s="72"/>
      <c r="LE42" s="72">
        <f t="shared" ref="LE42:MJ42" si="162">+LE41</f>
        <v>0</v>
      </c>
      <c r="LF42" s="72">
        <f t="shared" si="162"/>
        <v>0</v>
      </c>
      <c r="LG42" s="865">
        <f t="shared" si="162"/>
        <v>219274.91499999998</v>
      </c>
      <c r="LH42" s="865">
        <f t="shared" si="162"/>
        <v>101371.105</v>
      </c>
      <c r="LI42" s="865">
        <f t="shared" si="162"/>
        <v>0</v>
      </c>
      <c r="LJ42" s="865">
        <f t="shared" si="162"/>
        <v>320646.01999999996</v>
      </c>
      <c r="LK42" s="72">
        <f t="shared" si="162"/>
        <v>44</v>
      </c>
      <c r="LL42" s="72">
        <f t="shared" si="162"/>
        <v>7</v>
      </c>
      <c r="LM42" s="72">
        <f t="shared" si="162"/>
        <v>54</v>
      </c>
      <c r="LN42" s="72">
        <f t="shared" si="162"/>
        <v>0</v>
      </c>
      <c r="LO42" s="72">
        <f t="shared" si="162"/>
        <v>2.8241935483870972</v>
      </c>
      <c r="LP42" s="72">
        <f t="shared" si="162"/>
        <v>0</v>
      </c>
      <c r="LQ42" s="72">
        <f t="shared" si="162"/>
        <v>0</v>
      </c>
      <c r="LR42" s="72">
        <f t="shared" si="162"/>
        <v>140958.97099999999</v>
      </c>
      <c r="LS42" s="72">
        <f t="shared" si="162"/>
        <v>25607.668999999998</v>
      </c>
      <c r="LT42" s="72">
        <f t="shared" si="162"/>
        <v>0</v>
      </c>
      <c r="LU42" s="72">
        <f t="shared" si="162"/>
        <v>0</v>
      </c>
      <c r="LV42" s="72">
        <f t="shared" si="162"/>
        <v>0</v>
      </c>
      <c r="LW42" s="72">
        <f t="shared" si="162"/>
        <v>166566.64000000001</v>
      </c>
      <c r="LX42" s="72">
        <f t="shared" si="162"/>
        <v>78315.944000000003</v>
      </c>
      <c r="LY42" s="72">
        <f t="shared" si="162"/>
        <v>75763.436000000002</v>
      </c>
      <c r="LZ42" s="72">
        <f t="shared" si="162"/>
        <v>0</v>
      </c>
      <c r="MA42" s="72">
        <f t="shared" si="162"/>
        <v>0</v>
      </c>
      <c r="MB42" s="72">
        <f t="shared" si="162"/>
        <v>0</v>
      </c>
      <c r="MC42" s="72">
        <f t="shared" si="162"/>
        <v>154079.38</v>
      </c>
      <c r="MD42" s="72">
        <f t="shared" si="162"/>
        <v>0</v>
      </c>
      <c r="ME42" s="72">
        <f t="shared" si="162"/>
        <v>0</v>
      </c>
      <c r="MF42" s="72">
        <f t="shared" si="162"/>
        <v>0</v>
      </c>
      <c r="MG42" s="72">
        <f t="shared" si="162"/>
        <v>0</v>
      </c>
      <c r="MH42" s="72">
        <f t="shared" si="162"/>
        <v>0</v>
      </c>
      <c r="MI42" s="72">
        <f t="shared" si="162"/>
        <v>0</v>
      </c>
      <c r="MJ42" s="72">
        <f t="shared" si="162"/>
        <v>0</v>
      </c>
      <c r="MK42" s="72"/>
      <c r="ML42" s="72">
        <f>+ML41</f>
        <v>0</v>
      </c>
      <c r="MM42" s="72">
        <f>+MM41</f>
        <v>0</v>
      </c>
      <c r="MN42" s="72">
        <f>+MN41</f>
        <v>0</v>
      </c>
      <c r="MO42" s="72">
        <f>+MO41</f>
        <v>0</v>
      </c>
      <c r="MP42" s="72">
        <f>+MP41</f>
        <v>0</v>
      </c>
      <c r="MQ42" s="72"/>
      <c r="MR42" s="72">
        <f t="shared" ref="MR42:MW42" si="163">+MR41</f>
        <v>0</v>
      </c>
      <c r="MS42" s="72">
        <f t="shared" si="163"/>
        <v>0</v>
      </c>
      <c r="MT42" s="72">
        <f t="shared" si="163"/>
        <v>0</v>
      </c>
      <c r="MU42" s="72">
        <f t="shared" si="163"/>
        <v>0</v>
      </c>
      <c r="MV42" s="72">
        <f t="shared" si="163"/>
        <v>0</v>
      </c>
      <c r="MW42" s="72">
        <f t="shared" si="163"/>
        <v>0</v>
      </c>
      <c r="MX42" s="364">
        <f>MX41</f>
        <v>179043.95549195667</v>
      </c>
      <c r="MY42" s="364">
        <f>MY41</f>
        <v>263403.82079257304</v>
      </c>
      <c r="MZ42" s="364">
        <f>+MZ41</f>
        <v>19776.265210117319</v>
      </c>
      <c r="NA42" s="364">
        <f>NA41</f>
        <v>313396.12760218995</v>
      </c>
      <c r="NB42" s="72">
        <f>+NB41</f>
        <v>0</v>
      </c>
      <c r="NC42" s="1472">
        <v>85284.4462006783</v>
      </c>
      <c r="ND42" s="1472">
        <v>105446.20071875685</v>
      </c>
      <c r="NE42" s="364">
        <f t="shared" si="147"/>
        <v>0</v>
      </c>
      <c r="NF42" s="364">
        <f>NC42+ND42</f>
        <v>190730.64691943515</v>
      </c>
      <c r="NG42" s="412">
        <f>NG41</f>
        <v>0</v>
      </c>
      <c r="NH42" s="364">
        <f t="shared" ref="NH42:NN42" si="164">NH41</f>
        <v>0</v>
      </c>
      <c r="NI42" s="364">
        <f t="shared" si="164"/>
        <v>0</v>
      </c>
      <c r="NJ42" s="364">
        <f t="shared" si="164"/>
        <v>0</v>
      </c>
      <c r="NK42" s="364">
        <f>NK41</f>
        <v>0</v>
      </c>
      <c r="NL42" s="72">
        <f t="shared" si="164"/>
        <v>0</v>
      </c>
      <c r="NM42" s="364">
        <f>NM41</f>
        <v>0</v>
      </c>
      <c r="NN42" s="364">
        <f t="shared" si="164"/>
        <v>0</v>
      </c>
      <c r="NO42" s="412">
        <v>28923.210605424243</v>
      </c>
      <c r="NP42" s="412">
        <v>24023.830351777149</v>
      </c>
      <c r="NQ42" s="412">
        <v>8756.5482322711578</v>
      </c>
      <c r="NR42" s="421">
        <v>8212.6935664101129</v>
      </c>
      <c r="NS42" s="364">
        <f>SUM(NG42:NR42)</f>
        <v>69916.282755882668</v>
      </c>
      <c r="NT42" s="364">
        <f t="shared" ref="NT42:OJ42" si="165">NT41</f>
        <v>0</v>
      </c>
      <c r="NU42" s="364">
        <f t="shared" si="165"/>
        <v>0</v>
      </c>
      <c r="NV42" s="364">
        <f t="shared" si="165"/>
        <v>0</v>
      </c>
      <c r="NW42" s="364">
        <f t="shared" si="165"/>
        <v>0</v>
      </c>
      <c r="NX42" s="364">
        <f>NX41</f>
        <v>0</v>
      </c>
      <c r="NY42" s="364">
        <f t="shared" si="165"/>
        <v>0</v>
      </c>
      <c r="NZ42" s="412">
        <v>13570.384489662853</v>
      </c>
      <c r="OA42" s="412">
        <f t="shared" si="165"/>
        <v>0</v>
      </c>
      <c r="OB42" s="412">
        <v>80218.059485704172</v>
      </c>
      <c r="OC42" s="364">
        <f t="shared" si="165"/>
        <v>0</v>
      </c>
      <c r="OD42" s="364">
        <f>OD41</f>
        <v>0</v>
      </c>
      <c r="OE42" s="364">
        <f t="shared" si="165"/>
        <v>0</v>
      </c>
      <c r="OF42" s="364">
        <f>NZ42+OB42</f>
        <v>93788.44397536703</v>
      </c>
      <c r="OG42" s="364">
        <v>0</v>
      </c>
      <c r="OH42" s="364">
        <f t="shared" si="165"/>
        <v>0</v>
      </c>
      <c r="OI42" s="364">
        <f t="shared" si="165"/>
        <v>0</v>
      </c>
      <c r="OJ42" s="364">
        <f t="shared" si="165"/>
        <v>0</v>
      </c>
      <c r="OK42" s="364">
        <v>0</v>
      </c>
      <c r="OL42" s="364">
        <f>OL41</f>
        <v>0</v>
      </c>
      <c r="OM42" s="364">
        <v>0</v>
      </c>
      <c r="ON42" s="364">
        <f t="shared" ref="ON42:OR42" si="166">ON41</f>
        <v>0</v>
      </c>
      <c r="OO42" s="412">
        <v>61908.222313713755</v>
      </c>
      <c r="OP42" s="412">
        <f t="shared" si="166"/>
        <v>0</v>
      </c>
      <c r="OQ42" s="412">
        <v>18951.089663725237</v>
      </c>
      <c r="OR42" s="364">
        <f t="shared" si="166"/>
        <v>0</v>
      </c>
      <c r="OS42" s="364">
        <f>OO42+OQ42</f>
        <v>80859.311977438992</v>
      </c>
      <c r="OT42" s="72">
        <f t="shared" si="148"/>
        <v>0</v>
      </c>
      <c r="OU42" s="72">
        <f t="shared" si="148"/>
        <v>0</v>
      </c>
      <c r="OV42" s="72">
        <f t="shared" si="148"/>
        <v>0</v>
      </c>
      <c r="OW42" s="72">
        <f t="shared" si="148"/>
        <v>0</v>
      </c>
      <c r="OX42" s="72">
        <f t="shared" si="148"/>
        <v>0</v>
      </c>
      <c r="OY42" s="72">
        <f t="shared" si="148"/>
        <v>0</v>
      </c>
      <c r="OZ42" s="72">
        <f t="shared" si="148"/>
        <v>0</v>
      </c>
      <c r="PA42" s="72">
        <f t="shared" si="148"/>
        <v>0</v>
      </c>
      <c r="PB42" s="72">
        <f t="shared" si="148"/>
        <v>0</v>
      </c>
      <c r="PC42" s="72">
        <f t="shared" si="148"/>
        <v>0</v>
      </c>
      <c r="PD42" s="72">
        <f t="shared" si="148"/>
        <v>0</v>
      </c>
      <c r="PE42" s="72">
        <f t="shared" si="148"/>
        <v>0</v>
      </c>
      <c r="PF42" s="72">
        <f t="shared" si="148"/>
        <v>0</v>
      </c>
      <c r="PG42" s="72">
        <f t="shared" si="148"/>
        <v>0</v>
      </c>
      <c r="PH42" s="72">
        <f t="shared" ref="PH42:PM42" si="167">+PH41</f>
        <v>0</v>
      </c>
      <c r="PI42" s="72">
        <f t="shared" si="167"/>
        <v>0</v>
      </c>
      <c r="PJ42" s="72">
        <f t="shared" si="167"/>
        <v>22997.690000000002</v>
      </c>
      <c r="PK42" s="72">
        <f t="shared" si="167"/>
        <v>21532</v>
      </c>
      <c r="PL42" s="72">
        <f t="shared" si="167"/>
        <v>6152</v>
      </c>
      <c r="PM42" s="72">
        <f t="shared" si="167"/>
        <v>7817.5800000000017</v>
      </c>
      <c r="PN42" s="421">
        <v>27395.509204532864</v>
      </c>
      <c r="PO42" s="421">
        <v>24116.275697817415</v>
      </c>
      <c r="PP42" s="72">
        <f>+PP41</f>
        <v>0</v>
      </c>
      <c r="PQ42" s="72">
        <f>+PQ41</f>
        <v>0</v>
      </c>
      <c r="PR42" s="72">
        <f>+PR41</f>
        <v>0</v>
      </c>
      <c r="PS42" s="72">
        <f>+PS41</f>
        <v>0</v>
      </c>
      <c r="PT42" s="72"/>
      <c r="PU42" s="72"/>
      <c r="PV42" s="72">
        <f>+PV41</f>
        <v>0</v>
      </c>
      <c r="PW42" s="72">
        <f>PW41</f>
        <v>1372.44</v>
      </c>
      <c r="PX42" s="72">
        <f>+PX41</f>
        <v>0</v>
      </c>
      <c r="PY42" s="72"/>
      <c r="PZ42" s="72">
        <f>+PZ41</f>
        <v>22997.690000000002</v>
      </c>
      <c r="QA42" s="72"/>
      <c r="QB42" s="72"/>
      <c r="QC42" s="72"/>
      <c r="QD42" s="72"/>
      <c r="QE42" s="72"/>
      <c r="QF42" s="72"/>
      <c r="QG42" s="412">
        <v>29562.488999999998</v>
      </c>
      <c r="QH42" s="412">
        <v>306969.56007140432</v>
      </c>
      <c r="QI42" s="1473">
        <v>3720.2888844000004</v>
      </c>
      <c r="QJ42" s="876">
        <f>QJ41</f>
        <v>5505.3678056099998</v>
      </c>
      <c r="RY42" s="72"/>
    </row>
    <row r="43" spans="1:502" s="311" customFormat="1">
      <c r="A43" s="312" t="s">
        <v>12</v>
      </c>
      <c r="B43" s="312"/>
      <c r="C43" s="337">
        <f>SUM(O43,S43,W43,AA43)</f>
        <v>4350000</v>
      </c>
      <c r="D43" s="337">
        <f>SUM(P43,T43,X43,AB43)</f>
        <v>285000</v>
      </c>
      <c r="E43" s="1744">
        <f>IFERROR(C43/D43,0)</f>
        <v>15.263157894736842</v>
      </c>
      <c r="F43" s="309"/>
      <c r="G43" s="309"/>
      <c r="H43" s="308"/>
      <c r="I43" s="308"/>
      <c r="J43" s="308"/>
      <c r="K43" s="308"/>
      <c r="L43" s="308"/>
      <c r="M43" s="308"/>
      <c r="N43" s="308"/>
      <c r="O43" s="337">
        <f>SUM(AW43,BC43)</f>
        <v>2540000</v>
      </c>
      <c r="P43" s="337">
        <f>SUM(AX43,BD43)</f>
        <v>185000</v>
      </c>
      <c r="Q43" s="1084">
        <f t="shared" si="9"/>
        <v>13.72972972972973</v>
      </c>
      <c r="R43" s="308"/>
      <c r="S43" s="1085">
        <f>BL43</f>
        <v>900000</v>
      </c>
      <c r="T43" s="1085">
        <f>BM43</f>
        <v>50000</v>
      </c>
      <c r="U43" s="1083">
        <f t="shared" si="11"/>
        <v>18</v>
      </c>
      <c r="V43" s="308"/>
      <c r="W43" s="337">
        <f>SUM(BV43)</f>
        <v>800000</v>
      </c>
      <c r="X43" s="337">
        <f>SUM(BW43)</f>
        <v>40000</v>
      </c>
      <c r="Y43" s="1084">
        <f t="shared" si="13"/>
        <v>20</v>
      </c>
      <c r="Z43" s="308"/>
      <c r="AA43" s="337">
        <f>BP43</f>
        <v>110000</v>
      </c>
      <c r="AB43" s="337">
        <f>BQ43</f>
        <v>10000</v>
      </c>
      <c r="AC43" s="1084">
        <f>AC42</f>
        <v>43.603515219036062</v>
      </c>
      <c r="AD43" s="337"/>
      <c r="AE43" s="308"/>
      <c r="AF43" s="308"/>
      <c r="AG43" s="309"/>
      <c r="AH43" s="308"/>
      <c r="AI43" s="308">
        <f>BS43</f>
        <v>0</v>
      </c>
      <c r="AJ43" s="308">
        <f>BT43</f>
        <v>0</v>
      </c>
      <c r="AK43" s="309">
        <f t="shared" si="18"/>
        <v>0</v>
      </c>
      <c r="AL43" s="308"/>
      <c r="AM43" s="308"/>
      <c r="AN43" s="308"/>
      <c r="AO43" s="308"/>
      <c r="AP43" s="308">
        <f>IFERROR(AN43/AO43,0)</f>
        <v>0</v>
      </c>
      <c r="AQ43" s="337"/>
      <c r="AR43" s="337"/>
      <c r="AS43" s="309"/>
      <c r="AT43" s="337"/>
      <c r="AU43" s="337"/>
      <c r="AV43" s="309"/>
      <c r="AW43" s="337">
        <v>1440000</v>
      </c>
      <c r="AX43" s="337">
        <v>125000</v>
      </c>
      <c r="AY43" s="1084">
        <f>IFERROR(AW43/AX43,0)</f>
        <v>11.52</v>
      </c>
      <c r="AZ43" s="337"/>
      <c r="BA43" s="337"/>
      <c r="BB43" s="1084"/>
      <c r="BC43" s="337">
        <v>1100000</v>
      </c>
      <c r="BD43" s="337">
        <v>60000</v>
      </c>
      <c r="BE43" s="1084">
        <f>IFERROR(BC43/BD43,0)</f>
        <v>18.333333333333332</v>
      </c>
      <c r="BF43" s="337"/>
      <c r="BG43" s="337"/>
      <c r="BH43" s="309"/>
      <c r="BI43" s="337"/>
      <c r="BJ43" s="308">
        <v>0</v>
      </c>
      <c r="BK43" s="309">
        <f>IFERROR(BI43/BJ43,0)</f>
        <v>0</v>
      </c>
      <c r="BL43" s="337">
        <v>900000</v>
      </c>
      <c r="BM43" s="337">
        <v>50000</v>
      </c>
      <c r="BN43" s="337"/>
      <c r="BO43" s="1084">
        <f>IFERROR(BL43/BM43,0)</f>
        <v>18</v>
      </c>
      <c r="BP43" s="309">
        <v>110000</v>
      </c>
      <c r="BQ43" s="337">
        <v>10000</v>
      </c>
      <c r="BR43" s="309">
        <f>IFERROR(BQ43/#REF!,0)</f>
        <v>0</v>
      </c>
      <c r="BS43" s="337"/>
      <c r="BT43" s="337"/>
      <c r="BU43" s="309">
        <f>IFERROR(BS43/BT43,0)</f>
        <v>0</v>
      </c>
      <c r="BV43" s="337">
        <v>800000</v>
      </c>
      <c r="BW43" s="337">
        <v>40000</v>
      </c>
      <c r="BX43" s="2105">
        <f>IFERROR(BV43/BW43,0)</f>
        <v>20</v>
      </c>
      <c r="BY43" s="337"/>
      <c r="BZ43" s="337"/>
      <c r="CA43" s="1083">
        <f t="shared" si="30"/>
        <v>0</v>
      </c>
      <c r="CB43" s="337"/>
      <c r="CC43" s="337"/>
      <c r="CD43" s="78">
        <f t="shared" si="31"/>
        <v>0</v>
      </c>
      <c r="CE43" s="337"/>
      <c r="CF43" s="308"/>
      <c r="CG43" s="309">
        <f>IFERROR(CE43/CF43,0)</f>
        <v>0</v>
      </c>
      <c r="CH43" s="308"/>
      <c r="CI43" s="337">
        <v>81999.826000000001</v>
      </c>
      <c r="CJ43" s="337"/>
      <c r="CK43" s="308"/>
      <c r="CL43" s="337">
        <v>0</v>
      </c>
      <c r="CM43" s="337"/>
      <c r="CN43" s="337">
        <f>SUM(CI43:CL43)</f>
        <v>81999.826000000001</v>
      </c>
      <c r="CO43" s="308"/>
      <c r="CP43" s="308"/>
      <c r="CQ43" s="308"/>
      <c r="CR43" s="308"/>
      <c r="CS43" s="308"/>
      <c r="CT43" s="308"/>
      <c r="CU43" s="308"/>
      <c r="CV43" s="308"/>
      <c r="CW43" s="308"/>
      <c r="CX43" s="308"/>
      <c r="CY43" s="308"/>
      <c r="CZ43" s="308"/>
      <c r="DA43" s="308"/>
      <c r="DB43" s="308"/>
      <c r="DC43" s="308"/>
      <c r="DD43" s="308"/>
      <c r="DE43" s="308"/>
      <c r="DF43" s="308"/>
      <c r="DG43" s="308"/>
      <c r="DH43" s="308"/>
      <c r="DI43" s="308"/>
      <c r="DJ43" s="308"/>
      <c r="DK43" s="308"/>
      <c r="DL43" s="308"/>
      <c r="DM43" s="308"/>
      <c r="DN43" s="308"/>
      <c r="DO43" s="308"/>
      <c r="DP43" s="308"/>
      <c r="DQ43" s="308"/>
      <c r="DR43" s="308"/>
      <c r="DS43" s="308"/>
      <c r="DT43" s="308"/>
      <c r="DU43" s="308"/>
      <c r="DV43" s="308"/>
      <c r="DW43" s="308"/>
      <c r="DX43" s="308"/>
      <c r="DY43" s="308"/>
      <c r="DZ43" s="308"/>
      <c r="EA43" s="308"/>
      <c r="EB43" s="308"/>
      <c r="EC43" s="308"/>
      <c r="ED43" s="308"/>
      <c r="EE43" s="308"/>
      <c r="EF43" s="308"/>
      <c r="EG43" s="308"/>
      <c r="EH43" s="308"/>
      <c r="EI43" s="308"/>
      <c r="EJ43" s="308"/>
      <c r="EK43" s="308"/>
      <c r="EL43" s="308"/>
      <c r="EM43" s="308"/>
      <c r="EN43" s="308"/>
      <c r="EO43" s="308"/>
      <c r="EP43" s="308"/>
      <c r="EQ43" s="308"/>
      <c r="ER43" s="308"/>
      <c r="ES43" s="308"/>
      <c r="ET43" s="308"/>
      <c r="EU43" s="308"/>
      <c r="EV43" s="308"/>
      <c r="EW43" s="308"/>
      <c r="EX43" s="308"/>
      <c r="EY43" s="308"/>
      <c r="EZ43" s="308"/>
      <c r="FA43" s="308"/>
      <c r="FB43" s="308"/>
      <c r="FC43" s="308"/>
      <c r="FD43" s="308"/>
      <c r="FE43" s="308"/>
      <c r="FF43" s="308"/>
      <c r="FG43" s="308"/>
      <c r="FH43" s="308"/>
      <c r="FI43" s="308"/>
      <c r="FJ43" s="308"/>
      <c r="FK43" s="308"/>
      <c r="FL43" s="308"/>
      <c r="FM43" s="308"/>
      <c r="FN43" s="308"/>
      <c r="FO43" s="308"/>
      <c r="FP43" s="308"/>
      <c r="FQ43" s="308"/>
      <c r="FR43" s="308"/>
      <c r="FS43" s="308"/>
      <c r="FT43" s="308"/>
      <c r="FU43" s="308"/>
      <c r="FV43" s="308"/>
      <c r="FW43" s="308"/>
      <c r="FX43" s="308"/>
      <c r="FY43" s="308"/>
      <c r="FZ43" s="308"/>
      <c r="GA43" s="308"/>
      <c r="GB43" s="308"/>
      <c r="GC43" s="308"/>
      <c r="GD43" s="308"/>
      <c r="GE43" s="308"/>
      <c r="GF43" s="308"/>
      <c r="GG43" s="308"/>
      <c r="GH43" s="308"/>
      <c r="GI43" s="308"/>
      <c r="GJ43" s="308"/>
      <c r="GK43" s="337">
        <v>47257.629025031842</v>
      </c>
      <c r="GL43" s="337">
        <v>93539.985732863599</v>
      </c>
      <c r="GM43" s="337">
        <v>89202.385242104559</v>
      </c>
      <c r="GN43" s="337">
        <f>GL43+GM43+GK43</f>
        <v>230000</v>
      </c>
      <c r="GO43" s="308">
        <v>0</v>
      </c>
      <c r="GP43" s="308">
        <v>0</v>
      </c>
      <c r="GQ43" s="308"/>
      <c r="GR43" s="308"/>
      <c r="GS43" s="308"/>
      <c r="GT43" s="308"/>
      <c r="GU43" s="308"/>
      <c r="GV43" s="308"/>
      <c r="GW43" s="308">
        <f>SUM(GS43:GU43)</f>
        <v>0</v>
      </c>
      <c r="GX43" s="308"/>
      <c r="GY43" s="308"/>
      <c r="GZ43" s="308"/>
      <c r="HA43" s="308"/>
      <c r="HB43" s="308"/>
      <c r="HC43" s="308"/>
      <c r="HD43" s="308"/>
      <c r="HE43" s="308"/>
      <c r="HF43" s="308"/>
      <c r="HG43" s="308"/>
      <c r="HH43" s="308"/>
      <c r="HI43" s="308"/>
      <c r="HJ43" s="308"/>
      <c r="HK43" s="308"/>
      <c r="HL43" s="308"/>
      <c r="HM43" s="308"/>
      <c r="HN43" s="308"/>
      <c r="HO43" s="308"/>
      <c r="HP43" s="308"/>
      <c r="HQ43" s="308"/>
      <c r="HR43" s="308"/>
      <c r="HS43" s="308"/>
      <c r="HT43" s="308"/>
      <c r="HU43" s="308"/>
      <c r="HV43" s="308"/>
      <c r="HW43" s="308"/>
      <c r="HX43" s="308"/>
      <c r="HY43" s="308"/>
      <c r="HZ43" s="308"/>
      <c r="IA43" s="308"/>
      <c r="IB43" s="308"/>
      <c r="IC43" s="308"/>
      <c r="ID43" s="308"/>
      <c r="IE43" s="308"/>
      <c r="IF43" s="308"/>
      <c r="IG43" s="308"/>
      <c r="IH43" s="308"/>
      <c r="II43" s="308"/>
      <c r="IJ43" s="308"/>
      <c r="IK43" s="308"/>
      <c r="IL43" s="308"/>
      <c r="IM43" s="308"/>
      <c r="IN43" s="308"/>
      <c r="IO43" s="308"/>
      <c r="IP43" s="308"/>
      <c r="IQ43" s="478">
        <f>SUM(IC43:IP43)</f>
        <v>0</v>
      </c>
      <c r="IR43" s="308"/>
      <c r="IS43" s="308"/>
      <c r="IT43" s="308"/>
      <c r="IU43" s="308"/>
      <c r="IV43" s="308"/>
      <c r="IW43" s="308"/>
      <c r="IX43" s="308"/>
      <c r="IY43" s="308"/>
      <c r="IZ43" s="308"/>
      <c r="JA43" s="308"/>
      <c r="JB43" s="308"/>
      <c r="JC43" s="308"/>
      <c r="JD43" s="308"/>
      <c r="JE43" s="308"/>
      <c r="JF43" s="308">
        <f>SUM(IR43:JE43)</f>
        <v>0</v>
      </c>
      <c r="JG43" s="308"/>
      <c r="JH43" s="308"/>
      <c r="JI43" s="337">
        <v>140000</v>
      </c>
      <c r="JJ43" s="337">
        <v>90000</v>
      </c>
      <c r="JK43" s="337"/>
      <c r="JL43" s="337">
        <f>SUM(JI43:JK43)</f>
        <v>230000</v>
      </c>
      <c r="JM43" s="308"/>
      <c r="JN43" s="308"/>
      <c r="JO43" s="309"/>
      <c r="JP43" s="309"/>
      <c r="JQ43" s="309"/>
      <c r="JR43" s="309"/>
      <c r="JS43" s="309"/>
      <c r="JT43" s="309"/>
      <c r="JU43" s="309"/>
      <c r="JV43" s="309"/>
      <c r="JW43" s="309"/>
      <c r="JX43" s="309"/>
      <c r="JY43" s="309"/>
      <c r="JZ43" s="309"/>
      <c r="KA43" s="309"/>
      <c r="KB43" s="309"/>
      <c r="KC43" s="309"/>
      <c r="KD43" s="309"/>
      <c r="KE43" s="309">
        <v>0</v>
      </c>
      <c r="KF43" s="309">
        <v>0</v>
      </c>
      <c r="KG43" s="309">
        <v>0</v>
      </c>
      <c r="KH43" s="309">
        <v>0</v>
      </c>
      <c r="KI43" s="309">
        <v>0</v>
      </c>
      <c r="KJ43" s="309">
        <v>0</v>
      </c>
      <c r="KK43" s="309">
        <v>0</v>
      </c>
      <c r="KL43" s="309">
        <v>0</v>
      </c>
      <c r="KM43" s="308"/>
      <c r="KN43" s="308"/>
      <c r="KO43" s="337">
        <v>6864</v>
      </c>
      <c r="KP43" s="2105">
        <v>0.86</v>
      </c>
      <c r="KQ43" s="2105">
        <v>5.38</v>
      </c>
      <c r="KR43" s="2105">
        <v>6.59</v>
      </c>
      <c r="KS43" s="2105">
        <v>10.65</v>
      </c>
      <c r="KT43" s="337">
        <v>6882</v>
      </c>
      <c r="KU43" s="2105">
        <v>1.89</v>
      </c>
      <c r="KV43" s="2105">
        <v>4.1676905989413164</v>
      </c>
      <c r="KW43" s="2105">
        <v>6.8540043000651591</v>
      </c>
      <c r="KX43" s="2105">
        <v>10.766374356623881</v>
      </c>
      <c r="KY43" s="308"/>
      <c r="KZ43" s="309"/>
      <c r="LA43" s="309"/>
      <c r="LB43" s="309"/>
      <c r="LC43" s="309"/>
      <c r="LD43" s="308">
        <v>13.25</v>
      </c>
      <c r="LE43" s="308"/>
      <c r="LF43" s="308"/>
      <c r="LG43" s="337">
        <v>155000</v>
      </c>
      <c r="LH43" s="337">
        <v>85000</v>
      </c>
      <c r="LI43" s="337"/>
      <c r="LJ43" s="337">
        <f>SUM(LG43:LI43)</f>
        <v>240000</v>
      </c>
      <c r="LK43" s="308"/>
      <c r="LL43" s="308"/>
      <c r="LM43" s="308"/>
      <c r="LN43" s="308"/>
      <c r="LO43" s="308"/>
      <c r="LP43" s="308"/>
      <c r="LQ43" s="308"/>
      <c r="LR43" s="308"/>
      <c r="LS43" s="308"/>
      <c r="LT43" s="308"/>
      <c r="LU43" s="308"/>
      <c r="LV43" s="308"/>
      <c r="LW43" s="308"/>
      <c r="LX43" s="308"/>
      <c r="LY43" s="308"/>
      <c r="LZ43" s="308"/>
      <c r="MA43" s="308"/>
      <c r="MB43" s="308"/>
      <c r="MC43" s="308"/>
      <c r="MD43" s="308"/>
      <c r="ME43" s="308"/>
      <c r="MG43" s="308"/>
      <c r="MH43" s="308"/>
      <c r="MI43" s="308"/>
      <c r="MJ43" s="308"/>
      <c r="MK43" s="308"/>
      <c r="ML43" s="308"/>
      <c r="MM43" s="308"/>
      <c r="MN43" s="308"/>
      <c r="MO43" s="308"/>
      <c r="MP43" s="308"/>
      <c r="MQ43" s="308"/>
      <c r="MR43" s="308"/>
      <c r="MS43" s="308"/>
      <c r="MT43" s="308"/>
      <c r="MU43" s="308"/>
      <c r="MV43" s="308"/>
      <c r="MW43" s="308"/>
      <c r="MX43" s="308"/>
      <c r="MY43" s="308"/>
      <c r="MZ43" s="308"/>
      <c r="NA43" s="308"/>
      <c r="NB43" s="308"/>
      <c r="NC43" s="308"/>
      <c r="ND43" s="308"/>
      <c r="NE43" s="308"/>
      <c r="NF43" s="308"/>
      <c r="NG43" s="308"/>
      <c r="NH43" s="308"/>
      <c r="NI43" s="308"/>
      <c r="NJ43" s="308"/>
      <c r="NK43" s="308"/>
      <c r="NL43" s="308"/>
      <c r="NM43" s="308"/>
      <c r="NN43" s="308"/>
      <c r="NO43" s="308"/>
      <c r="NP43" s="308"/>
      <c r="NQ43" s="308"/>
      <c r="NR43" s="308"/>
      <c r="NS43" s="308"/>
      <c r="NT43" s="308"/>
      <c r="NU43" s="308"/>
      <c r="NV43" s="308"/>
      <c r="NW43" s="308"/>
      <c r="NX43" s="308"/>
      <c r="NY43" s="308"/>
      <c r="NZ43" s="308"/>
      <c r="OA43" s="308"/>
      <c r="OB43" s="308"/>
      <c r="OC43" s="308"/>
      <c r="OD43" s="308"/>
      <c r="OE43" s="308"/>
      <c r="OF43" s="308"/>
      <c r="OG43" s="308"/>
      <c r="OH43" s="308"/>
      <c r="OI43" s="308"/>
      <c r="OJ43" s="308"/>
      <c r="OK43" s="308"/>
      <c r="OL43" s="308"/>
      <c r="OM43" s="308"/>
      <c r="ON43" s="308"/>
      <c r="OO43" s="308"/>
      <c r="OP43" s="308"/>
      <c r="OQ43" s="308"/>
      <c r="OR43" s="308"/>
      <c r="OS43" s="308"/>
      <c r="OT43" s="308"/>
      <c r="OU43" s="308"/>
      <c r="OV43" s="308"/>
      <c r="OW43" s="308"/>
      <c r="OX43" s="308"/>
      <c r="OY43" s="308"/>
      <c r="OZ43" s="308"/>
      <c r="PA43" s="308"/>
      <c r="PB43" s="308"/>
      <c r="PC43" s="308"/>
      <c r="PD43" s="308"/>
      <c r="PE43" s="308"/>
      <c r="PF43" s="308"/>
      <c r="PG43" s="308"/>
      <c r="PH43" s="308"/>
      <c r="PI43" s="308"/>
      <c r="PJ43" s="308"/>
      <c r="PK43" s="308"/>
      <c r="PL43" s="308"/>
      <c r="PM43" s="308"/>
      <c r="PN43" s="308"/>
      <c r="PO43" s="308"/>
      <c r="PP43" s="308"/>
      <c r="PQ43" s="308"/>
      <c r="PR43" s="308"/>
      <c r="PS43" s="308"/>
      <c r="PT43" s="308"/>
      <c r="PU43" s="308"/>
      <c r="PV43" s="308"/>
      <c r="PW43" s="308"/>
      <c r="PX43" s="308"/>
      <c r="PY43" s="308"/>
      <c r="PZ43" s="308"/>
      <c r="QA43" s="308"/>
      <c r="QB43" s="308"/>
      <c r="QC43" s="308"/>
      <c r="QD43" s="308"/>
      <c r="QE43" s="308"/>
      <c r="QF43" s="308"/>
      <c r="QG43" s="308"/>
      <c r="RY43" s="1073"/>
    </row>
    <row r="44" spans="1:502">
      <c r="A44" t="s">
        <v>208</v>
      </c>
      <c r="C44" s="38">
        <f>IFERROR(C42/C43,"")</f>
        <v>1.0424547110344826</v>
      </c>
      <c r="D44" s="38">
        <f>IFERROR(D42/D43,"")</f>
        <v>1.2539362042105262</v>
      </c>
      <c r="E44" s="38">
        <f>IFERROR(E42/E43,"")</f>
        <v>0.83134589107011903</v>
      </c>
      <c r="F44" s="38"/>
      <c r="G44" s="38"/>
      <c r="H44" s="38"/>
      <c r="I44" s="38"/>
      <c r="J44" s="38" t="str">
        <f t="shared" ref="J44:T44" si="168">IFERROR(J42/J43,"")</f>
        <v/>
      </c>
      <c r="K44" s="38" t="str">
        <f t="shared" si="168"/>
        <v/>
      </c>
      <c r="L44" s="38" t="str">
        <f t="shared" si="168"/>
        <v/>
      </c>
      <c r="M44" s="38" t="str">
        <f t="shared" si="168"/>
        <v/>
      </c>
      <c r="N44" s="38" t="str">
        <f t="shared" si="168"/>
        <v/>
      </c>
      <c r="O44" s="38">
        <f t="shared" si="168"/>
        <v>1.1017769061811022</v>
      </c>
      <c r="P44" s="38">
        <f t="shared" si="168"/>
        <v>1.2061884864864862</v>
      </c>
      <c r="Q44" s="38">
        <f t="shared" si="168"/>
        <v>0.91343676259957907</v>
      </c>
      <c r="R44" s="38" t="str">
        <f t="shared" si="168"/>
        <v/>
      </c>
      <c r="S44" s="1082">
        <f t="shared" si="168"/>
        <v>1.2041298117777781</v>
      </c>
      <c r="T44" s="38">
        <f t="shared" si="168"/>
        <v>1.208275</v>
      </c>
      <c r="U44" s="1081">
        <f t="shared" si="11"/>
        <v>0.99656933378393009</v>
      </c>
      <c r="V44" s="38" t="str">
        <f t="shared" ref="V44:AA44" si="169">IFERROR(V42/V43,"")</f>
        <v/>
      </c>
      <c r="W44" s="38">
        <f t="shared" si="169"/>
        <v>0.72181642087499986</v>
      </c>
      <c r="X44" s="38">
        <f t="shared" si="169"/>
        <v>1.7851914549999999</v>
      </c>
      <c r="Y44" s="38">
        <f t="shared" si="169"/>
        <v>0.40433557916341245</v>
      </c>
      <c r="Z44" s="38" t="str">
        <f t="shared" si="169"/>
        <v/>
      </c>
      <c r="AA44" s="38">
        <f t="shared" si="169"/>
        <v>0.68176985454545458</v>
      </c>
      <c r="AB44" s="72" t="str">
        <f>BQ44</f>
        <v/>
      </c>
      <c r="AC44" s="38">
        <f>IFERROR(AC42/AC43,"")</f>
        <v>1</v>
      </c>
      <c r="AD44" s="38"/>
      <c r="AE44" s="38" t="str">
        <f t="shared" ref="AE44:BO44" si="170">IFERROR(AE42/AE43,"")</f>
        <v/>
      </c>
      <c r="AF44" s="38" t="str">
        <f t="shared" si="170"/>
        <v/>
      </c>
      <c r="AG44" s="38" t="str">
        <f t="shared" si="170"/>
        <v/>
      </c>
      <c r="AH44" s="38" t="str">
        <f t="shared" si="170"/>
        <v/>
      </c>
      <c r="AI44" s="38" t="str">
        <f t="shared" si="170"/>
        <v/>
      </c>
      <c r="AJ44" s="38" t="str">
        <f t="shared" si="170"/>
        <v/>
      </c>
      <c r="AK44" s="38" t="str">
        <f t="shared" si="170"/>
        <v/>
      </c>
      <c r="AL44" s="38" t="str">
        <f t="shared" si="170"/>
        <v/>
      </c>
      <c r="AM44" s="38" t="str">
        <f t="shared" si="170"/>
        <v/>
      </c>
      <c r="AN44" s="38" t="str">
        <f t="shared" si="170"/>
        <v/>
      </c>
      <c r="AO44" s="38" t="str">
        <f t="shared" si="170"/>
        <v/>
      </c>
      <c r="AP44" s="38" t="str">
        <f t="shared" si="170"/>
        <v/>
      </c>
      <c r="AQ44" s="38" t="str">
        <f t="shared" si="170"/>
        <v/>
      </c>
      <c r="AR44" s="38" t="str">
        <f t="shared" si="170"/>
        <v/>
      </c>
      <c r="AS44" s="38" t="str">
        <f t="shared" si="170"/>
        <v/>
      </c>
      <c r="AT44" s="38" t="str">
        <f t="shared" si="170"/>
        <v/>
      </c>
      <c r="AU44" s="38" t="str">
        <f t="shared" si="170"/>
        <v/>
      </c>
      <c r="AV44" s="38" t="str">
        <f t="shared" si="170"/>
        <v/>
      </c>
      <c r="AW44" s="38">
        <f t="shared" si="170"/>
        <v>1.107337665</v>
      </c>
      <c r="AX44" s="38">
        <f t="shared" si="170"/>
        <v>1.1517665600000002</v>
      </c>
      <c r="AY44" s="38">
        <f t="shared" si="170"/>
        <v>0.95378123613289578</v>
      </c>
      <c r="AZ44" s="38" t="str">
        <f t="shared" si="170"/>
        <v/>
      </c>
      <c r="BA44" s="38" t="str">
        <f t="shared" si="170"/>
        <v/>
      </c>
      <c r="BB44" s="38" t="str">
        <f t="shared" si="170"/>
        <v/>
      </c>
      <c r="BC44" s="38">
        <f t="shared" si="170"/>
        <v>1.0944973673636362</v>
      </c>
      <c r="BD44" s="38">
        <f t="shared" si="170"/>
        <v>1.3195675</v>
      </c>
      <c r="BE44" s="38">
        <f t="shared" si="170"/>
        <v>0.87093825680142789</v>
      </c>
      <c r="BF44" s="38" t="str">
        <f t="shared" si="170"/>
        <v/>
      </c>
      <c r="BG44" s="38" t="str">
        <f t="shared" si="170"/>
        <v/>
      </c>
      <c r="BH44" s="38" t="str">
        <f t="shared" si="170"/>
        <v/>
      </c>
      <c r="BI44" s="38" t="str">
        <f t="shared" si="170"/>
        <v/>
      </c>
      <c r="BJ44" s="38" t="str">
        <f t="shared" si="170"/>
        <v/>
      </c>
      <c r="BK44" s="38" t="str">
        <f t="shared" si="170"/>
        <v/>
      </c>
      <c r="BL44" s="38">
        <f t="shared" si="170"/>
        <v>1.2041298117777781</v>
      </c>
      <c r="BM44" s="38">
        <f t="shared" si="170"/>
        <v>1.208275</v>
      </c>
      <c r="BN44" s="38"/>
      <c r="BO44" s="38">
        <f t="shared" si="170"/>
        <v>1.0579085427112573</v>
      </c>
      <c r="BP44" s="38">
        <f>IFERROR(BP42/BQ43,"")</f>
        <v>7.4994684000000005</v>
      </c>
      <c r="BQ44" s="38" t="str">
        <f>IFERROR(BQ42/#REF!,"")</f>
        <v/>
      </c>
      <c r="BR44" s="38" t="str">
        <f t="shared" ref="BR44:CR44" si="171">IFERROR(BR42/BR43,"")</f>
        <v/>
      </c>
      <c r="BS44" s="38" t="str">
        <f t="shared" si="171"/>
        <v/>
      </c>
      <c r="BT44" s="38" t="str">
        <f t="shared" si="171"/>
        <v/>
      </c>
      <c r="BU44" s="38" t="str">
        <f t="shared" si="171"/>
        <v/>
      </c>
      <c r="BV44" s="38">
        <f t="shared" si="171"/>
        <v>0.72181642087499986</v>
      </c>
      <c r="BW44" s="38">
        <f t="shared" si="171"/>
        <v>1.7851914549999999</v>
      </c>
      <c r="BX44" s="38">
        <f t="shared" si="171"/>
        <v>0.4220888527868033</v>
      </c>
      <c r="BY44" s="38" t="str">
        <f t="shared" si="171"/>
        <v/>
      </c>
      <c r="BZ44" s="38" t="str">
        <f t="shared" si="171"/>
        <v/>
      </c>
      <c r="CA44" s="38" t="str">
        <f t="shared" si="171"/>
        <v/>
      </c>
      <c r="CB44" s="38" t="str">
        <f t="shared" si="171"/>
        <v/>
      </c>
      <c r="CC44" s="38" t="str">
        <f t="shared" si="171"/>
        <v/>
      </c>
      <c r="CD44" s="38" t="str">
        <f t="shared" si="171"/>
        <v/>
      </c>
      <c r="CE44" s="38" t="str">
        <f t="shared" si="171"/>
        <v/>
      </c>
      <c r="CF44" s="38" t="str">
        <f t="shared" si="171"/>
        <v/>
      </c>
      <c r="CG44" s="38" t="str">
        <f t="shared" si="171"/>
        <v/>
      </c>
      <c r="CH44" s="38" t="str">
        <f t="shared" si="171"/>
        <v/>
      </c>
      <c r="CI44" s="38">
        <f t="shared" si="171"/>
        <v>4.4320873315023865E-2</v>
      </c>
      <c r="CJ44" s="38" t="str">
        <f t="shared" si="171"/>
        <v/>
      </c>
      <c r="CK44" s="38" t="str">
        <f t="shared" si="171"/>
        <v/>
      </c>
      <c r="CL44" s="38" t="str">
        <f t="shared" si="171"/>
        <v/>
      </c>
      <c r="CM44" s="38" t="str">
        <f t="shared" si="171"/>
        <v/>
      </c>
      <c r="CN44" s="38">
        <f t="shared" si="171"/>
        <v>1.9871749483956223</v>
      </c>
      <c r="CO44" s="38" t="str">
        <f t="shared" si="171"/>
        <v/>
      </c>
      <c r="CP44" s="38" t="str">
        <f t="shared" si="171"/>
        <v/>
      </c>
      <c r="CQ44" s="38" t="str">
        <f t="shared" si="171"/>
        <v/>
      </c>
      <c r="CR44" s="38" t="str">
        <f t="shared" si="171"/>
        <v/>
      </c>
      <c r="CS44" s="38"/>
      <c r="CT44" s="38" t="str">
        <f>IFERROR(CT42/CT43,"")</f>
        <v/>
      </c>
      <c r="CU44" s="38"/>
      <c r="CV44" s="38" t="str">
        <f>IFERROR(CV42/CV43,"")</f>
        <v/>
      </c>
      <c r="CW44" s="38"/>
      <c r="CX44" s="38" t="str">
        <f>IFERROR(CX42/CX43,"")</f>
        <v/>
      </c>
      <c r="CY44" s="38"/>
      <c r="CZ44" s="38" t="str">
        <f>IFERROR(CZ42/CZ43,"")</f>
        <v/>
      </c>
      <c r="DA44" s="38"/>
      <c r="DB44" s="38" t="str">
        <f>IFERROR(DB42/DB43,"")</f>
        <v/>
      </c>
      <c r="DC44" s="38"/>
      <c r="DD44" s="38" t="str">
        <f>IFERROR(DD42/DD43,"")</f>
        <v/>
      </c>
      <c r="DE44" s="38" t="str">
        <f>IFERROR(DE42/DE43,"")</f>
        <v/>
      </c>
      <c r="DF44" s="38" t="str">
        <f>IFERROR(DF42/DF43,"")</f>
        <v/>
      </c>
      <c r="DG44" s="38"/>
      <c r="DH44" s="38" t="str">
        <f>IFERROR(DH42/DH43,"")</f>
        <v/>
      </c>
      <c r="DI44" s="38"/>
      <c r="DJ44" s="38" t="str">
        <f>IFERROR(DJ42/DJ43,"")</f>
        <v/>
      </c>
      <c r="DK44" s="38"/>
      <c r="DL44" s="38" t="str">
        <f>IFERROR(DL42/DL43,"")</f>
        <v/>
      </c>
      <c r="DM44" s="38"/>
      <c r="DN44" s="38" t="str">
        <f>IFERROR(DN42/DN43,"")</f>
        <v/>
      </c>
      <c r="DO44" s="38"/>
      <c r="DP44" s="38" t="str">
        <f>IFERROR(DP42/DP43,"")</f>
        <v/>
      </c>
      <c r="DQ44" s="38"/>
      <c r="DR44" s="38" t="str">
        <f>IFERROR(DR42/DR43,"")</f>
        <v/>
      </c>
      <c r="DS44" s="38" t="str">
        <f>IFERROR(DS42/DS43,"")</f>
        <v/>
      </c>
      <c r="DT44" s="38"/>
      <c r="DU44" s="38" t="str">
        <f>IFERROR(DU42/DU43,"")</f>
        <v/>
      </c>
      <c r="DV44" s="38"/>
      <c r="DW44" s="38" t="str">
        <f>IFERROR(DW42/DW43,"")</f>
        <v/>
      </c>
      <c r="DX44" s="38"/>
      <c r="DY44" s="38" t="str">
        <f>IFERROR(DY42/DY43,"")</f>
        <v/>
      </c>
      <c r="DZ44" s="38"/>
      <c r="EA44" s="38" t="str">
        <f>IFERROR(EA42/EA43,"")</f>
        <v/>
      </c>
      <c r="EB44" s="38"/>
      <c r="EC44" s="38" t="str">
        <f>IFERROR(EC42/EC43,"")</f>
        <v/>
      </c>
      <c r="ED44" s="38"/>
      <c r="EE44" s="38" t="str">
        <f>IFERROR(EE42/EE43,"")</f>
        <v/>
      </c>
      <c r="EF44" s="38" t="str">
        <f>IFERROR(EF42/EF43,"")</f>
        <v/>
      </c>
      <c r="EG44" s="38"/>
      <c r="EH44" s="38"/>
      <c r="EI44" s="38"/>
      <c r="EJ44" s="38" t="str">
        <f>IFERROR(EJ42/EJ43,"")</f>
        <v/>
      </c>
      <c r="EK44" s="38"/>
      <c r="EL44" s="38" t="str">
        <f>IFERROR(EL42/EL43,"")</f>
        <v/>
      </c>
      <c r="EM44" s="38"/>
      <c r="EN44" s="38" t="str">
        <f>IFERROR(EN42/EN43,"")</f>
        <v/>
      </c>
      <c r="EO44" s="38"/>
      <c r="EP44" s="38" t="str">
        <f>IFERROR(EP42/EP43,"")</f>
        <v/>
      </c>
      <c r="EQ44" s="38"/>
      <c r="ER44" s="38" t="str">
        <f>IFERROR(ER42/ER43,"")</f>
        <v/>
      </c>
      <c r="ES44" s="38" t="str">
        <f>IFERROR(ES42/ES43,"")</f>
        <v/>
      </c>
      <c r="ET44" s="38" t="str">
        <f>IFERROR(ET42/ET43,"")</f>
        <v/>
      </c>
      <c r="EU44" s="38" t="str">
        <f>IFERROR(EU42/EU43,"")</f>
        <v/>
      </c>
      <c r="EV44" s="38" t="str">
        <f t="shared" ref="EV44:FV44" si="172">IFERROR(EV42/EV43,"")</f>
        <v/>
      </c>
      <c r="EW44" s="38" t="str">
        <f t="shared" si="172"/>
        <v/>
      </c>
      <c r="EX44" s="38" t="str">
        <f t="shared" si="172"/>
        <v/>
      </c>
      <c r="EY44" s="38" t="str">
        <f t="shared" si="172"/>
        <v/>
      </c>
      <c r="EZ44" s="38" t="str">
        <f t="shared" si="172"/>
        <v/>
      </c>
      <c r="FA44" s="38" t="str">
        <f t="shared" si="172"/>
        <v/>
      </c>
      <c r="FB44" s="38" t="str">
        <f t="shared" si="172"/>
        <v/>
      </c>
      <c r="FC44" s="38" t="str">
        <f t="shared" si="172"/>
        <v/>
      </c>
      <c r="FD44" s="38" t="str">
        <f t="shared" si="172"/>
        <v/>
      </c>
      <c r="FE44" s="38" t="str">
        <f t="shared" si="172"/>
        <v/>
      </c>
      <c r="FF44" s="38" t="str">
        <f t="shared" si="172"/>
        <v/>
      </c>
      <c r="FG44" s="38" t="str">
        <f t="shared" si="172"/>
        <v/>
      </c>
      <c r="FH44" s="38" t="str">
        <f t="shared" si="172"/>
        <v/>
      </c>
      <c r="FI44" s="38" t="str">
        <f t="shared" si="172"/>
        <v/>
      </c>
      <c r="FJ44" s="38" t="str">
        <f t="shared" si="172"/>
        <v/>
      </c>
      <c r="FK44" s="38" t="str">
        <f t="shared" si="172"/>
        <v/>
      </c>
      <c r="FL44" s="38" t="str">
        <f t="shared" si="172"/>
        <v/>
      </c>
      <c r="FM44" s="38" t="str">
        <f t="shared" si="172"/>
        <v/>
      </c>
      <c r="FN44" s="38" t="str">
        <f t="shared" si="172"/>
        <v/>
      </c>
      <c r="FO44" s="38" t="str">
        <f t="shared" si="172"/>
        <v/>
      </c>
      <c r="FP44" s="38" t="str">
        <f t="shared" si="172"/>
        <v/>
      </c>
      <c r="FQ44" s="38" t="str">
        <f t="shared" si="172"/>
        <v/>
      </c>
      <c r="FR44" s="38" t="str">
        <f t="shared" si="172"/>
        <v/>
      </c>
      <c r="FS44" s="38" t="str">
        <f t="shared" si="172"/>
        <v/>
      </c>
      <c r="FT44" s="38" t="str">
        <f t="shared" si="172"/>
        <v/>
      </c>
      <c r="FU44" s="38" t="str">
        <f t="shared" si="172"/>
        <v/>
      </c>
      <c r="FV44" s="38" t="str">
        <f t="shared" si="172"/>
        <v/>
      </c>
      <c r="FW44" s="38"/>
      <c r="FX44" s="38" t="str">
        <f>IFERROR(FX42/FX43,"")</f>
        <v/>
      </c>
      <c r="FY44" s="38"/>
      <c r="FZ44" s="38" t="str">
        <f>IFERROR(FZ42/FZ43,"")</f>
        <v/>
      </c>
      <c r="GA44" s="38"/>
      <c r="GB44" s="38" t="str">
        <f>IFERROR(GB42/GB43,"")</f>
        <v/>
      </c>
      <c r="GC44" s="38"/>
      <c r="GD44" s="38" t="str">
        <f>IFERROR(GD42/GD43,"")</f>
        <v/>
      </c>
      <c r="GE44" s="38"/>
      <c r="GF44" s="38" t="str">
        <f>IFERROR(GF42/GF43,"")</f>
        <v/>
      </c>
      <c r="GG44" s="38"/>
      <c r="GH44" s="38" t="str">
        <f t="shared" ref="GH44:GX44" si="173">IFERROR(GH42/GH43,"")</f>
        <v/>
      </c>
      <c r="GI44" s="38" t="str">
        <f t="shared" si="173"/>
        <v/>
      </c>
      <c r="GJ44" s="38" t="str">
        <f t="shared" si="173"/>
        <v/>
      </c>
      <c r="GK44" s="38">
        <f t="shared" si="173"/>
        <v>1.4420937191728715</v>
      </c>
      <c r="GL44" s="38">
        <f t="shared" si="173"/>
        <v>1.3626883626433688</v>
      </c>
      <c r="GM44" s="38">
        <f t="shared" si="173"/>
        <v>1.234166101065602</v>
      </c>
      <c r="GN44" s="38">
        <f t="shared" si="173"/>
        <v>1.3291580000000001</v>
      </c>
      <c r="GO44" s="38" t="str">
        <f t="shared" si="173"/>
        <v/>
      </c>
      <c r="GP44" s="38" t="str">
        <f t="shared" si="173"/>
        <v/>
      </c>
      <c r="GQ44" s="38" t="str">
        <f t="shared" si="173"/>
        <v/>
      </c>
      <c r="GR44" s="38" t="str">
        <f t="shared" si="173"/>
        <v/>
      </c>
      <c r="GS44" s="38" t="str">
        <f t="shared" si="173"/>
        <v/>
      </c>
      <c r="GT44" s="38" t="str">
        <f t="shared" si="173"/>
        <v/>
      </c>
      <c r="GU44" s="38" t="str">
        <f t="shared" si="173"/>
        <v/>
      </c>
      <c r="GV44" s="38" t="str">
        <f t="shared" si="173"/>
        <v/>
      </c>
      <c r="GW44" s="38" t="str">
        <f t="shared" si="173"/>
        <v/>
      </c>
      <c r="GX44" s="38" t="str">
        <f t="shared" si="173"/>
        <v/>
      </c>
      <c r="GY44" s="72"/>
      <c r="GZ44" s="38"/>
      <c r="HA44" s="38" t="str">
        <f>IFERROR(HA42/HA43,"")</f>
        <v/>
      </c>
      <c r="HB44" s="38"/>
      <c r="HC44" s="38" t="str">
        <f>IFERROR(HC42/HC43,"")</f>
        <v/>
      </c>
      <c r="HD44" s="38"/>
      <c r="HE44" s="38" t="str">
        <f>IFERROR(HE42/HE43,"")</f>
        <v/>
      </c>
      <c r="HF44" s="38"/>
      <c r="HG44" s="38" t="str">
        <f>IFERROR(HG42/HG43,"")</f>
        <v/>
      </c>
      <c r="HH44" s="38"/>
      <c r="HI44" s="38" t="str">
        <f>IFERROR(HI42/HI43,"")</f>
        <v/>
      </c>
      <c r="HJ44" s="38"/>
      <c r="HK44" s="38" t="str">
        <f>IFERROR(HK42/HK43,"")</f>
        <v/>
      </c>
      <c r="HL44" s="38" t="str">
        <f>IFERROR(HL42/HL43,"")</f>
        <v/>
      </c>
      <c r="HM44" s="38" t="str">
        <f>IFERROR(HM42/HM43,"")</f>
        <v/>
      </c>
      <c r="HN44" s="38"/>
      <c r="HO44" s="38"/>
      <c r="HP44" s="38"/>
      <c r="HQ44" s="38"/>
      <c r="HR44" s="38"/>
      <c r="HS44" s="38"/>
      <c r="HT44" s="38"/>
      <c r="HU44" s="38"/>
      <c r="HV44" s="38"/>
      <c r="HW44" s="38"/>
      <c r="HX44" s="38"/>
      <c r="HY44" s="38"/>
      <c r="HZ44" s="38"/>
      <c r="IA44" s="38"/>
      <c r="IB44" s="38"/>
      <c r="IC44" s="38" t="str">
        <f>IFERROR(IC42/IC43,"")</f>
        <v/>
      </c>
      <c r="ID44" s="38"/>
      <c r="IE44" s="38" t="str">
        <f>IFERROR(IE42/IE43,"")</f>
        <v/>
      </c>
      <c r="IF44" s="38"/>
      <c r="IG44" s="38" t="str">
        <f>IFERROR(IG42/IG43,"")</f>
        <v/>
      </c>
      <c r="IH44" s="38"/>
      <c r="II44" s="38" t="str">
        <f>IFERROR(II42/II43,"")</f>
        <v/>
      </c>
      <c r="IJ44" s="38"/>
      <c r="IK44" s="38" t="str">
        <f>IFERROR(IK42/IK43,"")</f>
        <v/>
      </c>
      <c r="IL44" s="38"/>
      <c r="IM44" s="38" t="str">
        <f>IFERROR(IM42/IM43,"")</f>
        <v/>
      </c>
      <c r="IN44" s="38"/>
      <c r="IO44" s="38" t="str">
        <f>IFERROR(IO42/IO43,"")</f>
        <v/>
      </c>
      <c r="IP44" s="38" t="str">
        <f>IFERROR(IP42/IP43,"")</f>
        <v/>
      </c>
      <c r="IQ44" s="38" t="str">
        <f>IFERROR(IQ42/IQ43,"")</f>
        <v/>
      </c>
      <c r="IR44" s="38"/>
      <c r="IS44" s="38"/>
      <c r="IT44" s="38" t="str">
        <f>IFERROR(IT42/IT43,"")</f>
        <v/>
      </c>
      <c r="IU44" s="38"/>
      <c r="IV44" s="38" t="str">
        <f>IFERROR(IV42/IV43,"")</f>
        <v/>
      </c>
      <c r="IW44" s="38"/>
      <c r="IX44" s="38" t="str">
        <f>IFERROR(IX42/IX43,"")</f>
        <v/>
      </c>
      <c r="IY44" s="38"/>
      <c r="IZ44" s="38" t="str">
        <f>IFERROR(IZ42/IZ43,"")</f>
        <v/>
      </c>
      <c r="JA44" s="38"/>
      <c r="JB44" s="38" t="str">
        <f>IFERROR(JB42/JB43,"")</f>
        <v/>
      </c>
      <c r="JC44" s="38"/>
      <c r="JD44" s="38" t="str">
        <f t="shared" ref="JD44:JN44" si="174">IFERROR(JD42/JD43,"")</f>
        <v/>
      </c>
      <c r="JE44" s="38" t="str">
        <f t="shared" si="174"/>
        <v/>
      </c>
      <c r="JF44" s="38" t="str">
        <f t="shared" si="174"/>
        <v/>
      </c>
      <c r="JG44" s="38" t="str">
        <f t="shared" si="174"/>
        <v/>
      </c>
      <c r="JH44" s="38" t="str">
        <f t="shared" si="174"/>
        <v/>
      </c>
      <c r="JI44" s="1973">
        <f t="shared" si="174"/>
        <v>1.4691984285714288</v>
      </c>
      <c r="JJ44" s="1973">
        <f t="shared" si="174"/>
        <v>1.1113173333333333</v>
      </c>
      <c r="JK44" s="1973" t="str">
        <f t="shared" si="174"/>
        <v/>
      </c>
      <c r="JL44" s="1973">
        <f t="shared" si="174"/>
        <v>1.3291579999999998</v>
      </c>
      <c r="JM44" s="38" t="str">
        <f t="shared" si="174"/>
        <v/>
      </c>
      <c r="JN44" s="38" t="str">
        <f t="shared" si="174"/>
        <v/>
      </c>
      <c r="JO44" s="38">
        <f t="shared" ref="JO44:KL44" si="175">IFERROR(IF(1-ABS(1-(JO42/JO43))&lt;0,0,1-ABS(1-(JO42/JO43))),0)</f>
        <v>0</v>
      </c>
      <c r="JP44" s="38">
        <f t="shared" si="175"/>
        <v>0</v>
      </c>
      <c r="JQ44" s="38">
        <f t="shared" si="175"/>
        <v>0</v>
      </c>
      <c r="JR44" s="38">
        <f t="shared" si="175"/>
        <v>0</v>
      </c>
      <c r="JS44" s="38">
        <f t="shared" si="175"/>
        <v>0</v>
      </c>
      <c r="JT44" s="38">
        <f t="shared" si="175"/>
        <v>0</v>
      </c>
      <c r="JU44" s="38">
        <f t="shared" si="175"/>
        <v>0</v>
      </c>
      <c r="JV44" s="38">
        <f t="shared" si="175"/>
        <v>0</v>
      </c>
      <c r="JW44" s="38">
        <f t="shared" si="175"/>
        <v>0</v>
      </c>
      <c r="JX44" s="38">
        <f t="shared" si="175"/>
        <v>0</v>
      </c>
      <c r="JY44" s="38">
        <f t="shared" si="175"/>
        <v>0</v>
      </c>
      <c r="JZ44" s="38">
        <f t="shared" si="175"/>
        <v>0</v>
      </c>
      <c r="KA44" s="38">
        <f t="shared" si="175"/>
        <v>0</v>
      </c>
      <c r="KB44" s="38">
        <f t="shared" si="175"/>
        <v>0</v>
      </c>
      <c r="KC44" s="38">
        <f t="shared" si="175"/>
        <v>0</v>
      </c>
      <c r="KD44" s="38">
        <f t="shared" si="175"/>
        <v>0</v>
      </c>
      <c r="KE44" s="38">
        <f t="shared" si="175"/>
        <v>0</v>
      </c>
      <c r="KF44" s="38">
        <f t="shared" si="175"/>
        <v>0</v>
      </c>
      <c r="KG44" s="38">
        <f t="shared" si="175"/>
        <v>0</v>
      </c>
      <c r="KH44" s="38">
        <f t="shared" si="175"/>
        <v>0</v>
      </c>
      <c r="KI44" s="38">
        <f t="shared" si="175"/>
        <v>0</v>
      </c>
      <c r="KJ44" s="38">
        <f t="shared" si="175"/>
        <v>0</v>
      </c>
      <c r="KK44" s="38">
        <f t="shared" si="175"/>
        <v>0</v>
      </c>
      <c r="KL44" s="38">
        <f t="shared" si="175"/>
        <v>0</v>
      </c>
      <c r="KM44" s="38" t="str">
        <f t="shared" ref="KM44:LF44" si="176">IFERROR(KM42/KM43,"")</f>
        <v/>
      </c>
      <c r="KN44" s="38" t="str">
        <f t="shared" si="176"/>
        <v/>
      </c>
      <c r="KO44" s="38">
        <f t="shared" si="176"/>
        <v>1.0356877449731463</v>
      </c>
      <c r="KP44" s="38">
        <f t="shared" si="176"/>
        <v>0.85880834178133969</v>
      </c>
      <c r="KQ44" s="38">
        <f t="shared" si="176"/>
        <v>0.71451631807877058</v>
      </c>
      <c r="KR44" s="38">
        <f t="shared" si="176"/>
        <v>0.93562159412973833</v>
      </c>
      <c r="KS44" s="38">
        <f t="shared" si="176"/>
        <v>0.89890563501983112</v>
      </c>
      <c r="KT44" s="38">
        <f t="shared" si="176"/>
        <v>1.0019244005127272</v>
      </c>
      <c r="KU44" s="38">
        <f t="shared" si="176"/>
        <v>0.93958900979204818</v>
      </c>
      <c r="KV44" s="38">
        <f t="shared" si="176"/>
        <v>1.1412184431986978</v>
      </c>
      <c r="KW44" s="38">
        <f t="shared" si="176"/>
        <v>0.97109546696258942</v>
      </c>
      <c r="KX44" s="38">
        <f t="shared" si="176"/>
        <v>0.8929362726923894</v>
      </c>
      <c r="KY44" s="38" t="str">
        <f t="shared" si="176"/>
        <v/>
      </c>
      <c r="KZ44" s="38" t="str">
        <f t="shared" si="176"/>
        <v/>
      </c>
      <c r="LA44" s="38" t="str">
        <f t="shared" si="176"/>
        <v/>
      </c>
      <c r="LB44" s="38" t="str">
        <f t="shared" si="176"/>
        <v/>
      </c>
      <c r="LC44" s="38" t="str">
        <f t="shared" si="176"/>
        <v/>
      </c>
      <c r="LD44" s="38">
        <f t="shared" si="176"/>
        <v>0</v>
      </c>
      <c r="LE44" s="38" t="str">
        <f t="shared" si="176"/>
        <v/>
      </c>
      <c r="LF44" s="38" t="str">
        <f t="shared" si="176"/>
        <v/>
      </c>
      <c r="LG44" s="38"/>
      <c r="LH44" s="38"/>
      <c r="LI44" s="38"/>
      <c r="LJ44" s="38"/>
      <c r="LK44" s="38"/>
      <c r="LL44" s="38"/>
      <c r="LM44" s="38" t="str">
        <f t="shared" ref="LM44:LR44" si="177">IFERROR(LM42/LM43,"")</f>
        <v/>
      </c>
      <c r="LN44" s="38" t="str">
        <f t="shared" si="177"/>
        <v/>
      </c>
      <c r="LO44" s="38" t="str">
        <f t="shared" si="177"/>
        <v/>
      </c>
      <c r="LP44" s="38" t="str">
        <f t="shared" si="177"/>
        <v/>
      </c>
      <c r="LQ44" s="38" t="str">
        <f t="shared" si="177"/>
        <v/>
      </c>
      <c r="LR44" s="38" t="str">
        <f t="shared" si="177"/>
        <v/>
      </c>
      <c r="LS44" s="38"/>
      <c r="LT44" s="38" t="str">
        <f>IFERROR(LT42/LT43,"")</f>
        <v/>
      </c>
      <c r="LU44" s="38" t="str">
        <f>IFERROR(LU42/LU43,"")</f>
        <v/>
      </c>
      <c r="LV44" s="38" t="str">
        <f>IFERROR(LV42/LV43,"")</f>
        <v/>
      </c>
      <c r="LW44" s="38" t="str">
        <f>IFERROR(LW42/LW43,"")</f>
        <v/>
      </c>
      <c r="LX44" s="38" t="str">
        <f>IFERROR(LX42/LX43,"")</f>
        <v/>
      </c>
      <c r="LY44" s="38"/>
      <c r="LZ44" s="38" t="str">
        <f>IFERROR(LZ42/LZ43,"")</f>
        <v/>
      </c>
      <c r="MA44" s="38" t="str">
        <f>IFERROR(MA42/MA43,"")</f>
        <v/>
      </c>
      <c r="MB44" s="38"/>
      <c r="MC44" s="38" t="str">
        <f>IFERROR(MC42/MC43,"")</f>
        <v/>
      </c>
      <c r="MD44" s="38" t="str">
        <f>IFERROR(MD42/MD43,"")</f>
        <v/>
      </c>
      <c r="ME44" s="38"/>
      <c r="MF44" s="38"/>
      <c r="MG44" s="38" t="str">
        <f>IFERROR(MG42/MG43,"")</f>
        <v/>
      </c>
      <c r="MH44" s="38" t="str">
        <f>IFERROR(MH42/MH43,"")</f>
        <v/>
      </c>
      <c r="MI44" s="38" t="str">
        <f>IFERROR(MI42/MI43,"")</f>
        <v/>
      </c>
      <c r="MJ44" s="38" t="str">
        <f>IFERROR(MJ42/MJ43,"")</f>
        <v/>
      </c>
      <c r="MK44" s="38"/>
      <c r="ML44" s="38" t="str">
        <f>IFERROR(ML42/ML43,"")</f>
        <v/>
      </c>
      <c r="MM44" s="38" t="str">
        <f>IFERROR(MM42/MM43,"")</f>
        <v/>
      </c>
      <c r="MN44" s="38" t="str">
        <f>IFERROR(MN42/MN43,"")</f>
        <v/>
      </c>
      <c r="MO44" s="38" t="str">
        <f>IFERROR(MO42/MO43,"")</f>
        <v/>
      </c>
      <c r="MP44" s="38" t="str">
        <f>IFERROR(MP42/MP43,"")</f>
        <v/>
      </c>
      <c r="MQ44" s="38"/>
      <c r="MR44" s="38" t="str">
        <f t="shared" ref="MR44:NC44" si="178">IFERROR(MR42/MR43,"")</f>
        <v/>
      </c>
      <c r="MS44" s="38" t="str">
        <f t="shared" si="178"/>
        <v/>
      </c>
      <c r="MT44" s="38" t="str">
        <f t="shared" si="178"/>
        <v/>
      </c>
      <c r="MU44" s="38" t="str">
        <f t="shared" si="178"/>
        <v/>
      </c>
      <c r="MV44" s="38" t="str">
        <f t="shared" si="178"/>
        <v/>
      </c>
      <c r="MW44" s="38" t="str">
        <f t="shared" si="178"/>
        <v/>
      </c>
      <c r="MX44" s="38" t="str">
        <f t="shared" si="178"/>
        <v/>
      </c>
      <c r="MY44" s="38" t="str">
        <f t="shared" si="178"/>
        <v/>
      </c>
      <c r="MZ44" s="38" t="str">
        <f t="shared" si="178"/>
        <v/>
      </c>
      <c r="NA44" s="38" t="str">
        <f t="shared" si="178"/>
        <v/>
      </c>
      <c r="NB44" s="38" t="str">
        <f t="shared" si="178"/>
        <v/>
      </c>
      <c r="NC44" s="38" t="str">
        <f t="shared" si="178"/>
        <v/>
      </c>
      <c r="ND44" s="38"/>
      <c r="NE44" s="38" t="str">
        <f>IFERROR(NE42/NE43,"")</f>
        <v/>
      </c>
      <c r="NF44" s="38" t="str">
        <f>IFERROR(NF42/NF43,"")</f>
        <v/>
      </c>
      <c r="NG44" s="38" t="str">
        <f>IFERROR(NG42/NG43,"")</f>
        <v/>
      </c>
      <c r="NH44" s="38"/>
      <c r="NI44" s="38" t="str">
        <f>IFERROR(NI42/NI43,"")</f>
        <v/>
      </c>
      <c r="NJ44" s="38"/>
      <c r="NK44" s="38" t="str">
        <f>IFERROR(NK42/NK43,"")</f>
        <v/>
      </c>
      <c r="NL44" s="38"/>
      <c r="NM44" s="38" t="str">
        <f>IFERROR(NM42/NM43,"")</f>
        <v/>
      </c>
      <c r="NN44" s="38"/>
      <c r="NO44" s="38" t="str">
        <f>IFERROR(NO42/NO43,"")</f>
        <v/>
      </c>
      <c r="NP44" s="38"/>
      <c r="NQ44" s="38" t="str">
        <f>IFERROR(NQ42/NQ43,"")</f>
        <v/>
      </c>
      <c r="NR44" s="38"/>
      <c r="NS44" s="38" t="str">
        <f>IFERROR(NS42/NS43,"")</f>
        <v/>
      </c>
      <c r="NT44" s="38" t="str">
        <f>IFERROR(NT42/NT43,"")</f>
        <v/>
      </c>
      <c r="NU44" s="38"/>
      <c r="NV44" s="38" t="str">
        <f>IFERROR(NV42/NV43,"")</f>
        <v/>
      </c>
      <c r="NW44" s="38"/>
      <c r="NX44" s="38" t="str">
        <f>IFERROR(NX42/NX43,"")</f>
        <v/>
      </c>
      <c r="NY44" s="38"/>
      <c r="NZ44" s="38" t="str">
        <f>IFERROR(NZ42/NZ43,"")</f>
        <v/>
      </c>
      <c r="OA44" s="38"/>
      <c r="OB44" s="38" t="str">
        <f>IFERROR(OB42/OB43,"")</f>
        <v/>
      </c>
      <c r="OC44" s="38"/>
      <c r="OD44" s="38" t="str">
        <f>IFERROR(OD42/OD43,"")</f>
        <v/>
      </c>
      <c r="OE44" s="38"/>
      <c r="OF44" s="38" t="str">
        <f>IFERROR(OF42/OF43,"")</f>
        <v/>
      </c>
      <c r="OG44" s="38" t="str">
        <f>IFERROR(OG42/OG43,"")</f>
        <v/>
      </c>
      <c r="OH44" s="38"/>
      <c r="OI44" s="38" t="str">
        <f>IFERROR(OI42/OI43,"")</f>
        <v/>
      </c>
      <c r="OJ44" s="38"/>
      <c r="OK44" s="38" t="str">
        <f>IFERROR(OK42/OK43,"")</f>
        <v/>
      </c>
      <c r="OL44" s="38"/>
      <c r="OM44" s="38" t="str">
        <f>IFERROR(OM42/OM43,"")</f>
        <v/>
      </c>
      <c r="ON44" s="38"/>
      <c r="OO44" s="38" t="str">
        <f>IFERROR(OO42/OO43,"")</f>
        <v/>
      </c>
      <c r="OP44" s="38"/>
      <c r="OQ44" s="38" t="str">
        <f>IFERROR(OQ42/OQ43,"")</f>
        <v/>
      </c>
      <c r="OR44" s="38"/>
      <c r="OS44" s="38" t="str">
        <f t="shared" ref="OS44:PK44" si="179">IFERROR(OS42/OS43,"")</f>
        <v/>
      </c>
      <c r="OT44" s="38" t="str">
        <f t="shared" si="179"/>
        <v/>
      </c>
      <c r="OU44" s="38" t="str">
        <f t="shared" si="179"/>
        <v/>
      </c>
      <c r="OV44" s="38" t="str">
        <f t="shared" si="179"/>
        <v/>
      </c>
      <c r="OW44" s="38" t="str">
        <f t="shared" si="179"/>
        <v/>
      </c>
      <c r="OX44" s="38" t="str">
        <f t="shared" si="179"/>
        <v/>
      </c>
      <c r="OY44" s="38" t="str">
        <f t="shared" si="179"/>
        <v/>
      </c>
      <c r="OZ44" s="38" t="str">
        <f t="shared" si="179"/>
        <v/>
      </c>
      <c r="PA44" s="38" t="str">
        <f t="shared" si="179"/>
        <v/>
      </c>
      <c r="PB44" s="38" t="str">
        <f t="shared" si="179"/>
        <v/>
      </c>
      <c r="PC44" s="38" t="str">
        <f t="shared" si="179"/>
        <v/>
      </c>
      <c r="PD44" s="38" t="str">
        <f t="shared" si="179"/>
        <v/>
      </c>
      <c r="PE44" s="38" t="str">
        <f t="shared" si="179"/>
        <v/>
      </c>
      <c r="PF44" s="38" t="str">
        <f t="shared" si="179"/>
        <v/>
      </c>
      <c r="PG44" s="38" t="str">
        <f t="shared" si="179"/>
        <v/>
      </c>
      <c r="PH44" s="38" t="str">
        <f t="shared" si="179"/>
        <v/>
      </c>
      <c r="PI44" s="38" t="str">
        <f t="shared" si="179"/>
        <v/>
      </c>
      <c r="PJ44" s="38" t="str">
        <f t="shared" si="179"/>
        <v/>
      </c>
      <c r="PK44" s="38" t="str">
        <f t="shared" si="179"/>
        <v/>
      </c>
      <c r="PL44" s="38"/>
      <c r="PM44" s="38"/>
      <c r="PN44" s="38" t="str">
        <f t="shared" ref="PN44:PS44" si="180">IFERROR(PN42/PN43,"")</f>
        <v/>
      </c>
      <c r="PO44" s="38" t="str">
        <f t="shared" si="180"/>
        <v/>
      </c>
      <c r="PP44" s="38" t="str">
        <f t="shared" si="180"/>
        <v/>
      </c>
      <c r="PQ44" s="38" t="str">
        <f t="shared" si="180"/>
        <v/>
      </c>
      <c r="PR44" s="38" t="str">
        <f t="shared" si="180"/>
        <v/>
      </c>
      <c r="PS44" s="38" t="str">
        <f t="shared" si="180"/>
        <v/>
      </c>
      <c r="PT44" s="38"/>
      <c r="PU44" s="38"/>
      <c r="PV44" s="38" t="str">
        <f>IFERROR(PV42/PV43,"")</f>
        <v/>
      </c>
      <c r="PW44" s="38"/>
      <c r="PX44" s="38" t="str">
        <f>IFERROR(PX42/PX43,"")</f>
        <v/>
      </c>
      <c r="PY44" s="38"/>
      <c r="PZ44" s="38" t="str">
        <f>IFERROR(PZ42/PZ43,"")</f>
        <v/>
      </c>
      <c r="QA44" s="38" t="str">
        <f>IFERROR(QA42/QA43,"")</f>
        <v/>
      </c>
      <c r="QB44" s="38"/>
      <c r="QC44" s="38"/>
      <c r="QD44" s="38"/>
      <c r="QE44" s="38"/>
      <c r="QF44" s="38"/>
      <c r="QG44" s="38" t="str">
        <f>IFERROR(QG42/QG43,"")</f>
        <v/>
      </c>
      <c r="RY44" s="1"/>
    </row>
    <row r="45" spans="1:502">
      <c r="D45" s="1"/>
      <c r="O45" t="e">
        <f ca="1">IF(VALUE(MONTH(DATEVALUE(MID(CELL("filename",A1),FIND("]",CELL("filename",A1))+1,255)&amp;"1")))&lt;&gt;MONTH(TODAY()),O43/(DAY(EOMONTH(DATE(YEAR(TODAY()),VALUE(MONTH(DATEVALUE(MID(CELL("filename",A1),FIND("]",CELL("filename",A1))+1,255)&amp;"1"))),1),0))),(O43-O42)/('[1]Summary TCM'!$AB$140-DAY(TODAY()-1)))</f>
        <v>#VALUE!</v>
      </c>
      <c r="P45" t="e">
        <f ca="1">IF(VALUE(MONTH(DATEVALUE(MID(CELL("filename",B1),FIND("]",CELL("filename",B1))+1,255)&amp;"1")))&lt;&gt;MONTH(TODAY()),P43/(DAY(EOMONTH(DATE(YEAR(TODAY()),VALUE(MONTH(DATEVALUE(MID(CELL("filename",B1),FIND("]",CELL("filename",B1))+1,255)&amp;"1"))),1),0))),(P43-P42)/('[1]Summary TCM'!$AB$140-DAY(TODAY()-1)))</f>
        <v>#VALUE!</v>
      </c>
      <c r="Q45" t="e">
        <f ca="1">IF(VALUE(MONTH(DATEVALUE(MID(CELL("filename",C1),FIND("]",CELL("filename",C1))+1,255)&amp;"1")))&lt;&gt;MONTH(TODAY()),Q43/(DAY(EOMONTH(DATE(YEAR(TODAY()),VALUE(MONTH(DATEVALUE(MID(CELL("filename",C1),FIND("]",CELL("filename",C1))+1,255)&amp;"1"))),1),0))),(Q43-Q42)/('[1]Summary TCM'!$AB$140-DAY(TODAY()-1)))</f>
        <v>#VALUE!</v>
      </c>
      <c r="R45" t="e">
        <f ca="1">IF(VALUE(MONTH(DATEVALUE(MID(CELL("filename",D1),FIND("]",CELL("filename",D1))+1,255)&amp;"1")))&lt;&gt;MONTH(TODAY()),R43/(DAY(EOMONTH(DATE(YEAR(TODAY()),VALUE(MONTH(DATEVALUE(MID(CELL("filename",D1),FIND("]",CELL("filename",D1))+1,255)&amp;"1"))),1),0))),(R43-R42)/('[1]Summary TCM'!$AB$140-DAY(TODAY()-1)))</f>
        <v>#VALUE!</v>
      </c>
      <c r="S45" s="72" t="e">
        <f ca="1">SUM(BF45,BI45,BL45,BY45)</f>
        <v>#VALUE!</v>
      </c>
      <c r="T45" t="e">
        <f ca="1">IF(VALUE(MONTH(DATEVALUE(MID(CELL("filename",H1),FIND("]",CELL("filename",H1))+1,255)&amp;"1")))&lt;&gt;MONTH(TODAY()),T43/(DAY(EOMONTH(DATE(YEAR(TODAY()),VALUE(MONTH(DATEVALUE(MID(CELL("filename",H1),FIND("]",CELL("filename",H1))+1,255)&amp;"1"))),1),0))),(T43-T42)/('[1]Summary TCM'!$AB$140-DAY(TODAY()-1)))</f>
        <v>#VALUE!</v>
      </c>
      <c r="U45" t="e">
        <f ca="1">IF(VALUE(MONTH(DATEVALUE(MID(CELL("filename",I1),FIND("]",CELL("filename",I1))+1,255)&amp;"1")))&lt;&gt;MONTH(TODAY()),U43/(DAY(EOMONTH(DATE(YEAR(TODAY()),VALUE(MONTH(DATEVALUE(MID(CELL("filename",I1),FIND("]",CELL("filename",I1))+1,255)&amp;"1"))),1),0))),(U43-U42)/('[1]Summary TCM'!$AB$140-DAY(TODAY()-1)))</f>
        <v>#VALUE!</v>
      </c>
      <c r="V45" t="e">
        <f ca="1">IF(VALUE(MONTH(DATEVALUE(MID(CELL("filename",L1),FIND("]",CELL("filename",L1))+1,255)&amp;"1")))&lt;&gt;MONTH(TODAY()),V43/(DAY(EOMONTH(DATE(YEAR(TODAY()),VALUE(MONTH(DATEVALUE(MID(CELL("filename",L1),FIND("]",CELL("filename",L1))+1,255)&amp;"1"))),1),0))),(V43-V42)/('[1]Summary TCM'!$AB$140-DAY(TODAY()-1)))</f>
        <v>#VALUE!</v>
      </c>
      <c r="W45" t="e">
        <f ca="1">IF(VALUE(MONTH(DATEVALUE(MID(CELL("filename",M1),FIND("]",CELL("filename",M1))+1,255)&amp;"1")))&lt;&gt;MONTH(TODAY()),W43/(DAY(EOMONTH(DATE(YEAR(TODAY()),VALUE(MONTH(DATEVALUE(MID(CELL("filename",M1),FIND("]",CELL("filename",M1))+1,255)&amp;"1"))),1),0))),(W43-W42)/('[1]Summary TCM'!$AB$140-DAY(TODAY()-1)))</f>
        <v>#VALUE!</v>
      </c>
      <c r="X45" t="e">
        <f ca="1">IF(VALUE(MONTH(DATEVALUE(MID(CELL("filename",N1),FIND("]",CELL("filename",N1))+1,255)&amp;"1")))&lt;&gt;MONTH(TODAY()),X43/(DAY(EOMONTH(DATE(YEAR(TODAY()),VALUE(MONTH(DATEVALUE(MID(CELL("filename",N1),FIND("]",CELL("filename",N1))+1,255)&amp;"1"))),1),0))),(X43-X42)/('[1]Summary TCM'!$AB$140-DAY(TODAY()-1)))</f>
        <v>#VALUE!</v>
      </c>
      <c r="Y45" t="e">
        <f ca="1">IF(VALUE(MONTH(DATEVALUE(MID(CELL("filename",O1),FIND("]",CELL("filename",O1))+1,255)&amp;"1")))&lt;&gt;MONTH(TODAY()),Y43/(DAY(EOMONTH(DATE(YEAR(TODAY()),VALUE(MONTH(DATEVALUE(MID(CELL("filename",O1),FIND("]",CELL("filename",O1))+1,255)&amp;"1"))),1),0))),(Y43-Y42)/('[1]Summary TCM'!$AB$140-DAY(TODAY()-1)))</f>
        <v>#VALUE!</v>
      </c>
      <c r="Z45" t="e">
        <f ca="1">IF(VALUE(MONTH(DATEVALUE(MID(CELL("filename",P1),FIND("]",CELL("filename",P1))+1,255)&amp;"1")))&lt;&gt;MONTH(TODAY()),Z43/(DAY(EOMONTH(DATE(YEAR(TODAY()),VALUE(MONTH(DATEVALUE(MID(CELL("filename",P1),FIND("]",CELL("filename",P1))+1,255)&amp;"1"))),1),0))),(Z43-Z42)/('[1]Summary TCM'!$AB$140-DAY(TODAY()-1)))</f>
        <v>#VALUE!</v>
      </c>
      <c r="AE45" t="e">
        <f ca="1">IF(VALUE(MONTH(DATEVALUE(MID(CELL("filename",Q1),FIND("]",CELL("filename",Q1))+1,255)&amp;"1")))&lt;&gt;MONTH(TODAY()),AE43/(DAY(EOMONTH(DATE(YEAR(TODAY()),VALUE(MONTH(DATEVALUE(MID(CELL("filename",Q1),FIND("]",CELL("filename",Q1))+1,255)&amp;"1"))),1),0))),(AE43-AE42)/('[1]Summary TCM'!$AB$140-DAY(TODAY()-1)))</f>
        <v>#VALUE!</v>
      </c>
      <c r="AF45" t="e">
        <f ca="1">IF(VALUE(MONTH(DATEVALUE(MID(CELL("filename",R1),FIND("]",CELL("filename",R1))+1,255)&amp;"1")))&lt;&gt;MONTH(TODAY()),AF43/(DAY(EOMONTH(DATE(YEAR(TODAY()),VALUE(MONTH(DATEVALUE(MID(CELL("filename",R1),FIND("]",CELL("filename",R1))+1,255)&amp;"1"))),1),0))),(AF43-AF42)/('[1]Summary TCM'!$AB$140-DAY(TODAY()-1)))</f>
        <v>#VALUE!</v>
      </c>
      <c r="AG45" t="e">
        <f ca="1">IF(VALUE(MONTH(DATEVALUE(MID(CELL("filename",S1),FIND("]",CELL("filename",S1))+1,255)&amp;"1")))&lt;&gt;MONTH(TODAY()),AG43/(DAY(EOMONTH(DATE(YEAR(TODAY()),VALUE(MONTH(DATEVALUE(MID(CELL("filename",S1),FIND("]",CELL("filename",S1))+1,255)&amp;"1"))),1),0))),(AG43-AG42)/('[1]Summary TCM'!$AB$140-DAY(TODAY()-1)))</f>
        <v>#VALUE!</v>
      </c>
      <c r="AH45" t="e">
        <f ca="1">IF(VALUE(MONTH(DATEVALUE(MID(CELL("filename",T1),FIND("]",CELL("filename",T1))+1,255)&amp;"1")))&lt;&gt;MONTH(TODAY()),AH43/(DAY(EOMONTH(DATE(YEAR(TODAY()),VALUE(MONTH(DATEVALUE(MID(CELL("filename",T1),FIND("]",CELL("filename",T1))+1,255)&amp;"1"))),1),0))),(AH43-AH42)/('[1]Summary TCM'!$AB$140-DAY(TODAY()-1)))</f>
        <v>#VALUE!</v>
      </c>
      <c r="AI45" t="e">
        <f ca="1">IF(VALUE(MONTH(DATEVALUE(MID(CELL("filename",U1),FIND("]",CELL("filename",U1))+1,255)&amp;"1")))&lt;&gt;MONTH(TODAY()),AI43/(DAY(EOMONTH(DATE(YEAR(TODAY()),VALUE(MONTH(DATEVALUE(MID(CELL("filename",U1),FIND("]",CELL("filename",U1))+1,255)&amp;"1"))),1),0))),(AI43-AI42)/('[1]Summary TCM'!$AB$140-DAY(TODAY()-1)))</f>
        <v>#VALUE!</v>
      </c>
      <c r="AJ45" t="e">
        <f ca="1">IF(VALUE(MONTH(DATEVALUE(MID(CELL("filename",V1),FIND("]",CELL("filename",V1))+1,255)&amp;"1")))&lt;&gt;MONTH(TODAY()),AJ43/(DAY(EOMONTH(DATE(YEAR(TODAY()),VALUE(MONTH(DATEVALUE(MID(CELL("filename",V1),FIND("]",CELL("filename",V1))+1,255)&amp;"1"))),1),0))),(AJ43-AJ42)/('[1]Summary TCM'!$AB$140-DAY(TODAY()-1)))</f>
        <v>#VALUE!</v>
      </c>
      <c r="AK45" t="e">
        <f ca="1">IF(VALUE(MONTH(DATEVALUE(MID(CELL("filename",W1),FIND("]",CELL("filename",W1))+1,255)&amp;"1")))&lt;&gt;MONTH(TODAY()),AK43/(DAY(EOMONTH(DATE(YEAR(TODAY()),VALUE(MONTH(DATEVALUE(MID(CELL("filename",W1),FIND("]",CELL("filename",W1))+1,255)&amp;"1"))),1),0))),(AK43-AK42)/('[1]Summary TCM'!$AB$140-DAY(TODAY()-1)))</f>
        <v>#VALUE!</v>
      </c>
      <c r="AL45" t="e">
        <f ca="1">IF(VALUE(MONTH(DATEVALUE(MID(CELL("filename",X1),FIND("]",CELL("filename",X1))+1,255)&amp;"1")))&lt;&gt;MONTH(TODAY()),AL43/(DAY(EOMONTH(DATE(YEAR(TODAY()),VALUE(MONTH(DATEVALUE(MID(CELL("filename",X1),FIND("]",CELL("filename",X1))+1,255)&amp;"1"))),1),0))),(AL43-AL42)/('[1]Summary TCM'!$AB$140-DAY(TODAY()-1)))</f>
        <v>#VALUE!</v>
      </c>
      <c r="AN45" t="e">
        <f ca="1">IF(VALUE(MONTH(DATEVALUE(MID(CELL("filename",Z1),FIND("]",CELL("filename",Z1))+1,255)&amp;"1")))&lt;&gt;MONTH(TODAY()),AN43/(DAY(EOMONTH(DATE(YEAR(TODAY()),VALUE(MONTH(DATEVALUE(MID(CELL("filename",Z1),FIND("]",CELL("filename",Z1))+1,255)&amp;"1"))),1),0))),(AN43-AN42)/('[1]Summary TCM'!$AB$140-DAY(TODAY()-1)))</f>
        <v>#VALUE!</v>
      </c>
      <c r="AO45" t="e">
        <f ca="1">IF(VALUE(MONTH(DATEVALUE(MID(CELL("filename",AE1),FIND("]",CELL("filename",AE1))+1,255)&amp;"1")))&lt;&gt;MONTH(TODAY()),AO43/(DAY(EOMONTH(DATE(YEAR(TODAY()),VALUE(MONTH(DATEVALUE(MID(CELL("filename",AE1),FIND("]",CELL("filename",AE1))+1,255)&amp;"1"))),1),0))),(AO43-AO42)/('[1]Summary TCM'!$AB$140-DAY(TODAY()-1)))</f>
        <v>#VALUE!</v>
      </c>
      <c r="AP45" t="e">
        <f ca="1">IF(VALUE(MONTH(DATEVALUE(MID(CELL("filename",AF1),FIND("]",CELL("filename",AF1))+1,255)&amp;"1")))&lt;&gt;MONTH(TODAY()),AP43/(DAY(EOMONTH(DATE(YEAR(TODAY()),VALUE(MONTH(DATEVALUE(MID(CELL("filename",AF1),FIND("]",CELL("filename",AF1))+1,255)&amp;"1"))),1),0))),(AP43-AP42)/('[1]Summary TCM'!$AB$140-DAY(TODAY()-1)))</f>
        <v>#VALUE!</v>
      </c>
      <c r="AQ45" t="e">
        <f ca="1">IF(VALUE(MONTH(DATEVALUE(MID(CELL("filename",AG1),FIND("]",CELL("filename",AG1))+1,255)&amp;"1")))&lt;&gt;MONTH(TODAY()),AQ43/(DAY(EOMONTH(DATE(YEAR(TODAY()),VALUE(MONTH(DATEVALUE(MID(CELL("filename",AG1),FIND("]",CELL("filename",AG1))+1,255)&amp;"1"))),1),0))),(AQ43-AQ42)/('[1]Summary TCM'!$AB$140-DAY(TODAY()-1)))</f>
        <v>#VALUE!</v>
      </c>
      <c r="AR45" t="e">
        <f ca="1">IF(VALUE(MONTH(DATEVALUE(MID(CELL("filename",AH1),FIND("]",CELL("filename",AH1))+1,255)&amp;"1")))&lt;&gt;MONTH(TODAY()),AR43/(DAY(EOMONTH(DATE(YEAR(TODAY()),VALUE(MONTH(DATEVALUE(MID(CELL("filename",AH1),FIND("]",CELL("filename",AH1))+1,255)&amp;"1"))),1),0))),(AR43-AR42)/('[1]Summary TCM'!$AB$140-DAY(TODAY()-1)))</f>
        <v>#VALUE!</v>
      </c>
      <c r="AS45" t="e">
        <f ca="1">IF(VALUE(MONTH(DATEVALUE(MID(CELL("filename",AI1),FIND("]",CELL("filename",AI1))+1,255)&amp;"1")))&lt;&gt;MONTH(TODAY()),AS43/(DAY(EOMONTH(DATE(YEAR(TODAY()),VALUE(MONTH(DATEVALUE(MID(CELL("filename",AI1),FIND("]",CELL("filename",AI1))+1,255)&amp;"1"))),1),0))),(AS43-AS42)/('[1]Summary TCM'!$AB$140-DAY(TODAY()-1)))</f>
        <v>#VALUE!</v>
      </c>
      <c r="AT45" t="e">
        <f ca="1">IF(VALUE(MONTH(DATEVALUE(MID(CELL("filename",AJ1),FIND("]",CELL("filename",AJ1))+1,255)&amp;"1")))&lt;&gt;MONTH(TODAY()),AT43/(DAY(EOMONTH(DATE(YEAR(TODAY()),VALUE(MONTH(DATEVALUE(MID(CELL("filename",AJ1),FIND("]",CELL("filename",AJ1))+1,255)&amp;"1"))),1),0))),(AT43-AT42)/('[1]Summary TCM'!$AB$140-DAY(TODAY()-1)))</f>
        <v>#VALUE!</v>
      </c>
      <c r="AU45" t="e">
        <f ca="1">IF(VALUE(MONTH(DATEVALUE(MID(CELL("filename",AK1),FIND("]",CELL("filename",AK1))+1,255)&amp;"1")))&lt;&gt;MONTH(TODAY()),AU43/(DAY(EOMONTH(DATE(YEAR(TODAY()),VALUE(MONTH(DATEVALUE(MID(CELL("filename",AK1),FIND("]",CELL("filename",AK1))+1,255)&amp;"1"))),1),0))),(AU43-AU42)/('[1]Summary TCM'!$AB$140-DAY(TODAY()-1)))</f>
        <v>#VALUE!</v>
      </c>
      <c r="AV45" t="e">
        <f ca="1">IF(VALUE(MONTH(DATEVALUE(MID(CELL("filename",AL1),FIND("]",CELL("filename",AL1))+1,255)&amp;"1")))&lt;&gt;MONTH(TODAY()),AV43/(DAY(EOMONTH(DATE(YEAR(TODAY()),VALUE(MONTH(DATEVALUE(MID(CELL("filename",AL1),FIND("]",CELL("filename",AL1))+1,255)&amp;"1"))),1),0))),(AV43-AV42)/('[1]Summary TCM'!$AB$140-DAY(TODAY()-1)))</f>
        <v>#VALUE!</v>
      </c>
      <c r="AW45" t="e">
        <f ca="1">IF(VALUE(MONTH(DATEVALUE(MID(CELL("filename",AM1),FIND("]",CELL("filename",AM1))+1,255)&amp;"1")))&lt;&gt;MONTH(TODAY()),AW43/(DAY(EOMONTH(DATE(YEAR(TODAY()),VALUE(MONTH(DATEVALUE(MID(CELL("filename",AM1),FIND("]",CELL("filename",AM1))+1,255)&amp;"1"))),1),0))),(AW43-AW42)/('[1]Summary TCM'!$AB$140-DAY(TODAY()-1)))</f>
        <v>#VALUE!</v>
      </c>
      <c r="AX45" t="e">
        <f ca="1">IF(VALUE(MONTH(DATEVALUE(MID(CELL("filename",AN1),FIND("]",CELL("filename",AN1))+1,255)&amp;"1")))&lt;&gt;MONTH(TODAY()),AX43/(DAY(EOMONTH(DATE(YEAR(TODAY()),VALUE(MONTH(DATEVALUE(MID(CELL("filename",AN1),FIND("]",CELL("filename",AN1))+1,255)&amp;"1"))),1),0))),(AX43-AX42)/('[1]Summary TCM'!$AB$140-DAY(TODAY()-1)))</f>
        <v>#VALUE!</v>
      </c>
      <c r="AY45" t="e">
        <f ca="1">IF(VALUE(MONTH(DATEVALUE(MID(CELL("filename",AO1),FIND("]",CELL("filename",AO1))+1,255)&amp;"1")))&lt;&gt;MONTH(TODAY()),AY43/(DAY(EOMONTH(DATE(YEAR(TODAY()),VALUE(MONTH(DATEVALUE(MID(CELL("filename",AO1),FIND("]",CELL("filename",AO1))+1,255)&amp;"1"))),1),0))),(AY43-AY42)/('[1]Summary TCM'!$AB$140-DAY(TODAY()-1)))</f>
        <v>#VALUE!</v>
      </c>
      <c r="AZ45" t="e">
        <f ca="1">IF(VALUE(MONTH(DATEVALUE(MID(CELL("filename",AP1),FIND("]",CELL("filename",AP1))+1,255)&amp;"1")))&lt;&gt;MONTH(TODAY()),AZ43/(DAY(EOMONTH(DATE(YEAR(TODAY()),VALUE(MONTH(DATEVALUE(MID(CELL("filename",AP1),FIND("]",CELL("filename",AP1))+1,255)&amp;"1"))),1),0))),(AZ43-AZ42)/('[1]Summary TCM'!$AB$140-DAY(TODAY()-1)))</f>
        <v>#VALUE!</v>
      </c>
      <c r="BA45" t="e">
        <f ca="1">IF(VALUE(MONTH(DATEVALUE(MID(CELL("filename",AQ1),FIND("]",CELL("filename",AQ1))+1,255)&amp;"1")))&lt;&gt;MONTH(TODAY()),BA43/(DAY(EOMONTH(DATE(YEAR(TODAY()),VALUE(MONTH(DATEVALUE(MID(CELL("filename",AQ1),FIND("]",CELL("filename",AQ1))+1,255)&amp;"1"))),1),0))),(BA43-BA42)/('[1]Summary TCM'!$AB$140-DAY(TODAY()-1)))</f>
        <v>#VALUE!</v>
      </c>
      <c r="BB45" t="e">
        <f ca="1">IF(VALUE(MONTH(DATEVALUE(MID(CELL("filename",AR1),FIND("]",CELL("filename",AR1))+1,255)&amp;"1")))&lt;&gt;MONTH(TODAY()),BB43/(DAY(EOMONTH(DATE(YEAR(TODAY()),VALUE(MONTH(DATEVALUE(MID(CELL("filename",AR1),FIND("]",CELL("filename",AR1))+1,255)&amp;"1"))),1),0))),(BB43-BB42)/('[1]Summary TCM'!$AB$140-DAY(TODAY()-1)))</f>
        <v>#VALUE!</v>
      </c>
      <c r="BC45" t="e">
        <f ca="1">IF(VALUE(MONTH(DATEVALUE(MID(CELL("filename",AS1),FIND("]",CELL("filename",AS1))+1,255)&amp;"1")))&lt;&gt;MONTH(TODAY()),BC43/(DAY(EOMONTH(DATE(YEAR(TODAY()),VALUE(MONTH(DATEVALUE(MID(CELL("filename",AS1),FIND("]",CELL("filename",AS1))+1,255)&amp;"1"))),1),0))),(BC43-BC42)/('[1]Summary TCM'!$AB$140-DAY(TODAY()-1)))</f>
        <v>#VALUE!</v>
      </c>
      <c r="BD45" t="e">
        <f ca="1">IF(VALUE(MONTH(DATEVALUE(MID(CELL("filename",AT1),FIND("]",CELL("filename",AT1))+1,255)&amp;"1")))&lt;&gt;MONTH(TODAY()),BD43/(DAY(EOMONTH(DATE(YEAR(TODAY()),VALUE(MONTH(DATEVALUE(MID(CELL("filename",AT1),FIND("]",CELL("filename",AT1))+1,255)&amp;"1"))),1),0))),(BD43-BD42)/('[1]Summary TCM'!$AB$140-DAY(TODAY()-1)))</f>
        <v>#VALUE!</v>
      </c>
      <c r="BE45" t="e">
        <f ca="1">IF(VALUE(MONTH(DATEVALUE(MID(CELL("filename",AU1),FIND("]",CELL("filename",AU1))+1,255)&amp;"1")))&lt;&gt;MONTH(TODAY()),BE43/(DAY(EOMONTH(DATE(YEAR(TODAY()),VALUE(MONTH(DATEVALUE(MID(CELL("filename",AU1),FIND("]",CELL("filename",AU1))+1,255)&amp;"1"))),1),0))),(BE43-BE42)/('[1]Summary TCM'!$AB$140-DAY(TODAY()-1)))</f>
        <v>#VALUE!</v>
      </c>
      <c r="BF45" t="e">
        <f ca="1">IF(VALUE(MONTH(DATEVALUE(MID(CELL("filename",AV1),FIND("]",CELL("filename",AV1))+1,255)&amp;"1")))&lt;&gt;MONTH(TODAY()),BF43/(DAY(EOMONTH(DATE(YEAR(TODAY()),VALUE(MONTH(DATEVALUE(MID(CELL("filename",AV1),FIND("]",CELL("filename",AV1))+1,255)&amp;"1"))),1),0))),(BF43-BF42)/('[1]Summary TCM'!$AB$140-DAY(TODAY()-1)))</f>
        <v>#VALUE!</v>
      </c>
      <c r="BG45" t="e">
        <f ca="1">IF(VALUE(MONTH(DATEVALUE(MID(CELL("filename",AW1),FIND("]",CELL("filename",AW1))+1,255)&amp;"1")))&lt;&gt;MONTH(TODAY()),BG43/(DAY(EOMONTH(DATE(YEAR(TODAY()),VALUE(MONTH(DATEVALUE(MID(CELL("filename",AW1),FIND("]",CELL("filename",AW1))+1,255)&amp;"1"))),1),0))),(BG43-BG42)/('[1]Summary TCM'!$AB$140-DAY(TODAY()-1)))</f>
        <v>#VALUE!</v>
      </c>
      <c r="BH45" t="e">
        <f ca="1">IF(VALUE(MONTH(DATEVALUE(MID(CELL("filename",AX1),FIND("]",CELL("filename",AX1))+1,255)&amp;"1")))&lt;&gt;MONTH(TODAY()),BH43/(DAY(EOMONTH(DATE(YEAR(TODAY()),VALUE(MONTH(DATEVALUE(MID(CELL("filename",AX1),FIND("]",CELL("filename",AX1))+1,255)&amp;"1"))),1),0))),(BH43-BH42)/('[1]Summary TCM'!$AB$140-DAY(TODAY()-1)))</f>
        <v>#VALUE!</v>
      </c>
      <c r="BI45" t="e">
        <f ca="1">IF(VALUE(MONTH(DATEVALUE(MID(CELL("filename",AY1),FIND("]",CELL("filename",AY1))+1,255)&amp;"1")))&lt;&gt;MONTH(TODAY()),BI43/(DAY(EOMONTH(DATE(YEAR(TODAY()),VALUE(MONTH(DATEVALUE(MID(CELL("filename",AY1),FIND("]",CELL("filename",AY1))+1,255)&amp;"1"))),1),0))),(BI43-BI42)/('[1]Summary TCM'!$AB$140-DAY(TODAY()-1)))</f>
        <v>#VALUE!</v>
      </c>
      <c r="BJ45" t="e">
        <f ca="1">IF(VALUE(MONTH(DATEVALUE(MID(CELL("filename",AZ1),FIND("]",CELL("filename",AZ1))+1,255)&amp;"1")))&lt;&gt;MONTH(TODAY()),BJ43/(DAY(EOMONTH(DATE(YEAR(TODAY()),VALUE(MONTH(DATEVALUE(MID(CELL("filename",AZ1),FIND("]",CELL("filename",AZ1))+1,255)&amp;"1"))),1),0))),(BJ43-BJ42)/('[1]Summary TCM'!$AB$140-DAY(TODAY()-1)))</f>
        <v>#VALUE!</v>
      </c>
      <c r="BK45" t="e">
        <f ca="1">IF(VALUE(MONTH(DATEVALUE(MID(CELL("filename",BA1),FIND("]",CELL("filename",BA1))+1,255)&amp;"1")))&lt;&gt;MONTH(TODAY()),BK43/(DAY(EOMONTH(DATE(YEAR(TODAY()),VALUE(MONTH(DATEVALUE(MID(CELL("filename",BA1),FIND("]",CELL("filename",BA1))+1,255)&amp;"1"))),1),0))),(BK43-BK42)/('[1]Summary TCM'!$AB$140-DAY(TODAY()-1)))</f>
        <v>#VALUE!</v>
      </c>
      <c r="BL45" t="e">
        <f ca="1">IF(VALUE(MONTH(DATEVALUE(MID(CELL("filename",BB1),FIND("]",CELL("filename",BB1))+1,255)&amp;"1")))&lt;&gt;MONTH(TODAY()),BL43/(DAY(EOMONTH(DATE(YEAR(TODAY()),VALUE(MONTH(DATEVALUE(MID(CELL("filename",BB1),FIND("]",CELL("filename",BB1))+1,255)&amp;"1"))),1),0))),(BL43-BL42)/('[1]Summary TCM'!$AB$140-DAY(TODAY()-1)))</f>
        <v>#VALUE!</v>
      </c>
      <c r="BM45" t="e">
        <f ca="1">IF(VALUE(MONTH(DATEVALUE(MID(CELL("filename",BC1),FIND("]",CELL("filename",BC1))+1,255)&amp;"1")))&lt;&gt;MONTH(TODAY()),BM43/(DAY(EOMONTH(DATE(YEAR(TODAY()),VALUE(MONTH(DATEVALUE(MID(CELL("filename",BC1),FIND("]",CELL("filename",BC1))+1,255)&amp;"1"))),1),0))),(BM43-BM42)/('[1]Summary TCM'!$AB$140-DAY(TODAY()-1)))</f>
        <v>#VALUE!</v>
      </c>
      <c r="BO45" t="e">
        <f ca="1">IF(VALUE(MONTH(DATEVALUE(MID(CELL("filename",BD1),FIND("]",CELL("filename",BD1))+1,255)&amp;"1")))&lt;&gt;MONTH(TODAY()),BO43/(DAY(EOMONTH(DATE(YEAR(TODAY()),VALUE(MONTH(DATEVALUE(MID(CELL("filename",BD1),FIND("]",CELL("filename",BD1))+1,255)&amp;"1"))),1),0))),(BO43-BO42)/('[1]Summary TCM'!$AB$140-DAY(TODAY()-1)))</f>
        <v>#VALUE!</v>
      </c>
      <c r="BP45" t="e">
        <f ca="1">IF(VALUE(MONTH(DATEVALUE(MID(CELL("filename",BE1),FIND("]",CELL("filename",BE1))+1,255)&amp;"1")))&lt;&gt;MONTH(TODAY()),BQ43/(DAY(EOMONTH(DATE(YEAR(TODAY()),VALUE(MONTH(DATEVALUE(MID(CELL("filename",BE1),FIND("]",CELL("filename",BE1))+1,255)&amp;"1"))),1),0))),(BQ43-BP42)/('[1]Summary TCM'!$AB$140-DAY(TODAY()-1)))</f>
        <v>#VALUE!</v>
      </c>
      <c r="BQ45" t="e">
        <f ca="1">IF(VALUE(MONTH(DATEVALUE(MID(CELL("filename",BF1),FIND("]",CELL("filename",BF1))+1,255)&amp;"1")))&lt;&gt;MONTH(TODAY()),#REF!/(DAY(EOMONTH(DATE(YEAR(TODAY()),VALUE(MONTH(DATEVALUE(MID(CELL("filename",BF1),FIND("]",CELL("filename",BF1))+1,255)&amp;"1"))),1),0))),(#REF!-BQ42)/('[1]Summary TCM'!$AB$140-DAY(TODAY()-1)))</f>
        <v>#VALUE!</v>
      </c>
      <c r="BR45" t="e">
        <f ca="1">IF(VALUE(MONTH(DATEVALUE(MID(CELL("filename",BG1),FIND("]",CELL("filename",BG1))+1,255)&amp;"1")))&lt;&gt;MONTH(TODAY()),BR43/(DAY(EOMONTH(DATE(YEAR(TODAY()),VALUE(MONTH(DATEVALUE(MID(CELL("filename",BG1),FIND("]",CELL("filename",BG1))+1,255)&amp;"1"))),1),0))),(BR43-BR42)/('[1]Summary TCM'!$AB$140-DAY(TODAY()-1)))</f>
        <v>#VALUE!</v>
      </c>
      <c r="BS45" t="e">
        <f ca="1">IF(VALUE(MONTH(DATEVALUE(MID(CELL("filename",BE1),FIND("]",CELL("filename",BE1))+1,255)&amp;"1")))&lt;&gt;MONTH(TODAY()),BS43/(DAY(EOMONTH(DATE(YEAR(TODAY()),VALUE(MONTH(DATEVALUE(MID(CELL("filename",BE1),FIND("]",CELL("filename",BE1))+1,255)&amp;"1"))),1),0))),(BS43-BS42)/('[1]Summary TCM'!$AB$140-DAY(TODAY()-1)))</f>
        <v>#VALUE!</v>
      </c>
      <c r="BT45" t="e">
        <f ca="1">IF(VALUE(MONTH(DATEVALUE(MID(CELL("filename",BF1),FIND("]",CELL("filename",BF1))+1,255)&amp;"1")))&lt;&gt;MONTH(TODAY()),BT43/(DAY(EOMONTH(DATE(YEAR(TODAY()),VALUE(MONTH(DATEVALUE(MID(CELL("filename",BF1),FIND("]",CELL("filename",BF1))+1,255)&amp;"1"))),1),0))),(BT43-BT42)/('[1]Summary TCM'!$AB$140-DAY(TODAY()-1)))</f>
        <v>#VALUE!</v>
      </c>
      <c r="BU45" t="e">
        <f ca="1">IF(VALUE(MONTH(DATEVALUE(MID(CELL("filename",BG1),FIND("]",CELL("filename",BG1))+1,255)&amp;"1")))&lt;&gt;MONTH(TODAY()),BU43/(DAY(EOMONTH(DATE(YEAR(TODAY()),VALUE(MONTH(DATEVALUE(MID(CELL("filename",BG1),FIND("]",CELL("filename",BG1))+1,255)&amp;"1"))),1),0))),(BU43-BU42)/('[1]Summary TCM'!$AB$140-DAY(TODAY()-1)))</f>
        <v>#VALUE!</v>
      </c>
      <c r="BV45" t="e">
        <f ca="1">IF(VALUE(MONTH(DATEVALUE(MID(CELL("filename",BH1),FIND("]",CELL("filename",BH1))+1,255)&amp;"1")))&lt;&gt;MONTH(TODAY()),BV43/(DAY(EOMONTH(DATE(YEAR(TODAY()),VALUE(MONTH(DATEVALUE(MID(CELL("filename",BH1),FIND("]",CELL("filename",BH1))+1,255)&amp;"1"))),1),0))),(BV43-BV42)/('[1]Summary TCM'!$AB$140-DAY(TODAY()-1)))</f>
        <v>#VALUE!</v>
      </c>
      <c r="BW45" t="e">
        <f ca="1">IF(VALUE(MONTH(DATEVALUE(MID(CELL("filename",BI1),FIND("]",CELL("filename",BI1))+1,255)&amp;"1")))&lt;&gt;MONTH(TODAY()),BW43/(DAY(EOMONTH(DATE(YEAR(TODAY()),VALUE(MONTH(DATEVALUE(MID(CELL("filename",BI1),FIND("]",CELL("filename",BI1))+1,255)&amp;"1"))),1),0))),(BW43-BW42)/('[1]Summary TCM'!$AB$140-DAY(TODAY()-1)))</f>
        <v>#VALUE!</v>
      </c>
      <c r="BX45" t="e">
        <f ca="1">IF(VALUE(MONTH(DATEVALUE(MID(CELL("filename",BJ1),FIND("]",CELL("filename",BJ1))+1,255)&amp;"1")))&lt;&gt;MONTH(TODAY()),BX43/(DAY(EOMONTH(DATE(YEAR(TODAY()),VALUE(MONTH(DATEVALUE(MID(CELL("filename",BJ1),FIND("]",CELL("filename",BJ1))+1,255)&amp;"1"))),1),0))),(BX43-BX42)/('[1]Summary TCM'!$AB$140-DAY(TODAY()-1)))</f>
        <v>#VALUE!</v>
      </c>
      <c r="CE45" t="e">
        <f ca="1">IF(VALUE(MONTH(DATEVALUE(MID(CELL("filename",BK1),FIND("]",CELL("filename",BK1))+1,255)&amp;"1")))&lt;&gt;MONTH(TODAY()),CE43/(DAY(EOMONTH(DATE(YEAR(TODAY()),VALUE(MONTH(DATEVALUE(MID(CELL("filename",BK1),FIND("]",CELL("filename",BK1))+1,255)&amp;"1"))),1),0))),(CE43-CE42)/('[1]Summary TCM'!$AB$140-DAY(TODAY()-1)))</f>
        <v>#VALUE!</v>
      </c>
      <c r="CF45" t="e">
        <f ca="1">IF(VALUE(MONTH(DATEVALUE(MID(CELL("filename",BL1),FIND("]",CELL("filename",BL1))+1,255)&amp;"1")))&lt;&gt;MONTH(TODAY()),CF43/(DAY(EOMONTH(DATE(YEAR(TODAY()),VALUE(MONTH(DATEVALUE(MID(CELL("filename",BL1),FIND("]",CELL("filename",BL1))+1,255)&amp;"1"))),1),0))),(CF43-CF42)/('[1]Summary TCM'!$AB$140-DAY(TODAY()-1)))</f>
        <v>#VALUE!</v>
      </c>
      <c r="CG45" t="e">
        <f ca="1">IF(VALUE(MONTH(DATEVALUE(MID(CELL("filename",BM1),FIND("]",CELL("filename",BM1))+1,255)&amp;"1")))&lt;&gt;MONTH(TODAY()),CG43/(DAY(EOMONTH(DATE(YEAR(TODAY()),VALUE(MONTH(DATEVALUE(MID(CELL("filename",BM1),FIND("]",CELL("filename",BM1))+1,255)&amp;"1"))),1),0))),(CG43-CG42)/('[1]Summary TCM'!$AB$140-DAY(TODAY()-1)))</f>
        <v>#VALUE!</v>
      </c>
      <c r="DL45" s="281"/>
      <c r="JO45">
        <f>SUMPRODUCT(JO43:JV43,JO44:JV44)</f>
        <v>0</v>
      </c>
      <c r="JW45">
        <f>SUMPRODUCT(JW43:KD43,JW44:KD44)</f>
        <v>0</v>
      </c>
      <c r="KE45">
        <f>SUMPRODUCT(KE43:KL43,KE44:KL44)</f>
        <v>0</v>
      </c>
      <c r="LX45" s="314"/>
      <c r="LZ45" s="314"/>
      <c r="MB45" s="1"/>
      <c r="OD45" s="95"/>
      <c r="QN45" s="1"/>
      <c r="QO45" s="1"/>
      <c r="QQ45" s="1"/>
      <c r="QR45" s="1"/>
      <c r="RY45" s="1"/>
    </row>
    <row r="46" spans="1:502">
      <c r="D46" s="1"/>
      <c r="E46" s="1"/>
      <c r="F46" s="1"/>
      <c r="G46" s="1"/>
      <c r="H46" s="95"/>
      <c r="I46" s="1"/>
      <c r="AB46" s="887"/>
      <c r="DL46" s="1"/>
      <c r="GQ46" s="887">
        <f>GL41+GM41</f>
        <v>237556.40999999997</v>
      </c>
      <c r="JL46" s="95"/>
      <c r="JM46" s="1"/>
      <c r="LK46" s="330"/>
      <c r="LS46" s="314"/>
      <c r="NO46" s="1"/>
      <c r="NX46" s="1"/>
      <c r="NY46" s="1"/>
      <c r="OD46" s="95"/>
      <c r="RY46" s="1"/>
    </row>
    <row r="47" spans="1:502">
      <c r="C47" s="1"/>
      <c r="D47" s="887">
        <f>D43-D41</f>
        <v>-80984.159999999974</v>
      </c>
      <c r="E47" s="1"/>
      <c r="F47" s="1"/>
      <c r="G47" s="1"/>
      <c r="H47" s="887"/>
      <c r="I47" s="1"/>
      <c r="P47" s="887"/>
      <c r="T47" s="887"/>
      <c r="AB47" s="887"/>
      <c r="AQ47" s="95"/>
      <c r="AR47" s="95"/>
      <c r="AS47" s="95"/>
      <c r="AT47" s="95"/>
      <c r="AU47" s="95"/>
      <c r="AV47" s="95"/>
      <c r="AW47" s="95"/>
      <c r="AX47" s="95"/>
      <c r="AY47" s="95"/>
      <c r="AZ47" s="95"/>
      <c r="BA47" s="95"/>
      <c r="BB47" s="95"/>
      <c r="BC47" s="95"/>
      <c r="BD47" s="95"/>
      <c r="BE47" s="95"/>
      <c r="BF47" s="95"/>
      <c r="BG47" s="95"/>
      <c r="BH47" s="95"/>
      <c r="BI47" s="95"/>
      <c r="BJ47" s="95"/>
      <c r="BK47" s="95"/>
      <c r="BL47" s="95"/>
      <c r="BM47" s="95"/>
      <c r="BN47" s="95"/>
      <c r="BO47" s="95"/>
      <c r="BP47" s="95">
        <f ca="1">BP47</f>
        <v>0</v>
      </c>
      <c r="BQ47" s="95"/>
      <c r="BR47" s="95"/>
      <c r="BS47" s="95"/>
      <c r="BT47" s="95"/>
      <c r="BU47" s="95"/>
      <c r="BV47" s="95"/>
      <c r="BW47" s="95"/>
      <c r="BX47" s="95"/>
      <c r="BY47" s="95"/>
      <c r="BZ47" s="95"/>
      <c r="CA47" s="95"/>
      <c r="CB47" s="95"/>
      <c r="CC47" s="95"/>
      <c r="CD47" s="95"/>
      <c r="DX47" s="1">
        <f>DW28+DS28</f>
        <v>0</v>
      </c>
      <c r="GN47" s="887"/>
      <c r="GQ47" s="887"/>
      <c r="JI47" s="887"/>
      <c r="JJ47" s="887"/>
      <c r="JL47" s="887">
        <f>JL43-JL41</f>
        <v>-75706.339999999967</v>
      </c>
      <c r="JM47" s="887"/>
      <c r="KU47" s="347"/>
      <c r="LI47" s="329"/>
      <c r="LK47" s="1447"/>
      <c r="LL47" s="314"/>
      <c r="LM47" s="314"/>
      <c r="LP47" s="314"/>
      <c r="LQ47" s="314">
        <v>5222.3980000000001</v>
      </c>
      <c r="LS47" s="314"/>
      <c r="NO47" s="1"/>
      <c r="RY47" s="1"/>
    </row>
    <row r="48" spans="1:502" hidden="1">
      <c r="D48" s="887"/>
      <c r="E48" s="1"/>
      <c r="F48" s="1"/>
      <c r="G48" s="1"/>
      <c r="I48" s="95"/>
      <c r="O48" s="887"/>
      <c r="P48" s="887"/>
      <c r="S48" s="887"/>
      <c r="T48" s="887"/>
      <c r="AB48" s="887"/>
      <c r="AC48" s="1"/>
      <c r="AD48" s="1"/>
      <c r="AE48" s="1"/>
      <c r="AQ48" s="887"/>
      <c r="AR48" s="887"/>
      <c r="AW48" s="1">
        <f>AW43-AW42</f>
        <v>-154566.23760000011</v>
      </c>
      <c r="BC48" s="1">
        <f>BC43-BC42</f>
        <v>-103947.10409999988</v>
      </c>
      <c r="BG48" s="887"/>
      <c r="BL48" s="1">
        <f>BL43-BL42</f>
        <v>-183716.83060000022</v>
      </c>
      <c r="BM48" s="887">
        <f>BM43/31</f>
        <v>1612.9032258064517</v>
      </c>
      <c r="BN48" s="887"/>
      <c r="BP48" s="887"/>
      <c r="BQ48" s="887"/>
      <c r="BS48" s="421">
        <f>BS43-BS42</f>
        <v>0</v>
      </c>
      <c r="BT48" s="95"/>
      <c r="BV48" s="1">
        <f>BV43-BV42</f>
        <v>222546.86330000008</v>
      </c>
      <c r="BW48" s="1">
        <f>BW43-BW41</f>
        <v>-40020</v>
      </c>
      <c r="BY48" s="1">
        <f>BY43-BY42</f>
        <v>0</v>
      </c>
      <c r="CE48" s="421">
        <f>CE43-CE42</f>
        <v>0</v>
      </c>
      <c r="CH48" s="887"/>
      <c r="IM48" s="1"/>
      <c r="JI48" s="887">
        <f>JI43-JI41</f>
        <v>-65687.780000000028</v>
      </c>
      <c r="JJ48" s="887">
        <f>JJ43-JJ41</f>
        <v>-10018.559999999998</v>
      </c>
      <c r="JK48" s="887"/>
      <c r="JL48" s="887">
        <f>JL47/13</f>
        <v>-5823.5646153846128</v>
      </c>
      <c r="JM48" s="887"/>
      <c r="JO48" s="2715"/>
      <c r="JP48" s="2715"/>
      <c r="LG48" s="328"/>
      <c r="LH48" s="328"/>
      <c r="LI48" s="331"/>
      <c r="LL48" s="328"/>
      <c r="LM48" s="314"/>
      <c r="LQ48" s="314">
        <v>7444.732</v>
      </c>
      <c r="LS48" s="314"/>
      <c r="NO48" s="1"/>
      <c r="PJ48" t="s">
        <v>79</v>
      </c>
      <c r="RY48" s="1"/>
    </row>
    <row r="49" spans="2:493" ht="25.2" hidden="1" customHeight="1">
      <c r="D49" s="887"/>
      <c r="O49" s="1">
        <f>O43-O42</f>
        <v>-258513.34169999976</v>
      </c>
      <c r="P49" s="887">
        <f>P43-P41</f>
        <v>-38144.869999999966</v>
      </c>
      <c r="S49" s="887">
        <f>S43-S42</f>
        <v>-183716.83060000022</v>
      </c>
      <c r="T49" s="887">
        <f>T43-T41</f>
        <v>-10413.75</v>
      </c>
      <c r="X49" s="887">
        <f>X43-X42</f>
        <v>-31407.658199999991</v>
      </c>
      <c r="Y49" s="887"/>
      <c r="Z49" s="1"/>
      <c r="AA49" s="887">
        <f>P41+T41+AB41</f>
        <v>285964.15999999997</v>
      </c>
      <c r="AB49" s="887"/>
      <c r="AD49" s="1"/>
      <c r="AE49" s="1"/>
      <c r="BG49" s="887"/>
      <c r="BW49" s="887">
        <f>BW43/31</f>
        <v>1290.3225806451612</v>
      </c>
      <c r="BZ49" s="887"/>
      <c r="DT49" s="1"/>
      <c r="EM49" s="1"/>
      <c r="GY49" s="887">
        <f>GW38-GN38</f>
        <v>0</v>
      </c>
      <c r="JI49" s="887"/>
      <c r="JL49" s="887"/>
      <c r="JM49" s="887"/>
      <c r="LG49" s="306"/>
      <c r="LH49" s="887"/>
      <c r="LI49" s="887"/>
      <c r="LJ49" s="327"/>
      <c r="LM49" s="314"/>
      <c r="LQ49" s="314">
        <v>7339.2969999999996</v>
      </c>
      <c r="NO49" s="1"/>
      <c r="OB49" s="1"/>
      <c r="RY49" s="1"/>
    </row>
    <row r="50" spans="2:493" hidden="1">
      <c r="M50" s="92"/>
      <c r="O50">
        <f>'Summary TCM'!AZ21</f>
        <v>2740000</v>
      </c>
      <c r="P50" s="887">
        <f>'Summary TCM'!AZ38</f>
        <v>205000</v>
      </c>
      <c r="S50">
        <f>'Summary TCM'!AZ25/30</f>
        <v>33666.666666666664</v>
      </c>
      <c r="T50" s="887">
        <f>'Summary TCM'!AZ42/30</f>
        <v>1666.6666666666667</v>
      </c>
      <c r="U50" s="887"/>
      <c r="W50">
        <f>'Summary TCM'!AZ29+'Summary TCM'!AZ99</f>
        <v>720000</v>
      </c>
      <c r="X50" s="887">
        <f>'Summary TCM'!AZ46+'Summary TCM'!AZ113</f>
        <v>70000</v>
      </c>
      <c r="AB50" s="887"/>
      <c r="AD50" s="887"/>
      <c r="AX50" s="887"/>
      <c r="BD50" s="887"/>
      <c r="BM50" s="887"/>
      <c r="BN50" s="887"/>
      <c r="BQ50" s="887"/>
      <c r="BW50" s="887"/>
      <c r="GN50" s="1079"/>
      <c r="GS50" s="887">
        <f>GS43/31</f>
        <v>0</v>
      </c>
      <c r="JI50" s="887"/>
      <c r="JL50" s="95"/>
      <c r="JM50" s="887"/>
      <c r="JO50" s="95"/>
      <c r="JQ50" s="887"/>
      <c r="LH50" s="887"/>
      <c r="LI50" s="95"/>
      <c r="LL50" s="314"/>
      <c r="LM50" s="314"/>
      <c r="LY50" s="1078"/>
      <c r="NO50" s="1"/>
      <c r="RY50" s="1"/>
    </row>
    <row r="51" spans="2:493" ht="22.95" hidden="1" customHeight="1">
      <c r="M51" s="39"/>
      <c r="O51" s="1">
        <f>O50/30</f>
        <v>91333.333333333328</v>
      </c>
      <c r="P51" s="887">
        <f>P50/30</f>
        <v>6833.333333333333</v>
      </c>
      <c r="W51">
        <f>W50/30</f>
        <v>24000</v>
      </c>
      <c r="X51" s="887">
        <f>X50/30</f>
        <v>2333.3333333333335</v>
      </c>
      <c r="Y51" s="887"/>
      <c r="AB51" s="887"/>
      <c r="JL51" s="485"/>
      <c r="LK51" s="95"/>
      <c r="NO51" s="1"/>
      <c r="RY51" s="1"/>
    </row>
    <row r="52" spans="2:493" s="145" customFormat="1" hidden="1">
      <c r="M52" s="982"/>
      <c r="O52" s="1717">
        <v>91333.333333333328</v>
      </c>
      <c r="P52" s="1717">
        <v>6833.333333333333</v>
      </c>
      <c r="S52" s="2222">
        <f>S50</f>
        <v>33666.666666666664</v>
      </c>
      <c r="T52" s="2222">
        <f>T50</f>
        <v>1666.6666666666667</v>
      </c>
      <c r="W52" s="2222">
        <v>24000</v>
      </c>
      <c r="X52" s="2222">
        <v>2333.3333333333335</v>
      </c>
      <c r="AB52" s="489">
        <f>P43-P41</f>
        <v>-38144.869999999966</v>
      </c>
      <c r="AW52" s="145">
        <f>114433+880303+87096</f>
        <v>1081832</v>
      </c>
      <c r="AX52" s="145">
        <f>14516+24194+16935</f>
        <v>55645</v>
      </c>
      <c r="BC52" s="145">
        <f>10391+32968</f>
        <v>43359</v>
      </c>
      <c r="JM52" s="432"/>
      <c r="NO52" s="1"/>
      <c r="RY52" s="459"/>
    </row>
    <row r="53" spans="2:493" s="145" customFormat="1" hidden="1">
      <c r="B53" s="145">
        <v>1</v>
      </c>
      <c r="C53" s="459"/>
      <c r="D53" s="459"/>
      <c r="M53" s="982"/>
      <c r="N53" s="145">
        <v>1</v>
      </c>
      <c r="O53" s="459">
        <f>O52</f>
        <v>91333.333333333328</v>
      </c>
      <c r="P53" s="986">
        <f>P52</f>
        <v>6833.333333333333</v>
      </c>
      <c r="R53" s="145">
        <v>1</v>
      </c>
      <c r="S53" s="459">
        <f>S52</f>
        <v>33666.666666666664</v>
      </c>
      <c r="T53" s="459">
        <f>T52</f>
        <v>1666.6666666666667</v>
      </c>
      <c r="V53" s="145">
        <v>1</v>
      </c>
      <c r="W53" s="459">
        <f>W52</f>
        <v>24000</v>
      </c>
      <c r="X53" s="145">
        <f>X52</f>
        <v>2333.3333333333335</v>
      </c>
      <c r="Z53" s="145">
        <v>1</v>
      </c>
      <c r="AB53" s="145">
        <v>30</v>
      </c>
      <c r="BF53" s="145">
        <v>121506</v>
      </c>
      <c r="NO53" s="1"/>
      <c r="RY53" s="459"/>
    </row>
    <row r="54" spans="2:493" s="145" customFormat="1" hidden="1">
      <c r="B54" s="145">
        <v>2</v>
      </c>
      <c r="C54" s="459"/>
      <c r="D54" s="459"/>
      <c r="M54" s="982"/>
      <c r="N54" s="145">
        <v>2</v>
      </c>
      <c r="O54" s="459">
        <f t="shared" ref="O54:O83" si="181">O53+($O$52)</f>
        <v>182666.66666666666</v>
      </c>
      <c r="P54" s="986">
        <f t="shared" ref="P54:P83" si="182">P53+($P$52)</f>
        <v>13666.666666666666</v>
      </c>
      <c r="R54" s="145">
        <v>2</v>
      </c>
      <c r="S54" s="459">
        <f t="shared" ref="S54:S83" si="183">S53+($S$52)</f>
        <v>67333.333333333328</v>
      </c>
      <c r="T54" s="459">
        <f t="shared" ref="T54:T83" si="184">T53+$T$52</f>
        <v>3333.3333333333335</v>
      </c>
      <c r="V54" s="145">
        <v>2</v>
      </c>
      <c r="W54" s="459">
        <f t="shared" ref="W54:W83" si="185">W53+($W$52)</f>
        <v>48000</v>
      </c>
      <c r="X54" s="459">
        <f t="shared" ref="X54:X83" si="186">X53+$X$52</f>
        <v>4666.666666666667</v>
      </c>
      <c r="Z54" s="145">
        <v>2</v>
      </c>
      <c r="AB54" s="489">
        <f>AB52/AB53</f>
        <v>-1271.4956666666656</v>
      </c>
      <c r="BF54" s="145">
        <v>896260</v>
      </c>
      <c r="NO54" s="1"/>
      <c r="RY54" s="459"/>
    </row>
    <row r="55" spans="2:493" s="145" customFormat="1" hidden="1">
      <c r="B55" s="145">
        <v>3</v>
      </c>
      <c r="C55" s="459"/>
      <c r="D55" s="459"/>
      <c r="M55" s="982"/>
      <c r="N55" s="145">
        <v>3</v>
      </c>
      <c r="O55" s="459">
        <f t="shared" si="181"/>
        <v>274000</v>
      </c>
      <c r="P55" s="986">
        <f t="shared" si="182"/>
        <v>20500</v>
      </c>
      <c r="R55" s="145">
        <v>3</v>
      </c>
      <c r="S55" s="459">
        <f t="shared" si="183"/>
        <v>101000</v>
      </c>
      <c r="T55" s="459">
        <f t="shared" si="184"/>
        <v>5000</v>
      </c>
      <c r="V55" s="145">
        <v>3</v>
      </c>
      <c r="W55" s="459">
        <f t="shared" si="185"/>
        <v>72000</v>
      </c>
      <c r="X55" s="459">
        <f t="shared" si="186"/>
        <v>7000</v>
      </c>
      <c r="Z55" s="145">
        <v>3</v>
      </c>
      <c r="BF55" s="145">
        <v>24906</v>
      </c>
      <c r="NO55" s="1"/>
      <c r="RY55" s="459"/>
    </row>
    <row r="56" spans="2:493" s="145" customFormat="1" hidden="1">
      <c r="B56" s="145">
        <v>4</v>
      </c>
      <c r="C56" s="459"/>
      <c r="D56" s="459"/>
      <c r="M56" s="982"/>
      <c r="N56" s="145">
        <v>4</v>
      </c>
      <c r="O56" s="459">
        <f t="shared" si="181"/>
        <v>365333.33333333331</v>
      </c>
      <c r="P56" s="986">
        <f t="shared" si="182"/>
        <v>27333.333333333332</v>
      </c>
      <c r="R56" s="145">
        <v>4</v>
      </c>
      <c r="S56" s="459">
        <f t="shared" si="183"/>
        <v>134666.66666666666</v>
      </c>
      <c r="T56" s="459">
        <f t="shared" si="184"/>
        <v>6666.666666666667</v>
      </c>
      <c r="V56" s="145">
        <v>4</v>
      </c>
      <c r="W56" s="459">
        <f t="shared" si="185"/>
        <v>96000</v>
      </c>
      <c r="X56" s="459">
        <f t="shared" si="186"/>
        <v>9333.3333333333339</v>
      </c>
      <c r="Z56" s="145">
        <v>4</v>
      </c>
      <c r="NO56" s="1"/>
      <c r="RY56" s="459"/>
    </row>
    <row r="57" spans="2:493" s="145" customFormat="1" hidden="1">
      <c r="B57" s="145">
        <v>5</v>
      </c>
      <c r="C57" s="459"/>
      <c r="D57" s="459"/>
      <c r="M57" s="982"/>
      <c r="N57" s="145">
        <v>5</v>
      </c>
      <c r="O57" s="459">
        <f t="shared" si="181"/>
        <v>456666.66666666663</v>
      </c>
      <c r="P57" s="986">
        <f t="shared" si="182"/>
        <v>34166.666666666664</v>
      </c>
      <c r="R57" s="145">
        <v>5</v>
      </c>
      <c r="S57" s="459">
        <f t="shared" si="183"/>
        <v>168333.33333333331</v>
      </c>
      <c r="T57" s="459">
        <f t="shared" si="184"/>
        <v>8333.3333333333339</v>
      </c>
      <c r="V57" s="145">
        <v>5</v>
      </c>
      <c r="W57" s="459">
        <f t="shared" si="185"/>
        <v>120000</v>
      </c>
      <c r="X57" s="459">
        <f t="shared" si="186"/>
        <v>11666.666666666668</v>
      </c>
      <c r="Z57" s="145">
        <v>5</v>
      </c>
      <c r="BF57" s="1005">
        <f>SUM(BF53:BF56)</f>
        <v>1042672</v>
      </c>
      <c r="NO57" s="1"/>
      <c r="RY57" s="459"/>
    </row>
    <row r="58" spans="2:493" s="145" customFormat="1" hidden="1">
      <c r="B58" s="145">
        <v>6</v>
      </c>
      <c r="C58" s="459"/>
      <c r="D58" s="459"/>
      <c r="M58" s="982"/>
      <c r="N58" s="145">
        <v>6</v>
      </c>
      <c r="O58" s="459">
        <f t="shared" si="181"/>
        <v>548000</v>
      </c>
      <c r="P58" s="986">
        <f t="shared" si="182"/>
        <v>41000</v>
      </c>
      <c r="R58" s="145">
        <v>6</v>
      </c>
      <c r="S58" s="459">
        <f t="shared" si="183"/>
        <v>201999.99999999997</v>
      </c>
      <c r="T58" s="459">
        <f t="shared" si="184"/>
        <v>10000</v>
      </c>
      <c r="V58" s="145">
        <v>6</v>
      </c>
      <c r="W58" s="459">
        <f t="shared" si="185"/>
        <v>144000</v>
      </c>
      <c r="X58" s="459">
        <f t="shared" si="186"/>
        <v>14000.000000000002</v>
      </c>
      <c r="Z58" s="145">
        <v>6</v>
      </c>
      <c r="BF58" s="145">
        <f>1038834-1017766</f>
        <v>21068</v>
      </c>
      <c r="NO58" s="1"/>
      <c r="RY58" s="459"/>
    </row>
    <row r="59" spans="2:493" s="145" customFormat="1" hidden="1">
      <c r="B59" s="145">
        <v>7</v>
      </c>
      <c r="C59" s="459"/>
      <c r="D59" s="459"/>
      <c r="M59" s="982"/>
      <c r="N59" s="145">
        <v>7</v>
      </c>
      <c r="O59" s="459">
        <f t="shared" si="181"/>
        <v>639333.33333333337</v>
      </c>
      <c r="P59" s="986">
        <f t="shared" si="182"/>
        <v>47833.333333333336</v>
      </c>
      <c r="R59" s="145">
        <v>7</v>
      </c>
      <c r="S59" s="459">
        <f t="shared" si="183"/>
        <v>235666.66666666663</v>
      </c>
      <c r="T59" s="459">
        <f t="shared" si="184"/>
        <v>11666.666666666666</v>
      </c>
      <c r="V59" s="145">
        <v>7</v>
      </c>
      <c r="W59" s="459">
        <f t="shared" si="185"/>
        <v>168000</v>
      </c>
      <c r="X59" s="459">
        <f t="shared" si="186"/>
        <v>16333.333333333336</v>
      </c>
      <c r="Z59" s="145">
        <v>7</v>
      </c>
      <c r="BF59" s="145">
        <f>BF57-1038834</f>
        <v>3838</v>
      </c>
      <c r="NO59" s="1"/>
      <c r="RY59" s="459"/>
    </row>
    <row r="60" spans="2:493" s="145" customFormat="1" hidden="1">
      <c r="B60" s="145">
        <v>8</v>
      </c>
      <c r="C60" s="459"/>
      <c r="D60" s="459"/>
      <c r="M60" s="982"/>
      <c r="N60" s="145">
        <v>8</v>
      </c>
      <c r="O60" s="459">
        <f t="shared" si="181"/>
        <v>730666.66666666674</v>
      </c>
      <c r="P60" s="986">
        <f t="shared" si="182"/>
        <v>54666.666666666672</v>
      </c>
      <c r="R60" s="145">
        <v>8</v>
      </c>
      <c r="S60" s="459">
        <f t="shared" si="183"/>
        <v>269333.33333333331</v>
      </c>
      <c r="T60" s="459">
        <f t="shared" si="184"/>
        <v>13333.333333333332</v>
      </c>
      <c r="V60" s="145">
        <v>8</v>
      </c>
      <c r="W60" s="459">
        <f t="shared" si="185"/>
        <v>192000</v>
      </c>
      <c r="X60" s="459">
        <f t="shared" si="186"/>
        <v>18666.666666666668</v>
      </c>
      <c r="Z60" s="145">
        <v>8</v>
      </c>
      <c r="AP60" s="145">
        <v>37911.700000000004</v>
      </c>
      <c r="NO60" s="1"/>
      <c r="RY60" s="459"/>
    </row>
    <row r="61" spans="2:493" s="145" customFormat="1" hidden="1">
      <c r="B61" s="145">
        <v>9</v>
      </c>
      <c r="C61" s="459"/>
      <c r="D61" s="459"/>
      <c r="M61" s="982"/>
      <c r="N61" s="145">
        <v>9</v>
      </c>
      <c r="O61" s="459">
        <f t="shared" si="181"/>
        <v>822000.00000000012</v>
      </c>
      <c r="P61" s="986">
        <f t="shared" si="182"/>
        <v>61500.000000000007</v>
      </c>
      <c r="R61" s="145">
        <v>9</v>
      </c>
      <c r="S61" s="459">
        <f t="shared" si="183"/>
        <v>303000</v>
      </c>
      <c r="T61" s="459">
        <f t="shared" si="184"/>
        <v>14999.999999999998</v>
      </c>
      <c r="V61" s="145">
        <v>9</v>
      </c>
      <c r="W61" s="459">
        <f t="shared" si="185"/>
        <v>216000</v>
      </c>
      <c r="X61" s="459">
        <f t="shared" si="186"/>
        <v>21000</v>
      </c>
      <c r="Z61" s="145">
        <v>9</v>
      </c>
      <c r="NO61" s="1"/>
      <c r="RY61" s="459"/>
    </row>
    <row r="62" spans="2:493" s="145" customFormat="1" hidden="1">
      <c r="B62" s="145">
        <v>10</v>
      </c>
      <c r="C62" s="459"/>
      <c r="D62" s="459"/>
      <c r="M62" s="982"/>
      <c r="N62" s="145">
        <v>10</v>
      </c>
      <c r="O62" s="459">
        <f t="shared" si="181"/>
        <v>913333.33333333349</v>
      </c>
      <c r="P62" s="986">
        <f t="shared" si="182"/>
        <v>68333.333333333343</v>
      </c>
      <c r="R62" s="145">
        <v>10</v>
      </c>
      <c r="S62" s="459">
        <f t="shared" si="183"/>
        <v>336666.66666666669</v>
      </c>
      <c r="T62" s="459">
        <f t="shared" si="184"/>
        <v>16666.666666666664</v>
      </c>
      <c r="V62" s="145">
        <v>10</v>
      </c>
      <c r="W62" s="459">
        <f t="shared" si="185"/>
        <v>240000</v>
      </c>
      <c r="X62" s="459">
        <f t="shared" si="186"/>
        <v>23333.333333333332</v>
      </c>
      <c r="Z62" s="145">
        <v>10</v>
      </c>
      <c r="NO62" s="1"/>
      <c r="RY62" s="459"/>
    </row>
    <row r="63" spans="2:493" s="145" customFormat="1" hidden="1">
      <c r="B63" s="145">
        <v>11</v>
      </c>
      <c r="C63" s="459"/>
      <c r="D63" s="459"/>
      <c r="M63" s="982"/>
      <c r="N63" s="145">
        <v>11</v>
      </c>
      <c r="O63" s="459">
        <f t="shared" si="181"/>
        <v>1004666.6666666669</v>
      </c>
      <c r="P63" s="986">
        <f t="shared" si="182"/>
        <v>75166.666666666672</v>
      </c>
      <c r="R63" s="145">
        <v>11</v>
      </c>
      <c r="S63" s="459">
        <f t="shared" si="183"/>
        <v>370333.33333333337</v>
      </c>
      <c r="T63" s="459">
        <f t="shared" si="184"/>
        <v>18333.333333333332</v>
      </c>
      <c r="V63" s="145">
        <v>11</v>
      </c>
      <c r="W63" s="459">
        <f t="shared" si="185"/>
        <v>264000</v>
      </c>
      <c r="X63" s="459">
        <f t="shared" si="186"/>
        <v>25666.666666666664</v>
      </c>
      <c r="Z63" s="145">
        <v>11</v>
      </c>
      <c r="NO63" s="1"/>
      <c r="RY63" s="459"/>
    </row>
    <row r="64" spans="2:493" s="145" customFormat="1" hidden="1">
      <c r="B64" s="145">
        <v>12</v>
      </c>
      <c r="C64" s="459"/>
      <c r="D64" s="459"/>
      <c r="M64" s="982"/>
      <c r="N64" s="145">
        <v>12</v>
      </c>
      <c r="O64" s="459">
        <f t="shared" si="181"/>
        <v>1096000.0000000002</v>
      </c>
      <c r="P64" s="986">
        <f t="shared" si="182"/>
        <v>82000</v>
      </c>
      <c r="R64" s="145">
        <v>12</v>
      </c>
      <c r="S64" s="459">
        <f t="shared" si="183"/>
        <v>404000.00000000006</v>
      </c>
      <c r="T64" s="459">
        <f t="shared" si="184"/>
        <v>20000</v>
      </c>
      <c r="V64" s="145">
        <v>12</v>
      </c>
      <c r="W64" s="459">
        <f t="shared" si="185"/>
        <v>288000</v>
      </c>
      <c r="X64" s="459">
        <f t="shared" si="186"/>
        <v>27999.999999999996</v>
      </c>
      <c r="Z64" s="145">
        <v>12</v>
      </c>
      <c r="NO64" s="1"/>
      <c r="RY64" s="459"/>
    </row>
    <row r="65" spans="2:493" s="145" customFormat="1" hidden="1">
      <c r="B65" s="145">
        <v>13</v>
      </c>
      <c r="C65" s="459"/>
      <c r="D65" s="459"/>
      <c r="M65" s="982"/>
      <c r="N65" s="145">
        <v>13</v>
      </c>
      <c r="O65" s="459">
        <f t="shared" si="181"/>
        <v>1187333.3333333335</v>
      </c>
      <c r="P65" s="986">
        <f t="shared" si="182"/>
        <v>88833.333333333328</v>
      </c>
      <c r="R65" s="145">
        <v>13</v>
      </c>
      <c r="S65" s="459">
        <f t="shared" si="183"/>
        <v>437666.66666666674</v>
      </c>
      <c r="T65" s="459">
        <f t="shared" si="184"/>
        <v>21666.666666666668</v>
      </c>
      <c r="V65" s="145">
        <v>13</v>
      </c>
      <c r="W65" s="459">
        <f t="shared" si="185"/>
        <v>312000</v>
      </c>
      <c r="X65" s="459">
        <f t="shared" si="186"/>
        <v>30333.333333333328</v>
      </c>
      <c r="Z65" s="145">
        <v>13</v>
      </c>
      <c r="NO65" s="1"/>
      <c r="RY65" s="459"/>
    </row>
    <row r="66" spans="2:493" s="145" customFormat="1" hidden="1">
      <c r="B66" s="145">
        <v>14</v>
      </c>
      <c r="C66" s="459"/>
      <c r="D66" s="459"/>
      <c r="M66" s="982"/>
      <c r="N66" s="145">
        <v>14</v>
      </c>
      <c r="O66" s="459">
        <f t="shared" si="181"/>
        <v>1278666.6666666667</v>
      </c>
      <c r="P66" s="986">
        <f t="shared" si="182"/>
        <v>95666.666666666657</v>
      </c>
      <c r="R66" s="145">
        <v>14</v>
      </c>
      <c r="S66" s="459">
        <f t="shared" si="183"/>
        <v>471333.33333333343</v>
      </c>
      <c r="T66" s="459">
        <f t="shared" si="184"/>
        <v>23333.333333333336</v>
      </c>
      <c r="V66" s="145">
        <v>14</v>
      </c>
      <c r="W66" s="459">
        <f t="shared" si="185"/>
        <v>336000</v>
      </c>
      <c r="X66" s="459">
        <f t="shared" si="186"/>
        <v>32666.666666666661</v>
      </c>
      <c r="Z66" s="145">
        <v>14</v>
      </c>
      <c r="NO66" s="1"/>
      <c r="RY66" s="459"/>
    </row>
    <row r="67" spans="2:493" s="145" customFormat="1" hidden="1">
      <c r="B67" s="145">
        <v>15</v>
      </c>
      <c r="C67" s="459"/>
      <c r="D67" s="459"/>
      <c r="M67" s="982"/>
      <c r="N67" s="145">
        <v>15</v>
      </c>
      <c r="O67" s="459">
        <f t="shared" si="181"/>
        <v>1370000</v>
      </c>
      <c r="P67" s="986">
        <f t="shared" si="182"/>
        <v>102499.99999999999</v>
      </c>
      <c r="R67" s="145">
        <v>15</v>
      </c>
      <c r="S67" s="459">
        <f t="shared" si="183"/>
        <v>505000.00000000012</v>
      </c>
      <c r="T67" s="459">
        <f t="shared" si="184"/>
        <v>25000.000000000004</v>
      </c>
      <c r="V67" s="145">
        <v>15</v>
      </c>
      <c r="W67" s="459">
        <f t="shared" si="185"/>
        <v>360000</v>
      </c>
      <c r="X67" s="459">
        <f t="shared" si="186"/>
        <v>34999.999999999993</v>
      </c>
      <c r="Z67" s="145">
        <v>15</v>
      </c>
      <c r="NO67" s="1"/>
      <c r="RY67" s="459"/>
    </row>
    <row r="68" spans="2:493" s="145" customFormat="1" hidden="1">
      <c r="B68" s="145">
        <v>16</v>
      </c>
      <c r="C68" s="459"/>
      <c r="D68" s="459"/>
      <c r="M68" s="982"/>
      <c r="N68" s="145">
        <v>16</v>
      </c>
      <c r="O68" s="459">
        <f t="shared" si="181"/>
        <v>1461333.3333333333</v>
      </c>
      <c r="P68" s="986">
        <f t="shared" si="182"/>
        <v>109333.33333333331</v>
      </c>
      <c r="R68" s="145">
        <v>16</v>
      </c>
      <c r="S68" s="459">
        <f t="shared" si="183"/>
        <v>538666.66666666674</v>
      </c>
      <c r="T68" s="459">
        <f t="shared" si="184"/>
        <v>26666.666666666672</v>
      </c>
      <c r="V68" s="145">
        <v>16</v>
      </c>
      <c r="W68" s="459">
        <f t="shared" si="185"/>
        <v>384000</v>
      </c>
      <c r="X68" s="459">
        <f t="shared" si="186"/>
        <v>37333.333333333328</v>
      </c>
      <c r="Z68" s="145">
        <v>16</v>
      </c>
      <c r="NO68" s="1"/>
      <c r="RY68" s="459"/>
    </row>
    <row r="69" spans="2:493" s="145" customFormat="1" hidden="1">
      <c r="B69" s="145">
        <v>17</v>
      </c>
      <c r="C69" s="459"/>
      <c r="D69" s="459"/>
      <c r="N69" s="145">
        <v>17</v>
      </c>
      <c r="O69" s="459">
        <f t="shared" si="181"/>
        <v>1552666.6666666665</v>
      </c>
      <c r="P69" s="986">
        <f t="shared" si="182"/>
        <v>116166.66666666664</v>
      </c>
      <c r="R69" s="145">
        <v>17</v>
      </c>
      <c r="S69" s="459">
        <f t="shared" si="183"/>
        <v>572333.33333333337</v>
      </c>
      <c r="T69" s="459">
        <f t="shared" si="184"/>
        <v>28333.333333333339</v>
      </c>
      <c r="V69" s="145">
        <v>17</v>
      </c>
      <c r="W69" s="459">
        <f t="shared" si="185"/>
        <v>408000</v>
      </c>
      <c r="X69" s="459">
        <f t="shared" si="186"/>
        <v>39666.666666666664</v>
      </c>
      <c r="Z69" s="145">
        <v>17</v>
      </c>
      <c r="NO69" s="1"/>
      <c r="RY69" s="459"/>
    </row>
    <row r="70" spans="2:493" s="145" customFormat="1" hidden="1">
      <c r="B70" s="145">
        <v>18</v>
      </c>
      <c r="C70" s="459"/>
      <c r="D70" s="459"/>
      <c r="N70" s="145">
        <v>18</v>
      </c>
      <c r="O70" s="459">
        <f t="shared" si="181"/>
        <v>1643999.9999999998</v>
      </c>
      <c r="P70" s="986">
        <f t="shared" si="182"/>
        <v>122999.99999999997</v>
      </c>
      <c r="R70" s="145">
        <v>18</v>
      </c>
      <c r="S70" s="459">
        <f t="shared" si="183"/>
        <v>606000</v>
      </c>
      <c r="T70" s="459">
        <f t="shared" si="184"/>
        <v>30000.000000000007</v>
      </c>
      <c r="V70" s="145">
        <v>18</v>
      </c>
      <c r="W70" s="459">
        <f t="shared" si="185"/>
        <v>432000</v>
      </c>
      <c r="X70" s="459">
        <f t="shared" si="186"/>
        <v>42000</v>
      </c>
      <c r="Z70" s="145">
        <v>18</v>
      </c>
      <c r="NO70" s="1"/>
      <c r="RY70" s="459"/>
    </row>
    <row r="71" spans="2:493" s="145" customFormat="1" hidden="1">
      <c r="B71" s="145">
        <v>19</v>
      </c>
      <c r="C71" s="459"/>
      <c r="D71" s="459"/>
      <c r="N71" s="145">
        <v>19</v>
      </c>
      <c r="O71" s="459">
        <f t="shared" si="181"/>
        <v>1735333.333333333</v>
      </c>
      <c r="P71" s="986">
        <f t="shared" si="182"/>
        <v>129833.3333333333</v>
      </c>
      <c r="R71" s="145">
        <v>19</v>
      </c>
      <c r="S71" s="459">
        <f t="shared" si="183"/>
        <v>639666.66666666663</v>
      </c>
      <c r="T71" s="459">
        <f t="shared" si="184"/>
        <v>31666.666666666675</v>
      </c>
      <c r="V71" s="145">
        <v>19</v>
      </c>
      <c r="W71" s="459">
        <f t="shared" si="185"/>
        <v>456000</v>
      </c>
      <c r="X71" s="459">
        <f t="shared" si="186"/>
        <v>44333.333333333336</v>
      </c>
      <c r="Z71" s="145">
        <v>19</v>
      </c>
      <c r="NO71" s="1"/>
      <c r="RY71" s="459"/>
    </row>
    <row r="72" spans="2:493" s="145" customFormat="1" hidden="1">
      <c r="B72" s="145">
        <v>20</v>
      </c>
      <c r="C72" s="459"/>
      <c r="D72" s="459"/>
      <c r="N72" s="145">
        <v>20</v>
      </c>
      <c r="O72" s="459">
        <f t="shared" si="181"/>
        <v>1826666.6666666663</v>
      </c>
      <c r="P72" s="986">
        <f t="shared" si="182"/>
        <v>136666.66666666663</v>
      </c>
      <c r="R72" s="145">
        <v>20</v>
      </c>
      <c r="S72" s="459">
        <f t="shared" si="183"/>
        <v>673333.33333333326</v>
      </c>
      <c r="T72" s="459">
        <f t="shared" si="184"/>
        <v>33333.333333333343</v>
      </c>
      <c r="V72" s="145">
        <v>20</v>
      </c>
      <c r="W72" s="459">
        <f t="shared" si="185"/>
        <v>480000</v>
      </c>
      <c r="X72" s="459">
        <f t="shared" si="186"/>
        <v>46666.666666666672</v>
      </c>
      <c r="Z72" s="145">
        <v>20</v>
      </c>
      <c r="NO72" s="1"/>
      <c r="RY72" s="459"/>
    </row>
    <row r="73" spans="2:493" s="145" customFormat="1" hidden="1">
      <c r="B73" s="145">
        <v>21</v>
      </c>
      <c r="C73" s="459"/>
      <c r="D73" s="459"/>
      <c r="N73" s="145">
        <v>21</v>
      </c>
      <c r="O73" s="459">
        <f t="shared" si="181"/>
        <v>1917999.9999999995</v>
      </c>
      <c r="P73" s="986">
        <f t="shared" si="182"/>
        <v>143499.99999999997</v>
      </c>
      <c r="R73" s="145">
        <v>21</v>
      </c>
      <c r="S73" s="459">
        <f t="shared" si="183"/>
        <v>706999.99999999988</v>
      </c>
      <c r="T73" s="459">
        <f t="shared" si="184"/>
        <v>35000.000000000007</v>
      </c>
      <c r="V73" s="145">
        <v>21</v>
      </c>
      <c r="W73" s="459">
        <f t="shared" si="185"/>
        <v>504000</v>
      </c>
      <c r="X73" s="459">
        <f t="shared" si="186"/>
        <v>49000.000000000007</v>
      </c>
      <c r="Z73" s="145">
        <v>21</v>
      </c>
      <c r="NO73" s="1"/>
      <c r="RY73" s="459"/>
    </row>
    <row r="74" spans="2:493" s="145" customFormat="1" hidden="1">
      <c r="B74" s="145">
        <v>22</v>
      </c>
      <c r="C74" s="459"/>
      <c r="D74" s="459"/>
      <c r="N74" s="145">
        <v>22</v>
      </c>
      <c r="O74" s="459">
        <f t="shared" si="181"/>
        <v>2009333.3333333328</v>
      </c>
      <c r="P74" s="986">
        <f t="shared" si="182"/>
        <v>150333.33333333331</v>
      </c>
      <c r="R74" s="145">
        <v>22</v>
      </c>
      <c r="S74" s="459">
        <f t="shared" si="183"/>
        <v>740666.66666666651</v>
      </c>
      <c r="T74" s="459">
        <f t="shared" si="184"/>
        <v>36666.666666666672</v>
      </c>
      <c r="V74" s="145">
        <v>22</v>
      </c>
      <c r="W74" s="459">
        <f t="shared" si="185"/>
        <v>528000</v>
      </c>
      <c r="X74" s="459">
        <f t="shared" si="186"/>
        <v>51333.333333333343</v>
      </c>
      <c r="Z74" s="145">
        <v>22</v>
      </c>
      <c r="NO74" s="1"/>
      <c r="RY74" s="459"/>
    </row>
    <row r="75" spans="2:493" s="145" customFormat="1" hidden="1">
      <c r="B75" s="145">
        <v>23</v>
      </c>
      <c r="C75" s="459"/>
      <c r="D75" s="459"/>
      <c r="N75" s="145">
        <v>23</v>
      </c>
      <c r="O75" s="459">
        <f t="shared" si="181"/>
        <v>2100666.666666666</v>
      </c>
      <c r="P75" s="986">
        <f t="shared" si="182"/>
        <v>157166.66666666666</v>
      </c>
      <c r="R75" s="145">
        <v>23</v>
      </c>
      <c r="S75" s="459">
        <f t="shared" si="183"/>
        <v>774333.33333333314</v>
      </c>
      <c r="T75" s="459">
        <f t="shared" si="184"/>
        <v>38333.333333333336</v>
      </c>
      <c r="V75" s="145">
        <v>23</v>
      </c>
      <c r="W75" s="459">
        <f t="shared" si="185"/>
        <v>552000</v>
      </c>
      <c r="X75" s="459">
        <f t="shared" si="186"/>
        <v>53666.666666666679</v>
      </c>
      <c r="Y75" s="459"/>
      <c r="Z75" s="145">
        <v>23</v>
      </c>
      <c r="NO75" s="1"/>
      <c r="RY75" s="459"/>
    </row>
    <row r="76" spans="2:493" s="145" customFormat="1" hidden="1">
      <c r="B76" s="145">
        <v>24</v>
      </c>
      <c r="C76" s="459"/>
      <c r="D76" s="459"/>
      <c r="N76" s="145">
        <v>24</v>
      </c>
      <c r="O76" s="459">
        <f t="shared" si="181"/>
        <v>2191999.9999999995</v>
      </c>
      <c r="P76" s="986">
        <f t="shared" si="182"/>
        <v>164000</v>
      </c>
      <c r="R76" s="145">
        <v>24</v>
      </c>
      <c r="S76" s="459">
        <f t="shared" si="183"/>
        <v>807999.99999999977</v>
      </c>
      <c r="T76" s="459">
        <f t="shared" si="184"/>
        <v>40000</v>
      </c>
      <c r="V76" s="145">
        <v>24</v>
      </c>
      <c r="W76" s="459">
        <f t="shared" si="185"/>
        <v>576000</v>
      </c>
      <c r="X76" s="459">
        <f t="shared" si="186"/>
        <v>56000.000000000015</v>
      </c>
      <c r="Z76" s="145">
        <v>24</v>
      </c>
      <c r="NO76" s="1"/>
      <c r="RY76" s="459"/>
    </row>
    <row r="77" spans="2:493" s="145" customFormat="1" hidden="1">
      <c r="B77" s="145">
        <v>25</v>
      </c>
      <c r="C77" s="459"/>
      <c r="D77" s="459"/>
      <c r="N77" s="145">
        <v>25</v>
      </c>
      <c r="O77" s="459">
        <f t="shared" si="181"/>
        <v>2283333.333333333</v>
      </c>
      <c r="P77" s="986">
        <f t="shared" si="182"/>
        <v>170833.33333333334</v>
      </c>
      <c r="R77" s="145">
        <v>25</v>
      </c>
      <c r="S77" s="459">
        <f t="shared" si="183"/>
        <v>841666.6666666664</v>
      </c>
      <c r="T77" s="459">
        <f t="shared" si="184"/>
        <v>41666.666666666664</v>
      </c>
      <c r="V77" s="145">
        <v>25</v>
      </c>
      <c r="W77" s="459">
        <f t="shared" si="185"/>
        <v>600000</v>
      </c>
      <c r="X77" s="459">
        <f t="shared" si="186"/>
        <v>58333.33333333335</v>
      </c>
      <c r="Z77" s="145">
        <v>25</v>
      </c>
      <c r="NO77" s="1"/>
      <c r="RY77" s="459"/>
    </row>
    <row r="78" spans="2:493" s="145" customFormat="1" hidden="1">
      <c r="B78" s="145">
        <v>26</v>
      </c>
      <c r="C78" s="459"/>
      <c r="D78" s="459"/>
      <c r="N78" s="145">
        <v>26</v>
      </c>
      <c r="O78" s="459">
        <f t="shared" si="181"/>
        <v>2374666.6666666665</v>
      </c>
      <c r="P78" s="986">
        <f t="shared" si="182"/>
        <v>177666.66666666669</v>
      </c>
      <c r="R78" s="145">
        <v>26</v>
      </c>
      <c r="S78" s="459">
        <f t="shared" si="183"/>
        <v>875333.33333333302</v>
      </c>
      <c r="T78" s="459">
        <f t="shared" si="184"/>
        <v>43333.333333333328</v>
      </c>
      <c r="V78" s="145">
        <v>26</v>
      </c>
      <c r="W78" s="459">
        <f t="shared" si="185"/>
        <v>624000</v>
      </c>
      <c r="X78" s="459">
        <f t="shared" si="186"/>
        <v>60666.666666666686</v>
      </c>
      <c r="Z78" s="145">
        <v>26</v>
      </c>
      <c r="NO78" s="1"/>
      <c r="RY78" s="459"/>
    </row>
    <row r="79" spans="2:493" s="145" customFormat="1" hidden="1">
      <c r="B79" s="145">
        <v>27</v>
      </c>
      <c r="C79" s="459"/>
      <c r="D79" s="459"/>
      <c r="N79" s="145">
        <v>27</v>
      </c>
      <c r="O79" s="459">
        <f t="shared" si="181"/>
        <v>2466000</v>
      </c>
      <c r="P79" s="986">
        <f t="shared" si="182"/>
        <v>184500.00000000003</v>
      </c>
      <c r="R79" s="145">
        <v>27</v>
      </c>
      <c r="S79" s="459">
        <f t="shared" si="183"/>
        <v>908999.99999999965</v>
      </c>
      <c r="T79" s="459">
        <f t="shared" si="184"/>
        <v>44999.999999999993</v>
      </c>
      <c r="V79" s="145">
        <v>27</v>
      </c>
      <c r="W79" s="459">
        <f t="shared" si="185"/>
        <v>648000</v>
      </c>
      <c r="X79" s="459">
        <f t="shared" si="186"/>
        <v>63000.000000000022</v>
      </c>
      <c r="Z79" s="145">
        <v>27</v>
      </c>
      <c r="NO79" s="1"/>
      <c r="RY79" s="459"/>
    </row>
    <row r="80" spans="2:493" s="145" customFormat="1" hidden="1">
      <c r="B80" s="145">
        <v>28</v>
      </c>
      <c r="C80" s="459"/>
      <c r="D80" s="459"/>
      <c r="N80" s="145">
        <v>28</v>
      </c>
      <c r="O80" s="459">
        <f t="shared" si="181"/>
        <v>2557333.3333333335</v>
      </c>
      <c r="P80" s="986">
        <f t="shared" si="182"/>
        <v>191333.33333333337</v>
      </c>
      <c r="R80" s="145">
        <v>28</v>
      </c>
      <c r="S80" s="459">
        <f t="shared" si="183"/>
        <v>942666.66666666628</v>
      </c>
      <c r="T80" s="459">
        <f t="shared" si="184"/>
        <v>46666.666666666657</v>
      </c>
      <c r="V80" s="145">
        <v>28</v>
      </c>
      <c r="W80" s="459">
        <f t="shared" si="185"/>
        <v>672000</v>
      </c>
      <c r="X80" s="459">
        <f t="shared" si="186"/>
        <v>65333.333333333358</v>
      </c>
      <c r="Z80" s="145">
        <v>28</v>
      </c>
      <c r="NO80" s="1"/>
      <c r="RY80" s="459"/>
    </row>
    <row r="81" spans="2:493" s="145" customFormat="1" hidden="1">
      <c r="B81" s="145">
        <v>29</v>
      </c>
      <c r="C81" s="459"/>
      <c r="D81" s="459"/>
      <c r="N81" s="145">
        <v>29</v>
      </c>
      <c r="O81" s="459">
        <f t="shared" si="181"/>
        <v>2648666.666666667</v>
      </c>
      <c r="P81" s="986">
        <f t="shared" si="182"/>
        <v>198166.66666666672</v>
      </c>
      <c r="R81" s="145">
        <v>29</v>
      </c>
      <c r="S81" s="459">
        <f t="shared" si="183"/>
        <v>976333.33333333291</v>
      </c>
      <c r="T81" s="459">
        <f t="shared" si="184"/>
        <v>48333.333333333321</v>
      </c>
      <c r="V81" s="145">
        <v>29</v>
      </c>
      <c r="W81" s="459">
        <f t="shared" si="185"/>
        <v>696000</v>
      </c>
      <c r="X81" s="459">
        <f t="shared" si="186"/>
        <v>67666.666666666686</v>
      </c>
      <c r="Z81" s="145">
        <v>29</v>
      </c>
      <c r="NO81" s="1"/>
      <c r="RY81" s="459"/>
    </row>
    <row r="82" spans="2:493" s="145" customFormat="1" hidden="1">
      <c r="B82" s="145">
        <v>30</v>
      </c>
      <c r="C82" s="459"/>
      <c r="D82" s="459"/>
      <c r="N82" s="145">
        <v>30</v>
      </c>
      <c r="O82" s="459">
        <f t="shared" si="181"/>
        <v>2740000.0000000005</v>
      </c>
      <c r="P82" s="986">
        <f t="shared" si="182"/>
        <v>205000.00000000006</v>
      </c>
      <c r="R82" s="145">
        <v>30</v>
      </c>
      <c r="S82" s="459">
        <f t="shared" si="183"/>
        <v>1009999.9999999995</v>
      </c>
      <c r="T82" s="459">
        <f t="shared" si="184"/>
        <v>49999.999999999985</v>
      </c>
      <c r="V82" s="145">
        <v>30</v>
      </c>
      <c r="W82" s="459">
        <f t="shared" si="185"/>
        <v>720000</v>
      </c>
      <c r="X82" s="459">
        <f t="shared" si="186"/>
        <v>70000.000000000015</v>
      </c>
      <c r="NO82" s="1"/>
      <c r="RY82" s="459"/>
    </row>
    <row r="83" spans="2:493" s="145" customFormat="1" hidden="1">
      <c r="B83" s="145">
        <v>31</v>
      </c>
      <c r="C83" s="459"/>
      <c r="D83" s="459"/>
      <c r="N83" s="145">
        <v>31</v>
      </c>
      <c r="O83" s="459">
        <f t="shared" si="181"/>
        <v>2831333.333333334</v>
      </c>
      <c r="P83" s="986">
        <f t="shared" si="182"/>
        <v>211833.3333333334</v>
      </c>
      <c r="Q83" s="982"/>
      <c r="R83" s="145">
        <v>31</v>
      </c>
      <c r="S83" s="459">
        <f t="shared" si="183"/>
        <v>1043666.6666666662</v>
      </c>
      <c r="T83" s="459">
        <f t="shared" si="184"/>
        <v>51666.66666666665</v>
      </c>
      <c r="U83" s="982"/>
      <c r="V83" s="145">
        <v>31</v>
      </c>
      <c r="W83" s="459">
        <f t="shared" si="185"/>
        <v>744000</v>
      </c>
      <c r="X83" s="459">
        <f t="shared" si="186"/>
        <v>72333.333333333343</v>
      </c>
      <c r="NO83" s="1"/>
      <c r="RY83" s="459"/>
    </row>
    <row r="84" spans="2:493" s="145" customFormat="1" hidden="1">
      <c r="NO84" s="1"/>
      <c r="RY84" s="459"/>
    </row>
    <row r="85" spans="2:493" s="145" customFormat="1" hidden="1">
      <c r="NO85" s="1"/>
      <c r="RY85" s="459"/>
    </row>
    <row r="86" spans="2:493" s="145" customFormat="1" hidden="1">
      <c r="NO86" s="1"/>
      <c r="RY86" s="459"/>
    </row>
    <row r="87" spans="2:493" s="145" customFormat="1" hidden="1">
      <c r="NO87" s="1"/>
      <c r="RY87" s="459"/>
    </row>
    <row r="88" spans="2:493" s="145" customFormat="1" hidden="1">
      <c r="W88" s="459"/>
      <c r="X88" s="459"/>
      <c r="NO88" s="1"/>
      <c r="RY88" s="459"/>
    </row>
    <row r="89" spans="2:493" s="145" customFormat="1" hidden="1">
      <c r="O89" s="489"/>
      <c r="P89" s="489"/>
      <c r="S89" s="489"/>
      <c r="T89" s="489"/>
      <c r="W89" s="489"/>
      <c r="X89" s="489"/>
      <c r="NO89" s="1"/>
      <c r="RY89" s="459"/>
    </row>
    <row r="90" spans="2:493" s="145" customFormat="1" hidden="1">
      <c r="O90" s="489">
        <f>O43/30</f>
        <v>84666.666666666672</v>
      </c>
      <c r="P90" s="489">
        <f>P43/30</f>
        <v>6166.666666666667</v>
      </c>
      <c r="S90" s="489">
        <f>S43/30</f>
        <v>30000</v>
      </c>
      <c r="T90" s="489">
        <f>T43/30</f>
        <v>1666.6666666666667</v>
      </c>
      <c r="W90" s="489">
        <f>W43/30</f>
        <v>26666.666666666668</v>
      </c>
      <c r="X90" s="489">
        <f>X43/30</f>
        <v>1333.3333333333333</v>
      </c>
      <c r="NO90" s="1"/>
      <c r="RY90" s="459"/>
    </row>
    <row r="91" spans="2:493" s="145" customFormat="1" hidden="1">
      <c r="NO91" s="1"/>
      <c r="RY91" s="459"/>
    </row>
    <row r="92" spans="2:493" s="145" customFormat="1" hidden="1">
      <c r="NO92" s="1"/>
      <c r="RY92" s="459"/>
    </row>
    <row r="93" spans="2:493" s="145" customFormat="1" hidden="1">
      <c r="NO93" s="1"/>
      <c r="RY93" s="459"/>
    </row>
    <row r="94" spans="2:493" s="145" customFormat="1" hidden="1">
      <c r="M94" s="982"/>
      <c r="O94" s="1076">
        <v>85000</v>
      </c>
      <c r="P94" s="1076">
        <v>6333.333333333333</v>
      </c>
      <c r="Q94" s="459"/>
      <c r="R94" s="459"/>
      <c r="S94" s="983">
        <v>30666.666666666668</v>
      </c>
      <c r="T94" s="983">
        <v>1666.6666666666667</v>
      </c>
      <c r="U94" s="984"/>
      <c r="V94" s="984"/>
      <c r="W94" s="1076">
        <v>28000</v>
      </c>
      <c r="X94" s="983">
        <v>1833.3333333333333</v>
      </c>
      <c r="Y94" s="985"/>
      <c r="Z94" s="985"/>
      <c r="AB94" s="459">
        <f>P94*31</f>
        <v>196333.33333333331</v>
      </c>
      <c r="JM94" s="432"/>
      <c r="NO94" s="1"/>
      <c r="RY94" s="459"/>
    </row>
    <row r="95" spans="2:493" s="145" customFormat="1" hidden="1">
      <c r="B95" s="145">
        <v>1</v>
      </c>
      <c r="C95" s="459"/>
      <c r="D95" s="459"/>
      <c r="M95" s="982"/>
      <c r="N95" s="145">
        <v>1</v>
      </c>
      <c r="O95" s="459">
        <f>O94</f>
        <v>85000</v>
      </c>
      <c r="P95" s="459">
        <f>P94</f>
        <v>6333.333333333333</v>
      </c>
      <c r="R95" s="145">
        <v>1</v>
      </c>
      <c r="S95" s="459">
        <f>S94</f>
        <v>30666.666666666668</v>
      </c>
      <c r="T95" s="145">
        <f>T94</f>
        <v>1666.6666666666667</v>
      </c>
      <c r="V95" s="145">
        <v>1</v>
      </c>
      <c r="W95" s="459">
        <f>W94</f>
        <v>28000</v>
      </c>
      <c r="X95" s="459">
        <f>X94</f>
        <v>1833.3333333333333</v>
      </c>
      <c r="Z95" s="145">
        <v>1</v>
      </c>
      <c r="NO95" s="1"/>
      <c r="RY95" s="459"/>
    </row>
    <row r="96" spans="2:493" s="145" customFormat="1" hidden="1">
      <c r="B96" s="145">
        <v>2</v>
      </c>
      <c r="C96" s="459"/>
      <c r="D96" s="459"/>
      <c r="M96" s="982"/>
      <c r="N96" s="145">
        <v>2</v>
      </c>
      <c r="O96" s="459">
        <f t="shared" ref="O96:O125" si="187">O95+($O$94)</f>
        <v>170000</v>
      </c>
      <c r="P96" s="459">
        <f t="shared" ref="P96:P125" si="188">P95+($P$94)</f>
        <v>12666.666666666666</v>
      </c>
      <c r="R96" s="145">
        <v>2</v>
      </c>
      <c r="S96" s="459">
        <f t="shared" ref="S96:S125" si="189">S95+($S$94)</f>
        <v>61333.333333333336</v>
      </c>
      <c r="T96" s="489">
        <f t="shared" ref="T96:T125" si="190">T95+($T$94)</f>
        <v>3333.3333333333335</v>
      </c>
      <c r="V96" s="145">
        <v>2</v>
      </c>
      <c r="W96" s="459">
        <f t="shared" ref="W96:W125" si="191">W95+($W$94)</f>
        <v>56000</v>
      </c>
      <c r="X96" s="459">
        <f t="shared" ref="X96:X125" si="192">X95+$X$94</f>
        <v>3666.6666666666665</v>
      </c>
      <c r="Z96" s="145">
        <v>2</v>
      </c>
      <c r="NO96" s="1"/>
      <c r="RY96" s="459"/>
    </row>
    <row r="97" spans="2:493" s="145" customFormat="1" hidden="1">
      <c r="B97" s="145">
        <v>3</v>
      </c>
      <c r="C97" s="459"/>
      <c r="D97" s="459"/>
      <c r="M97" s="982"/>
      <c r="N97" s="145">
        <v>3</v>
      </c>
      <c r="O97" s="459">
        <f t="shared" si="187"/>
        <v>255000</v>
      </c>
      <c r="P97" s="459">
        <f t="shared" si="188"/>
        <v>19000</v>
      </c>
      <c r="R97" s="145">
        <v>3</v>
      </c>
      <c r="S97" s="459">
        <f t="shared" si="189"/>
        <v>92000</v>
      </c>
      <c r="T97" s="489">
        <f t="shared" si="190"/>
        <v>5000</v>
      </c>
      <c r="V97" s="145">
        <v>3</v>
      </c>
      <c r="W97" s="459">
        <f t="shared" si="191"/>
        <v>84000</v>
      </c>
      <c r="X97" s="459">
        <f t="shared" si="192"/>
        <v>5500</v>
      </c>
      <c r="Z97" s="145">
        <v>3</v>
      </c>
      <c r="NO97" s="1"/>
      <c r="RY97" s="459"/>
    </row>
    <row r="98" spans="2:493" s="145" customFormat="1" hidden="1">
      <c r="B98" s="145">
        <v>4</v>
      </c>
      <c r="C98" s="459"/>
      <c r="D98" s="459"/>
      <c r="M98" s="982"/>
      <c r="N98" s="145">
        <v>4</v>
      </c>
      <c r="O98" s="459">
        <f t="shared" si="187"/>
        <v>340000</v>
      </c>
      <c r="P98" s="459">
        <f t="shared" si="188"/>
        <v>25333.333333333332</v>
      </c>
      <c r="R98" s="145">
        <v>4</v>
      </c>
      <c r="S98" s="459">
        <f t="shared" si="189"/>
        <v>122666.66666666667</v>
      </c>
      <c r="T98" s="489">
        <f t="shared" si="190"/>
        <v>6666.666666666667</v>
      </c>
      <c r="V98" s="145">
        <v>4</v>
      </c>
      <c r="W98" s="459">
        <f t="shared" si="191"/>
        <v>112000</v>
      </c>
      <c r="X98" s="459">
        <f t="shared" si="192"/>
        <v>7333.333333333333</v>
      </c>
      <c r="Z98" s="145">
        <v>4</v>
      </c>
      <c r="NO98" s="1"/>
      <c r="RY98" s="459"/>
    </row>
    <row r="99" spans="2:493" s="145" customFormat="1" hidden="1">
      <c r="B99" s="145">
        <v>5</v>
      </c>
      <c r="C99" s="459"/>
      <c r="D99" s="459"/>
      <c r="M99" s="982"/>
      <c r="N99" s="145">
        <v>5</v>
      </c>
      <c r="O99" s="459">
        <f t="shared" si="187"/>
        <v>425000</v>
      </c>
      <c r="P99" s="459">
        <f t="shared" si="188"/>
        <v>31666.666666666664</v>
      </c>
      <c r="R99" s="145">
        <v>5</v>
      </c>
      <c r="S99" s="459">
        <f t="shared" si="189"/>
        <v>153333.33333333334</v>
      </c>
      <c r="T99" s="489">
        <f t="shared" si="190"/>
        <v>8333.3333333333339</v>
      </c>
      <c r="V99" s="145">
        <v>5</v>
      </c>
      <c r="W99" s="459">
        <f t="shared" si="191"/>
        <v>140000</v>
      </c>
      <c r="X99" s="459">
        <f t="shared" si="192"/>
        <v>9166.6666666666661</v>
      </c>
      <c r="Z99" s="145">
        <v>5</v>
      </c>
      <c r="NO99" s="1"/>
      <c r="RY99" s="459"/>
    </row>
    <row r="100" spans="2:493" s="145" customFormat="1" hidden="1">
      <c r="B100" s="145">
        <v>6</v>
      </c>
      <c r="C100" s="459"/>
      <c r="D100" s="459"/>
      <c r="M100" s="982"/>
      <c r="N100" s="145">
        <v>6</v>
      </c>
      <c r="O100" s="459">
        <f t="shared" si="187"/>
        <v>510000</v>
      </c>
      <c r="P100" s="459">
        <f t="shared" si="188"/>
        <v>38000</v>
      </c>
      <c r="R100" s="145">
        <v>6</v>
      </c>
      <c r="S100" s="459">
        <f t="shared" si="189"/>
        <v>184000</v>
      </c>
      <c r="T100" s="489">
        <f t="shared" si="190"/>
        <v>10000</v>
      </c>
      <c r="V100" s="145">
        <v>6</v>
      </c>
      <c r="W100" s="459">
        <f t="shared" si="191"/>
        <v>168000</v>
      </c>
      <c r="X100" s="459">
        <f t="shared" si="192"/>
        <v>11000</v>
      </c>
      <c r="Z100" s="145">
        <v>6</v>
      </c>
      <c r="NO100" s="1"/>
      <c r="RY100" s="459"/>
    </row>
    <row r="101" spans="2:493" s="145" customFormat="1" hidden="1">
      <c r="B101" s="145">
        <v>7</v>
      </c>
      <c r="C101" s="459"/>
      <c r="D101" s="459"/>
      <c r="M101" s="982"/>
      <c r="N101" s="145">
        <v>7</v>
      </c>
      <c r="O101" s="459">
        <f t="shared" si="187"/>
        <v>595000</v>
      </c>
      <c r="P101" s="459">
        <f t="shared" si="188"/>
        <v>44333.333333333336</v>
      </c>
      <c r="R101" s="145">
        <v>7</v>
      </c>
      <c r="S101" s="459">
        <f t="shared" si="189"/>
        <v>214666.66666666666</v>
      </c>
      <c r="T101" s="489">
        <f t="shared" si="190"/>
        <v>11666.666666666666</v>
      </c>
      <c r="V101" s="145">
        <v>7</v>
      </c>
      <c r="W101" s="459">
        <f t="shared" si="191"/>
        <v>196000</v>
      </c>
      <c r="X101" s="459">
        <f t="shared" si="192"/>
        <v>12833.333333333334</v>
      </c>
      <c r="Z101" s="145">
        <v>7</v>
      </c>
      <c r="NO101" s="1"/>
      <c r="RY101" s="459"/>
    </row>
    <row r="102" spans="2:493" s="145" customFormat="1" hidden="1">
      <c r="B102" s="145">
        <v>8</v>
      </c>
      <c r="C102" s="459"/>
      <c r="D102" s="459"/>
      <c r="M102" s="982"/>
      <c r="N102" s="145">
        <v>8</v>
      </c>
      <c r="O102" s="459">
        <f t="shared" si="187"/>
        <v>680000</v>
      </c>
      <c r="P102" s="459">
        <f t="shared" si="188"/>
        <v>50666.666666666672</v>
      </c>
      <c r="R102" s="145">
        <v>8</v>
      </c>
      <c r="S102" s="459">
        <f t="shared" si="189"/>
        <v>245333.33333333331</v>
      </c>
      <c r="T102" s="489">
        <f t="shared" si="190"/>
        <v>13333.333333333332</v>
      </c>
      <c r="V102" s="145">
        <v>8</v>
      </c>
      <c r="W102" s="459">
        <f t="shared" si="191"/>
        <v>224000</v>
      </c>
      <c r="X102" s="459">
        <f t="shared" si="192"/>
        <v>14666.666666666668</v>
      </c>
      <c r="Z102" s="145">
        <v>8</v>
      </c>
      <c r="AP102" s="145">
        <v>37911.700000000004</v>
      </c>
      <c r="NO102" s="1"/>
      <c r="RY102" s="459"/>
    </row>
    <row r="103" spans="2:493" s="145" customFormat="1" hidden="1">
      <c r="B103" s="145">
        <v>9</v>
      </c>
      <c r="C103" s="459"/>
      <c r="D103" s="459"/>
      <c r="M103" s="982"/>
      <c r="N103" s="145">
        <v>9</v>
      </c>
      <c r="O103" s="459">
        <f t="shared" si="187"/>
        <v>765000</v>
      </c>
      <c r="P103" s="459">
        <f t="shared" si="188"/>
        <v>57000.000000000007</v>
      </c>
      <c r="R103" s="145">
        <v>9</v>
      </c>
      <c r="S103" s="459">
        <f t="shared" si="189"/>
        <v>276000</v>
      </c>
      <c r="T103" s="489">
        <f t="shared" si="190"/>
        <v>14999.999999999998</v>
      </c>
      <c r="V103" s="145">
        <v>9</v>
      </c>
      <c r="W103" s="459">
        <f t="shared" si="191"/>
        <v>252000</v>
      </c>
      <c r="X103" s="459">
        <f t="shared" si="192"/>
        <v>16500</v>
      </c>
      <c r="Z103" s="145">
        <v>9</v>
      </c>
      <c r="NO103" s="1"/>
      <c r="RY103" s="459"/>
    </row>
    <row r="104" spans="2:493" s="145" customFormat="1" hidden="1">
      <c r="B104" s="145">
        <v>10</v>
      </c>
      <c r="C104" s="459"/>
      <c r="D104" s="459"/>
      <c r="M104" s="982"/>
      <c r="N104" s="145">
        <v>10</v>
      </c>
      <c r="O104" s="459">
        <f t="shared" si="187"/>
        <v>850000</v>
      </c>
      <c r="P104" s="459">
        <f t="shared" si="188"/>
        <v>63333.333333333343</v>
      </c>
      <c r="R104" s="145">
        <v>10</v>
      </c>
      <c r="S104" s="459">
        <f t="shared" si="189"/>
        <v>306666.66666666669</v>
      </c>
      <c r="T104" s="489">
        <f t="shared" si="190"/>
        <v>16666.666666666664</v>
      </c>
      <c r="V104" s="145">
        <v>10</v>
      </c>
      <c r="W104" s="459">
        <f t="shared" si="191"/>
        <v>280000</v>
      </c>
      <c r="X104" s="459">
        <f t="shared" si="192"/>
        <v>18333.333333333332</v>
      </c>
      <c r="Z104" s="145">
        <v>10</v>
      </c>
      <c r="NO104" s="1"/>
      <c r="RY104" s="459"/>
    </row>
    <row r="105" spans="2:493" s="145" customFormat="1" hidden="1">
      <c r="B105" s="145">
        <v>11</v>
      </c>
      <c r="C105" s="459"/>
      <c r="D105" s="459"/>
      <c r="M105" s="982"/>
      <c r="N105" s="145">
        <v>11</v>
      </c>
      <c r="O105" s="459">
        <f t="shared" si="187"/>
        <v>935000</v>
      </c>
      <c r="P105" s="459">
        <f t="shared" si="188"/>
        <v>69666.666666666672</v>
      </c>
      <c r="R105" s="145">
        <v>11</v>
      </c>
      <c r="S105" s="459">
        <f t="shared" si="189"/>
        <v>337333.33333333337</v>
      </c>
      <c r="T105" s="489">
        <f t="shared" si="190"/>
        <v>18333.333333333332</v>
      </c>
      <c r="V105" s="145">
        <v>11</v>
      </c>
      <c r="W105" s="459">
        <f t="shared" si="191"/>
        <v>308000</v>
      </c>
      <c r="X105" s="459">
        <f t="shared" si="192"/>
        <v>20166.666666666664</v>
      </c>
      <c r="Z105" s="145">
        <v>11</v>
      </c>
      <c r="NO105" s="1"/>
      <c r="RY105" s="459"/>
    </row>
    <row r="106" spans="2:493" s="145" customFormat="1" hidden="1">
      <c r="B106" s="145">
        <v>12</v>
      </c>
      <c r="C106" s="459"/>
      <c r="D106" s="459"/>
      <c r="M106" s="982"/>
      <c r="N106" s="145">
        <v>12</v>
      </c>
      <c r="O106" s="459">
        <f t="shared" si="187"/>
        <v>1020000</v>
      </c>
      <c r="P106" s="459">
        <f t="shared" si="188"/>
        <v>76000</v>
      </c>
      <c r="R106" s="145">
        <v>12</v>
      </c>
      <c r="S106" s="459">
        <f t="shared" si="189"/>
        <v>368000.00000000006</v>
      </c>
      <c r="T106" s="489">
        <f t="shared" si="190"/>
        <v>20000</v>
      </c>
      <c r="V106" s="145">
        <v>12</v>
      </c>
      <c r="W106" s="459">
        <f t="shared" si="191"/>
        <v>336000</v>
      </c>
      <c r="X106" s="459">
        <f t="shared" si="192"/>
        <v>21999.999999999996</v>
      </c>
      <c r="Z106" s="145">
        <v>12</v>
      </c>
      <c r="NO106" s="1"/>
      <c r="RY106" s="459"/>
    </row>
    <row r="107" spans="2:493" s="145" customFormat="1" hidden="1">
      <c r="B107" s="145">
        <v>13</v>
      </c>
      <c r="C107" s="459"/>
      <c r="D107" s="459"/>
      <c r="M107" s="982"/>
      <c r="N107" s="145">
        <v>13</v>
      </c>
      <c r="O107" s="459">
        <f t="shared" si="187"/>
        <v>1105000</v>
      </c>
      <c r="P107" s="459">
        <f t="shared" si="188"/>
        <v>82333.333333333328</v>
      </c>
      <c r="R107" s="145">
        <v>13</v>
      </c>
      <c r="S107" s="459">
        <f t="shared" si="189"/>
        <v>398666.66666666674</v>
      </c>
      <c r="T107" s="489">
        <f t="shared" si="190"/>
        <v>21666.666666666668</v>
      </c>
      <c r="V107" s="145">
        <v>13</v>
      </c>
      <c r="W107" s="459">
        <f t="shared" si="191"/>
        <v>364000</v>
      </c>
      <c r="X107" s="459">
        <f t="shared" si="192"/>
        <v>23833.333333333328</v>
      </c>
      <c r="Z107" s="145">
        <v>13</v>
      </c>
      <c r="NO107" s="1"/>
      <c r="RY107" s="459"/>
    </row>
    <row r="108" spans="2:493" s="145" customFormat="1" hidden="1">
      <c r="B108" s="145">
        <v>14</v>
      </c>
      <c r="C108" s="459"/>
      <c r="D108" s="459"/>
      <c r="M108" s="982"/>
      <c r="N108" s="145">
        <v>14</v>
      </c>
      <c r="O108" s="459">
        <f t="shared" si="187"/>
        <v>1190000</v>
      </c>
      <c r="P108" s="459">
        <f t="shared" si="188"/>
        <v>88666.666666666657</v>
      </c>
      <c r="R108" s="145">
        <v>14</v>
      </c>
      <c r="S108" s="459">
        <f t="shared" si="189"/>
        <v>429333.33333333343</v>
      </c>
      <c r="T108" s="489">
        <f t="shared" si="190"/>
        <v>23333.333333333336</v>
      </c>
      <c r="V108" s="145">
        <v>14</v>
      </c>
      <c r="W108" s="459">
        <f t="shared" si="191"/>
        <v>392000</v>
      </c>
      <c r="X108" s="459">
        <f t="shared" si="192"/>
        <v>25666.666666666661</v>
      </c>
      <c r="Z108" s="145">
        <v>14</v>
      </c>
      <c r="NO108" s="1"/>
      <c r="RY108" s="459"/>
    </row>
    <row r="109" spans="2:493" s="145" customFormat="1" hidden="1">
      <c r="B109" s="145">
        <v>15</v>
      </c>
      <c r="C109" s="459"/>
      <c r="D109" s="459"/>
      <c r="M109" s="982"/>
      <c r="N109" s="145">
        <v>15</v>
      </c>
      <c r="O109" s="459">
        <f t="shared" si="187"/>
        <v>1275000</v>
      </c>
      <c r="P109" s="459">
        <f t="shared" si="188"/>
        <v>94999.999999999985</v>
      </c>
      <c r="R109" s="145">
        <v>15</v>
      </c>
      <c r="S109" s="459">
        <f t="shared" si="189"/>
        <v>460000.00000000012</v>
      </c>
      <c r="T109" s="489">
        <f t="shared" si="190"/>
        <v>25000.000000000004</v>
      </c>
      <c r="V109" s="145">
        <v>15</v>
      </c>
      <c r="W109" s="459">
        <f t="shared" si="191"/>
        <v>420000</v>
      </c>
      <c r="X109" s="459">
        <f t="shared" si="192"/>
        <v>27499.999999999993</v>
      </c>
      <c r="Z109" s="145">
        <v>15</v>
      </c>
      <c r="NO109" s="1"/>
      <c r="RY109" s="459"/>
    </row>
    <row r="110" spans="2:493" s="145" customFormat="1" hidden="1">
      <c r="B110" s="145">
        <v>16</v>
      </c>
      <c r="C110" s="459"/>
      <c r="D110" s="459"/>
      <c r="M110" s="982"/>
      <c r="N110" s="145">
        <v>16</v>
      </c>
      <c r="O110" s="459">
        <f t="shared" si="187"/>
        <v>1360000</v>
      </c>
      <c r="P110" s="459">
        <f t="shared" si="188"/>
        <v>101333.33333333331</v>
      </c>
      <c r="R110" s="145">
        <v>16</v>
      </c>
      <c r="S110" s="459">
        <f t="shared" si="189"/>
        <v>490666.6666666668</v>
      </c>
      <c r="T110" s="489">
        <f t="shared" si="190"/>
        <v>26666.666666666672</v>
      </c>
      <c r="V110" s="145">
        <v>16</v>
      </c>
      <c r="W110" s="459">
        <f t="shared" si="191"/>
        <v>448000</v>
      </c>
      <c r="X110" s="459">
        <f t="shared" si="192"/>
        <v>29333.333333333325</v>
      </c>
      <c r="Z110" s="145">
        <v>16</v>
      </c>
      <c r="NO110" s="1"/>
      <c r="RY110" s="459"/>
    </row>
    <row r="111" spans="2:493" s="145" customFormat="1" hidden="1">
      <c r="B111" s="145">
        <v>17</v>
      </c>
      <c r="C111" s="459"/>
      <c r="D111" s="459"/>
      <c r="N111" s="145">
        <v>17</v>
      </c>
      <c r="O111" s="459">
        <f t="shared" si="187"/>
        <v>1445000</v>
      </c>
      <c r="P111" s="459">
        <f t="shared" si="188"/>
        <v>107666.66666666664</v>
      </c>
      <c r="R111" s="145">
        <v>17</v>
      </c>
      <c r="S111" s="459">
        <f t="shared" si="189"/>
        <v>521333.33333333349</v>
      </c>
      <c r="T111" s="489">
        <f t="shared" si="190"/>
        <v>28333.333333333339</v>
      </c>
      <c r="V111" s="145">
        <v>17</v>
      </c>
      <c r="W111" s="459">
        <f t="shared" si="191"/>
        <v>476000</v>
      </c>
      <c r="X111" s="459">
        <f t="shared" si="192"/>
        <v>31166.666666666657</v>
      </c>
      <c r="Z111" s="145">
        <v>17</v>
      </c>
      <c r="NO111" s="1"/>
      <c r="RY111" s="459"/>
    </row>
    <row r="112" spans="2:493" s="145" customFormat="1" hidden="1">
      <c r="B112" s="145">
        <v>18</v>
      </c>
      <c r="C112" s="459"/>
      <c r="D112" s="459"/>
      <c r="N112" s="145">
        <v>18</v>
      </c>
      <c r="O112" s="459">
        <f t="shared" si="187"/>
        <v>1530000</v>
      </c>
      <c r="P112" s="459">
        <f t="shared" si="188"/>
        <v>113999.99999999997</v>
      </c>
      <c r="R112" s="145">
        <v>18</v>
      </c>
      <c r="S112" s="459">
        <f t="shared" si="189"/>
        <v>552000.00000000012</v>
      </c>
      <c r="T112" s="489">
        <f t="shared" si="190"/>
        <v>30000.000000000007</v>
      </c>
      <c r="V112" s="145">
        <v>18</v>
      </c>
      <c r="W112" s="459">
        <f t="shared" si="191"/>
        <v>504000</v>
      </c>
      <c r="X112" s="459">
        <f t="shared" si="192"/>
        <v>32999.999999999993</v>
      </c>
      <c r="Z112" s="145">
        <v>18</v>
      </c>
      <c r="NO112" s="1"/>
      <c r="RY112" s="459"/>
    </row>
    <row r="113" spans="2:493" s="145" customFormat="1" hidden="1">
      <c r="B113" s="145">
        <v>19</v>
      </c>
      <c r="C113" s="459"/>
      <c r="D113" s="459"/>
      <c r="N113" s="145">
        <v>19</v>
      </c>
      <c r="O113" s="459">
        <f t="shared" si="187"/>
        <v>1615000</v>
      </c>
      <c r="P113" s="459">
        <f t="shared" si="188"/>
        <v>120333.3333333333</v>
      </c>
      <c r="R113" s="145">
        <v>19</v>
      </c>
      <c r="S113" s="459">
        <f t="shared" si="189"/>
        <v>582666.66666666674</v>
      </c>
      <c r="T113" s="489">
        <f t="shared" si="190"/>
        <v>31666.666666666675</v>
      </c>
      <c r="V113" s="145">
        <v>19</v>
      </c>
      <c r="W113" s="459">
        <f t="shared" si="191"/>
        <v>532000</v>
      </c>
      <c r="X113" s="459">
        <f t="shared" si="192"/>
        <v>34833.333333333328</v>
      </c>
      <c r="Z113" s="145">
        <v>19</v>
      </c>
      <c r="NO113" s="1"/>
      <c r="RY113" s="459"/>
    </row>
    <row r="114" spans="2:493" s="145" customFormat="1" hidden="1">
      <c r="B114" s="145">
        <v>20</v>
      </c>
      <c r="C114" s="459"/>
      <c r="D114" s="459"/>
      <c r="N114" s="145">
        <v>20</v>
      </c>
      <c r="O114" s="459">
        <f t="shared" si="187"/>
        <v>1700000</v>
      </c>
      <c r="P114" s="459">
        <f t="shared" si="188"/>
        <v>126666.66666666663</v>
      </c>
      <c r="R114" s="145">
        <v>20</v>
      </c>
      <c r="S114" s="459">
        <f t="shared" si="189"/>
        <v>613333.33333333337</v>
      </c>
      <c r="T114" s="489">
        <f t="shared" si="190"/>
        <v>33333.333333333343</v>
      </c>
      <c r="V114" s="145">
        <v>20</v>
      </c>
      <c r="W114" s="459">
        <f t="shared" si="191"/>
        <v>560000</v>
      </c>
      <c r="X114" s="459">
        <f t="shared" si="192"/>
        <v>36666.666666666664</v>
      </c>
      <c r="Z114" s="145">
        <v>20</v>
      </c>
      <c r="NO114" s="1"/>
      <c r="RY114" s="459"/>
    </row>
    <row r="115" spans="2:493" s="145" customFormat="1" hidden="1">
      <c r="B115" s="145">
        <v>21</v>
      </c>
      <c r="C115" s="459"/>
      <c r="D115" s="459"/>
      <c r="N115" s="145">
        <v>21</v>
      </c>
      <c r="O115" s="459">
        <f t="shared" si="187"/>
        <v>1785000</v>
      </c>
      <c r="P115" s="459">
        <f t="shared" si="188"/>
        <v>132999.99999999997</v>
      </c>
      <c r="R115" s="145">
        <v>21</v>
      </c>
      <c r="S115" s="459">
        <f t="shared" si="189"/>
        <v>644000</v>
      </c>
      <c r="T115" s="489">
        <f t="shared" si="190"/>
        <v>35000.000000000007</v>
      </c>
      <c r="V115" s="145">
        <v>21</v>
      </c>
      <c r="W115" s="459">
        <f t="shared" si="191"/>
        <v>588000</v>
      </c>
      <c r="X115" s="459">
        <f t="shared" si="192"/>
        <v>38500</v>
      </c>
      <c r="Z115" s="145">
        <v>21</v>
      </c>
      <c r="NO115" s="1"/>
      <c r="RY115" s="459"/>
    </row>
    <row r="116" spans="2:493" s="145" customFormat="1" hidden="1">
      <c r="B116" s="145">
        <v>22</v>
      </c>
      <c r="C116" s="459"/>
      <c r="D116" s="459"/>
      <c r="N116" s="145">
        <v>22</v>
      </c>
      <c r="O116" s="459">
        <f t="shared" si="187"/>
        <v>1870000</v>
      </c>
      <c r="P116" s="459">
        <f t="shared" si="188"/>
        <v>139333.33333333331</v>
      </c>
      <c r="R116" s="145">
        <v>22</v>
      </c>
      <c r="S116" s="459">
        <f t="shared" si="189"/>
        <v>674666.66666666663</v>
      </c>
      <c r="T116" s="489">
        <f t="shared" si="190"/>
        <v>36666.666666666672</v>
      </c>
      <c r="V116" s="145">
        <v>22</v>
      </c>
      <c r="W116" s="459">
        <f t="shared" si="191"/>
        <v>616000</v>
      </c>
      <c r="X116" s="459">
        <f t="shared" si="192"/>
        <v>40333.333333333336</v>
      </c>
      <c r="Z116" s="145">
        <v>22</v>
      </c>
      <c r="NO116" s="1"/>
      <c r="RY116" s="459"/>
    </row>
    <row r="117" spans="2:493" s="145" customFormat="1" hidden="1">
      <c r="B117" s="145">
        <v>23</v>
      </c>
      <c r="C117" s="459"/>
      <c r="D117" s="459"/>
      <c r="N117" s="145">
        <v>23</v>
      </c>
      <c r="O117" s="459">
        <f t="shared" si="187"/>
        <v>1955000</v>
      </c>
      <c r="P117" s="459">
        <f t="shared" si="188"/>
        <v>145666.66666666666</v>
      </c>
      <c r="R117" s="145">
        <v>23</v>
      </c>
      <c r="S117" s="459">
        <f t="shared" si="189"/>
        <v>705333.33333333326</v>
      </c>
      <c r="T117" s="489">
        <f t="shared" si="190"/>
        <v>38333.333333333336</v>
      </c>
      <c r="V117" s="145">
        <v>23</v>
      </c>
      <c r="W117" s="459">
        <f t="shared" si="191"/>
        <v>644000</v>
      </c>
      <c r="X117" s="459">
        <f t="shared" si="192"/>
        <v>42166.666666666672</v>
      </c>
      <c r="Y117" s="459"/>
      <c r="Z117" s="145">
        <v>23</v>
      </c>
      <c r="NO117" s="1"/>
      <c r="RY117" s="459"/>
    </row>
    <row r="118" spans="2:493" s="145" customFormat="1" hidden="1">
      <c r="B118" s="145">
        <v>24</v>
      </c>
      <c r="C118" s="459"/>
      <c r="D118" s="459"/>
      <c r="N118" s="145">
        <v>24</v>
      </c>
      <c r="O118" s="459">
        <f t="shared" si="187"/>
        <v>2040000</v>
      </c>
      <c r="P118" s="459">
        <f t="shared" si="188"/>
        <v>152000</v>
      </c>
      <c r="R118" s="145">
        <v>24</v>
      </c>
      <c r="S118" s="459">
        <f t="shared" si="189"/>
        <v>735999.99999999988</v>
      </c>
      <c r="T118" s="489">
        <f t="shared" si="190"/>
        <v>40000</v>
      </c>
      <c r="V118" s="145">
        <v>24</v>
      </c>
      <c r="W118" s="459">
        <f t="shared" si="191"/>
        <v>672000</v>
      </c>
      <c r="X118" s="459">
        <f t="shared" si="192"/>
        <v>44000.000000000007</v>
      </c>
      <c r="Z118" s="145">
        <v>24</v>
      </c>
      <c r="NO118" s="1"/>
      <c r="RY118" s="459"/>
    </row>
    <row r="119" spans="2:493" s="145" customFormat="1" hidden="1">
      <c r="B119" s="145">
        <v>25</v>
      </c>
      <c r="C119" s="459"/>
      <c r="D119" s="459"/>
      <c r="N119" s="145">
        <v>25</v>
      </c>
      <c r="O119" s="459">
        <f t="shared" si="187"/>
        <v>2125000</v>
      </c>
      <c r="P119" s="459">
        <f t="shared" si="188"/>
        <v>158333.33333333334</v>
      </c>
      <c r="R119" s="145">
        <v>25</v>
      </c>
      <c r="S119" s="459">
        <f t="shared" si="189"/>
        <v>766666.66666666651</v>
      </c>
      <c r="T119" s="489">
        <f t="shared" si="190"/>
        <v>41666.666666666664</v>
      </c>
      <c r="V119" s="145">
        <v>25</v>
      </c>
      <c r="W119" s="459">
        <f t="shared" si="191"/>
        <v>700000</v>
      </c>
      <c r="X119" s="459">
        <f t="shared" si="192"/>
        <v>45833.333333333343</v>
      </c>
      <c r="Z119" s="145">
        <v>25</v>
      </c>
      <c r="NO119" s="1"/>
      <c r="RY119" s="459"/>
    </row>
    <row r="120" spans="2:493" s="145" customFormat="1" hidden="1">
      <c r="B120" s="145">
        <v>26</v>
      </c>
      <c r="C120" s="459"/>
      <c r="D120" s="459"/>
      <c r="N120" s="145">
        <v>26</v>
      </c>
      <c r="O120" s="459">
        <f t="shared" si="187"/>
        <v>2210000</v>
      </c>
      <c r="P120" s="459">
        <f t="shared" si="188"/>
        <v>164666.66666666669</v>
      </c>
      <c r="R120" s="145">
        <v>26</v>
      </c>
      <c r="S120" s="459">
        <f t="shared" si="189"/>
        <v>797333.33333333314</v>
      </c>
      <c r="T120" s="489">
        <f t="shared" si="190"/>
        <v>43333.333333333328</v>
      </c>
      <c r="V120" s="145">
        <v>26</v>
      </c>
      <c r="W120" s="459">
        <f t="shared" si="191"/>
        <v>728000</v>
      </c>
      <c r="X120" s="459">
        <f t="shared" si="192"/>
        <v>47666.666666666679</v>
      </c>
      <c r="Z120" s="145">
        <v>26</v>
      </c>
      <c r="NO120" s="1"/>
      <c r="RY120" s="459"/>
    </row>
    <row r="121" spans="2:493" s="145" customFormat="1" hidden="1">
      <c r="B121" s="145">
        <v>27</v>
      </c>
      <c r="C121" s="459"/>
      <c r="D121" s="459"/>
      <c r="N121" s="145">
        <v>27</v>
      </c>
      <c r="O121" s="459">
        <f t="shared" si="187"/>
        <v>2295000</v>
      </c>
      <c r="P121" s="459">
        <f t="shared" si="188"/>
        <v>171000.00000000003</v>
      </c>
      <c r="R121" s="145">
        <v>27</v>
      </c>
      <c r="S121" s="459">
        <f t="shared" si="189"/>
        <v>827999.99999999977</v>
      </c>
      <c r="T121" s="489">
        <f t="shared" si="190"/>
        <v>44999.999999999993</v>
      </c>
      <c r="V121" s="145">
        <v>27</v>
      </c>
      <c r="W121" s="459">
        <f t="shared" si="191"/>
        <v>756000</v>
      </c>
      <c r="X121" s="459">
        <f t="shared" si="192"/>
        <v>49500.000000000015</v>
      </c>
      <c r="Z121" s="145">
        <v>27</v>
      </c>
      <c r="NO121" s="1"/>
      <c r="RY121" s="459"/>
    </row>
    <row r="122" spans="2:493" s="145" customFormat="1" hidden="1">
      <c r="B122" s="145">
        <v>28</v>
      </c>
      <c r="C122" s="459"/>
      <c r="D122" s="459"/>
      <c r="N122" s="145">
        <v>28</v>
      </c>
      <c r="O122" s="459">
        <f t="shared" si="187"/>
        <v>2380000</v>
      </c>
      <c r="P122" s="459">
        <f t="shared" si="188"/>
        <v>177333.33333333337</v>
      </c>
      <c r="R122" s="145">
        <v>28</v>
      </c>
      <c r="S122" s="459">
        <f t="shared" si="189"/>
        <v>858666.6666666664</v>
      </c>
      <c r="T122" s="489">
        <f t="shared" si="190"/>
        <v>46666.666666666657</v>
      </c>
      <c r="V122" s="145">
        <v>28</v>
      </c>
      <c r="W122" s="459">
        <f t="shared" si="191"/>
        <v>784000</v>
      </c>
      <c r="X122" s="459">
        <f t="shared" si="192"/>
        <v>51333.33333333335</v>
      </c>
      <c r="Z122" s="145">
        <v>28</v>
      </c>
      <c r="NO122" s="1"/>
      <c r="RY122" s="459"/>
    </row>
    <row r="123" spans="2:493" s="145" customFormat="1" hidden="1">
      <c r="B123" s="145">
        <v>29</v>
      </c>
      <c r="C123" s="459"/>
      <c r="D123" s="459"/>
      <c r="N123" s="145">
        <v>29</v>
      </c>
      <c r="O123" s="459">
        <f t="shared" si="187"/>
        <v>2465000</v>
      </c>
      <c r="P123" s="459">
        <f t="shared" si="188"/>
        <v>183666.66666666672</v>
      </c>
      <c r="R123" s="145">
        <v>29</v>
      </c>
      <c r="S123" s="459">
        <f t="shared" si="189"/>
        <v>889333.33333333302</v>
      </c>
      <c r="T123" s="489">
        <f t="shared" si="190"/>
        <v>48333.333333333321</v>
      </c>
      <c r="V123" s="145">
        <v>29</v>
      </c>
      <c r="W123" s="459">
        <f t="shared" si="191"/>
        <v>812000</v>
      </c>
      <c r="X123" s="459">
        <f t="shared" si="192"/>
        <v>53166.666666666686</v>
      </c>
      <c r="Z123" s="145">
        <v>29</v>
      </c>
      <c r="NO123" s="1"/>
      <c r="RY123" s="459"/>
    </row>
    <row r="124" spans="2:493" s="145" customFormat="1" hidden="1">
      <c r="B124" s="145">
        <v>30</v>
      </c>
      <c r="C124" s="459"/>
      <c r="D124" s="459"/>
      <c r="N124" s="145">
        <v>30</v>
      </c>
      <c r="O124" s="459">
        <f t="shared" si="187"/>
        <v>2550000</v>
      </c>
      <c r="P124" s="459">
        <f t="shared" si="188"/>
        <v>190000.00000000006</v>
      </c>
      <c r="R124" s="145">
        <v>30</v>
      </c>
      <c r="S124" s="459">
        <f t="shared" si="189"/>
        <v>919999.99999999965</v>
      </c>
      <c r="T124" s="489">
        <f t="shared" si="190"/>
        <v>49999.999999999985</v>
      </c>
      <c r="V124" s="145">
        <v>30</v>
      </c>
      <c r="W124" s="459">
        <f t="shared" si="191"/>
        <v>840000</v>
      </c>
      <c r="X124" s="459">
        <f t="shared" si="192"/>
        <v>55000.000000000022</v>
      </c>
      <c r="Z124" s="145">
        <v>29</v>
      </c>
      <c r="NO124" s="1"/>
      <c r="RY124" s="459"/>
    </row>
    <row r="125" spans="2:493" hidden="1">
      <c r="B125" s="145">
        <v>31</v>
      </c>
      <c r="C125" s="459"/>
      <c r="D125" s="459"/>
      <c r="N125" s="145">
        <v>31</v>
      </c>
      <c r="O125" s="459">
        <f t="shared" si="187"/>
        <v>2635000</v>
      </c>
      <c r="P125" s="459">
        <f t="shared" si="188"/>
        <v>196333.3333333334</v>
      </c>
      <c r="Q125" s="985"/>
      <c r="R125" s="145">
        <v>31</v>
      </c>
      <c r="S125" s="459">
        <f t="shared" si="189"/>
        <v>950666.66666666628</v>
      </c>
      <c r="T125" s="489">
        <f t="shared" si="190"/>
        <v>51666.66666666665</v>
      </c>
      <c r="U125" s="985"/>
      <c r="V125" s="145">
        <v>31</v>
      </c>
      <c r="W125" s="459">
        <f t="shared" si="191"/>
        <v>868000</v>
      </c>
      <c r="X125" s="459">
        <f t="shared" si="192"/>
        <v>56833.333333333358</v>
      </c>
      <c r="Y125" s="145"/>
      <c r="Z125" s="145">
        <v>29</v>
      </c>
      <c r="NO125" s="1"/>
      <c r="RY125" s="1"/>
    </row>
    <row r="126" spans="2:493" hidden="1">
      <c r="NO126" s="1"/>
      <c r="RY126" s="1"/>
    </row>
    <row r="127" spans="2:493" hidden="1">
      <c r="NO127" s="1"/>
      <c r="RY127" s="1"/>
    </row>
    <row r="128" spans="2:493" hidden="1">
      <c r="NO128" s="1"/>
      <c r="RY128" s="1"/>
    </row>
    <row r="129" spans="2:493" hidden="1">
      <c r="NO129" s="1"/>
      <c r="RY129" s="1"/>
    </row>
    <row r="130" spans="2:493" hidden="1">
      <c r="NO130" s="1"/>
      <c r="RY130" s="1"/>
    </row>
    <row r="131" spans="2:493" hidden="1">
      <c r="P131" s="887"/>
      <c r="NO131" s="1"/>
      <c r="RY131" s="1"/>
    </row>
    <row r="132" spans="2:493" hidden="1">
      <c r="O132" s="347">
        <f>'Summary TIS'!AC3/30</f>
        <v>31081.674070223416</v>
      </c>
      <c r="P132" s="347">
        <f>'Summary TIS'!AC8/30</f>
        <v>1833.3333333333333</v>
      </c>
      <c r="NO132" s="1"/>
      <c r="RY132" s="1"/>
    </row>
    <row r="133" spans="2:493" hidden="1">
      <c r="O133" s="347"/>
      <c r="P133" s="347"/>
      <c r="NO133" s="1"/>
      <c r="RY133" s="1"/>
    </row>
    <row r="134" spans="2:493" ht="23.4" hidden="1">
      <c r="C134" s="1075"/>
      <c r="O134" s="347"/>
      <c r="P134" s="347"/>
      <c r="NO134" s="1"/>
      <c r="RY134" s="1"/>
    </row>
    <row r="135" spans="2:493" hidden="1">
      <c r="O135" s="2161">
        <v>31081.674070223416</v>
      </c>
      <c r="P135" s="2161">
        <v>1833.3333333333333</v>
      </c>
      <c r="NO135" s="1"/>
      <c r="RY135" s="1"/>
    </row>
    <row r="136" spans="2:493" hidden="1">
      <c r="B136">
        <v>1</v>
      </c>
      <c r="N136">
        <v>1</v>
      </c>
      <c r="O136" s="1067">
        <f>O135</f>
        <v>31081.674070223416</v>
      </c>
      <c r="P136" s="1067">
        <f>P135</f>
        <v>1833.3333333333333</v>
      </c>
      <c r="NO136" s="1"/>
      <c r="RY136" s="1"/>
    </row>
    <row r="137" spans="2:493" hidden="1">
      <c r="B137">
        <v>2</v>
      </c>
      <c r="N137">
        <v>2</v>
      </c>
      <c r="O137" s="1067">
        <f t="shared" ref="O137:O166" si="193">O136+($O$135)</f>
        <v>62163.348140446833</v>
      </c>
      <c r="P137" s="1067">
        <f t="shared" ref="P137:P166" si="194">P136+($P$135)</f>
        <v>3666.6666666666665</v>
      </c>
      <c r="T137">
        <f>74000/31</f>
        <v>2387.0967741935483</v>
      </c>
      <c r="NO137" s="1"/>
      <c r="RY137" s="1"/>
    </row>
    <row r="138" spans="2:493" hidden="1">
      <c r="B138">
        <v>3</v>
      </c>
      <c r="N138">
        <v>3</v>
      </c>
      <c r="O138" s="1067">
        <f t="shared" si="193"/>
        <v>93245.022210670257</v>
      </c>
      <c r="P138" s="1067">
        <f t="shared" si="194"/>
        <v>5500</v>
      </c>
      <c r="NO138" s="1"/>
      <c r="RY138" s="1"/>
    </row>
    <row r="139" spans="2:493" hidden="1">
      <c r="B139">
        <v>4</v>
      </c>
      <c r="N139">
        <v>4</v>
      </c>
      <c r="O139" s="1067">
        <f t="shared" si="193"/>
        <v>124326.69628089367</v>
      </c>
      <c r="P139" s="1067">
        <f t="shared" si="194"/>
        <v>7333.333333333333</v>
      </c>
      <c r="NO139" s="1"/>
      <c r="RY139" s="1"/>
    </row>
    <row r="140" spans="2:493" hidden="1">
      <c r="B140">
        <v>5</v>
      </c>
      <c r="N140">
        <v>5</v>
      </c>
      <c r="O140" s="1067">
        <f t="shared" si="193"/>
        <v>155408.37035111708</v>
      </c>
      <c r="P140" s="1067">
        <f t="shared" si="194"/>
        <v>9166.6666666666661</v>
      </c>
      <c r="NO140" s="1"/>
      <c r="RY140" s="1"/>
    </row>
    <row r="141" spans="2:493" hidden="1">
      <c r="B141">
        <v>6</v>
      </c>
      <c r="N141">
        <v>6</v>
      </c>
      <c r="O141" s="1067">
        <f t="shared" si="193"/>
        <v>186490.04442134048</v>
      </c>
      <c r="P141" s="1067">
        <f t="shared" si="194"/>
        <v>11000</v>
      </c>
      <c r="NO141" s="1"/>
      <c r="RY141" s="1"/>
    </row>
    <row r="142" spans="2:493" hidden="1">
      <c r="B142">
        <v>7</v>
      </c>
      <c r="N142">
        <v>7</v>
      </c>
      <c r="O142" s="1067">
        <f t="shared" si="193"/>
        <v>217571.71849156389</v>
      </c>
      <c r="P142" s="1067">
        <f t="shared" si="194"/>
        <v>12833.333333333334</v>
      </c>
      <c r="NO142" s="1"/>
      <c r="RY142" s="1"/>
    </row>
    <row r="143" spans="2:493" hidden="1">
      <c r="B143">
        <v>8</v>
      </c>
      <c r="N143">
        <v>8</v>
      </c>
      <c r="O143" s="1067">
        <f t="shared" si="193"/>
        <v>248653.3925617873</v>
      </c>
      <c r="P143" s="1067">
        <f t="shared" si="194"/>
        <v>14666.666666666668</v>
      </c>
      <c r="NO143" s="1"/>
      <c r="RY143" s="1"/>
    </row>
    <row r="144" spans="2:493" hidden="1">
      <c r="B144">
        <v>9</v>
      </c>
      <c r="N144">
        <v>9</v>
      </c>
      <c r="O144" s="1067">
        <f t="shared" si="193"/>
        <v>279735.06663201074</v>
      </c>
      <c r="P144" s="1067">
        <f t="shared" si="194"/>
        <v>16500</v>
      </c>
      <c r="NO144" s="1"/>
      <c r="RY144" s="1"/>
    </row>
    <row r="145" spans="2:493" hidden="1">
      <c r="B145">
        <v>10</v>
      </c>
      <c r="N145">
        <v>10</v>
      </c>
      <c r="O145" s="1067">
        <f t="shared" si="193"/>
        <v>310816.74070223415</v>
      </c>
      <c r="P145" s="1067">
        <f t="shared" si="194"/>
        <v>18333.333333333332</v>
      </c>
      <c r="NO145" s="1"/>
      <c r="RY145" s="1"/>
    </row>
    <row r="146" spans="2:493" hidden="1">
      <c r="B146">
        <v>11</v>
      </c>
      <c r="N146">
        <v>11</v>
      </c>
      <c r="O146" s="1067">
        <f t="shared" si="193"/>
        <v>341898.41477245756</v>
      </c>
      <c r="P146" s="1067">
        <f t="shared" si="194"/>
        <v>20166.666666666664</v>
      </c>
      <c r="NO146" s="1"/>
      <c r="RY146" s="1"/>
    </row>
    <row r="147" spans="2:493" hidden="1">
      <c r="B147">
        <v>12</v>
      </c>
      <c r="N147">
        <v>12</v>
      </c>
      <c r="O147" s="1067">
        <f t="shared" si="193"/>
        <v>372980.08884268097</v>
      </c>
      <c r="P147" s="1067">
        <f t="shared" si="194"/>
        <v>21999.999999999996</v>
      </c>
      <c r="NO147" s="1"/>
      <c r="RY147" s="1"/>
    </row>
    <row r="148" spans="2:493" hidden="1">
      <c r="B148">
        <v>13</v>
      </c>
      <c r="N148">
        <v>13</v>
      </c>
      <c r="O148" s="1067">
        <f t="shared" si="193"/>
        <v>404061.76291290438</v>
      </c>
      <c r="P148" s="1067">
        <f t="shared" si="194"/>
        <v>23833.333333333328</v>
      </c>
      <c r="NO148" s="1"/>
      <c r="RY148" s="1"/>
    </row>
    <row r="149" spans="2:493" hidden="1">
      <c r="B149">
        <v>14</v>
      </c>
      <c r="N149">
        <v>14</v>
      </c>
      <c r="O149" s="1067">
        <f t="shared" si="193"/>
        <v>435143.43698312779</v>
      </c>
      <c r="P149" s="1067">
        <f t="shared" si="194"/>
        <v>25666.666666666661</v>
      </c>
      <c r="NO149" s="1"/>
      <c r="RY149" s="1"/>
    </row>
    <row r="150" spans="2:493" hidden="1">
      <c r="B150">
        <v>15</v>
      </c>
      <c r="N150">
        <v>15</v>
      </c>
      <c r="O150" s="1067">
        <f t="shared" si="193"/>
        <v>466225.1110533512</v>
      </c>
      <c r="P150" s="1067">
        <f t="shared" si="194"/>
        <v>27499.999999999993</v>
      </c>
      <c r="NO150" s="1"/>
      <c r="RY150" s="1"/>
    </row>
    <row r="151" spans="2:493" hidden="1">
      <c r="B151">
        <v>16</v>
      </c>
      <c r="N151">
        <v>16</v>
      </c>
      <c r="O151" s="1067">
        <f t="shared" si="193"/>
        <v>497306.78512357461</v>
      </c>
      <c r="P151" s="1067">
        <f t="shared" si="194"/>
        <v>29333.333333333325</v>
      </c>
      <c r="NO151" s="1"/>
      <c r="RY151" s="1"/>
    </row>
    <row r="152" spans="2:493" hidden="1">
      <c r="B152">
        <v>17</v>
      </c>
      <c r="N152">
        <v>17</v>
      </c>
      <c r="O152" s="1067">
        <f t="shared" si="193"/>
        <v>528388.45919379801</v>
      </c>
      <c r="P152" s="1067">
        <f t="shared" si="194"/>
        <v>31166.666666666657</v>
      </c>
      <c r="NO152" s="1"/>
      <c r="RY152" s="1"/>
    </row>
    <row r="153" spans="2:493" hidden="1">
      <c r="B153">
        <v>18</v>
      </c>
      <c r="N153">
        <v>18</v>
      </c>
      <c r="O153" s="1067">
        <f t="shared" si="193"/>
        <v>559470.13326402148</v>
      </c>
      <c r="P153" s="1067">
        <f t="shared" si="194"/>
        <v>32999.999999999993</v>
      </c>
      <c r="NO153" s="1"/>
      <c r="RY153" s="1"/>
    </row>
    <row r="154" spans="2:493" hidden="1">
      <c r="B154">
        <v>19</v>
      </c>
      <c r="N154">
        <v>19</v>
      </c>
      <c r="O154" s="1067">
        <f t="shared" si="193"/>
        <v>590551.80733424495</v>
      </c>
      <c r="P154" s="1067">
        <f t="shared" si="194"/>
        <v>34833.333333333328</v>
      </c>
      <c r="NO154" s="1"/>
      <c r="RY154" s="1"/>
    </row>
    <row r="155" spans="2:493" hidden="1">
      <c r="B155">
        <v>20</v>
      </c>
      <c r="N155">
        <v>20</v>
      </c>
      <c r="O155" s="1067">
        <f t="shared" si="193"/>
        <v>621633.48140446842</v>
      </c>
      <c r="P155" s="1067">
        <f t="shared" si="194"/>
        <v>36666.666666666664</v>
      </c>
      <c r="NO155" s="1"/>
      <c r="RY155" s="1"/>
    </row>
    <row r="156" spans="2:493" hidden="1">
      <c r="B156">
        <v>21</v>
      </c>
      <c r="N156">
        <v>21</v>
      </c>
      <c r="O156" s="1067">
        <f t="shared" si="193"/>
        <v>652715.15547469188</v>
      </c>
      <c r="P156" s="1067">
        <f t="shared" si="194"/>
        <v>38500</v>
      </c>
      <c r="NO156" s="1"/>
      <c r="RY156" s="1"/>
    </row>
    <row r="157" spans="2:493" hidden="1">
      <c r="B157">
        <v>22</v>
      </c>
      <c r="N157">
        <v>22</v>
      </c>
      <c r="O157" s="1067">
        <f t="shared" si="193"/>
        <v>683796.82954491535</v>
      </c>
      <c r="P157" s="1067">
        <f t="shared" si="194"/>
        <v>40333.333333333336</v>
      </c>
      <c r="NO157" s="1"/>
      <c r="RY157" s="1"/>
    </row>
    <row r="158" spans="2:493" hidden="1">
      <c r="B158">
        <v>23</v>
      </c>
      <c r="N158">
        <v>23</v>
      </c>
      <c r="O158" s="1067">
        <f t="shared" si="193"/>
        <v>714878.50361513882</v>
      </c>
      <c r="P158" s="1067">
        <f t="shared" si="194"/>
        <v>42166.666666666672</v>
      </c>
      <c r="NO158" s="1"/>
      <c r="RY158" s="1"/>
    </row>
    <row r="159" spans="2:493" hidden="1">
      <c r="B159">
        <v>24</v>
      </c>
      <c r="N159">
        <v>24</v>
      </c>
      <c r="O159" s="1067">
        <f t="shared" si="193"/>
        <v>745960.17768536229</v>
      </c>
      <c r="P159" s="1067">
        <f t="shared" si="194"/>
        <v>44000.000000000007</v>
      </c>
      <c r="NO159" s="1"/>
      <c r="RY159" s="1"/>
    </row>
    <row r="160" spans="2:493" hidden="1">
      <c r="B160">
        <v>25</v>
      </c>
      <c r="N160">
        <v>25</v>
      </c>
      <c r="O160" s="1067">
        <f t="shared" si="193"/>
        <v>777041.85175558575</v>
      </c>
      <c r="P160" s="1067">
        <f t="shared" si="194"/>
        <v>45833.333333333343</v>
      </c>
      <c r="NO160" s="1"/>
      <c r="RY160" s="1"/>
    </row>
    <row r="161" spans="2:493" hidden="1">
      <c r="B161">
        <v>26</v>
      </c>
      <c r="N161">
        <v>26</v>
      </c>
      <c r="O161" s="1067">
        <f t="shared" si="193"/>
        <v>808123.52582580922</v>
      </c>
      <c r="P161" s="1067">
        <f t="shared" si="194"/>
        <v>47666.666666666679</v>
      </c>
      <c r="NO161" s="1"/>
      <c r="RY161" s="1"/>
    </row>
    <row r="162" spans="2:493" hidden="1">
      <c r="B162">
        <v>27</v>
      </c>
      <c r="N162">
        <v>27</v>
      </c>
      <c r="O162" s="1067">
        <f t="shared" si="193"/>
        <v>839205.19989603269</v>
      </c>
      <c r="P162" s="1067">
        <f t="shared" si="194"/>
        <v>49500.000000000015</v>
      </c>
      <c r="NO162" s="1"/>
      <c r="RY162" s="1"/>
    </row>
    <row r="163" spans="2:493" hidden="1">
      <c r="B163">
        <v>28</v>
      </c>
      <c r="N163">
        <v>28</v>
      </c>
      <c r="O163" s="1067">
        <f t="shared" si="193"/>
        <v>870286.87396625616</v>
      </c>
      <c r="P163" s="1067">
        <f t="shared" si="194"/>
        <v>51333.33333333335</v>
      </c>
      <c r="NO163" s="1"/>
      <c r="RY163" s="1"/>
    </row>
    <row r="164" spans="2:493" hidden="1">
      <c r="B164">
        <v>29</v>
      </c>
      <c r="N164">
        <v>29</v>
      </c>
      <c r="O164" s="1067">
        <f t="shared" si="193"/>
        <v>901368.54803647962</v>
      </c>
      <c r="P164" s="1067">
        <f t="shared" si="194"/>
        <v>53166.666666666686</v>
      </c>
      <c r="NO164" s="1"/>
      <c r="RY164" s="1"/>
    </row>
    <row r="165" spans="2:493" hidden="1">
      <c r="B165">
        <v>30</v>
      </c>
      <c r="N165">
        <v>30</v>
      </c>
      <c r="O165" s="1067">
        <f t="shared" si="193"/>
        <v>932450.22210670309</v>
      </c>
      <c r="P165" s="1067">
        <f t="shared" si="194"/>
        <v>55000.000000000022</v>
      </c>
      <c r="NO165" s="1"/>
      <c r="RY165" s="1"/>
    </row>
    <row r="166" spans="2:493" hidden="1">
      <c r="B166">
        <v>31</v>
      </c>
      <c r="N166">
        <v>31</v>
      </c>
      <c r="O166" s="1067">
        <f t="shared" si="193"/>
        <v>963531.89617692656</v>
      </c>
      <c r="P166" s="1067">
        <f t="shared" si="194"/>
        <v>56833.333333333358</v>
      </c>
      <c r="NO166" s="1"/>
      <c r="RY166" s="1"/>
    </row>
    <row r="167" spans="2:493" hidden="1">
      <c r="O167" s="1067"/>
      <c r="P167" s="1067"/>
      <c r="NO167" s="1"/>
      <c r="RY167" s="1"/>
    </row>
    <row r="168" spans="2:493" hidden="1">
      <c r="O168" s="1067"/>
      <c r="P168" s="1067"/>
      <c r="NO168" s="1"/>
    </row>
    <row r="169" spans="2:493" hidden="1">
      <c r="O169" s="1067"/>
      <c r="P169" s="1067"/>
      <c r="NO169" s="1"/>
    </row>
    <row r="170" spans="2:493" hidden="1">
      <c r="O170" s="1067"/>
      <c r="P170" s="1067"/>
      <c r="NO170" s="1"/>
    </row>
    <row r="171" spans="2:493" hidden="1">
      <c r="O171" s="1067"/>
      <c r="P171" s="1067"/>
      <c r="NO171" s="1"/>
    </row>
    <row r="172" spans="2:493" hidden="1">
      <c r="O172" s="1067"/>
      <c r="P172" s="1067"/>
      <c r="NO172" s="1"/>
    </row>
    <row r="173" spans="2:493" hidden="1">
      <c r="O173" s="1067">
        <f>'June TIS'!C45/30</f>
        <v>32333.333333333332</v>
      </c>
      <c r="P173" s="1067">
        <f>'June TIS'!D45/30</f>
        <v>2000</v>
      </c>
      <c r="NO173" s="1"/>
    </row>
    <row r="174" spans="2:493" hidden="1">
      <c r="O174" s="1067"/>
      <c r="P174" s="1067"/>
      <c r="NO174" s="1"/>
    </row>
    <row r="175" spans="2:493" hidden="1">
      <c r="O175" s="1067"/>
      <c r="P175" s="1067"/>
      <c r="NO175" s="1"/>
    </row>
    <row r="176" spans="2:493" hidden="1">
      <c r="O176" s="1067"/>
      <c r="P176" s="1067"/>
      <c r="NO176" s="1"/>
    </row>
    <row r="177" spans="2:493" hidden="1">
      <c r="O177" s="2161">
        <v>32333.333333333332</v>
      </c>
      <c r="P177" s="2161">
        <v>2000</v>
      </c>
      <c r="Q177" s="887">
        <f>P177/31</f>
        <v>64.516129032258064</v>
      </c>
      <c r="NO177" s="1"/>
      <c r="RY177" s="1"/>
    </row>
    <row r="178" spans="2:493" hidden="1">
      <c r="B178">
        <v>1</v>
      </c>
      <c r="N178">
        <v>1</v>
      </c>
      <c r="O178" s="1067">
        <f>O177</f>
        <v>32333.333333333332</v>
      </c>
      <c r="P178" s="1067">
        <f>P177</f>
        <v>2000</v>
      </c>
      <c r="NO178" s="1"/>
      <c r="RY178" s="1"/>
    </row>
    <row r="179" spans="2:493" hidden="1">
      <c r="B179">
        <v>2</v>
      </c>
      <c r="N179">
        <v>2</v>
      </c>
      <c r="O179" s="1067">
        <f t="shared" ref="O179:O208" si="195">O178+($O$177)</f>
        <v>64666.666666666664</v>
      </c>
      <c r="P179" s="1067">
        <f t="shared" ref="P179:P208" si="196">P178+($P$177)</f>
        <v>4000</v>
      </c>
      <c r="NO179" s="1"/>
      <c r="RY179" s="1"/>
    </row>
    <row r="180" spans="2:493" hidden="1">
      <c r="B180">
        <v>3</v>
      </c>
      <c r="N180">
        <v>3</v>
      </c>
      <c r="O180" s="1067">
        <f t="shared" si="195"/>
        <v>97000</v>
      </c>
      <c r="P180" s="1067">
        <f t="shared" si="196"/>
        <v>6000</v>
      </c>
      <c r="NO180" s="1"/>
      <c r="RY180" s="1"/>
    </row>
    <row r="181" spans="2:493" hidden="1">
      <c r="B181">
        <v>4</v>
      </c>
      <c r="N181">
        <v>4</v>
      </c>
      <c r="O181" s="1067">
        <f t="shared" si="195"/>
        <v>129333.33333333333</v>
      </c>
      <c r="P181" s="1067">
        <f t="shared" si="196"/>
        <v>8000</v>
      </c>
      <c r="NO181" s="1"/>
      <c r="RY181" s="1"/>
    </row>
    <row r="182" spans="2:493" hidden="1">
      <c r="B182">
        <v>5</v>
      </c>
      <c r="N182">
        <v>5</v>
      </c>
      <c r="O182" s="1067">
        <f t="shared" si="195"/>
        <v>161666.66666666666</v>
      </c>
      <c r="P182" s="1067">
        <f t="shared" si="196"/>
        <v>10000</v>
      </c>
      <c r="NO182" s="1"/>
      <c r="RY182" s="1"/>
    </row>
    <row r="183" spans="2:493" hidden="1">
      <c r="B183">
        <v>6</v>
      </c>
      <c r="N183">
        <v>6</v>
      </c>
      <c r="O183" s="1067">
        <f t="shared" si="195"/>
        <v>194000</v>
      </c>
      <c r="P183" s="1067">
        <f t="shared" si="196"/>
        <v>12000</v>
      </c>
      <c r="NO183" s="1"/>
      <c r="RY183" s="1"/>
    </row>
    <row r="184" spans="2:493" hidden="1">
      <c r="B184">
        <v>7</v>
      </c>
      <c r="N184">
        <v>7</v>
      </c>
      <c r="O184" s="1067">
        <f t="shared" si="195"/>
        <v>226333.33333333334</v>
      </c>
      <c r="P184" s="1067">
        <f t="shared" si="196"/>
        <v>14000</v>
      </c>
      <c r="NO184" s="1"/>
      <c r="RY184" s="1"/>
    </row>
    <row r="185" spans="2:493" hidden="1">
      <c r="B185">
        <v>8</v>
      </c>
      <c r="N185">
        <v>8</v>
      </c>
      <c r="O185" s="1067">
        <f t="shared" si="195"/>
        <v>258666.66666666669</v>
      </c>
      <c r="P185" s="1067">
        <f t="shared" si="196"/>
        <v>16000</v>
      </c>
      <c r="NO185" s="1"/>
      <c r="RY185" s="1"/>
    </row>
    <row r="186" spans="2:493" hidden="1">
      <c r="B186">
        <v>9</v>
      </c>
      <c r="N186">
        <v>9</v>
      </c>
      <c r="O186" s="1067">
        <f t="shared" si="195"/>
        <v>291000</v>
      </c>
      <c r="P186" s="1067">
        <f t="shared" si="196"/>
        <v>18000</v>
      </c>
      <c r="NO186" s="1"/>
      <c r="RY186" s="1"/>
    </row>
    <row r="187" spans="2:493" hidden="1">
      <c r="B187">
        <v>10</v>
      </c>
      <c r="N187">
        <v>10</v>
      </c>
      <c r="O187" s="1067">
        <f t="shared" si="195"/>
        <v>323333.33333333331</v>
      </c>
      <c r="P187" s="1067">
        <f t="shared" si="196"/>
        <v>20000</v>
      </c>
      <c r="NO187" s="1"/>
      <c r="RY187" s="1"/>
    </row>
    <row r="188" spans="2:493" hidden="1">
      <c r="B188">
        <v>11</v>
      </c>
      <c r="N188">
        <v>11</v>
      </c>
      <c r="O188" s="1067">
        <f t="shared" si="195"/>
        <v>355666.66666666663</v>
      </c>
      <c r="P188" s="1067">
        <f t="shared" si="196"/>
        <v>22000</v>
      </c>
      <c r="NO188" s="1"/>
      <c r="RY188" s="1"/>
    </row>
    <row r="189" spans="2:493" hidden="1">
      <c r="B189">
        <v>12</v>
      </c>
      <c r="N189">
        <v>12</v>
      </c>
      <c r="O189" s="1067">
        <f t="shared" si="195"/>
        <v>387999.99999999994</v>
      </c>
      <c r="P189" s="1067">
        <f t="shared" si="196"/>
        <v>24000</v>
      </c>
      <c r="NO189" s="1"/>
      <c r="RY189" s="1"/>
    </row>
    <row r="190" spans="2:493" hidden="1">
      <c r="B190">
        <v>13</v>
      </c>
      <c r="N190">
        <v>13</v>
      </c>
      <c r="O190" s="1067">
        <f t="shared" si="195"/>
        <v>420333.33333333326</v>
      </c>
      <c r="P190" s="1067">
        <f t="shared" si="196"/>
        <v>26000</v>
      </c>
      <c r="NO190" s="1"/>
      <c r="RY190" s="1"/>
    </row>
    <row r="191" spans="2:493" hidden="1">
      <c r="B191">
        <v>14</v>
      </c>
      <c r="N191">
        <v>14</v>
      </c>
      <c r="O191" s="1067">
        <f t="shared" si="195"/>
        <v>452666.66666666657</v>
      </c>
      <c r="P191" s="1067">
        <f t="shared" si="196"/>
        <v>28000</v>
      </c>
      <c r="NO191" s="1"/>
      <c r="RY191" s="1"/>
    </row>
    <row r="192" spans="2:493" hidden="1">
      <c r="B192">
        <v>15</v>
      </c>
      <c r="N192">
        <v>15</v>
      </c>
      <c r="O192" s="1067">
        <f t="shared" si="195"/>
        <v>484999.99999999988</v>
      </c>
      <c r="P192" s="1067">
        <f t="shared" si="196"/>
        <v>30000</v>
      </c>
      <c r="NO192" s="1"/>
      <c r="RY192" s="1"/>
    </row>
    <row r="193" spans="2:493" hidden="1">
      <c r="B193">
        <v>16</v>
      </c>
      <c r="N193">
        <v>16</v>
      </c>
      <c r="O193" s="1067">
        <f t="shared" si="195"/>
        <v>517333.3333333332</v>
      </c>
      <c r="P193" s="1067">
        <f t="shared" si="196"/>
        <v>32000</v>
      </c>
      <c r="NO193" s="1"/>
      <c r="RY193" s="1"/>
    </row>
    <row r="194" spans="2:493" hidden="1">
      <c r="B194">
        <v>17</v>
      </c>
      <c r="N194">
        <v>17</v>
      </c>
      <c r="O194" s="1067">
        <f t="shared" si="195"/>
        <v>549666.66666666651</v>
      </c>
      <c r="P194" s="1067">
        <f t="shared" si="196"/>
        <v>34000</v>
      </c>
      <c r="NO194" s="1"/>
      <c r="RY194" s="1"/>
    </row>
    <row r="195" spans="2:493" hidden="1">
      <c r="B195">
        <v>18</v>
      </c>
      <c r="N195">
        <v>18</v>
      </c>
      <c r="O195" s="1067">
        <f t="shared" si="195"/>
        <v>581999.99999999988</v>
      </c>
      <c r="P195" s="1067">
        <f t="shared" si="196"/>
        <v>36000</v>
      </c>
      <c r="NO195" s="1"/>
      <c r="RY195" s="1"/>
    </row>
    <row r="196" spans="2:493" hidden="1">
      <c r="B196">
        <v>19</v>
      </c>
      <c r="N196">
        <v>19</v>
      </c>
      <c r="O196" s="1067">
        <f t="shared" si="195"/>
        <v>614333.33333333326</v>
      </c>
      <c r="P196" s="1067">
        <f t="shared" si="196"/>
        <v>38000</v>
      </c>
      <c r="NO196" s="1"/>
      <c r="RY196" s="1"/>
    </row>
    <row r="197" spans="2:493" hidden="1">
      <c r="B197">
        <v>20</v>
      </c>
      <c r="N197">
        <v>20</v>
      </c>
      <c r="O197" s="1067">
        <f t="shared" si="195"/>
        <v>646666.66666666663</v>
      </c>
      <c r="P197" s="1067">
        <f t="shared" si="196"/>
        <v>40000</v>
      </c>
      <c r="NO197" s="1"/>
      <c r="RY197" s="1"/>
    </row>
    <row r="198" spans="2:493" hidden="1">
      <c r="B198">
        <v>21</v>
      </c>
      <c r="N198">
        <v>21</v>
      </c>
      <c r="O198" s="1067">
        <f t="shared" si="195"/>
        <v>679000</v>
      </c>
      <c r="P198" s="1067">
        <f t="shared" si="196"/>
        <v>42000</v>
      </c>
      <c r="NO198" s="1"/>
      <c r="RY198" s="1"/>
    </row>
    <row r="199" spans="2:493" hidden="1">
      <c r="B199">
        <v>22</v>
      </c>
      <c r="N199">
        <v>22</v>
      </c>
      <c r="O199" s="1067">
        <f t="shared" si="195"/>
        <v>711333.33333333337</v>
      </c>
      <c r="P199" s="1067">
        <f t="shared" si="196"/>
        <v>44000</v>
      </c>
      <c r="NO199" s="1"/>
      <c r="RY199" s="1"/>
    </row>
    <row r="200" spans="2:493" hidden="1">
      <c r="B200">
        <v>23</v>
      </c>
      <c r="N200">
        <v>23</v>
      </c>
      <c r="O200" s="1067">
        <f t="shared" si="195"/>
        <v>743666.66666666674</v>
      </c>
      <c r="P200" s="1067">
        <f t="shared" si="196"/>
        <v>46000</v>
      </c>
      <c r="NO200" s="1"/>
      <c r="RY200" s="1"/>
    </row>
    <row r="201" spans="2:493" hidden="1">
      <c r="B201">
        <v>24</v>
      </c>
      <c r="N201">
        <v>24</v>
      </c>
      <c r="O201" s="1067">
        <f t="shared" si="195"/>
        <v>776000.00000000012</v>
      </c>
      <c r="P201" s="1067">
        <f t="shared" si="196"/>
        <v>48000</v>
      </c>
      <c r="NO201" s="1"/>
      <c r="RY201" s="1"/>
    </row>
    <row r="202" spans="2:493" hidden="1">
      <c r="B202">
        <v>25</v>
      </c>
      <c r="N202">
        <v>25</v>
      </c>
      <c r="O202" s="1067">
        <f t="shared" si="195"/>
        <v>808333.33333333349</v>
      </c>
      <c r="P202" s="1067">
        <f t="shared" si="196"/>
        <v>50000</v>
      </c>
      <c r="NO202" s="1"/>
      <c r="RY202" s="1"/>
    </row>
    <row r="203" spans="2:493" hidden="1">
      <c r="B203">
        <v>26</v>
      </c>
      <c r="N203">
        <v>26</v>
      </c>
      <c r="O203" s="1067">
        <f t="shared" si="195"/>
        <v>840666.66666666686</v>
      </c>
      <c r="P203" s="1067">
        <f t="shared" si="196"/>
        <v>52000</v>
      </c>
      <c r="NO203" s="1"/>
      <c r="RY203" s="1"/>
    </row>
    <row r="204" spans="2:493" hidden="1">
      <c r="B204">
        <v>27</v>
      </c>
      <c r="N204">
        <v>27</v>
      </c>
      <c r="O204" s="1067">
        <f t="shared" si="195"/>
        <v>873000.00000000023</v>
      </c>
      <c r="P204" s="1067">
        <f t="shared" si="196"/>
        <v>54000</v>
      </c>
      <c r="NO204" s="1"/>
      <c r="RY204" s="1"/>
    </row>
    <row r="205" spans="2:493" hidden="1">
      <c r="B205">
        <v>28</v>
      </c>
      <c r="N205">
        <v>28</v>
      </c>
      <c r="O205" s="1067">
        <f t="shared" si="195"/>
        <v>905333.3333333336</v>
      </c>
      <c r="P205" s="1067">
        <f t="shared" si="196"/>
        <v>56000</v>
      </c>
      <c r="NO205" s="1"/>
      <c r="RY205" s="1"/>
    </row>
    <row r="206" spans="2:493" hidden="1">
      <c r="B206">
        <v>29</v>
      </c>
      <c r="N206">
        <v>29</v>
      </c>
      <c r="O206" s="1067">
        <f t="shared" si="195"/>
        <v>937666.66666666698</v>
      </c>
      <c r="P206" s="1067">
        <f t="shared" si="196"/>
        <v>58000</v>
      </c>
      <c r="NO206" s="1"/>
      <c r="RY206" s="1"/>
    </row>
    <row r="207" spans="2:493" hidden="1">
      <c r="B207">
        <v>30</v>
      </c>
      <c r="N207">
        <v>30</v>
      </c>
      <c r="O207" s="1067">
        <f t="shared" si="195"/>
        <v>970000.00000000035</v>
      </c>
      <c r="P207" s="1067">
        <f t="shared" si="196"/>
        <v>60000</v>
      </c>
      <c r="NO207" s="1"/>
      <c r="RY207" s="1"/>
    </row>
    <row r="208" spans="2:493" hidden="1">
      <c r="B208">
        <v>31</v>
      </c>
      <c r="N208">
        <v>31</v>
      </c>
      <c r="O208" s="1067">
        <f t="shared" si="195"/>
        <v>1002333.3333333337</v>
      </c>
      <c r="P208" s="1067">
        <f t="shared" si="196"/>
        <v>62000</v>
      </c>
      <c r="NO208" s="1"/>
      <c r="RY208" s="1"/>
    </row>
    <row r="209" spans="15:493" hidden="1">
      <c r="O209" s="1067"/>
      <c r="P209" s="1067"/>
      <c r="DL209" s="1"/>
      <c r="DM209" s="1"/>
      <c r="JI209" s="887">
        <f>JI48/13</f>
        <v>-5052.9061538461556</v>
      </c>
      <c r="JJ209" s="887">
        <f>JJ48/13</f>
        <v>-770.65846153846132</v>
      </c>
      <c r="NO209" s="1"/>
      <c r="RY209" s="1"/>
    </row>
    <row r="210" spans="15:493" hidden="1">
      <c r="O210" s="1067"/>
      <c r="P210" s="1067"/>
      <c r="AA210" s="1"/>
      <c r="AB210" s="887">
        <f>(AB43+X43)/30</f>
        <v>1666.6666666666667</v>
      </c>
      <c r="BM210" s="887">
        <f>BM43/30</f>
        <v>1666.6666666666667</v>
      </c>
      <c r="BN210" s="887"/>
      <c r="BQ210" s="887" t="e">
        <f>#REF!/30</f>
        <v>#REF!</v>
      </c>
      <c r="BW210" s="887">
        <f>BW43/30</f>
        <v>1333.3333333333333</v>
      </c>
      <c r="DL210" s="1"/>
      <c r="DM210" s="1"/>
      <c r="NO210" s="1"/>
      <c r="RY210" s="1"/>
    </row>
    <row r="211" spans="15:493" hidden="1">
      <c r="O211" s="1067"/>
      <c r="P211" s="1067"/>
      <c r="BZ211" s="887">
        <f>BZ43/30</f>
        <v>0</v>
      </c>
      <c r="DL211" s="1"/>
      <c r="DM211" s="1"/>
      <c r="JL211" s="887"/>
      <c r="JM211" s="1"/>
      <c r="LY211" s="1074"/>
      <c r="NO211" s="1"/>
      <c r="RY211" s="1"/>
    </row>
    <row r="212" spans="15:493" hidden="1">
      <c r="O212" s="1067"/>
      <c r="P212" s="1067"/>
      <c r="AB212" s="887">
        <f>X41+AB41</f>
        <v>82425.539999999994</v>
      </c>
      <c r="DL212" s="1"/>
      <c r="DM212" s="1"/>
      <c r="JM212" s="887"/>
      <c r="NO212" s="1"/>
      <c r="RY212" s="1"/>
    </row>
    <row r="213" spans="15:493" hidden="1">
      <c r="O213" s="1067"/>
      <c r="P213" s="1067"/>
      <c r="DL213" s="1"/>
      <c r="DM213" s="1"/>
      <c r="GS213" s="887"/>
      <c r="NO213" s="1"/>
      <c r="RY213" s="1"/>
    </row>
    <row r="214" spans="15:493" hidden="1">
      <c r="O214" s="1067"/>
      <c r="P214" s="1067"/>
      <c r="DL214" s="1"/>
      <c r="DM214" s="1"/>
      <c r="NO214" s="1"/>
    </row>
    <row r="215" spans="15:493" hidden="1">
      <c r="O215" s="1067"/>
      <c r="P215" s="1067"/>
      <c r="DL215" s="1"/>
      <c r="DM215" s="1"/>
      <c r="NO215" s="1"/>
    </row>
    <row r="216" spans="15:493" hidden="1">
      <c r="O216" s="1067"/>
      <c r="P216" s="1067"/>
      <c r="DL216" s="1"/>
      <c r="DM216" s="1"/>
      <c r="NO216" s="1"/>
    </row>
    <row r="217" spans="15:493" hidden="1">
      <c r="O217" s="1067"/>
      <c r="P217" s="1067"/>
      <c r="DL217" s="1"/>
      <c r="DM217" s="1"/>
      <c r="NO217" s="1"/>
    </row>
    <row r="218" spans="15:493" hidden="1">
      <c r="O218" s="1067"/>
      <c r="P218" s="1067"/>
      <c r="DL218" s="1"/>
      <c r="DM218" s="1"/>
      <c r="NO218" s="1"/>
    </row>
    <row r="219" spans="15:493" hidden="1">
      <c r="O219" s="1067"/>
      <c r="P219" s="1067"/>
      <c r="DL219" s="1"/>
      <c r="DM219" s="1"/>
      <c r="NO219" s="1"/>
    </row>
    <row r="220" spans="15:493" hidden="1">
      <c r="O220" s="1067"/>
      <c r="P220" s="1067"/>
      <c r="DL220" s="1"/>
      <c r="DM220" s="1"/>
      <c r="NO220" s="1"/>
    </row>
    <row r="221" spans="15:493" hidden="1">
      <c r="O221" s="1067"/>
      <c r="P221" s="1067"/>
      <c r="DL221" s="1"/>
      <c r="DM221" s="1"/>
      <c r="NO221" s="1"/>
    </row>
    <row r="222" spans="15:493" hidden="1">
      <c r="O222" s="1067"/>
      <c r="P222" s="1067"/>
      <c r="DL222" s="1"/>
      <c r="DM222" s="1"/>
      <c r="NO222" s="1"/>
    </row>
    <row r="223" spans="15:493" hidden="1">
      <c r="O223" s="1067"/>
      <c r="P223" s="1067"/>
      <c r="DL223" s="1"/>
      <c r="DM223" s="1"/>
      <c r="NO223" s="1"/>
    </row>
    <row r="224" spans="15:493" hidden="1">
      <c r="O224" s="1067"/>
      <c r="P224" s="1067"/>
      <c r="DL224" s="1"/>
      <c r="DM224" s="1"/>
      <c r="JI224" s="887">
        <f>JI43/31</f>
        <v>4516.1290322580644</v>
      </c>
      <c r="NO224" s="1"/>
    </row>
    <row r="225" spans="15:379" hidden="1">
      <c r="O225" s="1067"/>
      <c r="P225" s="1067"/>
      <c r="DL225" s="1"/>
      <c r="DM225" s="1"/>
      <c r="NO225" s="1"/>
    </row>
    <row r="226" spans="15:379" hidden="1">
      <c r="O226" s="1067"/>
      <c r="P226" s="1067"/>
      <c r="DL226" s="1"/>
      <c r="DM226" s="1"/>
      <c r="NO226" s="1"/>
    </row>
    <row r="227" spans="15:379" hidden="1">
      <c r="O227" s="1067"/>
      <c r="P227" s="1067"/>
      <c r="DL227" s="1"/>
      <c r="DM227" s="1"/>
      <c r="NO227" s="1"/>
    </row>
    <row r="228" spans="15:379" hidden="1">
      <c r="O228" s="1067"/>
      <c r="P228" s="1067"/>
      <c r="T228" s="887">
        <f>P41+T41+AB41</f>
        <v>285964.15999999997</v>
      </c>
      <c r="DL228" s="1"/>
      <c r="DM228" s="1"/>
      <c r="NO228" s="1"/>
    </row>
    <row r="229" spans="15:379" hidden="1">
      <c r="O229" s="1067"/>
      <c r="P229" s="1067"/>
      <c r="DL229" s="1"/>
      <c r="DM229" s="1"/>
      <c r="NO229" s="1"/>
    </row>
    <row r="230" spans="15:379" hidden="1">
      <c r="O230" s="1067"/>
      <c r="P230" s="1067"/>
      <c r="DL230" s="1"/>
      <c r="DM230" s="1"/>
      <c r="NO230" s="1"/>
    </row>
    <row r="231" spans="15:379" hidden="1">
      <c r="O231" s="1067"/>
      <c r="P231" s="1067"/>
      <c r="DL231" s="1"/>
      <c r="DM231" s="1"/>
      <c r="NO231" s="1"/>
    </row>
    <row r="232" spans="15:379" hidden="1">
      <c r="O232" s="1067"/>
      <c r="P232" s="1067"/>
      <c r="DL232" s="1"/>
      <c r="DM232" s="1"/>
      <c r="NO232" s="1"/>
    </row>
    <row r="233" spans="15:379" hidden="1">
      <c r="O233" s="1067"/>
      <c r="P233" s="1067"/>
      <c r="DL233" s="1"/>
      <c r="DM233" s="1"/>
      <c r="NO233" s="1"/>
    </row>
    <row r="234" spans="15:379" hidden="1">
      <c r="O234" s="1067"/>
      <c r="P234" s="1067"/>
      <c r="DL234" s="1"/>
      <c r="DM234" s="1"/>
      <c r="NO234" s="1"/>
    </row>
    <row r="235" spans="15:379" hidden="1">
      <c r="O235" s="1067"/>
      <c r="P235" s="1067"/>
      <c r="NO235" s="1"/>
    </row>
    <row r="236" spans="15:379" hidden="1">
      <c r="O236" s="1067"/>
      <c r="P236" s="1067"/>
      <c r="NO236" s="1"/>
    </row>
    <row r="237" spans="15:379" hidden="1">
      <c r="O237" s="1067"/>
      <c r="P237" s="1067"/>
    </row>
    <row r="238" spans="15:379" hidden="1">
      <c r="O238" s="1067"/>
      <c r="P238" s="1067"/>
    </row>
    <row r="239" spans="15:379" hidden="1">
      <c r="O239" s="1067"/>
      <c r="P239" s="1067"/>
    </row>
    <row r="240" spans="15:379" hidden="1">
      <c r="O240" s="1067"/>
      <c r="P240" s="1067"/>
    </row>
    <row r="241" spans="15:16" hidden="1">
      <c r="O241" s="1067"/>
      <c r="P241" s="1067"/>
    </row>
    <row r="242" spans="15:16" hidden="1">
      <c r="O242" s="1067"/>
      <c r="P242" s="1067"/>
    </row>
    <row r="243" spans="15:16" hidden="1">
      <c r="O243" s="1067"/>
      <c r="P243" s="1067"/>
    </row>
    <row r="244" spans="15:16" hidden="1">
      <c r="O244" s="1067"/>
      <c r="P244" s="1067"/>
    </row>
    <row r="245" spans="15:16" hidden="1">
      <c r="O245" s="1067"/>
      <c r="P245" s="1067"/>
    </row>
    <row r="246" spans="15:16" hidden="1">
      <c r="O246" s="1067"/>
      <c r="P246" s="1067"/>
    </row>
    <row r="247" spans="15:16" hidden="1">
      <c r="O247" s="1067"/>
      <c r="P247" s="1067"/>
    </row>
    <row r="248" spans="15:16" hidden="1">
      <c r="O248" s="1067"/>
      <c r="P248" s="1067"/>
    </row>
    <row r="249" spans="15:16" hidden="1">
      <c r="O249" s="1067"/>
      <c r="P249" s="1067"/>
    </row>
    <row r="250" spans="15:16" hidden="1">
      <c r="O250" s="1067"/>
      <c r="P250" s="1067"/>
    </row>
    <row r="251" spans="15:16" hidden="1">
      <c r="O251" s="1067"/>
      <c r="P251" s="1067"/>
    </row>
    <row r="252" spans="15:16" hidden="1">
      <c r="O252" s="1067"/>
      <c r="P252" s="1067"/>
    </row>
    <row r="253" spans="15:16" hidden="1">
      <c r="O253" s="1067"/>
      <c r="P253" s="1067"/>
    </row>
    <row r="254" spans="15:16" hidden="1">
      <c r="O254" s="1067"/>
      <c r="P254" s="1067"/>
    </row>
    <row r="255" spans="15:16" hidden="1">
      <c r="O255" s="1067"/>
      <c r="P255" s="1067"/>
    </row>
    <row r="256" spans="15:16" hidden="1">
      <c r="O256" s="1067"/>
      <c r="P256" s="1067"/>
    </row>
    <row r="257" spans="15:16" hidden="1">
      <c r="O257" s="1067"/>
      <c r="P257" s="1067"/>
    </row>
    <row r="258" spans="15:16" hidden="1">
      <c r="O258" s="1067"/>
      <c r="P258" s="1067"/>
    </row>
    <row r="259" spans="15:16" hidden="1">
      <c r="O259" s="1067"/>
      <c r="P259" s="1067"/>
    </row>
    <row r="260" spans="15:16" hidden="1">
      <c r="O260" s="1067"/>
      <c r="P260" s="1067"/>
    </row>
    <row r="261" spans="15:16" hidden="1">
      <c r="O261" s="1067"/>
      <c r="P261" s="1067"/>
    </row>
    <row r="262" spans="15:16" hidden="1">
      <c r="O262" s="1067"/>
      <c r="P262" s="1067"/>
    </row>
    <row r="263" spans="15:16" hidden="1">
      <c r="O263" s="1067"/>
      <c r="P263" s="1067"/>
    </row>
    <row r="264" spans="15:16" hidden="1">
      <c r="O264" s="1067"/>
      <c r="P264" s="1067"/>
    </row>
    <row r="265" spans="15:16" hidden="1">
      <c r="O265" s="1067"/>
      <c r="P265" s="1067"/>
    </row>
    <row r="266" spans="15:16" hidden="1">
      <c r="O266" s="1067"/>
      <c r="P266" s="1067"/>
    </row>
    <row r="267" spans="15:16" hidden="1">
      <c r="O267" s="1067"/>
      <c r="P267" s="1067"/>
    </row>
    <row r="268" spans="15:16" hidden="1">
      <c r="O268" s="1067"/>
      <c r="P268" s="1067"/>
    </row>
    <row r="269" spans="15:16" hidden="1"/>
    <row r="270" spans="15:16" hidden="1"/>
    <row r="271" spans="15:16" hidden="1"/>
    <row r="272" spans="15:16"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spans="4:274" hidden="1"/>
    <row r="290" spans="4:274">
      <c r="D290" s="887">
        <f>D47/15</f>
        <v>-5398.9439999999986</v>
      </c>
      <c r="JL290" s="887">
        <f>JL47/9</f>
        <v>-8411.8155555555513</v>
      </c>
    </row>
    <row r="292" spans="4:274">
      <c r="JL292" s="314">
        <f>JL41+15000</f>
        <v>320706.33999999997</v>
      </c>
    </row>
    <row r="293" spans="4:274">
      <c r="JL293" s="1">
        <f>JL42+24000</f>
        <v>329706.33999999997</v>
      </c>
    </row>
    <row r="299" spans="4:274">
      <c r="JN299">
        <v>1.3291579999999998</v>
      </c>
    </row>
    <row r="300" spans="4:274">
      <c r="AB300" s="1">
        <f>AB43-AB41</f>
        <v>7594.46</v>
      </c>
      <c r="JL300" s="887"/>
    </row>
    <row r="301" spans="4:274">
      <c r="JJ301" s="1">
        <f>JI41+JJ41</f>
        <v>305706.34000000003</v>
      </c>
    </row>
  </sheetData>
  <mergeCells count="203">
    <mergeCell ref="RW8:RZ8"/>
    <mergeCell ref="SA8:SD8"/>
    <mergeCell ref="JO48:JP48"/>
    <mergeCell ref="QG6:QI6"/>
    <mergeCell ref="QK6:QK7"/>
    <mergeCell ref="RJ6:RL6"/>
    <mergeCell ref="RM6:RM7"/>
    <mergeCell ref="AA8:AD9"/>
    <mergeCell ref="RO8:RT8"/>
    <mergeCell ref="QA6:QA7"/>
    <mergeCell ref="QB6:QB7"/>
    <mergeCell ref="QC6:QC7"/>
    <mergeCell ref="QD6:QD7"/>
    <mergeCell ref="QE6:QE7"/>
    <mergeCell ref="QF6:QF7"/>
    <mergeCell ref="PN6:PN7"/>
    <mergeCell ref="PO6:PO7"/>
    <mergeCell ref="PP6:PP7"/>
    <mergeCell ref="PS6:PT6"/>
    <mergeCell ref="PU6:PY6"/>
    <mergeCell ref="PZ6:PZ7"/>
    <mergeCell ref="OG6:OQ6"/>
    <mergeCell ref="OS6:OS7"/>
    <mergeCell ref="OT6:OY6"/>
    <mergeCell ref="LK6:LN6"/>
    <mergeCell ref="LO6:LO7"/>
    <mergeCell ref="LP6:LP7"/>
    <mergeCell ref="LR6:LV6"/>
    <mergeCell ref="LW6:LW7"/>
    <mergeCell ref="LX6:MC6"/>
    <mergeCell ref="OZ6:OZ7"/>
    <mergeCell ref="PA6:PF6"/>
    <mergeCell ref="PG6:PG7"/>
    <mergeCell ref="NC6:NE6"/>
    <mergeCell ref="NF6:NF7"/>
    <mergeCell ref="NG6:NR6"/>
    <mergeCell ref="NS6:NS7"/>
    <mergeCell ref="NT6:OD6"/>
    <mergeCell ref="OF6:OF7"/>
    <mergeCell ref="JM6:JM7"/>
    <mergeCell ref="JO6:JV6"/>
    <mergeCell ref="JW6:KD6"/>
    <mergeCell ref="KE6:KL6"/>
    <mergeCell ref="KM6:KM7"/>
    <mergeCell ref="KO6:KS6"/>
    <mergeCell ref="IR6:JE6"/>
    <mergeCell ref="JF6:JF7"/>
    <mergeCell ref="JI6:JI7"/>
    <mergeCell ref="JJ6:JJ7"/>
    <mergeCell ref="JK6:JK7"/>
    <mergeCell ref="JL6:JL7"/>
    <mergeCell ref="GY6:HL6"/>
    <mergeCell ref="HM6:HM7"/>
    <mergeCell ref="HN6:IA6"/>
    <mergeCell ref="IB6:IB7"/>
    <mergeCell ref="IC6:IP6"/>
    <mergeCell ref="IQ6:IQ7"/>
    <mergeCell ref="FV6:GF6"/>
    <mergeCell ref="GH6:GH7"/>
    <mergeCell ref="GK6:GM6"/>
    <mergeCell ref="GN6:GN7"/>
    <mergeCell ref="GQ6:GQ7"/>
    <mergeCell ref="GS6:GS7"/>
    <mergeCell ref="EY6:EY7"/>
    <mergeCell ref="FB6:FB7"/>
    <mergeCell ref="FC6:FC7"/>
    <mergeCell ref="FD6:FD7"/>
    <mergeCell ref="FE6:FE7"/>
    <mergeCell ref="FF6:FF7"/>
    <mergeCell ref="DR6:DR7"/>
    <mergeCell ref="DS6:EC6"/>
    <mergeCell ref="EE6:EE7"/>
    <mergeCell ref="EF6:EP6"/>
    <mergeCell ref="ER6:ER7"/>
    <mergeCell ref="ES6:EX6"/>
    <mergeCell ref="CZ6:CZ7"/>
    <mergeCell ref="DA6:DA7"/>
    <mergeCell ref="DB6:DB7"/>
    <mergeCell ref="DC6:DC7"/>
    <mergeCell ref="DD6:DD7"/>
    <mergeCell ref="DF6:DP6"/>
    <mergeCell ref="CT6:CT7"/>
    <mergeCell ref="CU6:CU7"/>
    <mergeCell ref="CV6:CV7"/>
    <mergeCell ref="CW6:CW7"/>
    <mergeCell ref="CX6:CX7"/>
    <mergeCell ref="CY6:CY7"/>
    <mergeCell ref="CN6:CN7"/>
    <mergeCell ref="CO6:CO7"/>
    <mergeCell ref="CP6:CP7"/>
    <mergeCell ref="CR6:CR7"/>
    <mergeCell ref="CS6:CS7"/>
    <mergeCell ref="CB6:CD6"/>
    <mergeCell ref="CE6:CG6"/>
    <mergeCell ref="CI6:CI7"/>
    <mergeCell ref="CJ6:CJ7"/>
    <mergeCell ref="CK6:CK7"/>
    <mergeCell ref="CL6:CL7"/>
    <mergeCell ref="BV6:BX6"/>
    <mergeCell ref="BY6:CA6"/>
    <mergeCell ref="AQ6:AS6"/>
    <mergeCell ref="AT6:AV6"/>
    <mergeCell ref="AW6:AY6"/>
    <mergeCell ref="AZ6:BB6"/>
    <mergeCell ref="BC6:BE6"/>
    <mergeCell ref="BF6:BH6"/>
    <mergeCell ref="CM6:CM7"/>
    <mergeCell ref="AI6:AL6"/>
    <mergeCell ref="AN6:AP6"/>
    <mergeCell ref="QT5:QY5"/>
    <mergeCell ref="RA5:RF5"/>
    <mergeCell ref="C6:C7"/>
    <mergeCell ref="D6:D7"/>
    <mergeCell ref="E6:E7"/>
    <mergeCell ref="F6:G6"/>
    <mergeCell ref="H6:I6"/>
    <mergeCell ref="J6:K6"/>
    <mergeCell ref="L6:M6"/>
    <mergeCell ref="O6:R6"/>
    <mergeCell ref="PJ5:PP5"/>
    <mergeCell ref="PQ5:PQ40"/>
    <mergeCell ref="PS5:QK5"/>
    <mergeCell ref="QL5:QL40"/>
    <mergeCell ref="QN5:QO5"/>
    <mergeCell ref="QQ5:QR5"/>
    <mergeCell ref="PJ6:PJ7"/>
    <mergeCell ref="PK6:PK7"/>
    <mergeCell ref="BI6:BK6"/>
    <mergeCell ref="BL6:BO6"/>
    <mergeCell ref="BP6:BR6"/>
    <mergeCell ref="BS6:BU6"/>
    <mergeCell ref="LG5:LP5"/>
    <mergeCell ref="LQ5:LQ40"/>
    <mergeCell ref="KT6:KX6"/>
    <mergeCell ref="KY6:LC6"/>
    <mergeCell ref="LD6:LD7"/>
    <mergeCell ref="LG6:LJ6"/>
    <mergeCell ref="PL6:PL7"/>
    <mergeCell ref="PM6:PM7"/>
    <mergeCell ref="LR5:MU5"/>
    <mergeCell ref="MV5:MV40"/>
    <mergeCell ref="MX5:NA5"/>
    <mergeCell ref="NB5:NB40"/>
    <mergeCell ref="NC5:PG5"/>
    <mergeCell ref="PH5:PH40"/>
    <mergeCell ref="MD6:MH6"/>
    <mergeCell ref="MI6:MI7"/>
    <mergeCell ref="MJ6:MN6"/>
    <mergeCell ref="MO6:MO7"/>
    <mergeCell ref="MP6:MT6"/>
    <mergeCell ref="MU6:MU7"/>
    <mergeCell ref="MX6:MX7"/>
    <mergeCell ref="MY6:MY7"/>
    <mergeCell ref="MZ6:MZ7"/>
    <mergeCell ref="NA6:NA7"/>
    <mergeCell ref="LG4:MV4"/>
    <mergeCell ref="MX4:PH4"/>
    <mergeCell ref="PJ4:PQ4"/>
    <mergeCell ref="PS4:QL4"/>
    <mergeCell ref="C5:M5"/>
    <mergeCell ref="N5:N40"/>
    <mergeCell ref="O5:AL5"/>
    <mergeCell ref="AM5:AM40"/>
    <mergeCell ref="AN5:CG5"/>
    <mergeCell ref="CI5:CO5"/>
    <mergeCell ref="FB5:FF5"/>
    <mergeCell ref="FG5:FG40"/>
    <mergeCell ref="FH5:GH5"/>
    <mergeCell ref="GI5:GI40"/>
    <mergeCell ref="GK5:GQ5"/>
    <mergeCell ref="GR5:GR40"/>
    <mergeCell ref="FH6:FM6"/>
    <mergeCell ref="FN6:FN7"/>
    <mergeCell ref="FO6:FT6"/>
    <mergeCell ref="FU6:FU7"/>
    <mergeCell ref="GS5:GW5"/>
    <mergeCell ref="GX5:GX40"/>
    <mergeCell ref="GY5:JF5"/>
    <mergeCell ref="JG5:JG40"/>
    <mergeCell ref="B4:B7"/>
    <mergeCell ref="C4:CP4"/>
    <mergeCell ref="CR4:EZ4"/>
    <mergeCell ref="FB4:GI4"/>
    <mergeCell ref="GK4:JG4"/>
    <mergeCell ref="JI4:LE4"/>
    <mergeCell ref="CR5:DD5"/>
    <mergeCell ref="DE5:DE40"/>
    <mergeCell ref="DF5:EY5"/>
    <mergeCell ref="EZ5:EZ40"/>
    <mergeCell ref="JI5:JM5"/>
    <mergeCell ref="JN5:JN40"/>
    <mergeCell ref="GT6:GT7"/>
    <mergeCell ref="GU6:GU7"/>
    <mergeCell ref="GV6:GV7"/>
    <mergeCell ref="GW6:GW7"/>
    <mergeCell ref="JO5:KM5"/>
    <mergeCell ref="KN5:KN40"/>
    <mergeCell ref="KO5:LD5"/>
    <mergeCell ref="LE5:LE40"/>
    <mergeCell ref="S6:V6"/>
    <mergeCell ref="W6:Z6"/>
    <mergeCell ref="AA6:AD6"/>
    <mergeCell ref="AE6:AH6"/>
  </mergeCells>
  <conditionalFormatting sqref="B10:B40">
    <cfRule type="expression" dxfId="108" priority="17" stopIfTrue="1">
      <formula>SUMIFS($AQ10:$CG10,$AQ$7:$CG$7,"ROM")&lt;&gt;SUM($DR10,$EE10,$ER10,$PY10)</formula>
    </cfRule>
    <cfRule type="expression" dxfId="107" priority="18" stopIfTrue="1">
      <formula>OR(SUM(GS10:GV10)&lt;&gt;SUM(HM10,IQ10,JF10),SUM(HM10,IQ10,JF10)&lt;&gt;SUM(JI10:JK10))</formula>
    </cfRule>
    <cfRule type="expression" dxfId="106" priority="19">
      <formula>OR(SUM(#REF!)&lt;&gt;SUM(P1048567,AE1048567,AT1048567),SUM(P1048567,AE1048567,AT1048567)&lt;&gt;SUM(AW1048567:AY1048567))</formula>
    </cfRule>
  </conditionalFormatting>
  <conditionalFormatting sqref="C10:S10 U10:CD10 CF10:GT10 GV10:JK10 JN10:QK10 T10:T40 AC11:AV11 BX11:CD11 CF11:CM11 U11:W15 NF11:NL18 X11:Z23 KY11:LV34 C11:R40 AA11:AA40 AX11:BW40 JN11:KX40 LW11:NB40 NM11:NN40 NP11:QK40 GL11:GL41 AB11:AB42 NC11:NE42 NO11:NO42 S11:S45 CA12:CD18 CF12:CH18 BZ12:BZ19 BX12:BY29 CI12:CM37 AC12:AW40 W16:W17 U16:U20 V18:W20 CA19:CH19 NG19:NL20 NF19:NF25 BZ20:CH29 U21:W23 NH21:NL24 NG21:NG25 V24:Z40 U24:U44 NH25:NH31 NI25:NL33 NF26:NG31 BX30:CH37 NF32:NH33 NF34:NL40 KY35:LP35 LQ35:LV36 KY36:LO36 KY37:LV40 BX38:CM40 T43 AB44">
    <cfRule type="expression" dxfId="105" priority="15">
      <formula>$B10=DAY(TODAY()-1)</formula>
    </cfRule>
  </conditionalFormatting>
  <conditionalFormatting sqref="O10:R40">
    <cfRule type="expression" dxfId="104" priority="13">
      <formula>OR(AND(O10&lt;(O$45-(10%*O$45)),O$7="OB"),AND(O10&lt;(O$45-(10%*O$45)),O$7="ROM"))</formula>
    </cfRule>
  </conditionalFormatting>
  <conditionalFormatting sqref="T10:T40 S10:S45 AK11:AV11 AK12:AW40 T43">
    <cfRule type="expression" dxfId="103" priority="12">
      <formula>OR(AND(S10&lt;(S$45-(10%*S$45)),S$7="OB"),AND(S10&lt;(S$45-(10%*S$45)),S$7="ROM"))</formula>
    </cfRule>
  </conditionalFormatting>
  <conditionalFormatting sqref="V16">
    <cfRule type="expression" dxfId="102" priority="16">
      <formula>$B16=DAY(TODAY()-1)</formula>
    </cfRule>
  </conditionalFormatting>
  <conditionalFormatting sqref="W10:X40">
    <cfRule type="expression" dxfId="101" priority="9">
      <formula>OR(AND(W10&lt;(W$45-(10%*W$45)),W$7="OB"),AND(W10&lt;(W$45-(10%*W$45)),W$7="ROM"))</formula>
    </cfRule>
  </conditionalFormatting>
  <conditionalFormatting sqref="Y10:AD10 U10:V16 BO11:BV12 Y11:AA40 AC11:AD40 AG11:AJ40 AB11:AB42 BO13:BS15 BT13:BV21 BP16:BS16 U17:U20 BO17:BS21 V18:V20 U21:V23 BO22:BV33 V24:V40 U24:U44 BO34:BP35 BR34:BV35 BO36:BV40 O40 AB44">
    <cfRule type="expression" dxfId="100" priority="14">
      <formula>OR(AND(O10&lt;(O$45-(10%*O$45)),O$7="OB"),AND(O10&lt;(O$45-(10%*O$45)),O$7="ROM"))</formula>
    </cfRule>
  </conditionalFormatting>
  <conditionalFormatting sqref="AE10:AF40">
    <cfRule type="expression" dxfId="99" priority="10">
      <formula>OR(AND(AE10&lt;(AE$45-(10%*AE$45)),AE$7="OB"),AND(AE10&lt;(AE$45-(10%*AE$45)),AE$7="ROM"))</formula>
    </cfRule>
  </conditionalFormatting>
  <conditionalFormatting sqref="AG10:CA10 AX11:BN40 BQ11:BQ40 BW11:CA40">
    <cfRule type="expression" dxfId="98" priority="11">
      <formula>OR(AND(AG10&lt;(AG$45-(10%*AG$45)),AG$7="OB"),AND(AG10&lt;(AG$45-(10%*AG$45)),AG$7="ROM"))</formula>
    </cfRule>
  </conditionalFormatting>
  <conditionalFormatting sqref="AW10">
    <cfRule type="expression" dxfId="97" priority="20">
      <formula>$B11=DAY(TODAY()-1)</formula>
    </cfRule>
  </conditionalFormatting>
  <conditionalFormatting sqref="CB10:CG40">
    <cfRule type="expression" dxfId="96" priority="6">
      <formula>OR(AND(CB10&lt;(CB$45-(10%*CB$45)),CB$7="OB"),AND(CB10&lt;(CB$45-(10%*CB$45)),CB$7="ROM"))</formula>
    </cfRule>
  </conditionalFormatting>
  <conditionalFormatting sqref="CE10:CE18">
    <cfRule type="expression" dxfId="95" priority="7">
      <formula>$B10=DAY(TODAY()-1)</formula>
    </cfRule>
  </conditionalFormatting>
  <conditionalFormatting sqref="CN11:GK40 GM11:JK40">
    <cfRule type="expression" dxfId="94" priority="3">
      <formula>$B11=DAY(TODAY()-1)</formula>
    </cfRule>
  </conditionalFormatting>
  <conditionalFormatting sqref="EE1">
    <cfRule type="expression" dxfId="93" priority="2">
      <formula>$B1=DAY(TODAY()-1)</formula>
    </cfRule>
  </conditionalFormatting>
  <conditionalFormatting sqref="EF10">
    <cfRule type="expression" dxfId="92" priority="5">
      <formula>OR(AND(EF10&lt;(EF$45-(10%*EF$45)),EF$7="OB"),AND(EF10&lt;(EF$45-(10%*EF$45)),EF$7="ROM"))</formula>
    </cfRule>
  </conditionalFormatting>
  <conditionalFormatting sqref="EH21">
    <cfRule type="expression" dxfId="91" priority="8">
      <formula>OR(AND(EH21&lt;(EH$45-(10%*EH$45)),EH$7="OB"),AND(EH21&lt;(EH$45-(10%*EH$45)),EH$7="ROM"))</formula>
    </cfRule>
  </conditionalFormatting>
  <conditionalFormatting sqref="JL10:JM40">
    <cfRule type="expression" dxfId="90" priority="4">
      <formula>$B10=DAY(TODAY()-1)</formula>
    </cfRule>
  </conditionalFormatting>
  <conditionalFormatting sqref="OJ1">
    <cfRule type="expression" dxfId="89" priority="1">
      <formula>$B1=DAY(TODAY()-1)</formula>
    </cfRule>
  </conditionalFormatting>
  <pageMargins left="0.7" right="0.7" top="0.75" bottom="0.75" header="0.3" footer="0.3"/>
  <pageSetup orientation="portrait"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1:SI301"/>
  <sheetViews>
    <sheetView showGridLines="0" topLeftCell="A7" zoomScale="68" zoomScaleNormal="68" workbookViewId="0">
      <pane xSplit="2" topLeftCell="C1" activePane="topRight" state="frozen"/>
      <selection pane="topRight" activeCell="ND42" sqref="ND42"/>
    </sheetView>
  </sheetViews>
  <sheetFormatPr defaultColWidth="8.6640625" defaultRowHeight="14.4"/>
  <cols>
    <col min="1" max="1" width="2.33203125" customWidth="1"/>
    <col min="2" max="2" width="7.33203125" customWidth="1"/>
    <col min="3" max="3" width="15.33203125" customWidth="1"/>
    <col min="4" max="4" width="13" customWidth="1"/>
    <col min="5" max="5" width="10.44140625" customWidth="1"/>
    <col min="6" max="7" width="10.44140625" hidden="1" customWidth="1"/>
    <col min="8" max="8" width="13.6640625" customWidth="1"/>
    <col min="9" max="9" width="10.44140625" customWidth="1"/>
    <col min="10" max="10" width="12.33203125" customWidth="1"/>
    <col min="11" max="11" width="11.5546875" customWidth="1"/>
    <col min="12" max="12" width="10" customWidth="1"/>
    <col min="13" max="13" width="8.6640625" customWidth="1"/>
    <col min="14" max="14" width="5" customWidth="1"/>
    <col min="15" max="15" width="14.6640625" customWidth="1"/>
    <col min="16" max="16" width="16.6640625" customWidth="1"/>
    <col min="17" max="17" width="11.6640625" customWidth="1"/>
    <col min="18" max="18" width="8.33203125" customWidth="1"/>
    <col min="19" max="19" width="12.6640625" customWidth="1"/>
    <col min="20" max="20" width="15.33203125" customWidth="1"/>
    <col min="21" max="21" width="10.33203125" customWidth="1"/>
    <col min="22" max="22" width="8.6640625" customWidth="1"/>
    <col min="23" max="23" width="13" customWidth="1"/>
    <col min="24" max="24" width="13.6640625" customWidth="1"/>
    <col min="25" max="25" width="10.6640625" customWidth="1"/>
    <col min="26" max="26" width="9.33203125" customWidth="1"/>
    <col min="27" max="27" width="15.44140625" customWidth="1"/>
    <col min="28" max="28" width="12.6640625" customWidth="1"/>
    <col min="29" max="30" width="9.33203125" customWidth="1"/>
    <col min="31" max="31" width="14.33203125" hidden="1" customWidth="1"/>
    <col min="32" max="33" width="12.6640625" hidden="1" customWidth="1"/>
    <col min="34" max="34" width="8.6640625" hidden="1" customWidth="1"/>
    <col min="35" max="35" width="10.33203125" hidden="1" customWidth="1"/>
    <col min="36" max="36" width="9.33203125" hidden="1" customWidth="1"/>
    <col min="37" max="38" width="8.6640625" hidden="1" customWidth="1"/>
    <col min="39" max="39" width="1.33203125" customWidth="1"/>
    <col min="40" max="40" width="12" hidden="1" customWidth="1"/>
    <col min="41" max="42" width="8.6640625" hidden="1" customWidth="1"/>
    <col min="43" max="43" width="14.5546875" hidden="1" customWidth="1"/>
    <col min="44" max="45" width="12.33203125" hidden="1" customWidth="1"/>
    <col min="46" max="46" width="14.6640625" hidden="1" customWidth="1"/>
    <col min="47" max="47" width="11.44140625" hidden="1" customWidth="1"/>
    <col min="48" max="48" width="11.6640625" hidden="1" customWidth="1"/>
    <col min="49" max="49" width="14.5546875" customWidth="1"/>
    <col min="50" max="50" width="17" customWidth="1"/>
    <col min="51" max="51" width="16.5546875" customWidth="1"/>
    <col min="52" max="52" width="8.5546875" hidden="1" customWidth="1"/>
    <col min="53" max="53" width="8.6640625" hidden="1" customWidth="1"/>
    <col min="54" max="54" width="9.33203125" hidden="1" customWidth="1"/>
    <col min="55" max="55" width="15" customWidth="1"/>
    <col min="56" max="56" width="12.33203125" customWidth="1"/>
    <col min="57" max="57" width="10.44140625" customWidth="1"/>
    <col min="58" max="58" width="13.6640625" hidden="1" customWidth="1"/>
    <col min="59" max="59" width="15.33203125" hidden="1" customWidth="1"/>
    <col min="60" max="60" width="9.33203125" hidden="1" customWidth="1"/>
    <col min="61" max="61" width="11.6640625" hidden="1" customWidth="1"/>
    <col min="62" max="62" width="12.33203125" hidden="1" customWidth="1"/>
    <col min="63" max="63" width="8.6640625" hidden="1" customWidth="1"/>
    <col min="64" max="64" width="13.109375" customWidth="1"/>
    <col min="65" max="66" width="12.33203125" customWidth="1"/>
    <col min="67" max="67" width="8.6640625" customWidth="1"/>
    <col min="68" max="68" width="11.44140625" customWidth="1"/>
    <col min="69" max="69" width="14.6640625" customWidth="1"/>
    <col min="70" max="70" width="10.6640625" customWidth="1"/>
    <col min="71" max="72" width="11.44140625" hidden="1" customWidth="1"/>
    <col min="73" max="73" width="8.6640625" hidden="1" customWidth="1"/>
    <col min="74" max="74" width="13.33203125" customWidth="1"/>
    <col min="75" max="75" width="12.6640625" customWidth="1"/>
    <col min="76" max="76" width="11.88671875" customWidth="1"/>
    <col min="77" max="77" width="13.5546875" hidden="1" customWidth="1"/>
    <col min="78" max="78" width="12.33203125" hidden="1" customWidth="1"/>
    <col min="79" max="79" width="9.33203125" hidden="1" customWidth="1"/>
    <col min="80" max="80" width="12.6640625" hidden="1" customWidth="1"/>
    <col min="81" max="81" width="11.33203125" hidden="1" customWidth="1"/>
    <col min="82" max="82" width="9.33203125" hidden="1" customWidth="1"/>
    <col min="83" max="83" width="13.44140625" hidden="1" customWidth="1"/>
    <col min="84" max="84" width="13" hidden="1" customWidth="1"/>
    <col min="85" max="85" width="9.33203125" hidden="1" customWidth="1"/>
    <col min="86" max="86" width="7.6640625" customWidth="1"/>
    <col min="87" max="88" width="10.6640625" customWidth="1"/>
    <col min="89" max="89" width="12.33203125" customWidth="1"/>
    <col min="90" max="90" width="11" customWidth="1"/>
    <col min="91" max="91" width="0" hidden="1" customWidth="1"/>
    <col min="92" max="92" width="11.6640625" customWidth="1"/>
    <col min="93" max="93" width="0" hidden="1" customWidth="1"/>
    <col min="94" max="94" width="18.33203125" customWidth="1"/>
    <col min="95" max="95" width="6.6640625" customWidth="1"/>
    <col min="97" max="97" width="11.6640625" bestFit="1" customWidth="1"/>
    <col min="99" max="99" width="11.6640625" bestFit="1" customWidth="1"/>
    <col min="101" max="101" width="11.6640625" bestFit="1" customWidth="1"/>
    <col min="103" max="103" width="11.6640625" bestFit="1" customWidth="1"/>
    <col min="104" max="104" width="11.5546875" customWidth="1"/>
    <col min="105" max="105" width="11.6640625" bestFit="1" customWidth="1"/>
    <col min="106" max="106" width="10.33203125" customWidth="1"/>
    <col min="107" max="107" width="11.6640625" bestFit="1" customWidth="1"/>
    <col min="108" max="108" width="13.33203125" bestFit="1" customWidth="1"/>
    <col min="109" max="109" width="7.6640625" customWidth="1"/>
    <col min="110" max="110" width="12.33203125" customWidth="1"/>
    <col min="111" max="111" width="11.6640625" bestFit="1" customWidth="1"/>
    <col min="112" max="112" width="11.6640625" customWidth="1"/>
    <col min="113" max="113" width="11.6640625" bestFit="1" customWidth="1"/>
    <col min="114" max="114" width="12.5546875" bestFit="1" customWidth="1"/>
    <col min="115" max="115" width="11.6640625" bestFit="1" customWidth="1"/>
    <col min="116" max="116" width="12.5546875" customWidth="1"/>
    <col min="117" max="117" width="11.6640625" bestFit="1" customWidth="1"/>
    <col min="118" max="118" width="12.6640625" bestFit="1" customWidth="1"/>
    <col min="119" max="119" width="11.6640625" bestFit="1" customWidth="1"/>
    <col min="120" max="121" width="12.33203125" customWidth="1"/>
    <col min="122" max="122" width="11.6640625" bestFit="1" customWidth="1"/>
    <col min="123" max="123" width="13.6640625" bestFit="1" customWidth="1"/>
    <col min="124" max="124" width="11.33203125" customWidth="1"/>
    <col min="125" max="125" width="16.6640625" customWidth="1"/>
    <col min="126" max="126" width="9.6640625" customWidth="1"/>
    <col min="127" max="127" width="11.6640625" bestFit="1" customWidth="1"/>
    <col min="128" max="128" width="10.33203125" bestFit="1" customWidth="1"/>
    <col min="129" max="129" width="11.6640625" bestFit="1" customWidth="1"/>
    <col min="130" max="130" width="10.33203125" customWidth="1"/>
    <col min="131" max="131" width="11.6640625" bestFit="1" customWidth="1"/>
    <col min="132" max="132" width="12.33203125" customWidth="1"/>
    <col min="133" max="133" width="10.33203125" customWidth="1"/>
    <col min="134" max="134" width="12.6640625" customWidth="1"/>
    <col min="135" max="135" width="11.6640625" bestFit="1" customWidth="1"/>
    <col min="136" max="136" width="14.6640625" customWidth="1"/>
    <col min="137" max="137" width="12.6640625" bestFit="1" customWidth="1"/>
    <col min="138" max="138" width="12.33203125" customWidth="1"/>
    <col min="139" max="139" width="12.6640625" bestFit="1" customWidth="1"/>
    <col min="140" max="140" width="12.33203125" customWidth="1"/>
    <col min="141" max="141" width="12.6640625" bestFit="1" customWidth="1"/>
    <col min="142" max="142" width="12.33203125" customWidth="1"/>
    <col min="143" max="143" width="12.6640625" bestFit="1" customWidth="1"/>
    <col min="144" max="144" width="12.33203125" customWidth="1"/>
    <col min="145" max="145" width="12.6640625" bestFit="1" customWidth="1"/>
    <col min="146" max="146" width="12.33203125" customWidth="1"/>
    <col min="147" max="147" width="12.6640625" bestFit="1" customWidth="1"/>
    <col min="148" max="148" width="11.6640625" customWidth="1"/>
    <col min="149" max="149" width="12.6640625" customWidth="1"/>
    <col min="150" max="156" width="8.6640625" hidden="1" customWidth="1"/>
    <col min="157" max="157" width="1.33203125" customWidth="1"/>
    <col min="158" max="158" width="6.6640625" customWidth="1"/>
    <col min="161" max="161" width="9.33203125" bestFit="1" customWidth="1"/>
    <col min="164" max="164" width="1.33203125" customWidth="1"/>
    <col min="165" max="178" width="8.6640625" hidden="1" customWidth="1"/>
    <col min="179" max="179" width="7.33203125" bestFit="1" customWidth="1"/>
    <col min="180" max="180" width="11.6640625" bestFit="1" customWidth="1"/>
    <col min="181" max="181" width="6.6640625" bestFit="1" customWidth="1"/>
    <col min="182" max="182" width="11.6640625" bestFit="1" customWidth="1"/>
    <col min="183" max="183" width="6.6640625" bestFit="1" customWidth="1"/>
    <col min="184" max="184" width="11.6640625" bestFit="1" customWidth="1"/>
    <col min="185" max="185" width="6.6640625" bestFit="1" customWidth="1"/>
    <col min="186" max="186" width="11.6640625" bestFit="1" customWidth="1"/>
    <col min="187" max="187" width="10.33203125" bestFit="1" customWidth="1"/>
    <col min="188" max="188" width="11.6640625" bestFit="1" customWidth="1"/>
    <col min="189" max="189" width="8.44140625" customWidth="1"/>
    <col min="190" max="190" width="11.6640625" bestFit="1" customWidth="1"/>
    <col min="192" max="192" width="1.33203125" customWidth="1"/>
    <col min="193" max="193" width="6.6640625" customWidth="1"/>
    <col min="194" max="194" width="13" customWidth="1"/>
    <col min="195" max="195" width="13.44140625" customWidth="1"/>
    <col min="196" max="196" width="14.33203125" customWidth="1"/>
    <col min="197" max="197" width="17.33203125" customWidth="1"/>
    <col min="198" max="198" width="10.33203125" hidden="1" customWidth="1"/>
    <col min="199" max="199" width="8.6640625" hidden="1" customWidth="1"/>
    <col min="200" max="200" width="45.33203125" customWidth="1"/>
    <col min="201" max="201" width="1.33203125" customWidth="1"/>
    <col min="202" max="202" width="15.44140625" customWidth="1"/>
    <col min="203" max="204" width="13.33203125" customWidth="1"/>
    <col min="205" max="205" width="12.33203125" customWidth="1"/>
    <col min="206" max="206" width="15.33203125" customWidth="1"/>
    <col min="207" max="207" width="1.33203125" customWidth="1"/>
    <col min="208" max="208" width="13.5546875" customWidth="1"/>
    <col min="209" max="209" width="12.33203125" customWidth="1"/>
    <col min="210" max="210" width="13.33203125" customWidth="1"/>
    <col min="211" max="211" width="13" customWidth="1"/>
    <col min="212" max="212" width="12.6640625" customWidth="1"/>
    <col min="213" max="213" width="14.44140625" customWidth="1"/>
    <col min="214" max="214" width="12" customWidth="1"/>
    <col min="215" max="216" width="11.6640625" customWidth="1"/>
    <col min="217" max="217" width="13" customWidth="1"/>
    <col min="218" max="218" width="11.5546875" customWidth="1"/>
    <col min="219" max="219" width="11.6640625" customWidth="1"/>
    <col min="220" max="220" width="10.44140625" customWidth="1"/>
    <col min="221" max="221" width="10.33203125" customWidth="1"/>
    <col min="222" max="222" width="11.44140625" customWidth="1"/>
    <col min="223" max="236" width="10.44140625" hidden="1" customWidth="1"/>
    <col min="237" max="237" width="0.5546875" hidden="1" customWidth="1"/>
    <col min="238" max="238" width="11.33203125" customWidth="1"/>
    <col min="239" max="239" width="11.6640625" customWidth="1"/>
    <col min="240" max="240" width="10.33203125" customWidth="1"/>
    <col min="241" max="241" width="11.6640625" customWidth="1"/>
    <col min="242" max="242" width="12.33203125" bestFit="1" customWidth="1"/>
    <col min="243" max="243" width="11.6640625" bestFit="1" customWidth="1"/>
    <col min="244" max="244" width="12" customWidth="1"/>
    <col min="245" max="245" width="11.6640625" bestFit="1" customWidth="1"/>
    <col min="246" max="246" width="12.33203125" bestFit="1" customWidth="1"/>
    <col min="247" max="247" width="11.6640625" bestFit="1" customWidth="1"/>
    <col min="248" max="248" width="13.33203125" customWidth="1"/>
    <col min="249" max="249" width="12.33203125" customWidth="1"/>
    <col min="250" max="251" width="8.6640625" customWidth="1"/>
    <col min="252" max="252" width="13" customWidth="1"/>
    <col min="253" max="253" width="10.6640625" customWidth="1"/>
    <col min="254" max="254" width="11.6640625" bestFit="1" customWidth="1"/>
    <col min="255" max="255" width="9.44140625" customWidth="1"/>
    <col min="256" max="256" width="11.6640625" bestFit="1" customWidth="1"/>
    <col min="257" max="258" width="12" bestFit="1" customWidth="1"/>
    <col min="259" max="259" width="10.5546875" customWidth="1"/>
    <col min="260" max="260" width="11.6640625" bestFit="1" customWidth="1"/>
    <col min="261" max="261" width="12.5546875" bestFit="1" customWidth="1"/>
    <col min="262" max="262" width="12" bestFit="1" customWidth="1"/>
    <col min="263" max="263" width="11.6640625" customWidth="1"/>
    <col min="264" max="264" width="11.6640625" bestFit="1" customWidth="1"/>
    <col min="267" max="267" width="13" customWidth="1"/>
    <col min="268" max="268" width="1.33203125" customWidth="1"/>
    <col min="269" max="269" width="6.6640625" customWidth="1"/>
    <col min="270" max="270" width="15.33203125" customWidth="1"/>
    <col min="271" max="271" width="16" customWidth="1"/>
    <col min="272" max="272" width="15.5546875" bestFit="1" customWidth="1"/>
    <col min="273" max="273" width="13.6640625" customWidth="1"/>
    <col min="274" max="274" width="13" bestFit="1" customWidth="1"/>
    <col min="275" max="275" width="3.6640625" customWidth="1"/>
    <col min="276" max="276" width="9.6640625" customWidth="1"/>
    <col min="278" max="278" width="12.33203125" bestFit="1" customWidth="1"/>
    <col min="279" max="279" width="12.44140625" customWidth="1"/>
    <col min="280" max="280" width="11.5546875" customWidth="1"/>
    <col min="284" max="288" width="8.6640625" customWidth="1"/>
    <col min="289" max="289" width="9.33203125" customWidth="1"/>
    <col min="290" max="291" width="8.6640625" customWidth="1"/>
    <col min="298" max="298" width="8.6640625" customWidth="1"/>
    <col min="299" max="299" width="6.33203125" customWidth="1"/>
    <col min="301" max="301" width="1.33203125" customWidth="1"/>
    <col min="302" max="302" width="10.6640625" bestFit="1" customWidth="1"/>
    <col min="303" max="303" width="8.88671875" bestFit="1" customWidth="1"/>
    <col min="304" max="306" width="8.6640625" bestFit="1" customWidth="1"/>
    <col min="307" max="307" width="10.33203125" customWidth="1"/>
    <col min="308" max="308" width="8.33203125" customWidth="1"/>
    <col min="309" max="311" width="8.6640625" customWidth="1"/>
    <col min="317" max="317" width="0" hidden="1" customWidth="1"/>
    <col min="318" max="318" width="1.33203125" customWidth="1"/>
    <col min="319" max="319" width="6.6640625" customWidth="1"/>
    <col min="320" max="320" width="16.33203125" customWidth="1"/>
    <col min="321" max="321" width="15.33203125" customWidth="1"/>
    <col min="322" max="322" width="15.109375" customWidth="1"/>
    <col min="323" max="323" width="14.33203125" bestFit="1" customWidth="1"/>
    <col min="324" max="324" width="15.88671875" customWidth="1"/>
    <col min="325" max="325" width="13.44140625" bestFit="1" customWidth="1"/>
    <col min="327" max="327" width="0" hidden="1" customWidth="1"/>
    <col min="329" max="329" width="49.33203125" customWidth="1"/>
    <col min="330" max="330" width="1.33203125" customWidth="1"/>
    <col min="331" max="331" width="15.33203125" customWidth="1"/>
    <col min="332" max="332" width="10.33203125" bestFit="1" customWidth="1"/>
    <col min="333" max="333" width="13.6640625" bestFit="1" customWidth="1"/>
    <col min="334" max="334" width="9.44140625" customWidth="1"/>
    <col min="335" max="335" width="9.6640625" customWidth="1"/>
    <col min="336" max="336" width="12.33203125" customWidth="1"/>
    <col min="337" max="337" width="10.44140625" bestFit="1" customWidth="1"/>
    <col min="338" max="338" width="11.33203125" customWidth="1"/>
    <col min="339" max="339" width="13.6640625" bestFit="1" customWidth="1"/>
    <col min="340" max="340" width="12" bestFit="1" customWidth="1"/>
    <col min="341" max="341" width="13" bestFit="1" customWidth="1"/>
    <col min="342" max="342" width="9.6640625" bestFit="1" customWidth="1"/>
    <col min="343" max="343" width="9.33203125" bestFit="1" customWidth="1"/>
    <col min="344" max="344" width="12.6640625" customWidth="1"/>
    <col min="345" max="345" width="13.6640625" bestFit="1" customWidth="1"/>
    <col min="346" max="346" width="9.44140625" bestFit="1" customWidth="1"/>
    <col min="347" max="347" width="9.6640625" bestFit="1" customWidth="1"/>
    <col min="348" max="348" width="13.5546875" bestFit="1" customWidth="1"/>
    <col min="349" max="349" width="7.6640625" customWidth="1"/>
    <col min="350" max="350" width="9.33203125" customWidth="1"/>
    <col min="351" max="351" width="15.5546875" customWidth="1"/>
    <col min="352" max="352" width="9.44140625" customWidth="1"/>
    <col min="353" max="353" width="9.6640625" customWidth="1"/>
    <col min="354" max="354" width="13.5546875" customWidth="1"/>
    <col min="355" max="356" width="9.33203125" customWidth="1"/>
    <col min="357" max="357" width="15.5546875" customWidth="1"/>
    <col min="358" max="358" width="9.44140625" customWidth="1"/>
    <col min="359" max="359" width="9.6640625" customWidth="1"/>
    <col min="360" max="360" width="8.6640625" customWidth="1"/>
    <col min="361" max="361" width="1.33203125" customWidth="1"/>
    <col min="362" max="362" width="6.6640625" customWidth="1"/>
    <col min="363" max="363" width="13" customWidth="1"/>
    <col min="364" max="364" width="12.33203125" customWidth="1"/>
    <col min="366" max="366" width="12" customWidth="1"/>
    <col min="367" max="367" width="1.33203125" customWidth="1"/>
    <col min="368" max="368" width="17.33203125" customWidth="1"/>
    <col min="369" max="369" width="17.6640625" customWidth="1"/>
    <col min="370" max="370" width="17.6640625" hidden="1" customWidth="1"/>
    <col min="371" max="371" width="15.33203125" customWidth="1"/>
    <col min="372" max="372" width="13.6640625" hidden="1" customWidth="1"/>
    <col min="373" max="373" width="14.44140625" hidden="1" customWidth="1"/>
    <col min="374" max="374" width="12.33203125" hidden="1" customWidth="1"/>
    <col min="375" max="375" width="11.6640625" hidden="1" customWidth="1"/>
    <col min="376" max="376" width="12" hidden="1" customWidth="1"/>
    <col min="377" max="377" width="11.6640625" hidden="1" customWidth="1"/>
    <col min="378" max="378" width="13.33203125" hidden="1" customWidth="1"/>
    <col min="379" max="379" width="13.44140625" hidden="1" customWidth="1"/>
    <col min="380" max="380" width="12.5546875" customWidth="1"/>
    <col min="381" max="381" width="11.6640625" customWidth="1"/>
    <col min="382" max="382" width="9.33203125" customWidth="1"/>
    <col min="383" max="383" width="11.6640625" bestFit="1" customWidth="1"/>
    <col min="384" max="384" width="11.5546875" bestFit="1" customWidth="1"/>
    <col min="385" max="385" width="12.33203125" hidden="1" customWidth="1"/>
    <col min="386" max="386" width="11.6640625" hidden="1" customWidth="1"/>
    <col min="387" max="387" width="11.33203125" hidden="1" customWidth="1"/>
    <col min="388" max="388" width="11.6640625" hidden="1" customWidth="1"/>
    <col min="389" max="389" width="10.33203125" hidden="1" customWidth="1"/>
    <col min="390" max="390" width="11.6640625" hidden="1" customWidth="1"/>
    <col min="391" max="391" width="12.33203125" customWidth="1"/>
    <col min="392" max="392" width="11.6640625" hidden="1" customWidth="1"/>
    <col min="393" max="393" width="13.44140625" customWidth="1"/>
    <col min="394" max="394" width="14.6640625" hidden="1" customWidth="1"/>
    <col min="395" max="395" width="11.33203125" bestFit="1" customWidth="1"/>
    <col min="396" max="396" width="12.6640625" hidden="1" customWidth="1"/>
    <col min="397" max="397" width="12.33203125" customWidth="1"/>
    <col min="398" max="398" width="10" hidden="1" customWidth="1"/>
    <col min="399" max="399" width="11.6640625" hidden="1" customWidth="1"/>
    <col min="400" max="400" width="9.6640625" hidden="1" customWidth="1"/>
    <col min="401" max="401" width="11.6640625" hidden="1" customWidth="1"/>
    <col min="402" max="402" width="11" hidden="1" customWidth="1"/>
    <col min="403" max="403" width="11.6640625" hidden="1" customWidth="1"/>
    <col min="404" max="404" width="9.6640625" hidden="1" customWidth="1"/>
    <col min="405" max="405" width="11.6640625" hidden="1" customWidth="1"/>
    <col min="406" max="406" width="10.6640625" customWidth="1"/>
    <col min="407" max="407" width="11.6640625" hidden="1" customWidth="1"/>
    <col min="408" max="408" width="10.6640625" customWidth="1"/>
    <col min="409" max="409" width="11.6640625" hidden="1" customWidth="1"/>
    <col min="410" max="410" width="13.6640625" customWidth="1"/>
    <col min="411" max="411" width="9.33203125" hidden="1" customWidth="1"/>
    <col min="412" max="412" width="9.5546875" hidden="1" customWidth="1"/>
    <col min="413" max="416" width="9.33203125" hidden="1" customWidth="1"/>
    <col min="417" max="417" width="9.5546875" hidden="1" customWidth="1"/>
    <col min="418" max="421" width="8.6640625" hidden="1" customWidth="1"/>
    <col min="422" max="422" width="13.44140625" hidden="1" customWidth="1"/>
    <col min="423" max="423" width="8.6640625" hidden="1" customWidth="1"/>
    <col min="424" max="424" width="9.33203125" hidden="1" customWidth="1"/>
    <col min="425" max="425" width="1.33203125" hidden="1" customWidth="1"/>
    <col min="426" max="426" width="10.44140625" customWidth="1"/>
    <col min="427" max="427" width="11.6640625" customWidth="1"/>
    <col min="428" max="430" width="9.5546875" customWidth="1"/>
    <col min="431" max="431" width="11.5546875" customWidth="1"/>
    <col min="432" max="432" width="11.88671875" customWidth="1"/>
    <col min="433" max="433" width="15.6640625" customWidth="1"/>
    <col min="434" max="434" width="1.33203125" customWidth="1"/>
    <col min="435" max="435" width="6.6640625" customWidth="1"/>
    <col min="436" max="437" width="14" customWidth="1"/>
    <col min="439" max="440" width="12.33203125" customWidth="1"/>
    <col min="441" max="442" width="14" customWidth="1"/>
    <col min="443" max="443" width="10.6640625" customWidth="1"/>
    <col min="444" max="444" width="12" bestFit="1" customWidth="1"/>
    <col min="445" max="445" width="11.33203125" customWidth="1"/>
    <col min="446" max="449" width="12" customWidth="1"/>
    <col min="450" max="450" width="12.6640625" customWidth="1"/>
    <col min="451" max="451" width="11.5546875" customWidth="1"/>
    <col min="452" max="452" width="14.33203125" customWidth="1"/>
    <col min="453" max="453" width="14.33203125" hidden="1" customWidth="1"/>
    <col min="463" max="478" width="0" hidden="1" customWidth="1"/>
    <col min="479" max="479" width="12.33203125" hidden="1" customWidth="1"/>
    <col min="480" max="482" width="8.6640625" hidden="1" customWidth="1"/>
    <col min="483" max="483" width="8.6640625" customWidth="1"/>
    <col min="484" max="485" width="11.33203125" customWidth="1"/>
    <col min="486" max="486" width="10" bestFit="1" customWidth="1"/>
    <col min="487" max="487" width="10" customWidth="1"/>
    <col min="488" max="488" width="18.33203125" bestFit="1" customWidth="1"/>
    <col min="489" max="489" width="19.5546875" bestFit="1" customWidth="1"/>
    <col min="493" max="493" width="11.6640625" customWidth="1"/>
    <col min="494" max="494" width="19.5546875" bestFit="1" customWidth="1"/>
    <col min="503" max="503" width="19.44140625" customWidth="1"/>
  </cols>
  <sheetData>
    <row r="1" spans="1:503">
      <c r="AQ1" s="887"/>
      <c r="AR1" s="887"/>
      <c r="AW1" s="887"/>
      <c r="AX1" s="887"/>
      <c r="BF1" s="887"/>
      <c r="BG1" s="887"/>
      <c r="BI1" s="887"/>
      <c r="BJ1" s="887"/>
      <c r="BP1" s="887"/>
      <c r="BQ1" s="887"/>
      <c r="BS1" s="887"/>
      <c r="BT1" s="887"/>
      <c r="CJ1" s="1">
        <f>CF28+CC28</f>
        <v>0</v>
      </c>
      <c r="EF1" s="28"/>
      <c r="EL1" s="281"/>
      <c r="GO1">
        <v>721.35</v>
      </c>
      <c r="GQ1" s="314"/>
      <c r="HJ1" s="1">
        <v>89.9</v>
      </c>
      <c r="IL1" s="1692"/>
      <c r="IQ1">
        <v>58.5</v>
      </c>
      <c r="JJ1" s="106"/>
      <c r="JK1" s="106"/>
      <c r="JL1" s="106"/>
      <c r="LO1" s="106"/>
      <c r="NF1" s="98"/>
      <c r="NG1" s="98"/>
      <c r="NH1" s="145"/>
      <c r="NM1" s="1"/>
      <c r="NQ1" s="1"/>
      <c r="OE1">
        <v>2540.64</v>
      </c>
      <c r="OK1" s="72"/>
      <c r="PQ1" s="1"/>
      <c r="PT1" s="1"/>
      <c r="RZ1" s="1"/>
    </row>
    <row r="2" spans="1:503">
      <c r="BT2" s="1"/>
      <c r="BW2" s="1"/>
      <c r="CF2" s="1"/>
      <c r="DF2">
        <v>214.42</v>
      </c>
      <c r="DN2" s="852"/>
      <c r="DS2" s="25"/>
      <c r="EI2" s="281"/>
      <c r="EJ2" s="281"/>
      <c r="GQ2" s="314"/>
      <c r="HK2">
        <v>726.15</v>
      </c>
      <c r="JA2" s="106"/>
      <c r="MB2">
        <v>3250.7799999997887</v>
      </c>
      <c r="NF2" s="145"/>
      <c r="NG2" s="98"/>
      <c r="NJ2" s="1"/>
      <c r="NN2" s="98"/>
      <c r="NO2" s="98"/>
      <c r="NP2" s="98"/>
      <c r="NS2" s="1"/>
      <c r="NW2" s="1"/>
      <c r="OQ2" s="1"/>
      <c r="OT2" s="1"/>
      <c r="PK2">
        <v>1550.98</v>
      </c>
      <c r="QO2" t="s">
        <v>209</v>
      </c>
      <c r="RZ2" s="1"/>
    </row>
    <row r="3" spans="1:503">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489"/>
      <c r="AR3" s="489"/>
      <c r="AS3" s="145"/>
      <c r="AT3" s="489"/>
      <c r="AU3" s="489"/>
      <c r="AV3" s="145"/>
      <c r="AW3" s="489"/>
      <c r="AX3" s="489"/>
      <c r="AY3" s="145"/>
      <c r="AZ3" s="145"/>
      <c r="BA3" s="145"/>
      <c r="BB3" s="145"/>
      <c r="BC3" s="145"/>
      <c r="BD3" s="145"/>
      <c r="BE3" s="145"/>
      <c r="BF3" s="489"/>
      <c r="BG3" s="489"/>
      <c r="BH3" s="145"/>
      <c r="BI3" s="489"/>
      <c r="BJ3" s="489"/>
      <c r="BK3" s="145"/>
      <c r="BL3" s="489"/>
      <c r="BM3" s="489"/>
      <c r="BN3" s="489"/>
      <c r="BO3" s="145"/>
      <c r="BP3" s="489"/>
      <c r="BQ3" s="489"/>
      <c r="BR3" s="145"/>
      <c r="BS3" s="489"/>
      <c r="BT3" s="489"/>
      <c r="BU3" s="145"/>
      <c r="BV3" s="489"/>
      <c r="BW3" s="489"/>
      <c r="BX3" s="145"/>
      <c r="BY3" s="489"/>
      <c r="BZ3" s="489"/>
      <c r="CA3" s="145"/>
      <c r="CB3" s="489"/>
      <c r="CC3" s="489">
        <f>CC43/31</f>
        <v>0</v>
      </c>
      <c r="CD3" s="145"/>
      <c r="CE3" s="489">
        <f>CE43/31</f>
        <v>0</v>
      </c>
      <c r="CF3" s="489">
        <f>CF43/31</f>
        <v>0</v>
      </c>
      <c r="CG3" s="145"/>
      <c r="CH3" s="145"/>
      <c r="CI3" s="145"/>
      <c r="CJ3" s="145"/>
      <c r="CK3" s="145"/>
      <c r="CL3" s="145"/>
      <c r="CM3" s="145"/>
      <c r="CN3" s="145"/>
      <c r="CO3" s="145"/>
      <c r="CP3" s="145"/>
      <c r="DN3" s="95"/>
      <c r="DP3" s="95"/>
      <c r="DQ3" s="95"/>
      <c r="EG3" s="1"/>
      <c r="EH3" s="1"/>
      <c r="GQ3" s="314"/>
      <c r="NF3" s="145">
        <v>10013.654684596553</v>
      </c>
      <c r="NG3" s="98"/>
      <c r="NJ3" s="1"/>
      <c r="NT3" s="1"/>
      <c r="OA3" s="1"/>
      <c r="OE3" s="1"/>
      <c r="RZ3" s="1"/>
    </row>
    <row r="4" spans="1:503" s="39" customFormat="1" ht="36" customHeight="1">
      <c r="B4" s="2625" t="s">
        <v>103</v>
      </c>
      <c r="C4" s="2692" t="s">
        <v>104</v>
      </c>
      <c r="D4" s="2693"/>
      <c r="E4" s="2693"/>
      <c r="F4" s="2693"/>
      <c r="G4" s="2693"/>
      <c r="H4" s="2693"/>
      <c r="I4" s="2693"/>
      <c r="J4" s="2693"/>
      <c r="K4" s="2693"/>
      <c r="L4" s="2693"/>
      <c r="M4" s="2693"/>
      <c r="N4" s="2693"/>
      <c r="O4" s="2693"/>
      <c r="P4" s="2693"/>
      <c r="Q4" s="2693"/>
      <c r="R4" s="2693"/>
      <c r="S4" s="2693"/>
      <c r="T4" s="2693"/>
      <c r="U4" s="2693"/>
      <c r="V4" s="2693"/>
      <c r="W4" s="2693"/>
      <c r="X4" s="2693"/>
      <c r="Y4" s="2693"/>
      <c r="Z4" s="2693"/>
      <c r="AA4" s="2693"/>
      <c r="AB4" s="2693"/>
      <c r="AC4" s="2693"/>
      <c r="AD4" s="2693"/>
      <c r="AE4" s="2693"/>
      <c r="AF4" s="2693"/>
      <c r="AG4" s="2693"/>
      <c r="AH4" s="2693"/>
      <c r="AI4" s="2693"/>
      <c r="AJ4" s="2693"/>
      <c r="AK4" s="2693"/>
      <c r="AL4" s="2693"/>
      <c r="AM4" s="2693"/>
      <c r="AN4" s="2693"/>
      <c r="AO4" s="2693"/>
      <c r="AP4" s="2693"/>
      <c r="AQ4" s="2693"/>
      <c r="AR4" s="2693"/>
      <c r="AS4" s="2693"/>
      <c r="AT4" s="2693"/>
      <c r="AU4" s="2693"/>
      <c r="AV4" s="2693"/>
      <c r="AW4" s="2693"/>
      <c r="AX4" s="2693"/>
      <c r="AY4" s="2693"/>
      <c r="AZ4" s="2693"/>
      <c r="BA4" s="2693"/>
      <c r="BB4" s="2693"/>
      <c r="BC4" s="2693"/>
      <c r="BD4" s="2693"/>
      <c r="BE4" s="2693"/>
      <c r="BF4" s="2693"/>
      <c r="BG4" s="2693"/>
      <c r="BH4" s="2693"/>
      <c r="BI4" s="2693"/>
      <c r="BJ4" s="2693"/>
      <c r="BK4" s="2693"/>
      <c r="BL4" s="2693"/>
      <c r="BM4" s="2693"/>
      <c r="BN4" s="2693"/>
      <c r="BO4" s="2693"/>
      <c r="BP4" s="2693"/>
      <c r="BQ4" s="2693"/>
      <c r="BR4" s="2693"/>
      <c r="BS4" s="2693"/>
      <c r="BT4" s="2693"/>
      <c r="BU4" s="2693"/>
      <c r="BV4" s="2693"/>
      <c r="BW4" s="2693"/>
      <c r="BX4" s="2693"/>
      <c r="BY4" s="2693"/>
      <c r="BZ4" s="2693"/>
      <c r="CA4" s="2693"/>
      <c r="CB4" s="2693"/>
      <c r="CC4" s="2693"/>
      <c r="CD4" s="2693"/>
      <c r="CE4" s="2693"/>
      <c r="CF4" s="2693"/>
      <c r="CG4" s="2693"/>
      <c r="CH4" s="2693"/>
      <c r="CI4" s="2693"/>
      <c r="CJ4" s="2693"/>
      <c r="CK4" s="2693"/>
      <c r="CL4" s="2693"/>
      <c r="CM4" s="2693"/>
      <c r="CN4" s="2693"/>
      <c r="CO4" s="2693"/>
      <c r="CP4" s="2694"/>
      <c r="CR4" s="2646" t="s">
        <v>105</v>
      </c>
      <c r="CS4" s="2647"/>
      <c r="CT4" s="2647"/>
      <c r="CU4" s="2647"/>
      <c r="CV4" s="2647"/>
      <c r="CW4" s="2647"/>
      <c r="CX4" s="2647"/>
      <c r="CY4" s="2647"/>
      <c r="CZ4" s="2647"/>
      <c r="DA4" s="2647"/>
      <c r="DB4" s="2647"/>
      <c r="DC4" s="2647"/>
      <c r="DD4" s="2647"/>
      <c r="DE4" s="2647"/>
      <c r="DF4" s="2647"/>
      <c r="DG4" s="2647"/>
      <c r="DH4" s="2647"/>
      <c r="DI4" s="2647"/>
      <c r="DJ4" s="2647"/>
      <c r="DK4" s="2647"/>
      <c r="DL4" s="2647"/>
      <c r="DM4" s="2647"/>
      <c r="DN4" s="2647"/>
      <c r="DO4" s="2647"/>
      <c r="DP4" s="2647"/>
      <c r="DQ4" s="2647"/>
      <c r="DR4" s="2647"/>
      <c r="DS4" s="2647"/>
      <c r="DT4" s="2647"/>
      <c r="DU4" s="2647"/>
      <c r="DV4" s="2647"/>
      <c r="DW4" s="2647"/>
      <c r="DX4" s="2647"/>
      <c r="DY4" s="2647"/>
      <c r="DZ4" s="2647"/>
      <c r="EA4" s="2647"/>
      <c r="EB4" s="2647"/>
      <c r="EC4" s="2647"/>
      <c r="ED4" s="2647"/>
      <c r="EE4" s="2647"/>
      <c r="EF4" s="2647"/>
      <c r="EG4" s="2647"/>
      <c r="EH4" s="2647"/>
      <c r="EI4" s="2647"/>
      <c r="EJ4" s="2647"/>
      <c r="EK4" s="2647"/>
      <c r="EL4" s="2647"/>
      <c r="EM4" s="2647"/>
      <c r="EN4" s="2647"/>
      <c r="EO4" s="2647"/>
      <c r="EP4" s="2647"/>
      <c r="EQ4" s="2647"/>
      <c r="ER4" s="2647"/>
      <c r="ES4" s="2647"/>
      <c r="ET4" s="2647"/>
      <c r="EU4" s="2647"/>
      <c r="EV4" s="2647"/>
      <c r="EW4" s="2647"/>
      <c r="EX4" s="2647"/>
      <c r="EY4" s="2647"/>
      <c r="EZ4" s="2647"/>
      <c r="FA4" s="2648"/>
      <c r="FC4" s="2649" t="s">
        <v>106</v>
      </c>
      <c r="FD4" s="2650"/>
      <c r="FE4" s="2650"/>
      <c r="FF4" s="2650"/>
      <c r="FG4" s="2650"/>
      <c r="FH4" s="2650"/>
      <c r="FI4" s="2650"/>
      <c r="FJ4" s="2650"/>
      <c r="FK4" s="2650"/>
      <c r="FL4" s="2650"/>
      <c r="FM4" s="2650"/>
      <c r="FN4" s="2650"/>
      <c r="FO4" s="2650"/>
      <c r="FP4" s="2650"/>
      <c r="FQ4" s="2650"/>
      <c r="FR4" s="2650"/>
      <c r="FS4" s="2650"/>
      <c r="FT4" s="2650"/>
      <c r="FU4" s="2650"/>
      <c r="FV4" s="2650"/>
      <c r="FW4" s="2650"/>
      <c r="FX4" s="2650"/>
      <c r="FY4" s="2650"/>
      <c r="FZ4" s="2650"/>
      <c r="GA4" s="2650"/>
      <c r="GB4" s="2650"/>
      <c r="GC4" s="2650"/>
      <c r="GD4" s="2650"/>
      <c r="GE4" s="2650"/>
      <c r="GF4" s="2650"/>
      <c r="GG4" s="2650"/>
      <c r="GH4" s="2650"/>
      <c r="GI4" s="2650"/>
      <c r="GJ4" s="2651"/>
      <c r="GL4" s="2652" t="s">
        <v>22</v>
      </c>
      <c r="GM4" s="2653"/>
      <c r="GN4" s="2653"/>
      <c r="GO4" s="2653"/>
      <c r="GP4" s="2653"/>
      <c r="GQ4" s="2653"/>
      <c r="GR4" s="2653"/>
      <c r="GS4" s="2653"/>
      <c r="GT4" s="2653"/>
      <c r="GU4" s="2653"/>
      <c r="GV4" s="2653"/>
      <c r="GW4" s="2653"/>
      <c r="GX4" s="2653"/>
      <c r="GY4" s="2653"/>
      <c r="GZ4" s="2653"/>
      <c r="HA4" s="2653"/>
      <c r="HB4" s="2653"/>
      <c r="HC4" s="2653"/>
      <c r="HD4" s="2653"/>
      <c r="HE4" s="2653"/>
      <c r="HF4" s="2653"/>
      <c r="HG4" s="2653"/>
      <c r="HH4" s="2653"/>
      <c r="HI4" s="2653"/>
      <c r="HJ4" s="2653"/>
      <c r="HK4" s="2653"/>
      <c r="HL4" s="2653"/>
      <c r="HM4" s="2653"/>
      <c r="HN4" s="2653"/>
      <c r="HO4" s="2653"/>
      <c r="HP4" s="2653"/>
      <c r="HQ4" s="2653"/>
      <c r="HR4" s="2653"/>
      <c r="HS4" s="2653"/>
      <c r="HT4" s="2653"/>
      <c r="HU4" s="2653"/>
      <c r="HV4" s="2653"/>
      <c r="HW4" s="2653"/>
      <c r="HX4" s="2653"/>
      <c r="HY4" s="2653"/>
      <c r="HZ4" s="2653"/>
      <c r="IA4" s="2653"/>
      <c r="IB4" s="2653"/>
      <c r="IC4" s="2653"/>
      <c r="ID4" s="2653"/>
      <c r="IE4" s="2653"/>
      <c r="IF4" s="2653"/>
      <c r="IG4" s="2653"/>
      <c r="IH4" s="2653"/>
      <c r="II4" s="2653"/>
      <c r="IJ4" s="2653"/>
      <c r="IK4" s="2653"/>
      <c r="IL4" s="2653"/>
      <c r="IM4" s="2653"/>
      <c r="IN4" s="2653"/>
      <c r="IO4" s="2653"/>
      <c r="IP4" s="2653"/>
      <c r="IQ4" s="2653"/>
      <c r="IR4" s="2653"/>
      <c r="IS4" s="2653"/>
      <c r="IT4" s="2653"/>
      <c r="IU4" s="2653"/>
      <c r="IV4" s="2653"/>
      <c r="IW4" s="2653"/>
      <c r="IX4" s="2653"/>
      <c r="IY4" s="2653"/>
      <c r="IZ4" s="2653"/>
      <c r="JA4" s="2653"/>
      <c r="JB4" s="2653"/>
      <c r="JC4" s="2653"/>
      <c r="JD4" s="2653"/>
      <c r="JE4" s="2653"/>
      <c r="JF4" s="2653"/>
      <c r="JG4" s="2653"/>
      <c r="JH4" s="2654"/>
      <c r="JJ4" s="2655" t="s">
        <v>107</v>
      </c>
      <c r="JK4" s="2656"/>
      <c r="JL4" s="2656"/>
      <c r="JM4" s="2656"/>
      <c r="JN4" s="2656"/>
      <c r="JO4" s="2656"/>
      <c r="JP4" s="2656"/>
      <c r="JQ4" s="2656"/>
      <c r="JR4" s="2656"/>
      <c r="JS4" s="2656"/>
      <c r="JT4" s="2656"/>
      <c r="JU4" s="2656"/>
      <c r="JV4" s="2656"/>
      <c r="JW4" s="2656"/>
      <c r="JX4" s="2656"/>
      <c r="JY4" s="2656"/>
      <c r="JZ4" s="2656"/>
      <c r="KA4" s="2656"/>
      <c r="KB4" s="2656"/>
      <c r="KC4" s="2656"/>
      <c r="KD4" s="2656"/>
      <c r="KE4" s="2656"/>
      <c r="KF4" s="2656"/>
      <c r="KG4" s="2656"/>
      <c r="KH4" s="2656"/>
      <c r="KI4" s="2656"/>
      <c r="KJ4" s="2656"/>
      <c r="KK4" s="2656"/>
      <c r="KL4" s="2656"/>
      <c r="KM4" s="2656"/>
      <c r="KN4" s="2656"/>
      <c r="KO4" s="2656"/>
      <c r="KP4" s="2656"/>
      <c r="KQ4" s="2656"/>
      <c r="KR4" s="2656"/>
      <c r="KS4" s="2656"/>
      <c r="KT4" s="2656"/>
      <c r="KU4" s="2656"/>
      <c r="KV4" s="2656"/>
      <c r="KW4" s="2656"/>
      <c r="KX4" s="2656"/>
      <c r="KY4" s="2656"/>
      <c r="KZ4" s="2656"/>
      <c r="LA4" s="2656"/>
      <c r="LB4" s="2656"/>
      <c r="LC4" s="2656"/>
      <c r="LD4" s="2656"/>
      <c r="LE4" s="2656"/>
      <c r="LF4" s="2657"/>
      <c r="LH4" s="2658" t="s">
        <v>108</v>
      </c>
      <c r="LI4" s="2659"/>
      <c r="LJ4" s="2659"/>
      <c r="LK4" s="2659"/>
      <c r="LL4" s="2659"/>
      <c r="LM4" s="2659"/>
      <c r="LN4" s="2659"/>
      <c r="LO4" s="2659"/>
      <c r="LP4" s="2659"/>
      <c r="LQ4" s="2659"/>
      <c r="LR4" s="2659"/>
      <c r="LS4" s="2659"/>
      <c r="LT4" s="2659"/>
      <c r="LU4" s="2659"/>
      <c r="LV4" s="2659"/>
      <c r="LW4" s="2659"/>
      <c r="LX4" s="2659"/>
      <c r="LY4" s="2659"/>
      <c r="LZ4" s="2659"/>
      <c r="MA4" s="2659"/>
      <c r="MB4" s="2659"/>
      <c r="MC4" s="2659"/>
      <c r="MD4" s="2659"/>
      <c r="ME4" s="2659"/>
      <c r="MF4" s="2659"/>
      <c r="MG4" s="2659"/>
      <c r="MH4" s="2659"/>
      <c r="MI4" s="2659"/>
      <c r="MJ4" s="2659"/>
      <c r="MK4" s="2659"/>
      <c r="ML4" s="2659"/>
      <c r="MM4" s="2659"/>
      <c r="MN4" s="2659"/>
      <c r="MO4" s="2659"/>
      <c r="MP4" s="2659"/>
      <c r="MQ4" s="2659"/>
      <c r="MR4" s="2659"/>
      <c r="MS4" s="2659"/>
      <c r="MT4" s="2659"/>
      <c r="MU4" s="2659"/>
      <c r="MV4" s="2659"/>
      <c r="MW4" s="2660"/>
      <c r="MY4" s="2661"/>
      <c r="MZ4" s="2662"/>
      <c r="NA4" s="2662"/>
      <c r="NB4" s="2662"/>
      <c r="NC4" s="2662"/>
      <c r="ND4" s="2662"/>
      <c r="NE4" s="2662"/>
      <c r="NF4" s="2662"/>
      <c r="NG4" s="2662"/>
      <c r="NH4" s="2662"/>
      <c r="NI4" s="2662"/>
      <c r="NJ4" s="2662"/>
      <c r="NK4" s="2662"/>
      <c r="NL4" s="2662"/>
      <c r="NM4" s="2662"/>
      <c r="NN4" s="2662"/>
      <c r="NO4" s="2662"/>
      <c r="NP4" s="2662"/>
      <c r="NQ4" s="2662"/>
      <c r="NR4" s="2662"/>
      <c r="NS4" s="2662"/>
      <c r="NT4" s="2662"/>
      <c r="NU4" s="2662"/>
      <c r="NV4" s="2662"/>
      <c r="NW4" s="2662"/>
      <c r="NX4" s="2662"/>
      <c r="NY4" s="2662"/>
      <c r="NZ4" s="2662"/>
      <c r="OA4" s="2662"/>
      <c r="OB4" s="2662"/>
      <c r="OC4" s="2662"/>
      <c r="OD4" s="2662"/>
      <c r="OE4" s="2662"/>
      <c r="OF4" s="2662"/>
      <c r="OG4" s="2662"/>
      <c r="OH4" s="2662"/>
      <c r="OI4" s="2662"/>
      <c r="OJ4" s="2662"/>
      <c r="OK4" s="2662"/>
      <c r="OL4" s="2662"/>
      <c r="OM4" s="2662"/>
      <c r="ON4" s="2662"/>
      <c r="OO4" s="2662"/>
      <c r="OP4" s="2662"/>
      <c r="OQ4" s="2662"/>
      <c r="OR4" s="2662"/>
      <c r="OS4" s="2662"/>
      <c r="OT4" s="2662"/>
      <c r="OU4" s="2662"/>
      <c r="OV4" s="2662"/>
      <c r="OW4" s="2662"/>
      <c r="OX4" s="2662"/>
      <c r="OY4" s="2662"/>
      <c r="OZ4" s="2662"/>
      <c r="PA4" s="2662"/>
      <c r="PB4" s="2662"/>
      <c r="PC4" s="2662"/>
      <c r="PD4" s="2662"/>
      <c r="PE4" s="2662"/>
      <c r="PF4" s="2662"/>
      <c r="PG4" s="2662"/>
      <c r="PH4" s="2662"/>
      <c r="PI4" s="2663"/>
      <c r="PK4" s="2664" t="s">
        <v>110</v>
      </c>
      <c r="PL4" s="2665"/>
      <c r="PM4" s="2665"/>
      <c r="PN4" s="2665"/>
      <c r="PO4" s="2665"/>
      <c r="PP4" s="2665"/>
      <c r="PQ4" s="2665"/>
      <c r="PR4" s="2666"/>
      <c r="PT4" s="2677" t="s">
        <v>30</v>
      </c>
      <c r="PU4" s="2678"/>
      <c r="PV4" s="2678"/>
      <c r="PW4" s="2678"/>
      <c r="PX4" s="2678"/>
      <c r="PY4" s="2678"/>
      <c r="PZ4" s="2678"/>
      <c r="QA4" s="2678"/>
      <c r="QB4" s="2678"/>
      <c r="QC4" s="2678"/>
      <c r="QD4" s="2678"/>
      <c r="QE4" s="2678"/>
      <c r="QF4" s="2678"/>
      <c r="QG4" s="2678"/>
      <c r="QH4" s="2678"/>
      <c r="QI4" s="2678"/>
      <c r="QJ4" s="2678"/>
      <c r="QK4" s="2678"/>
      <c r="QL4" s="2678"/>
      <c r="QM4" s="2679"/>
      <c r="RZ4" s="1068"/>
    </row>
    <row r="5" spans="1:503" s="40" customFormat="1" ht="12.75" customHeight="1">
      <c r="B5" s="2626"/>
      <c r="C5" s="2624" t="s">
        <v>111</v>
      </c>
      <c r="D5" s="2628"/>
      <c r="E5" s="2628"/>
      <c r="F5" s="2628"/>
      <c r="G5" s="2628"/>
      <c r="H5" s="2628"/>
      <c r="I5" s="2628"/>
      <c r="J5" s="2628"/>
      <c r="K5" s="2628"/>
      <c r="L5" s="2628"/>
      <c r="M5" s="2628"/>
      <c r="N5" s="2629"/>
      <c r="O5" s="2631" t="s">
        <v>112</v>
      </c>
      <c r="P5" s="2623"/>
      <c r="Q5" s="2623"/>
      <c r="R5" s="2623"/>
      <c r="S5" s="2623"/>
      <c r="T5" s="2623"/>
      <c r="U5" s="2623"/>
      <c r="V5" s="2623"/>
      <c r="W5" s="2623"/>
      <c r="X5" s="2623"/>
      <c r="Y5" s="2623"/>
      <c r="Z5" s="2623"/>
      <c r="AA5" s="2623"/>
      <c r="AB5" s="2623"/>
      <c r="AC5" s="2623"/>
      <c r="AD5" s="2623"/>
      <c r="AE5" s="2623"/>
      <c r="AF5" s="2623"/>
      <c r="AG5" s="2623"/>
      <c r="AH5" s="2623"/>
      <c r="AI5" s="2623"/>
      <c r="AJ5" s="2623"/>
      <c r="AK5" s="2623"/>
      <c r="AL5" s="2624"/>
      <c r="AM5" s="2629"/>
      <c r="AN5" s="2680" t="s">
        <v>113</v>
      </c>
      <c r="AO5" s="2681"/>
      <c r="AP5" s="2681"/>
      <c r="AQ5" s="2681"/>
      <c r="AR5" s="2681"/>
      <c r="AS5" s="2681"/>
      <c r="AT5" s="2681"/>
      <c r="AU5" s="2681"/>
      <c r="AV5" s="2681"/>
      <c r="AW5" s="2681"/>
      <c r="AX5" s="2681"/>
      <c r="AY5" s="2681"/>
      <c r="AZ5" s="2681"/>
      <c r="BA5" s="2681"/>
      <c r="BB5" s="2681"/>
      <c r="BC5" s="2681"/>
      <c r="BD5" s="2681"/>
      <c r="BE5" s="2681"/>
      <c r="BF5" s="2681"/>
      <c r="BG5" s="2681"/>
      <c r="BH5" s="2681"/>
      <c r="BI5" s="2681"/>
      <c r="BJ5" s="2681"/>
      <c r="BK5" s="2681"/>
      <c r="BL5" s="2681"/>
      <c r="BM5" s="2681"/>
      <c r="BN5" s="2681"/>
      <c r="BO5" s="2681"/>
      <c r="BP5" s="2681"/>
      <c r="BQ5" s="2681"/>
      <c r="BR5" s="2681"/>
      <c r="BS5" s="2681"/>
      <c r="BT5" s="2681"/>
      <c r="BU5" s="2681"/>
      <c r="BV5" s="2681"/>
      <c r="BW5" s="2681"/>
      <c r="BX5" s="2681"/>
      <c r="BY5" s="2681"/>
      <c r="BZ5" s="2681"/>
      <c r="CA5" s="2681"/>
      <c r="CB5" s="2681"/>
      <c r="CC5" s="2681"/>
      <c r="CD5" s="2681"/>
      <c r="CE5" s="2681"/>
      <c r="CF5" s="2681"/>
      <c r="CG5" s="2682"/>
      <c r="CH5" s="147"/>
      <c r="CI5" s="2633" t="s">
        <v>114</v>
      </c>
      <c r="CJ5" s="2635"/>
      <c r="CK5" s="2635"/>
      <c r="CL5" s="2635"/>
      <c r="CM5" s="2635"/>
      <c r="CN5" s="2635"/>
      <c r="CO5" s="2634"/>
      <c r="CP5" s="348" t="s">
        <v>210</v>
      </c>
      <c r="CQ5" s="41"/>
      <c r="CR5" s="2623" t="s">
        <v>111</v>
      </c>
      <c r="CS5" s="2623"/>
      <c r="CT5" s="2623"/>
      <c r="CU5" s="2623"/>
      <c r="CV5" s="2623"/>
      <c r="CW5" s="2623"/>
      <c r="CX5" s="2623"/>
      <c r="CY5" s="2623"/>
      <c r="CZ5" s="2623"/>
      <c r="DA5" s="2623"/>
      <c r="DB5" s="2623"/>
      <c r="DC5" s="2624"/>
      <c r="DD5" s="2624"/>
      <c r="DE5" s="2685"/>
      <c r="DF5" s="2624" t="s">
        <v>115</v>
      </c>
      <c r="DG5" s="2628"/>
      <c r="DH5" s="2628"/>
      <c r="DI5" s="2628"/>
      <c r="DJ5" s="2628"/>
      <c r="DK5" s="2628"/>
      <c r="DL5" s="2628"/>
      <c r="DM5" s="2628"/>
      <c r="DN5" s="2628"/>
      <c r="DO5" s="2628"/>
      <c r="DP5" s="2628"/>
      <c r="DQ5" s="2628"/>
      <c r="DR5" s="2628"/>
      <c r="DS5" s="2628"/>
      <c r="DT5" s="2628"/>
      <c r="DU5" s="2628"/>
      <c r="DV5" s="2628"/>
      <c r="DW5" s="2628"/>
      <c r="DX5" s="2628"/>
      <c r="DY5" s="2628"/>
      <c r="DZ5" s="2628"/>
      <c r="EA5" s="2628"/>
      <c r="EB5" s="2628"/>
      <c r="EC5" s="2628"/>
      <c r="ED5" s="2628"/>
      <c r="EE5" s="2628"/>
      <c r="EF5" s="2628"/>
      <c r="EG5" s="2628"/>
      <c r="EH5" s="2628"/>
      <c r="EI5" s="2628"/>
      <c r="EJ5" s="2628"/>
      <c r="EK5" s="2628"/>
      <c r="EL5" s="2628"/>
      <c r="EM5" s="2628"/>
      <c r="EN5" s="2628"/>
      <c r="EO5" s="2628"/>
      <c r="EP5" s="2628"/>
      <c r="EQ5" s="2628"/>
      <c r="ER5" s="2628"/>
      <c r="ES5" s="2628"/>
      <c r="ET5" s="2628"/>
      <c r="EU5" s="2628"/>
      <c r="EV5" s="2628"/>
      <c r="EW5" s="2628"/>
      <c r="EX5" s="2628"/>
      <c r="EY5" s="2628"/>
      <c r="EZ5" s="2631"/>
      <c r="FA5" s="2685"/>
      <c r="FC5" s="2624" t="s">
        <v>111</v>
      </c>
      <c r="FD5" s="2628"/>
      <c r="FE5" s="2628"/>
      <c r="FF5" s="2628"/>
      <c r="FG5" s="2631"/>
      <c r="FH5" s="2674"/>
      <c r="FI5" s="2631" t="s">
        <v>116</v>
      </c>
      <c r="FJ5" s="2623"/>
      <c r="FK5" s="2623"/>
      <c r="FL5" s="2623"/>
      <c r="FM5" s="2623"/>
      <c r="FN5" s="2623"/>
      <c r="FO5" s="2623"/>
      <c r="FP5" s="2623"/>
      <c r="FQ5" s="2623"/>
      <c r="FR5" s="2623"/>
      <c r="FS5" s="2623"/>
      <c r="FT5" s="2623"/>
      <c r="FU5" s="2623"/>
      <c r="FV5" s="2623"/>
      <c r="FW5" s="2623"/>
      <c r="FX5" s="2623"/>
      <c r="FY5" s="2623"/>
      <c r="FZ5" s="2623"/>
      <c r="GA5" s="2623"/>
      <c r="GB5" s="2623"/>
      <c r="GC5" s="2623"/>
      <c r="GD5" s="2623"/>
      <c r="GE5" s="2623"/>
      <c r="GF5" s="2623"/>
      <c r="GG5" s="2623"/>
      <c r="GH5" s="2624"/>
      <c r="GI5" s="2624"/>
      <c r="GJ5" s="2674"/>
      <c r="GL5" s="2623" t="s">
        <v>111</v>
      </c>
      <c r="GM5" s="2623"/>
      <c r="GN5" s="2623"/>
      <c r="GO5" s="2623"/>
      <c r="GP5" s="2623"/>
      <c r="GQ5" s="2623"/>
      <c r="GR5" s="2624"/>
      <c r="GS5" s="2667"/>
      <c r="GT5" s="2631" t="s">
        <v>112</v>
      </c>
      <c r="GU5" s="2623"/>
      <c r="GV5" s="2623"/>
      <c r="GW5" s="2623"/>
      <c r="GX5" s="2624"/>
      <c r="GY5" s="2667"/>
      <c r="GZ5" s="2631" t="s">
        <v>117</v>
      </c>
      <c r="HA5" s="2631"/>
      <c r="HB5" s="2623"/>
      <c r="HC5" s="2623"/>
      <c r="HD5" s="2623"/>
      <c r="HE5" s="2623"/>
      <c r="HF5" s="2623"/>
      <c r="HG5" s="2623"/>
      <c r="HH5" s="2623"/>
      <c r="HI5" s="2623"/>
      <c r="HJ5" s="2623"/>
      <c r="HK5" s="2623"/>
      <c r="HL5" s="2623"/>
      <c r="HM5" s="2623"/>
      <c r="HN5" s="2623"/>
      <c r="HO5" s="2623"/>
      <c r="HP5" s="2623"/>
      <c r="HQ5" s="2623"/>
      <c r="HR5" s="2623"/>
      <c r="HS5" s="2623"/>
      <c r="HT5" s="2623"/>
      <c r="HU5" s="2623"/>
      <c r="HV5" s="2623"/>
      <c r="HW5" s="2623"/>
      <c r="HX5" s="2623"/>
      <c r="HY5" s="2623"/>
      <c r="HZ5" s="2623"/>
      <c r="IA5" s="2623"/>
      <c r="IB5" s="2623"/>
      <c r="IC5" s="2623"/>
      <c r="ID5" s="2623"/>
      <c r="IE5" s="2623"/>
      <c r="IF5" s="2623"/>
      <c r="IG5" s="2623"/>
      <c r="IH5" s="2623"/>
      <c r="II5" s="2623"/>
      <c r="IJ5" s="2623"/>
      <c r="IK5" s="2623"/>
      <c r="IL5" s="2623"/>
      <c r="IM5" s="2623"/>
      <c r="IN5" s="2623"/>
      <c r="IO5" s="2623"/>
      <c r="IP5" s="2623"/>
      <c r="IQ5" s="2623"/>
      <c r="IR5" s="2623"/>
      <c r="IS5" s="2623"/>
      <c r="IT5" s="2623"/>
      <c r="IU5" s="2623"/>
      <c r="IV5" s="2623"/>
      <c r="IW5" s="2623"/>
      <c r="IX5" s="2623"/>
      <c r="IY5" s="2623"/>
      <c r="IZ5" s="2623"/>
      <c r="JA5" s="2623"/>
      <c r="JB5" s="2623"/>
      <c r="JC5" s="2623"/>
      <c r="JD5" s="2623"/>
      <c r="JE5" s="2623"/>
      <c r="JF5" s="2623"/>
      <c r="JG5" s="2624"/>
      <c r="JH5" s="2667"/>
      <c r="JJ5" s="2623" t="s">
        <v>111</v>
      </c>
      <c r="JK5" s="2623"/>
      <c r="JL5" s="2623"/>
      <c r="JM5" s="2623"/>
      <c r="JN5" s="2624"/>
      <c r="JO5" s="2669"/>
      <c r="JP5" s="2631" t="s">
        <v>118</v>
      </c>
      <c r="JQ5" s="2623"/>
      <c r="JR5" s="2623"/>
      <c r="JS5" s="2623"/>
      <c r="JT5" s="2623"/>
      <c r="JU5" s="2623"/>
      <c r="JV5" s="2623"/>
      <c r="JW5" s="2623"/>
      <c r="JX5" s="2623"/>
      <c r="JY5" s="2623"/>
      <c r="JZ5" s="2623"/>
      <c r="KA5" s="2623"/>
      <c r="KB5" s="2623"/>
      <c r="KC5" s="2623"/>
      <c r="KD5" s="2623"/>
      <c r="KE5" s="2623"/>
      <c r="KF5" s="2623"/>
      <c r="KG5" s="2623"/>
      <c r="KH5" s="2623"/>
      <c r="KI5" s="2623"/>
      <c r="KJ5" s="2623"/>
      <c r="KK5" s="2623"/>
      <c r="KL5" s="2623"/>
      <c r="KM5" s="2623"/>
      <c r="KN5" s="2624"/>
      <c r="KO5" s="2669"/>
      <c r="KP5" s="2631" t="s">
        <v>119</v>
      </c>
      <c r="KQ5" s="2623"/>
      <c r="KR5" s="2623"/>
      <c r="KS5" s="2623"/>
      <c r="KT5" s="2623"/>
      <c r="KU5" s="2623"/>
      <c r="KV5" s="2623"/>
      <c r="KW5" s="2623"/>
      <c r="KX5" s="2623"/>
      <c r="KY5" s="2623"/>
      <c r="KZ5" s="2623"/>
      <c r="LA5" s="2623"/>
      <c r="LB5" s="2623"/>
      <c r="LC5" s="2623"/>
      <c r="LD5" s="2623"/>
      <c r="LE5" s="2624"/>
      <c r="LF5" s="2669"/>
      <c r="LH5" s="2623" t="s">
        <v>111</v>
      </c>
      <c r="LI5" s="2623"/>
      <c r="LJ5" s="2623"/>
      <c r="LK5" s="2623"/>
      <c r="LL5" s="2623"/>
      <c r="LM5" s="2623"/>
      <c r="LN5" s="2623"/>
      <c r="LO5" s="2623"/>
      <c r="LP5" s="2623"/>
      <c r="LQ5" s="2624"/>
      <c r="LR5" s="2688"/>
      <c r="LS5" s="2631" t="s">
        <v>120</v>
      </c>
      <c r="LT5" s="2631"/>
      <c r="LU5" s="2623"/>
      <c r="LV5" s="2623"/>
      <c r="LW5" s="2623"/>
      <c r="LX5" s="2623"/>
      <c r="LY5" s="2623"/>
      <c r="LZ5" s="2623"/>
      <c r="MA5" s="2623"/>
      <c r="MB5" s="2623"/>
      <c r="MC5" s="2623"/>
      <c r="MD5" s="2623"/>
      <c r="ME5" s="2623"/>
      <c r="MF5" s="2623"/>
      <c r="MG5" s="2623"/>
      <c r="MH5" s="2623"/>
      <c r="MI5" s="2623"/>
      <c r="MJ5" s="2623"/>
      <c r="MK5" s="2623"/>
      <c r="ML5" s="2623"/>
      <c r="MM5" s="2623"/>
      <c r="MN5" s="2623"/>
      <c r="MO5" s="2623"/>
      <c r="MP5" s="2623"/>
      <c r="MQ5" s="2623"/>
      <c r="MR5" s="2623"/>
      <c r="MS5" s="2623"/>
      <c r="MT5" s="2623"/>
      <c r="MU5" s="2623"/>
      <c r="MV5" s="2624"/>
      <c r="MW5" s="2688"/>
      <c r="MY5" s="2623" t="s">
        <v>111</v>
      </c>
      <c r="MZ5" s="2623"/>
      <c r="NA5" s="2623"/>
      <c r="NB5" s="2624"/>
      <c r="NC5" s="2621"/>
      <c r="ND5" s="2631" t="s">
        <v>121</v>
      </c>
      <c r="NE5" s="2631"/>
      <c r="NF5" s="2623"/>
      <c r="NG5" s="2623"/>
      <c r="NH5" s="2623"/>
      <c r="NI5" s="2623"/>
      <c r="NJ5" s="2623"/>
      <c r="NK5" s="2623"/>
      <c r="NL5" s="2623"/>
      <c r="NM5" s="2623"/>
      <c r="NN5" s="2623"/>
      <c r="NO5" s="2623"/>
      <c r="NP5" s="2623"/>
      <c r="NQ5" s="2623"/>
      <c r="NR5" s="2623"/>
      <c r="NS5" s="2623"/>
      <c r="NT5" s="2623"/>
      <c r="NU5" s="2623"/>
      <c r="NV5" s="2623"/>
      <c r="NW5" s="2623"/>
      <c r="NX5" s="2623"/>
      <c r="NY5" s="2623"/>
      <c r="NZ5" s="2623"/>
      <c r="OA5" s="2623"/>
      <c r="OB5" s="2623"/>
      <c r="OC5" s="2623"/>
      <c r="OD5" s="2623"/>
      <c r="OE5" s="2623"/>
      <c r="OF5" s="2623"/>
      <c r="OG5" s="2623"/>
      <c r="OH5" s="2623"/>
      <c r="OI5" s="2623"/>
      <c r="OJ5" s="2623"/>
      <c r="OK5" s="2623"/>
      <c r="OL5" s="2623"/>
      <c r="OM5" s="2623"/>
      <c r="ON5" s="2623"/>
      <c r="OO5" s="2623"/>
      <c r="OP5" s="2623"/>
      <c r="OQ5" s="2623"/>
      <c r="OR5" s="2623"/>
      <c r="OS5" s="2623"/>
      <c r="OT5" s="2623"/>
      <c r="OU5" s="2623"/>
      <c r="OV5" s="2623"/>
      <c r="OW5" s="2623"/>
      <c r="OX5" s="2623"/>
      <c r="OY5" s="2623"/>
      <c r="OZ5" s="2623"/>
      <c r="PA5" s="2623"/>
      <c r="PB5" s="2623"/>
      <c r="PC5" s="2623"/>
      <c r="PD5" s="2623"/>
      <c r="PE5" s="2623"/>
      <c r="PF5" s="2623"/>
      <c r="PG5" s="2623"/>
      <c r="PH5" s="2624"/>
      <c r="PI5" s="2621"/>
      <c r="PK5" s="2623" t="s">
        <v>111</v>
      </c>
      <c r="PL5" s="2623"/>
      <c r="PM5" s="2623"/>
      <c r="PN5" s="2623"/>
      <c r="PO5" s="2623"/>
      <c r="PP5" s="2624"/>
      <c r="PQ5" s="2624"/>
      <c r="PR5" s="2615"/>
      <c r="PT5" s="2633" t="s">
        <v>211</v>
      </c>
      <c r="PU5" s="2635"/>
      <c r="PV5" s="2635"/>
      <c r="PW5" s="2635"/>
      <c r="PX5" s="2635"/>
      <c r="PY5" s="2635"/>
      <c r="PZ5" s="2635"/>
      <c r="QA5" s="2635"/>
      <c r="QB5" s="2635"/>
      <c r="QC5" s="2635"/>
      <c r="QD5" s="2635"/>
      <c r="QE5" s="2635"/>
      <c r="QF5" s="2635"/>
      <c r="QG5" s="2635"/>
      <c r="QH5" s="2635"/>
      <c r="QI5" s="2635"/>
      <c r="QJ5" s="2635"/>
      <c r="QK5" s="2635"/>
      <c r="QL5" s="2634"/>
      <c r="QM5" s="2615"/>
      <c r="QO5" s="2617" t="s">
        <v>122</v>
      </c>
      <c r="QP5" s="2617"/>
      <c r="QR5" s="2617" t="s">
        <v>123</v>
      </c>
      <c r="QS5" s="2617"/>
      <c r="QU5" s="2618" t="s">
        <v>124</v>
      </c>
      <c r="QV5" s="2618"/>
      <c r="QW5" s="2618"/>
      <c r="QX5" s="2618"/>
      <c r="QY5" s="2618"/>
      <c r="QZ5" s="2618"/>
      <c r="RA5" s="89"/>
      <c r="RB5" s="2618" t="s">
        <v>125</v>
      </c>
      <c r="RC5" s="2618"/>
      <c r="RD5" s="2618"/>
      <c r="RE5" s="2618"/>
      <c r="RF5" s="2618"/>
      <c r="RG5" s="2618"/>
      <c r="RZ5" s="1148"/>
    </row>
    <row r="6" spans="1:503" s="42" customFormat="1" ht="31.2" customHeight="1">
      <c r="B6" s="2626"/>
      <c r="C6" s="2632" t="s">
        <v>3</v>
      </c>
      <c r="D6" s="2632" t="s">
        <v>126</v>
      </c>
      <c r="E6" s="2632" t="s">
        <v>127</v>
      </c>
      <c r="F6" s="2633" t="s">
        <v>212</v>
      </c>
      <c r="G6" s="2634"/>
      <c r="H6" s="2633" t="s">
        <v>212</v>
      </c>
      <c r="I6" s="2634"/>
      <c r="J6" s="2633" t="s">
        <v>128</v>
      </c>
      <c r="K6" s="2634"/>
      <c r="L6" s="2633" t="s">
        <v>129</v>
      </c>
      <c r="M6" s="2635"/>
      <c r="N6" s="2629"/>
      <c r="O6" s="2636" t="s">
        <v>16</v>
      </c>
      <c r="P6" s="2637"/>
      <c r="Q6" s="2637"/>
      <c r="R6" s="2559"/>
      <c r="S6" s="2638" t="s">
        <v>17</v>
      </c>
      <c r="T6" s="2638"/>
      <c r="U6" s="2638"/>
      <c r="V6" s="2638"/>
      <c r="W6" s="2697" t="s">
        <v>213</v>
      </c>
      <c r="X6" s="2698"/>
      <c r="Y6" s="2698"/>
      <c r="Z6" s="2698"/>
      <c r="AA6" s="2699" t="s">
        <v>18</v>
      </c>
      <c r="AB6" s="2700"/>
      <c r="AC6" s="2700"/>
      <c r="AD6" s="2700"/>
      <c r="AE6" s="2701" t="s">
        <v>66</v>
      </c>
      <c r="AF6" s="2701"/>
      <c r="AG6" s="2701"/>
      <c r="AH6" s="2701"/>
      <c r="AI6" s="2640" t="s">
        <v>214</v>
      </c>
      <c r="AJ6" s="2640"/>
      <c r="AK6" s="2640"/>
      <c r="AL6" s="2641"/>
      <c r="AM6" s="2629"/>
      <c r="AN6" s="2636" t="s">
        <v>215</v>
      </c>
      <c r="AO6" s="2637"/>
      <c r="AP6" s="2637"/>
      <c r="AQ6" s="2637" t="s">
        <v>216</v>
      </c>
      <c r="AR6" s="2637"/>
      <c r="AS6" s="2637"/>
      <c r="AT6" s="2637" t="s">
        <v>217</v>
      </c>
      <c r="AU6" s="2637"/>
      <c r="AV6" s="2559"/>
      <c r="AW6" s="2637" t="s">
        <v>218</v>
      </c>
      <c r="AX6" s="2637"/>
      <c r="AY6" s="2637"/>
      <c r="AZ6" s="2637" t="s">
        <v>219</v>
      </c>
      <c r="BA6" s="2637"/>
      <c r="BB6" s="2637"/>
      <c r="BC6" s="2637" t="s">
        <v>220</v>
      </c>
      <c r="BD6" s="2637"/>
      <c r="BE6" s="2637"/>
      <c r="BF6" s="2638" t="s">
        <v>221</v>
      </c>
      <c r="BG6" s="2708"/>
      <c r="BH6" s="2709"/>
      <c r="BI6" s="2638" t="s">
        <v>222</v>
      </c>
      <c r="BJ6" s="2638"/>
      <c r="BK6" s="2638"/>
      <c r="BL6" s="2638" t="s">
        <v>223</v>
      </c>
      <c r="BM6" s="2638"/>
      <c r="BN6" s="2638"/>
      <c r="BO6" s="2638"/>
      <c r="BP6" s="2706" t="s">
        <v>224</v>
      </c>
      <c r="BQ6" s="2706"/>
      <c r="BR6" s="2706"/>
      <c r="BS6" s="2698" t="s">
        <v>225</v>
      </c>
      <c r="BT6" s="2698"/>
      <c r="BU6" s="2698"/>
      <c r="BV6" s="2698" t="s">
        <v>226</v>
      </c>
      <c r="BW6" s="2707"/>
      <c r="BX6" s="2697"/>
      <c r="BY6" s="2638" t="s">
        <v>227</v>
      </c>
      <c r="BZ6" s="2638"/>
      <c r="CA6" s="2645"/>
      <c r="CB6" s="2698" t="s">
        <v>228</v>
      </c>
      <c r="CC6" s="2698"/>
      <c r="CD6" s="2710"/>
      <c r="CE6" s="2698" t="s">
        <v>229</v>
      </c>
      <c r="CF6" s="2698"/>
      <c r="CG6" s="2710"/>
      <c r="CH6" s="147"/>
      <c r="CI6" s="2634" t="s">
        <v>16</v>
      </c>
      <c r="CJ6" s="2632" t="s">
        <v>17</v>
      </c>
      <c r="CK6" s="2632" t="s">
        <v>18</v>
      </c>
      <c r="CL6" s="2632" t="s">
        <v>83</v>
      </c>
      <c r="CM6" s="2632" t="s">
        <v>130</v>
      </c>
      <c r="CN6" s="2671" t="s">
        <v>7</v>
      </c>
      <c r="CO6" s="2633" t="s">
        <v>145</v>
      </c>
      <c r="CP6" s="2632" t="s">
        <v>18</v>
      </c>
      <c r="CR6" s="2632" t="s">
        <v>146</v>
      </c>
      <c r="CS6" s="2632" t="s">
        <v>230</v>
      </c>
      <c r="CT6" s="2632" t="s">
        <v>147</v>
      </c>
      <c r="CU6" s="2632" t="s">
        <v>231</v>
      </c>
      <c r="CV6" s="2632" t="s">
        <v>148</v>
      </c>
      <c r="CW6" s="2632" t="s">
        <v>232</v>
      </c>
      <c r="CX6" s="2632" t="s">
        <v>149</v>
      </c>
      <c r="CY6" s="2632" t="s">
        <v>233</v>
      </c>
      <c r="CZ6" s="2632" t="s">
        <v>69</v>
      </c>
      <c r="DA6" s="2632" t="s">
        <v>234</v>
      </c>
      <c r="DB6" s="2632" t="s">
        <v>71</v>
      </c>
      <c r="DC6" s="2632" t="s">
        <v>235</v>
      </c>
      <c r="DD6" s="2633" t="s">
        <v>7</v>
      </c>
      <c r="DE6" s="2685"/>
      <c r="DF6" s="2633" t="s">
        <v>236</v>
      </c>
      <c r="DG6" s="2635"/>
      <c r="DH6" s="2635"/>
      <c r="DI6" s="2635"/>
      <c r="DJ6" s="2635"/>
      <c r="DK6" s="2635"/>
      <c r="DL6" s="2635"/>
      <c r="DM6" s="2635"/>
      <c r="DN6" s="2635"/>
      <c r="DO6" s="2635"/>
      <c r="DP6" s="2635"/>
      <c r="DQ6" s="1394"/>
      <c r="DR6" s="1394"/>
      <c r="DS6" s="2711" t="s">
        <v>151</v>
      </c>
      <c r="DT6" s="2633" t="s">
        <v>237</v>
      </c>
      <c r="DU6" s="2635"/>
      <c r="DV6" s="2635"/>
      <c r="DW6" s="2635"/>
      <c r="DX6" s="2635"/>
      <c r="DY6" s="2635"/>
      <c r="DZ6" s="2635"/>
      <c r="EA6" s="2635"/>
      <c r="EB6" s="2635"/>
      <c r="EC6" s="2635"/>
      <c r="ED6" s="2635"/>
      <c r="EE6" s="1394"/>
      <c r="EF6" s="2711" t="s">
        <v>151</v>
      </c>
      <c r="EG6" s="2953" t="s">
        <v>238</v>
      </c>
      <c r="EH6" s="2954"/>
      <c r="EI6" s="2954"/>
      <c r="EJ6" s="2954"/>
      <c r="EK6" s="2954"/>
      <c r="EL6" s="2954"/>
      <c r="EM6" s="2954"/>
      <c r="EN6" s="2954"/>
      <c r="EO6" s="2954"/>
      <c r="EP6" s="2954"/>
      <c r="EQ6" s="2954"/>
      <c r="ER6" s="1394"/>
      <c r="ES6" s="2711" t="s">
        <v>151</v>
      </c>
      <c r="ET6" s="2633" t="s">
        <v>154</v>
      </c>
      <c r="EU6" s="2635"/>
      <c r="EV6" s="2635"/>
      <c r="EW6" s="2635"/>
      <c r="EX6" s="2635"/>
      <c r="EY6" s="2635"/>
      <c r="EZ6" s="2711" t="s">
        <v>151</v>
      </c>
      <c r="FA6" s="2685"/>
      <c r="FC6" s="2690" t="s">
        <v>239</v>
      </c>
      <c r="FD6" s="2690" t="s">
        <v>240</v>
      </c>
      <c r="FE6" s="2690" t="s">
        <v>242</v>
      </c>
      <c r="FF6" s="2671" t="s">
        <v>7</v>
      </c>
      <c r="FG6" s="2671" t="s">
        <v>145</v>
      </c>
      <c r="FH6" s="2674"/>
      <c r="FI6" s="2634" t="s">
        <v>158</v>
      </c>
      <c r="FJ6" s="2632"/>
      <c r="FK6" s="2632"/>
      <c r="FL6" s="2632"/>
      <c r="FM6" s="2632"/>
      <c r="FN6" s="2633"/>
      <c r="FO6" s="2676" t="s">
        <v>151</v>
      </c>
      <c r="FP6" s="2632" t="s">
        <v>159</v>
      </c>
      <c r="FQ6" s="2632"/>
      <c r="FR6" s="2632"/>
      <c r="FS6" s="2632"/>
      <c r="FT6" s="2632"/>
      <c r="FU6" s="2633"/>
      <c r="FV6" s="2676" t="s">
        <v>151</v>
      </c>
      <c r="FW6" s="2632" t="s">
        <v>242</v>
      </c>
      <c r="FX6" s="2632"/>
      <c r="FY6" s="2632"/>
      <c r="FZ6" s="2632"/>
      <c r="GA6" s="2632"/>
      <c r="GB6" s="2632"/>
      <c r="GC6" s="2632"/>
      <c r="GD6" s="2632"/>
      <c r="GE6" s="2632"/>
      <c r="GF6" s="2633"/>
      <c r="GG6" s="2633"/>
      <c r="GH6" s="1394"/>
      <c r="GI6" s="2673" t="s">
        <v>151</v>
      </c>
      <c r="GJ6" s="2674"/>
      <c r="GL6" s="2632" t="s">
        <v>161</v>
      </c>
      <c r="GM6" s="2632"/>
      <c r="GN6" s="2633"/>
      <c r="GO6" s="2634" t="s">
        <v>7</v>
      </c>
      <c r="GP6" s="181" t="s">
        <v>162</v>
      </c>
      <c r="GQ6" s="181" t="s">
        <v>163</v>
      </c>
      <c r="GR6" s="2633" t="s">
        <v>145</v>
      </c>
      <c r="GS6" s="2667"/>
      <c r="GT6" s="2634" t="s">
        <v>130</v>
      </c>
      <c r="GU6" s="2632" t="s">
        <v>243</v>
      </c>
      <c r="GV6" s="2632" t="s">
        <v>244</v>
      </c>
      <c r="GW6" s="2632" t="s">
        <v>165</v>
      </c>
      <c r="GX6" s="2619" t="s">
        <v>7</v>
      </c>
      <c r="GY6" s="2667"/>
      <c r="GZ6" s="2634" t="s">
        <v>35</v>
      </c>
      <c r="HA6" s="2634"/>
      <c r="HB6" s="2632"/>
      <c r="HC6" s="2632"/>
      <c r="HD6" s="2632"/>
      <c r="HE6" s="2632"/>
      <c r="HF6" s="2632"/>
      <c r="HG6" s="2632"/>
      <c r="HH6" s="2632"/>
      <c r="HI6" s="2632"/>
      <c r="HJ6" s="2632"/>
      <c r="HK6" s="2632"/>
      <c r="HL6" s="2632"/>
      <c r="HM6" s="2633"/>
      <c r="HN6" s="2676" t="s">
        <v>151</v>
      </c>
      <c r="HO6" s="2619" t="s">
        <v>110</v>
      </c>
      <c r="HP6" s="2673"/>
      <c r="HQ6" s="2673"/>
      <c r="HR6" s="2673"/>
      <c r="HS6" s="2673"/>
      <c r="HT6" s="2673"/>
      <c r="HU6" s="2673"/>
      <c r="HV6" s="2673"/>
      <c r="HW6" s="2673"/>
      <c r="HX6" s="2673"/>
      <c r="HY6" s="2673"/>
      <c r="HZ6" s="2673"/>
      <c r="IA6" s="2673"/>
      <c r="IB6" s="2673"/>
      <c r="IC6" s="2711" t="s">
        <v>151</v>
      </c>
      <c r="ID6" s="2632" t="s">
        <v>245</v>
      </c>
      <c r="IE6" s="2632"/>
      <c r="IF6" s="2632"/>
      <c r="IG6" s="2632"/>
      <c r="IH6" s="2632"/>
      <c r="II6" s="2632"/>
      <c r="IJ6" s="2632"/>
      <c r="IK6" s="2632"/>
      <c r="IL6" s="2632"/>
      <c r="IM6" s="2632"/>
      <c r="IN6" s="2632"/>
      <c r="IO6" s="2632"/>
      <c r="IP6" s="2632"/>
      <c r="IQ6" s="2633"/>
      <c r="IR6" s="2676" t="s">
        <v>151</v>
      </c>
      <c r="IS6" s="2632" t="s">
        <v>246</v>
      </c>
      <c r="IT6" s="2632"/>
      <c r="IU6" s="2632"/>
      <c r="IV6" s="2632"/>
      <c r="IW6" s="2632"/>
      <c r="IX6" s="2632"/>
      <c r="IY6" s="2632"/>
      <c r="IZ6" s="2632"/>
      <c r="JA6" s="2632"/>
      <c r="JB6" s="2632"/>
      <c r="JC6" s="2632"/>
      <c r="JD6" s="2632"/>
      <c r="JE6" s="2632"/>
      <c r="JF6" s="2633"/>
      <c r="JG6" s="2673" t="s">
        <v>151</v>
      </c>
      <c r="JH6" s="2667"/>
      <c r="JJ6" s="2632" t="s">
        <v>76</v>
      </c>
      <c r="JK6" s="2671" t="s">
        <v>77</v>
      </c>
      <c r="JL6" s="2632" t="s">
        <v>247</v>
      </c>
      <c r="JM6" s="2632" t="s">
        <v>7</v>
      </c>
      <c r="JN6" s="2633" t="s">
        <v>145</v>
      </c>
      <c r="JO6" s="2669"/>
      <c r="JP6" s="2634" t="str">
        <f>JJ6</f>
        <v>TCM.HCV.LS</v>
      </c>
      <c r="JQ6" s="2632"/>
      <c r="JR6" s="2632"/>
      <c r="JS6" s="2632"/>
      <c r="JT6" s="2632"/>
      <c r="JU6" s="2632"/>
      <c r="JV6" s="2632"/>
      <c r="JW6" s="2632"/>
      <c r="JX6" s="2634" t="str">
        <f>JK6</f>
        <v>TCM.HCV.HS</v>
      </c>
      <c r="JY6" s="2632"/>
      <c r="JZ6" s="2632"/>
      <c r="KA6" s="2632"/>
      <c r="KB6" s="2632"/>
      <c r="KC6" s="2632"/>
      <c r="KD6" s="2632"/>
      <c r="KE6" s="2632"/>
      <c r="KF6" s="2632" t="str">
        <f>JL6</f>
        <v>LCV.MS.HA</v>
      </c>
      <c r="KG6" s="2632"/>
      <c r="KH6" s="2632"/>
      <c r="KI6" s="2632"/>
      <c r="KJ6" s="2632"/>
      <c r="KK6" s="2632"/>
      <c r="KL6" s="2632"/>
      <c r="KM6" s="2632"/>
      <c r="KN6" s="2633" t="s">
        <v>145</v>
      </c>
      <c r="KO6" s="2669"/>
      <c r="KP6" s="2634" t="s">
        <v>167</v>
      </c>
      <c r="KQ6" s="2632"/>
      <c r="KR6" s="2632"/>
      <c r="KS6" s="2632"/>
      <c r="KT6" s="2632"/>
      <c r="KU6" s="2634" t="s">
        <v>168</v>
      </c>
      <c r="KV6" s="2632"/>
      <c r="KW6" s="2632"/>
      <c r="KX6" s="2632"/>
      <c r="KY6" s="2632"/>
      <c r="KZ6" s="2632" t="s">
        <v>247</v>
      </c>
      <c r="LA6" s="2632"/>
      <c r="LB6" s="2632"/>
      <c r="LC6" s="2632"/>
      <c r="LD6" s="2632"/>
      <c r="LE6" s="2633" t="s">
        <v>145</v>
      </c>
      <c r="LF6" s="2669"/>
      <c r="LH6" s="2633" t="s">
        <v>170</v>
      </c>
      <c r="LI6" s="2635"/>
      <c r="LJ6" s="2635"/>
      <c r="LK6" s="2634"/>
      <c r="LL6" s="2619" t="s">
        <v>171</v>
      </c>
      <c r="LM6" s="2673"/>
      <c r="LN6" s="2673"/>
      <c r="LO6" s="2673"/>
      <c r="LP6" s="2690" t="s">
        <v>172</v>
      </c>
      <c r="LQ6" s="2633" t="s">
        <v>145</v>
      </c>
      <c r="LR6" s="2688"/>
      <c r="LS6" s="2634" t="s">
        <v>173</v>
      </c>
      <c r="LT6" s="2634"/>
      <c r="LU6" s="2632"/>
      <c r="LV6" s="2632"/>
      <c r="LW6" s="2632"/>
      <c r="LX6" s="2620" t="s">
        <v>151</v>
      </c>
      <c r="LY6" s="2632" t="s">
        <v>174</v>
      </c>
      <c r="LZ6" s="2632"/>
      <c r="MA6" s="2632"/>
      <c r="MB6" s="2632"/>
      <c r="MC6" s="2632"/>
      <c r="MD6" s="2632"/>
      <c r="ME6" s="2632" t="s">
        <v>175</v>
      </c>
      <c r="MF6" s="2632"/>
      <c r="MG6" s="2632"/>
      <c r="MH6" s="2632"/>
      <c r="MI6" s="2632"/>
      <c r="MJ6" s="2620" t="s">
        <v>151</v>
      </c>
      <c r="MK6" s="2632" t="s">
        <v>176</v>
      </c>
      <c r="ML6" s="2632"/>
      <c r="MM6" s="2632"/>
      <c r="MN6" s="2632"/>
      <c r="MO6" s="2632"/>
      <c r="MP6" s="2620" t="s">
        <v>151</v>
      </c>
      <c r="MQ6" s="2632" t="s">
        <v>248</v>
      </c>
      <c r="MR6" s="2632"/>
      <c r="MS6" s="2632"/>
      <c r="MT6" s="2632"/>
      <c r="MU6" s="2632"/>
      <c r="MV6" s="2619" t="s">
        <v>151</v>
      </c>
      <c r="MW6" s="2688"/>
      <c r="MY6" s="2632" t="s">
        <v>178</v>
      </c>
      <c r="MZ6" s="2632" t="s">
        <v>126</v>
      </c>
      <c r="NA6" s="2632" t="s">
        <v>179</v>
      </c>
      <c r="NB6" s="2633" t="s">
        <v>249</v>
      </c>
      <c r="NC6" s="2621"/>
      <c r="ND6" s="2634" t="s">
        <v>181</v>
      </c>
      <c r="NE6" s="2634"/>
      <c r="NF6" s="2632"/>
      <c r="NG6" s="2632" t="s">
        <v>7</v>
      </c>
      <c r="NH6" s="2633" t="s">
        <v>35</v>
      </c>
      <c r="NI6" s="2635"/>
      <c r="NJ6" s="2635"/>
      <c r="NK6" s="2635"/>
      <c r="NL6" s="2635"/>
      <c r="NM6" s="2635"/>
      <c r="NN6" s="2635"/>
      <c r="NO6" s="2635"/>
      <c r="NP6" s="2635"/>
      <c r="NQ6" s="2635"/>
      <c r="NR6" s="2635"/>
      <c r="NS6" s="2634"/>
      <c r="NT6" s="2620" t="s">
        <v>151</v>
      </c>
      <c r="NU6" s="2632" t="s">
        <v>245</v>
      </c>
      <c r="NV6" s="2632"/>
      <c r="NW6" s="2632"/>
      <c r="NX6" s="2632"/>
      <c r="NY6" s="2632"/>
      <c r="NZ6" s="2632"/>
      <c r="OA6" s="2632"/>
      <c r="OB6" s="2632"/>
      <c r="OC6" s="2632"/>
      <c r="OD6" s="2632"/>
      <c r="OE6" s="2632"/>
      <c r="OF6" s="181"/>
      <c r="OG6" s="2620" t="s">
        <v>151</v>
      </c>
      <c r="OH6" s="2632" t="s">
        <v>246</v>
      </c>
      <c r="OI6" s="2632"/>
      <c r="OJ6" s="2632"/>
      <c r="OK6" s="2632"/>
      <c r="OL6" s="2632"/>
      <c r="OM6" s="2632"/>
      <c r="ON6" s="2632"/>
      <c r="OO6" s="2632"/>
      <c r="OP6" s="2632"/>
      <c r="OQ6" s="2632"/>
      <c r="OR6" s="2632"/>
      <c r="OS6" s="181"/>
      <c r="OT6" s="2620" t="s">
        <v>151</v>
      </c>
      <c r="OU6" s="2632" t="s">
        <v>250</v>
      </c>
      <c r="OV6" s="2632"/>
      <c r="OW6" s="2632"/>
      <c r="OX6" s="2632"/>
      <c r="OY6" s="2632"/>
      <c r="OZ6" s="2632"/>
      <c r="PA6" s="2620" t="s">
        <v>151</v>
      </c>
      <c r="PB6" s="2632" t="s">
        <v>251</v>
      </c>
      <c r="PC6" s="2632"/>
      <c r="PD6" s="2632"/>
      <c r="PE6" s="2632"/>
      <c r="PF6" s="2632"/>
      <c r="PG6" s="2632"/>
      <c r="PH6" s="2619" t="s">
        <v>151</v>
      </c>
      <c r="PI6" s="2621"/>
      <c r="PK6" s="2620" t="s">
        <v>184</v>
      </c>
      <c r="PL6" s="2620" t="s">
        <v>252</v>
      </c>
      <c r="PM6" s="2703" t="s">
        <v>253</v>
      </c>
      <c r="PN6" s="2705" t="s">
        <v>186</v>
      </c>
      <c r="PO6" s="2619" t="s">
        <v>91</v>
      </c>
      <c r="PP6" s="2619" t="s">
        <v>254</v>
      </c>
      <c r="PQ6" s="2619" t="s">
        <v>145</v>
      </c>
      <c r="PR6" s="2615"/>
      <c r="PT6" s="2619" t="s">
        <v>255</v>
      </c>
      <c r="PU6" s="2676"/>
      <c r="PV6" s="2619" t="s">
        <v>256</v>
      </c>
      <c r="PW6" s="2673"/>
      <c r="PX6" s="2673"/>
      <c r="PY6" s="2673"/>
      <c r="PZ6" s="2676"/>
      <c r="QA6" s="2620" t="s">
        <v>184</v>
      </c>
      <c r="QB6" s="2620" t="s">
        <v>189</v>
      </c>
      <c r="QC6" s="2620" t="s">
        <v>189</v>
      </c>
      <c r="QD6" s="2690" t="s">
        <v>257</v>
      </c>
      <c r="QE6" s="2690" t="s">
        <v>258</v>
      </c>
      <c r="QF6" s="2620" t="s">
        <v>259</v>
      </c>
      <c r="QG6" s="2620" t="s">
        <v>260</v>
      </c>
      <c r="QH6" s="2716" t="s">
        <v>191</v>
      </c>
      <c r="QI6" s="2717"/>
      <c r="QJ6" s="2711"/>
      <c r="QK6" s="1405"/>
      <c r="QL6" s="2619" t="s">
        <v>145</v>
      </c>
      <c r="QM6" s="2615"/>
      <c r="QR6" s="105" t="s">
        <v>192</v>
      </c>
      <c r="QS6" s="105">
        <v>13000</v>
      </c>
      <c r="RK6" s="2718" t="s">
        <v>261</v>
      </c>
      <c r="RL6" s="2718"/>
      <c r="RM6" s="2719"/>
      <c r="RN6" s="2719" t="s">
        <v>7</v>
      </c>
      <c r="RZ6" s="1134"/>
    </row>
    <row r="7" spans="1:503" s="42" customFormat="1" ht="46.2" customHeight="1">
      <c r="B7" s="2627"/>
      <c r="C7" s="2632"/>
      <c r="D7" s="2632"/>
      <c r="E7" s="2632"/>
      <c r="F7" s="181"/>
      <c r="G7" s="181"/>
      <c r="H7" s="181" t="s">
        <v>193</v>
      </c>
      <c r="I7" s="181" t="s">
        <v>194</v>
      </c>
      <c r="J7" s="181" t="s">
        <v>193</v>
      </c>
      <c r="K7" s="181" t="s">
        <v>194</v>
      </c>
      <c r="L7" s="181" t="s">
        <v>193</v>
      </c>
      <c r="M7" s="182" t="s">
        <v>194</v>
      </c>
      <c r="N7" s="2629"/>
      <c r="O7" s="183" t="s">
        <v>3</v>
      </c>
      <c r="P7" s="181" t="s">
        <v>126</v>
      </c>
      <c r="Q7" s="181" t="s">
        <v>127</v>
      </c>
      <c r="R7" s="182" t="s">
        <v>145</v>
      </c>
      <c r="S7" s="181" t="s">
        <v>3</v>
      </c>
      <c r="T7" s="181" t="s">
        <v>126</v>
      </c>
      <c r="U7" s="181" t="s">
        <v>127</v>
      </c>
      <c r="V7" s="181" t="s">
        <v>145</v>
      </c>
      <c r="W7" s="183" t="s">
        <v>3</v>
      </c>
      <c r="X7" s="181" t="s">
        <v>126</v>
      </c>
      <c r="Y7" s="181" t="s">
        <v>127</v>
      </c>
      <c r="Z7" s="181" t="s">
        <v>145</v>
      </c>
      <c r="AA7" s="183" t="s">
        <v>3</v>
      </c>
      <c r="AB7" s="181" t="s">
        <v>126</v>
      </c>
      <c r="AC7" s="181" t="s">
        <v>127</v>
      </c>
      <c r="AD7" s="181" t="s">
        <v>145</v>
      </c>
      <c r="AE7" s="181" t="s">
        <v>3</v>
      </c>
      <c r="AF7" s="181" t="s">
        <v>126</v>
      </c>
      <c r="AG7" s="181" t="s">
        <v>127</v>
      </c>
      <c r="AH7" s="181" t="s">
        <v>145</v>
      </c>
      <c r="AI7" s="181" t="s">
        <v>3</v>
      </c>
      <c r="AJ7" s="181" t="s">
        <v>126</v>
      </c>
      <c r="AK7" s="181" t="s">
        <v>127</v>
      </c>
      <c r="AL7" s="182" t="s">
        <v>145</v>
      </c>
      <c r="AM7" s="2629"/>
      <c r="AN7" s="183" t="s">
        <v>3</v>
      </c>
      <c r="AO7" s="181" t="s">
        <v>126</v>
      </c>
      <c r="AP7" s="181" t="s">
        <v>127</v>
      </c>
      <c r="AQ7" s="181" t="s">
        <v>3</v>
      </c>
      <c r="AR7" s="181" t="s">
        <v>126</v>
      </c>
      <c r="AS7" s="181" t="s">
        <v>127</v>
      </c>
      <c r="AT7" s="181" t="s">
        <v>3</v>
      </c>
      <c r="AU7" s="181" t="s">
        <v>126</v>
      </c>
      <c r="AV7" s="182" t="s">
        <v>127</v>
      </c>
      <c r="AW7" s="181" t="s">
        <v>3</v>
      </c>
      <c r="AX7" s="181" t="s">
        <v>126</v>
      </c>
      <c r="AY7" s="181" t="s">
        <v>127</v>
      </c>
      <c r="AZ7" s="181" t="s">
        <v>3</v>
      </c>
      <c r="BA7" s="181" t="s">
        <v>126</v>
      </c>
      <c r="BB7" s="181" t="s">
        <v>127</v>
      </c>
      <c r="BC7" s="181" t="s">
        <v>3</v>
      </c>
      <c r="BD7" s="181" t="s">
        <v>126</v>
      </c>
      <c r="BE7" s="181" t="s">
        <v>127</v>
      </c>
      <c r="BF7" s="181" t="s">
        <v>3</v>
      </c>
      <c r="BG7" s="181" t="s">
        <v>126</v>
      </c>
      <c r="BH7" s="181" t="s">
        <v>127</v>
      </c>
      <c r="BI7" s="181" t="s">
        <v>3</v>
      </c>
      <c r="BJ7" s="181" t="s">
        <v>126</v>
      </c>
      <c r="BK7" s="181" t="s">
        <v>127</v>
      </c>
      <c r="BL7" s="181" t="s">
        <v>3</v>
      </c>
      <c r="BM7" s="181" t="s">
        <v>126</v>
      </c>
      <c r="BN7" s="181" t="s">
        <v>262</v>
      </c>
      <c r="BO7" s="181" t="s">
        <v>127</v>
      </c>
      <c r="BP7" s="181" t="s">
        <v>3</v>
      </c>
      <c r="BQ7" s="181" t="s">
        <v>126</v>
      </c>
      <c r="BR7" s="181" t="s">
        <v>127</v>
      </c>
      <c r="BS7" s="181" t="s">
        <v>3</v>
      </c>
      <c r="BT7" s="181" t="s">
        <v>126</v>
      </c>
      <c r="BU7" s="181" t="s">
        <v>127</v>
      </c>
      <c r="BV7" s="181" t="s">
        <v>3</v>
      </c>
      <c r="BW7" s="181" t="s">
        <v>126</v>
      </c>
      <c r="BX7" s="182" t="s">
        <v>127</v>
      </c>
      <c r="BY7" s="182" t="s">
        <v>3</v>
      </c>
      <c r="BZ7" s="182" t="s">
        <v>126</v>
      </c>
      <c r="CA7" s="182" t="s">
        <v>127</v>
      </c>
      <c r="CB7" s="181" t="s">
        <v>3</v>
      </c>
      <c r="CC7" s="181" t="s">
        <v>126</v>
      </c>
      <c r="CD7" s="182" t="s">
        <v>127</v>
      </c>
      <c r="CE7" s="181" t="s">
        <v>3</v>
      </c>
      <c r="CF7" s="181" t="s">
        <v>126</v>
      </c>
      <c r="CG7" s="182" t="s">
        <v>127</v>
      </c>
      <c r="CH7" s="148"/>
      <c r="CI7" s="2634"/>
      <c r="CJ7" s="2632"/>
      <c r="CK7" s="2632"/>
      <c r="CL7" s="2632"/>
      <c r="CM7" s="2632"/>
      <c r="CN7" s="2672"/>
      <c r="CO7" s="2633"/>
      <c r="CP7" s="2632"/>
      <c r="CR7" s="2632"/>
      <c r="CS7" s="2632"/>
      <c r="CT7" s="2632"/>
      <c r="CU7" s="2632"/>
      <c r="CV7" s="2632"/>
      <c r="CW7" s="2632"/>
      <c r="CX7" s="2632"/>
      <c r="CY7" s="2632"/>
      <c r="CZ7" s="2632"/>
      <c r="DA7" s="2632"/>
      <c r="DB7" s="2632"/>
      <c r="DC7" s="2632"/>
      <c r="DD7" s="2633"/>
      <c r="DE7" s="2685"/>
      <c r="DF7" s="183" t="s">
        <v>146</v>
      </c>
      <c r="DG7" s="183" t="s">
        <v>230</v>
      </c>
      <c r="DH7" s="181" t="s">
        <v>147</v>
      </c>
      <c r="DI7" s="181" t="s">
        <v>231</v>
      </c>
      <c r="DJ7" s="181" t="s">
        <v>148</v>
      </c>
      <c r="DK7" s="181" t="s">
        <v>232</v>
      </c>
      <c r="DL7" s="181" t="s">
        <v>149</v>
      </c>
      <c r="DM7" s="181" t="s">
        <v>233</v>
      </c>
      <c r="DN7" s="181" t="s">
        <v>69</v>
      </c>
      <c r="DO7" s="181" t="s">
        <v>234</v>
      </c>
      <c r="DP7" s="181" t="s">
        <v>71</v>
      </c>
      <c r="DQ7" s="181" t="s">
        <v>606</v>
      </c>
      <c r="DR7" s="181" t="s">
        <v>235</v>
      </c>
      <c r="DS7" s="2712"/>
      <c r="DT7" s="183" t="s">
        <v>146</v>
      </c>
      <c r="DU7" s="183" t="s">
        <v>230</v>
      </c>
      <c r="DV7" s="181" t="s">
        <v>147</v>
      </c>
      <c r="DW7" s="181" t="s">
        <v>231</v>
      </c>
      <c r="DX7" s="181" t="s">
        <v>148</v>
      </c>
      <c r="DY7" s="181" t="s">
        <v>232</v>
      </c>
      <c r="DZ7" s="181" t="s">
        <v>149</v>
      </c>
      <c r="EA7" s="181" t="s">
        <v>233</v>
      </c>
      <c r="EB7" s="181" t="s">
        <v>69</v>
      </c>
      <c r="EC7" s="181" t="s">
        <v>234</v>
      </c>
      <c r="ED7" s="181" t="s">
        <v>71</v>
      </c>
      <c r="EE7" s="181" t="s">
        <v>235</v>
      </c>
      <c r="EF7" s="2712"/>
      <c r="EG7" s="183" t="s">
        <v>263</v>
      </c>
      <c r="EH7" s="181" t="s">
        <v>264</v>
      </c>
      <c r="EI7" s="181" t="s">
        <v>265</v>
      </c>
      <c r="EJ7" s="181" t="s">
        <v>266</v>
      </c>
      <c r="EK7" s="181" t="s">
        <v>267</v>
      </c>
      <c r="EL7" s="181" t="s">
        <v>268</v>
      </c>
      <c r="EM7" s="181" t="s">
        <v>269</v>
      </c>
      <c r="EN7" s="181" t="s">
        <v>270</v>
      </c>
      <c r="EO7" s="181" t="s">
        <v>271</v>
      </c>
      <c r="EP7" s="181" t="s">
        <v>272</v>
      </c>
      <c r="EQ7" s="181" t="s">
        <v>273</v>
      </c>
      <c r="ER7" s="181" t="s">
        <v>274</v>
      </c>
      <c r="ES7" s="2712"/>
      <c r="ET7" s="181" t="s">
        <v>146</v>
      </c>
      <c r="EU7" s="181" t="s">
        <v>147</v>
      </c>
      <c r="EV7" s="181" t="s">
        <v>148</v>
      </c>
      <c r="EW7" s="181" t="s">
        <v>149</v>
      </c>
      <c r="EX7" s="181" t="s">
        <v>69</v>
      </c>
      <c r="EY7" s="181" t="s">
        <v>71</v>
      </c>
      <c r="EZ7" s="2712"/>
      <c r="FA7" s="2685"/>
      <c r="FC7" s="2691"/>
      <c r="FD7" s="2691"/>
      <c r="FE7" s="2691"/>
      <c r="FF7" s="2672"/>
      <c r="FG7" s="2672"/>
      <c r="FH7" s="2674"/>
      <c r="FI7" s="183" t="s">
        <v>146</v>
      </c>
      <c r="FJ7" s="181" t="s">
        <v>147</v>
      </c>
      <c r="FK7" s="181" t="s">
        <v>148</v>
      </c>
      <c r="FL7" s="181" t="s">
        <v>149</v>
      </c>
      <c r="FM7" s="181" t="s">
        <v>69</v>
      </c>
      <c r="FN7" s="181" t="s">
        <v>71</v>
      </c>
      <c r="FO7" s="2620"/>
      <c r="FP7" s="181" t="s">
        <v>146</v>
      </c>
      <c r="FQ7" s="181" t="s">
        <v>147</v>
      </c>
      <c r="FR7" s="181" t="s">
        <v>148</v>
      </c>
      <c r="FS7" s="181" t="s">
        <v>149</v>
      </c>
      <c r="FT7" s="181" t="s">
        <v>69</v>
      </c>
      <c r="FU7" s="181" t="s">
        <v>71</v>
      </c>
      <c r="FV7" s="2620"/>
      <c r="FW7" s="181" t="s">
        <v>275</v>
      </c>
      <c r="FX7" s="181" t="s">
        <v>230</v>
      </c>
      <c r="FY7" s="181" t="s">
        <v>147</v>
      </c>
      <c r="FZ7" s="181" t="s">
        <v>231</v>
      </c>
      <c r="GA7" s="181" t="s">
        <v>148</v>
      </c>
      <c r="GB7" s="181" t="s">
        <v>232</v>
      </c>
      <c r="GC7" s="181" t="s">
        <v>149</v>
      </c>
      <c r="GD7" s="181" t="s">
        <v>233</v>
      </c>
      <c r="GE7" s="181" t="s">
        <v>69</v>
      </c>
      <c r="GF7" s="181" t="s">
        <v>234</v>
      </c>
      <c r="GG7" s="181" t="s">
        <v>71</v>
      </c>
      <c r="GH7" s="182" t="s">
        <v>235</v>
      </c>
      <c r="GI7" s="2619"/>
      <c r="GJ7" s="2674"/>
      <c r="GL7" s="181" t="s">
        <v>276</v>
      </c>
      <c r="GM7" s="181" t="s">
        <v>81</v>
      </c>
      <c r="GN7" s="181" t="s">
        <v>37</v>
      </c>
      <c r="GO7" s="2632"/>
      <c r="GP7" s="181" t="s">
        <v>277</v>
      </c>
      <c r="GQ7" s="181" t="s">
        <v>277</v>
      </c>
      <c r="GR7" s="2633"/>
      <c r="GS7" s="2667"/>
      <c r="GT7" s="2634"/>
      <c r="GU7" s="2632"/>
      <c r="GV7" s="2632"/>
      <c r="GW7" s="2632"/>
      <c r="GX7" s="2619"/>
      <c r="GY7" s="2667"/>
      <c r="GZ7" s="183" t="s">
        <v>263</v>
      </c>
      <c r="HA7" s="181" t="s">
        <v>264</v>
      </c>
      <c r="HB7" s="181" t="s">
        <v>265</v>
      </c>
      <c r="HC7" s="181" t="s">
        <v>266</v>
      </c>
      <c r="HD7" s="181" t="s">
        <v>267</v>
      </c>
      <c r="HE7" s="181" t="s">
        <v>268</v>
      </c>
      <c r="HF7" s="181" t="s">
        <v>269</v>
      </c>
      <c r="HG7" s="181" t="s">
        <v>270</v>
      </c>
      <c r="HH7" s="181" t="s">
        <v>271</v>
      </c>
      <c r="HI7" s="181" t="s">
        <v>272</v>
      </c>
      <c r="HJ7" s="181" t="s">
        <v>273</v>
      </c>
      <c r="HK7" s="181" t="s">
        <v>274</v>
      </c>
      <c r="HL7" s="181" t="s">
        <v>179</v>
      </c>
      <c r="HM7" s="181" t="s">
        <v>278</v>
      </c>
      <c r="HN7" s="2620"/>
      <c r="HO7" s="1001" t="s">
        <v>275</v>
      </c>
      <c r="HP7" s="1001" t="s">
        <v>230</v>
      </c>
      <c r="HQ7" s="1001" t="s">
        <v>147</v>
      </c>
      <c r="HR7" s="1001" t="s">
        <v>231</v>
      </c>
      <c r="HS7" s="1001" t="s">
        <v>148</v>
      </c>
      <c r="HT7" s="1001" t="s">
        <v>232</v>
      </c>
      <c r="HU7" s="1001" t="s">
        <v>149</v>
      </c>
      <c r="HV7" s="1001" t="s">
        <v>233</v>
      </c>
      <c r="HW7" s="1001" t="s">
        <v>69</v>
      </c>
      <c r="HX7" s="1001" t="s">
        <v>234</v>
      </c>
      <c r="HY7" s="1001" t="s">
        <v>71</v>
      </c>
      <c r="HZ7" s="1001" t="s">
        <v>235</v>
      </c>
      <c r="IA7" s="1001" t="s">
        <v>179</v>
      </c>
      <c r="IB7" s="1001" t="s">
        <v>30</v>
      </c>
      <c r="IC7" s="2712"/>
      <c r="ID7" s="183" t="s">
        <v>275</v>
      </c>
      <c r="IE7" s="181" t="s">
        <v>230</v>
      </c>
      <c r="IF7" s="181" t="s">
        <v>147</v>
      </c>
      <c r="IG7" s="181" t="s">
        <v>231</v>
      </c>
      <c r="IH7" s="181" t="s">
        <v>148</v>
      </c>
      <c r="II7" s="181" t="s">
        <v>232</v>
      </c>
      <c r="IJ7" s="181" t="s">
        <v>149</v>
      </c>
      <c r="IK7" s="181" t="s">
        <v>233</v>
      </c>
      <c r="IL7" s="181" t="s">
        <v>69</v>
      </c>
      <c r="IM7" s="181" t="s">
        <v>234</v>
      </c>
      <c r="IN7" s="181" t="s">
        <v>71</v>
      </c>
      <c r="IO7" s="181" t="s">
        <v>606</v>
      </c>
      <c r="IP7" s="181" t="s">
        <v>179</v>
      </c>
      <c r="IQ7" s="181" t="s">
        <v>30</v>
      </c>
      <c r="IR7" s="2620"/>
      <c r="IS7" s="183" t="s">
        <v>275</v>
      </c>
      <c r="IT7" s="181" t="s">
        <v>230</v>
      </c>
      <c r="IU7" s="181" t="s">
        <v>147</v>
      </c>
      <c r="IV7" s="181" t="s">
        <v>231</v>
      </c>
      <c r="IW7" s="181" t="s">
        <v>148</v>
      </c>
      <c r="IX7" s="181" t="s">
        <v>232</v>
      </c>
      <c r="IY7" s="181" t="s">
        <v>149</v>
      </c>
      <c r="IZ7" s="181" t="s">
        <v>233</v>
      </c>
      <c r="JA7" s="181" t="s">
        <v>69</v>
      </c>
      <c r="JB7" s="181" t="s">
        <v>234</v>
      </c>
      <c r="JC7" s="181" t="s">
        <v>71</v>
      </c>
      <c r="JD7" s="181" t="s">
        <v>235</v>
      </c>
      <c r="JE7" s="181" t="s">
        <v>179</v>
      </c>
      <c r="JF7" s="181" t="s">
        <v>30</v>
      </c>
      <c r="JG7" s="2619"/>
      <c r="JH7" s="2667"/>
      <c r="JJ7" s="2632"/>
      <c r="JK7" s="2672"/>
      <c r="JL7" s="2632"/>
      <c r="JM7" s="2632"/>
      <c r="JN7" s="2633"/>
      <c r="JO7" s="2669"/>
      <c r="JP7" s="183" t="s">
        <v>146</v>
      </c>
      <c r="JQ7" s="181" t="s">
        <v>147</v>
      </c>
      <c r="JR7" s="181" t="s">
        <v>148</v>
      </c>
      <c r="JS7" s="181" t="s">
        <v>149</v>
      </c>
      <c r="JT7" s="181" t="s">
        <v>69</v>
      </c>
      <c r="JU7" s="181" t="s">
        <v>71</v>
      </c>
      <c r="JV7" s="181" t="s">
        <v>179</v>
      </c>
      <c r="JW7" s="181" t="s">
        <v>30</v>
      </c>
      <c r="JX7" s="183" t="s">
        <v>146</v>
      </c>
      <c r="JY7" s="181" t="s">
        <v>147</v>
      </c>
      <c r="JZ7" s="181" t="s">
        <v>148</v>
      </c>
      <c r="KA7" s="181" t="s">
        <v>149</v>
      </c>
      <c r="KB7" s="181" t="s">
        <v>69</v>
      </c>
      <c r="KC7" s="181" t="s">
        <v>71</v>
      </c>
      <c r="KD7" s="181" t="s">
        <v>179</v>
      </c>
      <c r="KE7" s="181" t="s">
        <v>30</v>
      </c>
      <c r="KF7" s="181" t="s">
        <v>146</v>
      </c>
      <c r="KG7" s="181" t="s">
        <v>147</v>
      </c>
      <c r="KH7" s="181" t="s">
        <v>148</v>
      </c>
      <c r="KI7" s="181" t="s">
        <v>149</v>
      </c>
      <c r="KJ7" s="181" t="s">
        <v>69</v>
      </c>
      <c r="KK7" s="181" t="s">
        <v>71</v>
      </c>
      <c r="KL7" s="181" t="s">
        <v>179</v>
      </c>
      <c r="KM7" s="181" t="s">
        <v>30</v>
      </c>
      <c r="KN7" s="2633"/>
      <c r="KO7" s="2669"/>
      <c r="KP7" s="183" t="s">
        <v>61</v>
      </c>
      <c r="KQ7" s="181" t="s">
        <v>62</v>
      </c>
      <c r="KR7" s="181" t="s">
        <v>63</v>
      </c>
      <c r="KS7" s="181" t="s">
        <v>196</v>
      </c>
      <c r="KT7" s="181" t="s">
        <v>197</v>
      </c>
      <c r="KU7" s="183" t="s">
        <v>61</v>
      </c>
      <c r="KV7" s="181" t="s">
        <v>62</v>
      </c>
      <c r="KW7" s="181" t="s">
        <v>63</v>
      </c>
      <c r="KX7" s="181" t="s">
        <v>196</v>
      </c>
      <c r="KY7" s="181" t="s">
        <v>197</v>
      </c>
      <c r="KZ7" s="181" t="s">
        <v>61</v>
      </c>
      <c r="LA7" s="181" t="s">
        <v>62</v>
      </c>
      <c r="LB7" s="181" t="s">
        <v>63</v>
      </c>
      <c r="LC7" s="181" t="s">
        <v>196</v>
      </c>
      <c r="LD7" s="181" t="s">
        <v>197</v>
      </c>
      <c r="LE7" s="2633"/>
      <c r="LF7" s="2669"/>
      <c r="LH7" s="184" t="s">
        <v>167</v>
      </c>
      <c r="LI7" s="184" t="s">
        <v>168</v>
      </c>
      <c r="LJ7" s="184" t="s">
        <v>279</v>
      </c>
      <c r="LK7" s="184" t="s">
        <v>7</v>
      </c>
      <c r="LL7" s="43" t="s">
        <v>198</v>
      </c>
      <c r="LM7" s="43" t="s">
        <v>199</v>
      </c>
      <c r="LN7" s="44" t="s">
        <v>200</v>
      </c>
      <c r="LO7" s="45" t="s">
        <v>201</v>
      </c>
      <c r="LP7" s="2691"/>
      <c r="LQ7" s="2633"/>
      <c r="LR7" s="2688"/>
      <c r="LS7" s="183" t="s">
        <v>167</v>
      </c>
      <c r="LT7" s="184" t="s">
        <v>168</v>
      </c>
      <c r="LU7" s="181" t="s">
        <v>169</v>
      </c>
      <c r="LV7" s="181" t="s">
        <v>202</v>
      </c>
      <c r="LW7" s="181" t="s">
        <v>280</v>
      </c>
      <c r="LX7" s="2620"/>
      <c r="LY7" s="181" t="s">
        <v>167</v>
      </c>
      <c r="LZ7" s="184" t="s">
        <v>168</v>
      </c>
      <c r="MA7" s="181" t="s">
        <v>169</v>
      </c>
      <c r="MB7" s="181" t="s">
        <v>202</v>
      </c>
      <c r="MC7" s="181" t="s">
        <v>280</v>
      </c>
      <c r="MD7" s="181" t="s">
        <v>151</v>
      </c>
      <c r="ME7" s="181" t="s">
        <v>167</v>
      </c>
      <c r="MF7" s="184" t="s">
        <v>168</v>
      </c>
      <c r="MG7" s="181" t="s">
        <v>169</v>
      </c>
      <c r="MH7" s="181" t="s">
        <v>202</v>
      </c>
      <c r="MI7" s="181" t="s">
        <v>203</v>
      </c>
      <c r="MJ7" s="2620"/>
      <c r="MK7" s="181" t="s">
        <v>167</v>
      </c>
      <c r="ML7" s="181" t="s">
        <v>168</v>
      </c>
      <c r="MM7" s="181" t="s">
        <v>169</v>
      </c>
      <c r="MN7" s="181" t="s">
        <v>202</v>
      </c>
      <c r="MO7" s="181" t="s">
        <v>203</v>
      </c>
      <c r="MP7" s="2620"/>
      <c r="MQ7" s="181" t="s">
        <v>167</v>
      </c>
      <c r="MR7" s="184" t="s">
        <v>168</v>
      </c>
      <c r="MS7" s="181" t="s">
        <v>169</v>
      </c>
      <c r="MT7" s="181" t="s">
        <v>202</v>
      </c>
      <c r="MU7" s="181" t="s">
        <v>280</v>
      </c>
      <c r="MV7" s="2619"/>
      <c r="MW7" s="2688"/>
      <c r="MY7" s="2632"/>
      <c r="MZ7" s="2632"/>
      <c r="NA7" s="2632"/>
      <c r="NB7" s="2633"/>
      <c r="NC7" s="2621"/>
      <c r="ND7" s="183" t="s">
        <v>167</v>
      </c>
      <c r="NE7" s="183" t="s">
        <v>168</v>
      </c>
      <c r="NF7" s="181" t="s">
        <v>169</v>
      </c>
      <c r="NG7" s="2632"/>
      <c r="NH7" s="183" t="s">
        <v>263</v>
      </c>
      <c r="NI7" s="181" t="s">
        <v>230</v>
      </c>
      <c r="NJ7" s="181" t="s">
        <v>265</v>
      </c>
      <c r="NK7" s="181" t="s">
        <v>231</v>
      </c>
      <c r="NL7" s="181" t="s">
        <v>267</v>
      </c>
      <c r="NM7" s="181" t="s">
        <v>232</v>
      </c>
      <c r="NN7" s="181" t="s">
        <v>269</v>
      </c>
      <c r="NO7" s="181" t="s">
        <v>233</v>
      </c>
      <c r="NP7" s="181" t="s">
        <v>69</v>
      </c>
      <c r="NQ7" s="999" t="s">
        <v>281</v>
      </c>
      <c r="NR7" s="181" t="s">
        <v>146</v>
      </c>
      <c r="NS7" s="181" t="s">
        <v>71</v>
      </c>
      <c r="NT7" s="2620"/>
      <c r="NU7" s="183" t="s">
        <v>275</v>
      </c>
      <c r="NV7" s="181" t="s">
        <v>230</v>
      </c>
      <c r="NW7" s="181" t="s">
        <v>147</v>
      </c>
      <c r="NX7" s="181" t="s">
        <v>231</v>
      </c>
      <c r="NY7" s="181" t="s">
        <v>148</v>
      </c>
      <c r="NZ7" s="181" t="s">
        <v>232</v>
      </c>
      <c r="OA7" s="181" t="s">
        <v>149</v>
      </c>
      <c r="OB7" s="181" t="s">
        <v>233</v>
      </c>
      <c r="OC7" s="181" t="s">
        <v>71</v>
      </c>
      <c r="OD7" s="181" t="s">
        <v>234</v>
      </c>
      <c r="OE7" s="181" t="s">
        <v>606</v>
      </c>
      <c r="OF7" s="181" t="s">
        <v>235</v>
      </c>
      <c r="OG7" s="2620"/>
      <c r="OH7" s="183" t="s">
        <v>275</v>
      </c>
      <c r="OI7" s="181" t="s">
        <v>230</v>
      </c>
      <c r="OJ7" s="181" t="s">
        <v>147</v>
      </c>
      <c r="OK7" s="181" t="s">
        <v>231</v>
      </c>
      <c r="OL7" s="181" t="s">
        <v>148</v>
      </c>
      <c r="OM7" s="181" t="s">
        <v>232</v>
      </c>
      <c r="ON7" s="181" t="s">
        <v>149</v>
      </c>
      <c r="OO7" s="181" t="s">
        <v>233</v>
      </c>
      <c r="OP7" s="181" t="s">
        <v>69</v>
      </c>
      <c r="OQ7" s="181" t="s">
        <v>234</v>
      </c>
      <c r="OR7" s="181" t="s">
        <v>71</v>
      </c>
      <c r="OS7" s="181" t="s">
        <v>235</v>
      </c>
      <c r="OT7" s="2620"/>
      <c r="OU7" s="181" t="s">
        <v>146</v>
      </c>
      <c r="OV7" s="181" t="s">
        <v>147</v>
      </c>
      <c r="OW7" s="181" t="s">
        <v>148</v>
      </c>
      <c r="OX7" s="181" t="s">
        <v>149</v>
      </c>
      <c r="OY7" s="181" t="s">
        <v>69</v>
      </c>
      <c r="OZ7" s="181" t="s">
        <v>71</v>
      </c>
      <c r="PA7" s="2620"/>
      <c r="PB7" s="181" t="s">
        <v>146</v>
      </c>
      <c r="PC7" s="181" t="s">
        <v>147</v>
      </c>
      <c r="PD7" s="181" t="s">
        <v>148</v>
      </c>
      <c r="PE7" s="181" t="s">
        <v>149</v>
      </c>
      <c r="PF7" s="181" t="s">
        <v>69</v>
      </c>
      <c r="PG7" s="181" t="s">
        <v>71</v>
      </c>
      <c r="PH7" s="2619"/>
      <c r="PI7" s="2621"/>
      <c r="PK7" s="2620"/>
      <c r="PL7" s="2620"/>
      <c r="PM7" s="2704"/>
      <c r="PN7" s="2705"/>
      <c r="PO7" s="2619"/>
      <c r="PP7" s="2619"/>
      <c r="PQ7" s="2619"/>
      <c r="PR7" s="2615"/>
      <c r="PT7" s="999" t="s">
        <v>243</v>
      </c>
      <c r="PU7" s="999" t="s">
        <v>72</v>
      </c>
      <c r="PV7" s="999" t="s">
        <v>35</v>
      </c>
      <c r="PW7" s="999" t="s">
        <v>81</v>
      </c>
      <c r="PX7" s="999" t="s">
        <v>282</v>
      </c>
      <c r="PY7" s="999" t="s">
        <v>283</v>
      </c>
      <c r="PZ7" s="999" t="s">
        <v>284</v>
      </c>
      <c r="QA7" s="2620"/>
      <c r="QB7" s="2620"/>
      <c r="QC7" s="2620"/>
      <c r="QD7" s="2691"/>
      <c r="QE7" s="2691"/>
      <c r="QF7" s="2620"/>
      <c r="QG7" s="2620"/>
      <c r="QH7" s="999" t="s">
        <v>35</v>
      </c>
      <c r="QI7" s="999" t="s">
        <v>81</v>
      </c>
      <c r="QJ7" s="999" t="s">
        <v>37</v>
      </c>
      <c r="QK7" s="1000"/>
      <c r="QL7" s="2619"/>
      <c r="QM7" s="2615"/>
      <c r="QO7" s="181" t="s">
        <v>204</v>
      </c>
      <c r="QP7" s="181" t="s">
        <v>205</v>
      </c>
      <c r="QR7" s="181" t="s">
        <v>204</v>
      </c>
      <c r="QS7" s="181" t="s">
        <v>205</v>
      </c>
      <c r="QU7" s="89" t="s">
        <v>146</v>
      </c>
      <c r="QV7" s="89" t="s">
        <v>147</v>
      </c>
      <c r="QW7" s="89" t="s">
        <v>148</v>
      </c>
      <c r="QX7" s="89" t="s">
        <v>149</v>
      </c>
      <c r="QY7" s="89" t="s">
        <v>69</v>
      </c>
      <c r="QZ7" s="89" t="s">
        <v>71</v>
      </c>
      <c r="RA7" s="89"/>
      <c r="RB7" s="89" t="s">
        <v>146</v>
      </c>
      <c r="RC7" s="89" t="s">
        <v>147</v>
      </c>
      <c r="RD7" s="89" t="s">
        <v>148</v>
      </c>
      <c r="RE7" s="89" t="s">
        <v>149</v>
      </c>
      <c r="RF7" s="89" t="s">
        <v>69</v>
      </c>
      <c r="RG7" s="89" t="s">
        <v>71</v>
      </c>
      <c r="RK7" s="1004" t="s">
        <v>167</v>
      </c>
      <c r="RL7" s="1004" t="s">
        <v>168</v>
      </c>
      <c r="RM7" s="1003" t="s">
        <v>169</v>
      </c>
      <c r="RN7" s="2719"/>
      <c r="RZ7" s="1134"/>
    </row>
    <row r="8" spans="1:503" s="89" customFormat="1" ht="15" customHeight="1">
      <c r="C8" s="1395"/>
      <c r="D8" s="1395"/>
      <c r="E8" s="1395"/>
      <c r="F8" s="1395"/>
      <c r="G8" s="1395"/>
      <c r="H8" s="1395"/>
      <c r="I8" s="1395"/>
      <c r="J8" s="1395"/>
      <c r="K8" s="1395"/>
      <c r="L8" s="1395"/>
      <c r="M8" s="1395"/>
      <c r="N8" s="2629"/>
      <c r="O8" s="1395"/>
      <c r="P8" s="1395"/>
      <c r="Q8" s="1395"/>
      <c r="R8" s="1395"/>
      <c r="S8" s="1147"/>
      <c r="T8" s="1395"/>
      <c r="U8" s="1406"/>
      <c r="V8" s="1146"/>
      <c r="W8" s="1395"/>
      <c r="X8" s="1395"/>
      <c r="Y8" s="1395"/>
      <c r="Z8" s="1395"/>
      <c r="AA8" s="2720"/>
      <c r="AB8" s="2721"/>
      <c r="AC8" s="2721"/>
      <c r="AD8" s="2722"/>
      <c r="AE8" s="1395"/>
      <c r="AF8" s="1395"/>
      <c r="AG8" s="1395"/>
      <c r="AH8" s="1395"/>
      <c r="AI8" s="1395"/>
      <c r="AJ8" s="1395"/>
      <c r="AK8" s="1395"/>
      <c r="AL8" s="1395"/>
      <c r="AM8" s="2629"/>
      <c r="AN8" s="1395"/>
      <c r="AO8" s="1395"/>
      <c r="AP8" s="1395"/>
      <c r="AQ8" s="1395"/>
      <c r="AR8" s="1395"/>
      <c r="AS8" s="1395"/>
      <c r="AT8" s="1395"/>
      <c r="AU8" s="1395"/>
      <c r="AV8" s="1395"/>
      <c r="AW8" s="1147"/>
      <c r="AX8" s="1395"/>
      <c r="AY8" s="1395"/>
      <c r="AZ8" s="1395"/>
      <c r="BA8" s="1395"/>
      <c r="BB8" s="1395"/>
      <c r="BC8" s="1395"/>
      <c r="BD8" s="1395"/>
      <c r="BE8" s="1395"/>
      <c r="BF8" s="1395"/>
      <c r="BG8" s="1395"/>
      <c r="BH8" s="1395"/>
      <c r="BI8" s="1395"/>
      <c r="BJ8" s="1395"/>
      <c r="BK8" s="1395"/>
      <c r="BL8" s="1395"/>
      <c r="BM8" s="1395"/>
      <c r="BN8" s="1395"/>
      <c r="BO8" s="1395"/>
      <c r="BP8" s="1395"/>
      <c r="BQ8" s="1395"/>
      <c r="BR8" s="1395"/>
      <c r="BS8" s="1395"/>
      <c r="BT8" s="1395"/>
      <c r="BU8" s="1395"/>
      <c r="BV8" s="1395"/>
      <c r="BW8" s="1395"/>
      <c r="BX8" s="1395"/>
      <c r="CH8" s="147"/>
      <c r="CI8" s="1395"/>
      <c r="CJ8" s="1395"/>
      <c r="CK8" s="1395"/>
      <c r="CL8" s="1395"/>
      <c r="CM8" s="1395"/>
      <c r="CO8" s="1395"/>
      <c r="CP8" s="323"/>
      <c r="CR8" s="1395"/>
      <c r="CS8" s="1395"/>
      <c r="CT8" s="1395"/>
      <c r="CU8" s="1395"/>
      <c r="CV8" s="1395"/>
      <c r="CW8" s="1395"/>
      <c r="CX8" s="1395"/>
      <c r="CY8" s="1395"/>
      <c r="CZ8" s="1395"/>
      <c r="DA8" s="1395"/>
      <c r="DB8" s="1395"/>
      <c r="DC8" s="1395"/>
      <c r="DD8" s="1395"/>
      <c r="DE8" s="2685"/>
      <c r="DF8" s="1395"/>
      <c r="DG8" s="1395"/>
      <c r="DH8" s="1395"/>
      <c r="DI8" s="1395"/>
      <c r="DJ8" s="1395"/>
      <c r="DK8" s="1395"/>
      <c r="DL8" s="1395"/>
      <c r="DM8" s="1395"/>
      <c r="DN8" s="1395"/>
      <c r="DO8" s="1395"/>
      <c r="DP8" s="1395"/>
      <c r="DQ8" s="1395"/>
      <c r="DR8" s="1395"/>
      <c r="DS8" s="1396"/>
      <c r="DT8" s="1395"/>
      <c r="DU8" s="1395"/>
      <c r="DV8" s="1395"/>
      <c r="DW8" s="1395"/>
      <c r="DX8" s="1395"/>
      <c r="DY8" s="1395"/>
      <c r="DZ8" s="1395"/>
      <c r="EA8" s="1395"/>
      <c r="EB8" s="1395"/>
      <c r="EC8" s="1395"/>
      <c r="ED8" s="1395"/>
      <c r="EE8" s="1395"/>
      <c r="EF8" s="1396"/>
      <c r="EG8" s="1395"/>
      <c r="EH8" s="1395"/>
      <c r="EI8" s="1395"/>
      <c r="EJ8" s="1395"/>
      <c r="EK8" s="1395"/>
      <c r="EL8" s="1395"/>
      <c r="EM8" s="1395"/>
      <c r="EN8" s="1395"/>
      <c r="EO8" s="1395"/>
      <c r="EP8" s="1395"/>
      <c r="EQ8" s="1395"/>
      <c r="ER8" s="1395"/>
      <c r="ES8" s="1396"/>
      <c r="ET8" s="1395"/>
      <c r="EU8" s="1395"/>
      <c r="EV8" s="1395"/>
      <c r="EW8" s="1395"/>
      <c r="EX8" s="1395"/>
      <c r="EY8" s="1395"/>
      <c r="EZ8" s="1396"/>
      <c r="FA8" s="2685"/>
      <c r="FC8" s="1396"/>
      <c r="FD8" s="1396"/>
      <c r="FE8" s="1396"/>
      <c r="FF8" s="1395"/>
      <c r="FG8" s="1395"/>
      <c r="FH8" s="2674"/>
      <c r="FI8" s="1395"/>
      <c r="FJ8" s="1395"/>
      <c r="FK8" s="1395"/>
      <c r="FL8" s="1395"/>
      <c r="FM8" s="1395"/>
      <c r="FN8" s="1395"/>
      <c r="FO8" s="1396"/>
      <c r="FP8" s="1395"/>
      <c r="FQ8" s="1395"/>
      <c r="FR8" s="1395"/>
      <c r="FS8" s="1395"/>
      <c r="FT8" s="1395"/>
      <c r="FU8" s="1395"/>
      <c r="FV8" s="1396"/>
      <c r="FW8" s="1395"/>
      <c r="FX8" s="1395"/>
      <c r="FY8" s="1395"/>
      <c r="FZ8" s="1395"/>
      <c r="GA8" s="1395"/>
      <c r="GB8" s="1395"/>
      <c r="GC8" s="1395"/>
      <c r="GD8" s="1395"/>
      <c r="GE8" s="1395"/>
      <c r="GF8" s="1395"/>
      <c r="GG8" s="1395"/>
      <c r="GH8" s="1395"/>
      <c r="GI8" s="1396"/>
      <c r="GJ8" s="2674"/>
      <c r="GL8" s="1395"/>
      <c r="GM8" s="1395"/>
      <c r="GN8" s="1395"/>
      <c r="GO8" s="1395"/>
      <c r="GP8" s="1395"/>
      <c r="GQ8" s="1395"/>
      <c r="GR8" s="1395"/>
      <c r="GS8" s="2667"/>
      <c r="GT8" s="1395"/>
      <c r="GU8" s="1395"/>
      <c r="GV8" s="1395"/>
      <c r="GW8" s="1395"/>
      <c r="GX8" s="1396"/>
      <c r="GY8" s="2667"/>
      <c r="GZ8" s="1395"/>
      <c r="HA8" s="1395"/>
      <c r="HB8" s="1395"/>
      <c r="HC8" s="1395"/>
      <c r="HD8" s="1395"/>
      <c r="HE8" s="1395"/>
      <c r="HF8" s="1395"/>
      <c r="HG8" s="1395"/>
      <c r="HH8" s="1395"/>
      <c r="HI8" s="1395"/>
      <c r="HJ8" s="1395"/>
      <c r="HK8" s="1395"/>
      <c r="HL8" s="1395"/>
      <c r="HM8" s="1395"/>
      <c r="HN8" s="1396"/>
      <c r="HO8" s="1145"/>
      <c r="HP8" s="1407"/>
      <c r="HQ8" s="1407"/>
      <c r="HR8" s="1407"/>
      <c r="HS8" s="1407"/>
      <c r="HT8" s="1407"/>
      <c r="HU8" s="1407"/>
      <c r="HV8" s="1407"/>
      <c r="HW8" s="1407"/>
      <c r="HX8" s="1407"/>
      <c r="HY8" s="1407"/>
      <c r="HZ8" s="1407"/>
      <c r="IA8" s="1407"/>
      <c r="IB8" s="1407"/>
      <c r="IC8" s="1144"/>
      <c r="ID8" s="1395"/>
      <c r="IE8" s="1395"/>
      <c r="IF8" s="1395"/>
      <c r="IG8" s="1395"/>
      <c r="IH8" s="1395"/>
      <c r="II8" s="1395"/>
      <c r="IJ8" s="1395"/>
      <c r="IK8" s="1395"/>
      <c r="IL8" s="1395"/>
      <c r="IM8" s="1395"/>
      <c r="IN8" s="1395"/>
      <c r="IO8" s="1395"/>
      <c r="IP8" s="1395"/>
      <c r="IQ8" s="1395"/>
      <c r="IR8" s="1396"/>
      <c r="IS8" s="1395"/>
      <c r="IT8" s="1395"/>
      <c r="IU8" s="1395"/>
      <c r="IV8" s="1395"/>
      <c r="IW8" s="1395"/>
      <c r="IX8" s="1395"/>
      <c r="IY8" s="1395"/>
      <c r="IZ8" s="1395"/>
      <c r="JA8" s="1395"/>
      <c r="JB8" s="1395"/>
      <c r="JC8" s="1395"/>
      <c r="JD8" s="1395"/>
      <c r="JE8" s="1395"/>
      <c r="JF8" s="1395"/>
      <c r="JG8" s="1396"/>
      <c r="JH8" s="2667"/>
      <c r="JJ8" s="1395"/>
      <c r="JK8" s="1395"/>
      <c r="JL8" s="1395"/>
      <c r="JM8" s="1395"/>
      <c r="JN8" s="1395"/>
      <c r="JO8" s="2669"/>
      <c r="JP8" s="1395"/>
      <c r="JQ8" s="1395"/>
      <c r="JR8" s="1395"/>
      <c r="JS8" s="1395"/>
      <c r="JT8" s="1395"/>
      <c r="JU8" s="1395"/>
      <c r="JV8" s="1395"/>
      <c r="JW8" s="1395"/>
      <c r="JX8" s="1395"/>
      <c r="JY8" s="1395"/>
      <c r="JZ8" s="1395"/>
      <c r="KA8" s="1395"/>
      <c r="KB8" s="1395"/>
      <c r="KC8" s="1395"/>
      <c r="KD8" s="1395"/>
      <c r="KE8" s="1395"/>
      <c r="KG8" s="1395"/>
      <c r="KH8" s="1395"/>
      <c r="KI8" s="1395"/>
      <c r="KJ8" s="1395"/>
      <c r="KK8" s="1395"/>
      <c r="KL8" s="1395"/>
      <c r="KM8" s="1395"/>
      <c r="KN8" s="1395"/>
      <c r="KO8" s="2669"/>
      <c r="KP8" s="1395"/>
      <c r="KQ8" s="1395"/>
      <c r="KR8" s="1395"/>
      <c r="KS8" s="1395"/>
      <c r="KT8" s="1395"/>
      <c r="KU8" s="1395"/>
      <c r="KV8" s="1395"/>
      <c r="KW8" s="1395"/>
      <c r="KX8" s="1395"/>
      <c r="KY8" s="1395"/>
      <c r="KZ8" s="1395"/>
      <c r="LA8" s="1395"/>
      <c r="LB8" s="1395"/>
      <c r="LC8" s="1395"/>
      <c r="LD8" s="1395"/>
      <c r="LE8" s="1395"/>
      <c r="LF8" s="2669"/>
      <c r="LH8" s="1395"/>
      <c r="LI8" s="1395"/>
      <c r="LJ8" s="1395"/>
      <c r="LK8" s="1395"/>
      <c r="LL8" s="17"/>
      <c r="LM8" s="18"/>
      <c r="LN8" s="1397"/>
      <c r="LO8" s="17"/>
      <c r="LP8" s="17"/>
      <c r="LQ8" s="1395"/>
      <c r="LR8" s="2688"/>
      <c r="LS8" s="1395"/>
      <c r="LT8" s="1395"/>
      <c r="LU8" s="1395"/>
      <c r="LV8" s="1395"/>
      <c r="LW8" s="1395"/>
      <c r="LX8" s="1396"/>
      <c r="LY8" s="1395"/>
      <c r="LZ8" s="1395"/>
      <c r="MA8" s="1395"/>
      <c r="MB8" s="1395"/>
      <c r="MC8" s="1395"/>
      <c r="MD8" s="1395"/>
      <c r="ME8" s="1395"/>
      <c r="MF8" s="1395"/>
      <c r="MG8" s="1395"/>
      <c r="MH8" s="1395"/>
      <c r="MI8" s="1395"/>
      <c r="MJ8" s="1396"/>
      <c r="MK8" s="1395"/>
      <c r="ML8" s="1395"/>
      <c r="MM8" s="1395"/>
      <c r="MN8" s="1395"/>
      <c r="MO8" s="1395"/>
      <c r="MP8" s="1396"/>
      <c r="MQ8" s="1395"/>
      <c r="MR8" s="1395"/>
      <c r="MS8" s="1395"/>
      <c r="MT8" s="1395"/>
      <c r="MU8" s="1395"/>
      <c r="MV8" s="1396"/>
      <c r="MW8" s="2688"/>
      <c r="NC8" s="2621"/>
      <c r="ND8" s="303"/>
      <c r="NE8" s="303"/>
      <c r="NF8" s="303"/>
      <c r="NT8" s="298">
        <f t="shared" ref="NT8:NT40" si="0">SUM(NH8:NS8)</f>
        <v>0</v>
      </c>
      <c r="NU8" s="105"/>
      <c r="NV8" s="105"/>
      <c r="NW8" s="105"/>
      <c r="NX8" s="105"/>
      <c r="NY8" s="105"/>
      <c r="NZ8" s="105"/>
      <c r="OA8" s="105"/>
      <c r="OB8" s="105"/>
      <c r="OC8" s="105"/>
      <c r="OD8" s="105"/>
      <c r="OE8" s="105"/>
      <c r="OF8" s="105"/>
      <c r="OG8" s="298">
        <f t="shared" ref="OG8:OG40" si="1">SUM(NU8:OF8)</f>
        <v>0</v>
      </c>
      <c r="OL8" s="304"/>
      <c r="OM8" s="304"/>
      <c r="OP8" s="304"/>
      <c r="OQ8" s="304"/>
      <c r="OT8" s="298">
        <f t="shared" ref="OT8:OT40" si="2">SUM(OH8:OS8)</f>
        <v>0</v>
      </c>
      <c r="PA8" s="19"/>
      <c r="PH8" s="298">
        <f t="shared" ref="PH8:PH40" si="3">SUM(PB8:PG8)</f>
        <v>0</v>
      </c>
      <c r="PI8" s="2621"/>
      <c r="PR8" s="2615"/>
      <c r="QM8" s="2615"/>
      <c r="RP8" s="2713" t="s">
        <v>285</v>
      </c>
      <c r="RQ8" s="2713"/>
      <c r="RR8" s="2713"/>
      <c r="RS8" s="2713"/>
      <c r="RT8" s="2713"/>
      <c r="RU8" s="2713"/>
      <c r="RX8" s="2713" t="s">
        <v>286</v>
      </c>
      <c r="RY8" s="2713"/>
      <c r="RZ8" s="2713"/>
      <c r="SA8" s="2713"/>
      <c r="SB8" s="2714" t="s">
        <v>287</v>
      </c>
      <c r="SC8" s="2714"/>
      <c r="SD8" s="2714"/>
      <c r="SE8" s="2714"/>
      <c r="SG8" s="1143" t="s">
        <v>288</v>
      </c>
      <c r="SH8" s="1143"/>
      <c r="SI8" s="1143"/>
    </row>
    <row r="9" spans="1:503" s="89" customFormat="1" ht="15" customHeight="1">
      <c r="B9" s="89">
        <f>COUNTIF(MY10:QF40,"&lt;"&amp;0)</f>
        <v>12</v>
      </c>
      <c r="C9" s="2517"/>
      <c r="D9" s="2517"/>
      <c r="E9" s="2517"/>
      <c r="F9" s="2517"/>
      <c r="G9" s="2517"/>
      <c r="H9" s="2517"/>
      <c r="I9" s="2517"/>
      <c r="N9" s="2629"/>
      <c r="S9" s="300"/>
      <c r="U9" s="105"/>
      <c r="V9" s="301"/>
      <c r="AA9" s="2723"/>
      <c r="AB9" s="2724"/>
      <c r="AC9" s="2724"/>
      <c r="AD9" s="2725"/>
      <c r="AM9" s="2629"/>
      <c r="AW9" s="2516"/>
      <c r="AX9" s="2517"/>
      <c r="AY9" s="2517"/>
      <c r="AZ9" s="2517"/>
      <c r="BA9" s="2517"/>
      <c r="BB9" s="2517"/>
      <c r="BC9" s="2517"/>
      <c r="BD9" s="2517"/>
      <c r="BE9" s="2517"/>
      <c r="BF9" s="2517"/>
      <c r="BG9" s="2517"/>
      <c r="BH9" s="2517"/>
      <c r="BI9" s="2517"/>
      <c r="BJ9" s="2517"/>
      <c r="BK9" s="2517"/>
      <c r="BL9" s="2517"/>
      <c r="BM9" s="2517"/>
      <c r="BN9" s="2517"/>
      <c r="BO9" s="2517"/>
      <c r="BP9" s="2517"/>
      <c r="BQ9" s="2517"/>
      <c r="BR9" s="2517"/>
      <c r="BS9" s="2517"/>
      <c r="BT9" s="2517"/>
      <c r="BU9" s="2517"/>
      <c r="BV9" s="2517"/>
      <c r="CH9" s="147"/>
      <c r="CP9" s="323"/>
      <c r="DE9" s="2685"/>
      <c r="DF9" s="105"/>
      <c r="DG9" s="105"/>
      <c r="DH9" s="105"/>
      <c r="DI9" s="105"/>
      <c r="DJ9" s="105"/>
      <c r="DK9" s="105"/>
      <c r="DL9" s="105"/>
      <c r="DM9" s="105"/>
      <c r="DN9" s="105"/>
      <c r="DO9" s="105"/>
      <c r="DP9" s="105"/>
      <c r="DQ9" s="105"/>
      <c r="DR9" s="105"/>
      <c r="DS9" s="1142"/>
      <c r="EF9" s="19"/>
      <c r="ES9" s="19"/>
      <c r="EZ9" s="19"/>
      <c r="FA9" s="2685"/>
      <c r="FC9" s="19"/>
      <c r="FD9" s="19"/>
      <c r="FE9" s="19"/>
      <c r="FH9" s="2674"/>
      <c r="FO9" s="19"/>
      <c r="FV9" s="19"/>
      <c r="GI9" s="19"/>
      <c r="GJ9" s="2674"/>
      <c r="GS9" s="2667"/>
      <c r="GV9" s="2517"/>
      <c r="GX9" s="19"/>
      <c r="GY9" s="2667"/>
      <c r="HN9" s="19"/>
      <c r="HO9" s="1141"/>
      <c r="HP9" s="1140"/>
      <c r="HQ9" s="1140"/>
      <c r="HR9" s="1140"/>
      <c r="HS9" s="1140"/>
      <c r="HT9" s="1140"/>
      <c r="HU9" s="1140"/>
      <c r="HV9" s="1140"/>
      <c r="HW9" s="1140"/>
      <c r="HX9" s="1140"/>
      <c r="HY9" s="1140"/>
      <c r="HZ9" s="1140"/>
      <c r="IA9" s="1140"/>
      <c r="IB9" s="1140"/>
      <c r="IC9" s="1139"/>
      <c r="IR9" s="19"/>
      <c r="JG9" s="19"/>
      <c r="JH9" s="2667"/>
      <c r="JO9" s="2669"/>
      <c r="KO9" s="2669"/>
      <c r="LF9" s="2669"/>
      <c r="LL9" s="17"/>
      <c r="LM9" s="18"/>
      <c r="LN9" s="180"/>
      <c r="LO9" s="17"/>
      <c r="LP9" s="2523"/>
      <c r="LQ9" s="2525"/>
      <c r="LR9" s="2688"/>
      <c r="LX9" s="19"/>
      <c r="MJ9" s="19"/>
      <c r="MP9" s="19"/>
      <c r="MV9" s="19"/>
      <c r="MW9" s="2688"/>
      <c r="NC9" s="2621"/>
      <c r="ND9" s="1138">
        <f>'July TCM'!NC42</f>
        <v>85284.4462006783</v>
      </c>
      <c r="NE9" s="1138">
        <f>'July TCM'!ND42</f>
        <v>105446.20071875685</v>
      </c>
      <c r="NF9" s="1138">
        <f>'July TCM'!NE42</f>
        <v>0</v>
      </c>
      <c r="NG9" s="349">
        <f t="shared" ref="NG9:NG40" si="4">SUM(ND9:NF9)</f>
        <v>190730.64691943515</v>
      </c>
      <c r="NH9" s="349"/>
      <c r="NI9" s="349"/>
      <c r="NJ9" s="349"/>
      <c r="NK9" s="349"/>
      <c r="NL9" s="349">
        <v>0</v>
      </c>
      <c r="NM9" s="349"/>
      <c r="NN9" s="349">
        <v>0</v>
      </c>
      <c r="NO9" s="349"/>
      <c r="NP9" s="349">
        <f>'July TCM'!NO42</f>
        <v>28923.210605424243</v>
      </c>
      <c r="NQ9" s="349">
        <f>'July TCM'!NP42</f>
        <v>24023.830351777149</v>
      </c>
      <c r="NR9" s="349">
        <f>'July TCM'!NQ42</f>
        <v>8756.5482322711578</v>
      </c>
      <c r="NS9" s="349">
        <f>'July TCM'!NR42</f>
        <v>8212.6935664101129</v>
      </c>
      <c r="NT9" s="362">
        <f t="shared" si="0"/>
        <v>69916.282755882668</v>
      </c>
      <c r="NU9" s="349"/>
      <c r="NV9" s="349"/>
      <c r="NW9" s="349"/>
      <c r="NX9" s="349"/>
      <c r="NY9" s="349"/>
      <c r="NZ9" s="349"/>
      <c r="OA9" s="349">
        <f>'July TCM'!NZ42</f>
        <v>13570.384489662853</v>
      </c>
      <c r="OB9" s="349">
        <f>'July TCM'!OA42</f>
        <v>0</v>
      </c>
      <c r="OC9" s="349">
        <f>'July TCM'!OB42</f>
        <v>80218.059485704172</v>
      </c>
      <c r="OD9" s="349">
        <f>'June TCM'!OC42</f>
        <v>0</v>
      </c>
      <c r="OE9" s="349">
        <f>'June TCM'!OD42</f>
        <v>0</v>
      </c>
      <c r="OF9" s="349">
        <f>'May TCM'!OE42</f>
        <v>0</v>
      </c>
      <c r="OG9" s="349">
        <f t="shared" si="1"/>
        <v>93788.44397536703</v>
      </c>
      <c r="OH9" s="349">
        <v>0</v>
      </c>
      <c r="OI9" s="349"/>
      <c r="OJ9" s="349">
        <v>0</v>
      </c>
      <c r="OK9" s="349"/>
      <c r="OL9" s="349">
        <v>0</v>
      </c>
      <c r="OM9" s="349"/>
      <c r="ON9" s="349">
        <v>0</v>
      </c>
      <c r="OO9" s="349"/>
      <c r="OP9" s="349">
        <f>'July TCM'!OO42</f>
        <v>61908.222313713755</v>
      </c>
      <c r="OQ9" s="349">
        <f>'June TCM'!OP42</f>
        <v>0</v>
      </c>
      <c r="OR9" s="349">
        <f>'June TCM'!OQ42</f>
        <v>13046.877258794844</v>
      </c>
      <c r="OS9" s="349"/>
      <c r="OT9" s="349">
        <f t="shared" si="2"/>
        <v>74955.099572508596</v>
      </c>
      <c r="PB9" s="42"/>
      <c r="PC9" s="42"/>
      <c r="PD9" s="42"/>
      <c r="PE9" s="42"/>
      <c r="PF9" s="42"/>
      <c r="PG9" s="42"/>
      <c r="PH9" s="298">
        <f t="shared" si="3"/>
        <v>0</v>
      </c>
      <c r="PI9" s="2621"/>
      <c r="PO9" s="2028">
        <f>'July TCM'!PN42</f>
        <v>27395.509204532864</v>
      </c>
      <c r="PP9" s="2028">
        <f>'July TCM'!PO42</f>
        <v>24116.275697817415</v>
      </c>
      <c r="PR9" s="2615"/>
      <c r="QH9" s="1137">
        <f>'July TCM'!QG42</f>
        <v>29562.488999999998</v>
      </c>
      <c r="QI9" s="1137">
        <f>'July TCM'!QH42</f>
        <v>306969.56007140432</v>
      </c>
      <c r="QJ9" s="1137">
        <f>'July TCM'!QI42</f>
        <v>3720.2888844000004</v>
      </c>
      <c r="QK9" s="1136">
        <v>5505.3678056099998</v>
      </c>
      <c r="QM9" s="2615"/>
      <c r="QO9" s="105"/>
      <c r="QP9" s="105"/>
      <c r="RK9" s="42">
        <v>45424.161751083164</v>
      </c>
      <c r="RL9" s="42">
        <v>3925.5835498622801</v>
      </c>
      <c r="RM9" s="42">
        <v>9178.5689913333827</v>
      </c>
      <c r="RN9" s="42">
        <f t="shared" ref="RN9:RN40" si="5">SUM(RK9:RM9)</f>
        <v>58528.314292278832</v>
      </c>
      <c r="RP9" s="866" t="s">
        <v>81</v>
      </c>
      <c r="RQ9" s="866" t="s">
        <v>289</v>
      </c>
      <c r="RR9" s="1135" t="s">
        <v>290</v>
      </c>
      <c r="RS9" s="1135" t="s">
        <v>37</v>
      </c>
      <c r="RT9" s="42" t="s">
        <v>291</v>
      </c>
      <c r="RU9" s="42" t="s">
        <v>292</v>
      </c>
      <c r="RZ9" s="1134" t="s">
        <v>293</v>
      </c>
      <c r="SB9" s="1133"/>
      <c r="SC9" s="1133" t="s">
        <v>294</v>
      </c>
      <c r="SD9" s="1133"/>
      <c r="SE9" s="1133" t="s">
        <v>178</v>
      </c>
      <c r="SI9" s="89" t="s">
        <v>293</v>
      </c>
    </row>
    <row r="10" spans="1:503" s="1" customFormat="1" ht="15" customHeight="1">
      <c r="B10" s="471">
        <v>1</v>
      </c>
      <c r="C10" s="2000">
        <f>+O10+S10+W10+AE10+AI10+AA10</f>
        <v>152225</v>
      </c>
      <c r="D10" s="2518">
        <f>P10+T10+X10+AB10</f>
        <v>4260.4800000000005</v>
      </c>
      <c r="E10" s="2519">
        <f t="shared" ref="E10:E42" si="6">IFERROR(C10/D10,0)</f>
        <v>35.729542211206244</v>
      </c>
      <c r="F10" s="870"/>
      <c r="G10" s="870"/>
      <c r="H10" s="295"/>
      <c r="I10" s="299"/>
      <c r="J10" s="48"/>
      <c r="K10" s="50"/>
      <c r="L10" s="48"/>
      <c r="M10" s="60"/>
      <c r="N10" s="2629"/>
      <c r="O10" s="4">
        <f>+SUM(AQ10,BC10,AW10)</f>
        <v>83034</v>
      </c>
      <c r="P10" s="1225">
        <f t="shared" ref="P10:P40" si="7">+SUM(AR10,AU10,AX10,BD10)</f>
        <v>2421.0400000000004</v>
      </c>
      <c r="Q10" s="1950">
        <f t="shared" ref="Q10:Q43" si="8">IFERROR(O10/P10,0)</f>
        <v>34.296831113901455</v>
      </c>
      <c r="R10" s="32"/>
      <c r="S10" s="26">
        <f t="shared" ref="S10:S42" si="9">SUM(BF10,BI10,BL10,BY10)</f>
        <v>38624</v>
      </c>
      <c r="T10" s="27">
        <f>+SUM(BZ10,BJ10,BM10,BG10,BN10)</f>
        <v>1194.06</v>
      </c>
      <c r="U10" s="1919">
        <f t="shared" ref="U10:U44" si="10">IFERROR(S10/T10,0)</f>
        <v>32.346783243723095</v>
      </c>
      <c r="V10" s="25"/>
      <c r="W10" s="1742">
        <f t="shared" ref="W10:X40" si="11">BV10+CE10+BS10</f>
        <v>25141</v>
      </c>
      <c r="X10" s="5">
        <f t="shared" si="11"/>
        <v>0</v>
      </c>
      <c r="Y10" s="1919">
        <f t="shared" ref="Y10:Y43" si="12">IFERROR(W10/X10,0)</f>
        <v>0</v>
      </c>
      <c r="Z10" s="32"/>
      <c r="AA10" s="26">
        <f t="shared" ref="AA10:AA39" si="13">SUM(BP10)</f>
        <v>5426</v>
      </c>
      <c r="AB10" s="27">
        <f t="shared" ref="AB10:AB41" si="14">BQ10+CC10</f>
        <v>645.38</v>
      </c>
      <c r="AC10" s="1909">
        <f t="shared" ref="AC10:AC41" si="15">IFERROR(AA10/AB10,0)</f>
        <v>8.4074498744925474</v>
      </c>
      <c r="AD10" s="28"/>
      <c r="AE10" s="36"/>
      <c r="AF10" s="36"/>
      <c r="AG10" s="49">
        <f t="shared" ref="AG10:AG42" si="16">IFERROR(AE10/AF10,0)</f>
        <v>0</v>
      </c>
      <c r="AH10" s="25"/>
      <c r="AI10" s="23"/>
      <c r="AJ10" s="24"/>
      <c r="AK10" s="49">
        <f t="shared" ref="AK10:AK43" si="17">IFERROR(AI10/AJ10,0)</f>
        <v>0</v>
      </c>
      <c r="AL10" s="25"/>
      <c r="AM10" s="2629"/>
      <c r="AN10" s="8"/>
      <c r="AO10" s="3"/>
      <c r="AP10" s="60">
        <f t="shared" ref="AP10:AP41" si="18">IFERROR(AN10/AO10,0)</f>
        <v>0</v>
      </c>
      <c r="AQ10" s="35"/>
      <c r="AR10" s="49"/>
      <c r="AS10" s="60">
        <f t="shared" ref="AS10:AS42" si="19">IFERROR(AQ10/AR10,0)</f>
        <v>0</v>
      </c>
      <c r="AT10" s="35"/>
      <c r="AU10" s="24"/>
      <c r="AV10" s="50">
        <f t="shared" ref="AV10:AV41" si="20">IFERROR(AT10/AU10,0)</f>
        <v>0</v>
      </c>
      <c r="AW10" s="1121">
        <v>51450</v>
      </c>
      <c r="AX10" s="280">
        <v>235.78000000000003</v>
      </c>
      <c r="AY10" s="2513">
        <f>IFERROR(AW9/AX10,0)</f>
        <v>0</v>
      </c>
      <c r="AZ10" s="1999"/>
      <c r="BA10" s="280"/>
      <c r="BB10" s="299">
        <f t="shared" ref="BB10:BB40" si="21">IFERROR(AZ10/BA10,0)</f>
        <v>0</v>
      </c>
      <c r="BC10" s="1939">
        <v>31584</v>
      </c>
      <c r="BD10" s="2154">
        <v>2185.2600000000002</v>
      </c>
      <c r="BE10" s="2513">
        <f t="shared" ref="BE10:BE40" si="22">IFERROR(BC10/BD10,0)</f>
        <v>14.453200076878723</v>
      </c>
      <c r="BF10" s="1999"/>
      <c r="BG10" s="2514"/>
      <c r="BH10" s="299">
        <f t="shared" ref="BH10:BH40" si="23">IFERROR(BF10/BG10,0)</f>
        <v>0</v>
      </c>
      <c r="BI10" s="1999">
        <v>0</v>
      </c>
      <c r="BJ10" s="2514">
        <v>0</v>
      </c>
      <c r="BK10" s="299">
        <f t="shared" ref="BK10:BK40" si="24">IFERROR(BI10/BJ10,0)</f>
        <v>0</v>
      </c>
      <c r="BL10" s="2515">
        <v>38624</v>
      </c>
      <c r="BM10" s="2154">
        <v>1194.06</v>
      </c>
      <c r="BN10" s="2169"/>
      <c r="BO10" s="2513">
        <f t="shared" ref="BO10:BO40" si="25">IFERROR(BL10/BM10,0)</f>
        <v>32.346783243723095</v>
      </c>
      <c r="BP10" s="1132">
        <v>5426</v>
      </c>
      <c r="BQ10" s="2514">
        <v>645.38</v>
      </c>
      <c r="BR10" s="2513">
        <f t="shared" ref="BR10:BR40" si="26">IFERROR(BP10/BQ10,0)</f>
        <v>8.4074498744925474</v>
      </c>
      <c r="BS10" s="1999"/>
      <c r="BT10" s="2514"/>
      <c r="BU10" s="299">
        <f t="shared" ref="BU10:BU40" si="27">IFERROR(BS10/BT10,0)</f>
        <v>0</v>
      </c>
      <c r="BV10" s="1999">
        <v>25141</v>
      </c>
      <c r="BW10" s="24">
        <f>ES10</f>
        <v>0</v>
      </c>
      <c r="BX10" s="1905">
        <f t="shared" ref="BX10:BX24" si="28">IFERROR(BV10/BW10,0)</f>
        <v>0</v>
      </c>
      <c r="BY10" s="26"/>
      <c r="BZ10" s="24"/>
      <c r="CA10" s="61">
        <f t="shared" ref="CA10:CA43" si="29">IFERROR(BY10/BZ10,0)</f>
        <v>0</v>
      </c>
      <c r="CB10" s="35"/>
      <c r="CC10" s="24"/>
      <c r="CD10" s="60">
        <f t="shared" ref="CD10:CD43" si="30">IFERROR(CB10/CC10,0)</f>
        <v>0</v>
      </c>
      <c r="CE10" s="23"/>
      <c r="CF10" s="1345"/>
      <c r="CG10" s="25">
        <f t="shared" ref="CG10:CG41" si="31">IFERROR(CE10/CF10,0)</f>
        <v>0</v>
      </c>
      <c r="CH10" s="149"/>
      <c r="CI10" s="1131"/>
      <c r="CJ10" s="3">
        <v>0</v>
      </c>
      <c r="CK10" s="3">
        <v>7674</v>
      </c>
      <c r="CL10" s="3"/>
      <c r="CM10" s="3"/>
      <c r="CN10" s="3">
        <f>CI10+CJ10+CK10</f>
        <v>7674</v>
      </c>
      <c r="CO10" s="32"/>
      <c r="CP10" s="366"/>
      <c r="CR10" s="2">
        <f t="shared" ref="CR10:CR40" si="32">SUM(DF10,DT10,EG10)</f>
        <v>0</v>
      </c>
      <c r="CS10" s="8">
        <f t="shared" ref="CS10:CS40" si="33">SUM(DG10,DU10,EH10)</f>
        <v>0</v>
      </c>
      <c r="CT10" s="3">
        <f t="shared" ref="CT10:CT40" si="34">SUM(DH10,DV10,EI10)</f>
        <v>0</v>
      </c>
      <c r="CU10" s="3">
        <f t="shared" ref="CU10:CU40" si="35">SUM(DI10,DW10,EJ10)</f>
        <v>0</v>
      </c>
      <c r="CV10" s="3">
        <f t="shared" ref="CV10:CV40" si="36">SUM(DJ10,DX10,EK10)</f>
        <v>0</v>
      </c>
      <c r="CW10" s="3">
        <f t="shared" ref="CW10:CW40" si="37">SUM(DK10,DY10,EL10)</f>
        <v>0</v>
      </c>
      <c r="CX10" s="1408">
        <f t="shared" ref="CX10:CX40" si="38">SUM(DL10,DZ10,EM10)</f>
        <v>0</v>
      </c>
      <c r="CY10" s="3">
        <f t="shared" ref="CY10:CY40" si="39">SUM(DM10,EA10,EN10)</f>
        <v>0</v>
      </c>
      <c r="CZ10" s="3">
        <f t="shared" ref="CZ10:CZ40" si="40">SUM(DN10,EB10,EO10)</f>
        <v>2056.54</v>
      </c>
      <c r="DA10" s="3">
        <f t="shared" ref="DA10:DA40" si="41">SUM(DO10,EC10,EP10)</f>
        <v>0</v>
      </c>
      <c r="DB10" s="1408">
        <f t="shared" ref="DB10:DB40" si="42">SUM(DP10,ED10,EQ10)</f>
        <v>2176.08</v>
      </c>
      <c r="DC10" s="11">
        <f t="shared" ref="DC10:DC40" si="43">SUM(DR10,EE10,ER10)</f>
        <v>0</v>
      </c>
      <c r="DD10" s="310">
        <f t="shared" ref="DD10:DD31" si="44">SUM(CR10:DC10,PX10,PY10)</f>
        <v>4260.4799999999996</v>
      </c>
      <c r="DE10" s="2695"/>
      <c r="DF10" s="8"/>
      <c r="DG10" s="8"/>
      <c r="DH10" s="3"/>
      <c r="DI10" s="3"/>
      <c r="DJ10" s="3"/>
      <c r="DK10" s="3"/>
      <c r="DL10" s="3">
        <v>0</v>
      </c>
      <c r="DM10" s="3"/>
      <c r="DN10" s="3">
        <v>0</v>
      </c>
      <c r="DO10" s="3"/>
      <c r="DP10" s="3">
        <v>207.92000000000002</v>
      </c>
      <c r="DQ10" s="11">
        <v>0</v>
      </c>
      <c r="DR10" s="11"/>
      <c r="DS10" s="1905">
        <f t="shared" ref="DS10:DS40" si="45">SUM(DF10:DR10)</f>
        <v>207.92000000000002</v>
      </c>
      <c r="DT10" s="35"/>
      <c r="DU10" s="35"/>
      <c r="DV10" s="24"/>
      <c r="DW10" s="24"/>
      <c r="DX10" s="3"/>
      <c r="DY10" s="3"/>
      <c r="DZ10" s="3"/>
      <c r="EA10" s="3"/>
      <c r="EB10" s="3">
        <v>2056.54</v>
      </c>
      <c r="EC10" s="49"/>
      <c r="ED10" s="24">
        <v>1968.16</v>
      </c>
      <c r="EE10" s="32"/>
      <c r="EF10" s="28">
        <f t="shared" ref="EF10:EF40" si="46">SUM(DT10:EE10)</f>
        <v>4024.7</v>
      </c>
      <c r="EG10" s="24"/>
      <c r="EH10" s="35"/>
      <c r="EI10" s="3"/>
      <c r="EJ10" s="24"/>
      <c r="EK10" s="24"/>
      <c r="EL10" s="24"/>
      <c r="EM10" s="24"/>
      <c r="EN10" s="24"/>
      <c r="EO10" s="3"/>
      <c r="EP10" s="3"/>
      <c r="EQ10" s="3">
        <v>0</v>
      </c>
      <c r="ER10" s="32"/>
      <c r="ES10" s="25">
        <f t="shared" ref="ES10:ES12" si="47">SUM(EG10:EQ10)</f>
        <v>0</v>
      </c>
      <c r="ET10" s="35"/>
      <c r="EU10" s="24"/>
      <c r="EV10" s="24"/>
      <c r="EW10" s="24"/>
      <c r="EX10" s="24"/>
      <c r="EY10" s="24"/>
      <c r="EZ10" s="32">
        <f t="shared" ref="EZ10:EZ40" si="48">SUM(ET10:EY10)</f>
        <v>0</v>
      </c>
      <c r="FA10" s="2685"/>
      <c r="FC10" s="2">
        <f t="shared" ref="FC10:FC40" si="49">+FO10</f>
        <v>0</v>
      </c>
      <c r="FD10" s="3">
        <f t="shared" ref="FD10:FD40" si="50">+FV10</f>
        <v>0</v>
      </c>
      <c r="FE10" s="3">
        <f t="shared" ref="FE10:FE34" si="51">+GI10</f>
        <v>0</v>
      </c>
      <c r="FF10" s="11">
        <f t="shared" ref="FF10:FF40" si="52">SUM(FC10:FE10)</f>
        <v>0</v>
      </c>
      <c r="FG10" s="32"/>
      <c r="FH10" s="2674"/>
      <c r="FI10" s="8"/>
      <c r="FJ10" s="3"/>
      <c r="FK10" s="3"/>
      <c r="FL10" s="3"/>
      <c r="FM10" s="3"/>
      <c r="FN10" s="24"/>
      <c r="FO10" s="25">
        <f t="shared" ref="FO10:FO40" si="53">SUM(FI10:FN10)</f>
        <v>0</v>
      </c>
      <c r="FP10" s="35"/>
      <c r="FQ10" s="24"/>
      <c r="FR10" s="24"/>
      <c r="FS10" s="24"/>
      <c r="FT10" s="24"/>
      <c r="FU10" s="24"/>
      <c r="FV10" s="25">
        <f t="shared" ref="FV10:FV40" si="54">SUM(FP10:FU10)</f>
        <v>0</v>
      </c>
      <c r="FW10" s="35"/>
      <c r="FX10" s="35"/>
      <c r="FY10" s="24"/>
      <c r="FZ10" s="24"/>
      <c r="GA10" s="24"/>
      <c r="GB10" s="24"/>
      <c r="GC10" s="24"/>
      <c r="GD10" s="24"/>
      <c r="GE10" s="24">
        <v>0</v>
      </c>
      <c r="GF10" s="24"/>
      <c r="GG10" s="24"/>
      <c r="GH10" s="32"/>
      <c r="GI10" s="32">
        <f t="shared" ref="GI10:GI40" si="55">SUM(FW10:GG10)</f>
        <v>0</v>
      </c>
      <c r="GJ10" s="2674"/>
      <c r="GL10" s="2">
        <f>+HN10</f>
        <v>0</v>
      </c>
      <c r="GM10" s="63">
        <f>+IR10</f>
        <v>0</v>
      </c>
      <c r="GN10" s="24">
        <f>+JG10</f>
        <v>0</v>
      </c>
      <c r="GO10" s="1926">
        <f t="shared" ref="GO10:GO40" si="56">SUM(GL10:GN10)</f>
        <v>0</v>
      </c>
      <c r="GP10" s="140"/>
      <c r="GQ10" s="140"/>
      <c r="GR10" s="1130"/>
      <c r="GS10" s="2667"/>
      <c r="GT10" s="1721">
        <v>0</v>
      </c>
      <c r="GU10" s="1721">
        <v>0</v>
      </c>
      <c r="GV10" s="1">
        <v>0</v>
      </c>
      <c r="GW10" s="1721">
        <v>0</v>
      </c>
      <c r="GX10" s="1722">
        <f>SUM(GT10:GW10)</f>
        <v>0</v>
      </c>
      <c r="GY10" s="2667"/>
      <c r="GZ10" s="35">
        <v>0</v>
      </c>
      <c r="HA10" s="35"/>
      <c r="HB10" s="24"/>
      <c r="HC10" s="24"/>
      <c r="HD10" s="24"/>
      <c r="HE10" s="24"/>
      <c r="HF10" s="24">
        <v>0</v>
      </c>
      <c r="HG10" s="24"/>
      <c r="HH10" s="24">
        <v>0</v>
      </c>
      <c r="HI10" s="24"/>
      <c r="HJ10" s="24">
        <v>0</v>
      </c>
      <c r="HK10" s="24"/>
      <c r="HL10" s="24">
        <v>0</v>
      </c>
      <c r="HM10" s="24"/>
      <c r="HN10" s="25">
        <f t="shared" ref="HN10:HN16" si="57">SUM(GZ10:HM10)</f>
        <v>0</v>
      </c>
      <c r="HO10" s="35"/>
      <c r="HP10" s="24"/>
      <c r="HQ10" s="24"/>
      <c r="HR10" s="24"/>
      <c r="HS10" s="24"/>
      <c r="HT10" s="24"/>
      <c r="HU10" s="24">
        <f t="array" ref="HU10">SUMPRODUCT(('Data Base hauling'!$C$2:$C$2000="TCM-ROM SB1 BK05-ROM 4")*(ISNUMBER(SEARCH(TEXT('August TCM'!$B10,"00")&amp;"/03/2026",'Data Base hauling'!$E$2:$E$2000)))*'Data Base hauling'!$N$2:$N$2000)</f>
        <v>0</v>
      </c>
      <c r="HV10" s="24"/>
      <c r="HW10" s="24">
        <f t="array" ref="HW10">SUMPRODUCT(('Data Base hauling'!$C$2:$C$2000="TCM-ROM SB1 BK05-ROM 5")*(ISNUMBER(SEARCH(TEXT('August TCM'!$B10,"00")&amp;"/03/2026",'Data Base hauling'!$E$2:$E$2000)))*'Data Base hauling'!$N$2:$N$2000)</f>
        <v>0</v>
      </c>
      <c r="HX10" s="24"/>
      <c r="HY10" s="24"/>
      <c r="HZ10" s="24"/>
      <c r="IA10" s="24"/>
      <c r="IB10" s="24"/>
      <c r="IC10" s="32">
        <f t="shared" ref="IC10:IC42" si="58">SUM(HO10:IB10)</f>
        <v>0</v>
      </c>
      <c r="ID10" s="48"/>
      <c r="IE10" s="1129"/>
      <c r="IF10" s="49"/>
      <c r="IG10" s="49"/>
      <c r="IH10" s="49"/>
      <c r="II10" s="49"/>
      <c r="IJ10" s="1926">
        <v>0</v>
      </c>
      <c r="IK10" s="1926"/>
      <c r="IL10" s="1926">
        <v>0</v>
      </c>
      <c r="IM10" s="49"/>
      <c r="IN10" s="49">
        <v>0</v>
      </c>
      <c r="IO10" s="49"/>
      <c r="IP10" s="49"/>
      <c r="IQ10" s="49">
        <v>0</v>
      </c>
      <c r="IR10" s="2195">
        <f t="shared" ref="IR10:IR16" si="59">SUM(ID10:IQ10)</f>
        <v>0</v>
      </c>
      <c r="IS10" s="35"/>
      <c r="IT10" s="35"/>
      <c r="IU10" s="24"/>
      <c r="IV10" s="24"/>
      <c r="IW10" s="49"/>
      <c r="IX10" s="24"/>
      <c r="IY10" s="24">
        <v>0</v>
      </c>
      <c r="IZ10" s="24"/>
      <c r="JA10" s="24">
        <v>0</v>
      </c>
      <c r="JB10" s="24"/>
      <c r="JC10" s="24">
        <v>0</v>
      </c>
      <c r="JD10" s="24"/>
      <c r="JE10" s="24"/>
      <c r="JF10" s="24"/>
      <c r="JG10" s="32">
        <f t="shared" ref="JG10" si="60">SUM(IS10:JF10)</f>
        <v>0</v>
      </c>
      <c r="JH10" s="2667"/>
      <c r="JJ10" s="2014">
        <v>0</v>
      </c>
      <c r="JK10" s="2015">
        <v>0</v>
      </c>
      <c r="JL10" s="49"/>
      <c r="JM10" s="1736">
        <f t="shared" ref="JM10:JM40" si="61">+JJ10+JL10+JK10</f>
        <v>0</v>
      </c>
      <c r="JN10" s="32"/>
      <c r="JO10" s="2669"/>
      <c r="JP10" s="66" t="s">
        <v>296</v>
      </c>
      <c r="JQ10" s="67" t="s">
        <v>296</v>
      </c>
      <c r="JR10" s="67" t="s">
        <v>296</v>
      </c>
      <c r="JS10" s="67" t="s">
        <v>296</v>
      </c>
      <c r="JT10" s="67" t="s">
        <v>296</v>
      </c>
      <c r="JU10" s="67" t="s">
        <v>296</v>
      </c>
      <c r="JV10" s="67" t="s">
        <v>296</v>
      </c>
      <c r="JW10" s="1921">
        <v>0</v>
      </c>
      <c r="JX10" s="66" t="s">
        <v>296</v>
      </c>
      <c r="JY10" s="67" t="s">
        <v>296</v>
      </c>
      <c r="JZ10" s="67" t="s">
        <v>296</v>
      </c>
      <c r="KA10" s="67" t="s">
        <v>296</v>
      </c>
      <c r="KB10" s="67" t="s">
        <v>296</v>
      </c>
      <c r="KC10" s="67" t="s">
        <v>296</v>
      </c>
      <c r="KD10" s="67" t="s">
        <v>296</v>
      </c>
      <c r="KE10" s="68" t="s">
        <v>296</v>
      </c>
      <c r="KF10" s="66"/>
      <c r="KG10" s="67"/>
      <c r="KH10" s="67"/>
      <c r="KI10" s="67"/>
      <c r="KJ10" s="67"/>
      <c r="KK10" s="67"/>
      <c r="KL10" s="67"/>
      <c r="KM10" s="67"/>
      <c r="KN10" s="32"/>
      <c r="KO10" s="2669"/>
      <c r="KP10" s="2203">
        <v>0</v>
      </c>
      <c r="KQ10" s="1721">
        <v>0</v>
      </c>
      <c r="KR10" s="1721">
        <v>0</v>
      </c>
      <c r="KS10" s="1721">
        <v>0</v>
      </c>
      <c r="KT10" s="1722">
        <v>0</v>
      </c>
      <c r="KU10" s="1958">
        <v>0</v>
      </c>
      <c r="KV10" s="1961">
        <v>0</v>
      </c>
      <c r="KW10" s="1961">
        <v>0</v>
      </c>
      <c r="KX10" s="1961">
        <v>0</v>
      </c>
      <c r="KY10" s="1962">
        <v>0</v>
      </c>
      <c r="KZ10" s="35"/>
      <c r="LA10" s="49"/>
      <c r="LB10" s="49"/>
      <c r="LC10" s="49"/>
      <c r="LD10" s="49"/>
      <c r="LE10" s="32"/>
      <c r="LF10" s="2669"/>
      <c r="LH10" s="998">
        <f t="shared" ref="LH10:LJ24" si="62">SUM(LS10,LY10,MK10,MQ10+ME10)</f>
        <v>0</v>
      </c>
      <c r="LI10" s="27">
        <f t="shared" si="62"/>
        <v>0</v>
      </c>
      <c r="LJ10" s="27">
        <f t="shared" si="62"/>
        <v>0</v>
      </c>
      <c r="LK10" s="28">
        <f t="shared" ref="LK10:LK40" si="63">SUM(LH10:LJ10)</f>
        <v>0</v>
      </c>
      <c r="LL10" s="35"/>
      <c r="LM10" s="24"/>
      <c r="LN10" s="24"/>
      <c r="LO10" s="32"/>
      <c r="LP10" s="1044">
        <v>1.87</v>
      </c>
      <c r="LQ10" s="2524" t="s">
        <v>680</v>
      </c>
      <c r="LR10" s="2688"/>
      <c r="LS10" s="35"/>
      <c r="LT10" s="35"/>
      <c r="LU10" s="24"/>
      <c r="LV10" s="24"/>
      <c r="LW10" s="24"/>
      <c r="LX10" s="1117">
        <f t="shared" ref="LX10:LX40" si="64">SUM(LS10:LW10)</f>
        <v>0</v>
      </c>
      <c r="LY10" s="35"/>
      <c r="LZ10" s="35"/>
      <c r="MA10" s="24"/>
      <c r="MB10" s="24"/>
      <c r="MC10" s="417"/>
      <c r="MD10" s="28">
        <f t="shared" ref="MD10:MD40" si="65">SUM(LY10:MC10)</f>
        <v>0</v>
      </c>
      <c r="ME10" s="23"/>
      <c r="MF10" s="35"/>
      <c r="MG10" s="24"/>
      <c r="MH10" s="24"/>
      <c r="MI10" s="24"/>
      <c r="MJ10" s="25"/>
      <c r="MK10" s="35"/>
      <c r="ML10" s="35"/>
      <c r="MM10" s="24"/>
      <c r="MN10" s="24"/>
      <c r="MO10" s="24"/>
      <c r="MP10" s="25"/>
      <c r="MQ10" s="35"/>
      <c r="MR10" s="35"/>
      <c r="MS10" s="24"/>
      <c r="MT10" s="24"/>
      <c r="MU10" s="24"/>
      <c r="MV10" s="32">
        <f t="shared" ref="MV10:MV40" si="66">SUM(MQ10:MU10)</f>
        <v>0</v>
      </c>
      <c r="MW10" s="2688"/>
      <c r="MY10" s="23">
        <f t="shared" ref="MY10:MY40" si="67">+NG10</f>
        <v>190730.64691943515</v>
      </c>
      <c r="MZ10" s="24">
        <f t="shared" ref="MZ10:MZ40" si="68">+SUM(NT10,OG10,OT10,PA10,PH10)</f>
        <v>242892.4463037583</v>
      </c>
      <c r="NA10" s="24">
        <f t="shared" ref="NA10:NA40" si="69">+PP10</f>
        <v>24332.275697817415</v>
      </c>
      <c r="NB10" s="333">
        <f t="shared" ref="NB10:NB40" si="70">+SUM(QH10,QI10,QJ10)</f>
        <v>339656.65795580432</v>
      </c>
      <c r="NC10" s="2621"/>
      <c r="ND10" s="23">
        <f t="shared" ref="ND10:ND40" si="71">+ND9+JJ10-LH10-LJ10</f>
        <v>85284.4462006783</v>
      </c>
      <c r="NE10" s="1655">
        <f t="shared" ref="NE10:NE40" si="72">+NE9+JK10-LI10</f>
        <v>105446.20071875685</v>
      </c>
      <c r="NF10" s="60">
        <f t="shared" ref="NF10:NF40" si="73">+NF9+JL10</f>
        <v>0</v>
      </c>
      <c r="NG10" s="274">
        <f t="shared" si="4"/>
        <v>190730.64691943515</v>
      </c>
      <c r="NH10" s="23">
        <f t="shared" ref="NH10:NQ25" si="74">+NH9+EG10-GZ10</f>
        <v>0</v>
      </c>
      <c r="NI10" s="23">
        <f t="shared" si="74"/>
        <v>0</v>
      </c>
      <c r="NJ10" s="24">
        <f t="shared" si="74"/>
        <v>0</v>
      </c>
      <c r="NK10" s="24">
        <f t="shared" si="74"/>
        <v>0</v>
      </c>
      <c r="NL10" s="24">
        <f t="shared" si="74"/>
        <v>0</v>
      </c>
      <c r="NM10" s="24">
        <f t="shared" si="74"/>
        <v>0</v>
      </c>
      <c r="NN10" s="24">
        <f>+NN9+EM10-HF10</f>
        <v>0</v>
      </c>
      <c r="NO10" s="24">
        <f t="shared" si="74"/>
        <v>0</v>
      </c>
      <c r="NP10" s="24">
        <f>+NP9+EO10-HH10</f>
        <v>28923.210605424243</v>
      </c>
      <c r="NQ10" s="24">
        <f t="shared" si="74"/>
        <v>24023.830351777149</v>
      </c>
      <c r="NR10" s="24">
        <f>'May TCM'!NQ42</f>
        <v>8756.5482322711578</v>
      </c>
      <c r="NS10" s="24">
        <f>+NS9+EQ10-HJ10</f>
        <v>8212.6935664101129</v>
      </c>
      <c r="NT10" s="24">
        <f t="shared" si="0"/>
        <v>69916.282755882668</v>
      </c>
      <c r="NU10" s="27">
        <f t="shared" ref="NU10:NU40" si="75">+NU9+DF10-ID10</f>
        <v>0</v>
      </c>
      <c r="NV10" s="280">
        <f t="shared" ref="NV10:NV40" si="76">+NV9+DG10-IE10</f>
        <v>0</v>
      </c>
      <c r="NW10" s="1127">
        <f t="shared" ref="NW10:NW40" si="77">+NW9+DH10-IF10</f>
        <v>0</v>
      </c>
      <c r="NX10" s="280">
        <f t="shared" ref="NX10:NX40" si="78">+NX9+DI10-IG10</f>
        <v>0</v>
      </c>
      <c r="NY10" s="27">
        <f t="shared" ref="NY10:NY40" si="79">+NY9+DJ10-IH10</f>
        <v>0</v>
      </c>
      <c r="NZ10" s="27">
        <f t="shared" ref="NZ10:NZ40" si="80">+NZ9+DK10-II10</f>
        <v>0</v>
      </c>
      <c r="OA10" s="27">
        <f t="shared" ref="OA10:OA40" si="81">+OA9+DL10-IJ10</f>
        <v>13570.384489662853</v>
      </c>
      <c r="OB10" s="27">
        <f t="shared" ref="OB10:OB40" si="82">+OB9+DM10-IK10</f>
        <v>0</v>
      </c>
      <c r="OC10" s="27">
        <f t="shared" ref="OC10:OC40" si="83">+OC9+DP10-IN10</f>
        <v>80425.979485704171</v>
      </c>
      <c r="OD10" s="280"/>
      <c r="OE10" s="24">
        <f>+OE9+DQ10-IO10</f>
        <v>0</v>
      </c>
      <c r="OF10" s="24">
        <f t="shared" ref="OF10:OF40" si="84">+OF9+DR10-IO10</f>
        <v>0</v>
      </c>
      <c r="OG10" s="24">
        <f t="shared" si="1"/>
        <v>93996.363975367029</v>
      </c>
      <c r="OH10" s="24">
        <f t="shared" ref="OH10:OO14" si="85">+OH9+DT10+FW10-IS10</f>
        <v>0</v>
      </c>
      <c r="OI10" s="24">
        <f t="shared" si="85"/>
        <v>0</v>
      </c>
      <c r="OJ10" s="24">
        <f t="shared" si="85"/>
        <v>0</v>
      </c>
      <c r="OK10" s="24">
        <f t="shared" si="85"/>
        <v>0</v>
      </c>
      <c r="OL10" s="27">
        <f t="shared" si="85"/>
        <v>0</v>
      </c>
      <c r="OM10" s="24">
        <f t="shared" si="85"/>
        <v>0</v>
      </c>
      <c r="ON10" s="24">
        <f t="shared" si="85"/>
        <v>0</v>
      </c>
      <c r="OO10" s="24">
        <f t="shared" si="85"/>
        <v>0</v>
      </c>
      <c r="OP10" s="24">
        <f t="shared" ref="OP10:OP40" si="86">+OP9+EB10+GE10+QG10-JA10</f>
        <v>63964.762313713756</v>
      </c>
      <c r="OQ10" s="24">
        <f t="shared" ref="OQ10:OQ40" si="87">+OQ9+EC10+GF10-JB10</f>
        <v>0</v>
      </c>
      <c r="OR10" s="24">
        <f t="shared" ref="OR10:OR39" si="88">+OR9+ED10+GG10-JC10</f>
        <v>15015.037258794844</v>
      </c>
      <c r="OS10" s="24">
        <f t="shared" ref="OS10:OS25" si="89">+OS9+EE10+GH10-JD10</f>
        <v>0</v>
      </c>
      <c r="OT10" s="25">
        <f t="shared" si="2"/>
        <v>78979.799572508608</v>
      </c>
      <c r="OU10" s="35"/>
      <c r="OV10" s="24"/>
      <c r="OW10" s="24"/>
      <c r="OX10" s="24"/>
      <c r="OY10" s="24"/>
      <c r="OZ10" s="24"/>
      <c r="PA10" s="25">
        <f t="shared" ref="PA10:PA40" si="90">SUM(OU10:OZ10)</f>
        <v>0</v>
      </c>
      <c r="PB10" s="35">
        <f t="shared" ref="PB10:PB40" si="91">+PB9+ET10-FW10</f>
        <v>0</v>
      </c>
      <c r="PC10" s="24">
        <f t="shared" ref="PC10:PC40" si="92">+PC9+EU10-FY10</f>
        <v>0</v>
      </c>
      <c r="PD10" s="24">
        <f t="shared" ref="PD10:PD40" si="93">+PD9+EV10-GA10</f>
        <v>0</v>
      </c>
      <c r="PE10" s="24">
        <f t="shared" ref="PE10:PE40" si="94">+PE9+EW10-GC10</f>
        <v>0</v>
      </c>
      <c r="PF10" s="24"/>
      <c r="PG10" s="24">
        <f t="shared" ref="PG10:PG40" si="95">+PG9+EY10-GG10</f>
        <v>0</v>
      </c>
      <c r="PH10" s="32">
        <f t="shared" si="3"/>
        <v>0</v>
      </c>
      <c r="PI10" s="2621"/>
      <c r="PK10" s="1907">
        <v>623.54</v>
      </c>
      <c r="PL10" s="1101">
        <v>720</v>
      </c>
      <c r="PM10" s="1101">
        <v>216</v>
      </c>
      <c r="PN10" s="3">
        <f t="shared" ref="PN10:PN28" si="96">HL10</f>
        <v>0</v>
      </c>
      <c r="PO10" s="3">
        <f t="shared" ref="PO10:PO40" si="97">PO9+PK10-PL10</f>
        <v>27299.049204532865</v>
      </c>
      <c r="PP10" s="11">
        <f t="shared" ref="PP10:PP23" si="98">PP9+PM10-PN10</f>
        <v>24332.275697817415</v>
      </c>
      <c r="PQ10" s="14"/>
      <c r="PR10" s="2615"/>
      <c r="PT10" s="2"/>
      <c r="PU10" s="8"/>
      <c r="PV10" s="8"/>
      <c r="PW10" s="8"/>
      <c r="PX10" s="2531">
        <v>27.86</v>
      </c>
      <c r="PY10" s="8"/>
      <c r="PZ10" s="8">
        <f t="shared" ref="PZ10:PZ40" si="99">SUM(PW10:PY10)</f>
        <v>27.86</v>
      </c>
      <c r="QA10" s="3">
        <f t="shared" ref="QA10:QA40" si="100">+PK10</f>
        <v>623.54</v>
      </c>
      <c r="QB10" s="3"/>
      <c r="QC10" s="3"/>
      <c r="QD10" s="3"/>
      <c r="QE10" s="3"/>
      <c r="QF10" s="3"/>
      <c r="QG10" s="11"/>
      <c r="QH10" s="11">
        <f t="shared" ref="QH10:QH40" si="101">+QH9+PT10-HM10</f>
        <v>29562.488999999998</v>
      </c>
      <c r="QI10" s="420">
        <f t="shared" ref="QI10:QI40" si="102">+QI9+PW10+PX10-IQ10-QA10</f>
        <v>306373.88007140433</v>
      </c>
      <c r="QJ10" s="1106">
        <f>+QJ9+PY10-QF10</f>
        <v>3720.2888844000004</v>
      </c>
      <c r="QK10" s="484">
        <f t="shared" ref="QK10:QK40" si="103">QK9-QE10</f>
        <v>5505.3678056099998</v>
      </c>
      <c r="QL10" s="11"/>
      <c r="QM10" s="2615"/>
      <c r="QO10" s="139" t="str">
        <f t="shared" ref="QO10:QO40" si="104">IF(JJ10=0,"",(IFERROR(IF(1-ABS(1-(JP10/JP$43))&lt;0,0,1-ABS(1-(JP10/JP$43))),0)*JP$43)+(IFERROR(IF(1-ABS(1-(JQ10/JQ$43))&lt;0,0,1-ABS(1-(JQ10/JQ$43))),0)*JQ$43)+(IFERROR(IF(1-ABS(1-(JR10/JR$43))&lt;0,0,1-ABS(1-(JR10/JR$43))),0)*JR$43)+(IFERROR(IF(1-ABS(1-(JS10/JS$43))&lt;0,0,1-ABS(1-(JS10/JS$43))),0)*JS$43)+(IFERROR(IF(1-ABS(1-(JT10/JT$43))&lt;0,0,1-ABS(1-(JT10/JT$43))),0)*JT$43)+(IFERROR(IF(1-ABS(1-(JU10/JU$43))&lt;0,0,1-ABS(1-(JU10/JU$43))),0)*JU$43)+(IFERROR(IF(1-ABS(1-(JV10/JV$43))&lt;0,0,1-ABS(1-(JV10/JV$43))),0)*JV$43)+(IFERROR(IF(1-ABS(1-(JW10/JW$43))&lt;0,0,1-ABS(1-(JW10/JW$43))),0)*JW$43))</f>
        <v/>
      </c>
      <c r="QP10" s="139" t="str">
        <f t="shared" ref="QP10:QP40" si="105">IF(JL10=0,"",(IFERROR(IF(1-ABS(1-(KF10/KF$43))&lt;0,0,1-ABS(1-(KF10/KF$43))),0)*KF$43)+(IFERROR(IF(1-ABS(1-(KG10/KG$43))&lt;0,0,1-ABS(1-(KG10/KG$43))),0)*KG$43)+(IFERROR(IF(1-ABS(1-(KH10/KH$43))&lt;0,0,1-ABS(1-(KH10/KH$43))),0)*KH$43)+(IFERROR(IF(1-ABS(1-(KI10/KI$43))&lt;0,0,1-ABS(1-(KI10/KI$43))),0)*KI$43)+(IFERROR(IF(1-ABS(1-(KJ10/KJ$43))&lt;0,0,1-ABS(1-(KJ10/KJ$43))),0)*KJ$43)+(IFERROR(IF(1-ABS(1-(KK10/KK$43))&lt;0,0,1-ABS(1-(KK10/KK$43))),0)*KK$43)+(IFERROR(IF(1-ABS(1-(KL10/KL$43))&lt;0,0,1-ABS(1-(KL10/KL$43))),0)*KL$43)+(IFERROR(IF(1-ABS(1-(KM10/KM$43))&lt;0,0,1-ABS(1-(KM10/KM$43))),0)*KM$43))</f>
        <v/>
      </c>
      <c r="QR10" s="139" t="str">
        <f t="shared" ref="QR10:QR40" si="106">IF(JM10&gt;0,SUMPRODUCT(QU10:QZ10,$JP$43:$JU$43),"")</f>
        <v/>
      </c>
      <c r="QS10" s="139" t="str">
        <f t="shared" ref="QS10:QS40" si="107">IF(JM10&gt;0,SUMPRODUCT(RB10:RG10,$KF$43:$KK$43),"")</f>
        <v/>
      </c>
      <c r="QU10" s="1">
        <f t="shared" ref="QU10:QU40" si="108">IF(NU$43=0,0,IF(SUM(NU10,OH10)-NU$8-OH$8&gt;NU$43,1,(SUM(NU10,OH10)-NU$8-OH$8)/NU$43))</f>
        <v>0</v>
      </c>
      <c r="QV10" s="1">
        <f t="shared" ref="QV10:QV40" si="109">IF(NW$43=0,0,IF(SUM(NW10,OJ10)-NW$8-OJ$8&gt;NW$43,1,(SUM(NW10,OJ10)-NW$8-OJ$8)/NW$43))</f>
        <v>0</v>
      </c>
      <c r="QW10" s="1">
        <f t="shared" ref="QW10:QW40" si="110">IF(NY$43=0,0,IF(SUM(NY10,OL10)-NY$8-OL$8&gt;NY$43,1,(SUM(NY10,OL10)-NY$8-OL$8)/NY$43))</f>
        <v>0</v>
      </c>
      <c r="QX10" s="1">
        <f t="shared" ref="QX10:QX40" si="111">IF(OA$43=0,0,IF(SUM(OA10,ON10)-OA$8-ON$8&gt;OA$43,1,(SUM(OA10,ON10)-OA$8-ON$8)/OA$43))</f>
        <v>0</v>
      </c>
      <c r="QY10" s="1">
        <f t="shared" ref="QY10:QY40" si="112">IF(OC$43=0,0,IF(SUM(OC10,OP10)-OC$8-OP$8&gt;OC$43,1,(SUM(OC10,OP10)-OC$8-OP$8)/OC$43))</f>
        <v>0</v>
      </c>
      <c r="QZ10" s="1">
        <f t="shared" ref="QZ10:QZ40" si="113">IF(OE$43=0,0,IF(SUM(OE10,OR10)-OE$8-OR$8&gt;OE$43,1,(SUM(OE10,OR10)-OE$8-OR$8)/OE$43))</f>
        <v>0</v>
      </c>
      <c r="RB10" s="1">
        <f t="shared" ref="RB10:RB40" si="114">+IF(NU$43=0,0,IF(SUM(NU10,OH10)-NU$8-OH$8&gt;NU$43,1,(SUM(NU10,OH10)-NU$8-OH$8)/NU$43))</f>
        <v>0</v>
      </c>
      <c r="RC10" s="1">
        <f t="shared" ref="RC10:RC40" si="115">+IF(NW$43=0,0,IF(SUM(NW10,OJ10)-NW$8-OJ$8&gt;NW$43,1,(SUM(NW10,OJ10)-NW$8-OJ$8)/NW$43))</f>
        <v>0</v>
      </c>
      <c r="RD10" s="1">
        <f t="shared" ref="RD10:RD40" si="116">+IF(NY$43=0,0,IF(SUM(NY10,OL10)-NY$8-OL$8&gt;NY$43,1,(SUM(NY10,OL10)-NY$8-OL$8)/NY$43))</f>
        <v>0</v>
      </c>
      <c r="RE10" s="1">
        <f t="shared" ref="RE10:RE40" si="117">+IF(OA$43=0,0,IF(SUM(OA10,ON10)-OA$8-ON$8&gt;OA$43,1,(SUM(OA10,ON10)-OA$8-ON$8)/OA$43))</f>
        <v>0</v>
      </c>
      <c r="RF10" s="1">
        <f t="shared" ref="RF10:RF40" si="118">+IF(OC$43=0,0,IF(SUM(OC10,OP10)-OC$8-OP$8&gt;OC$43,1,(SUM(OC10,OP10)-OC$8-OP$8)/OC$43))</f>
        <v>0</v>
      </c>
      <c r="RG10" s="1">
        <f t="shared" ref="RG10:RG40" si="119">+IF(OE$43=0,0,IF(SUM(OE10,OR10)-OE$8-OR$8&gt;OE$43,1,(SUM(OE10,OR10)-OE$8-OR$8)/OE$43))</f>
        <v>0</v>
      </c>
      <c r="RJ10" s="1">
        <v>1</v>
      </c>
      <c r="RK10" s="1">
        <f t="shared" ref="RK10:RM17" si="120">+RK9+JJ10-LH10</f>
        <v>45424.161751083164</v>
      </c>
      <c r="RL10" s="1">
        <f t="shared" si="120"/>
        <v>3925.5835498622801</v>
      </c>
      <c r="RM10" s="1">
        <f t="shared" si="120"/>
        <v>9178.5689913333827</v>
      </c>
      <c r="RN10" s="89">
        <f t="shared" si="5"/>
        <v>58528.314292278832</v>
      </c>
      <c r="RO10" s="1033">
        <v>1</v>
      </c>
      <c r="RP10" s="1098">
        <v>0</v>
      </c>
      <c r="RQ10" s="1098">
        <f t="shared" ref="RQ10:RR40" si="121">PX10</f>
        <v>27.86</v>
      </c>
      <c r="RR10" s="1097">
        <f t="shared" si="121"/>
        <v>0</v>
      </c>
      <c r="RS10" s="1097">
        <f t="shared" ref="RS10:RS40" si="122">BG10+AX10+BJ10+BM10+BZ10+BD10+BQ10-PY10</f>
        <v>4260.4800000000005</v>
      </c>
      <c r="RT10" s="1094"/>
      <c r="RU10" s="1094" t="s">
        <v>1052</v>
      </c>
      <c r="RX10" s="421">
        <v>1</v>
      </c>
      <c r="RY10" s="1095">
        <f t="shared" ref="RY10:RY40" si="123">GX10</f>
        <v>0</v>
      </c>
      <c r="RZ10" s="1094"/>
      <c r="SB10" s="1090"/>
      <c r="SC10" s="1090">
        <f t="shared" ref="SC10:SC40" si="124">(DS10+EF10)-(RP10+RS10)</f>
        <v>-27.860000000000582</v>
      </c>
      <c r="SD10" s="1090"/>
      <c r="SE10" s="1090">
        <f t="shared" ref="SE10:SE17" si="125">JM10-RY10</f>
        <v>0</v>
      </c>
      <c r="SG10" s="1">
        <v>1</v>
      </c>
      <c r="SH10" s="1">
        <f t="shared" ref="SH10:SH40" si="126">PN10</f>
        <v>0</v>
      </c>
    </row>
    <row r="11" spans="1:503" s="1" customFormat="1">
      <c r="B11" s="471">
        <v>2</v>
      </c>
      <c r="C11" s="4">
        <f t="shared" ref="C11:C40" si="127">+O11+S11+W11+AE11+AI11+AA11</f>
        <v>155036.79999999999</v>
      </c>
      <c r="D11" s="1590">
        <f t="shared" ref="D11:D15" si="128">P11+T11+X11+AB11</f>
        <v>5522.9599999999991</v>
      </c>
      <c r="E11" s="1895">
        <f t="shared" si="6"/>
        <v>28.071324072598753</v>
      </c>
      <c r="F11" s="870"/>
      <c r="G11" s="870"/>
      <c r="H11" s="52"/>
      <c r="I11" s="61"/>
      <c r="J11" s="52"/>
      <c r="K11" s="54"/>
      <c r="L11" s="52"/>
      <c r="M11" s="61"/>
      <c r="N11" s="2629"/>
      <c r="O11" s="4">
        <f>+SUM(AQ11,BC11,AW11)</f>
        <v>84000</v>
      </c>
      <c r="P11" s="1225">
        <f t="shared" si="7"/>
        <v>3132.12</v>
      </c>
      <c r="Q11" s="1951">
        <f t="shared" si="8"/>
        <v>26.818895827746065</v>
      </c>
      <c r="R11" s="33"/>
      <c r="S11" s="26">
        <f t="shared" si="9"/>
        <v>42585.8</v>
      </c>
      <c r="T11" s="27">
        <f t="shared" ref="T11:T40" si="129">+SUM(BZ11,BJ11,BM11,BG11,BN11)</f>
        <v>1486.74</v>
      </c>
      <c r="U11" s="1909">
        <f t="shared" si="10"/>
        <v>28.643744030563518</v>
      </c>
      <c r="V11" s="28"/>
      <c r="W11" s="1742">
        <f t="shared" si="11"/>
        <v>23977</v>
      </c>
      <c r="X11" s="5">
        <f t="shared" si="11"/>
        <v>0</v>
      </c>
      <c r="Y11" s="1909">
        <f t="shared" si="12"/>
        <v>0</v>
      </c>
      <c r="Z11" s="33"/>
      <c r="AA11" s="26">
        <f t="shared" si="13"/>
        <v>4474</v>
      </c>
      <c r="AB11" s="27">
        <f t="shared" si="14"/>
        <v>904.09999999999991</v>
      </c>
      <c r="AC11" s="1909">
        <f t="shared" si="15"/>
        <v>4.9485676363234159</v>
      </c>
      <c r="AD11" s="28"/>
      <c r="AE11" s="36"/>
      <c r="AF11" s="36"/>
      <c r="AG11" s="53">
        <f t="shared" si="16"/>
        <v>0</v>
      </c>
      <c r="AH11" s="28"/>
      <c r="AI11" s="26"/>
      <c r="AJ11" s="27"/>
      <c r="AK11" s="53">
        <f t="shared" si="17"/>
        <v>0</v>
      </c>
      <c r="AL11" s="28"/>
      <c r="AM11" s="2629"/>
      <c r="AN11" s="9"/>
      <c r="AO11" s="5"/>
      <c r="AP11" s="61">
        <f t="shared" si="18"/>
        <v>0</v>
      </c>
      <c r="AQ11" s="36"/>
      <c r="AR11" s="53"/>
      <c r="AS11" s="61">
        <f t="shared" si="19"/>
        <v>0</v>
      </c>
      <c r="AT11" s="36"/>
      <c r="AU11" s="27"/>
      <c r="AV11" s="54">
        <f t="shared" si="20"/>
        <v>0</v>
      </c>
      <c r="AW11" s="1">
        <v>46452</v>
      </c>
      <c r="AX11" s="24">
        <v>0</v>
      </c>
      <c r="AY11" s="1735">
        <f>IFERROR(AW10/AX11,0)</f>
        <v>0</v>
      </c>
      <c r="AZ11" s="36"/>
      <c r="BA11" s="27"/>
      <c r="BB11" s="61">
        <f t="shared" si="21"/>
        <v>0</v>
      </c>
      <c r="BC11" s="1740">
        <v>37548</v>
      </c>
      <c r="BD11" s="1926">
        <v>3132.12</v>
      </c>
      <c r="BE11" s="1735">
        <f t="shared" si="22"/>
        <v>11.988046435002492</v>
      </c>
      <c r="BF11" s="36"/>
      <c r="BG11" s="53"/>
      <c r="BH11" s="61">
        <f t="shared" si="23"/>
        <v>0</v>
      </c>
      <c r="BI11" s="36">
        <v>0</v>
      </c>
      <c r="BJ11" s="53">
        <v>0</v>
      </c>
      <c r="BK11" s="61">
        <f t="shared" si="24"/>
        <v>0</v>
      </c>
      <c r="BL11" s="1742">
        <v>42585.8</v>
      </c>
      <c r="BM11" s="1736">
        <v>1486.74</v>
      </c>
      <c r="BN11" s="2170"/>
      <c r="BO11" s="1735">
        <f t="shared" si="25"/>
        <v>28.643744030563518</v>
      </c>
      <c r="BP11" s="1126">
        <v>4474</v>
      </c>
      <c r="BQ11" s="53">
        <v>904.09999999999991</v>
      </c>
      <c r="BR11" s="1735">
        <f t="shared" si="26"/>
        <v>4.9485676363234159</v>
      </c>
      <c r="BS11" s="36"/>
      <c r="BT11" s="53"/>
      <c r="BU11" s="61">
        <f t="shared" si="27"/>
        <v>0</v>
      </c>
      <c r="BV11" s="36">
        <v>23977</v>
      </c>
      <c r="BW11" s="27">
        <f t="shared" ref="BW11:BW21" si="130">ES11</f>
        <v>0</v>
      </c>
      <c r="BX11" s="1906">
        <f t="shared" si="28"/>
        <v>0</v>
      </c>
      <c r="BY11" s="26"/>
      <c r="BZ11" s="419"/>
      <c r="CA11" s="61">
        <f t="shared" si="29"/>
        <v>0</v>
      </c>
      <c r="CB11" s="36"/>
      <c r="CC11" s="5"/>
      <c r="CD11" s="482">
        <f t="shared" si="30"/>
        <v>0</v>
      </c>
      <c r="CE11" s="4"/>
      <c r="CF11" s="27"/>
      <c r="CG11" s="28">
        <f t="shared" si="31"/>
        <v>0</v>
      </c>
      <c r="CH11" s="149"/>
      <c r="CI11" s="4"/>
      <c r="CJ11" s="5">
        <v>0</v>
      </c>
      <c r="CK11" s="5">
        <v>7728</v>
      </c>
      <c r="CL11" s="5"/>
      <c r="CM11" s="5"/>
      <c r="CN11" s="3">
        <f t="shared" ref="CN11:CN40" si="131">CI11+CJ11+CK11</f>
        <v>7728</v>
      </c>
      <c r="CO11" s="33"/>
      <c r="CP11" s="366"/>
      <c r="CR11" s="4">
        <f t="shared" si="32"/>
        <v>0</v>
      </c>
      <c r="CS11" s="9">
        <f t="shared" si="33"/>
        <v>0</v>
      </c>
      <c r="CT11" s="5">
        <f t="shared" si="34"/>
        <v>0</v>
      </c>
      <c r="CU11" s="5">
        <f t="shared" si="35"/>
        <v>0</v>
      </c>
      <c r="CV11" s="5">
        <f t="shared" si="36"/>
        <v>0</v>
      </c>
      <c r="CW11" s="12">
        <f t="shared" si="37"/>
        <v>0</v>
      </c>
      <c r="CX11" s="486">
        <f t="shared" si="38"/>
        <v>0</v>
      </c>
      <c r="CY11" s="9">
        <f t="shared" si="39"/>
        <v>0</v>
      </c>
      <c r="CZ11" s="5">
        <f t="shared" si="40"/>
        <v>3878.62</v>
      </c>
      <c r="DA11" s="12">
        <f t="shared" si="41"/>
        <v>0</v>
      </c>
      <c r="DB11" s="486">
        <f t="shared" si="42"/>
        <v>1644.34</v>
      </c>
      <c r="DC11" s="486">
        <f t="shared" si="43"/>
        <v>0</v>
      </c>
      <c r="DD11" s="310">
        <f t="shared" si="44"/>
        <v>5522.96</v>
      </c>
      <c r="DE11" s="2695"/>
      <c r="DF11" s="8"/>
      <c r="DG11" s="9"/>
      <c r="DH11" s="5"/>
      <c r="DI11" s="5"/>
      <c r="DJ11" s="5"/>
      <c r="DK11" s="5"/>
      <c r="DL11" s="3">
        <v>0</v>
      </c>
      <c r="DM11" s="5"/>
      <c r="DN11" s="3">
        <v>0</v>
      </c>
      <c r="DO11" s="5"/>
      <c r="DP11" s="3">
        <v>0</v>
      </c>
      <c r="DQ11" s="11">
        <v>0</v>
      </c>
      <c r="DR11" s="12"/>
      <c r="DS11" s="1906">
        <f t="shared" si="45"/>
        <v>0</v>
      </c>
      <c r="DT11" s="36"/>
      <c r="DU11" s="36"/>
      <c r="DV11" s="27"/>
      <c r="DW11" s="27"/>
      <c r="DX11" s="5"/>
      <c r="DY11" s="5"/>
      <c r="DZ11" s="64"/>
      <c r="EA11" s="5"/>
      <c r="EB11" s="3">
        <v>3878.62</v>
      </c>
      <c r="EC11" s="53"/>
      <c r="ED11" s="24">
        <v>1644.34</v>
      </c>
      <c r="EE11" s="33"/>
      <c r="EF11" s="28">
        <f t="shared" si="46"/>
        <v>5522.96</v>
      </c>
      <c r="EG11" s="9"/>
      <c r="EH11" s="9"/>
      <c r="EI11" s="5"/>
      <c r="EJ11" s="5"/>
      <c r="EK11" s="27"/>
      <c r="EL11" s="27"/>
      <c r="EM11" s="27"/>
      <c r="EN11" s="27"/>
      <c r="EO11" s="5"/>
      <c r="EP11" s="5"/>
      <c r="EQ11" s="5">
        <v>0</v>
      </c>
      <c r="ER11" s="33"/>
      <c r="ES11" s="28">
        <f t="shared" si="47"/>
        <v>0</v>
      </c>
      <c r="ET11" s="36"/>
      <c r="EU11" s="27"/>
      <c r="EV11" s="27"/>
      <c r="EW11" s="27"/>
      <c r="EX11" s="27"/>
      <c r="EY11" s="27"/>
      <c r="EZ11" s="33">
        <f t="shared" si="48"/>
        <v>0</v>
      </c>
      <c r="FA11" s="2685"/>
      <c r="FC11" s="4">
        <f t="shared" si="49"/>
        <v>0</v>
      </c>
      <c r="FD11" s="5">
        <f t="shared" si="50"/>
        <v>0</v>
      </c>
      <c r="FE11" s="5">
        <f t="shared" si="51"/>
        <v>0</v>
      </c>
      <c r="FF11" s="12">
        <f t="shared" si="52"/>
        <v>0</v>
      </c>
      <c r="FG11" s="33"/>
      <c r="FH11" s="2674"/>
      <c r="FI11" s="9"/>
      <c r="FJ11" s="5"/>
      <c r="FK11" s="5"/>
      <c r="FL11" s="5"/>
      <c r="FM11" s="5"/>
      <c r="FN11" s="27"/>
      <c r="FO11" s="28">
        <f t="shared" si="53"/>
        <v>0</v>
      </c>
      <c r="FP11" s="36"/>
      <c r="FQ11" s="27"/>
      <c r="FR11" s="27"/>
      <c r="FS11" s="27"/>
      <c r="FT11" s="27"/>
      <c r="FU11" s="27"/>
      <c r="FV11" s="28">
        <f t="shared" si="54"/>
        <v>0</v>
      </c>
      <c r="FW11" s="36"/>
      <c r="FX11" s="36"/>
      <c r="FY11" s="27"/>
      <c r="FZ11" s="27"/>
      <c r="GA11" s="27"/>
      <c r="GB11" s="27"/>
      <c r="GC11" s="27"/>
      <c r="GD11" s="27"/>
      <c r="GE11" s="24">
        <v>0</v>
      </c>
      <c r="GF11" s="27"/>
      <c r="GG11" s="27"/>
      <c r="GH11" s="33"/>
      <c r="GI11" s="33">
        <f t="shared" si="55"/>
        <v>0</v>
      </c>
      <c r="GJ11" s="2674"/>
      <c r="GL11" s="2">
        <f t="shared" ref="GL11:GL40" si="132">+HN11</f>
        <v>0</v>
      </c>
      <c r="GM11" s="63">
        <f t="shared" ref="GM11:GM41" si="133">+IR11</f>
        <v>0</v>
      </c>
      <c r="GN11" s="24">
        <f t="shared" ref="GN11:GN40" si="134">+JG11</f>
        <v>0</v>
      </c>
      <c r="GO11" s="1736">
        <f t="shared" si="56"/>
        <v>0</v>
      </c>
      <c r="GP11" s="141"/>
      <c r="GQ11" s="141"/>
      <c r="GR11" s="33"/>
      <c r="GS11" s="2667"/>
      <c r="GT11" s="1739">
        <v>0</v>
      </c>
      <c r="GU11" s="1721">
        <v>0</v>
      </c>
      <c r="GV11" s="1721">
        <v>0</v>
      </c>
      <c r="GW11" s="1721">
        <v>0</v>
      </c>
      <c r="GX11" s="1724">
        <f t="shared" ref="GX11:GX40" si="135">SUM(GT11:GW11)</f>
        <v>0</v>
      </c>
      <c r="GY11" s="2667"/>
      <c r="GZ11" s="35">
        <v>0</v>
      </c>
      <c r="HA11" s="36"/>
      <c r="HB11" s="27"/>
      <c r="HC11" s="27"/>
      <c r="HD11" s="27"/>
      <c r="HE11" s="27"/>
      <c r="HF11" s="24">
        <v>0</v>
      </c>
      <c r="HG11" s="27"/>
      <c r="HH11" s="24">
        <v>0</v>
      </c>
      <c r="HI11" s="27"/>
      <c r="HJ11" s="24">
        <v>0</v>
      </c>
      <c r="HK11" s="27"/>
      <c r="HL11" s="24">
        <v>0</v>
      </c>
      <c r="HM11" s="27"/>
      <c r="HN11" s="28">
        <f t="shared" si="57"/>
        <v>0</v>
      </c>
      <c r="HO11" s="36"/>
      <c r="HP11" s="27"/>
      <c r="HQ11" s="27"/>
      <c r="HR11" s="27"/>
      <c r="HS11" s="27"/>
      <c r="HT11" s="27"/>
      <c r="HU11" s="27">
        <f t="array" ref="HU11">SUMPRODUCT(('Data Base hauling'!$C$2:$C$2000="TCM-ROM SB1 BK05-ROM 4")*(ISNUMBER(SEARCH(TEXT('August TCM'!$B11,"00")&amp;"/03/2026",'Data Base hauling'!$E$2:$E$2000)))*'Data Base hauling'!$N$2:$N$2000)</f>
        <v>0</v>
      </c>
      <c r="HV11" s="27"/>
      <c r="HW11" s="27">
        <f t="array" ref="HW11">SUMPRODUCT(('Data Base hauling'!$C$2:$C$2000="TCM-ROM SB1 BK05-ROM 5")*(ISNUMBER(SEARCH(TEXT('August TCM'!$B11,"00")&amp;"/03/2026",'Data Base hauling'!$E$2:$E$2000)))*'Data Base hauling'!$N$2:$N$2000)</f>
        <v>0</v>
      </c>
      <c r="HX11" s="27"/>
      <c r="HY11" s="27"/>
      <c r="HZ11" s="27"/>
      <c r="IA11" s="27"/>
      <c r="IB11" s="27"/>
      <c r="IC11" s="33">
        <f t="shared" si="58"/>
        <v>0</v>
      </c>
      <c r="ID11" s="52"/>
      <c r="IE11" s="152"/>
      <c r="IF11" s="53"/>
      <c r="IG11" s="53"/>
      <c r="IH11" s="53"/>
      <c r="II11" s="53"/>
      <c r="IJ11" s="1926">
        <v>0</v>
      </c>
      <c r="IK11" s="1736"/>
      <c r="IL11" s="1926">
        <v>0</v>
      </c>
      <c r="IM11" s="53"/>
      <c r="IN11" s="49">
        <v>0</v>
      </c>
      <c r="IO11" s="53"/>
      <c r="IP11" s="53"/>
      <c r="IQ11" s="49">
        <v>0</v>
      </c>
      <c r="IR11" s="2195">
        <f t="shared" si="59"/>
        <v>0</v>
      </c>
      <c r="IS11" s="36"/>
      <c r="IT11" s="36"/>
      <c r="IU11" s="27"/>
      <c r="IV11" s="27"/>
      <c r="IW11" s="53"/>
      <c r="IX11" s="27"/>
      <c r="IY11" s="24">
        <v>0</v>
      </c>
      <c r="IZ11" s="27"/>
      <c r="JA11" s="24">
        <v>0</v>
      </c>
      <c r="JB11" s="27"/>
      <c r="JC11" s="24">
        <v>0</v>
      </c>
      <c r="JD11" s="27"/>
      <c r="JE11" s="27"/>
      <c r="JF11" s="27"/>
      <c r="JG11" s="33">
        <f>SUM(IS11:JF11)</f>
        <v>0</v>
      </c>
      <c r="JH11" s="2667"/>
      <c r="JJ11" s="2014">
        <v>0</v>
      </c>
      <c r="JK11" s="2015">
        <v>0</v>
      </c>
      <c r="JL11" s="53"/>
      <c r="JM11" s="1736">
        <f t="shared" si="61"/>
        <v>0</v>
      </c>
      <c r="JN11" s="33"/>
      <c r="JO11" s="2669"/>
      <c r="JP11" s="66" t="s">
        <v>296</v>
      </c>
      <c r="JQ11" s="67" t="s">
        <v>296</v>
      </c>
      <c r="JR11" s="67" t="s">
        <v>296</v>
      </c>
      <c r="JS11" s="67" t="s">
        <v>296</v>
      </c>
      <c r="JT11" s="67" t="s">
        <v>296</v>
      </c>
      <c r="JU11" s="67" t="s">
        <v>296</v>
      </c>
      <c r="JV11" s="67" t="s">
        <v>296</v>
      </c>
      <c r="JW11" s="1921">
        <v>0</v>
      </c>
      <c r="JX11" s="66" t="s">
        <v>296</v>
      </c>
      <c r="JY11" s="67" t="s">
        <v>296</v>
      </c>
      <c r="JZ11" s="67" t="s">
        <v>296</v>
      </c>
      <c r="KA11" s="67" t="s">
        <v>296</v>
      </c>
      <c r="KB11" s="67" t="s">
        <v>296</v>
      </c>
      <c r="KC11" s="67" t="s">
        <v>296</v>
      </c>
      <c r="KD11" s="67" t="s">
        <v>296</v>
      </c>
      <c r="KE11" s="68" t="s">
        <v>296</v>
      </c>
      <c r="KF11" s="69"/>
      <c r="KG11" s="70"/>
      <c r="KH11" s="70"/>
      <c r="KI11" s="70"/>
      <c r="KJ11" s="70"/>
      <c r="KK11" s="70"/>
      <c r="KL11" s="70"/>
      <c r="KM11" s="70"/>
      <c r="KN11" s="33"/>
      <c r="KO11" s="2669"/>
      <c r="KP11" s="2203">
        <v>0</v>
      </c>
      <c r="KQ11" s="1721">
        <v>0</v>
      </c>
      <c r="KR11" s="1721">
        <v>0</v>
      </c>
      <c r="KS11" s="1721">
        <v>0</v>
      </c>
      <c r="KT11" s="1722">
        <v>0</v>
      </c>
      <c r="KU11" s="1958">
        <v>0</v>
      </c>
      <c r="KV11" s="1961">
        <v>0</v>
      </c>
      <c r="KW11" s="1961">
        <v>0</v>
      </c>
      <c r="KX11" s="1961">
        <v>0</v>
      </c>
      <c r="KY11" s="1962">
        <v>0</v>
      </c>
      <c r="KZ11" s="36"/>
      <c r="LA11" s="53"/>
      <c r="LB11" s="53"/>
      <c r="LC11" s="53"/>
      <c r="LD11" s="53"/>
      <c r="LE11" s="33"/>
      <c r="LF11" s="2669"/>
      <c r="LH11" s="998">
        <f t="shared" si="62"/>
        <v>9817.5400000000009</v>
      </c>
      <c r="LI11" s="27">
        <f t="shared" si="62"/>
        <v>0</v>
      </c>
      <c r="LJ11" s="27">
        <f t="shared" si="62"/>
        <v>0</v>
      </c>
      <c r="LK11" s="28">
        <f t="shared" si="63"/>
        <v>9817.5400000000009</v>
      </c>
      <c r="LL11" s="36">
        <v>1</v>
      </c>
      <c r="LM11" s="27">
        <v>1</v>
      </c>
      <c r="LN11" s="27">
        <v>2</v>
      </c>
      <c r="LO11" s="33"/>
      <c r="LP11" s="1044">
        <v>1.87</v>
      </c>
      <c r="LQ11" s="486"/>
      <c r="LR11" s="2688"/>
      <c r="LS11" s="36">
        <v>9817.5400000000009</v>
      </c>
      <c r="LT11" s="36"/>
      <c r="LU11" s="27"/>
      <c r="LV11" s="27"/>
      <c r="LW11" s="27"/>
      <c r="LX11" s="1117">
        <f>SUM(LS11:LW11)</f>
        <v>9817.5400000000009</v>
      </c>
      <c r="LY11" s="36"/>
      <c r="LZ11" s="36"/>
      <c r="MA11" s="27"/>
      <c r="MB11" s="27"/>
      <c r="MC11" s="33"/>
      <c r="MD11" s="28">
        <f t="shared" si="65"/>
        <v>0</v>
      </c>
      <c r="ME11" s="26"/>
      <c r="MF11" s="36"/>
      <c r="MG11" s="27"/>
      <c r="MH11" s="27"/>
      <c r="MI11" s="27"/>
      <c r="MJ11" s="28"/>
      <c r="MK11" s="36"/>
      <c r="ML11" s="36"/>
      <c r="MM11" s="27"/>
      <c r="MN11" s="27"/>
      <c r="MO11" s="27"/>
      <c r="MP11" s="28"/>
      <c r="MQ11" s="36"/>
      <c r="MR11" s="36"/>
      <c r="MS11" s="27"/>
      <c r="MT11" s="27"/>
      <c r="MU11" s="27"/>
      <c r="MV11" s="33">
        <f t="shared" si="66"/>
        <v>0</v>
      </c>
      <c r="MW11" s="2688"/>
      <c r="MY11" s="26">
        <f t="shared" si="67"/>
        <v>180913.10691943514</v>
      </c>
      <c r="MZ11" s="27">
        <f t="shared" si="68"/>
        <v>248415.4063037583</v>
      </c>
      <c r="NA11" s="27">
        <f t="shared" si="69"/>
        <v>24417.475697817415</v>
      </c>
      <c r="NB11" s="28">
        <f t="shared" si="70"/>
        <v>338428.73795580433</v>
      </c>
      <c r="NC11" s="2621"/>
      <c r="ND11" s="23">
        <f t="shared" si="71"/>
        <v>75466.906200678291</v>
      </c>
      <c r="NE11" s="1655">
        <f t="shared" si="72"/>
        <v>105446.20071875685</v>
      </c>
      <c r="NF11" s="60">
        <f t="shared" si="73"/>
        <v>0</v>
      </c>
      <c r="NG11" s="275">
        <f t="shared" si="4"/>
        <v>180913.10691943514</v>
      </c>
      <c r="NH11" s="26">
        <f t="shared" si="74"/>
        <v>0</v>
      </c>
      <c r="NI11" s="27">
        <f t="shared" si="74"/>
        <v>0</v>
      </c>
      <c r="NJ11" s="27">
        <f t="shared" si="74"/>
        <v>0</v>
      </c>
      <c r="NK11" s="27">
        <f t="shared" si="74"/>
        <v>0</v>
      </c>
      <c r="NL11" s="27">
        <f t="shared" si="74"/>
        <v>0</v>
      </c>
      <c r="NM11" s="33">
        <f t="shared" si="74"/>
        <v>0</v>
      </c>
      <c r="NN11" s="280">
        <f t="shared" si="74"/>
        <v>0</v>
      </c>
      <c r="NO11" s="36">
        <f t="shared" si="74"/>
        <v>0</v>
      </c>
      <c r="NP11" s="24">
        <f t="shared" si="74"/>
        <v>28923.210605424243</v>
      </c>
      <c r="NQ11" s="27">
        <f t="shared" si="74"/>
        <v>24023.830351777149</v>
      </c>
      <c r="NR11" s="24">
        <f t="shared" ref="NR11:NR40" si="136">+NR10+EG11-GZ11</f>
        <v>8756.5482322711578</v>
      </c>
      <c r="NS11" s="24">
        <f t="shared" ref="NS11:NS39" si="137">+NS10+EQ11-HJ11</f>
        <v>8212.6935664101129</v>
      </c>
      <c r="NT11" s="27">
        <f t="shared" si="0"/>
        <v>69916.282755882668</v>
      </c>
      <c r="NU11" s="27">
        <f t="shared" si="75"/>
        <v>0</v>
      </c>
      <c r="NV11" s="27">
        <f t="shared" si="76"/>
        <v>0</v>
      </c>
      <c r="NW11" s="27">
        <f t="shared" si="77"/>
        <v>0</v>
      </c>
      <c r="NX11" s="27">
        <f t="shared" si="78"/>
        <v>0</v>
      </c>
      <c r="NY11" s="27">
        <f t="shared" si="79"/>
        <v>0</v>
      </c>
      <c r="NZ11" s="27">
        <f t="shared" si="80"/>
        <v>0</v>
      </c>
      <c r="OA11" s="27">
        <f t="shared" si="81"/>
        <v>13570.384489662853</v>
      </c>
      <c r="OB11" s="27">
        <f t="shared" si="82"/>
        <v>0</v>
      </c>
      <c r="OC11" s="27">
        <f t="shared" si="83"/>
        <v>80425.979485704171</v>
      </c>
      <c r="OD11" s="280"/>
      <c r="OE11" s="27">
        <f t="shared" ref="OE11:OE40" si="138">+OE10+DQ11-IO11</f>
        <v>0</v>
      </c>
      <c r="OF11" s="27">
        <f t="shared" si="84"/>
        <v>0</v>
      </c>
      <c r="OG11" s="27">
        <f t="shared" si="1"/>
        <v>93996.363975367029</v>
      </c>
      <c r="OH11" s="27">
        <f t="shared" si="85"/>
        <v>0</v>
      </c>
      <c r="OI11" s="27">
        <f t="shared" si="85"/>
        <v>0</v>
      </c>
      <c r="OJ11" s="27">
        <f t="shared" si="85"/>
        <v>0</v>
      </c>
      <c r="OK11" s="27">
        <f t="shared" si="85"/>
        <v>0</v>
      </c>
      <c r="OL11" s="27">
        <f t="shared" si="85"/>
        <v>0</v>
      </c>
      <c r="OM11" s="27">
        <f t="shared" si="85"/>
        <v>0</v>
      </c>
      <c r="ON11" s="24">
        <f t="shared" si="85"/>
        <v>0</v>
      </c>
      <c r="OO11" s="27">
        <f t="shared" si="85"/>
        <v>0</v>
      </c>
      <c r="OP11" s="24">
        <f t="shared" si="86"/>
        <v>67843.382313713752</v>
      </c>
      <c r="OQ11" s="27">
        <f t="shared" si="87"/>
        <v>0</v>
      </c>
      <c r="OR11" s="24">
        <f t="shared" si="88"/>
        <v>16659.377258794844</v>
      </c>
      <c r="OS11" s="27">
        <f t="shared" si="89"/>
        <v>0</v>
      </c>
      <c r="OT11" s="28">
        <f t="shared" si="2"/>
        <v>84502.759572508599</v>
      </c>
      <c r="OU11" s="36"/>
      <c r="OV11" s="27"/>
      <c r="OW11" s="27"/>
      <c r="OX11" s="27"/>
      <c r="OY11" s="27"/>
      <c r="OZ11" s="27"/>
      <c r="PA11" s="28">
        <f t="shared" si="90"/>
        <v>0</v>
      </c>
      <c r="PB11" s="36">
        <f t="shared" si="91"/>
        <v>0</v>
      </c>
      <c r="PC11" s="27">
        <f t="shared" si="92"/>
        <v>0</v>
      </c>
      <c r="PD11" s="27">
        <f t="shared" si="93"/>
        <v>0</v>
      </c>
      <c r="PE11" s="27">
        <f t="shared" si="94"/>
        <v>0</v>
      </c>
      <c r="PF11" s="24"/>
      <c r="PG11" s="27">
        <f t="shared" si="95"/>
        <v>0</v>
      </c>
      <c r="PH11" s="33">
        <f t="shared" si="3"/>
        <v>0</v>
      </c>
      <c r="PI11" s="2621"/>
      <c r="PK11" s="1907">
        <v>1227.92</v>
      </c>
      <c r="PL11" s="1101">
        <v>284</v>
      </c>
      <c r="PM11" s="1101">
        <v>85.199999999999989</v>
      </c>
      <c r="PN11" s="3">
        <f t="shared" si="96"/>
        <v>0</v>
      </c>
      <c r="PO11" s="3">
        <f t="shared" si="97"/>
        <v>28242.969204532863</v>
      </c>
      <c r="PP11" s="11">
        <f t="shared" si="98"/>
        <v>24417.475697817415</v>
      </c>
      <c r="PQ11" s="15"/>
      <c r="PR11" s="2615"/>
      <c r="PT11" s="4"/>
      <c r="PU11" s="9"/>
      <c r="PV11" s="9"/>
      <c r="PW11" s="9"/>
      <c r="PX11" s="2531">
        <v>0</v>
      </c>
      <c r="PY11" s="9"/>
      <c r="PZ11" s="8">
        <f t="shared" si="99"/>
        <v>0</v>
      </c>
      <c r="QA11" s="5">
        <f t="shared" si="100"/>
        <v>1227.92</v>
      </c>
      <c r="QB11" s="5"/>
      <c r="QC11" s="5"/>
      <c r="QD11" s="5"/>
      <c r="QE11" s="5"/>
      <c r="QF11" s="5"/>
      <c r="QG11" s="12"/>
      <c r="QH11" s="12">
        <f t="shared" si="101"/>
        <v>29562.488999999998</v>
      </c>
      <c r="QI11" s="420">
        <f t="shared" si="102"/>
        <v>305145.96007140435</v>
      </c>
      <c r="QJ11" s="1106">
        <f t="shared" ref="QJ11:QJ39" si="139">+QJ10+PY11-QF11</f>
        <v>3720.2888844000004</v>
      </c>
      <c r="QK11" s="484">
        <f t="shared" si="103"/>
        <v>5505.3678056099998</v>
      </c>
      <c r="QL11" s="12"/>
      <c r="QM11" s="2615"/>
      <c r="QO11" s="139" t="str">
        <f t="shared" si="104"/>
        <v/>
      </c>
      <c r="QP11" s="139" t="str">
        <f t="shared" si="105"/>
        <v/>
      </c>
      <c r="QR11" s="139" t="str">
        <f t="shared" si="106"/>
        <v/>
      </c>
      <c r="QS11" s="139" t="str">
        <f t="shared" si="107"/>
        <v/>
      </c>
      <c r="QU11" s="1">
        <f t="shared" si="108"/>
        <v>0</v>
      </c>
      <c r="QV11" s="1">
        <f t="shared" si="109"/>
        <v>0</v>
      </c>
      <c r="QW11" s="1">
        <f t="shared" si="110"/>
        <v>0</v>
      </c>
      <c r="QX11" s="1">
        <f t="shared" si="111"/>
        <v>0</v>
      </c>
      <c r="QY11" s="1">
        <f t="shared" si="112"/>
        <v>0</v>
      </c>
      <c r="QZ11" s="1">
        <f t="shared" si="113"/>
        <v>0</v>
      </c>
      <c r="RB11" s="1">
        <f t="shared" si="114"/>
        <v>0</v>
      </c>
      <c r="RC11" s="1">
        <f t="shared" si="115"/>
        <v>0</v>
      </c>
      <c r="RD11" s="1">
        <f t="shared" si="116"/>
        <v>0</v>
      </c>
      <c r="RE11" s="1">
        <f t="shared" si="117"/>
        <v>0</v>
      </c>
      <c r="RF11" s="1">
        <f t="shared" si="118"/>
        <v>0</v>
      </c>
      <c r="RG11" s="1">
        <f t="shared" si="119"/>
        <v>0</v>
      </c>
      <c r="RJ11" s="1">
        <v>2</v>
      </c>
      <c r="RK11" s="1">
        <f t="shared" si="120"/>
        <v>35606.621751083163</v>
      </c>
      <c r="RL11" s="1">
        <f t="shared" si="120"/>
        <v>3925.5835498622801</v>
      </c>
      <c r="RM11" s="1">
        <f t="shared" si="120"/>
        <v>9178.5689913333827</v>
      </c>
      <c r="RN11" s="89">
        <f t="shared" si="5"/>
        <v>48710.774292278824</v>
      </c>
      <c r="RO11" s="1033">
        <v>2</v>
      </c>
      <c r="RP11" s="1098">
        <v>0</v>
      </c>
      <c r="RQ11" s="1098">
        <f t="shared" si="121"/>
        <v>0</v>
      </c>
      <c r="RR11" s="1097">
        <f t="shared" si="121"/>
        <v>0</v>
      </c>
      <c r="RS11" s="1097">
        <f t="shared" si="122"/>
        <v>5522.9599999999991</v>
      </c>
      <c r="RT11" s="2420"/>
      <c r="RU11" s="2441" t="s">
        <v>1053</v>
      </c>
      <c r="RX11" s="421">
        <v>2</v>
      </c>
      <c r="RY11" s="1095">
        <f t="shared" si="123"/>
        <v>0</v>
      </c>
      <c r="RZ11" s="1096"/>
      <c r="SB11" s="1090"/>
      <c r="SC11" s="1090">
        <f t="shared" si="124"/>
        <v>0</v>
      </c>
      <c r="SD11" s="1090"/>
      <c r="SE11" s="1090">
        <f t="shared" si="125"/>
        <v>0</v>
      </c>
      <c r="SG11" s="1">
        <v>2</v>
      </c>
      <c r="SH11" s="1">
        <f t="shared" si="126"/>
        <v>0</v>
      </c>
      <c r="SI11" s="1094"/>
    </row>
    <row r="12" spans="1:503" s="1" customFormat="1">
      <c r="A12" s="1">
        <v>1630.7189913362533</v>
      </c>
      <c r="B12" s="471">
        <v>3</v>
      </c>
      <c r="C12" s="4">
        <f t="shared" si="127"/>
        <v>161342</v>
      </c>
      <c r="D12" s="1590">
        <f t="shared" si="128"/>
        <v>6646.36</v>
      </c>
      <c r="E12" s="1895">
        <f t="shared" si="6"/>
        <v>24.275242388314808</v>
      </c>
      <c r="F12" s="870"/>
      <c r="G12" s="870"/>
      <c r="H12" s="52"/>
      <c r="I12" s="61"/>
      <c r="J12" s="52"/>
      <c r="K12" s="54"/>
      <c r="L12" s="52"/>
      <c r="M12" s="61"/>
      <c r="N12" s="2629"/>
      <c r="O12" s="4">
        <f>+SUM(AQ12,BC12,AW12)</f>
        <v>92106</v>
      </c>
      <c r="P12" s="1225">
        <f t="shared" si="7"/>
        <v>4330.1399999999994</v>
      </c>
      <c r="Q12" s="1913">
        <f t="shared" si="8"/>
        <v>21.270905790574904</v>
      </c>
      <c r="R12" s="33"/>
      <c r="S12" s="26">
        <f t="shared" si="9"/>
        <v>42983</v>
      </c>
      <c r="T12" s="27">
        <f t="shared" si="129"/>
        <v>1592.5799999999997</v>
      </c>
      <c r="U12" s="1909">
        <f t="shared" si="10"/>
        <v>26.989538987052462</v>
      </c>
      <c r="V12" s="28"/>
      <c r="W12" s="1742">
        <f t="shared" si="11"/>
        <v>19779</v>
      </c>
      <c r="X12" s="5">
        <f t="shared" si="11"/>
        <v>0</v>
      </c>
      <c r="Y12" s="1909">
        <f t="shared" si="12"/>
        <v>0</v>
      </c>
      <c r="Z12" s="33"/>
      <c r="AA12" s="26">
        <f t="shared" si="13"/>
        <v>6474</v>
      </c>
      <c r="AB12" s="27">
        <f>BQ12+CC12</f>
        <v>723.64</v>
      </c>
      <c r="AC12" s="1909">
        <f t="shared" si="15"/>
        <v>8.9464374550881658</v>
      </c>
      <c r="AD12" s="28"/>
      <c r="AE12" s="36"/>
      <c r="AF12" s="36"/>
      <c r="AG12" s="53">
        <f t="shared" si="16"/>
        <v>0</v>
      </c>
      <c r="AH12" s="28"/>
      <c r="AI12" s="23"/>
      <c r="AJ12" s="27"/>
      <c r="AK12" s="53">
        <f t="shared" si="17"/>
        <v>0</v>
      </c>
      <c r="AL12" s="28"/>
      <c r="AM12" s="2629"/>
      <c r="AN12" s="9"/>
      <c r="AO12" s="5"/>
      <c r="AP12" s="61">
        <f t="shared" si="18"/>
        <v>0</v>
      </c>
      <c r="AQ12" s="36"/>
      <c r="AR12" s="53"/>
      <c r="AS12" s="61">
        <f t="shared" si="19"/>
        <v>0</v>
      </c>
      <c r="AT12" s="36"/>
      <c r="AU12" s="27"/>
      <c r="AV12" s="54">
        <f t="shared" si="20"/>
        <v>0</v>
      </c>
      <c r="AW12" s="26">
        <v>56700</v>
      </c>
      <c r="AX12" s="24">
        <v>0</v>
      </c>
      <c r="AY12" s="1735">
        <f t="shared" ref="AY12:AY40" si="140">IFERROR(AW12/AX12,0)</f>
        <v>0</v>
      </c>
      <c r="AZ12" s="36"/>
      <c r="BA12" s="27"/>
      <c r="BB12" s="61">
        <f t="shared" si="21"/>
        <v>0</v>
      </c>
      <c r="BC12" s="1740">
        <v>35406</v>
      </c>
      <c r="BD12" s="1926">
        <v>4330.1399999999994</v>
      </c>
      <c r="BE12" s="1735">
        <f t="shared" si="22"/>
        <v>8.1766409400157976</v>
      </c>
      <c r="BF12" s="36"/>
      <c r="BG12" s="53"/>
      <c r="BH12" s="61">
        <f t="shared" si="23"/>
        <v>0</v>
      </c>
      <c r="BI12" s="36">
        <v>0</v>
      </c>
      <c r="BJ12" s="53">
        <v>0</v>
      </c>
      <c r="BK12" s="61">
        <f t="shared" si="24"/>
        <v>0</v>
      </c>
      <c r="BL12" s="1742">
        <v>42983</v>
      </c>
      <c r="BM12" s="1736">
        <v>1592.5799999999997</v>
      </c>
      <c r="BN12" s="2170"/>
      <c r="BO12" s="1735">
        <f t="shared" si="25"/>
        <v>26.989538987052462</v>
      </c>
      <c r="BP12" s="1125">
        <v>6474</v>
      </c>
      <c r="BQ12" s="53">
        <v>723.64</v>
      </c>
      <c r="BR12" s="1735">
        <f t="shared" si="26"/>
        <v>8.9464374550881658</v>
      </c>
      <c r="BS12" s="36"/>
      <c r="BT12" s="53"/>
      <c r="BU12" s="61">
        <f t="shared" si="27"/>
        <v>0</v>
      </c>
      <c r="BV12" s="36">
        <v>19779</v>
      </c>
      <c r="BW12" s="27">
        <f t="shared" si="130"/>
        <v>0</v>
      </c>
      <c r="BX12" s="1906">
        <f t="shared" si="28"/>
        <v>0</v>
      </c>
      <c r="BY12" s="26"/>
      <c r="BZ12" s="27"/>
      <c r="CA12" s="61">
        <f t="shared" si="29"/>
        <v>0</v>
      </c>
      <c r="CB12" s="36"/>
      <c r="CC12" s="5"/>
      <c r="CD12" s="482">
        <f t="shared" si="30"/>
        <v>0</v>
      </c>
      <c r="CE12" s="4"/>
      <c r="CF12" s="280"/>
      <c r="CG12" s="28">
        <f t="shared" si="31"/>
        <v>0</v>
      </c>
      <c r="CH12" s="150"/>
      <c r="CI12" s="4"/>
      <c r="CJ12" s="5">
        <v>0</v>
      </c>
      <c r="CK12" s="5">
        <v>5832</v>
      </c>
      <c r="CL12" s="5"/>
      <c r="CM12" s="5"/>
      <c r="CN12" s="3">
        <f t="shared" si="131"/>
        <v>5832</v>
      </c>
      <c r="CO12" s="33"/>
      <c r="CP12" s="366"/>
      <c r="CR12" s="4">
        <f t="shared" si="32"/>
        <v>0</v>
      </c>
      <c r="CS12" s="9">
        <f t="shared" si="33"/>
        <v>0</v>
      </c>
      <c r="CT12" s="5">
        <f t="shared" si="34"/>
        <v>0</v>
      </c>
      <c r="CU12" s="5">
        <f t="shared" si="35"/>
        <v>0</v>
      </c>
      <c r="CV12" s="5">
        <f t="shared" si="36"/>
        <v>0</v>
      </c>
      <c r="CW12" s="5">
        <f t="shared" si="37"/>
        <v>0</v>
      </c>
      <c r="CX12" s="488">
        <f t="shared" si="38"/>
        <v>0</v>
      </c>
      <c r="CY12" s="5">
        <f t="shared" si="39"/>
        <v>0</v>
      </c>
      <c r="CZ12" s="5">
        <f t="shared" si="40"/>
        <v>6646.3599999999988</v>
      </c>
      <c r="DA12" s="5">
        <f t="shared" si="41"/>
        <v>0</v>
      </c>
      <c r="DB12" s="488">
        <f t="shared" si="42"/>
        <v>0</v>
      </c>
      <c r="DC12" s="12">
        <f t="shared" si="43"/>
        <v>0</v>
      </c>
      <c r="DD12" s="310">
        <f t="shared" si="44"/>
        <v>6646.3599999999988</v>
      </c>
      <c r="DE12" s="2695"/>
      <c r="DF12" s="8"/>
      <c r="DG12" s="9"/>
      <c r="DH12" s="5"/>
      <c r="DI12" s="5"/>
      <c r="DJ12" s="5"/>
      <c r="DK12" s="5"/>
      <c r="DL12" s="3">
        <v>0</v>
      </c>
      <c r="DM12" s="5"/>
      <c r="DN12" s="3">
        <v>0</v>
      </c>
      <c r="DO12" s="5"/>
      <c r="DP12" s="3">
        <v>0</v>
      </c>
      <c r="DQ12" s="11">
        <v>0</v>
      </c>
      <c r="DR12" s="12"/>
      <c r="DS12" s="1906">
        <f t="shared" si="45"/>
        <v>0</v>
      </c>
      <c r="DT12" s="36"/>
      <c r="DU12" s="36"/>
      <c r="DV12" s="27"/>
      <c r="DW12" s="27"/>
      <c r="DX12" s="5"/>
      <c r="DY12" s="5"/>
      <c r="DZ12" s="64"/>
      <c r="EA12" s="5"/>
      <c r="EB12" s="3">
        <v>6646.3599999999988</v>
      </c>
      <c r="EC12" s="53"/>
      <c r="ED12" s="24">
        <v>0</v>
      </c>
      <c r="EE12" s="33"/>
      <c r="EF12" s="28">
        <f t="shared" si="46"/>
        <v>6646.3599999999988</v>
      </c>
      <c r="EG12" s="9"/>
      <c r="EH12" s="9"/>
      <c r="EI12" s="491"/>
      <c r="EJ12" s="5"/>
      <c r="EK12" s="27"/>
      <c r="EL12" s="27"/>
      <c r="EM12" s="27"/>
      <c r="EN12" s="27"/>
      <c r="EO12" s="5"/>
      <c r="EP12" s="5"/>
      <c r="EQ12" s="5">
        <v>0</v>
      </c>
      <c r="ER12" s="33"/>
      <c r="ES12" s="28">
        <f t="shared" si="47"/>
        <v>0</v>
      </c>
      <c r="ET12" s="36"/>
      <c r="EU12" s="27"/>
      <c r="EV12" s="27"/>
      <c r="EW12" s="27"/>
      <c r="EX12" s="27"/>
      <c r="EY12" s="27"/>
      <c r="EZ12" s="33">
        <f t="shared" si="48"/>
        <v>0</v>
      </c>
      <c r="FA12" s="2685"/>
      <c r="FC12" s="4">
        <f t="shared" si="49"/>
        <v>0</v>
      </c>
      <c r="FD12" s="5">
        <f t="shared" si="50"/>
        <v>0</v>
      </c>
      <c r="FE12" s="5">
        <f t="shared" si="51"/>
        <v>0</v>
      </c>
      <c r="FF12" s="12">
        <f t="shared" si="52"/>
        <v>0</v>
      </c>
      <c r="FG12" s="33"/>
      <c r="FH12" s="2674"/>
      <c r="FI12" s="9"/>
      <c r="FJ12" s="5"/>
      <c r="FK12" s="5"/>
      <c r="FL12" s="5"/>
      <c r="FM12" s="5"/>
      <c r="FN12" s="27"/>
      <c r="FO12" s="28">
        <f t="shared" si="53"/>
        <v>0</v>
      </c>
      <c r="FP12" s="36"/>
      <c r="FQ12" s="27"/>
      <c r="FR12" s="27"/>
      <c r="FS12" s="27"/>
      <c r="FT12" s="27"/>
      <c r="FU12" s="27"/>
      <c r="FV12" s="28">
        <f t="shared" si="54"/>
        <v>0</v>
      </c>
      <c r="FW12" s="36"/>
      <c r="FX12" s="36"/>
      <c r="FY12" s="27"/>
      <c r="FZ12" s="27"/>
      <c r="GA12" s="27"/>
      <c r="GB12" s="27"/>
      <c r="GC12" s="27"/>
      <c r="GD12" s="27"/>
      <c r="GE12" s="24">
        <v>0</v>
      </c>
      <c r="GF12" s="27"/>
      <c r="GG12" s="27"/>
      <c r="GH12" s="33"/>
      <c r="GI12" s="33">
        <f t="shared" si="55"/>
        <v>0</v>
      </c>
      <c r="GJ12" s="2674"/>
      <c r="GL12" s="2">
        <f t="shared" si="132"/>
        <v>0</v>
      </c>
      <c r="GM12" s="63">
        <f t="shared" si="133"/>
        <v>0</v>
      </c>
      <c r="GN12" s="24">
        <f t="shared" si="134"/>
        <v>0</v>
      </c>
      <c r="GO12" s="1736">
        <f t="shared" si="56"/>
        <v>0</v>
      </c>
      <c r="GP12" s="141"/>
      <c r="GQ12" s="141"/>
      <c r="GR12" s="33"/>
      <c r="GS12" s="2667"/>
      <c r="GT12" s="1739">
        <v>0</v>
      </c>
      <c r="GU12" s="1721">
        <v>0</v>
      </c>
      <c r="GV12" s="1721">
        <v>0</v>
      </c>
      <c r="GW12" s="1721">
        <v>0</v>
      </c>
      <c r="GX12" s="1724">
        <f t="shared" si="135"/>
        <v>0</v>
      </c>
      <c r="GY12" s="2667"/>
      <c r="GZ12" s="35">
        <v>0</v>
      </c>
      <c r="HA12" s="36"/>
      <c r="HB12" s="27"/>
      <c r="HC12" s="27"/>
      <c r="HD12" s="27"/>
      <c r="HE12" s="27"/>
      <c r="HF12" s="24">
        <v>0</v>
      </c>
      <c r="HG12" s="27"/>
      <c r="HH12" s="24">
        <v>0</v>
      </c>
      <c r="HI12" s="27"/>
      <c r="HJ12" s="24">
        <v>0</v>
      </c>
      <c r="HK12" s="27"/>
      <c r="HL12" s="24">
        <v>0</v>
      </c>
      <c r="HM12" s="27"/>
      <c r="HN12" s="28">
        <f t="shared" si="57"/>
        <v>0</v>
      </c>
      <c r="HO12" s="36"/>
      <c r="HP12" s="27"/>
      <c r="HQ12" s="27"/>
      <c r="HR12" s="27"/>
      <c r="HS12" s="27"/>
      <c r="HT12" s="27"/>
      <c r="HU12" s="27">
        <f t="array" ref="HU12">SUMPRODUCT(('Data Base hauling'!$C$2:$C$2000="TCM-ROM SB1 BK05-ROM 4")*(ISNUMBER(SEARCH(TEXT('August TCM'!$B12,"00")&amp;"/03/2026",'Data Base hauling'!$E$2:$E$2000)))*'Data Base hauling'!$N$2:$N$2000)</f>
        <v>0</v>
      </c>
      <c r="HV12" s="27"/>
      <c r="HW12" s="27">
        <f t="array" ref="HW12">SUMPRODUCT(('Data Base hauling'!$C$2:$C$2000="TCM-ROM SB1 BK05-ROM 5")*(ISNUMBER(SEARCH(TEXT('August TCM'!$B12,"00")&amp;"/03/2026",'Data Base hauling'!$E$2:$E$2000)))*'Data Base hauling'!$N$2:$N$2000)</f>
        <v>0</v>
      </c>
      <c r="HX12" s="27"/>
      <c r="HY12" s="27"/>
      <c r="HZ12" s="27"/>
      <c r="IA12" s="27"/>
      <c r="IB12" s="27"/>
      <c r="IC12" s="33">
        <f t="shared" si="58"/>
        <v>0</v>
      </c>
      <c r="ID12" s="52"/>
      <c r="IE12" s="152"/>
      <c r="IF12" s="53"/>
      <c r="IG12" s="53"/>
      <c r="IH12" s="53"/>
      <c r="II12" s="53"/>
      <c r="IJ12" s="1926">
        <v>0</v>
      </c>
      <c r="IK12" s="1736"/>
      <c r="IL12" s="1926">
        <v>0</v>
      </c>
      <c r="IM12" s="53"/>
      <c r="IN12" s="49">
        <v>0</v>
      </c>
      <c r="IO12" s="53"/>
      <c r="IP12" s="53"/>
      <c r="IQ12" s="49">
        <v>0</v>
      </c>
      <c r="IR12" s="2195">
        <f t="shared" si="59"/>
        <v>0</v>
      </c>
      <c r="IS12" s="36"/>
      <c r="IT12" s="36"/>
      <c r="IU12" s="27"/>
      <c r="IV12" s="27"/>
      <c r="IW12" s="53"/>
      <c r="IX12" s="27"/>
      <c r="IY12" s="24">
        <v>0</v>
      </c>
      <c r="IZ12" s="27"/>
      <c r="JA12" s="24">
        <v>0</v>
      </c>
      <c r="JB12" s="27"/>
      <c r="JC12" s="24">
        <v>0</v>
      </c>
      <c r="JD12" s="27"/>
      <c r="JE12" s="27"/>
      <c r="JF12" s="27"/>
      <c r="JG12" s="33">
        <f t="shared" ref="JG12:JG16" si="141">SUM(IS12:JF12)</f>
        <v>0</v>
      </c>
      <c r="JH12" s="2667"/>
      <c r="JJ12" s="2014">
        <v>0</v>
      </c>
      <c r="JK12" s="2015">
        <v>0</v>
      </c>
      <c r="JL12" s="53"/>
      <c r="JM12" s="1736">
        <f t="shared" si="61"/>
        <v>0</v>
      </c>
      <c r="JN12" s="33"/>
      <c r="JO12" s="2669"/>
      <c r="JP12" s="66" t="s">
        <v>296</v>
      </c>
      <c r="JQ12" s="67" t="s">
        <v>296</v>
      </c>
      <c r="JR12" s="67" t="s">
        <v>296</v>
      </c>
      <c r="JS12" s="67" t="s">
        <v>296</v>
      </c>
      <c r="JT12" s="67" t="s">
        <v>296</v>
      </c>
      <c r="JU12" s="67" t="s">
        <v>296</v>
      </c>
      <c r="JV12" s="67" t="s">
        <v>296</v>
      </c>
      <c r="JW12" s="1921">
        <v>0</v>
      </c>
      <c r="JX12" s="66" t="s">
        <v>296</v>
      </c>
      <c r="JY12" s="67" t="s">
        <v>296</v>
      </c>
      <c r="JZ12" s="67" t="s">
        <v>296</v>
      </c>
      <c r="KA12" s="67" t="s">
        <v>296</v>
      </c>
      <c r="KB12" s="67" t="s">
        <v>296</v>
      </c>
      <c r="KC12" s="67" t="s">
        <v>296</v>
      </c>
      <c r="KD12" s="67" t="s">
        <v>296</v>
      </c>
      <c r="KE12" s="68" t="s">
        <v>296</v>
      </c>
      <c r="KF12" s="69"/>
      <c r="KG12" s="70"/>
      <c r="KH12" s="70"/>
      <c r="KI12" s="70"/>
      <c r="KJ12" s="70"/>
      <c r="KK12" s="70"/>
      <c r="KL12" s="70"/>
      <c r="KM12" s="70"/>
      <c r="KN12" s="33"/>
      <c r="KO12" s="2669"/>
      <c r="KP12" s="2203">
        <v>0</v>
      </c>
      <c r="KQ12" s="1721">
        <v>0</v>
      </c>
      <c r="KR12" s="1721">
        <v>0</v>
      </c>
      <c r="KS12" s="1721">
        <v>0</v>
      </c>
      <c r="KT12" s="1722">
        <v>0</v>
      </c>
      <c r="KU12" s="1958">
        <v>0</v>
      </c>
      <c r="KV12" s="1961">
        <v>0</v>
      </c>
      <c r="KW12" s="1961">
        <v>0</v>
      </c>
      <c r="KX12" s="1961">
        <v>0</v>
      </c>
      <c r="KY12" s="1962">
        <v>0</v>
      </c>
      <c r="KZ12" s="36"/>
      <c r="LA12" s="53"/>
      <c r="LB12" s="53"/>
      <c r="LC12" s="53"/>
      <c r="LD12" s="53"/>
      <c r="LE12" s="33"/>
      <c r="LF12" s="2669"/>
      <c r="LH12" s="998">
        <f t="shared" si="62"/>
        <v>0</v>
      </c>
      <c r="LI12" s="27">
        <f t="shared" si="62"/>
        <v>4527.21</v>
      </c>
      <c r="LJ12" s="27">
        <f t="shared" si="62"/>
        <v>0</v>
      </c>
      <c r="LK12" s="28">
        <f t="shared" si="63"/>
        <v>4527.21</v>
      </c>
      <c r="LL12" s="36">
        <v>1</v>
      </c>
      <c r="LM12" s="27"/>
      <c r="LN12" s="27">
        <v>3</v>
      </c>
      <c r="LO12" s="33"/>
      <c r="LP12" s="1041">
        <v>1.87</v>
      </c>
      <c r="LQ12" s="486"/>
      <c r="LR12" s="2688"/>
      <c r="LS12" s="36"/>
      <c r="LT12" s="27"/>
      <c r="LU12" s="27"/>
      <c r="LV12" s="27"/>
      <c r="LW12" s="27"/>
      <c r="LX12" s="1117">
        <f t="shared" si="64"/>
        <v>0</v>
      </c>
      <c r="LY12" s="36"/>
      <c r="LZ12" s="36">
        <v>4527.21</v>
      </c>
      <c r="MA12" s="27"/>
      <c r="MB12" s="27"/>
      <c r="MC12" s="33"/>
      <c r="MD12" s="28">
        <f t="shared" si="65"/>
        <v>4527.21</v>
      </c>
      <c r="ME12" s="26"/>
      <c r="MF12" s="36"/>
      <c r="MG12" s="27"/>
      <c r="MH12" s="27"/>
      <c r="MI12" s="27"/>
      <c r="MJ12" s="28"/>
      <c r="MK12" s="36"/>
      <c r="ML12" s="36"/>
      <c r="MM12" s="27"/>
      <c r="MN12" s="27"/>
      <c r="MO12" s="27"/>
      <c r="MP12" s="28"/>
      <c r="MQ12" s="36"/>
      <c r="MR12" s="36"/>
      <c r="MS12" s="27"/>
      <c r="MT12" s="27"/>
      <c r="MU12" s="27"/>
      <c r="MV12" s="33">
        <f t="shared" si="66"/>
        <v>0</v>
      </c>
      <c r="MW12" s="2688"/>
      <c r="MY12" s="26">
        <f t="shared" si="67"/>
        <v>176385.89691943512</v>
      </c>
      <c r="MZ12" s="27">
        <f t="shared" si="68"/>
        <v>255061.76630375831</v>
      </c>
      <c r="NA12" s="27">
        <f t="shared" si="69"/>
        <v>24417.475697817415</v>
      </c>
      <c r="NB12" s="28">
        <f t="shared" si="70"/>
        <v>337077.53795580432</v>
      </c>
      <c r="NC12" s="2621"/>
      <c r="ND12" s="23">
        <f t="shared" si="71"/>
        <v>75466.906200678291</v>
      </c>
      <c r="NE12" s="1655">
        <f t="shared" si="72"/>
        <v>100918.99071875685</v>
      </c>
      <c r="NF12" s="60">
        <f t="shared" si="73"/>
        <v>0</v>
      </c>
      <c r="NG12" s="275">
        <f t="shared" si="4"/>
        <v>176385.89691943512</v>
      </c>
      <c r="NH12" s="26">
        <f t="shared" si="74"/>
        <v>0</v>
      </c>
      <c r="NI12" s="27">
        <f t="shared" si="74"/>
        <v>0</v>
      </c>
      <c r="NJ12" s="27">
        <f t="shared" si="74"/>
        <v>0</v>
      </c>
      <c r="NK12" s="27">
        <f t="shared" si="74"/>
        <v>0</v>
      </c>
      <c r="NL12" s="27">
        <f t="shared" si="74"/>
        <v>0</v>
      </c>
      <c r="NM12" s="33">
        <f t="shared" si="74"/>
        <v>0</v>
      </c>
      <c r="NN12" s="27">
        <f t="shared" si="74"/>
        <v>0</v>
      </c>
      <c r="NO12" s="36">
        <f t="shared" si="74"/>
        <v>0</v>
      </c>
      <c r="NP12" s="24">
        <f t="shared" si="74"/>
        <v>28923.210605424243</v>
      </c>
      <c r="NQ12" s="27">
        <f t="shared" si="74"/>
        <v>24023.830351777149</v>
      </c>
      <c r="NR12" s="24">
        <f t="shared" si="136"/>
        <v>8756.5482322711578</v>
      </c>
      <c r="NS12" s="24">
        <f t="shared" si="137"/>
        <v>8212.6935664101129</v>
      </c>
      <c r="NT12" s="27">
        <f t="shared" si="0"/>
        <v>69916.282755882668</v>
      </c>
      <c r="NU12" s="27">
        <f t="shared" si="75"/>
        <v>0</v>
      </c>
      <c r="NV12" s="27">
        <f t="shared" si="76"/>
        <v>0</v>
      </c>
      <c r="NW12" s="27">
        <f t="shared" si="77"/>
        <v>0</v>
      </c>
      <c r="NX12" s="27">
        <f t="shared" si="78"/>
        <v>0</v>
      </c>
      <c r="NY12" s="27">
        <f t="shared" si="79"/>
        <v>0</v>
      </c>
      <c r="NZ12" s="27">
        <f t="shared" si="80"/>
        <v>0</v>
      </c>
      <c r="OA12" s="27">
        <f t="shared" si="81"/>
        <v>13570.384489662853</v>
      </c>
      <c r="OB12" s="27">
        <f t="shared" si="82"/>
        <v>0</v>
      </c>
      <c r="OC12" s="27">
        <f t="shared" si="83"/>
        <v>80425.979485704171</v>
      </c>
      <c r="OD12" s="280"/>
      <c r="OE12" s="27">
        <f t="shared" si="138"/>
        <v>0</v>
      </c>
      <c r="OF12" s="27">
        <f t="shared" si="84"/>
        <v>0</v>
      </c>
      <c r="OG12" s="28">
        <f t="shared" si="1"/>
        <v>93996.363975367029</v>
      </c>
      <c r="OH12" s="27">
        <f t="shared" si="85"/>
        <v>0</v>
      </c>
      <c r="OI12" s="27">
        <f t="shared" si="85"/>
        <v>0</v>
      </c>
      <c r="OJ12" s="27">
        <f t="shared" si="85"/>
        <v>0</v>
      </c>
      <c r="OK12" s="27">
        <f t="shared" si="85"/>
        <v>0</v>
      </c>
      <c r="OL12" s="27">
        <f t="shared" si="85"/>
        <v>0</v>
      </c>
      <c r="OM12" s="27">
        <f t="shared" si="85"/>
        <v>0</v>
      </c>
      <c r="ON12" s="24">
        <f t="shared" si="85"/>
        <v>0</v>
      </c>
      <c r="OO12" s="27">
        <f t="shared" si="85"/>
        <v>0</v>
      </c>
      <c r="OP12" s="24">
        <f t="shared" si="86"/>
        <v>74489.742313713752</v>
      </c>
      <c r="OQ12" s="27">
        <f t="shared" si="87"/>
        <v>0</v>
      </c>
      <c r="OR12" s="24">
        <f t="shared" si="88"/>
        <v>16659.377258794844</v>
      </c>
      <c r="OS12" s="27">
        <f t="shared" si="89"/>
        <v>0</v>
      </c>
      <c r="OT12" s="28">
        <f t="shared" si="2"/>
        <v>91149.1195725086</v>
      </c>
      <c r="OU12" s="36"/>
      <c r="OV12" s="27"/>
      <c r="OW12" s="27"/>
      <c r="OX12" s="27"/>
      <c r="OY12" s="27"/>
      <c r="OZ12" s="27"/>
      <c r="PA12" s="28">
        <f t="shared" si="90"/>
        <v>0</v>
      </c>
      <c r="PB12" s="36">
        <f t="shared" si="91"/>
        <v>0</v>
      </c>
      <c r="PC12" s="27">
        <f t="shared" si="92"/>
        <v>0</v>
      </c>
      <c r="PD12" s="27">
        <f t="shared" si="93"/>
        <v>0</v>
      </c>
      <c r="PE12" s="27">
        <f t="shared" si="94"/>
        <v>0</v>
      </c>
      <c r="PF12" s="24"/>
      <c r="PG12" s="27">
        <f t="shared" si="95"/>
        <v>0</v>
      </c>
      <c r="PH12" s="33">
        <f t="shared" si="3"/>
        <v>0</v>
      </c>
      <c r="PI12" s="2621"/>
      <c r="PK12" s="1907">
        <v>1351.2</v>
      </c>
      <c r="PL12" s="1101">
        <v>0</v>
      </c>
      <c r="PM12" s="1101">
        <v>0</v>
      </c>
      <c r="PN12" s="3">
        <f t="shared" si="96"/>
        <v>0</v>
      </c>
      <c r="PO12" s="3">
        <f t="shared" si="97"/>
        <v>29594.169204532864</v>
      </c>
      <c r="PP12" s="11">
        <f t="shared" si="98"/>
        <v>24417.475697817415</v>
      </c>
      <c r="PQ12" s="15"/>
      <c r="PR12" s="2615"/>
      <c r="PT12" s="4"/>
      <c r="PU12" s="9"/>
      <c r="PV12" s="9"/>
      <c r="PW12" s="9"/>
      <c r="PX12" s="2531">
        <v>0</v>
      </c>
      <c r="PY12" s="9"/>
      <c r="PZ12" s="8">
        <f t="shared" si="99"/>
        <v>0</v>
      </c>
      <c r="QA12" s="5">
        <f t="shared" si="100"/>
        <v>1351.2</v>
      </c>
      <c r="QB12" s="5"/>
      <c r="QC12" s="5"/>
      <c r="QD12" s="5"/>
      <c r="QE12" s="5"/>
      <c r="QF12" s="5"/>
      <c r="QG12" s="12"/>
      <c r="QH12" s="12">
        <f t="shared" si="101"/>
        <v>29562.488999999998</v>
      </c>
      <c r="QI12" s="420">
        <f t="shared" si="102"/>
        <v>303794.76007140434</v>
      </c>
      <c r="QJ12" s="1106">
        <f t="shared" si="139"/>
        <v>3720.2888844000004</v>
      </c>
      <c r="QK12" s="484">
        <f t="shared" si="103"/>
        <v>5505.3678056099998</v>
      </c>
      <c r="QL12" s="12"/>
      <c r="QM12" s="2615"/>
      <c r="QO12" s="139" t="str">
        <f t="shared" si="104"/>
        <v/>
      </c>
      <c r="QP12" s="139" t="str">
        <f t="shared" si="105"/>
        <v/>
      </c>
      <c r="QR12" s="139" t="str">
        <f t="shared" si="106"/>
        <v/>
      </c>
      <c r="QS12" s="139" t="str">
        <f t="shared" si="107"/>
        <v/>
      </c>
      <c r="QU12" s="1">
        <f t="shared" si="108"/>
        <v>0</v>
      </c>
      <c r="QV12" s="1">
        <f t="shared" si="109"/>
        <v>0</v>
      </c>
      <c r="QW12" s="1">
        <f t="shared" si="110"/>
        <v>0</v>
      </c>
      <c r="QX12" s="1">
        <f t="shared" si="111"/>
        <v>0</v>
      </c>
      <c r="QY12" s="1">
        <f t="shared" si="112"/>
        <v>0</v>
      </c>
      <c r="QZ12" s="1">
        <f t="shared" si="113"/>
        <v>0</v>
      </c>
      <c r="RB12" s="1">
        <f t="shared" si="114"/>
        <v>0</v>
      </c>
      <c r="RC12" s="1">
        <f t="shared" si="115"/>
        <v>0</v>
      </c>
      <c r="RD12" s="1">
        <f t="shared" si="116"/>
        <v>0</v>
      </c>
      <c r="RE12" s="1">
        <f t="shared" si="117"/>
        <v>0</v>
      </c>
      <c r="RF12" s="1">
        <f t="shared" si="118"/>
        <v>0</v>
      </c>
      <c r="RG12" s="1">
        <f t="shared" si="119"/>
        <v>0</v>
      </c>
      <c r="RJ12" s="1">
        <v>3</v>
      </c>
      <c r="RK12" s="1">
        <f t="shared" si="120"/>
        <v>35606.621751083163</v>
      </c>
      <c r="RL12" s="1">
        <f t="shared" si="120"/>
        <v>-601.62645013771998</v>
      </c>
      <c r="RM12" s="1">
        <f t="shared" si="120"/>
        <v>9178.5689913333827</v>
      </c>
      <c r="RN12" s="89">
        <f t="shared" si="5"/>
        <v>44183.564292278825</v>
      </c>
      <c r="RO12" s="1033">
        <v>3</v>
      </c>
      <c r="RP12" s="1098">
        <v>0</v>
      </c>
      <c r="RQ12" s="1098">
        <f t="shared" si="121"/>
        <v>0</v>
      </c>
      <c r="RR12" s="1097">
        <f t="shared" si="121"/>
        <v>0</v>
      </c>
      <c r="RS12" s="1097">
        <f t="shared" si="122"/>
        <v>6646.36</v>
      </c>
      <c r="RT12" s="2420"/>
      <c r="RU12" s="2420" t="s">
        <v>1054</v>
      </c>
      <c r="RX12" s="421">
        <v>3</v>
      </c>
      <c r="RY12" s="1095">
        <f t="shared" si="123"/>
        <v>0</v>
      </c>
      <c r="RZ12" s="1094"/>
      <c r="SB12" s="1090"/>
      <c r="SC12" s="1090">
        <f t="shared" si="124"/>
        <v>0</v>
      </c>
      <c r="SD12" s="1090"/>
      <c r="SE12" s="1090">
        <f t="shared" si="125"/>
        <v>0</v>
      </c>
      <c r="SG12" s="1">
        <v>3</v>
      </c>
      <c r="SH12" s="1">
        <f t="shared" si="126"/>
        <v>0</v>
      </c>
      <c r="SI12" s="1094"/>
    </row>
    <row r="13" spans="1:503" s="1" customFormat="1" ht="16.95" customHeight="1">
      <c r="B13" s="471">
        <v>4</v>
      </c>
      <c r="C13" s="4">
        <f t="shared" si="127"/>
        <v>163965</v>
      </c>
      <c r="D13" s="1590">
        <f t="shared" si="128"/>
        <v>4582.46</v>
      </c>
      <c r="E13" s="1895">
        <f t="shared" si="6"/>
        <v>35.780999725038519</v>
      </c>
      <c r="F13" s="870"/>
      <c r="G13" s="870"/>
      <c r="H13" s="52"/>
      <c r="I13" s="61"/>
      <c r="J13" s="52"/>
      <c r="K13" s="61"/>
      <c r="L13" s="52"/>
      <c r="M13" s="61"/>
      <c r="N13" s="2629"/>
      <c r="O13" s="4">
        <f t="shared" ref="O13:O40" si="142">+SUM(AQ13,BC13,AW13)</f>
        <v>98112</v>
      </c>
      <c r="P13" s="1225">
        <f t="shared" si="7"/>
        <v>1300.2</v>
      </c>
      <c r="Q13" s="1913">
        <f t="shared" si="8"/>
        <v>75.459160129210886</v>
      </c>
      <c r="R13" s="33"/>
      <c r="S13" s="26">
        <f t="shared" si="9"/>
        <v>36945</v>
      </c>
      <c r="T13" s="27">
        <f t="shared" si="129"/>
        <v>2336.04</v>
      </c>
      <c r="U13" s="1909">
        <f t="shared" si="10"/>
        <v>15.815225766682078</v>
      </c>
      <c r="V13" s="28"/>
      <c r="W13" s="1742">
        <f t="shared" si="11"/>
        <v>22070</v>
      </c>
      <c r="X13" s="5">
        <f t="shared" si="11"/>
        <v>0</v>
      </c>
      <c r="Y13" s="1909">
        <f t="shared" si="12"/>
        <v>0</v>
      </c>
      <c r="Z13" s="33"/>
      <c r="AA13" s="26">
        <f t="shared" si="13"/>
        <v>6838</v>
      </c>
      <c r="AB13" s="27">
        <f t="shared" si="14"/>
        <v>946.22</v>
      </c>
      <c r="AC13" s="1909">
        <f t="shared" si="15"/>
        <v>7.2266491936336159</v>
      </c>
      <c r="AD13" s="28"/>
      <c r="AE13" s="36"/>
      <c r="AF13" s="36"/>
      <c r="AG13" s="53">
        <f t="shared" si="16"/>
        <v>0</v>
      </c>
      <c r="AH13" s="28"/>
      <c r="AI13" s="26"/>
      <c r="AJ13" s="27"/>
      <c r="AK13" s="53">
        <f t="shared" si="17"/>
        <v>0</v>
      </c>
      <c r="AL13" s="28"/>
      <c r="AM13" s="2629"/>
      <c r="AN13" s="9"/>
      <c r="AO13" s="5"/>
      <c r="AP13" s="61">
        <f t="shared" si="18"/>
        <v>0</v>
      </c>
      <c r="AQ13" s="36"/>
      <c r="AR13" s="53"/>
      <c r="AS13" s="61">
        <f t="shared" si="19"/>
        <v>0</v>
      </c>
      <c r="AT13" s="36"/>
      <c r="AU13" s="27"/>
      <c r="AV13" s="54">
        <f t="shared" si="20"/>
        <v>0</v>
      </c>
      <c r="AW13" s="26">
        <v>55524</v>
      </c>
      <c r="AX13" s="24">
        <v>815.22</v>
      </c>
      <c r="AY13" s="1735">
        <f t="shared" si="140"/>
        <v>68.109222050489436</v>
      </c>
      <c r="AZ13" s="36"/>
      <c r="BA13" s="27"/>
      <c r="BB13" s="61">
        <f t="shared" si="21"/>
        <v>0</v>
      </c>
      <c r="BC13" s="1740">
        <v>42588</v>
      </c>
      <c r="BD13" s="1926">
        <v>484.98</v>
      </c>
      <c r="BE13" s="1735">
        <f t="shared" si="22"/>
        <v>87.81393047135964</v>
      </c>
      <c r="BF13" s="36"/>
      <c r="BG13" s="53"/>
      <c r="BH13" s="61">
        <f t="shared" si="23"/>
        <v>0</v>
      </c>
      <c r="BI13" s="36">
        <v>0</v>
      </c>
      <c r="BJ13" s="53">
        <v>0</v>
      </c>
      <c r="BK13" s="61">
        <f t="shared" si="24"/>
        <v>0</v>
      </c>
      <c r="BL13" s="1742">
        <v>36945</v>
      </c>
      <c r="BM13" s="1736">
        <v>2336.04</v>
      </c>
      <c r="BN13" s="2170"/>
      <c r="BO13" s="1735">
        <f t="shared" si="25"/>
        <v>15.815225766682078</v>
      </c>
      <c r="BP13" s="1125">
        <v>6838</v>
      </c>
      <c r="BQ13" s="53">
        <v>946.22</v>
      </c>
      <c r="BR13" s="1735">
        <f t="shared" si="26"/>
        <v>7.2266491936336159</v>
      </c>
      <c r="BS13" s="36"/>
      <c r="BT13" s="53"/>
      <c r="BU13" s="61">
        <f t="shared" si="27"/>
        <v>0</v>
      </c>
      <c r="BV13" s="36">
        <v>22070</v>
      </c>
      <c r="BW13" s="27">
        <f t="shared" si="130"/>
        <v>0</v>
      </c>
      <c r="BX13" s="1906">
        <f t="shared" si="28"/>
        <v>0</v>
      </c>
      <c r="BY13" s="26"/>
      <c r="BZ13" s="27"/>
      <c r="CA13" s="61">
        <f t="shared" si="29"/>
        <v>0</v>
      </c>
      <c r="CB13" s="36"/>
      <c r="CC13" s="5"/>
      <c r="CD13" s="482">
        <f t="shared" si="30"/>
        <v>0</v>
      </c>
      <c r="CE13" s="4"/>
      <c r="CF13" s="5"/>
      <c r="CG13" s="28">
        <f t="shared" si="31"/>
        <v>0</v>
      </c>
      <c r="CH13" s="150"/>
      <c r="CI13" s="4"/>
      <c r="CJ13" s="5">
        <v>0</v>
      </c>
      <c r="CK13" s="5">
        <v>4212</v>
      </c>
      <c r="CL13" s="5"/>
      <c r="CM13" s="5"/>
      <c r="CN13" s="3">
        <f t="shared" si="131"/>
        <v>4212</v>
      </c>
      <c r="CO13" s="33"/>
      <c r="CP13" s="366"/>
      <c r="CR13" s="4">
        <f t="shared" si="32"/>
        <v>0</v>
      </c>
      <c r="CS13" s="9">
        <f t="shared" si="33"/>
        <v>0</v>
      </c>
      <c r="CT13" s="5">
        <f t="shared" si="34"/>
        <v>0</v>
      </c>
      <c r="CU13" s="5">
        <f t="shared" si="35"/>
        <v>0</v>
      </c>
      <c r="CV13" s="5">
        <f t="shared" si="36"/>
        <v>0</v>
      </c>
      <c r="CW13" s="5">
        <f t="shared" si="37"/>
        <v>0</v>
      </c>
      <c r="CX13" s="5">
        <f t="shared" si="38"/>
        <v>815.22</v>
      </c>
      <c r="CY13" s="5">
        <f t="shared" si="39"/>
        <v>0</v>
      </c>
      <c r="CZ13" s="5">
        <f t="shared" si="40"/>
        <v>3767.24</v>
      </c>
      <c r="DA13" s="5">
        <f t="shared" si="41"/>
        <v>0</v>
      </c>
      <c r="DB13" s="5">
        <f t="shared" si="42"/>
        <v>0</v>
      </c>
      <c r="DC13" s="12">
        <f t="shared" si="43"/>
        <v>0</v>
      </c>
      <c r="DD13" s="310">
        <f t="shared" si="44"/>
        <v>4582.46</v>
      </c>
      <c r="DE13" s="2695"/>
      <c r="DF13" s="8"/>
      <c r="DG13" s="9"/>
      <c r="DH13" s="5"/>
      <c r="DI13" s="5"/>
      <c r="DJ13" s="5"/>
      <c r="DK13" s="5"/>
      <c r="DL13" s="3">
        <v>815.22</v>
      </c>
      <c r="DM13" s="5"/>
      <c r="DN13" s="3">
        <v>0</v>
      </c>
      <c r="DO13" s="5"/>
      <c r="DP13" s="3">
        <v>0</v>
      </c>
      <c r="DQ13" s="11">
        <v>0</v>
      </c>
      <c r="DR13" s="12"/>
      <c r="DS13" s="1906">
        <f t="shared" si="45"/>
        <v>815.22</v>
      </c>
      <c r="DT13" s="36"/>
      <c r="DU13" s="36"/>
      <c r="DV13" s="27"/>
      <c r="DW13" s="27"/>
      <c r="DX13" s="5"/>
      <c r="DY13" s="5"/>
      <c r="DZ13" s="64"/>
      <c r="EA13" s="5"/>
      <c r="EB13" s="3">
        <v>3767.24</v>
      </c>
      <c r="EC13" s="27"/>
      <c r="ED13" s="24">
        <v>0</v>
      </c>
      <c r="EE13" s="33"/>
      <c r="EF13" s="28">
        <f t="shared" si="46"/>
        <v>3767.24</v>
      </c>
      <c r="EG13" s="9"/>
      <c r="EH13" s="9"/>
      <c r="EI13" s="5"/>
      <c r="EJ13" s="5"/>
      <c r="EK13" s="27"/>
      <c r="EL13" s="27"/>
      <c r="EM13" s="27"/>
      <c r="EN13" s="27"/>
      <c r="EO13" s="5"/>
      <c r="EP13" s="5"/>
      <c r="EQ13" s="5">
        <v>0</v>
      </c>
      <c r="ER13" s="33"/>
      <c r="ES13" s="28">
        <f>SUM(EG13:EQ13)</f>
        <v>0</v>
      </c>
      <c r="ET13" s="36"/>
      <c r="EU13" s="27"/>
      <c r="EV13" s="27"/>
      <c r="EW13" s="27"/>
      <c r="EX13" s="27"/>
      <c r="EY13" s="27"/>
      <c r="EZ13" s="33">
        <f t="shared" si="48"/>
        <v>0</v>
      </c>
      <c r="FA13" s="2685"/>
      <c r="FC13" s="4">
        <f t="shared" si="49"/>
        <v>0</v>
      </c>
      <c r="FD13" s="5">
        <f t="shared" si="50"/>
        <v>0</v>
      </c>
      <c r="FE13" s="5">
        <f t="shared" si="51"/>
        <v>0</v>
      </c>
      <c r="FF13" s="12">
        <f t="shared" si="52"/>
        <v>0</v>
      </c>
      <c r="FG13" s="33"/>
      <c r="FH13" s="2674"/>
      <c r="FI13" s="9"/>
      <c r="FJ13" s="5"/>
      <c r="FK13" s="5"/>
      <c r="FL13" s="5"/>
      <c r="FM13" s="5"/>
      <c r="FN13" s="27"/>
      <c r="FO13" s="28">
        <f t="shared" si="53"/>
        <v>0</v>
      </c>
      <c r="FP13" s="36"/>
      <c r="FQ13" s="27"/>
      <c r="FR13" s="27"/>
      <c r="FS13" s="27"/>
      <c r="FT13" s="27"/>
      <c r="FU13" s="27"/>
      <c r="FV13" s="28">
        <f t="shared" si="54"/>
        <v>0</v>
      </c>
      <c r="FW13" s="36"/>
      <c r="FX13" s="36"/>
      <c r="FY13" s="27"/>
      <c r="FZ13" s="27"/>
      <c r="GA13" s="27"/>
      <c r="GB13" s="27"/>
      <c r="GC13" s="27"/>
      <c r="GD13" s="27"/>
      <c r="GE13" s="24">
        <v>0</v>
      </c>
      <c r="GF13" s="27"/>
      <c r="GG13" s="27"/>
      <c r="GH13" s="33"/>
      <c r="GI13" s="33">
        <f t="shared" si="55"/>
        <v>0</v>
      </c>
      <c r="GJ13" s="2674"/>
      <c r="GL13" s="2">
        <f t="shared" si="132"/>
        <v>0</v>
      </c>
      <c r="GM13" s="63">
        <f t="shared" si="133"/>
        <v>0</v>
      </c>
      <c r="GN13" s="24">
        <f t="shared" si="134"/>
        <v>0</v>
      </c>
      <c r="GO13" s="1736">
        <f t="shared" si="56"/>
        <v>0</v>
      </c>
      <c r="GP13" s="141"/>
      <c r="GQ13" s="141"/>
      <c r="GR13" s="33"/>
      <c r="GS13" s="2667"/>
      <c r="GT13" s="1739">
        <v>0</v>
      </c>
      <c r="GU13" s="1721">
        <v>0</v>
      </c>
      <c r="GV13" s="1721">
        <v>0</v>
      </c>
      <c r="GW13" s="1721">
        <v>0</v>
      </c>
      <c r="GX13" s="1724">
        <f t="shared" si="135"/>
        <v>0</v>
      </c>
      <c r="GY13" s="2667"/>
      <c r="GZ13" s="35">
        <v>0</v>
      </c>
      <c r="HA13" s="36"/>
      <c r="HB13" s="27"/>
      <c r="HC13" s="27"/>
      <c r="HD13" s="27"/>
      <c r="HE13" s="27"/>
      <c r="HF13" s="24">
        <v>0</v>
      </c>
      <c r="HG13" s="27"/>
      <c r="HH13" s="24">
        <v>0</v>
      </c>
      <c r="HI13" s="27"/>
      <c r="HJ13" s="24">
        <v>0</v>
      </c>
      <c r="HK13" s="27"/>
      <c r="HL13" s="24">
        <v>0</v>
      </c>
      <c r="HM13" s="27"/>
      <c r="HN13" s="28">
        <f t="shared" si="57"/>
        <v>0</v>
      </c>
      <c r="HO13" s="36"/>
      <c r="HP13" s="27"/>
      <c r="HQ13" s="27"/>
      <c r="HR13" s="27"/>
      <c r="HS13" s="27"/>
      <c r="HT13" s="27"/>
      <c r="HU13" s="27">
        <f t="array" ref="HU13">SUMPRODUCT(('Data Base hauling'!$C$2:$C$2000="TCM-ROM SB1 BK05-ROM 4")*(ISNUMBER(SEARCH(TEXT('August TCM'!$B13,"00")&amp;"/03/2026",'Data Base hauling'!$E$2:$E$2000)))*'Data Base hauling'!$N$2:$N$2000)</f>
        <v>0</v>
      </c>
      <c r="HV13" s="27"/>
      <c r="HW13" s="27">
        <f t="array" ref="HW13">SUMPRODUCT(('Data Base hauling'!$C$2:$C$2000="TCM-ROM SB1 BK05-ROM 5")*(ISNUMBER(SEARCH(TEXT('August TCM'!$B13,"00")&amp;"/03/2026",'Data Base hauling'!$E$2:$E$2000)))*'Data Base hauling'!$N$2:$N$2000)</f>
        <v>0</v>
      </c>
      <c r="HX13" s="27"/>
      <c r="HY13" s="27"/>
      <c r="HZ13" s="27"/>
      <c r="IA13" s="27"/>
      <c r="IB13" s="27"/>
      <c r="IC13" s="33">
        <f t="shared" si="58"/>
        <v>0</v>
      </c>
      <c r="ID13" s="845"/>
      <c r="IE13" s="363"/>
      <c r="IF13" s="64"/>
      <c r="IG13" s="64"/>
      <c r="IH13" s="64"/>
      <c r="II13" s="64"/>
      <c r="IJ13" s="1926">
        <v>0</v>
      </c>
      <c r="IK13" s="1590"/>
      <c r="IL13" s="1926">
        <v>0</v>
      </c>
      <c r="IM13" s="64"/>
      <c r="IN13" s="49">
        <v>0</v>
      </c>
      <c r="IO13" s="64"/>
      <c r="IP13" s="64"/>
      <c r="IQ13" s="49">
        <v>0</v>
      </c>
      <c r="IR13" s="2195">
        <f t="shared" si="59"/>
        <v>0</v>
      </c>
      <c r="IS13" s="36"/>
      <c r="IT13" s="36"/>
      <c r="IU13" s="27"/>
      <c r="IV13" s="27"/>
      <c r="IW13" s="53"/>
      <c r="IX13" s="27"/>
      <c r="IY13" s="24">
        <v>0</v>
      </c>
      <c r="IZ13" s="27"/>
      <c r="JA13" s="24">
        <v>0</v>
      </c>
      <c r="JB13" s="27"/>
      <c r="JC13" s="24">
        <v>0</v>
      </c>
      <c r="JD13" s="27"/>
      <c r="JE13" s="27"/>
      <c r="JF13" s="27"/>
      <c r="JG13" s="33">
        <f t="shared" si="141"/>
        <v>0</v>
      </c>
      <c r="JH13" s="2667"/>
      <c r="JJ13" s="2014">
        <v>0</v>
      </c>
      <c r="JK13" s="2015">
        <v>0</v>
      </c>
      <c r="JL13" s="53"/>
      <c r="JM13" s="1736">
        <f t="shared" si="61"/>
        <v>0</v>
      </c>
      <c r="JN13" s="33"/>
      <c r="JO13" s="2669"/>
      <c r="JP13" s="66" t="s">
        <v>296</v>
      </c>
      <c r="JQ13" s="67" t="s">
        <v>296</v>
      </c>
      <c r="JR13" s="67" t="s">
        <v>296</v>
      </c>
      <c r="JS13" s="67" t="s">
        <v>296</v>
      </c>
      <c r="JT13" s="67" t="s">
        <v>296</v>
      </c>
      <c r="JU13" s="67" t="s">
        <v>296</v>
      </c>
      <c r="JV13" s="67" t="s">
        <v>296</v>
      </c>
      <c r="JW13" s="1921">
        <v>0</v>
      </c>
      <c r="JX13" s="66" t="s">
        <v>296</v>
      </c>
      <c r="JY13" s="67" t="s">
        <v>296</v>
      </c>
      <c r="JZ13" s="67" t="s">
        <v>296</v>
      </c>
      <c r="KA13" s="67" t="s">
        <v>296</v>
      </c>
      <c r="KB13" s="67" t="s">
        <v>296</v>
      </c>
      <c r="KC13" s="67" t="s">
        <v>296</v>
      </c>
      <c r="KD13" s="67" t="s">
        <v>296</v>
      </c>
      <c r="KE13" s="68" t="s">
        <v>296</v>
      </c>
      <c r="KF13" s="69"/>
      <c r="KG13" s="70"/>
      <c r="KH13" s="70"/>
      <c r="KI13" s="70"/>
      <c r="KJ13" s="70"/>
      <c r="KK13" s="70"/>
      <c r="KL13" s="70"/>
      <c r="KM13" s="70"/>
      <c r="KN13" s="33"/>
      <c r="KO13" s="2669"/>
      <c r="KP13" s="2203">
        <v>0</v>
      </c>
      <c r="KQ13" s="1721">
        <v>0</v>
      </c>
      <c r="KR13" s="1721">
        <v>0</v>
      </c>
      <c r="KS13" s="1721">
        <v>0</v>
      </c>
      <c r="KT13" s="1722">
        <v>0</v>
      </c>
      <c r="KU13" s="1958">
        <v>0</v>
      </c>
      <c r="KV13" s="1961">
        <v>0</v>
      </c>
      <c r="KW13" s="1961">
        <v>0</v>
      </c>
      <c r="KX13" s="1961">
        <v>0</v>
      </c>
      <c r="KY13" s="1962">
        <v>0</v>
      </c>
      <c r="KZ13" s="36"/>
      <c r="LA13" s="53"/>
      <c r="LB13" s="53"/>
      <c r="LC13" s="53"/>
      <c r="LD13" s="53"/>
      <c r="LE13" s="33"/>
      <c r="LF13" s="2669"/>
      <c r="LH13" s="998">
        <f t="shared" si="62"/>
        <v>14291.8</v>
      </c>
      <c r="LI13" s="27">
        <f t="shared" si="62"/>
        <v>0</v>
      </c>
      <c r="LJ13" s="27">
        <f t="shared" si="62"/>
        <v>0</v>
      </c>
      <c r="LK13" s="28">
        <f t="shared" si="63"/>
        <v>14291.8</v>
      </c>
      <c r="LL13" s="36">
        <v>2</v>
      </c>
      <c r="LM13" s="27"/>
      <c r="LN13" s="27">
        <v>3</v>
      </c>
      <c r="LO13" s="33"/>
      <c r="LP13" s="1041">
        <v>1.87</v>
      </c>
      <c r="LQ13" s="486"/>
      <c r="LR13" s="2688"/>
      <c r="LS13" s="21">
        <v>14291.8</v>
      </c>
      <c r="LT13" s="2213"/>
      <c r="LU13" s="27"/>
      <c r="LV13" s="27"/>
      <c r="LW13" s="27"/>
      <c r="LX13" s="1117">
        <f t="shared" si="64"/>
        <v>14291.8</v>
      </c>
      <c r="LY13" s="36"/>
      <c r="LZ13" s="36"/>
      <c r="MA13" s="27"/>
      <c r="MB13" s="27"/>
      <c r="MC13" s="33"/>
      <c r="MD13" s="28">
        <f t="shared" si="65"/>
        <v>0</v>
      </c>
      <c r="ME13" s="26"/>
      <c r="MF13" s="36"/>
      <c r="MG13" s="27"/>
      <c r="MH13" s="27"/>
      <c r="MI13" s="27"/>
      <c r="MJ13" s="28"/>
      <c r="MK13" s="36"/>
      <c r="ML13" s="36"/>
      <c r="MM13" s="27"/>
      <c r="MN13" s="27"/>
      <c r="MO13" s="27"/>
      <c r="MP13" s="28"/>
      <c r="MQ13" s="36"/>
      <c r="MR13" s="36"/>
      <c r="MS13" s="27"/>
      <c r="MT13" s="27"/>
      <c r="MU13" s="27"/>
      <c r="MV13" s="33">
        <f t="shared" si="66"/>
        <v>0</v>
      </c>
      <c r="MW13" s="2688"/>
      <c r="MY13" s="26">
        <f t="shared" si="67"/>
        <v>162094.09691943513</v>
      </c>
      <c r="MZ13" s="27">
        <f t="shared" si="68"/>
        <v>259644.22630375827</v>
      </c>
      <c r="NA13" s="27">
        <f t="shared" si="69"/>
        <v>24417.475697817415</v>
      </c>
      <c r="NB13" s="28">
        <f t="shared" si="70"/>
        <v>335795.43795580434</v>
      </c>
      <c r="NC13" s="2621"/>
      <c r="ND13" s="23">
        <f t="shared" si="71"/>
        <v>61175.106200678289</v>
      </c>
      <c r="NE13" s="1655">
        <f t="shared" si="72"/>
        <v>100918.99071875685</v>
      </c>
      <c r="NF13" s="60">
        <f t="shared" si="73"/>
        <v>0</v>
      </c>
      <c r="NG13" s="275">
        <f t="shared" si="4"/>
        <v>162094.09691943513</v>
      </c>
      <c r="NH13" s="26">
        <f t="shared" si="74"/>
        <v>0</v>
      </c>
      <c r="NI13" s="27">
        <f t="shared" si="74"/>
        <v>0</v>
      </c>
      <c r="NJ13" s="27">
        <f t="shared" si="74"/>
        <v>0</v>
      </c>
      <c r="NK13" s="27">
        <f t="shared" si="74"/>
        <v>0</v>
      </c>
      <c r="NL13" s="27">
        <f t="shared" si="74"/>
        <v>0</v>
      </c>
      <c r="NM13" s="33">
        <f t="shared" si="74"/>
        <v>0</v>
      </c>
      <c r="NN13" s="27">
        <f t="shared" si="74"/>
        <v>0</v>
      </c>
      <c r="NO13" s="36">
        <f t="shared" si="74"/>
        <v>0</v>
      </c>
      <c r="NP13" s="24">
        <f t="shared" si="74"/>
        <v>28923.210605424243</v>
      </c>
      <c r="NQ13" s="27">
        <f t="shared" si="74"/>
        <v>24023.830351777149</v>
      </c>
      <c r="NR13" s="24">
        <f t="shared" si="136"/>
        <v>8756.5482322711578</v>
      </c>
      <c r="NS13" s="24">
        <f t="shared" si="137"/>
        <v>8212.6935664101129</v>
      </c>
      <c r="NT13" s="27">
        <f t="shared" si="0"/>
        <v>69916.282755882668</v>
      </c>
      <c r="NU13" s="27">
        <f t="shared" si="75"/>
        <v>0</v>
      </c>
      <c r="NV13" s="27">
        <f t="shared" si="76"/>
        <v>0</v>
      </c>
      <c r="NW13" s="27">
        <f t="shared" si="77"/>
        <v>0</v>
      </c>
      <c r="NX13" s="27">
        <f t="shared" si="78"/>
        <v>0</v>
      </c>
      <c r="NY13" s="27">
        <f t="shared" si="79"/>
        <v>0</v>
      </c>
      <c r="NZ13" s="27">
        <f t="shared" si="80"/>
        <v>0</v>
      </c>
      <c r="OA13" s="27">
        <f t="shared" si="81"/>
        <v>14385.604489662852</v>
      </c>
      <c r="OB13" s="27">
        <f t="shared" si="82"/>
        <v>0</v>
      </c>
      <c r="OC13" s="27">
        <f t="shared" si="83"/>
        <v>80425.979485704171</v>
      </c>
      <c r="OD13" s="280"/>
      <c r="OE13" s="27">
        <f t="shared" si="138"/>
        <v>0</v>
      </c>
      <c r="OF13" s="27">
        <f t="shared" si="84"/>
        <v>0</v>
      </c>
      <c r="OG13" s="28">
        <f t="shared" si="1"/>
        <v>94811.583975367015</v>
      </c>
      <c r="OH13" s="27">
        <f t="shared" si="85"/>
        <v>0</v>
      </c>
      <c r="OI13" s="27">
        <f t="shared" si="85"/>
        <v>0</v>
      </c>
      <c r="OJ13" s="27">
        <f t="shared" si="85"/>
        <v>0</v>
      </c>
      <c r="OK13" s="27">
        <f t="shared" si="85"/>
        <v>0</v>
      </c>
      <c r="OL13" s="27">
        <f t="shared" si="85"/>
        <v>0</v>
      </c>
      <c r="OM13" s="27">
        <f t="shared" si="85"/>
        <v>0</v>
      </c>
      <c r="ON13" s="24">
        <f t="shared" si="85"/>
        <v>0</v>
      </c>
      <c r="OO13" s="27">
        <f t="shared" si="85"/>
        <v>0</v>
      </c>
      <c r="OP13" s="24">
        <f t="shared" si="86"/>
        <v>78256.982313713757</v>
      </c>
      <c r="OQ13" s="27">
        <f t="shared" si="87"/>
        <v>0</v>
      </c>
      <c r="OR13" s="24">
        <f t="shared" si="88"/>
        <v>16659.377258794844</v>
      </c>
      <c r="OS13" s="27">
        <f t="shared" si="89"/>
        <v>0</v>
      </c>
      <c r="OT13" s="28">
        <f t="shared" si="2"/>
        <v>94916.359572508605</v>
      </c>
      <c r="OU13" s="36"/>
      <c r="OV13" s="27"/>
      <c r="OW13" s="27"/>
      <c r="OX13" s="27"/>
      <c r="OY13" s="27"/>
      <c r="OZ13" s="27"/>
      <c r="PA13" s="28">
        <f t="shared" si="90"/>
        <v>0</v>
      </c>
      <c r="PB13" s="36">
        <f t="shared" si="91"/>
        <v>0</v>
      </c>
      <c r="PC13" s="27">
        <f t="shared" si="92"/>
        <v>0</v>
      </c>
      <c r="PD13" s="27">
        <f t="shared" si="93"/>
        <v>0</v>
      </c>
      <c r="PE13" s="27">
        <f t="shared" si="94"/>
        <v>0</v>
      </c>
      <c r="PF13" s="24"/>
      <c r="PG13" s="27">
        <f t="shared" si="95"/>
        <v>0</v>
      </c>
      <c r="PH13" s="33">
        <f t="shared" si="3"/>
        <v>0</v>
      </c>
      <c r="PI13" s="2621"/>
      <c r="PK13" s="1907">
        <v>1282.0999999999999</v>
      </c>
      <c r="PL13" s="2192">
        <v>0</v>
      </c>
      <c r="PM13" s="2262">
        <v>0</v>
      </c>
      <c r="PN13" s="8">
        <f t="shared" si="96"/>
        <v>0</v>
      </c>
      <c r="PO13" s="3">
        <f t="shared" si="97"/>
        <v>30876.269204532862</v>
      </c>
      <c r="PP13" s="11">
        <f t="shared" si="98"/>
        <v>24417.475697817415</v>
      </c>
      <c r="PQ13" s="15"/>
      <c r="PR13" s="2615"/>
      <c r="PT13" s="4"/>
      <c r="PU13" s="9"/>
      <c r="PV13" s="9"/>
      <c r="PW13" s="9"/>
      <c r="PX13" s="2531">
        <v>0</v>
      </c>
      <c r="PY13" s="9"/>
      <c r="PZ13" s="8">
        <f t="shared" si="99"/>
        <v>0</v>
      </c>
      <c r="QA13" s="5">
        <f t="shared" si="100"/>
        <v>1282.0999999999999</v>
      </c>
      <c r="QB13" s="5"/>
      <c r="QC13" s="5"/>
      <c r="QD13" s="5"/>
      <c r="QE13" s="5"/>
      <c r="QF13" s="5"/>
      <c r="QG13" s="12"/>
      <c r="QH13" s="12">
        <f t="shared" si="101"/>
        <v>29562.488999999998</v>
      </c>
      <c r="QI13" s="420">
        <f t="shared" si="102"/>
        <v>302512.66007140436</v>
      </c>
      <c r="QJ13" s="1106">
        <f t="shared" si="139"/>
        <v>3720.2888844000004</v>
      </c>
      <c r="QK13" s="484">
        <f t="shared" si="103"/>
        <v>5505.3678056099998</v>
      </c>
      <c r="QL13" s="12"/>
      <c r="QM13" s="2615"/>
      <c r="QO13" s="139" t="str">
        <f t="shared" si="104"/>
        <v/>
      </c>
      <c r="QP13" s="139" t="str">
        <f t="shared" si="105"/>
        <v/>
      </c>
      <c r="QR13" s="139" t="str">
        <f t="shared" si="106"/>
        <v/>
      </c>
      <c r="QS13" s="139" t="str">
        <f t="shared" si="107"/>
        <v/>
      </c>
      <c r="QU13" s="1">
        <f t="shared" si="108"/>
        <v>0</v>
      </c>
      <c r="QV13" s="1">
        <f t="shared" si="109"/>
        <v>0</v>
      </c>
      <c r="QW13" s="1">
        <f t="shared" si="110"/>
        <v>0</v>
      </c>
      <c r="QX13" s="1">
        <f t="shared" si="111"/>
        <v>0</v>
      </c>
      <c r="QY13" s="1">
        <f t="shared" si="112"/>
        <v>0</v>
      </c>
      <c r="QZ13" s="1">
        <f t="shared" si="113"/>
        <v>0</v>
      </c>
      <c r="RB13" s="1">
        <f t="shared" si="114"/>
        <v>0</v>
      </c>
      <c r="RC13" s="1">
        <f t="shared" si="115"/>
        <v>0</v>
      </c>
      <c r="RD13" s="1">
        <f t="shared" si="116"/>
        <v>0</v>
      </c>
      <c r="RE13" s="1">
        <f t="shared" si="117"/>
        <v>0</v>
      </c>
      <c r="RF13" s="1">
        <f t="shared" si="118"/>
        <v>0</v>
      </c>
      <c r="RG13" s="1">
        <f t="shared" si="119"/>
        <v>0</v>
      </c>
      <c r="RJ13" s="1">
        <v>4</v>
      </c>
      <c r="RK13" s="1">
        <f t="shared" si="120"/>
        <v>21314.821751083164</v>
      </c>
      <c r="RL13" s="1">
        <f t="shared" si="120"/>
        <v>-601.62645013771998</v>
      </c>
      <c r="RM13" s="1">
        <f t="shared" si="120"/>
        <v>9178.5689913333827</v>
      </c>
      <c r="RN13" s="89">
        <f t="shared" si="5"/>
        <v>29891.764292278829</v>
      </c>
      <c r="RO13" s="1033">
        <v>4</v>
      </c>
      <c r="RP13" s="1098">
        <v>0</v>
      </c>
      <c r="RQ13" s="1098">
        <f t="shared" si="121"/>
        <v>0</v>
      </c>
      <c r="RR13" s="1097">
        <f t="shared" si="121"/>
        <v>0</v>
      </c>
      <c r="RS13" s="1097">
        <f t="shared" si="122"/>
        <v>4582.46</v>
      </c>
      <c r="RT13" s="1094"/>
      <c r="RU13" s="1094" t="s">
        <v>1055</v>
      </c>
      <c r="RX13" s="421">
        <v>4</v>
      </c>
      <c r="RY13" s="1095">
        <f t="shared" si="123"/>
        <v>0</v>
      </c>
      <c r="RZ13" s="1094"/>
      <c r="SB13" s="1090"/>
      <c r="SC13" s="1090">
        <f t="shared" si="124"/>
        <v>0</v>
      </c>
      <c r="SD13" s="1090"/>
      <c r="SE13" s="1090">
        <f t="shared" si="125"/>
        <v>0</v>
      </c>
      <c r="SG13" s="1">
        <v>4</v>
      </c>
      <c r="SH13" s="1">
        <f t="shared" si="126"/>
        <v>0</v>
      </c>
      <c r="SI13" s="1094"/>
    </row>
    <row r="14" spans="1:503" s="1" customFormat="1" ht="13.2" customHeight="1">
      <c r="B14" s="471">
        <v>5</v>
      </c>
      <c r="C14" s="4">
        <f t="shared" si="127"/>
        <v>153965.24</v>
      </c>
      <c r="D14" s="1590">
        <f t="shared" si="128"/>
        <v>9253.9000000000015</v>
      </c>
      <c r="E14" s="1895">
        <f t="shared" si="6"/>
        <v>16.637875922583987</v>
      </c>
      <c r="F14" s="870"/>
      <c r="G14" s="870"/>
      <c r="H14" s="52"/>
      <c r="I14" s="61"/>
      <c r="J14" s="52"/>
      <c r="K14" s="54"/>
      <c r="L14" s="52"/>
      <c r="M14" s="61"/>
      <c r="N14" s="2629"/>
      <c r="O14" s="4">
        <f t="shared" si="142"/>
        <v>87096.239999999991</v>
      </c>
      <c r="P14" s="1225">
        <f t="shared" si="7"/>
        <v>5586.1</v>
      </c>
      <c r="Q14" s="1913">
        <f t="shared" si="8"/>
        <v>15.591600580011097</v>
      </c>
      <c r="R14" s="33"/>
      <c r="S14" s="26">
        <f t="shared" si="9"/>
        <v>37119</v>
      </c>
      <c r="T14" s="27">
        <f t="shared" si="129"/>
        <v>2363.46</v>
      </c>
      <c r="U14" s="1909">
        <f t="shared" si="10"/>
        <v>15.705364169480339</v>
      </c>
      <c r="V14" s="28"/>
      <c r="W14" s="1742">
        <f t="shared" si="11"/>
        <v>23432</v>
      </c>
      <c r="X14" s="5">
        <f t="shared" si="11"/>
        <v>448</v>
      </c>
      <c r="Y14" s="1909">
        <f t="shared" si="12"/>
        <v>52.303571428571431</v>
      </c>
      <c r="Z14" s="33"/>
      <c r="AA14" s="26">
        <f t="shared" si="13"/>
        <v>6318</v>
      </c>
      <c r="AB14" s="27">
        <f t="shared" si="14"/>
        <v>856.33999999999992</v>
      </c>
      <c r="AC14" s="1909">
        <f t="shared" si="15"/>
        <v>7.3779106429689145</v>
      </c>
      <c r="AD14" s="28"/>
      <c r="AE14" s="36"/>
      <c r="AF14" s="36"/>
      <c r="AG14" s="53">
        <f t="shared" si="16"/>
        <v>0</v>
      </c>
      <c r="AH14" s="28"/>
      <c r="AI14" s="23"/>
      <c r="AJ14" s="27"/>
      <c r="AK14" s="53">
        <f t="shared" si="17"/>
        <v>0</v>
      </c>
      <c r="AL14" s="28"/>
      <c r="AM14" s="2629"/>
      <c r="AN14" s="9"/>
      <c r="AO14" s="5"/>
      <c r="AP14" s="61">
        <f t="shared" si="18"/>
        <v>0</v>
      </c>
      <c r="AQ14" s="36"/>
      <c r="AR14" s="53"/>
      <c r="AS14" s="61">
        <f t="shared" si="19"/>
        <v>0</v>
      </c>
      <c r="AT14" s="36"/>
      <c r="AU14" s="27"/>
      <c r="AV14" s="54">
        <f t="shared" si="20"/>
        <v>0</v>
      </c>
      <c r="AW14" s="26">
        <v>42702.239999999998</v>
      </c>
      <c r="AX14" s="24">
        <v>3941.1400000000003</v>
      </c>
      <c r="AY14" s="1735">
        <f t="shared" si="140"/>
        <v>10.834996980569073</v>
      </c>
      <c r="AZ14" s="36"/>
      <c r="BA14" s="27"/>
      <c r="BB14" s="61">
        <f t="shared" si="21"/>
        <v>0</v>
      </c>
      <c r="BC14" s="1740">
        <v>44394</v>
      </c>
      <c r="BD14" s="1926">
        <v>1644.9600000000003</v>
      </c>
      <c r="BE14" s="1735">
        <f t="shared" si="22"/>
        <v>26.987890283046394</v>
      </c>
      <c r="BF14" s="36"/>
      <c r="BG14" s="53"/>
      <c r="BH14" s="61">
        <f t="shared" si="23"/>
        <v>0</v>
      </c>
      <c r="BI14" s="36">
        <v>0</v>
      </c>
      <c r="BJ14" s="53">
        <v>0</v>
      </c>
      <c r="BK14" s="61">
        <f t="shared" si="24"/>
        <v>0</v>
      </c>
      <c r="BL14" s="1742">
        <v>37119</v>
      </c>
      <c r="BM14" s="1736">
        <v>2363.46</v>
      </c>
      <c r="BN14" s="2170"/>
      <c r="BO14" s="1735">
        <f t="shared" si="25"/>
        <v>15.705364169480339</v>
      </c>
      <c r="BP14" s="36">
        <v>6318</v>
      </c>
      <c r="BQ14" s="53">
        <v>856.33999999999992</v>
      </c>
      <c r="BR14" s="1735">
        <f t="shared" si="26"/>
        <v>7.3779106429689145</v>
      </c>
      <c r="BS14" s="36"/>
      <c r="BT14" s="53"/>
      <c r="BU14" s="61">
        <f t="shared" si="27"/>
        <v>0</v>
      </c>
      <c r="BV14" s="36">
        <v>23432</v>
      </c>
      <c r="BW14" s="27">
        <f t="shared" si="130"/>
        <v>448</v>
      </c>
      <c r="BX14" s="1906">
        <f t="shared" si="28"/>
        <v>52.303571428571431</v>
      </c>
      <c r="BY14" s="26"/>
      <c r="BZ14" s="27"/>
      <c r="CA14" s="61">
        <f t="shared" si="29"/>
        <v>0</v>
      </c>
      <c r="CB14" s="36"/>
      <c r="CC14" s="481"/>
      <c r="CD14" s="482">
        <f t="shared" si="30"/>
        <v>0</v>
      </c>
      <c r="CE14" s="4"/>
      <c r="CF14" s="5"/>
      <c r="CG14" s="28">
        <f t="shared" si="31"/>
        <v>0</v>
      </c>
      <c r="CH14" s="150"/>
      <c r="CI14" s="4"/>
      <c r="CJ14" s="5">
        <v>0</v>
      </c>
      <c r="CK14" s="5">
        <v>6780</v>
      </c>
      <c r="CL14" s="5"/>
      <c r="CM14" s="5"/>
      <c r="CN14" s="3">
        <f t="shared" si="131"/>
        <v>6780</v>
      </c>
      <c r="CO14" s="33"/>
      <c r="CP14" s="366"/>
      <c r="CR14" s="4">
        <f t="shared" si="32"/>
        <v>0</v>
      </c>
      <c r="CS14" s="9">
        <f t="shared" si="33"/>
        <v>0</v>
      </c>
      <c r="CT14" s="5">
        <f t="shared" si="34"/>
        <v>0</v>
      </c>
      <c r="CU14" s="5">
        <f t="shared" si="35"/>
        <v>0</v>
      </c>
      <c r="CV14" s="5">
        <f t="shared" si="36"/>
        <v>0</v>
      </c>
      <c r="CW14" s="5">
        <f t="shared" si="37"/>
        <v>0</v>
      </c>
      <c r="CX14" s="5">
        <f t="shared" si="38"/>
        <v>2974.12</v>
      </c>
      <c r="CY14" s="5">
        <f t="shared" si="39"/>
        <v>0</v>
      </c>
      <c r="CZ14" s="5">
        <f t="shared" si="40"/>
        <v>5312.7599999999993</v>
      </c>
      <c r="DA14" s="5">
        <f t="shared" si="41"/>
        <v>0</v>
      </c>
      <c r="DB14" s="5">
        <f t="shared" si="42"/>
        <v>967.02</v>
      </c>
      <c r="DC14" s="12">
        <f t="shared" si="43"/>
        <v>0</v>
      </c>
      <c r="DD14" s="310">
        <f t="shared" si="44"/>
        <v>9253.9</v>
      </c>
      <c r="DE14" s="2695"/>
      <c r="DF14" s="8"/>
      <c r="DG14" s="9"/>
      <c r="DH14" s="5"/>
      <c r="DI14" s="5"/>
      <c r="DJ14" s="5"/>
      <c r="DK14" s="5"/>
      <c r="DL14" s="3">
        <v>2974.12</v>
      </c>
      <c r="DM14" s="5"/>
      <c r="DN14" s="3">
        <v>0</v>
      </c>
      <c r="DO14" s="5"/>
      <c r="DP14" s="3">
        <v>967.02</v>
      </c>
      <c r="DQ14" s="11">
        <v>0</v>
      </c>
      <c r="DR14" s="12"/>
      <c r="DS14" s="1906">
        <f t="shared" si="45"/>
        <v>3941.14</v>
      </c>
      <c r="DT14" s="36"/>
      <c r="DU14" s="36"/>
      <c r="DV14" s="27"/>
      <c r="DW14" s="27"/>
      <c r="DX14" s="5"/>
      <c r="DY14" s="5"/>
      <c r="DZ14" s="5"/>
      <c r="EA14" s="5"/>
      <c r="EB14" s="3">
        <v>4864.7599999999993</v>
      </c>
      <c r="EC14" s="53"/>
      <c r="ED14" s="24">
        <v>0</v>
      </c>
      <c r="EE14" s="33"/>
      <c r="EF14" s="28">
        <f t="shared" si="46"/>
        <v>4864.7599999999993</v>
      </c>
      <c r="EG14" s="9"/>
      <c r="EH14" s="9"/>
      <c r="EI14" s="5"/>
      <c r="EJ14" s="5"/>
      <c r="EK14" s="27"/>
      <c r="EL14" s="27"/>
      <c r="EM14" s="27"/>
      <c r="EN14" s="27"/>
      <c r="EO14" s="5">
        <v>448</v>
      </c>
      <c r="EP14" s="5"/>
      <c r="EQ14" s="5">
        <v>0</v>
      </c>
      <c r="ER14" s="33"/>
      <c r="ES14" s="28">
        <f t="shared" ref="ES14:ES40" si="143">SUM(EG14:EQ14)</f>
        <v>448</v>
      </c>
      <c r="ET14" s="36"/>
      <c r="EU14" s="27"/>
      <c r="EV14" s="27"/>
      <c r="EW14" s="27"/>
      <c r="EX14" s="27"/>
      <c r="EY14" s="27"/>
      <c r="EZ14" s="33">
        <f t="shared" si="48"/>
        <v>0</v>
      </c>
      <c r="FA14" s="2685"/>
      <c r="FC14" s="4">
        <f t="shared" si="49"/>
        <v>0</v>
      </c>
      <c r="FD14" s="5">
        <f t="shared" si="50"/>
        <v>0</v>
      </c>
      <c r="FE14" s="5">
        <f t="shared" si="51"/>
        <v>0</v>
      </c>
      <c r="FF14" s="12">
        <f t="shared" si="52"/>
        <v>0</v>
      </c>
      <c r="FG14" s="33"/>
      <c r="FH14" s="2674"/>
      <c r="FI14" s="9"/>
      <c r="FJ14" s="5"/>
      <c r="FK14" s="5"/>
      <c r="FL14" s="5"/>
      <c r="FM14" s="5"/>
      <c r="FN14" s="27"/>
      <c r="FO14" s="28">
        <f t="shared" si="53"/>
        <v>0</v>
      </c>
      <c r="FP14" s="36"/>
      <c r="FQ14" s="27"/>
      <c r="FR14" s="27"/>
      <c r="FS14" s="27"/>
      <c r="FT14" s="27"/>
      <c r="FU14" s="27"/>
      <c r="FV14" s="28">
        <f t="shared" si="54"/>
        <v>0</v>
      </c>
      <c r="FW14" s="36"/>
      <c r="FX14" s="36"/>
      <c r="FY14" s="27"/>
      <c r="FZ14" s="27"/>
      <c r="GA14" s="27"/>
      <c r="GB14" s="27"/>
      <c r="GC14" s="27"/>
      <c r="GD14" s="27"/>
      <c r="GE14" s="24">
        <v>0</v>
      </c>
      <c r="GF14" s="27"/>
      <c r="GG14" s="27"/>
      <c r="GH14" s="33"/>
      <c r="GI14" s="33">
        <f t="shared" si="55"/>
        <v>0</v>
      </c>
      <c r="GJ14" s="2674"/>
      <c r="GL14" s="2">
        <f t="shared" si="132"/>
        <v>0</v>
      </c>
      <c r="GM14" s="63">
        <f t="shared" si="133"/>
        <v>0</v>
      </c>
      <c r="GN14" s="24">
        <f t="shared" si="134"/>
        <v>0</v>
      </c>
      <c r="GO14" s="1736">
        <f t="shared" si="56"/>
        <v>0</v>
      </c>
      <c r="GP14" s="141"/>
      <c r="GQ14" s="141"/>
      <c r="GR14" s="33"/>
      <c r="GS14" s="2667"/>
      <c r="GT14" s="1739">
        <v>0</v>
      </c>
      <c r="GU14" s="1721">
        <v>0</v>
      </c>
      <c r="GV14" s="1721">
        <v>0</v>
      </c>
      <c r="GW14" s="1721">
        <v>0</v>
      </c>
      <c r="GX14" s="1724">
        <f t="shared" si="135"/>
        <v>0</v>
      </c>
      <c r="GY14" s="2667"/>
      <c r="GZ14" s="35">
        <v>0</v>
      </c>
      <c r="HA14" s="9"/>
      <c r="HB14" s="5"/>
      <c r="HC14" s="5"/>
      <c r="HD14" s="5"/>
      <c r="HE14" s="5"/>
      <c r="HF14" s="24">
        <v>0</v>
      </c>
      <c r="HG14" s="5"/>
      <c r="HH14" s="24">
        <v>0</v>
      </c>
      <c r="HI14" s="5"/>
      <c r="HJ14" s="24">
        <v>0</v>
      </c>
      <c r="HK14" s="5"/>
      <c r="HL14" s="24">
        <v>0</v>
      </c>
      <c r="HM14" s="5"/>
      <c r="HN14" s="15">
        <f t="shared" si="57"/>
        <v>0</v>
      </c>
      <c r="HO14" s="9"/>
      <c r="HP14" s="5"/>
      <c r="HQ14" s="5"/>
      <c r="HR14" s="5"/>
      <c r="HS14" s="5"/>
      <c r="HT14" s="5"/>
      <c r="HU14" s="5">
        <f t="array" ref="HU14">SUMPRODUCT(('Data Base hauling'!$C$2:$C$2000="TCM-ROM SB1 BK05-ROM 4")*(ISNUMBER(SEARCH(TEXT('August TCM'!$B14,"00")&amp;"/03/2026",'Data Base hauling'!$E$2:$E$2000)))*'Data Base hauling'!$N$2:$N$2000)</f>
        <v>0</v>
      </c>
      <c r="HV14" s="5"/>
      <c r="HW14" s="5">
        <f t="array" ref="HW14">SUMPRODUCT(('Data Base hauling'!$C$2:$C$2000="TCM-ROM SB1 BK05-ROM 5")*(ISNUMBER(SEARCH(TEXT('August TCM'!$B14,"00")&amp;"/03/2026",'Data Base hauling'!$E$2:$E$2000)))*'Data Base hauling'!$N$2:$N$2000)</f>
        <v>0</v>
      </c>
      <c r="HX14" s="5"/>
      <c r="HY14" s="5"/>
      <c r="HZ14" s="5"/>
      <c r="IA14" s="5"/>
      <c r="IB14" s="5"/>
      <c r="IC14" s="12">
        <f t="shared" si="58"/>
        <v>0</v>
      </c>
      <c r="ID14" s="845"/>
      <c r="IE14" s="363"/>
      <c r="IF14" s="64"/>
      <c r="IG14" s="64"/>
      <c r="IH14" s="64"/>
      <c r="II14" s="64"/>
      <c r="IJ14" s="1926">
        <v>0</v>
      </c>
      <c r="IK14" s="1590"/>
      <c r="IL14" s="1926">
        <v>0</v>
      </c>
      <c r="IM14" s="64"/>
      <c r="IN14" s="49">
        <v>0</v>
      </c>
      <c r="IO14" s="64"/>
      <c r="IP14" s="64"/>
      <c r="IQ14" s="49">
        <v>0</v>
      </c>
      <c r="IR14" s="2195">
        <f t="shared" si="59"/>
        <v>0</v>
      </c>
      <c r="IS14" s="9"/>
      <c r="IT14" s="9"/>
      <c r="IU14" s="5"/>
      <c r="IV14" s="5"/>
      <c r="IW14" s="64"/>
      <c r="IX14" s="5"/>
      <c r="IY14" s="24">
        <v>0</v>
      </c>
      <c r="IZ14" s="5"/>
      <c r="JA14" s="24">
        <v>0</v>
      </c>
      <c r="JB14" s="5"/>
      <c r="JC14" s="24">
        <v>0</v>
      </c>
      <c r="JD14" s="5"/>
      <c r="JE14" s="5"/>
      <c r="JF14" s="5"/>
      <c r="JG14" s="12">
        <f t="shared" si="141"/>
        <v>0</v>
      </c>
      <c r="JH14" s="2667"/>
      <c r="JJ14" s="2014">
        <v>0</v>
      </c>
      <c r="JK14" s="2015">
        <v>0</v>
      </c>
      <c r="JL14" s="53"/>
      <c r="JM14" s="1736">
        <f t="shared" si="61"/>
        <v>0</v>
      </c>
      <c r="JN14" s="33"/>
      <c r="JO14" s="2669"/>
      <c r="JP14" s="66" t="s">
        <v>296</v>
      </c>
      <c r="JQ14" s="67" t="s">
        <v>296</v>
      </c>
      <c r="JR14" s="67" t="s">
        <v>296</v>
      </c>
      <c r="JS14" s="67" t="s">
        <v>296</v>
      </c>
      <c r="JT14" s="67" t="s">
        <v>296</v>
      </c>
      <c r="JU14" s="67" t="s">
        <v>296</v>
      </c>
      <c r="JV14" s="67" t="s">
        <v>296</v>
      </c>
      <c r="JW14" s="1921">
        <v>0</v>
      </c>
      <c r="JX14" s="66" t="s">
        <v>296</v>
      </c>
      <c r="JY14" s="67" t="s">
        <v>296</v>
      </c>
      <c r="JZ14" s="67" t="s">
        <v>296</v>
      </c>
      <c r="KA14" s="67" t="s">
        <v>296</v>
      </c>
      <c r="KB14" s="67" t="s">
        <v>296</v>
      </c>
      <c r="KC14" s="67" t="s">
        <v>296</v>
      </c>
      <c r="KD14" s="67" t="s">
        <v>296</v>
      </c>
      <c r="KE14" s="68" t="s">
        <v>296</v>
      </c>
      <c r="KF14" s="69"/>
      <c r="KG14" s="70"/>
      <c r="KH14" s="70"/>
      <c r="KI14" s="70"/>
      <c r="KJ14" s="70"/>
      <c r="KK14" s="70"/>
      <c r="KL14" s="70"/>
      <c r="KM14" s="70"/>
      <c r="KN14" s="33"/>
      <c r="KO14" s="2669"/>
      <c r="KP14" s="2203">
        <v>0</v>
      </c>
      <c r="KQ14" s="1721">
        <v>0</v>
      </c>
      <c r="KR14" s="1721">
        <v>0</v>
      </c>
      <c r="KS14" s="1721">
        <v>0</v>
      </c>
      <c r="KT14" s="1722">
        <v>0</v>
      </c>
      <c r="KU14" s="1958">
        <v>0</v>
      </c>
      <c r="KV14" s="1961">
        <v>0</v>
      </c>
      <c r="KW14" s="1961">
        <v>0</v>
      </c>
      <c r="KX14" s="1961">
        <v>0</v>
      </c>
      <c r="KY14" s="1962">
        <v>0</v>
      </c>
      <c r="KZ14" s="36"/>
      <c r="LA14" s="53"/>
      <c r="LB14" s="53"/>
      <c r="LC14" s="53"/>
      <c r="LD14" s="53"/>
      <c r="LE14" s="33"/>
      <c r="LF14" s="2669"/>
      <c r="LH14" s="998">
        <f t="shared" si="62"/>
        <v>7319.05</v>
      </c>
      <c r="LI14" s="27">
        <f t="shared" si="62"/>
        <v>0</v>
      </c>
      <c r="LJ14" s="27">
        <f t="shared" si="62"/>
        <v>0</v>
      </c>
      <c r="LK14" s="28">
        <f t="shared" si="63"/>
        <v>7319.05</v>
      </c>
      <c r="LL14" s="36">
        <v>1</v>
      </c>
      <c r="LM14" s="27"/>
      <c r="LN14" s="27">
        <v>1</v>
      </c>
      <c r="LO14" s="33"/>
      <c r="LP14" s="1957">
        <v>1.1000000000000001</v>
      </c>
      <c r="LQ14" s="486"/>
      <c r="LR14" s="2688"/>
      <c r="LS14" s="21">
        <v>7319.05</v>
      </c>
      <c r="LT14" s="27"/>
      <c r="LU14" s="27"/>
      <c r="LV14" s="27"/>
      <c r="LW14" s="27"/>
      <c r="LX14" s="1117">
        <f t="shared" si="64"/>
        <v>7319.05</v>
      </c>
      <c r="LY14" s="36"/>
      <c r="LZ14" s="36"/>
      <c r="MA14" s="27"/>
      <c r="MB14" s="27"/>
      <c r="MC14" s="33"/>
      <c r="MD14" s="28">
        <f t="shared" si="65"/>
        <v>0</v>
      </c>
      <c r="ME14" s="26"/>
      <c r="MF14" s="36"/>
      <c r="MG14" s="27"/>
      <c r="MH14" s="27"/>
      <c r="MI14" s="27"/>
      <c r="MJ14" s="28"/>
      <c r="MK14" s="36"/>
      <c r="ML14" s="36"/>
      <c r="MM14" s="27"/>
      <c r="MN14" s="27"/>
      <c r="MO14" s="27"/>
      <c r="MP14" s="28"/>
      <c r="MQ14" s="36"/>
      <c r="MR14" s="36"/>
      <c r="MS14" s="27"/>
      <c r="MT14" s="27"/>
      <c r="MU14" s="27"/>
      <c r="MV14" s="33">
        <f t="shared" si="66"/>
        <v>0</v>
      </c>
      <c r="MW14" s="2688"/>
      <c r="MY14" s="26">
        <f t="shared" si="67"/>
        <v>154775.04691943515</v>
      </c>
      <c r="MZ14" s="27">
        <f t="shared" si="68"/>
        <v>268898.1263037583</v>
      </c>
      <c r="NA14" s="27">
        <f t="shared" si="69"/>
        <v>24417.475697817415</v>
      </c>
      <c r="NB14" s="28">
        <f t="shared" si="70"/>
        <v>334434.65795580432</v>
      </c>
      <c r="NC14" s="2621"/>
      <c r="ND14" s="23">
        <f t="shared" si="71"/>
        <v>53856.056200678286</v>
      </c>
      <c r="NE14" s="1655">
        <f t="shared" si="72"/>
        <v>100918.99071875685</v>
      </c>
      <c r="NF14" s="60">
        <f t="shared" si="73"/>
        <v>0</v>
      </c>
      <c r="NG14" s="275">
        <f t="shared" si="4"/>
        <v>154775.04691943515</v>
      </c>
      <c r="NH14" s="26">
        <f t="shared" si="74"/>
        <v>0</v>
      </c>
      <c r="NI14" s="27">
        <f t="shared" si="74"/>
        <v>0</v>
      </c>
      <c r="NJ14" s="27">
        <f t="shared" si="74"/>
        <v>0</v>
      </c>
      <c r="NK14" s="27">
        <f t="shared" si="74"/>
        <v>0</v>
      </c>
      <c r="NL14" s="27">
        <f t="shared" si="74"/>
        <v>0</v>
      </c>
      <c r="NM14" s="33">
        <f t="shared" si="74"/>
        <v>0</v>
      </c>
      <c r="NN14" s="27">
        <f t="shared" si="74"/>
        <v>0</v>
      </c>
      <c r="NO14" s="36">
        <f t="shared" si="74"/>
        <v>0</v>
      </c>
      <c r="NP14" s="24">
        <f t="shared" si="74"/>
        <v>29371.210605424243</v>
      </c>
      <c r="NQ14" s="27">
        <f t="shared" si="74"/>
        <v>24023.830351777149</v>
      </c>
      <c r="NR14" s="24">
        <f t="shared" si="136"/>
        <v>8756.5482322711578</v>
      </c>
      <c r="NS14" s="24">
        <f t="shared" si="137"/>
        <v>8212.6935664101129</v>
      </c>
      <c r="NT14" s="27">
        <f t="shared" si="0"/>
        <v>70364.282755882668</v>
      </c>
      <c r="NU14" s="27">
        <f t="shared" si="75"/>
        <v>0</v>
      </c>
      <c r="NV14" s="27">
        <f t="shared" si="76"/>
        <v>0</v>
      </c>
      <c r="NW14" s="27">
        <f t="shared" si="77"/>
        <v>0</v>
      </c>
      <c r="NX14" s="27">
        <f t="shared" si="78"/>
        <v>0</v>
      </c>
      <c r="NY14" s="27">
        <f t="shared" si="79"/>
        <v>0</v>
      </c>
      <c r="NZ14" s="27">
        <f t="shared" si="80"/>
        <v>0</v>
      </c>
      <c r="OA14" s="27">
        <f t="shared" si="81"/>
        <v>17359.724489662851</v>
      </c>
      <c r="OB14" s="27">
        <f t="shared" si="82"/>
        <v>0</v>
      </c>
      <c r="OC14" s="27">
        <f t="shared" si="83"/>
        <v>81392.999485704175</v>
      </c>
      <c r="OD14" s="280"/>
      <c r="OE14" s="27">
        <f t="shared" si="138"/>
        <v>0</v>
      </c>
      <c r="OF14" s="27">
        <f t="shared" si="84"/>
        <v>0</v>
      </c>
      <c r="OG14" s="28">
        <f t="shared" si="1"/>
        <v>98752.723975367029</v>
      </c>
      <c r="OH14" s="27">
        <f t="shared" si="85"/>
        <v>0</v>
      </c>
      <c r="OI14" s="27">
        <f t="shared" si="85"/>
        <v>0</v>
      </c>
      <c r="OJ14" s="27">
        <f t="shared" si="85"/>
        <v>0</v>
      </c>
      <c r="OK14" s="27">
        <f t="shared" si="85"/>
        <v>0</v>
      </c>
      <c r="OL14" s="27">
        <f t="shared" si="85"/>
        <v>0</v>
      </c>
      <c r="OM14" s="27">
        <f t="shared" si="85"/>
        <v>0</v>
      </c>
      <c r="ON14" s="24">
        <f t="shared" si="85"/>
        <v>0</v>
      </c>
      <c r="OO14" s="27">
        <f t="shared" si="85"/>
        <v>0</v>
      </c>
      <c r="OP14" s="24">
        <f t="shared" si="86"/>
        <v>83121.742313713752</v>
      </c>
      <c r="OQ14" s="27">
        <f t="shared" si="87"/>
        <v>0</v>
      </c>
      <c r="OR14" s="24">
        <f t="shared" si="88"/>
        <v>16659.377258794844</v>
      </c>
      <c r="OS14" s="27">
        <f t="shared" si="89"/>
        <v>0</v>
      </c>
      <c r="OT14" s="28">
        <f t="shared" si="2"/>
        <v>99781.1195725086</v>
      </c>
      <c r="OU14" s="36"/>
      <c r="OV14" s="27"/>
      <c r="OW14" s="27"/>
      <c r="OX14" s="27"/>
      <c r="OY14" s="27"/>
      <c r="OZ14" s="27"/>
      <c r="PA14" s="28">
        <f t="shared" si="90"/>
        <v>0</v>
      </c>
      <c r="PB14" s="36">
        <f t="shared" si="91"/>
        <v>0</v>
      </c>
      <c r="PC14" s="27">
        <f t="shared" si="92"/>
        <v>0</v>
      </c>
      <c r="PD14" s="27">
        <f t="shared" si="93"/>
        <v>0</v>
      </c>
      <c r="PE14" s="27">
        <f t="shared" si="94"/>
        <v>0</v>
      </c>
      <c r="PF14" s="24"/>
      <c r="PG14" s="27">
        <f t="shared" si="95"/>
        <v>0</v>
      </c>
      <c r="PH14" s="33">
        <f t="shared" si="3"/>
        <v>0</v>
      </c>
      <c r="PI14" s="2621"/>
      <c r="PK14" s="1907">
        <v>1360.78</v>
      </c>
      <c r="PL14" s="1101">
        <v>0</v>
      </c>
      <c r="PM14" s="1101">
        <v>0</v>
      </c>
      <c r="PN14" s="3">
        <f t="shared" si="96"/>
        <v>0</v>
      </c>
      <c r="PO14" s="3">
        <f t="shared" si="97"/>
        <v>32237.049204532861</v>
      </c>
      <c r="PP14" s="11">
        <f t="shared" si="98"/>
        <v>24417.475697817415</v>
      </c>
      <c r="PQ14" s="15"/>
      <c r="PR14" s="2615"/>
      <c r="PT14" s="4"/>
      <c r="PU14" s="9"/>
      <c r="PV14" s="9"/>
      <c r="PW14" s="9"/>
      <c r="PX14" s="2531">
        <v>0</v>
      </c>
      <c r="PY14" s="9"/>
      <c r="PZ14" s="8">
        <f t="shared" si="99"/>
        <v>0</v>
      </c>
      <c r="QA14" s="5">
        <f t="shared" si="100"/>
        <v>1360.78</v>
      </c>
      <c r="QB14" s="5"/>
      <c r="QC14" s="5"/>
      <c r="QD14" s="5"/>
      <c r="QE14" s="5"/>
      <c r="QF14" s="5"/>
      <c r="QG14" s="12"/>
      <c r="QH14" s="12">
        <f t="shared" si="101"/>
        <v>29562.488999999998</v>
      </c>
      <c r="QI14" s="420">
        <f t="shared" si="102"/>
        <v>301151.88007140433</v>
      </c>
      <c r="QJ14" s="1106">
        <f t="shared" si="139"/>
        <v>3720.2888844000004</v>
      </c>
      <c r="QK14" s="484">
        <f t="shared" si="103"/>
        <v>5505.3678056099998</v>
      </c>
      <c r="QL14" s="12"/>
      <c r="QM14" s="2615"/>
      <c r="QO14" s="139" t="str">
        <f t="shared" si="104"/>
        <v/>
      </c>
      <c r="QP14" s="139" t="str">
        <f t="shared" si="105"/>
        <v/>
      </c>
      <c r="QR14" s="139" t="str">
        <f t="shared" si="106"/>
        <v/>
      </c>
      <c r="QS14" s="139" t="str">
        <f t="shared" si="107"/>
        <v/>
      </c>
      <c r="QU14" s="1">
        <f t="shared" si="108"/>
        <v>0</v>
      </c>
      <c r="QV14" s="1">
        <f t="shared" si="109"/>
        <v>0</v>
      </c>
      <c r="QW14" s="1">
        <f t="shared" si="110"/>
        <v>0</v>
      </c>
      <c r="QX14" s="1">
        <f t="shared" si="111"/>
        <v>0</v>
      </c>
      <c r="QY14" s="1">
        <f t="shared" si="112"/>
        <v>0</v>
      </c>
      <c r="QZ14" s="1">
        <f t="shared" si="113"/>
        <v>0</v>
      </c>
      <c r="RB14" s="1">
        <f t="shared" si="114"/>
        <v>0</v>
      </c>
      <c r="RC14" s="1">
        <f t="shared" si="115"/>
        <v>0</v>
      </c>
      <c r="RD14" s="1">
        <f t="shared" si="116"/>
        <v>0</v>
      </c>
      <c r="RE14" s="1">
        <f t="shared" si="117"/>
        <v>0</v>
      </c>
      <c r="RF14" s="1">
        <f t="shared" si="118"/>
        <v>0</v>
      </c>
      <c r="RG14" s="1">
        <f t="shared" si="119"/>
        <v>0</v>
      </c>
      <c r="RJ14" s="1">
        <v>5</v>
      </c>
      <c r="RK14" s="1">
        <f t="shared" si="120"/>
        <v>13995.771751083164</v>
      </c>
      <c r="RL14" s="1">
        <f t="shared" si="120"/>
        <v>-601.62645013771998</v>
      </c>
      <c r="RM14" s="1">
        <f t="shared" si="120"/>
        <v>9178.5689913333827</v>
      </c>
      <c r="RN14" s="89">
        <f t="shared" si="5"/>
        <v>22572.714292278826</v>
      </c>
      <c r="RO14" s="1033">
        <v>5</v>
      </c>
      <c r="RP14" s="1098">
        <v>0</v>
      </c>
      <c r="RQ14" s="1098">
        <f t="shared" si="121"/>
        <v>0</v>
      </c>
      <c r="RR14" s="1097">
        <f t="shared" si="121"/>
        <v>0</v>
      </c>
      <c r="RS14" s="1097">
        <f t="shared" si="122"/>
        <v>8805.9</v>
      </c>
      <c r="RT14" s="1094"/>
      <c r="RU14" s="1123" t="s">
        <v>1056</v>
      </c>
      <c r="RX14" s="421">
        <v>5</v>
      </c>
      <c r="RY14" s="1095">
        <f t="shared" si="123"/>
        <v>0</v>
      </c>
      <c r="RZ14" s="1094"/>
      <c r="SB14" s="1090"/>
      <c r="SC14" s="1090">
        <f t="shared" si="124"/>
        <v>0</v>
      </c>
      <c r="SD14" s="1090"/>
      <c r="SE14" s="1090">
        <f t="shared" si="125"/>
        <v>0</v>
      </c>
      <c r="SG14" s="1">
        <v>5</v>
      </c>
      <c r="SH14" s="1">
        <f t="shared" si="126"/>
        <v>0</v>
      </c>
      <c r="SI14" s="1094"/>
    </row>
    <row r="15" spans="1:503" s="1" customFormat="1">
      <c r="B15" s="471">
        <v>6</v>
      </c>
      <c r="C15" s="4">
        <f t="shared" si="127"/>
        <v>160983</v>
      </c>
      <c r="D15" s="1736">
        <f t="shared" si="128"/>
        <v>13709.84</v>
      </c>
      <c r="E15" s="1895">
        <f t="shared" si="6"/>
        <v>11.742150163678058</v>
      </c>
      <c r="F15" s="870"/>
      <c r="G15" s="870"/>
      <c r="H15" s="52"/>
      <c r="I15" s="61"/>
      <c r="J15" s="52"/>
      <c r="K15" s="54"/>
      <c r="L15" s="52"/>
      <c r="M15" s="61"/>
      <c r="N15" s="2629"/>
      <c r="O15" s="4">
        <f t="shared" si="142"/>
        <v>98574</v>
      </c>
      <c r="P15" s="1225">
        <f t="shared" si="7"/>
        <v>7869.6399999999994</v>
      </c>
      <c r="Q15" s="1913">
        <f t="shared" si="8"/>
        <v>12.525858870291399</v>
      </c>
      <c r="R15" s="33"/>
      <c r="S15" s="26">
        <f t="shared" si="9"/>
        <v>31666</v>
      </c>
      <c r="T15" s="27">
        <f t="shared" si="129"/>
        <v>3193.4199999999996</v>
      </c>
      <c r="U15" s="1909">
        <f t="shared" si="10"/>
        <v>9.9160148054436945</v>
      </c>
      <c r="V15" s="28"/>
      <c r="W15" s="1742">
        <f t="shared" si="11"/>
        <v>25169</v>
      </c>
      <c r="X15" s="5">
        <f t="shared" si="11"/>
        <v>1768</v>
      </c>
      <c r="Y15" s="1909">
        <f t="shared" si="12"/>
        <v>14.235859728506787</v>
      </c>
      <c r="Z15" s="33"/>
      <c r="AA15" s="26">
        <f t="shared" si="13"/>
        <v>5574</v>
      </c>
      <c r="AB15" s="27">
        <f t="shared" si="14"/>
        <v>878.78</v>
      </c>
      <c r="AC15" s="1909">
        <f t="shared" si="15"/>
        <v>6.3428844534468238</v>
      </c>
      <c r="AD15" s="28"/>
      <c r="AE15" s="36"/>
      <c r="AF15" s="36"/>
      <c r="AG15" s="53">
        <f t="shared" si="16"/>
        <v>0</v>
      </c>
      <c r="AH15" s="28"/>
      <c r="AI15" s="26"/>
      <c r="AJ15" s="27"/>
      <c r="AK15" s="53">
        <f t="shared" si="17"/>
        <v>0</v>
      </c>
      <c r="AL15" s="28"/>
      <c r="AM15" s="2629"/>
      <c r="AN15" s="9"/>
      <c r="AO15" s="5"/>
      <c r="AP15" s="61">
        <f t="shared" si="18"/>
        <v>0</v>
      </c>
      <c r="AQ15" s="36"/>
      <c r="AR15" s="53"/>
      <c r="AS15" s="61">
        <f t="shared" si="19"/>
        <v>0</v>
      </c>
      <c r="AT15" s="36"/>
      <c r="AU15" s="27"/>
      <c r="AV15" s="54">
        <f t="shared" si="20"/>
        <v>0</v>
      </c>
      <c r="AW15" s="26">
        <v>54432</v>
      </c>
      <c r="AX15" s="24">
        <v>6955.7</v>
      </c>
      <c r="AY15" s="1735">
        <f t="shared" si="140"/>
        <v>7.8255243900685771</v>
      </c>
      <c r="AZ15" s="36"/>
      <c r="BA15" s="27"/>
      <c r="BB15" s="61">
        <f t="shared" si="21"/>
        <v>0</v>
      </c>
      <c r="BC15" s="1740">
        <v>44142</v>
      </c>
      <c r="BD15" s="1926">
        <v>913.94</v>
      </c>
      <c r="BE15" s="1735">
        <f t="shared" si="22"/>
        <v>48.298575398822678</v>
      </c>
      <c r="BF15" s="36"/>
      <c r="BG15" s="53"/>
      <c r="BH15" s="61">
        <f t="shared" si="23"/>
        <v>0</v>
      </c>
      <c r="BI15" s="36">
        <v>0</v>
      </c>
      <c r="BJ15" s="53">
        <v>0</v>
      </c>
      <c r="BK15" s="61">
        <f t="shared" si="24"/>
        <v>0</v>
      </c>
      <c r="BL15" s="1742">
        <v>31666</v>
      </c>
      <c r="BM15" s="1736">
        <v>3193.4199999999996</v>
      </c>
      <c r="BN15" s="2170"/>
      <c r="BO15" s="1735">
        <f t="shared" si="25"/>
        <v>9.9160148054436945</v>
      </c>
      <c r="BP15" s="36">
        <v>5574</v>
      </c>
      <c r="BQ15" s="53">
        <v>878.78</v>
      </c>
      <c r="BR15" s="1735">
        <f t="shared" si="26"/>
        <v>6.3428844534468238</v>
      </c>
      <c r="BS15" s="36"/>
      <c r="BT15" s="53"/>
      <c r="BU15" s="61">
        <f t="shared" si="27"/>
        <v>0</v>
      </c>
      <c r="BV15" s="36">
        <v>25169</v>
      </c>
      <c r="BW15" s="27">
        <f t="shared" si="130"/>
        <v>1768</v>
      </c>
      <c r="BX15" s="1906">
        <f t="shared" si="28"/>
        <v>14.235859728506787</v>
      </c>
      <c r="BY15" s="26"/>
      <c r="BZ15" s="27"/>
      <c r="CA15" s="61">
        <f t="shared" si="29"/>
        <v>0</v>
      </c>
      <c r="CB15" s="36"/>
      <c r="CC15" s="481"/>
      <c r="CD15" s="482">
        <f t="shared" si="30"/>
        <v>0</v>
      </c>
      <c r="CE15" s="4"/>
      <c r="CF15" s="5"/>
      <c r="CG15" s="28">
        <f t="shared" si="31"/>
        <v>0</v>
      </c>
      <c r="CH15" s="149"/>
      <c r="CI15" s="4"/>
      <c r="CJ15" s="5">
        <v>0</v>
      </c>
      <c r="CK15" s="5">
        <v>7698</v>
      </c>
      <c r="CL15" s="5"/>
      <c r="CM15" s="5"/>
      <c r="CN15" s="3">
        <f t="shared" si="131"/>
        <v>7698</v>
      </c>
      <c r="CO15" s="33"/>
      <c r="CP15" s="366"/>
      <c r="CR15" s="4">
        <f t="shared" si="32"/>
        <v>0</v>
      </c>
      <c r="CS15" s="9">
        <f t="shared" si="33"/>
        <v>0</v>
      </c>
      <c r="CT15" s="5">
        <f t="shared" si="34"/>
        <v>0</v>
      </c>
      <c r="CU15" s="5">
        <f t="shared" si="35"/>
        <v>0</v>
      </c>
      <c r="CV15" s="5">
        <f t="shared" si="36"/>
        <v>0</v>
      </c>
      <c r="CW15" s="5">
        <f t="shared" si="37"/>
        <v>0</v>
      </c>
      <c r="CX15" s="5">
        <f t="shared" si="38"/>
        <v>4683.3999999999996</v>
      </c>
      <c r="CY15" s="5">
        <f t="shared" si="39"/>
        <v>0</v>
      </c>
      <c r="CZ15" s="5">
        <f t="shared" si="40"/>
        <v>4986.1400000000003</v>
      </c>
      <c r="DA15" s="5">
        <f t="shared" si="41"/>
        <v>0</v>
      </c>
      <c r="DB15" s="5">
        <f t="shared" si="42"/>
        <v>1768</v>
      </c>
      <c r="DC15" s="12">
        <f t="shared" si="43"/>
        <v>0</v>
      </c>
      <c r="DD15" s="310">
        <f t="shared" si="44"/>
        <v>11437.54</v>
      </c>
      <c r="DE15" s="2695"/>
      <c r="DF15" s="8"/>
      <c r="DG15" s="9"/>
      <c r="DH15" s="5"/>
      <c r="DI15" s="5"/>
      <c r="DJ15" s="5"/>
      <c r="DK15" s="5"/>
      <c r="DL15" s="3">
        <v>4683.3999999999996</v>
      </c>
      <c r="DM15" s="5"/>
      <c r="DN15" s="3">
        <v>0</v>
      </c>
      <c r="DO15" s="5"/>
      <c r="DP15" s="3">
        <v>0</v>
      </c>
      <c r="DQ15" s="11">
        <v>2272.3000000000002</v>
      </c>
      <c r="DR15" s="12"/>
      <c r="DS15" s="1906">
        <f t="shared" si="45"/>
        <v>6955.7</v>
      </c>
      <c r="DT15" s="36"/>
      <c r="DU15" s="36"/>
      <c r="DV15" s="27"/>
      <c r="DW15" s="27"/>
      <c r="DX15" s="5"/>
      <c r="DY15" s="5"/>
      <c r="DZ15" s="5"/>
      <c r="EA15" s="5"/>
      <c r="EB15" s="3">
        <v>4986.1400000000003</v>
      </c>
      <c r="EC15" s="53"/>
      <c r="ED15" s="24">
        <v>0</v>
      </c>
      <c r="EE15" s="33"/>
      <c r="EF15" s="28">
        <f t="shared" si="46"/>
        <v>4986.1400000000003</v>
      </c>
      <c r="EG15" s="9"/>
      <c r="EH15" s="9"/>
      <c r="EI15" s="5"/>
      <c r="EJ15" s="5"/>
      <c r="EK15" s="27"/>
      <c r="EL15" s="27"/>
      <c r="EM15" s="27"/>
      <c r="EN15" s="27"/>
      <c r="EO15" s="5"/>
      <c r="EP15" s="5"/>
      <c r="EQ15" s="5">
        <v>1768</v>
      </c>
      <c r="ER15" s="33"/>
      <c r="ES15" s="28">
        <f t="shared" si="143"/>
        <v>1768</v>
      </c>
      <c r="ET15" s="36"/>
      <c r="EU15" s="27"/>
      <c r="EV15" s="27"/>
      <c r="EW15" s="27"/>
      <c r="EX15" s="27"/>
      <c r="EY15" s="27"/>
      <c r="EZ15" s="33">
        <f t="shared" si="48"/>
        <v>0</v>
      </c>
      <c r="FA15" s="2685"/>
      <c r="FC15" s="4">
        <f t="shared" si="49"/>
        <v>0</v>
      </c>
      <c r="FD15" s="5">
        <f t="shared" si="50"/>
        <v>0</v>
      </c>
      <c r="FE15" s="5">
        <f t="shared" si="51"/>
        <v>0</v>
      </c>
      <c r="FF15" s="12">
        <f t="shared" si="52"/>
        <v>0</v>
      </c>
      <c r="FG15" s="33"/>
      <c r="FH15" s="2674"/>
      <c r="FI15" s="9"/>
      <c r="FJ15" s="5"/>
      <c r="FK15" s="5"/>
      <c r="FL15" s="5"/>
      <c r="FM15" s="5"/>
      <c r="FN15" s="27"/>
      <c r="FO15" s="28">
        <f t="shared" si="53"/>
        <v>0</v>
      </c>
      <c r="FP15" s="36"/>
      <c r="FQ15" s="27"/>
      <c r="FR15" s="27"/>
      <c r="FS15" s="27"/>
      <c r="FT15" s="27"/>
      <c r="FU15" s="27"/>
      <c r="FV15" s="28">
        <f t="shared" si="54"/>
        <v>0</v>
      </c>
      <c r="FW15" s="36"/>
      <c r="FX15" s="36"/>
      <c r="FY15" s="27"/>
      <c r="FZ15" s="27"/>
      <c r="GA15" s="27"/>
      <c r="GB15" s="27"/>
      <c r="GC15" s="27"/>
      <c r="GD15" s="27"/>
      <c r="GE15" s="24">
        <v>0</v>
      </c>
      <c r="GF15" s="27"/>
      <c r="GG15" s="27"/>
      <c r="GH15" s="33"/>
      <c r="GI15" s="33">
        <f t="shared" si="55"/>
        <v>0</v>
      </c>
      <c r="GJ15" s="2674"/>
      <c r="GL15" s="2">
        <f t="shared" si="132"/>
        <v>1541.5</v>
      </c>
      <c r="GM15" s="63">
        <f t="shared" si="133"/>
        <v>1551.33</v>
      </c>
      <c r="GN15" s="24">
        <f t="shared" si="134"/>
        <v>4000.11</v>
      </c>
      <c r="GO15" s="1736">
        <f t="shared" si="56"/>
        <v>7092.9400000000005</v>
      </c>
      <c r="GP15" s="141"/>
      <c r="GQ15" s="141"/>
      <c r="GR15" s="33"/>
      <c r="GS15" s="2702"/>
      <c r="GT15" s="2204">
        <v>0</v>
      </c>
      <c r="GU15" s="1721">
        <v>0</v>
      </c>
      <c r="GV15" s="1721">
        <v>2852.05</v>
      </c>
      <c r="GW15" s="1721">
        <v>4240.8900000000003</v>
      </c>
      <c r="GX15" s="1724">
        <f t="shared" si="135"/>
        <v>7092.9400000000005</v>
      </c>
      <c r="GY15" s="2667"/>
      <c r="GZ15" s="35">
        <v>0</v>
      </c>
      <c r="HA15" s="9"/>
      <c r="HB15" s="5"/>
      <c r="HC15" s="5"/>
      <c r="HD15" s="5"/>
      <c r="HE15" s="5"/>
      <c r="HF15" s="24">
        <v>0</v>
      </c>
      <c r="HG15" s="5"/>
      <c r="HH15" s="24">
        <v>1541.5</v>
      </c>
      <c r="HI15" s="5"/>
      <c r="HJ15" s="24">
        <v>0</v>
      </c>
      <c r="HK15" s="5"/>
      <c r="HL15" s="24">
        <v>0</v>
      </c>
      <c r="HM15" s="5"/>
      <c r="HN15" s="15">
        <f t="shared" si="57"/>
        <v>1541.5</v>
      </c>
      <c r="HO15" s="9"/>
      <c r="HP15" s="5"/>
      <c r="HQ15" s="5"/>
      <c r="HR15" s="5"/>
      <c r="HS15" s="5"/>
      <c r="HT15" s="5"/>
      <c r="HU15" s="5">
        <f t="array" ref="HU15">SUMPRODUCT(('Data Base hauling'!$C$2:$C$2000="TCM-ROM SB1 BK05-ROM 4")*(ISNUMBER(SEARCH(TEXT('August TCM'!$B15,"00")&amp;"/03/2026",'Data Base hauling'!$E$2:$E$2000)))*'Data Base hauling'!$N$2:$N$2000)</f>
        <v>0</v>
      </c>
      <c r="HV15" s="5"/>
      <c r="HW15" s="5">
        <f t="array" ref="HW15">SUMPRODUCT(('Data Base hauling'!$C$2:$C$2000="TCM-ROM SB1 BK05-ROM 5")*(ISNUMBER(SEARCH(TEXT('August TCM'!$B15,"00")&amp;"/03/2026",'Data Base hauling'!$E$2:$E$2000)))*'Data Base hauling'!$N$2:$N$2000)</f>
        <v>0</v>
      </c>
      <c r="HX15" s="5"/>
      <c r="HY15" s="5"/>
      <c r="HZ15" s="5"/>
      <c r="IA15" s="5"/>
      <c r="IB15" s="5"/>
      <c r="IC15" s="12">
        <f t="shared" si="58"/>
        <v>0</v>
      </c>
      <c r="ID15" s="845"/>
      <c r="IE15" s="363"/>
      <c r="IF15" s="64"/>
      <c r="IG15" s="64"/>
      <c r="IH15" s="64"/>
      <c r="II15" s="64"/>
      <c r="IJ15" s="1926">
        <v>0</v>
      </c>
      <c r="IK15" s="1590"/>
      <c r="IL15" s="1926">
        <v>0</v>
      </c>
      <c r="IM15" s="64"/>
      <c r="IN15" s="49">
        <v>1551.33</v>
      </c>
      <c r="IO15" s="64"/>
      <c r="IP15" s="64"/>
      <c r="IQ15" s="49">
        <v>0</v>
      </c>
      <c r="IR15" s="2195">
        <f t="shared" si="59"/>
        <v>1551.33</v>
      </c>
      <c r="IS15" s="9"/>
      <c r="IT15" s="9"/>
      <c r="IU15" s="5"/>
      <c r="IV15" s="5"/>
      <c r="IW15" s="64"/>
      <c r="IX15" s="5"/>
      <c r="IY15" s="24">
        <v>0</v>
      </c>
      <c r="IZ15" s="5"/>
      <c r="JA15" s="24">
        <v>4000.11</v>
      </c>
      <c r="JB15" s="5"/>
      <c r="JC15" s="24">
        <v>0</v>
      </c>
      <c r="JD15" s="5"/>
      <c r="JE15" s="5"/>
      <c r="JF15" s="5"/>
      <c r="JG15" s="12">
        <f t="shared" si="141"/>
        <v>4000.11</v>
      </c>
      <c r="JH15" s="2667"/>
      <c r="JJ15" s="2014">
        <v>7092.9400000000005</v>
      </c>
      <c r="JK15" s="2015">
        <v>0</v>
      </c>
      <c r="JL15" s="53"/>
      <c r="JM15" s="1736">
        <f t="shared" si="61"/>
        <v>7092.9400000000005</v>
      </c>
      <c r="JN15" s="33"/>
      <c r="JO15" s="2669"/>
      <c r="JP15" s="66">
        <v>0</v>
      </c>
      <c r="JQ15" s="67">
        <v>0</v>
      </c>
      <c r="JR15" s="67">
        <v>0</v>
      </c>
      <c r="JS15" s="67">
        <v>0</v>
      </c>
      <c r="JT15" s="67">
        <v>0.78128533443113857</v>
      </c>
      <c r="JU15" s="67">
        <v>0.2187146655688614</v>
      </c>
      <c r="JV15" s="67">
        <v>0</v>
      </c>
      <c r="JW15" s="1921">
        <v>0</v>
      </c>
      <c r="JX15" s="66" t="s">
        <v>296</v>
      </c>
      <c r="JY15" s="67" t="s">
        <v>296</v>
      </c>
      <c r="JZ15" s="67" t="s">
        <v>296</v>
      </c>
      <c r="KA15" s="67" t="s">
        <v>296</v>
      </c>
      <c r="KB15" s="67" t="s">
        <v>296</v>
      </c>
      <c r="KC15" s="67" t="s">
        <v>296</v>
      </c>
      <c r="KD15" s="67" t="s">
        <v>296</v>
      </c>
      <c r="KE15" s="68" t="s">
        <v>296</v>
      </c>
      <c r="KF15" s="69"/>
      <c r="KG15" s="70"/>
      <c r="KH15" s="70"/>
      <c r="KI15" s="70"/>
      <c r="KJ15" s="70"/>
      <c r="KK15" s="70"/>
      <c r="KL15" s="70"/>
      <c r="KM15" s="70"/>
      <c r="KN15" s="33"/>
      <c r="KO15" s="2669"/>
      <c r="KP15" s="2203">
        <v>7424.1273392430003</v>
      </c>
      <c r="KQ15" s="1721">
        <v>0.46482341353595047</v>
      </c>
      <c r="KR15" s="1721">
        <v>3.7369424511045448</v>
      </c>
      <c r="KS15" s="1721">
        <v>4.0763289714366113</v>
      </c>
      <c r="KT15" s="1722">
        <v>8.3444290094273246</v>
      </c>
      <c r="KU15" s="1958">
        <v>0</v>
      </c>
      <c r="KV15" s="1961">
        <v>0</v>
      </c>
      <c r="KW15" s="1961">
        <v>0</v>
      </c>
      <c r="KX15" s="1961">
        <v>0</v>
      </c>
      <c r="KY15" s="1962">
        <v>0</v>
      </c>
      <c r="KZ15" s="36"/>
      <c r="LA15" s="53"/>
      <c r="LB15" s="53"/>
      <c r="LC15" s="53"/>
      <c r="LD15" s="53"/>
      <c r="LE15" s="33"/>
      <c r="LF15" s="2669"/>
      <c r="LH15" s="998">
        <f t="shared" si="62"/>
        <v>0</v>
      </c>
      <c r="LI15" s="27">
        <f t="shared" si="62"/>
        <v>0</v>
      </c>
      <c r="LJ15" s="27">
        <f t="shared" si="62"/>
        <v>0</v>
      </c>
      <c r="LK15" s="28">
        <f t="shared" si="63"/>
        <v>0</v>
      </c>
      <c r="LL15" s="36"/>
      <c r="LM15" s="27"/>
      <c r="LN15" s="27">
        <v>1</v>
      </c>
      <c r="LO15" s="33"/>
      <c r="LP15" s="1957">
        <v>0.8</v>
      </c>
      <c r="LQ15" s="486"/>
      <c r="LR15" s="2688"/>
      <c r="LS15" s="1122"/>
      <c r="LT15" s="27"/>
      <c r="LU15" s="27"/>
      <c r="LV15" s="27"/>
      <c r="LW15" s="27"/>
      <c r="LX15" s="1117">
        <f t="shared" si="64"/>
        <v>0</v>
      </c>
      <c r="LY15" s="36"/>
      <c r="LZ15" s="36"/>
      <c r="MA15" s="27"/>
      <c r="MB15" s="27"/>
      <c r="MC15" s="33"/>
      <c r="MD15" s="28">
        <f t="shared" si="65"/>
        <v>0</v>
      </c>
      <c r="ME15" s="26"/>
      <c r="MF15" s="36"/>
      <c r="MG15" s="27"/>
      <c r="MH15" s="27"/>
      <c r="MI15" s="27"/>
      <c r="MJ15" s="28"/>
      <c r="MK15" s="36"/>
      <c r="ML15" s="36"/>
      <c r="MM15" s="27"/>
      <c r="MN15" s="27"/>
      <c r="MO15" s="27"/>
      <c r="MP15" s="28"/>
      <c r="MQ15" s="36"/>
      <c r="MR15" s="36"/>
      <c r="MS15" s="27"/>
      <c r="MT15" s="27"/>
      <c r="MU15" s="27"/>
      <c r="MV15" s="33">
        <f t="shared" si="66"/>
        <v>0</v>
      </c>
      <c r="MW15" s="2688"/>
      <c r="MY15" s="26">
        <f t="shared" si="67"/>
        <v>161867.98691943515</v>
      </c>
      <c r="MZ15" s="27">
        <f t="shared" si="68"/>
        <v>275515.02630375826</v>
      </c>
      <c r="NA15" s="27">
        <f t="shared" si="69"/>
        <v>24632.275697817415</v>
      </c>
      <c r="NB15" s="28">
        <f t="shared" si="70"/>
        <v>334434.65795580432</v>
      </c>
      <c r="NC15" s="2621"/>
      <c r="ND15" s="23">
        <f t="shared" si="71"/>
        <v>60948.996200678288</v>
      </c>
      <c r="NE15" s="1655">
        <f t="shared" si="72"/>
        <v>100918.99071875685</v>
      </c>
      <c r="NF15" s="60">
        <f t="shared" si="73"/>
        <v>0</v>
      </c>
      <c r="NG15" s="275">
        <f t="shared" si="4"/>
        <v>161867.98691943515</v>
      </c>
      <c r="NH15" s="26">
        <f t="shared" si="74"/>
        <v>0</v>
      </c>
      <c r="NI15" s="27">
        <f t="shared" si="74"/>
        <v>0</v>
      </c>
      <c r="NJ15" s="27">
        <f t="shared" si="74"/>
        <v>0</v>
      </c>
      <c r="NK15" s="27">
        <f t="shared" si="74"/>
        <v>0</v>
      </c>
      <c r="NL15" s="27">
        <f t="shared" si="74"/>
        <v>0</v>
      </c>
      <c r="NM15" s="33">
        <f t="shared" si="74"/>
        <v>0</v>
      </c>
      <c r="NN15" s="27">
        <f t="shared" si="74"/>
        <v>0</v>
      </c>
      <c r="NO15" s="36">
        <f t="shared" si="74"/>
        <v>0</v>
      </c>
      <c r="NP15" s="24">
        <f t="shared" si="74"/>
        <v>27829.710605424243</v>
      </c>
      <c r="NQ15" s="27">
        <f t="shared" si="74"/>
        <v>24023.830351777149</v>
      </c>
      <c r="NR15" s="24">
        <f t="shared" si="136"/>
        <v>8756.5482322711578</v>
      </c>
      <c r="NS15" s="24">
        <f t="shared" si="137"/>
        <v>9980.6935664101129</v>
      </c>
      <c r="NT15" s="27">
        <f t="shared" si="0"/>
        <v>70590.782755882668</v>
      </c>
      <c r="NU15" s="27">
        <f t="shared" si="75"/>
        <v>0</v>
      </c>
      <c r="NV15" s="27">
        <f t="shared" si="76"/>
        <v>0</v>
      </c>
      <c r="NW15" s="27">
        <f t="shared" si="77"/>
        <v>0</v>
      </c>
      <c r="NX15" s="27">
        <f t="shared" si="78"/>
        <v>0</v>
      </c>
      <c r="NY15" s="27">
        <f t="shared" si="79"/>
        <v>0</v>
      </c>
      <c r="NZ15" s="27">
        <f t="shared" si="80"/>
        <v>0</v>
      </c>
      <c r="OA15" s="27">
        <f t="shared" si="81"/>
        <v>22043.124489662849</v>
      </c>
      <c r="OB15" s="27">
        <f t="shared" si="82"/>
        <v>0</v>
      </c>
      <c r="OC15" s="27">
        <f t="shared" si="83"/>
        <v>79841.669485704173</v>
      </c>
      <c r="OD15" s="280"/>
      <c r="OE15" s="27">
        <f t="shared" si="138"/>
        <v>2272.3000000000002</v>
      </c>
      <c r="OF15" s="27">
        <f t="shared" si="84"/>
        <v>0</v>
      </c>
      <c r="OG15" s="28">
        <f t="shared" si="1"/>
        <v>104157.09397536702</v>
      </c>
      <c r="OH15" s="27">
        <f t="shared" ref="OH15:OM19" si="144">+OH14+DT15+FW15-IS15</f>
        <v>0</v>
      </c>
      <c r="OI15" s="27">
        <f t="shared" si="144"/>
        <v>0</v>
      </c>
      <c r="OJ15" s="27">
        <f t="shared" si="144"/>
        <v>0</v>
      </c>
      <c r="OK15" s="27">
        <f t="shared" si="144"/>
        <v>0</v>
      </c>
      <c r="OL15" s="27">
        <f t="shared" si="144"/>
        <v>0</v>
      </c>
      <c r="OM15" s="27">
        <f t="shared" si="144"/>
        <v>0</v>
      </c>
      <c r="ON15" s="24">
        <v>0</v>
      </c>
      <c r="OO15" s="27">
        <f t="shared" ref="OO15:OO40" si="145">+OO14+EA15+GD15-IZ15</f>
        <v>0</v>
      </c>
      <c r="OP15" s="24">
        <f t="shared" si="86"/>
        <v>84107.772313713751</v>
      </c>
      <c r="OQ15" s="27">
        <f t="shared" si="87"/>
        <v>0</v>
      </c>
      <c r="OR15" s="24">
        <f t="shared" si="88"/>
        <v>16659.377258794844</v>
      </c>
      <c r="OS15" s="27">
        <f t="shared" si="89"/>
        <v>0</v>
      </c>
      <c r="OT15" s="28">
        <f t="shared" si="2"/>
        <v>100767.1495725086</v>
      </c>
      <c r="OU15" s="36"/>
      <c r="OV15" s="27"/>
      <c r="OW15" s="27"/>
      <c r="OX15" s="27"/>
      <c r="OY15" s="27"/>
      <c r="OZ15" s="27"/>
      <c r="PA15" s="28">
        <f t="shared" si="90"/>
        <v>0</v>
      </c>
      <c r="PB15" s="36">
        <f t="shared" si="91"/>
        <v>0</v>
      </c>
      <c r="PC15" s="27">
        <f t="shared" si="92"/>
        <v>0</v>
      </c>
      <c r="PD15" s="27">
        <f t="shared" si="93"/>
        <v>0</v>
      </c>
      <c r="PE15" s="27">
        <f t="shared" si="94"/>
        <v>0</v>
      </c>
      <c r="PF15" s="24"/>
      <c r="PG15" s="27">
        <f t="shared" si="95"/>
        <v>0</v>
      </c>
      <c r="PH15" s="33">
        <f t="shared" si="3"/>
        <v>0</v>
      </c>
      <c r="PI15" s="2621"/>
      <c r="PK15" s="1907">
        <v>0</v>
      </c>
      <c r="PL15" s="2192">
        <v>716</v>
      </c>
      <c r="PM15" s="2262">
        <v>214.79999999999998</v>
      </c>
      <c r="PN15" s="8">
        <f t="shared" si="96"/>
        <v>0</v>
      </c>
      <c r="PO15" s="3">
        <f t="shared" si="97"/>
        <v>31521.049204532861</v>
      </c>
      <c r="PP15" s="11">
        <f t="shared" si="98"/>
        <v>24632.275697817415</v>
      </c>
      <c r="PQ15" s="15"/>
      <c r="PR15" s="2615"/>
      <c r="PT15" s="4"/>
      <c r="PU15" s="9"/>
      <c r="PV15" s="9"/>
      <c r="PW15" s="9"/>
      <c r="PX15" s="2531">
        <v>0</v>
      </c>
      <c r="PY15" s="9"/>
      <c r="PZ15" s="8">
        <f t="shared" si="99"/>
        <v>0</v>
      </c>
      <c r="QA15" s="5">
        <f t="shared" si="100"/>
        <v>0</v>
      </c>
      <c r="QB15" s="5"/>
      <c r="QC15" s="5"/>
      <c r="QD15" s="5"/>
      <c r="QE15" s="5"/>
      <c r="QF15" s="5"/>
      <c r="QG15" s="12"/>
      <c r="QH15" s="12">
        <f t="shared" si="101"/>
        <v>29562.488999999998</v>
      </c>
      <c r="QI15" s="420">
        <f t="shared" si="102"/>
        <v>301151.88007140433</v>
      </c>
      <c r="QJ15" s="1106">
        <f t="shared" si="139"/>
        <v>3720.2888844000004</v>
      </c>
      <c r="QK15" s="484">
        <f t="shared" si="103"/>
        <v>5505.3678056099998</v>
      </c>
      <c r="QL15" s="12"/>
      <c r="QM15" s="2615"/>
      <c r="QO15" s="139">
        <f t="shared" si="104"/>
        <v>0</v>
      </c>
      <c r="QP15" s="139" t="str">
        <f t="shared" si="105"/>
        <v/>
      </c>
      <c r="QR15" s="139">
        <f t="shared" si="106"/>
        <v>0</v>
      </c>
      <c r="QS15" s="139">
        <f t="shared" si="107"/>
        <v>0</v>
      </c>
      <c r="QU15" s="1">
        <f t="shared" si="108"/>
        <v>0</v>
      </c>
      <c r="QV15" s="1">
        <f t="shared" si="109"/>
        <v>0</v>
      </c>
      <c r="QW15" s="1">
        <f t="shared" si="110"/>
        <v>0</v>
      </c>
      <c r="QX15" s="1">
        <f t="shared" si="111"/>
        <v>0</v>
      </c>
      <c r="QY15" s="1">
        <f t="shared" si="112"/>
        <v>0</v>
      </c>
      <c r="QZ15" s="1">
        <f t="shared" si="113"/>
        <v>0</v>
      </c>
      <c r="RB15" s="1">
        <f t="shared" si="114"/>
        <v>0</v>
      </c>
      <c r="RC15" s="1">
        <f t="shared" si="115"/>
        <v>0</v>
      </c>
      <c r="RD15" s="1">
        <f t="shared" si="116"/>
        <v>0</v>
      </c>
      <c r="RE15" s="1">
        <f t="shared" si="117"/>
        <v>0</v>
      </c>
      <c r="RF15" s="1">
        <f t="shared" si="118"/>
        <v>0</v>
      </c>
      <c r="RG15" s="1">
        <f t="shared" si="119"/>
        <v>0</v>
      </c>
      <c r="RJ15" s="1">
        <v>6</v>
      </c>
      <c r="RK15" s="1">
        <f t="shared" si="120"/>
        <v>21088.711751083167</v>
      </c>
      <c r="RL15" s="1">
        <f t="shared" si="120"/>
        <v>-601.62645013771998</v>
      </c>
      <c r="RM15" s="1">
        <f t="shared" si="120"/>
        <v>9178.5689913333827</v>
      </c>
      <c r="RN15" s="89">
        <f t="shared" si="5"/>
        <v>29665.654292278829</v>
      </c>
      <c r="RO15" s="1033">
        <v>6</v>
      </c>
      <c r="RP15" s="1098">
        <v>0</v>
      </c>
      <c r="RQ15" s="1098">
        <f t="shared" si="121"/>
        <v>0</v>
      </c>
      <c r="RR15" s="1097">
        <f t="shared" si="121"/>
        <v>0</v>
      </c>
      <c r="RS15" s="1097">
        <f t="shared" si="122"/>
        <v>11941.84</v>
      </c>
      <c r="RT15" s="1094"/>
      <c r="RU15" s="1094" t="s">
        <v>1057</v>
      </c>
      <c r="RX15" s="421">
        <v>6</v>
      </c>
      <c r="RY15" s="1095">
        <f t="shared" si="123"/>
        <v>7092.9400000000005</v>
      </c>
      <c r="RZ15" s="1094" t="s">
        <v>1058</v>
      </c>
      <c r="SB15" s="1090"/>
      <c r="SC15" s="1090">
        <f t="shared" si="124"/>
        <v>0</v>
      </c>
      <c r="SD15" s="1090"/>
      <c r="SE15" s="1090">
        <f t="shared" si="125"/>
        <v>0</v>
      </c>
      <c r="SG15" s="1">
        <v>6</v>
      </c>
      <c r="SH15" s="1">
        <f t="shared" si="126"/>
        <v>0</v>
      </c>
      <c r="SI15" s="1094"/>
    </row>
    <row r="16" spans="1:503" s="1" customFormat="1">
      <c r="B16" s="471">
        <v>7</v>
      </c>
      <c r="C16" s="4">
        <f t="shared" si="127"/>
        <v>160625</v>
      </c>
      <c r="D16" s="1590">
        <f>P16+T16+X16+AB16</f>
        <v>10555.659999999998</v>
      </c>
      <c r="E16" s="1895">
        <f t="shared" si="6"/>
        <v>15.216954695395648</v>
      </c>
      <c r="F16" s="870"/>
      <c r="G16" s="870"/>
      <c r="H16" s="52"/>
      <c r="I16" s="61"/>
      <c r="J16" s="52"/>
      <c r="K16" s="54"/>
      <c r="L16" s="52"/>
      <c r="M16" s="61"/>
      <c r="N16" s="2629"/>
      <c r="O16" s="4">
        <f t="shared" si="142"/>
        <v>97860</v>
      </c>
      <c r="P16" s="1225">
        <f t="shared" si="7"/>
        <v>7041.86</v>
      </c>
      <c r="Q16" s="1913">
        <f t="shared" si="8"/>
        <v>13.896896558579694</v>
      </c>
      <c r="R16" s="33"/>
      <c r="S16" s="26">
        <f t="shared" si="9"/>
        <v>27915</v>
      </c>
      <c r="T16" s="27">
        <f t="shared" si="129"/>
        <v>1227.5799999999997</v>
      </c>
      <c r="U16" s="1909">
        <f t="shared" si="10"/>
        <v>22.739862167842428</v>
      </c>
      <c r="V16" s="15"/>
      <c r="W16" s="1742">
        <f t="shared" si="11"/>
        <v>28601</v>
      </c>
      <c r="X16" s="5">
        <f t="shared" si="11"/>
        <v>1224</v>
      </c>
      <c r="Y16" s="1909">
        <f t="shared" si="12"/>
        <v>23.366830065359476</v>
      </c>
      <c r="Z16" s="33"/>
      <c r="AA16" s="26">
        <f t="shared" si="13"/>
        <v>6249</v>
      </c>
      <c r="AB16" s="27">
        <f t="shared" si="14"/>
        <v>1062.22</v>
      </c>
      <c r="AC16" s="1909">
        <f t="shared" si="15"/>
        <v>5.8829620982470674</v>
      </c>
      <c r="AD16" s="28"/>
      <c r="AE16" s="36"/>
      <c r="AF16" s="36"/>
      <c r="AG16" s="53">
        <f t="shared" si="16"/>
        <v>0</v>
      </c>
      <c r="AH16" s="28"/>
      <c r="AI16" s="23"/>
      <c r="AJ16" s="27"/>
      <c r="AK16" s="53">
        <f t="shared" si="17"/>
        <v>0</v>
      </c>
      <c r="AL16" s="28"/>
      <c r="AM16" s="2629"/>
      <c r="AN16" s="9"/>
      <c r="AO16" s="5"/>
      <c r="AP16" s="61">
        <f t="shared" si="18"/>
        <v>0</v>
      </c>
      <c r="AQ16" s="36"/>
      <c r="AR16" s="53"/>
      <c r="AS16" s="61">
        <f t="shared" si="19"/>
        <v>0</v>
      </c>
      <c r="AT16" s="36">
        <v>0</v>
      </c>
      <c r="AU16" s="27"/>
      <c r="AV16" s="54">
        <f t="shared" si="20"/>
        <v>0</v>
      </c>
      <c r="AW16" s="26">
        <v>52920</v>
      </c>
      <c r="AX16" s="24">
        <v>4779.66</v>
      </c>
      <c r="AY16" s="1735">
        <f t="shared" si="140"/>
        <v>11.071917249344096</v>
      </c>
      <c r="AZ16" s="36"/>
      <c r="BA16" s="27"/>
      <c r="BB16" s="61">
        <f t="shared" si="21"/>
        <v>0</v>
      </c>
      <c r="BC16" s="1740">
        <v>44940</v>
      </c>
      <c r="BD16" s="1926">
        <v>2262.1999999999998</v>
      </c>
      <c r="BE16" s="1735">
        <f t="shared" si="22"/>
        <v>19.865617540447353</v>
      </c>
      <c r="BF16" s="36"/>
      <c r="BG16" s="53"/>
      <c r="BH16" s="61">
        <f t="shared" si="23"/>
        <v>0</v>
      </c>
      <c r="BI16" s="36">
        <v>0</v>
      </c>
      <c r="BJ16" s="53">
        <v>0</v>
      </c>
      <c r="BK16" s="61">
        <f t="shared" si="24"/>
        <v>0</v>
      </c>
      <c r="BL16" s="1742">
        <v>27915</v>
      </c>
      <c r="BM16" s="1736">
        <v>1227.5799999999997</v>
      </c>
      <c r="BN16" s="2170"/>
      <c r="BO16" s="1735">
        <f t="shared" si="25"/>
        <v>22.739862167842428</v>
      </c>
      <c r="BP16" s="36">
        <v>6249</v>
      </c>
      <c r="BQ16" s="53">
        <v>1062.22</v>
      </c>
      <c r="BR16" s="1735">
        <f t="shared" si="26"/>
        <v>5.8829620982470674</v>
      </c>
      <c r="BS16" s="36"/>
      <c r="BT16" s="53"/>
      <c r="BU16" s="61">
        <f t="shared" si="27"/>
        <v>0</v>
      </c>
      <c r="BV16" s="36">
        <v>28601</v>
      </c>
      <c r="BW16" s="27">
        <f t="shared" si="130"/>
        <v>1224</v>
      </c>
      <c r="BX16" s="1906">
        <f t="shared" si="28"/>
        <v>23.366830065359476</v>
      </c>
      <c r="BY16" s="26"/>
      <c r="BZ16" s="27"/>
      <c r="CA16" s="61">
        <f t="shared" si="29"/>
        <v>0</v>
      </c>
      <c r="CB16" s="36"/>
      <c r="CC16" s="481"/>
      <c r="CD16" s="482">
        <f t="shared" si="30"/>
        <v>0</v>
      </c>
      <c r="CE16" s="4"/>
      <c r="CF16" s="5"/>
      <c r="CG16" s="28">
        <f t="shared" si="31"/>
        <v>0</v>
      </c>
      <c r="CH16" s="150"/>
      <c r="CI16" s="4"/>
      <c r="CJ16" s="5">
        <v>3591</v>
      </c>
      <c r="CK16" s="5">
        <v>6371</v>
      </c>
      <c r="CL16" s="5"/>
      <c r="CM16" s="5"/>
      <c r="CN16" s="3">
        <f t="shared" si="131"/>
        <v>9962</v>
      </c>
      <c r="CO16" s="33"/>
      <c r="CP16" s="366"/>
      <c r="CR16" s="4">
        <f t="shared" si="32"/>
        <v>0</v>
      </c>
      <c r="CS16" s="9">
        <f t="shared" si="33"/>
        <v>0</v>
      </c>
      <c r="CT16" s="5">
        <f t="shared" si="34"/>
        <v>0</v>
      </c>
      <c r="CU16" s="5">
        <f t="shared" si="35"/>
        <v>0</v>
      </c>
      <c r="CV16" s="5">
        <f t="shared" si="36"/>
        <v>0</v>
      </c>
      <c r="CW16" s="5">
        <f t="shared" si="37"/>
        <v>0</v>
      </c>
      <c r="CX16" s="5">
        <f t="shared" si="38"/>
        <v>1022.4200000000001</v>
      </c>
      <c r="CY16" s="5">
        <f t="shared" si="39"/>
        <v>0</v>
      </c>
      <c r="CZ16" s="5">
        <f t="shared" si="40"/>
        <v>2732.9799999999996</v>
      </c>
      <c r="DA16" s="5">
        <f t="shared" si="41"/>
        <v>0</v>
      </c>
      <c r="DB16" s="5">
        <f t="shared" si="42"/>
        <v>4791.8600000000006</v>
      </c>
      <c r="DC16" s="12">
        <f t="shared" si="43"/>
        <v>0</v>
      </c>
      <c r="DD16" s="310">
        <f t="shared" si="44"/>
        <v>8547.26</v>
      </c>
      <c r="DE16" s="2695"/>
      <c r="DF16" s="8"/>
      <c r="DG16" s="9"/>
      <c r="DH16" s="5"/>
      <c r="DI16" s="5"/>
      <c r="DJ16" s="5"/>
      <c r="DK16" s="5"/>
      <c r="DL16" s="3">
        <v>1022.4200000000001</v>
      </c>
      <c r="DM16" s="5"/>
      <c r="DN16" s="3">
        <v>0</v>
      </c>
      <c r="DO16" s="5"/>
      <c r="DP16" s="3">
        <v>1748.8400000000001</v>
      </c>
      <c r="DQ16" s="11">
        <v>2008.4</v>
      </c>
      <c r="DR16" s="12"/>
      <c r="DS16" s="1906">
        <f t="shared" si="45"/>
        <v>4779.66</v>
      </c>
      <c r="DT16" s="36"/>
      <c r="DU16" s="36"/>
      <c r="DV16" s="27"/>
      <c r="DW16" s="27"/>
      <c r="DX16" s="5"/>
      <c r="DY16" s="5"/>
      <c r="DZ16" s="5"/>
      <c r="EA16" s="5"/>
      <c r="EB16" s="3">
        <v>2732.9799999999996</v>
      </c>
      <c r="EC16" s="53"/>
      <c r="ED16" s="24">
        <v>1819.02</v>
      </c>
      <c r="EE16" s="33"/>
      <c r="EF16" s="28">
        <f t="shared" si="46"/>
        <v>4552</v>
      </c>
      <c r="EG16" s="9"/>
      <c r="EH16" s="9"/>
      <c r="EI16" s="5"/>
      <c r="EJ16" s="492"/>
      <c r="EK16" s="27"/>
      <c r="EL16" s="27"/>
      <c r="EM16" s="27"/>
      <c r="EN16" s="27"/>
      <c r="EO16" s="5"/>
      <c r="EP16" s="5"/>
      <c r="EQ16" s="5">
        <v>1224</v>
      </c>
      <c r="ER16" s="33"/>
      <c r="ES16" s="28">
        <f t="shared" si="143"/>
        <v>1224</v>
      </c>
      <c r="ET16" s="36"/>
      <c r="EU16" s="27"/>
      <c r="EV16" s="27"/>
      <c r="EW16" s="27"/>
      <c r="EX16" s="27"/>
      <c r="EY16" s="27"/>
      <c r="EZ16" s="33">
        <f t="shared" si="48"/>
        <v>0</v>
      </c>
      <c r="FA16" s="2685"/>
      <c r="FC16" s="4">
        <f t="shared" si="49"/>
        <v>0</v>
      </c>
      <c r="FD16" s="5">
        <f t="shared" si="50"/>
        <v>0</v>
      </c>
      <c r="FE16" s="5">
        <f t="shared" si="51"/>
        <v>0</v>
      </c>
      <c r="FF16" s="12">
        <f t="shared" si="52"/>
        <v>0</v>
      </c>
      <c r="FG16" s="33"/>
      <c r="FH16" s="2674"/>
      <c r="FI16" s="9"/>
      <c r="FJ16" s="5"/>
      <c r="FK16" s="5"/>
      <c r="FL16" s="5"/>
      <c r="FM16" s="5"/>
      <c r="FN16" s="27"/>
      <c r="FO16" s="28">
        <f t="shared" si="53"/>
        <v>0</v>
      </c>
      <c r="FP16" s="36"/>
      <c r="FQ16" s="27"/>
      <c r="FR16" s="27"/>
      <c r="FS16" s="27"/>
      <c r="FT16" s="27"/>
      <c r="FU16" s="27"/>
      <c r="FV16" s="28">
        <f t="shared" si="54"/>
        <v>0</v>
      </c>
      <c r="FW16" s="36"/>
      <c r="FX16" s="36"/>
      <c r="FY16" s="27"/>
      <c r="FZ16" s="27"/>
      <c r="GA16" s="27"/>
      <c r="GB16" s="27"/>
      <c r="GC16" s="27"/>
      <c r="GD16" s="27"/>
      <c r="GE16" s="24">
        <v>0</v>
      </c>
      <c r="GF16" s="27"/>
      <c r="GG16" s="27"/>
      <c r="GH16" s="33"/>
      <c r="GI16" s="33">
        <f t="shared" si="55"/>
        <v>0</v>
      </c>
      <c r="GJ16" s="2674"/>
      <c r="GL16" s="2">
        <f t="shared" si="132"/>
        <v>2752.17</v>
      </c>
      <c r="GM16" s="63">
        <f t="shared" si="133"/>
        <v>3027.0899999999997</v>
      </c>
      <c r="GN16" s="24">
        <f t="shared" si="134"/>
        <v>8050.5399999999991</v>
      </c>
      <c r="GO16" s="1736">
        <f t="shared" si="56"/>
        <v>13829.8</v>
      </c>
      <c r="GP16" s="141"/>
      <c r="GQ16" s="141"/>
      <c r="GR16" s="33"/>
      <c r="GS16" s="2667"/>
      <c r="GT16" s="1739">
        <v>0</v>
      </c>
      <c r="GU16" s="1721">
        <v>0</v>
      </c>
      <c r="GV16" s="1721">
        <v>5780.52</v>
      </c>
      <c r="GW16" s="1721">
        <v>8049.2800000000016</v>
      </c>
      <c r="GX16" s="1724">
        <f t="shared" si="135"/>
        <v>13829.800000000003</v>
      </c>
      <c r="GY16" s="2667"/>
      <c r="GZ16" s="35">
        <v>0</v>
      </c>
      <c r="HA16" s="36"/>
      <c r="HB16" s="27"/>
      <c r="HC16" s="27"/>
      <c r="HD16" s="27"/>
      <c r="HE16" s="27"/>
      <c r="HF16" s="24">
        <v>0</v>
      </c>
      <c r="HG16" s="27"/>
      <c r="HH16" s="24">
        <v>2752.17</v>
      </c>
      <c r="HI16" s="27"/>
      <c r="HJ16" s="24">
        <v>0</v>
      </c>
      <c r="HK16" s="27"/>
      <c r="HL16" s="24">
        <v>0</v>
      </c>
      <c r="HM16" s="27"/>
      <c r="HN16" s="28">
        <f t="shared" si="57"/>
        <v>2752.17</v>
      </c>
      <c r="HO16" s="36"/>
      <c r="HP16" s="27"/>
      <c r="HQ16" s="27"/>
      <c r="HR16" s="27"/>
      <c r="HS16" s="27"/>
      <c r="HT16" s="27"/>
      <c r="HU16" s="27">
        <f t="array" ref="HU16">SUMPRODUCT(('Data Base hauling'!$C$2:$C$2000="TCM-ROM SB1 BK05-ROM 4")*(ISNUMBER(SEARCH(TEXT('August TCM'!$B16,"00")&amp;"/03/2026",'Data Base hauling'!$E$2:$E$2000)))*'Data Base hauling'!$N$2:$N$2000)</f>
        <v>0</v>
      </c>
      <c r="HV16" s="27"/>
      <c r="HW16" s="27">
        <f t="array" ref="HW16">SUMPRODUCT(('Data Base hauling'!$C$2:$C$2000="TCM-ROM SB1 BK05-ROM 5")*(ISNUMBER(SEARCH(TEXT('August TCM'!$B16,"00")&amp;"/03/2026",'Data Base hauling'!$E$2:$E$2000)))*'Data Base hauling'!$N$2:$N$2000)</f>
        <v>0</v>
      </c>
      <c r="HX16" s="27"/>
      <c r="HY16" s="27"/>
      <c r="HZ16" s="27"/>
      <c r="IA16" s="27"/>
      <c r="IB16" s="27"/>
      <c r="IC16" s="33">
        <f t="shared" si="58"/>
        <v>0</v>
      </c>
      <c r="ID16" s="52"/>
      <c r="IE16" s="152"/>
      <c r="IF16" s="53"/>
      <c r="IG16" s="53"/>
      <c r="IH16" s="53"/>
      <c r="II16" s="53"/>
      <c r="IJ16" s="1926">
        <v>0</v>
      </c>
      <c r="IK16" s="1736"/>
      <c r="IL16" s="1926">
        <v>0</v>
      </c>
      <c r="IM16" s="53"/>
      <c r="IN16" s="49">
        <v>3027.0899999999997</v>
      </c>
      <c r="IO16" s="53"/>
      <c r="IP16" s="53"/>
      <c r="IQ16" s="49">
        <v>0</v>
      </c>
      <c r="IR16" s="2195">
        <f t="shared" si="59"/>
        <v>3027.0899999999997</v>
      </c>
      <c r="IS16" s="36"/>
      <c r="IT16" s="36"/>
      <c r="IU16" s="27"/>
      <c r="IV16" s="27"/>
      <c r="IW16" s="53"/>
      <c r="IX16" s="27"/>
      <c r="IY16" s="24">
        <v>0</v>
      </c>
      <c r="IZ16" s="27"/>
      <c r="JA16" s="24">
        <v>8050.5399999999991</v>
      </c>
      <c r="JB16" s="27"/>
      <c r="JC16" s="24">
        <v>0</v>
      </c>
      <c r="JD16" s="27"/>
      <c r="JE16" s="27"/>
      <c r="JF16" s="27"/>
      <c r="JG16" s="54">
        <f t="shared" si="141"/>
        <v>8050.5399999999991</v>
      </c>
      <c r="JH16" s="2667"/>
      <c r="JJ16" s="2014">
        <v>13829.8</v>
      </c>
      <c r="JK16" s="2015">
        <v>0</v>
      </c>
      <c r="JL16" s="53"/>
      <c r="JM16" s="1736">
        <f t="shared" si="61"/>
        <v>13829.8</v>
      </c>
      <c r="JN16" s="33"/>
      <c r="JO16" s="2669"/>
      <c r="JP16" s="66">
        <v>0</v>
      </c>
      <c r="JQ16" s="67">
        <v>0</v>
      </c>
      <c r="JR16" s="67">
        <v>0</v>
      </c>
      <c r="JS16" s="67">
        <v>0</v>
      </c>
      <c r="JT16" s="67">
        <v>0.78111830973694485</v>
      </c>
      <c r="JU16" s="67">
        <v>0.21888169026305512</v>
      </c>
      <c r="JV16" s="67">
        <v>0</v>
      </c>
      <c r="JW16" s="1921">
        <v>0</v>
      </c>
      <c r="JX16" s="66" t="s">
        <v>296</v>
      </c>
      <c r="JY16" s="67" t="s">
        <v>296</v>
      </c>
      <c r="JZ16" s="67" t="s">
        <v>296</v>
      </c>
      <c r="KA16" s="67" t="s">
        <v>296</v>
      </c>
      <c r="KB16" s="67" t="s">
        <v>296</v>
      </c>
      <c r="KC16" s="67" t="s">
        <v>296</v>
      </c>
      <c r="KD16" s="67" t="s">
        <v>296</v>
      </c>
      <c r="KE16" s="68" t="s">
        <v>296</v>
      </c>
      <c r="KF16" s="21"/>
      <c r="KG16" s="70"/>
      <c r="KH16" s="70"/>
      <c r="KI16" s="70"/>
      <c r="KJ16" s="70"/>
      <c r="KK16" s="70"/>
      <c r="KL16" s="70"/>
      <c r="KM16" s="70"/>
      <c r="KN16" s="33"/>
      <c r="KO16" s="2669"/>
      <c r="KP16" s="2203">
        <v>6882.9108997167959</v>
      </c>
      <c r="KQ16" s="1721">
        <v>0.60296565245806411</v>
      </c>
      <c r="KR16" s="1721">
        <v>4.8167990705104931</v>
      </c>
      <c r="KS16" s="1721">
        <v>6.6376334325757034</v>
      </c>
      <c r="KT16" s="1722">
        <v>9.7715660503957587</v>
      </c>
      <c r="KU16" s="1958">
        <v>0</v>
      </c>
      <c r="KV16" s="1961">
        <v>0</v>
      </c>
      <c r="KW16" s="1961">
        <v>0</v>
      </c>
      <c r="KX16" s="1961">
        <v>0</v>
      </c>
      <c r="KY16" s="1962">
        <v>0</v>
      </c>
      <c r="KZ16" s="36"/>
      <c r="LA16" s="53"/>
      <c r="LB16" s="53"/>
      <c r="LC16" s="53"/>
      <c r="LD16" s="53"/>
      <c r="LE16" s="33"/>
      <c r="LF16" s="2669"/>
      <c r="LH16" s="2507">
        <f t="shared" si="62"/>
        <v>739.43</v>
      </c>
      <c r="LI16" s="280">
        <f t="shared" si="62"/>
        <v>0</v>
      </c>
      <c r="LJ16" s="280">
        <f t="shared" si="62"/>
        <v>0</v>
      </c>
      <c r="LK16" s="2506">
        <f t="shared" si="63"/>
        <v>739.43</v>
      </c>
      <c r="LL16" s="36">
        <v>1</v>
      </c>
      <c r="LM16" s="27"/>
      <c r="LN16" s="27">
        <v>1</v>
      </c>
      <c r="LO16" s="33"/>
      <c r="LP16" s="1957">
        <v>0.84</v>
      </c>
      <c r="LQ16" s="486"/>
      <c r="LR16" s="2688"/>
      <c r="LS16" s="2276">
        <v>739.43</v>
      </c>
      <c r="LT16" s="27"/>
      <c r="LU16" s="27"/>
      <c r="LV16" s="27"/>
      <c r="LW16" s="27"/>
      <c r="LX16" s="2505">
        <f>SUM(LS16:LW16)</f>
        <v>739.43</v>
      </c>
      <c r="LY16" s="36"/>
      <c r="LZ16" s="36"/>
      <c r="MA16" s="27"/>
      <c r="MB16" s="27"/>
      <c r="MC16" s="33"/>
      <c r="MD16" s="28">
        <f t="shared" si="65"/>
        <v>0</v>
      </c>
      <c r="ME16" s="36"/>
      <c r="MF16" s="36"/>
      <c r="MG16" s="27"/>
      <c r="MH16" s="27"/>
      <c r="MI16" s="33"/>
      <c r="MJ16" s="28"/>
      <c r="MK16" s="36"/>
      <c r="ML16" s="36"/>
      <c r="MM16" s="27"/>
      <c r="MN16" s="27"/>
      <c r="MO16" s="27"/>
      <c r="MP16" s="28"/>
      <c r="MQ16" s="36"/>
      <c r="MR16" s="36"/>
      <c r="MS16" s="27"/>
      <c r="MT16" s="27"/>
      <c r="MU16" s="27"/>
      <c r="MV16" s="33">
        <f t="shared" si="66"/>
        <v>0</v>
      </c>
      <c r="MW16" s="2688"/>
      <c r="MY16" s="26">
        <f t="shared" si="67"/>
        <v>174958.35691943514</v>
      </c>
      <c r="MZ16" s="27">
        <f t="shared" si="68"/>
        <v>272240.88630375831</v>
      </c>
      <c r="NA16" s="27">
        <f t="shared" si="69"/>
        <v>24997.075697817414</v>
      </c>
      <c r="NB16" s="28">
        <f t="shared" si="70"/>
        <v>332905.23795580433</v>
      </c>
      <c r="NC16" s="2621"/>
      <c r="ND16" s="23">
        <f t="shared" si="71"/>
        <v>74039.366200678298</v>
      </c>
      <c r="NE16" s="1655">
        <f t="shared" si="72"/>
        <v>100918.99071875685</v>
      </c>
      <c r="NF16" s="60">
        <f t="shared" si="73"/>
        <v>0</v>
      </c>
      <c r="NG16" s="275">
        <f t="shared" si="4"/>
        <v>174958.35691943514</v>
      </c>
      <c r="NH16" s="26">
        <f t="shared" si="74"/>
        <v>0</v>
      </c>
      <c r="NI16" s="27">
        <f t="shared" si="74"/>
        <v>0</v>
      </c>
      <c r="NJ16" s="27">
        <f t="shared" si="74"/>
        <v>0</v>
      </c>
      <c r="NK16" s="27">
        <f t="shared" si="74"/>
        <v>0</v>
      </c>
      <c r="NL16" s="27">
        <f t="shared" si="74"/>
        <v>0</v>
      </c>
      <c r="NM16" s="33">
        <f t="shared" si="74"/>
        <v>0</v>
      </c>
      <c r="NN16" s="27">
        <f t="shared" si="74"/>
        <v>0</v>
      </c>
      <c r="NO16" s="36">
        <f t="shared" si="74"/>
        <v>0</v>
      </c>
      <c r="NP16" s="24">
        <f t="shared" si="74"/>
        <v>25077.540605424241</v>
      </c>
      <c r="NQ16" s="27">
        <f t="shared" si="74"/>
        <v>24023.830351777149</v>
      </c>
      <c r="NR16" s="24">
        <f t="shared" si="136"/>
        <v>8756.5482322711578</v>
      </c>
      <c r="NS16" s="24">
        <f t="shared" si="137"/>
        <v>11204.693566410113</v>
      </c>
      <c r="NT16" s="27">
        <f t="shared" si="0"/>
        <v>69062.61275588267</v>
      </c>
      <c r="NU16" s="27">
        <f t="shared" si="75"/>
        <v>0</v>
      </c>
      <c r="NV16" s="27">
        <f t="shared" si="76"/>
        <v>0</v>
      </c>
      <c r="NW16" s="27">
        <f t="shared" si="77"/>
        <v>0</v>
      </c>
      <c r="NX16" s="27">
        <f t="shared" si="78"/>
        <v>0</v>
      </c>
      <c r="NY16" s="27">
        <f t="shared" si="79"/>
        <v>0</v>
      </c>
      <c r="NZ16" s="27">
        <f t="shared" si="80"/>
        <v>0</v>
      </c>
      <c r="OA16" s="27">
        <f t="shared" si="81"/>
        <v>23065.544489662847</v>
      </c>
      <c r="OB16" s="27">
        <f t="shared" si="82"/>
        <v>0</v>
      </c>
      <c r="OC16" s="27">
        <f t="shared" si="83"/>
        <v>78563.419485704173</v>
      </c>
      <c r="OD16" s="280"/>
      <c r="OE16" s="27">
        <f t="shared" si="138"/>
        <v>4280.7000000000007</v>
      </c>
      <c r="OF16" s="27">
        <f t="shared" si="84"/>
        <v>0</v>
      </c>
      <c r="OG16" s="28">
        <f t="shared" si="1"/>
        <v>105909.66397536702</v>
      </c>
      <c r="OH16" s="27">
        <f t="shared" si="144"/>
        <v>0</v>
      </c>
      <c r="OI16" s="27">
        <f t="shared" si="144"/>
        <v>0</v>
      </c>
      <c r="OJ16" s="27">
        <f t="shared" si="144"/>
        <v>0</v>
      </c>
      <c r="OK16" s="27">
        <f t="shared" si="144"/>
        <v>0</v>
      </c>
      <c r="OL16" s="27">
        <f t="shared" si="144"/>
        <v>0</v>
      </c>
      <c r="OM16" s="27">
        <f t="shared" si="144"/>
        <v>0</v>
      </c>
      <c r="ON16" s="24">
        <v>0</v>
      </c>
      <c r="OO16" s="27">
        <f t="shared" si="145"/>
        <v>0</v>
      </c>
      <c r="OP16" s="24">
        <f t="shared" si="86"/>
        <v>78790.212313713753</v>
      </c>
      <c r="OQ16" s="27">
        <f t="shared" si="87"/>
        <v>0</v>
      </c>
      <c r="OR16" s="24">
        <f t="shared" si="88"/>
        <v>18478.397258794845</v>
      </c>
      <c r="OS16" s="27">
        <f t="shared" si="89"/>
        <v>0</v>
      </c>
      <c r="OT16" s="28">
        <f t="shared" si="2"/>
        <v>97268.609572508605</v>
      </c>
      <c r="OU16" s="36"/>
      <c r="OV16" s="27"/>
      <c r="OW16" s="27"/>
      <c r="OX16" s="27"/>
      <c r="OY16" s="27"/>
      <c r="OZ16" s="27"/>
      <c r="PA16" s="28">
        <f t="shared" si="90"/>
        <v>0</v>
      </c>
      <c r="PB16" s="36">
        <f t="shared" si="91"/>
        <v>0</v>
      </c>
      <c r="PC16" s="27">
        <f t="shared" si="92"/>
        <v>0</v>
      </c>
      <c r="PD16" s="27">
        <f t="shared" si="93"/>
        <v>0</v>
      </c>
      <c r="PE16" s="27">
        <f t="shared" si="94"/>
        <v>0</v>
      </c>
      <c r="PF16" s="24"/>
      <c r="PG16" s="27">
        <f t="shared" si="95"/>
        <v>0</v>
      </c>
      <c r="PH16" s="33">
        <f t="shared" si="3"/>
        <v>0</v>
      </c>
      <c r="PI16" s="2621"/>
      <c r="PK16" s="1907">
        <v>1529.42</v>
      </c>
      <c r="PL16" s="1101">
        <v>1216</v>
      </c>
      <c r="PM16" s="1101">
        <v>364.79999999999995</v>
      </c>
      <c r="PN16" s="3">
        <f t="shared" si="96"/>
        <v>0</v>
      </c>
      <c r="PO16" s="3">
        <f t="shared" si="97"/>
        <v>31834.469204532863</v>
      </c>
      <c r="PP16" s="11">
        <f t="shared" si="98"/>
        <v>24997.075697817414</v>
      </c>
      <c r="PQ16" s="15"/>
      <c r="PR16" s="2615"/>
      <c r="PT16" s="4"/>
      <c r="PU16" s="9"/>
      <c r="PV16" s="9"/>
      <c r="PW16" s="9"/>
      <c r="PX16" s="2531">
        <v>0</v>
      </c>
      <c r="PY16" s="9"/>
      <c r="PZ16" s="8">
        <f t="shared" si="99"/>
        <v>0</v>
      </c>
      <c r="QA16" s="5">
        <f t="shared" si="100"/>
        <v>1529.42</v>
      </c>
      <c r="QB16" s="5"/>
      <c r="QC16" s="5"/>
      <c r="QD16" s="5"/>
      <c r="QE16" s="5"/>
      <c r="QF16" s="5"/>
      <c r="QG16" s="12"/>
      <c r="QH16" s="12">
        <f t="shared" si="101"/>
        <v>29562.488999999998</v>
      </c>
      <c r="QI16" s="420">
        <f t="shared" si="102"/>
        <v>299622.46007140435</v>
      </c>
      <c r="QJ16" s="1106">
        <f t="shared" si="139"/>
        <v>3720.2888844000004</v>
      </c>
      <c r="QK16" s="484">
        <f t="shared" si="103"/>
        <v>5505.3678056099998</v>
      </c>
      <c r="QL16" s="12"/>
      <c r="QM16" s="2615"/>
      <c r="QO16" s="139">
        <f t="shared" si="104"/>
        <v>0</v>
      </c>
      <c r="QP16" s="139" t="str">
        <f t="shared" si="105"/>
        <v/>
      </c>
      <c r="QR16" s="139">
        <f t="shared" si="106"/>
        <v>0</v>
      </c>
      <c r="QS16" s="139">
        <f t="shared" si="107"/>
        <v>0</v>
      </c>
      <c r="QU16" s="1">
        <f t="shared" si="108"/>
        <v>0</v>
      </c>
      <c r="QV16" s="1">
        <f t="shared" si="109"/>
        <v>0</v>
      </c>
      <c r="QW16" s="1">
        <f t="shared" si="110"/>
        <v>0</v>
      </c>
      <c r="QX16" s="1">
        <f t="shared" si="111"/>
        <v>0</v>
      </c>
      <c r="QY16" s="1">
        <f t="shared" si="112"/>
        <v>0</v>
      </c>
      <c r="QZ16" s="1">
        <f t="shared" si="113"/>
        <v>0</v>
      </c>
      <c r="RB16" s="1">
        <f t="shared" si="114"/>
        <v>0</v>
      </c>
      <c r="RC16" s="1">
        <f t="shared" si="115"/>
        <v>0</v>
      </c>
      <c r="RD16" s="1">
        <f t="shared" si="116"/>
        <v>0</v>
      </c>
      <c r="RE16" s="1">
        <f t="shared" si="117"/>
        <v>0</v>
      </c>
      <c r="RF16" s="1">
        <f t="shared" si="118"/>
        <v>0</v>
      </c>
      <c r="RG16" s="1">
        <f t="shared" si="119"/>
        <v>0</v>
      </c>
      <c r="RJ16" s="1">
        <v>7</v>
      </c>
      <c r="RK16" s="1">
        <f t="shared" si="120"/>
        <v>34179.081751083162</v>
      </c>
      <c r="RL16" s="1">
        <f t="shared" si="120"/>
        <v>-601.62645013771998</v>
      </c>
      <c r="RM16" s="1">
        <f t="shared" si="120"/>
        <v>9178.5689913333827</v>
      </c>
      <c r="RN16" s="89">
        <f t="shared" si="5"/>
        <v>42756.024292278824</v>
      </c>
      <c r="RO16" s="1033">
        <v>7</v>
      </c>
      <c r="RP16" s="1098">
        <v>0</v>
      </c>
      <c r="RQ16" s="1098">
        <f t="shared" si="121"/>
        <v>0</v>
      </c>
      <c r="RR16" s="1097">
        <f t="shared" si="121"/>
        <v>0</v>
      </c>
      <c r="RS16" s="1097">
        <f t="shared" si="122"/>
        <v>9331.659999999998</v>
      </c>
      <c r="RT16" s="1094"/>
      <c r="RU16" s="2420">
        <v>2608071205</v>
      </c>
      <c r="RX16" s="421">
        <v>7</v>
      </c>
      <c r="RY16" s="1095">
        <f t="shared" si="123"/>
        <v>13829.800000000003</v>
      </c>
      <c r="RZ16" s="2420">
        <v>2608072391</v>
      </c>
      <c r="SB16" s="1090"/>
      <c r="SC16" s="1090">
        <f t="shared" si="124"/>
        <v>0</v>
      </c>
      <c r="SD16" s="1090"/>
      <c r="SE16" s="1090">
        <f t="shared" si="125"/>
        <v>0</v>
      </c>
      <c r="SG16" s="1">
        <v>7</v>
      </c>
      <c r="SH16" s="1">
        <f t="shared" si="126"/>
        <v>0</v>
      </c>
      <c r="SI16" s="1094"/>
    </row>
    <row r="17" spans="1:503" s="1" customFormat="1">
      <c r="B17" s="471">
        <v>8</v>
      </c>
      <c r="C17" s="4">
        <f t="shared" si="127"/>
        <v>164428</v>
      </c>
      <c r="D17" s="1590">
        <f t="shared" ref="D17:D39" si="146">P17+T17+X17+AB17</f>
        <v>11286.179999999998</v>
      </c>
      <c r="E17" s="1895">
        <f t="shared" si="6"/>
        <v>14.568968419784198</v>
      </c>
      <c r="F17" s="870"/>
      <c r="G17" s="870"/>
      <c r="H17" s="52"/>
      <c r="I17" s="61"/>
      <c r="J17" s="52"/>
      <c r="K17" s="54"/>
      <c r="L17" s="52"/>
      <c r="M17" s="61"/>
      <c r="N17" s="2629"/>
      <c r="O17" s="4">
        <f t="shared" si="142"/>
        <v>100842</v>
      </c>
      <c r="P17" s="1225">
        <f t="shared" si="7"/>
        <v>6049.78</v>
      </c>
      <c r="Q17" s="1913">
        <f t="shared" si="8"/>
        <v>16.668705308292203</v>
      </c>
      <c r="R17" s="33"/>
      <c r="S17" s="26">
        <f t="shared" si="9"/>
        <v>30032</v>
      </c>
      <c r="T17" s="27">
        <f t="shared" si="129"/>
        <v>1403.1599999999999</v>
      </c>
      <c r="U17" s="1909">
        <f t="shared" si="10"/>
        <v>21.403118674990736</v>
      </c>
      <c r="W17" s="1742">
        <f t="shared" si="11"/>
        <v>27381</v>
      </c>
      <c r="X17" s="5">
        <f t="shared" si="11"/>
        <v>2960</v>
      </c>
      <c r="Y17" s="1909">
        <f t="shared" si="12"/>
        <v>9.2503378378378383</v>
      </c>
      <c r="Z17" s="33"/>
      <c r="AA17" s="26">
        <f t="shared" si="13"/>
        <v>6173</v>
      </c>
      <c r="AB17" s="27">
        <f t="shared" si="14"/>
        <v>873.24</v>
      </c>
      <c r="AC17" s="1909">
        <f t="shared" si="15"/>
        <v>7.0690760844670422</v>
      </c>
      <c r="AD17" s="28"/>
      <c r="AE17" s="36"/>
      <c r="AF17" s="36"/>
      <c r="AG17" s="53">
        <f t="shared" si="16"/>
        <v>0</v>
      </c>
      <c r="AH17" s="28"/>
      <c r="AI17" s="26"/>
      <c r="AJ17" s="27"/>
      <c r="AK17" s="53">
        <f t="shared" si="17"/>
        <v>0</v>
      </c>
      <c r="AL17" s="28"/>
      <c r="AM17" s="2629"/>
      <c r="AN17" s="9"/>
      <c r="AO17" s="5"/>
      <c r="AP17" s="61">
        <f t="shared" si="18"/>
        <v>0</v>
      </c>
      <c r="AQ17" s="36"/>
      <c r="AR17" s="53"/>
      <c r="AS17" s="61">
        <f t="shared" si="19"/>
        <v>0</v>
      </c>
      <c r="AT17" s="36">
        <v>0</v>
      </c>
      <c r="AU17" s="27"/>
      <c r="AV17" s="54">
        <f t="shared" si="20"/>
        <v>0</v>
      </c>
      <c r="AW17" s="26">
        <v>52752</v>
      </c>
      <c r="AX17" s="24">
        <v>4431.58</v>
      </c>
      <c r="AY17" s="1735">
        <f t="shared" si="140"/>
        <v>11.903655129773128</v>
      </c>
      <c r="AZ17" s="36"/>
      <c r="BA17" s="27"/>
      <c r="BB17" s="61">
        <f t="shared" si="21"/>
        <v>0</v>
      </c>
      <c r="BC17" s="1740">
        <v>48090</v>
      </c>
      <c r="BD17" s="1926">
        <v>1618.2</v>
      </c>
      <c r="BE17" s="1735">
        <f t="shared" si="22"/>
        <v>29.718205413422321</v>
      </c>
      <c r="BF17" s="36"/>
      <c r="BG17" s="53"/>
      <c r="BH17" s="61">
        <f t="shared" si="23"/>
        <v>0</v>
      </c>
      <c r="BI17" s="36">
        <v>0</v>
      </c>
      <c r="BJ17" s="53">
        <v>0</v>
      </c>
      <c r="BK17" s="61">
        <f t="shared" si="24"/>
        <v>0</v>
      </c>
      <c r="BL17" s="1742">
        <v>30032</v>
      </c>
      <c r="BM17" s="1736">
        <v>1403.1599999999999</v>
      </c>
      <c r="BN17" s="2170"/>
      <c r="BO17" s="1735">
        <f t="shared" si="25"/>
        <v>21.403118674990736</v>
      </c>
      <c r="BP17" s="36">
        <v>6173</v>
      </c>
      <c r="BQ17" s="53">
        <v>873.24</v>
      </c>
      <c r="BR17" s="1735">
        <f t="shared" si="26"/>
        <v>7.0690760844670422</v>
      </c>
      <c r="BS17" s="36"/>
      <c r="BT17" s="53"/>
      <c r="BU17" s="61">
        <f t="shared" si="27"/>
        <v>0</v>
      </c>
      <c r="BV17" s="36">
        <v>27381</v>
      </c>
      <c r="BW17" s="27">
        <f t="shared" si="130"/>
        <v>2960</v>
      </c>
      <c r="BX17" s="1906">
        <f>IFERROR(BV17/BW17,0)</f>
        <v>9.2503378378378383</v>
      </c>
      <c r="BY17" s="26"/>
      <c r="BZ17" s="27"/>
      <c r="CA17" s="61">
        <f t="shared" si="29"/>
        <v>0</v>
      </c>
      <c r="CB17" s="36"/>
      <c r="CC17" s="481"/>
      <c r="CD17" s="482">
        <f t="shared" si="30"/>
        <v>0</v>
      </c>
      <c r="CE17" s="4"/>
      <c r="CF17" s="5"/>
      <c r="CG17" s="28">
        <f t="shared" si="31"/>
        <v>0</v>
      </c>
      <c r="CH17" s="150"/>
      <c r="CI17" s="4"/>
      <c r="CJ17" s="5">
        <v>6635</v>
      </c>
      <c r="CK17" s="5">
        <v>7541</v>
      </c>
      <c r="CL17" s="5"/>
      <c r="CM17" s="5"/>
      <c r="CN17" s="3">
        <f t="shared" si="131"/>
        <v>14176</v>
      </c>
      <c r="CO17" s="33"/>
      <c r="CP17" s="366"/>
      <c r="CR17" s="4">
        <f t="shared" si="32"/>
        <v>0</v>
      </c>
      <c r="CS17" s="9">
        <f t="shared" si="33"/>
        <v>0</v>
      </c>
      <c r="CT17" s="5">
        <f t="shared" si="34"/>
        <v>0</v>
      </c>
      <c r="CU17" s="5">
        <f t="shared" si="35"/>
        <v>0</v>
      </c>
      <c r="CV17" s="5">
        <f t="shared" si="36"/>
        <v>0</v>
      </c>
      <c r="CW17" s="5">
        <f t="shared" si="37"/>
        <v>0</v>
      </c>
      <c r="CX17" s="5">
        <f t="shared" si="38"/>
        <v>3096.6600000000003</v>
      </c>
      <c r="CY17" s="5">
        <f t="shared" si="39"/>
        <v>0</v>
      </c>
      <c r="CZ17" s="5">
        <f t="shared" si="40"/>
        <v>5318.6</v>
      </c>
      <c r="DA17" s="5">
        <f t="shared" si="41"/>
        <v>0</v>
      </c>
      <c r="DB17" s="5">
        <f t="shared" si="42"/>
        <v>2030.7</v>
      </c>
      <c r="DC17" s="12">
        <f t="shared" si="43"/>
        <v>0</v>
      </c>
      <c r="DD17" s="310">
        <f t="shared" si="44"/>
        <v>10445.960000000001</v>
      </c>
      <c r="DE17" s="2695"/>
      <c r="DF17" s="8"/>
      <c r="DG17" s="9"/>
      <c r="DH17" s="5"/>
      <c r="DI17" s="5"/>
      <c r="DJ17" s="5"/>
      <c r="DK17" s="5"/>
      <c r="DL17" s="3">
        <v>3096.6600000000003</v>
      </c>
      <c r="DM17" s="5"/>
      <c r="DN17" s="3">
        <v>0</v>
      </c>
      <c r="DO17" s="5"/>
      <c r="DP17" s="3">
        <v>494.70000000000005</v>
      </c>
      <c r="DQ17" s="11">
        <v>840.22</v>
      </c>
      <c r="DR17" s="12"/>
      <c r="DS17" s="1906">
        <f t="shared" si="45"/>
        <v>4431.5800000000008</v>
      </c>
      <c r="DT17" s="36"/>
      <c r="DU17" s="36"/>
      <c r="DV17" s="27"/>
      <c r="DW17" s="27"/>
      <c r="DX17" s="5"/>
      <c r="DY17" s="5"/>
      <c r="DZ17" s="5"/>
      <c r="EA17" s="5"/>
      <c r="EB17" s="3">
        <v>3894.6000000000004</v>
      </c>
      <c r="EC17" s="53"/>
      <c r="ED17" s="24">
        <v>0</v>
      </c>
      <c r="EE17" s="33"/>
      <c r="EF17" s="28">
        <f t="shared" si="46"/>
        <v>3894.6000000000004</v>
      </c>
      <c r="EG17" s="9"/>
      <c r="EH17" s="9"/>
      <c r="EI17" s="5"/>
      <c r="EJ17" s="492"/>
      <c r="EK17" s="27"/>
      <c r="EL17" s="27"/>
      <c r="EM17" s="27"/>
      <c r="EN17" s="27"/>
      <c r="EO17" s="5">
        <v>1424</v>
      </c>
      <c r="EP17" s="5"/>
      <c r="EQ17" s="5">
        <v>1536</v>
      </c>
      <c r="ER17" s="33"/>
      <c r="ES17" s="28">
        <f t="shared" si="143"/>
        <v>2960</v>
      </c>
      <c r="ET17" s="36"/>
      <c r="EU17" s="27"/>
      <c r="EV17" s="27"/>
      <c r="EW17" s="27"/>
      <c r="EX17" s="27"/>
      <c r="EY17" s="27"/>
      <c r="EZ17" s="33">
        <f t="shared" si="48"/>
        <v>0</v>
      </c>
      <c r="FA17" s="2685"/>
      <c r="FC17" s="4">
        <f t="shared" si="49"/>
        <v>0</v>
      </c>
      <c r="FD17" s="5">
        <f t="shared" si="50"/>
        <v>0</v>
      </c>
      <c r="FE17" s="5">
        <f t="shared" si="51"/>
        <v>0</v>
      </c>
      <c r="FF17" s="12">
        <f t="shared" si="52"/>
        <v>0</v>
      </c>
      <c r="FG17" s="33"/>
      <c r="FH17" s="2674"/>
      <c r="FI17" s="9"/>
      <c r="FJ17" s="5"/>
      <c r="FK17" s="5"/>
      <c r="FL17" s="5"/>
      <c r="FM17" s="5"/>
      <c r="FN17" s="27"/>
      <c r="FO17" s="28">
        <f t="shared" si="53"/>
        <v>0</v>
      </c>
      <c r="FP17" s="36"/>
      <c r="FQ17" s="27"/>
      <c r="FR17" s="27"/>
      <c r="FS17" s="27"/>
      <c r="FT17" s="27"/>
      <c r="FU17" s="27"/>
      <c r="FV17" s="28">
        <f t="shared" si="54"/>
        <v>0</v>
      </c>
      <c r="FW17" s="36"/>
      <c r="FX17" s="36"/>
      <c r="FY17" s="27"/>
      <c r="FZ17" s="27"/>
      <c r="GA17" s="27"/>
      <c r="GB17" s="27"/>
      <c r="GC17" s="27"/>
      <c r="GD17" s="27"/>
      <c r="GE17" s="24">
        <v>0</v>
      </c>
      <c r="GF17" s="27"/>
      <c r="GG17" s="27"/>
      <c r="GH17" s="33"/>
      <c r="GI17" s="33">
        <f t="shared" si="55"/>
        <v>0</v>
      </c>
      <c r="GJ17" s="2674"/>
      <c r="GL17" s="2">
        <f t="shared" si="132"/>
        <v>3785.07</v>
      </c>
      <c r="GM17" s="63">
        <f t="shared" si="133"/>
        <v>3550.8399999999997</v>
      </c>
      <c r="GN17" s="24">
        <f t="shared" si="134"/>
        <v>6675.1500000000005</v>
      </c>
      <c r="GO17" s="1736">
        <f t="shared" si="56"/>
        <v>14011.060000000001</v>
      </c>
      <c r="GP17" s="141"/>
      <c r="GQ17" s="141"/>
      <c r="GR17" s="33"/>
      <c r="GS17" s="2667"/>
      <c r="GT17" s="1739">
        <v>0</v>
      </c>
      <c r="GU17" s="1721">
        <v>1004.35</v>
      </c>
      <c r="GV17" s="1721">
        <v>5533.98</v>
      </c>
      <c r="GW17" s="1721">
        <v>7472.73</v>
      </c>
      <c r="GX17" s="54">
        <f t="shared" si="135"/>
        <v>14011.06</v>
      </c>
      <c r="GY17" s="2667"/>
      <c r="GZ17" s="35">
        <v>0</v>
      </c>
      <c r="HA17" s="36"/>
      <c r="HB17" s="27"/>
      <c r="HC17" s="27"/>
      <c r="HD17" s="27"/>
      <c r="HE17" s="27"/>
      <c r="HF17" s="24">
        <v>0</v>
      </c>
      <c r="HG17" s="27"/>
      <c r="HH17" s="24">
        <v>2780.7200000000003</v>
      </c>
      <c r="HI17" s="27"/>
      <c r="HJ17" s="24">
        <v>0</v>
      </c>
      <c r="HK17" s="27"/>
      <c r="HL17" s="24">
        <v>1004.35</v>
      </c>
      <c r="HM17" s="27"/>
      <c r="HN17" s="28">
        <f>SUM(GZ17:HM17)</f>
        <v>3785.07</v>
      </c>
      <c r="HO17" s="36"/>
      <c r="HP17" s="27"/>
      <c r="HQ17" s="27"/>
      <c r="HR17" s="27"/>
      <c r="HS17" s="27"/>
      <c r="HT17" s="27"/>
      <c r="HU17" s="27">
        <f t="array" ref="HU17">SUMPRODUCT(('Data Base hauling'!$C$2:$C$2000="TCM-ROM SB1 BK05-ROM 4")*(ISNUMBER(SEARCH(TEXT('August TCM'!$B17,"00")&amp;"/03/2026",'Data Base hauling'!$E$2:$E$2000)))*'Data Base hauling'!$N$2:$N$2000)</f>
        <v>0</v>
      </c>
      <c r="HV17" s="27"/>
      <c r="HW17" s="27">
        <f t="array" ref="HW17">SUMPRODUCT(('Data Base hauling'!$C$2:$C$2000="TCM-ROM SB1 BK05-ROM 5")*(ISNUMBER(SEARCH(TEXT('August TCM'!$B17,"00")&amp;"/03/2026",'Data Base hauling'!$E$2:$E$2000)))*'Data Base hauling'!$N$2:$N$2000)</f>
        <v>0</v>
      </c>
      <c r="HX17" s="27"/>
      <c r="HY17" s="27"/>
      <c r="HZ17" s="27"/>
      <c r="IA17" s="27"/>
      <c r="IB17" s="27"/>
      <c r="IC17" s="33">
        <f t="shared" si="58"/>
        <v>0</v>
      </c>
      <c r="ID17" s="52"/>
      <c r="IE17" s="152"/>
      <c r="IF17" s="53"/>
      <c r="IG17" s="53"/>
      <c r="IH17" s="64"/>
      <c r="II17" s="64"/>
      <c r="IJ17" s="1926">
        <v>0</v>
      </c>
      <c r="IK17" s="1590"/>
      <c r="IL17" s="1926">
        <v>0</v>
      </c>
      <c r="IM17" s="53"/>
      <c r="IN17" s="49">
        <v>3550.8399999999997</v>
      </c>
      <c r="IO17" s="53"/>
      <c r="IP17" s="53"/>
      <c r="IQ17" s="49">
        <v>0</v>
      </c>
      <c r="IR17" s="2195">
        <f>SUM(ID17:IQ17)</f>
        <v>3550.8399999999997</v>
      </c>
      <c r="IS17" s="36"/>
      <c r="IT17" s="36"/>
      <c r="IU17" s="27"/>
      <c r="IV17" s="27"/>
      <c r="IW17" s="53"/>
      <c r="IX17" s="27"/>
      <c r="IY17" s="24">
        <v>0</v>
      </c>
      <c r="IZ17" s="27"/>
      <c r="JA17" s="24">
        <v>6675.1500000000005</v>
      </c>
      <c r="JB17" s="27"/>
      <c r="JC17" s="24">
        <v>0</v>
      </c>
      <c r="JD17" s="27"/>
      <c r="JE17" s="27"/>
      <c r="JF17" s="27"/>
      <c r="JG17" s="33">
        <f>SUM(IS17:JF17)</f>
        <v>6675.1500000000005</v>
      </c>
      <c r="JH17" s="2667"/>
      <c r="JJ17" s="2014">
        <v>14011.060000000003</v>
      </c>
      <c r="JK17" s="2015">
        <v>0</v>
      </c>
      <c r="JL17" s="53"/>
      <c r="JM17" s="1736">
        <f t="shared" si="61"/>
        <v>14011.060000000003</v>
      </c>
      <c r="JN17" s="33"/>
      <c r="JO17" s="2669"/>
      <c r="JP17" s="66">
        <v>0</v>
      </c>
      <c r="JQ17" s="67">
        <v>0</v>
      </c>
      <c r="JR17" s="67">
        <v>0</v>
      </c>
      <c r="JS17" s="67">
        <v>0</v>
      </c>
      <c r="JT17" s="67">
        <v>0.67488612567500228</v>
      </c>
      <c r="JU17" s="67">
        <v>0.25343121790928014</v>
      </c>
      <c r="JV17" s="67">
        <v>7.1682656415717277E-2</v>
      </c>
      <c r="JW17" s="1921">
        <v>0</v>
      </c>
      <c r="JX17" s="66" t="s">
        <v>296</v>
      </c>
      <c r="JY17" s="67" t="s">
        <v>296</v>
      </c>
      <c r="JZ17" s="67" t="s">
        <v>296</v>
      </c>
      <c r="KA17" s="67" t="s">
        <v>296</v>
      </c>
      <c r="KB17" s="67" t="s">
        <v>296</v>
      </c>
      <c r="KC17" s="67" t="s">
        <v>296</v>
      </c>
      <c r="KD17" s="67" t="s">
        <v>296</v>
      </c>
      <c r="KE17" s="68" t="s">
        <v>296</v>
      </c>
      <c r="KF17" s="69"/>
      <c r="KG17" s="70"/>
      <c r="KH17" s="70"/>
      <c r="KI17" s="70"/>
      <c r="KJ17" s="70"/>
      <c r="KK17" s="70"/>
      <c r="KL17" s="70"/>
      <c r="KM17" s="70"/>
      <c r="KN17" s="33"/>
      <c r="KO17" s="2669"/>
      <c r="KP17" s="2203">
        <v>6958.1132686084138</v>
      </c>
      <c r="KQ17" s="1721">
        <v>0.60149226896799712</v>
      </c>
      <c r="KR17" s="1721">
        <v>4.9957641136281916</v>
      </c>
      <c r="KS17" s="1721">
        <v>5.9424775260697587</v>
      </c>
      <c r="KT17" s="1722">
        <v>9.233326141675656</v>
      </c>
      <c r="KU17" s="1958">
        <v>0</v>
      </c>
      <c r="KV17" s="1961">
        <v>0</v>
      </c>
      <c r="KW17" s="1961">
        <v>0</v>
      </c>
      <c r="KX17" s="1961">
        <v>0</v>
      </c>
      <c r="KY17" s="1962">
        <v>0</v>
      </c>
      <c r="KZ17" s="36"/>
      <c r="LA17" s="53"/>
      <c r="LB17" s="53"/>
      <c r="LC17" s="53"/>
      <c r="LD17" s="53"/>
      <c r="LE17" s="33"/>
      <c r="LF17" s="2669"/>
      <c r="LH17" s="26">
        <f t="shared" si="62"/>
        <v>0</v>
      </c>
      <c r="LI17" s="27">
        <f t="shared" si="62"/>
        <v>0</v>
      </c>
      <c r="LJ17" s="27">
        <f t="shared" si="62"/>
        <v>0</v>
      </c>
      <c r="LK17" s="28">
        <f t="shared" si="63"/>
        <v>0</v>
      </c>
      <c r="LL17" s="36"/>
      <c r="LM17" s="27"/>
      <c r="LN17" s="27"/>
      <c r="LO17" s="33"/>
      <c r="LP17" s="1957">
        <v>0.87</v>
      </c>
      <c r="LQ17" s="486"/>
      <c r="LR17" s="2688"/>
      <c r="LS17" s="21"/>
      <c r="LT17" s="27"/>
      <c r="LU17" s="27"/>
      <c r="LV17" s="27"/>
      <c r="LW17" s="27"/>
      <c r="LX17" s="1117">
        <f t="shared" si="64"/>
        <v>0</v>
      </c>
      <c r="LY17" s="36"/>
      <c r="LZ17" s="36"/>
      <c r="MA17" s="27"/>
      <c r="MB17" s="27"/>
      <c r="MC17" s="33"/>
      <c r="MD17" s="28">
        <f t="shared" si="65"/>
        <v>0</v>
      </c>
      <c r="ME17" s="26"/>
      <c r="MF17" s="36"/>
      <c r="MG17" s="27"/>
      <c r="MH17" s="27"/>
      <c r="MI17" s="27"/>
      <c r="MJ17" s="28"/>
      <c r="MK17" s="36"/>
      <c r="ML17" s="36"/>
      <c r="MM17" s="27"/>
      <c r="MN17" s="27"/>
      <c r="MO17" s="27"/>
      <c r="MP17" s="28"/>
      <c r="MQ17" s="36"/>
      <c r="MR17" s="36"/>
      <c r="MS17" s="27"/>
      <c r="MT17" s="27"/>
      <c r="MU17" s="27"/>
      <c r="MV17" s="33">
        <f t="shared" si="66"/>
        <v>0</v>
      </c>
      <c r="MW17" s="2688"/>
      <c r="MY17" s="26">
        <f t="shared" si="67"/>
        <v>188969.41691943514</v>
      </c>
      <c r="MZ17" s="27">
        <f t="shared" si="68"/>
        <v>270520.35630375834</v>
      </c>
      <c r="NA17" s="27">
        <f t="shared" si="69"/>
        <v>24286.725697817415</v>
      </c>
      <c r="NB17" s="28">
        <f t="shared" si="70"/>
        <v>332497.83795580431</v>
      </c>
      <c r="NC17" s="2621"/>
      <c r="ND17" s="23">
        <f t="shared" si="71"/>
        <v>88050.426200678296</v>
      </c>
      <c r="NE17" s="1655">
        <f t="shared" si="72"/>
        <v>100918.99071875685</v>
      </c>
      <c r="NF17" s="60">
        <f t="shared" si="73"/>
        <v>0</v>
      </c>
      <c r="NG17" s="275">
        <f t="shared" si="4"/>
        <v>188969.41691943514</v>
      </c>
      <c r="NH17" s="26">
        <f t="shared" si="74"/>
        <v>0</v>
      </c>
      <c r="NI17" s="27">
        <f t="shared" si="74"/>
        <v>0</v>
      </c>
      <c r="NJ17" s="27">
        <f t="shared" si="74"/>
        <v>0</v>
      </c>
      <c r="NK17" s="27">
        <f t="shared" si="74"/>
        <v>0</v>
      </c>
      <c r="NL17" s="27">
        <f t="shared" si="74"/>
        <v>0</v>
      </c>
      <c r="NM17" s="33">
        <f t="shared" si="74"/>
        <v>0</v>
      </c>
      <c r="NN17" s="27">
        <f t="shared" si="74"/>
        <v>0</v>
      </c>
      <c r="NO17" s="36">
        <f t="shared" si="74"/>
        <v>0</v>
      </c>
      <c r="NP17" s="24">
        <f t="shared" si="74"/>
        <v>23720.82060542424</v>
      </c>
      <c r="NQ17" s="27">
        <f t="shared" si="74"/>
        <v>24023.830351777149</v>
      </c>
      <c r="NR17" s="24">
        <f t="shared" si="136"/>
        <v>8756.5482322711578</v>
      </c>
      <c r="NS17" s="24">
        <f t="shared" si="137"/>
        <v>12740.693566410113</v>
      </c>
      <c r="NT17" s="27">
        <f t="shared" si="0"/>
        <v>69241.892755882669</v>
      </c>
      <c r="NU17" s="27">
        <f t="shared" si="75"/>
        <v>0</v>
      </c>
      <c r="NV17" s="27">
        <f t="shared" si="76"/>
        <v>0</v>
      </c>
      <c r="NW17" s="27">
        <f t="shared" si="77"/>
        <v>0</v>
      </c>
      <c r="NX17" s="27">
        <f t="shared" si="78"/>
        <v>0</v>
      </c>
      <c r="NY17" s="27">
        <f t="shared" si="79"/>
        <v>0</v>
      </c>
      <c r="NZ17" s="27">
        <f t="shared" si="80"/>
        <v>0</v>
      </c>
      <c r="OA17" s="27">
        <f t="shared" si="81"/>
        <v>26162.204489662847</v>
      </c>
      <c r="OB17" s="27">
        <f t="shared" si="82"/>
        <v>0</v>
      </c>
      <c r="OC17" s="27">
        <f t="shared" si="83"/>
        <v>75507.279485704174</v>
      </c>
      <c r="OD17" s="1999"/>
      <c r="OE17" s="27">
        <f t="shared" si="138"/>
        <v>5120.920000000001</v>
      </c>
      <c r="OF17" s="27">
        <f t="shared" si="84"/>
        <v>0</v>
      </c>
      <c r="OG17" s="28">
        <f t="shared" si="1"/>
        <v>106790.40397536702</v>
      </c>
      <c r="OH17" s="27">
        <f t="shared" si="144"/>
        <v>0</v>
      </c>
      <c r="OI17" s="27">
        <f t="shared" si="144"/>
        <v>0</v>
      </c>
      <c r="OJ17" s="27">
        <f t="shared" si="144"/>
        <v>0</v>
      </c>
      <c r="OK17" s="27">
        <f t="shared" si="144"/>
        <v>0</v>
      </c>
      <c r="OL17" s="27">
        <f t="shared" si="144"/>
        <v>0</v>
      </c>
      <c r="OM17" s="27">
        <f t="shared" si="144"/>
        <v>0</v>
      </c>
      <c r="ON17" s="24">
        <f t="shared" ref="ON17:ON40" si="147">+ON16+DZ17+GC17-IY17</f>
        <v>0</v>
      </c>
      <c r="OO17" s="27">
        <f t="shared" si="145"/>
        <v>0</v>
      </c>
      <c r="OP17" s="24">
        <f t="shared" si="86"/>
        <v>76009.662313713765</v>
      </c>
      <c r="OQ17" s="27">
        <f t="shared" si="87"/>
        <v>0</v>
      </c>
      <c r="OR17" s="24">
        <f t="shared" si="88"/>
        <v>18478.397258794845</v>
      </c>
      <c r="OS17" s="27">
        <f t="shared" si="89"/>
        <v>0</v>
      </c>
      <c r="OT17" s="28">
        <f t="shared" si="2"/>
        <v>94488.059572508617</v>
      </c>
      <c r="OU17" s="36"/>
      <c r="OV17" s="27"/>
      <c r="OW17" s="27"/>
      <c r="OX17" s="27"/>
      <c r="OY17" s="27"/>
      <c r="OZ17" s="27"/>
      <c r="PA17" s="28">
        <f t="shared" si="90"/>
        <v>0</v>
      </c>
      <c r="PB17" s="36">
        <f t="shared" si="91"/>
        <v>0</v>
      </c>
      <c r="PC17" s="27">
        <f t="shared" si="92"/>
        <v>0</v>
      </c>
      <c r="PD17" s="27">
        <f t="shared" si="93"/>
        <v>0</v>
      </c>
      <c r="PE17" s="27">
        <f t="shared" si="94"/>
        <v>0</v>
      </c>
      <c r="PF17" s="24"/>
      <c r="PG17" s="27">
        <f t="shared" si="95"/>
        <v>0</v>
      </c>
      <c r="PH17" s="33">
        <f t="shared" si="3"/>
        <v>0</v>
      </c>
      <c r="PI17" s="2621"/>
      <c r="PK17" s="1907">
        <v>407.4</v>
      </c>
      <c r="PL17" s="1101">
        <v>980</v>
      </c>
      <c r="PM17" s="1101">
        <v>294</v>
      </c>
      <c r="PN17" s="3">
        <f t="shared" si="96"/>
        <v>1004.35</v>
      </c>
      <c r="PO17" s="3">
        <f t="shared" si="97"/>
        <v>31261.869204532864</v>
      </c>
      <c r="PP17" s="11">
        <f t="shared" si="98"/>
        <v>24286.725697817415</v>
      </c>
      <c r="PQ17" s="15"/>
      <c r="PR17" s="2615"/>
      <c r="PT17" s="4"/>
      <c r="PU17" s="9"/>
      <c r="PV17" s="9"/>
      <c r="PW17" s="9"/>
      <c r="PX17" s="2531">
        <v>0</v>
      </c>
      <c r="PY17" s="9"/>
      <c r="PZ17" s="8">
        <f t="shared" si="99"/>
        <v>0</v>
      </c>
      <c r="QA17" s="5">
        <f t="shared" si="100"/>
        <v>407.4</v>
      </c>
      <c r="QB17" s="5"/>
      <c r="QC17" s="5"/>
      <c r="QD17" s="5"/>
      <c r="QE17" s="5"/>
      <c r="QF17" s="5"/>
      <c r="QG17" s="12"/>
      <c r="QH17" s="12">
        <f t="shared" si="101"/>
        <v>29562.488999999998</v>
      </c>
      <c r="QI17" s="420">
        <f t="shared" si="102"/>
        <v>299215.06007140432</v>
      </c>
      <c r="QJ17" s="1106">
        <f t="shared" si="139"/>
        <v>3720.2888844000004</v>
      </c>
      <c r="QK17" s="484">
        <f t="shared" si="103"/>
        <v>5505.3678056099998</v>
      </c>
      <c r="QL17" s="12"/>
      <c r="QM17" s="2615"/>
      <c r="QO17" s="139">
        <f t="shared" si="104"/>
        <v>0</v>
      </c>
      <c r="QP17" s="139" t="str">
        <f t="shared" si="105"/>
        <v/>
      </c>
      <c r="QR17" s="139">
        <f t="shared" si="106"/>
        <v>0</v>
      </c>
      <c r="QS17" s="139">
        <f t="shared" si="107"/>
        <v>0</v>
      </c>
      <c r="QU17" s="1">
        <f t="shared" si="108"/>
        <v>0</v>
      </c>
      <c r="QV17" s="1">
        <f t="shared" si="109"/>
        <v>0</v>
      </c>
      <c r="QW17" s="1">
        <f t="shared" si="110"/>
        <v>0</v>
      </c>
      <c r="QX17" s="1">
        <f t="shared" si="111"/>
        <v>0</v>
      </c>
      <c r="QY17" s="1">
        <f t="shared" si="112"/>
        <v>0</v>
      </c>
      <c r="QZ17" s="1">
        <f t="shared" si="113"/>
        <v>0</v>
      </c>
      <c r="RB17" s="1">
        <f t="shared" si="114"/>
        <v>0</v>
      </c>
      <c r="RC17" s="1">
        <f t="shared" si="115"/>
        <v>0</v>
      </c>
      <c r="RD17" s="1">
        <f t="shared" si="116"/>
        <v>0</v>
      </c>
      <c r="RE17" s="1">
        <f t="shared" si="117"/>
        <v>0</v>
      </c>
      <c r="RF17" s="1">
        <f t="shared" si="118"/>
        <v>0</v>
      </c>
      <c r="RG17" s="1">
        <f t="shared" si="119"/>
        <v>0</v>
      </c>
      <c r="RJ17" s="1">
        <v>8</v>
      </c>
      <c r="RK17" s="1">
        <f t="shared" si="120"/>
        <v>48190.141751083167</v>
      </c>
      <c r="RL17" s="1">
        <f t="shared" si="120"/>
        <v>-601.62645013771998</v>
      </c>
      <c r="RM17" s="1">
        <f t="shared" si="120"/>
        <v>9178.5689913333827</v>
      </c>
      <c r="RN17" s="89">
        <f t="shared" si="5"/>
        <v>56767.084292278829</v>
      </c>
      <c r="RO17" s="1033">
        <v>8</v>
      </c>
      <c r="RP17" s="1098">
        <v>0</v>
      </c>
      <c r="RQ17" s="1098">
        <f t="shared" si="121"/>
        <v>0</v>
      </c>
      <c r="RR17" s="1097">
        <f t="shared" si="121"/>
        <v>0</v>
      </c>
      <c r="RS17" s="1097">
        <f t="shared" si="122"/>
        <v>8326.18</v>
      </c>
      <c r="RT17" s="1096"/>
      <c r="RU17" s="1109">
        <v>2608081384</v>
      </c>
      <c r="RV17" s="1048"/>
      <c r="RX17" s="421">
        <v>8</v>
      </c>
      <c r="RY17" s="1095">
        <f t="shared" si="123"/>
        <v>14011.06</v>
      </c>
      <c r="RZ17" s="2441">
        <v>2608082928</v>
      </c>
      <c r="SA17" s="1048"/>
      <c r="SB17" s="1090"/>
      <c r="SC17" s="1090">
        <f t="shared" si="124"/>
        <v>0</v>
      </c>
      <c r="SD17" s="1090"/>
      <c r="SE17" s="1090">
        <f t="shared" si="125"/>
        <v>0</v>
      </c>
      <c r="SG17" s="1">
        <v>8</v>
      </c>
      <c r="SH17" s="1">
        <f t="shared" si="126"/>
        <v>1004.35</v>
      </c>
      <c r="SI17" s="2420">
        <v>2608082952</v>
      </c>
    </row>
    <row r="18" spans="1:503" s="1" customFormat="1" ht="15" customHeight="1">
      <c r="B18" s="471">
        <v>9</v>
      </c>
      <c r="C18" s="4">
        <f t="shared" si="127"/>
        <v>156340</v>
      </c>
      <c r="D18" s="1590">
        <f t="shared" si="146"/>
        <v>10810.94</v>
      </c>
      <c r="E18" s="1895">
        <f t="shared" si="6"/>
        <v>14.461277187737606</v>
      </c>
      <c r="F18" s="870"/>
      <c r="G18" s="870"/>
      <c r="H18" s="52"/>
      <c r="I18" s="61"/>
      <c r="J18" s="52"/>
      <c r="K18" s="54"/>
      <c r="L18" s="52"/>
      <c r="M18" s="61"/>
      <c r="N18" s="2629"/>
      <c r="O18" s="4">
        <f t="shared" si="142"/>
        <v>95130</v>
      </c>
      <c r="P18" s="1225">
        <f t="shared" si="7"/>
        <v>5956.64</v>
      </c>
      <c r="Q18" s="1952">
        <f t="shared" si="8"/>
        <v>15.970412850197427</v>
      </c>
      <c r="R18" s="33"/>
      <c r="S18" s="26">
        <f t="shared" si="9"/>
        <v>24591</v>
      </c>
      <c r="T18" s="27">
        <f t="shared" si="129"/>
        <v>1728.2</v>
      </c>
      <c r="U18" s="1909">
        <f t="shared" si="10"/>
        <v>14.229255873162828</v>
      </c>
      <c r="V18" s="15"/>
      <c r="W18" s="1742">
        <f t="shared" si="11"/>
        <v>31344</v>
      </c>
      <c r="X18" s="1918">
        <f t="shared" si="11"/>
        <v>2024</v>
      </c>
      <c r="Y18" s="1909">
        <f t="shared" si="12"/>
        <v>15.486166007905139</v>
      </c>
      <c r="Z18" s="33"/>
      <c r="AA18" s="26">
        <f t="shared" si="13"/>
        <v>5275</v>
      </c>
      <c r="AB18" s="27">
        <f t="shared" si="14"/>
        <v>1102.0999999999999</v>
      </c>
      <c r="AC18" s="1909">
        <f t="shared" si="15"/>
        <v>4.7863170311224028</v>
      </c>
      <c r="AD18" s="28"/>
      <c r="AE18" s="36"/>
      <c r="AF18" s="36"/>
      <c r="AG18" s="53">
        <f t="shared" si="16"/>
        <v>0</v>
      </c>
      <c r="AH18" s="28"/>
      <c r="AI18" s="23"/>
      <c r="AJ18" s="27"/>
      <c r="AK18" s="53">
        <f t="shared" si="17"/>
        <v>0</v>
      </c>
      <c r="AL18" s="28"/>
      <c r="AM18" s="2629"/>
      <c r="AN18" s="9"/>
      <c r="AO18" s="5"/>
      <c r="AP18" s="61">
        <f t="shared" si="18"/>
        <v>0</v>
      </c>
      <c r="AQ18" s="36"/>
      <c r="AR18" s="53"/>
      <c r="AS18" s="61">
        <f t="shared" si="19"/>
        <v>0</v>
      </c>
      <c r="AT18" s="36">
        <v>0</v>
      </c>
      <c r="AU18" s="27"/>
      <c r="AV18" s="54">
        <f t="shared" si="20"/>
        <v>0</v>
      </c>
      <c r="AW18" s="26">
        <v>53634</v>
      </c>
      <c r="AX18" s="24">
        <v>4158.34</v>
      </c>
      <c r="AY18" s="1735">
        <f>IFERROR(AW18/AX18,0)</f>
        <v>12.897935233771168</v>
      </c>
      <c r="AZ18" s="36"/>
      <c r="BA18" s="27"/>
      <c r="BB18" s="61">
        <f t="shared" si="21"/>
        <v>0</v>
      </c>
      <c r="BC18" s="1740">
        <v>41496</v>
      </c>
      <c r="BD18" s="1926">
        <v>1798.3000000000002</v>
      </c>
      <c r="BE18" s="1735">
        <f t="shared" si="22"/>
        <v>23.075126508369014</v>
      </c>
      <c r="BF18" s="36"/>
      <c r="BG18" s="53"/>
      <c r="BH18" s="61">
        <f t="shared" si="23"/>
        <v>0</v>
      </c>
      <c r="BI18" s="36">
        <v>0</v>
      </c>
      <c r="BJ18" s="53">
        <v>0</v>
      </c>
      <c r="BK18" s="61">
        <f t="shared" si="24"/>
        <v>0</v>
      </c>
      <c r="BL18" s="1742">
        <v>24591</v>
      </c>
      <c r="BM18" s="1736">
        <v>1728.2</v>
      </c>
      <c r="BN18" s="2171"/>
      <c r="BO18" s="1920">
        <f t="shared" si="25"/>
        <v>14.229255873162828</v>
      </c>
      <c r="BP18" s="9">
        <v>5275</v>
      </c>
      <c r="BQ18" s="53">
        <v>1102.0999999999999</v>
      </c>
      <c r="BR18" s="1920">
        <f t="shared" si="26"/>
        <v>4.7863170311224028</v>
      </c>
      <c r="BS18" s="9"/>
      <c r="BT18" s="53"/>
      <c r="BU18" s="482">
        <f t="shared" si="27"/>
        <v>0</v>
      </c>
      <c r="BV18" s="9">
        <v>31344</v>
      </c>
      <c r="BW18" s="2511">
        <f t="shared" si="130"/>
        <v>2024</v>
      </c>
      <c r="BX18" s="1051">
        <f t="shared" si="28"/>
        <v>15.486166007905139</v>
      </c>
      <c r="BY18" s="26"/>
      <c r="BZ18" s="27"/>
      <c r="CA18" s="869">
        <f t="shared" si="29"/>
        <v>0</v>
      </c>
      <c r="CB18" s="9"/>
      <c r="CC18" s="481"/>
      <c r="CD18" s="482">
        <f t="shared" si="30"/>
        <v>0</v>
      </c>
      <c r="CE18" s="4"/>
      <c r="CF18" s="5"/>
      <c r="CG18" s="28">
        <f t="shared" si="31"/>
        <v>0</v>
      </c>
      <c r="CH18" s="150"/>
      <c r="CI18" s="4"/>
      <c r="CJ18" s="5">
        <v>8034</v>
      </c>
      <c r="CK18" s="5">
        <v>7752</v>
      </c>
      <c r="CL18" s="5"/>
      <c r="CM18" s="5"/>
      <c r="CN18" s="3">
        <f t="shared" si="131"/>
        <v>15786</v>
      </c>
      <c r="CO18" s="33"/>
      <c r="CP18" s="366"/>
      <c r="CR18" s="4">
        <f t="shared" si="32"/>
        <v>0</v>
      </c>
      <c r="CS18" s="9">
        <f t="shared" si="33"/>
        <v>0</v>
      </c>
      <c r="CT18" s="5">
        <f t="shared" si="34"/>
        <v>0</v>
      </c>
      <c r="CU18" s="5">
        <f t="shared" si="35"/>
        <v>0</v>
      </c>
      <c r="CV18" s="5">
        <f t="shared" si="36"/>
        <v>0</v>
      </c>
      <c r="CW18" s="5">
        <f t="shared" si="37"/>
        <v>0</v>
      </c>
      <c r="CX18" s="5">
        <f t="shared" si="38"/>
        <v>562.04</v>
      </c>
      <c r="CY18" s="5">
        <f t="shared" si="39"/>
        <v>0</v>
      </c>
      <c r="CZ18" s="5">
        <f t="shared" si="40"/>
        <v>6272.6</v>
      </c>
      <c r="DA18" s="5">
        <f t="shared" si="41"/>
        <v>0</v>
      </c>
      <c r="DB18" s="5">
        <f t="shared" si="42"/>
        <v>3446.5200000000004</v>
      </c>
      <c r="DC18" s="12">
        <f t="shared" si="43"/>
        <v>0</v>
      </c>
      <c r="DD18" s="310">
        <f t="shared" si="44"/>
        <v>10810.94</v>
      </c>
      <c r="DE18" s="2695"/>
      <c r="DF18" s="8"/>
      <c r="DG18" s="9"/>
      <c r="DH18" s="5"/>
      <c r="DI18" s="5"/>
      <c r="DJ18" s="5"/>
      <c r="DK18" s="5"/>
      <c r="DL18" s="3">
        <v>562.04</v>
      </c>
      <c r="DM18" s="5"/>
      <c r="DN18" s="3">
        <v>0</v>
      </c>
      <c r="DO18" s="5"/>
      <c r="DP18" s="3">
        <v>3066.5200000000004</v>
      </c>
      <c r="DQ18" s="11">
        <v>0</v>
      </c>
      <c r="DR18" s="12"/>
      <c r="DS18" s="1906">
        <f t="shared" si="45"/>
        <v>3628.5600000000004</v>
      </c>
      <c r="DT18" s="36"/>
      <c r="DU18" s="36"/>
      <c r="DV18" s="27"/>
      <c r="DW18" s="27"/>
      <c r="DX18" s="5"/>
      <c r="DY18" s="5"/>
      <c r="DZ18" s="5"/>
      <c r="EA18" s="5"/>
      <c r="EB18" s="3">
        <v>4628.6000000000004</v>
      </c>
      <c r="EC18" s="53"/>
      <c r="ED18" s="24">
        <v>0</v>
      </c>
      <c r="EE18" s="33"/>
      <c r="EF18" s="28">
        <f t="shared" si="46"/>
        <v>4628.6000000000004</v>
      </c>
      <c r="EG18" s="9"/>
      <c r="EH18" s="36"/>
      <c r="EI18" s="5"/>
      <c r="EJ18" s="313"/>
      <c r="EK18" s="27"/>
      <c r="EL18" s="27"/>
      <c r="EM18" s="27"/>
      <c r="EN18" s="27"/>
      <c r="EO18" s="5">
        <v>1644</v>
      </c>
      <c r="EP18" s="5"/>
      <c r="EQ18" s="5">
        <v>380</v>
      </c>
      <c r="ER18" s="33"/>
      <c r="ES18" s="28">
        <f t="shared" si="143"/>
        <v>2024</v>
      </c>
      <c r="ET18" s="36"/>
      <c r="EU18" s="27"/>
      <c r="EV18" s="27"/>
      <c r="EW18" s="27"/>
      <c r="EX18" s="27"/>
      <c r="EY18" s="27"/>
      <c r="EZ18" s="33">
        <f t="shared" si="48"/>
        <v>0</v>
      </c>
      <c r="FA18" s="2685"/>
      <c r="FC18" s="4">
        <f t="shared" si="49"/>
        <v>0</v>
      </c>
      <c r="FD18" s="5">
        <f t="shared" si="50"/>
        <v>0</v>
      </c>
      <c r="FE18" s="5">
        <f t="shared" si="51"/>
        <v>0</v>
      </c>
      <c r="FF18" s="12">
        <f t="shared" si="52"/>
        <v>0</v>
      </c>
      <c r="FG18" s="33"/>
      <c r="FH18" s="2674"/>
      <c r="FI18" s="9"/>
      <c r="FJ18" s="5"/>
      <c r="FK18" s="5"/>
      <c r="FL18" s="5"/>
      <c r="FM18" s="5"/>
      <c r="FN18" s="27"/>
      <c r="FO18" s="28">
        <f t="shared" si="53"/>
        <v>0</v>
      </c>
      <c r="FP18" s="36"/>
      <c r="FQ18" s="27"/>
      <c r="FR18" s="27"/>
      <c r="FS18" s="27"/>
      <c r="FT18" s="27"/>
      <c r="FU18" s="27"/>
      <c r="FV18" s="28">
        <f t="shared" si="54"/>
        <v>0</v>
      </c>
      <c r="FW18" s="36"/>
      <c r="FX18" s="36"/>
      <c r="FY18" s="27"/>
      <c r="FZ18" s="27"/>
      <c r="GA18" s="27"/>
      <c r="GB18" s="27"/>
      <c r="GC18" s="27"/>
      <c r="GD18" s="27"/>
      <c r="GE18" s="24">
        <v>0</v>
      </c>
      <c r="GF18" s="27"/>
      <c r="GG18" s="27"/>
      <c r="GH18" s="33"/>
      <c r="GI18" s="33">
        <f t="shared" si="55"/>
        <v>0</v>
      </c>
      <c r="GJ18" s="2674"/>
      <c r="GL18" s="2">
        <f t="shared" si="132"/>
        <v>2192.02</v>
      </c>
      <c r="GM18" s="63">
        <f t="shared" si="133"/>
        <v>4929.93</v>
      </c>
      <c r="GN18" s="24">
        <f t="shared" si="134"/>
        <v>6494.1100000000006</v>
      </c>
      <c r="GO18" s="1736">
        <f t="shared" si="56"/>
        <v>13616.060000000001</v>
      </c>
      <c r="GP18" s="141"/>
      <c r="GQ18" s="141"/>
      <c r="GR18" s="33"/>
      <c r="GS18" s="2667"/>
      <c r="GT18" s="1739">
        <v>0</v>
      </c>
      <c r="GU18" s="1721">
        <v>0</v>
      </c>
      <c r="GV18" s="1721">
        <v>6078.2100000000009</v>
      </c>
      <c r="GW18" s="1721">
        <v>7537.8499999999995</v>
      </c>
      <c r="GX18" s="54">
        <f t="shared" si="135"/>
        <v>13616.060000000001</v>
      </c>
      <c r="GY18" s="2667"/>
      <c r="GZ18" s="35">
        <v>0</v>
      </c>
      <c r="HA18" s="36"/>
      <c r="HB18" s="27"/>
      <c r="HC18" s="27"/>
      <c r="HD18" s="27"/>
      <c r="HE18" s="27"/>
      <c r="HF18" s="24">
        <v>0</v>
      </c>
      <c r="HG18" s="27"/>
      <c r="HH18" s="24">
        <v>1472.31</v>
      </c>
      <c r="HI18" s="27"/>
      <c r="HJ18" s="24">
        <v>719.71</v>
      </c>
      <c r="HK18" s="27"/>
      <c r="HL18" s="24">
        <v>0</v>
      </c>
      <c r="HM18" s="27"/>
      <c r="HN18" s="28">
        <f t="shared" ref="HN18:HN42" si="148">SUM(GZ18:HM18)</f>
        <v>2192.02</v>
      </c>
      <c r="HO18" s="36"/>
      <c r="HP18" s="27"/>
      <c r="HQ18" s="27"/>
      <c r="HR18" s="27"/>
      <c r="HS18" s="27"/>
      <c r="HT18" s="27"/>
      <c r="HU18" s="27">
        <f t="array" ref="HU18">SUMPRODUCT(('Data Base hauling'!$C$2:$C$2000="TCM-ROM SB1 BK05-ROM 4")*(ISNUMBER(SEARCH(TEXT('August TCM'!$B18,"00")&amp;"/03/2026",'Data Base hauling'!$E$2:$E$2000)))*'Data Base hauling'!$N$2:$N$2000)</f>
        <v>0</v>
      </c>
      <c r="HV18" s="27"/>
      <c r="HW18" s="27">
        <f t="array" ref="HW18">SUMPRODUCT(('Data Base hauling'!$C$2:$C$2000="TCM-ROM SB1 BK05-ROM 5")*(ISNUMBER(SEARCH(TEXT('August TCM'!$B18,"00")&amp;"/03/2026",'Data Base hauling'!$E$2:$E$2000)))*'Data Base hauling'!$N$2:$N$2000)</f>
        <v>0</v>
      </c>
      <c r="HX18" s="27"/>
      <c r="HY18" s="27"/>
      <c r="HZ18" s="27"/>
      <c r="IA18" s="27"/>
      <c r="IB18" s="27"/>
      <c r="IC18" s="33">
        <f t="shared" si="58"/>
        <v>0</v>
      </c>
      <c r="ID18" s="52"/>
      <c r="IE18" s="152"/>
      <c r="IF18" s="53"/>
      <c r="IG18" s="53"/>
      <c r="IH18" s="53"/>
      <c r="II18" s="53"/>
      <c r="IJ18" s="1926">
        <v>1341.1499999999999</v>
      </c>
      <c r="IK18" s="1736"/>
      <c r="IL18" s="1926">
        <v>0</v>
      </c>
      <c r="IM18" s="53"/>
      <c r="IN18" s="49">
        <v>3588.78</v>
      </c>
      <c r="IO18" s="53"/>
      <c r="IP18" s="53"/>
      <c r="IQ18" s="49">
        <v>0</v>
      </c>
      <c r="IR18" s="2195">
        <f t="shared" ref="IR18:IR40" si="149">SUM(ID18:IQ18)</f>
        <v>4929.93</v>
      </c>
      <c r="IS18" s="36"/>
      <c r="IT18" s="36"/>
      <c r="IU18" s="27"/>
      <c r="IV18" s="27"/>
      <c r="IW18" s="53"/>
      <c r="IX18" s="27"/>
      <c r="IY18" s="24">
        <v>0</v>
      </c>
      <c r="IZ18" s="27"/>
      <c r="JA18" s="24">
        <v>4258.93</v>
      </c>
      <c r="JB18" s="27"/>
      <c r="JC18" s="24">
        <v>2235.1800000000003</v>
      </c>
      <c r="JD18" s="27"/>
      <c r="JE18" s="27"/>
      <c r="JF18" s="27"/>
      <c r="JG18" s="33">
        <f t="shared" ref="JG18:JG40" si="150">SUM(IS18:JF18)</f>
        <v>6494.1100000000006</v>
      </c>
      <c r="JH18" s="2667"/>
      <c r="JJ18" s="2014">
        <v>6762.95</v>
      </c>
      <c r="JK18" s="2015">
        <v>6853.11</v>
      </c>
      <c r="JL18" s="53"/>
      <c r="JM18" s="1736">
        <f t="shared" si="61"/>
        <v>13616.06</v>
      </c>
      <c r="JN18" s="33"/>
      <c r="JO18" s="2669"/>
      <c r="JP18" s="66">
        <v>0</v>
      </c>
      <c r="JQ18" s="67">
        <v>0</v>
      </c>
      <c r="JR18" s="67">
        <v>0</v>
      </c>
      <c r="JS18" s="67">
        <v>0</v>
      </c>
      <c r="JT18" s="67">
        <v>0.77052617570734661</v>
      </c>
      <c r="JU18" s="67">
        <v>0.22947382429265337</v>
      </c>
      <c r="JV18" s="67">
        <v>0</v>
      </c>
      <c r="JW18" s="1921">
        <v>0</v>
      </c>
      <c r="JX18" s="66">
        <v>0</v>
      </c>
      <c r="JY18" s="67">
        <v>0</v>
      </c>
      <c r="JZ18" s="67">
        <v>0</v>
      </c>
      <c r="KA18" s="67">
        <v>0.19569947075123556</v>
      </c>
      <c r="KB18" s="67">
        <v>7.5908602079931609E-2</v>
      </c>
      <c r="KC18" s="67">
        <v>0.72839192716883283</v>
      </c>
      <c r="KD18" s="67">
        <v>0</v>
      </c>
      <c r="KE18" s="68">
        <v>0</v>
      </c>
      <c r="KF18" s="69"/>
      <c r="KG18" s="70"/>
      <c r="KH18" s="70"/>
      <c r="KI18" s="70"/>
      <c r="KJ18" s="70"/>
      <c r="KK18" s="70"/>
      <c r="KL18" s="70"/>
      <c r="KM18" s="70"/>
      <c r="KN18" s="33"/>
      <c r="KO18" s="2669"/>
      <c r="KP18" s="2203">
        <v>6953.5111956680812</v>
      </c>
      <c r="KQ18" s="1721">
        <v>0.62830089272647438</v>
      </c>
      <c r="KR18" s="1721">
        <v>4.0553358700424411</v>
      </c>
      <c r="KS18" s="1721">
        <v>5.9924147519391191</v>
      </c>
      <c r="KT18" s="1722">
        <v>9.347779891702034</v>
      </c>
      <c r="KU18" s="1958">
        <v>7192.1545189504377</v>
      </c>
      <c r="KV18" s="1961">
        <v>1.4835276967930029</v>
      </c>
      <c r="KW18" s="1961">
        <v>4.0644023323615155</v>
      </c>
      <c r="KX18" s="1961">
        <v>5.5883381924198252</v>
      </c>
      <c r="KY18" s="1962">
        <v>10.311428571428573</v>
      </c>
      <c r="KZ18" s="36"/>
      <c r="LA18" s="53"/>
      <c r="LB18" s="53"/>
      <c r="LC18" s="53"/>
      <c r="LD18" s="53"/>
      <c r="LE18" s="33"/>
      <c r="LF18" s="2669"/>
      <c r="LH18" s="26">
        <f t="shared" si="62"/>
        <v>0</v>
      </c>
      <c r="LI18" s="27">
        <f t="shared" si="62"/>
        <v>0</v>
      </c>
      <c r="LJ18" s="27">
        <f t="shared" si="62"/>
        <v>0</v>
      </c>
      <c r="LK18" s="28">
        <f t="shared" si="63"/>
        <v>0</v>
      </c>
      <c r="LL18" s="36"/>
      <c r="LM18" s="27"/>
      <c r="LN18" s="27"/>
      <c r="LO18" s="33"/>
      <c r="LP18" s="1957">
        <v>0.83</v>
      </c>
      <c r="LQ18" s="486"/>
      <c r="LR18" s="2688"/>
      <c r="LS18" s="21"/>
      <c r="LT18" s="27"/>
      <c r="LU18" s="27"/>
      <c r="LV18" s="27"/>
      <c r="LW18" s="27"/>
      <c r="LX18" s="1117">
        <f t="shared" si="64"/>
        <v>0</v>
      </c>
      <c r="LY18" s="36"/>
      <c r="LZ18" s="36"/>
      <c r="MA18" s="27"/>
      <c r="MB18" s="27"/>
      <c r="MC18" s="33"/>
      <c r="MD18" s="28">
        <f t="shared" si="65"/>
        <v>0</v>
      </c>
      <c r="ME18" s="26"/>
      <c r="MF18" s="36"/>
      <c r="MG18" s="27"/>
      <c r="MH18" s="27"/>
      <c r="MI18" s="27"/>
      <c r="MJ18" s="28"/>
      <c r="MK18" s="36"/>
      <c r="ML18" s="36"/>
      <c r="MM18" s="27"/>
      <c r="MN18" s="27"/>
      <c r="MO18" s="27"/>
      <c r="MP18" s="28"/>
      <c r="MQ18" s="36"/>
      <c r="MR18" s="36"/>
      <c r="MS18" s="27"/>
      <c r="MT18" s="27"/>
      <c r="MU18" s="27"/>
      <c r="MV18" s="33">
        <f t="shared" si="66"/>
        <v>0</v>
      </c>
      <c r="MW18" s="2688"/>
      <c r="MY18" s="26">
        <f t="shared" si="67"/>
        <v>202585.47691943514</v>
      </c>
      <c r="MZ18" s="27">
        <f t="shared" si="68"/>
        <v>267185.45630375831</v>
      </c>
      <c r="NA18" s="27">
        <f t="shared" si="69"/>
        <v>24399.525697817415</v>
      </c>
      <c r="NB18" s="28">
        <f t="shared" si="70"/>
        <v>331747.21795580431</v>
      </c>
      <c r="NC18" s="2621"/>
      <c r="ND18" s="23">
        <f t="shared" si="71"/>
        <v>94813.376200678293</v>
      </c>
      <c r="NE18" s="1655">
        <f t="shared" si="72"/>
        <v>107772.10071875685</v>
      </c>
      <c r="NF18" s="60">
        <f t="shared" si="73"/>
        <v>0</v>
      </c>
      <c r="NG18" s="1110">
        <f t="shared" si="4"/>
        <v>202585.47691943514</v>
      </c>
      <c r="NH18" s="26">
        <f t="shared" si="74"/>
        <v>0</v>
      </c>
      <c r="NI18" s="27">
        <f t="shared" si="74"/>
        <v>0</v>
      </c>
      <c r="NJ18" s="27">
        <f t="shared" si="74"/>
        <v>0</v>
      </c>
      <c r="NK18" s="27">
        <f t="shared" si="74"/>
        <v>0</v>
      </c>
      <c r="NL18" s="27">
        <f t="shared" si="74"/>
        <v>0</v>
      </c>
      <c r="NM18" s="33">
        <f t="shared" si="74"/>
        <v>0</v>
      </c>
      <c r="NN18" s="27">
        <f t="shared" si="74"/>
        <v>0</v>
      </c>
      <c r="NO18" s="36">
        <f t="shared" si="74"/>
        <v>0</v>
      </c>
      <c r="NP18" s="24">
        <f t="shared" si="74"/>
        <v>23892.510605424239</v>
      </c>
      <c r="NQ18" s="27">
        <f t="shared" si="74"/>
        <v>24023.830351777149</v>
      </c>
      <c r="NR18" s="24">
        <f t="shared" si="136"/>
        <v>8756.5482322711578</v>
      </c>
      <c r="NS18" s="24">
        <f t="shared" si="137"/>
        <v>12400.983566410112</v>
      </c>
      <c r="NT18" s="27">
        <f t="shared" si="0"/>
        <v>69073.872755882665</v>
      </c>
      <c r="NU18" s="27">
        <f t="shared" si="75"/>
        <v>0</v>
      </c>
      <c r="NV18" s="27">
        <f t="shared" si="76"/>
        <v>0</v>
      </c>
      <c r="NW18" s="27">
        <f t="shared" si="77"/>
        <v>0</v>
      </c>
      <c r="NX18" s="27">
        <f t="shared" si="78"/>
        <v>0</v>
      </c>
      <c r="NY18" s="27">
        <f t="shared" si="79"/>
        <v>0</v>
      </c>
      <c r="NZ18" s="27">
        <f t="shared" si="80"/>
        <v>0</v>
      </c>
      <c r="OA18" s="27">
        <f t="shared" si="81"/>
        <v>25383.094489662846</v>
      </c>
      <c r="OB18" s="27">
        <f t="shared" si="82"/>
        <v>0</v>
      </c>
      <c r="OC18" s="27">
        <f t="shared" si="83"/>
        <v>74985.019485704179</v>
      </c>
      <c r="OD18" s="280"/>
      <c r="OE18" s="27">
        <f t="shared" si="138"/>
        <v>5120.920000000001</v>
      </c>
      <c r="OF18" s="27">
        <f t="shared" si="84"/>
        <v>0</v>
      </c>
      <c r="OG18" s="28">
        <f t="shared" si="1"/>
        <v>105489.03397536703</v>
      </c>
      <c r="OH18" s="27">
        <f t="shared" si="144"/>
        <v>0</v>
      </c>
      <c r="OI18" s="27">
        <f t="shared" si="144"/>
        <v>0</v>
      </c>
      <c r="OJ18" s="27">
        <f t="shared" si="144"/>
        <v>0</v>
      </c>
      <c r="OK18" s="27">
        <f t="shared" si="144"/>
        <v>0</v>
      </c>
      <c r="OL18" s="27">
        <f t="shared" si="144"/>
        <v>0</v>
      </c>
      <c r="OM18" s="27">
        <f t="shared" si="144"/>
        <v>0</v>
      </c>
      <c r="ON18" s="24">
        <f t="shared" si="147"/>
        <v>0</v>
      </c>
      <c r="OO18" s="27">
        <f t="shared" si="145"/>
        <v>0</v>
      </c>
      <c r="OP18" s="24">
        <f t="shared" si="86"/>
        <v>76379.332313713763</v>
      </c>
      <c r="OQ18" s="27">
        <f t="shared" si="87"/>
        <v>0</v>
      </c>
      <c r="OR18" s="24">
        <f t="shared" si="88"/>
        <v>16243.217258794844</v>
      </c>
      <c r="OS18" s="27">
        <f t="shared" si="89"/>
        <v>0</v>
      </c>
      <c r="OT18" s="28">
        <f t="shared" si="2"/>
        <v>92622.549572508608</v>
      </c>
      <c r="OU18" s="36"/>
      <c r="OV18" s="27"/>
      <c r="OW18" s="27"/>
      <c r="OX18" s="27"/>
      <c r="OY18" s="27"/>
      <c r="OZ18" s="27"/>
      <c r="PA18" s="28">
        <f t="shared" si="90"/>
        <v>0</v>
      </c>
      <c r="PB18" s="36">
        <f t="shared" si="91"/>
        <v>0</v>
      </c>
      <c r="PC18" s="27">
        <f t="shared" si="92"/>
        <v>0</v>
      </c>
      <c r="PD18" s="27">
        <f t="shared" si="93"/>
        <v>0</v>
      </c>
      <c r="PE18" s="27">
        <f t="shared" si="94"/>
        <v>0</v>
      </c>
      <c r="PF18" s="24"/>
      <c r="PG18" s="27">
        <f t="shared" si="95"/>
        <v>0</v>
      </c>
      <c r="PH18" s="33">
        <f t="shared" si="3"/>
        <v>0</v>
      </c>
      <c r="PI18" s="2621"/>
      <c r="PK18" s="1907">
        <v>1280.4000000000001</v>
      </c>
      <c r="PL18" s="1101">
        <v>376.00000000000011</v>
      </c>
      <c r="PM18" s="1101">
        <v>112.80000000000003</v>
      </c>
      <c r="PN18" s="3">
        <f t="shared" si="96"/>
        <v>0</v>
      </c>
      <c r="PO18" s="3">
        <f t="shared" si="97"/>
        <v>32166.269204532866</v>
      </c>
      <c r="PP18" s="11">
        <f t="shared" si="98"/>
        <v>24399.525697817415</v>
      </c>
      <c r="PQ18" s="15"/>
      <c r="PR18" s="2615"/>
      <c r="PT18" s="4"/>
      <c r="PU18" s="9"/>
      <c r="PV18" s="9"/>
      <c r="PW18" s="9"/>
      <c r="PX18" s="2531">
        <v>529.78</v>
      </c>
      <c r="PY18" s="9"/>
      <c r="PZ18" s="8">
        <f t="shared" si="99"/>
        <v>529.78</v>
      </c>
      <c r="QA18" s="5">
        <f t="shared" si="100"/>
        <v>1280.4000000000001</v>
      </c>
      <c r="QB18" s="5"/>
      <c r="QC18" s="5"/>
      <c r="QD18" s="5"/>
      <c r="QE18" s="5"/>
      <c r="QF18" s="5"/>
      <c r="QG18" s="12"/>
      <c r="QH18" s="12">
        <f t="shared" si="101"/>
        <v>29562.488999999998</v>
      </c>
      <c r="QI18" s="420">
        <f t="shared" si="102"/>
        <v>298464.44007140433</v>
      </c>
      <c r="QJ18" s="1106">
        <f t="shared" si="139"/>
        <v>3720.2888844000004</v>
      </c>
      <c r="QK18" s="484">
        <f t="shared" si="103"/>
        <v>5505.3678056099998</v>
      </c>
      <c r="QL18" s="12"/>
      <c r="QM18" s="2615"/>
      <c r="QO18" s="139">
        <f t="shared" si="104"/>
        <v>0</v>
      </c>
      <c r="QP18" s="139" t="str">
        <f t="shared" si="105"/>
        <v/>
      </c>
      <c r="QR18" s="139">
        <f t="shared" si="106"/>
        <v>0</v>
      </c>
      <c r="QS18" s="139">
        <f t="shared" si="107"/>
        <v>0</v>
      </c>
      <c r="QU18" s="1">
        <f t="shared" si="108"/>
        <v>0</v>
      </c>
      <c r="QV18" s="1">
        <f t="shared" si="109"/>
        <v>0</v>
      </c>
      <c r="QW18" s="1">
        <f t="shared" si="110"/>
        <v>0</v>
      </c>
      <c r="QX18" s="1">
        <f t="shared" si="111"/>
        <v>0</v>
      </c>
      <c r="QY18" s="1">
        <f t="shared" si="112"/>
        <v>0</v>
      </c>
      <c r="QZ18" s="1">
        <f t="shared" si="113"/>
        <v>0</v>
      </c>
      <c r="RB18" s="1">
        <f t="shared" si="114"/>
        <v>0</v>
      </c>
      <c r="RC18" s="1">
        <f t="shared" si="115"/>
        <v>0</v>
      </c>
      <c r="RD18" s="1">
        <f t="shared" si="116"/>
        <v>0</v>
      </c>
      <c r="RE18" s="1">
        <f t="shared" si="117"/>
        <v>0</v>
      </c>
      <c r="RF18" s="1">
        <f t="shared" si="118"/>
        <v>0</v>
      </c>
      <c r="RG18" s="1">
        <f t="shared" si="119"/>
        <v>0</v>
      </c>
      <c r="RJ18" s="1">
        <v>9</v>
      </c>
      <c r="RK18" s="421">
        <v>5984.4452097170979</v>
      </c>
      <c r="RL18" s="421">
        <v>5074.1017804837184</v>
      </c>
      <c r="RM18" s="421">
        <v>13404.263703387322</v>
      </c>
      <c r="RN18" s="490">
        <f t="shared" si="5"/>
        <v>24462.810693588137</v>
      </c>
      <c r="RO18" s="1033">
        <v>9</v>
      </c>
      <c r="RP18" s="1098">
        <v>0</v>
      </c>
      <c r="RQ18" s="1098">
        <f t="shared" si="121"/>
        <v>529.78</v>
      </c>
      <c r="RR18" s="1097">
        <f t="shared" si="121"/>
        <v>0</v>
      </c>
      <c r="RS18" s="1097">
        <f t="shared" si="122"/>
        <v>8786.94</v>
      </c>
      <c r="RT18" s="1046"/>
      <c r="RU18" s="1928">
        <v>2608091538</v>
      </c>
      <c r="RX18" s="421">
        <v>9</v>
      </c>
      <c r="RY18" s="1095">
        <f t="shared" si="123"/>
        <v>13616.060000000001</v>
      </c>
      <c r="RZ18" s="2420">
        <v>2608093505</v>
      </c>
      <c r="SB18" s="1090"/>
      <c r="SC18" s="1090">
        <f t="shared" si="124"/>
        <v>-529.78000000000065</v>
      </c>
      <c r="SD18" s="1090"/>
      <c r="SE18" s="1090">
        <f>JM18-RY18</f>
        <v>0</v>
      </c>
      <c r="SG18" s="1">
        <v>9</v>
      </c>
      <c r="SH18" s="1">
        <f t="shared" si="126"/>
        <v>0</v>
      </c>
      <c r="SI18" s="1094"/>
    </row>
    <row r="19" spans="1:503" s="1" customFormat="1" ht="15" customHeight="1">
      <c r="B19" s="471">
        <v>10</v>
      </c>
      <c r="C19" s="4">
        <f t="shared" si="127"/>
        <v>159879.4</v>
      </c>
      <c r="D19" s="1590">
        <f t="shared" si="146"/>
        <v>10910.5</v>
      </c>
      <c r="E19" s="1895">
        <f t="shared" si="6"/>
        <v>14.653718894642775</v>
      </c>
      <c r="F19" s="870"/>
      <c r="G19" s="870"/>
      <c r="H19" s="52"/>
      <c r="I19" s="61"/>
      <c r="J19" s="52"/>
      <c r="K19" s="54"/>
      <c r="L19" s="52"/>
      <c r="M19" s="61"/>
      <c r="N19" s="2629"/>
      <c r="O19" s="4">
        <f t="shared" si="142"/>
        <v>93030</v>
      </c>
      <c r="P19" s="1225">
        <f t="shared" si="7"/>
        <v>7392.64</v>
      </c>
      <c r="Q19" s="1952">
        <f t="shared" si="8"/>
        <v>12.584137736992467</v>
      </c>
      <c r="R19" s="33"/>
      <c r="S19" s="26">
        <f t="shared" si="9"/>
        <v>30032.400000000001</v>
      </c>
      <c r="T19" s="27">
        <f t="shared" si="129"/>
        <v>958.9</v>
      </c>
      <c r="U19" s="1909">
        <f t="shared" si="10"/>
        <v>31.319637084158934</v>
      </c>
      <c r="V19" s="15"/>
      <c r="W19" s="1742">
        <f t="shared" si="11"/>
        <v>30633</v>
      </c>
      <c r="X19" s="1918">
        <f t="shared" si="11"/>
        <v>1676</v>
      </c>
      <c r="Y19" s="1909">
        <f t="shared" si="12"/>
        <v>18.27744630071599</v>
      </c>
      <c r="Z19" s="33"/>
      <c r="AA19" s="26">
        <f t="shared" si="13"/>
        <v>6184</v>
      </c>
      <c r="AB19" s="27">
        <f t="shared" si="14"/>
        <v>882.96</v>
      </c>
      <c r="AC19" s="1909">
        <f t="shared" si="15"/>
        <v>7.0037147775663673</v>
      </c>
      <c r="AD19" s="28"/>
      <c r="AE19" s="36"/>
      <c r="AF19" s="36"/>
      <c r="AG19" s="53">
        <f t="shared" si="16"/>
        <v>0</v>
      </c>
      <c r="AH19" s="28"/>
      <c r="AI19" s="26"/>
      <c r="AJ19" s="27"/>
      <c r="AK19" s="53">
        <f t="shared" si="17"/>
        <v>0</v>
      </c>
      <c r="AL19" s="28"/>
      <c r="AM19" s="2629"/>
      <c r="AN19" s="9"/>
      <c r="AO19" s="5"/>
      <c r="AP19" s="61">
        <f t="shared" si="18"/>
        <v>0</v>
      </c>
      <c r="AQ19" s="36"/>
      <c r="AR19" s="53"/>
      <c r="AS19" s="61">
        <f t="shared" si="19"/>
        <v>0</v>
      </c>
      <c r="AT19" s="36">
        <v>0</v>
      </c>
      <c r="AU19" s="27"/>
      <c r="AV19" s="54">
        <f t="shared" si="20"/>
        <v>0</v>
      </c>
      <c r="AW19" s="26">
        <v>49518</v>
      </c>
      <c r="AX19" s="24">
        <v>5654.52</v>
      </c>
      <c r="AY19" s="1735">
        <f t="shared" si="140"/>
        <v>8.7572419940154056</v>
      </c>
      <c r="AZ19" s="36"/>
      <c r="BA19" s="27"/>
      <c r="BB19" s="61">
        <f t="shared" si="21"/>
        <v>0</v>
      </c>
      <c r="BC19" s="1740">
        <v>43512</v>
      </c>
      <c r="BD19" s="1926">
        <v>1738.12</v>
      </c>
      <c r="BE19" s="1735">
        <f t="shared" si="22"/>
        <v>25.033944721883415</v>
      </c>
      <c r="BF19" s="36"/>
      <c r="BG19" s="53"/>
      <c r="BH19" s="61">
        <f t="shared" si="23"/>
        <v>0</v>
      </c>
      <c r="BI19" s="36">
        <v>0</v>
      </c>
      <c r="BJ19" s="53">
        <v>0</v>
      </c>
      <c r="BK19" s="61">
        <f t="shared" si="24"/>
        <v>0</v>
      </c>
      <c r="BL19" s="1742">
        <v>30032.400000000001</v>
      </c>
      <c r="BM19" s="1736">
        <v>958.9</v>
      </c>
      <c r="BN19" s="2170"/>
      <c r="BO19" s="1920">
        <f t="shared" si="25"/>
        <v>31.319637084158934</v>
      </c>
      <c r="BP19" s="9">
        <v>6184</v>
      </c>
      <c r="BQ19" s="53">
        <v>882.96</v>
      </c>
      <c r="BR19" s="1920">
        <f t="shared" si="26"/>
        <v>7.0037147775663673</v>
      </c>
      <c r="BS19" s="9"/>
      <c r="BT19" s="53"/>
      <c r="BU19" s="482">
        <f t="shared" si="27"/>
        <v>0</v>
      </c>
      <c r="BV19" s="9">
        <v>30633</v>
      </c>
      <c r="BW19" s="27">
        <f t="shared" si="130"/>
        <v>1676</v>
      </c>
      <c r="BX19" s="1051">
        <f t="shared" si="28"/>
        <v>18.27744630071599</v>
      </c>
      <c r="BY19" s="26"/>
      <c r="BZ19" s="27"/>
      <c r="CA19" s="482">
        <f t="shared" si="29"/>
        <v>0</v>
      </c>
      <c r="CB19" s="9"/>
      <c r="CC19" s="481"/>
      <c r="CD19" s="482">
        <f t="shared" si="30"/>
        <v>0</v>
      </c>
      <c r="CE19" s="4"/>
      <c r="CF19" s="5"/>
      <c r="CG19" s="28">
        <f t="shared" si="31"/>
        <v>0</v>
      </c>
      <c r="CH19" s="150"/>
      <c r="CI19" s="4"/>
      <c r="CJ19" s="5">
        <v>864</v>
      </c>
      <c r="CK19" s="5">
        <v>5996</v>
      </c>
      <c r="CL19" s="5"/>
      <c r="CM19" s="5"/>
      <c r="CN19" s="3">
        <f t="shared" si="131"/>
        <v>6860</v>
      </c>
      <c r="CO19" s="5"/>
      <c r="CP19" s="5"/>
      <c r="CR19" s="4">
        <f t="shared" si="32"/>
        <v>0</v>
      </c>
      <c r="CS19" s="9">
        <f t="shared" si="33"/>
        <v>0</v>
      </c>
      <c r="CT19" s="5">
        <f t="shared" si="34"/>
        <v>0</v>
      </c>
      <c r="CU19" s="5">
        <f t="shared" si="35"/>
        <v>0</v>
      </c>
      <c r="CV19" s="5">
        <f t="shared" si="36"/>
        <v>0</v>
      </c>
      <c r="CW19" s="5">
        <f t="shared" si="37"/>
        <v>0</v>
      </c>
      <c r="CX19" s="5">
        <f t="shared" si="38"/>
        <v>2021.98</v>
      </c>
      <c r="CY19" s="5">
        <f t="shared" si="39"/>
        <v>0</v>
      </c>
      <c r="CZ19" s="5">
        <f t="shared" si="40"/>
        <v>5195.5600000000004</v>
      </c>
      <c r="DA19" s="5">
        <f t="shared" si="41"/>
        <v>0</v>
      </c>
      <c r="DB19" s="5">
        <f t="shared" si="42"/>
        <v>3277.1600000000003</v>
      </c>
      <c r="DC19" s="12">
        <f t="shared" si="43"/>
        <v>0</v>
      </c>
      <c r="DD19" s="310">
        <f t="shared" si="44"/>
        <v>10494.7</v>
      </c>
      <c r="DE19" s="2695"/>
      <c r="DF19" s="8"/>
      <c r="DG19" s="9"/>
      <c r="DH19" s="5"/>
      <c r="DI19" s="5"/>
      <c r="DJ19" s="5"/>
      <c r="DK19" s="5"/>
      <c r="DL19" s="3">
        <v>2021.98</v>
      </c>
      <c r="DM19" s="5"/>
      <c r="DN19" s="3">
        <v>0</v>
      </c>
      <c r="DO19" s="5"/>
      <c r="DP19" s="3">
        <v>3216.7400000000002</v>
      </c>
      <c r="DQ19" s="11">
        <v>415.79999999999995</v>
      </c>
      <c r="DR19" s="12"/>
      <c r="DS19" s="1906">
        <f t="shared" si="45"/>
        <v>5654.52</v>
      </c>
      <c r="DT19" s="36"/>
      <c r="DU19" s="36"/>
      <c r="DV19" s="27"/>
      <c r="DW19" s="27"/>
      <c r="DX19" s="5"/>
      <c r="DY19" s="5"/>
      <c r="DZ19" s="5"/>
      <c r="EA19" s="5"/>
      <c r="EB19" s="3">
        <v>3519.5600000000004</v>
      </c>
      <c r="EC19" s="27"/>
      <c r="ED19" s="24">
        <v>60.42</v>
      </c>
      <c r="EE19" s="33"/>
      <c r="EF19" s="28">
        <f t="shared" si="46"/>
        <v>3579.9800000000005</v>
      </c>
      <c r="EG19" s="9"/>
      <c r="EH19" s="36"/>
      <c r="EI19" s="5"/>
      <c r="EJ19" s="313"/>
      <c r="EK19" s="27"/>
      <c r="EL19" s="27"/>
      <c r="EM19" s="27"/>
      <c r="EN19" s="27"/>
      <c r="EO19" s="5">
        <v>1676</v>
      </c>
      <c r="EP19" s="5"/>
      <c r="EQ19" s="5">
        <v>0</v>
      </c>
      <c r="ER19" s="33"/>
      <c r="ES19" s="28">
        <f t="shared" si="143"/>
        <v>1676</v>
      </c>
      <c r="ET19" s="36"/>
      <c r="EU19" s="27"/>
      <c r="EV19" s="27"/>
      <c r="EW19" s="27"/>
      <c r="EX19" s="27"/>
      <c r="EY19" s="27"/>
      <c r="EZ19" s="33">
        <f t="shared" si="48"/>
        <v>0</v>
      </c>
      <c r="FA19" s="2685"/>
      <c r="FC19" s="4">
        <f t="shared" si="49"/>
        <v>0</v>
      </c>
      <c r="FD19" s="5">
        <f t="shared" si="50"/>
        <v>0</v>
      </c>
      <c r="FE19" s="5">
        <f t="shared" si="51"/>
        <v>0</v>
      </c>
      <c r="FF19" s="12">
        <f t="shared" si="52"/>
        <v>0</v>
      </c>
      <c r="FG19" s="33"/>
      <c r="FH19" s="2674"/>
      <c r="FI19" s="9"/>
      <c r="FJ19" s="5"/>
      <c r="FK19" s="5"/>
      <c r="FL19" s="5"/>
      <c r="FM19" s="5"/>
      <c r="FN19" s="27"/>
      <c r="FO19" s="28">
        <f t="shared" si="53"/>
        <v>0</v>
      </c>
      <c r="FP19" s="36"/>
      <c r="FQ19" s="27"/>
      <c r="FR19" s="27"/>
      <c r="FS19" s="27"/>
      <c r="FT19" s="27"/>
      <c r="FU19" s="27"/>
      <c r="FV19" s="28">
        <f t="shared" si="54"/>
        <v>0</v>
      </c>
      <c r="FW19" s="36"/>
      <c r="FX19" s="36"/>
      <c r="FY19" s="27"/>
      <c r="FZ19" s="27"/>
      <c r="GA19" s="27"/>
      <c r="GB19" s="27"/>
      <c r="GC19" s="27"/>
      <c r="GD19" s="27"/>
      <c r="GE19" s="24">
        <v>0</v>
      </c>
      <c r="GF19" s="27"/>
      <c r="GG19" s="27"/>
      <c r="GH19" s="33"/>
      <c r="GI19" s="33">
        <f t="shared" si="55"/>
        <v>0</v>
      </c>
      <c r="GJ19" s="2674"/>
      <c r="GL19" s="2">
        <f t="shared" si="132"/>
        <v>1532.23</v>
      </c>
      <c r="GM19" s="63">
        <f t="shared" si="133"/>
        <v>2393.3700000000003</v>
      </c>
      <c r="GN19" s="24">
        <f t="shared" si="134"/>
        <v>5091.12</v>
      </c>
      <c r="GO19" s="1736">
        <f t="shared" si="56"/>
        <v>9016.7200000000012</v>
      </c>
      <c r="GP19" s="141"/>
      <c r="GQ19" s="141"/>
      <c r="GR19" s="33"/>
      <c r="GS19" s="2667"/>
      <c r="GT19" s="1739">
        <v>0</v>
      </c>
      <c r="GU19" s="1721">
        <v>729.38</v>
      </c>
      <c r="GV19" s="1721">
        <v>0</v>
      </c>
      <c r="GW19" s="1721">
        <v>8287.34</v>
      </c>
      <c r="GX19" s="54">
        <f t="shared" si="135"/>
        <v>9016.7199999999993</v>
      </c>
      <c r="GY19" s="2667"/>
      <c r="GZ19" s="35">
        <v>0</v>
      </c>
      <c r="HA19" s="36"/>
      <c r="HB19" s="27"/>
      <c r="HC19" s="27"/>
      <c r="HD19" s="27"/>
      <c r="HE19" s="27"/>
      <c r="HF19" s="24">
        <v>0</v>
      </c>
      <c r="HG19" s="27"/>
      <c r="HH19" s="24">
        <v>802.85</v>
      </c>
      <c r="HI19" s="27"/>
      <c r="HJ19" s="24">
        <v>0</v>
      </c>
      <c r="HK19" s="27"/>
      <c r="HL19" s="24">
        <v>729.38</v>
      </c>
      <c r="HM19" s="27"/>
      <c r="HN19" s="28">
        <f t="shared" si="148"/>
        <v>1532.23</v>
      </c>
      <c r="HO19" s="36"/>
      <c r="HP19" s="27"/>
      <c r="HQ19" s="27"/>
      <c r="HR19" s="27"/>
      <c r="HS19" s="27"/>
      <c r="HT19" s="27"/>
      <c r="HU19" s="27">
        <f t="array" ref="HU19">SUMPRODUCT(('Data Base hauling'!$C$2:$C$2000="TCM-ROM SB1 BK05-ROM 4")*(ISNUMBER(SEARCH(TEXT('August TCM'!$B19,"00")&amp;"/03/2026",'Data Base hauling'!$E$2:$E$2000)))*'Data Base hauling'!$N$2:$N$2000)</f>
        <v>0</v>
      </c>
      <c r="HV19" s="27"/>
      <c r="HW19" s="27">
        <f t="array" ref="HW19">SUMPRODUCT(('Data Base hauling'!$C$2:$C$2000="TCM-ROM SB1 BK05-ROM 5")*(ISNUMBER(SEARCH(TEXT('August TCM'!$B19,"00")&amp;"/03/2026",'Data Base hauling'!$E$2:$E$2000)))*'Data Base hauling'!$N$2:$N$2000)</f>
        <v>0</v>
      </c>
      <c r="HX19" s="27"/>
      <c r="HY19" s="27"/>
      <c r="HZ19" s="27"/>
      <c r="IA19" s="27"/>
      <c r="IB19" s="27"/>
      <c r="IC19" s="33">
        <f t="shared" si="58"/>
        <v>0</v>
      </c>
      <c r="ID19" s="52"/>
      <c r="IE19" s="152"/>
      <c r="IF19" s="53"/>
      <c r="IG19" s="53"/>
      <c r="IH19" s="53"/>
      <c r="II19" s="53"/>
      <c r="IJ19" s="1926">
        <v>0</v>
      </c>
      <c r="IK19" s="1736"/>
      <c r="IL19" s="1926">
        <v>0</v>
      </c>
      <c r="IM19" s="53"/>
      <c r="IN19" s="49">
        <v>2376.5700000000002</v>
      </c>
      <c r="IO19" s="53"/>
      <c r="IP19" s="53"/>
      <c r="IQ19" s="49">
        <v>16.8</v>
      </c>
      <c r="IR19" s="2195">
        <f t="shared" si="149"/>
        <v>2393.3700000000003</v>
      </c>
      <c r="IS19" s="36"/>
      <c r="IT19" s="36"/>
      <c r="IU19" s="27"/>
      <c r="IV19" s="27"/>
      <c r="IW19" s="53"/>
      <c r="IX19" s="27"/>
      <c r="IY19" s="24">
        <v>0</v>
      </c>
      <c r="IZ19" s="27"/>
      <c r="JA19" s="24">
        <v>5029.5199999999995</v>
      </c>
      <c r="JB19" s="27"/>
      <c r="JC19" s="24">
        <v>61.6</v>
      </c>
      <c r="JD19" s="27"/>
      <c r="JE19" s="27"/>
      <c r="JF19" s="27"/>
      <c r="JG19" s="33">
        <f t="shared" si="150"/>
        <v>5091.12</v>
      </c>
      <c r="JH19" s="2667"/>
      <c r="JJ19" s="2014">
        <v>9016.7199999999993</v>
      </c>
      <c r="JK19" s="2015">
        <v>0</v>
      </c>
      <c r="JL19" s="53"/>
      <c r="JM19" s="1736">
        <f t="shared" si="61"/>
        <v>9016.7199999999993</v>
      </c>
      <c r="JN19" s="33"/>
      <c r="JO19" s="2669"/>
      <c r="JP19" s="66">
        <v>0</v>
      </c>
      <c r="JQ19" s="67">
        <v>0</v>
      </c>
      <c r="JR19" s="67">
        <v>0</v>
      </c>
      <c r="JS19" s="67">
        <v>0</v>
      </c>
      <c r="JT19" s="67">
        <v>0.64683942719747323</v>
      </c>
      <c r="JU19" s="67">
        <v>0.27040542458898581</v>
      </c>
      <c r="JV19" s="67">
        <v>8.0891942968174688E-2</v>
      </c>
      <c r="JW19" s="1921">
        <v>0</v>
      </c>
      <c r="JX19" s="66" t="s">
        <v>296</v>
      </c>
      <c r="JY19" s="67" t="s">
        <v>296</v>
      </c>
      <c r="JZ19" s="67" t="s">
        <v>296</v>
      </c>
      <c r="KA19" s="67" t="s">
        <v>296</v>
      </c>
      <c r="KB19" s="67" t="s">
        <v>296</v>
      </c>
      <c r="KC19" s="67" t="s">
        <v>296</v>
      </c>
      <c r="KD19" s="67" t="s">
        <v>296</v>
      </c>
      <c r="KE19" s="68" t="s">
        <v>296</v>
      </c>
      <c r="KF19" s="69"/>
      <c r="KG19" s="70"/>
      <c r="KH19" s="70"/>
      <c r="KI19" s="70"/>
      <c r="KJ19" s="70"/>
      <c r="KK19" s="70"/>
      <c r="KL19" s="70"/>
      <c r="KM19" s="70"/>
      <c r="KN19" s="33"/>
      <c r="KO19" s="2669"/>
      <c r="KP19" s="2203">
        <v>6982.0562000372638</v>
      </c>
      <c r="KQ19" s="1721">
        <v>0.66090245676920212</v>
      </c>
      <c r="KR19" s="1721">
        <v>4.9893731645210231</v>
      </c>
      <c r="KS19" s="1721">
        <v>6.0632964093373207</v>
      </c>
      <c r="KT19" s="1722">
        <v>9.3627073703076054</v>
      </c>
      <c r="KU19" s="1958">
        <v>0</v>
      </c>
      <c r="KV19" s="1961">
        <v>0</v>
      </c>
      <c r="KW19" s="1961">
        <v>0</v>
      </c>
      <c r="KX19" s="1961">
        <v>0</v>
      </c>
      <c r="KY19" s="1962">
        <v>0</v>
      </c>
      <c r="KZ19" s="36"/>
      <c r="LA19" s="53"/>
      <c r="LB19" s="53"/>
      <c r="LC19" s="53"/>
      <c r="LD19" s="53"/>
      <c r="LE19" s="33"/>
      <c r="LF19" s="2669"/>
      <c r="LH19" s="26">
        <f t="shared" si="62"/>
        <v>0</v>
      </c>
      <c r="LI19" s="27">
        <f t="shared" si="62"/>
        <v>0</v>
      </c>
      <c r="LJ19" s="27">
        <f t="shared" si="62"/>
        <v>0</v>
      </c>
      <c r="LK19" s="28">
        <f t="shared" si="63"/>
        <v>0</v>
      </c>
      <c r="LL19" s="36"/>
      <c r="LM19" s="27"/>
      <c r="LN19" s="27"/>
      <c r="LO19" s="33"/>
      <c r="LP19" s="1957">
        <v>0</v>
      </c>
      <c r="LQ19" s="486"/>
      <c r="LR19" s="2688"/>
      <c r="LS19" s="36"/>
      <c r="LT19" s="36"/>
      <c r="LU19" s="27"/>
      <c r="LV19" s="27"/>
      <c r="LW19" s="27"/>
      <c r="LX19" s="1117">
        <f t="shared" si="64"/>
        <v>0</v>
      </c>
      <c r="LY19" s="36"/>
      <c r="LZ19" s="36"/>
      <c r="MA19" s="27"/>
      <c r="MB19" s="27"/>
      <c r="MC19" s="33"/>
      <c r="MD19" s="28">
        <f t="shared" si="65"/>
        <v>0</v>
      </c>
      <c r="ME19" s="26"/>
      <c r="MF19" s="36"/>
      <c r="MG19" s="27"/>
      <c r="MH19" s="27"/>
      <c r="MI19" s="27"/>
      <c r="MJ19" s="28"/>
      <c r="MK19" s="36"/>
      <c r="ML19" s="36"/>
      <c r="MM19" s="27"/>
      <c r="MN19" s="27"/>
      <c r="MO19" s="27"/>
      <c r="MP19" s="28"/>
      <c r="MQ19" s="36"/>
      <c r="MR19" s="36"/>
      <c r="MS19" s="27"/>
      <c r="MT19" s="27"/>
      <c r="MU19" s="27"/>
      <c r="MV19" s="33">
        <f t="shared" si="66"/>
        <v>0</v>
      </c>
      <c r="MW19" s="2688"/>
      <c r="MY19" s="26">
        <f t="shared" si="67"/>
        <v>207410.96841801808</v>
      </c>
      <c r="MZ19" s="27">
        <f t="shared" si="68"/>
        <v>269825.41630375828</v>
      </c>
      <c r="NA19" s="27">
        <f t="shared" si="69"/>
        <v>23670.145697817414</v>
      </c>
      <c r="NB19" s="28">
        <f t="shared" si="70"/>
        <v>331155.53795580432</v>
      </c>
      <c r="NC19" s="2621"/>
      <c r="ND19" s="23">
        <v>98911.387638066095</v>
      </c>
      <c r="NE19" s="1655">
        <v>108499.580779952</v>
      </c>
      <c r="NF19" s="60">
        <f t="shared" si="73"/>
        <v>0</v>
      </c>
      <c r="NG19" s="275">
        <f t="shared" si="4"/>
        <v>207410.96841801808</v>
      </c>
      <c r="NH19" s="26">
        <f t="shared" si="74"/>
        <v>0</v>
      </c>
      <c r="NI19" s="27">
        <f t="shared" si="74"/>
        <v>0</v>
      </c>
      <c r="NJ19" s="27">
        <f t="shared" si="74"/>
        <v>0</v>
      </c>
      <c r="NK19" s="27">
        <f t="shared" si="74"/>
        <v>0</v>
      </c>
      <c r="NL19" s="27">
        <f t="shared" si="74"/>
        <v>0</v>
      </c>
      <c r="NM19" s="33">
        <f t="shared" si="74"/>
        <v>0</v>
      </c>
      <c r="NN19" s="27">
        <f t="shared" si="74"/>
        <v>0</v>
      </c>
      <c r="NO19" s="36">
        <f t="shared" si="74"/>
        <v>0</v>
      </c>
      <c r="NP19" s="24">
        <f t="shared" si="74"/>
        <v>24765.66060542424</v>
      </c>
      <c r="NQ19" s="27">
        <f t="shared" si="74"/>
        <v>24023.830351777149</v>
      </c>
      <c r="NR19" s="24">
        <f t="shared" si="136"/>
        <v>8756.5482322711578</v>
      </c>
      <c r="NS19" s="24">
        <f t="shared" si="137"/>
        <v>12400.983566410112</v>
      </c>
      <c r="NT19" s="27">
        <f t="shared" si="0"/>
        <v>69947.022755882659</v>
      </c>
      <c r="NU19" s="27">
        <f t="shared" si="75"/>
        <v>0</v>
      </c>
      <c r="NV19" s="27">
        <f t="shared" si="76"/>
        <v>0</v>
      </c>
      <c r="NW19" s="27">
        <f t="shared" si="77"/>
        <v>0</v>
      </c>
      <c r="NX19" s="27">
        <f t="shared" si="78"/>
        <v>0</v>
      </c>
      <c r="NY19" s="27">
        <f t="shared" si="79"/>
        <v>0</v>
      </c>
      <c r="NZ19" s="27">
        <f t="shared" si="80"/>
        <v>0</v>
      </c>
      <c r="OA19" s="27">
        <f t="shared" si="81"/>
        <v>27405.074489662846</v>
      </c>
      <c r="OB19" s="27">
        <f t="shared" si="82"/>
        <v>0</v>
      </c>
      <c r="OC19" s="27">
        <f t="shared" si="83"/>
        <v>75825.189485704177</v>
      </c>
      <c r="OD19" s="280"/>
      <c r="OE19" s="27">
        <f t="shared" si="138"/>
        <v>5536.7200000000012</v>
      </c>
      <c r="OF19" s="27">
        <f t="shared" si="84"/>
        <v>0</v>
      </c>
      <c r="OG19" s="28">
        <f t="shared" si="1"/>
        <v>108766.98397536702</v>
      </c>
      <c r="OH19" s="27">
        <f t="shared" si="144"/>
        <v>0</v>
      </c>
      <c r="OI19" s="27">
        <f t="shared" si="144"/>
        <v>0</v>
      </c>
      <c r="OJ19" s="27">
        <f t="shared" si="144"/>
        <v>0</v>
      </c>
      <c r="OK19" s="27">
        <f t="shared" si="144"/>
        <v>0</v>
      </c>
      <c r="OL19" s="27">
        <f t="shared" si="144"/>
        <v>0</v>
      </c>
      <c r="OM19" s="27">
        <f t="shared" si="144"/>
        <v>0</v>
      </c>
      <c r="ON19" s="24">
        <f t="shared" si="147"/>
        <v>0</v>
      </c>
      <c r="OO19" s="27">
        <f t="shared" si="145"/>
        <v>0</v>
      </c>
      <c r="OP19" s="24">
        <f t="shared" si="86"/>
        <v>74869.372313713757</v>
      </c>
      <c r="OQ19" s="27">
        <f t="shared" si="87"/>
        <v>0</v>
      </c>
      <c r="OR19" s="24">
        <f t="shared" si="88"/>
        <v>16242.037258794844</v>
      </c>
      <c r="OS19" s="27">
        <f t="shared" si="89"/>
        <v>0</v>
      </c>
      <c r="OT19" s="28">
        <f t="shared" si="2"/>
        <v>91111.409572508594</v>
      </c>
      <c r="OU19" s="36"/>
      <c r="OV19" s="27"/>
      <c r="OW19" s="27"/>
      <c r="OX19" s="27"/>
      <c r="OY19" s="27"/>
      <c r="OZ19" s="27"/>
      <c r="PA19" s="28">
        <f t="shared" si="90"/>
        <v>0</v>
      </c>
      <c r="PB19" s="36">
        <f t="shared" si="91"/>
        <v>0</v>
      </c>
      <c r="PC19" s="27">
        <f t="shared" si="92"/>
        <v>0</v>
      </c>
      <c r="PD19" s="27">
        <f t="shared" si="93"/>
        <v>0</v>
      </c>
      <c r="PE19" s="27">
        <f t="shared" si="94"/>
        <v>0</v>
      </c>
      <c r="PF19" s="24"/>
      <c r="PG19" s="27">
        <f t="shared" si="95"/>
        <v>0</v>
      </c>
      <c r="PH19" s="33">
        <f t="shared" si="3"/>
        <v>0</v>
      </c>
      <c r="PI19" s="2621"/>
      <c r="PK19" s="1907">
        <v>574.88</v>
      </c>
      <c r="PL19" s="2298">
        <v>0</v>
      </c>
      <c r="PM19" s="2298">
        <v>0</v>
      </c>
      <c r="PN19" s="3">
        <f t="shared" si="96"/>
        <v>729.38</v>
      </c>
      <c r="PO19" s="3">
        <f t="shared" si="97"/>
        <v>32741.149204532867</v>
      </c>
      <c r="PP19" s="11">
        <f t="shared" si="98"/>
        <v>23670.145697817414</v>
      </c>
      <c r="PQ19" s="15"/>
      <c r="PR19" s="2615"/>
      <c r="PT19" s="4"/>
      <c r="PU19" s="9"/>
      <c r="PV19" s="9"/>
      <c r="PW19" s="9"/>
      <c r="PX19" s="2531">
        <v>0</v>
      </c>
      <c r="PY19" s="9"/>
      <c r="PZ19" s="8">
        <f t="shared" si="99"/>
        <v>0</v>
      </c>
      <c r="QA19" s="5">
        <f t="shared" si="100"/>
        <v>574.88</v>
      </c>
      <c r="QB19" s="5"/>
      <c r="QC19" s="5"/>
      <c r="QD19" s="5"/>
      <c r="QE19" s="5"/>
      <c r="QF19" s="5"/>
      <c r="QG19" s="12"/>
      <c r="QH19" s="12">
        <f t="shared" si="101"/>
        <v>29562.488999999998</v>
      </c>
      <c r="QI19" s="420">
        <f t="shared" si="102"/>
        <v>297872.76007140434</v>
      </c>
      <c r="QJ19" s="1106">
        <f t="shared" si="139"/>
        <v>3720.2888844000004</v>
      </c>
      <c r="QK19" s="484">
        <f t="shared" si="103"/>
        <v>5505.3678056099998</v>
      </c>
      <c r="QL19" s="12"/>
      <c r="QM19" s="2615"/>
      <c r="QO19" s="139">
        <f t="shared" si="104"/>
        <v>0</v>
      </c>
      <c r="QP19" s="139" t="str">
        <f t="shared" si="105"/>
        <v/>
      </c>
      <c r="QR19" s="139">
        <f t="shared" si="106"/>
        <v>0</v>
      </c>
      <c r="QS19" s="139">
        <f t="shared" si="107"/>
        <v>0</v>
      </c>
      <c r="QU19" s="1">
        <f t="shared" si="108"/>
        <v>0</v>
      </c>
      <c r="QV19" s="1">
        <f t="shared" si="109"/>
        <v>0</v>
      </c>
      <c r="QW19" s="1">
        <f t="shared" si="110"/>
        <v>0</v>
      </c>
      <c r="QX19" s="1">
        <f t="shared" si="111"/>
        <v>0</v>
      </c>
      <c r="QY19" s="1">
        <f t="shared" si="112"/>
        <v>0</v>
      </c>
      <c r="QZ19" s="1">
        <f t="shared" si="113"/>
        <v>0</v>
      </c>
      <c r="RB19" s="1">
        <f t="shared" si="114"/>
        <v>0</v>
      </c>
      <c r="RC19" s="1">
        <f t="shared" si="115"/>
        <v>0</v>
      </c>
      <c r="RD19" s="1">
        <f t="shared" si="116"/>
        <v>0</v>
      </c>
      <c r="RE19" s="1">
        <f t="shared" si="117"/>
        <v>0</v>
      </c>
      <c r="RF19" s="1">
        <f t="shared" si="118"/>
        <v>0</v>
      </c>
      <c r="RG19" s="1">
        <f t="shared" si="119"/>
        <v>0</v>
      </c>
      <c r="RJ19" s="1">
        <v>10</v>
      </c>
      <c r="RK19" s="1">
        <f t="shared" ref="RK19:RM34" si="151">+RK18+JJ19-LH19</f>
        <v>15001.165209717097</v>
      </c>
      <c r="RL19" s="1">
        <f t="shared" si="151"/>
        <v>5074.1017804837184</v>
      </c>
      <c r="RM19" s="1">
        <f t="shared" si="151"/>
        <v>13404.263703387322</v>
      </c>
      <c r="RN19" s="89">
        <f t="shared" si="5"/>
        <v>33479.530693588138</v>
      </c>
      <c r="RO19" s="1033">
        <v>10</v>
      </c>
      <c r="RP19" s="1098">
        <v>0</v>
      </c>
      <c r="RQ19" s="1098">
        <f t="shared" si="121"/>
        <v>0</v>
      </c>
      <c r="RR19" s="1097">
        <f t="shared" si="121"/>
        <v>0</v>
      </c>
      <c r="RS19" s="1097">
        <f t="shared" si="122"/>
        <v>9234.5</v>
      </c>
      <c r="RT19" s="1109"/>
      <c r="RU19" s="1109">
        <v>2608101721</v>
      </c>
      <c r="RV19" s="1048"/>
      <c r="RX19" s="421">
        <v>10</v>
      </c>
      <c r="RY19" s="1095">
        <f t="shared" si="123"/>
        <v>9016.7199999999993</v>
      </c>
      <c r="RZ19" s="1928">
        <v>2608104093</v>
      </c>
      <c r="SB19" s="1090"/>
      <c r="SC19" s="1090">
        <f t="shared" si="124"/>
        <v>0</v>
      </c>
      <c r="SD19" s="1090"/>
      <c r="SE19" s="1090">
        <f t="shared" ref="SE19:SE40" si="152">JM19-RY19</f>
        <v>0</v>
      </c>
      <c r="SG19" s="1">
        <v>10</v>
      </c>
      <c r="SH19" s="1">
        <f t="shared" si="126"/>
        <v>729.38</v>
      </c>
      <c r="SI19" s="2420">
        <v>2608104157</v>
      </c>
    </row>
    <row r="20" spans="1:503" s="1" customFormat="1">
      <c r="B20" s="471">
        <v>11</v>
      </c>
      <c r="C20" s="4">
        <f t="shared" si="127"/>
        <v>149882.6</v>
      </c>
      <c r="D20" s="1590">
        <f t="shared" si="146"/>
        <v>13118.46</v>
      </c>
      <c r="E20" s="1895">
        <f t="shared" si="6"/>
        <v>11.425319740274393</v>
      </c>
      <c r="F20" s="870"/>
      <c r="G20" s="870"/>
      <c r="H20" s="52"/>
      <c r="I20" s="61"/>
      <c r="J20" s="52"/>
      <c r="K20" s="54"/>
      <c r="L20" s="52"/>
      <c r="M20" s="61"/>
      <c r="N20" s="2629"/>
      <c r="O20" s="4">
        <f t="shared" si="142"/>
        <v>94878</v>
      </c>
      <c r="P20" s="1225">
        <f t="shared" si="7"/>
        <v>7596.98</v>
      </c>
      <c r="Q20" s="1952">
        <f t="shared" si="8"/>
        <v>12.488910066895004</v>
      </c>
      <c r="R20" s="33"/>
      <c r="S20" s="26">
        <f t="shared" si="9"/>
        <v>21284.6</v>
      </c>
      <c r="T20" s="27">
        <f t="shared" si="129"/>
        <v>2327.1400000000003</v>
      </c>
      <c r="U20" s="1909">
        <f t="shared" si="10"/>
        <v>9.1462481844667689</v>
      </c>
      <c r="V20" s="28"/>
      <c r="W20" s="1742">
        <f t="shared" si="11"/>
        <v>27142</v>
      </c>
      <c r="X20" s="1918">
        <f t="shared" si="11"/>
        <v>2430</v>
      </c>
      <c r="Y20" s="1909">
        <f t="shared" si="12"/>
        <v>11.169547325102881</v>
      </c>
      <c r="Z20" s="33"/>
      <c r="AA20" s="26">
        <f t="shared" si="13"/>
        <v>6578</v>
      </c>
      <c r="AB20" s="27">
        <f t="shared" si="14"/>
        <v>764.34</v>
      </c>
      <c r="AC20" s="1909">
        <f t="shared" si="15"/>
        <v>8.6061176963131594</v>
      </c>
      <c r="AD20" s="28"/>
      <c r="AE20" s="36"/>
      <c r="AF20" s="36"/>
      <c r="AG20" s="53">
        <f t="shared" si="16"/>
        <v>0</v>
      </c>
      <c r="AH20" s="28"/>
      <c r="AI20" s="23"/>
      <c r="AJ20" s="27"/>
      <c r="AK20" s="53">
        <f t="shared" si="17"/>
        <v>0</v>
      </c>
      <c r="AL20" s="28"/>
      <c r="AM20" s="2629"/>
      <c r="AN20" s="9"/>
      <c r="AO20" s="5"/>
      <c r="AP20" s="61">
        <f t="shared" si="18"/>
        <v>0</v>
      </c>
      <c r="AQ20" s="36"/>
      <c r="AR20" s="53"/>
      <c r="AS20" s="61">
        <f t="shared" si="19"/>
        <v>0</v>
      </c>
      <c r="AT20" s="36">
        <v>0</v>
      </c>
      <c r="AU20" s="27"/>
      <c r="AV20" s="54">
        <f t="shared" si="20"/>
        <v>0</v>
      </c>
      <c r="AW20" s="26">
        <v>54096</v>
      </c>
      <c r="AX20" s="24">
        <v>5546.28</v>
      </c>
      <c r="AY20" s="1735">
        <f t="shared" si="140"/>
        <v>9.7535645513749767</v>
      </c>
      <c r="AZ20" s="1908"/>
      <c r="BA20" s="1909"/>
      <c r="BB20" s="1895">
        <f t="shared" si="21"/>
        <v>0</v>
      </c>
      <c r="BC20" s="1740">
        <v>40782</v>
      </c>
      <c r="BD20" s="1926">
        <v>2050.7000000000003</v>
      </c>
      <c r="BE20" s="1895">
        <f t="shared" si="22"/>
        <v>19.886867898766273</v>
      </c>
      <c r="BF20" s="1908"/>
      <c r="BG20" s="1909"/>
      <c r="BH20" s="1895">
        <f t="shared" si="23"/>
        <v>0</v>
      </c>
      <c r="BI20" s="1908">
        <v>0</v>
      </c>
      <c r="BJ20" s="1909">
        <v>0</v>
      </c>
      <c r="BK20" s="1895">
        <f t="shared" si="24"/>
        <v>0</v>
      </c>
      <c r="BL20" s="1742">
        <v>21284.6</v>
      </c>
      <c r="BM20" s="1736">
        <v>2327.1400000000003</v>
      </c>
      <c r="BN20" s="2170"/>
      <c r="BO20" s="1920">
        <f t="shared" si="25"/>
        <v>9.1462481844667689</v>
      </c>
      <c r="BP20" s="9">
        <v>6578</v>
      </c>
      <c r="BQ20" s="53">
        <v>764.34</v>
      </c>
      <c r="BR20" s="1920">
        <f t="shared" si="26"/>
        <v>8.6061176963131594</v>
      </c>
      <c r="BS20" s="9"/>
      <c r="BT20" s="53"/>
      <c r="BU20" s="482">
        <f t="shared" si="27"/>
        <v>0</v>
      </c>
      <c r="BV20" s="9">
        <v>27142</v>
      </c>
      <c r="BW20" s="27">
        <f t="shared" si="130"/>
        <v>2430</v>
      </c>
      <c r="BX20" s="1051">
        <f t="shared" si="28"/>
        <v>11.169547325102881</v>
      </c>
      <c r="BY20" s="26"/>
      <c r="BZ20" s="27"/>
      <c r="CA20" s="482">
        <f t="shared" si="29"/>
        <v>0</v>
      </c>
      <c r="CB20" s="9"/>
      <c r="CC20" s="481"/>
      <c r="CD20" s="482">
        <f t="shared" si="30"/>
        <v>0</v>
      </c>
      <c r="CE20" s="4"/>
      <c r="CF20" s="5"/>
      <c r="CG20" s="28">
        <f t="shared" si="31"/>
        <v>0</v>
      </c>
      <c r="CH20" s="150"/>
      <c r="CI20" s="4"/>
      <c r="CJ20" s="5">
        <v>2646</v>
      </c>
      <c r="CK20" s="5">
        <v>3786</v>
      </c>
      <c r="CL20" s="5"/>
      <c r="CM20" s="5"/>
      <c r="CN20" s="3">
        <f t="shared" si="131"/>
        <v>6432</v>
      </c>
      <c r="CO20" s="33"/>
      <c r="CP20" s="366"/>
      <c r="CR20" s="4">
        <f t="shared" si="32"/>
        <v>0</v>
      </c>
      <c r="CS20" s="9">
        <f t="shared" si="33"/>
        <v>0</v>
      </c>
      <c r="CT20" s="5">
        <f t="shared" si="34"/>
        <v>0</v>
      </c>
      <c r="CU20" s="5">
        <f t="shared" si="35"/>
        <v>0</v>
      </c>
      <c r="CV20" s="5">
        <f t="shared" si="36"/>
        <v>0</v>
      </c>
      <c r="CW20" s="5">
        <f t="shared" si="37"/>
        <v>0</v>
      </c>
      <c r="CX20" s="5">
        <f t="shared" si="38"/>
        <v>2539.38</v>
      </c>
      <c r="CY20" s="5">
        <f t="shared" si="39"/>
        <v>0</v>
      </c>
      <c r="CZ20" s="5">
        <f t="shared" si="40"/>
        <v>5393.4800000000005</v>
      </c>
      <c r="DA20" s="5">
        <f t="shared" si="41"/>
        <v>0</v>
      </c>
      <c r="DB20" s="5">
        <f t="shared" si="42"/>
        <v>2439.88</v>
      </c>
      <c r="DC20" s="12">
        <f t="shared" si="43"/>
        <v>0</v>
      </c>
      <c r="DD20" s="310">
        <f t="shared" si="44"/>
        <v>10372.740000000002</v>
      </c>
      <c r="DE20" s="2695"/>
      <c r="DF20" s="8"/>
      <c r="DG20" s="9"/>
      <c r="DH20" s="5"/>
      <c r="DI20" s="5"/>
      <c r="DJ20" s="5"/>
      <c r="DK20" s="5"/>
      <c r="DL20" s="3">
        <v>2539.38</v>
      </c>
      <c r="DM20" s="5"/>
      <c r="DN20" s="3">
        <v>0</v>
      </c>
      <c r="DO20" s="27"/>
      <c r="DP20" s="3">
        <v>261.18</v>
      </c>
      <c r="DQ20" s="11">
        <v>2745.7200000000003</v>
      </c>
      <c r="DR20" s="12"/>
      <c r="DS20" s="1906">
        <f t="shared" si="45"/>
        <v>5546.2800000000007</v>
      </c>
      <c r="DT20" s="36"/>
      <c r="DU20" s="36"/>
      <c r="DV20" s="27"/>
      <c r="DW20" s="27"/>
      <c r="DX20" s="5"/>
      <c r="DY20" s="5"/>
      <c r="DZ20" s="5"/>
      <c r="EA20" s="5"/>
      <c r="EB20" s="3">
        <v>3091.4800000000005</v>
      </c>
      <c r="EC20" s="27"/>
      <c r="ED20" s="24">
        <v>2050.7000000000003</v>
      </c>
      <c r="EE20" s="33"/>
      <c r="EF20" s="28">
        <f t="shared" si="46"/>
        <v>5142.18</v>
      </c>
      <c r="EG20" s="9"/>
      <c r="EH20" s="416"/>
      <c r="EI20" s="5"/>
      <c r="EJ20" s="313"/>
      <c r="EK20" s="27"/>
      <c r="EL20" s="27"/>
      <c r="EM20" s="27"/>
      <c r="EN20" s="27"/>
      <c r="EO20" s="5">
        <v>2302</v>
      </c>
      <c r="EP20" s="5"/>
      <c r="EQ20" s="5">
        <v>128</v>
      </c>
      <c r="ER20" s="33"/>
      <c r="ES20" s="28">
        <f t="shared" si="143"/>
        <v>2430</v>
      </c>
      <c r="ET20" s="36"/>
      <c r="EU20" s="27"/>
      <c r="EV20" s="27"/>
      <c r="EW20" s="27"/>
      <c r="EX20" s="27"/>
      <c r="EY20" s="27"/>
      <c r="EZ20" s="33">
        <f t="shared" si="48"/>
        <v>0</v>
      </c>
      <c r="FA20" s="2685"/>
      <c r="FC20" s="4">
        <f t="shared" si="49"/>
        <v>0</v>
      </c>
      <c r="FD20" s="5">
        <f t="shared" si="50"/>
        <v>0</v>
      </c>
      <c r="FE20" s="5">
        <f t="shared" si="51"/>
        <v>0</v>
      </c>
      <c r="FF20" s="12">
        <f t="shared" si="52"/>
        <v>0</v>
      </c>
      <c r="FG20" s="33"/>
      <c r="FH20" s="2674"/>
      <c r="FI20" s="9"/>
      <c r="FJ20" s="5"/>
      <c r="FK20" s="5"/>
      <c r="FL20" s="5"/>
      <c r="FM20" s="5"/>
      <c r="FN20" s="27"/>
      <c r="FO20" s="28">
        <f t="shared" si="53"/>
        <v>0</v>
      </c>
      <c r="FP20" s="36"/>
      <c r="FQ20" s="27"/>
      <c r="FR20" s="27"/>
      <c r="FS20" s="27"/>
      <c r="FT20" s="27"/>
      <c r="FU20" s="27"/>
      <c r="FV20" s="28">
        <f t="shared" si="54"/>
        <v>0</v>
      </c>
      <c r="FW20" s="36"/>
      <c r="FX20" s="36"/>
      <c r="FY20" s="27"/>
      <c r="FZ20" s="27"/>
      <c r="GA20" s="27"/>
      <c r="GB20" s="27"/>
      <c r="GC20" s="27"/>
      <c r="GD20" s="27"/>
      <c r="GE20" s="24">
        <v>0</v>
      </c>
      <c r="GF20" s="27"/>
      <c r="GG20" s="27"/>
      <c r="GH20" s="33"/>
      <c r="GI20" s="33">
        <f t="shared" si="55"/>
        <v>0</v>
      </c>
      <c r="GJ20" s="2674"/>
      <c r="GL20" s="2">
        <f t="shared" si="132"/>
        <v>0</v>
      </c>
      <c r="GM20" s="63">
        <f t="shared" si="133"/>
        <v>1879.5999999999997</v>
      </c>
      <c r="GN20" s="24">
        <f t="shared" si="134"/>
        <v>4387.5499999999993</v>
      </c>
      <c r="GO20" s="1736">
        <f t="shared" si="56"/>
        <v>6267.1499999999987</v>
      </c>
      <c r="GP20" s="141"/>
      <c r="GQ20" s="141"/>
      <c r="GR20" s="33"/>
      <c r="GS20" s="2667"/>
      <c r="GT20" s="1739">
        <v>0</v>
      </c>
      <c r="GU20" s="1721">
        <v>0</v>
      </c>
      <c r="GV20" s="1721">
        <v>0</v>
      </c>
      <c r="GW20" s="1721">
        <v>6267.1500000000005</v>
      </c>
      <c r="GX20" s="54">
        <f t="shared" si="135"/>
        <v>6267.1500000000005</v>
      </c>
      <c r="GY20" s="2667"/>
      <c r="GZ20" s="35">
        <v>0</v>
      </c>
      <c r="HA20" s="36"/>
      <c r="HB20" s="27"/>
      <c r="HC20" s="27"/>
      <c r="HD20" s="27"/>
      <c r="HE20" s="27"/>
      <c r="HF20" s="24">
        <v>0</v>
      </c>
      <c r="HG20" s="27"/>
      <c r="HH20" s="24">
        <v>0</v>
      </c>
      <c r="HI20" s="27"/>
      <c r="HJ20" s="24">
        <v>0</v>
      </c>
      <c r="HK20" s="27"/>
      <c r="HL20" s="24">
        <v>0</v>
      </c>
      <c r="HM20" s="27"/>
      <c r="HN20" s="28">
        <f t="shared" si="148"/>
        <v>0</v>
      </c>
      <c r="HO20" s="36"/>
      <c r="HP20" s="27"/>
      <c r="HQ20" s="27"/>
      <c r="HR20" s="27"/>
      <c r="HS20" s="27"/>
      <c r="HT20" s="27"/>
      <c r="HU20" s="27">
        <f t="array" ref="HU20">SUMPRODUCT(('Data Base hauling'!$C$2:$C$2000="TCM-ROM SB1 BK05-ROM 4")*(ISNUMBER(SEARCH(TEXT('August TCM'!$B20,"00")&amp;"/03/2026",'Data Base hauling'!$E$2:$E$2000)))*'Data Base hauling'!$N$2:$N$2000)</f>
        <v>0</v>
      </c>
      <c r="HV20" s="27"/>
      <c r="HW20" s="27">
        <f t="array" ref="HW20">SUMPRODUCT(('Data Base hauling'!$C$2:$C$2000="TCM-ROM SB1 BK05-ROM 5")*(ISNUMBER(SEARCH(TEXT('August TCM'!$B20,"00")&amp;"/03/2026",'Data Base hauling'!$E$2:$E$2000)))*'Data Base hauling'!$N$2:$N$2000)</f>
        <v>0</v>
      </c>
      <c r="HX20" s="27"/>
      <c r="HY20" s="27"/>
      <c r="HZ20" s="27"/>
      <c r="IA20" s="27"/>
      <c r="IB20" s="27"/>
      <c r="IC20" s="33">
        <f t="shared" si="58"/>
        <v>0</v>
      </c>
      <c r="ID20" s="52"/>
      <c r="IE20" s="152"/>
      <c r="IF20" s="53"/>
      <c r="IG20" s="53"/>
      <c r="IH20" s="53"/>
      <c r="II20" s="53"/>
      <c r="IJ20" s="1926">
        <v>0</v>
      </c>
      <c r="IK20" s="1736"/>
      <c r="IL20" s="1926">
        <v>0</v>
      </c>
      <c r="IM20" s="53"/>
      <c r="IN20" s="49">
        <v>1879.5999999999997</v>
      </c>
      <c r="IO20" s="53"/>
      <c r="IP20" s="53"/>
      <c r="IQ20" s="49">
        <v>0</v>
      </c>
      <c r="IR20" s="2195">
        <f t="shared" si="149"/>
        <v>1879.5999999999997</v>
      </c>
      <c r="IS20" s="36"/>
      <c r="IT20" s="36"/>
      <c r="IU20" s="27"/>
      <c r="IV20" s="27"/>
      <c r="IW20" s="53"/>
      <c r="IX20" s="27"/>
      <c r="IY20" s="24">
        <v>0</v>
      </c>
      <c r="IZ20" s="27"/>
      <c r="JA20" s="24">
        <v>4387.5499999999993</v>
      </c>
      <c r="JB20" s="27"/>
      <c r="JC20" s="24">
        <v>0</v>
      </c>
      <c r="JD20" s="27"/>
      <c r="JE20" s="27"/>
      <c r="JF20" s="27"/>
      <c r="JG20" s="33">
        <f t="shared" si="150"/>
        <v>4387.5499999999993</v>
      </c>
      <c r="JH20" s="2667"/>
      <c r="JJ20" s="2014">
        <v>6267.1500000000005</v>
      </c>
      <c r="JK20" s="2015">
        <v>0</v>
      </c>
      <c r="JL20" s="53"/>
      <c r="JM20" s="1736">
        <f t="shared" si="61"/>
        <v>6267.1500000000005</v>
      </c>
      <c r="JN20" s="33"/>
      <c r="JO20" s="2669"/>
      <c r="JP20" s="66">
        <v>0</v>
      </c>
      <c r="JQ20" s="67">
        <v>0</v>
      </c>
      <c r="JR20" s="67">
        <v>0</v>
      </c>
      <c r="JS20" s="67">
        <v>0</v>
      </c>
      <c r="JT20" s="67">
        <v>0.70008696137797866</v>
      </c>
      <c r="JU20" s="67">
        <v>0.29991303862202112</v>
      </c>
      <c r="JV20" s="67">
        <v>0</v>
      </c>
      <c r="JW20" s="1921">
        <v>0</v>
      </c>
      <c r="JX20" s="66" t="s">
        <v>296</v>
      </c>
      <c r="JY20" s="67" t="s">
        <v>296</v>
      </c>
      <c r="JZ20" s="67" t="s">
        <v>296</v>
      </c>
      <c r="KA20" s="67" t="s">
        <v>296</v>
      </c>
      <c r="KB20" s="67" t="s">
        <v>296</v>
      </c>
      <c r="KC20" s="67" t="s">
        <v>296</v>
      </c>
      <c r="KD20" s="67" t="s">
        <v>296</v>
      </c>
      <c r="KE20" s="68" t="s">
        <v>296</v>
      </c>
      <c r="KF20" s="69"/>
      <c r="KG20" s="70"/>
      <c r="KH20" s="70"/>
      <c r="KI20" s="70"/>
      <c r="KJ20" s="70"/>
      <c r="KK20" s="70"/>
      <c r="KL20" s="70"/>
      <c r="KM20" s="70"/>
      <c r="KN20" s="33"/>
      <c r="KO20" s="2669"/>
      <c r="KP20" s="2203">
        <v>6974.7144411734207</v>
      </c>
      <c r="KQ20" s="1721">
        <v>0.81733239191658091</v>
      </c>
      <c r="KR20" s="1721">
        <v>3.2953493374181244</v>
      </c>
      <c r="KS20" s="1721">
        <v>6.8209649043025937</v>
      </c>
      <c r="KT20" s="1722">
        <v>10.358914482659584</v>
      </c>
      <c r="KU20" s="1958">
        <v>0</v>
      </c>
      <c r="KV20" s="1961">
        <v>0</v>
      </c>
      <c r="KW20" s="1961">
        <v>0</v>
      </c>
      <c r="KX20" s="1961">
        <v>0</v>
      </c>
      <c r="KY20" s="1962">
        <v>0</v>
      </c>
      <c r="KZ20" s="36"/>
      <c r="LA20" s="53"/>
      <c r="LB20" s="53"/>
      <c r="LC20" s="53"/>
      <c r="LD20" s="53"/>
      <c r="LE20" s="33"/>
      <c r="LF20" s="2669"/>
      <c r="LH20" s="26">
        <f t="shared" si="62"/>
        <v>4111.5450000000001</v>
      </c>
      <c r="LI20" s="27">
        <f t="shared" si="62"/>
        <v>1370.5150000000001</v>
      </c>
      <c r="LJ20" s="27">
        <f t="shared" si="62"/>
        <v>0</v>
      </c>
      <c r="LK20" s="1906">
        <f t="shared" si="63"/>
        <v>5482.06</v>
      </c>
      <c r="LL20" s="36">
        <v>1</v>
      </c>
      <c r="LM20" s="27"/>
      <c r="LN20" s="27"/>
      <c r="LO20" s="33"/>
      <c r="LP20" s="1957">
        <v>0</v>
      </c>
      <c r="LQ20" s="486"/>
      <c r="LR20" s="2688"/>
      <c r="LS20" s="36"/>
      <c r="LT20" s="36"/>
      <c r="LU20" s="27"/>
      <c r="LV20" s="27"/>
      <c r="LW20" s="27"/>
      <c r="LX20" s="1117">
        <f t="shared" si="64"/>
        <v>0</v>
      </c>
      <c r="LY20" s="2269">
        <v>4111.5450000000001</v>
      </c>
      <c r="LZ20" s="2269">
        <v>1370.5150000000001</v>
      </c>
      <c r="MA20" s="277"/>
      <c r="MB20" s="27"/>
      <c r="MC20" s="33"/>
      <c r="MD20" s="1906">
        <f t="shared" si="65"/>
        <v>5482.06</v>
      </c>
      <c r="ME20" s="26"/>
      <c r="MF20" s="36"/>
      <c r="MG20" s="27"/>
      <c r="MH20" s="27"/>
      <c r="MI20" s="27"/>
      <c r="MJ20" s="28"/>
      <c r="MK20" s="36"/>
      <c r="ML20" s="36"/>
      <c r="MM20" s="27"/>
      <c r="MN20" s="27"/>
      <c r="MO20" s="27"/>
      <c r="MP20" s="28"/>
      <c r="MQ20" s="36"/>
      <c r="MR20" s="36"/>
      <c r="MS20" s="27"/>
      <c r="MT20" s="27"/>
      <c r="MU20" s="27"/>
      <c r="MV20" s="33">
        <f t="shared" si="66"/>
        <v>0</v>
      </c>
      <c r="MW20" s="2688"/>
      <c r="MY20" s="26">
        <f t="shared" si="67"/>
        <v>208196.0584180181</v>
      </c>
      <c r="MZ20" s="27">
        <f t="shared" si="68"/>
        <v>276676.72630375827</v>
      </c>
      <c r="NA20" s="27">
        <f t="shared" si="69"/>
        <v>23889.025697817415</v>
      </c>
      <c r="NB20" s="28">
        <f t="shared" si="70"/>
        <v>329313.67795580433</v>
      </c>
      <c r="NC20" s="2621"/>
      <c r="ND20" s="23">
        <f t="shared" si="71"/>
        <v>101066.99263806609</v>
      </c>
      <c r="NE20" s="1655">
        <f t="shared" si="72"/>
        <v>107129.065779952</v>
      </c>
      <c r="NF20" s="60">
        <f t="shared" si="73"/>
        <v>0</v>
      </c>
      <c r="NG20" s="275">
        <f t="shared" si="4"/>
        <v>208196.0584180181</v>
      </c>
      <c r="NH20" s="26">
        <f t="shared" si="74"/>
        <v>0</v>
      </c>
      <c r="NI20" s="27">
        <f t="shared" si="74"/>
        <v>0</v>
      </c>
      <c r="NJ20" s="27">
        <f t="shared" si="74"/>
        <v>0</v>
      </c>
      <c r="NK20" s="27">
        <f t="shared" si="74"/>
        <v>0</v>
      </c>
      <c r="NL20" s="27">
        <f t="shared" si="74"/>
        <v>0</v>
      </c>
      <c r="NM20" s="33">
        <f t="shared" si="74"/>
        <v>0</v>
      </c>
      <c r="NN20" s="27">
        <f t="shared" si="74"/>
        <v>0</v>
      </c>
      <c r="NO20" s="36">
        <f t="shared" si="74"/>
        <v>0</v>
      </c>
      <c r="NP20" s="24">
        <f t="shared" si="74"/>
        <v>27067.66060542424</v>
      </c>
      <c r="NQ20" s="27">
        <f t="shared" si="74"/>
        <v>24023.830351777149</v>
      </c>
      <c r="NR20" s="24">
        <f t="shared" si="136"/>
        <v>8756.5482322711578</v>
      </c>
      <c r="NS20" s="24">
        <f t="shared" si="137"/>
        <v>12528.983566410112</v>
      </c>
      <c r="NT20" s="27">
        <f t="shared" si="0"/>
        <v>72377.022755882659</v>
      </c>
      <c r="NU20" s="27">
        <f t="shared" si="75"/>
        <v>0</v>
      </c>
      <c r="NV20" s="27">
        <f t="shared" si="76"/>
        <v>0</v>
      </c>
      <c r="NW20" s="27">
        <f t="shared" si="77"/>
        <v>0</v>
      </c>
      <c r="NX20" s="27">
        <f t="shared" si="78"/>
        <v>0</v>
      </c>
      <c r="NY20" s="27">
        <f t="shared" si="79"/>
        <v>0</v>
      </c>
      <c r="NZ20" s="27">
        <f t="shared" si="80"/>
        <v>0</v>
      </c>
      <c r="OA20" s="27">
        <f t="shared" si="81"/>
        <v>29944.454489662847</v>
      </c>
      <c r="OB20" s="27">
        <f t="shared" si="82"/>
        <v>0</v>
      </c>
      <c r="OC20" s="27">
        <f t="shared" si="83"/>
        <v>74206.769485704164</v>
      </c>
      <c r="OD20" s="280"/>
      <c r="OE20" s="27">
        <f t="shared" si="138"/>
        <v>8282.4400000000023</v>
      </c>
      <c r="OF20" s="27">
        <f t="shared" si="84"/>
        <v>0</v>
      </c>
      <c r="OG20" s="28">
        <f t="shared" si="1"/>
        <v>112433.66397536702</v>
      </c>
      <c r="OH20" s="27">
        <f t="shared" ref="OH20:OH40" si="153">+OH19+DT20+FW20-IS20</f>
        <v>0</v>
      </c>
      <c r="OI20" s="27">
        <f t="shared" ref="OI20:OI40" si="154">+OI19+DU20+FX20-IT20</f>
        <v>0</v>
      </c>
      <c r="OJ20" s="27">
        <v>0</v>
      </c>
      <c r="OK20" s="27">
        <f t="shared" ref="OK20:OK40" si="155">+OK19+DW20+FZ20-IV20</f>
        <v>0</v>
      </c>
      <c r="OL20" s="27">
        <f t="shared" ref="OL20:OL40" si="156">+OL19+DX20+GA20-IW20</f>
        <v>0</v>
      </c>
      <c r="OM20" s="27">
        <f t="shared" ref="OM20:OM40" si="157">+OM19+DY20+GB20-IX20</f>
        <v>0</v>
      </c>
      <c r="ON20" s="24">
        <f t="shared" si="147"/>
        <v>0</v>
      </c>
      <c r="OO20" s="27">
        <f t="shared" si="145"/>
        <v>0</v>
      </c>
      <c r="OP20" s="24">
        <f t="shared" si="86"/>
        <v>73573.30231371375</v>
      </c>
      <c r="OQ20" s="27">
        <f t="shared" si="87"/>
        <v>0</v>
      </c>
      <c r="OR20" s="24">
        <f t="shared" si="88"/>
        <v>18292.737258794845</v>
      </c>
      <c r="OS20" s="27">
        <f t="shared" si="89"/>
        <v>0</v>
      </c>
      <c r="OT20" s="28">
        <f t="shared" si="2"/>
        <v>91866.039572508598</v>
      </c>
      <c r="OU20" s="36"/>
      <c r="OV20" s="27"/>
      <c r="OW20" s="27"/>
      <c r="OX20" s="27"/>
      <c r="OY20" s="27"/>
      <c r="OZ20" s="27"/>
      <c r="PA20" s="28">
        <f t="shared" si="90"/>
        <v>0</v>
      </c>
      <c r="PB20" s="36">
        <f t="shared" si="91"/>
        <v>0</v>
      </c>
      <c r="PC20" s="27">
        <f t="shared" si="92"/>
        <v>0</v>
      </c>
      <c r="PD20" s="27">
        <f t="shared" si="93"/>
        <v>0</v>
      </c>
      <c r="PE20" s="27">
        <f t="shared" si="94"/>
        <v>0</v>
      </c>
      <c r="PF20" s="24"/>
      <c r="PG20" s="27">
        <f t="shared" si="95"/>
        <v>0</v>
      </c>
      <c r="PH20" s="33">
        <f t="shared" si="3"/>
        <v>0</v>
      </c>
      <c r="PI20" s="2621"/>
      <c r="PK20" s="1907">
        <v>1841.86</v>
      </c>
      <c r="PL20" s="1101">
        <v>729.59999999999991</v>
      </c>
      <c r="PM20" s="1101">
        <v>218.88</v>
      </c>
      <c r="PN20" s="3">
        <f t="shared" si="96"/>
        <v>0</v>
      </c>
      <c r="PO20" s="3">
        <f t="shared" si="97"/>
        <v>33853.409204532865</v>
      </c>
      <c r="PP20" s="11">
        <f t="shared" si="98"/>
        <v>23889.025697817415</v>
      </c>
      <c r="PQ20" s="15"/>
      <c r="PR20" s="2615"/>
      <c r="PT20" s="4"/>
      <c r="PU20" s="9"/>
      <c r="PV20" s="9"/>
      <c r="PW20" s="9"/>
      <c r="PX20" s="2531">
        <v>0</v>
      </c>
      <c r="PY20" s="9"/>
      <c r="PZ20" s="8">
        <f t="shared" si="99"/>
        <v>0</v>
      </c>
      <c r="QA20" s="5">
        <f t="shared" si="100"/>
        <v>1841.86</v>
      </c>
      <c r="QB20" s="5"/>
      <c r="QC20" s="5"/>
      <c r="QD20" s="5"/>
      <c r="QE20" s="5"/>
      <c r="QF20" s="5"/>
      <c r="QG20" s="12"/>
      <c r="QH20" s="12">
        <f t="shared" si="101"/>
        <v>29562.488999999998</v>
      </c>
      <c r="QI20" s="420">
        <f t="shared" si="102"/>
        <v>296030.90007140435</v>
      </c>
      <c r="QJ20" s="1106">
        <f t="shared" si="139"/>
        <v>3720.2888844000004</v>
      </c>
      <c r="QK20" s="484">
        <f t="shared" si="103"/>
        <v>5505.3678056099998</v>
      </c>
      <c r="QL20" s="12"/>
      <c r="QM20" s="2615"/>
      <c r="QO20" s="139">
        <f t="shared" si="104"/>
        <v>0</v>
      </c>
      <c r="QP20" s="139" t="str">
        <f t="shared" si="105"/>
        <v/>
      </c>
      <c r="QR20" s="139">
        <f t="shared" si="106"/>
        <v>0</v>
      </c>
      <c r="QS20" s="139">
        <f t="shared" si="107"/>
        <v>0</v>
      </c>
      <c r="QU20" s="1">
        <f t="shared" si="108"/>
        <v>0</v>
      </c>
      <c r="QV20" s="1">
        <f t="shared" si="109"/>
        <v>0</v>
      </c>
      <c r="QW20" s="1">
        <f t="shared" si="110"/>
        <v>0</v>
      </c>
      <c r="QX20" s="1">
        <f t="shared" si="111"/>
        <v>0</v>
      </c>
      <c r="QY20" s="1">
        <f t="shared" si="112"/>
        <v>0</v>
      </c>
      <c r="QZ20" s="1">
        <f t="shared" si="113"/>
        <v>0</v>
      </c>
      <c r="RB20" s="1">
        <f t="shared" si="114"/>
        <v>0</v>
      </c>
      <c r="RC20" s="1">
        <f t="shared" si="115"/>
        <v>0</v>
      </c>
      <c r="RD20" s="1">
        <f t="shared" si="116"/>
        <v>0</v>
      </c>
      <c r="RE20" s="1">
        <f t="shared" si="117"/>
        <v>0</v>
      </c>
      <c r="RF20" s="1">
        <f t="shared" si="118"/>
        <v>0</v>
      </c>
      <c r="RG20" s="1">
        <f t="shared" si="119"/>
        <v>0</v>
      </c>
      <c r="RJ20" s="1">
        <v>11</v>
      </c>
      <c r="RK20" s="1">
        <f t="shared" si="151"/>
        <v>17156.770209717099</v>
      </c>
      <c r="RL20" s="1">
        <f t="shared" si="151"/>
        <v>3703.586780483718</v>
      </c>
      <c r="RM20" s="1">
        <f t="shared" si="151"/>
        <v>13404.263703387322</v>
      </c>
      <c r="RN20" s="89">
        <f t="shared" si="5"/>
        <v>34264.620693588135</v>
      </c>
      <c r="RO20" s="1033">
        <v>11</v>
      </c>
      <c r="RP20" s="1098">
        <v>0</v>
      </c>
      <c r="RQ20" s="1098">
        <f t="shared" si="121"/>
        <v>0</v>
      </c>
      <c r="RR20" s="1097">
        <f t="shared" si="121"/>
        <v>0</v>
      </c>
      <c r="RS20" s="1097">
        <f t="shared" si="122"/>
        <v>10688.460000000001</v>
      </c>
      <c r="RT20" s="1109"/>
      <c r="RU20" s="1928">
        <v>2608111853</v>
      </c>
      <c r="RX20" s="421">
        <v>11</v>
      </c>
      <c r="RY20" s="1095">
        <f t="shared" si="123"/>
        <v>6267.1500000000005</v>
      </c>
      <c r="RZ20" s="1928">
        <v>2608114723</v>
      </c>
      <c r="SB20" s="1090"/>
      <c r="SC20" s="1090">
        <f t="shared" si="124"/>
        <v>0</v>
      </c>
      <c r="SD20" s="1090"/>
      <c r="SE20" s="1090">
        <f t="shared" si="152"/>
        <v>0</v>
      </c>
      <c r="SG20" s="1">
        <v>11</v>
      </c>
      <c r="SH20" s="1">
        <f t="shared" si="126"/>
        <v>0</v>
      </c>
      <c r="SI20" s="1094"/>
    </row>
    <row r="21" spans="1:503" s="1" customFormat="1" ht="16.95" customHeight="1">
      <c r="B21" s="471">
        <v>12</v>
      </c>
      <c r="C21" s="4">
        <f t="shared" si="127"/>
        <v>151729</v>
      </c>
      <c r="D21" s="1590">
        <f t="shared" si="146"/>
        <v>10343.06</v>
      </c>
      <c r="E21" s="1895">
        <f t="shared" si="6"/>
        <v>14.669643219704808</v>
      </c>
      <c r="F21" s="870"/>
      <c r="G21" s="870"/>
      <c r="H21" s="52"/>
      <c r="I21" s="61"/>
      <c r="J21" s="52"/>
      <c r="K21" s="54"/>
      <c r="L21" s="52"/>
      <c r="M21" s="61"/>
      <c r="N21" s="2629"/>
      <c r="O21" s="4">
        <f t="shared" si="142"/>
        <v>96390</v>
      </c>
      <c r="P21" s="1225">
        <f t="shared" si="7"/>
        <v>7216.04</v>
      </c>
      <c r="Q21" s="1913">
        <f t="shared" si="8"/>
        <v>13.357741919390691</v>
      </c>
      <c r="R21" s="33"/>
      <c r="S21" s="26">
        <f t="shared" si="9"/>
        <v>21340</v>
      </c>
      <c r="T21" s="27">
        <f t="shared" si="129"/>
        <v>614.79999999999984</v>
      </c>
      <c r="U21" s="1909">
        <f t="shared" si="10"/>
        <v>34.710474951203651</v>
      </c>
      <c r="V21" s="28"/>
      <c r="W21" s="1742">
        <f t="shared" si="11"/>
        <v>31061</v>
      </c>
      <c r="X21" s="5">
        <f t="shared" si="11"/>
        <v>1598</v>
      </c>
      <c r="Y21" s="1909">
        <f t="shared" si="12"/>
        <v>19.437421777221527</v>
      </c>
      <c r="Z21" s="33"/>
      <c r="AA21" s="26">
        <f t="shared" si="13"/>
        <v>2938</v>
      </c>
      <c r="AB21" s="27">
        <f t="shared" si="14"/>
        <v>914.22</v>
      </c>
      <c r="AC21" s="1909">
        <f t="shared" si="15"/>
        <v>3.213668482422174</v>
      </c>
      <c r="AD21" s="28"/>
      <c r="AE21" s="36"/>
      <c r="AF21" s="36"/>
      <c r="AG21" s="53">
        <f t="shared" si="16"/>
        <v>0</v>
      </c>
      <c r="AH21" s="28"/>
      <c r="AI21" s="26"/>
      <c r="AJ21" s="27"/>
      <c r="AK21" s="53">
        <f t="shared" si="17"/>
        <v>0</v>
      </c>
      <c r="AL21" s="28"/>
      <c r="AM21" s="2629"/>
      <c r="AN21" s="9"/>
      <c r="AO21" s="5"/>
      <c r="AP21" s="61">
        <f t="shared" si="18"/>
        <v>0</v>
      </c>
      <c r="AQ21" s="36"/>
      <c r="AR21" s="53"/>
      <c r="AS21" s="61">
        <f t="shared" si="19"/>
        <v>0</v>
      </c>
      <c r="AT21" s="36">
        <v>0</v>
      </c>
      <c r="AU21" s="27"/>
      <c r="AV21" s="54">
        <f t="shared" si="20"/>
        <v>0</v>
      </c>
      <c r="AW21" s="26">
        <v>54222</v>
      </c>
      <c r="AX21" s="24">
        <v>5082.16</v>
      </c>
      <c r="AY21" s="1895">
        <f t="shared" si="140"/>
        <v>10.669085585656493</v>
      </c>
      <c r="AZ21" s="1908"/>
      <c r="BA21" s="1909"/>
      <c r="BB21" s="1895">
        <f t="shared" si="21"/>
        <v>0</v>
      </c>
      <c r="BC21" s="1740">
        <v>42168</v>
      </c>
      <c r="BD21" s="1926">
        <v>2133.88</v>
      </c>
      <c r="BE21" s="1895">
        <f t="shared" si="22"/>
        <v>19.761186196037265</v>
      </c>
      <c r="BF21" s="1908"/>
      <c r="BG21" s="1909"/>
      <c r="BH21" s="1895">
        <f t="shared" si="23"/>
        <v>0</v>
      </c>
      <c r="BI21" s="1908">
        <v>0</v>
      </c>
      <c r="BJ21" s="1909">
        <v>0</v>
      </c>
      <c r="BK21" s="1895">
        <f t="shared" si="24"/>
        <v>0</v>
      </c>
      <c r="BL21" s="1742">
        <v>21340</v>
      </c>
      <c r="BM21" s="1736">
        <v>614.79999999999984</v>
      </c>
      <c r="BN21" s="2170"/>
      <c r="BO21" s="1920">
        <f t="shared" si="25"/>
        <v>34.710474951203651</v>
      </c>
      <c r="BP21" s="9">
        <v>2938</v>
      </c>
      <c r="BQ21" s="53">
        <v>914.22</v>
      </c>
      <c r="BR21" s="1920">
        <f t="shared" si="26"/>
        <v>3.213668482422174</v>
      </c>
      <c r="BS21" s="9"/>
      <c r="BT21" s="53"/>
      <c r="BU21" s="482">
        <f t="shared" si="27"/>
        <v>0</v>
      </c>
      <c r="BV21" s="9">
        <v>31061</v>
      </c>
      <c r="BW21" s="27">
        <f t="shared" si="130"/>
        <v>1598</v>
      </c>
      <c r="BX21" s="1051">
        <f t="shared" si="28"/>
        <v>19.437421777221527</v>
      </c>
      <c r="BY21" s="26"/>
      <c r="BZ21" s="27"/>
      <c r="CA21" s="482">
        <f t="shared" si="29"/>
        <v>0</v>
      </c>
      <c r="CB21" s="9"/>
      <c r="CC21" s="481"/>
      <c r="CD21" s="482">
        <f t="shared" si="30"/>
        <v>0</v>
      </c>
      <c r="CE21" s="4"/>
      <c r="CF21" s="5"/>
      <c r="CG21" s="28">
        <f t="shared" si="31"/>
        <v>0</v>
      </c>
      <c r="CH21" s="150"/>
      <c r="CI21" s="4"/>
      <c r="CJ21" s="5">
        <v>6579</v>
      </c>
      <c r="CK21" s="5">
        <v>4514</v>
      </c>
      <c r="CL21" s="5"/>
      <c r="CM21" s="5"/>
      <c r="CN21" s="3">
        <f t="shared" si="131"/>
        <v>11093</v>
      </c>
      <c r="CO21" s="33"/>
      <c r="CP21" s="366"/>
      <c r="CR21" s="4">
        <f t="shared" si="32"/>
        <v>0</v>
      </c>
      <c r="CS21" s="9">
        <f t="shared" si="33"/>
        <v>0</v>
      </c>
      <c r="CT21" s="5">
        <f t="shared" si="34"/>
        <v>0</v>
      </c>
      <c r="CU21" s="5">
        <f t="shared" si="35"/>
        <v>0</v>
      </c>
      <c r="CV21" s="5">
        <f t="shared" si="36"/>
        <v>0</v>
      </c>
      <c r="CW21" s="5">
        <f t="shared" si="37"/>
        <v>0</v>
      </c>
      <c r="CX21" s="5">
        <f t="shared" si="38"/>
        <v>120.96</v>
      </c>
      <c r="CY21" s="5">
        <f t="shared" si="39"/>
        <v>0</v>
      </c>
      <c r="CZ21" s="5">
        <f t="shared" si="40"/>
        <v>3127.02</v>
      </c>
      <c r="DA21" s="5">
        <f t="shared" si="41"/>
        <v>0</v>
      </c>
      <c r="DB21" s="5">
        <f t="shared" si="42"/>
        <v>4912.68</v>
      </c>
      <c r="DC21" s="12">
        <f t="shared" si="43"/>
        <v>0</v>
      </c>
      <c r="DD21" s="310">
        <f t="shared" si="44"/>
        <v>8557.2999999999993</v>
      </c>
      <c r="DE21" s="2695"/>
      <c r="DF21" s="8"/>
      <c r="DG21" s="9"/>
      <c r="DH21" s="5"/>
      <c r="DI21" s="5"/>
      <c r="DJ21" s="5"/>
      <c r="DK21" s="5"/>
      <c r="DL21" s="3">
        <v>120.96</v>
      </c>
      <c r="DM21" s="5"/>
      <c r="DN21" s="3">
        <v>0</v>
      </c>
      <c r="DO21" s="5"/>
      <c r="DP21" s="3">
        <v>2778.8</v>
      </c>
      <c r="DQ21" s="11">
        <v>1785.7600000000002</v>
      </c>
      <c r="DR21" s="12"/>
      <c r="DS21" s="28">
        <f t="shared" si="45"/>
        <v>4685.5200000000004</v>
      </c>
      <c r="DT21" s="36"/>
      <c r="DU21" s="36"/>
      <c r="DV21" s="53"/>
      <c r="DW21" s="27"/>
      <c r="DX21" s="5"/>
      <c r="DY21" s="5"/>
      <c r="DZ21" s="5"/>
      <c r="EA21" s="5"/>
      <c r="EB21" s="3">
        <v>1529.02</v>
      </c>
      <c r="EC21" s="27"/>
      <c r="ED21" s="24">
        <v>2133.88</v>
      </c>
      <c r="EE21" s="33"/>
      <c r="EF21" s="28">
        <f t="shared" si="46"/>
        <v>3662.9</v>
      </c>
      <c r="EG21" s="9"/>
      <c r="EH21" s="36"/>
      <c r="EI21" s="5"/>
      <c r="EJ21" s="313"/>
      <c r="EK21" s="27"/>
      <c r="EL21" s="27"/>
      <c r="EM21" s="27"/>
      <c r="EN21" s="27"/>
      <c r="EO21" s="5">
        <v>1598</v>
      </c>
      <c r="EP21" s="5"/>
      <c r="EQ21" s="5">
        <v>0</v>
      </c>
      <c r="ER21" s="33"/>
      <c r="ES21" s="28">
        <f t="shared" si="143"/>
        <v>1598</v>
      </c>
      <c r="ET21" s="36"/>
      <c r="EU21" s="27"/>
      <c r="EV21" s="27"/>
      <c r="EW21" s="27"/>
      <c r="EX21" s="27"/>
      <c r="EY21" s="27"/>
      <c r="EZ21" s="33">
        <f t="shared" si="48"/>
        <v>0</v>
      </c>
      <c r="FA21" s="2685"/>
      <c r="FC21" s="4">
        <f t="shared" si="49"/>
        <v>0</v>
      </c>
      <c r="FD21" s="5">
        <f t="shared" si="50"/>
        <v>0</v>
      </c>
      <c r="FE21" s="5">
        <f t="shared" si="51"/>
        <v>0</v>
      </c>
      <c r="FF21" s="12">
        <f t="shared" si="52"/>
        <v>0</v>
      </c>
      <c r="FG21" s="33"/>
      <c r="FH21" s="2674"/>
      <c r="FI21" s="9"/>
      <c r="FJ21" s="5"/>
      <c r="FK21" s="5"/>
      <c r="FL21" s="5"/>
      <c r="FM21" s="5"/>
      <c r="FN21" s="27"/>
      <c r="FO21" s="28">
        <f t="shared" si="53"/>
        <v>0</v>
      </c>
      <c r="FP21" s="36"/>
      <c r="FQ21" s="27"/>
      <c r="FR21" s="27"/>
      <c r="FS21" s="27"/>
      <c r="FT21" s="27"/>
      <c r="FU21" s="27"/>
      <c r="FV21" s="28">
        <f t="shared" si="54"/>
        <v>0</v>
      </c>
      <c r="FW21" s="36"/>
      <c r="FX21" s="36"/>
      <c r="FY21" s="27"/>
      <c r="FZ21" s="27"/>
      <c r="GA21" s="27"/>
      <c r="GB21" s="27"/>
      <c r="GC21" s="27"/>
      <c r="GD21" s="27"/>
      <c r="GE21" s="24">
        <v>0</v>
      </c>
      <c r="GF21" s="27"/>
      <c r="GG21" s="27"/>
      <c r="GH21" s="33"/>
      <c r="GI21" s="33">
        <f t="shared" si="55"/>
        <v>0</v>
      </c>
      <c r="GJ21" s="2674"/>
      <c r="GL21" s="2">
        <f t="shared" si="132"/>
        <v>0</v>
      </c>
      <c r="GM21" s="63">
        <f t="shared" si="133"/>
        <v>1951.93</v>
      </c>
      <c r="GN21" s="24">
        <f t="shared" si="134"/>
        <v>4107.82</v>
      </c>
      <c r="GO21" s="1736">
        <f t="shared" si="56"/>
        <v>6059.75</v>
      </c>
      <c r="GP21" s="141"/>
      <c r="GQ21" s="141"/>
      <c r="GR21" s="33"/>
      <c r="GS21" s="2667"/>
      <c r="GT21" s="1739">
        <v>0</v>
      </c>
      <c r="GU21" s="1721">
        <v>0</v>
      </c>
      <c r="GV21" s="1721">
        <v>0</v>
      </c>
      <c r="GW21" s="1721">
        <v>6059.75</v>
      </c>
      <c r="GX21" s="54">
        <f t="shared" si="135"/>
        <v>6059.75</v>
      </c>
      <c r="GY21" s="2667"/>
      <c r="GZ21" s="35">
        <v>0</v>
      </c>
      <c r="HA21" s="36"/>
      <c r="HB21" s="27"/>
      <c r="HC21" s="27"/>
      <c r="HD21" s="27"/>
      <c r="HE21" s="27"/>
      <c r="HF21" s="24">
        <v>0</v>
      </c>
      <c r="HG21" s="27"/>
      <c r="HH21" s="24">
        <v>0</v>
      </c>
      <c r="HI21" s="27"/>
      <c r="HJ21" s="24">
        <v>0</v>
      </c>
      <c r="HK21" s="27"/>
      <c r="HL21" s="24">
        <v>0</v>
      </c>
      <c r="HM21" s="27"/>
      <c r="HN21" s="28">
        <f t="shared" si="148"/>
        <v>0</v>
      </c>
      <c r="HO21" s="36"/>
      <c r="HP21" s="27"/>
      <c r="HQ21" s="27"/>
      <c r="HR21" s="27"/>
      <c r="HS21" s="27"/>
      <c r="HT21" s="27"/>
      <c r="HU21" s="27">
        <f t="array" ref="HU21">SUMPRODUCT(('Data Base hauling'!$C$2:$C$2000="TCM-ROM SB1 BK05-ROM 4")*(ISNUMBER(SEARCH(TEXT('August TCM'!$B21,"00")&amp;"/03/2026",'Data Base hauling'!$E$2:$E$2000)))*'Data Base hauling'!$N$2:$N$2000)</f>
        <v>0</v>
      </c>
      <c r="HV21" s="27"/>
      <c r="HW21" s="27">
        <f t="array" ref="HW21">SUMPRODUCT(('Data Base hauling'!$C$2:$C$2000="TCM-ROM SB1 BK05-ROM 5")*(ISNUMBER(SEARCH(TEXT('August TCM'!$B21,"00")&amp;"/03/2026",'Data Base hauling'!$E$2:$E$2000)))*'Data Base hauling'!$N$2:$N$2000)</f>
        <v>0</v>
      </c>
      <c r="HX21" s="27"/>
      <c r="HY21" s="27"/>
      <c r="HZ21" s="27"/>
      <c r="IA21" s="27"/>
      <c r="IB21" s="27"/>
      <c r="IC21" s="33">
        <f t="shared" si="58"/>
        <v>0</v>
      </c>
      <c r="ID21" s="52"/>
      <c r="IE21" s="152"/>
      <c r="IF21" s="53"/>
      <c r="IG21" s="53"/>
      <c r="IH21" s="53"/>
      <c r="II21" s="53"/>
      <c r="IJ21" s="1926">
        <v>0</v>
      </c>
      <c r="IK21" s="1736"/>
      <c r="IL21" s="1926">
        <v>0</v>
      </c>
      <c r="IM21" s="53"/>
      <c r="IN21" s="1926">
        <v>1951.93</v>
      </c>
      <c r="IO21" s="53"/>
      <c r="IP21" s="53"/>
      <c r="IQ21" s="49">
        <v>0</v>
      </c>
      <c r="IR21" s="2195">
        <f t="shared" si="149"/>
        <v>1951.93</v>
      </c>
      <c r="IS21" s="36"/>
      <c r="IT21" s="36"/>
      <c r="IU21" s="27"/>
      <c r="IV21" s="27"/>
      <c r="IW21" s="53"/>
      <c r="IX21" s="27"/>
      <c r="IY21" s="24">
        <v>0</v>
      </c>
      <c r="IZ21" s="27"/>
      <c r="JA21" s="24">
        <v>4107.82</v>
      </c>
      <c r="JB21" s="27"/>
      <c r="JC21" s="24">
        <v>0</v>
      </c>
      <c r="JD21" s="27"/>
      <c r="JE21" s="27"/>
      <c r="JF21" s="27"/>
      <c r="JG21" s="33">
        <f t="shared" si="150"/>
        <v>4107.82</v>
      </c>
      <c r="JH21" s="2667"/>
      <c r="JJ21" s="2014">
        <v>6059.75</v>
      </c>
      <c r="JK21" s="2015">
        <v>0</v>
      </c>
      <c r="JL21" s="53"/>
      <c r="JM21" s="1736">
        <f t="shared" si="61"/>
        <v>6059.75</v>
      </c>
      <c r="JN21" s="33"/>
      <c r="JO21" s="2669"/>
      <c r="JP21" s="66">
        <v>0</v>
      </c>
      <c r="JQ21" s="67">
        <v>0</v>
      </c>
      <c r="JR21" s="67">
        <v>0</v>
      </c>
      <c r="JS21" s="67">
        <v>0</v>
      </c>
      <c r="JT21" s="67">
        <v>0.67788605140476088</v>
      </c>
      <c r="JU21" s="67">
        <v>0.32211394859523906</v>
      </c>
      <c r="JV21" s="67">
        <v>0</v>
      </c>
      <c r="JW21" s="1921">
        <v>0</v>
      </c>
      <c r="JX21" s="66" t="s">
        <v>296</v>
      </c>
      <c r="JY21" s="67" t="s">
        <v>296</v>
      </c>
      <c r="JZ21" s="67" t="s">
        <v>296</v>
      </c>
      <c r="KA21" s="67" t="s">
        <v>296</v>
      </c>
      <c r="KB21" s="67" t="s">
        <v>296</v>
      </c>
      <c r="KC21" s="67" t="s">
        <v>296</v>
      </c>
      <c r="KD21" s="67" t="s">
        <v>296</v>
      </c>
      <c r="KE21" s="68" t="s">
        <v>296</v>
      </c>
      <c r="KF21" s="69"/>
      <c r="KG21" s="70"/>
      <c r="KH21" s="70"/>
      <c r="KI21" s="70"/>
      <c r="KJ21" s="70"/>
      <c r="KK21" s="70"/>
      <c r="KL21" s="70"/>
      <c r="KM21" s="70"/>
      <c r="KN21" s="33"/>
      <c r="KO21" s="2669"/>
      <c r="KP21" s="2203">
        <v>7028.2666775138305</v>
      </c>
      <c r="KQ21" s="1721">
        <v>0.76355678490074841</v>
      </c>
      <c r="KR21" s="1721">
        <v>3.5007858769931666</v>
      </c>
      <c r="KS21" s="1721">
        <v>6.950502766026684</v>
      </c>
      <c r="KT21" s="1722">
        <v>10.259664822648878</v>
      </c>
      <c r="KU21" s="1958">
        <v>0</v>
      </c>
      <c r="KV21" s="1961">
        <v>0</v>
      </c>
      <c r="KW21" s="1961">
        <v>0</v>
      </c>
      <c r="KX21" s="1961">
        <v>0</v>
      </c>
      <c r="KY21" s="1962">
        <v>0</v>
      </c>
      <c r="KZ21" s="36"/>
      <c r="LA21" s="53"/>
      <c r="LB21" s="53"/>
      <c r="LC21" s="53"/>
      <c r="LD21" s="53"/>
      <c r="LE21" s="33"/>
      <c r="LF21" s="2669"/>
      <c r="LH21" s="26">
        <f t="shared" si="62"/>
        <v>0</v>
      </c>
      <c r="LI21" s="27">
        <f t="shared" si="62"/>
        <v>0</v>
      </c>
      <c r="LJ21" s="27">
        <f t="shared" si="62"/>
        <v>0</v>
      </c>
      <c r="LK21" s="28">
        <f t="shared" si="63"/>
        <v>0</v>
      </c>
      <c r="LL21" s="36"/>
      <c r="LM21" s="27"/>
      <c r="LN21" s="27">
        <v>1</v>
      </c>
      <c r="LO21" s="33"/>
      <c r="LP21" s="1957">
        <v>0</v>
      </c>
      <c r="LQ21" s="486"/>
      <c r="LR21" s="2688"/>
      <c r="LS21" s="36"/>
      <c r="LT21" s="36"/>
      <c r="LU21" s="27"/>
      <c r="LV21" s="27"/>
      <c r="LW21" s="27"/>
      <c r="LX21" s="1117">
        <f t="shared" si="64"/>
        <v>0</v>
      </c>
      <c r="LY21" s="36"/>
      <c r="LZ21" s="36"/>
      <c r="MA21" s="27"/>
      <c r="MB21" s="27"/>
      <c r="MC21" s="33"/>
      <c r="MD21" s="28">
        <f t="shared" si="65"/>
        <v>0</v>
      </c>
      <c r="ME21" s="26"/>
      <c r="MF21" s="36"/>
      <c r="MG21" s="27"/>
      <c r="MH21" s="27"/>
      <c r="MI21" s="27"/>
      <c r="MJ21" s="28"/>
      <c r="MK21" s="36"/>
      <c r="ML21" s="36"/>
      <c r="MM21" s="27"/>
      <c r="MN21" s="27"/>
      <c r="MO21" s="27"/>
      <c r="MP21" s="28"/>
      <c r="MQ21" s="36"/>
      <c r="MR21" s="36"/>
      <c r="MS21" s="27"/>
      <c r="MT21" s="27"/>
      <c r="MU21" s="27"/>
      <c r="MV21" s="33">
        <f t="shared" si="66"/>
        <v>0</v>
      </c>
      <c r="MW21" s="2688"/>
      <c r="MY21" s="26">
        <f t="shared" si="67"/>
        <v>214255.8084180181</v>
      </c>
      <c r="MZ21" s="27">
        <f t="shared" si="68"/>
        <v>280563.39630375826</v>
      </c>
      <c r="NA21" s="27">
        <f t="shared" si="69"/>
        <v>24257.425697817416</v>
      </c>
      <c r="NB21" s="28">
        <f t="shared" si="70"/>
        <v>328656.85795580433</v>
      </c>
      <c r="NC21" s="2621"/>
      <c r="ND21" s="23">
        <f t="shared" si="71"/>
        <v>107126.74263806609</v>
      </c>
      <c r="NE21" s="1655">
        <f t="shared" si="72"/>
        <v>107129.065779952</v>
      </c>
      <c r="NF21" s="60">
        <f t="shared" si="73"/>
        <v>0</v>
      </c>
      <c r="NG21" s="275">
        <f t="shared" si="4"/>
        <v>214255.8084180181</v>
      </c>
      <c r="NH21" s="26">
        <f t="shared" si="74"/>
        <v>0</v>
      </c>
      <c r="NI21" s="27">
        <f t="shared" si="74"/>
        <v>0</v>
      </c>
      <c r="NJ21" s="27">
        <f t="shared" si="74"/>
        <v>0</v>
      </c>
      <c r="NK21" s="27">
        <f t="shared" si="74"/>
        <v>0</v>
      </c>
      <c r="NL21" s="27">
        <f t="shared" si="74"/>
        <v>0</v>
      </c>
      <c r="NM21" s="33">
        <f t="shared" si="74"/>
        <v>0</v>
      </c>
      <c r="NN21" s="27">
        <f t="shared" si="74"/>
        <v>0</v>
      </c>
      <c r="NO21" s="36">
        <f t="shared" si="74"/>
        <v>0</v>
      </c>
      <c r="NP21" s="24">
        <f t="shared" si="74"/>
        <v>28665.66060542424</v>
      </c>
      <c r="NQ21" s="27">
        <f t="shared" si="74"/>
        <v>24023.830351777149</v>
      </c>
      <c r="NR21" s="24">
        <f t="shared" si="136"/>
        <v>8756.5482322711578</v>
      </c>
      <c r="NS21" s="24">
        <f t="shared" si="137"/>
        <v>12528.983566410112</v>
      </c>
      <c r="NT21" s="27">
        <f t="shared" si="0"/>
        <v>73975.022755882659</v>
      </c>
      <c r="NU21" s="27">
        <f t="shared" si="75"/>
        <v>0</v>
      </c>
      <c r="NV21" s="27">
        <f t="shared" si="76"/>
        <v>0</v>
      </c>
      <c r="NW21" s="27">
        <f t="shared" si="77"/>
        <v>0</v>
      </c>
      <c r="NX21" s="27">
        <f t="shared" si="78"/>
        <v>0</v>
      </c>
      <c r="NY21" s="27">
        <f t="shared" si="79"/>
        <v>0</v>
      </c>
      <c r="NZ21" s="27">
        <f t="shared" si="80"/>
        <v>0</v>
      </c>
      <c r="OA21" s="27">
        <f t="shared" si="81"/>
        <v>30065.414489662846</v>
      </c>
      <c r="OB21" s="27">
        <f t="shared" si="82"/>
        <v>0</v>
      </c>
      <c r="OC21" s="27">
        <f t="shared" si="83"/>
        <v>75033.639485704174</v>
      </c>
      <c r="OD21" s="280"/>
      <c r="OE21" s="27">
        <f t="shared" si="138"/>
        <v>10068.200000000003</v>
      </c>
      <c r="OF21" s="27">
        <f t="shared" si="84"/>
        <v>0</v>
      </c>
      <c r="OG21" s="28">
        <f t="shared" si="1"/>
        <v>115167.25397536701</v>
      </c>
      <c r="OH21" s="27">
        <f t="shared" si="153"/>
        <v>0</v>
      </c>
      <c r="OI21" s="27">
        <f t="shared" si="154"/>
        <v>0</v>
      </c>
      <c r="OJ21" s="27">
        <f>+OJ20+DV21+FY21-IU21</f>
        <v>0</v>
      </c>
      <c r="OK21" s="27">
        <f t="shared" si="155"/>
        <v>0</v>
      </c>
      <c r="OL21" s="27">
        <f t="shared" si="156"/>
        <v>0</v>
      </c>
      <c r="OM21" s="27">
        <f t="shared" si="157"/>
        <v>0</v>
      </c>
      <c r="ON21" s="24">
        <f t="shared" si="147"/>
        <v>0</v>
      </c>
      <c r="OO21" s="27">
        <f t="shared" si="145"/>
        <v>0</v>
      </c>
      <c r="OP21" s="24">
        <f t="shared" si="86"/>
        <v>70994.502313713747</v>
      </c>
      <c r="OQ21" s="27">
        <f t="shared" si="87"/>
        <v>0</v>
      </c>
      <c r="OR21" s="24">
        <f t="shared" si="88"/>
        <v>20426.617258794846</v>
      </c>
      <c r="OS21" s="27">
        <f t="shared" si="89"/>
        <v>0</v>
      </c>
      <c r="OT21" s="28">
        <f t="shared" si="2"/>
        <v>91421.119572508585</v>
      </c>
      <c r="OU21" s="36"/>
      <c r="OV21" s="27"/>
      <c r="OW21" s="27"/>
      <c r="OX21" s="27"/>
      <c r="OY21" s="27"/>
      <c r="OZ21" s="27"/>
      <c r="PA21" s="28">
        <f t="shared" si="90"/>
        <v>0</v>
      </c>
      <c r="PB21" s="36">
        <f t="shared" si="91"/>
        <v>0</v>
      </c>
      <c r="PC21" s="27">
        <f t="shared" si="92"/>
        <v>0</v>
      </c>
      <c r="PD21" s="27">
        <f t="shared" si="93"/>
        <v>0</v>
      </c>
      <c r="PE21" s="27">
        <f t="shared" si="94"/>
        <v>0</v>
      </c>
      <c r="PF21" s="24"/>
      <c r="PG21" s="27">
        <f t="shared" si="95"/>
        <v>0</v>
      </c>
      <c r="PH21" s="33">
        <f t="shared" si="3"/>
        <v>0</v>
      </c>
      <c r="PI21" s="2621"/>
      <c r="PK21" s="1907">
        <v>1053.46</v>
      </c>
      <c r="PL21" s="1101">
        <v>1228</v>
      </c>
      <c r="PM21" s="1101">
        <v>368.4</v>
      </c>
      <c r="PN21" s="3">
        <f t="shared" si="96"/>
        <v>0</v>
      </c>
      <c r="PO21" s="3">
        <f t="shared" si="97"/>
        <v>33678.869204532864</v>
      </c>
      <c r="PP21" s="11">
        <f t="shared" si="98"/>
        <v>24257.425697817416</v>
      </c>
      <c r="PQ21" s="15"/>
      <c r="PR21" s="2615"/>
      <c r="PT21" s="4"/>
      <c r="PU21" s="9"/>
      <c r="PV21" s="9"/>
      <c r="PW21" s="9"/>
      <c r="PX21" s="2531">
        <v>396.64</v>
      </c>
      <c r="PY21" s="9"/>
      <c r="PZ21" s="8">
        <f t="shared" si="99"/>
        <v>396.64</v>
      </c>
      <c r="QA21" s="5">
        <f t="shared" si="100"/>
        <v>1053.46</v>
      </c>
      <c r="QB21" s="5"/>
      <c r="QC21" s="5"/>
      <c r="QD21" s="5"/>
      <c r="QE21" s="5"/>
      <c r="QF21" s="5"/>
      <c r="QG21" s="12"/>
      <c r="QH21" s="12">
        <f t="shared" si="101"/>
        <v>29562.488999999998</v>
      </c>
      <c r="QI21" s="420">
        <f t="shared" si="102"/>
        <v>295374.08007140434</v>
      </c>
      <c r="QJ21" s="1106">
        <f t="shared" si="139"/>
        <v>3720.2888844000004</v>
      </c>
      <c r="QK21" s="484">
        <f t="shared" si="103"/>
        <v>5505.3678056099998</v>
      </c>
      <c r="QL21" s="12"/>
      <c r="QM21" s="2615"/>
      <c r="QO21" s="139">
        <f t="shared" si="104"/>
        <v>0</v>
      </c>
      <c r="QP21" s="139" t="str">
        <f t="shared" si="105"/>
        <v/>
      </c>
      <c r="QR21" s="139">
        <f t="shared" si="106"/>
        <v>0</v>
      </c>
      <c r="QS21" s="139">
        <f t="shared" si="107"/>
        <v>0</v>
      </c>
      <c r="QU21" s="1">
        <f t="shared" si="108"/>
        <v>0</v>
      </c>
      <c r="QV21" s="1">
        <f t="shared" si="109"/>
        <v>0</v>
      </c>
      <c r="QW21" s="1">
        <f t="shared" si="110"/>
        <v>0</v>
      </c>
      <c r="QX21" s="1">
        <f t="shared" si="111"/>
        <v>0</v>
      </c>
      <c r="QY21" s="1">
        <f t="shared" si="112"/>
        <v>0</v>
      </c>
      <c r="QZ21" s="1">
        <f t="shared" si="113"/>
        <v>0</v>
      </c>
      <c r="RB21" s="1">
        <f t="shared" si="114"/>
        <v>0</v>
      </c>
      <c r="RC21" s="1">
        <f t="shared" si="115"/>
        <v>0</v>
      </c>
      <c r="RD21" s="1">
        <f t="shared" si="116"/>
        <v>0</v>
      </c>
      <c r="RE21" s="1">
        <f t="shared" si="117"/>
        <v>0</v>
      </c>
      <c r="RF21" s="1">
        <f t="shared" si="118"/>
        <v>0</v>
      </c>
      <c r="RG21" s="1">
        <f t="shared" si="119"/>
        <v>0</v>
      </c>
      <c r="RJ21" s="1">
        <v>12</v>
      </c>
      <c r="RK21" s="1">
        <f t="shared" si="151"/>
        <v>23216.520209717099</v>
      </c>
      <c r="RL21" s="1">
        <f t="shared" si="151"/>
        <v>3703.586780483718</v>
      </c>
      <c r="RM21" s="1">
        <f t="shared" si="151"/>
        <v>13404.263703387322</v>
      </c>
      <c r="RN21" s="89">
        <f t="shared" si="5"/>
        <v>40324.370693588135</v>
      </c>
      <c r="RO21" s="1033">
        <v>12</v>
      </c>
      <c r="RP21" s="1098">
        <v>0</v>
      </c>
      <c r="RQ21" s="1098">
        <f t="shared" si="121"/>
        <v>396.64</v>
      </c>
      <c r="RR21" s="1097">
        <f t="shared" si="121"/>
        <v>0</v>
      </c>
      <c r="RS21" s="1097">
        <f t="shared" si="122"/>
        <v>8745.06</v>
      </c>
      <c r="RT21" s="1109"/>
      <c r="RU21" s="1928">
        <v>2608122058</v>
      </c>
      <c r="RV21" s="1048"/>
      <c r="RX21" s="421">
        <v>12</v>
      </c>
      <c r="RY21" s="1095">
        <f t="shared" si="123"/>
        <v>6059.75</v>
      </c>
      <c r="RZ21" s="1928">
        <v>2608125190</v>
      </c>
      <c r="SB21" s="1090"/>
      <c r="SC21" s="1090">
        <f t="shared" si="124"/>
        <v>-396.63999999999942</v>
      </c>
      <c r="SD21" s="1090"/>
      <c r="SE21" s="1090">
        <f t="shared" si="152"/>
        <v>0</v>
      </c>
      <c r="SG21" s="1">
        <v>12</v>
      </c>
      <c r="SH21" s="1">
        <f t="shared" si="126"/>
        <v>0</v>
      </c>
      <c r="SI21" s="1094"/>
    </row>
    <row r="22" spans="1:503" s="1" customFormat="1">
      <c r="B22" s="471">
        <v>13</v>
      </c>
      <c r="C22" s="4">
        <f t="shared" si="127"/>
        <v>145786</v>
      </c>
      <c r="D22" s="1590">
        <f t="shared" si="146"/>
        <v>10389.460000000001</v>
      </c>
      <c r="E22" s="1895">
        <f t="shared" si="6"/>
        <v>14.032105614728772</v>
      </c>
      <c r="F22" s="870"/>
      <c r="G22" s="870"/>
      <c r="H22" s="52"/>
      <c r="I22" s="61"/>
      <c r="J22" s="52"/>
      <c r="K22" s="54"/>
      <c r="L22" s="52"/>
      <c r="M22" s="61"/>
      <c r="N22" s="2629"/>
      <c r="O22" s="4">
        <f t="shared" si="142"/>
        <v>99204</v>
      </c>
      <c r="P22" s="1225">
        <f t="shared" si="7"/>
        <v>6981.3000000000011</v>
      </c>
      <c r="Q22" s="1913">
        <f t="shared" si="8"/>
        <v>14.209960895535213</v>
      </c>
      <c r="R22" s="33"/>
      <c r="S22" s="26">
        <f t="shared" si="9"/>
        <v>15810</v>
      </c>
      <c r="T22" s="27">
        <f t="shared" si="129"/>
        <v>1022.0999999999999</v>
      </c>
      <c r="U22" s="1909">
        <f t="shared" si="10"/>
        <v>15.468153800997946</v>
      </c>
      <c r="V22" s="28"/>
      <c r="W22" s="26">
        <f t="shared" si="11"/>
        <v>26690</v>
      </c>
      <c r="X22" s="5">
        <f t="shared" si="11"/>
        <v>1362</v>
      </c>
      <c r="Y22" s="1909">
        <f t="shared" si="12"/>
        <v>19.59618208516887</v>
      </c>
      <c r="Z22" s="33"/>
      <c r="AA22" s="26">
        <f t="shared" si="13"/>
        <v>4082</v>
      </c>
      <c r="AB22" s="27">
        <f t="shared" si="14"/>
        <v>1024.06</v>
      </c>
      <c r="AC22" s="1909">
        <f t="shared" si="15"/>
        <v>3.9860945647715957</v>
      </c>
      <c r="AD22" s="28"/>
      <c r="AE22" s="36"/>
      <c r="AF22" s="36"/>
      <c r="AG22" s="53">
        <f t="shared" si="16"/>
        <v>0</v>
      </c>
      <c r="AH22" s="28"/>
      <c r="AI22" s="23"/>
      <c r="AJ22" s="27"/>
      <c r="AK22" s="53">
        <f t="shared" si="17"/>
        <v>0</v>
      </c>
      <c r="AL22" s="28"/>
      <c r="AM22" s="2629"/>
      <c r="AN22" s="9"/>
      <c r="AO22" s="64"/>
      <c r="AP22" s="61">
        <f t="shared" si="18"/>
        <v>0</v>
      </c>
      <c r="AQ22" s="36"/>
      <c r="AR22" s="53"/>
      <c r="AS22" s="61">
        <f t="shared" si="19"/>
        <v>0</v>
      </c>
      <c r="AT22" s="36">
        <v>0</v>
      </c>
      <c r="AU22" s="27"/>
      <c r="AV22" s="54">
        <f t="shared" si="20"/>
        <v>0</v>
      </c>
      <c r="AW22" s="26">
        <v>49980</v>
      </c>
      <c r="AX22" s="24">
        <v>4816.2000000000007</v>
      </c>
      <c r="AY22" s="1895">
        <f t="shared" si="140"/>
        <v>10.37747601843777</v>
      </c>
      <c r="AZ22" s="1908"/>
      <c r="BA22" s="1909"/>
      <c r="BB22" s="1895">
        <f t="shared" si="21"/>
        <v>0</v>
      </c>
      <c r="BC22" s="1740">
        <v>49224</v>
      </c>
      <c r="BD22" s="1926">
        <v>2165.1000000000004</v>
      </c>
      <c r="BE22" s="1895">
        <f t="shared" si="22"/>
        <v>22.735208535402517</v>
      </c>
      <c r="BF22" s="1908"/>
      <c r="BG22" s="1909"/>
      <c r="BH22" s="1895">
        <f t="shared" si="23"/>
        <v>0</v>
      </c>
      <c r="BI22" s="1908">
        <v>0</v>
      </c>
      <c r="BJ22" s="1909">
        <v>0</v>
      </c>
      <c r="BK22" s="1895">
        <f t="shared" si="24"/>
        <v>0</v>
      </c>
      <c r="BL22" s="1742">
        <v>15810</v>
      </c>
      <c r="BM22" s="1736">
        <v>1022.0999999999999</v>
      </c>
      <c r="BN22" s="2170"/>
      <c r="BO22" s="1920">
        <f t="shared" si="25"/>
        <v>15.468153800997946</v>
      </c>
      <c r="BP22" s="9">
        <v>4082</v>
      </c>
      <c r="BQ22" s="53">
        <v>1024.06</v>
      </c>
      <c r="BR22" s="1920">
        <f t="shared" si="26"/>
        <v>3.9860945647715957</v>
      </c>
      <c r="BS22" s="9"/>
      <c r="BT22" s="64"/>
      <c r="BU22" s="482">
        <f t="shared" si="27"/>
        <v>0</v>
      </c>
      <c r="BV22" s="9">
        <v>26690</v>
      </c>
      <c r="BW22" s="280">
        <f>ES22</f>
        <v>1362</v>
      </c>
      <c r="BX22" s="2131">
        <f t="shared" si="28"/>
        <v>19.59618208516887</v>
      </c>
      <c r="BY22" s="26"/>
      <c r="BZ22" s="27"/>
      <c r="CA22" s="482">
        <f t="shared" si="29"/>
        <v>0</v>
      </c>
      <c r="CB22" s="9"/>
      <c r="CC22" s="481"/>
      <c r="CD22" s="482">
        <f t="shared" si="30"/>
        <v>0</v>
      </c>
      <c r="CE22" s="4"/>
      <c r="CF22" s="5"/>
      <c r="CG22" s="28">
        <f t="shared" si="31"/>
        <v>0</v>
      </c>
      <c r="CH22" s="150"/>
      <c r="CI22" s="4"/>
      <c r="CJ22" s="5">
        <v>5967</v>
      </c>
      <c r="CK22" s="5">
        <v>3732</v>
      </c>
      <c r="CL22" s="5"/>
      <c r="CM22" s="5"/>
      <c r="CN22" s="3">
        <f t="shared" si="131"/>
        <v>9699</v>
      </c>
      <c r="CO22" s="33"/>
      <c r="CP22" s="366"/>
      <c r="CR22" s="4">
        <f t="shared" si="32"/>
        <v>0</v>
      </c>
      <c r="CS22" s="9">
        <f t="shared" si="33"/>
        <v>0</v>
      </c>
      <c r="CT22" s="5">
        <f t="shared" si="34"/>
        <v>0</v>
      </c>
      <c r="CU22" s="5">
        <f t="shared" si="35"/>
        <v>0</v>
      </c>
      <c r="CV22" s="5">
        <f t="shared" si="36"/>
        <v>0</v>
      </c>
      <c r="CW22" s="5">
        <f t="shared" si="37"/>
        <v>0</v>
      </c>
      <c r="CX22" s="5">
        <f t="shared" si="38"/>
        <v>2465.6400000000003</v>
      </c>
      <c r="CY22" s="5">
        <f t="shared" si="39"/>
        <v>0</v>
      </c>
      <c r="CZ22" s="5">
        <f t="shared" si="40"/>
        <v>3974.1</v>
      </c>
      <c r="DA22" s="5">
        <f t="shared" si="41"/>
        <v>0</v>
      </c>
      <c r="DB22" s="5">
        <f t="shared" si="42"/>
        <v>3949.7200000000003</v>
      </c>
      <c r="DC22" s="12">
        <f t="shared" si="43"/>
        <v>0</v>
      </c>
      <c r="DD22" s="310">
        <f t="shared" si="44"/>
        <v>10389.459999999999</v>
      </c>
      <c r="DE22" s="2695"/>
      <c r="DF22" s="8"/>
      <c r="DG22" s="9"/>
      <c r="DH22" s="5"/>
      <c r="DI22" s="5"/>
      <c r="DJ22" s="5"/>
      <c r="DK22" s="5"/>
      <c r="DL22" s="3">
        <v>2465.6400000000003</v>
      </c>
      <c r="DM22" s="5"/>
      <c r="DN22" s="3">
        <v>0</v>
      </c>
      <c r="DO22" s="5"/>
      <c r="DP22" s="3">
        <v>2350.56</v>
      </c>
      <c r="DQ22" s="11">
        <v>0</v>
      </c>
      <c r="DR22" s="12"/>
      <c r="DS22" s="28">
        <f t="shared" si="45"/>
        <v>4816.2000000000007</v>
      </c>
      <c r="DT22" s="36"/>
      <c r="DU22" s="36"/>
      <c r="DV22" s="53"/>
      <c r="DW22" s="27"/>
      <c r="DX22" s="5"/>
      <c r="DY22" s="5"/>
      <c r="DZ22" s="5"/>
      <c r="EA22" s="5"/>
      <c r="EB22" s="3">
        <v>2612.1</v>
      </c>
      <c r="EC22" s="27"/>
      <c r="ED22" s="24">
        <v>1599.16</v>
      </c>
      <c r="EE22" s="33"/>
      <c r="EF22" s="28">
        <f t="shared" si="46"/>
        <v>4211.26</v>
      </c>
      <c r="EG22" s="9"/>
      <c r="EH22" s="36"/>
      <c r="EI22" s="5"/>
      <c r="EJ22" s="325"/>
      <c r="EK22" s="27"/>
      <c r="EL22" s="27"/>
      <c r="EM22" s="27"/>
      <c r="EN22" s="27"/>
      <c r="EO22" s="5">
        <v>1362</v>
      </c>
      <c r="EP22" s="5"/>
      <c r="EQ22" s="5">
        <v>0</v>
      </c>
      <c r="ER22" s="33"/>
      <c r="ES22" s="28">
        <f t="shared" si="143"/>
        <v>1362</v>
      </c>
      <c r="ET22" s="36"/>
      <c r="EU22" s="27"/>
      <c r="EV22" s="27"/>
      <c r="EW22" s="27"/>
      <c r="EX22" s="27"/>
      <c r="EY22" s="27"/>
      <c r="EZ22" s="33">
        <f t="shared" si="48"/>
        <v>0</v>
      </c>
      <c r="FA22" s="2685"/>
      <c r="FC22" s="4">
        <f t="shared" si="49"/>
        <v>0</v>
      </c>
      <c r="FD22" s="5">
        <f t="shared" si="50"/>
        <v>0</v>
      </c>
      <c r="FE22" s="5">
        <f t="shared" si="51"/>
        <v>0</v>
      </c>
      <c r="FF22" s="12">
        <f t="shared" si="52"/>
        <v>0</v>
      </c>
      <c r="FG22" s="33"/>
      <c r="FH22" s="2674"/>
      <c r="FI22" s="9"/>
      <c r="FJ22" s="5"/>
      <c r="FK22" s="5"/>
      <c r="FL22" s="5"/>
      <c r="FM22" s="5"/>
      <c r="FN22" s="27"/>
      <c r="FO22" s="28">
        <f t="shared" si="53"/>
        <v>0</v>
      </c>
      <c r="FP22" s="36"/>
      <c r="FQ22" s="27"/>
      <c r="FR22" s="27"/>
      <c r="FS22" s="27"/>
      <c r="FT22" s="27"/>
      <c r="FU22" s="27"/>
      <c r="FV22" s="28">
        <f t="shared" si="54"/>
        <v>0</v>
      </c>
      <c r="FW22" s="36"/>
      <c r="FX22" s="36"/>
      <c r="FY22" s="27"/>
      <c r="FZ22" s="27"/>
      <c r="GA22" s="27"/>
      <c r="GB22" s="27"/>
      <c r="GC22" s="27"/>
      <c r="GD22" s="27"/>
      <c r="GE22" s="24">
        <v>0</v>
      </c>
      <c r="GF22" s="27"/>
      <c r="GG22" s="27"/>
      <c r="GH22" s="33"/>
      <c r="GI22" s="33">
        <f t="shared" si="55"/>
        <v>0</v>
      </c>
      <c r="GJ22" s="2674"/>
      <c r="GL22" s="2">
        <f t="shared" si="132"/>
        <v>0</v>
      </c>
      <c r="GM22" s="63">
        <f t="shared" si="133"/>
        <v>1035.7</v>
      </c>
      <c r="GN22" s="24">
        <f t="shared" si="134"/>
        <v>4959.3599999999997</v>
      </c>
      <c r="GO22" s="1736">
        <f t="shared" si="56"/>
        <v>5995.0599999999995</v>
      </c>
      <c r="GP22" s="141"/>
      <c r="GQ22" s="141"/>
      <c r="GR22" s="33"/>
      <c r="GS22" s="2667"/>
      <c r="GT22" s="1739">
        <v>0</v>
      </c>
      <c r="GU22" s="1721">
        <v>0</v>
      </c>
      <c r="GV22" s="1721">
        <v>2449.56</v>
      </c>
      <c r="GW22" s="1721">
        <v>3545.5</v>
      </c>
      <c r="GX22" s="54">
        <f t="shared" si="135"/>
        <v>5995.0599999999995</v>
      </c>
      <c r="GY22" s="2667"/>
      <c r="GZ22" s="35">
        <v>0</v>
      </c>
      <c r="HA22" s="36"/>
      <c r="HB22" s="27"/>
      <c r="HC22" s="27"/>
      <c r="HD22" s="27"/>
      <c r="HE22" s="27"/>
      <c r="HF22" s="24">
        <v>0</v>
      </c>
      <c r="HG22" s="27"/>
      <c r="HH22" s="24">
        <v>0</v>
      </c>
      <c r="HI22" s="27"/>
      <c r="HJ22" s="24">
        <v>0</v>
      </c>
      <c r="HK22" s="27"/>
      <c r="HL22" s="24">
        <v>0</v>
      </c>
      <c r="HM22" s="27"/>
      <c r="HN22" s="28">
        <f t="shared" si="148"/>
        <v>0</v>
      </c>
      <c r="HO22" s="36"/>
      <c r="HP22" s="27"/>
      <c r="HQ22" s="27"/>
      <c r="HR22" s="27"/>
      <c r="HS22" s="27"/>
      <c r="HT22" s="27"/>
      <c r="HU22" s="27">
        <f t="array" ref="HU22">SUMPRODUCT(('Data Base hauling'!$C$2:$C$2000="TCM-ROM SB1 BK05-ROM 4")*(ISNUMBER(SEARCH(TEXT('August TCM'!$B22,"00")&amp;"/03/2026",'Data Base hauling'!$E$2:$E$2000)))*'Data Base hauling'!$N$2:$N$2000)</f>
        <v>0</v>
      </c>
      <c r="HV22" s="27"/>
      <c r="HW22" s="27">
        <f t="array" ref="HW22">SUMPRODUCT(('Data Base hauling'!$C$2:$C$2000="TCM-ROM SB1 BK05-ROM 5")*(ISNUMBER(SEARCH(TEXT('August TCM'!$B22,"00")&amp;"/03/2026",'Data Base hauling'!$E$2:$E$2000)))*'Data Base hauling'!$N$2:$N$2000)</f>
        <v>0</v>
      </c>
      <c r="HX22" s="27"/>
      <c r="HY22" s="27"/>
      <c r="HZ22" s="27"/>
      <c r="IA22" s="27"/>
      <c r="IB22" s="27"/>
      <c r="IC22" s="33">
        <f t="shared" si="58"/>
        <v>0</v>
      </c>
      <c r="ID22" s="363"/>
      <c r="IE22" s="363"/>
      <c r="IF22" s="64"/>
      <c r="IG22" s="64"/>
      <c r="IH22" s="64"/>
      <c r="II22" s="64"/>
      <c r="IJ22" s="1926">
        <v>0</v>
      </c>
      <c r="IK22" s="1590"/>
      <c r="IL22" s="1926">
        <v>0</v>
      </c>
      <c r="IM22" s="64"/>
      <c r="IN22" s="1926">
        <v>1035.7</v>
      </c>
      <c r="IO22" s="53"/>
      <c r="IP22" s="53"/>
      <c r="IQ22" s="49">
        <v>0</v>
      </c>
      <c r="IR22" s="2195">
        <f t="shared" si="149"/>
        <v>1035.7</v>
      </c>
      <c r="IS22" s="36"/>
      <c r="IT22" s="36"/>
      <c r="IU22" s="53"/>
      <c r="IV22" s="27"/>
      <c r="IW22" s="53"/>
      <c r="IX22" s="27"/>
      <c r="IY22" s="24">
        <v>0</v>
      </c>
      <c r="IZ22" s="27"/>
      <c r="JA22" s="24">
        <v>4959.3599999999997</v>
      </c>
      <c r="JB22" s="27"/>
      <c r="JC22" s="24">
        <v>0</v>
      </c>
      <c r="JD22" s="27"/>
      <c r="JE22" s="27"/>
      <c r="JF22" s="27"/>
      <c r="JG22" s="33">
        <f t="shared" si="150"/>
        <v>4959.3599999999997</v>
      </c>
      <c r="JH22" s="2667"/>
      <c r="JJ22" s="2014">
        <v>5995.0599999999995</v>
      </c>
      <c r="JK22" s="2015">
        <v>0</v>
      </c>
      <c r="JL22" s="53"/>
      <c r="JM22" s="1736">
        <f t="shared" si="61"/>
        <v>5995.0599999999995</v>
      </c>
      <c r="JN22" s="33"/>
      <c r="JO22" s="2669"/>
      <c r="JP22" s="66">
        <v>0</v>
      </c>
      <c r="JQ22" s="67">
        <v>0</v>
      </c>
      <c r="JR22" s="67">
        <v>0</v>
      </c>
      <c r="JS22" s="67">
        <v>0</v>
      </c>
      <c r="JT22" s="67">
        <v>0.82724109516835531</v>
      </c>
      <c r="JU22" s="67">
        <v>0.17275890483164474</v>
      </c>
      <c r="JV22" s="67">
        <v>0</v>
      </c>
      <c r="JW22" s="1921">
        <v>0</v>
      </c>
      <c r="JX22" s="66" t="s">
        <v>296</v>
      </c>
      <c r="JY22" s="67" t="s">
        <v>296</v>
      </c>
      <c r="JZ22" s="67" t="s">
        <v>296</v>
      </c>
      <c r="KA22" s="67" t="s">
        <v>296</v>
      </c>
      <c r="KB22" s="67" t="s">
        <v>296</v>
      </c>
      <c r="KC22" s="67" t="s">
        <v>296</v>
      </c>
      <c r="KD22" s="67" t="s">
        <v>296</v>
      </c>
      <c r="KE22" s="68" t="s">
        <v>296</v>
      </c>
      <c r="KF22" s="69"/>
      <c r="KG22" s="70"/>
      <c r="KH22" s="70"/>
      <c r="KI22" s="70"/>
      <c r="KJ22" s="70"/>
      <c r="KK22" s="70"/>
      <c r="KL22" s="70"/>
      <c r="KM22" s="70"/>
      <c r="KN22" s="33"/>
      <c r="KO22" s="2669"/>
      <c r="KP22" s="2203">
        <v>6854.5764914353222</v>
      </c>
      <c r="KQ22" s="1721">
        <v>0.72906674542232719</v>
      </c>
      <c r="KR22" s="1721">
        <v>5.3165682220909636</v>
      </c>
      <c r="KS22" s="1721">
        <v>6.4826166568222101</v>
      </c>
      <c r="KT22" s="1722">
        <v>9.9863496751328995</v>
      </c>
      <c r="KU22" s="1958">
        <v>0</v>
      </c>
      <c r="KV22" s="1961">
        <v>0</v>
      </c>
      <c r="KW22" s="1961">
        <v>0</v>
      </c>
      <c r="KX22" s="1961">
        <v>0</v>
      </c>
      <c r="KY22" s="1962">
        <v>0</v>
      </c>
      <c r="KZ22" s="36"/>
      <c r="LA22" s="53"/>
      <c r="LB22" s="53"/>
      <c r="LC22" s="53"/>
      <c r="LD22" s="53"/>
      <c r="LE22" s="33"/>
      <c r="LF22" s="2669"/>
      <c r="LH22" s="4">
        <f t="shared" si="62"/>
        <v>0</v>
      </c>
      <c r="LI22" s="27">
        <f t="shared" si="62"/>
        <v>0</v>
      </c>
      <c r="LJ22" s="27">
        <f t="shared" si="62"/>
        <v>0</v>
      </c>
      <c r="LK22" s="28">
        <f t="shared" si="63"/>
        <v>0</v>
      </c>
      <c r="LL22" s="36"/>
      <c r="LM22" s="27"/>
      <c r="LN22" s="27">
        <v>3</v>
      </c>
      <c r="LO22" s="33"/>
      <c r="LP22" s="1957">
        <v>0</v>
      </c>
      <c r="LQ22" s="486"/>
      <c r="LR22" s="2688"/>
      <c r="LS22" s="36"/>
      <c r="LT22" s="36"/>
      <c r="LU22" s="27"/>
      <c r="LV22" s="27"/>
      <c r="LW22" s="27"/>
      <c r="LX22" s="1117">
        <f t="shared" si="64"/>
        <v>0</v>
      </c>
      <c r="LY22" s="36"/>
      <c r="LZ22" s="36"/>
      <c r="MA22" s="27"/>
      <c r="MB22" s="27"/>
      <c r="MC22" s="33"/>
      <c r="MD22" s="28">
        <f t="shared" si="65"/>
        <v>0</v>
      </c>
      <c r="ME22" s="26"/>
      <c r="MF22" s="36"/>
      <c r="MG22" s="27"/>
      <c r="MH22" s="27"/>
      <c r="MI22" s="27"/>
      <c r="MJ22" s="28"/>
      <c r="MK22" s="36"/>
      <c r="ML22" s="36"/>
      <c r="MM22" s="27"/>
      <c r="MN22" s="27"/>
      <c r="MO22" s="27"/>
      <c r="MP22" s="28"/>
      <c r="MQ22" s="36"/>
      <c r="MR22" s="36"/>
      <c r="MS22" s="27"/>
      <c r="MT22" s="27"/>
      <c r="MU22" s="27"/>
      <c r="MV22" s="33">
        <f t="shared" si="66"/>
        <v>0</v>
      </c>
      <c r="MW22" s="2688"/>
      <c r="MY22" s="26">
        <f t="shared" si="67"/>
        <v>220250.8684180181</v>
      </c>
      <c r="MZ22" s="27">
        <f t="shared" si="68"/>
        <v>284957.79630375828</v>
      </c>
      <c r="NA22" s="27">
        <f t="shared" si="69"/>
        <v>24573.025697817415</v>
      </c>
      <c r="NB22" s="28">
        <f t="shared" si="70"/>
        <v>328656.85795580433</v>
      </c>
      <c r="NC22" s="2621"/>
      <c r="ND22" s="23">
        <f t="shared" si="71"/>
        <v>113121.80263806609</v>
      </c>
      <c r="NE22" s="1655">
        <f t="shared" si="72"/>
        <v>107129.065779952</v>
      </c>
      <c r="NF22" s="60">
        <f t="shared" si="73"/>
        <v>0</v>
      </c>
      <c r="NG22" s="275">
        <f t="shared" si="4"/>
        <v>220250.8684180181</v>
      </c>
      <c r="NH22" s="26">
        <f t="shared" si="74"/>
        <v>0</v>
      </c>
      <c r="NI22" s="27">
        <f t="shared" si="74"/>
        <v>0</v>
      </c>
      <c r="NJ22" s="27">
        <f t="shared" si="74"/>
        <v>0</v>
      </c>
      <c r="NK22" s="27">
        <f t="shared" si="74"/>
        <v>0</v>
      </c>
      <c r="NL22" s="27">
        <f t="shared" si="74"/>
        <v>0</v>
      </c>
      <c r="NM22" s="33">
        <f t="shared" si="74"/>
        <v>0</v>
      </c>
      <c r="NN22" s="27">
        <f t="shared" si="74"/>
        <v>0</v>
      </c>
      <c r="NO22" s="36">
        <f t="shared" si="74"/>
        <v>0</v>
      </c>
      <c r="NP22" s="24">
        <f t="shared" si="74"/>
        <v>30027.66060542424</v>
      </c>
      <c r="NQ22" s="27">
        <f t="shared" si="74"/>
        <v>24023.830351777149</v>
      </c>
      <c r="NR22" s="24">
        <f t="shared" si="136"/>
        <v>8756.5482322711578</v>
      </c>
      <c r="NS22" s="24">
        <f t="shared" si="137"/>
        <v>12528.983566410112</v>
      </c>
      <c r="NT22" s="27">
        <f t="shared" si="0"/>
        <v>75337.022755882659</v>
      </c>
      <c r="NU22" s="27">
        <f t="shared" si="75"/>
        <v>0</v>
      </c>
      <c r="NV22" s="27">
        <f t="shared" si="76"/>
        <v>0</v>
      </c>
      <c r="NW22" s="27">
        <f t="shared" si="77"/>
        <v>0</v>
      </c>
      <c r="NX22" s="27">
        <f t="shared" si="78"/>
        <v>0</v>
      </c>
      <c r="NY22" s="27">
        <f t="shared" si="79"/>
        <v>0</v>
      </c>
      <c r="NZ22" s="27">
        <f t="shared" si="80"/>
        <v>0</v>
      </c>
      <c r="OA22" s="27">
        <f t="shared" si="81"/>
        <v>32531.054489662845</v>
      </c>
      <c r="OB22" s="27">
        <f t="shared" si="82"/>
        <v>0</v>
      </c>
      <c r="OC22" s="27">
        <f t="shared" si="83"/>
        <v>76348.499485704175</v>
      </c>
      <c r="OD22" s="280"/>
      <c r="OE22" s="27">
        <f t="shared" si="138"/>
        <v>10068.200000000003</v>
      </c>
      <c r="OF22" s="27">
        <f t="shared" si="84"/>
        <v>0</v>
      </c>
      <c r="OG22" s="28">
        <f t="shared" si="1"/>
        <v>118947.75397536701</v>
      </c>
      <c r="OH22" s="27">
        <f t="shared" si="153"/>
        <v>0</v>
      </c>
      <c r="OI22" s="27">
        <f t="shared" si="154"/>
        <v>0</v>
      </c>
      <c r="OJ22" s="27">
        <v>0</v>
      </c>
      <c r="OK22" s="27">
        <f t="shared" si="155"/>
        <v>0</v>
      </c>
      <c r="OL22" s="27">
        <f t="shared" si="156"/>
        <v>0</v>
      </c>
      <c r="OM22" s="27">
        <f t="shared" si="157"/>
        <v>0</v>
      </c>
      <c r="ON22" s="24">
        <f t="shared" si="147"/>
        <v>0</v>
      </c>
      <c r="OO22" s="27">
        <f t="shared" si="145"/>
        <v>0</v>
      </c>
      <c r="OP22" s="24">
        <f t="shared" si="86"/>
        <v>68647.242313713752</v>
      </c>
      <c r="OQ22" s="27">
        <f t="shared" si="87"/>
        <v>0</v>
      </c>
      <c r="OR22" s="24">
        <f t="shared" si="88"/>
        <v>22025.777258794846</v>
      </c>
      <c r="OS22" s="27">
        <f t="shared" si="89"/>
        <v>0</v>
      </c>
      <c r="OT22" s="28">
        <f t="shared" si="2"/>
        <v>90673.019572508594</v>
      </c>
      <c r="OU22" s="36"/>
      <c r="OV22" s="27"/>
      <c r="OW22" s="27"/>
      <c r="OX22" s="27"/>
      <c r="OY22" s="27"/>
      <c r="OZ22" s="27"/>
      <c r="PA22" s="28">
        <f t="shared" si="90"/>
        <v>0</v>
      </c>
      <c r="PB22" s="36">
        <f t="shared" si="91"/>
        <v>0</v>
      </c>
      <c r="PC22" s="27">
        <f t="shared" si="92"/>
        <v>0</v>
      </c>
      <c r="PD22" s="27">
        <f t="shared" si="93"/>
        <v>0</v>
      </c>
      <c r="PE22" s="27">
        <f t="shared" si="94"/>
        <v>0</v>
      </c>
      <c r="PF22" s="24"/>
      <c r="PG22" s="27">
        <f t="shared" si="95"/>
        <v>0</v>
      </c>
      <c r="PH22" s="33">
        <f t="shared" si="3"/>
        <v>0</v>
      </c>
      <c r="PI22" s="2621"/>
      <c r="PK22" s="1907">
        <v>0</v>
      </c>
      <c r="PL22" s="1101">
        <v>1052</v>
      </c>
      <c r="PM22" s="1101">
        <v>315.60000000000002</v>
      </c>
      <c r="PN22" s="1101">
        <f t="shared" si="96"/>
        <v>0</v>
      </c>
      <c r="PO22" s="3">
        <f t="shared" si="97"/>
        <v>32626.869204532864</v>
      </c>
      <c r="PP22" s="11">
        <f t="shared" si="98"/>
        <v>24573.025697817415</v>
      </c>
      <c r="PQ22" s="15"/>
      <c r="PR22" s="2615"/>
      <c r="PT22" s="4"/>
      <c r="PU22" s="9"/>
      <c r="PV22" s="9"/>
      <c r="PW22" s="9"/>
      <c r="PX22" s="2531">
        <v>0</v>
      </c>
      <c r="PY22" s="9"/>
      <c r="PZ22" s="8">
        <f t="shared" si="99"/>
        <v>0</v>
      </c>
      <c r="QA22" s="5">
        <f t="shared" si="100"/>
        <v>0</v>
      </c>
      <c r="QB22" s="5"/>
      <c r="QC22" s="5"/>
      <c r="QD22" s="5"/>
      <c r="QE22" s="5"/>
      <c r="QF22" s="5"/>
      <c r="QG22" s="12"/>
      <c r="QH22" s="12">
        <f t="shared" si="101"/>
        <v>29562.488999999998</v>
      </c>
      <c r="QI22" s="420">
        <f t="shared" si="102"/>
        <v>295374.08007140434</v>
      </c>
      <c r="QJ22" s="1106">
        <f t="shared" si="139"/>
        <v>3720.2888844000004</v>
      </c>
      <c r="QK22" s="484">
        <f t="shared" si="103"/>
        <v>5505.3678056099998</v>
      </c>
      <c r="QL22" s="12"/>
      <c r="QM22" s="2615"/>
      <c r="QO22" s="139">
        <f t="shared" si="104"/>
        <v>0</v>
      </c>
      <c r="QP22" s="139" t="str">
        <f t="shared" si="105"/>
        <v/>
      </c>
      <c r="QR22" s="139">
        <f t="shared" si="106"/>
        <v>0</v>
      </c>
      <c r="QS22" s="139">
        <f t="shared" si="107"/>
        <v>0</v>
      </c>
      <c r="QU22" s="1">
        <f t="shared" si="108"/>
        <v>0</v>
      </c>
      <c r="QV22" s="1">
        <f t="shared" si="109"/>
        <v>0</v>
      </c>
      <c r="QW22" s="1">
        <f t="shared" si="110"/>
        <v>0</v>
      </c>
      <c r="QX22" s="1">
        <f t="shared" si="111"/>
        <v>0</v>
      </c>
      <c r="QY22" s="1">
        <f t="shared" si="112"/>
        <v>0</v>
      </c>
      <c r="QZ22" s="1">
        <f t="shared" si="113"/>
        <v>0</v>
      </c>
      <c r="RB22" s="1">
        <f t="shared" si="114"/>
        <v>0</v>
      </c>
      <c r="RC22" s="1">
        <f t="shared" si="115"/>
        <v>0</v>
      </c>
      <c r="RD22" s="1">
        <f t="shared" si="116"/>
        <v>0</v>
      </c>
      <c r="RE22" s="1">
        <f t="shared" si="117"/>
        <v>0</v>
      </c>
      <c r="RF22" s="1">
        <f t="shared" si="118"/>
        <v>0</v>
      </c>
      <c r="RG22" s="1">
        <f t="shared" si="119"/>
        <v>0</v>
      </c>
      <c r="RJ22" s="1">
        <v>13</v>
      </c>
      <c r="RK22" s="1">
        <f t="shared" si="151"/>
        <v>29211.580209717096</v>
      </c>
      <c r="RL22" s="1">
        <f t="shared" si="151"/>
        <v>3703.586780483718</v>
      </c>
      <c r="RM22" s="1">
        <f t="shared" si="151"/>
        <v>13404.263703387322</v>
      </c>
      <c r="RN22" s="89">
        <f t="shared" si="5"/>
        <v>46319.430693588132</v>
      </c>
      <c r="RO22" s="1033">
        <v>13</v>
      </c>
      <c r="RP22" s="1098">
        <v>0</v>
      </c>
      <c r="RQ22" s="1098">
        <f t="shared" si="121"/>
        <v>0</v>
      </c>
      <c r="RR22" s="1097">
        <f t="shared" si="121"/>
        <v>0</v>
      </c>
      <c r="RS22" s="1097">
        <f t="shared" si="122"/>
        <v>9027.4600000000009</v>
      </c>
      <c r="RT22" s="1050"/>
      <c r="RU22" s="1109">
        <v>2608132192</v>
      </c>
      <c r="RV22" s="1048"/>
      <c r="RX22" s="421">
        <v>13</v>
      </c>
      <c r="RY22" s="1095">
        <f t="shared" si="123"/>
        <v>5995.0599999999995</v>
      </c>
      <c r="RZ22" s="2441">
        <v>2608135782</v>
      </c>
      <c r="SA22" s="1048"/>
      <c r="SB22" s="1090"/>
      <c r="SC22" s="1090">
        <f t="shared" si="124"/>
        <v>0</v>
      </c>
      <c r="SD22" s="1090"/>
      <c r="SE22" s="1090">
        <f t="shared" si="152"/>
        <v>0</v>
      </c>
      <c r="SG22" s="1">
        <v>13</v>
      </c>
      <c r="SH22" s="1">
        <f t="shared" si="126"/>
        <v>0</v>
      </c>
      <c r="SI22" s="1094"/>
    </row>
    <row r="23" spans="1:503" s="1" customFormat="1" ht="15" customHeight="1">
      <c r="A23" s="1">
        <v>160</v>
      </c>
      <c r="B23" s="471">
        <v>14</v>
      </c>
      <c r="C23" s="4">
        <f t="shared" si="127"/>
        <v>141488</v>
      </c>
      <c r="D23" s="1590">
        <f t="shared" si="146"/>
        <v>11211.300000000001</v>
      </c>
      <c r="E23" s="1895">
        <f t="shared" si="6"/>
        <v>12.620124338836709</v>
      </c>
      <c r="F23" s="870"/>
      <c r="G23" s="870"/>
      <c r="H23" s="52"/>
      <c r="I23" s="61"/>
      <c r="J23" s="52"/>
      <c r="K23" s="54"/>
      <c r="L23" s="52"/>
      <c r="M23" s="61"/>
      <c r="N23" s="2629"/>
      <c r="O23" s="4">
        <f t="shared" si="142"/>
        <v>93618</v>
      </c>
      <c r="P23" s="1225">
        <f t="shared" si="7"/>
        <v>6068.24</v>
      </c>
      <c r="Q23" s="1913">
        <f t="shared" si="8"/>
        <v>15.427537473798004</v>
      </c>
      <c r="R23" s="33"/>
      <c r="S23" s="26">
        <f t="shared" si="9"/>
        <v>17463</v>
      </c>
      <c r="T23" s="27">
        <f t="shared" si="129"/>
        <v>1770.94</v>
      </c>
      <c r="U23" s="1909">
        <f t="shared" si="10"/>
        <v>9.8608648514348314</v>
      </c>
      <c r="V23" s="28"/>
      <c r="W23" s="26">
        <f t="shared" si="11"/>
        <v>24466</v>
      </c>
      <c r="X23" s="5">
        <f t="shared" si="11"/>
        <v>2508</v>
      </c>
      <c r="Y23" s="1909">
        <f t="shared" si="12"/>
        <v>9.7551834130781501</v>
      </c>
      <c r="Z23" s="33"/>
      <c r="AA23" s="26">
        <f t="shared" si="13"/>
        <v>5941</v>
      </c>
      <c r="AB23" s="27">
        <f t="shared" si="14"/>
        <v>864.12</v>
      </c>
      <c r="AC23" s="1909">
        <f t="shared" si="15"/>
        <v>6.8752025181687726</v>
      </c>
      <c r="AD23" s="28"/>
      <c r="AE23" s="36"/>
      <c r="AF23" s="36"/>
      <c r="AG23" s="53">
        <f t="shared" si="16"/>
        <v>0</v>
      </c>
      <c r="AH23" s="28"/>
      <c r="AI23" s="26"/>
      <c r="AJ23" s="27"/>
      <c r="AK23" s="53">
        <f t="shared" si="17"/>
        <v>0</v>
      </c>
      <c r="AL23" s="28"/>
      <c r="AM23" s="2629"/>
      <c r="AN23" s="9"/>
      <c r="AO23" s="5"/>
      <c r="AP23" s="61">
        <f t="shared" si="18"/>
        <v>0</v>
      </c>
      <c r="AQ23" s="36"/>
      <c r="AR23" s="53"/>
      <c r="AS23" s="61">
        <f t="shared" si="19"/>
        <v>0</v>
      </c>
      <c r="AT23" s="36">
        <v>0</v>
      </c>
      <c r="AU23" s="27"/>
      <c r="AV23" s="54">
        <f t="shared" si="20"/>
        <v>0</v>
      </c>
      <c r="AW23" s="26">
        <v>43050</v>
      </c>
      <c r="AX23" s="24">
        <v>4369.3999999999996</v>
      </c>
      <c r="AY23" s="1895">
        <f t="shared" si="140"/>
        <v>9.8526113425184239</v>
      </c>
      <c r="AZ23" s="1908"/>
      <c r="BA23" s="1909"/>
      <c r="BB23" s="1895">
        <f t="shared" si="21"/>
        <v>0</v>
      </c>
      <c r="BC23" s="1740">
        <v>50568</v>
      </c>
      <c r="BD23" s="1926">
        <v>1698.8400000000001</v>
      </c>
      <c r="BE23" s="1895">
        <f t="shared" si="22"/>
        <v>29.766193402557036</v>
      </c>
      <c r="BF23" s="1908"/>
      <c r="BG23" s="1909"/>
      <c r="BH23" s="1895">
        <f t="shared" si="23"/>
        <v>0</v>
      </c>
      <c r="BI23" s="1908">
        <v>0</v>
      </c>
      <c r="BJ23" s="1909">
        <v>0</v>
      </c>
      <c r="BK23" s="1895">
        <f t="shared" si="24"/>
        <v>0</v>
      </c>
      <c r="BL23" s="1742">
        <v>17463</v>
      </c>
      <c r="BM23" s="1736">
        <v>1770.94</v>
      </c>
      <c r="BN23" s="2170"/>
      <c r="BO23" s="1911">
        <f t="shared" si="25"/>
        <v>9.8608648514348314</v>
      </c>
      <c r="BP23" s="9">
        <v>5941</v>
      </c>
      <c r="BQ23" s="53">
        <v>864.12</v>
      </c>
      <c r="BR23" s="1920">
        <f t="shared" si="26"/>
        <v>6.8752025181687726</v>
      </c>
      <c r="BS23" s="9"/>
      <c r="BT23" s="64"/>
      <c r="BU23" s="482">
        <f t="shared" si="27"/>
        <v>0</v>
      </c>
      <c r="BV23" s="9">
        <v>24466</v>
      </c>
      <c r="BW23" s="280">
        <f>ES23</f>
        <v>2508</v>
      </c>
      <c r="BX23" s="1051">
        <f t="shared" si="28"/>
        <v>9.7551834130781501</v>
      </c>
      <c r="BY23" s="26"/>
      <c r="BZ23" s="27"/>
      <c r="CA23" s="482">
        <f t="shared" si="29"/>
        <v>0</v>
      </c>
      <c r="CB23" s="9"/>
      <c r="CC23" s="481"/>
      <c r="CD23" s="482">
        <f t="shared" si="30"/>
        <v>0</v>
      </c>
      <c r="CE23" s="4"/>
      <c r="CF23" s="5"/>
      <c r="CG23" s="28">
        <f t="shared" si="31"/>
        <v>0</v>
      </c>
      <c r="CH23" s="150"/>
      <c r="CI23" s="1108"/>
      <c r="CJ23" s="5">
        <v>8127</v>
      </c>
      <c r="CK23" s="5">
        <v>3616</v>
      </c>
      <c r="CL23" s="5"/>
      <c r="CM23" s="5"/>
      <c r="CN23" s="3">
        <f t="shared" si="131"/>
        <v>11743</v>
      </c>
      <c r="CO23" s="33"/>
      <c r="CP23" s="366"/>
      <c r="CR23" s="4">
        <f t="shared" si="32"/>
        <v>0</v>
      </c>
      <c r="CS23" s="9">
        <f t="shared" si="33"/>
        <v>0</v>
      </c>
      <c r="CT23" s="5">
        <f t="shared" si="34"/>
        <v>0</v>
      </c>
      <c r="CU23" s="5">
        <f t="shared" si="35"/>
        <v>0</v>
      </c>
      <c r="CV23" s="5">
        <f t="shared" si="36"/>
        <v>0</v>
      </c>
      <c r="CW23" s="5">
        <f t="shared" si="37"/>
        <v>0</v>
      </c>
      <c r="CX23" s="5">
        <f t="shared" si="38"/>
        <v>3367.7200000000003</v>
      </c>
      <c r="CY23" s="5">
        <f t="shared" si="39"/>
        <v>0</v>
      </c>
      <c r="CZ23" s="5">
        <f t="shared" si="40"/>
        <v>6707.32</v>
      </c>
      <c r="DA23" s="5">
        <f t="shared" si="41"/>
        <v>0</v>
      </c>
      <c r="DB23" s="5">
        <f t="shared" si="42"/>
        <v>1136.26</v>
      </c>
      <c r="DC23" s="12">
        <f t="shared" si="43"/>
        <v>0</v>
      </c>
      <c r="DD23" s="310">
        <f t="shared" si="44"/>
        <v>11211.300000000001</v>
      </c>
      <c r="DE23" s="2695"/>
      <c r="DF23" s="8"/>
      <c r="DG23" s="9"/>
      <c r="DH23" s="5"/>
      <c r="DI23" s="5"/>
      <c r="DJ23" s="5"/>
      <c r="DK23" s="5"/>
      <c r="DL23" s="3">
        <v>3367.7200000000003</v>
      </c>
      <c r="DM23" s="5"/>
      <c r="DN23" s="3">
        <v>0</v>
      </c>
      <c r="DO23" s="5"/>
      <c r="DP23" s="3">
        <v>1001.6800000000001</v>
      </c>
      <c r="DQ23" s="11">
        <v>0</v>
      </c>
      <c r="DR23" s="12"/>
      <c r="DS23" s="28">
        <f t="shared" si="45"/>
        <v>4369.4000000000005</v>
      </c>
      <c r="DT23" s="36"/>
      <c r="DU23" s="9"/>
      <c r="DV23" s="5"/>
      <c r="DW23" s="5"/>
      <c r="DX23" s="5"/>
      <c r="DY23" s="5"/>
      <c r="DZ23" s="5"/>
      <c r="EA23" s="5"/>
      <c r="EB23" s="3">
        <v>4199.32</v>
      </c>
      <c r="EC23" s="27"/>
      <c r="ED23" s="24">
        <v>134.58000000000001</v>
      </c>
      <c r="EE23" s="33"/>
      <c r="EF23" s="28">
        <f t="shared" si="46"/>
        <v>4333.8999999999996</v>
      </c>
      <c r="EG23" s="9"/>
      <c r="EH23" s="36"/>
      <c r="EI23" s="5"/>
      <c r="EJ23" s="27"/>
      <c r="EK23" s="27"/>
      <c r="EL23" s="27"/>
      <c r="EM23" s="27"/>
      <c r="EN23" s="27"/>
      <c r="EO23" s="5">
        <v>2508</v>
      </c>
      <c r="EP23" s="5"/>
      <c r="EQ23" s="5">
        <v>0</v>
      </c>
      <c r="ER23" s="33"/>
      <c r="ES23" s="28">
        <f t="shared" si="143"/>
        <v>2508</v>
      </c>
      <c r="ET23" s="36"/>
      <c r="EU23" s="27"/>
      <c r="EV23" s="27"/>
      <c r="EW23" s="27"/>
      <c r="EX23" s="27"/>
      <c r="EY23" s="27"/>
      <c r="EZ23" s="33">
        <f t="shared" si="48"/>
        <v>0</v>
      </c>
      <c r="FA23" s="2685"/>
      <c r="FC23" s="4">
        <f t="shared" si="49"/>
        <v>0</v>
      </c>
      <c r="FD23" s="5">
        <f t="shared" si="50"/>
        <v>0</v>
      </c>
      <c r="FE23" s="5">
        <f t="shared" si="51"/>
        <v>0</v>
      </c>
      <c r="FF23" s="12">
        <f t="shared" si="52"/>
        <v>0</v>
      </c>
      <c r="FG23" s="33"/>
      <c r="FH23" s="2674"/>
      <c r="FI23" s="9"/>
      <c r="FJ23" s="5"/>
      <c r="FK23" s="5"/>
      <c r="FL23" s="5"/>
      <c r="FM23" s="5"/>
      <c r="FN23" s="27"/>
      <c r="FO23" s="28">
        <f t="shared" si="53"/>
        <v>0</v>
      </c>
      <c r="FP23" s="36"/>
      <c r="FQ23" s="27"/>
      <c r="FR23" s="27"/>
      <c r="FS23" s="27"/>
      <c r="FT23" s="27"/>
      <c r="FU23" s="27"/>
      <c r="FV23" s="28">
        <f t="shared" si="54"/>
        <v>0</v>
      </c>
      <c r="FW23" s="36"/>
      <c r="FX23" s="36"/>
      <c r="FY23" s="27"/>
      <c r="FZ23" s="27"/>
      <c r="GA23" s="27"/>
      <c r="GB23" s="27"/>
      <c r="GC23" s="27"/>
      <c r="GD23" s="27"/>
      <c r="GE23" s="24">
        <v>0</v>
      </c>
      <c r="GF23" s="27"/>
      <c r="GG23" s="27"/>
      <c r="GH23" s="33"/>
      <c r="GI23" s="33">
        <f t="shared" si="55"/>
        <v>0</v>
      </c>
      <c r="GJ23" s="2674"/>
      <c r="GL23" s="2">
        <f t="shared" si="132"/>
        <v>2513.8799999999997</v>
      </c>
      <c r="GM23" s="63">
        <f t="shared" si="133"/>
        <v>3088.2</v>
      </c>
      <c r="GN23" s="24">
        <f t="shared" si="134"/>
        <v>5475.1900000000005</v>
      </c>
      <c r="GO23" s="1736">
        <f t="shared" si="56"/>
        <v>11077.27</v>
      </c>
      <c r="GP23" s="141"/>
      <c r="GQ23" s="141"/>
      <c r="GR23" s="33"/>
      <c r="GS23" s="2667"/>
      <c r="GT23" s="1739">
        <v>0</v>
      </c>
      <c r="GU23" s="1721">
        <v>257.85000000000002</v>
      </c>
      <c r="GV23" s="1721">
        <v>4816.2299999999996</v>
      </c>
      <c r="GW23" s="1721">
        <v>6003.1900000000005</v>
      </c>
      <c r="GX23" s="54">
        <f t="shared" si="135"/>
        <v>11077.27</v>
      </c>
      <c r="GY23" s="2667"/>
      <c r="GZ23" s="35">
        <v>0</v>
      </c>
      <c r="HA23" s="36"/>
      <c r="HB23" s="27"/>
      <c r="HC23" s="27"/>
      <c r="HD23" s="27"/>
      <c r="HE23" s="27"/>
      <c r="HF23" s="24">
        <v>0</v>
      </c>
      <c r="HG23" s="27"/>
      <c r="HH23" s="24">
        <v>1646.9799999999998</v>
      </c>
      <c r="HI23" s="27"/>
      <c r="HJ23" s="24">
        <v>609.04999999999995</v>
      </c>
      <c r="HK23" s="27"/>
      <c r="HL23" s="24">
        <v>257.85000000000002</v>
      </c>
      <c r="HM23" s="27"/>
      <c r="HN23" s="28">
        <f t="shared" si="148"/>
        <v>2513.8799999999997</v>
      </c>
      <c r="HO23" s="36"/>
      <c r="HP23" s="27"/>
      <c r="HQ23" s="27"/>
      <c r="HR23" s="27"/>
      <c r="HS23" s="27"/>
      <c r="HT23" s="27"/>
      <c r="HU23" s="27">
        <f t="array" ref="HU23">SUMPRODUCT(('Data Base hauling'!$C$2:$C$2000="TCM-ROM SB1 BK05-ROM 4")*(ISNUMBER(SEARCH(TEXT('August TCM'!$B23,"00")&amp;"/03/2026",'Data Base hauling'!$E$2:$E$2000)))*'Data Base hauling'!$N$2:$N$2000)</f>
        <v>0</v>
      </c>
      <c r="HV23" s="27"/>
      <c r="HW23" s="27">
        <f t="array" ref="HW23">SUMPRODUCT(('Data Base hauling'!$C$2:$C$2000="TCM-ROM SB1 BK05-ROM 5")*(ISNUMBER(SEARCH(TEXT('August TCM'!$B23,"00")&amp;"/03/2026",'Data Base hauling'!$E$2:$E$2000)))*'Data Base hauling'!$N$2:$N$2000)</f>
        <v>0</v>
      </c>
      <c r="HX23" s="27"/>
      <c r="HY23" s="27"/>
      <c r="HZ23" s="27"/>
      <c r="IA23" s="27"/>
      <c r="IB23" s="27"/>
      <c r="IC23" s="33">
        <f t="shared" si="58"/>
        <v>0</v>
      </c>
      <c r="ID23" s="52"/>
      <c r="IE23" s="152"/>
      <c r="IF23" s="53"/>
      <c r="IG23" s="53"/>
      <c r="IH23" s="53"/>
      <c r="II23" s="53"/>
      <c r="IJ23" s="1926">
        <v>407.5</v>
      </c>
      <c r="IK23" s="1736"/>
      <c r="IL23" s="1926">
        <v>0</v>
      </c>
      <c r="IM23" s="53"/>
      <c r="IN23" s="49">
        <v>2680.7</v>
      </c>
      <c r="IO23" s="53"/>
      <c r="IP23" s="53"/>
      <c r="IQ23" s="49">
        <v>0</v>
      </c>
      <c r="IR23" s="2195">
        <f t="shared" si="149"/>
        <v>3088.2</v>
      </c>
      <c r="IS23" s="36"/>
      <c r="IT23" s="36"/>
      <c r="IU23" s="27"/>
      <c r="IV23" s="27"/>
      <c r="IW23" s="53"/>
      <c r="IX23" s="27"/>
      <c r="IY23" s="24">
        <v>0</v>
      </c>
      <c r="IZ23" s="27"/>
      <c r="JA23" s="24">
        <v>3683.25</v>
      </c>
      <c r="JB23" s="27"/>
      <c r="JC23" s="24">
        <v>1791.94</v>
      </c>
      <c r="JD23" s="27"/>
      <c r="JE23" s="27"/>
      <c r="JF23" s="27"/>
      <c r="JG23" s="33">
        <f t="shared" si="150"/>
        <v>5475.1900000000005</v>
      </c>
      <c r="JH23" s="2667"/>
      <c r="JJ23" s="2014">
        <v>7481.5400000000009</v>
      </c>
      <c r="JK23" s="2015">
        <v>3595.73</v>
      </c>
      <c r="JL23" s="53"/>
      <c r="JM23" s="1736">
        <f t="shared" si="61"/>
        <v>11077.27</v>
      </c>
      <c r="JN23" s="33"/>
      <c r="JO23" s="2669"/>
      <c r="JP23" s="66">
        <v>0</v>
      </c>
      <c r="JQ23" s="67">
        <v>0</v>
      </c>
      <c r="JR23" s="67">
        <v>0</v>
      </c>
      <c r="JS23" s="67">
        <v>0</v>
      </c>
      <c r="JT23" s="67">
        <v>0.71245091251266446</v>
      </c>
      <c r="JU23" s="67">
        <v>0.25308425805382312</v>
      </c>
      <c r="JV23" s="67">
        <v>3.4464829433512353E-2</v>
      </c>
      <c r="JW23" s="1921">
        <v>0</v>
      </c>
      <c r="JX23" s="66">
        <v>0</v>
      </c>
      <c r="JY23" s="67">
        <v>0</v>
      </c>
      <c r="JZ23" s="67">
        <v>0</v>
      </c>
      <c r="KA23" s="67">
        <v>0.11332886507051419</v>
      </c>
      <c r="KB23" s="67">
        <v>0</v>
      </c>
      <c r="KC23" s="67">
        <v>0.88667113492948579</v>
      </c>
      <c r="KD23" s="67">
        <v>0</v>
      </c>
      <c r="KE23" s="68">
        <v>0</v>
      </c>
      <c r="KF23" s="69"/>
      <c r="KG23" s="70"/>
      <c r="KH23" s="70"/>
      <c r="KI23" s="70"/>
      <c r="KJ23" s="70"/>
      <c r="KK23" s="70"/>
      <c r="KL23" s="70"/>
      <c r="KM23" s="70"/>
      <c r="KN23" s="33"/>
      <c r="KO23" s="2669"/>
      <c r="KP23" s="2203">
        <v>6857.260638297872</v>
      </c>
      <c r="KQ23" s="1721">
        <v>0.67680851063829794</v>
      </c>
      <c r="KR23" s="1721">
        <v>6.8317021276595744</v>
      </c>
      <c r="KS23" s="1721">
        <v>6.45</v>
      </c>
      <c r="KT23" s="1722">
        <v>9.4564893617021273</v>
      </c>
      <c r="KU23" s="1958">
        <v>7070</v>
      </c>
      <c r="KV23" s="1961">
        <v>1.79</v>
      </c>
      <c r="KW23" s="1961">
        <v>4.16</v>
      </c>
      <c r="KX23" s="1961">
        <v>4.0999999999999996</v>
      </c>
      <c r="KY23" s="1962">
        <v>7.96</v>
      </c>
      <c r="KZ23" s="36"/>
      <c r="LA23" s="53"/>
      <c r="LB23" s="53"/>
      <c r="LC23" s="53"/>
      <c r="LD23" s="53"/>
      <c r="LE23" s="33"/>
      <c r="LF23" s="2669"/>
      <c r="LH23" s="4">
        <f t="shared" si="62"/>
        <v>5108.3999999999996</v>
      </c>
      <c r="LI23" s="27">
        <f t="shared" si="62"/>
        <v>5239.03</v>
      </c>
      <c r="LJ23" s="27">
        <f t="shared" si="62"/>
        <v>0</v>
      </c>
      <c r="LK23" s="28">
        <f t="shared" si="63"/>
        <v>10347.43</v>
      </c>
      <c r="LL23" s="36">
        <v>2</v>
      </c>
      <c r="LM23" s="27">
        <v>1</v>
      </c>
      <c r="LN23" s="27"/>
      <c r="LO23" s="33"/>
      <c r="LP23" s="1957">
        <v>0</v>
      </c>
      <c r="LQ23" s="486"/>
      <c r="LR23" s="2688"/>
      <c r="LS23" s="2269">
        <v>5108.3999999999996</v>
      </c>
      <c r="LT23" s="36"/>
      <c r="LU23" s="27"/>
      <c r="LV23" s="27"/>
      <c r="LW23" s="27"/>
      <c r="LX23" s="2505">
        <f t="shared" si="64"/>
        <v>5108.3999999999996</v>
      </c>
      <c r="LY23" s="36"/>
      <c r="LZ23" s="2269">
        <v>5239.03</v>
      </c>
      <c r="MA23" s="27"/>
      <c r="MB23" s="27"/>
      <c r="MC23" s="33"/>
      <c r="MD23" s="1906">
        <f>SUM(LY23:MC23)</f>
        <v>5239.03</v>
      </c>
      <c r="ME23" s="26"/>
      <c r="MF23" s="36"/>
      <c r="MG23" s="27"/>
      <c r="MH23" s="27"/>
      <c r="MI23" s="27"/>
      <c r="MJ23" s="28"/>
      <c r="MK23" s="36"/>
      <c r="ML23" s="36"/>
      <c r="MM23" s="27"/>
      <c r="MN23" s="27"/>
      <c r="MO23" s="27"/>
      <c r="MP23" s="28"/>
      <c r="MQ23" s="36"/>
      <c r="MR23" s="36"/>
      <c r="MS23" s="27"/>
      <c r="MT23" s="27"/>
      <c r="MU23" s="27"/>
      <c r="MV23" s="33">
        <f t="shared" si="66"/>
        <v>0</v>
      </c>
      <c r="MW23" s="2688"/>
      <c r="MY23" s="26">
        <f t="shared" si="67"/>
        <v>220980.7084180181</v>
      </c>
      <c r="MZ23" s="27">
        <f t="shared" si="68"/>
        <v>285349.67630375829</v>
      </c>
      <c r="NA23" s="27">
        <f t="shared" si="69"/>
        <v>24651.175697817416</v>
      </c>
      <c r="NB23" s="28">
        <f t="shared" si="70"/>
        <v>327460.83795580431</v>
      </c>
      <c r="NC23" s="2621"/>
      <c r="ND23" s="23">
        <f t="shared" si="71"/>
        <v>115494.9426380661</v>
      </c>
      <c r="NE23" s="1655">
        <f t="shared" si="72"/>
        <v>105485.76577995199</v>
      </c>
      <c r="NF23" s="60">
        <f t="shared" si="73"/>
        <v>0</v>
      </c>
      <c r="NG23" s="275">
        <f t="shared" si="4"/>
        <v>220980.7084180181</v>
      </c>
      <c r="NH23" s="26">
        <f t="shared" si="74"/>
        <v>0</v>
      </c>
      <c r="NI23" s="27">
        <f t="shared" si="74"/>
        <v>0</v>
      </c>
      <c r="NJ23" s="27">
        <f t="shared" si="74"/>
        <v>0</v>
      </c>
      <c r="NK23" s="27">
        <f t="shared" si="74"/>
        <v>0</v>
      </c>
      <c r="NL23" s="27">
        <f t="shared" si="74"/>
        <v>0</v>
      </c>
      <c r="NM23" s="33">
        <f t="shared" si="74"/>
        <v>0</v>
      </c>
      <c r="NN23" s="27">
        <f t="shared" si="74"/>
        <v>0</v>
      </c>
      <c r="NO23" s="36">
        <f t="shared" si="74"/>
        <v>0</v>
      </c>
      <c r="NP23" s="24">
        <f t="shared" si="74"/>
        <v>30888.680605424241</v>
      </c>
      <c r="NQ23" s="27">
        <f t="shared" si="74"/>
        <v>24023.830351777149</v>
      </c>
      <c r="NR23" s="24">
        <f t="shared" si="136"/>
        <v>8756.5482322711578</v>
      </c>
      <c r="NS23" s="24">
        <f t="shared" si="137"/>
        <v>11919.933566410113</v>
      </c>
      <c r="NT23" s="27">
        <f t="shared" si="0"/>
        <v>75588.99275588266</v>
      </c>
      <c r="NU23" s="27">
        <f t="shared" si="75"/>
        <v>0</v>
      </c>
      <c r="NV23" s="27">
        <f t="shared" si="76"/>
        <v>0</v>
      </c>
      <c r="NW23" s="27">
        <f t="shared" si="77"/>
        <v>0</v>
      </c>
      <c r="NX23" s="27">
        <f t="shared" si="78"/>
        <v>0</v>
      </c>
      <c r="NY23" s="27">
        <f t="shared" si="79"/>
        <v>0</v>
      </c>
      <c r="NZ23" s="5">
        <f t="shared" si="80"/>
        <v>0</v>
      </c>
      <c r="OA23" s="27">
        <f t="shared" si="81"/>
        <v>35491.274489662843</v>
      </c>
      <c r="OB23" s="27">
        <f t="shared" si="82"/>
        <v>0</v>
      </c>
      <c r="OC23" s="27">
        <f t="shared" si="83"/>
        <v>74669.479485704171</v>
      </c>
      <c r="OD23" s="280"/>
      <c r="OE23" s="27">
        <f t="shared" si="138"/>
        <v>10068.200000000003</v>
      </c>
      <c r="OF23" s="27">
        <f t="shared" si="84"/>
        <v>0</v>
      </c>
      <c r="OG23" s="28">
        <f t="shared" si="1"/>
        <v>120228.95397536701</v>
      </c>
      <c r="OH23" s="27">
        <f t="shared" si="153"/>
        <v>0</v>
      </c>
      <c r="OI23" s="27">
        <f t="shared" si="154"/>
        <v>0</v>
      </c>
      <c r="OJ23" s="27">
        <v>0</v>
      </c>
      <c r="OK23" s="27">
        <f t="shared" si="155"/>
        <v>0</v>
      </c>
      <c r="OL23" s="27">
        <f t="shared" si="156"/>
        <v>0</v>
      </c>
      <c r="OM23" s="27">
        <f t="shared" si="157"/>
        <v>0</v>
      </c>
      <c r="ON23" s="24">
        <f t="shared" si="147"/>
        <v>0</v>
      </c>
      <c r="OO23" s="27">
        <f t="shared" si="145"/>
        <v>0</v>
      </c>
      <c r="OP23" s="24">
        <f t="shared" si="86"/>
        <v>69163.312313713745</v>
      </c>
      <c r="OQ23" s="27">
        <f t="shared" si="87"/>
        <v>0</v>
      </c>
      <c r="OR23" s="24">
        <f t="shared" si="88"/>
        <v>20368.417258794849</v>
      </c>
      <c r="OS23" s="27">
        <f t="shared" si="89"/>
        <v>0</v>
      </c>
      <c r="OT23" s="28">
        <f t="shared" si="2"/>
        <v>89531.729572508601</v>
      </c>
      <c r="OU23" s="36"/>
      <c r="OV23" s="27"/>
      <c r="OW23" s="27"/>
      <c r="OX23" s="27"/>
      <c r="OY23" s="27"/>
      <c r="OZ23" s="27"/>
      <c r="PA23" s="28">
        <f t="shared" si="90"/>
        <v>0</v>
      </c>
      <c r="PB23" s="36">
        <f t="shared" si="91"/>
        <v>0</v>
      </c>
      <c r="PC23" s="27">
        <f t="shared" si="92"/>
        <v>0</v>
      </c>
      <c r="PD23" s="27">
        <f t="shared" si="93"/>
        <v>0</v>
      </c>
      <c r="PE23" s="27">
        <f t="shared" si="94"/>
        <v>0</v>
      </c>
      <c r="PF23" s="24"/>
      <c r="PG23" s="27">
        <f t="shared" si="95"/>
        <v>0</v>
      </c>
      <c r="PH23" s="33">
        <f t="shared" si="3"/>
        <v>0</v>
      </c>
      <c r="PI23" s="2621"/>
      <c r="PK23" s="1907">
        <v>1196.02</v>
      </c>
      <c r="PL23" s="1101">
        <v>1120</v>
      </c>
      <c r="PM23" s="1101">
        <v>336</v>
      </c>
      <c r="PN23" s="488">
        <f t="shared" si="96"/>
        <v>257.85000000000002</v>
      </c>
      <c r="PO23" s="3">
        <f t="shared" si="97"/>
        <v>32702.889204532861</v>
      </c>
      <c r="PP23" s="11">
        <f t="shared" si="98"/>
        <v>24651.175697817416</v>
      </c>
      <c r="PQ23" s="15"/>
      <c r="PR23" s="2615"/>
      <c r="PT23" s="4"/>
      <c r="PU23" s="9"/>
      <c r="PV23" s="9"/>
      <c r="PW23" s="9"/>
      <c r="PX23" s="2531">
        <v>0</v>
      </c>
      <c r="PY23" s="9"/>
      <c r="PZ23" s="8">
        <f t="shared" si="99"/>
        <v>0</v>
      </c>
      <c r="QA23" s="5">
        <f t="shared" si="100"/>
        <v>1196.02</v>
      </c>
      <c r="QB23" s="5"/>
      <c r="QC23" s="5"/>
      <c r="QD23" s="5"/>
      <c r="QE23" s="5"/>
      <c r="QF23" s="5"/>
      <c r="QG23" s="12"/>
      <c r="QH23" s="12">
        <f t="shared" si="101"/>
        <v>29562.488999999998</v>
      </c>
      <c r="QI23" s="420">
        <f t="shared" si="102"/>
        <v>294178.06007140432</v>
      </c>
      <c r="QJ23" s="1106">
        <f t="shared" si="139"/>
        <v>3720.2888844000004</v>
      </c>
      <c r="QK23" s="484">
        <f t="shared" si="103"/>
        <v>5505.3678056099998</v>
      </c>
      <c r="QL23" s="12"/>
      <c r="QM23" s="2615"/>
      <c r="QO23" s="139">
        <f t="shared" si="104"/>
        <v>0</v>
      </c>
      <c r="QP23" s="139" t="str">
        <f t="shared" si="105"/>
        <v/>
      </c>
      <c r="QR23" s="139">
        <f t="shared" si="106"/>
        <v>0</v>
      </c>
      <c r="QS23" s="139">
        <f t="shared" si="107"/>
        <v>0</v>
      </c>
      <c r="QU23" s="1">
        <f t="shared" si="108"/>
        <v>0</v>
      </c>
      <c r="QV23" s="1">
        <f t="shared" si="109"/>
        <v>0</v>
      </c>
      <c r="QW23" s="1">
        <f t="shared" si="110"/>
        <v>0</v>
      </c>
      <c r="QX23" s="1">
        <f t="shared" si="111"/>
        <v>0</v>
      </c>
      <c r="QY23" s="1">
        <f t="shared" si="112"/>
        <v>0</v>
      </c>
      <c r="QZ23" s="1">
        <f t="shared" si="113"/>
        <v>0</v>
      </c>
      <c r="RB23" s="1">
        <f t="shared" si="114"/>
        <v>0</v>
      </c>
      <c r="RC23" s="1">
        <f t="shared" si="115"/>
        <v>0</v>
      </c>
      <c r="RD23" s="1">
        <f t="shared" si="116"/>
        <v>0</v>
      </c>
      <c r="RE23" s="1">
        <f t="shared" si="117"/>
        <v>0</v>
      </c>
      <c r="RF23" s="1">
        <f t="shared" si="118"/>
        <v>0</v>
      </c>
      <c r="RG23" s="1">
        <f t="shared" si="119"/>
        <v>0</v>
      </c>
      <c r="RJ23" s="1">
        <v>14</v>
      </c>
      <c r="RK23" s="1">
        <f t="shared" si="151"/>
        <v>31584.720209717096</v>
      </c>
      <c r="RL23" s="1">
        <f t="shared" si="151"/>
        <v>2060.2867804837178</v>
      </c>
      <c r="RM23" s="1">
        <f t="shared" si="151"/>
        <v>13404.263703387322</v>
      </c>
      <c r="RN23" s="89">
        <f t="shared" si="5"/>
        <v>47049.270693588129</v>
      </c>
      <c r="RO23" s="1033">
        <v>14</v>
      </c>
      <c r="RP23" s="1098">
        <v>0</v>
      </c>
      <c r="RQ23" s="1098">
        <f t="shared" si="121"/>
        <v>0</v>
      </c>
      <c r="RR23" s="1097">
        <f t="shared" si="121"/>
        <v>0</v>
      </c>
      <c r="RS23" s="1097">
        <f t="shared" si="122"/>
        <v>8703.3000000000011</v>
      </c>
      <c r="RT23" s="1050"/>
      <c r="RU23" s="1109">
        <v>2608142362</v>
      </c>
      <c r="RV23" s="1048"/>
      <c r="RX23" s="421">
        <v>14</v>
      </c>
      <c r="RY23" s="1095">
        <f t="shared" si="123"/>
        <v>11077.27</v>
      </c>
      <c r="RZ23" s="2512">
        <v>2608145996</v>
      </c>
      <c r="SA23" s="1114"/>
      <c r="SB23" s="1090"/>
      <c r="SC23" s="1090">
        <f t="shared" si="124"/>
        <v>0</v>
      </c>
      <c r="SD23" s="1090"/>
      <c r="SE23" s="1090">
        <f t="shared" si="152"/>
        <v>0</v>
      </c>
      <c r="SG23" s="1">
        <v>14</v>
      </c>
      <c r="SH23" s="1">
        <f t="shared" si="126"/>
        <v>257.85000000000002</v>
      </c>
      <c r="SI23" s="2420">
        <v>2608146054</v>
      </c>
    </row>
    <row r="24" spans="1:503" s="1" customFormat="1" ht="15" customHeight="1">
      <c r="B24" s="471">
        <v>15</v>
      </c>
      <c r="C24" s="1959">
        <f t="shared" si="127"/>
        <v>145816</v>
      </c>
      <c r="D24" s="1590">
        <f t="shared" si="146"/>
        <v>11303.320000000002</v>
      </c>
      <c r="E24" s="1895">
        <f t="shared" si="6"/>
        <v>12.900280625515334</v>
      </c>
      <c r="F24" s="870"/>
      <c r="G24" s="870"/>
      <c r="H24" s="52"/>
      <c r="I24" s="61"/>
      <c r="J24" s="52"/>
      <c r="K24" s="54"/>
      <c r="L24" s="52"/>
      <c r="M24" s="61"/>
      <c r="N24" s="2629"/>
      <c r="O24" s="4">
        <f t="shared" si="142"/>
        <v>91518</v>
      </c>
      <c r="P24" s="1225">
        <f t="shared" si="7"/>
        <v>6243.02</v>
      </c>
      <c r="Q24" s="1913">
        <f t="shared" si="8"/>
        <v>14.659251452021616</v>
      </c>
      <c r="R24" s="33"/>
      <c r="S24" s="26">
        <f t="shared" si="9"/>
        <v>22221</v>
      </c>
      <c r="T24" s="27">
        <f t="shared" si="129"/>
        <v>2203.1799999999998</v>
      </c>
      <c r="U24" s="1909">
        <f t="shared" si="10"/>
        <v>10.085875870332883</v>
      </c>
      <c r="V24" s="28"/>
      <c r="W24" s="26">
        <f t="shared" si="11"/>
        <v>26123</v>
      </c>
      <c r="X24" s="5">
        <f t="shared" si="11"/>
        <v>2158</v>
      </c>
      <c r="Y24" s="1909">
        <f t="shared" si="12"/>
        <v>12.105189990732159</v>
      </c>
      <c r="Z24" s="33"/>
      <c r="AA24" s="26">
        <f t="shared" si="13"/>
        <v>5954</v>
      </c>
      <c r="AB24" s="27">
        <f t="shared" si="14"/>
        <v>699.12</v>
      </c>
      <c r="AC24" s="1909">
        <f t="shared" si="15"/>
        <v>8.5164206430941753</v>
      </c>
      <c r="AD24" s="28"/>
      <c r="AE24" s="36"/>
      <c r="AF24" s="36"/>
      <c r="AG24" s="53">
        <f t="shared" si="16"/>
        <v>0</v>
      </c>
      <c r="AH24" s="28"/>
      <c r="AI24" s="23"/>
      <c r="AJ24" s="27"/>
      <c r="AK24" s="53">
        <f t="shared" si="17"/>
        <v>0</v>
      </c>
      <c r="AL24" s="28"/>
      <c r="AM24" s="2629"/>
      <c r="AN24" s="9"/>
      <c r="AO24" s="5"/>
      <c r="AP24" s="61">
        <f t="shared" si="18"/>
        <v>0</v>
      </c>
      <c r="AQ24" s="36"/>
      <c r="AR24" s="53"/>
      <c r="AS24" s="61">
        <f t="shared" si="19"/>
        <v>0</v>
      </c>
      <c r="AT24" s="36">
        <v>0</v>
      </c>
      <c r="AU24" s="27"/>
      <c r="AV24" s="54">
        <f t="shared" si="20"/>
        <v>0</v>
      </c>
      <c r="AW24" s="26">
        <v>56448</v>
      </c>
      <c r="AX24" s="24">
        <v>4156.2000000000007</v>
      </c>
      <c r="AY24" s="1895">
        <f t="shared" si="140"/>
        <v>13.58163707232568</v>
      </c>
      <c r="AZ24" s="1908"/>
      <c r="BA24" s="1909"/>
      <c r="BB24" s="1895">
        <f t="shared" si="21"/>
        <v>0</v>
      </c>
      <c r="BC24" s="1740">
        <v>35070</v>
      </c>
      <c r="BD24" s="1926">
        <v>2086.8200000000002</v>
      </c>
      <c r="BE24" s="1895">
        <f t="shared" si="22"/>
        <v>16.80547435811426</v>
      </c>
      <c r="BF24" s="1908"/>
      <c r="BG24" s="1909"/>
      <c r="BH24" s="1895">
        <f t="shared" si="23"/>
        <v>0</v>
      </c>
      <c r="BI24" s="1908">
        <v>0</v>
      </c>
      <c r="BJ24" s="1909">
        <v>0</v>
      </c>
      <c r="BK24" s="1895">
        <f t="shared" si="24"/>
        <v>0</v>
      </c>
      <c r="BL24" s="1742">
        <v>22221</v>
      </c>
      <c r="BM24" s="1736">
        <v>2203.1799999999998</v>
      </c>
      <c r="BN24" s="1941"/>
      <c r="BO24" s="1911">
        <f t="shared" si="25"/>
        <v>10.085875870332883</v>
      </c>
      <c r="BP24" s="9">
        <v>5954</v>
      </c>
      <c r="BQ24" s="53">
        <v>699.12</v>
      </c>
      <c r="BR24" s="1920">
        <f t="shared" si="26"/>
        <v>8.5164206430941753</v>
      </c>
      <c r="BS24" s="9"/>
      <c r="BT24" s="64"/>
      <c r="BU24" s="482">
        <f t="shared" si="27"/>
        <v>0</v>
      </c>
      <c r="BV24" s="9">
        <v>26123</v>
      </c>
      <c r="BW24" s="27">
        <f>ES24</f>
        <v>2158</v>
      </c>
      <c r="BX24" s="1051">
        <f t="shared" si="28"/>
        <v>12.105189990732159</v>
      </c>
      <c r="BY24" s="26"/>
      <c r="BZ24" s="27"/>
      <c r="CA24" s="482">
        <f t="shared" si="29"/>
        <v>0</v>
      </c>
      <c r="CB24" s="9"/>
      <c r="CC24" s="481"/>
      <c r="CD24" s="482">
        <f t="shared" si="30"/>
        <v>0</v>
      </c>
      <c r="CE24" s="4"/>
      <c r="CF24" s="5"/>
      <c r="CG24" s="28">
        <f t="shared" si="31"/>
        <v>0</v>
      </c>
      <c r="CH24" s="150"/>
      <c r="CI24" s="1108"/>
      <c r="CJ24" s="5">
        <v>5427</v>
      </c>
      <c r="CK24" s="5">
        <v>2828</v>
      </c>
      <c r="CL24" s="5"/>
      <c r="CM24" s="5"/>
      <c r="CN24" s="3">
        <f t="shared" si="131"/>
        <v>8255</v>
      </c>
      <c r="CO24" s="33"/>
      <c r="CP24" s="366"/>
      <c r="CR24" s="4">
        <f t="shared" si="32"/>
        <v>0</v>
      </c>
      <c r="CS24" s="9">
        <f t="shared" si="33"/>
        <v>0</v>
      </c>
      <c r="CT24" s="5">
        <f t="shared" si="34"/>
        <v>0</v>
      </c>
      <c r="CU24" s="5">
        <f t="shared" si="35"/>
        <v>0</v>
      </c>
      <c r="CV24" s="5">
        <f t="shared" si="36"/>
        <v>0</v>
      </c>
      <c r="CW24" s="5">
        <f t="shared" si="37"/>
        <v>0</v>
      </c>
      <c r="CX24" s="5">
        <f t="shared" si="38"/>
        <v>0</v>
      </c>
      <c r="CY24" s="5">
        <f t="shared" si="39"/>
        <v>0</v>
      </c>
      <c r="CZ24" s="5">
        <f t="shared" si="40"/>
        <v>5025.92</v>
      </c>
      <c r="DA24" s="5">
        <f t="shared" si="41"/>
        <v>0</v>
      </c>
      <c r="DB24" s="5">
        <f t="shared" si="42"/>
        <v>5486.3</v>
      </c>
      <c r="DC24" s="12">
        <f t="shared" si="43"/>
        <v>0</v>
      </c>
      <c r="DD24" s="2168">
        <f t="shared" si="44"/>
        <v>11303.320000000002</v>
      </c>
      <c r="DE24" s="2695"/>
      <c r="DF24" s="8"/>
      <c r="DG24" s="9"/>
      <c r="DH24" s="5"/>
      <c r="DI24" s="5"/>
      <c r="DJ24" s="5"/>
      <c r="DK24" s="5"/>
      <c r="DL24" s="3">
        <v>0</v>
      </c>
      <c r="DM24" s="5"/>
      <c r="DN24" s="3">
        <v>0</v>
      </c>
      <c r="DO24" s="5"/>
      <c r="DP24" s="3">
        <v>3365.1</v>
      </c>
      <c r="DQ24" s="11">
        <v>0</v>
      </c>
      <c r="DR24" s="12"/>
      <c r="DS24" s="28">
        <f t="shared" si="45"/>
        <v>3365.1</v>
      </c>
      <c r="DT24" s="36"/>
      <c r="DU24" s="9"/>
      <c r="DV24" s="5"/>
      <c r="DW24" s="5"/>
      <c r="DX24" s="5"/>
      <c r="DY24" s="5"/>
      <c r="DZ24" s="5"/>
      <c r="EA24" s="5"/>
      <c r="EB24" s="3">
        <v>3461.9199999999996</v>
      </c>
      <c r="EC24" s="27"/>
      <c r="ED24" s="24">
        <v>1527.2</v>
      </c>
      <c r="EE24" s="33"/>
      <c r="EF24" s="28">
        <f t="shared" si="46"/>
        <v>4989.12</v>
      </c>
      <c r="EG24" s="9"/>
      <c r="EH24" s="36"/>
      <c r="EI24" s="5"/>
      <c r="EJ24" s="27"/>
      <c r="EK24" s="27"/>
      <c r="EL24" s="27"/>
      <c r="EM24" s="27"/>
      <c r="EN24" s="27"/>
      <c r="EO24" s="5">
        <v>1564</v>
      </c>
      <c r="EP24" s="5"/>
      <c r="EQ24" s="5">
        <v>594</v>
      </c>
      <c r="ER24" s="33"/>
      <c r="ES24" s="28">
        <f t="shared" si="143"/>
        <v>2158</v>
      </c>
      <c r="ET24" s="36"/>
      <c r="EU24" s="27"/>
      <c r="EV24" s="27"/>
      <c r="EW24" s="27"/>
      <c r="EX24" s="27"/>
      <c r="EY24" s="27"/>
      <c r="EZ24" s="33">
        <f t="shared" si="48"/>
        <v>0</v>
      </c>
      <c r="FA24" s="2685"/>
      <c r="FC24" s="4">
        <f t="shared" si="49"/>
        <v>0</v>
      </c>
      <c r="FD24" s="5">
        <f t="shared" si="50"/>
        <v>0</v>
      </c>
      <c r="FE24" s="5">
        <f t="shared" si="51"/>
        <v>0</v>
      </c>
      <c r="FF24" s="12">
        <f t="shared" si="52"/>
        <v>0</v>
      </c>
      <c r="FG24" s="33"/>
      <c r="FH24" s="2674"/>
      <c r="FI24" s="9"/>
      <c r="FJ24" s="5"/>
      <c r="FK24" s="5"/>
      <c r="FL24" s="5"/>
      <c r="FM24" s="5"/>
      <c r="FN24" s="27"/>
      <c r="FO24" s="28">
        <f t="shared" si="53"/>
        <v>0</v>
      </c>
      <c r="FP24" s="36"/>
      <c r="FQ24" s="27"/>
      <c r="FR24" s="27"/>
      <c r="FS24" s="27"/>
      <c r="FT24" s="27"/>
      <c r="FU24" s="27"/>
      <c r="FV24" s="28">
        <f t="shared" si="54"/>
        <v>0</v>
      </c>
      <c r="FW24" s="36"/>
      <c r="FX24" s="36"/>
      <c r="FY24" s="27"/>
      <c r="FZ24" s="27"/>
      <c r="GA24" s="27"/>
      <c r="GB24" s="27"/>
      <c r="GC24" s="27"/>
      <c r="GD24" s="27"/>
      <c r="GE24" s="24">
        <v>0</v>
      </c>
      <c r="GF24" s="27"/>
      <c r="GG24" s="27"/>
      <c r="GH24" s="33"/>
      <c r="GI24" s="33">
        <f t="shared" si="55"/>
        <v>0</v>
      </c>
      <c r="GJ24" s="2674"/>
      <c r="GL24" s="2">
        <f t="shared" si="132"/>
        <v>2125.9</v>
      </c>
      <c r="GM24" s="1942">
        <f t="shared" si="133"/>
        <v>2509.1500000000005</v>
      </c>
      <c r="GN24" s="1943">
        <f t="shared" si="134"/>
        <v>4761.72</v>
      </c>
      <c r="GO24" s="1736">
        <f t="shared" si="56"/>
        <v>9396.77</v>
      </c>
      <c r="GP24" s="141"/>
      <c r="GQ24" s="141"/>
      <c r="GR24" s="33"/>
      <c r="GS24" s="2667"/>
      <c r="GT24" s="1739">
        <v>0</v>
      </c>
      <c r="GU24" s="1721">
        <v>147.30000000000001</v>
      </c>
      <c r="GV24" s="1721">
        <v>3972.2699999999991</v>
      </c>
      <c r="GW24" s="1721">
        <v>5277.2000000000007</v>
      </c>
      <c r="GX24" s="1941">
        <f t="shared" si="135"/>
        <v>9396.77</v>
      </c>
      <c r="GY24" s="2667"/>
      <c r="GZ24" s="35">
        <v>0</v>
      </c>
      <c r="HA24" s="36"/>
      <c r="HB24" s="27"/>
      <c r="HC24" s="27"/>
      <c r="HD24" s="27"/>
      <c r="HE24" s="27"/>
      <c r="HF24" s="24">
        <v>0</v>
      </c>
      <c r="HG24" s="27"/>
      <c r="HH24" s="24">
        <v>1978.6</v>
      </c>
      <c r="HI24" s="27"/>
      <c r="HJ24" s="24">
        <v>0</v>
      </c>
      <c r="HK24" s="27"/>
      <c r="HL24" s="24">
        <v>147.30000000000001</v>
      </c>
      <c r="HM24" s="27"/>
      <c r="HN24" s="1906">
        <f t="shared" si="148"/>
        <v>2125.9</v>
      </c>
      <c r="HO24" s="36"/>
      <c r="HP24" s="27"/>
      <c r="HQ24" s="27"/>
      <c r="HR24" s="27"/>
      <c r="HS24" s="27"/>
      <c r="HT24" s="27"/>
      <c r="HU24" s="27">
        <f t="array" ref="HU24">SUMPRODUCT(('Data Base hauling'!$C$2:$C$2000="TCM-ROM SB1 BK05-ROM 4")*(ISNUMBER(SEARCH(TEXT('August TCM'!$B24,"00")&amp;"/03/2026",'Data Base hauling'!$E$2:$E$2000)))*'Data Base hauling'!$N$2:$N$2000)</f>
        <v>0</v>
      </c>
      <c r="HV24" s="27"/>
      <c r="HW24" s="27">
        <f t="array" ref="HW24">SUMPRODUCT(('Data Base hauling'!$C$2:$C$2000="TCM-ROM SB1 BK05-ROM 5")*(ISNUMBER(SEARCH(TEXT('August TCM'!$B24,"00")&amp;"/03/2026",'Data Base hauling'!$E$2:$E$2000)))*'Data Base hauling'!$N$2:$N$2000)</f>
        <v>0</v>
      </c>
      <c r="HX24" s="27"/>
      <c r="HY24" s="27"/>
      <c r="HZ24" s="27"/>
      <c r="IA24" s="27"/>
      <c r="IB24" s="27"/>
      <c r="IC24" s="33">
        <f t="shared" si="58"/>
        <v>0</v>
      </c>
      <c r="ID24" s="52"/>
      <c r="IE24" s="152"/>
      <c r="IF24" s="53"/>
      <c r="IG24" s="53"/>
      <c r="IH24" s="53"/>
      <c r="II24" s="53"/>
      <c r="IJ24" s="1926">
        <v>62.82</v>
      </c>
      <c r="IK24" s="1736"/>
      <c r="IL24" s="1926">
        <v>0</v>
      </c>
      <c r="IM24" s="53"/>
      <c r="IN24" s="49">
        <v>2446.3300000000004</v>
      </c>
      <c r="IO24" s="53"/>
      <c r="IP24" s="53"/>
      <c r="IQ24" s="49">
        <v>0</v>
      </c>
      <c r="IR24" s="2195">
        <f t="shared" si="149"/>
        <v>2509.1500000000005</v>
      </c>
      <c r="IS24" s="36"/>
      <c r="IT24" s="36"/>
      <c r="IU24" s="53"/>
      <c r="IV24" s="27"/>
      <c r="IW24" s="53"/>
      <c r="IX24" s="27"/>
      <c r="IY24" s="24">
        <v>0</v>
      </c>
      <c r="IZ24" s="27"/>
      <c r="JA24" s="24">
        <v>4629.37</v>
      </c>
      <c r="JB24" s="27"/>
      <c r="JC24" s="24">
        <v>132.35</v>
      </c>
      <c r="JD24" s="27"/>
      <c r="JE24" s="27"/>
      <c r="JF24" s="27"/>
      <c r="JG24" s="1941">
        <f t="shared" si="150"/>
        <v>4761.72</v>
      </c>
      <c r="JH24" s="2667"/>
      <c r="JJ24" s="2014">
        <v>9396.7699999999986</v>
      </c>
      <c r="JK24" s="2015">
        <v>0</v>
      </c>
      <c r="JL24" s="53"/>
      <c r="JM24" s="1736">
        <f t="shared" si="61"/>
        <v>9396.7699999999986</v>
      </c>
      <c r="JN24" s="33"/>
      <c r="JO24" s="2669"/>
      <c r="JP24" s="66">
        <v>0</v>
      </c>
      <c r="JQ24" s="67">
        <v>0</v>
      </c>
      <c r="JR24" s="67">
        <v>0</v>
      </c>
      <c r="JS24" s="67">
        <v>6.6852758979947377E-3</v>
      </c>
      <c r="JT24" s="67">
        <v>0.70321716930392031</v>
      </c>
      <c r="JU24" s="67">
        <v>0.27442195562943444</v>
      </c>
      <c r="JV24" s="67">
        <v>1.5675599168650509E-2</v>
      </c>
      <c r="JW24" s="1921">
        <v>0</v>
      </c>
      <c r="JX24" s="66" t="s">
        <v>296</v>
      </c>
      <c r="JY24" s="67" t="s">
        <v>296</v>
      </c>
      <c r="JZ24" s="67" t="s">
        <v>296</v>
      </c>
      <c r="KA24" s="67" t="s">
        <v>296</v>
      </c>
      <c r="KB24" s="67" t="s">
        <v>296</v>
      </c>
      <c r="KC24" s="67" t="s">
        <v>296</v>
      </c>
      <c r="KD24" s="67" t="s">
        <v>296</v>
      </c>
      <c r="KE24" s="68" t="s">
        <v>296</v>
      </c>
      <c r="KF24" s="69"/>
      <c r="KG24" s="70"/>
      <c r="KH24" s="70"/>
      <c r="KI24" s="70"/>
      <c r="KJ24" s="70"/>
      <c r="KK24" s="70"/>
      <c r="KL24" s="70"/>
      <c r="KM24" s="70"/>
      <c r="KN24" s="33"/>
      <c r="KO24" s="2669"/>
      <c r="KP24" s="2203">
        <v>6901.8343506982192</v>
      </c>
      <c r="KQ24" s="1721">
        <v>0.50342921648967309</v>
      </c>
      <c r="KR24" s="1721">
        <v>5.0078819299272519</v>
      </c>
      <c r="KS24" s="1721">
        <v>7.0748866962120571</v>
      </c>
      <c r="KT24" s="1722">
        <v>11.155624216071576</v>
      </c>
      <c r="KU24" s="1958">
        <v>6928</v>
      </c>
      <c r="KV24" s="1961">
        <v>1.52</v>
      </c>
      <c r="KW24" s="1961">
        <v>4.8499999999999996</v>
      </c>
      <c r="KX24" s="1961">
        <v>5.9900000000000011</v>
      </c>
      <c r="KY24" s="1962">
        <v>9.32</v>
      </c>
      <c r="KZ24" s="36"/>
      <c r="LA24" s="53"/>
      <c r="LB24" s="53"/>
      <c r="LC24" s="53"/>
      <c r="LD24" s="53"/>
      <c r="LE24" s="33"/>
      <c r="LF24" s="2669"/>
      <c r="LH24" s="4">
        <f>SUM(LS24,LY24,MK24,MQ24+ME24)</f>
        <v>0</v>
      </c>
      <c r="LI24" s="2167">
        <f t="shared" si="62"/>
        <v>4778.47</v>
      </c>
      <c r="LJ24" s="27">
        <f t="shared" si="62"/>
        <v>0</v>
      </c>
      <c r="LK24" s="1906">
        <f t="shared" si="63"/>
        <v>4778.47</v>
      </c>
      <c r="LL24" s="36">
        <v>1</v>
      </c>
      <c r="LM24" s="27"/>
      <c r="LN24" s="27"/>
      <c r="LO24" s="33"/>
      <c r="LP24" s="1957">
        <v>0</v>
      </c>
      <c r="LQ24" s="486"/>
      <c r="LR24" s="2688"/>
      <c r="LS24" s="36"/>
      <c r="LT24" s="36"/>
      <c r="LU24" s="27"/>
      <c r="LV24" s="27"/>
      <c r="LW24" s="27"/>
      <c r="LX24" s="1107">
        <f t="shared" si="64"/>
        <v>0</v>
      </c>
      <c r="LY24" s="36"/>
      <c r="LZ24" s="2269">
        <v>4778.47</v>
      </c>
      <c r="MA24" s="27"/>
      <c r="MB24" s="27"/>
      <c r="MC24" s="33"/>
      <c r="MD24" s="1906">
        <f t="shared" si="65"/>
        <v>4778.47</v>
      </c>
      <c r="ME24" s="26"/>
      <c r="MF24" s="36"/>
      <c r="MG24" s="27"/>
      <c r="MH24" s="27"/>
      <c r="MI24" s="27"/>
      <c r="MJ24" s="28"/>
      <c r="MK24" s="36"/>
      <c r="ML24" s="36"/>
      <c r="MM24" s="27"/>
      <c r="MN24" s="27"/>
      <c r="MO24" s="27"/>
      <c r="MP24" s="28"/>
      <c r="MQ24" s="36"/>
      <c r="MR24" s="36"/>
      <c r="MS24" s="27"/>
      <c r="MT24" s="27"/>
      <c r="MU24" s="27"/>
      <c r="MV24" s="33">
        <f t="shared" si="66"/>
        <v>0</v>
      </c>
      <c r="MW24" s="2688"/>
      <c r="MY24" s="26">
        <f t="shared" si="67"/>
        <v>225599.00841801811</v>
      </c>
      <c r="MZ24" s="27">
        <f t="shared" si="68"/>
        <v>286612.42630375829</v>
      </c>
      <c r="NA24" s="27">
        <f t="shared" si="69"/>
        <v>24854.275697817418</v>
      </c>
      <c r="NB24" s="28">
        <f t="shared" si="70"/>
        <v>327247.81795580429</v>
      </c>
      <c r="NC24" s="2621"/>
      <c r="ND24" s="23">
        <f t="shared" si="71"/>
        <v>124891.71263806611</v>
      </c>
      <c r="NE24" s="1655">
        <f t="shared" si="72"/>
        <v>100707.29577995199</v>
      </c>
      <c r="NF24" s="60">
        <f t="shared" si="73"/>
        <v>0</v>
      </c>
      <c r="NG24" s="275">
        <f t="shared" si="4"/>
        <v>225599.00841801811</v>
      </c>
      <c r="NH24" s="26">
        <f t="shared" si="74"/>
        <v>0</v>
      </c>
      <c r="NI24" s="27">
        <f t="shared" si="74"/>
        <v>0</v>
      </c>
      <c r="NJ24" s="27">
        <f t="shared" si="74"/>
        <v>0</v>
      </c>
      <c r="NK24" s="27">
        <f t="shared" si="74"/>
        <v>0</v>
      </c>
      <c r="NL24" s="27">
        <f t="shared" si="74"/>
        <v>0</v>
      </c>
      <c r="NM24" s="33">
        <f t="shared" si="74"/>
        <v>0</v>
      </c>
      <c r="NN24" s="27">
        <f t="shared" si="74"/>
        <v>0</v>
      </c>
      <c r="NO24" s="36">
        <f t="shared" si="74"/>
        <v>0</v>
      </c>
      <c r="NP24" s="24">
        <f t="shared" si="74"/>
        <v>30474.080605424242</v>
      </c>
      <c r="NQ24" s="27">
        <f t="shared" si="74"/>
        <v>24023.830351777149</v>
      </c>
      <c r="NR24" s="24">
        <f t="shared" si="136"/>
        <v>8756.5482322711578</v>
      </c>
      <c r="NS24" s="24">
        <f t="shared" si="137"/>
        <v>12513.933566410113</v>
      </c>
      <c r="NT24" s="27">
        <f t="shared" si="0"/>
        <v>75768.392755882654</v>
      </c>
      <c r="NU24" s="27">
        <f t="shared" si="75"/>
        <v>0</v>
      </c>
      <c r="NV24" s="27">
        <f t="shared" si="76"/>
        <v>0</v>
      </c>
      <c r="NW24" s="27">
        <f t="shared" si="77"/>
        <v>0</v>
      </c>
      <c r="NX24" s="27">
        <f t="shared" si="78"/>
        <v>0</v>
      </c>
      <c r="NY24" s="27">
        <f t="shared" si="79"/>
        <v>0</v>
      </c>
      <c r="NZ24" s="5">
        <f t="shared" si="80"/>
        <v>0</v>
      </c>
      <c r="OA24" s="27">
        <f t="shared" si="81"/>
        <v>35428.454489662843</v>
      </c>
      <c r="OB24" s="27">
        <f t="shared" si="82"/>
        <v>0</v>
      </c>
      <c r="OC24" s="27">
        <f t="shared" si="83"/>
        <v>75588.249485704175</v>
      </c>
      <c r="OD24" s="280"/>
      <c r="OE24" s="27">
        <f t="shared" si="138"/>
        <v>10068.200000000003</v>
      </c>
      <c r="OF24" s="27">
        <f t="shared" si="84"/>
        <v>0</v>
      </c>
      <c r="OG24" s="28">
        <f t="shared" si="1"/>
        <v>121084.90397536701</v>
      </c>
      <c r="OH24" s="27">
        <f t="shared" si="153"/>
        <v>0</v>
      </c>
      <c r="OI24" s="27">
        <f t="shared" si="154"/>
        <v>0</v>
      </c>
      <c r="OJ24" s="27">
        <f t="shared" ref="OJ24:OJ40" si="158">+OJ23+DV24+FY24-IU24</f>
        <v>0</v>
      </c>
      <c r="OK24" s="27">
        <f t="shared" si="155"/>
        <v>0</v>
      </c>
      <c r="OL24" s="27">
        <f t="shared" si="156"/>
        <v>0</v>
      </c>
      <c r="OM24" s="27">
        <f t="shared" si="157"/>
        <v>0</v>
      </c>
      <c r="ON24" s="24">
        <f t="shared" si="147"/>
        <v>0</v>
      </c>
      <c r="OO24" s="27">
        <f t="shared" si="145"/>
        <v>0</v>
      </c>
      <c r="OP24" s="24">
        <f t="shared" si="86"/>
        <v>67995.862313713747</v>
      </c>
      <c r="OQ24" s="27">
        <f t="shared" si="87"/>
        <v>0</v>
      </c>
      <c r="OR24" s="24">
        <f t="shared" si="88"/>
        <v>21763.267258794851</v>
      </c>
      <c r="OS24" s="27">
        <f t="shared" si="89"/>
        <v>0</v>
      </c>
      <c r="OT24" s="28">
        <f t="shared" si="2"/>
        <v>89759.129572508595</v>
      </c>
      <c r="OU24" s="36"/>
      <c r="OV24" s="27"/>
      <c r="OW24" s="27"/>
      <c r="OX24" s="27"/>
      <c r="OY24" s="27"/>
      <c r="OZ24" s="27"/>
      <c r="PA24" s="28">
        <f t="shared" si="90"/>
        <v>0</v>
      </c>
      <c r="PB24" s="36">
        <f t="shared" si="91"/>
        <v>0</v>
      </c>
      <c r="PC24" s="27">
        <f t="shared" si="92"/>
        <v>0</v>
      </c>
      <c r="PD24" s="27">
        <f t="shared" si="93"/>
        <v>0</v>
      </c>
      <c r="PE24" s="27">
        <f t="shared" si="94"/>
        <v>0</v>
      </c>
      <c r="PF24" s="24"/>
      <c r="PG24" s="27">
        <f t="shared" si="95"/>
        <v>0</v>
      </c>
      <c r="PH24" s="33">
        <f t="shared" si="3"/>
        <v>0</v>
      </c>
      <c r="PI24" s="2621"/>
      <c r="PK24" s="1907">
        <v>1004.12</v>
      </c>
      <c r="PL24" s="488">
        <v>1168</v>
      </c>
      <c r="PM24" s="488">
        <v>350.4</v>
      </c>
      <c r="PN24" s="3">
        <f t="shared" si="96"/>
        <v>147.30000000000001</v>
      </c>
      <c r="PO24" s="3">
        <f t="shared" si="97"/>
        <v>32539.009204532864</v>
      </c>
      <c r="PP24" s="11">
        <f>PP23+PM24-PN24</f>
        <v>24854.275697817418</v>
      </c>
      <c r="PQ24" s="15"/>
      <c r="PR24" s="2615"/>
      <c r="PT24" s="4"/>
      <c r="PU24" s="9"/>
      <c r="PV24" s="9"/>
      <c r="PW24" s="9"/>
      <c r="PX24" s="2531">
        <v>791.1</v>
      </c>
      <c r="PY24" s="9"/>
      <c r="PZ24" s="8">
        <f t="shared" si="99"/>
        <v>791.1</v>
      </c>
      <c r="QA24" s="5">
        <f t="shared" si="100"/>
        <v>1004.12</v>
      </c>
      <c r="QB24" s="5"/>
      <c r="QC24" s="5"/>
      <c r="QD24" s="5"/>
      <c r="QE24" s="5"/>
      <c r="QF24" s="5"/>
      <c r="QG24" s="12"/>
      <c r="QH24" s="12">
        <f t="shared" si="101"/>
        <v>29562.488999999998</v>
      </c>
      <c r="QI24" s="420">
        <f t="shared" si="102"/>
        <v>293965.04007140431</v>
      </c>
      <c r="QJ24" s="1106">
        <f t="shared" si="139"/>
        <v>3720.2888844000004</v>
      </c>
      <c r="QK24" s="484">
        <f t="shared" si="103"/>
        <v>5505.3678056099998</v>
      </c>
      <c r="QL24" s="12"/>
      <c r="QM24" s="2615"/>
      <c r="QO24" s="139">
        <f t="shared" si="104"/>
        <v>0</v>
      </c>
      <c r="QP24" s="139" t="str">
        <f t="shared" si="105"/>
        <v/>
      </c>
      <c r="QR24" s="139">
        <f t="shared" si="106"/>
        <v>0</v>
      </c>
      <c r="QS24" s="139">
        <f t="shared" si="107"/>
        <v>0</v>
      </c>
      <c r="QU24" s="1">
        <f t="shared" si="108"/>
        <v>0</v>
      </c>
      <c r="QV24" s="1">
        <f t="shared" si="109"/>
        <v>0</v>
      </c>
      <c r="QW24" s="1">
        <f t="shared" si="110"/>
        <v>0</v>
      </c>
      <c r="QX24" s="1">
        <f t="shared" si="111"/>
        <v>0</v>
      </c>
      <c r="QY24" s="1">
        <f t="shared" si="112"/>
        <v>0</v>
      </c>
      <c r="QZ24" s="1">
        <f t="shared" si="113"/>
        <v>0</v>
      </c>
      <c r="RB24" s="1">
        <f t="shared" si="114"/>
        <v>0</v>
      </c>
      <c r="RC24" s="1">
        <f t="shared" si="115"/>
        <v>0</v>
      </c>
      <c r="RD24" s="1">
        <f t="shared" si="116"/>
        <v>0</v>
      </c>
      <c r="RE24" s="1">
        <f t="shared" si="117"/>
        <v>0</v>
      </c>
      <c r="RF24" s="1">
        <f t="shared" si="118"/>
        <v>0</v>
      </c>
      <c r="RG24" s="1">
        <f t="shared" si="119"/>
        <v>0</v>
      </c>
      <c r="RJ24" s="1">
        <v>15</v>
      </c>
      <c r="RK24" s="1">
        <f t="shared" si="151"/>
        <v>40981.490209717093</v>
      </c>
      <c r="RL24" s="1">
        <f t="shared" si="151"/>
        <v>-2718.1832195162824</v>
      </c>
      <c r="RM24" s="1">
        <f t="shared" si="151"/>
        <v>13404.263703387322</v>
      </c>
      <c r="RN24" s="89">
        <f t="shared" si="5"/>
        <v>51667.570693588132</v>
      </c>
      <c r="RO24" s="1033">
        <v>15</v>
      </c>
      <c r="RP24" s="1098">
        <v>0</v>
      </c>
      <c r="RQ24" s="1098">
        <f t="shared" si="121"/>
        <v>791.1</v>
      </c>
      <c r="RR24" s="1097">
        <f t="shared" si="121"/>
        <v>0</v>
      </c>
      <c r="RS24" s="1097">
        <f t="shared" si="122"/>
        <v>9145.3200000000015</v>
      </c>
      <c r="RT24" s="1050"/>
      <c r="RU24" s="1109">
        <v>2608152528</v>
      </c>
      <c r="RV24" s="1048"/>
      <c r="RX24" s="421">
        <v>15</v>
      </c>
      <c r="RY24" s="1095">
        <f t="shared" si="123"/>
        <v>9396.77</v>
      </c>
      <c r="RZ24" s="1928">
        <v>2608156510</v>
      </c>
      <c r="SB24" s="1090"/>
      <c r="SC24" s="1090">
        <f t="shared" si="124"/>
        <v>-791.10000000000218</v>
      </c>
      <c r="SD24" s="1090"/>
      <c r="SE24" s="1090">
        <f t="shared" si="152"/>
        <v>0</v>
      </c>
      <c r="SG24" s="1">
        <v>15</v>
      </c>
      <c r="SH24" s="1">
        <f t="shared" si="126"/>
        <v>147.30000000000001</v>
      </c>
      <c r="SI24" s="2420">
        <v>2608156525</v>
      </c>
    </row>
    <row r="25" spans="1:503" s="1" customFormat="1">
      <c r="B25" s="471">
        <v>16</v>
      </c>
      <c r="C25" s="4">
        <f t="shared" si="127"/>
        <v>163175.20000000001</v>
      </c>
      <c r="D25" s="1590">
        <f t="shared" si="146"/>
        <v>10986.099999999999</v>
      </c>
      <c r="E25" s="1895">
        <f t="shared" si="6"/>
        <v>14.852877727309968</v>
      </c>
      <c r="F25" s="870"/>
      <c r="G25" s="870"/>
      <c r="H25" s="52"/>
      <c r="I25" s="61"/>
      <c r="J25" s="52"/>
      <c r="K25" s="54"/>
      <c r="L25" s="52"/>
      <c r="M25" s="61"/>
      <c r="N25" s="2629"/>
      <c r="O25" s="4">
        <f t="shared" si="142"/>
        <v>99078</v>
      </c>
      <c r="P25" s="1225">
        <f t="shared" si="7"/>
        <v>6460.24</v>
      </c>
      <c r="Q25" s="1913">
        <f t="shared" si="8"/>
        <v>15.336581922653028</v>
      </c>
      <c r="R25" s="33"/>
      <c r="S25" s="26">
        <f t="shared" si="9"/>
        <v>31941.199999999997</v>
      </c>
      <c r="T25" s="27">
        <f t="shared" si="129"/>
        <v>1411.9</v>
      </c>
      <c r="U25" s="1909">
        <f t="shared" si="10"/>
        <v>22.622848643671645</v>
      </c>
      <c r="V25" s="28"/>
      <c r="W25" s="26">
        <f t="shared" si="11"/>
        <v>27632</v>
      </c>
      <c r="X25" s="5">
        <f t="shared" si="11"/>
        <v>2290</v>
      </c>
      <c r="Y25" s="1909">
        <f t="shared" si="12"/>
        <v>12.066375545851528</v>
      </c>
      <c r="Z25" s="33"/>
      <c r="AA25" s="26">
        <f t="shared" si="13"/>
        <v>4524</v>
      </c>
      <c r="AB25" s="27">
        <f t="shared" si="14"/>
        <v>823.96</v>
      </c>
      <c r="AC25" s="1909">
        <f t="shared" si="15"/>
        <v>5.4905577940676729</v>
      </c>
      <c r="AD25" s="28"/>
      <c r="AE25" s="36"/>
      <c r="AF25" s="36"/>
      <c r="AG25" s="53">
        <f t="shared" si="16"/>
        <v>0</v>
      </c>
      <c r="AH25" s="28"/>
      <c r="AI25" s="26"/>
      <c r="AJ25" s="27"/>
      <c r="AK25" s="53">
        <f t="shared" si="17"/>
        <v>0</v>
      </c>
      <c r="AL25" s="28"/>
      <c r="AM25" s="2629"/>
      <c r="AN25" s="9"/>
      <c r="AO25" s="5"/>
      <c r="AP25" s="61">
        <f t="shared" si="18"/>
        <v>0</v>
      </c>
      <c r="AQ25" s="36"/>
      <c r="AR25" s="53"/>
      <c r="AS25" s="61">
        <f t="shared" si="19"/>
        <v>0</v>
      </c>
      <c r="AT25" s="36">
        <v>0</v>
      </c>
      <c r="AU25" s="27"/>
      <c r="AV25" s="54">
        <f t="shared" si="20"/>
        <v>0</v>
      </c>
      <c r="AW25" s="26">
        <v>50190</v>
      </c>
      <c r="AX25" s="24">
        <v>4277.7599999999993</v>
      </c>
      <c r="AY25" s="1895">
        <f t="shared" si="140"/>
        <v>11.73277603231598</v>
      </c>
      <c r="AZ25" s="1908"/>
      <c r="BA25" s="1909"/>
      <c r="BB25" s="1895">
        <f t="shared" si="21"/>
        <v>0</v>
      </c>
      <c r="BC25" s="1740">
        <v>48888</v>
      </c>
      <c r="BD25" s="1926">
        <v>2182.48</v>
      </c>
      <c r="BE25" s="1895">
        <f t="shared" si="22"/>
        <v>22.400205271067776</v>
      </c>
      <c r="BF25" s="1908"/>
      <c r="BG25" s="1909"/>
      <c r="BH25" s="1895">
        <f t="shared" si="23"/>
        <v>0</v>
      </c>
      <c r="BI25" s="1908">
        <v>0</v>
      </c>
      <c r="BJ25" s="1909">
        <v>0</v>
      </c>
      <c r="BK25" s="1895">
        <f t="shared" si="24"/>
        <v>0</v>
      </c>
      <c r="BL25" s="1742">
        <v>31941.199999999997</v>
      </c>
      <c r="BM25" s="1736">
        <v>1411.9</v>
      </c>
      <c r="BN25" s="2170"/>
      <c r="BO25" s="1911">
        <f t="shared" si="25"/>
        <v>22.622848643671645</v>
      </c>
      <c r="BP25" s="9">
        <v>4524</v>
      </c>
      <c r="BQ25" s="53">
        <v>823.96</v>
      </c>
      <c r="BR25" s="1920">
        <f t="shared" si="26"/>
        <v>5.4905577940676729</v>
      </c>
      <c r="BS25" s="9"/>
      <c r="BT25" s="64"/>
      <c r="BU25" s="482">
        <f t="shared" si="27"/>
        <v>0</v>
      </c>
      <c r="BV25" s="9">
        <v>27632</v>
      </c>
      <c r="BW25" s="27">
        <f t="shared" ref="BW25:BW40" si="159">ES25</f>
        <v>2290</v>
      </c>
      <c r="BX25" s="1051">
        <f>IFERROR(BV25/BW25,0)</f>
        <v>12.066375545851528</v>
      </c>
      <c r="BY25" s="26"/>
      <c r="BZ25" s="5"/>
      <c r="CA25" s="482">
        <f t="shared" si="29"/>
        <v>0</v>
      </c>
      <c r="CB25" s="9"/>
      <c r="CC25" s="481"/>
      <c r="CD25" s="482">
        <f t="shared" si="30"/>
        <v>0</v>
      </c>
      <c r="CE25" s="4"/>
      <c r="CF25" s="5"/>
      <c r="CG25" s="28">
        <f t="shared" si="31"/>
        <v>0</v>
      </c>
      <c r="CH25" s="150"/>
      <c r="CI25" s="1108"/>
      <c r="CJ25" s="5">
        <v>1269</v>
      </c>
      <c r="CK25" s="5">
        <v>4618</v>
      </c>
      <c r="CL25" s="5"/>
      <c r="CM25" s="5"/>
      <c r="CN25" s="3">
        <f t="shared" si="131"/>
        <v>5887</v>
      </c>
      <c r="CO25" s="33"/>
      <c r="CP25" s="366"/>
      <c r="CR25" s="4">
        <f t="shared" si="32"/>
        <v>0</v>
      </c>
      <c r="CS25" s="9">
        <f t="shared" si="33"/>
        <v>0</v>
      </c>
      <c r="CT25" s="5">
        <f t="shared" si="34"/>
        <v>0</v>
      </c>
      <c r="CU25" s="5">
        <f t="shared" si="35"/>
        <v>0</v>
      </c>
      <c r="CV25" s="5">
        <f t="shared" si="36"/>
        <v>0</v>
      </c>
      <c r="CW25" s="5">
        <f t="shared" si="37"/>
        <v>0</v>
      </c>
      <c r="CX25" s="5">
        <f t="shared" si="38"/>
        <v>1445.12</v>
      </c>
      <c r="CY25" s="5">
        <f t="shared" si="39"/>
        <v>0</v>
      </c>
      <c r="CZ25" s="5">
        <f t="shared" si="40"/>
        <v>4525.8600000000006</v>
      </c>
      <c r="DA25" s="5">
        <f t="shared" si="41"/>
        <v>0</v>
      </c>
      <c r="DB25" s="5">
        <f t="shared" si="42"/>
        <v>5015.12</v>
      </c>
      <c r="DC25" s="12">
        <f t="shared" si="43"/>
        <v>0</v>
      </c>
      <c r="DD25" s="310">
        <f t="shared" si="44"/>
        <v>10986.1</v>
      </c>
      <c r="DE25" s="2695"/>
      <c r="DF25" s="8"/>
      <c r="DG25" s="9"/>
      <c r="DH25" s="5"/>
      <c r="DI25" s="5"/>
      <c r="DJ25" s="5"/>
      <c r="DK25" s="5"/>
      <c r="DL25" s="3">
        <v>1445.12</v>
      </c>
      <c r="DM25" s="5"/>
      <c r="DN25" s="3">
        <v>0</v>
      </c>
      <c r="DO25" s="5"/>
      <c r="DP25" s="3">
        <v>2832.64</v>
      </c>
      <c r="DQ25" s="11">
        <v>0</v>
      </c>
      <c r="DR25" s="12"/>
      <c r="DS25" s="28">
        <f t="shared" si="45"/>
        <v>4277.76</v>
      </c>
      <c r="DT25" s="36"/>
      <c r="DU25" s="9"/>
      <c r="DV25" s="5"/>
      <c r="DW25" s="5"/>
      <c r="DX25" s="5"/>
      <c r="DY25" s="5"/>
      <c r="DZ25" s="5"/>
      <c r="EA25" s="5"/>
      <c r="EB25" s="3">
        <v>2235.86</v>
      </c>
      <c r="EC25" s="27"/>
      <c r="ED25" s="24">
        <v>2182.48</v>
      </c>
      <c r="EE25" s="33"/>
      <c r="EF25" s="28">
        <f t="shared" si="46"/>
        <v>4418.34</v>
      </c>
      <c r="EG25" s="9"/>
      <c r="EH25" s="36"/>
      <c r="EI25" s="5"/>
      <c r="EJ25" s="27"/>
      <c r="EK25" s="27"/>
      <c r="EL25" s="27"/>
      <c r="EM25" s="27"/>
      <c r="EN25" s="27"/>
      <c r="EO25" s="5">
        <v>2290</v>
      </c>
      <c r="EP25" s="5"/>
      <c r="EQ25" s="5">
        <v>0</v>
      </c>
      <c r="ER25" s="33"/>
      <c r="ES25" s="28">
        <f t="shared" si="143"/>
        <v>2290</v>
      </c>
      <c r="ET25" s="36"/>
      <c r="EU25" s="27"/>
      <c r="EV25" s="27"/>
      <c r="EW25" s="27"/>
      <c r="EX25" s="27"/>
      <c r="EY25" s="27"/>
      <c r="EZ25" s="33">
        <f t="shared" si="48"/>
        <v>0</v>
      </c>
      <c r="FA25" s="2685"/>
      <c r="FC25" s="4">
        <f t="shared" si="49"/>
        <v>0</v>
      </c>
      <c r="FD25" s="5">
        <f t="shared" si="50"/>
        <v>0</v>
      </c>
      <c r="FE25" s="5">
        <f t="shared" si="51"/>
        <v>0</v>
      </c>
      <c r="FF25" s="12">
        <f t="shared" si="52"/>
        <v>0</v>
      </c>
      <c r="FG25" s="33"/>
      <c r="FH25" s="2674"/>
      <c r="FI25" s="9"/>
      <c r="FJ25" s="5"/>
      <c r="FK25" s="5"/>
      <c r="FL25" s="5"/>
      <c r="FM25" s="5"/>
      <c r="FN25" s="27"/>
      <c r="FO25" s="28">
        <f t="shared" si="53"/>
        <v>0</v>
      </c>
      <c r="FP25" s="36"/>
      <c r="FQ25" s="27"/>
      <c r="FR25" s="27"/>
      <c r="FS25" s="27"/>
      <c r="FT25" s="27"/>
      <c r="FU25" s="27"/>
      <c r="FV25" s="28">
        <f t="shared" si="54"/>
        <v>0</v>
      </c>
      <c r="FW25" s="36"/>
      <c r="FX25" s="36"/>
      <c r="FY25" s="27"/>
      <c r="FZ25" s="27"/>
      <c r="GA25" s="27"/>
      <c r="GB25" s="27"/>
      <c r="GC25" s="27"/>
      <c r="GD25" s="27"/>
      <c r="GE25" s="24">
        <v>0</v>
      </c>
      <c r="GF25" s="27"/>
      <c r="GG25" s="27"/>
      <c r="GH25" s="33"/>
      <c r="GI25" s="33">
        <f t="shared" si="55"/>
        <v>0</v>
      </c>
      <c r="GJ25" s="2674"/>
      <c r="GL25" s="2">
        <f t="shared" si="132"/>
        <v>2466.16</v>
      </c>
      <c r="GM25" s="63">
        <f t="shared" si="133"/>
        <v>5424.4600000000009</v>
      </c>
      <c r="GN25" s="24">
        <f t="shared" si="134"/>
        <v>5724.01</v>
      </c>
      <c r="GO25" s="1736">
        <f t="shared" si="56"/>
        <v>13614.630000000001</v>
      </c>
      <c r="GP25" s="141"/>
      <c r="GQ25" s="141"/>
      <c r="GR25" s="33"/>
      <c r="GS25" s="2667"/>
      <c r="GT25" s="1739">
        <v>0</v>
      </c>
      <c r="GU25" s="1721">
        <v>0</v>
      </c>
      <c r="GV25" s="1721">
        <v>5371.3599999999988</v>
      </c>
      <c r="GW25" s="1721">
        <v>8243.27</v>
      </c>
      <c r="GX25" s="33">
        <f t="shared" si="135"/>
        <v>13614.63</v>
      </c>
      <c r="GY25" s="2667"/>
      <c r="GZ25" s="35">
        <v>0</v>
      </c>
      <c r="HA25" s="27"/>
      <c r="HB25" s="64"/>
      <c r="HC25" s="27"/>
      <c r="HD25" s="27"/>
      <c r="HE25" s="27"/>
      <c r="HF25" s="24">
        <v>0</v>
      </c>
      <c r="HG25" s="27"/>
      <c r="HH25" s="24">
        <v>1603.3999999999999</v>
      </c>
      <c r="HI25" s="27"/>
      <c r="HJ25" s="24">
        <v>862.76</v>
      </c>
      <c r="HK25" s="27"/>
      <c r="HL25" s="24">
        <v>0</v>
      </c>
      <c r="HM25" s="27"/>
      <c r="HN25" s="28">
        <f t="shared" si="148"/>
        <v>2466.16</v>
      </c>
      <c r="HO25" s="36"/>
      <c r="HP25" s="27"/>
      <c r="HQ25" s="27"/>
      <c r="HR25" s="27"/>
      <c r="HS25" s="27"/>
      <c r="HT25" s="27"/>
      <c r="HU25" s="27">
        <f t="array" ref="HU25">SUMPRODUCT(('Data Base hauling'!$C$2:$C$2000="TCM-ROM SB1 BK05-ROM 4")*(ISNUMBER(SEARCH(TEXT('August TCM'!$B25,"00")&amp;"/03/2026",'Data Base hauling'!$E$2:$E$2000)))*'Data Base hauling'!$N$2:$N$2000)</f>
        <v>0</v>
      </c>
      <c r="HV25" s="27"/>
      <c r="HW25" s="27">
        <f t="array" ref="HW25">SUMPRODUCT(('Data Base hauling'!$C$2:$C$2000="TCM-ROM SB1 BK05-ROM 5")*(ISNUMBER(SEARCH(TEXT('August TCM'!$B25,"00")&amp;"/03/2026",'Data Base hauling'!$E$2:$E$2000)))*'Data Base hauling'!$N$2:$N$2000)</f>
        <v>0</v>
      </c>
      <c r="HX25" s="27"/>
      <c r="HY25" s="27"/>
      <c r="HZ25" s="27"/>
      <c r="IA25" s="27"/>
      <c r="IB25" s="27"/>
      <c r="IC25" s="33">
        <f t="shared" si="58"/>
        <v>0</v>
      </c>
      <c r="ID25" s="52"/>
      <c r="IE25" s="152"/>
      <c r="IF25" s="53"/>
      <c r="IG25" s="53"/>
      <c r="IH25" s="53"/>
      <c r="II25" s="53"/>
      <c r="IJ25" s="1926">
        <v>1345.93</v>
      </c>
      <c r="IK25" s="1736"/>
      <c r="IL25" s="1926">
        <v>0</v>
      </c>
      <c r="IM25" s="53"/>
      <c r="IN25" s="49">
        <v>4078.5300000000007</v>
      </c>
      <c r="IO25" s="53"/>
      <c r="IP25" s="53"/>
      <c r="IQ25" s="49">
        <v>0</v>
      </c>
      <c r="IR25" s="2195">
        <f t="shared" si="149"/>
        <v>5424.4600000000009</v>
      </c>
      <c r="IS25" s="36"/>
      <c r="IT25" s="36"/>
      <c r="IU25" s="27"/>
      <c r="IV25" s="27"/>
      <c r="IW25" s="53"/>
      <c r="IX25" s="27"/>
      <c r="IY25" s="24">
        <v>0</v>
      </c>
      <c r="IZ25" s="27"/>
      <c r="JA25" s="24">
        <v>4028.4100000000003</v>
      </c>
      <c r="JB25" s="27"/>
      <c r="JC25" s="24">
        <v>1695.6</v>
      </c>
      <c r="JD25" s="27"/>
      <c r="JE25" s="27"/>
      <c r="JF25" s="27"/>
      <c r="JG25" s="33">
        <f t="shared" si="150"/>
        <v>5724.01</v>
      </c>
      <c r="JH25" s="2667"/>
      <c r="JJ25" s="2014">
        <v>7704.4499999999989</v>
      </c>
      <c r="JK25" s="2015">
        <v>5910.18</v>
      </c>
      <c r="JL25" s="53"/>
      <c r="JM25" s="1736">
        <f t="shared" si="61"/>
        <v>13614.63</v>
      </c>
      <c r="JN25" s="33"/>
      <c r="JO25" s="2669"/>
      <c r="JP25" s="66">
        <v>0</v>
      </c>
      <c r="JQ25" s="67">
        <v>0</v>
      </c>
      <c r="JR25" s="67">
        <v>0</v>
      </c>
      <c r="JS25" s="67">
        <v>0</v>
      </c>
      <c r="JT25" s="67">
        <v>0.73098144578782398</v>
      </c>
      <c r="JU25" s="67">
        <v>0.26901855421217619</v>
      </c>
      <c r="JV25" s="67">
        <v>0</v>
      </c>
      <c r="JW25" s="1921">
        <v>0</v>
      </c>
      <c r="JX25" s="66">
        <v>0</v>
      </c>
      <c r="JY25" s="67">
        <v>0</v>
      </c>
      <c r="JZ25" s="67">
        <v>0</v>
      </c>
      <c r="KA25" s="67">
        <v>0.22773079669316332</v>
      </c>
      <c r="KB25" s="67">
        <v>0</v>
      </c>
      <c r="KC25" s="67">
        <v>0.77226920330683646</v>
      </c>
      <c r="KD25" s="67">
        <v>0</v>
      </c>
      <c r="KE25" s="68">
        <v>0</v>
      </c>
      <c r="KF25" s="69"/>
      <c r="KG25" s="70"/>
      <c r="KH25" s="70"/>
      <c r="KI25" s="70"/>
      <c r="KJ25" s="70"/>
      <c r="KK25" s="70"/>
      <c r="KL25" s="70"/>
      <c r="KM25" s="70"/>
      <c r="KN25" s="33"/>
      <c r="KO25" s="2669"/>
      <c r="KP25" s="2203">
        <v>6999.4430379746836</v>
      </c>
      <c r="KQ25" s="1721">
        <v>0.63227848101265838</v>
      </c>
      <c r="KR25" s="1721">
        <v>3.701139240506329</v>
      </c>
      <c r="KS25" s="1721">
        <v>6.640126582278481</v>
      </c>
      <c r="KT25" s="1722">
        <v>10.211139240506329</v>
      </c>
      <c r="KU25" s="1958">
        <v>7018</v>
      </c>
      <c r="KV25" s="1961">
        <v>1.81</v>
      </c>
      <c r="KW25" s="1961">
        <v>3.43</v>
      </c>
      <c r="KX25" s="1961">
        <v>6.32</v>
      </c>
      <c r="KY25" s="1962">
        <v>9.24</v>
      </c>
      <c r="KZ25" s="36"/>
      <c r="LA25" s="53"/>
      <c r="LB25" s="53"/>
      <c r="LC25" s="53"/>
      <c r="LD25" s="53"/>
      <c r="LE25" s="33"/>
      <c r="LF25" s="2669"/>
      <c r="LH25" s="4">
        <f t="shared" ref="LH25:LJ40" si="160">SUM(LS25,LY25,MK25,MQ25+ME25)</f>
        <v>0</v>
      </c>
      <c r="LI25" s="27">
        <f t="shared" si="160"/>
        <v>0</v>
      </c>
      <c r="LJ25" s="27">
        <f t="shared" si="160"/>
        <v>0</v>
      </c>
      <c r="LK25" s="28">
        <f t="shared" si="63"/>
        <v>0</v>
      </c>
      <c r="LL25" s="36"/>
      <c r="LM25" s="27"/>
      <c r="LN25" s="27">
        <v>3</v>
      </c>
      <c r="LO25" s="33"/>
      <c r="LP25" s="1957">
        <v>0</v>
      </c>
      <c r="LQ25" s="486"/>
      <c r="LR25" s="2688"/>
      <c r="LS25" s="36"/>
      <c r="LT25" s="36"/>
      <c r="LU25" s="27"/>
      <c r="LV25" s="27"/>
      <c r="LW25" s="27"/>
      <c r="LX25" s="1107">
        <f t="shared" si="64"/>
        <v>0</v>
      </c>
      <c r="LY25" s="36"/>
      <c r="LZ25" s="36"/>
      <c r="MA25" s="27"/>
      <c r="MB25" s="27"/>
      <c r="MC25" s="33"/>
      <c r="MD25" s="28">
        <f t="shared" si="65"/>
        <v>0</v>
      </c>
      <c r="ME25" s="26"/>
      <c r="MF25" s="36"/>
      <c r="MG25" s="27"/>
      <c r="MH25" s="27"/>
      <c r="MI25" s="27"/>
      <c r="MJ25" s="28"/>
      <c r="MK25" s="36"/>
      <c r="ML25" s="36"/>
      <c r="MM25" s="27"/>
      <c r="MN25" s="27"/>
      <c r="MO25" s="27"/>
      <c r="MP25" s="28"/>
      <c r="MQ25" s="36"/>
      <c r="MR25" s="36"/>
      <c r="MS25" s="27"/>
      <c r="MT25" s="27"/>
      <c r="MU25" s="27"/>
      <c r="MV25" s="33">
        <f t="shared" si="66"/>
        <v>0</v>
      </c>
      <c r="MW25" s="2688"/>
      <c r="MY25" s="26">
        <f t="shared" si="67"/>
        <v>239213.63841801809</v>
      </c>
      <c r="MZ25" s="27">
        <f t="shared" si="68"/>
        <v>283983.89630375826</v>
      </c>
      <c r="NA25" s="27">
        <f t="shared" si="69"/>
        <v>25173.475697817419</v>
      </c>
      <c r="NB25" s="28">
        <f t="shared" si="70"/>
        <v>326098.17795580428</v>
      </c>
      <c r="NC25" s="2621"/>
      <c r="ND25" s="23">
        <f t="shared" si="71"/>
        <v>132596.1626380661</v>
      </c>
      <c r="NE25" s="1655">
        <f t="shared" si="72"/>
        <v>106617.47577995199</v>
      </c>
      <c r="NF25" s="60">
        <f t="shared" si="73"/>
        <v>0</v>
      </c>
      <c r="NG25" s="275">
        <f t="shared" si="4"/>
        <v>239213.63841801809</v>
      </c>
      <c r="NH25" s="26">
        <f t="shared" si="74"/>
        <v>0</v>
      </c>
      <c r="NI25" s="27">
        <f t="shared" si="74"/>
        <v>0</v>
      </c>
      <c r="NJ25" s="27">
        <f t="shared" si="74"/>
        <v>0</v>
      </c>
      <c r="NK25" s="27">
        <f t="shared" si="74"/>
        <v>0</v>
      </c>
      <c r="NL25" s="27">
        <f t="shared" si="74"/>
        <v>0</v>
      </c>
      <c r="NM25" s="33">
        <f t="shared" si="74"/>
        <v>0</v>
      </c>
      <c r="NN25" s="27">
        <f t="shared" si="74"/>
        <v>0</v>
      </c>
      <c r="NO25" s="36">
        <f t="shared" si="74"/>
        <v>0</v>
      </c>
      <c r="NP25" s="24">
        <f t="shared" si="74"/>
        <v>31160.680605424241</v>
      </c>
      <c r="NQ25" s="27">
        <f t="shared" si="74"/>
        <v>24023.830351777149</v>
      </c>
      <c r="NR25" s="24">
        <f t="shared" si="136"/>
        <v>8756.5482322711578</v>
      </c>
      <c r="NS25" s="24">
        <f t="shared" si="137"/>
        <v>11651.173566410112</v>
      </c>
      <c r="NT25" s="27">
        <f t="shared" si="0"/>
        <v>75592.232755882666</v>
      </c>
      <c r="NU25" s="27">
        <f t="shared" si="75"/>
        <v>0</v>
      </c>
      <c r="NV25" s="27">
        <f t="shared" si="76"/>
        <v>0</v>
      </c>
      <c r="NW25" s="27">
        <f t="shared" si="77"/>
        <v>0</v>
      </c>
      <c r="NX25" s="27">
        <f t="shared" si="78"/>
        <v>0</v>
      </c>
      <c r="NY25" s="27">
        <f t="shared" si="79"/>
        <v>0</v>
      </c>
      <c r="NZ25" s="5">
        <f t="shared" si="80"/>
        <v>0</v>
      </c>
      <c r="OA25" s="27">
        <f t="shared" si="81"/>
        <v>35527.644489662845</v>
      </c>
      <c r="OB25" s="27">
        <f t="shared" si="82"/>
        <v>0</v>
      </c>
      <c r="OC25" s="27">
        <f t="shared" si="83"/>
        <v>74342.359485704175</v>
      </c>
      <c r="OD25" s="280"/>
      <c r="OE25" s="27">
        <f t="shared" si="138"/>
        <v>10068.200000000003</v>
      </c>
      <c r="OF25" s="27">
        <f t="shared" si="84"/>
        <v>0</v>
      </c>
      <c r="OG25" s="28">
        <f t="shared" si="1"/>
        <v>119938.20397536703</v>
      </c>
      <c r="OH25" s="27">
        <f t="shared" si="153"/>
        <v>0</v>
      </c>
      <c r="OI25" s="27">
        <f t="shared" si="154"/>
        <v>0</v>
      </c>
      <c r="OJ25" s="27">
        <f t="shared" si="158"/>
        <v>0</v>
      </c>
      <c r="OK25" s="27">
        <f t="shared" si="155"/>
        <v>0</v>
      </c>
      <c r="OL25" s="27">
        <f t="shared" si="156"/>
        <v>0</v>
      </c>
      <c r="OM25" s="27">
        <f t="shared" si="157"/>
        <v>0</v>
      </c>
      <c r="ON25" s="24">
        <f t="shared" si="147"/>
        <v>0</v>
      </c>
      <c r="OO25" s="27">
        <f t="shared" si="145"/>
        <v>0</v>
      </c>
      <c r="OP25" s="24">
        <f t="shared" si="86"/>
        <v>66203.312313713745</v>
      </c>
      <c r="OQ25" s="27">
        <f t="shared" si="87"/>
        <v>0</v>
      </c>
      <c r="OR25" s="24">
        <f t="shared" si="88"/>
        <v>22250.147258794852</v>
      </c>
      <c r="OS25" s="27">
        <f t="shared" si="89"/>
        <v>0</v>
      </c>
      <c r="OT25" s="28">
        <f t="shared" si="2"/>
        <v>88453.459572508596</v>
      </c>
      <c r="OU25" s="36"/>
      <c r="OV25" s="27"/>
      <c r="OW25" s="27"/>
      <c r="OX25" s="27"/>
      <c r="OY25" s="27"/>
      <c r="OZ25" s="27"/>
      <c r="PA25" s="28">
        <f t="shared" si="90"/>
        <v>0</v>
      </c>
      <c r="PB25" s="36">
        <f t="shared" si="91"/>
        <v>0</v>
      </c>
      <c r="PC25" s="27">
        <f t="shared" si="92"/>
        <v>0</v>
      </c>
      <c r="PD25" s="27">
        <f t="shared" si="93"/>
        <v>0</v>
      </c>
      <c r="PE25" s="27">
        <f t="shared" si="94"/>
        <v>0</v>
      </c>
      <c r="PF25" s="24"/>
      <c r="PG25" s="27">
        <f t="shared" si="95"/>
        <v>0</v>
      </c>
      <c r="PH25" s="33">
        <f t="shared" si="3"/>
        <v>0</v>
      </c>
      <c r="PI25" s="2621"/>
      <c r="PK25" s="1907">
        <v>1149.6399999999999</v>
      </c>
      <c r="PL25" s="3">
        <v>1064</v>
      </c>
      <c r="PM25" s="3">
        <v>319.20000000000005</v>
      </c>
      <c r="PN25" s="3">
        <f t="shared" si="96"/>
        <v>0</v>
      </c>
      <c r="PO25" s="3">
        <f t="shared" si="97"/>
        <v>32624.649204532863</v>
      </c>
      <c r="PP25" s="11">
        <f t="shared" ref="PP25:PP40" si="161">PP24+PM25-PN25</f>
        <v>25173.475697817419</v>
      </c>
      <c r="PQ25" s="15"/>
      <c r="PR25" s="2615"/>
      <c r="PT25" s="4"/>
      <c r="PU25" s="9"/>
      <c r="PV25" s="9"/>
      <c r="PW25" s="486"/>
      <c r="PX25" s="2531">
        <v>0</v>
      </c>
      <c r="PY25" s="9"/>
      <c r="PZ25" s="8">
        <f t="shared" si="99"/>
        <v>0</v>
      </c>
      <c r="QA25" s="5">
        <f t="shared" si="100"/>
        <v>1149.6399999999999</v>
      </c>
      <c r="QB25" s="5"/>
      <c r="QC25" s="5"/>
      <c r="QD25" s="5"/>
      <c r="QE25" s="5"/>
      <c r="QF25" s="5"/>
      <c r="QG25" s="12"/>
      <c r="QH25" s="12">
        <f t="shared" si="101"/>
        <v>29562.488999999998</v>
      </c>
      <c r="QI25" s="420">
        <f t="shared" si="102"/>
        <v>292815.40007140429</v>
      </c>
      <c r="QJ25" s="1106">
        <f t="shared" si="139"/>
        <v>3720.2888844000004</v>
      </c>
      <c r="QK25" s="484">
        <f t="shared" si="103"/>
        <v>5505.3678056099998</v>
      </c>
      <c r="QL25" s="12"/>
      <c r="QM25" s="2615"/>
      <c r="QO25" s="139">
        <f t="shared" si="104"/>
        <v>0</v>
      </c>
      <c r="QP25" s="139" t="str">
        <f t="shared" si="105"/>
        <v/>
      </c>
      <c r="QR25" s="139">
        <f t="shared" si="106"/>
        <v>0</v>
      </c>
      <c r="QS25" s="139">
        <f t="shared" si="107"/>
        <v>0</v>
      </c>
      <c r="QU25" s="1">
        <f t="shared" si="108"/>
        <v>0</v>
      </c>
      <c r="QV25" s="1">
        <f t="shared" si="109"/>
        <v>0</v>
      </c>
      <c r="QW25" s="1">
        <f t="shared" si="110"/>
        <v>0</v>
      </c>
      <c r="QX25" s="1">
        <f t="shared" si="111"/>
        <v>0</v>
      </c>
      <c r="QY25" s="1">
        <f t="shared" si="112"/>
        <v>0</v>
      </c>
      <c r="QZ25" s="1">
        <f t="shared" si="113"/>
        <v>0</v>
      </c>
      <c r="RB25" s="1">
        <f t="shared" si="114"/>
        <v>0</v>
      </c>
      <c r="RC25" s="1">
        <f t="shared" si="115"/>
        <v>0</v>
      </c>
      <c r="RD25" s="1">
        <f t="shared" si="116"/>
        <v>0</v>
      </c>
      <c r="RE25" s="1">
        <f t="shared" si="117"/>
        <v>0</v>
      </c>
      <c r="RF25" s="1">
        <f t="shared" si="118"/>
        <v>0</v>
      </c>
      <c r="RG25" s="1">
        <f t="shared" si="119"/>
        <v>0</v>
      </c>
      <c r="RJ25" s="1">
        <v>16</v>
      </c>
      <c r="RK25" s="1">
        <f t="shared" si="151"/>
        <v>48685.94020971709</v>
      </c>
      <c r="RL25" s="1">
        <f t="shared" si="151"/>
        <v>3191.9967804837179</v>
      </c>
      <c r="RM25" s="1">
        <f t="shared" si="151"/>
        <v>13404.263703387322</v>
      </c>
      <c r="RN25" s="89">
        <f t="shared" si="5"/>
        <v>65282.200693588122</v>
      </c>
      <c r="RO25" s="1033">
        <v>16</v>
      </c>
      <c r="RP25" s="1098">
        <v>0</v>
      </c>
      <c r="RQ25" s="1098">
        <f t="shared" si="121"/>
        <v>0</v>
      </c>
      <c r="RR25" s="1097">
        <f t="shared" si="121"/>
        <v>0</v>
      </c>
      <c r="RS25" s="1097">
        <f t="shared" si="122"/>
        <v>8696.0999999999985</v>
      </c>
      <c r="RT25" s="1046"/>
      <c r="RU25" s="1928">
        <v>2608162719</v>
      </c>
      <c r="RV25" s="1048"/>
      <c r="RX25" s="421">
        <v>16</v>
      </c>
      <c r="RY25" s="1095">
        <f t="shared" si="123"/>
        <v>13614.63</v>
      </c>
      <c r="RZ25" s="1109" t="s">
        <v>1059</v>
      </c>
      <c r="SA25" s="1048"/>
      <c r="SB25" s="1090"/>
      <c r="SC25" s="1090">
        <f t="shared" si="124"/>
        <v>0</v>
      </c>
      <c r="SD25" s="1090"/>
      <c r="SE25" s="1090">
        <f t="shared" si="152"/>
        <v>0</v>
      </c>
      <c r="SG25" s="1">
        <v>16</v>
      </c>
      <c r="SH25" s="1">
        <f t="shared" si="126"/>
        <v>0</v>
      </c>
      <c r="SI25" s="2420"/>
    </row>
    <row r="26" spans="1:503" s="1" customFormat="1" ht="13.95" customHeight="1">
      <c r="B26" s="471">
        <v>17</v>
      </c>
      <c r="C26" s="4">
        <f t="shared" si="127"/>
        <v>70601.600000000006</v>
      </c>
      <c r="D26" s="1590">
        <f t="shared" si="146"/>
        <v>9589.68</v>
      </c>
      <c r="E26" s="1895">
        <f t="shared" si="6"/>
        <v>7.3622477496642231</v>
      </c>
      <c r="F26" s="870"/>
      <c r="G26" s="870"/>
      <c r="H26" s="52"/>
      <c r="I26" s="61"/>
      <c r="J26" s="52"/>
      <c r="K26" s="54"/>
      <c r="L26" s="52"/>
      <c r="M26" s="61"/>
      <c r="N26" s="2629"/>
      <c r="O26" s="4">
        <f t="shared" si="142"/>
        <v>0</v>
      </c>
      <c r="P26" s="1225">
        <f t="shared" si="7"/>
        <v>5321.8799999999992</v>
      </c>
      <c r="Q26" s="1913">
        <f t="shared" si="8"/>
        <v>0</v>
      </c>
      <c r="R26" s="33"/>
      <c r="S26" s="26">
        <f t="shared" si="9"/>
        <v>38563.599999999999</v>
      </c>
      <c r="T26" s="27">
        <f t="shared" si="129"/>
        <v>1928.02</v>
      </c>
      <c r="U26" s="1909">
        <f t="shared" si="10"/>
        <v>20.001659733820187</v>
      </c>
      <c r="V26" s="28"/>
      <c r="W26" s="26">
        <f t="shared" si="11"/>
        <v>27566</v>
      </c>
      <c r="X26" s="5">
        <f t="shared" si="11"/>
        <v>1944</v>
      </c>
      <c r="Y26" s="1909">
        <f t="shared" si="12"/>
        <v>14.180041152263374</v>
      </c>
      <c r="Z26" s="33"/>
      <c r="AA26" s="26">
        <f t="shared" si="13"/>
        <v>4472</v>
      </c>
      <c r="AB26" s="27">
        <f t="shared" si="14"/>
        <v>395.78</v>
      </c>
      <c r="AC26" s="1909">
        <f t="shared" si="15"/>
        <v>11.29920662994593</v>
      </c>
      <c r="AD26" s="28"/>
      <c r="AE26" s="36"/>
      <c r="AF26" s="36"/>
      <c r="AG26" s="53">
        <f t="shared" si="16"/>
        <v>0</v>
      </c>
      <c r="AH26" s="28"/>
      <c r="AI26" s="23"/>
      <c r="AJ26" s="27"/>
      <c r="AK26" s="53">
        <f t="shared" si="17"/>
        <v>0</v>
      </c>
      <c r="AL26" s="28"/>
      <c r="AM26" s="2629"/>
      <c r="AN26" s="9"/>
      <c r="AO26" s="5"/>
      <c r="AP26" s="61">
        <f t="shared" si="18"/>
        <v>0</v>
      </c>
      <c r="AQ26" s="36"/>
      <c r="AR26" s="53"/>
      <c r="AS26" s="61">
        <f t="shared" si="19"/>
        <v>0</v>
      </c>
      <c r="AT26" s="36">
        <v>0</v>
      </c>
      <c r="AU26" s="27"/>
      <c r="AV26" s="54">
        <f t="shared" si="20"/>
        <v>0</v>
      </c>
      <c r="AW26" s="26">
        <v>0</v>
      </c>
      <c r="AX26" s="24">
        <v>5321.8799999999992</v>
      </c>
      <c r="AY26" s="1895">
        <f t="shared" si="140"/>
        <v>0</v>
      </c>
      <c r="AZ26" s="1908"/>
      <c r="BA26" s="1909"/>
      <c r="BB26" s="1895">
        <f t="shared" si="21"/>
        <v>0</v>
      </c>
      <c r="BC26" s="1740">
        <v>0</v>
      </c>
      <c r="BD26" s="1926">
        <v>0</v>
      </c>
      <c r="BE26" s="1895">
        <f t="shared" si="22"/>
        <v>0</v>
      </c>
      <c r="BF26" s="1908"/>
      <c r="BG26" s="1909"/>
      <c r="BH26" s="1895">
        <f t="shared" si="23"/>
        <v>0</v>
      </c>
      <c r="BI26" s="1908">
        <v>0</v>
      </c>
      <c r="BJ26" s="1909">
        <v>0</v>
      </c>
      <c r="BK26" s="1895">
        <f t="shared" si="24"/>
        <v>0</v>
      </c>
      <c r="BL26" s="1742">
        <v>38563.599999999999</v>
      </c>
      <c r="BM26" s="1736">
        <v>1928.02</v>
      </c>
      <c r="BN26" s="2170"/>
      <c r="BO26" s="1911">
        <f t="shared" si="25"/>
        <v>20.001659733820187</v>
      </c>
      <c r="BP26" s="9">
        <v>4472</v>
      </c>
      <c r="BQ26" s="53">
        <v>395.78</v>
      </c>
      <c r="BR26" s="1920">
        <f t="shared" si="26"/>
        <v>11.29920662994593</v>
      </c>
      <c r="BS26" s="9"/>
      <c r="BT26" s="64"/>
      <c r="BU26" s="482">
        <f t="shared" si="27"/>
        <v>0</v>
      </c>
      <c r="BV26" s="9">
        <v>27566</v>
      </c>
      <c r="BW26" s="27">
        <f t="shared" si="159"/>
        <v>1944</v>
      </c>
      <c r="BX26" s="1051">
        <f t="shared" ref="BX26:BX30" si="162">IFERROR(BV26/BW26,0)</f>
        <v>14.180041152263374</v>
      </c>
      <c r="BY26" s="26"/>
      <c r="BZ26" s="5"/>
      <c r="CA26" s="482">
        <f t="shared" si="29"/>
        <v>0</v>
      </c>
      <c r="CB26" s="9"/>
      <c r="CC26" s="5"/>
      <c r="CD26" s="483">
        <f t="shared" si="30"/>
        <v>0</v>
      </c>
      <c r="CE26" s="4"/>
      <c r="CF26" s="5"/>
      <c r="CG26" s="28">
        <f t="shared" si="31"/>
        <v>0</v>
      </c>
      <c r="CH26" s="150"/>
      <c r="CI26" s="1108"/>
      <c r="CJ26" s="5">
        <v>0</v>
      </c>
      <c r="CK26" s="5">
        <v>6005</v>
      </c>
      <c r="CL26" s="5"/>
      <c r="CM26" s="5"/>
      <c r="CN26" s="3">
        <f t="shared" si="131"/>
        <v>6005</v>
      </c>
      <c r="CO26" s="33"/>
      <c r="CP26" s="366"/>
      <c r="CR26" s="4">
        <f t="shared" si="32"/>
        <v>0</v>
      </c>
      <c r="CS26" s="9">
        <f t="shared" si="33"/>
        <v>0</v>
      </c>
      <c r="CT26" s="5">
        <f t="shared" si="34"/>
        <v>0</v>
      </c>
      <c r="CU26" s="5">
        <f t="shared" si="35"/>
        <v>0</v>
      </c>
      <c r="CV26" s="5">
        <f t="shared" si="36"/>
        <v>0</v>
      </c>
      <c r="CW26" s="5">
        <f t="shared" si="37"/>
        <v>0</v>
      </c>
      <c r="CX26" s="5">
        <f t="shared" si="38"/>
        <v>1804.06</v>
      </c>
      <c r="CY26" s="5">
        <f t="shared" si="39"/>
        <v>0</v>
      </c>
      <c r="CZ26" s="5">
        <f t="shared" si="40"/>
        <v>4267.8</v>
      </c>
      <c r="DA26" s="5">
        <f t="shared" si="41"/>
        <v>0</v>
      </c>
      <c r="DB26" s="5">
        <f t="shared" si="42"/>
        <v>3517.8199999999997</v>
      </c>
      <c r="DC26" s="12">
        <f t="shared" si="43"/>
        <v>0</v>
      </c>
      <c r="DD26" s="310">
        <f t="shared" si="44"/>
        <v>9589.68</v>
      </c>
      <c r="DE26" s="2695"/>
      <c r="DF26" s="8"/>
      <c r="DG26" s="9"/>
      <c r="DH26" s="5"/>
      <c r="DI26" s="5"/>
      <c r="DJ26" s="5"/>
      <c r="DK26" s="5"/>
      <c r="DL26" s="3">
        <v>1804.06</v>
      </c>
      <c r="DM26" s="5"/>
      <c r="DN26" s="3">
        <v>0</v>
      </c>
      <c r="DO26" s="5"/>
      <c r="DP26" s="3">
        <v>3517.8199999999997</v>
      </c>
      <c r="DQ26" s="11">
        <v>0</v>
      </c>
      <c r="DR26" s="12"/>
      <c r="DS26" s="28">
        <f t="shared" si="45"/>
        <v>5321.8799999999992</v>
      </c>
      <c r="DT26" s="36"/>
      <c r="DU26" s="9"/>
      <c r="DV26" s="5"/>
      <c r="DW26" s="5"/>
      <c r="DX26" s="5"/>
      <c r="DY26" s="5"/>
      <c r="DZ26" s="5"/>
      <c r="EA26" s="5"/>
      <c r="EB26" s="3">
        <v>2323.8000000000002</v>
      </c>
      <c r="EC26" s="27"/>
      <c r="ED26" s="24">
        <v>0</v>
      </c>
      <c r="EE26" s="33"/>
      <c r="EF26" s="28">
        <f t="shared" si="46"/>
        <v>2323.8000000000002</v>
      </c>
      <c r="EG26" s="9"/>
      <c r="EH26" s="36"/>
      <c r="EI26" s="5"/>
      <c r="EJ26" s="27"/>
      <c r="EK26" s="27"/>
      <c r="EL26" s="27"/>
      <c r="EM26" s="27"/>
      <c r="EN26" s="27"/>
      <c r="EO26" s="5">
        <v>1944</v>
      </c>
      <c r="EP26" s="5"/>
      <c r="EQ26" s="5">
        <v>0</v>
      </c>
      <c r="ER26" s="33"/>
      <c r="ES26" s="28">
        <f t="shared" si="143"/>
        <v>1944</v>
      </c>
      <c r="ET26" s="36"/>
      <c r="EU26" s="27"/>
      <c r="EV26" s="27"/>
      <c r="EW26" s="27"/>
      <c r="EX26" s="27"/>
      <c r="EY26" s="27"/>
      <c r="EZ26" s="33">
        <f t="shared" si="48"/>
        <v>0</v>
      </c>
      <c r="FA26" s="2685"/>
      <c r="FC26" s="4">
        <f t="shared" si="49"/>
        <v>0</v>
      </c>
      <c r="FD26" s="5">
        <f t="shared" si="50"/>
        <v>0</v>
      </c>
      <c r="FE26" s="5">
        <f t="shared" si="51"/>
        <v>0</v>
      </c>
      <c r="FF26" s="12">
        <f t="shared" si="52"/>
        <v>0</v>
      </c>
      <c r="FG26" s="33"/>
      <c r="FH26" s="2674"/>
      <c r="FI26" s="9"/>
      <c r="FJ26" s="5"/>
      <c r="FK26" s="5"/>
      <c r="FL26" s="5"/>
      <c r="FM26" s="5"/>
      <c r="FN26" s="27"/>
      <c r="FO26" s="28">
        <f t="shared" si="53"/>
        <v>0</v>
      </c>
      <c r="FP26" s="36"/>
      <c r="FQ26" s="27"/>
      <c r="FR26" s="27"/>
      <c r="FS26" s="27"/>
      <c r="FT26" s="27"/>
      <c r="FU26" s="27"/>
      <c r="FV26" s="28">
        <f t="shared" si="54"/>
        <v>0</v>
      </c>
      <c r="FW26" s="36"/>
      <c r="FX26" s="36"/>
      <c r="FY26" s="27"/>
      <c r="FZ26" s="27"/>
      <c r="GA26" s="27"/>
      <c r="GB26" s="27"/>
      <c r="GC26" s="27"/>
      <c r="GD26" s="27"/>
      <c r="GE26" s="24">
        <v>0</v>
      </c>
      <c r="GF26" s="27"/>
      <c r="GG26" s="27"/>
      <c r="GH26" s="33"/>
      <c r="GI26" s="33">
        <f t="shared" si="55"/>
        <v>0</v>
      </c>
      <c r="GJ26" s="2674"/>
      <c r="GL26" s="2">
        <f t="shared" si="132"/>
        <v>813.68000000000006</v>
      </c>
      <c r="GM26" s="63">
        <f t="shared" si="133"/>
        <v>3129.2</v>
      </c>
      <c r="GN26" s="24">
        <f t="shared" si="134"/>
        <v>1556.89</v>
      </c>
      <c r="GO26" s="1736">
        <f t="shared" si="56"/>
        <v>5499.77</v>
      </c>
      <c r="GP26" s="141"/>
      <c r="GQ26" s="141"/>
      <c r="GR26" s="33"/>
      <c r="GS26" s="2667"/>
      <c r="GT26" s="1739">
        <v>0</v>
      </c>
      <c r="GU26" s="1721">
        <v>0</v>
      </c>
      <c r="GV26" s="1721">
        <v>1872.6000000000001</v>
      </c>
      <c r="GW26" s="1721">
        <v>3627.17</v>
      </c>
      <c r="GX26" s="33">
        <f t="shared" si="135"/>
        <v>5499.77</v>
      </c>
      <c r="GY26" s="2667"/>
      <c r="GZ26" s="35">
        <v>0</v>
      </c>
      <c r="HA26" s="36"/>
      <c r="HB26" s="27"/>
      <c r="HC26" s="27"/>
      <c r="HD26" s="27"/>
      <c r="HE26" s="27"/>
      <c r="HF26" s="24">
        <v>0</v>
      </c>
      <c r="HG26" s="27"/>
      <c r="HH26" s="24">
        <v>0</v>
      </c>
      <c r="HI26" s="27"/>
      <c r="HJ26" s="24">
        <v>813.68000000000006</v>
      </c>
      <c r="HK26" s="27"/>
      <c r="HL26" s="24">
        <v>0</v>
      </c>
      <c r="HM26" s="27"/>
      <c r="HN26" s="28">
        <f t="shared" si="148"/>
        <v>813.68000000000006</v>
      </c>
      <c r="HO26" s="36"/>
      <c r="HP26" s="27"/>
      <c r="HQ26" s="27"/>
      <c r="HR26" s="27"/>
      <c r="HS26" s="27"/>
      <c r="HT26" s="27"/>
      <c r="HU26" s="27">
        <f t="array" ref="HU26">SUMPRODUCT(('Data Base hauling'!$C$2:$C$2000="TCM-ROM SB1 BK05-ROM 4")*(ISNUMBER(SEARCH(TEXT('August TCM'!$B26,"00")&amp;"/03/2026",'Data Base hauling'!$E$2:$E$2000)))*'Data Base hauling'!$N$2:$N$2000)</f>
        <v>0</v>
      </c>
      <c r="HV26" s="27"/>
      <c r="HW26" s="27">
        <f t="array" ref="HW26">SUMPRODUCT(('Data Base hauling'!$C$2:$C$2000="TCM-ROM SB1 BK05-ROM 5")*(ISNUMBER(SEARCH(TEXT('August TCM'!$B26,"00")&amp;"/03/2026",'Data Base hauling'!$E$2:$E$2000)))*'Data Base hauling'!$N$2:$N$2000)</f>
        <v>0</v>
      </c>
      <c r="HX26" s="27"/>
      <c r="HY26" s="27"/>
      <c r="HZ26" s="27"/>
      <c r="IA26" s="27"/>
      <c r="IB26" s="27"/>
      <c r="IC26" s="33">
        <f t="shared" si="58"/>
        <v>0</v>
      </c>
      <c r="ID26" s="52"/>
      <c r="IE26" s="152"/>
      <c r="IF26" s="53"/>
      <c r="IG26" s="53"/>
      <c r="IH26" s="53"/>
      <c r="II26" s="53"/>
      <c r="IJ26" s="1926">
        <v>1672.27</v>
      </c>
      <c r="IK26" s="1736"/>
      <c r="IL26" s="1926">
        <v>0</v>
      </c>
      <c r="IM26" s="53"/>
      <c r="IN26" s="49">
        <v>1456.93</v>
      </c>
      <c r="IO26" s="64"/>
      <c r="IP26" s="53"/>
      <c r="IQ26" s="49">
        <v>0</v>
      </c>
      <c r="IR26" s="2195">
        <f t="shared" si="149"/>
        <v>3129.2</v>
      </c>
      <c r="IS26" s="36"/>
      <c r="IT26" s="36"/>
      <c r="IU26" s="53"/>
      <c r="IV26" s="27"/>
      <c r="IW26" s="53"/>
      <c r="IX26" s="27"/>
      <c r="IY26" s="24">
        <v>0</v>
      </c>
      <c r="IZ26" s="27"/>
      <c r="JA26" s="24">
        <v>0</v>
      </c>
      <c r="JB26" s="27"/>
      <c r="JC26" s="24">
        <v>1556.89</v>
      </c>
      <c r="JD26" s="27"/>
      <c r="JE26" s="27"/>
      <c r="JF26" s="27"/>
      <c r="JG26" s="33">
        <f t="shared" si="150"/>
        <v>1556.89</v>
      </c>
      <c r="JH26" s="2667"/>
      <c r="JJ26" s="2014">
        <v>0</v>
      </c>
      <c r="JK26" s="2015">
        <v>5499.77</v>
      </c>
      <c r="JL26" s="53"/>
      <c r="JM26" s="1736">
        <f t="shared" si="61"/>
        <v>5499.77</v>
      </c>
      <c r="JN26" s="33"/>
      <c r="JO26" s="2669"/>
      <c r="JP26" s="66" t="s">
        <v>296</v>
      </c>
      <c r="JQ26" s="67" t="s">
        <v>296</v>
      </c>
      <c r="JR26" s="67" t="s">
        <v>296</v>
      </c>
      <c r="JS26" s="67" t="s">
        <v>296</v>
      </c>
      <c r="JT26" s="67" t="s">
        <v>296</v>
      </c>
      <c r="JU26" s="67" t="s">
        <v>296</v>
      </c>
      <c r="JV26" s="67" t="s">
        <v>296</v>
      </c>
      <c r="JW26" s="1921">
        <v>0</v>
      </c>
      <c r="JX26" s="66">
        <v>0</v>
      </c>
      <c r="JY26" s="67">
        <v>0</v>
      </c>
      <c r="JZ26" s="67">
        <v>0</v>
      </c>
      <c r="KA26" s="67">
        <v>0.30406180622098739</v>
      </c>
      <c r="KB26" s="67">
        <v>0</v>
      </c>
      <c r="KC26" s="67">
        <v>0.69593819377901256</v>
      </c>
      <c r="KD26" s="67">
        <v>0</v>
      </c>
      <c r="KE26" s="68">
        <v>0</v>
      </c>
      <c r="KF26" s="69"/>
      <c r="KG26" s="70"/>
      <c r="KH26" s="70"/>
      <c r="KI26" s="70"/>
      <c r="KJ26" s="70"/>
      <c r="KK26" s="70"/>
      <c r="KL26" s="70"/>
      <c r="KM26" s="70"/>
      <c r="KN26" s="33"/>
      <c r="KO26" s="2669"/>
      <c r="KP26" s="2203">
        <v>0</v>
      </c>
      <c r="KQ26" s="1721">
        <v>0</v>
      </c>
      <c r="KR26" s="1721">
        <v>0</v>
      </c>
      <c r="KS26" s="1721">
        <v>0</v>
      </c>
      <c r="KT26" s="1722">
        <v>0</v>
      </c>
      <c r="KU26" s="1958">
        <v>7033</v>
      </c>
      <c r="KV26" s="1961">
        <v>1.54</v>
      </c>
      <c r="KW26" s="1961">
        <v>2.36</v>
      </c>
      <c r="KX26" s="1961">
        <v>5.96</v>
      </c>
      <c r="KY26" s="1962">
        <v>10</v>
      </c>
      <c r="KZ26" s="36"/>
      <c r="LA26" s="53"/>
      <c r="LB26" s="53"/>
      <c r="LC26" s="53"/>
      <c r="LD26" s="53"/>
      <c r="LE26" s="33"/>
      <c r="LF26" s="2669"/>
      <c r="LH26" s="853">
        <f t="shared" si="160"/>
        <v>0</v>
      </c>
      <c r="LI26" s="27">
        <f t="shared" si="160"/>
        <v>0</v>
      </c>
      <c r="LJ26" s="27">
        <f t="shared" si="160"/>
        <v>0</v>
      </c>
      <c r="LK26" s="28">
        <f t="shared" si="63"/>
        <v>0</v>
      </c>
      <c r="LL26" s="36"/>
      <c r="LM26" s="27"/>
      <c r="LN26" s="27">
        <v>3</v>
      </c>
      <c r="LO26" s="33"/>
      <c r="LP26" s="1957">
        <v>0</v>
      </c>
      <c r="LQ26" s="486" t="s">
        <v>1060</v>
      </c>
      <c r="LR26" s="2688"/>
      <c r="LS26" s="36"/>
      <c r="LT26" s="36"/>
      <c r="LU26" s="27"/>
      <c r="LV26" s="27"/>
      <c r="LW26" s="27"/>
      <c r="LX26" s="1107">
        <f t="shared" si="64"/>
        <v>0</v>
      </c>
      <c r="LY26" s="36"/>
      <c r="LZ26" s="36"/>
      <c r="MA26" s="27"/>
      <c r="MB26" s="27"/>
      <c r="MC26" s="33"/>
      <c r="MD26" s="28">
        <f t="shared" si="65"/>
        <v>0</v>
      </c>
      <c r="ME26" s="26"/>
      <c r="MF26" s="36"/>
      <c r="MG26" s="27"/>
      <c r="MH26" s="27"/>
      <c r="MI26" s="27"/>
      <c r="MJ26" s="28"/>
      <c r="MK26" s="36"/>
      <c r="ML26" s="36"/>
      <c r="MM26" s="27"/>
      <c r="MN26" s="27"/>
      <c r="MO26" s="27"/>
      <c r="MP26" s="28"/>
      <c r="MQ26" s="36"/>
      <c r="MR26" s="36"/>
      <c r="MS26" s="27"/>
      <c r="MT26" s="27"/>
      <c r="MU26" s="27"/>
      <c r="MV26" s="33">
        <f t="shared" si="66"/>
        <v>0</v>
      </c>
      <c r="MW26" s="2688"/>
      <c r="MY26" s="26">
        <f t="shared" si="67"/>
        <v>244713.40841801808</v>
      </c>
      <c r="MZ26" s="27">
        <f t="shared" si="68"/>
        <v>288073.80630375829</v>
      </c>
      <c r="NA26" s="27">
        <f t="shared" si="69"/>
        <v>25173.475697817419</v>
      </c>
      <c r="NB26" s="28">
        <f t="shared" si="70"/>
        <v>324944.99795580428</v>
      </c>
      <c r="NC26" s="2621"/>
      <c r="ND26" s="23">
        <f t="shared" si="71"/>
        <v>132596.1626380661</v>
      </c>
      <c r="NE26" s="1655">
        <f t="shared" si="72"/>
        <v>112117.24577995199</v>
      </c>
      <c r="NF26" s="60">
        <f t="shared" si="73"/>
        <v>0</v>
      </c>
      <c r="NG26" s="275">
        <f t="shared" si="4"/>
        <v>244713.40841801808</v>
      </c>
      <c r="NH26" s="26">
        <f t="shared" ref="NH26:NQ40" si="163">+NH25+EG26-GZ26</f>
        <v>0</v>
      </c>
      <c r="NI26" s="27">
        <f t="shared" si="163"/>
        <v>0</v>
      </c>
      <c r="NJ26" s="27">
        <f t="shared" si="163"/>
        <v>0</v>
      </c>
      <c r="NK26" s="27">
        <f t="shared" si="163"/>
        <v>0</v>
      </c>
      <c r="NL26" s="27">
        <f t="shared" si="163"/>
        <v>0</v>
      </c>
      <c r="NM26" s="33">
        <f t="shared" si="163"/>
        <v>0</v>
      </c>
      <c r="NN26" s="27">
        <f t="shared" si="163"/>
        <v>0</v>
      </c>
      <c r="NO26" s="36">
        <f t="shared" si="163"/>
        <v>0</v>
      </c>
      <c r="NP26" s="24">
        <f t="shared" si="163"/>
        <v>33104.680605424241</v>
      </c>
      <c r="NQ26" s="27">
        <f t="shared" si="163"/>
        <v>24023.830351777149</v>
      </c>
      <c r="NR26" s="24">
        <f t="shared" si="136"/>
        <v>8756.5482322711578</v>
      </c>
      <c r="NS26" s="24">
        <f t="shared" si="137"/>
        <v>10837.493566410112</v>
      </c>
      <c r="NT26" s="27">
        <f t="shared" si="0"/>
        <v>76722.552755882658</v>
      </c>
      <c r="NU26" s="27">
        <f t="shared" si="75"/>
        <v>0</v>
      </c>
      <c r="NV26" s="27">
        <f t="shared" si="76"/>
        <v>0</v>
      </c>
      <c r="NW26" s="27">
        <f t="shared" si="77"/>
        <v>0</v>
      </c>
      <c r="NX26" s="27">
        <f t="shared" si="78"/>
        <v>0</v>
      </c>
      <c r="NY26" s="27">
        <f t="shared" si="79"/>
        <v>0</v>
      </c>
      <c r="NZ26" s="5">
        <f t="shared" si="80"/>
        <v>0</v>
      </c>
      <c r="OA26" s="27">
        <f t="shared" si="81"/>
        <v>35659.434489662846</v>
      </c>
      <c r="OB26" s="27">
        <f t="shared" si="82"/>
        <v>0</v>
      </c>
      <c r="OC26" s="27">
        <f t="shared" si="83"/>
        <v>76403.249485704175</v>
      </c>
      <c r="OD26" s="280"/>
      <c r="OE26" s="27">
        <f t="shared" si="138"/>
        <v>10068.200000000003</v>
      </c>
      <c r="OF26" s="27">
        <f t="shared" si="84"/>
        <v>0</v>
      </c>
      <c r="OG26" s="28">
        <f t="shared" si="1"/>
        <v>122130.88397536702</v>
      </c>
      <c r="OH26" s="27">
        <f t="shared" si="153"/>
        <v>0</v>
      </c>
      <c r="OI26" s="27">
        <f t="shared" si="154"/>
        <v>0</v>
      </c>
      <c r="OJ26" s="27">
        <f t="shared" si="158"/>
        <v>0</v>
      </c>
      <c r="OK26" s="27">
        <f t="shared" si="155"/>
        <v>0</v>
      </c>
      <c r="OL26" s="27">
        <f t="shared" si="156"/>
        <v>0</v>
      </c>
      <c r="OM26" s="27">
        <f t="shared" si="157"/>
        <v>0</v>
      </c>
      <c r="ON26" s="24">
        <f t="shared" si="147"/>
        <v>0</v>
      </c>
      <c r="OO26" s="27">
        <f t="shared" si="145"/>
        <v>0</v>
      </c>
      <c r="OP26" s="24">
        <f t="shared" si="86"/>
        <v>68527.112313713747</v>
      </c>
      <c r="OQ26" s="27">
        <f t="shared" si="87"/>
        <v>0</v>
      </c>
      <c r="OR26" s="24">
        <f t="shared" si="88"/>
        <v>20693.257258794853</v>
      </c>
      <c r="OS26" s="27">
        <f t="shared" ref="OS26:OS40" si="164">+OS25+EE26+GH26-JD26</f>
        <v>0</v>
      </c>
      <c r="OT26" s="28">
        <f t="shared" si="2"/>
        <v>89220.3695725086</v>
      </c>
      <c r="OU26" s="36"/>
      <c r="OV26" s="27"/>
      <c r="OW26" s="27"/>
      <c r="OX26" s="27"/>
      <c r="OY26" s="27"/>
      <c r="OZ26" s="27"/>
      <c r="PA26" s="28">
        <f t="shared" si="90"/>
        <v>0</v>
      </c>
      <c r="PB26" s="36">
        <f t="shared" si="91"/>
        <v>0</v>
      </c>
      <c r="PC26" s="27">
        <f t="shared" si="92"/>
        <v>0</v>
      </c>
      <c r="PD26" s="27">
        <f t="shared" si="93"/>
        <v>0</v>
      </c>
      <c r="PE26" s="27">
        <f t="shared" si="94"/>
        <v>0</v>
      </c>
      <c r="PF26" s="24"/>
      <c r="PG26" s="27">
        <f t="shared" si="95"/>
        <v>0</v>
      </c>
      <c r="PH26" s="33">
        <f t="shared" si="3"/>
        <v>0</v>
      </c>
      <c r="PI26" s="2621"/>
      <c r="PK26" s="1907">
        <v>1153.1799999999998</v>
      </c>
      <c r="PL26" s="3">
        <v>0</v>
      </c>
      <c r="PM26" s="3">
        <v>0</v>
      </c>
      <c r="PN26" s="3">
        <f t="shared" si="96"/>
        <v>0</v>
      </c>
      <c r="PO26" s="3">
        <f t="shared" si="97"/>
        <v>33777.829204532864</v>
      </c>
      <c r="PP26" s="11">
        <f t="shared" si="161"/>
        <v>25173.475697817419</v>
      </c>
      <c r="PQ26" s="15"/>
      <c r="PR26" s="2615"/>
      <c r="PT26" s="4"/>
      <c r="PU26" s="9"/>
      <c r="PV26" s="9"/>
      <c r="PW26" s="9"/>
      <c r="PX26" s="2531">
        <v>0</v>
      </c>
      <c r="PY26" s="9"/>
      <c r="PZ26" s="8">
        <f t="shared" si="99"/>
        <v>0</v>
      </c>
      <c r="QA26" s="5">
        <f t="shared" si="100"/>
        <v>1153.1799999999998</v>
      </c>
      <c r="QB26" s="5"/>
      <c r="QC26" s="5"/>
      <c r="QD26" s="5"/>
      <c r="QE26" s="5"/>
      <c r="QF26" s="5"/>
      <c r="QG26" s="12"/>
      <c r="QH26" s="12">
        <f t="shared" si="101"/>
        <v>29562.488999999998</v>
      </c>
      <c r="QI26" s="420">
        <f t="shared" si="102"/>
        <v>291662.2200714043</v>
      </c>
      <c r="QJ26" s="1106">
        <f t="shared" si="139"/>
        <v>3720.2888844000004</v>
      </c>
      <c r="QK26" s="484">
        <f t="shared" si="103"/>
        <v>5505.3678056099998</v>
      </c>
      <c r="QL26" s="12"/>
      <c r="QM26" s="2615"/>
      <c r="QO26" s="139" t="str">
        <f t="shared" si="104"/>
        <v/>
      </c>
      <c r="QP26" s="139" t="str">
        <f t="shared" si="105"/>
        <v/>
      </c>
      <c r="QR26" s="139">
        <f t="shared" si="106"/>
        <v>0</v>
      </c>
      <c r="QS26" s="139">
        <f t="shared" si="107"/>
        <v>0</v>
      </c>
      <c r="QU26" s="1">
        <f t="shared" si="108"/>
        <v>0</v>
      </c>
      <c r="QV26" s="1">
        <f t="shared" si="109"/>
        <v>0</v>
      </c>
      <c r="QW26" s="1">
        <f t="shared" si="110"/>
        <v>0</v>
      </c>
      <c r="QX26" s="1">
        <f t="shared" si="111"/>
        <v>0</v>
      </c>
      <c r="QY26" s="1">
        <f t="shared" si="112"/>
        <v>0</v>
      </c>
      <c r="QZ26" s="1">
        <f t="shared" si="113"/>
        <v>0</v>
      </c>
      <c r="RB26" s="1">
        <f t="shared" si="114"/>
        <v>0</v>
      </c>
      <c r="RC26" s="1">
        <f t="shared" si="115"/>
        <v>0</v>
      </c>
      <c r="RD26" s="1">
        <f t="shared" si="116"/>
        <v>0</v>
      </c>
      <c r="RE26" s="1">
        <f t="shared" si="117"/>
        <v>0</v>
      </c>
      <c r="RF26" s="1">
        <f t="shared" si="118"/>
        <v>0</v>
      </c>
      <c r="RG26" s="1">
        <f t="shared" si="119"/>
        <v>0</v>
      </c>
      <c r="RJ26" s="1">
        <v>17</v>
      </c>
      <c r="RK26" s="1">
        <f t="shared" si="151"/>
        <v>48685.94020971709</v>
      </c>
      <c r="RL26" s="1">
        <f t="shared" si="151"/>
        <v>8691.7667804837183</v>
      </c>
      <c r="RM26" s="1">
        <f t="shared" si="151"/>
        <v>13404.263703387322</v>
      </c>
      <c r="RN26" s="89">
        <f t="shared" si="5"/>
        <v>70781.970693588126</v>
      </c>
      <c r="RO26" s="1033">
        <v>17</v>
      </c>
      <c r="RP26" s="1098">
        <v>0</v>
      </c>
      <c r="RQ26" s="1098">
        <f t="shared" si="121"/>
        <v>0</v>
      </c>
      <c r="RR26" s="1097">
        <f t="shared" si="121"/>
        <v>0</v>
      </c>
      <c r="RS26" s="1097">
        <f t="shared" si="122"/>
        <v>7645.6799999999994</v>
      </c>
      <c r="RT26" s="1050"/>
      <c r="RU26" s="1928" t="s">
        <v>1061</v>
      </c>
      <c r="RV26" s="1048"/>
      <c r="RX26" s="421">
        <v>17</v>
      </c>
      <c r="RY26" s="1095">
        <f t="shared" si="123"/>
        <v>5499.77</v>
      </c>
      <c r="RZ26" s="1928" t="s">
        <v>1062</v>
      </c>
      <c r="SB26" s="1090"/>
      <c r="SC26" s="1090">
        <f t="shared" si="124"/>
        <v>0</v>
      </c>
      <c r="SD26" s="1090"/>
      <c r="SE26" s="1090">
        <f t="shared" si="152"/>
        <v>0</v>
      </c>
      <c r="SG26" s="1">
        <v>17</v>
      </c>
      <c r="SH26" s="1">
        <f t="shared" si="126"/>
        <v>0</v>
      </c>
      <c r="SI26" s="2420"/>
    </row>
    <row r="27" spans="1:503" s="1" customFormat="1" ht="15.6" customHeight="1">
      <c r="B27" s="471">
        <v>18</v>
      </c>
      <c r="C27" s="4">
        <f t="shared" si="127"/>
        <v>147378.6</v>
      </c>
      <c r="D27" s="1590">
        <f t="shared" si="146"/>
        <v>9271.510000000002</v>
      </c>
      <c r="E27" s="1911">
        <f t="shared" si="6"/>
        <v>15.895857309111458</v>
      </c>
      <c r="F27" s="1113"/>
      <c r="G27" s="1113"/>
      <c r="H27" s="845"/>
      <c r="I27" s="482"/>
      <c r="J27" s="845"/>
      <c r="K27" s="846"/>
      <c r="L27" s="845"/>
      <c r="M27" s="482"/>
      <c r="N27" s="2629"/>
      <c r="O27" s="4">
        <f t="shared" si="142"/>
        <v>83076</v>
      </c>
      <c r="P27" s="1225">
        <f t="shared" si="7"/>
        <v>6147.5700000000006</v>
      </c>
      <c r="Q27" s="1913">
        <f t="shared" si="8"/>
        <v>13.513632215655941</v>
      </c>
      <c r="R27" s="12"/>
      <c r="S27" s="4">
        <f t="shared" si="9"/>
        <v>32291.600000000002</v>
      </c>
      <c r="T27" s="27">
        <f t="shared" si="129"/>
        <v>1431.58</v>
      </c>
      <c r="U27" s="1913">
        <f t="shared" si="10"/>
        <v>22.556615767194291</v>
      </c>
      <c r="V27" s="15"/>
      <c r="W27" s="26">
        <f t="shared" si="11"/>
        <v>27831</v>
      </c>
      <c r="X27" s="5">
        <f t="shared" si="11"/>
        <v>1278</v>
      </c>
      <c r="Y27" s="1913">
        <f t="shared" si="12"/>
        <v>21.77699530516432</v>
      </c>
      <c r="Z27" s="12"/>
      <c r="AA27" s="26">
        <f t="shared" si="13"/>
        <v>4180</v>
      </c>
      <c r="AB27" s="27">
        <f t="shared" si="14"/>
        <v>414.36</v>
      </c>
      <c r="AC27" s="1913">
        <f t="shared" si="15"/>
        <v>10.087846317212085</v>
      </c>
      <c r="AD27" s="15"/>
      <c r="AE27" s="9"/>
      <c r="AF27" s="9"/>
      <c r="AG27" s="64">
        <f t="shared" si="16"/>
        <v>0</v>
      </c>
      <c r="AH27" s="15"/>
      <c r="AI27" s="4"/>
      <c r="AJ27" s="5"/>
      <c r="AK27" s="64">
        <f t="shared" si="17"/>
        <v>0</v>
      </c>
      <c r="AL27" s="15"/>
      <c r="AM27" s="2629"/>
      <c r="AN27" s="9"/>
      <c r="AO27" s="5"/>
      <c r="AP27" s="482">
        <f t="shared" si="18"/>
        <v>0</v>
      </c>
      <c r="AQ27" s="9"/>
      <c r="AR27" s="64"/>
      <c r="AS27" s="482">
        <f t="shared" si="19"/>
        <v>0</v>
      </c>
      <c r="AT27" s="9">
        <v>0</v>
      </c>
      <c r="AU27" s="5"/>
      <c r="AV27" s="846">
        <f t="shared" si="20"/>
        <v>0</v>
      </c>
      <c r="AW27" s="4">
        <v>45150</v>
      </c>
      <c r="AX27" s="24">
        <v>4213.8500000000004</v>
      </c>
      <c r="AY27" s="1911">
        <f t="shared" si="140"/>
        <v>10.714667109650319</v>
      </c>
      <c r="AZ27" s="1912"/>
      <c r="BA27" s="1913"/>
      <c r="BB27" s="1911">
        <f t="shared" si="21"/>
        <v>0</v>
      </c>
      <c r="BC27" s="1940">
        <v>37926</v>
      </c>
      <c r="BD27" s="1926">
        <v>1933.72</v>
      </c>
      <c r="BE27" s="1911">
        <f t="shared" si="22"/>
        <v>19.612973956932752</v>
      </c>
      <c r="BF27" s="1908"/>
      <c r="BG27" s="1909"/>
      <c r="BH27" s="1911">
        <f t="shared" si="23"/>
        <v>0</v>
      </c>
      <c r="BI27" s="1908">
        <v>0</v>
      </c>
      <c r="BJ27" s="1909">
        <v>0</v>
      </c>
      <c r="BK27" s="1911">
        <f t="shared" si="24"/>
        <v>0</v>
      </c>
      <c r="BL27" s="1741">
        <v>32291.600000000002</v>
      </c>
      <c r="BM27" s="1736">
        <v>1431.58</v>
      </c>
      <c r="BN27" s="2172"/>
      <c r="BO27" s="1911">
        <f t="shared" si="25"/>
        <v>22.556615767194291</v>
      </c>
      <c r="BP27" s="9">
        <v>4180</v>
      </c>
      <c r="BQ27" s="53">
        <v>414.36</v>
      </c>
      <c r="BR27" s="1920">
        <f t="shared" si="26"/>
        <v>10.087846317212085</v>
      </c>
      <c r="BS27" s="9"/>
      <c r="BT27" s="64"/>
      <c r="BU27" s="482">
        <f t="shared" si="27"/>
        <v>0</v>
      </c>
      <c r="BV27" s="9">
        <v>27831</v>
      </c>
      <c r="BW27" s="27">
        <f t="shared" si="159"/>
        <v>1278</v>
      </c>
      <c r="BX27" s="1051">
        <f t="shared" si="162"/>
        <v>21.77699530516432</v>
      </c>
      <c r="BY27" s="26"/>
      <c r="BZ27" s="5"/>
      <c r="CA27" s="482">
        <f t="shared" si="29"/>
        <v>0</v>
      </c>
      <c r="CB27" s="9"/>
      <c r="CC27" s="5"/>
      <c r="CD27" s="482">
        <f t="shared" si="30"/>
        <v>0</v>
      </c>
      <c r="CE27" s="4"/>
      <c r="CF27" s="5"/>
      <c r="CG27" s="15">
        <f t="shared" si="31"/>
        <v>0</v>
      </c>
      <c r="CH27" s="150"/>
      <c r="CI27" s="1108"/>
      <c r="CJ27" s="5">
        <v>0</v>
      </c>
      <c r="CK27" s="5">
        <v>9223</v>
      </c>
      <c r="CL27" s="5"/>
      <c r="CM27" s="5"/>
      <c r="CN27" s="3">
        <f t="shared" si="131"/>
        <v>9223</v>
      </c>
      <c r="CO27" s="12"/>
      <c r="CP27" s="366"/>
      <c r="CR27" s="4">
        <f t="shared" si="32"/>
        <v>0</v>
      </c>
      <c r="CS27" s="9">
        <f t="shared" si="33"/>
        <v>0</v>
      </c>
      <c r="CT27" s="5">
        <f t="shared" si="34"/>
        <v>0</v>
      </c>
      <c r="CU27" s="5">
        <f t="shared" si="35"/>
        <v>0</v>
      </c>
      <c r="CV27" s="5">
        <f t="shared" si="36"/>
        <v>0</v>
      </c>
      <c r="CW27" s="5">
        <f t="shared" si="37"/>
        <v>0</v>
      </c>
      <c r="CX27" s="5">
        <f t="shared" si="38"/>
        <v>2200.81</v>
      </c>
      <c r="CY27" s="5">
        <f t="shared" si="39"/>
        <v>0</v>
      </c>
      <c r="CZ27" s="5">
        <f t="shared" si="40"/>
        <v>2483.96</v>
      </c>
      <c r="DA27" s="5">
        <f t="shared" si="41"/>
        <v>0</v>
      </c>
      <c r="DB27" s="5">
        <f t="shared" si="42"/>
        <v>3278.5000000000005</v>
      </c>
      <c r="DC27" s="12">
        <f t="shared" si="43"/>
        <v>0</v>
      </c>
      <c r="DD27" s="847">
        <f t="shared" si="44"/>
        <v>8651.9500000000007</v>
      </c>
      <c r="DE27" s="2695"/>
      <c r="DF27" s="8"/>
      <c r="DG27" s="9"/>
      <c r="DH27" s="5"/>
      <c r="DI27" s="5"/>
      <c r="DJ27" s="5"/>
      <c r="DK27" s="5"/>
      <c r="DL27" s="3">
        <v>2200.81</v>
      </c>
      <c r="DM27" s="5"/>
      <c r="DN27" s="3">
        <v>0</v>
      </c>
      <c r="DO27" s="12"/>
      <c r="DP27" s="3">
        <v>704.80000000000007</v>
      </c>
      <c r="DQ27" s="11">
        <v>619.55999999999995</v>
      </c>
      <c r="DR27" s="486"/>
      <c r="DS27" s="15">
        <f t="shared" si="45"/>
        <v>3525.17</v>
      </c>
      <c r="DT27" s="9"/>
      <c r="DU27" s="9"/>
      <c r="DV27" s="5"/>
      <c r="DW27" s="5"/>
      <c r="DX27" s="5"/>
      <c r="DY27" s="5"/>
      <c r="DZ27" s="5"/>
      <c r="EA27" s="5"/>
      <c r="EB27" s="3">
        <v>2483.96</v>
      </c>
      <c r="EC27" s="5"/>
      <c r="ED27" s="24">
        <v>1295.7000000000003</v>
      </c>
      <c r="EE27" s="12"/>
      <c r="EF27" s="15">
        <f t="shared" si="46"/>
        <v>3779.6600000000003</v>
      </c>
      <c r="EG27" s="9"/>
      <c r="EH27" s="9"/>
      <c r="EI27" s="5"/>
      <c r="EJ27" s="5"/>
      <c r="EK27" s="5"/>
      <c r="EL27" s="5"/>
      <c r="EM27" s="5"/>
      <c r="EN27" s="5"/>
      <c r="EO27" s="5"/>
      <c r="EP27" s="5"/>
      <c r="EQ27" s="5">
        <v>1278</v>
      </c>
      <c r="ER27" s="12"/>
      <c r="ES27" s="15">
        <f t="shared" si="143"/>
        <v>1278</v>
      </c>
      <c r="ET27" s="9"/>
      <c r="EU27" s="5"/>
      <c r="EV27" s="5"/>
      <c r="EW27" s="5"/>
      <c r="EX27" s="5"/>
      <c r="EY27" s="5"/>
      <c r="EZ27" s="12">
        <f t="shared" si="48"/>
        <v>0</v>
      </c>
      <c r="FA27" s="2685"/>
      <c r="FC27" s="4">
        <f t="shared" si="49"/>
        <v>0</v>
      </c>
      <c r="FD27" s="5">
        <f t="shared" si="50"/>
        <v>0</v>
      </c>
      <c r="FE27" s="5">
        <f t="shared" si="51"/>
        <v>0</v>
      </c>
      <c r="FF27" s="12">
        <f t="shared" si="52"/>
        <v>0</v>
      </c>
      <c r="FG27" s="12"/>
      <c r="FH27" s="2674"/>
      <c r="FI27" s="9"/>
      <c r="FJ27" s="5"/>
      <c r="FK27" s="5"/>
      <c r="FL27" s="5"/>
      <c r="FM27" s="5"/>
      <c r="FN27" s="5"/>
      <c r="FO27" s="15">
        <f t="shared" si="53"/>
        <v>0</v>
      </c>
      <c r="FP27" s="9"/>
      <c r="FQ27" s="5"/>
      <c r="FR27" s="5"/>
      <c r="FS27" s="5"/>
      <c r="FT27" s="5"/>
      <c r="FU27" s="5"/>
      <c r="FV27" s="15">
        <f t="shared" si="54"/>
        <v>0</v>
      </c>
      <c r="FW27" s="9"/>
      <c r="FX27" s="9"/>
      <c r="FY27" s="5"/>
      <c r="FZ27" s="5"/>
      <c r="GA27" s="5"/>
      <c r="GB27" s="5"/>
      <c r="GC27" s="5"/>
      <c r="GD27" s="5"/>
      <c r="GE27" s="24">
        <v>0</v>
      </c>
      <c r="GF27" s="5"/>
      <c r="GG27" s="5"/>
      <c r="GH27" s="12"/>
      <c r="GI27" s="12">
        <f t="shared" si="55"/>
        <v>0</v>
      </c>
      <c r="GJ27" s="2674"/>
      <c r="GL27" s="2">
        <f t="shared" si="132"/>
        <v>3501.7699999999995</v>
      </c>
      <c r="GM27" s="63">
        <f t="shared" si="133"/>
        <v>7069.92</v>
      </c>
      <c r="GN27" s="24">
        <f t="shared" si="134"/>
        <v>4974.3999999999996</v>
      </c>
      <c r="GO27" s="1590">
        <f t="shared" si="56"/>
        <v>15546.089999999998</v>
      </c>
      <c r="GP27" s="848"/>
      <c r="GQ27" s="848"/>
      <c r="GR27" s="12"/>
      <c r="GS27" s="2667"/>
      <c r="GT27" s="1739">
        <v>0</v>
      </c>
      <c r="GU27" s="1721">
        <v>1364.15</v>
      </c>
      <c r="GV27" s="1721">
        <v>5978.3099999999995</v>
      </c>
      <c r="GW27" s="1721">
        <v>8203.6299999999992</v>
      </c>
      <c r="GX27" s="12">
        <f t="shared" si="135"/>
        <v>15546.089999999998</v>
      </c>
      <c r="GY27" s="2667"/>
      <c r="GZ27" s="35">
        <v>27.95</v>
      </c>
      <c r="HA27" s="9"/>
      <c r="HB27" s="5"/>
      <c r="HC27" s="5"/>
      <c r="HD27" s="5"/>
      <c r="HE27" s="5"/>
      <c r="HF27" s="24">
        <v>0</v>
      </c>
      <c r="HG27" s="5"/>
      <c r="HH27" s="24">
        <v>1424.9199999999998</v>
      </c>
      <c r="HI27" s="5"/>
      <c r="HJ27" s="24">
        <v>712.7</v>
      </c>
      <c r="HK27" s="5"/>
      <c r="HL27" s="24">
        <v>1336.2</v>
      </c>
      <c r="HM27" s="5"/>
      <c r="HN27" s="15">
        <f t="shared" si="148"/>
        <v>3501.7699999999995</v>
      </c>
      <c r="HO27" s="9"/>
      <c r="HP27" s="5"/>
      <c r="HQ27" s="5"/>
      <c r="HR27" s="5"/>
      <c r="HS27" s="5"/>
      <c r="HT27" s="5"/>
      <c r="HU27" s="5">
        <f t="array" ref="HU27">SUMPRODUCT(('Data Base hauling'!$C$2:$C$2000="TCM-ROM SB1 BK05-ROM 4")*(ISNUMBER(SEARCH(TEXT('August TCM'!$B27,"00")&amp;"/03/2026",'Data Base hauling'!$E$2:$E$2000)))*'Data Base hauling'!$N$2:$N$2000)</f>
        <v>0</v>
      </c>
      <c r="HV27" s="5"/>
      <c r="HW27" s="5">
        <f t="array" ref="HW27">SUMPRODUCT(('Data Base hauling'!$C$2:$C$2000="TCM-ROM SB1 BK05-ROM 5")*(ISNUMBER(SEARCH(TEXT('August TCM'!$B27,"00")&amp;"/03/2026",'Data Base hauling'!$E$2:$E$2000)))*'Data Base hauling'!$N$2:$N$2000)</f>
        <v>0</v>
      </c>
      <c r="HX27" s="5"/>
      <c r="HY27" s="5"/>
      <c r="HZ27" s="5"/>
      <c r="IA27" s="5"/>
      <c r="IB27" s="5"/>
      <c r="IC27" s="12">
        <f t="shared" si="58"/>
        <v>0</v>
      </c>
      <c r="ID27" s="845"/>
      <c r="IE27" s="363"/>
      <c r="IF27" s="64"/>
      <c r="IG27" s="64"/>
      <c r="IH27" s="64"/>
      <c r="II27" s="64"/>
      <c r="IJ27" s="1926">
        <v>2144.9900000000002</v>
      </c>
      <c r="IK27" s="1590"/>
      <c r="IL27" s="1926">
        <v>0</v>
      </c>
      <c r="IM27" s="64"/>
      <c r="IN27" s="49">
        <v>4924.93</v>
      </c>
      <c r="IO27" s="64"/>
      <c r="IP27" s="64"/>
      <c r="IQ27" s="49">
        <v>0</v>
      </c>
      <c r="IR27" s="2195">
        <f t="shared" si="149"/>
        <v>7069.92</v>
      </c>
      <c r="IS27" s="9"/>
      <c r="IT27" s="9"/>
      <c r="IU27" s="64"/>
      <c r="IV27" s="5"/>
      <c r="IW27" s="64"/>
      <c r="IX27" s="5"/>
      <c r="IY27" s="24">
        <v>0</v>
      </c>
      <c r="IZ27" s="5"/>
      <c r="JA27" s="24">
        <v>3068.54</v>
      </c>
      <c r="JB27" s="5"/>
      <c r="JC27" s="24">
        <v>1905.86</v>
      </c>
      <c r="JD27" s="5"/>
      <c r="JE27" s="5"/>
      <c r="JF27" s="5"/>
      <c r="JG27" s="12">
        <f t="shared" si="150"/>
        <v>4974.3999999999996</v>
      </c>
      <c r="JH27" s="2667"/>
      <c r="JJ27" s="2014">
        <v>7754.65</v>
      </c>
      <c r="JK27" s="2015">
        <v>7791.44</v>
      </c>
      <c r="JL27" s="64"/>
      <c r="JM27" s="1736">
        <f t="shared" si="61"/>
        <v>15546.09</v>
      </c>
      <c r="JN27" s="12"/>
      <c r="JO27" s="2669"/>
      <c r="JP27" s="66">
        <v>3.6042890394795382E-3</v>
      </c>
      <c r="JQ27" s="67">
        <v>0</v>
      </c>
      <c r="JR27" s="67">
        <v>0</v>
      </c>
      <c r="JS27" s="67">
        <v>0</v>
      </c>
      <c r="JT27" s="67">
        <v>0.56862785554473771</v>
      </c>
      <c r="JU27" s="67">
        <v>0.26090023405311658</v>
      </c>
      <c r="JV27" s="67">
        <v>0.16686762136266628</v>
      </c>
      <c r="JW27" s="1921">
        <v>0</v>
      </c>
      <c r="JX27" s="66">
        <v>0</v>
      </c>
      <c r="JY27" s="67">
        <v>0</v>
      </c>
      <c r="JZ27" s="67">
        <v>0</v>
      </c>
      <c r="KA27" s="67">
        <v>0.27530084297639468</v>
      </c>
      <c r="KB27" s="67">
        <v>1.0774644995020177E-2</v>
      </c>
      <c r="KC27" s="67">
        <v>0.70850831168564476</v>
      </c>
      <c r="KD27" s="67">
        <v>5.4162003429404585E-3</v>
      </c>
      <c r="KE27" s="68">
        <v>0</v>
      </c>
      <c r="KF27" s="849"/>
      <c r="KG27" s="850"/>
      <c r="KH27" s="850"/>
      <c r="KI27" s="850"/>
      <c r="KJ27" s="850"/>
      <c r="KK27" s="850"/>
      <c r="KL27" s="850"/>
      <c r="KM27" s="850"/>
      <c r="KN27" s="12"/>
      <c r="KO27" s="2669"/>
      <c r="KP27" s="2203">
        <v>7000.5337290879652</v>
      </c>
      <c r="KQ27" s="1721">
        <v>0.67</v>
      </c>
      <c r="KR27" s="1721">
        <v>4.4452671343766861</v>
      </c>
      <c r="KS27" s="1721">
        <v>5.9435186184565572</v>
      </c>
      <c r="KT27" s="1722">
        <v>11.203421478683218</v>
      </c>
      <c r="KU27" s="1958">
        <v>7170.7866323907456</v>
      </c>
      <c r="KV27" s="1961">
        <v>1.772107969151671</v>
      </c>
      <c r="KW27" s="1961">
        <v>3.792159383033419</v>
      </c>
      <c r="KX27" s="1961">
        <v>5.230771208226221</v>
      </c>
      <c r="KY27" s="1962">
        <v>9.2264781491002577</v>
      </c>
      <c r="KZ27" s="9"/>
      <c r="LA27" s="64"/>
      <c r="LB27" s="64"/>
      <c r="LC27" s="64"/>
      <c r="LD27" s="64"/>
      <c r="LE27" s="12"/>
      <c r="LF27" s="2669"/>
      <c r="LH27" s="4">
        <f t="shared" si="160"/>
        <v>0</v>
      </c>
      <c r="LI27" s="5">
        <f t="shared" si="160"/>
        <v>0</v>
      </c>
      <c r="LJ27" s="5">
        <f t="shared" si="160"/>
        <v>0</v>
      </c>
      <c r="LK27" s="15">
        <f t="shared" si="63"/>
        <v>0</v>
      </c>
      <c r="LL27" s="9"/>
      <c r="LM27" s="5">
        <v>1</v>
      </c>
      <c r="LN27" s="5">
        <v>6</v>
      </c>
      <c r="LO27" s="12"/>
      <c r="LP27" s="1956">
        <v>0</v>
      </c>
      <c r="LQ27" s="1128" t="s">
        <v>1063</v>
      </c>
      <c r="LR27" s="2688"/>
      <c r="LS27" s="9"/>
      <c r="LT27" s="9"/>
      <c r="LU27" s="5"/>
      <c r="LV27" s="5"/>
      <c r="LW27" s="5"/>
      <c r="LX27" s="1107">
        <f t="shared" si="64"/>
        <v>0</v>
      </c>
      <c r="LY27" s="9"/>
      <c r="LZ27" s="9"/>
      <c r="MA27" s="5"/>
      <c r="MB27" s="5"/>
      <c r="MC27" s="12"/>
      <c r="MD27" s="28">
        <f t="shared" si="65"/>
        <v>0</v>
      </c>
      <c r="ME27" s="4"/>
      <c r="MF27" s="9"/>
      <c r="MG27" s="5"/>
      <c r="MH27" s="5"/>
      <c r="MI27" s="5"/>
      <c r="MJ27" s="15"/>
      <c r="MK27" s="9"/>
      <c r="ML27" s="9"/>
      <c r="MM27" s="5"/>
      <c r="MN27" s="5"/>
      <c r="MO27" s="5"/>
      <c r="MP27" s="15"/>
      <c r="MQ27" s="9"/>
      <c r="MR27" s="9"/>
      <c r="MS27" s="5"/>
      <c r="MT27" s="5"/>
      <c r="MU27" s="5"/>
      <c r="MV27" s="12">
        <f t="shared" si="66"/>
        <v>0</v>
      </c>
      <c r="MW27" s="2688"/>
      <c r="MY27" s="4">
        <f t="shared" si="67"/>
        <v>260259.49841801811</v>
      </c>
      <c r="MZ27" s="5">
        <f t="shared" si="68"/>
        <v>282418.79630375834</v>
      </c>
      <c r="NA27" s="5">
        <f t="shared" si="69"/>
        <v>24197.275697817418</v>
      </c>
      <c r="NB27" s="15">
        <f t="shared" si="70"/>
        <v>324920.05795580428</v>
      </c>
      <c r="NC27" s="2621"/>
      <c r="ND27" s="23">
        <f t="shared" si="71"/>
        <v>140350.8126380661</v>
      </c>
      <c r="NE27" s="1655">
        <f t="shared" si="72"/>
        <v>119908.68577995199</v>
      </c>
      <c r="NF27" s="60">
        <f t="shared" si="73"/>
        <v>0</v>
      </c>
      <c r="NG27" s="1042">
        <f t="shared" si="4"/>
        <v>260259.49841801811</v>
      </c>
      <c r="NH27" s="4">
        <f t="shared" si="163"/>
        <v>-27.95</v>
      </c>
      <c r="NI27" s="5">
        <f t="shared" si="163"/>
        <v>0</v>
      </c>
      <c r="NJ27" s="5">
        <f t="shared" si="163"/>
        <v>0</v>
      </c>
      <c r="NK27" s="5">
        <f t="shared" si="163"/>
        <v>0</v>
      </c>
      <c r="NL27" s="5">
        <f t="shared" si="163"/>
        <v>0</v>
      </c>
      <c r="NM27" s="12">
        <f t="shared" si="163"/>
        <v>0</v>
      </c>
      <c r="NN27" s="27">
        <f t="shared" si="163"/>
        <v>0</v>
      </c>
      <c r="NO27" s="9">
        <f t="shared" si="163"/>
        <v>0</v>
      </c>
      <c r="NP27" s="24">
        <f t="shared" si="163"/>
        <v>31679.760605424242</v>
      </c>
      <c r="NQ27" s="5">
        <f t="shared" si="163"/>
        <v>24023.830351777149</v>
      </c>
      <c r="NR27" s="24">
        <f t="shared" si="136"/>
        <v>8728.598232271157</v>
      </c>
      <c r="NS27" s="24">
        <f t="shared" si="137"/>
        <v>11402.793566410111</v>
      </c>
      <c r="NT27" s="5">
        <f t="shared" si="0"/>
        <v>75807.032755882668</v>
      </c>
      <c r="NU27" s="27">
        <f t="shared" si="75"/>
        <v>0</v>
      </c>
      <c r="NV27" s="5">
        <f t="shared" si="76"/>
        <v>0</v>
      </c>
      <c r="NW27" s="5">
        <f t="shared" si="77"/>
        <v>0</v>
      </c>
      <c r="NX27" s="5">
        <f t="shared" si="78"/>
        <v>0</v>
      </c>
      <c r="NY27" s="5">
        <f t="shared" si="79"/>
        <v>0</v>
      </c>
      <c r="NZ27" s="5">
        <f t="shared" si="80"/>
        <v>0</v>
      </c>
      <c r="OA27" s="27">
        <f t="shared" si="81"/>
        <v>35715.254489662846</v>
      </c>
      <c r="OB27" s="5">
        <f t="shared" si="82"/>
        <v>0</v>
      </c>
      <c r="OC27" s="27">
        <f t="shared" si="83"/>
        <v>72183.11948570417</v>
      </c>
      <c r="OD27" s="5"/>
      <c r="OE27" s="27">
        <f t="shared" si="138"/>
        <v>10687.760000000002</v>
      </c>
      <c r="OF27" s="5">
        <f t="shared" si="84"/>
        <v>0</v>
      </c>
      <c r="OG27" s="5">
        <f t="shared" si="1"/>
        <v>118586.13397536703</v>
      </c>
      <c r="OH27" s="5">
        <f t="shared" si="153"/>
        <v>0</v>
      </c>
      <c r="OI27" s="5">
        <f t="shared" si="154"/>
        <v>0</v>
      </c>
      <c r="OJ27" s="5">
        <f t="shared" si="158"/>
        <v>0</v>
      </c>
      <c r="OK27" s="5">
        <f t="shared" si="155"/>
        <v>0</v>
      </c>
      <c r="OL27" s="27">
        <f t="shared" si="156"/>
        <v>0</v>
      </c>
      <c r="OM27" s="5">
        <f t="shared" si="157"/>
        <v>0</v>
      </c>
      <c r="ON27" s="24">
        <f t="shared" si="147"/>
        <v>0</v>
      </c>
      <c r="OO27" s="5">
        <f t="shared" si="145"/>
        <v>0</v>
      </c>
      <c r="OP27" s="24">
        <f t="shared" si="86"/>
        <v>67942.53231371376</v>
      </c>
      <c r="OQ27" s="5">
        <f t="shared" si="87"/>
        <v>0</v>
      </c>
      <c r="OR27" s="24">
        <f t="shared" si="88"/>
        <v>20083.097258794853</v>
      </c>
      <c r="OS27" s="5">
        <f t="shared" si="164"/>
        <v>0</v>
      </c>
      <c r="OT27" s="15">
        <f t="shared" si="2"/>
        <v>88025.629572508609</v>
      </c>
      <c r="OU27" s="9"/>
      <c r="OV27" s="5"/>
      <c r="OW27" s="5"/>
      <c r="OX27" s="5"/>
      <c r="OY27" s="5"/>
      <c r="OZ27" s="5"/>
      <c r="PA27" s="15">
        <f t="shared" si="90"/>
        <v>0</v>
      </c>
      <c r="PB27" s="9">
        <f t="shared" si="91"/>
        <v>0</v>
      </c>
      <c r="PC27" s="5">
        <f t="shared" si="92"/>
        <v>0</v>
      </c>
      <c r="PD27" s="5">
        <f t="shared" si="93"/>
        <v>0</v>
      </c>
      <c r="PE27" s="5">
        <f t="shared" si="94"/>
        <v>0</v>
      </c>
      <c r="PF27" s="24"/>
      <c r="PG27" s="5">
        <f t="shared" si="95"/>
        <v>0</v>
      </c>
      <c r="PH27" s="12">
        <f t="shared" si="3"/>
        <v>0</v>
      </c>
      <c r="PI27" s="2621"/>
      <c r="PK27" s="1907">
        <v>713.62</v>
      </c>
      <c r="PL27" s="3">
        <v>1200</v>
      </c>
      <c r="PM27" s="3">
        <v>360</v>
      </c>
      <c r="PN27" s="3">
        <f t="shared" si="96"/>
        <v>1336.2</v>
      </c>
      <c r="PO27" s="3">
        <f t="shared" si="97"/>
        <v>33291.449204532866</v>
      </c>
      <c r="PP27" s="11">
        <f t="shared" si="161"/>
        <v>24197.275697817418</v>
      </c>
      <c r="PQ27" s="15"/>
      <c r="PR27" s="2615"/>
      <c r="PT27" s="4"/>
      <c r="PU27" s="9"/>
      <c r="PV27" s="9"/>
      <c r="PW27" s="9"/>
      <c r="PX27" s="2531">
        <v>688.68000000000006</v>
      </c>
      <c r="PY27" s="9"/>
      <c r="PZ27" s="8">
        <f t="shared" si="99"/>
        <v>688.68000000000006</v>
      </c>
      <c r="QA27" s="5">
        <f t="shared" si="100"/>
        <v>713.62</v>
      </c>
      <c r="QB27" s="5"/>
      <c r="QC27" s="5"/>
      <c r="QD27" s="5"/>
      <c r="QE27" s="5"/>
      <c r="QF27" s="5"/>
      <c r="QG27" s="12"/>
      <c r="QH27" s="12">
        <f t="shared" si="101"/>
        <v>29562.488999999998</v>
      </c>
      <c r="QI27" s="420">
        <f t="shared" si="102"/>
        <v>291637.2800714043</v>
      </c>
      <c r="QJ27" s="1106">
        <f t="shared" si="139"/>
        <v>3720.2888844000004</v>
      </c>
      <c r="QK27" s="484">
        <f t="shared" si="103"/>
        <v>5505.3678056099998</v>
      </c>
      <c r="QL27" s="12"/>
      <c r="QM27" s="2615"/>
      <c r="QO27" s="139">
        <f t="shared" si="104"/>
        <v>0</v>
      </c>
      <c r="QP27" s="139" t="str">
        <f t="shared" si="105"/>
        <v/>
      </c>
      <c r="QR27" s="139">
        <f t="shared" si="106"/>
        <v>0</v>
      </c>
      <c r="QS27" s="139">
        <f t="shared" si="107"/>
        <v>0</v>
      </c>
      <c r="QU27" s="1">
        <f t="shared" si="108"/>
        <v>0</v>
      </c>
      <c r="QV27" s="1">
        <f t="shared" si="109"/>
        <v>0</v>
      </c>
      <c r="QW27" s="1">
        <f t="shared" si="110"/>
        <v>0</v>
      </c>
      <c r="QX27" s="1">
        <f t="shared" si="111"/>
        <v>0</v>
      </c>
      <c r="QY27" s="1">
        <f t="shared" si="112"/>
        <v>0</v>
      </c>
      <c r="QZ27" s="1">
        <f t="shared" si="113"/>
        <v>0</v>
      </c>
      <c r="RB27" s="1">
        <f t="shared" si="114"/>
        <v>0</v>
      </c>
      <c r="RC27" s="1">
        <f t="shared" si="115"/>
        <v>0</v>
      </c>
      <c r="RD27" s="1">
        <f t="shared" si="116"/>
        <v>0</v>
      </c>
      <c r="RE27" s="1">
        <f t="shared" si="117"/>
        <v>0</v>
      </c>
      <c r="RF27" s="1">
        <f t="shared" si="118"/>
        <v>0</v>
      </c>
      <c r="RG27" s="1">
        <f t="shared" si="119"/>
        <v>0</v>
      </c>
      <c r="RJ27" s="1">
        <v>18</v>
      </c>
      <c r="RK27" s="1">
        <f t="shared" si="151"/>
        <v>56440.590209717091</v>
      </c>
      <c r="RL27" s="1">
        <f t="shared" si="151"/>
        <v>16483.206780483717</v>
      </c>
      <c r="RM27" s="1">
        <f t="shared" si="151"/>
        <v>13404.263703387322</v>
      </c>
      <c r="RN27" s="89">
        <f t="shared" si="5"/>
        <v>86328.060693588122</v>
      </c>
      <c r="RO27" s="1033">
        <v>18</v>
      </c>
      <c r="RP27" s="1098">
        <v>0</v>
      </c>
      <c r="RQ27" s="1098">
        <f t="shared" si="121"/>
        <v>688.68000000000006</v>
      </c>
      <c r="RR27" s="1097">
        <f t="shared" si="121"/>
        <v>0</v>
      </c>
      <c r="RS27" s="1097">
        <f t="shared" si="122"/>
        <v>7993.51</v>
      </c>
      <c r="RT27" s="1050"/>
      <c r="RU27" s="1109" t="s">
        <v>1064</v>
      </c>
      <c r="RV27" s="1048"/>
      <c r="RX27" s="421">
        <v>18</v>
      </c>
      <c r="RY27" s="1095">
        <f t="shared" si="123"/>
        <v>15546.089999999998</v>
      </c>
      <c r="RZ27" s="1928" t="s">
        <v>1065</v>
      </c>
      <c r="SA27" s="1048"/>
      <c r="SB27" s="1090"/>
      <c r="SC27" s="1090">
        <f t="shared" si="124"/>
        <v>-688.68000000000029</v>
      </c>
      <c r="SD27" s="1090"/>
      <c r="SE27" s="1090">
        <f t="shared" si="152"/>
        <v>0</v>
      </c>
      <c r="SG27" s="1">
        <v>18</v>
      </c>
      <c r="SH27" s="1">
        <f t="shared" si="126"/>
        <v>1336.2</v>
      </c>
      <c r="SI27" s="2420" t="s">
        <v>1066</v>
      </c>
    </row>
    <row r="28" spans="1:503" s="1" customFormat="1">
      <c r="B28" s="471">
        <v>19</v>
      </c>
      <c r="C28" s="4">
        <f t="shared" si="127"/>
        <v>166993.79999999999</v>
      </c>
      <c r="D28" s="1590">
        <f t="shared" si="146"/>
        <v>11041.19</v>
      </c>
      <c r="E28" s="1895">
        <f t="shared" si="6"/>
        <v>15.124619719432415</v>
      </c>
      <c r="F28" s="870"/>
      <c r="G28" s="870"/>
      <c r="H28" s="52"/>
      <c r="I28" s="61"/>
      <c r="J28" s="52"/>
      <c r="K28" s="54"/>
      <c r="L28" s="52"/>
      <c r="M28" s="61"/>
      <c r="N28" s="2629"/>
      <c r="O28" s="4">
        <f t="shared" si="142"/>
        <v>103278</v>
      </c>
      <c r="P28" s="1225">
        <f t="shared" si="7"/>
        <v>6902.49</v>
      </c>
      <c r="Q28" s="1913">
        <f t="shared" si="8"/>
        <v>14.962426602573855</v>
      </c>
      <c r="R28" s="33"/>
      <c r="S28" s="26">
        <f t="shared" si="9"/>
        <v>31679.800000000003</v>
      </c>
      <c r="T28" s="27">
        <f t="shared" si="129"/>
        <v>2277.2800000000002</v>
      </c>
      <c r="U28" s="1909">
        <f t="shared" si="10"/>
        <v>13.911244994027964</v>
      </c>
      <c r="V28" s="28"/>
      <c r="W28" s="26">
        <f t="shared" si="11"/>
        <v>26879</v>
      </c>
      <c r="X28" s="5">
        <f t="shared" si="11"/>
        <v>1728</v>
      </c>
      <c r="Y28" s="1909">
        <f t="shared" si="12"/>
        <v>15.554976851851851</v>
      </c>
      <c r="Z28" s="33"/>
      <c r="AA28" s="26">
        <f t="shared" si="13"/>
        <v>5157</v>
      </c>
      <c r="AB28" s="27">
        <f t="shared" si="14"/>
        <v>133.41999999999999</v>
      </c>
      <c r="AC28" s="1909">
        <f t="shared" si="15"/>
        <v>38.652375955628848</v>
      </c>
      <c r="AD28" s="28"/>
      <c r="AE28" s="36"/>
      <c r="AF28" s="36"/>
      <c r="AG28" s="53">
        <f t="shared" si="16"/>
        <v>0</v>
      </c>
      <c r="AH28" s="28"/>
      <c r="AI28" s="23"/>
      <c r="AJ28" s="27"/>
      <c r="AK28" s="53">
        <f t="shared" si="17"/>
        <v>0</v>
      </c>
      <c r="AL28" s="28"/>
      <c r="AM28" s="2629"/>
      <c r="AN28" s="9"/>
      <c r="AO28" s="5"/>
      <c r="AP28" s="61">
        <f t="shared" si="18"/>
        <v>0</v>
      </c>
      <c r="AQ28" s="36"/>
      <c r="AR28" s="53"/>
      <c r="AS28" s="61">
        <f t="shared" si="19"/>
        <v>0</v>
      </c>
      <c r="AT28" s="36">
        <v>0</v>
      </c>
      <c r="AU28" s="27"/>
      <c r="AV28" s="54">
        <f t="shared" si="20"/>
        <v>0</v>
      </c>
      <c r="AW28" s="26">
        <v>59766</v>
      </c>
      <c r="AX28" s="24">
        <v>4841.46</v>
      </c>
      <c r="AY28" s="1895">
        <f t="shared" si="140"/>
        <v>12.344623316107125</v>
      </c>
      <c r="AZ28" s="1908"/>
      <c r="BA28" s="1909"/>
      <c r="BB28" s="1895">
        <f t="shared" si="21"/>
        <v>0</v>
      </c>
      <c r="BC28" s="1740">
        <v>43512</v>
      </c>
      <c r="BD28" s="1926">
        <v>2061.0299999999997</v>
      </c>
      <c r="BE28" s="1895">
        <f t="shared" si="22"/>
        <v>21.111774209982389</v>
      </c>
      <c r="BF28" s="1908"/>
      <c r="BG28" s="1909"/>
      <c r="BH28" s="1895">
        <f t="shared" si="23"/>
        <v>0</v>
      </c>
      <c r="BI28" s="1908">
        <v>0</v>
      </c>
      <c r="BJ28" s="1909">
        <v>0</v>
      </c>
      <c r="BK28" s="1895">
        <f t="shared" si="24"/>
        <v>0</v>
      </c>
      <c r="BL28" s="1742">
        <v>31679.800000000003</v>
      </c>
      <c r="BM28" s="1736">
        <v>2277.2800000000002</v>
      </c>
      <c r="BN28" s="2170"/>
      <c r="BO28" s="1911">
        <f t="shared" si="25"/>
        <v>13.911244994027964</v>
      </c>
      <c r="BP28" s="9">
        <v>5157</v>
      </c>
      <c r="BQ28" s="53">
        <v>133.41999999999999</v>
      </c>
      <c r="BR28" s="1920">
        <f t="shared" si="26"/>
        <v>38.652375955628848</v>
      </c>
      <c r="BS28" s="9"/>
      <c r="BT28" s="64"/>
      <c r="BU28" s="482">
        <f t="shared" si="27"/>
        <v>0</v>
      </c>
      <c r="BV28" s="9">
        <v>26879</v>
      </c>
      <c r="BW28" s="27">
        <f t="shared" si="159"/>
        <v>1728</v>
      </c>
      <c r="BX28" s="1051">
        <f t="shared" si="162"/>
        <v>15.554976851851851</v>
      </c>
      <c r="BY28" s="26"/>
      <c r="BZ28" s="5"/>
      <c r="CA28" s="482">
        <f t="shared" si="29"/>
        <v>0</v>
      </c>
      <c r="CB28" s="9"/>
      <c r="CC28" s="5"/>
      <c r="CD28" s="482">
        <f t="shared" si="30"/>
        <v>0</v>
      </c>
      <c r="CE28" s="4"/>
      <c r="CF28" s="5"/>
      <c r="CG28" s="28">
        <f t="shared" si="31"/>
        <v>0</v>
      </c>
      <c r="CH28" s="150"/>
      <c r="CI28" s="1108"/>
      <c r="CJ28" s="5">
        <v>0</v>
      </c>
      <c r="CK28" s="5">
        <v>9216</v>
      </c>
      <c r="CL28" s="5"/>
      <c r="CM28" s="5"/>
      <c r="CN28" s="3">
        <f t="shared" si="131"/>
        <v>9216</v>
      </c>
      <c r="CO28" s="33"/>
      <c r="CP28" s="366"/>
      <c r="CR28" s="4">
        <f t="shared" si="32"/>
        <v>0</v>
      </c>
      <c r="CS28" s="9">
        <f t="shared" si="33"/>
        <v>0</v>
      </c>
      <c r="CT28" s="5">
        <f t="shared" si="34"/>
        <v>0</v>
      </c>
      <c r="CU28" s="5">
        <f t="shared" si="35"/>
        <v>0</v>
      </c>
      <c r="CV28" s="5">
        <f t="shared" si="36"/>
        <v>0</v>
      </c>
      <c r="CW28" s="5">
        <f t="shared" si="37"/>
        <v>0</v>
      </c>
      <c r="CX28" s="5">
        <f t="shared" si="38"/>
        <v>1071.3400000000001</v>
      </c>
      <c r="CY28" s="5">
        <f t="shared" si="39"/>
        <v>0</v>
      </c>
      <c r="CZ28" s="5">
        <f t="shared" si="40"/>
        <v>5533.7300000000005</v>
      </c>
      <c r="DA28" s="5">
        <f t="shared" si="41"/>
        <v>0</v>
      </c>
      <c r="DB28" s="5">
        <f t="shared" si="42"/>
        <v>4436.12</v>
      </c>
      <c r="DC28" s="12">
        <f t="shared" si="43"/>
        <v>0</v>
      </c>
      <c r="DD28" s="310">
        <f t="shared" si="44"/>
        <v>11041.19</v>
      </c>
      <c r="DE28" s="2695"/>
      <c r="DF28" s="8"/>
      <c r="DG28" s="9"/>
      <c r="DH28" s="5"/>
      <c r="DI28" s="5"/>
      <c r="DJ28" s="5"/>
      <c r="DK28" s="5"/>
      <c r="DL28" s="3">
        <v>1071.3400000000001</v>
      </c>
      <c r="DM28" s="5"/>
      <c r="DN28" s="3">
        <v>0</v>
      </c>
      <c r="DO28" s="5"/>
      <c r="DP28" s="3">
        <v>3770.12</v>
      </c>
      <c r="DQ28" s="11">
        <v>0</v>
      </c>
      <c r="DR28" s="324"/>
      <c r="DS28" s="28">
        <f t="shared" si="45"/>
        <v>4841.46</v>
      </c>
      <c r="DT28" s="36"/>
      <c r="DU28" s="9"/>
      <c r="DV28" s="5"/>
      <c r="DW28" s="5"/>
      <c r="DX28" s="5"/>
      <c r="DY28" s="5"/>
      <c r="DZ28" s="27"/>
      <c r="EA28" s="27"/>
      <c r="EB28" s="3">
        <v>4471.7300000000005</v>
      </c>
      <c r="EC28" s="27"/>
      <c r="ED28" s="24">
        <v>0</v>
      </c>
      <c r="EE28" s="33"/>
      <c r="EF28" s="28">
        <f t="shared" si="46"/>
        <v>4471.7300000000005</v>
      </c>
      <c r="EG28" s="856"/>
      <c r="EH28" s="36"/>
      <c r="EI28" s="27"/>
      <c r="EJ28" s="27"/>
      <c r="EK28" s="27"/>
      <c r="EL28" s="27"/>
      <c r="EM28" s="27"/>
      <c r="EN28" s="27"/>
      <c r="EO28" s="5">
        <v>1062</v>
      </c>
      <c r="EP28" s="5"/>
      <c r="EQ28" s="5">
        <v>666</v>
      </c>
      <c r="ER28" s="33"/>
      <c r="ES28" s="28">
        <f t="shared" si="143"/>
        <v>1728</v>
      </c>
      <c r="ET28" s="36"/>
      <c r="EU28" s="27"/>
      <c r="EV28" s="27"/>
      <c r="EW28" s="27"/>
      <c r="EX28" s="27"/>
      <c r="EY28" s="27"/>
      <c r="EZ28" s="33">
        <f t="shared" si="48"/>
        <v>0</v>
      </c>
      <c r="FA28" s="2685"/>
      <c r="FC28" s="4">
        <f t="shared" si="49"/>
        <v>0</v>
      </c>
      <c r="FD28" s="5">
        <f t="shared" si="50"/>
        <v>0</v>
      </c>
      <c r="FE28" s="5">
        <f t="shared" si="51"/>
        <v>0</v>
      </c>
      <c r="FF28" s="12">
        <f t="shared" si="52"/>
        <v>0</v>
      </c>
      <c r="FG28" s="33"/>
      <c r="FH28" s="2674"/>
      <c r="FI28" s="9"/>
      <c r="FJ28" s="5"/>
      <c r="FK28" s="5"/>
      <c r="FL28" s="5"/>
      <c r="FM28" s="5"/>
      <c r="FN28" s="27"/>
      <c r="FO28" s="28">
        <f t="shared" si="53"/>
        <v>0</v>
      </c>
      <c r="FP28" s="36"/>
      <c r="FQ28" s="27"/>
      <c r="FR28" s="27"/>
      <c r="FS28" s="27"/>
      <c r="FT28" s="27"/>
      <c r="FU28" s="27"/>
      <c r="FV28" s="28">
        <f t="shared" si="54"/>
        <v>0</v>
      </c>
      <c r="FW28" s="36"/>
      <c r="FX28" s="36"/>
      <c r="FY28" s="27"/>
      <c r="FZ28" s="27"/>
      <c r="GA28" s="27"/>
      <c r="GB28" s="27"/>
      <c r="GC28" s="27"/>
      <c r="GD28" s="27"/>
      <c r="GE28" s="24">
        <v>0</v>
      </c>
      <c r="GF28" s="27"/>
      <c r="GG28" s="27"/>
      <c r="GH28" s="33"/>
      <c r="GI28" s="33">
        <f t="shared" si="55"/>
        <v>0</v>
      </c>
      <c r="GJ28" s="2674"/>
      <c r="GL28" s="2">
        <f t="shared" si="132"/>
        <v>2688.84</v>
      </c>
      <c r="GM28" s="63">
        <f t="shared" si="133"/>
        <v>7215.3799999999992</v>
      </c>
      <c r="GN28" s="24">
        <f t="shared" si="134"/>
        <v>5618.54</v>
      </c>
      <c r="GO28" s="1736">
        <f t="shared" si="56"/>
        <v>15522.759999999998</v>
      </c>
      <c r="GP28" s="141"/>
      <c r="GQ28" s="141"/>
      <c r="GR28" s="33"/>
      <c r="GS28" s="2667"/>
      <c r="GT28" s="1739">
        <v>0</v>
      </c>
      <c r="GU28" s="1721">
        <v>527.29999999999995</v>
      </c>
      <c r="GV28" s="1721">
        <v>5941.99</v>
      </c>
      <c r="GW28" s="1721">
        <v>9053.4700000000012</v>
      </c>
      <c r="GX28" s="33">
        <f t="shared" si="135"/>
        <v>15522.760000000002</v>
      </c>
      <c r="GY28" s="2667"/>
      <c r="GZ28" s="35">
        <v>0</v>
      </c>
      <c r="HA28" s="36"/>
      <c r="HB28" s="27"/>
      <c r="HC28" s="27"/>
      <c r="HD28" s="27"/>
      <c r="HE28" s="27"/>
      <c r="HF28" s="24">
        <v>0</v>
      </c>
      <c r="HG28" s="27"/>
      <c r="HH28" s="24">
        <v>1408.56</v>
      </c>
      <c r="HI28" s="27"/>
      <c r="HJ28" s="24">
        <v>752.98</v>
      </c>
      <c r="HK28" s="27"/>
      <c r="HL28" s="24">
        <v>527.29999999999995</v>
      </c>
      <c r="HM28" s="27"/>
      <c r="HN28" s="28">
        <f t="shared" si="148"/>
        <v>2688.84</v>
      </c>
      <c r="HO28" s="36"/>
      <c r="HP28" s="27"/>
      <c r="HQ28" s="27"/>
      <c r="HR28" s="27"/>
      <c r="HS28" s="27"/>
      <c r="HT28" s="27"/>
      <c r="HU28" s="27">
        <f t="array" ref="HU28">SUMPRODUCT(('Data Base hauling'!$C$2:$C$2000="TCM-ROM SB1 BK05-ROM 4")*(ISNUMBER(SEARCH(TEXT('August TCM'!$B28,"00")&amp;"/03/2026",'Data Base hauling'!$E$2:$E$2000)))*'Data Base hauling'!$N$2:$N$2000)</f>
        <v>0</v>
      </c>
      <c r="HV28" s="27"/>
      <c r="HW28" s="27">
        <f t="array" ref="HW28">SUMPRODUCT(('Data Base hauling'!$C$2:$C$2000="TCM-ROM SB1 BK05-ROM 5")*(ISNUMBER(SEARCH(TEXT('August TCM'!$B28,"00")&amp;"/03/2026",'Data Base hauling'!$E$2:$E$2000)))*'Data Base hauling'!$N$2:$N$2000)</f>
        <v>0</v>
      </c>
      <c r="HX28" s="27"/>
      <c r="HY28" s="27"/>
      <c r="HZ28" s="27"/>
      <c r="IA28" s="27"/>
      <c r="IB28" s="27"/>
      <c r="IC28" s="33">
        <f t="shared" si="58"/>
        <v>0</v>
      </c>
      <c r="ID28" s="52"/>
      <c r="IE28" s="152"/>
      <c r="IF28" s="53"/>
      <c r="IG28" s="53"/>
      <c r="IH28" s="53"/>
      <c r="II28" s="53"/>
      <c r="IJ28" s="1926">
        <v>2290.4699999999998</v>
      </c>
      <c r="IK28" s="1736"/>
      <c r="IL28" s="1926">
        <v>0</v>
      </c>
      <c r="IM28" s="53"/>
      <c r="IN28" s="49">
        <v>4924.9099999999989</v>
      </c>
      <c r="IO28" s="53"/>
      <c r="IP28" s="53"/>
      <c r="IQ28" s="49">
        <v>0</v>
      </c>
      <c r="IR28" s="2195">
        <f t="shared" si="149"/>
        <v>7215.3799999999992</v>
      </c>
      <c r="IS28" s="36"/>
      <c r="IT28" s="36"/>
      <c r="IU28" s="27"/>
      <c r="IV28" s="27"/>
      <c r="IW28" s="53"/>
      <c r="IX28" s="27"/>
      <c r="IY28" s="24">
        <v>0</v>
      </c>
      <c r="IZ28" s="27"/>
      <c r="JA28" s="24">
        <v>3833.2099999999996</v>
      </c>
      <c r="JB28" s="27"/>
      <c r="JC28" s="24">
        <v>1785.3300000000002</v>
      </c>
      <c r="JD28" s="27"/>
      <c r="JE28" s="27"/>
      <c r="JF28" s="27"/>
      <c r="JG28" s="33">
        <f t="shared" si="150"/>
        <v>5618.54</v>
      </c>
      <c r="JH28" s="2667"/>
      <c r="JJ28" s="2014">
        <v>7860.3700000000017</v>
      </c>
      <c r="JK28" s="2015">
        <v>7662.3899999999985</v>
      </c>
      <c r="JL28" s="53"/>
      <c r="JM28" s="1736">
        <f t="shared" si="61"/>
        <v>15522.76</v>
      </c>
      <c r="JN28" s="33"/>
      <c r="JO28" s="2669"/>
      <c r="JP28" s="66">
        <v>0</v>
      </c>
      <c r="JQ28" s="67">
        <v>0</v>
      </c>
      <c r="JR28" s="67">
        <v>0</v>
      </c>
      <c r="JS28" s="67">
        <v>0</v>
      </c>
      <c r="JT28" s="67">
        <v>0.65864202321264775</v>
      </c>
      <c r="JU28" s="67">
        <v>0.27427462066035047</v>
      </c>
      <c r="JV28" s="67">
        <v>6.7083356127001628E-2</v>
      </c>
      <c r="JW28" s="1921">
        <v>0</v>
      </c>
      <c r="JX28" s="66">
        <v>0</v>
      </c>
      <c r="JY28" s="67">
        <v>0</v>
      </c>
      <c r="JZ28" s="67">
        <v>0</v>
      </c>
      <c r="KA28" s="67">
        <v>0.29892370396181872</v>
      </c>
      <c r="KB28" s="67">
        <v>8.4307898710454573E-3</v>
      </c>
      <c r="KC28" s="67">
        <v>0.69264550616713583</v>
      </c>
      <c r="KD28" s="67">
        <v>0</v>
      </c>
      <c r="KE28" s="68">
        <v>0</v>
      </c>
      <c r="KF28" s="69"/>
      <c r="KG28" s="70"/>
      <c r="KH28" s="70"/>
      <c r="KI28" s="70"/>
      <c r="KJ28" s="70"/>
      <c r="KK28" s="70"/>
      <c r="KL28" s="70"/>
      <c r="KM28" s="70"/>
      <c r="KN28" s="33"/>
      <c r="KO28" s="2669"/>
      <c r="KP28" s="2203">
        <v>7029.072020395156</v>
      </c>
      <c r="KQ28" s="1721">
        <v>0.690108349267049</v>
      </c>
      <c r="KR28" s="1721">
        <v>4.8458317399617599</v>
      </c>
      <c r="KS28" s="1721">
        <v>7.1573613766730402</v>
      </c>
      <c r="KT28" s="1722">
        <v>9.4881325685149775</v>
      </c>
      <c r="KU28" s="1958">
        <v>6965.4341004184098</v>
      </c>
      <c r="KV28" s="1961">
        <v>1.6184728033472804</v>
      </c>
      <c r="KW28" s="1961">
        <v>4.7686715481171547</v>
      </c>
      <c r="KX28" s="1961">
        <v>5.8580648535564848</v>
      </c>
      <c r="KY28" s="1962">
        <v>9.3076987447698745</v>
      </c>
      <c r="KZ28" s="36"/>
      <c r="LA28" s="53"/>
      <c r="LB28" s="53"/>
      <c r="LC28" s="53"/>
      <c r="LD28" s="53"/>
      <c r="LE28" s="33"/>
      <c r="LF28" s="2669"/>
      <c r="LH28" s="4">
        <f t="shared" si="160"/>
        <v>4901.71</v>
      </c>
      <c r="LI28" s="27">
        <f t="shared" si="160"/>
        <v>0</v>
      </c>
      <c r="LJ28" s="27">
        <f t="shared" si="160"/>
        <v>0</v>
      </c>
      <c r="LK28" s="28">
        <f t="shared" si="63"/>
        <v>4901.71</v>
      </c>
      <c r="LL28" s="36">
        <v>1</v>
      </c>
      <c r="LM28" s="27"/>
      <c r="LN28" s="27">
        <v>6</v>
      </c>
      <c r="LO28" s="33"/>
      <c r="LP28" s="1957">
        <v>0</v>
      </c>
      <c r="LQ28" s="486"/>
      <c r="LR28" s="2688"/>
      <c r="LS28" s="1036">
        <v>4901.71</v>
      </c>
      <c r="LT28" s="36"/>
      <c r="LU28" s="27"/>
      <c r="LV28" s="27"/>
      <c r="LW28" s="27"/>
      <c r="LX28" s="1107">
        <f t="shared" si="64"/>
        <v>4901.71</v>
      </c>
      <c r="LY28" s="36"/>
      <c r="LZ28" s="36"/>
      <c r="MA28" s="27"/>
      <c r="MB28" s="27"/>
      <c r="MC28" s="33"/>
      <c r="MD28" s="28">
        <f t="shared" si="65"/>
        <v>0</v>
      </c>
      <c r="ME28" s="26"/>
      <c r="MF28" s="36"/>
      <c r="MG28" s="27"/>
      <c r="MH28" s="27"/>
      <c r="MI28" s="27"/>
      <c r="MJ28" s="28"/>
      <c r="MK28" s="36"/>
      <c r="ML28" s="36"/>
      <c r="MM28" s="27"/>
      <c r="MN28" s="27"/>
      <c r="MO28" s="27"/>
      <c r="MP28" s="28"/>
      <c r="MQ28" s="36"/>
      <c r="MR28" s="36"/>
      <c r="MS28" s="27"/>
      <c r="MT28" s="27"/>
      <c r="MU28" s="27"/>
      <c r="MV28" s="33">
        <f t="shared" si="66"/>
        <v>0</v>
      </c>
      <c r="MW28" s="2688"/>
      <c r="MY28" s="26">
        <f t="shared" si="67"/>
        <v>270880.54841801809</v>
      </c>
      <c r="MZ28" s="27">
        <f t="shared" si="68"/>
        <v>278464.52630375826</v>
      </c>
      <c r="NA28" s="27">
        <f t="shared" si="69"/>
        <v>24015.575697817418</v>
      </c>
      <c r="NB28" s="28">
        <f t="shared" si="70"/>
        <v>324096.27795580425</v>
      </c>
      <c r="NC28" s="2621"/>
      <c r="ND28" s="23">
        <f t="shared" si="71"/>
        <v>143309.4726380661</v>
      </c>
      <c r="NE28" s="1655">
        <f t="shared" si="72"/>
        <v>127571.07577995199</v>
      </c>
      <c r="NF28" s="60">
        <f t="shared" si="73"/>
        <v>0</v>
      </c>
      <c r="NG28" s="1110">
        <f t="shared" si="4"/>
        <v>270880.54841801809</v>
      </c>
      <c r="NH28" s="26">
        <f t="shared" si="163"/>
        <v>-27.95</v>
      </c>
      <c r="NI28" s="27">
        <f t="shared" si="163"/>
        <v>0</v>
      </c>
      <c r="NJ28" s="27">
        <f t="shared" si="163"/>
        <v>0</v>
      </c>
      <c r="NK28" s="27">
        <f t="shared" si="163"/>
        <v>0</v>
      </c>
      <c r="NL28" s="27">
        <f t="shared" si="163"/>
        <v>0</v>
      </c>
      <c r="NM28" s="33">
        <f t="shared" si="163"/>
        <v>0</v>
      </c>
      <c r="NN28" s="27">
        <f t="shared" si="163"/>
        <v>0</v>
      </c>
      <c r="NO28" s="36">
        <f t="shared" si="163"/>
        <v>0</v>
      </c>
      <c r="NP28" s="24">
        <f t="shared" si="163"/>
        <v>31333.200605424241</v>
      </c>
      <c r="NQ28" s="27">
        <f t="shared" si="163"/>
        <v>24023.830351777149</v>
      </c>
      <c r="NR28" s="24">
        <f t="shared" si="136"/>
        <v>8728.598232271157</v>
      </c>
      <c r="NS28" s="24">
        <f t="shared" si="137"/>
        <v>11315.813566410112</v>
      </c>
      <c r="NT28" s="27">
        <f t="shared" si="0"/>
        <v>75373.49275588266</v>
      </c>
      <c r="NU28" s="27">
        <f t="shared" si="75"/>
        <v>0</v>
      </c>
      <c r="NV28" s="27">
        <f t="shared" si="76"/>
        <v>0</v>
      </c>
      <c r="NW28" s="27">
        <f t="shared" si="77"/>
        <v>0</v>
      </c>
      <c r="NX28" s="27">
        <f t="shared" si="78"/>
        <v>0</v>
      </c>
      <c r="NY28" s="27">
        <f t="shared" si="79"/>
        <v>0</v>
      </c>
      <c r="NZ28" s="5">
        <f t="shared" si="80"/>
        <v>0</v>
      </c>
      <c r="OA28" s="27">
        <f t="shared" si="81"/>
        <v>34496.124489662849</v>
      </c>
      <c r="OB28" s="27">
        <f t="shared" si="82"/>
        <v>0</v>
      </c>
      <c r="OC28" s="27">
        <f t="shared" si="83"/>
        <v>71028.329485704162</v>
      </c>
      <c r="OD28" s="27"/>
      <c r="OE28" s="27">
        <f t="shared" si="138"/>
        <v>10687.760000000002</v>
      </c>
      <c r="OF28" s="27">
        <f t="shared" si="84"/>
        <v>0</v>
      </c>
      <c r="OG28" s="28">
        <f t="shared" si="1"/>
        <v>116212.21397536702</v>
      </c>
      <c r="OH28" s="27">
        <f t="shared" si="153"/>
        <v>0</v>
      </c>
      <c r="OI28" s="27">
        <f t="shared" si="154"/>
        <v>0</v>
      </c>
      <c r="OJ28" s="27">
        <f t="shared" si="158"/>
        <v>0</v>
      </c>
      <c r="OK28" s="27">
        <f t="shared" si="155"/>
        <v>0</v>
      </c>
      <c r="OL28" s="27">
        <f t="shared" si="156"/>
        <v>0</v>
      </c>
      <c r="OM28" s="27">
        <f t="shared" si="157"/>
        <v>0</v>
      </c>
      <c r="ON28" s="24">
        <f t="shared" si="147"/>
        <v>0</v>
      </c>
      <c r="OO28" s="27">
        <f t="shared" si="145"/>
        <v>0</v>
      </c>
      <c r="OP28" s="24">
        <f t="shared" si="86"/>
        <v>68581.05231371375</v>
      </c>
      <c r="OQ28" s="27">
        <f t="shared" si="87"/>
        <v>0</v>
      </c>
      <c r="OR28" s="24">
        <f t="shared" si="88"/>
        <v>18297.767258794851</v>
      </c>
      <c r="OS28" s="27">
        <f t="shared" si="164"/>
        <v>0</v>
      </c>
      <c r="OT28" s="28">
        <f t="shared" si="2"/>
        <v>86878.819572508597</v>
      </c>
      <c r="OU28" s="36"/>
      <c r="OV28" s="27"/>
      <c r="OW28" s="27"/>
      <c r="OX28" s="27"/>
      <c r="OY28" s="27"/>
      <c r="OZ28" s="27"/>
      <c r="PA28" s="28">
        <f t="shared" si="90"/>
        <v>0</v>
      </c>
      <c r="PB28" s="36">
        <f t="shared" si="91"/>
        <v>0</v>
      </c>
      <c r="PC28" s="27">
        <f t="shared" si="92"/>
        <v>0</v>
      </c>
      <c r="PD28" s="27">
        <f t="shared" si="93"/>
        <v>0</v>
      </c>
      <c r="PE28" s="27">
        <f t="shared" si="94"/>
        <v>0</v>
      </c>
      <c r="PF28" s="24"/>
      <c r="PG28" s="27">
        <f t="shared" si="95"/>
        <v>0</v>
      </c>
      <c r="PH28" s="33">
        <f t="shared" si="3"/>
        <v>0</v>
      </c>
      <c r="PI28" s="2621"/>
      <c r="PK28" s="1907">
        <v>823.78</v>
      </c>
      <c r="PL28" s="3">
        <v>1152</v>
      </c>
      <c r="PM28" s="3">
        <v>345.6</v>
      </c>
      <c r="PN28" s="3">
        <f t="shared" si="96"/>
        <v>527.29999999999995</v>
      </c>
      <c r="PO28" s="3">
        <f t="shared" si="97"/>
        <v>32963.229204532865</v>
      </c>
      <c r="PP28" s="11">
        <f t="shared" si="161"/>
        <v>24015.575697817418</v>
      </c>
      <c r="PQ28" s="15"/>
      <c r="PR28" s="2615"/>
      <c r="PT28" s="4"/>
      <c r="PU28" s="9"/>
      <c r="PV28" s="9"/>
      <c r="PW28" s="9"/>
      <c r="PX28" s="2531">
        <v>0</v>
      </c>
      <c r="PY28" s="9"/>
      <c r="PZ28" s="8">
        <f t="shared" si="99"/>
        <v>0</v>
      </c>
      <c r="QA28" s="5">
        <f t="shared" si="100"/>
        <v>823.78</v>
      </c>
      <c r="QB28" s="5"/>
      <c r="QC28" s="5"/>
      <c r="QD28" s="5"/>
      <c r="QE28" s="5"/>
      <c r="QF28" s="5"/>
      <c r="QG28" s="12"/>
      <c r="QH28" s="12">
        <f t="shared" si="101"/>
        <v>29562.488999999998</v>
      </c>
      <c r="QI28" s="420">
        <f t="shared" si="102"/>
        <v>290813.50007140427</v>
      </c>
      <c r="QJ28" s="1106">
        <f t="shared" si="139"/>
        <v>3720.2888844000004</v>
      </c>
      <c r="QK28" s="484">
        <f t="shared" si="103"/>
        <v>5505.3678056099998</v>
      </c>
      <c r="QL28" s="12"/>
      <c r="QM28" s="2615"/>
      <c r="QO28" s="139">
        <f t="shared" si="104"/>
        <v>0</v>
      </c>
      <c r="QP28" s="139" t="str">
        <f t="shared" si="105"/>
        <v/>
      </c>
      <c r="QR28" s="139">
        <f t="shared" si="106"/>
        <v>0</v>
      </c>
      <c r="QS28" s="139">
        <f t="shared" si="107"/>
        <v>0</v>
      </c>
      <c r="QU28" s="1">
        <f t="shared" si="108"/>
        <v>0</v>
      </c>
      <c r="QV28" s="1">
        <f t="shared" si="109"/>
        <v>0</v>
      </c>
      <c r="QW28" s="1">
        <f t="shared" si="110"/>
        <v>0</v>
      </c>
      <c r="QX28" s="1">
        <f t="shared" si="111"/>
        <v>0</v>
      </c>
      <c r="QY28" s="1">
        <f t="shared" si="112"/>
        <v>0</v>
      </c>
      <c r="QZ28" s="1">
        <f t="shared" si="113"/>
        <v>0</v>
      </c>
      <c r="RB28" s="1">
        <f t="shared" si="114"/>
        <v>0</v>
      </c>
      <c r="RC28" s="1">
        <f t="shared" si="115"/>
        <v>0</v>
      </c>
      <c r="RD28" s="1">
        <f t="shared" si="116"/>
        <v>0</v>
      </c>
      <c r="RE28" s="1">
        <f t="shared" si="117"/>
        <v>0</v>
      </c>
      <c r="RF28" s="1">
        <f t="shared" si="118"/>
        <v>0</v>
      </c>
      <c r="RG28" s="1">
        <f t="shared" si="119"/>
        <v>0</v>
      </c>
      <c r="RJ28" s="1">
        <v>19</v>
      </c>
      <c r="RK28" s="1">
        <f t="shared" si="151"/>
        <v>59399.250209717095</v>
      </c>
      <c r="RL28" s="1">
        <f t="shared" si="151"/>
        <v>24145.596780483716</v>
      </c>
      <c r="RM28" s="1">
        <f t="shared" si="151"/>
        <v>13404.263703387322</v>
      </c>
      <c r="RN28" s="89">
        <f t="shared" si="5"/>
        <v>96949.110693588125</v>
      </c>
      <c r="RO28" s="1033">
        <v>19</v>
      </c>
      <c r="RP28" s="1098">
        <v>0</v>
      </c>
      <c r="RQ28" s="1098">
        <f t="shared" si="121"/>
        <v>0</v>
      </c>
      <c r="RR28" s="1097">
        <f t="shared" si="121"/>
        <v>0</v>
      </c>
      <c r="RS28" s="1097">
        <f t="shared" si="122"/>
        <v>9313.19</v>
      </c>
      <c r="RT28" s="1050"/>
      <c r="RU28" s="1928" t="s">
        <v>1067</v>
      </c>
      <c r="RV28" s="1048"/>
      <c r="RX28" s="421">
        <v>19</v>
      </c>
      <c r="RY28" s="1095">
        <f t="shared" si="123"/>
        <v>15522.760000000002</v>
      </c>
      <c r="RZ28" s="1928" t="s">
        <v>1068</v>
      </c>
      <c r="SA28" s="1048"/>
      <c r="SB28" s="1090"/>
      <c r="SC28" s="1090">
        <f t="shared" si="124"/>
        <v>0</v>
      </c>
      <c r="SD28" s="1090"/>
      <c r="SE28" s="1090">
        <f t="shared" si="152"/>
        <v>0</v>
      </c>
      <c r="SG28" s="1">
        <v>19</v>
      </c>
      <c r="SH28" s="1">
        <f t="shared" si="126"/>
        <v>527.29999999999995</v>
      </c>
      <c r="SI28" s="2441" t="s">
        <v>1069</v>
      </c>
    </row>
    <row r="29" spans="1:503" s="1" customFormat="1" ht="21" customHeight="1">
      <c r="B29" s="471">
        <v>20</v>
      </c>
      <c r="C29" s="4">
        <f t="shared" si="127"/>
        <v>164561</v>
      </c>
      <c r="D29" s="1590">
        <f t="shared" si="146"/>
        <v>10398.719999999999</v>
      </c>
      <c r="E29" s="1911">
        <f t="shared" si="6"/>
        <v>15.825120784096505</v>
      </c>
      <c r="F29" s="870"/>
      <c r="G29" s="870"/>
      <c r="H29" s="845"/>
      <c r="I29" s="482"/>
      <c r="J29" s="845"/>
      <c r="K29" s="846"/>
      <c r="L29" s="845"/>
      <c r="M29" s="482"/>
      <c r="N29" s="2629"/>
      <c r="O29" s="4">
        <f t="shared" si="142"/>
        <v>104454</v>
      </c>
      <c r="P29" s="1225">
        <f t="shared" si="7"/>
        <v>6603.48</v>
      </c>
      <c r="Q29" s="1913">
        <f t="shared" si="8"/>
        <v>15.818023224118193</v>
      </c>
      <c r="R29" s="12"/>
      <c r="S29" s="26">
        <f t="shared" si="9"/>
        <v>29431</v>
      </c>
      <c r="T29" s="27">
        <f t="shared" si="129"/>
        <v>2329.7199999999998</v>
      </c>
      <c r="U29" s="1913">
        <f t="shared" si="10"/>
        <v>12.632848582662294</v>
      </c>
      <c r="V29" s="15"/>
      <c r="W29" s="26">
        <f t="shared" si="11"/>
        <v>27186</v>
      </c>
      <c r="X29" s="5">
        <f t="shared" si="11"/>
        <v>1296</v>
      </c>
      <c r="Y29" s="1913">
        <f t="shared" si="12"/>
        <v>20.976851851851851</v>
      </c>
      <c r="Z29" s="12"/>
      <c r="AA29" s="26">
        <f t="shared" si="13"/>
        <v>3490</v>
      </c>
      <c r="AB29" s="27">
        <f t="shared" si="14"/>
        <v>169.51999999999998</v>
      </c>
      <c r="AC29" s="1913">
        <f t="shared" si="15"/>
        <v>20.587541293062767</v>
      </c>
      <c r="AD29" s="15"/>
      <c r="AE29" s="9"/>
      <c r="AF29" s="9"/>
      <c r="AG29" s="64">
        <f t="shared" si="16"/>
        <v>0</v>
      </c>
      <c r="AH29" s="15"/>
      <c r="AI29" s="4"/>
      <c r="AJ29" s="5"/>
      <c r="AK29" s="64">
        <f t="shared" si="17"/>
        <v>0</v>
      </c>
      <c r="AL29" s="15"/>
      <c r="AM29" s="2629"/>
      <c r="AN29" s="9"/>
      <c r="AO29" s="5"/>
      <c r="AP29" s="482">
        <f t="shared" si="18"/>
        <v>0</v>
      </c>
      <c r="AQ29" s="9"/>
      <c r="AR29" s="64"/>
      <c r="AS29" s="482">
        <f t="shared" si="19"/>
        <v>0</v>
      </c>
      <c r="AT29" s="9">
        <v>0</v>
      </c>
      <c r="AU29" s="5"/>
      <c r="AV29" s="846">
        <f t="shared" si="20"/>
        <v>0</v>
      </c>
      <c r="AW29" s="4">
        <v>65982</v>
      </c>
      <c r="AX29" s="24">
        <v>4350.82</v>
      </c>
      <c r="AY29" s="1911">
        <f t="shared" si="140"/>
        <v>15.165417093789218</v>
      </c>
      <c r="AZ29" s="1912"/>
      <c r="BA29" s="1913"/>
      <c r="BB29" s="1911">
        <f t="shared" si="21"/>
        <v>0</v>
      </c>
      <c r="BC29" s="1940">
        <v>38472</v>
      </c>
      <c r="BD29" s="1926">
        <v>2252.66</v>
      </c>
      <c r="BE29" s="1911">
        <f t="shared" si="22"/>
        <v>17.078476112684562</v>
      </c>
      <c r="BF29" s="1908"/>
      <c r="BG29" s="1909"/>
      <c r="BH29" s="1911">
        <f t="shared" si="23"/>
        <v>0</v>
      </c>
      <c r="BI29" s="1912">
        <v>0</v>
      </c>
      <c r="BJ29" s="1909">
        <v>0</v>
      </c>
      <c r="BK29" s="1911">
        <f t="shared" si="24"/>
        <v>0</v>
      </c>
      <c r="BL29" s="1742">
        <v>29431</v>
      </c>
      <c r="BM29" s="1736">
        <v>2329.7199999999998</v>
      </c>
      <c r="BN29" s="2170"/>
      <c r="BO29" s="1911">
        <f t="shared" si="25"/>
        <v>12.632848582662294</v>
      </c>
      <c r="BP29" s="9">
        <v>3490</v>
      </c>
      <c r="BQ29" s="53">
        <v>169.51999999999998</v>
      </c>
      <c r="BR29" s="1920">
        <f t="shared" si="26"/>
        <v>20.587541293062767</v>
      </c>
      <c r="BS29" s="9"/>
      <c r="BT29" s="64"/>
      <c r="BU29" s="482">
        <f t="shared" si="27"/>
        <v>0</v>
      </c>
      <c r="BV29" s="9">
        <v>27186</v>
      </c>
      <c r="BW29" s="27">
        <f t="shared" si="159"/>
        <v>1296</v>
      </c>
      <c r="BX29" s="1051">
        <f t="shared" si="162"/>
        <v>20.976851851851851</v>
      </c>
      <c r="BY29" s="26"/>
      <c r="BZ29" s="5"/>
      <c r="CA29" s="482">
        <f t="shared" si="29"/>
        <v>0</v>
      </c>
      <c r="CB29" s="9"/>
      <c r="CC29" s="5"/>
      <c r="CD29" s="482">
        <f t="shared" si="30"/>
        <v>0</v>
      </c>
      <c r="CE29" s="4"/>
      <c r="CF29" s="494"/>
      <c r="CG29" s="15">
        <f t="shared" si="31"/>
        <v>0</v>
      </c>
      <c r="CH29" s="150"/>
      <c r="CI29" s="1108"/>
      <c r="CJ29" s="5">
        <v>2808</v>
      </c>
      <c r="CK29" s="5">
        <v>10132</v>
      </c>
      <c r="CL29" s="5"/>
      <c r="CM29" s="5"/>
      <c r="CN29" s="3">
        <f t="shared" si="131"/>
        <v>12940</v>
      </c>
      <c r="CO29" s="12"/>
      <c r="CP29" s="366"/>
      <c r="CR29" s="4">
        <f t="shared" si="32"/>
        <v>0</v>
      </c>
      <c r="CS29" s="9">
        <f t="shared" si="33"/>
        <v>0</v>
      </c>
      <c r="CT29" s="5">
        <f t="shared" si="34"/>
        <v>0</v>
      </c>
      <c r="CU29" s="5">
        <f t="shared" si="35"/>
        <v>0</v>
      </c>
      <c r="CV29" s="5">
        <f t="shared" si="36"/>
        <v>0</v>
      </c>
      <c r="CW29" s="5">
        <f t="shared" si="37"/>
        <v>0</v>
      </c>
      <c r="CX29" s="5">
        <f t="shared" si="38"/>
        <v>2884.3399999999997</v>
      </c>
      <c r="CY29" s="5">
        <f t="shared" si="39"/>
        <v>0</v>
      </c>
      <c r="CZ29" s="5">
        <f t="shared" si="40"/>
        <v>4751.8999999999996</v>
      </c>
      <c r="DA29" s="5">
        <f t="shared" si="41"/>
        <v>0</v>
      </c>
      <c r="DB29" s="5">
        <f t="shared" si="42"/>
        <v>2599.8999999999996</v>
      </c>
      <c r="DC29" s="12">
        <f t="shared" si="43"/>
        <v>0</v>
      </c>
      <c r="DD29" s="847">
        <f t="shared" si="44"/>
        <v>10236.14</v>
      </c>
      <c r="DE29" s="2695"/>
      <c r="DF29" s="8"/>
      <c r="DG29" s="9"/>
      <c r="DH29" s="5"/>
      <c r="DI29" s="5"/>
      <c r="DJ29" s="5"/>
      <c r="DK29" s="5"/>
      <c r="DL29" s="3">
        <v>2884.3399999999997</v>
      </c>
      <c r="DM29" s="5"/>
      <c r="DN29" s="3">
        <v>0</v>
      </c>
      <c r="DO29" s="5"/>
      <c r="DP29" s="3">
        <v>1303.8999999999999</v>
      </c>
      <c r="DQ29" s="11">
        <v>162.57999999999998</v>
      </c>
      <c r="DR29" s="12"/>
      <c r="DS29" s="15">
        <f t="shared" si="45"/>
        <v>4350.82</v>
      </c>
      <c r="DT29" s="9"/>
      <c r="DU29" s="9"/>
      <c r="DV29" s="5"/>
      <c r="DW29" s="5"/>
      <c r="DX29" s="5"/>
      <c r="DY29" s="5"/>
      <c r="DZ29" s="5"/>
      <c r="EA29" s="5"/>
      <c r="EB29" s="3">
        <v>4751.8999999999996</v>
      </c>
      <c r="EC29" s="5"/>
      <c r="ED29" s="24">
        <v>0</v>
      </c>
      <c r="EE29" s="12"/>
      <c r="EF29" s="15">
        <f t="shared" si="46"/>
        <v>4751.8999999999996</v>
      </c>
      <c r="EG29" s="9"/>
      <c r="EH29" s="9"/>
      <c r="EI29" s="5"/>
      <c r="EJ29" s="5"/>
      <c r="EK29" s="5"/>
      <c r="EL29" s="5"/>
      <c r="EM29" s="5"/>
      <c r="EN29" s="5"/>
      <c r="EO29" s="5"/>
      <c r="EP29" s="5"/>
      <c r="EQ29" s="5">
        <v>1296</v>
      </c>
      <c r="ER29" s="12"/>
      <c r="ES29" s="15">
        <f t="shared" si="143"/>
        <v>1296</v>
      </c>
      <c r="ET29" s="9"/>
      <c r="EU29" s="5"/>
      <c r="EV29" s="5"/>
      <c r="EW29" s="5"/>
      <c r="EX29" s="5"/>
      <c r="EY29" s="5"/>
      <c r="EZ29" s="12">
        <f t="shared" si="48"/>
        <v>0</v>
      </c>
      <c r="FA29" s="2685"/>
      <c r="FC29" s="4">
        <f t="shared" si="49"/>
        <v>0</v>
      </c>
      <c r="FD29" s="5">
        <f t="shared" si="50"/>
        <v>0</v>
      </c>
      <c r="FE29" s="5">
        <f t="shared" si="51"/>
        <v>0</v>
      </c>
      <c r="FF29" s="12">
        <f t="shared" si="52"/>
        <v>0</v>
      </c>
      <c r="FG29" s="12"/>
      <c r="FH29" s="2674"/>
      <c r="FI29" s="9"/>
      <c r="FJ29" s="5"/>
      <c r="FK29" s="5"/>
      <c r="FL29" s="5"/>
      <c r="FM29" s="5"/>
      <c r="FN29" s="5"/>
      <c r="FO29" s="15">
        <f t="shared" si="53"/>
        <v>0</v>
      </c>
      <c r="FP29" s="9"/>
      <c r="FQ29" s="5"/>
      <c r="FR29" s="5"/>
      <c r="FS29" s="5"/>
      <c r="FT29" s="5"/>
      <c r="FU29" s="5"/>
      <c r="FV29" s="15">
        <f t="shared" si="54"/>
        <v>0</v>
      </c>
      <c r="FW29" s="9"/>
      <c r="FX29" s="9"/>
      <c r="FY29" s="5"/>
      <c r="FZ29" s="5"/>
      <c r="GA29" s="5"/>
      <c r="GB29" s="5"/>
      <c r="GC29" s="5"/>
      <c r="GD29" s="5"/>
      <c r="GE29" s="24">
        <v>0</v>
      </c>
      <c r="GF29" s="5"/>
      <c r="GG29" s="5"/>
      <c r="GH29" s="12"/>
      <c r="GI29" s="12">
        <f t="shared" si="55"/>
        <v>0</v>
      </c>
      <c r="GJ29" s="2674"/>
      <c r="GL29" s="2">
        <f t="shared" si="132"/>
        <v>1723.58</v>
      </c>
      <c r="GM29" s="63">
        <f t="shared" si="133"/>
        <v>6606.17</v>
      </c>
      <c r="GN29" s="24">
        <f t="shared" si="134"/>
        <v>3145.47</v>
      </c>
      <c r="GO29" s="1590">
        <f t="shared" si="56"/>
        <v>11475.22</v>
      </c>
      <c r="GP29" s="848"/>
      <c r="GQ29" s="848"/>
      <c r="GR29" s="12"/>
      <c r="GS29" s="2667"/>
      <c r="GT29" s="1739">
        <v>0</v>
      </c>
      <c r="GU29" s="1721">
        <v>248.01999999999998</v>
      </c>
      <c r="GV29" s="1721">
        <v>5787.1500000000005</v>
      </c>
      <c r="GW29" s="1721">
        <v>5440.05</v>
      </c>
      <c r="GX29" s="12">
        <f t="shared" si="135"/>
        <v>11475.220000000001</v>
      </c>
      <c r="GY29" s="2667"/>
      <c r="GZ29" s="35">
        <v>0</v>
      </c>
      <c r="HA29" s="9"/>
      <c r="HB29" s="5"/>
      <c r="HC29" s="5"/>
      <c r="HD29" s="5"/>
      <c r="HE29" s="5"/>
      <c r="HF29" s="24">
        <v>0</v>
      </c>
      <c r="HG29" s="5"/>
      <c r="HH29" s="24">
        <v>0</v>
      </c>
      <c r="HI29" s="5"/>
      <c r="HJ29" s="24">
        <v>1475.56</v>
      </c>
      <c r="HK29" s="5"/>
      <c r="HL29" s="24">
        <v>248.01999999999998</v>
      </c>
      <c r="HM29" s="5"/>
      <c r="HN29" s="15">
        <f t="shared" si="148"/>
        <v>1723.58</v>
      </c>
      <c r="HO29" s="9"/>
      <c r="HP29" s="5"/>
      <c r="HQ29" s="5"/>
      <c r="HR29" s="5"/>
      <c r="HS29" s="5"/>
      <c r="HT29" s="5"/>
      <c r="HU29" s="5">
        <f t="array" ref="HU29">SUMPRODUCT(('Data Base hauling'!$C$2:$C$2000="TCM-ROM SB1 BK05-ROM 4")*(ISNUMBER(SEARCH(TEXT('August TCM'!$B29,"00")&amp;"/03/2026",'Data Base hauling'!$E$2:$E$2000)))*'Data Base hauling'!$N$2:$N$2000)</f>
        <v>0</v>
      </c>
      <c r="HV29" s="5"/>
      <c r="HW29" s="5">
        <f t="array" ref="HW29">SUMPRODUCT(('Data Base hauling'!$C$2:$C$2000="TCM-ROM SB1 BK05-ROM 5")*(ISNUMBER(SEARCH(TEXT('August TCM'!$B29,"00")&amp;"/03/2026",'Data Base hauling'!$E$2:$E$2000)))*'Data Base hauling'!$N$2:$N$2000)</f>
        <v>0</v>
      </c>
      <c r="HX29" s="5"/>
      <c r="HY29" s="5"/>
      <c r="HZ29" s="5"/>
      <c r="IA29" s="5"/>
      <c r="IB29" s="5"/>
      <c r="IC29" s="12">
        <f t="shared" si="58"/>
        <v>0</v>
      </c>
      <c r="ID29" s="845"/>
      <c r="IE29" s="363"/>
      <c r="IF29" s="64"/>
      <c r="IG29" s="64"/>
      <c r="IH29" s="64"/>
      <c r="II29" s="64"/>
      <c r="IJ29" s="1926">
        <v>2325.7800000000002</v>
      </c>
      <c r="IK29" s="1590"/>
      <c r="IL29" s="1926">
        <v>0</v>
      </c>
      <c r="IM29" s="64"/>
      <c r="IN29" s="49">
        <v>4280.3899999999994</v>
      </c>
      <c r="IO29" s="64"/>
      <c r="IP29" s="64"/>
      <c r="IQ29" s="49">
        <v>0</v>
      </c>
      <c r="IR29" s="2195">
        <f t="shared" si="149"/>
        <v>6606.17</v>
      </c>
      <c r="IS29" s="9"/>
      <c r="IT29" s="9"/>
      <c r="IU29" s="5"/>
      <c r="IV29" s="5"/>
      <c r="IW29" s="64"/>
      <c r="IX29" s="5"/>
      <c r="IY29" s="24">
        <v>0</v>
      </c>
      <c r="IZ29" s="5"/>
      <c r="JA29" s="24">
        <v>0</v>
      </c>
      <c r="JB29" s="5"/>
      <c r="JC29" s="24">
        <v>3145.47</v>
      </c>
      <c r="JD29" s="5"/>
      <c r="JE29" s="5"/>
      <c r="JF29" s="5"/>
      <c r="JG29" s="12">
        <f t="shared" si="150"/>
        <v>3145.47</v>
      </c>
      <c r="JH29" s="2667"/>
      <c r="JJ29" s="2014">
        <v>0</v>
      </c>
      <c r="JK29" s="2015">
        <v>11475.220000000003</v>
      </c>
      <c r="JL29" s="64"/>
      <c r="JM29" s="1736">
        <f t="shared" si="61"/>
        <v>11475.220000000003</v>
      </c>
      <c r="JN29" s="12"/>
      <c r="JO29" s="2669"/>
      <c r="JP29" s="66" t="s">
        <v>296</v>
      </c>
      <c r="JQ29" s="67" t="s">
        <v>296</v>
      </c>
      <c r="JR29" s="67" t="s">
        <v>296</v>
      </c>
      <c r="JS29" s="67" t="s">
        <v>296</v>
      </c>
      <c r="JT29" s="67" t="s">
        <v>296</v>
      </c>
      <c r="JU29" s="67" t="s">
        <v>296</v>
      </c>
      <c r="JV29" s="67" t="s">
        <v>296</v>
      </c>
      <c r="JW29" s="1921">
        <v>0</v>
      </c>
      <c r="JX29" s="66">
        <v>0</v>
      </c>
      <c r="JY29" s="67">
        <v>0</v>
      </c>
      <c r="JZ29" s="67">
        <v>0</v>
      </c>
      <c r="KA29" s="67">
        <v>0.20267846716664253</v>
      </c>
      <c r="KB29" s="67">
        <v>0</v>
      </c>
      <c r="KC29" s="67">
        <v>0.77570800385526362</v>
      </c>
      <c r="KD29" s="67">
        <v>2.1613528978093658E-2</v>
      </c>
      <c r="KE29" s="68">
        <v>0</v>
      </c>
      <c r="KF29" s="849"/>
      <c r="KG29" s="850"/>
      <c r="KH29" s="850"/>
      <c r="KI29" s="850"/>
      <c r="KJ29" s="850"/>
      <c r="KK29" s="850"/>
      <c r="KL29" s="850"/>
      <c r="KM29" s="850"/>
      <c r="KN29" s="12"/>
      <c r="KO29" s="2669"/>
      <c r="KP29" s="2203">
        <v>0</v>
      </c>
      <c r="KQ29" s="1721">
        <v>0</v>
      </c>
      <c r="KR29" s="1721">
        <v>0</v>
      </c>
      <c r="KS29" s="1721">
        <v>0</v>
      </c>
      <c r="KT29" s="1722">
        <v>0</v>
      </c>
      <c r="KU29" s="1958">
        <v>7155.8396102185934</v>
      </c>
      <c r="KV29" s="1961">
        <v>1.515836186462997</v>
      </c>
      <c r="KW29" s="1961">
        <v>3.5395048722675795</v>
      </c>
      <c r="KX29" s="1961">
        <v>6.0023492230708451</v>
      </c>
      <c r="KY29" s="1962">
        <v>9.6319550522342201</v>
      </c>
      <c r="KZ29" s="9"/>
      <c r="LA29" s="64"/>
      <c r="LB29" s="64"/>
      <c r="LC29" s="64"/>
      <c r="LD29" s="64"/>
      <c r="LE29" s="12"/>
      <c r="LF29" s="2669"/>
      <c r="LH29" s="4">
        <f t="shared" si="160"/>
        <v>0</v>
      </c>
      <c r="LI29" s="5">
        <f t="shared" si="160"/>
        <v>0</v>
      </c>
      <c r="LJ29" s="5">
        <f t="shared" si="160"/>
        <v>0</v>
      </c>
      <c r="LK29" s="15">
        <f t="shared" si="63"/>
        <v>0</v>
      </c>
      <c r="LL29" s="9"/>
      <c r="LM29" s="5"/>
      <c r="LN29" s="5">
        <v>6</v>
      </c>
      <c r="LO29" s="12"/>
      <c r="LP29" s="1956">
        <v>0</v>
      </c>
      <c r="LQ29" s="1128" t="s">
        <v>1070</v>
      </c>
      <c r="LR29" s="2688"/>
      <c r="LS29" s="9"/>
      <c r="LT29" s="9"/>
      <c r="LU29" s="5"/>
      <c r="LV29" s="5"/>
      <c r="LW29" s="5"/>
      <c r="LX29" s="1107">
        <f t="shared" si="64"/>
        <v>0</v>
      </c>
      <c r="LY29" s="9"/>
      <c r="LZ29" s="9"/>
      <c r="MA29" s="5"/>
      <c r="MB29" s="5"/>
      <c r="MC29" s="12"/>
      <c r="MD29" s="28">
        <f t="shared" si="65"/>
        <v>0</v>
      </c>
      <c r="ME29" s="4"/>
      <c r="MF29" s="9"/>
      <c r="MG29" s="5"/>
      <c r="MH29" s="5"/>
      <c r="MI29" s="5"/>
      <c r="MJ29" s="15"/>
      <c r="MK29" s="9"/>
      <c r="ML29" s="9"/>
      <c r="MM29" s="5"/>
      <c r="MN29" s="5"/>
      <c r="MO29" s="5"/>
      <c r="MP29" s="15"/>
      <c r="MQ29" s="9"/>
      <c r="MR29" s="9"/>
      <c r="MS29" s="5"/>
      <c r="MT29" s="5"/>
      <c r="MU29" s="5"/>
      <c r="MV29" s="12">
        <f t="shared" si="66"/>
        <v>0</v>
      </c>
      <c r="MW29" s="2688"/>
      <c r="MY29" s="4">
        <f t="shared" si="67"/>
        <v>282674.45035640401</v>
      </c>
      <c r="MZ29" s="5">
        <f t="shared" si="68"/>
        <v>277636.04630375828</v>
      </c>
      <c r="NA29" s="5">
        <f t="shared" si="69"/>
        <v>23907.955697817419</v>
      </c>
      <c r="NB29" s="15">
        <f t="shared" si="70"/>
        <v>323649.35795580427</v>
      </c>
      <c r="NC29" s="2621"/>
      <c r="ND29" s="23">
        <v>162643.366745518</v>
      </c>
      <c r="NE29" s="1655">
        <v>120031.08361088599</v>
      </c>
      <c r="NF29" s="60">
        <f t="shared" si="73"/>
        <v>0</v>
      </c>
      <c r="NG29" s="1042">
        <f t="shared" si="4"/>
        <v>282674.45035640401</v>
      </c>
      <c r="NH29" s="4">
        <f t="shared" si="163"/>
        <v>-27.95</v>
      </c>
      <c r="NI29" s="5">
        <f t="shared" si="163"/>
        <v>0</v>
      </c>
      <c r="NJ29" s="27">
        <f t="shared" si="163"/>
        <v>0</v>
      </c>
      <c r="NK29" s="5">
        <f t="shared" si="163"/>
        <v>0</v>
      </c>
      <c r="NL29" s="5">
        <f t="shared" si="163"/>
        <v>0</v>
      </c>
      <c r="NM29" s="12">
        <f t="shared" si="163"/>
        <v>0</v>
      </c>
      <c r="NN29" s="27">
        <f t="shared" si="163"/>
        <v>0</v>
      </c>
      <c r="NO29" s="9">
        <f t="shared" si="163"/>
        <v>0</v>
      </c>
      <c r="NP29" s="24">
        <f t="shared" si="163"/>
        <v>31333.200605424241</v>
      </c>
      <c r="NQ29" s="5">
        <f t="shared" si="163"/>
        <v>24023.830351777149</v>
      </c>
      <c r="NR29" s="24">
        <f t="shared" si="136"/>
        <v>8728.598232271157</v>
      </c>
      <c r="NS29" s="24">
        <f t="shared" si="137"/>
        <v>11136.253566410112</v>
      </c>
      <c r="NT29" s="5">
        <f t="shared" si="0"/>
        <v>75193.932755882663</v>
      </c>
      <c r="NU29" s="27">
        <f t="shared" si="75"/>
        <v>0</v>
      </c>
      <c r="NV29" s="5">
        <f t="shared" si="76"/>
        <v>0</v>
      </c>
      <c r="NW29" s="27">
        <f t="shared" si="77"/>
        <v>0</v>
      </c>
      <c r="NX29" s="5">
        <f t="shared" si="78"/>
        <v>0</v>
      </c>
      <c r="NY29" s="5">
        <f t="shared" si="79"/>
        <v>0</v>
      </c>
      <c r="NZ29" s="5">
        <f t="shared" si="80"/>
        <v>0</v>
      </c>
      <c r="OA29" s="27">
        <f t="shared" si="81"/>
        <v>35054.684489662846</v>
      </c>
      <c r="OB29" s="5">
        <f t="shared" si="82"/>
        <v>0</v>
      </c>
      <c r="OC29" s="27">
        <f t="shared" si="83"/>
        <v>68051.839485704157</v>
      </c>
      <c r="OD29" s="27"/>
      <c r="OE29" s="27">
        <f t="shared" si="138"/>
        <v>10850.340000000002</v>
      </c>
      <c r="OF29" s="5">
        <f t="shared" si="84"/>
        <v>0</v>
      </c>
      <c r="OG29" s="15">
        <f t="shared" si="1"/>
        <v>113956.863975367</v>
      </c>
      <c r="OH29" s="27">
        <f t="shared" si="153"/>
        <v>0</v>
      </c>
      <c r="OI29" s="5">
        <f t="shared" si="154"/>
        <v>0</v>
      </c>
      <c r="OJ29" s="5">
        <f t="shared" si="158"/>
        <v>0</v>
      </c>
      <c r="OK29" s="5">
        <f t="shared" si="155"/>
        <v>0</v>
      </c>
      <c r="OL29" s="27">
        <f t="shared" si="156"/>
        <v>0</v>
      </c>
      <c r="OM29" s="5">
        <f t="shared" si="157"/>
        <v>0</v>
      </c>
      <c r="ON29" s="24">
        <f t="shared" si="147"/>
        <v>0</v>
      </c>
      <c r="OO29" s="5">
        <f t="shared" si="145"/>
        <v>0</v>
      </c>
      <c r="OP29" s="24">
        <f t="shared" si="86"/>
        <v>73332.952313713744</v>
      </c>
      <c r="OQ29" s="5">
        <f t="shared" si="87"/>
        <v>0</v>
      </c>
      <c r="OR29" s="24">
        <f t="shared" si="88"/>
        <v>15152.297258794852</v>
      </c>
      <c r="OS29" s="5">
        <f t="shared" si="164"/>
        <v>0</v>
      </c>
      <c r="OT29" s="15">
        <f t="shared" si="2"/>
        <v>88485.24957250859</v>
      </c>
      <c r="OU29" s="9"/>
      <c r="OV29" s="5"/>
      <c r="OW29" s="5"/>
      <c r="OX29" s="5"/>
      <c r="OY29" s="5"/>
      <c r="OZ29" s="5"/>
      <c r="PA29" s="15">
        <f t="shared" si="90"/>
        <v>0</v>
      </c>
      <c r="PB29" s="9">
        <f t="shared" si="91"/>
        <v>0</v>
      </c>
      <c r="PC29" s="5">
        <f t="shared" si="92"/>
        <v>0</v>
      </c>
      <c r="PD29" s="5">
        <f t="shared" si="93"/>
        <v>0</v>
      </c>
      <c r="PE29" s="5">
        <f t="shared" si="94"/>
        <v>0</v>
      </c>
      <c r="PF29" s="24"/>
      <c r="PG29" s="5">
        <f t="shared" si="95"/>
        <v>0</v>
      </c>
      <c r="PH29" s="12">
        <f t="shared" si="3"/>
        <v>0</v>
      </c>
      <c r="PI29" s="2621"/>
      <c r="PK29" s="1907">
        <v>446.91999999999996</v>
      </c>
      <c r="PL29" s="3">
        <v>468</v>
      </c>
      <c r="PM29" s="3">
        <v>140.39999999999998</v>
      </c>
      <c r="PN29" s="3">
        <f>HL29</f>
        <v>248.01999999999998</v>
      </c>
      <c r="PO29" s="3">
        <f t="shared" si="97"/>
        <v>32942.149204532863</v>
      </c>
      <c r="PP29" s="11">
        <f t="shared" si="161"/>
        <v>23907.955697817419</v>
      </c>
      <c r="PQ29" s="15"/>
      <c r="PR29" s="2615"/>
      <c r="PT29" s="4"/>
      <c r="PU29" s="9"/>
      <c r="PV29" s="9"/>
      <c r="PW29" s="9"/>
      <c r="PX29" s="2531">
        <v>0</v>
      </c>
      <c r="PY29" s="9"/>
      <c r="PZ29" s="8">
        <f t="shared" si="99"/>
        <v>0</v>
      </c>
      <c r="QA29" s="5">
        <f t="shared" si="100"/>
        <v>446.91999999999996</v>
      </c>
      <c r="QB29" s="5"/>
      <c r="QC29" s="5"/>
      <c r="QD29" s="5"/>
      <c r="QE29" s="5"/>
      <c r="QF29" s="5"/>
      <c r="QG29" s="12"/>
      <c r="QH29" s="12">
        <f t="shared" si="101"/>
        <v>29562.488999999998</v>
      </c>
      <c r="QI29" s="420">
        <f t="shared" si="102"/>
        <v>290366.58007140429</v>
      </c>
      <c r="QJ29" s="1106">
        <f t="shared" si="139"/>
        <v>3720.2888844000004</v>
      </c>
      <c r="QK29" s="484">
        <f t="shared" si="103"/>
        <v>5505.3678056099998</v>
      </c>
      <c r="QL29" s="12"/>
      <c r="QM29" s="2615"/>
      <c r="QO29" s="139" t="str">
        <f t="shared" si="104"/>
        <v/>
      </c>
      <c r="QP29" s="139" t="str">
        <f t="shared" si="105"/>
        <v/>
      </c>
      <c r="QR29" s="139">
        <f t="shared" si="106"/>
        <v>0</v>
      </c>
      <c r="QS29" s="139">
        <f t="shared" si="107"/>
        <v>0</v>
      </c>
      <c r="QU29" s="1">
        <f t="shared" si="108"/>
        <v>0</v>
      </c>
      <c r="QV29" s="1">
        <f t="shared" si="109"/>
        <v>0</v>
      </c>
      <c r="QW29" s="1">
        <f t="shared" si="110"/>
        <v>0</v>
      </c>
      <c r="QX29" s="1">
        <f t="shared" si="111"/>
        <v>0</v>
      </c>
      <c r="QY29" s="1">
        <f t="shared" si="112"/>
        <v>0</v>
      </c>
      <c r="QZ29" s="1">
        <f t="shared" si="113"/>
        <v>0</v>
      </c>
      <c r="RB29" s="1">
        <f t="shared" si="114"/>
        <v>0</v>
      </c>
      <c r="RC29" s="1">
        <f t="shared" si="115"/>
        <v>0</v>
      </c>
      <c r="RD29" s="1">
        <f t="shared" si="116"/>
        <v>0</v>
      </c>
      <c r="RE29" s="1">
        <f t="shared" si="117"/>
        <v>0</v>
      </c>
      <c r="RF29" s="1">
        <f t="shared" si="118"/>
        <v>0</v>
      </c>
      <c r="RG29" s="1">
        <f t="shared" si="119"/>
        <v>0</v>
      </c>
      <c r="RJ29" s="1">
        <v>20</v>
      </c>
      <c r="RK29" s="1">
        <f t="shared" si="151"/>
        <v>59399.250209717095</v>
      </c>
      <c r="RL29" s="1">
        <f t="shared" si="151"/>
        <v>35620.816780483721</v>
      </c>
      <c r="RM29" s="1">
        <f t="shared" si="151"/>
        <v>13404.263703387322</v>
      </c>
      <c r="RN29" s="89">
        <f t="shared" si="5"/>
        <v>108424.33069358813</v>
      </c>
      <c r="RO29" s="1033">
        <v>20</v>
      </c>
      <c r="RP29" s="1098">
        <v>0</v>
      </c>
      <c r="RQ29" s="1098">
        <f t="shared" si="121"/>
        <v>0</v>
      </c>
      <c r="RR29" s="1097">
        <f t="shared" si="121"/>
        <v>0</v>
      </c>
      <c r="RS29" s="1097">
        <f t="shared" si="122"/>
        <v>9102.7199999999993</v>
      </c>
      <c r="RT29" s="1109"/>
      <c r="RU29" s="1928" t="s">
        <v>1071</v>
      </c>
      <c r="RX29" s="421">
        <v>20</v>
      </c>
      <c r="RY29" s="1095">
        <f t="shared" si="123"/>
        <v>11475.220000000001</v>
      </c>
      <c r="RZ29" s="1109" t="s">
        <v>1072</v>
      </c>
      <c r="SA29" s="1048"/>
      <c r="SB29" s="1090"/>
      <c r="SC29" s="1090">
        <f t="shared" si="124"/>
        <v>0</v>
      </c>
      <c r="SD29" s="1090"/>
      <c r="SE29" s="1090">
        <f t="shared" si="152"/>
        <v>0</v>
      </c>
      <c r="SG29" s="1">
        <v>20</v>
      </c>
      <c r="SH29" s="1">
        <f t="shared" si="126"/>
        <v>248.01999999999998</v>
      </c>
      <c r="SI29" s="2420" t="s">
        <v>1073</v>
      </c>
    </row>
    <row r="30" spans="1:503" s="1" customFormat="1">
      <c r="B30" s="471">
        <v>21</v>
      </c>
      <c r="C30" s="4">
        <f>+O30+S30+W30+AE30+AI30+AA30</f>
        <v>156828</v>
      </c>
      <c r="D30" s="1590">
        <f t="shared" si="146"/>
        <v>9778.66</v>
      </c>
      <c r="E30" s="1895">
        <f t="shared" si="6"/>
        <v>16.037780227556741</v>
      </c>
      <c r="F30" s="870"/>
      <c r="G30" s="870"/>
      <c r="H30" s="52"/>
      <c r="I30" s="61"/>
      <c r="J30" s="52"/>
      <c r="K30" s="54"/>
      <c r="L30" s="52"/>
      <c r="M30" s="61"/>
      <c r="N30" s="2629"/>
      <c r="O30" s="4">
        <f t="shared" si="142"/>
        <v>96852</v>
      </c>
      <c r="P30" s="1225">
        <f t="shared" si="7"/>
        <v>6993.619999999999</v>
      </c>
      <c r="Q30" s="1913">
        <f t="shared" si="8"/>
        <v>13.848622029792871</v>
      </c>
      <c r="R30" s="33"/>
      <c r="S30" s="26">
        <f t="shared" si="9"/>
        <v>29284</v>
      </c>
      <c r="T30" s="27">
        <f t="shared" si="129"/>
        <v>1822.2599999999998</v>
      </c>
      <c r="U30" s="1909">
        <f t="shared" si="10"/>
        <v>16.070154643135449</v>
      </c>
      <c r="V30" s="28"/>
      <c r="W30" s="26">
        <f t="shared" si="11"/>
        <v>25869</v>
      </c>
      <c r="X30" s="5">
        <f t="shared" si="11"/>
        <v>720</v>
      </c>
      <c r="Y30" s="1909">
        <f t="shared" si="12"/>
        <v>35.929166666666667</v>
      </c>
      <c r="Z30" s="33"/>
      <c r="AA30" s="26">
        <f t="shared" si="13"/>
        <v>4823</v>
      </c>
      <c r="AB30" s="27">
        <f t="shared" si="14"/>
        <v>242.78</v>
      </c>
      <c r="AC30" s="1909">
        <f t="shared" si="15"/>
        <v>19.865722052887389</v>
      </c>
      <c r="AD30" s="28"/>
      <c r="AE30" s="36"/>
      <c r="AF30" s="36"/>
      <c r="AG30" s="53">
        <f t="shared" si="16"/>
        <v>0</v>
      </c>
      <c r="AH30" s="28"/>
      <c r="AI30" s="23"/>
      <c r="AJ30" s="27"/>
      <c r="AK30" s="53">
        <f t="shared" si="17"/>
        <v>0</v>
      </c>
      <c r="AL30" s="28"/>
      <c r="AM30" s="2629"/>
      <c r="AN30" s="9"/>
      <c r="AO30" s="5"/>
      <c r="AP30" s="61">
        <f t="shared" si="18"/>
        <v>0</v>
      </c>
      <c r="AQ30" s="36"/>
      <c r="AR30" s="53"/>
      <c r="AS30" s="61">
        <f t="shared" si="19"/>
        <v>0</v>
      </c>
      <c r="AT30" s="36">
        <v>0</v>
      </c>
      <c r="AU30" s="27"/>
      <c r="AV30" s="54">
        <f t="shared" si="20"/>
        <v>0</v>
      </c>
      <c r="AW30" s="26">
        <v>53298</v>
      </c>
      <c r="AX30" s="24">
        <v>4513.5199999999995</v>
      </c>
      <c r="AY30" s="1895">
        <f t="shared" si="140"/>
        <v>11.808521951824741</v>
      </c>
      <c r="AZ30" s="1908"/>
      <c r="BA30" s="1909"/>
      <c r="BB30" s="1895">
        <f t="shared" si="21"/>
        <v>0</v>
      </c>
      <c r="BC30" s="1740">
        <v>43554</v>
      </c>
      <c r="BD30" s="1926">
        <v>2480.1</v>
      </c>
      <c r="BE30" s="1895">
        <f t="shared" si="22"/>
        <v>17.56138865368332</v>
      </c>
      <c r="BF30" s="1908"/>
      <c r="BG30" s="1909"/>
      <c r="BH30" s="1895">
        <f t="shared" si="23"/>
        <v>0</v>
      </c>
      <c r="BI30" s="1908">
        <v>0</v>
      </c>
      <c r="BJ30" s="1909">
        <v>0</v>
      </c>
      <c r="BK30" s="1895">
        <f t="shared" si="24"/>
        <v>0</v>
      </c>
      <c r="BL30" s="1742">
        <v>29284</v>
      </c>
      <c r="BM30" s="1736">
        <v>1822.2599999999998</v>
      </c>
      <c r="BN30" s="2170"/>
      <c r="BO30" s="1911">
        <f t="shared" si="25"/>
        <v>16.070154643135449</v>
      </c>
      <c r="BP30" s="9">
        <v>4823</v>
      </c>
      <c r="BQ30" s="53">
        <v>242.78</v>
      </c>
      <c r="BR30" s="1920">
        <f t="shared" si="26"/>
        <v>19.865722052887389</v>
      </c>
      <c r="BS30" s="9"/>
      <c r="BT30" s="64"/>
      <c r="BU30" s="482">
        <f t="shared" si="27"/>
        <v>0</v>
      </c>
      <c r="BV30" s="9">
        <v>25869</v>
      </c>
      <c r="BW30" s="27">
        <f t="shared" si="159"/>
        <v>720</v>
      </c>
      <c r="BX30" s="1051">
        <f t="shared" si="162"/>
        <v>35.929166666666667</v>
      </c>
      <c r="BY30" s="4"/>
      <c r="BZ30" s="5"/>
      <c r="CA30" s="482">
        <f t="shared" si="29"/>
        <v>0</v>
      </c>
      <c r="CB30" s="9"/>
      <c r="CC30" s="5"/>
      <c r="CD30" s="482">
        <f t="shared" si="30"/>
        <v>0</v>
      </c>
      <c r="CE30" s="4"/>
      <c r="CF30" s="5"/>
      <c r="CG30" s="28">
        <f t="shared" si="31"/>
        <v>0</v>
      </c>
      <c r="CH30" s="150"/>
      <c r="CI30" s="1108"/>
      <c r="CJ30" s="5">
        <v>5405</v>
      </c>
      <c r="CK30" s="5">
        <v>8640</v>
      </c>
      <c r="CL30" s="5"/>
      <c r="CM30" s="5"/>
      <c r="CN30" s="3">
        <f t="shared" si="131"/>
        <v>14045</v>
      </c>
      <c r="CO30" s="33"/>
      <c r="CP30" s="366"/>
      <c r="CR30" s="4">
        <f t="shared" si="32"/>
        <v>0</v>
      </c>
      <c r="CS30" s="9">
        <f t="shared" si="33"/>
        <v>0</v>
      </c>
      <c r="CT30" s="5">
        <f t="shared" si="34"/>
        <v>0</v>
      </c>
      <c r="CU30" s="5">
        <f t="shared" si="35"/>
        <v>0</v>
      </c>
      <c r="CV30" s="5">
        <f t="shared" si="36"/>
        <v>0</v>
      </c>
      <c r="CW30" s="5">
        <f t="shared" si="37"/>
        <v>0</v>
      </c>
      <c r="CX30" s="5">
        <f t="shared" si="38"/>
        <v>131.38</v>
      </c>
      <c r="CY30" s="5">
        <f t="shared" si="39"/>
        <v>0</v>
      </c>
      <c r="CZ30" s="5">
        <f t="shared" si="40"/>
        <v>4428.24</v>
      </c>
      <c r="DA30" s="5">
        <f t="shared" si="41"/>
        <v>0</v>
      </c>
      <c r="DB30" s="5">
        <f t="shared" si="42"/>
        <v>4484.9799999999996</v>
      </c>
      <c r="DC30" s="12">
        <f t="shared" si="43"/>
        <v>0</v>
      </c>
      <c r="DD30" s="310">
        <f t="shared" si="44"/>
        <v>9044.5999999999985</v>
      </c>
      <c r="DE30" s="2695"/>
      <c r="DF30" s="8"/>
      <c r="DG30" s="9"/>
      <c r="DH30" s="5"/>
      <c r="DI30" s="5"/>
      <c r="DJ30" s="5"/>
      <c r="DK30" s="5"/>
      <c r="DL30" s="3">
        <v>131.38</v>
      </c>
      <c r="DM30" s="5"/>
      <c r="DN30" s="3">
        <v>0</v>
      </c>
      <c r="DO30" s="5"/>
      <c r="DP30" s="3">
        <v>3648.08</v>
      </c>
      <c r="DQ30" s="11">
        <v>734.06000000000006</v>
      </c>
      <c r="DR30" s="12"/>
      <c r="DS30" s="28">
        <f t="shared" si="45"/>
        <v>4513.5200000000004</v>
      </c>
      <c r="DT30" s="36"/>
      <c r="DU30" s="9"/>
      <c r="DV30" s="5"/>
      <c r="DW30" s="5"/>
      <c r="DX30" s="5"/>
      <c r="DY30" s="5"/>
      <c r="DZ30" s="27"/>
      <c r="EA30" s="27"/>
      <c r="EB30" s="3">
        <v>3708.2400000000002</v>
      </c>
      <c r="EC30" s="27"/>
      <c r="ED30" s="24">
        <v>836.9</v>
      </c>
      <c r="EE30" s="33"/>
      <c r="EF30" s="28">
        <f t="shared" si="46"/>
        <v>4545.1400000000003</v>
      </c>
      <c r="EG30" s="9"/>
      <c r="EH30" s="36"/>
      <c r="EI30" s="27"/>
      <c r="EJ30" s="27"/>
      <c r="EK30" s="27"/>
      <c r="EL30" s="27"/>
      <c r="EM30" s="27"/>
      <c r="EN30" s="27"/>
      <c r="EO30" s="5">
        <v>720</v>
      </c>
      <c r="EP30" s="5"/>
      <c r="EQ30" s="5">
        <v>0</v>
      </c>
      <c r="ER30" s="33"/>
      <c r="ES30" s="28">
        <f t="shared" si="143"/>
        <v>720</v>
      </c>
      <c r="ET30" s="36"/>
      <c r="EU30" s="27"/>
      <c r="EV30" s="27"/>
      <c r="EW30" s="27"/>
      <c r="EX30" s="27"/>
      <c r="EY30" s="27"/>
      <c r="EZ30" s="33">
        <f t="shared" si="48"/>
        <v>0</v>
      </c>
      <c r="FA30" s="2685"/>
      <c r="FC30" s="4">
        <f t="shared" si="49"/>
        <v>0</v>
      </c>
      <c r="FD30" s="5">
        <f t="shared" si="50"/>
        <v>0</v>
      </c>
      <c r="FE30" s="5">
        <f t="shared" si="51"/>
        <v>0</v>
      </c>
      <c r="FF30" s="12">
        <f t="shared" si="52"/>
        <v>0</v>
      </c>
      <c r="FG30" s="33"/>
      <c r="FH30" s="2674"/>
      <c r="FI30" s="9"/>
      <c r="FJ30" s="5"/>
      <c r="FK30" s="5"/>
      <c r="FL30" s="5"/>
      <c r="FM30" s="5"/>
      <c r="FN30" s="27"/>
      <c r="FO30" s="28">
        <f t="shared" si="53"/>
        <v>0</v>
      </c>
      <c r="FP30" s="36"/>
      <c r="FQ30" s="27"/>
      <c r="FR30" s="27"/>
      <c r="FS30" s="27"/>
      <c r="FT30" s="27"/>
      <c r="FU30" s="27"/>
      <c r="FV30" s="28">
        <f t="shared" si="54"/>
        <v>0</v>
      </c>
      <c r="FW30" s="36"/>
      <c r="FX30" s="36"/>
      <c r="FY30" s="27"/>
      <c r="FZ30" s="27"/>
      <c r="GA30" s="27"/>
      <c r="GB30" s="27"/>
      <c r="GC30" s="27"/>
      <c r="GD30" s="27"/>
      <c r="GE30" s="24">
        <v>0</v>
      </c>
      <c r="GF30" s="27"/>
      <c r="GG30" s="27"/>
      <c r="GH30" s="33"/>
      <c r="GI30" s="33">
        <f t="shared" si="55"/>
        <v>0</v>
      </c>
      <c r="GJ30" s="2674"/>
      <c r="GL30" s="2">
        <f t="shared" si="132"/>
        <v>2765.9900000000002</v>
      </c>
      <c r="GM30" s="63">
        <f t="shared" si="133"/>
        <v>7751.12</v>
      </c>
      <c r="GN30" s="24">
        <f t="shared" si="134"/>
        <v>6267.79</v>
      </c>
      <c r="GO30" s="1736">
        <f t="shared" si="56"/>
        <v>16784.900000000001</v>
      </c>
      <c r="GP30" s="141"/>
      <c r="GQ30" s="141"/>
      <c r="GR30" s="33"/>
      <c r="GS30" s="2667"/>
      <c r="GT30" s="1739">
        <v>0</v>
      </c>
      <c r="GU30" s="1721">
        <v>327.3</v>
      </c>
      <c r="GV30" s="1721">
        <v>6903.4999999999991</v>
      </c>
      <c r="GW30" s="1721">
        <v>9554.1000000000022</v>
      </c>
      <c r="GX30" s="33">
        <f t="shared" si="135"/>
        <v>16784.900000000001</v>
      </c>
      <c r="GY30" s="2667"/>
      <c r="GZ30" s="35">
        <v>46.9</v>
      </c>
      <c r="HA30" s="36"/>
      <c r="HB30" s="27"/>
      <c r="HC30" s="27"/>
      <c r="HD30" s="27"/>
      <c r="HE30" s="27"/>
      <c r="HF30" s="24">
        <v>0</v>
      </c>
      <c r="HG30" s="27"/>
      <c r="HH30" s="24">
        <v>1597.24</v>
      </c>
      <c r="HI30" s="27"/>
      <c r="HJ30" s="24">
        <v>841.45</v>
      </c>
      <c r="HK30" s="27"/>
      <c r="HL30" s="24">
        <v>280.39999999999998</v>
      </c>
      <c r="HM30" s="27"/>
      <c r="HN30" s="28">
        <f t="shared" si="148"/>
        <v>2765.9900000000002</v>
      </c>
      <c r="HO30" s="36"/>
      <c r="HP30" s="27"/>
      <c r="HQ30" s="27"/>
      <c r="HR30" s="27"/>
      <c r="HS30" s="27"/>
      <c r="HT30" s="27"/>
      <c r="HU30" s="27">
        <f t="array" ref="HU30">SUMPRODUCT(('Data Base hauling'!$C$2:$C$2000="TCM-ROM SB1 BK05-ROM 4")*(ISNUMBER(SEARCH(TEXT('August TCM'!$B30,"00")&amp;"/03/2026",'Data Base hauling'!$E$2:$E$2000)))*'Data Base hauling'!$N$2:$N$2000)</f>
        <v>0</v>
      </c>
      <c r="HV30" s="27"/>
      <c r="HW30" s="27">
        <f t="array" ref="HW30">SUMPRODUCT(('Data Base hauling'!$C$2:$C$2000="TCM-ROM SB1 BK05-ROM 5")*(ISNUMBER(SEARCH(TEXT('August TCM'!$B30,"00")&amp;"/03/2026",'Data Base hauling'!$E$2:$E$2000)))*'Data Base hauling'!$N$2:$N$2000)</f>
        <v>0</v>
      </c>
      <c r="HX30" s="27"/>
      <c r="HY30" s="27"/>
      <c r="HZ30" s="27"/>
      <c r="IA30" s="27"/>
      <c r="IB30" s="27"/>
      <c r="IC30" s="33">
        <f t="shared" si="58"/>
        <v>0</v>
      </c>
      <c r="ID30" s="52"/>
      <c r="IE30" s="152"/>
      <c r="IF30" s="53"/>
      <c r="IG30" s="53"/>
      <c r="IH30" s="53"/>
      <c r="II30" s="53"/>
      <c r="IJ30" s="1926">
        <v>1564.47</v>
      </c>
      <c r="IK30" s="1736"/>
      <c r="IL30" s="1926">
        <v>0</v>
      </c>
      <c r="IM30" s="53"/>
      <c r="IN30" s="49">
        <v>6186.65</v>
      </c>
      <c r="IO30" s="53"/>
      <c r="IP30" s="53"/>
      <c r="IQ30" s="49">
        <v>0</v>
      </c>
      <c r="IR30" s="2195">
        <f t="shared" si="149"/>
        <v>7751.12</v>
      </c>
      <c r="IS30" s="36"/>
      <c r="IT30" s="36"/>
      <c r="IU30" s="27"/>
      <c r="IV30" s="27"/>
      <c r="IW30" s="53"/>
      <c r="IX30" s="27"/>
      <c r="IY30" s="24">
        <v>0</v>
      </c>
      <c r="IZ30" s="27"/>
      <c r="JA30" s="24">
        <v>4220.6499999999996</v>
      </c>
      <c r="JB30" s="27"/>
      <c r="JC30" s="24">
        <v>2047.14</v>
      </c>
      <c r="JD30" s="27"/>
      <c r="JE30" s="27"/>
      <c r="JF30" s="27"/>
      <c r="JG30" s="33">
        <f t="shared" si="150"/>
        <v>6267.79</v>
      </c>
      <c r="JH30" s="2667"/>
      <c r="JJ30" s="2014">
        <v>8372.4900000000016</v>
      </c>
      <c r="JK30" s="2015">
        <v>8412.41</v>
      </c>
      <c r="JL30" s="53"/>
      <c r="JM30" s="1736">
        <f t="shared" si="61"/>
        <v>16784.900000000001</v>
      </c>
      <c r="JN30" s="33"/>
      <c r="JO30" s="2669"/>
      <c r="JP30" s="66">
        <v>0</v>
      </c>
      <c r="JQ30" s="67">
        <v>0</v>
      </c>
      <c r="JR30" s="67">
        <v>0</v>
      </c>
      <c r="JS30" s="67">
        <v>0</v>
      </c>
      <c r="JT30" s="67">
        <v>0.69488168991542532</v>
      </c>
      <c r="JU30" s="67">
        <v>0.30511831008457452</v>
      </c>
      <c r="JV30" s="67">
        <v>0</v>
      </c>
      <c r="JW30" s="1921">
        <v>0</v>
      </c>
      <c r="JX30" s="66">
        <v>5.5750967915258525E-3</v>
      </c>
      <c r="JY30" s="67">
        <v>0</v>
      </c>
      <c r="JZ30" s="67">
        <v>0</v>
      </c>
      <c r="KA30" s="67">
        <v>0.18597167755732305</v>
      </c>
      <c r="KB30" s="67">
        <v>0</v>
      </c>
      <c r="KC30" s="67">
        <v>0.77512151690181519</v>
      </c>
      <c r="KD30" s="67">
        <v>3.3331708749335803E-2</v>
      </c>
      <c r="KE30" s="68">
        <v>0</v>
      </c>
      <c r="KF30" s="69"/>
      <c r="KG30" s="70"/>
      <c r="KH30" s="70"/>
      <c r="KI30" s="70"/>
      <c r="KJ30" s="70"/>
      <c r="KK30" s="70"/>
      <c r="KL30" s="70"/>
      <c r="KM30" s="70"/>
      <c r="KN30" s="33"/>
      <c r="KO30" s="2669"/>
      <c r="KP30" s="2203">
        <v>7111.9879879879882</v>
      </c>
      <c r="KQ30" s="1721">
        <v>0.71987987987987989</v>
      </c>
      <c r="KR30" s="1721">
        <v>4.877687687687688</v>
      </c>
      <c r="KS30" s="1721">
        <v>5.9279279279279278</v>
      </c>
      <c r="KT30" s="1722">
        <v>9.0017717717717716</v>
      </c>
      <c r="KU30" s="1958">
        <v>6838.4766876260528</v>
      </c>
      <c r="KV30" s="1961">
        <v>1.5376165618697355</v>
      </c>
      <c r="KW30" s="1961">
        <v>5.0060932494957884</v>
      </c>
      <c r="KX30" s="1961">
        <v>6.5855914106062396</v>
      </c>
      <c r="KY30" s="1962">
        <v>9.8908245343457111</v>
      </c>
      <c r="KZ30" s="36"/>
      <c r="LA30" s="53"/>
      <c r="LB30" s="53"/>
      <c r="LC30" s="53"/>
      <c r="LD30" s="53"/>
      <c r="LE30" s="33"/>
      <c r="LF30" s="2669"/>
      <c r="LH30" s="4">
        <f t="shared" si="160"/>
        <v>0</v>
      </c>
      <c r="LI30" s="27">
        <f t="shared" si="160"/>
        <v>0</v>
      </c>
      <c r="LJ30" s="27">
        <f t="shared" si="160"/>
        <v>0</v>
      </c>
      <c r="LK30" s="28">
        <f t="shared" si="63"/>
        <v>0</v>
      </c>
      <c r="LL30" s="36"/>
      <c r="LM30" s="27"/>
      <c r="LN30" s="27">
        <v>6</v>
      </c>
      <c r="LO30" s="33"/>
      <c r="LP30" s="1957">
        <v>0</v>
      </c>
      <c r="LQ30" s="486" t="s">
        <v>1070</v>
      </c>
      <c r="LR30" s="2688"/>
      <c r="LS30" s="36"/>
      <c r="LT30" s="36"/>
      <c r="LU30" s="27"/>
      <c r="LV30" s="27"/>
      <c r="LW30" s="27"/>
      <c r="LX30" s="1107">
        <f t="shared" si="64"/>
        <v>0</v>
      </c>
      <c r="LY30" s="36"/>
      <c r="LZ30" s="36"/>
      <c r="MA30" s="27"/>
      <c r="MB30" s="27"/>
      <c r="MC30" s="33"/>
      <c r="MD30" s="28">
        <f t="shared" si="65"/>
        <v>0</v>
      </c>
      <c r="ME30" s="26"/>
      <c r="MF30" s="36"/>
      <c r="MG30" s="27"/>
      <c r="MH30" s="27"/>
      <c r="MI30" s="27"/>
      <c r="MJ30" s="28"/>
      <c r="MK30" s="36"/>
      <c r="ML30" s="36"/>
      <c r="MM30" s="27"/>
      <c r="MN30" s="27"/>
      <c r="MO30" s="27"/>
      <c r="MP30" s="28"/>
      <c r="MQ30" s="36"/>
      <c r="MR30" s="36"/>
      <c r="MS30" s="27"/>
      <c r="MT30" s="27"/>
      <c r="MU30" s="27"/>
      <c r="MV30" s="33">
        <f t="shared" si="66"/>
        <v>0</v>
      </c>
      <c r="MW30" s="2688"/>
      <c r="MY30" s="26">
        <f t="shared" si="67"/>
        <v>299459.35035640397</v>
      </c>
      <c r="MZ30" s="27">
        <f t="shared" si="68"/>
        <v>270863.30630375829</v>
      </c>
      <c r="NA30" s="27">
        <f t="shared" si="69"/>
        <v>23865.155697817416</v>
      </c>
      <c r="NB30" s="28">
        <f t="shared" si="70"/>
        <v>322881.77795580425</v>
      </c>
      <c r="NC30" s="2621"/>
      <c r="ND30" s="23">
        <f t="shared" si="71"/>
        <v>171015.85674551799</v>
      </c>
      <c r="NE30" s="1655">
        <f t="shared" si="72"/>
        <v>128443.493610886</v>
      </c>
      <c r="NF30" s="60">
        <f t="shared" si="73"/>
        <v>0</v>
      </c>
      <c r="NG30" s="275">
        <f t="shared" si="4"/>
        <v>299459.35035640397</v>
      </c>
      <c r="NH30" s="26">
        <f t="shared" si="163"/>
        <v>-74.849999999999994</v>
      </c>
      <c r="NI30" s="27">
        <f t="shared" si="163"/>
        <v>0</v>
      </c>
      <c r="NJ30" s="27">
        <f t="shared" si="163"/>
        <v>0</v>
      </c>
      <c r="NK30" s="27">
        <v>0</v>
      </c>
      <c r="NL30" s="27">
        <f t="shared" si="163"/>
        <v>0</v>
      </c>
      <c r="NM30" s="33">
        <f t="shared" si="163"/>
        <v>0</v>
      </c>
      <c r="NN30" s="27">
        <f t="shared" si="163"/>
        <v>0</v>
      </c>
      <c r="NO30" s="36">
        <f t="shared" si="163"/>
        <v>0</v>
      </c>
      <c r="NP30" s="24">
        <f t="shared" si="163"/>
        <v>30455.960605424239</v>
      </c>
      <c r="NQ30" s="27">
        <f t="shared" si="163"/>
        <v>24023.830351777149</v>
      </c>
      <c r="NR30" s="24">
        <f t="shared" si="136"/>
        <v>8681.6982322711574</v>
      </c>
      <c r="NS30" s="24">
        <f t="shared" si="137"/>
        <v>10294.803566410112</v>
      </c>
      <c r="NT30" s="27">
        <f t="shared" si="0"/>
        <v>73381.442755882657</v>
      </c>
      <c r="NU30" s="27">
        <f t="shared" si="75"/>
        <v>0</v>
      </c>
      <c r="NV30" s="27">
        <f t="shared" si="76"/>
        <v>0</v>
      </c>
      <c r="NW30" s="27">
        <f t="shared" si="77"/>
        <v>0</v>
      </c>
      <c r="NX30" s="27">
        <f t="shared" si="78"/>
        <v>0</v>
      </c>
      <c r="NY30" s="27">
        <f t="shared" si="79"/>
        <v>0</v>
      </c>
      <c r="NZ30" s="5">
        <f t="shared" si="80"/>
        <v>0</v>
      </c>
      <c r="OA30" s="27">
        <f t="shared" si="81"/>
        <v>33621.594489662843</v>
      </c>
      <c r="OB30" s="27">
        <f t="shared" si="82"/>
        <v>0</v>
      </c>
      <c r="OC30" s="27">
        <f t="shared" si="83"/>
        <v>65513.269485704157</v>
      </c>
      <c r="OD30" s="27"/>
      <c r="OE30" s="27">
        <f t="shared" si="138"/>
        <v>11584.400000000001</v>
      </c>
      <c r="OF30" s="27">
        <f t="shared" si="84"/>
        <v>0</v>
      </c>
      <c r="OG30" s="28">
        <f t="shared" si="1"/>
        <v>110719.26397536701</v>
      </c>
      <c r="OH30" s="27">
        <f t="shared" si="153"/>
        <v>0</v>
      </c>
      <c r="OI30" s="27">
        <f t="shared" si="154"/>
        <v>0</v>
      </c>
      <c r="OJ30" s="27">
        <f t="shared" si="158"/>
        <v>0</v>
      </c>
      <c r="OK30" s="27">
        <f t="shared" si="155"/>
        <v>0</v>
      </c>
      <c r="OL30" s="27">
        <f t="shared" si="156"/>
        <v>0</v>
      </c>
      <c r="OM30" s="27">
        <f t="shared" si="157"/>
        <v>0</v>
      </c>
      <c r="ON30" s="24">
        <f t="shared" si="147"/>
        <v>0</v>
      </c>
      <c r="OO30" s="27">
        <f t="shared" si="145"/>
        <v>0</v>
      </c>
      <c r="OP30" s="24">
        <f t="shared" si="86"/>
        <v>72820.542313713755</v>
      </c>
      <c r="OQ30" s="27">
        <f t="shared" si="87"/>
        <v>0</v>
      </c>
      <c r="OR30" s="24">
        <f t="shared" si="88"/>
        <v>13942.057258794852</v>
      </c>
      <c r="OS30" s="27">
        <f t="shared" si="164"/>
        <v>0</v>
      </c>
      <c r="OT30" s="28">
        <f t="shared" si="2"/>
        <v>86762.59957250861</v>
      </c>
      <c r="OU30" s="36"/>
      <c r="OV30" s="27"/>
      <c r="OW30" s="27"/>
      <c r="OX30" s="27"/>
      <c r="OY30" s="27"/>
      <c r="OZ30" s="27"/>
      <c r="PA30" s="28">
        <f t="shared" si="90"/>
        <v>0</v>
      </c>
      <c r="PB30" s="36">
        <f t="shared" si="91"/>
        <v>0</v>
      </c>
      <c r="PC30" s="27">
        <f t="shared" si="92"/>
        <v>0</v>
      </c>
      <c r="PD30" s="27">
        <f t="shared" si="93"/>
        <v>0</v>
      </c>
      <c r="PE30" s="27">
        <f t="shared" si="94"/>
        <v>0</v>
      </c>
      <c r="PF30" s="24"/>
      <c r="PG30" s="27">
        <f t="shared" si="95"/>
        <v>0</v>
      </c>
      <c r="PH30" s="33">
        <f t="shared" si="3"/>
        <v>0</v>
      </c>
      <c r="PI30" s="2621"/>
      <c r="PK30" s="1907">
        <v>767.57999999999993</v>
      </c>
      <c r="PL30" s="3">
        <v>792</v>
      </c>
      <c r="PM30" s="3">
        <v>237.60000000000002</v>
      </c>
      <c r="PN30" s="3">
        <f t="shared" ref="PN30:PN40" si="165">HL30</f>
        <v>280.39999999999998</v>
      </c>
      <c r="PO30" s="3">
        <f t="shared" si="97"/>
        <v>32917.729204532865</v>
      </c>
      <c r="PP30" s="11">
        <f t="shared" si="161"/>
        <v>23865.155697817416</v>
      </c>
      <c r="PQ30" s="15"/>
      <c r="PR30" s="2615"/>
      <c r="PT30" s="4"/>
      <c r="PU30" s="9"/>
      <c r="PV30" s="9"/>
      <c r="PW30" s="9"/>
      <c r="PX30" s="2531">
        <v>0</v>
      </c>
      <c r="PY30" s="9"/>
      <c r="PZ30" s="8">
        <f t="shared" si="99"/>
        <v>0</v>
      </c>
      <c r="QA30" s="5">
        <f t="shared" si="100"/>
        <v>767.57999999999993</v>
      </c>
      <c r="QB30" s="5"/>
      <c r="QC30" s="5"/>
      <c r="QD30" s="5"/>
      <c r="QE30" s="5"/>
      <c r="QF30" s="5"/>
      <c r="QG30" s="12"/>
      <c r="QH30" s="12">
        <f t="shared" si="101"/>
        <v>29562.488999999998</v>
      </c>
      <c r="QI30" s="420">
        <f t="shared" si="102"/>
        <v>289599.00007140427</v>
      </c>
      <c r="QJ30" s="1106">
        <f t="shared" si="139"/>
        <v>3720.2888844000004</v>
      </c>
      <c r="QK30" s="484">
        <f t="shared" si="103"/>
        <v>5505.3678056099998</v>
      </c>
      <c r="QL30" s="12"/>
      <c r="QM30" s="2615"/>
      <c r="QO30" s="139">
        <f t="shared" si="104"/>
        <v>0</v>
      </c>
      <c r="QP30" s="139" t="str">
        <f t="shared" si="105"/>
        <v/>
      </c>
      <c r="QR30" s="139">
        <f t="shared" si="106"/>
        <v>0</v>
      </c>
      <c r="QS30" s="139">
        <f t="shared" si="107"/>
        <v>0</v>
      </c>
      <c r="QU30" s="1">
        <f t="shared" si="108"/>
        <v>0</v>
      </c>
      <c r="QV30" s="1">
        <f t="shared" si="109"/>
        <v>0</v>
      </c>
      <c r="QW30" s="1">
        <f t="shared" si="110"/>
        <v>0</v>
      </c>
      <c r="QX30" s="1">
        <f t="shared" si="111"/>
        <v>0</v>
      </c>
      <c r="QY30" s="1">
        <f t="shared" si="112"/>
        <v>0</v>
      </c>
      <c r="QZ30" s="1">
        <f t="shared" si="113"/>
        <v>0</v>
      </c>
      <c r="RB30" s="1">
        <f t="shared" si="114"/>
        <v>0</v>
      </c>
      <c r="RC30" s="1">
        <f t="shared" si="115"/>
        <v>0</v>
      </c>
      <c r="RD30" s="1">
        <f t="shared" si="116"/>
        <v>0</v>
      </c>
      <c r="RE30" s="1">
        <f t="shared" si="117"/>
        <v>0</v>
      </c>
      <c r="RF30" s="1">
        <f t="shared" si="118"/>
        <v>0</v>
      </c>
      <c r="RG30" s="1">
        <f t="shared" si="119"/>
        <v>0</v>
      </c>
      <c r="RJ30" s="1">
        <v>21</v>
      </c>
      <c r="RK30" s="1">
        <f t="shared" si="151"/>
        <v>67771.7402097171</v>
      </c>
      <c r="RL30" s="1">
        <f t="shared" si="151"/>
        <v>44033.226780483717</v>
      </c>
      <c r="RM30" s="1">
        <f t="shared" si="151"/>
        <v>13404.263703387322</v>
      </c>
      <c r="RN30" s="89">
        <f t="shared" si="5"/>
        <v>125209.23069358814</v>
      </c>
      <c r="RO30" s="1033">
        <v>21</v>
      </c>
      <c r="RP30" s="1098">
        <v>0</v>
      </c>
      <c r="RQ30" s="1098">
        <f t="shared" si="121"/>
        <v>0</v>
      </c>
      <c r="RR30" s="1097">
        <f t="shared" si="121"/>
        <v>0</v>
      </c>
      <c r="RS30" s="1097">
        <f t="shared" si="122"/>
        <v>9058.66</v>
      </c>
      <c r="RT30" s="1109"/>
      <c r="RU30" s="1050" t="s">
        <v>1074</v>
      </c>
      <c r="RV30" s="1048"/>
      <c r="RX30" s="421">
        <v>21</v>
      </c>
      <c r="RY30" s="1095">
        <f t="shared" si="123"/>
        <v>16784.900000000001</v>
      </c>
      <c r="RZ30" s="1050" t="s">
        <v>1075</v>
      </c>
      <c r="SB30" s="1090"/>
      <c r="SC30" s="1090">
        <f t="shared" si="124"/>
        <v>0</v>
      </c>
      <c r="SD30" s="1090"/>
      <c r="SE30" s="1090">
        <f t="shared" si="152"/>
        <v>0</v>
      </c>
      <c r="SG30" s="1">
        <v>21</v>
      </c>
      <c r="SH30" s="1">
        <f t="shared" si="126"/>
        <v>280.39999999999998</v>
      </c>
      <c r="SI30" s="1094" t="s">
        <v>1076</v>
      </c>
    </row>
    <row r="31" spans="1:503" s="1" customFormat="1">
      <c r="B31" s="471">
        <v>22</v>
      </c>
      <c r="C31" s="4">
        <f t="shared" si="127"/>
        <v>166738</v>
      </c>
      <c r="D31" s="1590">
        <f t="shared" si="146"/>
        <v>10943.980000000001</v>
      </c>
      <c r="E31" s="1895">
        <f t="shared" si="6"/>
        <v>15.235590708316352</v>
      </c>
      <c r="F31" s="870"/>
      <c r="G31" s="870"/>
      <c r="H31" s="52"/>
      <c r="I31" s="61"/>
      <c r="J31" s="52"/>
      <c r="K31" s="54"/>
      <c r="L31" s="52"/>
      <c r="M31" s="61"/>
      <c r="N31" s="2629"/>
      <c r="O31" s="4">
        <f t="shared" si="142"/>
        <v>100044</v>
      </c>
      <c r="P31" s="1225">
        <f t="shared" si="7"/>
        <v>7362.4800000000005</v>
      </c>
      <c r="Q31" s="1913">
        <f t="shared" si="8"/>
        <v>13.588356097401961</v>
      </c>
      <c r="R31" s="33"/>
      <c r="S31" s="26">
        <f t="shared" si="9"/>
        <v>33715</v>
      </c>
      <c r="T31" s="27">
        <f t="shared" si="129"/>
        <v>2663.42</v>
      </c>
      <c r="U31" s="1909">
        <f t="shared" si="10"/>
        <v>12.658536768515667</v>
      </c>
      <c r="V31" s="28"/>
      <c r="W31" s="26">
        <f t="shared" si="11"/>
        <v>26073</v>
      </c>
      <c r="X31" s="5">
        <f t="shared" si="11"/>
        <v>774</v>
      </c>
      <c r="Y31" s="1909">
        <f t="shared" si="12"/>
        <v>33.686046511627907</v>
      </c>
      <c r="Z31" s="33"/>
      <c r="AA31" s="26">
        <f t="shared" si="13"/>
        <v>6906</v>
      </c>
      <c r="AB31" s="27">
        <f t="shared" si="14"/>
        <v>144.08000000000001</v>
      </c>
      <c r="AC31" s="1909">
        <f t="shared" si="15"/>
        <v>47.931704608550803</v>
      </c>
      <c r="AD31" s="28"/>
      <c r="AE31" s="36"/>
      <c r="AF31" s="36"/>
      <c r="AG31" s="53">
        <f t="shared" si="16"/>
        <v>0</v>
      </c>
      <c r="AH31" s="28"/>
      <c r="AI31" s="26"/>
      <c r="AJ31" s="27"/>
      <c r="AK31" s="53">
        <f t="shared" si="17"/>
        <v>0</v>
      </c>
      <c r="AL31" s="28"/>
      <c r="AM31" s="2629"/>
      <c r="AN31" s="9"/>
      <c r="AO31" s="5"/>
      <c r="AP31" s="61">
        <f t="shared" si="18"/>
        <v>0</v>
      </c>
      <c r="AQ31" s="36"/>
      <c r="AR31" s="53"/>
      <c r="AS31" s="61">
        <f t="shared" si="19"/>
        <v>0</v>
      </c>
      <c r="AT31" s="36">
        <v>0</v>
      </c>
      <c r="AU31" s="27"/>
      <c r="AV31" s="54">
        <f t="shared" si="20"/>
        <v>0</v>
      </c>
      <c r="AW31" s="26">
        <v>51828</v>
      </c>
      <c r="AX31" s="24">
        <v>5138.4400000000005</v>
      </c>
      <c r="AY31" s="1895">
        <f t="shared" si="140"/>
        <v>10.086329703178395</v>
      </c>
      <c r="AZ31" s="1908"/>
      <c r="BA31" s="1909"/>
      <c r="BB31" s="1895">
        <f t="shared" si="21"/>
        <v>0</v>
      </c>
      <c r="BC31" s="1740">
        <v>48216</v>
      </c>
      <c r="BD31" s="1926">
        <v>2224.04</v>
      </c>
      <c r="BE31" s="1895">
        <f t="shared" si="22"/>
        <v>21.679466196651141</v>
      </c>
      <c r="BF31" s="1908"/>
      <c r="BG31" s="1909"/>
      <c r="BH31" s="1895">
        <f t="shared" si="23"/>
        <v>0</v>
      </c>
      <c r="BI31" s="1908">
        <v>0</v>
      </c>
      <c r="BJ31" s="1909">
        <v>0</v>
      </c>
      <c r="BK31" s="1895">
        <f t="shared" si="24"/>
        <v>0</v>
      </c>
      <c r="BL31" s="1742">
        <v>33715</v>
      </c>
      <c r="BM31" s="1736">
        <v>2663.42</v>
      </c>
      <c r="BN31" s="2170"/>
      <c r="BO31" s="1911">
        <f t="shared" si="25"/>
        <v>12.658536768515667</v>
      </c>
      <c r="BP31" s="9">
        <v>6906</v>
      </c>
      <c r="BQ31" s="53">
        <v>144.08000000000001</v>
      </c>
      <c r="BR31" s="1920">
        <f t="shared" si="26"/>
        <v>47.931704608550803</v>
      </c>
      <c r="BS31" s="9"/>
      <c r="BT31" s="64"/>
      <c r="BU31" s="482">
        <f t="shared" si="27"/>
        <v>0</v>
      </c>
      <c r="BV31" s="9">
        <v>26073</v>
      </c>
      <c r="BW31" s="27">
        <f t="shared" si="159"/>
        <v>774</v>
      </c>
      <c r="BX31" s="15">
        <f>IFERROR(BV31/BW31,0)</f>
        <v>33.686046511627907</v>
      </c>
      <c r="BY31" s="4"/>
      <c r="BZ31" s="5"/>
      <c r="CA31" s="482">
        <f t="shared" si="29"/>
        <v>0</v>
      </c>
      <c r="CB31" s="9"/>
      <c r="CC31" s="5"/>
      <c r="CD31" s="482">
        <f t="shared" si="30"/>
        <v>0</v>
      </c>
      <c r="CE31" s="4"/>
      <c r="CF31" s="5"/>
      <c r="CG31" s="28">
        <f t="shared" si="31"/>
        <v>0</v>
      </c>
      <c r="CH31" s="150"/>
      <c r="CI31" s="1108"/>
      <c r="CJ31" s="5">
        <v>4485</v>
      </c>
      <c r="CK31" s="5">
        <v>7602</v>
      </c>
      <c r="CL31" s="5"/>
      <c r="CM31" s="5"/>
      <c r="CN31" s="3">
        <f t="shared" si="131"/>
        <v>12087</v>
      </c>
      <c r="CO31" s="33"/>
      <c r="CP31" s="366"/>
      <c r="CR31" s="4">
        <f t="shared" si="32"/>
        <v>0</v>
      </c>
      <c r="CS31" s="9">
        <f t="shared" si="33"/>
        <v>0</v>
      </c>
      <c r="CT31" s="5">
        <f t="shared" si="34"/>
        <v>0</v>
      </c>
      <c r="CU31" s="5">
        <f t="shared" si="35"/>
        <v>0</v>
      </c>
      <c r="CV31" s="5">
        <f t="shared" si="36"/>
        <v>0</v>
      </c>
      <c r="CW31" s="5">
        <f t="shared" si="37"/>
        <v>0</v>
      </c>
      <c r="CX31" s="5">
        <f t="shared" si="38"/>
        <v>2155.34</v>
      </c>
      <c r="CY31" s="5">
        <f t="shared" si="39"/>
        <v>0</v>
      </c>
      <c r="CZ31" s="5">
        <f t="shared" si="40"/>
        <v>4334.7</v>
      </c>
      <c r="DA31" s="5">
        <f t="shared" si="41"/>
        <v>0</v>
      </c>
      <c r="DB31" s="5">
        <f t="shared" si="42"/>
        <v>1654.72</v>
      </c>
      <c r="DC31" s="12">
        <f t="shared" si="43"/>
        <v>0</v>
      </c>
      <c r="DD31" s="310">
        <f t="shared" si="44"/>
        <v>8144.76</v>
      </c>
      <c r="DE31" s="2695"/>
      <c r="DF31" s="8"/>
      <c r="DG31" s="9"/>
      <c r="DH31" s="5"/>
      <c r="DI31" s="5"/>
      <c r="DJ31" s="5"/>
      <c r="DK31" s="5"/>
      <c r="DL31" s="3">
        <v>2155.34</v>
      </c>
      <c r="DM31" s="5"/>
      <c r="DN31" s="3">
        <v>0</v>
      </c>
      <c r="DO31" s="5"/>
      <c r="DP31" s="3">
        <v>183.88</v>
      </c>
      <c r="DQ31" s="11">
        <v>2799.22</v>
      </c>
      <c r="DR31" s="12"/>
      <c r="DS31" s="28">
        <f t="shared" si="45"/>
        <v>5138.4400000000005</v>
      </c>
      <c r="DT31" s="36"/>
      <c r="DU31" s="9"/>
      <c r="DV31" s="5"/>
      <c r="DW31" s="5"/>
      <c r="DX31" s="5"/>
      <c r="DY31" s="5"/>
      <c r="DZ31" s="27"/>
      <c r="EA31" s="27"/>
      <c r="EB31" s="3">
        <v>4334.7</v>
      </c>
      <c r="EC31" s="27"/>
      <c r="ED31" s="24">
        <v>696.84</v>
      </c>
      <c r="EE31" s="33"/>
      <c r="EF31" s="28">
        <f t="shared" si="46"/>
        <v>5031.54</v>
      </c>
      <c r="EG31" s="9"/>
      <c r="EH31" s="36"/>
      <c r="EI31"/>
      <c r="EJ31" s="27"/>
      <c r="EK31" s="27"/>
      <c r="EL31" s="27"/>
      <c r="EM31" s="27"/>
      <c r="EN31" s="27"/>
      <c r="EO31" s="5"/>
      <c r="EP31" s="5"/>
      <c r="EQ31" s="5">
        <v>774</v>
      </c>
      <c r="ER31" s="33"/>
      <c r="ES31" s="28">
        <f t="shared" si="143"/>
        <v>774</v>
      </c>
      <c r="ET31" s="36"/>
      <c r="EU31" s="27"/>
      <c r="EV31" s="27"/>
      <c r="EW31" s="27"/>
      <c r="EX31" s="27"/>
      <c r="EY31" s="27"/>
      <c r="EZ31" s="33">
        <f t="shared" si="48"/>
        <v>0</v>
      </c>
      <c r="FA31" s="2685"/>
      <c r="FC31" s="4">
        <f t="shared" si="49"/>
        <v>0</v>
      </c>
      <c r="FD31" s="5">
        <f t="shared" si="50"/>
        <v>0</v>
      </c>
      <c r="FE31" s="5">
        <f t="shared" si="51"/>
        <v>0</v>
      </c>
      <c r="FF31" s="12">
        <f t="shared" si="52"/>
        <v>0</v>
      </c>
      <c r="FG31" s="33"/>
      <c r="FH31" s="2674"/>
      <c r="FI31" s="9"/>
      <c r="FJ31" s="5"/>
      <c r="FK31" s="5"/>
      <c r="FL31" s="5"/>
      <c r="FM31" s="5"/>
      <c r="FN31" s="27"/>
      <c r="FO31" s="28">
        <f t="shared" si="53"/>
        <v>0</v>
      </c>
      <c r="FP31" s="36"/>
      <c r="FQ31" s="27"/>
      <c r="FR31" s="27"/>
      <c r="FS31" s="27"/>
      <c r="FT31" s="27"/>
      <c r="FU31" s="27"/>
      <c r="FV31" s="28">
        <f t="shared" si="54"/>
        <v>0</v>
      </c>
      <c r="FW31" s="36"/>
      <c r="FX31" s="36"/>
      <c r="FY31" s="27"/>
      <c r="FZ31" s="27"/>
      <c r="GA31" s="27"/>
      <c r="GB31" s="27"/>
      <c r="GC31" s="27"/>
      <c r="GD31" s="27"/>
      <c r="GE31" s="24">
        <v>0</v>
      </c>
      <c r="GF31" s="27"/>
      <c r="GG31" s="27"/>
      <c r="GH31" s="33"/>
      <c r="GI31" s="33">
        <f t="shared" si="55"/>
        <v>0</v>
      </c>
      <c r="GJ31" s="2674"/>
      <c r="GL31" s="2">
        <f t="shared" si="132"/>
        <v>2757.42</v>
      </c>
      <c r="GM31" s="63">
        <f t="shared" si="133"/>
        <v>8132.05</v>
      </c>
      <c r="GN31" s="24">
        <f t="shared" si="134"/>
        <v>6240.73</v>
      </c>
      <c r="GO31" s="1736">
        <f t="shared" si="56"/>
        <v>17130.2</v>
      </c>
      <c r="GP31" s="141"/>
      <c r="GQ31" s="141"/>
      <c r="GR31" s="33"/>
      <c r="GS31" s="2667"/>
      <c r="GT31" s="1739">
        <v>0</v>
      </c>
      <c r="GU31" s="1721">
        <v>338.5</v>
      </c>
      <c r="GV31" s="1721">
        <v>7395.7500000000018</v>
      </c>
      <c r="GW31" s="1721">
        <v>9395.9500000000007</v>
      </c>
      <c r="GX31" s="33">
        <f t="shared" si="135"/>
        <v>17130.200000000004</v>
      </c>
      <c r="GY31" s="2667"/>
      <c r="GZ31" s="35">
        <v>137.4</v>
      </c>
      <c r="HA31" s="36"/>
      <c r="HB31" s="27"/>
      <c r="HC31" s="27"/>
      <c r="HD31" s="27"/>
      <c r="HE31" s="27"/>
      <c r="HF31" s="24">
        <v>0</v>
      </c>
      <c r="HG31" s="27"/>
      <c r="HH31" s="24">
        <v>1578.06</v>
      </c>
      <c r="HI31" s="27"/>
      <c r="HJ31" s="24">
        <v>840.86</v>
      </c>
      <c r="HK31" s="27"/>
      <c r="HL31" s="24">
        <v>201.1</v>
      </c>
      <c r="HM31" s="27"/>
      <c r="HN31" s="28">
        <f t="shared" si="148"/>
        <v>2757.42</v>
      </c>
      <c r="HO31" s="36"/>
      <c r="HP31" s="27"/>
      <c r="HQ31" s="27"/>
      <c r="HR31" s="27"/>
      <c r="HS31" s="27"/>
      <c r="HT31" s="27"/>
      <c r="HU31" s="27">
        <f t="array" ref="HU31">SUMPRODUCT(('Data Base hauling'!$C$2:$C$2000="TCM-ROM SB1 BK05-ROM 4")*(ISNUMBER(SEARCH(TEXT('August TCM'!$B31,"00")&amp;"/03/2026",'Data Base hauling'!$E$2:$E$2000)))*'Data Base hauling'!$N$2:$N$2000)</f>
        <v>0</v>
      </c>
      <c r="HV31" s="27"/>
      <c r="HW31" s="27">
        <f t="array" ref="HW31">SUMPRODUCT(('Data Base hauling'!$C$2:$C$2000="TCM-ROM SB1 BK05-ROM 5")*(ISNUMBER(SEARCH(TEXT('August TCM'!$B31,"00")&amp;"/03/2026",'Data Base hauling'!$E$2:$E$2000)))*'Data Base hauling'!$N$2:$N$2000)</f>
        <v>0</v>
      </c>
      <c r="HX31" s="27"/>
      <c r="HY31" s="27"/>
      <c r="HZ31" s="27"/>
      <c r="IA31" s="27"/>
      <c r="IB31" s="27"/>
      <c r="IC31" s="33">
        <f t="shared" si="58"/>
        <v>0</v>
      </c>
      <c r="ID31" s="52"/>
      <c r="IE31" s="152"/>
      <c r="IF31" s="53"/>
      <c r="IG31" s="53"/>
      <c r="IH31" s="53"/>
      <c r="II31" s="53"/>
      <c r="IJ31" s="1926">
        <v>3726.7</v>
      </c>
      <c r="IK31" s="1736"/>
      <c r="IL31" s="1926">
        <v>0</v>
      </c>
      <c r="IM31" s="53"/>
      <c r="IN31" s="49">
        <v>4405.3500000000004</v>
      </c>
      <c r="IO31" s="53"/>
      <c r="IP31" s="53"/>
      <c r="IQ31" s="49">
        <v>0</v>
      </c>
      <c r="IR31" s="2195">
        <f t="shared" si="149"/>
        <v>8132.05</v>
      </c>
      <c r="IS31" s="36"/>
      <c r="IT31" s="36"/>
      <c r="IU31" s="27"/>
      <c r="IV31" s="27"/>
      <c r="IW31" s="53"/>
      <c r="IX31" s="27"/>
      <c r="IY31" s="24">
        <v>0</v>
      </c>
      <c r="IZ31" s="27"/>
      <c r="JA31" s="24">
        <v>4762.7999999999993</v>
      </c>
      <c r="JB31" s="27"/>
      <c r="JC31" s="24">
        <v>1477.9299999999998</v>
      </c>
      <c r="JD31" s="27"/>
      <c r="JE31" s="27"/>
      <c r="JF31" s="27"/>
      <c r="JG31" s="33">
        <f t="shared" si="150"/>
        <v>6240.73</v>
      </c>
      <c r="JH31" s="2667"/>
      <c r="JJ31" s="2014">
        <v>8610.130000000001</v>
      </c>
      <c r="JK31" s="2015">
        <v>8520.0700000000033</v>
      </c>
      <c r="JL31" s="53"/>
      <c r="JM31" s="1736">
        <f t="shared" si="61"/>
        <v>17130.200000000004</v>
      </c>
      <c r="JN31" s="33"/>
      <c r="JO31" s="2669"/>
      <c r="JP31" s="66">
        <v>0</v>
      </c>
      <c r="JQ31" s="67">
        <v>0</v>
      </c>
      <c r="JR31" s="67">
        <v>0</v>
      </c>
      <c r="JS31" s="67">
        <v>7.3169626939430642E-3</v>
      </c>
      <c r="JT31" s="67">
        <v>0.71164430734495299</v>
      </c>
      <c r="JU31" s="67">
        <v>0.28103872996110391</v>
      </c>
      <c r="JV31" s="67">
        <v>0</v>
      </c>
      <c r="JW31" s="1921">
        <v>0</v>
      </c>
      <c r="JX31" s="66">
        <v>1.6126628067609769E-2</v>
      </c>
      <c r="JY31" s="67">
        <v>0</v>
      </c>
      <c r="JZ31" s="67">
        <v>0</v>
      </c>
      <c r="KA31" s="67">
        <v>0.43000820415794688</v>
      </c>
      <c r="KB31" s="67">
        <v>2.5059653265759544E-2</v>
      </c>
      <c r="KC31" s="67">
        <v>0.5052024220458281</v>
      </c>
      <c r="KD31" s="67">
        <v>2.3603092462855343E-2</v>
      </c>
      <c r="KE31" s="68">
        <v>0</v>
      </c>
      <c r="KF31" s="69"/>
      <c r="KG31" s="70"/>
      <c r="KH31" s="70"/>
      <c r="KI31" s="70"/>
      <c r="KJ31" s="70"/>
      <c r="KK31" s="70"/>
      <c r="KL31" s="70"/>
      <c r="KM31" s="70"/>
      <c r="KN31" s="33"/>
      <c r="KO31" s="2669"/>
      <c r="KP31" s="2203">
        <v>6881.0832945556076</v>
      </c>
      <c r="KQ31" s="1721">
        <v>0.75266635644485813</v>
      </c>
      <c r="KR31" s="1721">
        <v>5.0959004187994417</v>
      </c>
      <c r="KS31" s="1721">
        <v>6.2675663099115866</v>
      </c>
      <c r="KT31" s="1722">
        <v>9.5070497906002789</v>
      </c>
      <c r="KU31" s="1958">
        <v>6877.8780228854548</v>
      </c>
      <c r="KV31" s="1961">
        <v>1.5971522944437893</v>
      </c>
      <c r="KW31" s="1961">
        <v>4.4856635602217771</v>
      </c>
      <c r="KX31" s="1961">
        <v>6.4258298926507011</v>
      </c>
      <c r="KY31" s="1962">
        <v>9.2445074908576146</v>
      </c>
      <c r="KZ31" s="36"/>
      <c r="LA31" s="53"/>
      <c r="LB31" s="53"/>
      <c r="LC31" s="53"/>
      <c r="LD31" s="53"/>
      <c r="LE31" s="33"/>
      <c r="LF31" s="2669"/>
      <c r="LH31" s="4">
        <f t="shared" si="160"/>
        <v>0</v>
      </c>
      <c r="LI31" s="5">
        <f t="shared" si="160"/>
        <v>9622.27</v>
      </c>
      <c r="LJ31" s="27">
        <f t="shared" si="160"/>
        <v>0</v>
      </c>
      <c r="LK31" s="28">
        <f t="shared" si="63"/>
        <v>9622.27</v>
      </c>
      <c r="LL31" s="36">
        <v>2</v>
      </c>
      <c r="LM31" s="27">
        <v>1</v>
      </c>
      <c r="LN31" s="27">
        <v>4</v>
      </c>
      <c r="LO31" s="33"/>
      <c r="LP31" s="1957">
        <v>0</v>
      </c>
      <c r="LQ31" s="486" t="s">
        <v>1077</v>
      </c>
      <c r="LR31" s="2688"/>
      <c r="LS31" s="36"/>
      <c r="LT31" s="36">
        <v>9622.27</v>
      </c>
      <c r="LU31" s="27"/>
      <c r="LV31" s="27"/>
      <c r="LW31" s="27"/>
      <c r="LX31" s="1107">
        <f t="shared" si="64"/>
        <v>9622.27</v>
      </c>
      <c r="LY31" s="36"/>
      <c r="LZ31" s="36"/>
      <c r="MA31" s="27"/>
      <c r="MB31" s="27"/>
      <c r="MC31" s="33"/>
      <c r="MD31" s="28">
        <f t="shared" si="65"/>
        <v>0</v>
      </c>
      <c r="ME31" s="26"/>
      <c r="MF31" s="36"/>
      <c r="MG31" s="27"/>
      <c r="MH31" s="27"/>
      <c r="MI31" s="27"/>
      <c r="MJ31" s="28"/>
      <c r="MK31" s="36"/>
      <c r="ML31" s="36"/>
      <c r="MM31" s="27"/>
      <c r="MN31" s="27"/>
      <c r="MO31" s="27"/>
      <c r="MP31" s="28"/>
      <c r="MQ31" s="36"/>
      <c r="MR31" s="36"/>
      <c r="MS31" s="27"/>
      <c r="MT31" s="27"/>
      <c r="MU31" s="27"/>
      <c r="MV31" s="33">
        <f t="shared" si="66"/>
        <v>0</v>
      </c>
      <c r="MW31" s="2688"/>
      <c r="MY31" s="26">
        <f t="shared" si="67"/>
        <v>306967.28035640396</v>
      </c>
      <c r="MZ31" s="27">
        <f t="shared" si="68"/>
        <v>264740.78630375827</v>
      </c>
      <c r="NA31" s="27">
        <f t="shared" si="69"/>
        <v>23808.055697817417</v>
      </c>
      <c r="NB31" s="28">
        <f t="shared" si="70"/>
        <v>321585.21795580426</v>
      </c>
      <c r="NC31" s="2621"/>
      <c r="ND31" s="23">
        <f t="shared" si="71"/>
        <v>179625.98674551799</v>
      </c>
      <c r="NE31" s="1655">
        <f t="shared" si="72"/>
        <v>127341.29361088599</v>
      </c>
      <c r="NF31" s="60">
        <f t="shared" si="73"/>
        <v>0</v>
      </c>
      <c r="NG31" s="1110">
        <f t="shared" si="4"/>
        <v>306967.28035640396</v>
      </c>
      <c r="NH31" s="26">
        <f t="shared" si="163"/>
        <v>-212.25</v>
      </c>
      <c r="NI31" s="27">
        <f t="shared" si="163"/>
        <v>0</v>
      </c>
      <c r="NJ31" s="27">
        <f t="shared" si="163"/>
        <v>0</v>
      </c>
      <c r="NK31" s="27">
        <f t="shared" si="163"/>
        <v>0</v>
      </c>
      <c r="NL31" s="27">
        <f t="shared" si="163"/>
        <v>0</v>
      </c>
      <c r="NM31" s="33">
        <f t="shared" si="163"/>
        <v>0</v>
      </c>
      <c r="NN31" s="27">
        <f t="shared" si="163"/>
        <v>0</v>
      </c>
      <c r="NO31" s="36">
        <f t="shared" si="163"/>
        <v>0</v>
      </c>
      <c r="NP31" s="24">
        <f t="shared" si="163"/>
        <v>28877.900605424238</v>
      </c>
      <c r="NQ31" s="27">
        <f t="shared" si="163"/>
        <v>24023.830351777149</v>
      </c>
      <c r="NR31" s="24">
        <f t="shared" si="136"/>
        <v>8544.2982322711578</v>
      </c>
      <c r="NS31" s="24">
        <f t="shared" si="137"/>
        <v>10227.943566410111</v>
      </c>
      <c r="NT31" s="27">
        <f t="shared" si="0"/>
        <v>71461.722755882656</v>
      </c>
      <c r="NU31" s="27">
        <f t="shared" si="75"/>
        <v>0</v>
      </c>
      <c r="NV31" s="27">
        <f t="shared" si="76"/>
        <v>0</v>
      </c>
      <c r="NW31" s="27">
        <f t="shared" si="77"/>
        <v>0</v>
      </c>
      <c r="NX31" s="27">
        <f t="shared" si="78"/>
        <v>0</v>
      </c>
      <c r="NY31" s="27">
        <f t="shared" si="79"/>
        <v>0</v>
      </c>
      <c r="NZ31" s="5">
        <f t="shared" si="80"/>
        <v>0</v>
      </c>
      <c r="OA31" s="27">
        <f t="shared" si="81"/>
        <v>32050.234489662846</v>
      </c>
      <c r="OB31" s="27">
        <f t="shared" si="82"/>
        <v>0</v>
      </c>
      <c r="OC31" s="27">
        <f t="shared" si="83"/>
        <v>61291.799485704156</v>
      </c>
      <c r="OD31" s="27"/>
      <c r="OE31" s="27">
        <f t="shared" si="138"/>
        <v>14383.62</v>
      </c>
      <c r="OF31" s="27">
        <f t="shared" si="84"/>
        <v>0</v>
      </c>
      <c r="OG31" s="28">
        <f t="shared" si="1"/>
        <v>107725.65397536699</v>
      </c>
      <c r="OH31" s="27">
        <f t="shared" si="153"/>
        <v>0</v>
      </c>
      <c r="OI31" s="27">
        <f t="shared" si="154"/>
        <v>0</v>
      </c>
      <c r="OJ31" s="27">
        <f t="shared" si="158"/>
        <v>0</v>
      </c>
      <c r="OK31" s="27">
        <f t="shared" si="155"/>
        <v>0</v>
      </c>
      <c r="OL31" s="27">
        <f t="shared" si="156"/>
        <v>0</v>
      </c>
      <c r="OM31" s="27">
        <f t="shared" si="157"/>
        <v>0</v>
      </c>
      <c r="ON31" s="24">
        <f t="shared" si="147"/>
        <v>0</v>
      </c>
      <c r="OO31" s="27">
        <f t="shared" si="145"/>
        <v>0</v>
      </c>
      <c r="OP31" s="24">
        <f t="shared" si="86"/>
        <v>72392.442313713749</v>
      </c>
      <c r="OQ31" s="27">
        <f t="shared" si="87"/>
        <v>0</v>
      </c>
      <c r="OR31" s="24">
        <f t="shared" si="88"/>
        <v>13160.967258794852</v>
      </c>
      <c r="OS31" s="27">
        <f t="shared" si="164"/>
        <v>0</v>
      </c>
      <c r="OT31" s="28">
        <f t="shared" si="2"/>
        <v>85553.409572508594</v>
      </c>
      <c r="OU31" s="36"/>
      <c r="OV31" s="27"/>
      <c r="OW31" s="27"/>
      <c r="OX31" s="27"/>
      <c r="OY31" s="27"/>
      <c r="OZ31" s="27"/>
      <c r="PA31" s="28">
        <f t="shared" si="90"/>
        <v>0</v>
      </c>
      <c r="PB31" s="36">
        <f t="shared" si="91"/>
        <v>0</v>
      </c>
      <c r="PC31" s="27">
        <f t="shared" si="92"/>
        <v>0</v>
      </c>
      <c r="PD31" s="27">
        <f t="shared" si="93"/>
        <v>0</v>
      </c>
      <c r="PE31" s="27">
        <f t="shared" si="94"/>
        <v>0</v>
      </c>
      <c r="PF31" s="24"/>
      <c r="PG31" s="27">
        <f t="shared" si="95"/>
        <v>0</v>
      </c>
      <c r="PH31" s="33">
        <f t="shared" si="3"/>
        <v>0</v>
      </c>
      <c r="PI31" s="2621"/>
      <c r="PK31" s="1907">
        <v>1296.56</v>
      </c>
      <c r="PL31" s="3">
        <v>480</v>
      </c>
      <c r="PM31" s="3">
        <v>144</v>
      </c>
      <c r="PN31" s="3">
        <f t="shared" si="165"/>
        <v>201.1</v>
      </c>
      <c r="PO31" s="3">
        <f t="shared" si="97"/>
        <v>33734.289204532863</v>
      </c>
      <c r="PP31" s="11">
        <f t="shared" si="161"/>
        <v>23808.055697817417</v>
      </c>
      <c r="PQ31" s="15"/>
      <c r="PR31" s="2615"/>
      <c r="PT31" s="4"/>
      <c r="PU31" s="9"/>
      <c r="PV31" s="9"/>
      <c r="PW31" s="9"/>
      <c r="PX31" s="2531">
        <v>0</v>
      </c>
      <c r="PY31" s="9"/>
      <c r="PZ31" s="8">
        <f t="shared" si="99"/>
        <v>0</v>
      </c>
      <c r="QA31" s="5">
        <f t="shared" si="100"/>
        <v>1296.56</v>
      </c>
      <c r="QB31" s="5"/>
      <c r="QC31" s="5"/>
      <c r="QD31" s="5"/>
      <c r="QE31" s="5"/>
      <c r="QF31" s="5"/>
      <c r="QG31" s="12"/>
      <c r="QH31" s="12">
        <f t="shared" si="101"/>
        <v>29562.488999999998</v>
      </c>
      <c r="QI31" s="420">
        <f t="shared" si="102"/>
        <v>288302.44007140427</v>
      </c>
      <c r="QJ31" s="1106">
        <f t="shared" si="139"/>
        <v>3720.2888844000004</v>
      </c>
      <c r="QK31" s="484">
        <f t="shared" si="103"/>
        <v>5505.3678056099998</v>
      </c>
      <c r="QL31" s="12"/>
      <c r="QM31" s="2615"/>
      <c r="QO31" s="139">
        <f t="shared" si="104"/>
        <v>0</v>
      </c>
      <c r="QP31" s="139" t="str">
        <f t="shared" si="105"/>
        <v/>
      </c>
      <c r="QR31" s="139">
        <f t="shared" si="106"/>
        <v>0</v>
      </c>
      <c r="QS31" s="139">
        <f t="shared" si="107"/>
        <v>0</v>
      </c>
      <c r="QU31" s="1">
        <f t="shared" si="108"/>
        <v>0</v>
      </c>
      <c r="QV31" s="1">
        <f t="shared" si="109"/>
        <v>0</v>
      </c>
      <c r="QW31" s="1">
        <f t="shared" si="110"/>
        <v>0</v>
      </c>
      <c r="QX31" s="1">
        <f t="shared" si="111"/>
        <v>0</v>
      </c>
      <c r="QY31" s="1">
        <f t="shared" si="112"/>
        <v>0</v>
      </c>
      <c r="QZ31" s="1">
        <f t="shared" si="113"/>
        <v>0</v>
      </c>
      <c r="RB31" s="1">
        <f t="shared" si="114"/>
        <v>0</v>
      </c>
      <c r="RC31" s="1">
        <f t="shared" si="115"/>
        <v>0</v>
      </c>
      <c r="RD31" s="1">
        <f t="shared" si="116"/>
        <v>0</v>
      </c>
      <c r="RE31" s="1">
        <f t="shared" si="117"/>
        <v>0</v>
      </c>
      <c r="RF31" s="1">
        <f t="shared" si="118"/>
        <v>0</v>
      </c>
      <c r="RG31" s="1">
        <f t="shared" si="119"/>
        <v>0</v>
      </c>
      <c r="RJ31" s="1">
        <v>22</v>
      </c>
      <c r="RK31" s="1">
        <f t="shared" si="151"/>
        <v>76381.870209717104</v>
      </c>
      <c r="RL31" s="1">
        <f t="shared" si="151"/>
        <v>42931.02678048372</v>
      </c>
      <c r="RM31" s="1">
        <f t="shared" si="151"/>
        <v>13404.263703387322</v>
      </c>
      <c r="RN31" s="89">
        <f t="shared" si="5"/>
        <v>132717.16069358814</v>
      </c>
      <c r="RO31" s="1033">
        <v>22</v>
      </c>
      <c r="RP31" s="1098">
        <v>0</v>
      </c>
      <c r="RQ31" s="1098">
        <f t="shared" si="121"/>
        <v>0</v>
      </c>
      <c r="RR31" s="1097">
        <f t="shared" si="121"/>
        <v>0</v>
      </c>
      <c r="RS31" s="1097">
        <f t="shared" si="122"/>
        <v>10169.980000000001</v>
      </c>
      <c r="RT31" s="1109"/>
      <c r="RU31" s="1109" t="s">
        <v>1078</v>
      </c>
      <c r="RV31" s="1048"/>
      <c r="RX31" s="421">
        <v>22</v>
      </c>
      <c r="RY31" s="1095">
        <f t="shared" si="123"/>
        <v>17130.200000000004</v>
      </c>
      <c r="RZ31" s="1046" t="s">
        <v>1079</v>
      </c>
      <c r="SB31" s="1090"/>
      <c r="SC31" s="1090">
        <f t="shared" si="124"/>
        <v>0</v>
      </c>
      <c r="SD31" s="1090"/>
      <c r="SE31" s="1090">
        <f t="shared" si="152"/>
        <v>0</v>
      </c>
      <c r="SG31" s="1">
        <v>22</v>
      </c>
      <c r="SH31" s="1">
        <f t="shared" si="126"/>
        <v>201.1</v>
      </c>
      <c r="SI31" s="1094" t="s">
        <v>1080</v>
      </c>
    </row>
    <row r="32" spans="1:503" s="1" customFormat="1">
      <c r="B32" s="471">
        <v>23</v>
      </c>
      <c r="C32" s="4">
        <f t="shared" si="127"/>
        <v>165435</v>
      </c>
      <c r="D32" s="1590">
        <f t="shared" si="146"/>
        <v>9233.2000000000007</v>
      </c>
      <c r="E32" s="1895">
        <f t="shared" si="6"/>
        <v>17.917406749555948</v>
      </c>
      <c r="F32" s="870"/>
      <c r="G32" s="870"/>
      <c r="H32" s="52"/>
      <c r="I32" s="61"/>
      <c r="J32" s="52"/>
      <c r="K32" s="54"/>
      <c r="L32" s="52"/>
      <c r="M32" s="61"/>
      <c r="N32" s="2629"/>
      <c r="O32" s="4">
        <f t="shared" si="142"/>
        <v>101808</v>
      </c>
      <c r="P32" s="1225">
        <f t="shared" si="7"/>
        <v>7009.28</v>
      </c>
      <c r="Q32" s="1913">
        <f t="shared" si="8"/>
        <v>14.524744338933528</v>
      </c>
      <c r="R32" s="33"/>
      <c r="S32" s="26">
        <f t="shared" si="9"/>
        <v>32358</v>
      </c>
      <c r="T32" s="27">
        <f t="shared" si="129"/>
        <v>1302.8799999999999</v>
      </c>
      <c r="U32" s="1909">
        <f t="shared" si="10"/>
        <v>24.835748495640431</v>
      </c>
      <c r="V32" s="28"/>
      <c r="W32" s="26">
        <f t="shared" si="11"/>
        <v>25188</v>
      </c>
      <c r="X32" s="5">
        <f t="shared" si="11"/>
        <v>442</v>
      </c>
      <c r="Y32" s="1909">
        <f t="shared" si="12"/>
        <v>56.986425339366512</v>
      </c>
      <c r="Z32" s="33"/>
      <c r="AA32" s="26">
        <f t="shared" si="13"/>
        <v>6081</v>
      </c>
      <c r="AB32" s="27">
        <f t="shared" si="14"/>
        <v>479.03999999999996</v>
      </c>
      <c r="AC32" s="1909">
        <f t="shared" si="15"/>
        <v>12.694138276553106</v>
      </c>
      <c r="AD32" s="28"/>
      <c r="AE32" s="36"/>
      <c r="AF32" s="36"/>
      <c r="AG32" s="53">
        <f t="shared" si="16"/>
        <v>0</v>
      </c>
      <c r="AH32" s="28"/>
      <c r="AI32" s="23"/>
      <c r="AJ32" s="27"/>
      <c r="AK32" s="53">
        <f t="shared" si="17"/>
        <v>0</v>
      </c>
      <c r="AL32" s="28"/>
      <c r="AM32" s="2629"/>
      <c r="AN32" s="9"/>
      <c r="AO32" s="5"/>
      <c r="AP32" s="61">
        <f t="shared" si="18"/>
        <v>0</v>
      </c>
      <c r="AQ32" s="36"/>
      <c r="AR32" s="53"/>
      <c r="AS32" s="61">
        <f t="shared" si="19"/>
        <v>0</v>
      </c>
      <c r="AT32" s="36">
        <v>0</v>
      </c>
      <c r="AU32" s="27"/>
      <c r="AV32" s="54">
        <f t="shared" si="20"/>
        <v>0</v>
      </c>
      <c r="AW32" s="26">
        <v>50568</v>
      </c>
      <c r="AX32" s="24">
        <v>4987.8999999999996</v>
      </c>
      <c r="AY32" s="1895">
        <f t="shared" si="140"/>
        <v>10.138134284969627</v>
      </c>
      <c r="AZ32" s="1908"/>
      <c r="BA32" s="1909"/>
      <c r="BB32" s="1895">
        <f t="shared" si="21"/>
        <v>0</v>
      </c>
      <c r="BC32" s="1740">
        <v>51240</v>
      </c>
      <c r="BD32" s="1926">
        <v>2021.38</v>
      </c>
      <c r="BE32" s="1895">
        <f t="shared" si="22"/>
        <v>25.349018987028661</v>
      </c>
      <c r="BF32" s="1908"/>
      <c r="BG32" s="1909"/>
      <c r="BH32" s="1895">
        <f t="shared" si="23"/>
        <v>0</v>
      </c>
      <c r="BI32" s="1908">
        <v>0</v>
      </c>
      <c r="BJ32" s="1909">
        <v>0</v>
      </c>
      <c r="BK32" s="1895">
        <f t="shared" si="24"/>
        <v>0</v>
      </c>
      <c r="BL32" s="2491">
        <v>32358</v>
      </c>
      <c r="BM32" s="1736">
        <v>1302.8799999999999</v>
      </c>
      <c r="BN32" s="2170"/>
      <c r="BO32" s="1911">
        <f t="shared" si="25"/>
        <v>24.835748495640431</v>
      </c>
      <c r="BP32" s="9">
        <v>6081</v>
      </c>
      <c r="BQ32" s="53">
        <v>479.03999999999996</v>
      </c>
      <c r="BR32" s="1920">
        <f t="shared" si="26"/>
        <v>12.694138276553106</v>
      </c>
      <c r="BS32" s="9"/>
      <c r="BT32" s="64"/>
      <c r="BU32" s="482">
        <f t="shared" si="27"/>
        <v>0</v>
      </c>
      <c r="BV32" s="9">
        <v>25188</v>
      </c>
      <c r="BW32" s="27">
        <f t="shared" si="159"/>
        <v>442</v>
      </c>
      <c r="BX32" s="15">
        <f t="shared" ref="BX32:BX40" si="166">IFERROR(BV32/BW32,0)</f>
        <v>56.986425339366512</v>
      </c>
      <c r="BY32" s="4"/>
      <c r="BZ32" s="5"/>
      <c r="CA32" s="482">
        <f t="shared" si="29"/>
        <v>0</v>
      </c>
      <c r="CB32" s="9"/>
      <c r="CC32" s="5"/>
      <c r="CD32" s="482">
        <f t="shared" si="30"/>
        <v>0</v>
      </c>
      <c r="CE32" s="4"/>
      <c r="CF32" s="5"/>
      <c r="CG32" s="28">
        <f t="shared" si="31"/>
        <v>0</v>
      </c>
      <c r="CH32" s="150"/>
      <c r="CI32" s="1108"/>
      <c r="CJ32" s="5">
        <v>5198</v>
      </c>
      <c r="CK32" s="5">
        <v>7769</v>
      </c>
      <c r="CL32" s="5"/>
      <c r="CM32" s="5"/>
      <c r="CN32" s="3">
        <f t="shared" si="131"/>
        <v>12967</v>
      </c>
      <c r="CO32" s="33"/>
      <c r="CP32" s="368"/>
      <c r="CR32" s="4">
        <f t="shared" si="32"/>
        <v>0</v>
      </c>
      <c r="CS32" s="9">
        <f t="shared" si="33"/>
        <v>0</v>
      </c>
      <c r="CT32" s="5">
        <f t="shared" si="34"/>
        <v>0</v>
      </c>
      <c r="CU32" s="5">
        <f t="shared" si="35"/>
        <v>0</v>
      </c>
      <c r="CV32" s="5">
        <f t="shared" si="36"/>
        <v>0</v>
      </c>
      <c r="CW32" s="5">
        <f t="shared" si="37"/>
        <v>0</v>
      </c>
      <c r="CX32" s="5">
        <f t="shared" si="38"/>
        <v>2066.3999999999996</v>
      </c>
      <c r="CY32" s="5">
        <f t="shared" si="39"/>
        <v>0</v>
      </c>
      <c r="CZ32" s="5">
        <f t="shared" si="40"/>
        <v>3105.1800000000003</v>
      </c>
      <c r="DA32" s="5">
        <f t="shared" si="41"/>
        <v>0</v>
      </c>
      <c r="DB32" s="5">
        <f t="shared" si="42"/>
        <v>4061.62</v>
      </c>
      <c r="DC32" s="12">
        <f t="shared" si="43"/>
        <v>0</v>
      </c>
      <c r="DD32" s="310">
        <f>SUM(CR32:DC32,PX32,PY32,)</f>
        <v>9233.2000000000007</v>
      </c>
      <c r="DE32" s="2695"/>
      <c r="DF32" s="8"/>
      <c r="DG32" s="9"/>
      <c r="DH32" s="5"/>
      <c r="DI32" s="5"/>
      <c r="DJ32" s="5"/>
      <c r="DK32" s="5"/>
      <c r="DL32" s="3">
        <v>2066.3999999999996</v>
      </c>
      <c r="DM32" s="12"/>
      <c r="DN32" s="3">
        <v>0</v>
      </c>
      <c r="DO32" s="9"/>
      <c r="DP32" s="3">
        <v>2921.5</v>
      </c>
      <c r="DQ32" s="11">
        <v>0</v>
      </c>
      <c r="DR32" s="12"/>
      <c r="DS32" s="28">
        <f t="shared" si="45"/>
        <v>4987.8999999999996</v>
      </c>
      <c r="DT32" s="36"/>
      <c r="DU32" s="9"/>
      <c r="DV32" s="5"/>
      <c r="DW32" s="5"/>
      <c r="DX32" s="5"/>
      <c r="DY32" s="5"/>
      <c r="DZ32" s="27"/>
      <c r="EA32" s="27"/>
      <c r="EB32" s="3">
        <v>3105.1800000000003</v>
      </c>
      <c r="EC32" s="27"/>
      <c r="ED32" s="24">
        <v>698.12</v>
      </c>
      <c r="EE32" s="33"/>
      <c r="EF32" s="28">
        <f t="shared" si="46"/>
        <v>3803.3</v>
      </c>
      <c r="EG32" s="9"/>
      <c r="EH32" s="36"/>
      <c r="EI32" s="27"/>
      <c r="EJ32" s="27"/>
      <c r="EK32" s="27"/>
      <c r="EL32" s="27"/>
      <c r="EM32" s="27"/>
      <c r="EN32" s="27"/>
      <c r="EO32" s="5"/>
      <c r="EP32" s="5"/>
      <c r="EQ32" s="5">
        <v>442</v>
      </c>
      <c r="ER32" s="33"/>
      <c r="ES32" s="28">
        <f t="shared" si="143"/>
        <v>442</v>
      </c>
      <c r="ET32" s="36"/>
      <c r="EU32" s="27"/>
      <c r="EV32" s="27"/>
      <c r="EW32" s="27"/>
      <c r="EX32" s="27"/>
      <c r="EY32" s="27"/>
      <c r="EZ32" s="33">
        <f t="shared" si="48"/>
        <v>0</v>
      </c>
      <c r="FA32" s="2685"/>
      <c r="FC32" s="4">
        <f t="shared" si="49"/>
        <v>0</v>
      </c>
      <c r="FD32" s="5">
        <f t="shared" si="50"/>
        <v>0</v>
      </c>
      <c r="FE32" s="5">
        <f t="shared" si="51"/>
        <v>0</v>
      </c>
      <c r="FF32" s="12">
        <f t="shared" si="52"/>
        <v>0</v>
      </c>
      <c r="FG32" s="33"/>
      <c r="FH32" s="2674"/>
      <c r="FI32" s="9"/>
      <c r="FJ32" s="5"/>
      <c r="FK32" s="5"/>
      <c r="FL32" s="5"/>
      <c r="FM32" s="5"/>
      <c r="FN32" s="27"/>
      <c r="FO32" s="28">
        <f t="shared" si="53"/>
        <v>0</v>
      </c>
      <c r="FP32" s="36"/>
      <c r="FQ32" s="27"/>
      <c r="FR32" s="27"/>
      <c r="FS32" s="27"/>
      <c r="FT32" s="27"/>
      <c r="FU32" s="27"/>
      <c r="FV32" s="28">
        <f t="shared" si="54"/>
        <v>0</v>
      </c>
      <c r="FW32" s="36"/>
      <c r="FX32" s="36"/>
      <c r="FY32" s="27"/>
      <c r="FZ32" s="27"/>
      <c r="GA32" s="27"/>
      <c r="GB32" s="27"/>
      <c r="GC32" s="27"/>
      <c r="GD32" s="27"/>
      <c r="GE32" s="24">
        <v>0</v>
      </c>
      <c r="GF32" s="27"/>
      <c r="GG32" s="27"/>
      <c r="GH32" s="33"/>
      <c r="GI32" s="33">
        <f t="shared" si="55"/>
        <v>0</v>
      </c>
      <c r="GJ32" s="2674"/>
      <c r="GL32" s="2">
        <f t="shared" si="132"/>
        <v>1696.41</v>
      </c>
      <c r="GM32" s="63">
        <f t="shared" si="133"/>
        <v>10618.43</v>
      </c>
      <c r="GN32" s="24">
        <f t="shared" si="134"/>
        <v>4586.3900000000003</v>
      </c>
      <c r="GO32" s="1736">
        <f t="shared" si="56"/>
        <v>16901.23</v>
      </c>
      <c r="GP32" s="141"/>
      <c r="GQ32" s="141"/>
      <c r="GR32" s="33"/>
      <c r="GS32" s="2667"/>
      <c r="GT32" s="1739">
        <v>0</v>
      </c>
      <c r="GU32" s="1721">
        <v>103.4</v>
      </c>
      <c r="GV32" s="1721">
        <v>6693.1900000000005</v>
      </c>
      <c r="GW32" s="1721">
        <v>10104.64</v>
      </c>
      <c r="GX32" s="33">
        <f t="shared" si="135"/>
        <v>16901.23</v>
      </c>
      <c r="GY32" s="2667"/>
      <c r="GZ32" s="35">
        <v>0</v>
      </c>
      <c r="HA32" s="36"/>
      <c r="HB32" s="27"/>
      <c r="HC32" s="27"/>
      <c r="HD32" s="27"/>
      <c r="HE32" s="27"/>
      <c r="HF32" s="24">
        <v>0</v>
      </c>
      <c r="HG32" s="27"/>
      <c r="HH32" s="24">
        <v>0</v>
      </c>
      <c r="HI32" s="27"/>
      <c r="HJ32" s="24">
        <v>1593.01</v>
      </c>
      <c r="HK32" s="27"/>
      <c r="HL32" s="24">
        <v>103.4</v>
      </c>
      <c r="HM32" s="27"/>
      <c r="HN32" s="28">
        <f t="shared" si="148"/>
        <v>1696.41</v>
      </c>
      <c r="HO32" s="36"/>
      <c r="HP32" s="27"/>
      <c r="HQ32" s="27"/>
      <c r="HR32" s="27"/>
      <c r="HS32" s="27"/>
      <c r="HT32" s="27"/>
      <c r="HU32" s="27">
        <f t="array" ref="HU32">SUMPRODUCT(('Data Base hauling'!$C$2:$C$2000="TCM-ROM SB1 BK05-ROM 4")*(ISNUMBER(SEARCH(TEXT('August TCM'!$B32,"00")&amp;"/03/2026",'Data Base hauling'!$E$2:$E$2000)))*'Data Base hauling'!$N$2:$N$2000)</f>
        <v>0</v>
      </c>
      <c r="HV32" s="27"/>
      <c r="HW32" s="27">
        <f t="array" ref="HW32">SUMPRODUCT(('Data Base hauling'!$C$2:$C$2000="TCM-ROM SB1 BK05-ROM 5")*(ISNUMBER(SEARCH(TEXT('August TCM'!$B32,"00")&amp;"/03/2026",'Data Base hauling'!$E$2:$E$2000)))*'Data Base hauling'!$N$2:$N$2000)</f>
        <v>0</v>
      </c>
      <c r="HX32" s="27"/>
      <c r="HY32" s="27"/>
      <c r="HZ32" s="27"/>
      <c r="IA32" s="27"/>
      <c r="IB32" s="27"/>
      <c r="IC32" s="33">
        <f t="shared" si="58"/>
        <v>0</v>
      </c>
      <c r="ID32" s="52"/>
      <c r="IE32" s="152"/>
      <c r="IF32" s="53"/>
      <c r="IG32" s="53"/>
      <c r="IH32" s="53"/>
      <c r="II32" s="53"/>
      <c r="IJ32" s="1926">
        <v>6814.21</v>
      </c>
      <c r="IK32" s="1736"/>
      <c r="IL32" s="1926">
        <v>0</v>
      </c>
      <c r="IM32" s="53"/>
      <c r="IN32" s="49">
        <v>3804.22</v>
      </c>
      <c r="IO32" s="53"/>
      <c r="IP32" s="53"/>
      <c r="IQ32" s="49">
        <v>0</v>
      </c>
      <c r="IR32" s="2195">
        <f t="shared" si="149"/>
        <v>10618.43</v>
      </c>
      <c r="IS32" s="36"/>
      <c r="IT32" s="36"/>
      <c r="IU32" s="27"/>
      <c r="IV32" s="27"/>
      <c r="IW32" s="53"/>
      <c r="IX32" s="27"/>
      <c r="IY32" s="24">
        <v>0</v>
      </c>
      <c r="IZ32" s="27"/>
      <c r="JA32" s="24">
        <v>220.81</v>
      </c>
      <c r="JB32" s="27"/>
      <c r="JC32" s="24">
        <v>4365.58</v>
      </c>
      <c r="JD32" s="27"/>
      <c r="JE32" s="27"/>
      <c r="JF32" s="27"/>
      <c r="JG32" s="33">
        <f t="shared" si="150"/>
        <v>4586.3900000000003</v>
      </c>
      <c r="JH32" s="2667"/>
      <c r="JJ32" s="2014">
        <v>0</v>
      </c>
      <c r="JK32" s="2015">
        <v>16901.23</v>
      </c>
      <c r="JL32" s="53"/>
      <c r="JM32" s="1736">
        <f t="shared" si="61"/>
        <v>16901.23</v>
      </c>
      <c r="JN32" s="33"/>
      <c r="JO32" s="2669"/>
      <c r="JP32" s="66" t="s">
        <v>296</v>
      </c>
      <c r="JQ32" s="67" t="s">
        <v>296</v>
      </c>
      <c r="JR32" s="67" t="s">
        <v>296</v>
      </c>
      <c r="JS32" s="67" t="s">
        <v>296</v>
      </c>
      <c r="JT32" s="67" t="s">
        <v>296</v>
      </c>
      <c r="JU32" s="67" t="s">
        <v>296</v>
      </c>
      <c r="JV32" s="67" t="s">
        <v>296</v>
      </c>
      <c r="JW32" s="1921">
        <v>0</v>
      </c>
      <c r="JX32" s="66">
        <v>0</v>
      </c>
      <c r="JY32" s="67">
        <v>0</v>
      </c>
      <c r="JZ32" s="67">
        <v>0</v>
      </c>
      <c r="KA32" s="67">
        <v>0.40317834855806356</v>
      </c>
      <c r="KB32" s="67">
        <v>1.3064729608436782E-2</v>
      </c>
      <c r="KC32" s="67">
        <v>0.57763902390536082</v>
      </c>
      <c r="KD32" s="67">
        <v>6.1178979281389587E-3</v>
      </c>
      <c r="KE32" s="68">
        <v>0</v>
      </c>
      <c r="KF32" s="69"/>
      <c r="KG32" s="70"/>
      <c r="KH32" s="70"/>
      <c r="KI32" s="70"/>
      <c r="KJ32" s="70"/>
      <c r="KK32" s="70"/>
      <c r="KL32" s="70"/>
      <c r="KM32" s="70"/>
      <c r="KN32" s="33"/>
      <c r="KO32" s="2669"/>
      <c r="KP32" s="2203">
        <v>0</v>
      </c>
      <c r="KQ32" s="1721">
        <v>0</v>
      </c>
      <c r="KR32" s="1721">
        <v>0</v>
      </c>
      <c r="KS32" s="1721">
        <v>0</v>
      </c>
      <c r="KT32" s="1722">
        <v>0</v>
      </c>
      <c r="KU32" s="1958">
        <v>6914.2630482651912</v>
      </c>
      <c r="KV32" s="1961">
        <v>1.7841950842111529</v>
      </c>
      <c r="KW32" s="1961">
        <v>3.6739719097780159</v>
      </c>
      <c r="KX32" s="1961">
        <v>6.5121746116764863</v>
      </c>
      <c r="KY32" s="1962">
        <v>8.9966970183895736</v>
      </c>
      <c r="KZ32" s="36"/>
      <c r="LA32" s="53"/>
      <c r="LB32" s="53"/>
      <c r="LC32" s="53"/>
      <c r="LD32" s="53"/>
      <c r="LE32" s="33"/>
      <c r="LF32" s="2669"/>
      <c r="LH32" s="4">
        <f t="shared" si="160"/>
        <v>4282.4639999999999</v>
      </c>
      <c r="LI32" s="5">
        <f t="shared" si="160"/>
        <v>2854.9760000000001</v>
      </c>
      <c r="LJ32" s="27">
        <f t="shared" si="160"/>
        <v>0</v>
      </c>
      <c r="LK32" s="28">
        <f t="shared" si="63"/>
        <v>7137.4400000000005</v>
      </c>
      <c r="LL32" s="36">
        <v>2</v>
      </c>
      <c r="LM32" s="27">
        <v>1</v>
      </c>
      <c r="LN32" s="27">
        <v>9</v>
      </c>
      <c r="LO32" s="33"/>
      <c r="LP32" s="1957">
        <v>0</v>
      </c>
      <c r="LQ32" s="486"/>
      <c r="LR32" s="2688"/>
      <c r="LS32" s="36"/>
      <c r="LT32" s="36"/>
      <c r="LU32" s="27"/>
      <c r="LV32" s="27"/>
      <c r="LW32" s="27"/>
      <c r="LX32" s="1107">
        <f t="shared" si="64"/>
        <v>0</v>
      </c>
      <c r="LY32" s="36">
        <v>4282.4639999999999</v>
      </c>
      <c r="LZ32" s="36">
        <v>2854.9760000000001</v>
      </c>
      <c r="MA32" s="27"/>
      <c r="MB32" s="27"/>
      <c r="MC32" s="33"/>
      <c r="MD32" s="28">
        <f t="shared" si="65"/>
        <v>7137.4400000000005</v>
      </c>
      <c r="ME32" s="26"/>
      <c r="MF32" s="36"/>
      <c r="MG32" s="27"/>
      <c r="MH32" s="27"/>
      <c r="MI32" s="27"/>
      <c r="MJ32" s="28"/>
      <c r="MK32" s="36"/>
      <c r="ML32" s="36"/>
      <c r="MM32" s="27"/>
      <c r="MN32" s="27"/>
      <c r="MO32" s="27"/>
      <c r="MP32" s="28"/>
      <c r="MQ32" s="36"/>
      <c r="MR32" s="36"/>
      <c r="MS32" s="27"/>
      <c r="MT32" s="27"/>
      <c r="MU32" s="27"/>
      <c r="MV32" s="33">
        <f t="shared" si="66"/>
        <v>0</v>
      </c>
      <c r="MW32" s="2688"/>
      <c r="MY32" s="26">
        <f t="shared" si="67"/>
        <v>316731.07035640394</v>
      </c>
      <c r="MZ32" s="27">
        <f t="shared" si="68"/>
        <v>257176.15630375824</v>
      </c>
      <c r="NA32" s="27">
        <f t="shared" si="69"/>
        <v>24014.255697817414</v>
      </c>
      <c r="NB32" s="28">
        <f t="shared" si="70"/>
        <v>320244.05795580428</v>
      </c>
      <c r="NC32" s="2621"/>
      <c r="ND32" s="23">
        <f t="shared" si="71"/>
        <v>175343.52274551798</v>
      </c>
      <c r="NE32" s="1655">
        <f t="shared" si="72"/>
        <v>141387.54761088599</v>
      </c>
      <c r="NF32" s="60">
        <f t="shared" si="73"/>
        <v>0</v>
      </c>
      <c r="NG32" s="275">
        <f t="shared" si="4"/>
        <v>316731.07035640394</v>
      </c>
      <c r="NH32" s="26">
        <f t="shared" si="163"/>
        <v>-212.25</v>
      </c>
      <c r="NI32" s="27">
        <f t="shared" si="163"/>
        <v>0</v>
      </c>
      <c r="NJ32" s="27">
        <f t="shared" si="163"/>
        <v>0</v>
      </c>
      <c r="NK32" s="27">
        <f t="shared" si="163"/>
        <v>0</v>
      </c>
      <c r="NL32" s="27">
        <f t="shared" si="163"/>
        <v>0</v>
      </c>
      <c r="NM32" s="33">
        <f t="shared" si="163"/>
        <v>0</v>
      </c>
      <c r="NN32" s="27">
        <f t="shared" si="163"/>
        <v>0</v>
      </c>
      <c r="NO32" s="36">
        <f t="shared" si="163"/>
        <v>0</v>
      </c>
      <c r="NP32" s="24">
        <f t="shared" si="163"/>
        <v>28877.900605424238</v>
      </c>
      <c r="NQ32" s="27">
        <f t="shared" si="163"/>
        <v>24023.830351777149</v>
      </c>
      <c r="NR32" s="24">
        <f t="shared" si="136"/>
        <v>8544.2982322711578</v>
      </c>
      <c r="NS32" s="24">
        <f t="shared" si="137"/>
        <v>9076.9335664101109</v>
      </c>
      <c r="NT32" s="27">
        <f t="shared" si="0"/>
        <v>70310.712755882661</v>
      </c>
      <c r="NU32" s="27">
        <f t="shared" si="75"/>
        <v>0</v>
      </c>
      <c r="NV32" s="27">
        <f t="shared" si="76"/>
        <v>0</v>
      </c>
      <c r="NW32" s="27">
        <f t="shared" si="77"/>
        <v>0</v>
      </c>
      <c r="NX32" s="27">
        <f t="shared" si="78"/>
        <v>0</v>
      </c>
      <c r="NY32" s="27">
        <f t="shared" si="79"/>
        <v>0</v>
      </c>
      <c r="NZ32" s="5">
        <f t="shared" si="80"/>
        <v>0</v>
      </c>
      <c r="OA32" s="27">
        <f t="shared" si="81"/>
        <v>27302.424489662844</v>
      </c>
      <c r="OB32" s="27">
        <f t="shared" si="82"/>
        <v>0</v>
      </c>
      <c r="OC32" s="27">
        <f t="shared" si="83"/>
        <v>60409.079485704155</v>
      </c>
      <c r="OD32" s="27"/>
      <c r="OE32" s="27">
        <f t="shared" si="138"/>
        <v>14383.62</v>
      </c>
      <c r="OF32" s="27">
        <f t="shared" si="84"/>
        <v>0</v>
      </c>
      <c r="OG32" s="28">
        <f t="shared" si="1"/>
        <v>102095.12397536699</v>
      </c>
      <c r="OH32" s="27">
        <f t="shared" si="153"/>
        <v>0</v>
      </c>
      <c r="OI32" s="27">
        <f t="shared" si="154"/>
        <v>0</v>
      </c>
      <c r="OJ32" s="27">
        <f t="shared" si="158"/>
        <v>0</v>
      </c>
      <c r="OK32" s="27">
        <f t="shared" si="155"/>
        <v>0</v>
      </c>
      <c r="OL32" s="27">
        <f t="shared" si="156"/>
        <v>0</v>
      </c>
      <c r="OM32" s="27">
        <f t="shared" si="157"/>
        <v>0</v>
      </c>
      <c r="ON32" s="24">
        <f t="shared" si="147"/>
        <v>0</v>
      </c>
      <c r="OO32" s="27">
        <f t="shared" si="145"/>
        <v>0</v>
      </c>
      <c r="OP32" s="24">
        <f t="shared" si="86"/>
        <v>75276.812313713745</v>
      </c>
      <c r="OQ32" s="27">
        <f t="shared" si="87"/>
        <v>0</v>
      </c>
      <c r="OR32" s="24">
        <f t="shared" si="88"/>
        <v>9493.5072587948525</v>
      </c>
      <c r="OS32" s="27">
        <f t="shared" si="164"/>
        <v>0</v>
      </c>
      <c r="OT32" s="28">
        <f t="shared" si="2"/>
        <v>84770.319572508597</v>
      </c>
      <c r="OU32" s="36"/>
      <c r="OV32" s="27"/>
      <c r="OW32" s="27"/>
      <c r="OX32" s="27"/>
      <c r="OY32" s="27"/>
      <c r="OZ32" s="27"/>
      <c r="PA32" s="28">
        <f t="shared" si="90"/>
        <v>0</v>
      </c>
      <c r="PB32" s="36">
        <f t="shared" si="91"/>
        <v>0</v>
      </c>
      <c r="PC32" s="27">
        <f t="shared" si="92"/>
        <v>0</v>
      </c>
      <c r="PD32" s="27">
        <f t="shared" si="93"/>
        <v>0</v>
      </c>
      <c r="PE32" s="27">
        <f t="shared" si="94"/>
        <v>0</v>
      </c>
      <c r="PF32" s="24"/>
      <c r="PG32" s="27">
        <f t="shared" si="95"/>
        <v>0</v>
      </c>
      <c r="PH32" s="33">
        <f t="shared" si="3"/>
        <v>0</v>
      </c>
      <c r="PI32" s="2621"/>
      <c r="PK32" s="1907">
        <v>1341.1599999999999</v>
      </c>
      <c r="PL32" s="3">
        <v>1032</v>
      </c>
      <c r="PM32" s="3">
        <v>309.60000000000002</v>
      </c>
      <c r="PN32" s="3">
        <f t="shared" si="165"/>
        <v>103.4</v>
      </c>
      <c r="PO32" s="3">
        <f t="shared" si="97"/>
        <v>34043.449204532866</v>
      </c>
      <c r="PP32" s="11">
        <f t="shared" si="161"/>
        <v>24014.255697817414</v>
      </c>
      <c r="PQ32" s="15"/>
      <c r="PR32" s="2615"/>
      <c r="PT32" s="4"/>
      <c r="PU32" s="9"/>
      <c r="PV32" s="9"/>
      <c r="PW32" s="9"/>
      <c r="PX32" s="2531">
        <v>0</v>
      </c>
      <c r="PY32" s="9"/>
      <c r="PZ32" s="8">
        <f t="shared" si="99"/>
        <v>0</v>
      </c>
      <c r="QA32" s="5">
        <f t="shared" si="100"/>
        <v>1341.1599999999999</v>
      </c>
      <c r="QB32" s="5"/>
      <c r="QC32" s="5"/>
      <c r="QD32" s="5"/>
      <c r="QE32" s="5"/>
      <c r="QF32" s="5"/>
      <c r="QG32" s="12"/>
      <c r="QH32" s="12">
        <f t="shared" si="101"/>
        <v>29562.488999999998</v>
      </c>
      <c r="QI32" s="420">
        <f t="shared" si="102"/>
        <v>286961.2800714043</v>
      </c>
      <c r="QJ32" s="1106">
        <f t="shared" si="139"/>
        <v>3720.2888844000004</v>
      </c>
      <c r="QK32" s="484">
        <f t="shared" si="103"/>
        <v>5505.3678056099998</v>
      </c>
      <c r="QL32" s="12"/>
      <c r="QM32" s="2615"/>
      <c r="QO32" s="139" t="str">
        <f t="shared" si="104"/>
        <v/>
      </c>
      <c r="QP32" s="139" t="str">
        <f t="shared" si="105"/>
        <v/>
      </c>
      <c r="QR32" s="139">
        <f t="shared" si="106"/>
        <v>0</v>
      </c>
      <c r="QS32" s="139">
        <f t="shared" si="107"/>
        <v>0</v>
      </c>
      <c r="QU32" s="1">
        <f t="shared" si="108"/>
        <v>0</v>
      </c>
      <c r="QV32" s="1">
        <f t="shared" si="109"/>
        <v>0</v>
      </c>
      <c r="QW32" s="1">
        <f t="shared" si="110"/>
        <v>0</v>
      </c>
      <c r="QX32" s="1">
        <f t="shared" si="111"/>
        <v>0</v>
      </c>
      <c r="QY32" s="1">
        <f t="shared" si="112"/>
        <v>0</v>
      </c>
      <c r="QZ32" s="1">
        <f t="shared" si="113"/>
        <v>0</v>
      </c>
      <c r="RB32" s="1">
        <f t="shared" si="114"/>
        <v>0</v>
      </c>
      <c r="RC32" s="1">
        <f t="shared" si="115"/>
        <v>0</v>
      </c>
      <c r="RD32" s="1">
        <f t="shared" si="116"/>
        <v>0</v>
      </c>
      <c r="RE32" s="1">
        <f t="shared" si="117"/>
        <v>0</v>
      </c>
      <c r="RF32" s="1">
        <f t="shared" si="118"/>
        <v>0</v>
      </c>
      <c r="RG32" s="1">
        <f t="shared" si="119"/>
        <v>0</v>
      </c>
      <c r="RJ32" s="1">
        <v>23</v>
      </c>
      <c r="RK32" s="1">
        <f t="shared" si="151"/>
        <v>72099.406209717097</v>
      </c>
      <c r="RL32" s="1">
        <f t="shared" si="151"/>
        <v>56977.280780483714</v>
      </c>
      <c r="RM32" s="1">
        <f t="shared" si="151"/>
        <v>13404.263703387322</v>
      </c>
      <c r="RN32" s="89">
        <f t="shared" si="5"/>
        <v>142480.95069358812</v>
      </c>
      <c r="RO32" s="1033">
        <v>23</v>
      </c>
      <c r="RP32" s="1098">
        <v>0</v>
      </c>
      <c r="RQ32" s="1098">
        <f t="shared" si="121"/>
        <v>0</v>
      </c>
      <c r="RR32" s="1097">
        <f t="shared" si="121"/>
        <v>0</v>
      </c>
      <c r="RS32" s="1097">
        <f t="shared" si="122"/>
        <v>8791.2000000000007</v>
      </c>
      <c r="RT32" s="1094"/>
      <c r="RU32" s="2420" t="s">
        <v>1081</v>
      </c>
      <c r="RX32" s="421">
        <v>23</v>
      </c>
      <c r="RY32" s="1095">
        <f t="shared" si="123"/>
        <v>16901.23</v>
      </c>
      <c r="RZ32" s="1094" t="s">
        <v>1082</v>
      </c>
      <c r="SB32" s="1090"/>
      <c r="SC32" s="1090">
        <f t="shared" si="124"/>
        <v>0</v>
      </c>
      <c r="SD32" s="1090"/>
      <c r="SE32" s="1090">
        <f t="shared" si="152"/>
        <v>0</v>
      </c>
      <c r="SG32" s="1">
        <v>23</v>
      </c>
      <c r="SH32" s="1">
        <f t="shared" si="126"/>
        <v>103.4</v>
      </c>
      <c r="SI32" s="1094" t="s">
        <v>1083</v>
      </c>
    </row>
    <row r="33" spans="1:503" s="1" customFormat="1" ht="15" customHeight="1">
      <c r="B33" s="471">
        <v>24</v>
      </c>
      <c r="C33" s="4">
        <f t="shared" si="127"/>
        <v>154607</v>
      </c>
      <c r="D33" s="1590">
        <f t="shared" si="146"/>
        <v>7726.0999999999995</v>
      </c>
      <c r="E33" s="1895">
        <f t="shared" si="6"/>
        <v>20.011001669665163</v>
      </c>
      <c r="F33" s="870"/>
      <c r="G33" s="870"/>
      <c r="H33" s="52"/>
      <c r="I33" s="61"/>
      <c r="J33" s="52"/>
      <c r="K33" s="54"/>
      <c r="L33" s="52"/>
      <c r="M33" s="61"/>
      <c r="N33" s="2629"/>
      <c r="O33" s="4">
        <f t="shared" si="142"/>
        <v>91560</v>
      </c>
      <c r="P33" s="1225">
        <f t="shared" si="7"/>
        <v>5854.66</v>
      </c>
      <c r="Q33" s="1913">
        <f t="shared" si="8"/>
        <v>15.638824457782349</v>
      </c>
      <c r="R33" s="33"/>
      <c r="S33" s="26">
        <f t="shared" si="9"/>
        <v>32367</v>
      </c>
      <c r="T33" s="27">
        <f t="shared" si="129"/>
        <v>847.7</v>
      </c>
      <c r="U33" s="1909">
        <f t="shared" si="10"/>
        <v>38.182139907986311</v>
      </c>
      <c r="V33" s="28"/>
      <c r="W33" s="26">
        <f t="shared" si="11"/>
        <v>24924</v>
      </c>
      <c r="X33" s="5">
        <f t="shared" si="11"/>
        <v>90</v>
      </c>
      <c r="Y33" s="1909">
        <f t="shared" si="12"/>
        <v>276.93333333333334</v>
      </c>
      <c r="Z33" s="33"/>
      <c r="AA33" s="26">
        <f t="shared" si="13"/>
        <v>5756</v>
      </c>
      <c r="AB33" s="27">
        <f t="shared" si="14"/>
        <v>933.74</v>
      </c>
      <c r="AC33" s="1909">
        <f t="shared" si="15"/>
        <v>6.1644569152012334</v>
      </c>
      <c r="AD33" s="28"/>
      <c r="AE33" s="36"/>
      <c r="AF33" s="36"/>
      <c r="AG33" s="53">
        <f t="shared" si="16"/>
        <v>0</v>
      </c>
      <c r="AH33" s="28"/>
      <c r="AI33" s="26"/>
      <c r="AJ33" s="27"/>
      <c r="AK33" s="53">
        <f t="shared" si="17"/>
        <v>0</v>
      </c>
      <c r="AL33" s="28"/>
      <c r="AM33" s="2629"/>
      <c r="AN33" s="9"/>
      <c r="AO33" s="5"/>
      <c r="AP33" s="61">
        <f t="shared" si="18"/>
        <v>0</v>
      </c>
      <c r="AQ33" s="36"/>
      <c r="AR33" s="53"/>
      <c r="AS33" s="61">
        <f t="shared" si="19"/>
        <v>0</v>
      </c>
      <c r="AT33" s="36">
        <v>0</v>
      </c>
      <c r="AU33" s="27"/>
      <c r="AV33" s="54">
        <f t="shared" si="20"/>
        <v>0</v>
      </c>
      <c r="AW33" s="26">
        <v>47754</v>
      </c>
      <c r="AX33" s="24">
        <v>4542.88</v>
      </c>
      <c r="AY33" s="1895">
        <f t="shared" si="140"/>
        <v>10.511833902722502</v>
      </c>
      <c r="AZ33" s="1908"/>
      <c r="BA33" s="1909"/>
      <c r="BB33" s="1895">
        <f t="shared" si="21"/>
        <v>0</v>
      </c>
      <c r="BC33" s="1740">
        <v>43806</v>
      </c>
      <c r="BD33" s="1926">
        <v>1311.78</v>
      </c>
      <c r="BE33" s="1895">
        <f t="shared" si="22"/>
        <v>33.394319169372913</v>
      </c>
      <c r="BF33" s="1908"/>
      <c r="BG33" s="1909"/>
      <c r="BH33" s="1895">
        <f t="shared" si="23"/>
        <v>0</v>
      </c>
      <c r="BI33" s="1908">
        <v>0</v>
      </c>
      <c r="BJ33" s="1909">
        <v>0</v>
      </c>
      <c r="BK33" s="1895">
        <f t="shared" si="24"/>
        <v>0</v>
      </c>
      <c r="BL33" s="2491">
        <v>32367</v>
      </c>
      <c r="BM33" s="1736">
        <v>847.7</v>
      </c>
      <c r="BN33" s="2170"/>
      <c r="BO33" s="1911">
        <f t="shared" si="25"/>
        <v>38.182139907986311</v>
      </c>
      <c r="BP33" s="9">
        <v>5756</v>
      </c>
      <c r="BQ33" s="53">
        <v>933.74</v>
      </c>
      <c r="BR33" s="1920">
        <f t="shared" si="26"/>
        <v>6.1644569152012334</v>
      </c>
      <c r="BS33" s="9"/>
      <c r="BT33" s="64"/>
      <c r="BU33" s="482">
        <f t="shared" si="27"/>
        <v>0</v>
      </c>
      <c r="BV33" s="9">
        <v>24924</v>
      </c>
      <c r="BW33" s="27">
        <f t="shared" si="159"/>
        <v>90</v>
      </c>
      <c r="BX33" s="15">
        <f t="shared" si="166"/>
        <v>276.93333333333334</v>
      </c>
      <c r="BY33" s="4"/>
      <c r="BZ33" s="5"/>
      <c r="CA33" s="482">
        <f t="shared" si="29"/>
        <v>0</v>
      </c>
      <c r="CB33" s="9"/>
      <c r="CC33" s="5"/>
      <c r="CD33" s="482">
        <f t="shared" si="30"/>
        <v>0</v>
      </c>
      <c r="CE33" s="4"/>
      <c r="CF33" s="5"/>
      <c r="CG33" s="28">
        <f t="shared" si="31"/>
        <v>0</v>
      </c>
      <c r="CH33" s="150"/>
      <c r="CI33" s="1108"/>
      <c r="CJ33" s="5">
        <v>5704</v>
      </c>
      <c r="CK33" s="5">
        <v>6881</v>
      </c>
      <c r="CL33" s="5"/>
      <c r="CM33" s="5"/>
      <c r="CN33" s="3">
        <f t="shared" si="131"/>
        <v>12585</v>
      </c>
      <c r="CO33" s="33"/>
      <c r="CP33" s="366"/>
      <c r="CR33" s="4">
        <f t="shared" si="32"/>
        <v>0</v>
      </c>
      <c r="CS33" s="9">
        <f t="shared" si="33"/>
        <v>0</v>
      </c>
      <c r="CT33" s="5">
        <f t="shared" si="34"/>
        <v>0</v>
      </c>
      <c r="CU33" s="5">
        <f t="shared" si="35"/>
        <v>0</v>
      </c>
      <c r="CV33" s="5">
        <f t="shared" si="36"/>
        <v>0</v>
      </c>
      <c r="CW33" s="5">
        <f t="shared" si="37"/>
        <v>0</v>
      </c>
      <c r="CX33" s="5">
        <f t="shared" si="38"/>
        <v>1644.42</v>
      </c>
      <c r="CY33" s="5">
        <f t="shared" si="39"/>
        <v>0</v>
      </c>
      <c r="CZ33" s="5">
        <f t="shared" si="40"/>
        <v>2530.56</v>
      </c>
      <c r="DA33" s="5">
        <f t="shared" si="41"/>
        <v>0</v>
      </c>
      <c r="DB33" s="5">
        <f t="shared" si="42"/>
        <v>3551.12</v>
      </c>
      <c r="DC33" s="12">
        <f t="shared" si="43"/>
        <v>0</v>
      </c>
      <c r="DD33" s="310">
        <f>SUM(CR33:DC33,PX33)</f>
        <v>7726.0999999999995</v>
      </c>
      <c r="DE33" s="2695"/>
      <c r="DF33" s="8"/>
      <c r="DG33" s="9"/>
      <c r="DH33" s="5"/>
      <c r="DI33" s="5"/>
      <c r="DJ33" s="5"/>
      <c r="DK33" s="5"/>
      <c r="DL33" s="3">
        <v>1644.42</v>
      </c>
      <c r="DM33" s="5"/>
      <c r="DN33" s="3">
        <v>0</v>
      </c>
      <c r="DO33" s="5"/>
      <c r="DP33" s="3">
        <v>2898.46</v>
      </c>
      <c r="DQ33" s="11">
        <v>0</v>
      </c>
      <c r="DR33" s="12"/>
      <c r="DS33" s="28">
        <f t="shared" si="45"/>
        <v>4542.88</v>
      </c>
      <c r="DT33" s="36"/>
      <c r="DU33" s="9"/>
      <c r="DV33" s="5"/>
      <c r="DW33" s="5"/>
      <c r="DX33" s="5"/>
      <c r="DY33" s="5"/>
      <c r="DZ33" s="27"/>
      <c r="EA33" s="27"/>
      <c r="EB33" s="3">
        <v>2530.56</v>
      </c>
      <c r="EC33" s="27"/>
      <c r="ED33" s="24">
        <v>562.66</v>
      </c>
      <c r="EE33" s="33"/>
      <c r="EF33" s="28">
        <f t="shared" si="46"/>
        <v>3093.22</v>
      </c>
      <c r="EG33" s="9"/>
      <c r="EH33" s="36"/>
      <c r="EI33" s="27"/>
      <c r="EJ33" s="27"/>
      <c r="EK33" s="27"/>
      <c r="EL33" s="27"/>
      <c r="EM33" s="27"/>
      <c r="EN33" s="27"/>
      <c r="EO33" s="5"/>
      <c r="EP33" s="5"/>
      <c r="EQ33" s="5">
        <v>90</v>
      </c>
      <c r="ER33" s="33"/>
      <c r="ES33" s="28">
        <f t="shared" si="143"/>
        <v>90</v>
      </c>
      <c r="ET33" s="36"/>
      <c r="EU33" s="27"/>
      <c r="EV33" s="27"/>
      <c r="EW33" s="27"/>
      <c r="EX33" s="27"/>
      <c r="EY33" s="27"/>
      <c r="EZ33" s="33">
        <f t="shared" si="48"/>
        <v>0</v>
      </c>
      <c r="FA33" s="2685"/>
      <c r="FC33" s="4">
        <f t="shared" si="49"/>
        <v>0</v>
      </c>
      <c r="FD33" s="5">
        <f t="shared" si="50"/>
        <v>0</v>
      </c>
      <c r="FE33" s="5">
        <f t="shared" si="51"/>
        <v>0</v>
      </c>
      <c r="FF33" s="12">
        <f t="shared" si="52"/>
        <v>0</v>
      </c>
      <c r="FG33" s="33"/>
      <c r="FH33" s="2674"/>
      <c r="FI33" s="9"/>
      <c r="FJ33" s="5"/>
      <c r="FK33" s="5"/>
      <c r="FL33" s="5"/>
      <c r="FM33" s="5"/>
      <c r="FN33" s="27"/>
      <c r="FO33" s="28">
        <f t="shared" si="53"/>
        <v>0</v>
      </c>
      <c r="FP33" s="36"/>
      <c r="FQ33" s="27"/>
      <c r="FR33" s="27"/>
      <c r="FS33" s="27"/>
      <c r="FT33" s="27"/>
      <c r="FU33" s="27"/>
      <c r="FV33" s="28">
        <f t="shared" si="54"/>
        <v>0</v>
      </c>
      <c r="FW33" s="36"/>
      <c r="FX33" s="36"/>
      <c r="FY33" s="27"/>
      <c r="FZ33" s="27"/>
      <c r="GA33" s="27"/>
      <c r="GB33" s="27"/>
      <c r="GC33" s="27"/>
      <c r="GD33" s="27"/>
      <c r="GE33" s="24">
        <v>0</v>
      </c>
      <c r="GF33" s="27"/>
      <c r="GG33" s="27"/>
      <c r="GH33" s="33"/>
      <c r="GI33" s="33">
        <f t="shared" si="55"/>
        <v>0</v>
      </c>
      <c r="GJ33" s="2674"/>
      <c r="GL33" s="2">
        <f t="shared" si="132"/>
        <v>4497.92</v>
      </c>
      <c r="GM33" s="63">
        <f t="shared" si="133"/>
        <v>6564.41</v>
      </c>
      <c r="GN33" s="24">
        <f t="shared" si="134"/>
        <v>5429.01</v>
      </c>
      <c r="GO33" s="1736">
        <f t="shared" si="56"/>
        <v>16491.34</v>
      </c>
      <c r="GP33" s="141"/>
      <c r="GQ33" s="141"/>
      <c r="GR33" s="33"/>
      <c r="GS33" s="2667"/>
      <c r="GT33" s="1739">
        <v>0</v>
      </c>
      <c r="GU33" s="1721">
        <v>446.65</v>
      </c>
      <c r="GV33" s="1721">
        <v>6784.6200000000008</v>
      </c>
      <c r="GW33" s="1721">
        <v>9260.0699999999979</v>
      </c>
      <c r="GX33" s="33">
        <f t="shared" si="135"/>
        <v>16491.339999999997</v>
      </c>
      <c r="GY33" s="2667"/>
      <c r="GZ33" s="35">
        <v>151.6</v>
      </c>
      <c r="HA33" s="152"/>
      <c r="HB33" s="27"/>
      <c r="HC33" s="53"/>
      <c r="HD33" s="27"/>
      <c r="HE33" s="27"/>
      <c r="HF33" s="24">
        <v>0</v>
      </c>
      <c r="HG33" s="27"/>
      <c r="HH33" s="24">
        <v>1534.36</v>
      </c>
      <c r="HI33" s="27"/>
      <c r="HJ33" s="24">
        <v>2516.9100000000003</v>
      </c>
      <c r="HK33" s="27"/>
      <c r="HL33" s="24">
        <v>295.04999999999995</v>
      </c>
      <c r="HM33" s="27"/>
      <c r="HN33" s="28">
        <f t="shared" si="148"/>
        <v>4497.92</v>
      </c>
      <c r="HO33" s="36"/>
      <c r="HP33" s="27"/>
      <c r="HQ33" s="27"/>
      <c r="HR33" s="27"/>
      <c r="HS33" s="27"/>
      <c r="HT33" s="27"/>
      <c r="HU33" s="27">
        <f t="array" ref="HU33">SUMPRODUCT(('Data Base hauling'!$C$2:$C$2000="TCM-ROM SB1 BK05-ROM 4")*(ISNUMBER(SEARCH(TEXT('August TCM'!$B33,"00")&amp;"/03/2026",'Data Base hauling'!$E$2:$E$2000)))*'Data Base hauling'!$N$2:$N$2000)</f>
        <v>0</v>
      </c>
      <c r="HV33" s="27"/>
      <c r="HW33" s="27">
        <f t="array" ref="HW33">SUMPRODUCT(('Data Base hauling'!$C$2:$C$2000="TCM-ROM SB1 BK05-ROM 5")*(ISNUMBER(SEARCH(TEXT('August TCM'!$B33,"00")&amp;"/03/2026",'Data Base hauling'!$E$2:$E$2000)))*'Data Base hauling'!$N$2:$N$2000)</f>
        <v>0</v>
      </c>
      <c r="HX33" s="27"/>
      <c r="HY33" s="27"/>
      <c r="HZ33" s="27"/>
      <c r="IA33" s="27"/>
      <c r="IB33" s="27"/>
      <c r="IC33" s="33">
        <f t="shared" si="58"/>
        <v>0</v>
      </c>
      <c r="ID33" s="52"/>
      <c r="IE33" s="152"/>
      <c r="IF33" s="53"/>
      <c r="IG33" s="53"/>
      <c r="IH33" s="53"/>
      <c r="II33" s="53"/>
      <c r="IJ33" s="1926">
        <v>1848.9199999999998</v>
      </c>
      <c r="IK33" s="1736"/>
      <c r="IL33" s="1926">
        <v>0</v>
      </c>
      <c r="IM33" s="53"/>
      <c r="IN33" s="49">
        <v>4715.49</v>
      </c>
      <c r="IO33" s="53"/>
      <c r="IP33" s="53"/>
      <c r="IQ33" s="49">
        <v>0</v>
      </c>
      <c r="IR33" s="2195">
        <f t="shared" si="149"/>
        <v>6564.41</v>
      </c>
      <c r="IS33" s="152"/>
      <c r="IT33" s="152"/>
      <c r="IU33" s="53"/>
      <c r="IV33" s="53"/>
      <c r="IW33" s="53"/>
      <c r="IX33" s="27"/>
      <c r="IY33" s="24">
        <v>0</v>
      </c>
      <c r="IZ33" s="27"/>
      <c r="JA33" s="24">
        <v>3541.55</v>
      </c>
      <c r="JB33" s="27"/>
      <c r="JC33" s="24">
        <v>1887.46</v>
      </c>
      <c r="JD33" s="27"/>
      <c r="JE33" s="27"/>
      <c r="JF33" s="27"/>
      <c r="JG33" s="33">
        <f t="shared" si="150"/>
        <v>5429.01</v>
      </c>
      <c r="JH33" s="2667"/>
      <c r="JJ33" s="2014">
        <v>8149.89</v>
      </c>
      <c r="JK33" s="2015">
        <v>8341.4499999999989</v>
      </c>
      <c r="JL33" s="53"/>
      <c r="JM33" s="1736">
        <f t="shared" si="61"/>
        <v>16491.34</v>
      </c>
      <c r="JN33" s="33"/>
      <c r="JO33" s="2669"/>
      <c r="JP33" s="66">
        <v>0</v>
      </c>
      <c r="JQ33" s="67">
        <v>0</v>
      </c>
      <c r="JR33" s="67">
        <v>0</v>
      </c>
      <c r="JS33" s="67">
        <v>1.882847498555195E-2</v>
      </c>
      <c r="JT33" s="67">
        <v>0.62281944909685905</v>
      </c>
      <c r="JU33" s="67">
        <v>0.35835207591758905</v>
      </c>
      <c r="JV33" s="67">
        <v>0</v>
      </c>
      <c r="JW33" s="1921">
        <v>0</v>
      </c>
      <c r="JX33" s="66">
        <v>1.8174298233520552E-2</v>
      </c>
      <c r="JY33" s="67">
        <v>0</v>
      </c>
      <c r="JZ33" s="67">
        <v>0</v>
      </c>
      <c r="KA33" s="67">
        <v>0.20325842629279084</v>
      </c>
      <c r="KB33" s="67">
        <v>0</v>
      </c>
      <c r="KC33" s="67">
        <v>0.74319572736154982</v>
      </c>
      <c r="KD33" s="67">
        <v>3.5371548112138773E-2</v>
      </c>
      <c r="KE33" s="68">
        <v>0</v>
      </c>
      <c r="KF33" s="69"/>
      <c r="KG33" s="70"/>
      <c r="KH33" s="70"/>
      <c r="KI33" s="70"/>
      <c r="KJ33" s="70"/>
      <c r="KK33" s="70"/>
      <c r="KL33" s="70"/>
      <c r="KM33" s="70"/>
      <c r="KN33" s="33"/>
      <c r="KO33" s="2669"/>
      <c r="KP33" s="2203">
        <v>7055.6737692872885</v>
      </c>
      <c r="KQ33" s="1721">
        <v>0.7440901298065149</v>
      </c>
      <c r="KR33" s="1721">
        <v>3.3577541023757038</v>
      </c>
      <c r="KS33" s="1721">
        <v>5.6575410237570409</v>
      </c>
      <c r="KT33" s="1722">
        <v>8.8761127661033559</v>
      </c>
      <c r="KU33" s="1958">
        <v>6752.4341654429763</v>
      </c>
      <c r="KV33" s="1961">
        <v>1.5316446402349486</v>
      </c>
      <c r="KW33" s="1961">
        <v>5.0582280959373467</v>
      </c>
      <c r="KX33" s="1961">
        <v>6.8429613313754283</v>
      </c>
      <c r="KY33" s="1962">
        <v>8.8063827704356346</v>
      </c>
      <c r="KZ33" s="36"/>
      <c r="LA33" s="53"/>
      <c r="LB33" s="53"/>
      <c r="LC33" s="53"/>
      <c r="LD33" s="53"/>
      <c r="LE33" s="33"/>
      <c r="LF33" s="2669"/>
      <c r="LH33" s="26">
        <f t="shared" si="160"/>
        <v>19443.719999999998</v>
      </c>
      <c r="LI33" s="27">
        <f t="shared" si="160"/>
        <v>0</v>
      </c>
      <c r="LJ33" s="27">
        <f t="shared" si="160"/>
        <v>0</v>
      </c>
      <c r="LK33" s="28">
        <f t="shared" si="63"/>
        <v>19443.719999999998</v>
      </c>
      <c r="LL33" s="36">
        <v>4</v>
      </c>
      <c r="LM33" s="27"/>
      <c r="LN33" s="27">
        <v>7</v>
      </c>
      <c r="LO33" s="33"/>
      <c r="LP33" s="1957">
        <v>-0.5</v>
      </c>
      <c r="LQ33" s="1128" t="s">
        <v>1084</v>
      </c>
      <c r="LR33" s="2688"/>
      <c r="LS33" s="36">
        <v>19443.719999999998</v>
      </c>
      <c r="LT33" s="36"/>
      <c r="LU33" s="27"/>
      <c r="LV33" s="27"/>
      <c r="LW33" s="27"/>
      <c r="LX33" s="1107">
        <f t="shared" si="64"/>
        <v>19443.719999999998</v>
      </c>
      <c r="LY33" s="36"/>
      <c r="LZ33" s="36"/>
      <c r="MA33" s="27"/>
      <c r="MB33" s="27"/>
      <c r="MC33" s="33"/>
      <c r="MD33" s="28">
        <f t="shared" si="65"/>
        <v>0</v>
      </c>
      <c r="ME33" s="26"/>
      <c r="MF33" s="36"/>
      <c r="MG33" s="27"/>
      <c r="MH33" s="27"/>
      <c r="MI33" s="27"/>
      <c r="MJ33" s="28"/>
      <c r="MK33" s="36"/>
      <c r="ML33" s="152"/>
      <c r="MM33" s="27"/>
      <c r="MN33" s="27"/>
      <c r="MO33" s="27"/>
      <c r="MP33" s="28"/>
      <c r="MQ33" s="36"/>
      <c r="MR33" s="36"/>
      <c r="MS33" s="27"/>
      <c r="MT33" s="27"/>
      <c r="MU33" s="27"/>
      <c r="MV33" s="33">
        <f t="shared" si="66"/>
        <v>0</v>
      </c>
      <c r="MW33" s="2688"/>
      <c r="MY33" s="26">
        <f t="shared" si="67"/>
        <v>313778.690356404</v>
      </c>
      <c r="MZ33" s="27">
        <f t="shared" si="68"/>
        <v>248554.36630375823</v>
      </c>
      <c r="NA33" s="27">
        <f t="shared" si="69"/>
        <v>24027.605697817417</v>
      </c>
      <c r="NB33" s="28">
        <f t="shared" si="70"/>
        <v>319232.15795580426</v>
      </c>
      <c r="NC33" s="2621"/>
      <c r="ND33" s="23">
        <f t="shared" si="71"/>
        <v>164049.692745518</v>
      </c>
      <c r="NE33" s="1655">
        <f t="shared" si="72"/>
        <v>149728.997610886</v>
      </c>
      <c r="NF33" s="60">
        <f t="shared" si="73"/>
        <v>0</v>
      </c>
      <c r="NG33" s="275">
        <f t="shared" si="4"/>
        <v>313778.690356404</v>
      </c>
      <c r="NH33" s="26">
        <f t="shared" si="163"/>
        <v>-363.85</v>
      </c>
      <c r="NI33" s="27">
        <f t="shared" si="163"/>
        <v>0</v>
      </c>
      <c r="NJ33" s="27">
        <f t="shared" si="163"/>
        <v>0</v>
      </c>
      <c r="NK33" s="27">
        <f t="shared" si="163"/>
        <v>0</v>
      </c>
      <c r="NL33" s="27">
        <f t="shared" si="163"/>
        <v>0</v>
      </c>
      <c r="NM33" s="33">
        <f t="shared" si="163"/>
        <v>0</v>
      </c>
      <c r="NN33" s="27">
        <f t="shared" si="163"/>
        <v>0</v>
      </c>
      <c r="NO33" s="36">
        <f t="shared" si="163"/>
        <v>0</v>
      </c>
      <c r="NP33" s="24">
        <f t="shared" si="163"/>
        <v>27343.540605424238</v>
      </c>
      <c r="NQ33" s="27">
        <f t="shared" si="163"/>
        <v>24023.830351777149</v>
      </c>
      <c r="NR33" s="24">
        <f t="shared" si="136"/>
        <v>8392.6982322711574</v>
      </c>
      <c r="NS33" s="24">
        <f t="shared" si="137"/>
        <v>6650.023566410111</v>
      </c>
      <c r="NT33" s="27">
        <f t="shared" si="0"/>
        <v>66046.242755882646</v>
      </c>
      <c r="NU33" s="27">
        <f t="shared" si="75"/>
        <v>0</v>
      </c>
      <c r="NV33" s="27">
        <f t="shared" si="76"/>
        <v>0</v>
      </c>
      <c r="NW33" s="27">
        <f t="shared" si="77"/>
        <v>0</v>
      </c>
      <c r="NX33" s="27">
        <f t="shared" si="78"/>
        <v>0</v>
      </c>
      <c r="NY33" s="27">
        <f t="shared" si="79"/>
        <v>0</v>
      </c>
      <c r="NZ33" s="5">
        <f t="shared" si="80"/>
        <v>0</v>
      </c>
      <c r="OA33" s="27">
        <f t="shared" si="81"/>
        <v>27097.924489662844</v>
      </c>
      <c r="OB33" s="27">
        <f t="shared" si="82"/>
        <v>0</v>
      </c>
      <c r="OC33" s="27">
        <f t="shared" si="83"/>
        <v>58592.049485704156</v>
      </c>
      <c r="OD33" s="27"/>
      <c r="OE33" s="27">
        <f t="shared" si="138"/>
        <v>14383.62</v>
      </c>
      <c r="OF33" s="27">
        <f t="shared" si="84"/>
        <v>0</v>
      </c>
      <c r="OG33" s="28">
        <f t="shared" si="1"/>
        <v>100073.593975367</v>
      </c>
      <c r="OH33" s="27">
        <f t="shared" si="153"/>
        <v>0</v>
      </c>
      <c r="OI33" s="27">
        <f t="shared" si="154"/>
        <v>0</v>
      </c>
      <c r="OJ33" s="27">
        <f t="shared" si="158"/>
        <v>0</v>
      </c>
      <c r="OK33" s="27">
        <f t="shared" si="155"/>
        <v>0</v>
      </c>
      <c r="OL33" s="27">
        <f t="shared" si="156"/>
        <v>0</v>
      </c>
      <c r="OM33" s="27">
        <f t="shared" si="157"/>
        <v>0</v>
      </c>
      <c r="ON33" s="24">
        <f t="shared" si="147"/>
        <v>0</v>
      </c>
      <c r="OO33" s="27">
        <f t="shared" si="145"/>
        <v>0</v>
      </c>
      <c r="OP33" s="24">
        <f t="shared" si="86"/>
        <v>74265.822313713739</v>
      </c>
      <c r="OQ33" s="27">
        <f t="shared" si="87"/>
        <v>0</v>
      </c>
      <c r="OR33" s="24">
        <f t="shared" si="88"/>
        <v>8168.7072587948524</v>
      </c>
      <c r="OS33" s="27">
        <f t="shared" si="164"/>
        <v>0</v>
      </c>
      <c r="OT33" s="28">
        <f t="shared" si="2"/>
        <v>82434.529572508589</v>
      </c>
      <c r="OU33" s="36"/>
      <c r="OV33" s="27"/>
      <c r="OW33" s="27"/>
      <c r="OX33" s="27"/>
      <c r="OY33" s="27"/>
      <c r="OZ33" s="27"/>
      <c r="PA33" s="28">
        <f t="shared" si="90"/>
        <v>0</v>
      </c>
      <c r="PB33" s="36">
        <f t="shared" si="91"/>
        <v>0</v>
      </c>
      <c r="PC33" s="27">
        <f t="shared" si="92"/>
        <v>0</v>
      </c>
      <c r="PD33" s="27">
        <f t="shared" si="93"/>
        <v>0</v>
      </c>
      <c r="PE33" s="27">
        <f t="shared" si="94"/>
        <v>0</v>
      </c>
      <c r="PF33" s="24"/>
      <c r="PG33" s="27">
        <f t="shared" si="95"/>
        <v>0</v>
      </c>
      <c r="PH33" s="33">
        <f t="shared" si="3"/>
        <v>0</v>
      </c>
      <c r="PI33" s="2621"/>
      <c r="PK33" s="1907">
        <v>1011.9</v>
      </c>
      <c r="PL33" s="3">
        <v>1028</v>
      </c>
      <c r="PM33" s="3">
        <v>308.39999999999998</v>
      </c>
      <c r="PN33" s="3">
        <f t="shared" si="165"/>
        <v>295.04999999999995</v>
      </c>
      <c r="PO33" s="3">
        <f t="shared" si="97"/>
        <v>34027.349204532868</v>
      </c>
      <c r="PP33" s="11">
        <f t="shared" si="161"/>
        <v>24027.605697817417</v>
      </c>
      <c r="PQ33" s="15"/>
      <c r="PR33" s="2615"/>
      <c r="PT33" s="4"/>
      <c r="PU33" s="9"/>
      <c r="PV33" s="9"/>
      <c r="PW33" s="9"/>
      <c r="PX33" s="2531">
        <v>0</v>
      </c>
      <c r="PY33" s="9"/>
      <c r="PZ33" s="8">
        <f t="shared" si="99"/>
        <v>0</v>
      </c>
      <c r="QA33" s="5">
        <f t="shared" si="100"/>
        <v>1011.9</v>
      </c>
      <c r="QB33" s="5"/>
      <c r="QC33" s="5"/>
      <c r="QD33" s="5"/>
      <c r="QE33" s="5"/>
      <c r="QF33" s="5"/>
      <c r="QG33" s="12"/>
      <c r="QH33" s="12">
        <f t="shared" si="101"/>
        <v>29562.488999999998</v>
      </c>
      <c r="QI33" s="420">
        <f t="shared" si="102"/>
        <v>285949.38007140427</v>
      </c>
      <c r="QJ33" s="1106">
        <f t="shared" si="139"/>
        <v>3720.2888844000004</v>
      </c>
      <c r="QK33" s="484">
        <f t="shared" si="103"/>
        <v>5505.3678056099998</v>
      </c>
      <c r="QL33" s="12"/>
      <c r="QM33" s="2615"/>
      <c r="QO33" s="139">
        <f t="shared" si="104"/>
        <v>0</v>
      </c>
      <c r="QP33" s="139" t="str">
        <f t="shared" si="105"/>
        <v/>
      </c>
      <c r="QR33" s="139">
        <f t="shared" si="106"/>
        <v>0</v>
      </c>
      <c r="QS33" s="139">
        <f t="shared" si="107"/>
        <v>0</v>
      </c>
      <c r="QU33" s="1">
        <f t="shared" si="108"/>
        <v>0</v>
      </c>
      <c r="QV33" s="1">
        <f t="shared" si="109"/>
        <v>0</v>
      </c>
      <c r="QW33" s="1">
        <f t="shared" si="110"/>
        <v>0</v>
      </c>
      <c r="QX33" s="1">
        <f t="shared" si="111"/>
        <v>0</v>
      </c>
      <c r="QY33" s="1">
        <f t="shared" si="112"/>
        <v>0</v>
      </c>
      <c r="QZ33" s="1">
        <f t="shared" si="113"/>
        <v>0</v>
      </c>
      <c r="RB33" s="1">
        <f t="shared" si="114"/>
        <v>0</v>
      </c>
      <c r="RC33" s="1">
        <f t="shared" si="115"/>
        <v>0</v>
      </c>
      <c r="RD33" s="1">
        <f t="shared" si="116"/>
        <v>0</v>
      </c>
      <c r="RE33" s="1">
        <f t="shared" si="117"/>
        <v>0</v>
      </c>
      <c r="RF33" s="1">
        <f t="shared" si="118"/>
        <v>0</v>
      </c>
      <c r="RG33" s="1">
        <f t="shared" si="119"/>
        <v>0</v>
      </c>
      <c r="RJ33" s="1">
        <v>24</v>
      </c>
      <c r="RK33" s="1">
        <f t="shared" si="151"/>
        <v>60805.576209717095</v>
      </c>
      <c r="RL33" s="1">
        <f t="shared" si="151"/>
        <v>65318.730780483711</v>
      </c>
      <c r="RM33" s="1">
        <f t="shared" si="151"/>
        <v>13404.263703387322</v>
      </c>
      <c r="RN33" s="89">
        <f t="shared" si="5"/>
        <v>139528.57069358812</v>
      </c>
      <c r="RO33" s="1033">
        <v>24</v>
      </c>
      <c r="RP33" s="1098">
        <v>0</v>
      </c>
      <c r="RQ33" s="1098">
        <f t="shared" si="121"/>
        <v>0</v>
      </c>
      <c r="RR33" s="1097">
        <f t="shared" si="121"/>
        <v>0</v>
      </c>
      <c r="RS33" s="1097">
        <f t="shared" si="122"/>
        <v>7636.0999999999995</v>
      </c>
      <c r="RT33" s="1046"/>
      <c r="RU33" s="1928" t="s">
        <v>1085</v>
      </c>
      <c r="RV33" s="1048"/>
      <c r="RX33" s="421">
        <v>24</v>
      </c>
      <c r="RY33" s="1095">
        <f t="shared" si="123"/>
        <v>16491.339999999997</v>
      </c>
      <c r="RZ33" s="1928" t="s">
        <v>1086</v>
      </c>
      <c r="SA33" s="1048"/>
      <c r="SB33" s="1090"/>
      <c r="SC33" s="1090">
        <f t="shared" si="124"/>
        <v>0</v>
      </c>
      <c r="SD33" s="1090"/>
      <c r="SE33" s="1090">
        <f t="shared" si="152"/>
        <v>0</v>
      </c>
      <c r="SG33" s="1">
        <v>24</v>
      </c>
      <c r="SH33" s="1">
        <f t="shared" si="126"/>
        <v>295.04999999999995</v>
      </c>
      <c r="SI33" s="1096" t="s">
        <v>1087</v>
      </c>
    </row>
    <row r="34" spans="1:503" s="1" customFormat="1">
      <c r="B34" s="471">
        <v>25</v>
      </c>
      <c r="C34" s="4">
        <f t="shared" si="127"/>
        <v>167066</v>
      </c>
      <c r="D34" s="2417">
        <f t="shared" si="146"/>
        <v>3561.58</v>
      </c>
      <c r="E34" s="1895">
        <f t="shared" si="6"/>
        <v>46.907833040392184</v>
      </c>
      <c r="F34" s="870"/>
      <c r="G34" s="870"/>
      <c r="H34" s="52"/>
      <c r="I34" s="61"/>
      <c r="J34" s="52"/>
      <c r="K34" s="54"/>
      <c r="L34" s="52"/>
      <c r="M34" s="61"/>
      <c r="N34" s="2629"/>
      <c r="O34" s="4">
        <f t="shared" si="142"/>
        <v>104790</v>
      </c>
      <c r="P34" s="1225">
        <f t="shared" si="7"/>
        <v>85.14</v>
      </c>
      <c r="Q34" s="1913">
        <f t="shared" si="8"/>
        <v>1230.7963354474982</v>
      </c>
      <c r="R34" s="33"/>
      <c r="S34" s="26">
        <f t="shared" si="9"/>
        <v>32447</v>
      </c>
      <c r="T34" s="27">
        <f t="shared" si="129"/>
        <v>1913.6999999999998</v>
      </c>
      <c r="U34" s="1909">
        <f t="shared" si="10"/>
        <v>16.95511313162983</v>
      </c>
      <c r="V34" s="28"/>
      <c r="W34" s="26">
        <f t="shared" si="11"/>
        <v>23765</v>
      </c>
      <c r="X34" s="5">
        <f t="shared" si="11"/>
        <v>856</v>
      </c>
      <c r="Y34" s="1909">
        <f t="shared" si="12"/>
        <v>27.76285046728972</v>
      </c>
      <c r="Z34" s="33"/>
      <c r="AA34" s="26">
        <f t="shared" si="13"/>
        <v>6064</v>
      </c>
      <c r="AB34" s="27">
        <f t="shared" si="14"/>
        <v>706.74</v>
      </c>
      <c r="AC34" s="1909">
        <f t="shared" si="15"/>
        <v>8.5802416730339299</v>
      </c>
      <c r="AD34" s="28"/>
      <c r="AE34" s="36"/>
      <c r="AF34" s="36"/>
      <c r="AG34" s="53">
        <f t="shared" si="16"/>
        <v>0</v>
      </c>
      <c r="AH34" s="28"/>
      <c r="AI34" s="23"/>
      <c r="AJ34" s="27"/>
      <c r="AK34" s="53">
        <f t="shared" si="17"/>
        <v>0</v>
      </c>
      <c r="AL34" s="28"/>
      <c r="AM34" s="2629"/>
      <c r="AN34" s="9"/>
      <c r="AO34" s="5"/>
      <c r="AP34" s="61">
        <f t="shared" si="18"/>
        <v>0</v>
      </c>
      <c r="AQ34" s="36"/>
      <c r="AR34" s="53"/>
      <c r="AS34" s="61">
        <f t="shared" si="19"/>
        <v>0</v>
      </c>
      <c r="AT34" s="36">
        <v>0</v>
      </c>
      <c r="AU34" s="27"/>
      <c r="AV34" s="54">
        <f t="shared" si="20"/>
        <v>0</v>
      </c>
      <c r="AW34" s="26">
        <v>50442</v>
      </c>
      <c r="AX34" s="24">
        <v>85.14</v>
      </c>
      <c r="AY34" s="1895">
        <f t="shared" si="140"/>
        <v>592.45947850599009</v>
      </c>
      <c r="AZ34" s="1908"/>
      <c r="BA34" s="1909"/>
      <c r="BB34" s="1895">
        <f t="shared" si="21"/>
        <v>0</v>
      </c>
      <c r="BC34" s="1740">
        <v>54348</v>
      </c>
      <c r="BD34" s="1926">
        <v>0</v>
      </c>
      <c r="BE34" s="1895">
        <f t="shared" si="22"/>
        <v>0</v>
      </c>
      <c r="BF34" s="1908"/>
      <c r="BG34" s="1909"/>
      <c r="BH34" s="1895">
        <f t="shared" si="23"/>
        <v>0</v>
      </c>
      <c r="BI34" s="1908">
        <v>0</v>
      </c>
      <c r="BJ34" s="1909">
        <v>0</v>
      </c>
      <c r="BK34" s="1895">
        <f t="shared" si="24"/>
        <v>0</v>
      </c>
      <c r="BL34" s="2491">
        <v>32447</v>
      </c>
      <c r="BM34" s="1736">
        <v>1913.6999999999998</v>
      </c>
      <c r="BN34" s="2170"/>
      <c r="BO34" s="1911">
        <f t="shared" si="25"/>
        <v>16.95511313162983</v>
      </c>
      <c r="BP34" s="9">
        <v>6064</v>
      </c>
      <c r="BQ34" s="53">
        <v>706.74</v>
      </c>
      <c r="BR34" s="1920">
        <f t="shared" si="26"/>
        <v>8.5802416730339299</v>
      </c>
      <c r="BS34" s="9"/>
      <c r="BT34" s="64"/>
      <c r="BU34" s="482">
        <f t="shared" si="27"/>
        <v>0</v>
      </c>
      <c r="BV34" s="9">
        <v>23765</v>
      </c>
      <c r="BW34" s="27">
        <f t="shared" si="159"/>
        <v>856</v>
      </c>
      <c r="BX34" s="15">
        <f t="shared" si="166"/>
        <v>27.76285046728972</v>
      </c>
      <c r="BY34" s="4"/>
      <c r="BZ34" s="5"/>
      <c r="CA34" s="482">
        <f t="shared" si="29"/>
        <v>0</v>
      </c>
      <c r="CB34" s="9"/>
      <c r="CC34" s="5"/>
      <c r="CD34" s="482">
        <f t="shared" si="30"/>
        <v>0</v>
      </c>
      <c r="CE34" s="4"/>
      <c r="CF34" s="5"/>
      <c r="CG34" s="28">
        <f t="shared" si="31"/>
        <v>0</v>
      </c>
      <c r="CH34" s="150"/>
      <c r="CI34" s="1108"/>
      <c r="CJ34" s="5">
        <v>2898</v>
      </c>
      <c r="CK34" s="5">
        <v>7234</v>
      </c>
      <c r="CL34" s="5"/>
      <c r="CM34" s="5"/>
      <c r="CN34" s="3">
        <f t="shared" si="131"/>
        <v>10132</v>
      </c>
      <c r="CO34" s="33"/>
      <c r="CP34" s="366"/>
      <c r="CR34" s="4">
        <f t="shared" si="32"/>
        <v>0</v>
      </c>
      <c r="CS34" s="9">
        <f t="shared" si="33"/>
        <v>0</v>
      </c>
      <c r="CT34" s="5">
        <f t="shared" si="34"/>
        <v>0</v>
      </c>
      <c r="CU34" s="5">
        <f t="shared" si="35"/>
        <v>0</v>
      </c>
      <c r="CV34" s="5">
        <f t="shared" si="36"/>
        <v>0</v>
      </c>
      <c r="CW34" s="5">
        <f t="shared" si="37"/>
        <v>0</v>
      </c>
      <c r="CX34" s="5">
        <f t="shared" si="38"/>
        <v>0</v>
      </c>
      <c r="CY34" s="5">
        <f t="shared" si="39"/>
        <v>0</v>
      </c>
      <c r="CZ34" s="5">
        <f t="shared" si="40"/>
        <v>3476.4399999999991</v>
      </c>
      <c r="DA34" s="5">
        <f t="shared" si="41"/>
        <v>0</v>
      </c>
      <c r="DB34" s="5">
        <f t="shared" si="42"/>
        <v>85.14</v>
      </c>
      <c r="DC34" s="12">
        <f t="shared" si="43"/>
        <v>0</v>
      </c>
      <c r="DD34" s="310">
        <f>SUM(CR34:DC34,PX34)</f>
        <v>3561.579999999999</v>
      </c>
      <c r="DE34" s="2695"/>
      <c r="DF34" s="8"/>
      <c r="DG34" s="9"/>
      <c r="DH34" s="5"/>
      <c r="DI34" s="5"/>
      <c r="DJ34" s="5"/>
      <c r="DK34" s="5"/>
      <c r="DL34" s="3">
        <v>0</v>
      </c>
      <c r="DM34" s="5"/>
      <c r="DN34" s="3">
        <v>0</v>
      </c>
      <c r="DO34" s="5"/>
      <c r="DP34" s="3">
        <v>85.14</v>
      </c>
      <c r="DQ34" s="11">
        <v>0</v>
      </c>
      <c r="DR34" s="12"/>
      <c r="DS34" s="28">
        <f t="shared" si="45"/>
        <v>85.14</v>
      </c>
      <c r="DT34" s="36"/>
      <c r="DU34" s="36"/>
      <c r="DV34" s="27"/>
      <c r="DW34" s="27"/>
      <c r="DX34" s="27"/>
      <c r="DY34" s="27"/>
      <c r="DZ34" s="27"/>
      <c r="EA34" s="27"/>
      <c r="EB34" s="3">
        <v>2620.4399999999991</v>
      </c>
      <c r="EC34" s="27"/>
      <c r="ED34" s="24">
        <v>0</v>
      </c>
      <c r="EE34" s="33"/>
      <c r="EF34" s="28">
        <f t="shared" si="46"/>
        <v>2620.4399999999991</v>
      </c>
      <c r="EG34" s="9"/>
      <c r="EH34" s="36"/>
      <c r="EI34" s="27"/>
      <c r="EJ34" s="27"/>
      <c r="EK34" s="27"/>
      <c r="EL34" s="27"/>
      <c r="EM34" s="27"/>
      <c r="EN34" s="27"/>
      <c r="EO34" s="5">
        <v>856</v>
      </c>
      <c r="EP34" s="5"/>
      <c r="EQ34" s="5">
        <v>0</v>
      </c>
      <c r="ER34" s="33"/>
      <c r="ES34" s="28">
        <f t="shared" si="143"/>
        <v>856</v>
      </c>
      <c r="ET34" s="36"/>
      <c r="EU34" s="27"/>
      <c r="EV34" s="27"/>
      <c r="EW34" s="27"/>
      <c r="EX34" s="27"/>
      <c r="EY34" s="27"/>
      <c r="EZ34" s="33">
        <f t="shared" si="48"/>
        <v>0</v>
      </c>
      <c r="FA34" s="2685"/>
      <c r="FC34" s="4">
        <f t="shared" si="49"/>
        <v>0</v>
      </c>
      <c r="FD34" s="5">
        <f t="shared" si="50"/>
        <v>0</v>
      </c>
      <c r="FE34" s="5">
        <f t="shared" si="51"/>
        <v>0</v>
      </c>
      <c r="FF34" s="12">
        <f t="shared" si="52"/>
        <v>0</v>
      </c>
      <c r="FG34" s="33"/>
      <c r="FH34" s="2674"/>
      <c r="FI34" s="9"/>
      <c r="FJ34" s="5"/>
      <c r="FK34" s="5"/>
      <c r="FL34" s="5"/>
      <c r="FM34" s="5"/>
      <c r="FN34" s="27"/>
      <c r="FO34" s="28">
        <f t="shared" si="53"/>
        <v>0</v>
      </c>
      <c r="FP34" s="36"/>
      <c r="FQ34" s="27"/>
      <c r="FR34" s="27"/>
      <c r="FS34" s="27"/>
      <c r="FT34" s="27"/>
      <c r="FU34" s="27"/>
      <c r="FV34" s="28">
        <f t="shared" si="54"/>
        <v>0</v>
      </c>
      <c r="FW34" s="36"/>
      <c r="FX34" s="36"/>
      <c r="FY34" s="27"/>
      <c r="FZ34" s="27"/>
      <c r="GA34" s="27"/>
      <c r="GB34" s="27"/>
      <c r="GC34" s="27"/>
      <c r="GD34" s="27"/>
      <c r="GE34" s="24">
        <v>0</v>
      </c>
      <c r="GF34" s="27"/>
      <c r="GG34" s="27"/>
      <c r="GH34" s="33"/>
      <c r="GI34" s="33">
        <f t="shared" si="55"/>
        <v>0</v>
      </c>
      <c r="GJ34" s="2674"/>
      <c r="GL34" s="2">
        <f t="shared" si="132"/>
        <v>3330.4599999999996</v>
      </c>
      <c r="GM34" s="63">
        <f t="shared" si="133"/>
        <v>3889.7899999999995</v>
      </c>
      <c r="GN34" s="24">
        <f t="shared" si="134"/>
        <v>8769.25</v>
      </c>
      <c r="GO34" s="1736">
        <f t="shared" si="56"/>
        <v>15989.5</v>
      </c>
      <c r="GP34" s="141"/>
      <c r="GQ34" s="141"/>
      <c r="GR34" s="33"/>
      <c r="GS34" s="2667"/>
      <c r="GT34" s="1739">
        <v>0</v>
      </c>
      <c r="GU34" s="1721">
        <v>199.3</v>
      </c>
      <c r="GV34" s="1721">
        <v>6091.4000000000005</v>
      </c>
      <c r="GW34" s="1721">
        <v>9698.8000000000011</v>
      </c>
      <c r="GX34" s="33">
        <f t="shared" si="135"/>
        <v>15989.500000000002</v>
      </c>
      <c r="GY34" s="2667"/>
      <c r="GZ34" s="35">
        <v>0</v>
      </c>
      <c r="HA34" s="36"/>
      <c r="HB34" s="27"/>
      <c r="HC34" s="27"/>
      <c r="HD34" s="27"/>
      <c r="HE34" s="27"/>
      <c r="HF34" s="24">
        <v>0</v>
      </c>
      <c r="HG34" s="27"/>
      <c r="HH34" s="24">
        <v>3131.1599999999994</v>
      </c>
      <c r="HI34" s="27"/>
      <c r="HJ34" s="24">
        <v>0</v>
      </c>
      <c r="HK34" s="27"/>
      <c r="HL34" s="24">
        <v>199.3</v>
      </c>
      <c r="HM34" s="27"/>
      <c r="HN34" s="28">
        <f t="shared" si="148"/>
        <v>3330.4599999999996</v>
      </c>
      <c r="HO34" s="36"/>
      <c r="HP34" s="27"/>
      <c r="HQ34" s="27"/>
      <c r="HR34" s="27"/>
      <c r="HS34" s="27"/>
      <c r="HT34" s="27"/>
      <c r="HU34" s="27">
        <f t="array" ref="HU34">SUMPRODUCT(('Data Base hauling'!$C$2:$C$2000="TCM-ROM SB1 BK05-ROM 4")*(ISNUMBER(SEARCH(TEXT('August TCM'!$B34,"00")&amp;"/03/2026",'Data Base hauling'!$E$2:$E$2000)))*'Data Base hauling'!$N$2:$N$2000)</f>
        <v>0</v>
      </c>
      <c r="HV34" s="27"/>
      <c r="HW34" s="27">
        <f t="array" ref="HW34">SUMPRODUCT(('Data Base hauling'!$C$2:$C$2000="TCM-ROM SB1 BK05-ROM 5")*(ISNUMBER(SEARCH(TEXT('August TCM'!$B34,"00")&amp;"/03/2026",'Data Base hauling'!$E$2:$E$2000)))*'Data Base hauling'!$N$2:$N$2000)</f>
        <v>0</v>
      </c>
      <c r="HX34" s="27"/>
      <c r="HY34" s="27"/>
      <c r="HZ34" s="27"/>
      <c r="IA34" s="27"/>
      <c r="IB34" s="27"/>
      <c r="IC34" s="33">
        <f t="shared" si="58"/>
        <v>0</v>
      </c>
      <c r="ID34" s="52"/>
      <c r="IE34" s="152"/>
      <c r="IF34" s="53"/>
      <c r="IG34" s="53"/>
      <c r="IH34" s="53"/>
      <c r="II34" s="53"/>
      <c r="IJ34" s="1926">
        <v>0</v>
      </c>
      <c r="IK34" s="1736"/>
      <c r="IL34" s="1926">
        <v>0</v>
      </c>
      <c r="IM34" s="53"/>
      <c r="IN34" s="49">
        <v>3889.7899999999995</v>
      </c>
      <c r="IO34" s="53"/>
      <c r="IP34" s="53"/>
      <c r="IQ34" s="49">
        <v>0</v>
      </c>
      <c r="IR34" s="2195">
        <f t="shared" si="149"/>
        <v>3889.7899999999995</v>
      </c>
      <c r="IS34" s="36"/>
      <c r="IT34" s="36"/>
      <c r="IU34" s="27"/>
      <c r="IV34" s="27"/>
      <c r="IW34" s="53"/>
      <c r="IX34" s="27"/>
      <c r="IY34" s="24">
        <v>0</v>
      </c>
      <c r="IZ34" s="27"/>
      <c r="JA34" s="24">
        <v>8769.25</v>
      </c>
      <c r="JB34" s="27"/>
      <c r="JC34" s="24">
        <v>0</v>
      </c>
      <c r="JD34" s="27"/>
      <c r="JE34" s="27"/>
      <c r="JF34" s="27"/>
      <c r="JG34" s="33">
        <f t="shared" si="150"/>
        <v>8769.25</v>
      </c>
      <c r="JH34" s="2667"/>
      <c r="JJ34" s="2014">
        <v>15989.5</v>
      </c>
      <c r="JK34" s="2015">
        <v>0</v>
      </c>
      <c r="JL34" s="53"/>
      <c r="JM34" s="1736">
        <f t="shared" si="61"/>
        <v>15989.5</v>
      </c>
      <c r="JN34" s="33"/>
      <c r="JO34" s="2669"/>
      <c r="JP34" s="66">
        <v>0</v>
      </c>
      <c r="JQ34" s="67">
        <v>0</v>
      </c>
      <c r="JR34" s="67">
        <v>0</v>
      </c>
      <c r="JS34" s="67">
        <v>0</v>
      </c>
      <c r="JT34" s="67">
        <v>0.74426404828168491</v>
      </c>
      <c r="JU34" s="67">
        <v>0.24327152193627063</v>
      </c>
      <c r="JV34" s="67">
        <v>1.2464429782044468E-2</v>
      </c>
      <c r="JW34" s="1921">
        <v>0</v>
      </c>
      <c r="JX34" s="66" t="s">
        <v>296</v>
      </c>
      <c r="JY34" s="67" t="s">
        <v>296</v>
      </c>
      <c r="JZ34" s="67" t="s">
        <v>296</v>
      </c>
      <c r="KA34" s="67" t="s">
        <v>296</v>
      </c>
      <c r="KB34" s="67" t="s">
        <v>296</v>
      </c>
      <c r="KC34" s="67" t="s">
        <v>296</v>
      </c>
      <c r="KD34" s="67" t="s">
        <v>296</v>
      </c>
      <c r="KE34" s="68" t="s">
        <v>296</v>
      </c>
      <c r="KF34" s="69"/>
      <c r="KG34" s="70"/>
      <c r="KH34" s="70"/>
      <c r="KI34" s="70"/>
      <c r="KJ34" s="70"/>
      <c r="KK34" s="70"/>
      <c r="KL34" s="70"/>
      <c r="KM34" s="70"/>
      <c r="KN34" s="33"/>
      <c r="KO34" s="2669"/>
      <c r="KP34" s="2203">
        <v>6980.7544229418154</v>
      </c>
      <c r="KQ34" s="1721">
        <v>0.62591811969087308</v>
      </c>
      <c r="KR34" s="1721">
        <v>4.8533384428690045</v>
      </c>
      <c r="KS34" s="1721">
        <v>6.1075723318643416</v>
      </c>
      <c r="KT34" s="1722">
        <v>8.7059271879670437</v>
      </c>
      <c r="KU34" s="1958">
        <v>0</v>
      </c>
      <c r="KV34" s="1961">
        <v>0</v>
      </c>
      <c r="KW34" s="1961">
        <v>0</v>
      </c>
      <c r="KX34" s="1961">
        <v>0</v>
      </c>
      <c r="KY34" s="1962">
        <v>0</v>
      </c>
      <c r="KZ34" s="36"/>
      <c r="LA34" s="53"/>
      <c r="LB34" s="53"/>
      <c r="LC34" s="53"/>
      <c r="LD34" s="53"/>
      <c r="LE34" s="33"/>
      <c r="LF34" s="2669"/>
      <c r="LH34" s="26">
        <f t="shared" si="160"/>
        <v>14474.686</v>
      </c>
      <c r="LI34" s="27">
        <f t="shared" si="160"/>
        <v>4601.1539999999995</v>
      </c>
      <c r="LJ34" s="27">
        <f t="shared" si="160"/>
        <v>0</v>
      </c>
      <c r="LK34" s="28">
        <f t="shared" si="63"/>
        <v>19075.84</v>
      </c>
      <c r="LL34" s="36">
        <v>4</v>
      </c>
      <c r="LM34" s="27">
        <v>1</v>
      </c>
      <c r="LN34" s="27">
        <v>4</v>
      </c>
      <c r="LO34" s="33"/>
      <c r="LP34" s="1957">
        <v>-0.5</v>
      </c>
      <c r="LQ34" s="486"/>
      <c r="LR34" s="2688"/>
      <c r="LS34" s="36">
        <v>12674.253999999999</v>
      </c>
      <c r="LT34" s="36">
        <v>1900.5059999999999</v>
      </c>
      <c r="LU34" s="27"/>
      <c r="LV34" s="27"/>
      <c r="LW34" s="27"/>
      <c r="LX34" s="1107">
        <f t="shared" si="64"/>
        <v>14574.759999999998</v>
      </c>
      <c r="LY34" s="36">
        <v>1800.432</v>
      </c>
      <c r="LZ34" s="36">
        <v>2700.6479999999997</v>
      </c>
      <c r="MA34" s="27"/>
      <c r="MB34" s="27"/>
      <c r="MC34" s="33"/>
      <c r="MD34" s="28">
        <f t="shared" si="65"/>
        <v>4501.08</v>
      </c>
      <c r="ME34" s="26"/>
      <c r="MF34" s="36"/>
      <c r="MG34" s="27"/>
      <c r="MH34" s="27"/>
      <c r="MI34" s="27"/>
      <c r="MJ34" s="28"/>
      <c r="MK34" s="36"/>
      <c r="ML34" s="36"/>
      <c r="MM34" s="27"/>
      <c r="MN34" s="27"/>
      <c r="MO34" s="27"/>
      <c r="MP34" s="28"/>
      <c r="MQ34" s="36"/>
      <c r="MR34" s="36"/>
      <c r="MS34" s="27"/>
      <c r="MT34" s="27"/>
      <c r="MU34" s="27"/>
      <c r="MV34" s="33">
        <f t="shared" si="66"/>
        <v>0</v>
      </c>
      <c r="MW34" s="2688"/>
      <c r="MY34" s="26">
        <f t="shared" si="67"/>
        <v>310692.35035640397</v>
      </c>
      <c r="MZ34" s="27">
        <f t="shared" si="68"/>
        <v>236325.74630375823</v>
      </c>
      <c r="NA34" s="27">
        <f t="shared" si="69"/>
        <v>24056.305697817417</v>
      </c>
      <c r="NB34" s="28">
        <f t="shared" si="70"/>
        <v>318089.57795580424</v>
      </c>
      <c r="NC34" s="2621"/>
      <c r="ND34" s="23">
        <f t="shared" si="71"/>
        <v>165564.50674551801</v>
      </c>
      <c r="NE34" s="1655">
        <f t="shared" si="72"/>
        <v>145127.84361088599</v>
      </c>
      <c r="NF34" s="60">
        <f t="shared" si="73"/>
        <v>0</v>
      </c>
      <c r="NG34" s="275">
        <f t="shared" si="4"/>
        <v>310692.35035640397</v>
      </c>
      <c r="NH34" s="26">
        <f t="shared" si="163"/>
        <v>-363.85</v>
      </c>
      <c r="NI34" s="27">
        <f t="shared" si="163"/>
        <v>0</v>
      </c>
      <c r="NJ34" s="27">
        <f t="shared" si="163"/>
        <v>0</v>
      </c>
      <c r="NK34" s="27">
        <f t="shared" si="163"/>
        <v>0</v>
      </c>
      <c r="NL34" s="27">
        <f t="shared" si="163"/>
        <v>0</v>
      </c>
      <c r="NM34" s="33">
        <f t="shared" si="163"/>
        <v>0</v>
      </c>
      <c r="NN34" s="27">
        <f t="shared" si="163"/>
        <v>0</v>
      </c>
      <c r="NO34" s="36">
        <f t="shared" si="163"/>
        <v>0</v>
      </c>
      <c r="NP34" s="24">
        <f t="shared" si="163"/>
        <v>25068.380605424238</v>
      </c>
      <c r="NQ34" s="27">
        <f t="shared" si="163"/>
        <v>24023.830351777149</v>
      </c>
      <c r="NR34" s="24">
        <f t="shared" si="136"/>
        <v>8392.6982322711574</v>
      </c>
      <c r="NS34" s="24">
        <f t="shared" si="137"/>
        <v>6650.023566410111</v>
      </c>
      <c r="NT34" s="27">
        <f t="shared" si="0"/>
        <v>63771.082755882657</v>
      </c>
      <c r="NU34" s="27">
        <f t="shared" si="75"/>
        <v>0</v>
      </c>
      <c r="NV34" s="27">
        <f t="shared" si="76"/>
        <v>0</v>
      </c>
      <c r="NW34" s="27">
        <f t="shared" si="77"/>
        <v>0</v>
      </c>
      <c r="NX34" s="27">
        <f t="shared" si="78"/>
        <v>0</v>
      </c>
      <c r="NY34" s="27">
        <f t="shared" si="79"/>
        <v>0</v>
      </c>
      <c r="NZ34" s="5">
        <f t="shared" si="80"/>
        <v>0</v>
      </c>
      <c r="OA34" s="27">
        <f t="shared" si="81"/>
        <v>27097.924489662844</v>
      </c>
      <c r="OB34" s="27">
        <f t="shared" si="82"/>
        <v>0</v>
      </c>
      <c r="OC34" s="27">
        <f t="shared" si="83"/>
        <v>54787.399485704154</v>
      </c>
      <c r="OD34" s="27"/>
      <c r="OE34" s="27">
        <f t="shared" si="138"/>
        <v>14383.62</v>
      </c>
      <c r="OF34" s="27">
        <f t="shared" si="84"/>
        <v>0</v>
      </c>
      <c r="OG34" s="28">
        <f t="shared" si="1"/>
        <v>96268.943975367001</v>
      </c>
      <c r="OH34" s="27">
        <f t="shared" si="153"/>
        <v>0</v>
      </c>
      <c r="OI34" s="27">
        <f t="shared" si="154"/>
        <v>0</v>
      </c>
      <c r="OJ34" s="27">
        <f t="shared" si="158"/>
        <v>0</v>
      </c>
      <c r="OK34" s="27">
        <f t="shared" si="155"/>
        <v>0</v>
      </c>
      <c r="OL34" s="27">
        <f t="shared" si="156"/>
        <v>0</v>
      </c>
      <c r="OM34" s="27">
        <f t="shared" si="157"/>
        <v>0</v>
      </c>
      <c r="ON34" s="24">
        <f t="shared" si="147"/>
        <v>0</v>
      </c>
      <c r="OO34" s="27">
        <f t="shared" si="145"/>
        <v>0</v>
      </c>
      <c r="OP34" s="24">
        <f t="shared" si="86"/>
        <v>68117.012313713742</v>
      </c>
      <c r="OQ34" s="27">
        <f t="shared" si="87"/>
        <v>0</v>
      </c>
      <c r="OR34" s="24">
        <f t="shared" si="88"/>
        <v>8168.7072587948524</v>
      </c>
      <c r="OS34" s="27">
        <f t="shared" si="164"/>
        <v>0</v>
      </c>
      <c r="OT34" s="28">
        <f t="shared" si="2"/>
        <v>76285.719572508591</v>
      </c>
      <c r="OU34" s="36"/>
      <c r="OV34" s="27"/>
      <c r="OW34" s="27"/>
      <c r="OX34" s="27"/>
      <c r="OY34" s="27"/>
      <c r="OZ34" s="27"/>
      <c r="PA34" s="28">
        <f t="shared" si="90"/>
        <v>0</v>
      </c>
      <c r="PB34" s="36">
        <f t="shared" si="91"/>
        <v>0</v>
      </c>
      <c r="PC34" s="27">
        <f t="shared" si="92"/>
        <v>0</v>
      </c>
      <c r="PD34" s="27">
        <f t="shared" si="93"/>
        <v>0</v>
      </c>
      <c r="PE34" s="27">
        <f t="shared" si="94"/>
        <v>0</v>
      </c>
      <c r="PF34" s="24"/>
      <c r="PG34" s="27">
        <f t="shared" si="95"/>
        <v>0</v>
      </c>
      <c r="PH34" s="33">
        <f t="shared" si="3"/>
        <v>0</v>
      </c>
      <c r="PI34" s="2621"/>
      <c r="PK34" s="1907">
        <v>1142.58</v>
      </c>
      <c r="PL34" s="2192">
        <v>760</v>
      </c>
      <c r="PM34" s="2262">
        <v>228</v>
      </c>
      <c r="PN34" s="8">
        <f t="shared" si="165"/>
        <v>199.3</v>
      </c>
      <c r="PO34" s="3">
        <f t="shared" si="97"/>
        <v>34409.929204532869</v>
      </c>
      <c r="PP34" s="11">
        <f t="shared" si="161"/>
        <v>24056.305697817417</v>
      </c>
      <c r="PQ34" s="15"/>
      <c r="PR34" s="2615"/>
      <c r="PT34" s="4"/>
      <c r="PU34" s="9"/>
      <c r="PV34" s="9"/>
      <c r="PW34" s="9"/>
      <c r="PX34" s="2531">
        <v>0</v>
      </c>
      <c r="PY34" s="9"/>
      <c r="PZ34" s="8">
        <f t="shared" si="99"/>
        <v>0</v>
      </c>
      <c r="QA34" s="5">
        <f t="shared" si="100"/>
        <v>1142.58</v>
      </c>
      <c r="QB34" s="5"/>
      <c r="QC34" s="5"/>
      <c r="QD34" s="5"/>
      <c r="QE34" s="5"/>
      <c r="QF34" s="5"/>
      <c r="QG34" s="12"/>
      <c r="QH34" s="12">
        <f t="shared" si="101"/>
        <v>29562.488999999998</v>
      </c>
      <c r="QI34" s="420">
        <f t="shared" si="102"/>
        <v>284806.80007140426</v>
      </c>
      <c r="QJ34" s="1106">
        <f t="shared" si="139"/>
        <v>3720.2888844000004</v>
      </c>
      <c r="QK34" s="484">
        <f t="shared" si="103"/>
        <v>5505.3678056099998</v>
      </c>
      <c r="QL34" s="12"/>
      <c r="QM34" s="2615"/>
      <c r="QO34" s="139">
        <f t="shared" si="104"/>
        <v>0</v>
      </c>
      <c r="QP34" s="139" t="str">
        <f t="shared" si="105"/>
        <v/>
      </c>
      <c r="QR34" s="139">
        <f t="shared" si="106"/>
        <v>0</v>
      </c>
      <c r="QS34" s="139">
        <f t="shared" si="107"/>
        <v>0</v>
      </c>
      <c r="QU34" s="1">
        <f t="shared" si="108"/>
        <v>0</v>
      </c>
      <c r="QV34" s="1">
        <f t="shared" si="109"/>
        <v>0</v>
      </c>
      <c r="QW34" s="1">
        <f t="shared" si="110"/>
        <v>0</v>
      </c>
      <c r="QX34" s="1">
        <f t="shared" si="111"/>
        <v>0</v>
      </c>
      <c r="QY34" s="1">
        <f t="shared" si="112"/>
        <v>0</v>
      </c>
      <c r="QZ34" s="1">
        <f t="shared" si="113"/>
        <v>0</v>
      </c>
      <c r="RB34" s="1">
        <f t="shared" si="114"/>
        <v>0</v>
      </c>
      <c r="RC34" s="1">
        <f t="shared" si="115"/>
        <v>0</v>
      </c>
      <c r="RD34" s="1">
        <f t="shared" si="116"/>
        <v>0</v>
      </c>
      <c r="RE34" s="1">
        <f t="shared" si="117"/>
        <v>0</v>
      </c>
      <c r="RF34" s="1">
        <f t="shared" si="118"/>
        <v>0</v>
      </c>
      <c r="RG34" s="1">
        <f t="shared" si="119"/>
        <v>0</v>
      </c>
      <c r="RJ34" s="1">
        <v>25</v>
      </c>
      <c r="RK34" s="1">
        <f t="shared" si="151"/>
        <v>62320.390209717094</v>
      </c>
      <c r="RL34" s="1">
        <f t="shared" si="151"/>
        <v>60717.576780483709</v>
      </c>
      <c r="RM34" s="1">
        <f t="shared" si="151"/>
        <v>13404.263703387322</v>
      </c>
      <c r="RN34" s="89">
        <f t="shared" si="5"/>
        <v>136442.23069358812</v>
      </c>
      <c r="RO34" s="1033">
        <v>25</v>
      </c>
      <c r="RP34" s="1098">
        <v>0</v>
      </c>
      <c r="RQ34" s="1098">
        <f t="shared" si="121"/>
        <v>0</v>
      </c>
      <c r="RR34" s="1097">
        <f t="shared" si="121"/>
        <v>0</v>
      </c>
      <c r="RS34" s="1097">
        <f t="shared" si="122"/>
        <v>2705.58</v>
      </c>
      <c r="RT34" s="1094"/>
      <c r="RU34" s="2420">
        <v>2608254095</v>
      </c>
      <c r="RX34" s="421">
        <v>25</v>
      </c>
      <c r="RY34" s="1095">
        <f t="shared" si="123"/>
        <v>15989.500000000002</v>
      </c>
      <c r="RZ34" s="1928">
        <v>26082510790</v>
      </c>
      <c r="SB34" s="1090"/>
      <c r="SC34" s="1090">
        <f t="shared" si="124"/>
        <v>0</v>
      </c>
      <c r="SD34" s="1090"/>
      <c r="SE34" s="1090">
        <f t="shared" si="152"/>
        <v>0</v>
      </c>
      <c r="SG34" s="1">
        <v>25</v>
      </c>
      <c r="SH34" s="1">
        <f t="shared" si="126"/>
        <v>199.3</v>
      </c>
      <c r="SI34" s="1094" t="s">
        <v>1088</v>
      </c>
    </row>
    <row r="35" spans="1:503" s="1" customFormat="1">
      <c r="B35" s="471">
        <v>26</v>
      </c>
      <c r="C35" s="4">
        <f t="shared" si="127"/>
        <v>154110</v>
      </c>
      <c r="D35" s="1590">
        <f t="shared" si="146"/>
        <v>5248.58</v>
      </c>
      <c r="E35" s="1895">
        <f t="shared" si="6"/>
        <v>29.362227497723193</v>
      </c>
      <c r="F35" s="870"/>
      <c r="G35" s="870"/>
      <c r="H35" s="52"/>
      <c r="I35" s="61"/>
      <c r="J35" s="52"/>
      <c r="K35" s="54"/>
      <c r="L35" s="52"/>
      <c r="M35" s="61"/>
      <c r="N35" s="2629"/>
      <c r="O35" s="4">
        <f t="shared" si="142"/>
        <v>91896</v>
      </c>
      <c r="P35" s="1225">
        <f t="shared" si="7"/>
        <v>0</v>
      </c>
      <c r="Q35" s="1913">
        <f t="shared" si="8"/>
        <v>0</v>
      </c>
      <c r="R35" s="33"/>
      <c r="S35" s="26">
        <f t="shared" si="9"/>
        <v>30555</v>
      </c>
      <c r="T35" s="27">
        <f t="shared" si="129"/>
        <v>2494.4199999999996</v>
      </c>
      <c r="U35" s="1909">
        <f t="shared" si="10"/>
        <v>12.249340528058628</v>
      </c>
      <c r="V35" s="28"/>
      <c r="W35" s="26">
        <f t="shared" si="11"/>
        <v>25329</v>
      </c>
      <c r="X35" s="5">
        <f t="shared" si="11"/>
        <v>1948</v>
      </c>
      <c r="Y35" s="1909">
        <f t="shared" si="12"/>
        <v>13.002566735112936</v>
      </c>
      <c r="Z35" s="33"/>
      <c r="AA35" s="26">
        <f t="shared" si="13"/>
        <v>6330</v>
      </c>
      <c r="AB35" s="27">
        <f t="shared" si="14"/>
        <v>806.16000000000008</v>
      </c>
      <c r="AC35" s="1909">
        <f t="shared" si="15"/>
        <v>7.8520392974099424</v>
      </c>
      <c r="AD35" s="28"/>
      <c r="AE35" s="36"/>
      <c r="AF35" s="36"/>
      <c r="AG35" s="53">
        <f t="shared" si="16"/>
        <v>0</v>
      </c>
      <c r="AH35" s="28"/>
      <c r="AI35" s="26"/>
      <c r="AJ35" s="27"/>
      <c r="AK35" s="53">
        <f t="shared" si="17"/>
        <v>0</v>
      </c>
      <c r="AL35" s="28"/>
      <c r="AM35" s="2629"/>
      <c r="AN35" s="9"/>
      <c r="AO35" s="5"/>
      <c r="AP35" s="61">
        <f t="shared" si="18"/>
        <v>0</v>
      </c>
      <c r="AQ35" s="36"/>
      <c r="AR35" s="53"/>
      <c r="AS35" s="61">
        <f t="shared" si="19"/>
        <v>0</v>
      </c>
      <c r="AT35" s="36">
        <v>0</v>
      </c>
      <c r="AU35" s="27"/>
      <c r="AV35" s="54">
        <f t="shared" si="20"/>
        <v>0</v>
      </c>
      <c r="AW35" s="26">
        <v>43176</v>
      </c>
      <c r="AX35" s="24">
        <v>0</v>
      </c>
      <c r="AY35" s="1895">
        <f t="shared" si="140"/>
        <v>0</v>
      </c>
      <c r="AZ35" s="1908"/>
      <c r="BA35" s="1909"/>
      <c r="BB35" s="1895">
        <f t="shared" si="21"/>
        <v>0</v>
      </c>
      <c r="BC35" s="1908">
        <v>48720</v>
      </c>
      <c r="BD35" s="1926">
        <v>0</v>
      </c>
      <c r="BE35" s="1895">
        <f t="shared" si="22"/>
        <v>0</v>
      </c>
      <c r="BF35" s="1908"/>
      <c r="BG35" s="1909"/>
      <c r="BH35" s="1895">
        <f t="shared" si="23"/>
        <v>0</v>
      </c>
      <c r="BI35" s="1908">
        <v>0</v>
      </c>
      <c r="BJ35" s="1909">
        <v>0</v>
      </c>
      <c r="BK35" s="1895">
        <f t="shared" si="24"/>
        <v>0</v>
      </c>
      <c r="BL35" s="2491">
        <v>30555</v>
      </c>
      <c r="BM35" s="1736">
        <v>2494.4199999999996</v>
      </c>
      <c r="BN35" s="2170"/>
      <c r="BO35" s="1895">
        <f t="shared" si="25"/>
        <v>12.249340528058628</v>
      </c>
      <c r="BP35" s="9">
        <v>6330</v>
      </c>
      <c r="BQ35" s="53">
        <v>806.16000000000008</v>
      </c>
      <c r="BR35" s="1735">
        <f t="shared" si="26"/>
        <v>7.8520392974099424</v>
      </c>
      <c r="BS35" s="36"/>
      <c r="BT35" s="53"/>
      <c r="BU35" s="61">
        <f t="shared" si="27"/>
        <v>0</v>
      </c>
      <c r="BV35" s="36">
        <v>25329</v>
      </c>
      <c r="BW35" s="27">
        <f t="shared" si="159"/>
        <v>1948</v>
      </c>
      <c r="BX35" s="28">
        <f t="shared" si="166"/>
        <v>13.002566735112936</v>
      </c>
      <c r="BY35" s="4"/>
      <c r="BZ35" s="5"/>
      <c r="CA35" s="61">
        <f t="shared" si="29"/>
        <v>0</v>
      </c>
      <c r="CB35" s="36"/>
      <c r="CC35" s="5"/>
      <c r="CD35" s="61">
        <f t="shared" si="30"/>
        <v>0</v>
      </c>
      <c r="CE35" s="26"/>
      <c r="CF35" s="5"/>
      <c r="CG35" s="28">
        <f t="shared" si="31"/>
        <v>0</v>
      </c>
      <c r="CH35" s="150"/>
      <c r="CI35" s="1108"/>
      <c r="CJ35" s="5">
        <v>1917</v>
      </c>
      <c r="CK35" s="5">
        <v>6298</v>
      </c>
      <c r="CL35" s="5"/>
      <c r="CM35" s="5"/>
      <c r="CN35" s="3">
        <f t="shared" si="131"/>
        <v>8215</v>
      </c>
      <c r="CO35" s="33"/>
      <c r="CP35" s="366"/>
      <c r="CR35" s="4">
        <f t="shared" si="32"/>
        <v>0</v>
      </c>
      <c r="CS35" s="9">
        <f t="shared" si="33"/>
        <v>0</v>
      </c>
      <c r="CT35" s="5">
        <f t="shared" si="34"/>
        <v>0</v>
      </c>
      <c r="CU35" s="5">
        <f t="shared" si="35"/>
        <v>0</v>
      </c>
      <c r="CV35" s="5">
        <f t="shared" si="36"/>
        <v>0</v>
      </c>
      <c r="CW35" s="5">
        <f t="shared" si="37"/>
        <v>0</v>
      </c>
      <c r="CX35" s="5">
        <f t="shared" si="38"/>
        <v>0</v>
      </c>
      <c r="CY35" s="5">
        <f t="shared" si="39"/>
        <v>0</v>
      </c>
      <c r="CZ35" s="5">
        <f t="shared" si="40"/>
        <v>5248.58</v>
      </c>
      <c r="DA35" s="5">
        <f t="shared" si="41"/>
        <v>0</v>
      </c>
      <c r="DB35" s="5">
        <f t="shared" si="42"/>
        <v>0</v>
      </c>
      <c r="DC35" s="12">
        <f t="shared" si="43"/>
        <v>0</v>
      </c>
      <c r="DD35" s="310">
        <f>SUM(CR35:DC35,PX35)</f>
        <v>5248.58</v>
      </c>
      <c r="DE35" s="2695"/>
      <c r="DF35" s="8"/>
      <c r="DG35" s="9"/>
      <c r="DH35" s="5"/>
      <c r="DI35" s="5"/>
      <c r="DJ35" s="5"/>
      <c r="DK35" s="5"/>
      <c r="DL35" s="3">
        <v>0</v>
      </c>
      <c r="DM35" s="5"/>
      <c r="DN35" s="3">
        <v>0</v>
      </c>
      <c r="DO35" s="5"/>
      <c r="DP35" s="3">
        <v>0</v>
      </c>
      <c r="DQ35" s="11">
        <v>0</v>
      </c>
      <c r="DR35" s="12"/>
      <c r="DS35" s="28">
        <f t="shared" si="45"/>
        <v>0</v>
      </c>
      <c r="DT35" s="36"/>
      <c r="DU35" s="36"/>
      <c r="DV35" s="27"/>
      <c r="DW35" s="27"/>
      <c r="DX35" s="27"/>
      <c r="DY35" s="27"/>
      <c r="DZ35" s="27"/>
      <c r="EA35" s="27"/>
      <c r="EB35" s="3">
        <v>3300.58</v>
      </c>
      <c r="EC35" s="27"/>
      <c r="ED35" s="24">
        <v>0</v>
      </c>
      <c r="EE35" s="33"/>
      <c r="EF35" s="28">
        <f t="shared" si="46"/>
        <v>3300.58</v>
      </c>
      <c r="EG35" s="9"/>
      <c r="EH35" s="36"/>
      <c r="EI35" s="27"/>
      <c r="EJ35" s="27"/>
      <c r="EK35" s="27"/>
      <c r="EL35" s="27"/>
      <c r="EM35" s="27"/>
      <c r="EN35" s="27"/>
      <c r="EO35" s="5">
        <v>1948</v>
      </c>
      <c r="EP35" s="5"/>
      <c r="EQ35" s="5">
        <v>0</v>
      </c>
      <c r="ER35" s="33"/>
      <c r="ES35" s="28">
        <f t="shared" si="143"/>
        <v>1948</v>
      </c>
      <c r="ET35" s="36"/>
      <c r="EU35" s="27"/>
      <c r="EV35" s="27"/>
      <c r="EW35" s="27"/>
      <c r="EX35" s="27"/>
      <c r="EY35" s="27"/>
      <c r="EZ35" s="33">
        <f t="shared" si="48"/>
        <v>0</v>
      </c>
      <c r="FA35" s="2685"/>
      <c r="FC35" s="4">
        <f t="shared" si="49"/>
        <v>0</v>
      </c>
      <c r="FD35" s="5">
        <f t="shared" si="50"/>
        <v>0</v>
      </c>
      <c r="FE35" s="5">
        <f>+GI35</f>
        <v>0</v>
      </c>
      <c r="FF35" s="12">
        <f t="shared" si="52"/>
        <v>0</v>
      </c>
      <c r="FG35" s="33"/>
      <c r="FH35" s="2674"/>
      <c r="FI35" s="9"/>
      <c r="FJ35" s="5"/>
      <c r="FK35" s="5"/>
      <c r="FL35" s="5"/>
      <c r="FM35" s="5"/>
      <c r="FN35" s="27"/>
      <c r="FO35" s="28">
        <f t="shared" si="53"/>
        <v>0</v>
      </c>
      <c r="FP35" s="36"/>
      <c r="FQ35" s="27"/>
      <c r="FR35" s="27"/>
      <c r="FS35" s="27"/>
      <c r="FT35" s="27"/>
      <c r="FU35" s="27"/>
      <c r="FV35" s="28">
        <f t="shared" si="54"/>
        <v>0</v>
      </c>
      <c r="FW35" s="36"/>
      <c r="FX35" s="36"/>
      <c r="FY35" s="27"/>
      <c r="FZ35" s="27"/>
      <c r="GA35" s="27"/>
      <c r="GB35" s="27"/>
      <c r="GC35" s="27"/>
      <c r="GD35" s="27"/>
      <c r="GE35" s="24">
        <v>0</v>
      </c>
      <c r="GF35" s="27"/>
      <c r="GG35" s="27"/>
      <c r="GH35" s="33"/>
      <c r="GI35" s="33">
        <f t="shared" si="55"/>
        <v>0</v>
      </c>
      <c r="GJ35" s="2674"/>
      <c r="GL35" s="2">
        <f t="shared" si="132"/>
        <v>3965.2</v>
      </c>
      <c r="GM35" s="63">
        <f t="shared" si="133"/>
        <v>8253.27</v>
      </c>
      <c r="GN35" s="24">
        <f t="shared" si="134"/>
        <v>4839.1900000000005</v>
      </c>
      <c r="GO35" s="1736">
        <f t="shared" si="56"/>
        <v>17057.660000000003</v>
      </c>
      <c r="GP35" s="141"/>
      <c r="GQ35" s="141"/>
      <c r="GR35" s="33"/>
      <c r="GS35" s="2667"/>
      <c r="GT35" s="1739">
        <v>0</v>
      </c>
      <c r="GU35" s="1721">
        <v>351</v>
      </c>
      <c r="GV35" s="1721">
        <v>7101.27</v>
      </c>
      <c r="GW35" s="1721">
        <v>9605.39</v>
      </c>
      <c r="GX35" s="33">
        <f t="shared" si="135"/>
        <v>17057.66</v>
      </c>
      <c r="GY35" s="2667"/>
      <c r="GZ35" s="35">
        <v>94.8</v>
      </c>
      <c r="HA35" s="36"/>
      <c r="HB35" s="27"/>
      <c r="HC35" s="27"/>
      <c r="HD35" s="27"/>
      <c r="HE35" s="27"/>
      <c r="HF35" s="24">
        <v>0</v>
      </c>
      <c r="HG35" s="27"/>
      <c r="HH35" s="24">
        <v>1892.01</v>
      </c>
      <c r="HI35" s="27"/>
      <c r="HJ35" s="24">
        <v>1722.1899999999998</v>
      </c>
      <c r="HK35" s="27"/>
      <c r="HL35" s="24">
        <v>256.2</v>
      </c>
      <c r="HM35" s="27"/>
      <c r="HN35" s="28">
        <f t="shared" si="148"/>
        <v>3965.2</v>
      </c>
      <c r="HO35" s="36"/>
      <c r="HP35" s="27"/>
      <c r="HQ35" s="27"/>
      <c r="HR35" s="27"/>
      <c r="HS35" s="27"/>
      <c r="HT35" s="27"/>
      <c r="HU35" s="27">
        <f t="array" ref="HU35">SUMPRODUCT(('Data Base hauling'!$C$2:$C$2000="TCM-ROM SB1 BK05-ROM 4")*(ISNUMBER(SEARCH(TEXT('August TCM'!$B35,"00")&amp;"/03/2026",'Data Base hauling'!$E$2:$E$2000)))*'Data Base hauling'!$N$2:$N$2000)</f>
        <v>0</v>
      </c>
      <c r="HV35" s="27"/>
      <c r="HW35" s="27">
        <f t="array" ref="HW35">SUMPRODUCT(('Data Base hauling'!$C$2:$C$2000="TCM-ROM SB1 BK05-ROM 5")*(ISNUMBER(SEARCH(TEXT('August TCM'!$B35,"00")&amp;"/03/2026",'Data Base hauling'!$E$2:$E$2000)))*'Data Base hauling'!$N$2:$N$2000)</f>
        <v>0</v>
      </c>
      <c r="HX35" s="27"/>
      <c r="HY35" s="27"/>
      <c r="HZ35" s="27"/>
      <c r="IA35" s="27"/>
      <c r="IB35" s="27"/>
      <c r="IC35" s="33">
        <f t="shared" si="58"/>
        <v>0</v>
      </c>
      <c r="ID35" s="52"/>
      <c r="IE35" s="152"/>
      <c r="IF35" s="53"/>
      <c r="IG35" s="53"/>
      <c r="IH35" s="53"/>
      <c r="II35" s="53"/>
      <c r="IJ35" s="1926">
        <v>3736.7700000000004</v>
      </c>
      <c r="IK35" s="1736"/>
      <c r="IL35" s="1926">
        <v>0</v>
      </c>
      <c r="IM35" s="53"/>
      <c r="IN35" s="49">
        <v>4516.4999999999991</v>
      </c>
      <c r="IO35" s="53"/>
      <c r="IP35" s="53"/>
      <c r="IQ35" s="49">
        <v>0</v>
      </c>
      <c r="IR35" s="2195">
        <f t="shared" si="149"/>
        <v>8253.27</v>
      </c>
      <c r="IS35" s="36"/>
      <c r="IT35" s="36"/>
      <c r="IU35" s="27"/>
      <c r="IV35" s="27"/>
      <c r="IW35" s="53"/>
      <c r="IX35" s="27"/>
      <c r="IY35" s="24">
        <v>0</v>
      </c>
      <c r="IZ35" s="27"/>
      <c r="JA35" s="24">
        <v>3083.44</v>
      </c>
      <c r="JB35" s="27"/>
      <c r="JC35" s="24">
        <v>1755.75</v>
      </c>
      <c r="JD35" s="27"/>
      <c r="JE35" s="27"/>
      <c r="JF35" s="27"/>
      <c r="JG35" s="33">
        <f t="shared" si="150"/>
        <v>4839.1900000000005</v>
      </c>
      <c r="JH35" s="2667"/>
      <c r="JJ35" s="2014">
        <v>7767.34</v>
      </c>
      <c r="JK35" s="2015">
        <v>9290.3200000000033</v>
      </c>
      <c r="JL35" s="53"/>
      <c r="JM35" s="1736">
        <f t="shared" si="61"/>
        <v>17057.660000000003</v>
      </c>
      <c r="JN35" s="33"/>
      <c r="JO35" s="2669"/>
      <c r="JP35" s="66">
        <v>0</v>
      </c>
      <c r="JQ35" s="67">
        <v>0</v>
      </c>
      <c r="JR35" s="67">
        <v>0</v>
      </c>
      <c r="JS35" s="67">
        <v>9.6347011975785796E-2</v>
      </c>
      <c r="JT35" s="67">
        <v>0.62140964603068738</v>
      </c>
      <c r="JU35" s="67">
        <v>0.28224334199352674</v>
      </c>
      <c r="JV35" s="67">
        <v>0</v>
      </c>
      <c r="JW35" s="1921">
        <v>0</v>
      </c>
      <c r="JX35" s="66">
        <v>1.020416950115819E-2</v>
      </c>
      <c r="JY35" s="67">
        <v>0</v>
      </c>
      <c r="JZ35" s="67">
        <v>0</v>
      </c>
      <c r="KA35" s="67">
        <v>0.32166922129700581</v>
      </c>
      <c r="KB35" s="67">
        <v>1.6011289169802542E-2</v>
      </c>
      <c r="KC35" s="67">
        <v>0.62453822903839673</v>
      </c>
      <c r="KD35" s="67">
        <v>2.7577090993636377E-2</v>
      </c>
      <c r="KE35" s="68">
        <v>0</v>
      </c>
      <c r="KF35" s="69"/>
      <c r="KG35" s="70"/>
      <c r="KH35" s="70"/>
      <c r="KI35" s="70"/>
      <c r="KJ35" s="70"/>
      <c r="KK35" s="70"/>
      <c r="KL35" s="70"/>
      <c r="KM35" s="70"/>
      <c r="KN35" s="33"/>
      <c r="KO35" s="2669"/>
      <c r="KP35" s="2203">
        <v>7054.404540763674</v>
      </c>
      <c r="KQ35" s="1721">
        <v>0.6493498452012384</v>
      </c>
      <c r="KR35" s="1721">
        <v>4.6623529411764704</v>
      </c>
      <c r="KS35" s="1721">
        <v>5.9508462332301342</v>
      </c>
      <c r="KT35" s="1722">
        <v>9.3445551001031983</v>
      </c>
      <c r="KU35" s="1958">
        <v>6832.8983638530717</v>
      </c>
      <c r="KV35" s="1961">
        <v>1.840430165781775</v>
      </c>
      <c r="KW35" s="1961">
        <v>7.3519016144761089</v>
      </c>
      <c r="KX35" s="1961">
        <v>4.8895449127749488</v>
      </c>
      <c r="KY35" s="1962">
        <v>9.0464808161230899</v>
      </c>
      <c r="KZ35" s="36"/>
      <c r="LA35" s="53"/>
      <c r="LB35" s="53"/>
      <c r="LC35" s="53"/>
      <c r="LD35" s="53"/>
      <c r="LE35" s="33"/>
      <c r="LF35" s="2669"/>
      <c r="LH35" s="26">
        <f t="shared" si="160"/>
        <v>2471.0400000000004</v>
      </c>
      <c r="LI35" s="27">
        <f t="shared" si="160"/>
        <v>617.7600000000001</v>
      </c>
      <c r="LJ35" s="27">
        <f t="shared" si="160"/>
        <v>0</v>
      </c>
      <c r="LK35" s="28">
        <f t="shared" si="63"/>
        <v>3088.8000000000006</v>
      </c>
      <c r="LL35" s="36">
        <v>1</v>
      </c>
      <c r="LM35" s="27"/>
      <c r="LN35" s="27">
        <v>4</v>
      </c>
      <c r="LO35" s="33"/>
      <c r="LP35" s="1957">
        <v>-0.5</v>
      </c>
      <c r="LQ35" s="486"/>
      <c r="LR35" s="2688"/>
      <c r="LS35" s="36">
        <v>2471.0400000000004</v>
      </c>
      <c r="LT35" s="36">
        <v>617.7600000000001</v>
      </c>
      <c r="LU35" s="27"/>
      <c r="LV35" s="27"/>
      <c r="LW35" s="27"/>
      <c r="LX35" s="1107">
        <f t="shared" si="64"/>
        <v>3088.8000000000006</v>
      </c>
      <c r="LY35" s="36"/>
      <c r="LZ35" s="36"/>
      <c r="MA35" s="27"/>
      <c r="MB35" s="27"/>
      <c r="MC35" s="33"/>
      <c r="MD35" s="28">
        <f t="shared" si="65"/>
        <v>0</v>
      </c>
      <c r="ME35" s="26"/>
      <c r="MF35" s="36"/>
      <c r="MG35" s="27"/>
      <c r="MH35" s="27"/>
      <c r="MI35" s="27"/>
      <c r="MJ35" s="28"/>
      <c r="MK35" s="36"/>
      <c r="ML35" s="36"/>
      <c r="MM35" s="27"/>
      <c r="MN35" s="27"/>
      <c r="MO35" s="27"/>
      <c r="MP35" s="28"/>
      <c r="MQ35" s="36"/>
      <c r="MR35" s="36"/>
      <c r="MS35" s="27"/>
      <c r="MT35" s="27"/>
      <c r="MU35" s="27"/>
      <c r="MV35" s="33">
        <f t="shared" si="66"/>
        <v>0</v>
      </c>
      <c r="MW35" s="2688"/>
      <c r="MY35" s="26">
        <f t="shared" si="67"/>
        <v>324661.21035640396</v>
      </c>
      <c r="MZ35" s="27">
        <f t="shared" si="68"/>
        <v>224678.06630375824</v>
      </c>
      <c r="NA35" s="27">
        <f t="shared" si="69"/>
        <v>24169.705697817415</v>
      </c>
      <c r="NB35" s="28">
        <f t="shared" si="70"/>
        <v>316827.75795580423</v>
      </c>
      <c r="NC35" s="2621"/>
      <c r="ND35" s="23">
        <f t="shared" si="71"/>
        <v>170860.806745518</v>
      </c>
      <c r="NE35" s="1655">
        <f t="shared" si="72"/>
        <v>153800.40361088599</v>
      </c>
      <c r="NF35" s="60">
        <f t="shared" si="73"/>
        <v>0</v>
      </c>
      <c r="NG35" s="275">
        <f t="shared" si="4"/>
        <v>324661.21035640396</v>
      </c>
      <c r="NH35" s="26">
        <f t="shared" si="163"/>
        <v>-458.65000000000003</v>
      </c>
      <c r="NI35" s="27">
        <f t="shared" si="163"/>
        <v>0</v>
      </c>
      <c r="NJ35" s="27">
        <f t="shared" si="163"/>
        <v>0</v>
      </c>
      <c r="NK35" s="27">
        <f t="shared" si="163"/>
        <v>0</v>
      </c>
      <c r="NL35" s="27">
        <f t="shared" si="163"/>
        <v>0</v>
      </c>
      <c r="NM35" s="33">
        <f t="shared" si="163"/>
        <v>0</v>
      </c>
      <c r="NN35" s="27">
        <f t="shared" si="163"/>
        <v>0</v>
      </c>
      <c r="NO35" s="36">
        <f t="shared" si="163"/>
        <v>0</v>
      </c>
      <c r="NP35" s="24">
        <f t="shared" si="163"/>
        <v>25124.370605424239</v>
      </c>
      <c r="NQ35" s="27">
        <f t="shared" si="163"/>
        <v>24023.830351777149</v>
      </c>
      <c r="NR35" s="24">
        <f t="shared" si="136"/>
        <v>8297.8982322711581</v>
      </c>
      <c r="NS35" s="24">
        <f t="shared" si="137"/>
        <v>4927.8335664101114</v>
      </c>
      <c r="NT35" s="27">
        <f t="shared" si="0"/>
        <v>61915.282755882654</v>
      </c>
      <c r="NU35" s="27">
        <f t="shared" si="75"/>
        <v>0</v>
      </c>
      <c r="NV35" s="27">
        <f t="shared" si="76"/>
        <v>0</v>
      </c>
      <c r="NW35" s="27">
        <f t="shared" si="77"/>
        <v>0</v>
      </c>
      <c r="NX35" s="27">
        <f t="shared" si="78"/>
        <v>0</v>
      </c>
      <c r="NY35" s="27">
        <f t="shared" si="79"/>
        <v>0</v>
      </c>
      <c r="NZ35" s="5">
        <f t="shared" si="80"/>
        <v>0</v>
      </c>
      <c r="OA35" s="27">
        <f t="shared" si="81"/>
        <v>23361.154489662844</v>
      </c>
      <c r="OB35" s="27">
        <f t="shared" si="82"/>
        <v>0</v>
      </c>
      <c r="OC35" s="27">
        <f t="shared" si="83"/>
        <v>50270.899485704154</v>
      </c>
      <c r="OD35" s="27"/>
      <c r="OE35" s="27">
        <f t="shared" si="138"/>
        <v>14383.62</v>
      </c>
      <c r="OF35" s="27">
        <f t="shared" si="84"/>
        <v>0</v>
      </c>
      <c r="OG35" s="28">
        <f t="shared" si="1"/>
        <v>88015.673975366997</v>
      </c>
      <c r="OH35" s="27">
        <f t="shared" si="153"/>
        <v>0</v>
      </c>
      <c r="OI35" s="27">
        <f t="shared" si="154"/>
        <v>0</v>
      </c>
      <c r="OJ35" s="27">
        <f t="shared" si="158"/>
        <v>0</v>
      </c>
      <c r="OK35" s="27">
        <f t="shared" si="155"/>
        <v>0</v>
      </c>
      <c r="OL35" s="27">
        <f t="shared" si="156"/>
        <v>0</v>
      </c>
      <c r="OM35" s="27">
        <f t="shared" si="157"/>
        <v>0</v>
      </c>
      <c r="ON35" s="24">
        <f t="shared" si="147"/>
        <v>0</v>
      </c>
      <c r="OO35" s="27">
        <f t="shared" si="145"/>
        <v>0</v>
      </c>
      <c r="OP35" s="24">
        <f t="shared" si="86"/>
        <v>68334.152313713741</v>
      </c>
      <c r="OQ35" s="27">
        <f t="shared" si="87"/>
        <v>0</v>
      </c>
      <c r="OR35" s="24">
        <f t="shared" si="88"/>
        <v>6412.9572587948524</v>
      </c>
      <c r="OS35" s="27">
        <f t="shared" si="164"/>
        <v>0</v>
      </c>
      <c r="OT35" s="28">
        <f t="shared" si="2"/>
        <v>74747.109572508591</v>
      </c>
      <c r="OU35" s="36"/>
      <c r="OV35" s="27"/>
      <c r="OW35" s="27"/>
      <c r="OX35" s="27"/>
      <c r="OY35" s="27"/>
      <c r="OZ35" s="27"/>
      <c r="PA35" s="28">
        <f t="shared" si="90"/>
        <v>0</v>
      </c>
      <c r="PB35" s="36">
        <f t="shared" si="91"/>
        <v>0</v>
      </c>
      <c r="PC35" s="27">
        <f t="shared" si="92"/>
        <v>0</v>
      </c>
      <c r="PD35" s="27">
        <f t="shared" si="93"/>
        <v>0</v>
      </c>
      <c r="PE35" s="27">
        <f t="shared" si="94"/>
        <v>0</v>
      </c>
      <c r="PF35" s="24"/>
      <c r="PG35" s="27">
        <f t="shared" si="95"/>
        <v>0</v>
      </c>
      <c r="PH35" s="33">
        <f t="shared" si="3"/>
        <v>0</v>
      </c>
      <c r="PI35" s="2621"/>
      <c r="PK35" s="1907">
        <v>1261.82</v>
      </c>
      <c r="PL35" s="488">
        <v>1232</v>
      </c>
      <c r="PM35" s="488">
        <v>369.6</v>
      </c>
      <c r="PN35" s="3">
        <f t="shared" si="165"/>
        <v>256.2</v>
      </c>
      <c r="PO35" s="3">
        <f t="shared" si="97"/>
        <v>34439.749204532869</v>
      </c>
      <c r="PP35" s="11">
        <f t="shared" si="161"/>
        <v>24169.705697817415</v>
      </c>
      <c r="PQ35" s="15"/>
      <c r="PR35" s="2615"/>
      <c r="PT35" s="4"/>
      <c r="PU35" s="9"/>
      <c r="PV35" s="9"/>
      <c r="PW35" s="9"/>
      <c r="PX35" s="2531">
        <v>0</v>
      </c>
      <c r="PY35" s="9"/>
      <c r="PZ35" s="8">
        <f t="shared" si="99"/>
        <v>0</v>
      </c>
      <c r="QA35" s="5">
        <f t="shared" si="100"/>
        <v>1261.82</v>
      </c>
      <c r="QB35" s="5"/>
      <c r="QC35" s="5"/>
      <c r="QD35" s="5"/>
      <c r="QE35" s="5"/>
      <c r="QF35" s="5"/>
      <c r="QG35" s="12"/>
      <c r="QH35" s="12">
        <f t="shared" si="101"/>
        <v>29562.488999999998</v>
      </c>
      <c r="QI35" s="420">
        <f t="shared" si="102"/>
        <v>283544.98007140425</v>
      </c>
      <c r="QJ35" s="1106">
        <f t="shared" si="139"/>
        <v>3720.2888844000004</v>
      </c>
      <c r="QK35" s="484">
        <f t="shared" si="103"/>
        <v>5505.3678056099998</v>
      </c>
      <c r="QL35" s="12"/>
      <c r="QM35" s="2615"/>
      <c r="QO35" s="139">
        <f t="shared" si="104"/>
        <v>0</v>
      </c>
      <c r="QP35" s="139" t="str">
        <f t="shared" si="105"/>
        <v/>
      </c>
      <c r="QR35" s="139">
        <f t="shared" si="106"/>
        <v>0</v>
      </c>
      <c r="QS35" s="139">
        <f t="shared" si="107"/>
        <v>0</v>
      </c>
      <c r="QU35" s="1">
        <f t="shared" si="108"/>
        <v>0</v>
      </c>
      <c r="QV35" s="1">
        <f t="shared" si="109"/>
        <v>0</v>
      </c>
      <c r="QW35" s="1">
        <f t="shared" si="110"/>
        <v>0</v>
      </c>
      <c r="QX35" s="1">
        <f t="shared" si="111"/>
        <v>0</v>
      </c>
      <c r="QY35" s="1">
        <f t="shared" si="112"/>
        <v>0</v>
      </c>
      <c r="QZ35" s="1">
        <f t="shared" si="113"/>
        <v>0</v>
      </c>
      <c r="RB35" s="1">
        <f t="shared" si="114"/>
        <v>0</v>
      </c>
      <c r="RC35" s="1">
        <f t="shared" si="115"/>
        <v>0</v>
      </c>
      <c r="RD35" s="1">
        <f t="shared" si="116"/>
        <v>0</v>
      </c>
      <c r="RE35" s="1">
        <f t="shared" si="117"/>
        <v>0</v>
      </c>
      <c r="RF35" s="1">
        <f t="shared" si="118"/>
        <v>0</v>
      </c>
      <c r="RG35" s="1">
        <f t="shared" si="119"/>
        <v>0</v>
      </c>
      <c r="RJ35" s="1">
        <v>26</v>
      </c>
      <c r="RK35" s="1">
        <f t="shared" ref="RK35:RM40" si="167">+RK34+JJ35-LH35</f>
        <v>67616.690209717097</v>
      </c>
      <c r="RL35" s="1">
        <f t="shared" si="167"/>
        <v>69390.136780483721</v>
      </c>
      <c r="RM35" s="1">
        <f t="shared" si="167"/>
        <v>13404.263703387322</v>
      </c>
      <c r="RN35" s="89">
        <f t="shared" si="5"/>
        <v>150411.09069358814</v>
      </c>
      <c r="RO35" s="1033">
        <v>26</v>
      </c>
      <c r="RP35" s="1098">
        <v>0</v>
      </c>
      <c r="RQ35" s="1098">
        <f t="shared" si="121"/>
        <v>0</v>
      </c>
      <c r="RR35" s="1097">
        <f t="shared" si="121"/>
        <v>0</v>
      </c>
      <c r="RS35" s="1097">
        <f t="shared" si="122"/>
        <v>3300.58</v>
      </c>
      <c r="RT35" s="1050"/>
      <c r="RU35" s="1050" t="s">
        <v>1089</v>
      </c>
      <c r="RV35" s="1048"/>
      <c r="RX35" s="421">
        <v>26</v>
      </c>
      <c r="RY35" s="1095">
        <f t="shared" si="123"/>
        <v>17057.66</v>
      </c>
      <c r="RZ35" s="1050" t="s">
        <v>1090</v>
      </c>
      <c r="SA35" s="1048"/>
      <c r="SB35" s="1090"/>
      <c r="SC35" s="1090">
        <f t="shared" si="124"/>
        <v>0</v>
      </c>
      <c r="SD35" s="1090"/>
      <c r="SE35" s="1090">
        <f t="shared" si="152"/>
        <v>0</v>
      </c>
      <c r="SG35" s="1">
        <v>26</v>
      </c>
      <c r="SH35" s="1">
        <f t="shared" si="126"/>
        <v>256.2</v>
      </c>
      <c r="SI35" s="1094" t="s">
        <v>1091</v>
      </c>
    </row>
    <row r="36" spans="1:503" s="1" customFormat="1" ht="15">
      <c r="B36" s="471">
        <v>27</v>
      </c>
      <c r="C36" s="4">
        <f t="shared" si="127"/>
        <v>158035</v>
      </c>
      <c r="D36" s="1590">
        <f t="shared" si="146"/>
        <v>5295.8</v>
      </c>
      <c r="E36" s="1895">
        <f t="shared" si="6"/>
        <v>29.841572566939838</v>
      </c>
      <c r="F36" s="870"/>
      <c r="G36" s="870"/>
      <c r="H36" s="52"/>
      <c r="I36" s="61"/>
      <c r="J36" s="52"/>
      <c r="K36" s="54"/>
      <c r="L36" s="52"/>
      <c r="M36" s="61"/>
      <c r="N36" s="2629"/>
      <c r="O36" s="4">
        <f t="shared" si="142"/>
        <v>95802</v>
      </c>
      <c r="P36" s="5">
        <f t="shared" si="7"/>
        <v>344.46</v>
      </c>
      <c r="Q36" s="1913">
        <f t="shared" si="8"/>
        <v>278.12227834871976</v>
      </c>
      <c r="R36" s="33"/>
      <c r="S36" s="26">
        <f t="shared" si="9"/>
        <v>33012</v>
      </c>
      <c r="T36" s="27">
        <f t="shared" si="129"/>
        <v>1025.7</v>
      </c>
      <c r="U36" s="1909">
        <f t="shared" si="10"/>
        <v>32.184849371161157</v>
      </c>
      <c r="V36" s="28"/>
      <c r="W36" s="26">
        <f t="shared" si="11"/>
        <v>24559</v>
      </c>
      <c r="X36" s="5">
        <f t="shared" si="11"/>
        <v>2998</v>
      </c>
      <c r="Y36" s="1909">
        <f t="shared" si="12"/>
        <v>8.191794529686458</v>
      </c>
      <c r="Z36" s="33"/>
      <c r="AA36" s="26">
        <f t="shared" si="13"/>
        <v>4662</v>
      </c>
      <c r="AB36" s="27">
        <f t="shared" si="14"/>
        <v>927.64</v>
      </c>
      <c r="AC36" s="1909">
        <f t="shared" si="15"/>
        <v>5.0256565046785395</v>
      </c>
      <c r="AD36" s="28"/>
      <c r="AE36" s="36"/>
      <c r="AF36" s="36"/>
      <c r="AG36" s="53">
        <f t="shared" si="16"/>
        <v>0</v>
      </c>
      <c r="AH36" s="28"/>
      <c r="AI36" s="23"/>
      <c r="AJ36" s="27"/>
      <c r="AK36" s="53">
        <f t="shared" si="17"/>
        <v>0</v>
      </c>
      <c r="AL36" s="28"/>
      <c r="AM36" s="2629"/>
      <c r="AN36" s="9"/>
      <c r="AO36" s="5"/>
      <c r="AP36" s="61">
        <f t="shared" si="18"/>
        <v>0</v>
      </c>
      <c r="AQ36" s="36"/>
      <c r="AR36" s="53"/>
      <c r="AS36" s="61">
        <f t="shared" si="19"/>
        <v>0</v>
      </c>
      <c r="AT36" s="36"/>
      <c r="AU36" s="27"/>
      <c r="AV36" s="54">
        <f t="shared" si="20"/>
        <v>0</v>
      </c>
      <c r="AW36" s="26">
        <v>50232</v>
      </c>
      <c r="AX36" s="24">
        <v>344.46</v>
      </c>
      <c r="AY36" s="1895">
        <f t="shared" si="140"/>
        <v>145.82825291761017</v>
      </c>
      <c r="AZ36" s="1908"/>
      <c r="BA36" s="1909"/>
      <c r="BB36" s="1895">
        <f t="shared" si="21"/>
        <v>0</v>
      </c>
      <c r="BC36" s="1908">
        <v>45570</v>
      </c>
      <c r="BD36" s="1926">
        <v>0</v>
      </c>
      <c r="BE36" s="1895">
        <f t="shared" si="22"/>
        <v>0</v>
      </c>
      <c r="BF36" s="1908"/>
      <c r="BG36" s="1909"/>
      <c r="BH36" s="1895">
        <f t="shared" si="23"/>
        <v>0</v>
      </c>
      <c r="BI36" s="1908">
        <v>0</v>
      </c>
      <c r="BJ36" s="1909">
        <v>0</v>
      </c>
      <c r="BK36" s="1895">
        <f t="shared" si="24"/>
        <v>0</v>
      </c>
      <c r="BL36" s="2491">
        <v>33012</v>
      </c>
      <c r="BM36" s="1736">
        <v>1025.7</v>
      </c>
      <c r="BN36" s="2170"/>
      <c r="BO36" s="1895">
        <f t="shared" si="25"/>
        <v>32.184849371161157</v>
      </c>
      <c r="BP36" s="9">
        <v>4662</v>
      </c>
      <c r="BQ36" s="53">
        <v>927.64</v>
      </c>
      <c r="BR36" s="1735">
        <f t="shared" si="26"/>
        <v>5.0256565046785395</v>
      </c>
      <c r="BS36" s="36"/>
      <c r="BT36" s="53"/>
      <c r="BU36" s="61">
        <f t="shared" si="27"/>
        <v>0</v>
      </c>
      <c r="BV36" s="9">
        <v>24559</v>
      </c>
      <c r="BW36" s="27">
        <f t="shared" si="159"/>
        <v>2998</v>
      </c>
      <c r="BX36" s="28">
        <f t="shared" si="166"/>
        <v>8.191794529686458</v>
      </c>
      <c r="BY36" s="4"/>
      <c r="BZ36" s="5"/>
      <c r="CA36" s="61">
        <f t="shared" si="29"/>
        <v>0</v>
      </c>
      <c r="CB36" s="36"/>
      <c r="CC36" s="5"/>
      <c r="CD36" s="61">
        <f t="shared" si="30"/>
        <v>0</v>
      </c>
      <c r="CE36" s="26"/>
      <c r="CF36" s="5"/>
      <c r="CG36" s="28">
        <f t="shared" si="31"/>
        <v>0</v>
      </c>
      <c r="CH36" s="150"/>
      <c r="CI36" s="1108"/>
      <c r="CJ36" s="5">
        <v>2369</v>
      </c>
      <c r="CK36" s="5">
        <v>10698</v>
      </c>
      <c r="CL36" s="5"/>
      <c r="CM36" s="5"/>
      <c r="CN36" s="3">
        <f t="shared" si="131"/>
        <v>13067</v>
      </c>
      <c r="CO36" s="33"/>
      <c r="CP36" s="366"/>
      <c r="CR36" s="4">
        <f t="shared" si="32"/>
        <v>0</v>
      </c>
      <c r="CS36" s="9">
        <f t="shared" si="33"/>
        <v>0</v>
      </c>
      <c r="CT36" s="5">
        <f t="shared" si="34"/>
        <v>0</v>
      </c>
      <c r="CU36" s="5">
        <f t="shared" si="35"/>
        <v>0</v>
      </c>
      <c r="CV36" s="5">
        <f t="shared" si="36"/>
        <v>0</v>
      </c>
      <c r="CW36" s="5">
        <f t="shared" si="37"/>
        <v>0</v>
      </c>
      <c r="CX36" s="5">
        <f t="shared" si="38"/>
        <v>344.46</v>
      </c>
      <c r="CY36" s="5">
        <f t="shared" si="39"/>
        <v>0</v>
      </c>
      <c r="CZ36" s="5">
        <f t="shared" si="40"/>
        <v>4951.34</v>
      </c>
      <c r="DA36" s="5">
        <f t="shared" si="41"/>
        <v>0</v>
      </c>
      <c r="DB36" s="5">
        <f t="shared" si="42"/>
        <v>0</v>
      </c>
      <c r="DC36" s="12">
        <f t="shared" si="43"/>
        <v>0</v>
      </c>
      <c r="DD36" s="310">
        <f>SUM(CR36:DC36,PX36)</f>
        <v>5295.8</v>
      </c>
      <c r="DE36" s="2695"/>
      <c r="DF36" s="8"/>
      <c r="DG36" s="9"/>
      <c r="DH36" s="5"/>
      <c r="DI36" s="5"/>
      <c r="DJ36" s="5"/>
      <c r="DK36" s="5"/>
      <c r="DL36" s="3">
        <v>344.46</v>
      </c>
      <c r="DM36" s="5"/>
      <c r="DN36" s="3">
        <v>0</v>
      </c>
      <c r="DO36" s="5"/>
      <c r="DP36" s="3">
        <v>0</v>
      </c>
      <c r="DQ36" s="11">
        <v>0</v>
      </c>
      <c r="DR36" s="12"/>
      <c r="DS36" s="28">
        <f t="shared" si="45"/>
        <v>344.46</v>
      </c>
      <c r="DT36" s="36"/>
      <c r="DU36" s="36"/>
      <c r="DV36" s="27"/>
      <c r="DW36" s="27"/>
      <c r="DX36" s="27"/>
      <c r="DY36" s="27"/>
      <c r="DZ36" s="27"/>
      <c r="EA36" s="27"/>
      <c r="EB36" s="3">
        <v>1953.34</v>
      </c>
      <c r="EC36" s="27"/>
      <c r="ED36" s="24">
        <v>0</v>
      </c>
      <c r="EE36" s="33"/>
      <c r="EF36" s="28">
        <f t="shared" si="46"/>
        <v>1953.34</v>
      </c>
      <c r="EG36" s="9"/>
      <c r="EH36" s="36"/>
      <c r="EI36" s="27"/>
      <c r="EJ36" s="27"/>
      <c r="EK36" s="27"/>
      <c r="EL36" s="27"/>
      <c r="EM36" s="27"/>
      <c r="EN36" s="27"/>
      <c r="EO36" s="5">
        <v>2998</v>
      </c>
      <c r="EP36" s="5"/>
      <c r="EQ36" s="5">
        <v>0</v>
      </c>
      <c r="ER36" s="33"/>
      <c r="ES36" s="28">
        <f t="shared" si="143"/>
        <v>2998</v>
      </c>
      <c r="ET36" s="36"/>
      <c r="EU36" s="27"/>
      <c r="EV36" s="27"/>
      <c r="EW36" s="27"/>
      <c r="EX36" s="27"/>
      <c r="EY36" s="27"/>
      <c r="EZ36" s="33">
        <f t="shared" si="48"/>
        <v>0</v>
      </c>
      <c r="FA36" s="2685"/>
      <c r="FC36" s="4">
        <f t="shared" si="49"/>
        <v>0</v>
      </c>
      <c r="FD36" s="5">
        <f t="shared" si="50"/>
        <v>0</v>
      </c>
      <c r="FE36" s="5">
        <f t="shared" ref="FE36:FE40" si="168">+GI36</f>
        <v>0</v>
      </c>
      <c r="FF36" s="12">
        <f t="shared" si="52"/>
        <v>0</v>
      </c>
      <c r="FG36" s="33"/>
      <c r="FH36" s="2674"/>
      <c r="FI36" s="9"/>
      <c r="FJ36" s="5"/>
      <c r="FK36" s="5"/>
      <c r="FL36" s="5"/>
      <c r="FM36" s="5"/>
      <c r="FN36" s="27"/>
      <c r="FO36" s="28">
        <f t="shared" si="53"/>
        <v>0</v>
      </c>
      <c r="FP36" s="36"/>
      <c r="FQ36" s="27"/>
      <c r="FR36" s="27"/>
      <c r="FS36" s="27"/>
      <c r="FT36" s="27"/>
      <c r="FU36" s="27"/>
      <c r="FV36" s="28">
        <f t="shared" si="54"/>
        <v>0</v>
      </c>
      <c r="FW36" s="36"/>
      <c r="FX36" s="36"/>
      <c r="FY36" s="27"/>
      <c r="FZ36" s="27"/>
      <c r="GA36" s="27"/>
      <c r="GB36" s="27"/>
      <c r="GC36" s="27"/>
      <c r="GD36" s="27"/>
      <c r="GE36" s="24">
        <v>0</v>
      </c>
      <c r="GF36" s="27"/>
      <c r="GG36" s="27"/>
      <c r="GH36" s="33"/>
      <c r="GI36" s="33">
        <f t="shared" si="55"/>
        <v>0</v>
      </c>
      <c r="GJ36" s="2674"/>
      <c r="GL36" s="2">
        <f t="shared" si="132"/>
        <v>2834.13</v>
      </c>
      <c r="GM36" s="63">
        <f t="shared" si="133"/>
        <v>3779.2700000000004</v>
      </c>
      <c r="GN36" s="24">
        <f t="shared" si="134"/>
        <v>4143.46</v>
      </c>
      <c r="GO36" s="1736">
        <f t="shared" si="56"/>
        <v>10756.86</v>
      </c>
      <c r="GP36" s="141"/>
      <c r="GQ36" s="141"/>
      <c r="GR36" s="33"/>
      <c r="GS36" s="2667"/>
      <c r="GT36" s="1739">
        <v>0</v>
      </c>
      <c r="GU36" s="1721">
        <v>433.4</v>
      </c>
      <c r="GV36" s="1721">
        <v>5749.86</v>
      </c>
      <c r="GW36" s="1721">
        <v>4573.5999999999995</v>
      </c>
      <c r="GX36" s="33">
        <f t="shared" si="135"/>
        <v>10756.859999999999</v>
      </c>
      <c r="GY36" s="2667"/>
      <c r="GZ36" s="35">
        <v>0</v>
      </c>
      <c r="HA36" s="36"/>
      <c r="HB36" s="27"/>
      <c r="HC36" s="27"/>
      <c r="HD36" s="27"/>
      <c r="HE36" s="27"/>
      <c r="HF36" s="24">
        <v>0</v>
      </c>
      <c r="HG36" s="27"/>
      <c r="HH36" s="24">
        <v>1831.31</v>
      </c>
      <c r="HI36" s="27"/>
      <c r="HJ36" s="24">
        <v>569.42000000000007</v>
      </c>
      <c r="HK36" s="27"/>
      <c r="HL36" s="24">
        <v>433.4</v>
      </c>
      <c r="HM36" s="27"/>
      <c r="HN36" s="28">
        <f t="shared" si="148"/>
        <v>2834.13</v>
      </c>
      <c r="HO36" s="36"/>
      <c r="HP36" s="27"/>
      <c r="HQ36" s="27"/>
      <c r="HR36" s="27"/>
      <c r="HS36" s="27"/>
      <c r="HT36" s="27"/>
      <c r="HU36" s="27">
        <f t="array" ref="HU36">SUMPRODUCT(('Data Base hauling'!$C$2:$C$2000="TCM-ROM SB1 BK05-ROM 4")*(ISNUMBER(SEARCH(TEXT('August TCM'!$B36,"00")&amp;"/03/2026",'Data Base hauling'!$E$2:$E$2000)))*'Data Base hauling'!$N$2:$N$2000)</f>
        <v>0</v>
      </c>
      <c r="HV36" s="27"/>
      <c r="HW36" s="27">
        <f t="array" ref="HW36">SUMPRODUCT(('Data Base hauling'!$C$2:$C$2000="TCM-ROM SB1 BK05-ROM 5")*(ISNUMBER(SEARCH(TEXT('August TCM'!$B36,"00")&amp;"/03/2026",'Data Base hauling'!$E$2:$E$2000)))*'Data Base hauling'!$N$2:$N$2000)</f>
        <v>0</v>
      </c>
      <c r="HX36" s="27"/>
      <c r="HY36" s="27"/>
      <c r="HZ36" s="27"/>
      <c r="IA36" s="27"/>
      <c r="IB36" s="27"/>
      <c r="IC36" s="33">
        <f t="shared" si="58"/>
        <v>0</v>
      </c>
      <c r="ID36" s="52"/>
      <c r="IE36" s="152"/>
      <c r="IF36" s="53"/>
      <c r="IG36" s="53"/>
      <c r="IH36" s="53"/>
      <c r="II36" s="53"/>
      <c r="IJ36" s="1926">
        <v>1160.98</v>
      </c>
      <c r="IK36" s="1736"/>
      <c r="IL36" s="1926">
        <v>0</v>
      </c>
      <c r="IM36" s="53"/>
      <c r="IN36" s="49">
        <v>2618.2900000000004</v>
      </c>
      <c r="IO36" s="53"/>
      <c r="IP36" s="53"/>
      <c r="IQ36" s="49">
        <v>0</v>
      </c>
      <c r="IR36" s="2195">
        <f t="shared" si="149"/>
        <v>3779.2700000000004</v>
      </c>
      <c r="IS36" s="36"/>
      <c r="IT36" s="36"/>
      <c r="IU36" s="27"/>
      <c r="IV36" s="27"/>
      <c r="IW36" s="53"/>
      <c r="IX36" s="27"/>
      <c r="IY36" s="24">
        <v>0</v>
      </c>
      <c r="IZ36" s="27"/>
      <c r="JA36" s="24">
        <v>3551.1400000000003</v>
      </c>
      <c r="JB36" s="27"/>
      <c r="JC36" s="24">
        <v>592.32000000000005</v>
      </c>
      <c r="JD36" s="27"/>
      <c r="JE36" s="27"/>
      <c r="JF36" s="27"/>
      <c r="JG36" s="33">
        <f t="shared" si="150"/>
        <v>4143.46</v>
      </c>
      <c r="JH36" s="2667"/>
      <c r="JJ36" s="2014">
        <v>7286.8899999999994</v>
      </c>
      <c r="JK36" s="2015">
        <v>3469.97</v>
      </c>
      <c r="JL36" s="53"/>
      <c r="JM36" s="1736">
        <f t="shared" si="61"/>
        <v>10756.859999999999</v>
      </c>
      <c r="JN36" s="33"/>
      <c r="JO36" s="2669"/>
      <c r="JP36" s="66">
        <v>0</v>
      </c>
      <c r="JQ36" s="67">
        <v>0</v>
      </c>
      <c r="JR36" s="67">
        <v>0</v>
      </c>
      <c r="JS36" s="67">
        <v>0</v>
      </c>
      <c r="JT36" s="67">
        <v>0.7386484494757023</v>
      </c>
      <c r="JU36" s="67">
        <v>0.26135155052429782</v>
      </c>
      <c r="JV36" s="67">
        <v>0</v>
      </c>
      <c r="JW36" s="1921">
        <v>0</v>
      </c>
      <c r="JX36" s="66">
        <v>0</v>
      </c>
      <c r="JY36" s="67">
        <v>0</v>
      </c>
      <c r="JZ36" s="67">
        <v>0</v>
      </c>
      <c r="KA36" s="67">
        <v>0.33457926149217432</v>
      </c>
      <c r="KB36" s="67">
        <v>0</v>
      </c>
      <c r="KC36" s="67">
        <v>0.54052052323218935</v>
      </c>
      <c r="KD36" s="67">
        <v>0.12490021527563638</v>
      </c>
      <c r="KE36" s="68">
        <v>0</v>
      </c>
      <c r="KF36" s="69"/>
      <c r="KG36" s="70"/>
      <c r="KH36" s="70"/>
      <c r="KI36" s="70"/>
      <c r="KJ36" s="70"/>
      <c r="KK36" s="70"/>
      <c r="KL36" s="70"/>
      <c r="KM36" s="70"/>
      <c r="KN36" s="33"/>
      <c r="KO36" s="2669"/>
      <c r="KP36" s="2203">
        <v>6850.4473540643758</v>
      </c>
      <c r="KQ36" s="1721">
        <v>0.64272231314784511</v>
      </c>
      <c r="KR36" s="1721">
        <v>6.456552100381888</v>
      </c>
      <c r="KS36" s="1721">
        <v>5.8385979268957993</v>
      </c>
      <c r="KT36" s="1722">
        <v>9.4221513693398808</v>
      </c>
      <c r="KU36" s="1958">
        <v>6705</v>
      </c>
      <c r="KV36" s="1961">
        <v>1.44</v>
      </c>
      <c r="KW36" s="1961">
        <v>5.34</v>
      </c>
      <c r="KX36" s="1961">
        <v>6.69</v>
      </c>
      <c r="KY36" s="1962">
        <v>8.6028550000000017</v>
      </c>
      <c r="KZ36" s="36"/>
      <c r="LA36" s="53"/>
      <c r="LB36" s="53"/>
      <c r="LC36" s="53"/>
      <c r="LD36" s="53"/>
      <c r="LE36" s="33"/>
      <c r="LF36" s="2669"/>
      <c r="LH36" s="26">
        <f t="shared" si="160"/>
        <v>5791.4760000000006</v>
      </c>
      <c r="LI36" s="27">
        <f t="shared" si="160"/>
        <v>13513.444</v>
      </c>
      <c r="LJ36" s="27">
        <f t="shared" si="160"/>
        <v>0</v>
      </c>
      <c r="LK36" s="28">
        <f t="shared" si="63"/>
        <v>19304.919999999998</v>
      </c>
      <c r="LL36" s="36">
        <v>4</v>
      </c>
      <c r="LM36" s="27"/>
      <c r="LN36" s="27"/>
      <c r="LO36" s="33"/>
      <c r="LP36" s="1957">
        <v>-0.05</v>
      </c>
      <c r="LQ36" s="2196"/>
      <c r="LR36" s="2688"/>
      <c r="LS36" s="36"/>
      <c r="LT36" s="36"/>
      <c r="LU36" s="27"/>
      <c r="LV36" s="27"/>
      <c r="LW36" s="27"/>
      <c r="LX36" s="1107">
        <f t="shared" si="64"/>
        <v>0</v>
      </c>
      <c r="LY36" s="36">
        <v>5791.4760000000006</v>
      </c>
      <c r="LZ36" s="36">
        <v>13513.444</v>
      </c>
      <c r="MA36" s="27"/>
      <c r="MB36" s="27"/>
      <c r="MC36" s="33"/>
      <c r="MD36" s="28">
        <f t="shared" si="65"/>
        <v>19304.919999999998</v>
      </c>
      <c r="ME36" s="26"/>
      <c r="MF36" s="36"/>
      <c r="MG36" s="27"/>
      <c r="MH36" s="27"/>
      <c r="MI36" s="27"/>
      <c r="MJ36" s="28"/>
      <c r="MK36" s="36"/>
      <c r="ML36" s="36"/>
      <c r="MM36" s="27"/>
      <c r="MN36" s="27"/>
      <c r="MO36" s="27"/>
      <c r="MP36" s="28"/>
      <c r="MQ36" s="36"/>
      <c r="MR36" s="36"/>
      <c r="MS36" s="27"/>
      <c r="MT36" s="27"/>
      <c r="MU36" s="27"/>
      <c r="MV36" s="33">
        <f t="shared" si="66"/>
        <v>0</v>
      </c>
      <c r="MW36" s="2688"/>
      <c r="MY36" s="26">
        <f t="shared" si="67"/>
        <v>316113.15035640402</v>
      </c>
      <c r="MZ36" s="27">
        <f t="shared" si="68"/>
        <v>220109.05630375823</v>
      </c>
      <c r="NA36" s="27">
        <f t="shared" si="69"/>
        <v>24103.505697817414</v>
      </c>
      <c r="NB36" s="28">
        <f t="shared" si="70"/>
        <v>315625.43795580423</v>
      </c>
      <c r="NC36" s="2621"/>
      <c r="ND36" s="23">
        <f t="shared" si="71"/>
        <v>172356.22074551802</v>
      </c>
      <c r="NE36" s="1655">
        <f t="shared" si="72"/>
        <v>143756.929610886</v>
      </c>
      <c r="NF36" s="60">
        <f t="shared" si="73"/>
        <v>0</v>
      </c>
      <c r="NG36" s="275">
        <f t="shared" si="4"/>
        <v>316113.15035640402</v>
      </c>
      <c r="NH36" s="26">
        <v>0</v>
      </c>
      <c r="NI36" s="27">
        <v>0</v>
      </c>
      <c r="NJ36" s="27">
        <v>0</v>
      </c>
      <c r="NK36" s="27">
        <v>0</v>
      </c>
      <c r="NL36" s="27">
        <v>0</v>
      </c>
      <c r="NM36" s="33">
        <v>0</v>
      </c>
      <c r="NN36" s="27">
        <v>0</v>
      </c>
      <c r="NO36" s="36">
        <v>0</v>
      </c>
      <c r="NP36" s="24">
        <f t="shared" si="163"/>
        <v>26291.060605424238</v>
      </c>
      <c r="NQ36" s="27">
        <f t="shared" si="163"/>
        <v>24023.830351777149</v>
      </c>
      <c r="NR36" s="24">
        <f t="shared" si="136"/>
        <v>8297.8982322711581</v>
      </c>
      <c r="NS36" s="24">
        <f t="shared" si="137"/>
        <v>4358.4135664101113</v>
      </c>
      <c r="NT36" s="27">
        <f t="shared" si="0"/>
        <v>62971.202755882659</v>
      </c>
      <c r="NU36" s="27">
        <f t="shared" si="75"/>
        <v>0</v>
      </c>
      <c r="NV36" s="27">
        <f t="shared" si="76"/>
        <v>0</v>
      </c>
      <c r="NW36" s="27">
        <f t="shared" si="77"/>
        <v>0</v>
      </c>
      <c r="NX36" s="27">
        <f t="shared" si="78"/>
        <v>0</v>
      </c>
      <c r="NY36" s="27">
        <f t="shared" si="79"/>
        <v>0</v>
      </c>
      <c r="NZ36" s="5">
        <f t="shared" si="80"/>
        <v>0</v>
      </c>
      <c r="OA36" s="27">
        <f t="shared" si="81"/>
        <v>22544.634489662843</v>
      </c>
      <c r="OB36" s="27">
        <f t="shared" si="82"/>
        <v>0</v>
      </c>
      <c r="OC36" s="27">
        <f t="shared" si="83"/>
        <v>47652.609485704153</v>
      </c>
      <c r="OD36" s="27"/>
      <c r="OE36" s="27">
        <f t="shared" si="138"/>
        <v>14383.62</v>
      </c>
      <c r="OF36" s="27">
        <f t="shared" si="84"/>
        <v>0</v>
      </c>
      <c r="OG36" s="28">
        <f t="shared" si="1"/>
        <v>84580.863975366985</v>
      </c>
      <c r="OH36" s="27">
        <f t="shared" si="153"/>
        <v>0</v>
      </c>
      <c r="OI36" s="27">
        <f t="shared" si="154"/>
        <v>0</v>
      </c>
      <c r="OJ36" s="27">
        <f t="shared" si="158"/>
        <v>0</v>
      </c>
      <c r="OK36" s="27">
        <f t="shared" si="155"/>
        <v>0</v>
      </c>
      <c r="OL36" s="27">
        <f t="shared" si="156"/>
        <v>0</v>
      </c>
      <c r="OM36" s="27">
        <f t="shared" si="157"/>
        <v>0</v>
      </c>
      <c r="ON36" s="24">
        <f t="shared" si="147"/>
        <v>0</v>
      </c>
      <c r="OO36" s="27">
        <f t="shared" si="145"/>
        <v>0</v>
      </c>
      <c r="OP36" s="24">
        <f t="shared" si="86"/>
        <v>66736.352313713738</v>
      </c>
      <c r="OQ36" s="27">
        <f t="shared" si="87"/>
        <v>0</v>
      </c>
      <c r="OR36" s="24">
        <f t="shared" si="88"/>
        <v>5820.6372587948526</v>
      </c>
      <c r="OS36" s="27">
        <f t="shared" si="164"/>
        <v>0</v>
      </c>
      <c r="OT36" s="28">
        <f t="shared" si="2"/>
        <v>72556.989572508595</v>
      </c>
      <c r="OU36" s="36"/>
      <c r="OV36" s="27"/>
      <c r="OW36" s="27"/>
      <c r="OX36" s="27"/>
      <c r="OY36" s="27"/>
      <c r="OZ36" s="27"/>
      <c r="PA36" s="28">
        <f t="shared" si="90"/>
        <v>0</v>
      </c>
      <c r="PB36" s="36">
        <f t="shared" si="91"/>
        <v>0</v>
      </c>
      <c r="PC36" s="27">
        <f t="shared" si="92"/>
        <v>0</v>
      </c>
      <c r="PD36" s="27">
        <f t="shared" si="93"/>
        <v>0</v>
      </c>
      <c r="PE36" s="27">
        <f t="shared" si="94"/>
        <v>0</v>
      </c>
      <c r="PF36" s="24"/>
      <c r="PG36" s="27">
        <f t="shared" si="95"/>
        <v>0</v>
      </c>
      <c r="PH36" s="33">
        <f t="shared" si="3"/>
        <v>0</v>
      </c>
      <c r="PI36" s="2621"/>
      <c r="PK36" s="1907">
        <v>1202.32</v>
      </c>
      <c r="PL36" s="3">
        <v>1224</v>
      </c>
      <c r="PM36" s="3">
        <v>367.20000000000005</v>
      </c>
      <c r="PN36" s="3">
        <f t="shared" si="165"/>
        <v>433.4</v>
      </c>
      <c r="PO36" s="3">
        <f t="shared" si="97"/>
        <v>34418.069204532869</v>
      </c>
      <c r="PP36" s="11">
        <f t="shared" si="161"/>
        <v>24103.505697817414</v>
      </c>
      <c r="PQ36" s="15"/>
      <c r="PR36" s="2615"/>
      <c r="PT36" s="4"/>
      <c r="PU36" s="9"/>
      <c r="PV36" s="9"/>
      <c r="PW36" s="9"/>
      <c r="PX36" s="2531">
        <v>0</v>
      </c>
      <c r="PY36" s="9"/>
      <c r="PZ36" s="8">
        <f t="shared" si="99"/>
        <v>0</v>
      </c>
      <c r="QA36" s="5">
        <f t="shared" si="100"/>
        <v>1202.32</v>
      </c>
      <c r="QB36" s="5"/>
      <c r="QC36" s="5"/>
      <c r="QD36" s="5"/>
      <c r="QE36" s="5"/>
      <c r="QF36" s="5"/>
      <c r="QG36" s="12"/>
      <c r="QH36" s="12">
        <f t="shared" si="101"/>
        <v>29562.488999999998</v>
      </c>
      <c r="QI36" s="420">
        <f t="shared" si="102"/>
        <v>282342.66007140424</v>
      </c>
      <c r="QJ36" s="1106">
        <f t="shared" si="139"/>
        <v>3720.2888844000004</v>
      </c>
      <c r="QK36" s="484">
        <f t="shared" si="103"/>
        <v>5505.3678056099998</v>
      </c>
      <c r="QL36" s="12"/>
      <c r="QM36" s="2615"/>
      <c r="QO36" s="139">
        <f t="shared" si="104"/>
        <v>0</v>
      </c>
      <c r="QP36" s="139" t="str">
        <f t="shared" si="105"/>
        <v/>
      </c>
      <c r="QR36" s="139">
        <f t="shared" si="106"/>
        <v>0</v>
      </c>
      <c r="QS36" s="139">
        <f t="shared" si="107"/>
        <v>0</v>
      </c>
      <c r="QU36" s="1">
        <f t="shared" si="108"/>
        <v>0</v>
      </c>
      <c r="QV36" s="1">
        <f t="shared" si="109"/>
        <v>0</v>
      </c>
      <c r="QW36" s="1">
        <f t="shared" si="110"/>
        <v>0</v>
      </c>
      <c r="QX36" s="1">
        <f t="shared" si="111"/>
        <v>0</v>
      </c>
      <c r="QY36" s="1">
        <f t="shared" si="112"/>
        <v>0</v>
      </c>
      <c r="QZ36" s="1">
        <f t="shared" si="113"/>
        <v>0</v>
      </c>
      <c r="RB36" s="1">
        <f t="shared" si="114"/>
        <v>0</v>
      </c>
      <c r="RC36" s="1">
        <f t="shared" si="115"/>
        <v>0</v>
      </c>
      <c r="RD36" s="1">
        <f t="shared" si="116"/>
        <v>0</v>
      </c>
      <c r="RE36" s="1">
        <f t="shared" si="117"/>
        <v>0</v>
      </c>
      <c r="RF36" s="1">
        <f t="shared" si="118"/>
        <v>0</v>
      </c>
      <c r="RG36" s="1">
        <f t="shared" si="119"/>
        <v>0</v>
      </c>
      <c r="RJ36" s="1">
        <v>27</v>
      </c>
      <c r="RK36" s="1">
        <f t="shared" si="167"/>
        <v>69112.104209717101</v>
      </c>
      <c r="RL36" s="1">
        <f t="shared" si="167"/>
        <v>59346.662780483719</v>
      </c>
      <c r="RM36" s="1">
        <f t="shared" si="167"/>
        <v>13404.263703387322</v>
      </c>
      <c r="RN36" s="89">
        <f t="shared" si="5"/>
        <v>141863.03069358814</v>
      </c>
      <c r="RO36" s="1033">
        <v>27</v>
      </c>
      <c r="RP36" s="1098">
        <v>0</v>
      </c>
      <c r="RQ36" s="1098">
        <f t="shared" si="121"/>
        <v>0</v>
      </c>
      <c r="RR36" s="1097">
        <f t="shared" si="121"/>
        <v>0</v>
      </c>
      <c r="RS36" s="1097">
        <f t="shared" si="122"/>
        <v>2297.8000000000002</v>
      </c>
      <c r="RT36" s="1050"/>
      <c r="RU36" s="1050" t="s">
        <v>1092</v>
      </c>
      <c r="RX36" s="421">
        <v>27</v>
      </c>
      <c r="RY36" s="1095">
        <f t="shared" si="123"/>
        <v>10756.859999999999</v>
      </c>
      <c r="RZ36" s="1046" t="s">
        <v>1093</v>
      </c>
      <c r="SB36" s="1090"/>
      <c r="SC36" s="1090">
        <f t="shared" si="124"/>
        <v>0</v>
      </c>
      <c r="SD36" s="1090"/>
      <c r="SE36" s="1090">
        <f t="shared" si="152"/>
        <v>0</v>
      </c>
      <c r="SG36" s="1">
        <v>27</v>
      </c>
      <c r="SH36" s="1">
        <f t="shared" si="126"/>
        <v>433.4</v>
      </c>
      <c r="SI36" s="1094" t="s">
        <v>1094</v>
      </c>
    </row>
    <row r="37" spans="1:503" s="1" customFormat="1">
      <c r="B37" s="471">
        <v>28</v>
      </c>
      <c r="C37" s="4">
        <f t="shared" si="127"/>
        <v>160548</v>
      </c>
      <c r="D37" s="1590">
        <f t="shared" si="146"/>
        <v>5056.5200000000004</v>
      </c>
      <c r="E37" s="1895">
        <f t="shared" si="6"/>
        <v>31.750690198001784</v>
      </c>
      <c r="F37" s="870"/>
      <c r="G37" s="870"/>
      <c r="H37" s="52"/>
      <c r="I37" s="61"/>
      <c r="J37" s="52"/>
      <c r="K37" s="54"/>
      <c r="L37" s="52"/>
      <c r="M37" s="61"/>
      <c r="N37" s="2629"/>
      <c r="O37" s="4">
        <f t="shared" si="142"/>
        <v>97188</v>
      </c>
      <c r="P37" s="5">
        <f t="shared" si="7"/>
        <v>979.32</v>
      </c>
      <c r="Q37" s="1913">
        <f t="shared" si="8"/>
        <v>99.240289180247515</v>
      </c>
      <c r="R37" s="33"/>
      <c r="S37" s="26">
        <f t="shared" si="9"/>
        <v>33618</v>
      </c>
      <c r="T37" s="27">
        <f t="shared" si="129"/>
        <v>987.09999999999991</v>
      </c>
      <c r="U37" s="1909">
        <f t="shared" si="10"/>
        <v>34.057339681896465</v>
      </c>
      <c r="V37" s="28"/>
      <c r="W37" s="26">
        <f t="shared" si="11"/>
        <v>25304</v>
      </c>
      <c r="X37" s="5">
        <f t="shared" si="11"/>
        <v>2396</v>
      </c>
      <c r="Y37" s="1909">
        <f t="shared" si="12"/>
        <v>10.560934891485809</v>
      </c>
      <c r="Z37" s="33"/>
      <c r="AA37" s="26">
        <f t="shared" si="13"/>
        <v>4438</v>
      </c>
      <c r="AB37" s="27">
        <f t="shared" si="14"/>
        <v>694.09999999999991</v>
      </c>
      <c r="AC37" s="1909">
        <f t="shared" si="15"/>
        <v>6.3938913701195803</v>
      </c>
      <c r="AD37" s="28"/>
      <c r="AE37" s="36"/>
      <c r="AF37" s="36"/>
      <c r="AG37" s="53">
        <f t="shared" si="16"/>
        <v>0</v>
      </c>
      <c r="AH37" s="28"/>
      <c r="AI37" s="26"/>
      <c r="AJ37" s="27"/>
      <c r="AK37" s="53">
        <f t="shared" si="17"/>
        <v>0</v>
      </c>
      <c r="AL37" s="28"/>
      <c r="AM37" s="2629"/>
      <c r="AN37" s="9"/>
      <c r="AO37" s="5"/>
      <c r="AP37" s="61">
        <f t="shared" si="18"/>
        <v>0</v>
      </c>
      <c r="AQ37" s="36"/>
      <c r="AR37" s="53"/>
      <c r="AS37" s="61">
        <f t="shared" si="19"/>
        <v>0</v>
      </c>
      <c r="AT37" s="36"/>
      <c r="AU37" s="27"/>
      <c r="AV37" s="54">
        <f t="shared" si="20"/>
        <v>0</v>
      </c>
      <c r="AW37" s="26">
        <v>49602</v>
      </c>
      <c r="AX37" s="24">
        <v>979.32</v>
      </c>
      <c r="AY37" s="1895">
        <f t="shared" si="140"/>
        <v>50.649430216885186</v>
      </c>
      <c r="AZ37" s="1908"/>
      <c r="BA37" s="1909"/>
      <c r="BB37" s="1895">
        <f t="shared" si="21"/>
        <v>0</v>
      </c>
      <c r="BC37" s="1740">
        <v>47586</v>
      </c>
      <c r="BD37" s="1926">
        <v>0</v>
      </c>
      <c r="BE37" s="1895">
        <f t="shared" si="22"/>
        <v>0</v>
      </c>
      <c r="BF37" s="1908"/>
      <c r="BG37" s="1909"/>
      <c r="BH37" s="1895">
        <f t="shared" si="23"/>
        <v>0</v>
      </c>
      <c r="BI37" s="1908">
        <v>0</v>
      </c>
      <c r="BJ37" s="1909">
        <v>0</v>
      </c>
      <c r="BK37" s="1895">
        <f t="shared" si="24"/>
        <v>0</v>
      </c>
      <c r="BL37" s="2491">
        <v>33618</v>
      </c>
      <c r="BM37" s="1736">
        <v>987.09999999999991</v>
      </c>
      <c r="BN37" s="2170"/>
      <c r="BO37" s="1895">
        <f t="shared" si="25"/>
        <v>34.057339681896465</v>
      </c>
      <c r="BP37" s="9">
        <v>4438</v>
      </c>
      <c r="BQ37" s="53">
        <v>694.09999999999991</v>
      </c>
      <c r="BR37" s="1735">
        <f t="shared" si="26"/>
        <v>6.3938913701195803</v>
      </c>
      <c r="BS37" s="36"/>
      <c r="BT37" s="53"/>
      <c r="BU37" s="61">
        <f t="shared" si="27"/>
        <v>0</v>
      </c>
      <c r="BV37" s="36">
        <v>25304</v>
      </c>
      <c r="BW37" s="27">
        <f t="shared" si="159"/>
        <v>2396</v>
      </c>
      <c r="BX37" s="28">
        <f t="shared" si="166"/>
        <v>10.560934891485809</v>
      </c>
      <c r="BY37" s="26"/>
      <c r="BZ37" s="5"/>
      <c r="CA37" s="61">
        <f t="shared" si="29"/>
        <v>0</v>
      </c>
      <c r="CB37" s="36"/>
      <c r="CC37" s="5"/>
      <c r="CD37" s="61">
        <f t="shared" si="30"/>
        <v>0</v>
      </c>
      <c r="CE37" s="26"/>
      <c r="CF37" s="5"/>
      <c r="CG37" s="28">
        <f t="shared" si="31"/>
        <v>0</v>
      </c>
      <c r="CH37" s="150"/>
      <c r="CI37" s="1108"/>
      <c r="CJ37" s="5">
        <v>0</v>
      </c>
      <c r="CK37" s="5">
        <v>11980</v>
      </c>
      <c r="CL37" s="5"/>
      <c r="CM37" s="5"/>
      <c r="CN37" s="3">
        <f t="shared" si="131"/>
        <v>11980</v>
      </c>
      <c r="CO37" s="33"/>
      <c r="CP37" s="366"/>
      <c r="CR37" s="4">
        <f t="shared" si="32"/>
        <v>0</v>
      </c>
      <c r="CS37" s="9">
        <f t="shared" si="33"/>
        <v>0</v>
      </c>
      <c r="CT37" s="5">
        <f t="shared" si="34"/>
        <v>0</v>
      </c>
      <c r="CU37" s="5">
        <f t="shared" si="35"/>
        <v>0</v>
      </c>
      <c r="CV37" s="5">
        <f t="shared" si="36"/>
        <v>0</v>
      </c>
      <c r="CW37" s="5">
        <f t="shared" si="37"/>
        <v>0</v>
      </c>
      <c r="CX37" s="5">
        <f t="shared" si="38"/>
        <v>979.32</v>
      </c>
      <c r="CY37" s="5">
        <f t="shared" si="39"/>
        <v>0</v>
      </c>
      <c r="CZ37" s="5">
        <f t="shared" si="40"/>
        <v>4077.2</v>
      </c>
      <c r="DA37" s="5">
        <f t="shared" si="41"/>
        <v>0</v>
      </c>
      <c r="DB37" s="5">
        <f t="shared" si="42"/>
        <v>0</v>
      </c>
      <c r="DC37" s="12">
        <f t="shared" si="43"/>
        <v>0</v>
      </c>
      <c r="DD37" s="310">
        <f>SUM(CR37:DC37,PX37,PY37)</f>
        <v>5056.5199999999995</v>
      </c>
      <c r="DE37" s="2695"/>
      <c r="DF37" s="8"/>
      <c r="DG37" s="9"/>
      <c r="DH37" s="5"/>
      <c r="DI37" s="5"/>
      <c r="DJ37" s="5"/>
      <c r="DK37" s="5"/>
      <c r="DL37" s="3">
        <v>979.32</v>
      </c>
      <c r="DM37" s="5"/>
      <c r="DN37" s="3">
        <v>0</v>
      </c>
      <c r="DO37" s="5"/>
      <c r="DP37" s="3">
        <v>0</v>
      </c>
      <c r="DQ37" s="11">
        <v>0</v>
      </c>
      <c r="DR37" s="12"/>
      <c r="DS37" s="28">
        <f t="shared" si="45"/>
        <v>979.32</v>
      </c>
      <c r="DT37" s="36"/>
      <c r="DU37" s="36"/>
      <c r="DV37" s="27"/>
      <c r="DW37" s="27"/>
      <c r="DX37" s="27"/>
      <c r="DY37" s="27"/>
      <c r="DZ37" s="27"/>
      <c r="EA37" s="27"/>
      <c r="EB37" s="3">
        <v>1681.2</v>
      </c>
      <c r="EC37" s="27"/>
      <c r="ED37" s="24">
        <v>0</v>
      </c>
      <c r="EE37" s="33"/>
      <c r="EF37" s="28">
        <f t="shared" si="46"/>
        <v>1681.2</v>
      </c>
      <c r="EG37" s="9"/>
      <c r="EH37" s="36"/>
      <c r="EI37" s="27"/>
      <c r="EJ37" s="27"/>
      <c r="EK37" s="27"/>
      <c r="EL37" s="27"/>
      <c r="EM37" s="27"/>
      <c r="EN37" s="27"/>
      <c r="EO37" s="5">
        <v>2396</v>
      </c>
      <c r="EP37" s="5"/>
      <c r="EQ37" s="5">
        <v>0</v>
      </c>
      <c r="ER37" s="33"/>
      <c r="ES37" s="28">
        <f t="shared" si="143"/>
        <v>2396</v>
      </c>
      <c r="ET37" s="36"/>
      <c r="EU37" s="27"/>
      <c r="EV37" s="27"/>
      <c r="EW37" s="27"/>
      <c r="EX37" s="27"/>
      <c r="EY37" s="27"/>
      <c r="EZ37" s="33">
        <f t="shared" si="48"/>
        <v>0</v>
      </c>
      <c r="FA37" s="2685"/>
      <c r="FC37" s="4">
        <f t="shared" si="49"/>
        <v>0</v>
      </c>
      <c r="FD37" s="5">
        <f t="shared" si="50"/>
        <v>0</v>
      </c>
      <c r="FE37" s="5">
        <f t="shared" si="168"/>
        <v>0</v>
      </c>
      <c r="FF37" s="12">
        <f t="shared" si="52"/>
        <v>0</v>
      </c>
      <c r="FG37" s="33"/>
      <c r="FH37" s="2674"/>
      <c r="FI37" s="9"/>
      <c r="FJ37" s="5"/>
      <c r="FK37" s="5"/>
      <c r="FL37" s="5"/>
      <c r="FM37" s="5"/>
      <c r="FN37" s="27"/>
      <c r="FO37" s="28">
        <f t="shared" si="53"/>
        <v>0</v>
      </c>
      <c r="FP37" s="36"/>
      <c r="FQ37" s="27"/>
      <c r="FR37" s="27"/>
      <c r="FS37" s="27"/>
      <c r="FT37" s="27"/>
      <c r="FU37" s="27"/>
      <c r="FV37" s="28">
        <f t="shared" si="54"/>
        <v>0</v>
      </c>
      <c r="FW37" s="36"/>
      <c r="FX37" s="36"/>
      <c r="FY37" s="27"/>
      <c r="FZ37" s="27"/>
      <c r="GA37" s="27"/>
      <c r="GB37" s="27"/>
      <c r="GC37" s="27"/>
      <c r="GD37" s="27"/>
      <c r="GE37" s="24">
        <v>0</v>
      </c>
      <c r="GF37" s="27"/>
      <c r="GG37" s="27"/>
      <c r="GH37" s="33"/>
      <c r="GI37" s="33">
        <f t="shared" si="55"/>
        <v>0</v>
      </c>
      <c r="GJ37" s="2674"/>
      <c r="GL37" s="2">
        <f t="shared" si="132"/>
        <v>4920.68</v>
      </c>
      <c r="GM37" s="63">
        <f t="shared" si="133"/>
        <v>6132.7900000000009</v>
      </c>
      <c r="GN37" s="24">
        <f t="shared" si="134"/>
        <v>4433.7199999999993</v>
      </c>
      <c r="GO37" s="1736">
        <f t="shared" si="56"/>
        <v>15487.19</v>
      </c>
      <c r="GP37" s="141"/>
      <c r="GQ37" s="141"/>
      <c r="GR37" s="33"/>
      <c r="GS37" s="2667"/>
      <c r="GT37" s="1739">
        <v>0</v>
      </c>
      <c r="GU37" s="1721">
        <v>195</v>
      </c>
      <c r="GV37" s="1721">
        <v>6158.420000000001</v>
      </c>
      <c r="GW37" s="1721">
        <v>9133.7699999999986</v>
      </c>
      <c r="GX37" s="33">
        <f t="shared" si="135"/>
        <v>15487.189999999999</v>
      </c>
      <c r="GY37" s="2667"/>
      <c r="GZ37" s="35">
        <v>0</v>
      </c>
      <c r="HA37" s="36"/>
      <c r="HB37" s="27"/>
      <c r="HC37" s="27"/>
      <c r="HD37" s="27"/>
      <c r="HE37" s="27"/>
      <c r="HF37" s="24">
        <v>0</v>
      </c>
      <c r="HG37" s="27"/>
      <c r="HH37" s="24">
        <v>2674.71</v>
      </c>
      <c r="HI37" s="27"/>
      <c r="HJ37" s="24">
        <v>2050.9700000000003</v>
      </c>
      <c r="HK37" s="27"/>
      <c r="HL37" s="24">
        <v>195</v>
      </c>
      <c r="HM37" s="27"/>
      <c r="HN37" s="28">
        <f t="shared" si="148"/>
        <v>4920.68</v>
      </c>
      <c r="HO37" s="36"/>
      <c r="HP37" s="27"/>
      <c r="HQ37" s="27"/>
      <c r="HR37" s="27"/>
      <c r="HS37" s="27"/>
      <c r="HT37" s="27"/>
      <c r="HU37" s="27">
        <f t="array" ref="HU37">SUMPRODUCT(('Data Base hauling'!$C$2:$C$2000="TCM-ROM SB1 BK05-ROM 4")*(ISNUMBER(SEARCH(TEXT('August TCM'!$B37,"00")&amp;"/03/2026",'Data Base hauling'!$E$2:$E$2000)))*'Data Base hauling'!$N$2:$N$2000)</f>
        <v>0</v>
      </c>
      <c r="HV37" s="27"/>
      <c r="HW37" s="27">
        <f t="array" ref="HW37">SUMPRODUCT(('Data Base hauling'!$C$2:$C$2000="TCM-ROM SB1 BK05-ROM 5")*(ISNUMBER(SEARCH(TEXT('August TCM'!$B37,"00")&amp;"/03/2026",'Data Base hauling'!$E$2:$E$2000)))*'Data Base hauling'!$N$2:$N$2000)</f>
        <v>0</v>
      </c>
      <c r="HX37" s="27"/>
      <c r="HY37" s="27"/>
      <c r="HZ37" s="27"/>
      <c r="IA37" s="27"/>
      <c r="IB37" s="27"/>
      <c r="IC37" s="33">
        <f t="shared" si="58"/>
        <v>0</v>
      </c>
      <c r="ID37" s="52"/>
      <c r="IE37" s="152"/>
      <c r="IF37" s="53"/>
      <c r="IG37" s="53"/>
      <c r="IH37" s="53"/>
      <c r="II37" s="53"/>
      <c r="IJ37" s="1926">
        <v>2006.03</v>
      </c>
      <c r="IK37" s="1736"/>
      <c r="IL37" s="1926">
        <v>0</v>
      </c>
      <c r="IM37" s="53"/>
      <c r="IN37" s="49">
        <v>4126.7600000000011</v>
      </c>
      <c r="IO37" s="53"/>
      <c r="IP37" s="53"/>
      <c r="IQ37" s="49">
        <v>0</v>
      </c>
      <c r="IR37" s="61">
        <f t="shared" si="149"/>
        <v>6132.7900000000009</v>
      </c>
      <c r="IS37" s="36"/>
      <c r="IT37" s="36"/>
      <c r="IU37" s="27"/>
      <c r="IV37" s="27"/>
      <c r="IW37" s="53"/>
      <c r="IX37" s="27"/>
      <c r="IY37" s="24">
        <v>0</v>
      </c>
      <c r="IZ37" s="27"/>
      <c r="JA37" s="24">
        <v>2988.4199999999996</v>
      </c>
      <c r="JB37" s="27"/>
      <c r="JC37" s="24">
        <v>1445.3</v>
      </c>
      <c r="JD37" s="27"/>
      <c r="JE37" s="27"/>
      <c r="JF37" s="27"/>
      <c r="JG37" s="33">
        <f t="shared" si="150"/>
        <v>4433.7199999999993</v>
      </c>
      <c r="JH37" s="2667"/>
      <c r="JJ37" s="2014">
        <v>7544.2599999999993</v>
      </c>
      <c r="JK37" s="2015">
        <v>7942.9300000000012</v>
      </c>
      <c r="JL37" s="53"/>
      <c r="JM37" s="1736">
        <f t="shared" si="61"/>
        <v>15487.19</v>
      </c>
      <c r="JN37" s="33"/>
      <c r="JO37" s="2669"/>
      <c r="JP37" s="66">
        <v>0</v>
      </c>
      <c r="JQ37" s="67">
        <v>0</v>
      </c>
      <c r="JR37" s="67">
        <v>0</v>
      </c>
      <c r="JS37" s="67">
        <v>0</v>
      </c>
      <c r="JT37" s="67">
        <v>0.73961263265051846</v>
      </c>
      <c r="JU37" s="67">
        <v>0.26038736734948165</v>
      </c>
      <c r="JV37" s="67">
        <v>0</v>
      </c>
      <c r="JW37" s="1921">
        <v>0</v>
      </c>
      <c r="JX37" s="66">
        <v>0</v>
      </c>
      <c r="JY37" s="67">
        <v>0</v>
      </c>
      <c r="JZ37" s="67">
        <v>0</v>
      </c>
      <c r="KA37" s="67">
        <v>0.25255541720750396</v>
      </c>
      <c r="KB37" s="67">
        <v>1.0487313875358336E-2</v>
      </c>
      <c r="KC37" s="67">
        <v>0.71240713439499015</v>
      </c>
      <c r="KD37" s="67">
        <v>2.4550134522147365E-2</v>
      </c>
      <c r="KE37" s="68">
        <v>0</v>
      </c>
      <c r="KF37" s="69"/>
      <c r="KG37" s="70"/>
      <c r="KH37" s="70"/>
      <c r="KI37" s="70"/>
      <c r="KJ37" s="70"/>
      <c r="KK37" s="70"/>
      <c r="KL37" s="70"/>
      <c r="KM37" s="70"/>
      <c r="KN37" s="33"/>
      <c r="KO37" s="2669"/>
      <c r="KP37" s="2203">
        <v>7067.6716537536731</v>
      </c>
      <c r="KQ37" s="1721">
        <v>0.59324605931071317</v>
      </c>
      <c r="KR37" s="1721">
        <v>4.0322735773443759</v>
      </c>
      <c r="KS37" s="1721">
        <v>5.9670905690622495</v>
      </c>
      <c r="KT37" s="1722">
        <v>9.5280961731231617</v>
      </c>
      <c r="KU37" s="1958">
        <v>6813.3588960956376</v>
      </c>
      <c r="KV37" s="1961">
        <v>1.5009754546610707</v>
      </c>
      <c r="KW37" s="1961">
        <v>5.974929416253338</v>
      </c>
      <c r="KX37" s="1961">
        <v>5.4436411039043628</v>
      </c>
      <c r="KY37" s="1962">
        <v>8.5536729562507965</v>
      </c>
      <c r="KZ37" s="36"/>
      <c r="LA37" s="53"/>
      <c r="LB37" s="53"/>
      <c r="LC37" s="53"/>
      <c r="LD37" s="53"/>
      <c r="LE37" s="33"/>
      <c r="LF37" s="2669"/>
      <c r="LH37" s="26">
        <f t="shared" si="160"/>
        <v>0</v>
      </c>
      <c r="LI37" s="27">
        <f t="shared" si="160"/>
        <v>0</v>
      </c>
      <c r="LJ37" s="27">
        <f t="shared" si="160"/>
        <v>0</v>
      </c>
      <c r="LK37" s="28">
        <f t="shared" si="63"/>
        <v>0</v>
      </c>
      <c r="LL37" s="36"/>
      <c r="LM37" s="27"/>
      <c r="LN37" s="27">
        <v>5</v>
      </c>
      <c r="LO37" s="33"/>
      <c r="LP37" s="1957">
        <v>0.2</v>
      </c>
      <c r="LQ37" s="486" t="s">
        <v>680</v>
      </c>
      <c r="LR37" s="2688"/>
      <c r="LS37" s="26"/>
      <c r="LT37" s="36"/>
      <c r="LU37" s="27"/>
      <c r="LV37" s="27"/>
      <c r="LW37" s="27"/>
      <c r="LX37" s="1107">
        <f t="shared" si="64"/>
        <v>0</v>
      </c>
      <c r="LY37" s="36"/>
      <c r="LZ37" s="36"/>
      <c r="MA37" s="27"/>
      <c r="MB37" s="27"/>
      <c r="MC37" s="33"/>
      <c r="MD37" s="28">
        <f t="shared" si="65"/>
        <v>0</v>
      </c>
      <c r="ME37" s="26"/>
      <c r="MF37" s="36"/>
      <c r="MG37" s="27"/>
      <c r="MH37" s="27"/>
      <c r="MI37" s="27"/>
      <c r="MJ37" s="28"/>
      <c r="MK37" s="36"/>
      <c r="ML37" s="36"/>
      <c r="MM37" s="27"/>
      <c r="MN37" s="27"/>
      <c r="MO37" s="27"/>
      <c r="MP37" s="28"/>
      <c r="MQ37" s="36"/>
      <c r="MR37" s="36"/>
      <c r="MS37" s="27"/>
      <c r="MT37" s="27"/>
      <c r="MU37" s="27"/>
      <c r="MV37" s="33">
        <f t="shared" si="66"/>
        <v>0</v>
      </c>
      <c r="MW37" s="2688"/>
      <c r="MY37" s="26">
        <f t="shared" si="67"/>
        <v>331600.34035640402</v>
      </c>
      <c r="MZ37" s="27">
        <f t="shared" si="68"/>
        <v>209873.38630375825</v>
      </c>
      <c r="NA37" s="27">
        <f t="shared" si="69"/>
        <v>24225.305697817414</v>
      </c>
      <c r="NB37" s="28">
        <f t="shared" si="70"/>
        <v>314436.21795580426</v>
      </c>
      <c r="NC37" s="2621"/>
      <c r="ND37" s="23">
        <f t="shared" si="71"/>
        <v>179900.48074551803</v>
      </c>
      <c r="NE37" s="1655">
        <f t="shared" si="72"/>
        <v>151699.85961088599</v>
      </c>
      <c r="NF37" s="60">
        <f t="shared" si="73"/>
        <v>0</v>
      </c>
      <c r="NG37" s="275">
        <f t="shared" si="4"/>
        <v>331600.34035640402</v>
      </c>
      <c r="NH37" s="26">
        <f t="shared" ref="NH37:NQ40" si="169">+NH36+EG37-GZ37</f>
        <v>0</v>
      </c>
      <c r="NI37" s="27">
        <f t="shared" si="169"/>
        <v>0</v>
      </c>
      <c r="NJ37" s="27">
        <f t="shared" si="169"/>
        <v>0</v>
      </c>
      <c r="NK37" s="27">
        <f t="shared" si="169"/>
        <v>0</v>
      </c>
      <c r="NL37" s="27">
        <f t="shared" si="169"/>
        <v>0</v>
      </c>
      <c r="NM37" s="33">
        <f t="shared" si="169"/>
        <v>0</v>
      </c>
      <c r="NN37" s="27">
        <f t="shared" si="169"/>
        <v>0</v>
      </c>
      <c r="NO37" s="152">
        <f t="shared" si="169"/>
        <v>0</v>
      </c>
      <c r="NP37" s="24">
        <f t="shared" si="163"/>
        <v>26012.350605424239</v>
      </c>
      <c r="NQ37" s="27">
        <f t="shared" si="169"/>
        <v>24023.830351777149</v>
      </c>
      <c r="NR37" s="24">
        <f t="shared" si="136"/>
        <v>8297.8982322711581</v>
      </c>
      <c r="NS37" s="24">
        <f t="shared" si="137"/>
        <v>2307.4435664101111</v>
      </c>
      <c r="NT37" s="27">
        <f t="shared" si="0"/>
        <v>60641.522755882659</v>
      </c>
      <c r="NU37" s="27">
        <f t="shared" si="75"/>
        <v>0</v>
      </c>
      <c r="NV37" s="27">
        <f t="shared" si="76"/>
        <v>0</v>
      </c>
      <c r="NW37" s="27">
        <f t="shared" si="77"/>
        <v>0</v>
      </c>
      <c r="NX37" s="27">
        <f t="shared" si="78"/>
        <v>0</v>
      </c>
      <c r="NY37" s="27">
        <f t="shared" si="79"/>
        <v>0</v>
      </c>
      <c r="NZ37" s="5">
        <f t="shared" si="80"/>
        <v>0</v>
      </c>
      <c r="OA37" s="27">
        <f t="shared" si="81"/>
        <v>21517.924489662844</v>
      </c>
      <c r="OB37" s="27">
        <f t="shared" si="82"/>
        <v>0</v>
      </c>
      <c r="OC37" s="27">
        <f t="shared" si="83"/>
        <v>43525.849485704151</v>
      </c>
      <c r="OD37" s="27"/>
      <c r="OE37" s="27">
        <f t="shared" si="138"/>
        <v>14383.62</v>
      </c>
      <c r="OF37" s="27">
        <f t="shared" si="84"/>
        <v>0</v>
      </c>
      <c r="OG37" s="28">
        <f t="shared" si="1"/>
        <v>79427.393975366998</v>
      </c>
      <c r="OH37" s="27">
        <f t="shared" si="153"/>
        <v>0</v>
      </c>
      <c r="OI37" s="27">
        <f t="shared" si="154"/>
        <v>0</v>
      </c>
      <c r="OJ37" s="27">
        <f t="shared" si="158"/>
        <v>0</v>
      </c>
      <c r="OK37" s="27">
        <f t="shared" si="155"/>
        <v>0</v>
      </c>
      <c r="OL37" s="27">
        <f t="shared" si="156"/>
        <v>0</v>
      </c>
      <c r="OM37" s="27">
        <f t="shared" si="157"/>
        <v>0</v>
      </c>
      <c r="ON37" s="24">
        <f t="shared" si="147"/>
        <v>0</v>
      </c>
      <c r="OO37" s="27">
        <f t="shared" si="145"/>
        <v>0</v>
      </c>
      <c r="OP37" s="24">
        <f t="shared" si="86"/>
        <v>65429.132313713737</v>
      </c>
      <c r="OQ37" s="27">
        <f t="shared" si="87"/>
        <v>0</v>
      </c>
      <c r="OR37" s="24">
        <f t="shared" si="88"/>
        <v>4375.3372587948525</v>
      </c>
      <c r="OS37" s="27">
        <f t="shared" si="164"/>
        <v>0</v>
      </c>
      <c r="OT37" s="28">
        <f t="shared" si="2"/>
        <v>69804.469572508591</v>
      </c>
      <c r="OU37" s="36"/>
      <c r="OV37" s="27"/>
      <c r="OW37" s="27"/>
      <c r="OX37" s="27"/>
      <c r="OY37" s="27"/>
      <c r="OZ37" s="27"/>
      <c r="PA37" s="28">
        <f t="shared" si="90"/>
        <v>0</v>
      </c>
      <c r="PB37" s="36">
        <f t="shared" si="91"/>
        <v>0</v>
      </c>
      <c r="PC37" s="27">
        <f t="shared" si="92"/>
        <v>0</v>
      </c>
      <c r="PD37" s="27">
        <f t="shared" si="93"/>
        <v>0</v>
      </c>
      <c r="PE37" s="27">
        <f t="shared" si="94"/>
        <v>0</v>
      </c>
      <c r="PF37" s="24"/>
      <c r="PG37" s="27">
        <f t="shared" si="95"/>
        <v>0</v>
      </c>
      <c r="PH37" s="33">
        <f t="shared" si="3"/>
        <v>0</v>
      </c>
      <c r="PI37" s="2621"/>
      <c r="PK37" s="1907">
        <v>1189.22</v>
      </c>
      <c r="PL37" s="3">
        <v>1056</v>
      </c>
      <c r="PM37" s="3">
        <v>316.79999999999995</v>
      </c>
      <c r="PN37" s="3">
        <f t="shared" si="165"/>
        <v>195</v>
      </c>
      <c r="PO37" s="3">
        <f t="shared" si="97"/>
        <v>34551.28920453287</v>
      </c>
      <c r="PP37" s="11">
        <f t="shared" si="161"/>
        <v>24225.305697817414</v>
      </c>
      <c r="PQ37" s="15"/>
      <c r="PR37" s="2615"/>
      <c r="PT37" s="4"/>
      <c r="PU37" s="9"/>
      <c r="PV37" s="9"/>
      <c r="PW37" s="9"/>
      <c r="PX37" s="2531">
        <v>0</v>
      </c>
      <c r="PY37" s="9"/>
      <c r="PZ37" s="8">
        <f t="shared" si="99"/>
        <v>0</v>
      </c>
      <c r="QA37" s="5">
        <f t="shared" si="100"/>
        <v>1189.22</v>
      </c>
      <c r="QB37" s="5"/>
      <c r="QC37" s="5"/>
      <c r="QD37" s="5"/>
      <c r="QE37" s="5"/>
      <c r="QF37" s="5"/>
      <c r="QG37" s="12"/>
      <c r="QH37" s="12">
        <f t="shared" si="101"/>
        <v>29562.488999999998</v>
      </c>
      <c r="QI37" s="420">
        <f t="shared" si="102"/>
        <v>281153.44007140427</v>
      </c>
      <c r="QJ37" s="1106">
        <f t="shared" si="139"/>
        <v>3720.2888844000004</v>
      </c>
      <c r="QK37" s="484">
        <f t="shared" si="103"/>
        <v>5505.3678056099998</v>
      </c>
      <c r="QL37" s="12"/>
      <c r="QM37" s="2615"/>
      <c r="QO37" s="139">
        <f t="shared" si="104"/>
        <v>0</v>
      </c>
      <c r="QP37" s="139" t="str">
        <f t="shared" si="105"/>
        <v/>
      </c>
      <c r="QR37" s="139">
        <f t="shared" si="106"/>
        <v>0</v>
      </c>
      <c r="QS37" s="139">
        <f t="shared" si="107"/>
        <v>0</v>
      </c>
      <c r="QU37" s="1">
        <f t="shared" si="108"/>
        <v>0</v>
      </c>
      <c r="QV37" s="1">
        <f t="shared" si="109"/>
        <v>0</v>
      </c>
      <c r="QW37" s="1">
        <f t="shared" si="110"/>
        <v>0</v>
      </c>
      <c r="QX37" s="1">
        <f t="shared" si="111"/>
        <v>0</v>
      </c>
      <c r="QY37" s="1">
        <f t="shared" si="112"/>
        <v>0</v>
      </c>
      <c r="QZ37" s="1">
        <f t="shared" si="113"/>
        <v>0</v>
      </c>
      <c r="RB37" s="1">
        <f t="shared" si="114"/>
        <v>0</v>
      </c>
      <c r="RC37" s="1">
        <f t="shared" si="115"/>
        <v>0</v>
      </c>
      <c r="RD37" s="1">
        <f t="shared" si="116"/>
        <v>0</v>
      </c>
      <c r="RE37" s="1">
        <f t="shared" si="117"/>
        <v>0</v>
      </c>
      <c r="RF37" s="1">
        <f t="shared" si="118"/>
        <v>0</v>
      </c>
      <c r="RG37" s="1">
        <f t="shared" si="119"/>
        <v>0</v>
      </c>
      <c r="RJ37" s="1">
        <v>28</v>
      </c>
      <c r="RK37" s="1">
        <f t="shared" si="167"/>
        <v>76656.364209717096</v>
      </c>
      <c r="RL37" s="1">
        <f t="shared" si="167"/>
        <v>67289.592780483727</v>
      </c>
      <c r="RM37" s="1">
        <f t="shared" si="167"/>
        <v>13404.263703387322</v>
      </c>
      <c r="RN37" s="89">
        <f t="shared" si="5"/>
        <v>157350.22069358814</v>
      </c>
      <c r="RO37" s="1033">
        <v>28</v>
      </c>
      <c r="RP37" s="1098">
        <v>0</v>
      </c>
      <c r="RQ37" s="1098">
        <f t="shared" si="121"/>
        <v>0</v>
      </c>
      <c r="RR37" s="1097">
        <f t="shared" si="121"/>
        <v>0</v>
      </c>
      <c r="RS37" s="1097">
        <f t="shared" si="122"/>
        <v>2660.52</v>
      </c>
      <c r="RT37" s="1046"/>
      <c r="RU37" s="1928" t="s">
        <v>1095</v>
      </c>
      <c r="RX37" s="421">
        <v>28</v>
      </c>
      <c r="RY37" s="1095">
        <f t="shared" si="123"/>
        <v>15487.189999999999</v>
      </c>
      <c r="RZ37" s="1109" t="s">
        <v>1096</v>
      </c>
      <c r="SA37" s="1048"/>
      <c r="SB37" s="1090"/>
      <c r="SC37" s="1090">
        <f t="shared" si="124"/>
        <v>0</v>
      </c>
      <c r="SD37" s="1090"/>
      <c r="SE37" s="1090">
        <f t="shared" si="152"/>
        <v>0</v>
      </c>
      <c r="SG37" s="1">
        <v>28</v>
      </c>
      <c r="SH37" s="1">
        <f t="shared" si="126"/>
        <v>195</v>
      </c>
      <c r="SI37" s="1094" t="s">
        <v>1095</v>
      </c>
    </row>
    <row r="38" spans="1:503" s="1" customFormat="1">
      <c r="B38" s="471">
        <v>29</v>
      </c>
      <c r="C38" s="4">
        <f t="shared" si="127"/>
        <v>156341.4</v>
      </c>
      <c r="D38" s="1590">
        <f t="shared" si="146"/>
        <v>5945.68</v>
      </c>
      <c r="E38" s="1895">
        <f t="shared" si="6"/>
        <v>26.294957010804481</v>
      </c>
      <c r="F38" s="870"/>
      <c r="G38" s="870"/>
      <c r="H38" s="52"/>
      <c r="I38" s="61"/>
      <c r="J38" s="52"/>
      <c r="K38" s="54"/>
      <c r="L38" s="52"/>
      <c r="M38" s="61"/>
      <c r="N38" s="2629"/>
      <c r="O38" s="4">
        <f t="shared" si="142"/>
        <v>93870</v>
      </c>
      <c r="P38" s="5">
        <f t="shared" si="7"/>
        <v>1780.1399999999999</v>
      </c>
      <c r="Q38" s="1913">
        <f t="shared" si="8"/>
        <v>52.731807610637368</v>
      </c>
      <c r="R38" s="33"/>
      <c r="S38" s="26">
        <f t="shared" si="9"/>
        <v>30908.400000000001</v>
      </c>
      <c r="T38" s="27">
        <f t="shared" si="129"/>
        <v>777.9799999999999</v>
      </c>
      <c r="U38" s="1909">
        <f t="shared" si="10"/>
        <v>39.729041877683237</v>
      </c>
      <c r="V38" s="28"/>
      <c r="W38" s="26">
        <f t="shared" si="11"/>
        <v>26635</v>
      </c>
      <c r="X38" s="5">
        <f t="shared" si="11"/>
        <v>2586</v>
      </c>
      <c r="Y38" s="1909">
        <f t="shared" si="12"/>
        <v>10.299690641918021</v>
      </c>
      <c r="Z38" s="33"/>
      <c r="AA38" s="26">
        <f t="shared" si="13"/>
        <v>4928</v>
      </c>
      <c r="AB38" s="27">
        <f t="shared" si="14"/>
        <v>801.56</v>
      </c>
      <c r="AC38" s="1909">
        <f t="shared" si="15"/>
        <v>6.1480113778132646</v>
      </c>
      <c r="AD38" s="28"/>
      <c r="AE38" s="36"/>
      <c r="AF38" s="36"/>
      <c r="AG38" s="53">
        <f t="shared" si="16"/>
        <v>0</v>
      </c>
      <c r="AH38" s="28"/>
      <c r="AI38" s="23"/>
      <c r="AJ38" s="27"/>
      <c r="AK38" s="53">
        <f t="shared" si="17"/>
        <v>0</v>
      </c>
      <c r="AL38" s="28"/>
      <c r="AM38" s="2629"/>
      <c r="AN38" s="9"/>
      <c r="AO38" s="5"/>
      <c r="AP38" s="61">
        <f t="shared" si="18"/>
        <v>0</v>
      </c>
      <c r="AQ38" s="36"/>
      <c r="AR38" s="53"/>
      <c r="AS38" s="61">
        <f t="shared" si="19"/>
        <v>0</v>
      </c>
      <c r="AT38" s="36"/>
      <c r="AU38" s="27"/>
      <c r="AV38" s="54">
        <f t="shared" si="20"/>
        <v>0</v>
      </c>
      <c r="AW38" s="26">
        <v>51492</v>
      </c>
      <c r="AX38" s="24">
        <v>1780.1399999999999</v>
      </c>
      <c r="AY38" s="1895">
        <f t="shared" si="140"/>
        <v>28.925814823553207</v>
      </c>
      <c r="AZ38" s="1908"/>
      <c r="BA38" s="1909"/>
      <c r="BB38" s="1895">
        <f t="shared" si="21"/>
        <v>0</v>
      </c>
      <c r="BC38" s="1740">
        <v>42378</v>
      </c>
      <c r="BD38" s="1926">
        <v>0</v>
      </c>
      <c r="BE38" s="1895">
        <f t="shared" si="22"/>
        <v>0</v>
      </c>
      <c r="BF38" s="1908"/>
      <c r="BG38" s="1909"/>
      <c r="BH38" s="1895">
        <f t="shared" si="23"/>
        <v>0</v>
      </c>
      <c r="BI38" s="1908">
        <v>0</v>
      </c>
      <c r="BJ38" s="1909">
        <v>0</v>
      </c>
      <c r="BK38" s="1895">
        <f t="shared" si="24"/>
        <v>0</v>
      </c>
      <c r="BL38" s="2491">
        <v>30908.400000000001</v>
      </c>
      <c r="BM38" s="1736">
        <v>777.9799999999999</v>
      </c>
      <c r="BN38" s="2170"/>
      <c r="BO38" s="1895">
        <f t="shared" si="25"/>
        <v>39.729041877683237</v>
      </c>
      <c r="BP38" s="9">
        <v>4928</v>
      </c>
      <c r="BQ38" s="53">
        <v>801.56</v>
      </c>
      <c r="BR38" s="1735">
        <f t="shared" si="26"/>
        <v>6.1480113778132646</v>
      </c>
      <c r="BS38" s="36"/>
      <c r="BT38" s="27"/>
      <c r="BU38" s="61">
        <f t="shared" si="27"/>
        <v>0</v>
      </c>
      <c r="BV38" s="36">
        <v>26635</v>
      </c>
      <c r="BW38" s="27">
        <f t="shared" si="159"/>
        <v>2586</v>
      </c>
      <c r="BX38" s="28">
        <f t="shared" si="166"/>
        <v>10.299690641918021</v>
      </c>
      <c r="BY38" s="26"/>
      <c r="BZ38" s="5"/>
      <c r="CA38" s="61">
        <f t="shared" si="29"/>
        <v>0</v>
      </c>
      <c r="CB38" s="36"/>
      <c r="CC38" s="5"/>
      <c r="CD38" s="61">
        <f t="shared" si="30"/>
        <v>0</v>
      </c>
      <c r="CE38" s="26"/>
      <c r="CF38" s="5"/>
      <c r="CG38" s="28">
        <f t="shared" si="31"/>
        <v>0</v>
      </c>
      <c r="CH38" s="150"/>
      <c r="CI38" s="9"/>
      <c r="CJ38" s="5">
        <v>0</v>
      </c>
      <c r="CK38" s="5">
        <v>11177</v>
      </c>
      <c r="CL38" s="5"/>
      <c r="CM38" s="5"/>
      <c r="CN38" s="3">
        <f t="shared" si="131"/>
        <v>11177</v>
      </c>
      <c r="CO38" s="33"/>
      <c r="CP38" s="366"/>
      <c r="CR38" s="4">
        <f t="shared" si="32"/>
        <v>0</v>
      </c>
      <c r="CS38" s="9">
        <f t="shared" si="33"/>
        <v>0</v>
      </c>
      <c r="CT38" s="5">
        <f t="shared" si="34"/>
        <v>0</v>
      </c>
      <c r="CU38" s="5">
        <f t="shared" si="35"/>
        <v>0</v>
      </c>
      <c r="CV38" s="5">
        <f t="shared" si="36"/>
        <v>0</v>
      </c>
      <c r="CW38" s="5">
        <f t="shared" si="37"/>
        <v>0</v>
      </c>
      <c r="CX38" s="5">
        <f t="shared" si="38"/>
        <v>1780.1399999999999</v>
      </c>
      <c r="CY38" s="5">
        <f t="shared" si="39"/>
        <v>0</v>
      </c>
      <c r="CZ38" s="5">
        <f t="shared" si="40"/>
        <v>4165.54</v>
      </c>
      <c r="DA38" s="5">
        <f t="shared" si="41"/>
        <v>0</v>
      </c>
      <c r="DB38" s="5">
        <f t="shared" si="42"/>
        <v>0</v>
      </c>
      <c r="DC38" s="12">
        <f t="shared" si="43"/>
        <v>0</v>
      </c>
      <c r="DD38" s="310">
        <f>SUM(CR38:DC38,PX38)</f>
        <v>5945.68</v>
      </c>
      <c r="DE38" s="2695"/>
      <c r="DF38" s="8"/>
      <c r="DG38" s="9"/>
      <c r="DH38" s="5"/>
      <c r="DI38" s="5"/>
      <c r="DJ38" s="5"/>
      <c r="DK38" s="5"/>
      <c r="DL38" s="3">
        <v>1780.1399999999999</v>
      </c>
      <c r="DM38" s="5"/>
      <c r="DN38" s="3">
        <v>0</v>
      </c>
      <c r="DO38" s="5"/>
      <c r="DP38" s="3">
        <v>0</v>
      </c>
      <c r="DQ38" s="11">
        <v>0</v>
      </c>
      <c r="DR38" s="12"/>
      <c r="DS38" s="28">
        <f t="shared" si="45"/>
        <v>1780.1399999999999</v>
      </c>
      <c r="DT38" s="36"/>
      <c r="DU38" s="36"/>
      <c r="DV38" s="27"/>
      <c r="DW38" s="27"/>
      <c r="DX38" s="27"/>
      <c r="DY38" s="27"/>
      <c r="DZ38" s="27"/>
      <c r="EA38" s="27"/>
      <c r="EB38" s="3">
        <v>1579.54</v>
      </c>
      <c r="EC38" s="27"/>
      <c r="ED38" s="24">
        <v>0</v>
      </c>
      <c r="EE38" s="33"/>
      <c r="EF38" s="28">
        <f t="shared" si="46"/>
        <v>1579.54</v>
      </c>
      <c r="EG38" s="36"/>
      <c r="EH38" s="36"/>
      <c r="EI38" s="27"/>
      <c r="EJ38" s="27"/>
      <c r="EK38" s="27"/>
      <c r="EL38" s="27"/>
      <c r="EM38" s="27"/>
      <c r="EN38" s="27"/>
      <c r="EO38" s="5">
        <v>2586</v>
      </c>
      <c r="EP38" s="5"/>
      <c r="EQ38" s="5">
        <v>0</v>
      </c>
      <c r="ER38" s="33"/>
      <c r="ES38" s="28">
        <f t="shared" si="143"/>
        <v>2586</v>
      </c>
      <c r="ET38" s="36"/>
      <c r="EU38" s="27"/>
      <c r="EV38" s="27"/>
      <c r="EW38" s="27"/>
      <c r="EX38" s="27"/>
      <c r="EY38" s="27"/>
      <c r="EZ38" s="33">
        <f t="shared" si="48"/>
        <v>0</v>
      </c>
      <c r="FA38" s="2685"/>
      <c r="FC38" s="4">
        <f t="shared" si="49"/>
        <v>0</v>
      </c>
      <c r="FD38" s="5">
        <f t="shared" si="50"/>
        <v>0</v>
      </c>
      <c r="FE38" s="5">
        <f t="shared" si="168"/>
        <v>0</v>
      </c>
      <c r="FF38" s="12">
        <f t="shared" si="52"/>
        <v>0</v>
      </c>
      <c r="FG38" s="33"/>
      <c r="FH38" s="2674"/>
      <c r="FI38" s="9"/>
      <c r="FJ38" s="5"/>
      <c r="FK38" s="5"/>
      <c r="FL38" s="5"/>
      <c r="FM38" s="5"/>
      <c r="FN38" s="27"/>
      <c r="FO38" s="28">
        <f t="shared" si="53"/>
        <v>0</v>
      </c>
      <c r="FP38" s="36"/>
      <c r="FQ38" s="27"/>
      <c r="FR38" s="27"/>
      <c r="FS38" s="27"/>
      <c r="FT38" s="27"/>
      <c r="FU38" s="27"/>
      <c r="FV38" s="28">
        <f t="shared" si="54"/>
        <v>0</v>
      </c>
      <c r="FW38" s="36"/>
      <c r="FX38" s="36"/>
      <c r="FY38" s="27"/>
      <c r="FZ38" s="27"/>
      <c r="GA38" s="27"/>
      <c r="GB38" s="27"/>
      <c r="GC38" s="27"/>
      <c r="GD38" s="27"/>
      <c r="GE38" s="24">
        <v>0</v>
      </c>
      <c r="GF38" s="27"/>
      <c r="GG38" s="27"/>
      <c r="GH38" s="33"/>
      <c r="GI38" s="33">
        <f t="shared" si="55"/>
        <v>0</v>
      </c>
      <c r="GJ38" s="2674"/>
      <c r="GL38" s="2">
        <f t="shared" si="132"/>
        <v>3939.83</v>
      </c>
      <c r="GM38" s="63">
        <f t="shared" si="133"/>
        <v>7337.0199999999995</v>
      </c>
      <c r="GN38" s="24">
        <f t="shared" si="134"/>
        <v>4564.29</v>
      </c>
      <c r="GO38" s="1736">
        <f t="shared" si="56"/>
        <v>15841.14</v>
      </c>
      <c r="GP38" s="141"/>
      <c r="GQ38" s="141"/>
      <c r="GR38" s="33"/>
      <c r="GS38" s="2667"/>
      <c r="GT38" s="1739">
        <v>0</v>
      </c>
      <c r="GU38" s="1721">
        <v>540.20000000000005</v>
      </c>
      <c r="GV38" s="1721">
        <v>6369.0000000000018</v>
      </c>
      <c r="GW38" s="1721">
        <v>8931.9400000000023</v>
      </c>
      <c r="GX38" s="33">
        <f t="shared" si="135"/>
        <v>15841.140000000003</v>
      </c>
      <c r="GY38" s="2667"/>
      <c r="GZ38" s="35">
        <v>198.4</v>
      </c>
      <c r="HA38" s="36"/>
      <c r="HB38" s="27"/>
      <c r="HC38" s="27"/>
      <c r="HD38" s="27"/>
      <c r="HE38" s="27"/>
      <c r="HF38" s="24">
        <v>0</v>
      </c>
      <c r="HG38" s="27"/>
      <c r="HH38" s="24">
        <v>1696.8099999999997</v>
      </c>
      <c r="HI38" s="27"/>
      <c r="HJ38" s="24">
        <v>1702.8200000000002</v>
      </c>
      <c r="HK38" s="27"/>
      <c r="HL38" s="24">
        <v>341.79999999999995</v>
      </c>
      <c r="HM38" s="27"/>
      <c r="HN38" s="28">
        <f t="shared" si="148"/>
        <v>3939.83</v>
      </c>
      <c r="HO38" s="36"/>
      <c r="HP38" s="27"/>
      <c r="HQ38" s="27"/>
      <c r="HR38" s="27"/>
      <c r="HS38" s="27"/>
      <c r="HT38" s="27"/>
      <c r="HU38" s="27">
        <f t="array" ref="HU38">SUMPRODUCT(('Data Base hauling'!$C$2:$C$2000="TCM-ROM SB1 BK05-ROM 4")*(ISNUMBER(SEARCH(TEXT('August TCM'!$B38,"00")&amp;"/03/2026",'Data Base hauling'!$E$2:$E$2000)))*'Data Base hauling'!$N$2:$N$2000)</f>
        <v>0</v>
      </c>
      <c r="HV38" s="27"/>
      <c r="HW38" s="27">
        <f t="array" ref="HW38">SUMPRODUCT(('Data Base hauling'!$C$2:$C$2000="TCM-ROM SB1 BK05-ROM 5")*(ISNUMBER(SEARCH(TEXT('August TCM'!$B38,"00")&amp;"/03/2026",'Data Base hauling'!$E$2:$E$2000)))*'Data Base hauling'!$N$2:$N$2000)</f>
        <v>0</v>
      </c>
      <c r="HX38" s="27"/>
      <c r="HY38" s="27"/>
      <c r="HZ38" s="27"/>
      <c r="IA38" s="27"/>
      <c r="IB38" s="27"/>
      <c r="IC38" s="33">
        <f t="shared" si="58"/>
        <v>0</v>
      </c>
      <c r="ID38" s="52"/>
      <c r="IE38" s="152"/>
      <c r="IF38" s="53"/>
      <c r="IG38" s="53"/>
      <c r="IH38" s="53"/>
      <c r="II38" s="53"/>
      <c r="IJ38" s="1926">
        <v>1961.5199999999998</v>
      </c>
      <c r="IK38" s="53"/>
      <c r="IL38" s="1926">
        <v>0</v>
      </c>
      <c r="IM38" s="53"/>
      <c r="IN38" s="49">
        <v>5375.5</v>
      </c>
      <c r="IO38" s="53"/>
      <c r="IP38" s="53"/>
      <c r="IQ38" s="49">
        <v>0</v>
      </c>
      <c r="IR38" s="61">
        <f t="shared" si="149"/>
        <v>7337.0199999999995</v>
      </c>
      <c r="IS38" s="36"/>
      <c r="IT38" s="36"/>
      <c r="IU38" s="27"/>
      <c r="IV38" s="27"/>
      <c r="IW38" s="53"/>
      <c r="IX38" s="53"/>
      <c r="IY38" s="24">
        <v>0</v>
      </c>
      <c r="IZ38" s="53"/>
      <c r="JA38" s="24">
        <v>3461.44</v>
      </c>
      <c r="JB38" s="53"/>
      <c r="JC38" s="24">
        <v>1102.8499999999999</v>
      </c>
      <c r="JD38" s="27"/>
      <c r="JE38" s="27"/>
      <c r="JF38" s="27"/>
      <c r="JG38" s="33">
        <f t="shared" si="150"/>
        <v>4564.29</v>
      </c>
      <c r="JH38" s="2667"/>
      <c r="JJ38" s="2014">
        <v>7640.1</v>
      </c>
      <c r="JK38" s="2015">
        <v>8201.0399999999991</v>
      </c>
      <c r="JL38" s="27"/>
      <c r="JM38" s="1736">
        <f t="shared" si="61"/>
        <v>15841.14</v>
      </c>
      <c r="JN38" s="33"/>
      <c r="JO38" s="2669"/>
      <c r="JP38" s="66">
        <v>0</v>
      </c>
      <c r="JQ38" s="67">
        <v>0</v>
      </c>
      <c r="JR38" s="67">
        <v>0</v>
      </c>
      <c r="JS38" s="67">
        <v>0</v>
      </c>
      <c r="JT38" s="67">
        <v>0.64406094161071192</v>
      </c>
      <c r="JU38" s="67">
        <v>0.35593905838928808</v>
      </c>
      <c r="JV38" s="67">
        <v>0</v>
      </c>
      <c r="JW38" s="1921">
        <v>0</v>
      </c>
      <c r="JX38" s="66">
        <v>2.4192053690751419E-2</v>
      </c>
      <c r="JY38" s="67">
        <v>0</v>
      </c>
      <c r="JZ38" s="67">
        <v>0</v>
      </c>
      <c r="KA38" s="67">
        <v>0.23917942114658627</v>
      </c>
      <c r="KB38" s="67">
        <v>2.8967057836567073E-2</v>
      </c>
      <c r="KC38" s="67">
        <v>0.66598382644152454</v>
      </c>
      <c r="KD38" s="67">
        <v>4.1677640884570738E-2</v>
      </c>
      <c r="KE38" s="68">
        <v>0</v>
      </c>
      <c r="KF38" s="69"/>
      <c r="KG38" s="70"/>
      <c r="KH38" s="70"/>
      <c r="KI38" s="70"/>
      <c r="KJ38" s="70"/>
      <c r="KK38" s="70"/>
      <c r="KL38" s="70"/>
      <c r="KM38" s="70"/>
      <c r="KN38" s="33"/>
      <c r="KO38" s="2669"/>
      <c r="KP38" s="2203">
        <v>7078.3760913364677</v>
      </c>
      <c r="KQ38" s="1721">
        <v>0.82985224983210204</v>
      </c>
      <c r="KR38" s="1721">
        <v>4.3273875083948958</v>
      </c>
      <c r="KS38" s="1721">
        <v>6.4486702484889182</v>
      </c>
      <c r="KT38" s="1722">
        <v>9.5723481383478859</v>
      </c>
      <c r="KU38" s="1958">
        <v>6933.1880088823091</v>
      </c>
      <c r="KV38" s="1961">
        <v>1.9155144337527756</v>
      </c>
      <c r="KW38" s="1961">
        <v>6.2590624228966201</v>
      </c>
      <c r="KX38" s="1961">
        <v>5.8829903774981505</v>
      </c>
      <c r="KY38" s="1962">
        <v>7.8200079644707623</v>
      </c>
      <c r="KZ38" s="36"/>
      <c r="LA38" s="53"/>
      <c r="LB38" s="53"/>
      <c r="LC38" s="53"/>
      <c r="LD38" s="53"/>
      <c r="LE38" s="33"/>
      <c r="LF38" s="2669"/>
      <c r="LH38" s="26">
        <f t="shared" si="160"/>
        <v>5171.21</v>
      </c>
      <c r="LI38" s="27">
        <f t="shared" si="160"/>
        <v>10126.14</v>
      </c>
      <c r="LJ38" s="27">
        <f t="shared" si="160"/>
        <v>0</v>
      </c>
      <c r="LK38" s="28">
        <f t="shared" si="63"/>
        <v>15297.349999999999</v>
      </c>
      <c r="LL38" s="36">
        <v>3</v>
      </c>
      <c r="LM38" s="27"/>
      <c r="LN38" s="27">
        <v>5</v>
      </c>
      <c r="LO38" s="33"/>
      <c r="LP38" s="1957">
        <v>0.47</v>
      </c>
      <c r="LQ38" s="486"/>
      <c r="LR38" s="2688"/>
      <c r="LS38" s="26">
        <v>5171.21</v>
      </c>
      <c r="LT38" s="36"/>
      <c r="LU38" s="27"/>
      <c r="LV38" s="27"/>
      <c r="LW38" s="27"/>
      <c r="LX38" s="1107">
        <f t="shared" si="64"/>
        <v>5171.21</v>
      </c>
      <c r="LY38" s="36"/>
      <c r="LZ38" s="36">
        <v>10126.14</v>
      </c>
      <c r="MA38" s="27"/>
      <c r="MB38" s="27"/>
      <c r="MC38" s="33"/>
      <c r="MD38" s="28">
        <f t="shared" si="65"/>
        <v>10126.14</v>
      </c>
      <c r="ME38" s="26"/>
      <c r="MF38" s="36"/>
      <c r="MG38" s="27"/>
      <c r="MH38" s="27"/>
      <c r="MI38" s="27"/>
      <c r="MJ38" s="28"/>
      <c r="MK38" s="36"/>
      <c r="ML38" s="36"/>
      <c r="MM38" s="27"/>
      <c r="MN38" s="27"/>
      <c r="MO38" s="27"/>
      <c r="MP38" s="28"/>
      <c r="MQ38" s="36"/>
      <c r="MR38" s="36"/>
      <c r="MS38" s="27"/>
      <c r="MT38" s="27"/>
      <c r="MU38" s="27"/>
      <c r="MV38" s="33">
        <f t="shared" si="66"/>
        <v>0</v>
      </c>
      <c r="MW38" s="2688"/>
      <c r="MY38" s="26">
        <f t="shared" si="67"/>
        <v>332144.130356404</v>
      </c>
      <c r="MZ38" s="27">
        <f t="shared" si="68"/>
        <v>200121.32630375825</v>
      </c>
      <c r="NA38" s="27">
        <f t="shared" si="69"/>
        <v>24337.105697817413</v>
      </c>
      <c r="NB38" s="28">
        <f t="shared" si="70"/>
        <v>313064.83795580425</v>
      </c>
      <c r="NC38" s="2621"/>
      <c r="ND38" s="23">
        <f t="shared" si="71"/>
        <v>182369.37074551804</v>
      </c>
      <c r="NE38" s="1655">
        <f t="shared" si="72"/>
        <v>149774.75961088599</v>
      </c>
      <c r="NF38" s="60">
        <f t="shared" si="73"/>
        <v>0</v>
      </c>
      <c r="NG38" s="275">
        <f t="shared" si="4"/>
        <v>332144.130356404</v>
      </c>
      <c r="NH38" s="26">
        <f t="shared" si="169"/>
        <v>-198.4</v>
      </c>
      <c r="NI38" s="27">
        <f t="shared" si="169"/>
        <v>0</v>
      </c>
      <c r="NJ38" s="27">
        <f t="shared" si="169"/>
        <v>0</v>
      </c>
      <c r="NK38" s="27">
        <f t="shared" si="169"/>
        <v>0</v>
      </c>
      <c r="NL38" s="27">
        <f t="shared" si="169"/>
        <v>0</v>
      </c>
      <c r="NM38" s="33">
        <f t="shared" si="169"/>
        <v>0</v>
      </c>
      <c r="NN38" s="27">
        <f t="shared" si="169"/>
        <v>0</v>
      </c>
      <c r="NO38" s="152">
        <f t="shared" si="169"/>
        <v>0</v>
      </c>
      <c r="NP38" s="24">
        <f t="shared" si="163"/>
        <v>26901.540605424238</v>
      </c>
      <c r="NQ38" s="27">
        <f t="shared" si="169"/>
        <v>24023.830351777149</v>
      </c>
      <c r="NR38" s="24">
        <f t="shared" si="136"/>
        <v>8099.4982322711585</v>
      </c>
      <c r="NS38" s="24">
        <f t="shared" si="137"/>
        <v>604.62356641011093</v>
      </c>
      <c r="NT38" s="27">
        <f t="shared" si="0"/>
        <v>59431.092755882652</v>
      </c>
      <c r="NU38" s="27">
        <f t="shared" si="75"/>
        <v>0</v>
      </c>
      <c r="NV38" s="27">
        <f t="shared" si="76"/>
        <v>0</v>
      </c>
      <c r="NW38" s="27">
        <f t="shared" si="77"/>
        <v>0</v>
      </c>
      <c r="NX38" s="27">
        <f t="shared" si="78"/>
        <v>0</v>
      </c>
      <c r="NY38" s="5">
        <f t="shared" si="79"/>
        <v>0</v>
      </c>
      <c r="NZ38" s="5">
        <f t="shared" si="80"/>
        <v>0</v>
      </c>
      <c r="OA38" s="27">
        <f t="shared" si="81"/>
        <v>21336.544489662843</v>
      </c>
      <c r="OB38" s="27">
        <f t="shared" si="82"/>
        <v>0</v>
      </c>
      <c r="OC38" s="27">
        <f t="shared" si="83"/>
        <v>38150.349485704151</v>
      </c>
      <c r="OD38" s="27"/>
      <c r="OE38" s="27">
        <f t="shared" si="138"/>
        <v>14383.62</v>
      </c>
      <c r="OF38" s="27">
        <f t="shared" si="84"/>
        <v>0</v>
      </c>
      <c r="OG38" s="28">
        <f t="shared" si="1"/>
        <v>73870.513975366994</v>
      </c>
      <c r="OH38" s="27">
        <f t="shared" si="153"/>
        <v>0</v>
      </c>
      <c r="OI38" s="27">
        <f t="shared" si="154"/>
        <v>0</v>
      </c>
      <c r="OJ38" s="27">
        <f t="shared" si="158"/>
        <v>0</v>
      </c>
      <c r="OK38" s="27">
        <f t="shared" si="155"/>
        <v>0</v>
      </c>
      <c r="OL38" s="27">
        <f t="shared" si="156"/>
        <v>0</v>
      </c>
      <c r="OM38" s="27">
        <f t="shared" si="157"/>
        <v>0</v>
      </c>
      <c r="ON38" s="24">
        <f t="shared" si="147"/>
        <v>0</v>
      </c>
      <c r="OO38" s="27">
        <f t="shared" si="145"/>
        <v>0</v>
      </c>
      <c r="OP38" s="24">
        <f t="shared" si="86"/>
        <v>63547.232313713728</v>
      </c>
      <c r="OQ38" s="27">
        <f t="shared" si="87"/>
        <v>0</v>
      </c>
      <c r="OR38" s="24">
        <f t="shared" si="88"/>
        <v>3272.4872587948526</v>
      </c>
      <c r="OS38" s="27">
        <f t="shared" si="164"/>
        <v>0</v>
      </c>
      <c r="OT38" s="28">
        <f t="shared" si="2"/>
        <v>66819.719572508577</v>
      </c>
      <c r="OU38" s="36"/>
      <c r="OV38" s="27"/>
      <c r="OW38" s="27"/>
      <c r="OX38" s="27"/>
      <c r="OY38" s="27"/>
      <c r="OZ38" s="27"/>
      <c r="PA38" s="28">
        <f t="shared" si="90"/>
        <v>0</v>
      </c>
      <c r="PB38" s="36">
        <f t="shared" si="91"/>
        <v>0</v>
      </c>
      <c r="PC38" s="27">
        <f t="shared" si="92"/>
        <v>0</v>
      </c>
      <c r="PD38" s="27">
        <f t="shared" si="93"/>
        <v>0</v>
      </c>
      <c r="PE38" s="27">
        <f t="shared" si="94"/>
        <v>0</v>
      </c>
      <c r="PF38" s="24"/>
      <c r="PG38" s="27">
        <f t="shared" si="95"/>
        <v>0</v>
      </c>
      <c r="PH38" s="33">
        <f t="shared" si="3"/>
        <v>0</v>
      </c>
      <c r="PI38" s="2621"/>
      <c r="PK38" s="1907">
        <v>1371.38</v>
      </c>
      <c r="PL38" s="3">
        <v>1512</v>
      </c>
      <c r="PM38" s="3">
        <v>453.59999999999997</v>
      </c>
      <c r="PN38" s="3">
        <f t="shared" si="165"/>
        <v>341.79999999999995</v>
      </c>
      <c r="PO38" s="3">
        <f t="shared" si="97"/>
        <v>34410.669204532867</v>
      </c>
      <c r="PP38" s="11">
        <f t="shared" si="161"/>
        <v>24337.105697817413</v>
      </c>
      <c r="PQ38" s="15"/>
      <c r="PR38" s="2615"/>
      <c r="PT38" s="4"/>
      <c r="PU38" s="9"/>
      <c r="PV38" s="9"/>
      <c r="PW38" s="9"/>
      <c r="PX38" s="2531">
        <v>0</v>
      </c>
      <c r="PY38" s="9"/>
      <c r="PZ38" s="8">
        <f t="shared" si="99"/>
        <v>0</v>
      </c>
      <c r="QA38" s="5">
        <f t="shared" si="100"/>
        <v>1371.38</v>
      </c>
      <c r="QB38" s="5"/>
      <c r="QC38" s="5"/>
      <c r="QD38" s="5"/>
      <c r="QE38" s="5"/>
      <c r="QF38" s="5"/>
      <c r="QG38" s="12"/>
      <c r="QH38" s="12">
        <f t="shared" si="101"/>
        <v>29562.488999999998</v>
      </c>
      <c r="QI38" s="420">
        <f t="shared" si="102"/>
        <v>279782.06007140427</v>
      </c>
      <c r="QJ38" s="1106">
        <f t="shared" si="139"/>
        <v>3720.2888844000004</v>
      </c>
      <c r="QK38" s="484">
        <f t="shared" si="103"/>
        <v>5505.3678056099998</v>
      </c>
      <c r="QL38" s="12"/>
      <c r="QM38" s="2615"/>
      <c r="QO38" s="139">
        <f t="shared" si="104"/>
        <v>0</v>
      </c>
      <c r="QP38" s="139" t="str">
        <f t="shared" si="105"/>
        <v/>
      </c>
      <c r="QR38" s="139">
        <f t="shared" si="106"/>
        <v>0</v>
      </c>
      <c r="QS38" s="139">
        <f t="shared" si="107"/>
        <v>0</v>
      </c>
      <c r="QU38" s="1">
        <f t="shared" si="108"/>
        <v>0</v>
      </c>
      <c r="QV38" s="1">
        <f t="shared" si="109"/>
        <v>0</v>
      </c>
      <c r="QW38" s="1">
        <f t="shared" si="110"/>
        <v>0</v>
      </c>
      <c r="QX38" s="1">
        <f t="shared" si="111"/>
        <v>0</v>
      </c>
      <c r="QY38" s="1">
        <f t="shared" si="112"/>
        <v>0</v>
      </c>
      <c r="QZ38" s="1">
        <f t="shared" si="113"/>
        <v>0</v>
      </c>
      <c r="RB38" s="1">
        <f t="shared" si="114"/>
        <v>0</v>
      </c>
      <c r="RC38" s="1">
        <f t="shared" si="115"/>
        <v>0</v>
      </c>
      <c r="RD38" s="1">
        <f t="shared" si="116"/>
        <v>0</v>
      </c>
      <c r="RE38" s="1">
        <f t="shared" si="117"/>
        <v>0</v>
      </c>
      <c r="RF38" s="1">
        <f t="shared" si="118"/>
        <v>0</v>
      </c>
      <c r="RG38" s="1">
        <f t="shared" si="119"/>
        <v>0</v>
      </c>
      <c r="RJ38" s="1">
        <v>29</v>
      </c>
      <c r="RK38" s="1">
        <f t="shared" si="167"/>
        <v>79125.254209717095</v>
      </c>
      <c r="RL38" s="1">
        <f t="shared" si="167"/>
        <v>65364.492780483721</v>
      </c>
      <c r="RM38" s="1">
        <f t="shared" si="167"/>
        <v>13404.263703387322</v>
      </c>
      <c r="RN38" s="89">
        <f t="shared" si="5"/>
        <v>157894.01069358815</v>
      </c>
      <c r="RO38" s="1033">
        <v>29</v>
      </c>
      <c r="RP38" s="1098">
        <v>0</v>
      </c>
      <c r="RQ38" s="1098">
        <f t="shared" si="121"/>
        <v>0</v>
      </c>
      <c r="RR38" s="1097">
        <f t="shared" si="121"/>
        <v>0</v>
      </c>
      <c r="RS38" s="1097">
        <f t="shared" si="122"/>
        <v>3359.68</v>
      </c>
      <c r="RT38" s="1094"/>
      <c r="RU38" s="2420" t="s">
        <v>1097</v>
      </c>
      <c r="RX38" s="421">
        <v>29</v>
      </c>
      <c r="RY38" s="1095">
        <f t="shared" si="123"/>
        <v>15841.140000000003</v>
      </c>
      <c r="RZ38" s="2441" t="s">
        <v>1098</v>
      </c>
      <c r="SB38" s="1090"/>
      <c r="SC38" s="1090">
        <f t="shared" si="124"/>
        <v>0</v>
      </c>
      <c r="SD38" s="1090"/>
      <c r="SE38" s="1090">
        <f t="shared" si="152"/>
        <v>0</v>
      </c>
      <c r="SG38" s="1">
        <v>29</v>
      </c>
      <c r="SH38" s="1">
        <f t="shared" si="126"/>
        <v>341.79999999999995</v>
      </c>
      <c r="SI38" s="2420" t="s">
        <v>1099</v>
      </c>
    </row>
    <row r="39" spans="1:503" s="1" customFormat="1">
      <c r="B39" s="471">
        <v>30</v>
      </c>
      <c r="C39" s="4">
        <f t="shared" si="127"/>
        <v>157320</v>
      </c>
      <c r="D39" s="1590">
        <f t="shared" si="146"/>
        <v>5663.8600000000006</v>
      </c>
      <c r="E39" s="1895">
        <f t="shared" si="6"/>
        <v>27.77611028521185</v>
      </c>
      <c r="F39" s="870"/>
      <c r="G39" s="870"/>
      <c r="H39" s="52"/>
      <c r="I39" s="61"/>
      <c r="J39" s="52"/>
      <c r="K39" s="54"/>
      <c r="L39" s="52"/>
      <c r="M39" s="61"/>
      <c r="N39" s="2629"/>
      <c r="O39" s="4">
        <f t="shared" si="142"/>
        <v>88368</v>
      </c>
      <c r="P39" s="5">
        <f t="shared" si="7"/>
        <v>1328.3600000000001</v>
      </c>
      <c r="Q39" s="1913">
        <f t="shared" si="8"/>
        <v>66.524135023638166</v>
      </c>
      <c r="R39" s="33"/>
      <c r="S39" s="26">
        <f t="shared" si="9"/>
        <v>37705</v>
      </c>
      <c r="T39" s="27">
        <f t="shared" si="129"/>
        <v>1701.9400000000003</v>
      </c>
      <c r="U39" s="1909">
        <f t="shared" si="10"/>
        <v>22.154129992831706</v>
      </c>
      <c r="V39" s="28"/>
      <c r="W39" s="26">
        <f t="shared" si="11"/>
        <v>25929</v>
      </c>
      <c r="X39" s="5">
        <f t="shared" si="11"/>
        <v>1940</v>
      </c>
      <c r="Y39" s="1909">
        <f t="shared" si="12"/>
        <v>13.365463917525773</v>
      </c>
      <c r="Z39" s="33"/>
      <c r="AA39" s="26">
        <f t="shared" si="13"/>
        <v>5318</v>
      </c>
      <c r="AB39" s="27">
        <f t="shared" si="14"/>
        <v>693.56</v>
      </c>
      <c r="AC39" s="1909">
        <f t="shared" si="15"/>
        <v>7.6676855643347377</v>
      </c>
      <c r="AD39" s="28"/>
      <c r="AE39" s="36"/>
      <c r="AF39" s="36"/>
      <c r="AG39" s="53">
        <f t="shared" si="16"/>
        <v>0</v>
      </c>
      <c r="AH39" s="28"/>
      <c r="AI39" s="26"/>
      <c r="AJ39" s="27"/>
      <c r="AK39" s="53">
        <f t="shared" si="17"/>
        <v>0</v>
      </c>
      <c r="AL39" s="28"/>
      <c r="AM39" s="2629"/>
      <c r="AN39" s="9"/>
      <c r="AO39" s="5"/>
      <c r="AP39" s="61">
        <f t="shared" si="18"/>
        <v>0</v>
      </c>
      <c r="AQ39" s="36"/>
      <c r="AR39" s="53"/>
      <c r="AS39" s="61">
        <f t="shared" si="19"/>
        <v>0</v>
      </c>
      <c r="AT39" s="36"/>
      <c r="AU39" s="27"/>
      <c r="AV39" s="54">
        <f t="shared" si="20"/>
        <v>0</v>
      </c>
      <c r="AW39" s="26">
        <v>49602</v>
      </c>
      <c r="AX39" s="24">
        <v>1328.3600000000001</v>
      </c>
      <c r="AY39" s="1895">
        <f t="shared" si="140"/>
        <v>37.340781113553554</v>
      </c>
      <c r="AZ39" s="1908"/>
      <c r="BA39" s="1909"/>
      <c r="BB39" s="1895">
        <f t="shared" si="21"/>
        <v>0</v>
      </c>
      <c r="BC39" s="1740">
        <v>38766</v>
      </c>
      <c r="BD39" s="1926">
        <v>0</v>
      </c>
      <c r="BE39" s="1895">
        <f t="shared" si="22"/>
        <v>0</v>
      </c>
      <c r="BF39" s="1908"/>
      <c r="BG39" s="1909"/>
      <c r="BH39" s="1895">
        <f t="shared" si="23"/>
        <v>0</v>
      </c>
      <c r="BI39" s="1908"/>
      <c r="BJ39" s="1909"/>
      <c r="BK39" s="1895">
        <f t="shared" si="24"/>
        <v>0</v>
      </c>
      <c r="BL39" s="2491">
        <v>37705</v>
      </c>
      <c r="BM39" s="1736">
        <v>1701.9400000000003</v>
      </c>
      <c r="BN39" s="2170"/>
      <c r="BO39" s="1895">
        <f t="shared" si="25"/>
        <v>22.154129992831706</v>
      </c>
      <c r="BP39" s="36">
        <v>5318</v>
      </c>
      <c r="BQ39" s="53">
        <v>693.56</v>
      </c>
      <c r="BR39" s="1735">
        <f t="shared" si="26"/>
        <v>7.6676855643347377</v>
      </c>
      <c r="BS39" s="36"/>
      <c r="BT39" s="27"/>
      <c r="BU39" s="61">
        <f t="shared" si="27"/>
        <v>0</v>
      </c>
      <c r="BV39" s="36">
        <v>25929</v>
      </c>
      <c r="BW39" s="27">
        <f t="shared" si="159"/>
        <v>1940</v>
      </c>
      <c r="BX39" s="28">
        <f t="shared" si="166"/>
        <v>13.365463917525773</v>
      </c>
      <c r="BY39" s="26"/>
      <c r="BZ39" s="5"/>
      <c r="CA39" s="61">
        <f t="shared" si="29"/>
        <v>0</v>
      </c>
      <c r="CB39" s="36"/>
      <c r="CC39" s="5"/>
      <c r="CD39" s="61">
        <f t="shared" si="30"/>
        <v>0</v>
      </c>
      <c r="CE39" s="26"/>
      <c r="CF39" s="27"/>
      <c r="CG39" s="28">
        <f t="shared" si="31"/>
        <v>0</v>
      </c>
      <c r="CH39" s="150"/>
      <c r="CI39" s="9"/>
      <c r="CJ39" s="5">
        <v>0</v>
      </c>
      <c r="CK39" s="5">
        <v>12452</v>
      </c>
      <c r="CL39" s="5"/>
      <c r="CM39" s="5"/>
      <c r="CN39" s="3">
        <f t="shared" si="131"/>
        <v>12452</v>
      </c>
      <c r="CO39" s="33"/>
      <c r="CP39" s="366"/>
      <c r="CR39" s="4">
        <f t="shared" si="32"/>
        <v>0</v>
      </c>
      <c r="CS39" s="9">
        <f t="shared" si="33"/>
        <v>0</v>
      </c>
      <c r="CT39" s="5">
        <f t="shared" si="34"/>
        <v>0</v>
      </c>
      <c r="CU39" s="5">
        <f t="shared" si="35"/>
        <v>0</v>
      </c>
      <c r="CV39" s="5">
        <f t="shared" si="36"/>
        <v>0</v>
      </c>
      <c r="CW39" s="5">
        <f t="shared" si="37"/>
        <v>0</v>
      </c>
      <c r="CX39" s="5">
        <f t="shared" si="38"/>
        <v>1328.3600000000001</v>
      </c>
      <c r="CY39" s="5">
        <f t="shared" si="39"/>
        <v>0</v>
      </c>
      <c r="CZ39" s="5">
        <f t="shared" si="40"/>
        <v>3407.5000000000005</v>
      </c>
      <c r="DA39" s="5">
        <f t="shared" si="41"/>
        <v>0</v>
      </c>
      <c r="DB39" s="5">
        <f t="shared" si="42"/>
        <v>928</v>
      </c>
      <c r="DC39" s="12">
        <f t="shared" si="43"/>
        <v>0</v>
      </c>
      <c r="DD39" s="310">
        <f>SUM(CR39:DC39,PX39)</f>
        <v>5663.8600000000006</v>
      </c>
      <c r="DE39" s="2695"/>
      <c r="DF39" s="8"/>
      <c r="DG39" s="9"/>
      <c r="DH39" s="5"/>
      <c r="DI39" s="5"/>
      <c r="DJ39" s="5"/>
      <c r="DK39" s="5"/>
      <c r="DL39" s="3">
        <v>1328.3600000000001</v>
      </c>
      <c r="DM39" s="5"/>
      <c r="DN39" s="3">
        <v>0</v>
      </c>
      <c r="DO39" s="5"/>
      <c r="DP39" s="3">
        <v>0</v>
      </c>
      <c r="DQ39" s="11">
        <v>0</v>
      </c>
      <c r="DR39" s="12"/>
      <c r="DS39" s="28">
        <f t="shared" si="45"/>
        <v>1328.3600000000001</v>
      </c>
      <c r="DT39" s="36"/>
      <c r="DU39" s="36"/>
      <c r="DV39" s="27"/>
      <c r="DW39" s="27"/>
      <c r="DX39" s="27"/>
      <c r="DY39" s="27"/>
      <c r="DZ39" s="27"/>
      <c r="EA39" s="27"/>
      <c r="EB39" s="3">
        <v>2395.5000000000005</v>
      </c>
      <c r="EC39" s="27"/>
      <c r="ED39" s="24">
        <v>0</v>
      </c>
      <c r="EE39" s="33"/>
      <c r="EF39" s="28">
        <f t="shared" si="46"/>
        <v>2395.5000000000005</v>
      </c>
      <c r="EG39" s="36"/>
      <c r="EH39" s="36"/>
      <c r="EI39" s="27"/>
      <c r="EJ39" s="27"/>
      <c r="EK39" s="27"/>
      <c r="EL39" s="27"/>
      <c r="EM39" s="27"/>
      <c r="EN39" s="27"/>
      <c r="EO39" s="5">
        <v>1012</v>
      </c>
      <c r="EP39" s="5"/>
      <c r="EQ39" s="5">
        <v>928</v>
      </c>
      <c r="ER39" s="33"/>
      <c r="ES39" s="28">
        <f t="shared" si="143"/>
        <v>1940</v>
      </c>
      <c r="ET39" s="36"/>
      <c r="EU39" s="27"/>
      <c r="EV39" s="27"/>
      <c r="EW39" s="27"/>
      <c r="EX39" s="27"/>
      <c r="EY39" s="27"/>
      <c r="EZ39" s="33">
        <f t="shared" si="48"/>
        <v>0</v>
      </c>
      <c r="FA39" s="2685"/>
      <c r="FC39" s="4">
        <f t="shared" si="49"/>
        <v>0</v>
      </c>
      <c r="FD39" s="5">
        <f t="shared" si="50"/>
        <v>0</v>
      </c>
      <c r="FE39" s="5">
        <f t="shared" si="168"/>
        <v>0</v>
      </c>
      <c r="FF39" s="12">
        <f t="shared" si="52"/>
        <v>0</v>
      </c>
      <c r="FG39" s="33"/>
      <c r="FH39" s="2674"/>
      <c r="FI39" s="9"/>
      <c r="FJ39" s="5"/>
      <c r="FK39" s="5"/>
      <c r="FL39" s="5"/>
      <c r="FM39" s="5"/>
      <c r="FN39" s="27"/>
      <c r="FO39" s="28">
        <f t="shared" si="53"/>
        <v>0</v>
      </c>
      <c r="FP39" s="36"/>
      <c r="FQ39" s="27"/>
      <c r="FR39" s="27"/>
      <c r="FS39" s="27"/>
      <c r="FT39" s="27"/>
      <c r="FU39" s="27"/>
      <c r="FV39" s="28">
        <f t="shared" si="54"/>
        <v>0</v>
      </c>
      <c r="FW39" s="36"/>
      <c r="FX39" s="36"/>
      <c r="FY39" s="27"/>
      <c r="FZ39" s="27"/>
      <c r="GA39" s="27"/>
      <c r="GB39" s="27"/>
      <c r="GC39" s="27"/>
      <c r="GD39" s="27"/>
      <c r="GE39" s="24">
        <v>0</v>
      </c>
      <c r="GF39" s="27"/>
      <c r="GG39" s="27"/>
      <c r="GH39" s="33"/>
      <c r="GI39" s="33">
        <f t="shared" si="55"/>
        <v>0</v>
      </c>
      <c r="GJ39" s="2674"/>
      <c r="GL39" s="2">
        <f t="shared" si="132"/>
        <v>3892.6</v>
      </c>
      <c r="GM39" s="63">
        <f t="shared" si="133"/>
        <v>6962.0599999999995</v>
      </c>
      <c r="GN39" s="24">
        <f t="shared" si="134"/>
        <v>5287.91</v>
      </c>
      <c r="GO39" s="1736">
        <f t="shared" si="56"/>
        <v>16142.57</v>
      </c>
      <c r="GP39" s="141"/>
      <c r="GQ39" s="141"/>
      <c r="GR39" s="33"/>
      <c r="GS39" s="2667"/>
      <c r="GT39" s="1739">
        <v>0</v>
      </c>
      <c r="GU39" s="1721">
        <v>400.5</v>
      </c>
      <c r="GV39" s="1721">
        <v>6366.6299999999992</v>
      </c>
      <c r="GW39" s="1721">
        <v>9375.4399999999987</v>
      </c>
      <c r="GX39" s="33">
        <f t="shared" si="135"/>
        <v>16142.569999999998</v>
      </c>
      <c r="GY39" s="2667"/>
      <c r="GZ39" s="35">
        <v>201.85000000000002</v>
      </c>
      <c r="HA39" s="36"/>
      <c r="HB39" s="27"/>
      <c r="HC39" s="27"/>
      <c r="HD39" s="27"/>
      <c r="HE39" s="27"/>
      <c r="HF39" s="24">
        <v>0</v>
      </c>
      <c r="HG39" s="27"/>
      <c r="HH39" s="24">
        <v>2322.9299999999998</v>
      </c>
      <c r="HI39" s="27"/>
      <c r="HJ39" s="24">
        <v>1169.1699999999998</v>
      </c>
      <c r="HK39" s="27"/>
      <c r="HL39" s="24">
        <v>198.65</v>
      </c>
      <c r="HM39" s="27"/>
      <c r="HN39" s="28">
        <f t="shared" si="148"/>
        <v>3892.6</v>
      </c>
      <c r="HO39" s="36"/>
      <c r="HP39" s="27"/>
      <c r="HQ39" s="27"/>
      <c r="HR39" s="27"/>
      <c r="HS39" s="27"/>
      <c r="HT39" s="27"/>
      <c r="HU39" s="27">
        <f t="array" ref="HU39">SUMPRODUCT(('Data Base hauling'!$C$2:$C$2000="TCM-ROM SB1 BK05-ROM 4")*(ISNUMBER(SEARCH(TEXT('August TCM'!$B39,"00")&amp;"/03/2026",'Data Base hauling'!$E$2:$E$2000)))*'Data Base hauling'!$N$2:$N$2000)</f>
        <v>0</v>
      </c>
      <c r="HV39" s="27"/>
      <c r="HW39" s="27">
        <f t="array" ref="HW39">SUMPRODUCT(('Data Base hauling'!$C$2:$C$2000="TCM-ROM SB1 BK05-ROM 5")*(ISNUMBER(SEARCH(TEXT('August TCM'!$B39,"00")&amp;"/03/2026",'Data Base hauling'!$E$2:$E$2000)))*'Data Base hauling'!$N$2:$N$2000)</f>
        <v>0</v>
      </c>
      <c r="HX39" s="27"/>
      <c r="HY39" s="27"/>
      <c r="HZ39" s="27"/>
      <c r="IA39" s="27"/>
      <c r="IB39" s="27"/>
      <c r="IC39" s="33">
        <f t="shared" si="58"/>
        <v>0</v>
      </c>
      <c r="ID39" s="52"/>
      <c r="IE39" s="152"/>
      <c r="IF39" s="53"/>
      <c r="IG39" s="53"/>
      <c r="IH39" s="53"/>
      <c r="II39" s="53"/>
      <c r="IJ39" s="1926">
        <v>2278.7100000000005</v>
      </c>
      <c r="IK39" s="53"/>
      <c r="IL39" s="1926">
        <v>0</v>
      </c>
      <c r="IM39" s="53"/>
      <c r="IN39" s="49">
        <v>4683.3499999999995</v>
      </c>
      <c r="IO39" s="27"/>
      <c r="IP39" s="27"/>
      <c r="IQ39" s="49">
        <v>0</v>
      </c>
      <c r="IR39" s="61">
        <f t="shared" si="149"/>
        <v>6962.0599999999995</v>
      </c>
      <c r="IS39" s="36"/>
      <c r="IT39" s="36"/>
      <c r="IU39" s="27"/>
      <c r="IV39" s="27"/>
      <c r="IW39" s="53"/>
      <c r="IX39" s="27"/>
      <c r="IY39" s="24">
        <v>0</v>
      </c>
      <c r="IZ39" s="27"/>
      <c r="JA39" s="24">
        <v>3676.86</v>
      </c>
      <c r="JB39" s="27"/>
      <c r="JC39" s="24">
        <v>1611.05</v>
      </c>
      <c r="JD39" s="27"/>
      <c r="JE39" s="27"/>
      <c r="JF39" s="27"/>
      <c r="JG39" s="33">
        <f t="shared" si="150"/>
        <v>5287.91</v>
      </c>
      <c r="JH39" s="2667"/>
      <c r="JJ39" s="2014">
        <v>7573.4600000000009</v>
      </c>
      <c r="JK39" s="2015">
        <v>8569.1099999999988</v>
      </c>
      <c r="JL39" s="27"/>
      <c r="JM39" s="1736">
        <f t="shared" si="61"/>
        <v>16142.57</v>
      </c>
      <c r="JN39" s="33"/>
      <c r="JO39" s="2669"/>
      <c r="JP39" s="66">
        <v>6.5293802304362859E-3</v>
      </c>
      <c r="JQ39" s="67">
        <v>0</v>
      </c>
      <c r="JR39" s="67">
        <v>0</v>
      </c>
      <c r="JS39" s="67">
        <v>8.7159633773730896E-3</v>
      </c>
      <c r="JT39" s="67">
        <v>0.71563855886213168</v>
      </c>
      <c r="JU39" s="67">
        <v>0.26911609753005888</v>
      </c>
      <c r="JV39" s="67">
        <v>0</v>
      </c>
      <c r="JW39" s="1921">
        <v>0</v>
      </c>
      <c r="JX39" s="66">
        <v>1.7784810791319054E-2</v>
      </c>
      <c r="JY39" s="67">
        <v>0</v>
      </c>
      <c r="JZ39" s="67">
        <v>0</v>
      </c>
      <c r="KA39" s="67">
        <v>0.25821818135138896</v>
      </c>
      <c r="KB39" s="67">
        <v>6.7676806576178861E-2</v>
      </c>
      <c r="KC39" s="67">
        <v>0.63313809718862313</v>
      </c>
      <c r="KD39" s="67">
        <v>2.3182104092490358E-2</v>
      </c>
      <c r="KE39" s="68">
        <v>0</v>
      </c>
      <c r="KF39" s="69"/>
      <c r="KG39" s="70"/>
      <c r="KH39" s="70"/>
      <c r="KI39" s="70"/>
      <c r="KJ39" s="70"/>
      <c r="KK39" s="70"/>
      <c r="KL39" s="70"/>
      <c r="KM39" s="70"/>
      <c r="KN39" s="33"/>
      <c r="KO39" s="2669"/>
      <c r="KP39" s="2203">
        <v>7152.5864562787638</v>
      </c>
      <c r="KQ39" s="1721">
        <v>0.62944773175542401</v>
      </c>
      <c r="KR39" s="1721">
        <v>3.6617094017094014</v>
      </c>
      <c r="KS39" s="1721">
        <v>6.326298487836949</v>
      </c>
      <c r="KT39" s="1722">
        <v>9.0187274030243252</v>
      </c>
      <c r="KU39" s="1958">
        <v>6872.2106495026328</v>
      </c>
      <c r="KV39" s="1961">
        <v>1.8875541252194268</v>
      </c>
      <c r="KW39" s="1961">
        <v>3.5342715038033936</v>
      </c>
      <c r="KX39" s="1961">
        <v>7.7619192510239916</v>
      </c>
      <c r="KY39" s="1962">
        <v>9.2358469280280868</v>
      </c>
      <c r="KZ39" s="36"/>
      <c r="LA39" s="53"/>
      <c r="LB39" s="53"/>
      <c r="LC39" s="53"/>
      <c r="LD39" s="53"/>
      <c r="LE39" s="33"/>
      <c r="LF39" s="2669"/>
      <c r="LH39" s="26">
        <f t="shared" si="160"/>
        <v>5180.41</v>
      </c>
      <c r="LI39" s="27">
        <f t="shared" si="160"/>
        <v>20546.940000000002</v>
      </c>
      <c r="LJ39" s="27">
        <f t="shared" si="160"/>
        <v>0</v>
      </c>
      <c r="LK39" s="28">
        <f t="shared" si="63"/>
        <v>25727.350000000002</v>
      </c>
      <c r="LL39" s="36">
        <v>5</v>
      </c>
      <c r="LM39" s="27"/>
      <c r="LN39" s="27">
        <v>3</v>
      </c>
      <c r="LO39" s="33"/>
      <c r="LP39" s="1957">
        <v>0.3</v>
      </c>
      <c r="LQ39" s="21"/>
      <c r="LR39" s="2688"/>
      <c r="LS39" s="26">
        <v>5180.41</v>
      </c>
      <c r="LT39" s="36"/>
      <c r="LU39" s="27"/>
      <c r="LV39" s="27"/>
      <c r="LW39" s="27"/>
      <c r="LX39" s="1107">
        <f t="shared" si="64"/>
        <v>5180.41</v>
      </c>
      <c r="LY39" s="36"/>
      <c r="LZ39" s="36">
        <v>20546.940000000002</v>
      </c>
      <c r="MA39" s="27"/>
      <c r="MB39" s="27"/>
      <c r="MC39" s="33"/>
      <c r="MD39" s="28">
        <f t="shared" si="65"/>
        <v>20546.940000000002</v>
      </c>
      <c r="ME39" s="26"/>
      <c r="MF39" s="36"/>
      <c r="MG39" s="27"/>
      <c r="MH39" s="27"/>
      <c r="MI39" s="27"/>
      <c r="MJ39" s="28"/>
      <c r="MK39" s="36"/>
      <c r="ML39" s="36"/>
      <c r="MM39" s="27"/>
      <c r="MN39" s="27"/>
      <c r="MO39" s="27"/>
      <c r="MP39" s="28"/>
      <c r="MQ39" s="36"/>
      <c r="MR39" s="36"/>
      <c r="MS39" s="27"/>
      <c r="MT39" s="27"/>
      <c r="MU39" s="27"/>
      <c r="MV39" s="33">
        <f t="shared" si="66"/>
        <v>0</v>
      </c>
      <c r="MW39" s="2688"/>
      <c r="MY39" s="26">
        <f t="shared" si="67"/>
        <v>322559.35035640397</v>
      </c>
      <c r="MZ39" s="27">
        <f t="shared" si="68"/>
        <v>189639.41630375825</v>
      </c>
      <c r="NA39" s="27">
        <f t="shared" si="69"/>
        <v>24407.255697817411</v>
      </c>
      <c r="NB39" s="28">
        <f t="shared" si="70"/>
        <v>311732.93795580423</v>
      </c>
      <c r="NC39" s="2621"/>
      <c r="ND39" s="23">
        <f t="shared" si="71"/>
        <v>184762.42074551803</v>
      </c>
      <c r="NE39" s="1655">
        <f t="shared" si="72"/>
        <v>137796.92961088597</v>
      </c>
      <c r="NF39" s="60">
        <f t="shared" si="73"/>
        <v>0</v>
      </c>
      <c r="NG39" s="275">
        <f t="shared" si="4"/>
        <v>322559.35035640397</v>
      </c>
      <c r="NH39" s="26">
        <f t="shared" si="169"/>
        <v>-400.25</v>
      </c>
      <c r="NI39" s="27">
        <f t="shared" si="169"/>
        <v>0</v>
      </c>
      <c r="NJ39" s="27">
        <f t="shared" si="169"/>
        <v>0</v>
      </c>
      <c r="NK39" s="27">
        <f t="shared" si="169"/>
        <v>0</v>
      </c>
      <c r="NL39" s="27">
        <f t="shared" si="169"/>
        <v>0</v>
      </c>
      <c r="NM39" s="33">
        <f t="shared" si="169"/>
        <v>0</v>
      </c>
      <c r="NN39" s="27">
        <f t="shared" si="169"/>
        <v>0</v>
      </c>
      <c r="NO39" s="152">
        <f t="shared" si="169"/>
        <v>0</v>
      </c>
      <c r="NP39" s="24">
        <f t="shared" si="163"/>
        <v>25590.610605424237</v>
      </c>
      <c r="NQ39" s="27">
        <f t="shared" si="169"/>
        <v>24023.830351777149</v>
      </c>
      <c r="NR39" s="24">
        <f t="shared" si="136"/>
        <v>7897.6482322711581</v>
      </c>
      <c r="NS39" s="24">
        <f t="shared" si="137"/>
        <v>363.45356641011108</v>
      </c>
      <c r="NT39" s="27">
        <f t="shared" si="0"/>
        <v>57475.292755882656</v>
      </c>
      <c r="NU39" s="27">
        <f t="shared" si="75"/>
        <v>0</v>
      </c>
      <c r="NV39" s="27">
        <f t="shared" si="76"/>
        <v>0</v>
      </c>
      <c r="NW39" s="27">
        <f t="shared" si="77"/>
        <v>0</v>
      </c>
      <c r="NX39" s="27">
        <f t="shared" si="78"/>
        <v>0</v>
      </c>
      <c r="NY39" s="5">
        <f t="shared" si="79"/>
        <v>0</v>
      </c>
      <c r="NZ39" s="5">
        <f t="shared" si="80"/>
        <v>0</v>
      </c>
      <c r="OA39" s="27">
        <f t="shared" si="81"/>
        <v>20386.194489662845</v>
      </c>
      <c r="OB39" s="27">
        <f t="shared" si="82"/>
        <v>0</v>
      </c>
      <c r="OC39" s="27">
        <f t="shared" si="83"/>
        <v>33466.999485704153</v>
      </c>
      <c r="OD39" s="27"/>
      <c r="OE39" s="27">
        <f t="shared" si="138"/>
        <v>14383.62</v>
      </c>
      <c r="OF39" s="27">
        <f t="shared" si="84"/>
        <v>0</v>
      </c>
      <c r="OG39" s="28">
        <f t="shared" si="1"/>
        <v>68236.813975366997</v>
      </c>
      <c r="OH39" s="27">
        <f t="shared" si="153"/>
        <v>0</v>
      </c>
      <c r="OI39" s="27">
        <f t="shared" si="154"/>
        <v>0</v>
      </c>
      <c r="OJ39" s="27">
        <f t="shared" si="158"/>
        <v>0</v>
      </c>
      <c r="OK39" s="27">
        <f t="shared" si="155"/>
        <v>0</v>
      </c>
      <c r="OL39" s="27">
        <f t="shared" si="156"/>
        <v>0</v>
      </c>
      <c r="OM39" s="27">
        <f t="shared" si="157"/>
        <v>0</v>
      </c>
      <c r="ON39" s="24">
        <f t="shared" si="147"/>
        <v>0</v>
      </c>
      <c r="OO39" s="27">
        <f t="shared" si="145"/>
        <v>0</v>
      </c>
      <c r="OP39" s="24">
        <f t="shared" si="86"/>
        <v>62265.872313713728</v>
      </c>
      <c r="OQ39" s="27">
        <f t="shared" si="87"/>
        <v>0</v>
      </c>
      <c r="OR39" s="24">
        <f t="shared" si="88"/>
        <v>1661.4372587948526</v>
      </c>
      <c r="OS39" s="27">
        <f t="shared" si="164"/>
        <v>0</v>
      </c>
      <c r="OT39" s="28">
        <f t="shared" si="2"/>
        <v>63927.30957250858</v>
      </c>
      <c r="OU39" s="36"/>
      <c r="OV39" s="27"/>
      <c r="OW39" s="27"/>
      <c r="OX39" s="27"/>
      <c r="OY39" s="27"/>
      <c r="OZ39" s="27"/>
      <c r="PA39" s="28">
        <f t="shared" si="90"/>
        <v>0</v>
      </c>
      <c r="PB39" s="36">
        <f t="shared" si="91"/>
        <v>0</v>
      </c>
      <c r="PC39" s="27">
        <f t="shared" si="92"/>
        <v>0</v>
      </c>
      <c r="PD39" s="27">
        <f t="shared" si="93"/>
        <v>0</v>
      </c>
      <c r="PE39" s="27">
        <f t="shared" si="94"/>
        <v>0</v>
      </c>
      <c r="PF39" s="24"/>
      <c r="PG39" s="27">
        <f t="shared" si="95"/>
        <v>0</v>
      </c>
      <c r="PH39" s="33">
        <f t="shared" si="3"/>
        <v>0</v>
      </c>
      <c r="PI39" s="2621"/>
      <c r="PJ39" s="2263"/>
      <c r="PK39" s="1907">
        <v>1331.9</v>
      </c>
      <c r="PL39" s="3">
        <v>896</v>
      </c>
      <c r="PM39" s="3">
        <v>268.79999999999995</v>
      </c>
      <c r="PN39" s="3">
        <f t="shared" si="165"/>
        <v>198.65</v>
      </c>
      <c r="PO39" s="3">
        <f t="shared" si="97"/>
        <v>34846.569204532869</v>
      </c>
      <c r="PP39" s="11">
        <f t="shared" si="161"/>
        <v>24407.255697817411</v>
      </c>
      <c r="PQ39" s="15"/>
      <c r="PR39" s="2615"/>
      <c r="PT39" s="4"/>
      <c r="PU39" s="9"/>
      <c r="PV39" s="9"/>
      <c r="PW39" s="9"/>
      <c r="PX39" s="2531">
        <v>0</v>
      </c>
      <c r="PY39" s="9"/>
      <c r="PZ39" s="8">
        <f t="shared" si="99"/>
        <v>0</v>
      </c>
      <c r="QA39" s="5">
        <f t="shared" si="100"/>
        <v>1331.9</v>
      </c>
      <c r="QB39" s="5"/>
      <c r="QC39" s="5"/>
      <c r="QD39" s="5"/>
      <c r="QE39" s="5"/>
      <c r="QF39" s="5"/>
      <c r="QG39" s="12"/>
      <c r="QH39" s="12">
        <f t="shared" si="101"/>
        <v>29562.488999999998</v>
      </c>
      <c r="QI39" s="420">
        <f t="shared" si="102"/>
        <v>278450.16007140424</v>
      </c>
      <c r="QJ39" s="1106">
        <f t="shared" si="139"/>
        <v>3720.2888844000004</v>
      </c>
      <c r="QK39" s="484">
        <f t="shared" si="103"/>
        <v>5505.3678056099998</v>
      </c>
      <c r="QL39" s="12"/>
      <c r="QM39" s="2615"/>
      <c r="QO39" s="139">
        <f t="shared" si="104"/>
        <v>0</v>
      </c>
      <c r="QP39" s="139" t="str">
        <f t="shared" si="105"/>
        <v/>
      </c>
      <c r="QR39" s="139">
        <f t="shared" si="106"/>
        <v>0</v>
      </c>
      <c r="QS39" s="139">
        <f t="shared" si="107"/>
        <v>0</v>
      </c>
      <c r="QU39" s="1">
        <f t="shared" si="108"/>
        <v>0</v>
      </c>
      <c r="QV39" s="1">
        <f t="shared" si="109"/>
        <v>0</v>
      </c>
      <c r="QW39" s="1">
        <f t="shared" si="110"/>
        <v>0</v>
      </c>
      <c r="QX39" s="1">
        <f t="shared" si="111"/>
        <v>0</v>
      </c>
      <c r="QY39" s="1">
        <f t="shared" si="112"/>
        <v>0</v>
      </c>
      <c r="QZ39" s="1">
        <f t="shared" si="113"/>
        <v>0</v>
      </c>
      <c r="RB39" s="1">
        <f t="shared" si="114"/>
        <v>0</v>
      </c>
      <c r="RC39" s="1">
        <f t="shared" si="115"/>
        <v>0</v>
      </c>
      <c r="RD39" s="1">
        <f t="shared" si="116"/>
        <v>0</v>
      </c>
      <c r="RE39" s="1">
        <f t="shared" si="117"/>
        <v>0</v>
      </c>
      <c r="RF39" s="1">
        <f t="shared" si="118"/>
        <v>0</v>
      </c>
      <c r="RG39" s="1">
        <f t="shared" si="119"/>
        <v>0</v>
      </c>
      <c r="RJ39" s="1">
        <v>30</v>
      </c>
      <c r="RK39" s="1">
        <f t="shared" si="167"/>
        <v>81518.304209717098</v>
      </c>
      <c r="RL39" s="1">
        <f t="shared" si="167"/>
        <v>53386.662780483719</v>
      </c>
      <c r="RM39" s="1">
        <f t="shared" si="167"/>
        <v>13404.263703387322</v>
      </c>
      <c r="RN39" s="89">
        <f t="shared" si="5"/>
        <v>148309.23069358812</v>
      </c>
      <c r="RO39" s="1033">
        <v>30</v>
      </c>
      <c r="RP39" s="1098">
        <v>0</v>
      </c>
      <c r="RQ39" s="1098">
        <f t="shared" si="121"/>
        <v>0</v>
      </c>
      <c r="RR39" s="1097">
        <f t="shared" si="121"/>
        <v>0</v>
      </c>
      <c r="RS39" s="1097">
        <f t="shared" si="122"/>
        <v>3723.86</v>
      </c>
      <c r="RT39" s="1094"/>
      <c r="RU39" s="2420" t="s">
        <v>1100</v>
      </c>
      <c r="RX39" s="421">
        <v>30</v>
      </c>
      <c r="RY39" s="1095">
        <f t="shared" si="123"/>
        <v>16142.569999999998</v>
      </c>
      <c r="RZ39" s="2441" t="s">
        <v>1101</v>
      </c>
      <c r="SB39" s="1090"/>
      <c r="SC39" s="1090">
        <f t="shared" si="124"/>
        <v>0</v>
      </c>
      <c r="SD39" s="1090"/>
      <c r="SE39" s="1090">
        <f t="shared" si="152"/>
        <v>0</v>
      </c>
      <c r="SG39" s="1">
        <v>30</v>
      </c>
      <c r="SH39" s="1">
        <f t="shared" si="126"/>
        <v>198.65</v>
      </c>
      <c r="SI39" s="2420" t="s">
        <v>1102</v>
      </c>
    </row>
    <row r="40" spans="1:503" s="1" customFormat="1">
      <c r="B40" s="1105">
        <v>31</v>
      </c>
      <c r="C40" s="6">
        <f t="shared" si="127"/>
        <v>162289</v>
      </c>
      <c r="D40" s="2418">
        <f>P40+T40+X40+AB40</f>
        <v>4463.4400000000005</v>
      </c>
      <c r="E40" s="1915">
        <f t="shared" si="6"/>
        <v>36.359623967164339</v>
      </c>
      <c r="F40" s="1444"/>
      <c r="G40" s="1445"/>
      <c r="H40" s="56"/>
      <c r="I40" s="62"/>
      <c r="J40" s="56"/>
      <c r="K40" s="58"/>
      <c r="L40" s="56"/>
      <c r="M40" s="62"/>
      <c r="N40" s="2630"/>
      <c r="O40" s="4">
        <f t="shared" si="142"/>
        <v>94080</v>
      </c>
      <c r="P40" s="5">
        <f t="shared" si="7"/>
        <v>1423.44</v>
      </c>
      <c r="Q40" s="1955">
        <f t="shared" si="8"/>
        <v>66.093407519811166</v>
      </c>
      <c r="R40" s="34"/>
      <c r="S40" s="29">
        <f t="shared" si="9"/>
        <v>37520</v>
      </c>
      <c r="T40" s="27">
        <f t="shared" si="129"/>
        <v>49.08</v>
      </c>
      <c r="U40" s="1917">
        <f t="shared" si="10"/>
        <v>764.46617766911163</v>
      </c>
      <c r="V40" s="31"/>
      <c r="W40" s="29">
        <f t="shared" si="11"/>
        <v>25419</v>
      </c>
      <c r="X40" s="7">
        <f t="shared" si="11"/>
        <v>2198</v>
      </c>
      <c r="Y40" s="1917">
        <f t="shared" si="12"/>
        <v>11.564604185623294</v>
      </c>
      <c r="Z40" s="34"/>
      <c r="AA40" s="29">
        <f>SUM(BP40,BS40)</f>
        <v>5270</v>
      </c>
      <c r="AB40" s="30">
        <f t="shared" si="14"/>
        <v>792.92000000000007</v>
      </c>
      <c r="AC40" s="1917">
        <f t="shared" si="15"/>
        <v>6.6463199313928261</v>
      </c>
      <c r="AD40" s="31"/>
      <c r="AE40" s="36"/>
      <c r="AF40" s="36"/>
      <c r="AG40" s="57">
        <f t="shared" si="16"/>
        <v>0</v>
      </c>
      <c r="AH40" s="31"/>
      <c r="AI40" s="23"/>
      <c r="AJ40" s="30"/>
      <c r="AK40" s="57">
        <f t="shared" si="17"/>
        <v>0</v>
      </c>
      <c r="AL40" s="31"/>
      <c r="AM40" s="2630"/>
      <c r="AN40" s="10"/>
      <c r="AO40" s="7"/>
      <c r="AP40" s="62">
        <f t="shared" si="18"/>
        <v>0</v>
      </c>
      <c r="AQ40" s="37"/>
      <c r="AR40" s="57"/>
      <c r="AS40" s="62">
        <f t="shared" si="19"/>
        <v>0</v>
      </c>
      <c r="AT40" s="37"/>
      <c r="AU40" s="30"/>
      <c r="AV40" s="58">
        <f t="shared" si="20"/>
        <v>0</v>
      </c>
      <c r="AW40" s="29">
        <v>46788</v>
      </c>
      <c r="AX40" s="2234">
        <v>1423.44</v>
      </c>
      <c r="AY40" s="1915">
        <f t="shared" si="140"/>
        <v>32.869667846906083</v>
      </c>
      <c r="AZ40" s="1916"/>
      <c r="BA40" s="1917"/>
      <c r="BB40" s="1915">
        <f t="shared" si="21"/>
        <v>0</v>
      </c>
      <c r="BC40" s="1740">
        <v>47292</v>
      </c>
      <c r="BD40" s="2482">
        <v>0</v>
      </c>
      <c r="BE40" s="1915">
        <f t="shared" si="22"/>
        <v>0</v>
      </c>
      <c r="BF40" s="1916"/>
      <c r="BG40" s="1917"/>
      <c r="BH40" s="1915">
        <f t="shared" si="23"/>
        <v>0</v>
      </c>
      <c r="BI40" s="1916"/>
      <c r="BJ40" s="1917"/>
      <c r="BK40" s="1915">
        <f t="shared" si="24"/>
        <v>0</v>
      </c>
      <c r="BL40" s="2491">
        <v>37520</v>
      </c>
      <c r="BM40" s="1736">
        <v>49.08</v>
      </c>
      <c r="BN40" s="2173"/>
      <c r="BO40" s="1915">
        <f t="shared" si="25"/>
        <v>764.46617766911163</v>
      </c>
      <c r="BP40" s="37">
        <v>5270</v>
      </c>
      <c r="BQ40" s="57">
        <v>792.92000000000007</v>
      </c>
      <c r="BR40" s="2479">
        <f t="shared" si="26"/>
        <v>6.6463199313928261</v>
      </c>
      <c r="BS40" s="37"/>
      <c r="BT40" s="30"/>
      <c r="BU40" s="62">
        <f t="shared" si="27"/>
        <v>0</v>
      </c>
      <c r="BV40" s="37">
        <v>25419</v>
      </c>
      <c r="BW40" s="30">
        <f t="shared" si="159"/>
        <v>2198</v>
      </c>
      <c r="BX40" s="31">
        <f t="shared" si="166"/>
        <v>11.564604185623294</v>
      </c>
      <c r="BY40" s="29"/>
      <c r="BZ40" s="7"/>
      <c r="CA40" s="62">
        <f t="shared" si="29"/>
        <v>0</v>
      </c>
      <c r="CB40" s="37"/>
      <c r="CC40" s="30"/>
      <c r="CD40" s="62">
        <f t="shared" si="30"/>
        <v>0</v>
      </c>
      <c r="CE40" s="29"/>
      <c r="CF40" s="30"/>
      <c r="CG40" s="31">
        <f t="shared" si="31"/>
        <v>0</v>
      </c>
      <c r="CH40" s="151"/>
      <c r="CI40" s="10"/>
      <c r="CJ40" s="7">
        <v>0</v>
      </c>
      <c r="CK40" s="7">
        <v>12221</v>
      </c>
      <c r="CL40" s="7"/>
      <c r="CM40" s="7"/>
      <c r="CN40" s="3">
        <f t="shared" si="131"/>
        <v>12221</v>
      </c>
      <c r="CO40" s="34"/>
      <c r="CP40" s="367"/>
      <c r="CR40" s="6">
        <f t="shared" si="32"/>
        <v>0</v>
      </c>
      <c r="CS40" s="10">
        <f t="shared" si="33"/>
        <v>0</v>
      </c>
      <c r="CT40" s="7">
        <f t="shared" si="34"/>
        <v>0</v>
      </c>
      <c r="CU40" s="7">
        <f t="shared" si="35"/>
        <v>0</v>
      </c>
      <c r="CV40" s="7">
        <f t="shared" si="36"/>
        <v>0</v>
      </c>
      <c r="CW40" s="7">
        <f t="shared" si="37"/>
        <v>0</v>
      </c>
      <c r="CX40" s="7">
        <f t="shared" si="38"/>
        <v>1423.44</v>
      </c>
      <c r="CY40" s="7">
        <f t="shared" si="39"/>
        <v>0</v>
      </c>
      <c r="CZ40" s="7">
        <f t="shared" si="40"/>
        <v>2104</v>
      </c>
      <c r="DA40" s="7">
        <f t="shared" si="41"/>
        <v>0</v>
      </c>
      <c r="DB40" s="7">
        <f t="shared" si="42"/>
        <v>936</v>
      </c>
      <c r="DC40" s="13">
        <f t="shared" si="43"/>
        <v>0</v>
      </c>
      <c r="DD40" s="310">
        <f>SUM(CR40:DC40,PX40)</f>
        <v>4463.4400000000005</v>
      </c>
      <c r="DE40" s="2696"/>
      <c r="DF40" s="8"/>
      <c r="DG40" s="10"/>
      <c r="DH40" s="7"/>
      <c r="DI40" s="7"/>
      <c r="DJ40" s="7"/>
      <c r="DK40" s="7"/>
      <c r="DL40" s="1101">
        <v>1423.44</v>
      </c>
      <c r="DM40" s="7"/>
      <c r="DN40" s="3">
        <v>0</v>
      </c>
      <c r="DO40" s="7"/>
      <c r="DP40" s="1101">
        <v>0</v>
      </c>
      <c r="DQ40" s="1101">
        <v>0</v>
      </c>
      <c r="DR40" s="13"/>
      <c r="DS40" s="31">
        <f t="shared" si="45"/>
        <v>1423.44</v>
      </c>
      <c r="DT40" s="37"/>
      <c r="DU40" s="37"/>
      <c r="DV40" s="30"/>
      <c r="DW40" s="30"/>
      <c r="DX40" s="30"/>
      <c r="DY40" s="30"/>
      <c r="DZ40" s="30"/>
      <c r="EA40" s="30"/>
      <c r="EB40" s="1101">
        <v>842</v>
      </c>
      <c r="EC40" s="30"/>
      <c r="ED40" s="2234">
        <v>0</v>
      </c>
      <c r="EE40" s="34"/>
      <c r="EF40" s="31">
        <f t="shared" si="46"/>
        <v>842</v>
      </c>
      <c r="EG40" s="37"/>
      <c r="EH40" s="37"/>
      <c r="EI40" s="30"/>
      <c r="EJ40" s="30"/>
      <c r="EK40" s="30"/>
      <c r="EL40" s="30"/>
      <c r="EM40" s="30"/>
      <c r="EN40" s="30"/>
      <c r="EO40" s="30">
        <v>1262</v>
      </c>
      <c r="EP40" s="30"/>
      <c r="EQ40" s="30">
        <v>936</v>
      </c>
      <c r="ER40" s="34"/>
      <c r="ES40" s="31">
        <f t="shared" si="143"/>
        <v>2198</v>
      </c>
      <c r="ET40" s="37"/>
      <c r="EU40" s="30"/>
      <c r="EV40" s="30"/>
      <c r="EW40" s="30"/>
      <c r="EX40" s="30"/>
      <c r="EY40" s="30"/>
      <c r="EZ40" s="34">
        <f t="shared" si="48"/>
        <v>0</v>
      </c>
      <c r="FA40" s="2686"/>
      <c r="FC40" s="6">
        <f t="shared" si="49"/>
        <v>0</v>
      </c>
      <c r="FD40" s="7">
        <f t="shared" si="50"/>
        <v>0</v>
      </c>
      <c r="FE40" s="7">
        <f t="shared" si="168"/>
        <v>0</v>
      </c>
      <c r="FF40" s="13">
        <f t="shared" si="52"/>
        <v>0</v>
      </c>
      <c r="FG40" s="34"/>
      <c r="FH40" s="2675"/>
      <c r="FI40" s="10"/>
      <c r="FJ40" s="7"/>
      <c r="FK40" s="7"/>
      <c r="FL40" s="7"/>
      <c r="FM40" s="7"/>
      <c r="FN40" s="30"/>
      <c r="FO40" s="31">
        <f t="shared" si="53"/>
        <v>0</v>
      </c>
      <c r="FP40" s="37"/>
      <c r="FQ40" s="30"/>
      <c r="FR40" s="30"/>
      <c r="FS40" s="30"/>
      <c r="FT40" s="30"/>
      <c r="FU40" s="30"/>
      <c r="FV40" s="31">
        <f t="shared" si="54"/>
        <v>0</v>
      </c>
      <c r="FW40" s="37"/>
      <c r="FX40" s="37"/>
      <c r="FY40" s="30"/>
      <c r="FZ40" s="30"/>
      <c r="GA40" s="30"/>
      <c r="GB40" s="30"/>
      <c r="GC40" s="30"/>
      <c r="GD40" s="30"/>
      <c r="GE40" s="24" cm="1">
        <f t="array" ref="GE40">SUMPRODUCT(('Data Base Coal Wining'!$C$2:$C$2000="TCM-ROM TEMPORARY SB2 KM 76-ROM HAC (S4700 Hard Ban)")*(ISNUMBER(SEARCH(TEXT('August TCM'!$B40,"00")&amp;"/08/2026",'Data Base Coal Wining'!$E$2:$E$2000)))*'Data Base Coal Wining'!$N$2:$N$2000)</f>
        <v>0</v>
      </c>
      <c r="GF40" s="30"/>
      <c r="GG40" s="30"/>
      <c r="GH40" s="34"/>
      <c r="GI40" s="34">
        <f t="shared" si="55"/>
        <v>0</v>
      </c>
      <c r="GJ40" s="2675"/>
      <c r="GL40" s="2192">
        <f t="shared" si="132"/>
        <v>3086.2900000000004</v>
      </c>
      <c r="GM40" s="2521">
        <f t="shared" si="133"/>
        <v>5576.2800000000007</v>
      </c>
      <c r="GN40" s="2234">
        <f t="shared" si="134"/>
        <v>5025.1499999999996</v>
      </c>
      <c r="GO40" s="30">
        <f t="shared" si="56"/>
        <v>13687.720000000001</v>
      </c>
      <c r="GP40" s="279"/>
      <c r="GQ40" s="279"/>
      <c r="GR40" s="34"/>
      <c r="GS40" s="2668"/>
      <c r="GT40" s="1739">
        <v>0</v>
      </c>
      <c r="GU40" s="1721">
        <v>580.75</v>
      </c>
      <c r="GV40" s="1721">
        <v>5559.420000000001</v>
      </c>
      <c r="GW40" s="1721">
        <v>7547.55</v>
      </c>
      <c r="GX40" s="31">
        <f t="shared" si="135"/>
        <v>13687.720000000001</v>
      </c>
      <c r="GY40" s="2668"/>
      <c r="GZ40" s="35">
        <v>289.95</v>
      </c>
      <c r="HA40" s="37"/>
      <c r="HB40" s="30"/>
      <c r="HC40" s="30"/>
      <c r="HD40" s="30"/>
      <c r="HE40" s="30"/>
      <c r="HF40" s="24">
        <v>0</v>
      </c>
      <c r="HG40" s="30"/>
      <c r="HH40" s="24">
        <v>1454.16</v>
      </c>
      <c r="HI40" s="30"/>
      <c r="HJ40" s="24">
        <v>1051.3800000000001</v>
      </c>
      <c r="HK40" s="30"/>
      <c r="HL40" s="24">
        <v>290.8</v>
      </c>
      <c r="HM40" s="30"/>
      <c r="HN40" s="31">
        <f t="shared" si="148"/>
        <v>3086.2900000000004</v>
      </c>
      <c r="HO40" s="37"/>
      <c r="HP40" s="30"/>
      <c r="HQ40" s="30"/>
      <c r="HR40" s="30"/>
      <c r="HS40" s="30"/>
      <c r="HT40" s="30"/>
      <c r="HU40" s="30">
        <f t="array" ref="HU40">SUMPRODUCT(('Data Base hauling'!$C$2:$C$2000="TCM-ROM SB1 BK05-ROM 4")*(ISNUMBER(SEARCH(TEXT('August TCM'!$B40,"00")&amp;"/03/2026",'Data Base hauling'!$E$2:$E$2000)))*'Data Base hauling'!$N$2:$N$2000)</f>
        <v>0</v>
      </c>
      <c r="HV40" s="30"/>
      <c r="HW40" s="30">
        <f t="array" ref="HW40">SUMPRODUCT(('Data Base hauling'!$C$2:$C$2000="TCM-ROM SB1 BK05-ROM 5")*(ISNUMBER(SEARCH(TEXT('August TCM'!$B40,"00")&amp;"/03/2026",'Data Base hauling'!$E$2:$E$2000)))*'Data Base hauling'!$N$2:$N$2000)</f>
        <v>0</v>
      </c>
      <c r="HX40" s="30"/>
      <c r="HY40" s="30"/>
      <c r="HZ40" s="30"/>
      <c r="IA40" s="30"/>
      <c r="IB40" s="30"/>
      <c r="IC40" s="34">
        <f t="shared" si="58"/>
        <v>0</v>
      </c>
      <c r="ID40" s="56"/>
      <c r="IE40" s="1104"/>
      <c r="IF40" s="57"/>
      <c r="IG40" s="57"/>
      <c r="IH40" s="57"/>
      <c r="II40" s="57"/>
      <c r="IJ40" s="1926">
        <v>2019.6200000000001</v>
      </c>
      <c r="IK40" s="57"/>
      <c r="IL40" s="1926">
        <v>0</v>
      </c>
      <c r="IM40" s="57"/>
      <c r="IN40" s="49">
        <v>3556.6600000000008</v>
      </c>
      <c r="IO40" s="30"/>
      <c r="IP40" s="30"/>
      <c r="IQ40" s="49">
        <v>0</v>
      </c>
      <c r="IR40" s="62">
        <f t="shared" si="149"/>
        <v>5576.2800000000007</v>
      </c>
      <c r="IS40" s="37"/>
      <c r="IT40" s="37"/>
      <c r="IU40" s="30"/>
      <c r="IV40" s="30"/>
      <c r="IW40" s="57"/>
      <c r="IX40" s="30"/>
      <c r="IY40" s="24">
        <v>0</v>
      </c>
      <c r="IZ40" s="30"/>
      <c r="JA40" s="24">
        <v>3296.02</v>
      </c>
      <c r="JB40" s="30"/>
      <c r="JC40" s="24">
        <v>1729.1299999999999</v>
      </c>
      <c r="JD40" s="30"/>
      <c r="JE40" s="30"/>
      <c r="JF40" s="30"/>
      <c r="JG40" s="854">
        <f t="shared" si="150"/>
        <v>5025.1499999999996</v>
      </c>
      <c r="JH40" s="2668"/>
      <c r="JJ40" s="2014">
        <v>5983.69</v>
      </c>
      <c r="JK40" s="2015">
        <v>7704.03</v>
      </c>
      <c r="JL40" s="30"/>
      <c r="JM40" s="1736">
        <f t="shared" si="61"/>
        <v>13687.72</v>
      </c>
      <c r="JN40" s="31"/>
      <c r="JO40" s="2670"/>
      <c r="JP40" s="66">
        <v>0</v>
      </c>
      <c r="JQ40" s="67">
        <v>0</v>
      </c>
      <c r="JR40" s="67">
        <v>0</v>
      </c>
      <c r="JS40" s="67">
        <v>2.1115732934025661E-2</v>
      </c>
      <c r="JT40" s="67">
        <v>0.79385462816422636</v>
      </c>
      <c r="JU40" s="67">
        <v>0.18502963890174795</v>
      </c>
      <c r="JV40" s="67">
        <v>0</v>
      </c>
      <c r="JW40" s="1921">
        <v>0</v>
      </c>
      <c r="JX40" s="66">
        <v>3.7636146276688952E-2</v>
      </c>
      <c r="JY40" s="67">
        <v>0</v>
      </c>
      <c r="JZ40" s="67">
        <v>0</v>
      </c>
      <c r="KA40" s="67">
        <v>0.24575060065965479</v>
      </c>
      <c r="KB40" s="67">
        <v>0</v>
      </c>
      <c r="KC40" s="67">
        <v>0.678866774921697</v>
      </c>
      <c r="KD40" s="67">
        <v>3.7746478141959472E-2</v>
      </c>
      <c r="KE40" s="68">
        <v>0</v>
      </c>
      <c r="KF40" s="77"/>
      <c r="KG40" s="75"/>
      <c r="KH40" s="75"/>
      <c r="KI40" s="75"/>
      <c r="KJ40" s="75"/>
      <c r="KK40" s="75"/>
      <c r="KL40" s="75"/>
      <c r="KM40" s="75"/>
      <c r="KN40" s="31"/>
      <c r="KO40" s="2670"/>
      <c r="KP40" s="2204">
        <v>6693</v>
      </c>
      <c r="KQ40" s="2205">
        <v>0.62</v>
      </c>
      <c r="KR40" s="2205">
        <v>7.4</v>
      </c>
      <c r="KS40" s="2205">
        <v>5.7100000000000009</v>
      </c>
      <c r="KT40" s="2206">
        <v>8.0766789999999986</v>
      </c>
      <c r="KU40" s="2207">
        <v>6989.9499865555254</v>
      </c>
      <c r="KV40" s="2208">
        <v>1.6803334229631621</v>
      </c>
      <c r="KW40" s="2208">
        <v>2.396388814197365</v>
      </c>
      <c r="KX40" s="2208">
        <v>6.5452783006184454</v>
      </c>
      <c r="KY40" s="2209">
        <v>9.4542604248453888</v>
      </c>
      <c r="KZ40" s="37"/>
      <c r="LA40" s="57"/>
      <c r="LB40" s="57"/>
      <c r="LC40" s="57"/>
      <c r="LD40" s="57"/>
      <c r="LE40" s="31"/>
      <c r="LF40" s="2670"/>
      <c r="LH40" s="29">
        <f t="shared" si="160"/>
        <v>0</v>
      </c>
      <c r="LI40" s="30">
        <f t="shared" si="160"/>
        <v>0</v>
      </c>
      <c r="LJ40" s="30">
        <f t="shared" si="160"/>
        <v>0</v>
      </c>
      <c r="LK40" s="31">
        <f t="shared" si="63"/>
        <v>0</v>
      </c>
      <c r="LL40" s="37"/>
      <c r="LM40" s="30"/>
      <c r="LN40" s="30">
        <v>4</v>
      </c>
      <c r="LO40" s="34"/>
      <c r="LP40" s="2495">
        <v>0.33</v>
      </c>
      <c r="LQ40" s="332"/>
      <c r="LR40" s="2689"/>
      <c r="LS40" s="29"/>
      <c r="LT40" s="37"/>
      <c r="LU40" s="30"/>
      <c r="LV40" s="30"/>
      <c r="LW40" s="30"/>
      <c r="LX40" s="1102">
        <f t="shared" si="64"/>
        <v>0</v>
      </c>
      <c r="LY40" s="37"/>
      <c r="LZ40" s="37"/>
      <c r="MA40" s="30"/>
      <c r="MB40" s="30"/>
      <c r="MC40" s="34"/>
      <c r="MD40" s="31">
        <f t="shared" si="65"/>
        <v>0</v>
      </c>
      <c r="ME40" s="29"/>
      <c r="MF40" s="37"/>
      <c r="MG40" s="30"/>
      <c r="MH40" s="30"/>
      <c r="MI40" s="30"/>
      <c r="MJ40" s="31"/>
      <c r="MK40" s="37"/>
      <c r="ML40" s="37"/>
      <c r="MM40" s="30"/>
      <c r="MN40" s="30"/>
      <c r="MO40" s="30"/>
      <c r="MP40" s="31"/>
      <c r="MQ40" s="37"/>
      <c r="MR40" s="37"/>
      <c r="MS40" s="30"/>
      <c r="MT40" s="30"/>
      <c r="MU40" s="30"/>
      <c r="MV40" s="34">
        <f t="shared" si="66"/>
        <v>0</v>
      </c>
      <c r="MW40" s="2689"/>
      <c r="MY40" s="29">
        <f t="shared" si="67"/>
        <v>336247.070356404</v>
      </c>
      <c r="MZ40" s="30">
        <f t="shared" si="68"/>
        <v>180235.60547855328</v>
      </c>
      <c r="NA40" s="30">
        <f t="shared" si="69"/>
        <v>24490.855697817413</v>
      </c>
      <c r="NB40" s="31">
        <f t="shared" si="70"/>
        <v>311096.99795580423</v>
      </c>
      <c r="NC40" s="2622"/>
      <c r="ND40" s="23">
        <f t="shared" si="71"/>
        <v>190746.11074551803</v>
      </c>
      <c r="NE40" s="1655">
        <f t="shared" si="72"/>
        <v>145500.95961088597</v>
      </c>
      <c r="NF40" s="2233">
        <f t="shared" si="73"/>
        <v>0</v>
      </c>
      <c r="NG40" s="276">
        <f t="shared" si="4"/>
        <v>336247.070356404</v>
      </c>
      <c r="NH40" s="29">
        <f t="shared" si="169"/>
        <v>-690.2</v>
      </c>
      <c r="NI40" s="30">
        <f t="shared" si="169"/>
        <v>0</v>
      </c>
      <c r="NJ40" s="30">
        <f t="shared" si="169"/>
        <v>0</v>
      </c>
      <c r="NK40" s="30">
        <f t="shared" si="169"/>
        <v>0</v>
      </c>
      <c r="NL40" s="30">
        <f t="shared" si="169"/>
        <v>0</v>
      </c>
      <c r="NM40" s="34">
        <f t="shared" si="169"/>
        <v>0</v>
      </c>
      <c r="NN40" s="1233">
        <f t="shared" si="169"/>
        <v>0</v>
      </c>
      <c r="NO40" s="57">
        <f t="shared" si="169"/>
        <v>0</v>
      </c>
      <c r="NP40" s="2234">
        <f t="shared" si="163"/>
        <v>25398.450605424237</v>
      </c>
      <c r="NQ40" s="30">
        <f t="shared" si="169"/>
        <v>24023.830351777149</v>
      </c>
      <c r="NR40" s="2234">
        <f t="shared" si="136"/>
        <v>7607.6982322711583</v>
      </c>
      <c r="NS40" s="24">
        <v>0</v>
      </c>
      <c r="NT40" s="30">
        <f t="shared" si="0"/>
        <v>56339.779189472538</v>
      </c>
      <c r="NU40" s="30">
        <f t="shared" si="75"/>
        <v>0</v>
      </c>
      <c r="NV40" s="30">
        <f t="shared" si="76"/>
        <v>0</v>
      </c>
      <c r="NW40" s="30">
        <f t="shared" si="77"/>
        <v>0</v>
      </c>
      <c r="NX40" s="30">
        <f t="shared" si="78"/>
        <v>0</v>
      </c>
      <c r="NY40" s="7">
        <f t="shared" si="79"/>
        <v>0</v>
      </c>
      <c r="NZ40" s="7">
        <f t="shared" si="80"/>
        <v>0</v>
      </c>
      <c r="OA40" s="30">
        <f t="shared" si="81"/>
        <v>19790.014489662844</v>
      </c>
      <c r="OB40" s="30">
        <f t="shared" si="82"/>
        <v>0</v>
      </c>
      <c r="OC40" s="27">
        <f t="shared" si="83"/>
        <v>29910.339485704153</v>
      </c>
      <c r="OD40" s="30"/>
      <c r="OE40" s="30">
        <f t="shared" si="138"/>
        <v>14383.62</v>
      </c>
      <c r="OF40" s="30">
        <f t="shared" si="84"/>
        <v>0</v>
      </c>
      <c r="OG40" s="30">
        <f t="shared" si="1"/>
        <v>64083.973975367</v>
      </c>
      <c r="OH40" s="30">
        <f t="shared" si="153"/>
        <v>0</v>
      </c>
      <c r="OI40" s="30">
        <f t="shared" si="154"/>
        <v>0</v>
      </c>
      <c r="OJ40" s="30">
        <f t="shared" si="158"/>
        <v>0</v>
      </c>
      <c r="OK40" s="30">
        <f t="shared" si="155"/>
        <v>0</v>
      </c>
      <c r="OL40" s="30">
        <f t="shared" si="156"/>
        <v>0</v>
      </c>
      <c r="OM40" s="30">
        <f t="shared" si="157"/>
        <v>0</v>
      </c>
      <c r="ON40" s="2234">
        <f t="shared" si="147"/>
        <v>0</v>
      </c>
      <c r="OO40" s="30">
        <f t="shared" si="145"/>
        <v>0</v>
      </c>
      <c r="OP40" s="2234">
        <f t="shared" si="86"/>
        <v>59811.852313713731</v>
      </c>
      <c r="OQ40" s="30">
        <f t="shared" si="87"/>
        <v>0</v>
      </c>
      <c r="OR40" s="2234">
        <v>0</v>
      </c>
      <c r="OS40" s="30">
        <f t="shared" si="164"/>
        <v>0</v>
      </c>
      <c r="OT40" s="31">
        <f t="shared" si="2"/>
        <v>59811.852313713731</v>
      </c>
      <c r="OU40" s="37"/>
      <c r="OV40" s="30"/>
      <c r="OW40" s="30"/>
      <c r="OX40" s="30"/>
      <c r="OY40" s="30"/>
      <c r="OZ40" s="30"/>
      <c r="PA40" s="31">
        <f t="shared" si="90"/>
        <v>0</v>
      </c>
      <c r="PB40" s="37">
        <f t="shared" si="91"/>
        <v>0</v>
      </c>
      <c r="PC40" s="30">
        <f t="shared" si="92"/>
        <v>0</v>
      </c>
      <c r="PD40" s="30">
        <f t="shared" si="93"/>
        <v>0</v>
      </c>
      <c r="PE40" s="30">
        <f t="shared" si="94"/>
        <v>0</v>
      </c>
      <c r="PF40" s="24"/>
      <c r="PG40" s="30">
        <f t="shared" si="95"/>
        <v>0</v>
      </c>
      <c r="PH40" s="34">
        <f t="shared" si="3"/>
        <v>0</v>
      </c>
      <c r="PI40" s="2622"/>
      <c r="PJ40" s="2263"/>
      <c r="PK40" s="1907">
        <v>635.94000000000005</v>
      </c>
      <c r="PL40" s="3">
        <v>1248</v>
      </c>
      <c r="PM40" s="3">
        <v>374.4</v>
      </c>
      <c r="PN40" s="3">
        <f t="shared" si="165"/>
        <v>290.8</v>
      </c>
      <c r="PO40" s="3">
        <f t="shared" si="97"/>
        <v>34234.509204532871</v>
      </c>
      <c r="PP40" s="11">
        <f t="shared" si="161"/>
        <v>24490.855697817413</v>
      </c>
      <c r="PQ40" s="16"/>
      <c r="PR40" s="2616"/>
      <c r="PT40" s="6"/>
      <c r="PU40" s="10"/>
      <c r="PV40" s="10"/>
      <c r="PW40" s="10"/>
      <c r="PX40" s="2532">
        <v>0</v>
      </c>
      <c r="PY40" s="10"/>
      <c r="PZ40" s="1101">
        <f t="shared" si="99"/>
        <v>0</v>
      </c>
      <c r="QA40" s="7">
        <f t="shared" si="100"/>
        <v>635.94000000000005</v>
      </c>
      <c r="QB40" s="7"/>
      <c r="QC40" s="7"/>
      <c r="QD40" s="7"/>
      <c r="QE40" s="7"/>
      <c r="QF40" s="7"/>
      <c r="QG40" s="13"/>
      <c r="QH40" s="13">
        <f t="shared" si="101"/>
        <v>29562.488999999998</v>
      </c>
      <c r="QI40" s="1100">
        <f t="shared" si="102"/>
        <v>277814.22007140424</v>
      </c>
      <c r="QJ40" s="1106">
        <f>+QJ39+PY40-QF40</f>
        <v>3720.2888844000004</v>
      </c>
      <c r="QK40" s="484">
        <f t="shared" si="103"/>
        <v>5505.3678056099998</v>
      </c>
      <c r="QL40" s="13"/>
      <c r="QM40" s="2616"/>
      <c r="QO40" s="139">
        <f t="shared" si="104"/>
        <v>0</v>
      </c>
      <c r="QP40" s="139" t="str">
        <f t="shared" si="105"/>
        <v/>
      </c>
      <c r="QR40" s="139">
        <f t="shared" si="106"/>
        <v>0</v>
      </c>
      <c r="QS40" s="139">
        <f t="shared" si="107"/>
        <v>0</v>
      </c>
      <c r="QU40" s="1">
        <f t="shared" si="108"/>
        <v>0</v>
      </c>
      <c r="QV40" s="1">
        <f t="shared" si="109"/>
        <v>0</v>
      </c>
      <c r="QW40" s="1">
        <f t="shared" si="110"/>
        <v>0</v>
      </c>
      <c r="QX40" s="1">
        <f t="shared" si="111"/>
        <v>0</v>
      </c>
      <c r="QY40" s="1">
        <f t="shared" si="112"/>
        <v>0</v>
      </c>
      <c r="QZ40" s="1">
        <f t="shared" si="113"/>
        <v>0</v>
      </c>
      <c r="RB40" s="1">
        <f t="shared" si="114"/>
        <v>0</v>
      </c>
      <c r="RC40" s="1">
        <f t="shared" si="115"/>
        <v>0</v>
      </c>
      <c r="RD40" s="1">
        <f t="shared" si="116"/>
        <v>0</v>
      </c>
      <c r="RE40" s="1">
        <f t="shared" si="117"/>
        <v>0</v>
      </c>
      <c r="RF40" s="1">
        <f t="shared" si="118"/>
        <v>0</v>
      </c>
      <c r="RG40" s="1">
        <f t="shared" si="119"/>
        <v>0</v>
      </c>
      <c r="RJ40" s="1">
        <v>31</v>
      </c>
      <c r="RK40" s="1">
        <f t="shared" si="167"/>
        <v>87501.994209717101</v>
      </c>
      <c r="RL40" s="1">
        <f t="shared" si="167"/>
        <v>61090.692780483718</v>
      </c>
      <c r="RM40" s="1">
        <f t="shared" si="167"/>
        <v>13404.263703387322</v>
      </c>
      <c r="RN40" s="89">
        <f t="shared" si="5"/>
        <v>161996.95069358815</v>
      </c>
      <c r="RO40" s="1033">
        <v>31</v>
      </c>
      <c r="RP40" s="1098">
        <v>0</v>
      </c>
      <c r="RQ40" s="1098">
        <f t="shared" si="121"/>
        <v>0</v>
      </c>
      <c r="RR40" s="1097">
        <f t="shared" si="121"/>
        <v>0</v>
      </c>
      <c r="RS40" s="1097">
        <f t="shared" si="122"/>
        <v>2265.44</v>
      </c>
      <c r="RT40" s="1094"/>
      <c r="RU40" s="2441" t="s">
        <v>1103</v>
      </c>
      <c r="RX40" s="421">
        <v>31</v>
      </c>
      <c r="RY40" s="1095">
        <f t="shared" si="123"/>
        <v>13687.720000000001</v>
      </c>
      <c r="RZ40" s="2420" t="s">
        <v>1104</v>
      </c>
      <c r="SB40" s="1090"/>
      <c r="SC40" s="1090">
        <f t="shared" si="124"/>
        <v>0</v>
      </c>
      <c r="SD40" s="1090"/>
      <c r="SE40" s="1090">
        <f t="shared" si="152"/>
        <v>0</v>
      </c>
      <c r="SG40" s="1">
        <v>31</v>
      </c>
      <c r="SH40" s="1">
        <f t="shared" si="126"/>
        <v>290.8</v>
      </c>
      <c r="SI40" s="2420" t="s">
        <v>1105</v>
      </c>
    </row>
    <row r="41" spans="1:503" s="38" customFormat="1" ht="13.95" customHeight="1">
      <c r="A41" s="307" t="s">
        <v>206</v>
      </c>
      <c r="B41" s="307"/>
      <c r="C41" s="72">
        <f>SUM(C10:C40)</f>
        <v>4795518.6400000006</v>
      </c>
      <c r="D41" s="72">
        <f>SUM(D10:D40)</f>
        <v>268109.48</v>
      </c>
      <c r="E41" s="2266">
        <f t="shared" si="6"/>
        <v>17.886419532796829</v>
      </c>
      <c r="H41" s="38">
        <f t="shared" ref="H41:P41" si="170">SUM(H10:H40)</f>
        <v>0</v>
      </c>
      <c r="I41" s="38">
        <f t="shared" si="170"/>
        <v>0</v>
      </c>
      <c r="J41" s="38">
        <f t="shared" si="170"/>
        <v>0</v>
      </c>
      <c r="K41" s="38">
        <f t="shared" si="170"/>
        <v>0</v>
      </c>
      <c r="L41" s="38">
        <f t="shared" si="170"/>
        <v>0</v>
      </c>
      <c r="M41" s="38">
        <f t="shared" si="170"/>
        <v>0</v>
      </c>
      <c r="N41" s="72">
        <f t="shared" si="170"/>
        <v>0</v>
      </c>
      <c r="O41" s="72">
        <f t="shared" si="170"/>
        <v>2851536.24</v>
      </c>
      <c r="P41" s="1904">
        <f t="shared" si="170"/>
        <v>149782.30000000005</v>
      </c>
      <c r="Q41" s="38">
        <f t="shared" si="8"/>
        <v>19.037871898081413</v>
      </c>
      <c r="R41" s="72">
        <f>SUM(R10:R40)</f>
        <v>0</v>
      </c>
      <c r="S41" s="1409">
        <f t="shared" si="9"/>
        <v>968008.4</v>
      </c>
      <c r="T41" s="1410">
        <f>SUM(T10:T40)</f>
        <v>50386.979999999996</v>
      </c>
      <c r="U41" s="1410">
        <f t="shared" si="10"/>
        <v>19.211478838382458</v>
      </c>
      <c r="V41" s="72">
        <f>SUM(V10:V40)</f>
        <v>0</v>
      </c>
      <c r="W41" s="72">
        <f>SUM(W10:W40)</f>
        <v>809097</v>
      </c>
      <c r="X41" s="72">
        <f>SUM(X10:X40)</f>
        <v>45640</v>
      </c>
      <c r="Y41" s="38">
        <f t="shared" si="12"/>
        <v>17.727804557405783</v>
      </c>
      <c r="Z41" s="72">
        <f>SUM(Z10:Z40)</f>
        <v>0</v>
      </c>
      <c r="AA41" s="72">
        <f>SUM(AA10:AA40)</f>
        <v>166877</v>
      </c>
      <c r="AB41" s="341">
        <f t="shared" si="14"/>
        <v>22300.200000000004</v>
      </c>
      <c r="AC41" s="38">
        <f t="shared" si="15"/>
        <v>7.4832064286418944</v>
      </c>
      <c r="AD41" s="72"/>
      <c r="AE41" s="72">
        <f>SUM(AE10:AE40)</f>
        <v>0</v>
      </c>
      <c r="AF41" s="38">
        <f>SUM(AF10:AF40)</f>
        <v>0</v>
      </c>
      <c r="AG41" s="38">
        <f t="shared" si="16"/>
        <v>0</v>
      </c>
      <c r="AH41" s="72">
        <f>SUM(AH10:AH40)</f>
        <v>0</v>
      </c>
      <c r="AI41" s="72">
        <f>SUM(AI10:AI40)</f>
        <v>0</v>
      </c>
      <c r="AJ41" s="72">
        <f>SUM(AJ10:AJ40)</f>
        <v>0</v>
      </c>
      <c r="AK41" s="38">
        <f t="shared" si="17"/>
        <v>0</v>
      </c>
      <c r="AL41" s="72">
        <f>SUM(AL10:AL40)</f>
        <v>0</v>
      </c>
      <c r="AM41" s="72">
        <f>SUM(AM10:AM40)</f>
        <v>0</v>
      </c>
      <c r="AN41" s="72">
        <f>SUM(AN10:AN40)</f>
        <v>0</v>
      </c>
      <c r="AO41" s="72">
        <f>SUM(AO10:AO40)</f>
        <v>0</v>
      </c>
      <c r="AP41" s="38">
        <f t="shared" si="18"/>
        <v>0</v>
      </c>
      <c r="AQ41" s="72">
        <f>SUM(AQ10:AQ40)</f>
        <v>0</v>
      </c>
      <c r="AR41" s="38">
        <f>SUM(AR10:AR40)</f>
        <v>0</v>
      </c>
      <c r="AS41" s="38">
        <f t="shared" si="19"/>
        <v>0</v>
      </c>
      <c r="AT41" s="72">
        <f>SUM(AT10:AT40)</f>
        <v>0</v>
      </c>
      <c r="AU41" s="72">
        <f>SUM(AU10:AU40)</f>
        <v>0</v>
      </c>
      <c r="AV41" s="38">
        <f t="shared" si="20"/>
        <v>0</v>
      </c>
      <c r="AW41" s="72">
        <f>SUM(AW10:AW40)</f>
        <v>1539750.24</v>
      </c>
      <c r="AX41" s="38">
        <f>SUM(AX10:AX40)</f>
        <v>103071.55000000003</v>
      </c>
      <c r="AY41" s="1904">
        <f>IFERROR(SUM(AW10:AW40)/SUM(AX10:AX40),0)</f>
        <v>14.938654167905687</v>
      </c>
      <c r="AZ41" s="72">
        <f>SUM(AZ10:AZ40)</f>
        <v>0</v>
      </c>
      <c r="BA41" s="72">
        <f>SUM(BA10:BA40)</f>
        <v>0</v>
      </c>
      <c r="BB41" s="38">
        <f>IFERROR(SUM(AZ10:AZ40)/SUM(BA10:BA40),0)</f>
        <v>0</v>
      </c>
      <c r="BC41" s="72">
        <f>SUM(BC10:BC40)</f>
        <v>1311786</v>
      </c>
      <c r="BD41" s="865">
        <f>SUM(BD10:BD40)</f>
        <v>46710.749999999993</v>
      </c>
      <c r="BE41" s="1904">
        <f>IFERROR(SUM(BC10:BC40)/SUM(BD10:BD40),0)</f>
        <v>28.083171432700187</v>
      </c>
      <c r="BF41" s="72">
        <f>SUM(BF10:BF40)</f>
        <v>0</v>
      </c>
      <c r="BG41" s="38">
        <f>SUM(BG10:BG40)</f>
        <v>0</v>
      </c>
      <c r="BH41" s="38">
        <f>IFERROR(SUM(BF10:BF40)/SUM(BG10:BG40),0)</f>
        <v>0</v>
      </c>
      <c r="BI41" s="72">
        <f>SUM(BI10:BI40)</f>
        <v>0</v>
      </c>
      <c r="BJ41" s="38">
        <f>SUM(BJ10:BJ40)</f>
        <v>0</v>
      </c>
      <c r="BK41" s="38">
        <f>IFERROR(SUM(BI10:BI40)/SUM(BJ10:BJ40),0)</f>
        <v>0</v>
      </c>
      <c r="BL41" s="72">
        <f>SUM(BL10:BL40)</f>
        <v>968008.4</v>
      </c>
      <c r="BM41" s="1743">
        <f>SUM(BM10:BM40)</f>
        <v>50386.979999999996</v>
      </c>
      <c r="BN41" s="72">
        <f>SUM(BN10:BN40)</f>
        <v>0</v>
      </c>
      <c r="BO41" s="1904">
        <f>IFERROR(SUM(BL10:BL40)/SUM(BM10:BM40),0)</f>
        <v>19.211478838382458</v>
      </c>
      <c r="BP41" s="72">
        <f>SUM(BP10:BP40)</f>
        <v>166877</v>
      </c>
      <c r="BQ41" s="38">
        <f>SUM(BQ10:BQ40)</f>
        <v>22300.200000000004</v>
      </c>
      <c r="BR41" s="38">
        <f>IFERROR(SUM(BP10:BP40)/SUM(BQ10:BQ40),0)</f>
        <v>7.4832064286418944</v>
      </c>
      <c r="BS41" s="72">
        <f>SUM(BS10:BS40)</f>
        <v>0</v>
      </c>
      <c r="BT41" s="38">
        <f>SUM(BT10:BT40)</f>
        <v>0</v>
      </c>
      <c r="BU41" s="38">
        <f>IFERROR(SUM(BS10:BS40)/SUM(BT10:BT40),0)</f>
        <v>0</v>
      </c>
      <c r="BV41" s="72">
        <f>SUM(BV10:BV40)</f>
        <v>809097</v>
      </c>
      <c r="BW41" s="341">
        <f>SUM(BW10:BW40)</f>
        <v>45640</v>
      </c>
      <c r="BX41" s="1904">
        <f>IFERROR(SUM(BV10:BV40)/SUM(BW10:BW40),0)</f>
        <v>17.727804557405783</v>
      </c>
      <c r="BY41" s="72">
        <f>SUM(BY10:BY40)</f>
        <v>0</v>
      </c>
      <c r="BZ41" s="72">
        <f>SUM(BZ10:BZ40)</f>
        <v>0</v>
      </c>
      <c r="CA41" s="38">
        <f t="shared" si="29"/>
        <v>0</v>
      </c>
      <c r="CB41" s="72">
        <f>SUM(CB10:CB40)</f>
        <v>0</v>
      </c>
      <c r="CC41" s="72">
        <f>SUM(CC10:CC40)</f>
        <v>0</v>
      </c>
      <c r="CD41" s="38">
        <f t="shared" si="30"/>
        <v>0</v>
      </c>
      <c r="CE41" s="72">
        <f>SUM(CE10:CE40)</f>
        <v>0</v>
      </c>
      <c r="CF41" s="278">
        <f>SUM(CF10:CF40)</f>
        <v>0</v>
      </c>
      <c r="CG41" s="38">
        <f t="shared" si="31"/>
        <v>0</v>
      </c>
      <c r="CH41" s="72">
        <f t="shared" ref="CH41:CR41" si="171">SUM(CH10:CH40)</f>
        <v>0</v>
      </c>
      <c r="CI41" s="72">
        <f t="shared" si="171"/>
        <v>0</v>
      </c>
      <c r="CJ41" s="72">
        <f t="shared" si="171"/>
        <v>79923</v>
      </c>
      <c r="CK41" s="72">
        <f t="shared" si="171"/>
        <v>228206</v>
      </c>
      <c r="CL41" s="72">
        <f t="shared" si="171"/>
        <v>0</v>
      </c>
      <c r="CM41" s="72">
        <f t="shared" si="171"/>
        <v>0</v>
      </c>
      <c r="CN41" s="72">
        <f t="shared" si="171"/>
        <v>308129</v>
      </c>
      <c r="CO41" s="72">
        <f t="shared" si="171"/>
        <v>0</v>
      </c>
      <c r="CP41" s="72">
        <f t="shared" si="171"/>
        <v>0</v>
      </c>
      <c r="CQ41" s="72">
        <f t="shared" si="171"/>
        <v>0</v>
      </c>
      <c r="CR41" s="72">
        <f t="shared" si="171"/>
        <v>0</v>
      </c>
      <c r="CS41" s="72"/>
      <c r="CT41" s="72">
        <f>SUM(CT10:CT40)</f>
        <v>0</v>
      </c>
      <c r="CU41" s="72"/>
      <c r="CV41" s="72">
        <f>SUM(CV10:CV40)</f>
        <v>0</v>
      </c>
      <c r="CW41" s="72"/>
      <c r="CX41" s="72">
        <f>SUM(CX10:CX40)</f>
        <v>44928.469999999994</v>
      </c>
      <c r="CY41" s="72"/>
      <c r="CZ41" s="72">
        <f>SUM(CZ10:CZ40)</f>
        <v>133787.76999999999</v>
      </c>
      <c r="DA41" s="72"/>
      <c r="DB41" s="72">
        <f>SUM(DB10:DB40)</f>
        <v>72575.56</v>
      </c>
      <c r="DC41" s="72"/>
      <c r="DD41" s="72">
        <f>SUM(DD10:DD40)</f>
        <v>253725.86</v>
      </c>
      <c r="DE41" s="72">
        <f>SUM(DE10:DE40)</f>
        <v>0</v>
      </c>
      <c r="DF41" s="72">
        <f>SUM(DF10:DF40)</f>
        <v>0</v>
      </c>
      <c r="DG41" s="72"/>
      <c r="DH41" s="72">
        <f>SUM(DH10:DH40)</f>
        <v>0</v>
      </c>
      <c r="DI41" s="72"/>
      <c r="DJ41" s="72">
        <f>SUM(DJ10:DJ40)</f>
        <v>0</v>
      </c>
      <c r="DK41" s="72"/>
      <c r="DL41" s="341">
        <f>SUM(DL10:DL40)</f>
        <v>44928.469999999994</v>
      </c>
      <c r="DM41" s="341"/>
      <c r="DN41" s="341">
        <f t="shared" ref="DN41:DT41" si="172">SUM(DN10:DN40)</f>
        <v>0</v>
      </c>
      <c r="DO41" s="341">
        <f t="shared" si="172"/>
        <v>0</v>
      </c>
      <c r="DP41" s="341">
        <f t="shared" si="172"/>
        <v>41325.399999999994</v>
      </c>
      <c r="DQ41" s="341">
        <f t="shared" ref="DQ41" si="173">SUM(DQ10:DQ40)</f>
        <v>14383.62</v>
      </c>
      <c r="DR41" s="72">
        <f t="shared" si="172"/>
        <v>0</v>
      </c>
      <c r="DS41" s="72">
        <f t="shared" si="172"/>
        <v>100637.49000000003</v>
      </c>
      <c r="DT41" s="72">
        <f t="shared" si="172"/>
        <v>0</v>
      </c>
      <c r="DU41" s="72"/>
      <c r="DV41" s="72">
        <f>SUM(DV10:DV40)</f>
        <v>0</v>
      </c>
      <c r="DW41" s="72"/>
      <c r="DX41" s="72">
        <f>SUM(DX10:DX40)</f>
        <v>0</v>
      </c>
      <c r="DY41" s="72"/>
      <c r="DZ41" s="72">
        <f>SUM(DZ10:DZ40)</f>
        <v>0</v>
      </c>
      <c r="EA41" s="72"/>
      <c r="EB41" s="341">
        <f>SUM(EB10:EB40)</f>
        <v>100187.76999999997</v>
      </c>
      <c r="ED41" s="341">
        <f>SUM(ED10:ED40)</f>
        <v>19210.16</v>
      </c>
      <c r="EE41" s="72"/>
      <c r="EF41" s="72">
        <f t="shared" ref="EF41:EK41" si="174">SUM(EF10:EF40)</f>
        <v>119397.92999999998</v>
      </c>
      <c r="EG41" s="72">
        <f t="shared" si="174"/>
        <v>0</v>
      </c>
      <c r="EH41" s="72">
        <f t="shared" si="174"/>
        <v>0</v>
      </c>
      <c r="EI41" s="72">
        <f t="shared" si="174"/>
        <v>0</v>
      </c>
      <c r="EJ41" s="72">
        <f t="shared" si="174"/>
        <v>0</v>
      </c>
      <c r="EK41" s="72">
        <f t="shared" si="174"/>
        <v>0</v>
      </c>
      <c r="EL41" s="72"/>
      <c r="EM41" s="72">
        <f>SUM(EM10:EM40)</f>
        <v>0</v>
      </c>
      <c r="EN41" s="278">
        <f>SUM(EN10:EN40)</f>
        <v>0</v>
      </c>
      <c r="EO41" s="341">
        <f>SUM(EO10:EO40)</f>
        <v>33600</v>
      </c>
      <c r="EP41" s="72"/>
      <c r="EQ41" s="341">
        <f>SUM(EQ10:EQ40)</f>
        <v>12040</v>
      </c>
      <c r="ER41" s="72"/>
      <c r="ES41" s="341">
        <f>SUM(ES10:ES40)</f>
        <v>45640</v>
      </c>
      <c r="ET41" s="72">
        <f>SUM(ET10:ET40)</f>
        <v>0</v>
      </c>
      <c r="EU41" s="72">
        <f>SUM(EU10:EU40)</f>
        <v>0</v>
      </c>
      <c r="EV41" s="72">
        <f>SUM(EV10:EV40)</f>
        <v>0</v>
      </c>
      <c r="EW41" s="72">
        <f t="shared" ref="EW41:FW41" si="175">SUM(EW10:EW40)</f>
        <v>0</v>
      </c>
      <c r="EX41" s="72">
        <f t="shared" si="175"/>
        <v>0</v>
      </c>
      <c r="EY41" s="72">
        <f t="shared" si="175"/>
        <v>0</v>
      </c>
      <c r="EZ41" s="72">
        <f t="shared" si="175"/>
        <v>0</v>
      </c>
      <c r="FA41" s="72">
        <f t="shared" si="175"/>
        <v>0</v>
      </c>
      <c r="FB41" s="72">
        <f t="shared" si="175"/>
        <v>0</v>
      </c>
      <c r="FC41" s="72">
        <f t="shared" si="175"/>
        <v>0</v>
      </c>
      <c r="FD41" s="72">
        <f t="shared" si="175"/>
        <v>0</v>
      </c>
      <c r="FE41" s="72">
        <f t="shared" si="175"/>
        <v>0</v>
      </c>
      <c r="FF41" s="72">
        <f t="shared" si="175"/>
        <v>0</v>
      </c>
      <c r="FG41" s="72">
        <f t="shared" si="175"/>
        <v>0</v>
      </c>
      <c r="FH41" s="72">
        <f t="shared" si="175"/>
        <v>0</v>
      </c>
      <c r="FI41" s="72">
        <f t="shared" si="175"/>
        <v>0</v>
      </c>
      <c r="FJ41" s="72">
        <f t="shared" si="175"/>
        <v>0</v>
      </c>
      <c r="FK41" s="72">
        <f t="shared" si="175"/>
        <v>0</v>
      </c>
      <c r="FL41" s="72">
        <f t="shared" si="175"/>
        <v>0</v>
      </c>
      <c r="FM41" s="72">
        <f t="shared" si="175"/>
        <v>0</v>
      </c>
      <c r="FN41" s="72">
        <f t="shared" si="175"/>
        <v>0</v>
      </c>
      <c r="FO41" s="72">
        <f t="shared" si="175"/>
        <v>0</v>
      </c>
      <c r="FP41" s="72">
        <f t="shared" si="175"/>
        <v>0</v>
      </c>
      <c r="FQ41" s="72">
        <f t="shared" si="175"/>
        <v>0</v>
      </c>
      <c r="FR41" s="72">
        <f t="shared" si="175"/>
        <v>0</v>
      </c>
      <c r="FS41" s="72">
        <f t="shared" si="175"/>
        <v>0</v>
      </c>
      <c r="FT41" s="72">
        <f t="shared" si="175"/>
        <v>0</v>
      </c>
      <c r="FU41" s="72">
        <f t="shared" si="175"/>
        <v>0</v>
      </c>
      <c r="FV41" s="72">
        <f t="shared" si="175"/>
        <v>0</v>
      </c>
      <c r="FW41" s="72">
        <f t="shared" si="175"/>
        <v>0</v>
      </c>
      <c r="FX41" s="72"/>
      <c r="FY41" s="72">
        <f>SUM(FY10:FY40)</f>
        <v>0</v>
      </c>
      <c r="FZ41" s="72"/>
      <c r="GA41" s="72">
        <f>SUM(GA10:GA40)</f>
        <v>0</v>
      </c>
      <c r="GB41" s="72"/>
      <c r="GC41" s="72">
        <f>SUM(GC10:GC40)</f>
        <v>0</v>
      </c>
      <c r="GD41" s="72"/>
      <c r="GE41" s="72">
        <f>SUM(GE10:GE40)</f>
        <v>0</v>
      </c>
      <c r="GG41" s="72">
        <f>SUM(GG10:GG40)</f>
        <v>0</v>
      </c>
      <c r="GH41" s="72"/>
      <c r="GI41" s="72">
        <f t="shared" ref="GI41:HM41" si="176">SUM(GI10:GI40)</f>
        <v>0</v>
      </c>
      <c r="GJ41" s="72">
        <f t="shared" si="176"/>
        <v>0</v>
      </c>
      <c r="GK41" s="72">
        <f t="shared" si="176"/>
        <v>0</v>
      </c>
      <c r="GL41" s="38">
        <f t="shared" si="176"/>
        <v>65323.73</v>
      </c>
      <c r="GM41" s="494">
        <f t="shared" si="133"/>
        <v>130358.76</v>
      </c>
      <c r="GN41" s="38">
        <f t="shared" si="176"/>
        <v>134608.87</v>
      </c>
      <c r="GO41" s="2104">
        <f t="shared" si="176"/>
        <v>330291.3600000001</v>
      </c>
      <c r="GP41" s="72">
        <f t="shared" si="176"/>
        <v>0</v>
      </c>
      <c r="GQ41" s="72">
        <f t="shared" si="176"/>
        <v>0</v>
      </c>
      <c r="GR41" s="72">
        <f t="shared" si="176"/>
        <v>0</v>
      </c>
      <c r="GS41" s="72">
        <f t="shared" si="176"/>
        <v>0</v>
      </c>
      <c r="GT41" s="38">
        <f>SUM(GT10:GT40)</f>
        <v>0</v>
      </c>
      <c r="GU41" s="38">
        <f t="shared" si="176"/>
        <v>8194.3499999999985</v>
      </c>
      <c r="GV41" s="38">
        <f t="shared" si="176"/>
        <v>127607.29</v>
      </c>
      <c r="GW41" s="72">
        <f t="shared" si="176"/>
        <v>194489.71999999997</v>
      </c>
      <c r="GX41" s="38">
        <f t="shared" si="176"/>
        <v>330291.3600000001</v>
      </c>
      <c r="GY41" s="72">
        <f t="shared" si="176"/>
        <v>0</v>
      </c>
      <c r="GZ41" s="38">
        <f t="shared" si="176"/>
        <v>1148.8500000000001</v>
      </c>
      <c r="HA41" s="72">
        <f t="shared" si="176"/>
        <v>0</v>
      </c>
      <c r="HB41" s="72">
        <f t="shared" si="176"/>
        <v>0</v>
      </c>
      <c r="HC41" s="72">
        <f t="shared" si="176"/>
        <v>0</v>
      </c>
      <c r="HD41" s="72">
        <f t="shared" si="176"/>
        <v>0</v>
      </c>
      <c r="HE41" s="72">
        <f t="shared" si="176"/>
        <v>0</v>
      </c>
      <c r="HF41" s="72">
        <f t="shared" si="176"/>
        <v>0</v>
      </c>
      <c r="HG41" s="72">
        <f t="shared" si="176"/>
        <v>0</v>
      </c>
      <c r="HH41" s="38">
        <f t="shared" si="176"/>
        <v>37124.760000000009</v>
      </c>
      <c r="HI41" s="72">
        <f t="shared" si="176"/>
        <v>0</v>
      </c>
      <c r="HJ41" s="38">
        <f t="shared" si="176"/>
        <v>20004.62</v>
      </c>
      <c r="HK41" s="72">
        <f t="shared" si="176"/>
        <v>0</v>
      </c>
      <c r="HL41" s="38">
        <f t="shared" si="176"/>
        <v>7045.4999999999991</v>
      </c>
      <c r="HM41" s="72">
        <f t="shared" si="176"/>
        <v>0</v>
      </c>
      <c r="HN41" s="38">
        <f t="shared" si="148"/>
        <v>65323.73000000001</v>
      </c>
      <c r="HO41" s="38">
        <f t="shared" ref="HO41:IB41" si="177">SUM(HO10:HO40)</f>
        <v>0</v>
      </c>
      <c r="HP41" s="38">
        <f t="shared" si="177"/>
        <v>0</v>
      </c>
      <c r="HQ41" s="38">
        <f t="shared" si="177"/>
        <v>0</v>
      </c>
      <c r="HR41" s="38">
        <f t="shared" si="177"/>
        <v>0</v>
      </c>
      <c r="HS41" s="38">
        <f t="shared" si="177"/>
        <v>0</v>
      </c>
      <c r="HT41" s="38">
        <f t="shared" si="177"/>
        <v>0</v>
      </c>
      <c r="HU41" s="38">
        <f t="shared" si="177"/>
        <v>0</v>
      </c>
      <c r="HV41" s="38">
        <f t="shared" si="177"/>
        <v>0</v>
      </c>
      <c r="HW41" s="38">
        <f t="shared" si="177"/>
        <v>0</v>
      </c>
      <c r="HX41" s="38">
        <f t="shared" si="177"/>
        <v>0</v>
      </c>
      <c r="HY41" s="38">
        <f t="shared" si="177"/>
        <v>0</v>
      </c>
      <c r="HZ41" s="38">
        <f t="shared" si="177"/>
        <v>0</v>
      </c>
      <c r="IA41" s="38">
        <f t="shared" si="177"/>
        <v>0</v>
      </c>
      <c r="IB41" s="38">
        <f t="shared" si="177"/>
        <v>0</v>
      </c>
      <c r="IC41" s="38">
        <f t="shared" si="58"/>
        <v>0</v>
      </c>
      <c r="ID41" s="38">
        <f t="shared" ref="ID41:JO41" si="178">SUM(ID10:ID40)</f>
        <v>0</v>
      </c>
      <c r="IE41" s="38">
        <f t="shared" si="178"/>
        <v>0</v>
      </c>
      <c r="IF41" s="38">
        <f t="shared" si="178"/>
        <v>0</v>
      </c>
      <c r="IG41" s="38">
        <f t="shared" si="178"/>
        <v>0</v>
      </c>
      <c r="IH41" s="38">
        <f t="shared" si="178"/>
        <v>0</v>
      </c>
      <c r="II41" s="38">
        <f t="shared" si="178"/>
        <v>0</v>
      </c>
      <c r="IJ41" s="38">
        <f t="shared" si="178"/>
        <v>38708.839999999997</v>
      </c>
      <c r="IK41" s="38">
        <f t="shared" si="178"/>
        <v>0</v>
      </c>
      <c r="IL41" s="38">
        <f t="shared" si="178"/>
        <v>0</v>
      </c>
      <c r="IM41" s="38">
        <f t="shared" si="178"/>
        <v>0</v>
      </c>
      <c r="IN41" s="38">
        <f t="shared" si="178"/>
        <v>91633.12</v>
      </c>
      <c r="IO41" s="72">
        <f t="shared" si="178"/>
        <v>0</v>
      </c>
      <c r="IP41" s="72">
        <f t="shared" si="178"/>
        <v>0</v>
      </c>
      <c r="IQ41" s="72">
        <f t="shared" si="178"/>
        <v>16.8</v>
      </c>
      <c r="IR41" s="38">
        <f t="shared" si="178"/>
        <v>130358.76</v>
      </c>
      <c r="IS41" s="72">
        <f t="shared" si="178"/>
        <v>0</v>
      </c>
      <c r="IT41" s="72">
        <f t="shared" si="178"/>
        <v>0</v>
      </c>
      <c r="IU41" s="72">
        <f t="shared" si="178"/>
        <v>0</v>
      </c>
      <c r="IV41" s="72">
        <f t="shared" si="178"/>
        <v>0</v>
      </c>
      <c r="IW41" s="38">
        <f t="shared" si="178"/>
        <v>0</v>
      </c>
      <c r="IX41" s="72">
        <f t="shared" si="178"/>
        <v>0</v>
      </c>
      <c r="IY41" s="72">
        <f t="shared" si="178"/>
        <v>0</v>
      </c>
      <c r="IZ41" s="72">
        <f t="shared" si="178"/>
        <v>0</v>
      </c>
      <c r="JA41" s="38">
        <f t="shared" si="178"/>
        <v>102284.14000000001</v>
      </c>
      <c r="JB41" s="72">
        <f t="shared" si="178"/>
        <v>0</v>
      </c>
      <c r="JC41" s="38">
        <f t="shared" si="178"/>
        <v>32324.729999999992</v>
      </c>
      <c r="JD41" s="72">
        <f t="shared" si="178"/>
        <v>0</v>
      </c>
      <c r="JE41" s="72">
        <f t="shared" si="178"/>
        <v>0</v>
      </c>
      <c r="JF41" s="72">
        <f t="shared" si="178"/>
        <v>0</v>
      </c>
      <c r="JG41" s="38">
        <f t="shared" si="178"/>
        <v>134608.87</v>
      </c>
      <c r="JH41" s="72">
        <f t="shared" si="178"/>
        <v>0</v>
      </c>
      <c r="JI41" s="72">
        <f t="shared" si="178"/>
        <v>0</v>
      </c>
      <c r="JJ41" s="2104">
        <f>SUM(JJ10:JJ40)</f>
        <v>194150.96000000002</v>
      </c>
      <c r="JK41" s="2104">
        <f t="shared" si="178"/>
        <v>136140.40000000002</v>
      </c>
      <c r="JL41" s="72">
        <f t="shared" si="178"/>
        <v>0</v>
      </c>
      <c r="JM41" s="2445">
        <f t="shared" si="178"/>
        <v>330291.36000000004</v>
      </c>
      <c r="JN41" s="72">
        <f t="shared" si="178"/>
        <v>0</v>
      </c>
      <c r="JO41" s="72">
        <f t="shared" si="178"/>
        <v>0</v>
      </c>
      <c r="JP41" s="305">
        <f t="shared" ref="JP41:JW41" si="179">IFERROR(SUM(JP10:JP40)/SUM($JP$10:$JW$40),"")</f>
        <v>4.4063001104624651E-4</v>
      </c>
      <c r="JQ41" s="305">
        <f t="shared" si="179"/>
        <v>0</v>
      </c>
      <c r="JR41" s="305">
        <f t="shared" si="179"/>
        <v>0</v>
      </c>
      <c r="JS41" s="305">
        <f t="shared" si="179"/>
        <v>6.9140132213206433E-3</v>
      </c>
      <c r="JT41" s="305">
        <f t="shared" si="179"/>
        <v>0.70704089568692297</v>
      </c>
      <c r="JU41" s="305">
        <f t="shared" si="179"/>
        <v>0.26607546882946803</v>
      </c>
      <c r="JV41" s="305">
        <f t="shared" si="179"/>
        <v>1.9528992251242015E-2</v>
      </c>
      <c r="JW41" s="305">
        <f t="shared" si="179"/>
        <v>0</v>
      </c>
      <c r="JX41" s="305">
        <f t="shared" ref="JX41:KM41" si="180">IFERROR(SUM(JX10:JX40)/SUM($JX$10:$KE$40),"")</f>
        <v>7.6290119619161082E-3</v>
      </c>
      <c r="JY41" s="305">
        <f t="shared" si="180"/>
        <v>0</v>
      </c>
      <c r="JZ41" s="305">
        <f t="shared" si="180"/>
        <v>0</v>
      </c>
      <c r="KA41" s="305">
        <f t="shared" si="180"/>
        <v>0.2642407477977175</v>
      </c>
      <c r="KB41" s="305">
        <f t="shared" si="180"/>
        <v>1.5081228663417675E-2</v>
      </c>
      <c r="KC41" s="305">
        <f t="shared" si="180"/>
        <v>0.68922032684259937</v>
      </c>
      <c r="KD41" s="305">
        <f t="shared" si="180"/>
        <v>2.3828684734349639E-2</v>
      </c>
      <c r="KE41" s="305">
        <f t="shared" si="180"/>
        <v>0</v>
      </c>
      <c r="KF41" s="38">
        <f t="shared" si="180"/>
        <v>0</v>
      </c>
      <c r="KG41" s="38">
        <f t="shared" si="180"/>
        <v>0</v>
      </c>
      <c r="KH41" s="38">
        <f t="shared" si="180"/>
        <v>0</v>
      </c>
      <c r="KI41" s="38">
        <f t="shared" si="180"/>
        <v>0</v>
      </c>
      <c r="KJ41" s="38">
        <f t="shared" si="180"/>
        <v>0</v>
      </c>
      <c r="KK41" s="38">
        <f t="shared" si="180"/>
        <v>0</v>
      </c>
      <c r="KL41" s="38">
        <f t="shared" si="180"/>
        <v>0</v>
      </c>
      <c r="KM41" s="38">
        <f t="shared" si="180"/>
        <v>0</v>
      </c>
      <c r="KN41" s="72">
        <f>SUM(KN10:KN40)</f>
        <v>0</v>
      </c>
      <c r="KO41" s="72">
        <f>SUM(KO10:KO40)</f>
        <v>0</v>
      </c>
      <c r="KP41" s="72">
        <f>IFERROR(SUMPRODUCT((KP10:KP40&lt;&gt;"")*KP10:KP40,$JJ$10:$JJ$40)/SUMIFS($JJ$10:$JJ$40,KP10:KP40,"&gt;"&amp;0),0)</f>
        <v>6987.2543572141067</v>
      </c>
      <c r="KQ41" s="1904">
        <f>IFERROR(SUMPRODUCT((KQ10:KQ40&lt;&gt;"")*KQ10:KQ40,$JJ$10:$JJ$40)/SUMIFS($JJ$10:$JJ$40,KQ10:KQ40,"&gt;"&amp;0),0)</f>
        <v>0.65555962825201353</v>
      </c>
      <c r="KR41" s="1904">
        <f>IFERROR(SUMPRODUCT((KR10:KR40&lt;&gt;"")*KR10:KR40,$JJ$10:$JJ$40)/SUMIFS($JJ$10:$JJ$40,KR10:KR40,"&gt;"&amp;0),0)</f>
        <v>4.7228968970889422</v>
      </c>
      <c r="KS41" s="1904">
        <f>IFERROR(SUMPRODUCT((KS10:KS40&lt;&gt;"")*KS10:KS40,$JJ$10:$JJ$40)/SUMIFS($JJ$10:$JJ$40,KS10:KS40,"&gt;"&amp;0),0)</f>
        <v>6.1994883892974944</v>
      </c>
      <c r="KT41" s="1904">
        <f>IFERROR(SUMPRODUCT((KT10:KT40&lt;&gt;"")*KT10:KT40,$JJ$10:$JJ$40)/SUMIFS($JJ$10:$JJ$40,KT10:KT40,"&gt;"&amp;0),0)</f>
        <v>9.5062885450971955</v>
      </c>
      <c r="KU41" s="2151">
        <f>IFERROR(SUMPRODUCT((KU10:KU40&lt;&gt;"")*KU10:KU40,$JK$10:$JK$40)/SUMIFS($JK$10:$JK$40,KU10:KU40,"&gt;"&amp;0),0)</f>
        <v>6948.716152267536</v>
      </c>
      <c r="KV41" s="1904">
        <f>IFERROR(SUMPRODUCT((KV10:KV40&lt;&gt;"")*KV10:KV40,$JK$10:$JK$40)/SUMIFS($JK$10:$JK$40,KV10:KV40,"&gt;"&amp;0),0)</f>
        <v>1.6724927771820928</v>
      </c>
      <c r="KW41" s="1904">
        <f>IFERROR(SUMPRODUCT((KW10:KW40&lt;&gt;"")*KW10:KW40,$JK$10:$JK$40)/SUMIFS($JK$10:$JK$40,KW10:KW40,"&gt;"&amp;0),0)</f>
        <v>4.4200892910508998</v>
      </c>
      <c r="KX41" s="1904">
        <f>IFERROR(SUMPRODUCT((KX10:KX40&lt;&gt;"")*KX10:KX40,$JK$10:$JK$40)/SUMIFS($JK$10:$JK$40,KX10:KX40,"&gt;"&amp;0),0)</f>
        <v>6.1116820863710295</v>
      </c>
      <c r="KY41" s="1904">
        <f>IFERROR(SUMPRODUCT((KY10:KY40&lt;&gt;"")*KY10:KY40,$JK$10:$JK$40)/SUMIFS($JK$10:$JK$40,KY10:KY40,"&gt;"&amp;0),0)</f>
        <v>9.1674634256647209</v>
      </c>
      <c r="KZ41" s="72">
        <f>IFERROR(SUMPRODUCT((KZ10:KZ40&lt;&gt;"")*KZ10:KZ40,$JL$10:$JL$40)/SUMIFS($JL$10:$JL$40,KZ10:KZ40,"&gt;"&amp;0),0)</f>
        <v>0</v>
      </c>
      <c r="LA41" s="38">
        <f>IFERROR(SUMPRODUCT((LA10:LA40&lt;&gt;"")*LA10:LA40,$JL$10:$JL$40)/SUMIFS($JL$10:$JL$40,LA10:LA40,"&gt;"&amp;0),0)</f>
        <v>0</v>
      </c>
      <c r="LB41" s="38">
        <f>IFERROR(SUMPRODUCT((LB10:LB40&lt;&gt;"")*LB10:LB40,$JL$10:$JL$40)/SUMIFS($JL$10:$JL$40,LB10:LB40,"&gt;"&amp;0),0)</f>
        <v>0</v>
      </c>
      <c r="LC41" s="38">
        <f>IFERROR(SUMPRODUCT((LC10:LC40&lt;&gt;"")*LC10:LC40,$JL$10:$JL$40)/SUMIFS($JL$10:$JL$40,LC10:LC40,"&gt;"&amp;0),0)</f>
        <v>0</v>
      </c>
      <c r="LD41" s="38">
        <f>IFERROR(SUMPRODUCT((LD10:LD40&lt;&gt;"")*LD10:LD40,$JL$10:$JL$40)/SUMIFS($JL$10:$JL$40,LD10:LD40,"&gt;"&amp;0),0)</f>
        <v>0</v>
      </c>
      <c r="LE41" s="72"/>
      <c r="LF41" s="72">
        <f t="shared" ref="LF41:LO41" si="181">SUM(LF10:LF40)</f>
        <v>0</v>
      </c>
      <c r="LG41" s="72">
        <f t="shared" si="181"/>
        <v>0</v>
      </c>
      <c r="LH41" s="2535">
        <f t="shared" si="181"/>
        <v>103104.481</v>
      </c>
      <c r="LI41" s="2536">
        <f t="shared" si="181"/>
        <v>77797.909</v>
      </c>
      <c r="LJ41" s="865">
        <f t="shared" si="181"/>
        <v>0</v>
      </c>
      <c r="LK41" s="865">
        <f t="shared" si="181"/>
        <v>180902.39</v>
      </c>
      <c r="LL41" s="72">
        <f t="shared" si="181"/>
        <v>36</v>
      </c>
      <c r="LM41" s="72">
        <f t="shared" si="181"/>
        <v>6</v>
      </c>
      <c r="LN41" s="72">
        <f t="shared" si="181"/>
        <v>90</v>
      </c>
      <c r="LO41" s="72">
        <f t="shared" si="181"/>
        <v>0</v>
      </c>
      <c r="LP41" s="72">
        <f>AVERAGE(LP10:LP40)</f>
        <v>0.37645161290322582</v>
      </c>
      <c r="LQ41" s="72">
        <f t="shared" ref="LQ41:MK41" si="182">SUM(LQ10:LQ40)</f>
        <v>0</v>
      </c>
      <c r="LR41" s="72">
        <f t="shared" si="182"/>
        <v>0</v>
      </c>
      <c r="LS41" s="38">
        <f t="shared" si="182"/>
        <v>87118.563999999998</v>
      </c>
      <c r="LT41" s="72">
        <f t="shared" si="182"/>
        <v>12140.536</v>
      </c>
      <c r="LU41" s="72">
        <f t="shared" si="182"/>
        <v>0</v>
      </c>
      <c r="LV41" s="72">
        <f t="shared" si="182"/>
        <v>0</v>
      </c>
      <c r="LW41" s="72">
        <f t="shared" si="182"/>
        <v>0</v>
      </c>
      <c r="LX41" s="72">
        <f t="shared" si="182"/>
        <v>99259.1</v>
      </c>
      <c r="LY41" s="72">
        <f t="shared" si="182"/>
        <v>15985.917000000001</v>
      </c>
      <c r="LZ41" s="72">
        <f t="shared" si="182"/>
        <v>65657.373000000007</v>
      </c>
      <c r="MA41" s="72">
        <f t="shared" si="182"/>
        <v>0</v>
      </c>
      <c r="MB41" s="72">
        <f t="shared" si="182"/>
        <v>0</v>
      </c>
      <c r="MC41" s="72">
        <f t="shared" si="182"/>
        <v>0</v>
      </c>
      <c r="MD41" s="72">
        <f t="shared" si="182"/>
        <v>81643.290000000008</v>
      </c>
      <c r="ME41" s="72">
        <f t="shared" si="182"/>
        <v>0</v>
      </c>
      <c r="MF41" s="72">
        <f t="shared" si="182"/>
        <v>0</v>
      </c>
      <c r="MG41" s="72">
        <f t="shared" si="182"/>
        <v>0</v>
      </c>
      <c r="MH41" s="72">
        <f t="shared" si="182"/>
        <v>0</v>
      </c>
      <c r="MI41" s="72">
        <f t="shared" si="182"/>
        <v>0</v>
      </c>
      <c r="MJ41" s="72">
        <f t="shared" si="182"/>
        <v>0</v>
      </c>
      <c r="MK41" s="72">
        <f t="shared" si="182"/>
        <v>0</v>
      </c>
      <c r="ML41" s="72"/>
      <c r="MM41" s="72">
        <f>SUM(MM10:MM40)</f>
        <v>0</v>
      </c>
      <c r="MN41" s="72">
        <f>SUM(MN10:MN40)</f>
        <v>0</v>
      </c>
      <c r="MO41" s="72">
        <f>SUM(MO10:MO40)</f>
        <v>0</v>
      </c>
      <c r="MP41" s="72">
        <f>SUM(MP10:MP40)</f>
        <v>0</v>
      </c>
      <c r="MQ41" s="72">
        <f>SUM(MQ10:MQ40)</f>
        <v>0</v>
      </c>
      <c r="MR41" s="72"/>
      <c r="MS41" s="72">
        <f t="shared" ref="MS41:MX41" si="183">SUM(MS10:MS40)</f>
        <v>0</v>
      </c>
      <c r="MT41" s="72">
        <f t="shared" si="183"/>
        <v>0</v>
      </c>
      <c r="MU41" s="72">
        <f t="shared" si="183"/>
        <v>0</v>
      </c>
      <c r="MV41" s="72">
        <f t="shared" si="183"/>
        <v>0</v>
      </c>
      <c r="MW41" s="72">
        <f t="shared" si="183"/>
        <v>0</v>
      </c>
      <c r="MX41" s="72">
        <f t="shared" si="183"/>
        <v>0</v>
      </c>
      <c r="MY41" s="72">
        <f>+MY40</f>
        <v>336247.070356404</v>
      </c>
      <c r="MZ41" s="72">
        <f>+MZ40</f>
        <v>180235.60547855328</v>
      </c>
      <c r="NA41" s="72">
        <f>+NA40</f>
        <v>24490.855697817413</v>
      </c>
      <c r="NB41" s="72">
        <f>+NB40</f>
        <v>311096.99795580423</v>
      </c>
      <c r="NC41" s="72">
        <f>+NC40</f>
        <v>0</v>
      </c>
      <c r="ND41" s="23">
        <f>ND40</f>
        <v>190746.11074551803</v>
      </c>
      <c r="NE41" s="1656">
        <f t="shared" ref="NE41:NF42" si="184">NE40</f>
        <v>145500.95961088597</v>
      </c>
      <c r="NF41" s="72">
        <f t="shared" si="184"/>
        <v>0</v>
      </c>
      <c r="NG41" s="72">
        <f t="shared" ref="NG41:PH42" si="185">+NG40</f>
        <v>336247.070356404</v>
      </c>
      <c r="NH41" s="72">
        <f t="shared" si="185"/>
        <v>-690.2</v>
      </c>
      <c r="NI41" s="72">
        <f t="shared" si="185"/>
        <v>0</v>
      </c>
      <c r="NJ41" s="72">
        <f t="shared" si="185"/>
        <v>0</v>
      </c>
      <c r="NK41" s="72">
        <f t="shared" si="185"/>
        <v>0</v>
      </c>
      <c r="NL41" s="72">
        <f t="shared" si="185"/>
        <v>0</v>
      </c>
      <c r="NM41" s="72">
        <f t="shared" si="185"/>
        <v>0</v>
      </c>
      <c r="NN41" s="72">
        <f t="shared" si="185"/>
        <v>0</v>
      </c>
      <c r="NO41" s="278">
        <f t="shared" si="185"/>
        <v>0</v>
      </c>
      <c r="NP41" s="2437">
        <f t="shared" si="185"/>
        <v>25398.450605424237</v>
      </c>
      <c r="NQ41" s="72">
        <f t="shared" si="185"/>
        <v>24023.830351777149</v>
      </c>
      <c r="NR41" s="72">
        <f t="shared" si="185"/>
        <v>7607.6982322711583</v>
      </c>
      <c r="NS41" s="72">
        <f t="shared" si="185"/>
        <v>0</v>
      </c>
      <c r="NT41" s="72">
        <f t="shared" si="185"/>
        <v>56339.779189472538</v>
      </c>
      <c r="NU41" s="72">
        <f t="shared" si="185"/>
        <v>0</v>
      </c>
      <c r="NV41" s="72">
        <f t="shared" si="185"/>
        <v>0</v>
      </c>
      <c r="NW41" s="72">
        <f t="shared" si="185"/>
        <v>0</v>
      </c>
      <c r="NX41" s="72">
        <f t="shared" si="185"/>
        <v>0</v>
      </c>
      <c r="NY41" s="72">
        <f t="shared" si="185"/>
        <v>0</v>
      </c>
      <c r="NZ41" s="72">
        <f t="shared" si="185"/>
        <v>0</v>
      </c>
      <c r="OA41" s="72">
        <f t="shared" si="185"/>
        <v>19790.014489662844</v>
      </c>
      <c r="OB41" s="72">
        <f t="shared" si="185"/>
        <v>0</v>
      </c>
      <c r="OC41" s="27">
        <f>OC39</f>
        <v>33466.999485704153</v>
      </c>
      <c r="OD41" s="72">
        <f t="shared" si="185"/>
        <v>0</v>
      </c>
      <c r="OE41" s="72">
        <f t="shared" si="185"/>
        <v>14383.62</v>
      </c>
      <c r="OF41" s="72">
        <f t="shared" si="185"/>
        <v>0</v>
      </c>
      <c r="OG41" s="72">
        <f t="shared" si="185"/>
        <v>64083.973975367</v>
      </c>
      <c r="OH41" s="72">
        <f t="shared" si="185"/>
        <v>0</v>
      </c>
      <c r="OI41" s="72">
        <f t="shared" si="185"/>
        <v>0</v>
      </c>
      <c r="OJ41" s="72">
        <f t="shared" si="185"/>
        <v>0</v>
      </c>
      <c r="OK41" s="72">
        <f t="shared" si="185"/>
        <v>0</v>
      </c>
      <c r="OL41" s="72">
        <f t="shared" si="185"/>
        <v>0</v>
      </c>
      <c r="OM41" s="72">
        <f t="shared" si="185"/>
        <v>0</v>
      </c>
      <c r="ON41" s="72">
        <f t="shared" si="185"/>
        <v>0</v>
      </c>
      <c r="OO41" s="72">
        <f t="shared" si="185"/>
        <v>0</v>
      </c>
      <c r="OP41" s="72">
        <f t="shared" si="185"/>
        <v>59811.852313713731</v>
      </c>
      <c r="OQ41" s="72">
        <f t="shared" si="185"/>
        <v>0</v>
      </c>
      <c r="OR41" s="72">
        <f t="shared" si="185"/>
        <v>0</v>
      </c>
      <c r="OS41" s="72">
        <f t="shared" si="185"/>
        <v>0</v>
      </c>
      <c r="OT41" s="72">
        <f t="shared" si="185"/>
        <v>59811.852313713731</v>
      </c>
      <c r="OU41" s="72">
        <f t="shared" si="185"/>
        <v>0</v>
      </c>
      <c r="OV41" s="72">
        <f t="shared" si="185"/>
        <v>0</v>
      </c>
      <c r="OW41" s="72">
        <f t="shared" si="185"/>
        <v>0</v>
      </c>
      <c r="OX41" s="72">
        <f t="shared" si="185"/>
        <v>0</v>
      </c>
      <c r="OY41" s="72">
        <f t="shared" si="185"/>
        <v>0</v>
      </c>
      <c r="OZ41" s="72">
        <f t="shared" si="185"/>
        <v>0</v>
      </c>
      <c r="PA41" s="72">
        <f t="shared" si="185"/>
        <v>0</v>
      </c>
      <c r="PB41" s="72">
        <f t="shared" si="185"/>
        <v>0</v>
      </c>
      <c r="PC41" s="72">
        <f t="shared" si="185"/>
        <v>0</v>
      </c>
      <c r="PD41" s="72">
        <f t="shared" si="185"/>
        <v>0</v>
      </c>
      <c r="PE41" s="72">
        <f t="shared" si="185"/>
        <v>0</v>
      </c>
      <c r="PF41" s="72">
        <f t="shared" si="185"/>
        <v>0</v>
      </c>
      <c r="PG41" s="72">
        <f t="shared" si="185"/>
        <v>0</v>
      </c>
      <c r="PH41" s="72">
        <f t="shared" si="185"/>
        <v>0</v>
      </c>
      <c r="PI41" s="72">
        <f t="shared" ref="PI41:PN41" si="186">SUM(PI10:PI40)</f>
        <v>0</v>
      </c>
      <c r="PJ41" s="72">
        <f t="shared" si="186"/>
        <v>0</v>
      </c>
      <c r="PK41" s="341">
        <f t="shared" si="186"/>
        <v>31572.6</v>
      </c>
      <c r="PL41" s="72">
        <f t="shared" si="186"/>
        <v>24733.599999999999</v>
      </c>
      <c r="PM41" s="72">
        <f t="shared" si="186"/>
        <v>7420.0800000000008</v>
      </c>
      <c r="PN41" s="72">
        <f t="shared" si="186"/>
        <v>7045.4999999999991</v>
      </c>
      <c r="PO41" s="72">
        <f>PO40</f>
        <v>34234.509204532871</v>
      </c>
      <c r="PP41" s="72">
        <f>+PP40</f>
        <v>24490.855697817413</v>
      </c>
      <c r="PQ41" s="72">
        <f>SUM(PQ10:PQ40)</f>
        <v>0</v>
      </c>
      <c r="PR41" s="72">
        <f>SUM(PR10:PR40)</f>
        <v>0</v>
      </c>
      <c r="PS41" s="72">
        <f>SUM(PS10:PS40)</f>
        <v>0</v>
      </c>
      <c r="PT41" s="72">
        <f>SUM(PT10:PT40)</f>
        <v>0</v>
      </c>
      <c r="PU41" s="72">
        <f>SUM(PU10:PU40)</f>
        <v>0</v>
      </c>
      <c r="PV41" s="72"/>
      <c r="PW41" s="72">
        <f>SUM(PW10:PW40)</f>
        <v>0</v>
      </c>
      <c r="PX41" s="341">
        <f>SUM(PX10:PX40)</f>
        <v>2434.0600000000004</v>
      </c>
      <c r="PY41" s="72">
        <f>SUM(PY10:PY40)</f>
        <v>0</v>
      </c>
      <c r="PZ41" s="72">
        <f>SUM(PZ10:PZ40)</f>
        <v>2434.0600000000004</v>
      </c>
      <c r="QA41" s="72">
        <f>SUM(QA10:QA40)</f>
        <v>31572.6</v>
      </c>
      <c r="QB41" s="72">
        <f>+QB40</f>
        <v>0</v>
      </c>
      <c r="QC41" s="72"/>
      <c r="QD41" s="72"/>
      <c r="QE41" s="72"/>
      <c r="QF41" s="72"/>
      <c r="QG41" s="72"/>
      <c r="QH41" s="72">
        <f>+QH40</f>
        <v>29562.488999999998</v>
      </c>
      <c r="QI41" s="72">
        <f>+QI40</f>
        <v>277814.22007140424</v>
      </c>
      <c r="QJ41" s="72">
        <f>+QJ40</f>
        <v>3720.2888844000004</v>
      </c>
      <c r="QK41" s="72">
        <f>+QK40</f>
        <v>5505.3678056099998</v>
      </c>
      <c r="RS41" s="1091"/>
      <c r="RZ41" s="72"/>
      <c r="SB41" s="1089"/>
      <c r="SC41" s="1090"/>
      <c r="SD41" s="1089"/>
      <c r="SE41" s="1089"/>
    </row>
    <row r="42" spans="1:503" s="38" customFormat="1">
      <c r="A42" s="307" t="s">
        <v>207</v>
      </c>
      <c r="B42" s="307"/>
      <c r="C42" s="1068">
        <f>SUM(O42,S42,W42,AA42)</f>
        <v>4762641.2892000005</v>
      </c>
      <c r="D42" s="1068">
        <f>SUM(P42,T42,X42,AB42)</f>
        <v>268109.48000000004</v>
      </c>
      <c r="E42" s="2266">
        <f t="shared" si="6"/>
        <v>17.763792944583681</v>
      </c>
      <c r="F42" s="72"/>
      <c r="G42" s="72"/>
      <c r="H42" s="307">
        <f t="shared" ref="H42:P42" si="187">H41</f>
        <v>0</v>
      </c>
      <c r="I42" s="364">
        <f t="shared" si="187"/>
        <v>0</v>
      </c>
      <c r="J42" s="307">
        <f t="shared" si="187"/>
        <v>0</v>
      </c>
      <c r="K42" s="364">
        <f t="shared" si="187"/>
        <v>0</v>
      </c>
      <c r="L42" s="307">
        <f t="shared" si="187"/>
        <v>0</v>
      </c>
      <c r="M42" s="364">
        <f t="shared" si="187"/>
        <v>0</v>
      </c>
      <c r="N42" s="72">
        <f t="shared" si="187"/>
        <v>0</v>
      </c>
      <c r="O42" s="364">
        <f>AW42+BC42</f>
        <v>2818658.8892000001</v>
      </c>
      <c r="P42" s="364">
        <f t="shared" si="187"/>
        <v>149782.30000000005</v>
      </c>
      <c r="Q42" s="307">
        <f t="shared" si="8"/>
        <v>18.818370990430772</v>
      </c>
      <c r="R42" s="72">
        <f>R41</f>
        <v>0</v>
      </c>
      <c r="S42" s="364">
        <f t="shared" si="9"/>
        <v>968008.4</v>
      </c>
      <c r="T42" s="364">
        <f>T41</f>
        <v>50386.979999999996</v>
      </c>
      <c r="U42" s="38">
        <f t="shared" si="10"/>
        <v>19.211478838382458</v>
      </c>
      <c r="V42" s="72">
        <f>V41</f>
        <v>0</v>
      </c>
      <c r="W42" s="412">
        <f>W41</f>
        <v>809097</v>
      </c>
      <c r="X42" s="479">
        <f>X41</f>
        <v>45640</v>
      </c>
      <c r="Y42" s="38">
        <f t="shared" si="12"/>
        <v>17.727804557405783</v>
      </c>
      <c r="Z42" s="72">
        <f>Z41</f>
        <v>0</v>
      </c>
      <c r="AA42" s="364">
        <f>AA41</f>
        <v>166877</v>
      </c>
      <c r="AB42" s="364">
        <f>AB41</f>
        <v>22300.200000000004</v>
      </c>
      <c r="AC42" s="38">
        <f>AC41</f>
        <v>7.4832064286418944</v>
      </c>
      <c r="AD42" s="72"/>
      <c r="AE42" s="412">
        <f>AE41</f>
        <v>0</v>
      </c>
      <c r="AF42" s="412">
        <f>AF41</f>
        <v>0</v>
      </c>
      <c r="AG42" s="38">
        <f t="shared" si="16"/>
        <v>0</v>
      </c>
      <c r="AH42" s="72">
        <f>AH41</f>
        <v>0</v>
      </c>
      <c r="AI42" s="412"/>
      <c r="AJ42" s="412"/>
      <c r="AK42" s="38">
        <f t="shared" si="17"/>
        <v>0</v>
      </c>
      <c r="AL42" s="72">
        <f t="shared" ref="AL42:AR42" si="188">AL41</f>
        <v>0</v>
      </c>
      <c r="AM42" s="72">
        <f t="shared" si="188"/>
        <v>0</v>
      </c>
      <c r="AN42" s="72">
        <f t="shared" si="188"/>
        <v>0</v>
      </c>
      <c r="AO42" s="72">
        <f t="shared" si="188"/>
        <v>0</v>
      </c>
      <c r="AP42" s="72">
        <f t="shared" si="188"/>
        <v>0</v>
      </c>
      <c r="AQ42" s="364">
        <f t="shared" si="188"/>
        <v>0</v>
      </c>
      <c r="AR42" s="1088">
        <f t="shared" si="188"/>
        <v>0</v>
      </c>
      <c r="AS42" s="38">
        <f t="shared" si="19"/>
        <v>0</v>
      </c>
      <c r="AT42" s="364">
        <f t="shared" ref="AT42:BZ42" si="189">AT41</f>
        <v>0</v>
      </c>
      <c r="AU42" s="364">
        <f t="shared" si="189"/>
        <v>0</v>
      </c>
      <c r="AV42" s="72">
        <f t="shared" si="189"/>
        <v>0</v>
      </c>
      <c r="AW42" s="412">
        <v>1548869.3781000001</v>
      </c>
      <c r="AX42" s="1088">
        <f t="shared" si="189"/>
        <v>103071.55000000003</v>
      </c>
      <c r="AY42" s="38">
        <f t="shared" si="189"/>
        <v>14.938654167905687</v>
      </c>
      <c r="AZ42" s="72">
        <f t="shared" si="189"/>
        <v>0</v>
      </c>
      <c r="BA42" s="72">
        <f t="shared" si="189"/>
        <v>0</v>
      </c>
      <c r="BB42" s="72">
        <f t="shared" si="189"/>
        <v>0</v>
      </c>
      <c r="BC42" s="412">
        <v>1269789.5110999998</v>
      </c>
      <c r="BD42" s="364">
        <f t="shared" si="189"/>
        <v>46710.749999999993</v>
      </c>
      <c r="BE42" s="72">
        <f t="shared" si="189"/>
        <v>28.083171432700187</v>
      </c>
      <c r="BF42" s="364">
        <f t="shared" si="189"/>
        <v>0</v>
      </c>
      <c r="BG42" s="364">
        <f t="shared" si="189"/>
        <v>0</v>
      </c>
      <c r="BH42" s="307">
        <f t="shared" si="189"/>
        <v>0</v>
      </c>
      <c r="BI42" s="364">
        <f t="shared" si="189"/>
        <v>0</v>
      </c>
      <c r="BJ42" s="38">
        <f t="shared" si="189"/>
        <v>0</v>
      </c>
      <c r="BK42" s="38">
        <f t="shared" si="189"/>
        <v>0</v>
      </c>
      <c r="BL42" s="364">
        <f t="shared" si="189"/>
        <v>968008.4</v>
      </c>
      <c r="BM42" s="364">
        <f t="shared" si="189"/>
        <v>50386.979999999996</v>
      </c>
      <c r="BN42" s="364">
        <f>SUM(BN10:BN40)</f>
        <v>0</v>
      </c>
      <c r="BO42" s="72">
        <f t="shared" si="189"/>
        <v>19.211478838382458</v>
      </c>
      <c r="BP42" s="412">
        <v>138916.62350000002</v>
      </c>
      <c r="BQ42" s="307">
        <f t="shared" si="189"/>
        <v>22300.200000000004</v>
      </c>
      <c r="BR42" s="38">
        <f t="shared" si="189"/>
        <v>7.4832064286418944</v>
      </c>
      <c r="BS42" s="364">
        <f t="shared" si="189"/>
        <v>0</v>
      </c>
      <c r="BT42" s="307">
        <f t="shared" si="189"/>
        <v>0</v>
      </c>
      <c r="BU42" s="38">
        <f t="shared" si="189"/>
        <v>0</v>
      </c>
      <c r="BV42" s="412">
        <v>728837.95549999992</v>
      </c>
      <c r="BW42" s="364">
        <f t="shared" si="189"/>
        <v>45640</v>
      </c>
      <c r="BX42" s="38">
        <f t="shared" si="189"/>
        <v>17.727804557405783</v>
      </c>
      <c r="BY42" s="364">
        <f t="shared" si="189"/>
        <v>0</v>
      </c>
      <c r="BZ42" s="72">
        <f t="shared" si="189"/>
        <v>0</v>
      </c>
      <c r="CA42" s="38">
        <f t="shared" si="29"/>
        <v>0</v>
      </c>
      <c r="CB42" s="364"/>
      <c r="CC42" s="364">
        <f>CC41</f>
        <v>0</v>
      </c>
      <c r="CD42" s="38">
        <f t="shared" si="30"/>
        <v>0</v>
      </c>
      <c r="CE42" s="364">
        <f>CE41</f>
        <v>0</v>
      </c>
      <c r="CF42" s="364">
        <f>CF41</f>
        <v>0</v>
      </c>
      <c r="CG42" s="38">
        <f>CG41</f>
        <v>0</v>
      </c>
      <c r="CH42" s="72">
        <f>+CH41</f>
        <v>0</v>
      </c>
      <c r="CI42" s="364">
        <f>CI41</f>
        <v>0</v>
      </c>
      <c r="CJ42" s="72">
        <f t="shared" ref="CJ42:CO42" si="190">+CJ41</f>
        <v>79923</v>
      </c>
      <c r="CK42" s="421">
        <v>208705.36919999999</v>
      </c>
      <c r="CL42" s="72">
        <f t="shared" si="190"/>
        <v>0</v>
      </c>
      <c r="CM42" s="72">
        <f t="shared" si="190"/>
        <v>0</v>
      </c>
      <c r="CN42" s="72">
        <f t="shared" si="190"/>
        <v>308129</v>
      </c>
      <c r="CO42" s="72">
        <f t="shared" si="190"/>
        <v>0</v>
      </c>
      <c r="CP42" s="364"/>
      <c r="CQ42" s="72">
        <f>+CQ41</f>
        <v>0</v>
      </c>
      <c r="CR42" s="72">
        <f>+CR41</f>
        <v>0</v>
      </c>
      <c r="CS42" s="72"/>
      <c r="CT42" s="72">
        <f>+CT41</f>
        <v>0</v>
      </c>
      <c r="CU42" s="72"/>
      <c r="CV42" s="72">
        <f>+CV41</f>
        <v>0</v>
      </c>
      <c r="CW42" s="72"/>
      <c r="CX42" s="72">
        <f>+CX41</f>
        <v>44928.469999999994</v>
      </c>
      <c r="CY42" s="72"/>
      <c r="CZ42" s="72">
        <f>+CZ41</f>
        <v>133787.76999999999</v>
      </c>
      <c r="DA42" s="72"/>
      <c r="DB42" s="72">
        <f>+DB41</f>
        <v>72575.56</v>
      </c>
      <c r="DC42" s="72"/>
      <c r="DD42" s="72">
        <f>+DD41</f>
        <v>253725.86</v>
      </c>
      <c r="DE42" s="72">
        <f>+DE41</f>
        <v>0</v>
      </c>
      <c r="DF42" s="72">
        <f>+DF41</f>
        <v>0</v>
      </c>
      <c r="DG42" s="72"/>
      <c r="DH42" s="72">
        <f>DH41</f>
        <v>0</v>
      </c>
      <c r="DI42" s="72"/>
      <c r="DJ42" s="72">
        <f>+DJ41</f>
        <v>0</v>
      </c>
      <c r="DK42" s="72"/>
      <c r="DL42" s="2530">
        <f>DL41</f>
        <v>44928.469999999994</v>
      </c>
      <c r="DM42" s="72"/>
      <c r="DN42" s="72">
        <f>DN41</f>
        <v>0</v>
      </c>
      <c r="DO42" s="72">
        <f>+DO41</f>
        <v>0</v>
      </c>
      <c r="DP42" s="2530">
        <f>+DP41</f>
        <v>41325.399999999994</v>
      </c>
      <c r="DQ42" s="2530">
        <f>+DQ41</f>
        <v>14383.62</v>
      </c>
      <c r="DR42" s="72">
        <f>+DR41</f>
        <v>0</v>
      </c>
      <c r="DS42" s="1904">
        <f>DS41</f>
        <v>100637.49000000003</v>
      </c>
      <c r="DT42" s="72">
        <f>+DT41</f>
        <v>0</v>
      </c>
      <c r="DU42" s="72"/>
      <c r="DV42" s="72">
        <f>+DV41</f>
        <v>0</v>
      </c>
      <c r="DW42" s="72"/>
      <c r="DX42" s="72">
        <f>+DX41</f>
        <v>0</v>
      </c>
      <c r="DY42" s="72"/>
      <c r="DZ42" s="72">
        <f>+DZ41</f>
        <v>0</v>
      </c>
      <c r="EA42" s="72"/>
      <c r="EB42" s="2530">
        <f>EB41</f>
        <v>100187.76999999997</v>
      </c>
      <c r="EC42" s="72"/>
      <c r="ED42" s="2530">
        <f>ED41</f>
        <v>19210.16</v>
      </c>
      <c r="EE42" s="72"/>
      <c r="EF42" s="341">
        <f>EF41</f>
        <v>119397.92999999998</v>
      </c>
      <c r="EG42" s="72">
        <f>+EG41</f>
        <v>0</v>
      </c>
      <c r="EH42" s="72">
        <f>+EH41</f>
        <v>0</v>
      </c>
      <c r="EI42" s="72">
        <f>+EI41</f>
        <v>0</v>
      </c>
      <c r="EJ42" s="72"/>
      <c r="EK42" s="72">
        <f>+EK41</f>
        <v>0</v>
      </c>
      <c r="EL42" s="72"/>
      <c r="EM42" s="72">
        <f>+EM41</f>
        <v>0</v>
      </c>
      <c r="EN42" s="72">
        <f>+EN41</f>
        <v>0</v>
      </c>
      <c r="EO42" s="72">
        <f>+EO41</f>
        <v>33600</v>
      </c>
      <c r="EP42" s="72"/>
      <c r="EQ42" s="72">
        <f>+EQ41</f>
        <v>12040</v>
      </c>
      <c r="ER42" s="72"/>
      <c r="ES42" s="72">
        <f>+ES41</f>
        <v>45640</v>
      </c>
      <c r="ET42" s="72">
        <f>+ET41</f>
        <v>0</v>
      </c>
      <c r="EU42" s="72">
        <f>+EU41</f>
        <v>0</v>
      </c>
      <c r="EV42" s="72">
        <f>+EV41</f>
        <v>0</v>
      </c>
      <c r="EW42" s="72">
        <f t="shared" ref="EW42:FW42" si="191">+EW41</f>
        <v>0</v>
      </c>
      <c r="EX42" s="72">
        <f t="shared" si="191"/>
        <v>0</v>
      </c>
      <c r="EY42" s="72">
        <f t="shared" si="191"/>
        <v>0</v>
      </c>
      <c r="EZ42" s="72">
        <f t="shared" si="191"/>
        <v>0</v>
      </c>
      <c r="FA42" s="72">
        <f t="shared" si="191"/>
        <v>0</v>
      </c>
      <c r="FB42" s="72">
        <f t="shared" si="191"/>
        <v>0</v>
      </c>
      <c r="FC42" s="72">
        <f t="shared" si="191"/>
        <v>0</v>
      </c>
      <c r="FD42" s="72">
        <f t="shared" si="191"/>
        <v>0</v>
      </c>
      <c r="FE42" s="72">
        <f t="shared" si="191"/>
        <v>0</v>
      </c>
      <c r="FF42" s="72">
        <f t="shared" si="191"/>
        <v>0</v>
      </c>
      <c r="FG42" s="72">
        <f t="shared" si="191"/>
        <v>0</v>
      </c>
      <c r="FH42" s="72">
        <f t="shared" si="191"/>
        <v>0</v>
      </c>
      <c r="FI42" s="72">
        <f t="shared" si="191"/>
        <v>0</v>
      </c>
      <c r="FJ42" s="72">
        <f t="shared" si="191"/>
        <v>0</v>
      </c>
      <c r="FK42" s="72">
        <f t="shared" si="191"/>
        <v>0</v>
      </c>
      <c r="FL42" s="72">
        <f t="shared" si="191"/>
        <v>0</v>
      </c>
      <c r="FM42" s="72">
        <f t="shared" si="191"/>
        <v>0</v>
      </c>
      <c r="FN42" s="72">
        <f t="shared" si="191"/>
        <v>0</v>
      </c>
      <c r="FO42" s="72">
        <f t="shared" si="191"/>
        <v>0</v>
      </c>
      <c r="FP42" s="72">
        <f t="shared" si="191"/>
        <v>0</v>
      </c>
      <c r="FQ42" s="72">
        <f t="shared" si="191"/>
        <v>0</v>
      </c>
      <c r="FR42" s="72">
        <f t="shared" si="191"/>
        <v>0</v>
      </c>
      <c r="FS42" s="72">
        <f t="shared" si="191"/>
        <v>0</v>
      </c>
      <c r="FT42" s="72">
        <f t="shared" si="191"/>
        <v>0</v>
      </c>
      <c r="FU42" s="72">
        <f t="shared" si="191"/>
        <v>0</v>
      </c>
      <c r="FV42" s="72">
        <f t="shared" si="191"/>
        <v>0</v>
      </c>
      <c r="FW42" s="72">
        <f t="shared" si="191"/>
        <v>0</v>
      </c>
      <c r="FX42" s="72"/>
      <c r="FY42" s="72">
        <f>+FY41</f>
        <v>0</v>
      </c>
      <c r="FZ42" s="72"/>
      <c r="GA42" s="72">
        <f>+GA41</f>
        <v>0</v>
      </c>
      <c r="GB42" s="72"/>
      <c r="GC42" s="72">
        <f>+GC41</f>
        <v>0</v>
      </c>
      <c r="GD42" s="72"/>
      <c r="GE42" s="72">
        <f>+GE41</f>
        <v>0</v>
      </c>
      <c r="GF42" s="72"/>
      <c r="GG42" s="72">
        <f>+GG41</f>
        <v>0</v>
      </c>
      <c r="GH42" s="72"/>
      <c r="GI42" s="72">
        <f t="shared" ref="GI42:HM42" si="192">+GI41</f>
        <v>0</v>
      </c>
      <c r="GJ42" s="72">
        <f t="shared" si="192"/>
        <v>0</v>
      </c>
      <c r="GK42" s="72">
        <f t="shared" si="192"/>
        <v>0</v>
      </c>
      <c r="GL42" s="72">
        <f t="shared" si="192"/>
        <v>65323.73</v>
      </c>
      <c r="GM42" s="72">
        <f t="shared" si="192"/>
        <v>130358.76</v>
      </c>
      <c r="GN42" s="72">
        <f t="shared" si="192"/>
        <v>134608.87</v>
      </c>
      <c r="GO42" s="2104">
        <f t="shared" si="192"/>
        <v>330291.3600000001</v>
      </c>
      <c r="GP42" s="72">
        <f t="shared" si="192"/>
        <v>0</v>
      </c>
      <c r="GQ42" s="72">
        <f t="shared" si="192"/>
        <v>0</v>
      </c>
      <c r="GR42" s="72">
        <f t="shared" si="192"/>
        <v>0</v>
      </c>
      <c r="GS42" s="72">
        <f t="shared" si="192"/>
        <v>0</v>
      </c>
      <c r="GT42" s="72">
        <f t="shared" si="192"/>
        <v>0</v>
      </c>
      <c r="GU42" s="72">
        <f t="shared" si="192"/>
        <v>8194.3499999999985</v>
      </c>
      <c r="GV42" s="72">
        <f t="shared" si="192"/>
        <v>127607.29</v>
      </c>
      <c r="GW42" s="72">
        <f t="shared" si="192"/>
        <v>194489.71999999997</v>
      </c>
      <c r="GX42" s="72">
        <f t="shared" si="192"/>
        <v>330291.3600000001</v>
      </c>
      <c r="GY42" s="72">
        <f t="shared" si="192"/>
        <v>0</v>
      </c>
      <c r="GZ42" s="2526">
        <f t="shared" si="192"/>
        <v>1148.8500000000001</v>
      </c>
      <c r="HA42" s="72">
        <f t="shared" si="192"/>
        <v>0</v>
      </c>
      <c r="HB42" s="72">
        <f t="shared" si="192"/>
        <v>0</v>
      </c>
      <c r="HC42" s="72">
        <f t="shared" si="192"/>
        <v>0</v>
      </c>
      <c r="HD42" s="72">
        <f t="shared" si="192"/>
        <v>0</v>
      </c>
      <c r="HE42" s="72">
        <f t="shared" si="192"/>
        <v>0</v>
      </c>
      <c r="HF42" s="72">
        <f t="shared" si="192"/>
        <v>0</v>
      </c>
      <c r="HG42" s="72">
        <f t="shared" si="192"/>
        <v>0</v>
      </c>
      <c r="HH42" s="2526">
        <f t="shared" si="192"/>
        <v>37124.760000000009</v>
      </c>
      <c r="HI42" s="72">
        <f t="shared" si="192"/>
        <v>0</v>
      </c>
      <c r="HJ42" s="2526">
        <f t="shared" si="192"/>
        <v>20004.62</v>
      </c>
      <c r="HK42" s="72">
        <f t="shared" si="192"/>
        <v>0</v>
      </c>
      <c r="HL42" s="2526">
        <f t="shared" si="192"/>
        <v>7045.4999999999991</v>
      </c>
      <c r="HM42" s="72">
        <f t="shared" si="192"/>
        <v>0</v>
      </c>
      <c r="HN42" s="72">
        <f t="shared" si="148"/>
        <v>65323.73000000001</v>
      </c>
      <c r="HO42" s="72">
        <f t="shared" ref="HO42:IB42" si="193">+HO41</f>
        <v>0</v>
      </c>
      <c r="HP42" s="72">
        <f t="shared" si="193"/>
        <v>0</v>
      </c>
      <c r="HQ42" s="72">
        <f t="shared" si="193"/>
        <v>0</v>
      </c>
      <c r="HR42" s="72">
        <f t="shared" si="193"/>
        <v>0</v>
      </c>
      <c r="HS42" s="72">
        <f t="shared" si="193"/>
        <v>0</v>
      </c>
      <c r="HT42" s="72">
        <f t="shared" si="193"/>
        <v>0</v>
      </c>
      <c r="HU42" s="72">
        <f t="shared" si="193"/>
        <v>0</v>
      </c>
      <c r="HV42" s="72">
        <f t="shared" si="193"/>
        <v>0</v>
      </c>
      <c r="HW42" s="72">
        <f t="shared" si="193"/>
        <v>0</v>
      </c>
      <c r="HX42" s="72">
        <f t="shared" si="193"/>
        <v>0</v>
      </c>
      <c r="HY42" s="72">
        <f t="shared" si="193"/>
        <v>0</v>
      </c>
      <c r="HZ42" s="72">
        <f t="shared" si="193"/>
        <v>0</v>
      </c>
      <c r="IA42" s="72">
        <f t="shared" si="193"/>
        <v>0</v>
      </c>
      <c r="IB42" s="72">
        <f t="shared" si="193"/>
        <v>0</v>
      </c>
      <c r="IC42" s="72">
        <f t="shared" si="58"/>
        <v>0</v>
      </c>
      <c r="ID42" s="72">
        <f t="shared" ref="ID42:IQ42" si="194">+ID41</f>
        <v>0</v>
      </c>
      <c r="IE42" s="72">
        <f t="shared" si="194"/>
        <v>0</v>
      </c>
      <c r="IF42" s="72">
        <f t="shared" si="194"/>
        <v>0</v>
      </c>
      <c r="IG42" s="72">
        <f t="shared" si="194"/>
        <v>0</v>
      </c>
      <c r="IH42" s="72">
        <f t="shared" si="194"/>
        <v>0</v>
      </c>
      <c r="II42" s="72">
        <f t="shared" si="194"/>
        <v>0</v>
      </c>
      <c r="IJ42" s="2526">
        <f t="shared" si="194"/>
        <v>38708.839999999997</v>
      </c>
      <c r="IK42" s="72">
        <f t="shared" si="194"/>
        <v>0</v>
      </c>
      <c r="IL42" s="38">
        <f t="shared" si="194"/>
        <v>0</v>
      </c>
      <c r="IM42" s="72">
        <f t="shared" si="194"/>
        <v>0</v>
      </c>
      <c r="IN42" s="2526">
        <f t="shared" si="194"/>
        <v>91633.12</v>
      </c>
      <c r="IO42" s="38">
        <f t="shared" si="194"/>
        <v>0</v>
      </c>
      <c r="IP42" s="72">
        <f t="shared" si="194"/>
        <v>0</v>
      </c>
      <c r="IQ42" s="2526">
        <f t="shared" si="194"/>
        <v>16.8</v>
      </c>
      <c r="IR42" s="421">
        <f>SUM(ID42:IQ42)</f>
        <v>130358.76</v>
      </c>
      <c r="IS42" s="72">
        <f t="shared" ref="IS42:JF42" si="195">+IS41</f>
        <v>0</v>
      </c>
      <c r="IT42" s="72">
        <f t="shared" si="195"/>
        <v>0</v>
      </c>
      <c r="IU42" s="38">
        <f t="shared" si="195"/>
        <v>0</v>
      </c>
      <c r="IV42" s="72">
        <f t="shared" si="195"/>
        <v>0</v>
      </c>
      <c r="IW42" s="38">
        <f t="shared" si="195"/>
        <v>0</v>
      </c>
      <c r="IX42" s="72">
        <f t="shared" si="195"/>
        <v>0</v>
      </c>
      <c r="IY42" s="72">
        <f t="shared" si="195"/>
        <v>0</v>
      </c>
      <c r="IZ42" s="72">
        <f t="shared" si="195"/>
        <v>0</v>
      </c>
      <c r="JA42" s="2526">
        <f t="shared" si="195"/>
        <v>102284.14000000001</v>
      </c>
      <c r="JB42" s="72">
        <f t="shared" si="195"/>
        <v>0</v>
      </c>
      <c r="JC42" s="2526">
        <f t="shared" si="195"/>
        <v>32324.729999999992</v>
      </c>
      <c r="JD42" s="72">
        <f t="shared" si="195"/>
        <v>0</v>
      </c>
      <c r="JE42" s="72">
        <f t="shared" si="195"/>
        <v>0</v>
      </c>
      <c r="JF42" s="72">
        <f t="shared" si="195"/>
        <v>0</v>
      </c>
      <c r="JG42" s="421">
        <f>SUM(IS42:JF42)</f>
        <v>134608.87</v>
      </c>
      <c r="JH42" s="72">
        <f t="shared" ref="JH42:KO42" si="196">+JH41</f>
        <v>0</v>
      </c>
      <c r="JI42" s="72">
        <f t="shared" si="196"/>
        <v>0</v>
      </c>
      <c r="JJ42" s="2526">
        <f t="shared" si="196"/>
        <v>194150.96000000002</v>
      </c>
      <c r="JK42" s="2526">
        <f t="shared" si="196"/>
        <v>136140.40000000002</v>
      </c>
      <c r="JL42" s="38">
        <f t="shared" si="196"/>
        <v>0</v>
      </c>
      <c r="JM42" s="72">
        <f t="shared" si="196"/>
        <v>330291.36000000004</v>
      </c>
      <c r="JN42" s="72">
        <f t="shared" si="196"/>
        <v>0</v>
      </c>
      <c r="JO42" s="72">
        <f t="shared" si="196"/>
        <v>0</v>
      </c>
      <c r="JP42" s="305">
        <f t="shared" si="196"/>
        <v>4.4063001104624651E-4</v>
      </c>
      <c r="JQ42" s="305">
        <f t="shared" si="196"/>
        <v>0</v>
      </c>
      <c r="JR42" s="305">
        <f t="shared" si="196"/>
        <v>0</v>
      </c>
      <c r="JS42" s="305">
        <f t="shared" si="196"/>
        <v>6.9140132213206433E-3</v>
      </c>
      <c r="JT42" s="305">
        <f t="shared" si="196"/>
        <v>0.70704089568692297</v>
      </c>
      <c r="JU42" s="305">
        <f t="shared" si="196"/>
        <v>0.26607546882946803</v>
      </c>
      <c r="JV42" s="305">
        <f t="shared" si="196"/>
        <v>1.9528992251242015E-2</v>
      </c>
      <c r="JW42" s="305">
        <f t="shared" si="196"/>
        <v>0</v>
      </c>
      <c r="JX42" s="305">
        <f t="shared" si="196"/>
        <v>7.6290119619161082E-3</v>
      </c>
      <c r="JY42" s="305">
        <f t="shared" si="196"/>
        <v>0</v>
      </c>
      <c r="JZ42" s="305">
        <f t="shared" si="196"/>
        <v>0</v>
      </c>
      <c r="KA42" s="305">
        <f t="shared" si="196"/>
        <v>0.2642407477977175</v>
      </c>
      <c r="KB42" s="305">
        <f t="shared" si="196"/>
        <v>1.5081228663417675E-2</v>
      </c>
      <c r="KC42" s="305">
        <f t="shared" si="196"/>
        <v>0.68922032684259937</v>
      </c>
      <c r="KD42" s="305">
        <f t="shared" si="196"/>
        <v>2.3828684734349639E-2</v>
      </c>
      <c r="KE42" s="305">
        <f t="shared" si="196"/>
        <v>0</v>
      </c>
      <c r="KF42" s="38">
        <f t="shared" si="196"/>
        <v>0</v>
      </c>
      <c r="KG42" s="38">
        <f t="shared" si="196"/>
        <v>0</v>
      </c>
      <c r="KH42" s="38">
        <f t="shared" si="196"/>
        <v>0</v>
      </c>
      <c r="KI42" s="38">
        <f t="shared" si="196"/>
        <v>0</v>
      </c>
      <c r="KJ42" s="38">
        <f t="shared" si="196"/>
        <v>0</v>
      </c>
      <c r="KK42" s="38">
        <f t="shared" si="196"/>
        <v>0</v>
      </c>
      <c r="KL42" s="38">
        <f t="shared" si="196"/>
        <v>0</v>
      </c>
      <c r="KM42" s="38">
        <f t="shared" si="196"/>
        <v>0</v>
      </c>
      <c r="KN42" s="72">
        <f t="shared" si="196"/>
        <v>0</v>
      </c>
      <c r="KO42" s="72">
        <f t="shared" si="196"/>
        <v>0</v>
      </c>
      <c r="KP42" s="72">
        <f t="shared" ref="KP42:LD42" si="197">KP41</f>
        <v>6987.2543572141067</v>
      </c>
      <c r="KQ42" s="1904">
        <f t="shared" si="197"/>
        <v>0.65555962825201353</v>
      </c>
      <c r="KR42" s="1904">
        <f t="shared" si="197"/>
        <v>4.7228968970889422</v>
      </c>
      <c r="KS42" s="1904">
        <f t="shared" si="197"/>
        <v>6.1994883892974944</v>
      </c>
      <c r="KT42" s="1904">
        <f t="shared" si="197"/>
        <v>9.5062885450971955</v>
      </c>
      <c r="KU42" s="2151">
        <f t="shared" si="197"/>
        <v>6948.716152267536</v>
      </c>
      <c r="KV42" s="1904">
        <f t="shared" si="197"/>
        <v>1.6724927771820928</v>
      </c>
      <c r="KW42" s="1904">
        <f t="shared" si="197"/>
        <v>4.4200892910508998</v>
      </c>
      <c r="KX42" s="1904">
        <f t="shared" si="197"/>
        <v>6.1116820863710295</v>
      </c>
      <c r="KY42" s="1904">
        <f t="shared" si="197"/>
        <v>9.1674634256647209</v>
      </c>
      <c r="KZ42" s="72">
        <f t="shared" si="197"/>
        <v>0</v>
      </c>
      <c r="LA42" s="38">
        <f t="shared" si="197"/>
        <v>0</v>
      </c>
      <c r="LB42" s="38">
        <f t="shared" si="197"/>
        <v>0</v>
      </c>
      <c r="LC42" s="38">
        <f t="shared" si="197"/>
        <v>0</v>
      </c>
      <c r="LD42" s="38">
        <f t="shared" si="197"/>
        <v>0</v>
      </c>
      <c r="LE42" s="72"/>
      <c r="LF42" s="72">
        <f t="shared" ref="LF42:MK42" si="198">+LF41</f>
        <v>0</v>
      </c>
      <c r="LG42" s="72">
        <f t="shared" si="198"/>
        <v>0</v>
      </c>
      <c r="LH42" s="865">
        <f t="shared" si="198"/>
        <v>103104.481</v>
      </c>
      <c r="LI42" s="865">
        <f t="shared" si="198"/>
        <v>77797.909</v>
      </c>
      <c r="LJ42" s="865">
        <f t="shared" si="198"/>
        <v>0</v>
      </c>
      <c r="LK42" s="865">
        <f t="shared" si="198"/>
        <v>180902.39</v>
      </c>
      <c r="LL42" s="72">
        <f t="shared" si="198"/>
        <v>36</v>
      </c>
      <c r="LM42" s="72">
        <f t="shared" si="198"/>
        <v>6</v>
      </c>
      <c r="LN42" s="72">
        <f t="shared" si="198"/>
        <v>90</v>
      </c>
      <c r="LO42" s="72">
        <f t="shared" si="198"/>
        <v>0</v>
      </c>
      <c r="LP42" s="72">
        <f t="shared" si="198"/>
        <v>0.37645161290322582</v>
      </c>
      <c r="LQ42" s="72">
        <f t="shared" si="198"/>
        <v>0</v>
      </c>
      <c r="LR42" s="72">
        <f t="shared" si="198"/>
        <v>0</v>
      </c>
      <c r="LS42" s="72">
        <f t="shared" si="198"/>
        <v>87118.563999999998</v>
      </c>
      <c r="LT42" s="72">
        <f t="shared" si="198"/>
        <v>12140.536</v>
      </c>
      <c r="LU42" s="72">
        <f t="shared" si="198"/>
        <v>0</v>
      </c>
      <c r="LV42" s="72">
        <f t="shared" si="198"/>
        <v>0</v>
      </c>
      <c r="LW42" s="72">
        <f t="shared" si="198"/>
        <v>0</v>
      </c>
      <c r="LX42" s="72">
        <f t="shared" si="198"/>
        <v>99259.1</v>
      </c>
      <c r="LY42" s="72">
        <f t="shared" si="198"/>
        <v>15985.917000000001</v>
      </c>
      <c r="LZ42" s="72">
        <f t="shared" si="198"/>
        <v>65657.373000000007</v>
      </c>
      <c r="MA42" s="72">
        <f t="shared" si="198"/>
        <v>0</v>
      </c>
      <c r="MB42" s="72">
        <f t="shared" si="198"/>
        <v>0</v>
      </c>
      <c r="MC42" s="72">
        <f t="shared" si="198"/>
        <v>0</v>
      </c>
      <c r="MD42" s="72">
        <f t="shared" si="198"/>
        <v>81643.290000000008</v>
      </c>
      <c r="ME42" s="72">
        <f t="shared" si="198"/>
        <v>0</v>
      </c>
      <c r="MF42" s="72">
        <f t="shared" si="198"/>
        <v>0</v>
      </c>
      <c r="MG42" s="72">
        <f t="shared" si="198"/>
        <v>0</v>
      </c>
      <c r="MH42" s="72">
        <f t="shared" si="198"/>
        <v>0</v>
      </c>
      <c r="MI42" s="72">
        <f t="shared" si="198"/>
        <v>0</v>
      </c>
      <c r="MJ42" s="72">
        <f t="shared" si="198"/>
        <v>0</v>
      </c>
      <c r="MK42" s="72">
        <f t="shared" si="198"/>
        <v>0</v>
      </c>
      <c r="ML42" s="72"/>
      <c r="MM42" s="72">
        <f>+MM41</f>
        <v>0</v>
      </c>
      <c r="MN42" s="72">
        <f>+MN41</f>
        <v>0</v>
      </c>
      <c r="MO42" s="72">
        <f>+MO41</f>
        <v>0</v>
      </c>
      <c r="MP42" s="72">
        <f>+MP41</f>
        <v>0</v>
      </c>
      <c r="MQ42" s="72">
        <f>+MQ41</f>
        <v>0</v>
      </c>
      <c r="MR42" s="72"/>
      <c r="MS42" s="72">
        <f t="shared" ref="MS42:MX42" si="199">+MS41</f>
        <v>0</v>
      </c>
      <c r="MT42" s="72">
        <f t="shared" si="199"/>
        <v>0</v>
      </c>
      <c r="MU42" s="72">
        <f t="shared" si="199"/>
        <v>0</v>
      </c>
      <c r="MV42" s="72">
        <f t="shared" si="199"/>
        <v>0</v>
      </c>
      <c r="MW42" s="72">
        <f t="shared" si="199"/>
        <v>0</v>
      </c>
      <c r="MX42" s="72">
        <f t="shared" si="199"/>
        <v>0</v>
      </c>
      <c r="MY42" s="364">
        <f>MY41</f>
        <v>336247.070356404</v>
      </c>
      <c r="MZ42" s="364">
        <f>MZ41</f>
        <v>180235.60547855328</v>
      </c>
      <c r="NA42" s="364">
        <f>+NA41</f>
        <v>24490.855697817413</v>
      </c>
      <c r="NB42" s="364">
        <f>NB41</f>
        <v>311096.99795580423</v>
      </c>
      <c r="NC42" s="72">
        <f>+NC41</f>
        <v>0</v>
      </c>
      <c r="ND42" s="2542">
        <v>195117.10680113197</v>
      </c>
      <c r="NE42" s="1086">
        <v>160640.41086498057</v>
      </c>
      <c r="NF42" s="364">
        <f t="shared" si="184"/>
        <v>0</v>
      </c>
      <c r="NG42" s="364">
        <f>NG41</f>
        <v>336247.070356404</v>
      </c>
      <c r="NH42" s="412">
        <f>NH41</f>
        <v>-690.2</v>
      </c>
      <c r="NI42" s="364">
        <f t="shared" ref="NI42:NO42" si="200">NI41</f>
        <v>0</v>
      </c>
      <c r="NJ42" s="364">
        <f t="shared" si="200"/>
        <v>0</v>
      </c>
      <c r="NK42" s="364">
        <f t="shared" si="200"/>
        <v>0</v>
      </c>
      <c r="NL42" s="364">
        <f>NL41</f>
        <v>0</v>
      </c>
      <c r="NM42" s="72">
        <f t="shared" si="200"/>
        <v>0</v>
      </c>
      <c r="NN42" s="364">
        <f>NN41</f>
        <v>0</v>
      </c>
      <c r="NO42" s="364">
        <f t="shared" si="200"/>
        <v>0</v>
      </c>
      <c r="NP42" s="364">
        <v>25982.510136227243</v>
      </c>
      <c r="NQ42" s="364">
        <v>22358.939343794715</v>
      </c>
      <c r="NR42" s="364">
        <v>8756.5482322711578</v>
      </c>
      <c r="NS42" s="364">
        <v>2637.968041053507</v>
      </c>
      <c r="NT42" s="364">
        <f>SUM(NH42:NS42)</f>
        <v>59045.765753346626</v>
      </c>
      <c r="NU42" s="364">
        <f t="shared" ref="NU42:OK42" si="201">NU41</f>
        <v>0</v>
      </c>
      <c r="NV42" s="364">
        <f t="shared" si="201"/>
        <v>0</v>
      </c>
      <c r="NW42" s="364">
        <f t="shared" si="201"/>
        <v>0</v>
      </c>
      <c r="NX42" s="364">
        <f t="shared" si="201"/>
        <v>0</v>
      </c>
      <c r="NY42" s="364">
        <f>NY41</f>
        <v>0</v>
      </c>
      <c r="NZ42" s="364">
        <f t="shared" si="201"/>
        <v>0</v>
      </c>
      <c r="OA42" s="364">
        <v>14919.735564997227</v>
      </c>
      <c r="OB42" s="364">
        <f t="shared" si="201"/>
        <v>0</v>
      </c>
      <c r="OC42" s="2541">
        <v>28717.066475620366</v>
      </c>
      <c r="OD42" s="364">
        <f t="shared" si="201"/>
        <v>0</v>
      </c>
      <c r="OE42" s="364">
        <v>13429.316718063665</v>
      </c>
      <c r="OF42" s="364">
        <f t="shared" si="201"/>
        <v>0</v>
      </c>
      <c r="OG42" s="364">
        <f>OG41</f>
        <v>64083.973975367</v>
      </c>
      <c r="OH42" s="364">
        <v>0</v>
      </c>
      <c r="OI42" s="364">
        <f t="shared" si="201"/>
        <v>0</v>
      </c>
      <c r="OJ42" s="364">
        <f t="shared" si="201"/>
        <v>0</v>
      </c>
      <c r="OK42" s="364">
        <f t="shared" si="201"/>
        <v>0</v>
      </c>
      <c r="OL42" s="364">
        <v>0</v>
      </c>
      <c r="OM42" s="364">
        <f>OM41</f>
        <v>0</v>
      </c>
      <c r="ON42" s="364">
        <v>0</v>
      </c>
      <c r="OO42" s="364">
        <f t="shared" ref="OO42:OT42" si="202">OO41</f>
        <v>0</v>
      </c>
      <c r="OP42" s="364">
        <v>47681.457649249809</v>
      </c>
      <c r="OQ42" s="364">
        <f t="shared" si="202"/>
        <v>0</v>
      </c>
      <c r="OR42" s="364">
        <v>16240.960865173456</v>
      </c>
      <c r="OS42" s="364">
        <f t="shared" si="202"/>
        <v>0</v>
      </c>
      <c r="OT42" s="364">
        <f t="shared" si="202"/>
        <v>59811.852313713731</v>
      </c>
      <c r="OU42" s="72">
        <f t="shared" si="185"/>
        <v>0</v>
      </c>
      <c r="OV42" s="72">
        <f t="shared" si="185"/>
        <v>0</v>
      </c>
      <c r="OW42" s="72">
        <f t="shared" si="185"/>
        <v>0</v>
      </c>
      <c r="OX42" s="72">
        <f t="shared" si="185"/>
        <v>0</v>
      </c>
      <c r="OY42" s="72">
        <f t="shared" si="185"/>
        <v>0</v>
      </c>
      <c r="OZ42" s="72">
        <f t="shared" si="185"/>
        <v>0</v>
      </c>
      <c r="PA42" s="72">
        <f t="shared" si="185"/>
        <v>0</v>
      </c>
      <c r="PB42" s="72">
        <f t="shared" si="185"/>
        <v>0</v>
      </c>
      <c r="PC42" s="72">
        <f t="shared" si="185"/>
        <v>0</v>
      </c>
      <c r="PD42" s="72">
        <f t="shared" si="185"/>
        <v>0</v>
      </c>
      <c r="PE42" s="72">
        <f t="shared" si="185"/>
        <v>0</v>
      </c>
      <c r="PF42" s="72">
        <f t="shared" si="185"/>
        <v>0</v>
      </c>
      <c r="PG42" s="72">
        <f t="shared" si="185"/>
        <v>0</v>
      </c>
      <c r="PH42" s="72">
        <f t="shared" si="185"/>
        <v>0</v>
      </c>
      <c r="PI42" s="72">
        <f t="shared" ref="PI42:PN42" si="203">+PI41</f>
        <v>0</v>
      </c>
      <c r="PJ42" s="72">
        <f t="shared" si="203"/>
        <v>0</v>
      </c>
      <c r="PK42" s="72">
        <f t="shared" si="203"/>
        <v>31572.6</v>
      </c>
      <c r="PL42" s="72">
        <f t="shared" si="203"/>
        <v>24733.599999999999</v>
      </c>
      <c r="PM42" s="72">
        <f t="shared" si="203"/>
        <v>7420.0800000000008</v>
      </c>
      <c r="PN42" s="72">
        <f t="shared" si="203"/>
        <v>7045.4999999999991</v>
      </c>
      <c r="PO42" s="2530">
        <v>31243.513435124725</v>
      </c>
      <c r="PP42" s="2530">
        <v>27551.333787707357</v>
      </c>
      <c r="PQ42" s="72">
        <f>+PQ41</f>
        <v>0</v>
      </c>
      <c r="PR42" s="72">
        <f>+PR41</f>
        <v>0</v>
      </c>
      <c r="PS42" s="72">
        <f>+PS41</f>
        <v>0</v>
      </c>
      <c r="PT42" s="72">
        <f>+PT41</f>
        <v>0</v>
      </c>
      <c r="PU42" s="72"/>
      <c r="PV42" s="72"/>
      <c r="PW42" s="72">
        <f>+PW41</f>
        <v>0</v>
      </c>
      <c r="PX42" s="2530">
        <f>PX41</f>
        <v>2434.0600000000004</v>
      </c>
      <c r="PY42" s="72">
        <f>+PY41</f>
        <v>0</v>
      </c>
      <c r="PZ42" s="72"/>
      <c r="QA42" s="72">
        <f>+QA41</f>
        <v>31572.6</v>
      </c>
      <c r="QB42" s="72"/>
      <c r="QC42" s="72"/>
      <c r="QD42" s="72"/>
      <c r="QE42" s="72"/>
      <c r="QF42" s="72"/>
      <c r="QG42" s="72"/>
      <c r="QH42" s="412">
        <v>29562.488999999998</v>
      </c>
      <c r="QI42" s="412">
        <v>297507.71090897999</v>
      </c>
      <c r="QJ42" s="1473">
        <v>4972.2504480000007</v>
      </c>
      <c r="QK42" s="876">
        <f>QK41</f>
        <v>5505.3678056099998</v>
      </c>
      <c r="RZ42" s="72"/>
    </row>
    <row r="43" spans="1:503" s="311" customFormat="1">
      <c r="A43" s="312" t="s">
        <v>12</v>
      </c>
      <c r="B43" s="312"/>
      <c r="C43" s="337">
        <f>SUM(O43,S43,W43,AA43)</f>
        <v>4405000</v>
      </c>
      <c r="D43" s="337">
        <f>SUM(P43,T43,X43,AB43)</f>
        <v>275000</v>
      </c>
      <c r="E43" s="1744">
        <f>IFERROR(C43/D43,0)</f>
        <v>16.018181818181819</v>
      </c>
      <c r="F43" s="309"/>
      <c r="G43" s="309"/>
      <c r="H43" s="308"/>
      <c r="I43" s="308"/>
      <c r="J43" s="308"/>
      <c r="K43" s="308"/>
      <c r="L43" s="308"/>
      <c r="M43" s="308"/>
      <c r="N43" s="308"/>
      <c r="O43" s="337">
        <f>SUM(AW43,BC43)</f>
        <v>2645000</v>
      </c>
      <c r="P43" s="337">
        <f>SUM(AX43,BD43)</f>
        <v>170000</v>
      </c>
      <c r="Q43" s="1084">
        <f t="shared" si="8"/>
        <v>15.558823529411764</v>
      </c>
      <c r="R43" s="308"/>
      <c r="S43" s="1085">
        <f>BL43</f>
        <v>850000</v>
      </c>
      <c r="T43" s="1085">
        <f>BM43</f>
        <v>38000</v>
      </c>
      <c r="U43" s="1083">
        <f t="shared" si="10"/>
        <v>22.368421052631579</v>
      </c>
      <c r="V43" s="308"/>
      <c r="W43" s="337">
        <f>SUM(BV43)</f>
        <v>780000</v>
      </c>
      <c r="X43" s="337">
        <f>SUM(BW43)</f>
        <v>40000</v>
      </c>
      <c r="Y43" s="1084">
        <f t="shared" si="12"/>
        <v>19.5</v>
      </c>
      <c r="Z43" s="308"/>
      <c r="AA43" s="337">
        <f>BP43</f>
        <v>130000</v>
      </c>
      <c r="AB43" s="337">
        <f>BQ43</f>
        <v>27000</v>
      </c>
      <c r="AC43" s="1084">
        <f>AC42</f>
        <v>7.4832064286418944</v>
      </c>
      <c r="AD43" s="337"/>
      <c r="AE43" s="308"/>
      <c r="AF43" s="308"/>
      <c r="AG43" s="309"/>
      <c r="AH43" s="308"/>
      <c r="AI43" s="308">
        <f>BS43</f>
        <v>0</v>
      </c>
      <c r="AJ43" s="308">
        <f>BT43</f>
        <v>0</v>
      </c>
      <c r="AK43" s="309">
        <f t="shared" si="17"/>
        <v>0</v>
      </c>
      <c r="AL43" s="308"/>
      <c r="AM43" s="308"/>
      <c r="AN43" s="308"/>
      <c r="AO43" s="308"/>
      <c r="AP43" s="308">
        <f>IFERROR(AN43/AO43,0)</f>
        <v>0</v>
      </c>
      <c r="AQ43" s="337"/>
      <c r="AR43" s="337"/>
      <c r="AS43" s="309"/>
      <c r="AT43" s="337"/>
      <c r="AU43" s="337"/>
      <c r="AV43" s="309"/>
      <c r="AW43" s="337">
        <v>1495000</v>
      </c>
      <c r="AX43" s="337">
        <v>115000</v>
      </c>
      <c r="AY43" s="1084">
        <f>IFERROR(AW43/AX43,0)</f>
        <v>13</v>
      </c>
      <c r="AZ43" s="337"/>
      <c r="BA43" s="337"/>
      <c r="BB43" s="1084"/>
      <c r="BC43" s="337">
        <v>1150000</v>
      </c>
      <c r="BD43" s="337">
        <v>55000</v>
      </c>
      <c r="BE43" s="1084">
        <f>IFERROR(BC43/BD43,0)</f>
        <v>20.90909090909091</v>
      </c>
      <c r="BF43" s="337"/>
      <c r="BG43" s="337"/>
      <c r="BH43" s="309"/>
      <c r="BI43" s="337"/>
      <c r="BJ43" s="308">
        <v>0</v>
      </c>
      <c r="BK43" s="309">
        <f>IFERROR(BI43/BJ43,0)</f>
        <v>0</v>
      </c>
      <c r="BL43" s="337">
        <v>850000</v>
      </c>
      <c r="BM43" s="337">
        <v>38000</v>
      </c>
      <c r="BN43" s="337"/>
      <c r="BO43" s="1084">
        <f>IFERROR(BL43/BM43,0)</f>
        <v>22.368421052631579</v>
      </c>
      <c r="BP43" s="309">
        <v>130000</v>
      </c>
      <c r="BQ43" s="337">
        <v>27000</v>
      </c>
      <c r="BR43" s="309">
        <f>IFERROR(BQ43/#REF!,0)</f>
        <v>0</v>
      </c>
      <c r="BS43" s="337"/>
      <c r="BT43" s="337"/>
      <c r="BU43" s="309">
        <f>IFERROR(BS43/BT43,0)</f>
        <v>0</v>
      </c>
      <c r="BV43" s="337">
        <v>780000</v>
      </c>
      <c r="BW43" s="337">
        <v>40000</v>
      </c>
      <c r="BX43" s="2105">
        <f>IFERROR(BV43/BW43,0)</f>
        <v>19.5</v>
      </c>
      <c r="BY43" s="337"/>
      <c r="BZ43" s="337"/>
      <c r="CA43" s="1083">
        <f t="shared" si="29"/>
        <v>0</v>
      </c>
      <c r="CB43" s="337"/>
      <c r="CC43" s="337"/>
      <c r="CD43" s="78">
        <f t="shared" si="30"/>
        <v>0</v>
      </c>
      <c r="CE43" s="337"/>
      <c r="CF43" s="308"/>
      <c r="CG43" s="309">
        <f>IFERROR(CE43/CF43,0)</f>
        <v>0</v>
      </c>
      <c r="CH43" s="308"/>
      <c r="CI43" s="337">
        <v>361999.826</v>
      </c>
      <c r="CJ43" s="337">
        <v>50000</v>
      </c>
      <c r="CK43" s="308">
        <v>470184.77100000001</v>
      </c>
      <c r="CL43" s="337">
        <v>0</v>
      </c>
      <c r="CM43" s="337"/>
      <c r="CN43" s="337">
        <f>SUM(CI43:CL43)</f>
        <v>882184.59700000007</v>
      </c>
      <c r="CO43" s="308"/>
      <c r="CP43" s="308"/>
      <c r="CQ43" s="308"/>
      <c r="CR43" s="308"/>
      <c r="CS43" s="308"/>
      <c r="CT43" s="308"/>
      <c r="CU43" s="308"/>
      <c r="CV43" s="308"/>
      <c r="CW43" s="308"/>
      <c r="CX43" s="308"/>
      <c r="CY43" s="308"/>
      <c r="CZ43" s="308"/>
      <c r="DA43" s="308"/>
      <c r="DB43" s="308"/>
      <c r="DC43" s="308"/>
      <c r="DD43" s="308"/>
      <c r="DE43" s="308"/>
      <c r="DF43" s="308"/>
      <c r="DG43" s="308"/>
      <c r="DH43" s="308"/>
      <c r="DI43" s="308"/>
      <c r="DJ43" s="308"/>
      <c r="DK43" s="308"/>
      <c r="DL43" s="308"/>
      <c r="DM43" s="308"/>
      <c r="DN43" s="308"/>
      <c r="DO43" s="308"/>
      <c r="DP43" s="308"/>
      <c r="DQ43" s="308"/>
      <c r="DR43" s="308"/>
      <c r="DS43" s="308"/>
      <c r="DT43" s="308"/>
      <c r="DU43" s="308"/>
      <c r="DV43" s="308"/>
      <c r="DW43" s="308"/>
      <c r="DX43" s="308"/>
      <c r="DY43" s="308"/>
      <c r="DZ43" s="308"/>
      <c r="EA43" s="308"/>
      <c r="EB43" s="308"/>
      <c r="EC43" s="308"/>
      <c r="ED43" s="308"/>
      <c r="EE43" s="308"/>
      <c r="EF43" s="308"/>
      <c r="EG43" s="308"/>
      <c r="EH43" s="308"/>
      <c r="EI43" s="308"/>
      <c r="EJ43" s="308"/>
      <c r="EK43" s="308"/>
      <c r="EL43" s="308"/>
      <c r="EM43" s="308"/>
      <c r="EN43" s="308"/>
      <c r="EO43" s="308"/>
      <c r="EP43" s="308"/>
      <c r="EQ43" s="308"/>
      <c r="ER43" s="308"/>
      <c r="ES43" s="308"/>
      <c r="ET43" s="308"/>
      <c r="EU43" s="308"/>
      <c r="EV43" s="308"/>
      <c r="EW43" s="308"/>
      <c r="EX43" s="308"/>
      <c r="EY43" s="308"/>
      <c r="EZ43" s="308"/>
      <c r="FA43" s="308"/>
      <c r="FB43" s="308"/>
      <c r="FC43" s="308"/>
      <c r="FD43" s="308"/>
      <c r="FE43" s="308"/>
      <c r="FF43" s="308"/>
      <c r="FG43" s="308"/>
      <c r="FH43" s="308"/>
      <c r="FI43" s="308"/>
      <c r="FJ43" s="308"/>
      <c r="FK43" s="308"/>
      <c r="FL43" s="308"/>
      <c r="FM43" s="308"/>
      <c r="FN43" s="308"/>
      <c r="FO43" s="308"/>
      <c r="FP43" s="308"/>
      <c r="FQ43" s="308"/>
      <c r="FR43" s="308"/>
      <c r="FS43" s="308"/>
      <c r="FT43" s="308"/>
      <c r="FU43" s="308"/>
      <c r="FV43" s="308"/>
      <c r="FW43" s="308"/>
      <c r="FX43" s="308"/>
      <c r="FY43" s="308"/>
      <c r="FZ43" s="308"/>
      <c r="GA43" s="308"/>
      <c r="GB43" s="308"/>
      <c r="GC43" s="308"/>
      <c r="GD43" s="308"/>
      <c r="GE43" s="308"/>
      <c r="GF43" s="308"/>
      <c r="GG43" s="308"/>
      <c r="GH43" s="308"/>
      <c r="GI43" s="308"/>
      <c r="GJ43" s="308"/>
      <c r="GK43" s="308"/>
      <c r="GL43" s="337">
        <v>48772</v>
      </c>
      <c r="GM43" s="337">
        <v>111979.99999999999</v>
      </c>
      <c r="GN43" s="337">
        <v>69248</v>
      </c>
      <c r="GO43" s="337">
        <f>GM43+GN43+GL43</f>
        <v>230000</v>
      </c>
      <c r="GP43" s="308">
        <v>0</v>
      </c>
      <c r="GQ43" s="308">
        <v>0</v>
      </c>
      <c r="GR43" s="308"/>
      <c r="GS43" s="308"/>
      <c r="GT43" s="308"/>
      <c r="GU43" s="308"/>
      <c r="GV43" s="308"/>
      <c r="GW43" s="308"/>
      <c r="GX43" s="308">
        <f>SUM(GT43:GV43)</f>
        <v>0</v>
      </c>
      <c r="GY43" s="308"/>
      <c r="GZ43" s="308"/>
      <c r="HA43" s="308"/>
      <c r="HB43" s="308"/>
      <c r="HC43" s="308"/>
      <c r="HD43" s="308"/>
      <c r="HE43" s="308"/>
      <c r="HF43" s="308"/>
      <c r="HG43" s="308"/>
      <c r="HH43" s="308"/>
      <c r="HI43" s="308"/>
      <c r="HJ43" s="308"/>
      <c r="HK43" s="308"/>
      <c r="HL43" s="308"/>
      <c r="HM43" s="308"/>
      <c r="HN43" s="308"/>
      <c r="HO43" s="308"/>
      <c r="HP43" s="308"/>
      <c r="HQ43" s="308"/>
      <c r="HR43" s="308"/>
      <c r="HS43" s="308"/>
      <c r="HT43" s="308"/>
      <c r="HU43" s="308"/>
      <c r="HV43" s="308"/>
      <c r="HW43" s="308"/>
      <c r="HX43" s="308"/>
      <c r="HY43" s="308"/>
      <c r="HZ43" s="308"/>
      <c r="IA43" s="308"/>
      <c r="IB43" s="308"/>
      <c r="IC43" s="308"/>
      <c r="ID43" s="308"/>
      <c r="IE43" s="308"/>
      <c r="IF43" s="308"/>
      <c r="IG43" s="308"/>
      <c r="IH43" s="308"/>
      <c r="II43" s="308"/>
      <c r="IJ43" s="308"/>
      <c r="IK43" s="308"/>
      <c r="IL43" s="308"/>
      <c r="IM43" s="308"/>
      <c r="IN43" s="308"/>
      <c r="IO43" s="308"/>
      <c r="IP43" s="308"/>
      <c r="IQ43" s="308"/>
      <c r="IR43" s="478">
        <f>SUM(ID43:IQ43)</f>
        <v>0</v>
      </c>
      <c r="IS43" s="308"/>
      <c r="IT43" s="308"/>
      <c r="IU43" s="308"/>
      <c r="IV43" s="308"/>
      <c r="IW43" s="308"/>
      <c r="IX43" s="308"/>
      <c r="IY43" s="308"/>
      <c r="IZ43" s="308"/>
      <c r="JA43" s="308"/>
      <c r="JB43" s="308"/>
      <c r="JC43" s="308"/>
      <c r="JD43" s="308"/>
      <c r="JE43" s="308"/>
      <c r="JF43" s="308"/>
      <c r="JG43" s="308">
        <f>SUM(IS43:JF43)</f>
        <v>0</v>
      </c>
      <c r="JH43" s="308"/>
      <c r="JI43" s="308"/>
      <c r="JJ43" s="337">
        <v>130000</v>
      </c>
      <c r="JK43" s="337">
        <v>100000</v>
      </c>
      <c r="JL43" s="337"/>
      <c r="JM43" s="337">
        <f>SUM(JJ43:JL43)</f>
        <v>230000</v>
      </c>
      <c r="JN43" s="308"/>
      <c r="JO43" s="308"/>
      <c r="JP43" s="309"/>
      <c r="JQ43" s="309"/>
      <c r="JR43" s="309"/>
      <c r="JS43" s="309"/>
      <c r="JT43" s="309"/>
      <c r="JU43" s="309"/>
      <c r="JV43" s="309"/>
      <c r="JW43" s="309"/>
      <c r="JX43" s="309"/>
      <c r="JY43" s="309"/>
      <c r="JZ43" s="309"/>
      <c r="KA43" s="309"/>
      <c r="KB43" s="309"/>
      <c r="KC43" s="309"/>
      <c r="KD43" s="309"/>
      <c r="KE43" s="309"/>
      <c r="KF43" s="309">
        <v>0</v>
      </c>
      <c r="KG43" s="309">
        <v>0</v>
      </c>
      <c r="KH43" s="309">
        <v>0</v>
      </c>
      <c r="KI43" s="309">
        <v>0</v>
      </c>
      <c r="KJ43" s="309">
        <v>0</v>
      </c>
      <c r="KK43" s="309">
        <v>0</v>
      </c>
      <c r="KL43" s="309">
        <v>0</v>
      </c>
      <c r="KM43" s="309">
        <v>0</v>
      </c>
      <c r="KN43" s="308"/>
      <c r="KO43" s="308"/>
      <c r="KP43" s="337">
        <v>7090</v>
      </c>
      <c r="KQ43" s="2105">
        <v>0.81</v>
      </c>
      <c r="KR43" s="2105">
        <v>3.29</v>
      </c>
      <c r="KS43" s="2105">
        <v>6.42</v>
      </c>
      <c r="KT43" s="2105">
        <v>10.5</v>
      </c>
      <c r="KU43" s="337">
        <v>6959</v>
      </c>
      <c r="KV43" s="2105">
        <v>1.8</v>
      </c>
      <c r="KW43" s="2105">
        <v>4.1900000000000004</v>
      </c>
      <c r="KX43" s="2105">
        <v>6.56</v>
      </c>
      <c r="KY43" s="2105">
        <v>9.77</v>
      </c>
      <c r="KZ43" s="308"/>
      <c r="LA43" s="309"/>
      <c r="LB43" s="309"/>
      <c r="LC43" s="309"/>
      <c r="LD43" s="309"/>
      <c r="LE43" s="308">
        <v>13.25</v>
      </c>
      <c r="LF43" s="308"/>
      <c r="LG43" s="308"/>
      <c r="LH43" s="337">
        <v>166000</v>
      </c>
      <c r="LI43" s="337">
        <v>128000</v>
      </c>
      <c r="LJ43" s="337"/>
      <c r="LK43" s="337">
        <f>SUM(LH43:LJ43)</f>
        <v>294000</v>
      </c>
      <c r="LL43" s="308"/>
      <c r="LM43" s="308"/>
      <c r="LN43" s="308"/>
      <c r="LO43" s="308"/>
      <c r="LP43" s="308"/>
      <c r="LQ43" s="308"/>
      <c r="LR43" s="308"/>
      <c r="LS43" s="308"/>
      <c r="LT43" s="308"/>
      <c r="LU43" s="308"/>
      <c r="LV43" s="308"/>
      <c r="LW43" s="308"/>
      <c r="LX43" s="308"/>
      <c r="LY43" s="308"/>
      <c r="LZ43" s="308"/>
      <c r="MA43" s="308"/>
      <c r="MB43" s="308"/>
      <c r="MC43" s="308"/>
      <c r="MD43" s="308"/>
      <c r="ME43" s="308"/>
      <c r="MF43" s="308"/>
      <c r="MH43" s="308"/>
      <c r="MI43" s="308"/>
      <c r="MJ43" s="308"/>
      <c r="MK43" s="308"/>
      <c r="ML43" s="308"/>
      <c r="MM43" s="308"/>
      <c r="MN43" s="308"/>
      <c r="MO43" s="308"/>
      <c r="MP43" s="308"/>
      <c r="MQ43" s="308"/>
      <c r="MR43" s="308"/>
      <c r="MS43" s="308"/>
      <c r="MT43" s="308"/>
      <c r="MU43" s="308"/>
      <c r="MV43" s="308"/>
      <c r="MW43" s="308"/>
      <c r="MX43" s="308"/>
      <c r="MY43" s="308"/>
      <c r="MZ43" s="308"/>
      <c r="NA43" s="308"/>
      <c r="NB43" s="308"/>
      <c r="NC43" s="308"/>
      <c r="ND43" s="308"/>
      <c r="NE43" s="308"/>
      <c r="NF43" s="308"/>
      <c r="NG43" s="308"/>
      <c r="NH43" s="308"/>
      <c r="NI43" s="308"/>
      <c r="NJ43" s="308"/>
      <c r="NK43" s="308"/>
      <c r="NL43" s="308"/>
      <c r="NM43" s="308"/>
      <c r="NN43" s="308"/>
      <c r="NO43" s="308"/>
      <c r="NP43" s="308"/>
      <c r="NQ43" s="308"/>
      <c r="NR43" s="308"/>
      <c r="NS43" s="308"/>
      <c r="NT43" s="308"/>
      <c r="NU43" s="308"/>
      <c r="NV43" s="308"/>
      <c r="NW43" s="308"/>
      <c r="NX43" s="308"/>
      <c r="NY43" s="308"/>
      <c r="NZ43" s="308"/>
      <c r="OA43" s="308"/>
      <c r="OB43" s="308"/>
      <c r="OC43" s="308"/>
      <c r="OD43" s="308"/>
      <c r="OE43" s="308"/>
      <c r="OF43" s="308"/>
      <c r="OG43" s="308"/>
      <c r="OH43" s="308"/>
      <c r="OI43" s="308"/>
      <c r="OJ43" s="308"/>
      <c r="OK43" s="308"/>
      <c r="OL43" s="308"/>
      <c r="OM43" s="308"/>
      <c r="ON43" s="308"/>
      <c r="OO43" s="308"/>
      <c r="OP43" s="308"/>
      <c r="OQ43" s="308"/>
      <c r="OR43" s="308"/>
      <c r="OS43" s="308"/>
      <c r="OT43" s="308"/>
      <c r="OU43" s="308"/>
      <c r="OV43" s="308"/>
      <c r="OW43" s="308"/>
      <c r="OX43" s="308"/>
      <c r="OY43" s="308"/>
      <c r="OZ43" s="308"/>
      <c r="PA43" s="308"/>
      <c r="PB43" s="308"/>
      <c r="PC43" s="308"/>
      <c r="PD43" s="308"/>
      <c r="PE43" s="308"/>
      <c r="PF43" s="308"/>
      <c r="PG43" s="308"/>
      <c r="PH43" s="308"/>
      <c r="PI43" s="308"/>
      <c r="PJ43" s="308"/>
      <c r="PK43" s="308"/>
      <c r="PL43" s="308"/>
      <c r="PM43" s="308"/>
      <c r="PN43" s="308"/>
      <c r="PO43" s="308"/>
      <c r="PP43" s="308"/>
      <c r="PQ43" s="308"/>
      <c r="PR43" s="308"/>
      <c r="PS43" s="308"/>
      <c r="PT43" s="308"/>
      <c r="PU43" s="308"/>
      <c r="PV43" s="308"/>
      <c r="PW43" s="308"/>
      <c r="PX43" s="308"/>
      <c r="PY43" s="308"/>
      <c r="PZ43" s="308"/>
      <c r="QA43" s="308"/>
      <c r="QB43" s="308"/>
      <c r="QC43" s="308"/>
      <c r="QD43" s="308"/>
      <c r="QE43" s="308"/>
      <c r="QF43" s="308"/>
      <c r="QG43" s="308"/>
      <c r="QH43" s="308"/>
      <c r="RZ43" s="1073"/>
    </row>
    <row r="44" spans="1:503">
      <c r="A44" t="s">
        <v>208</v>
      </c>
      <c r="C44" s="38">
        <f>IFERROR(C42/C43,"")</f>
        <v>1.0811898499886494</v>
      </c>
      <c r="D44" s="38">
        <f>IFERROR(D42/D43,"")</f>
        <v>0.97494356363636381</v>
      </c>
      <c r="E44" s="38">
        <f>IFERROR(E42/E43,"")</f>
        <v>1.1089768580614101</v>
      </c>
      <c r="F44" s="38"/>
      <c r="G44" s="38"/>
      <c r="H44" s="38"/>
      <c r="I44" s="38"/>
      <c r="J44" s="38" t="str">
        <f t="shared" ref="J44:T44" si="204">IFERROR(J42/J43,"")</f>
        <v/>
      </c>
      <c r="K44" s="38" t="str">
        <f t="shared" si="204"/>
        <v/>
      </c>
      <c r="L44" s="38" t="str">
        <f t="shared" si="204"/>
        <v/>
      </c>
      <c r="M44" s="38" t="str">
        <f t="shared" si="204"/>
        <v/>
      </c>
      <c r="N44" s="38" t="str">
        <f t="shared" si="204"/>
        <v/>
      </c>
      <c r="O44" s="38">
        <f t="shared" si="204"/>
        <v>1.0656555346691872</v>
      </c>
      <c r="P44" s="38">
        <f t="shared" si="204"/>
        <v>0.8810723529411767</v>
      </c>
      <c r="Q44" s="38">
        <f t="shared" si="204"/>
        <v>1.2094983245267414</v>
      </c>
      <c r="R44" s="38" t="str">
        <f t="shared" si="204"/>
        <v/>
      </c>
      <c r="S44" s="1082">
        <f t="shared" si="204"/>
        <v>1.1388334117647059</v>
      </c>
      <c r="T44" s="38">
        <f t="shared" si="204"/>
        <v>1.3259731578947367</v>
      </c>
      <c r="U44" s="1081">
        <f t="shared" si="10"/>
        <v>0.85886611277474512</v>
      </c>
      <c r="V44" s="38" t="str">
        <f t="shared" ref="V44:AA44" si="205">IFERROR(V42/V43,"")</f>
        <v/>
      </c>
      <c r="W44" s="38">
        <f t="shared" si="205"/>
        <v>1.0373038461538462</v>
      </c>
      <c r="X44" s="38">
        <f t="shared" si="205"/>
        <v>1.141</v>
      </c>
      <c r="Y44" s="38">
        <f t="shared" si="205"/>
        <v>0.90911818243106579</v>
      </c>
      <c r="Z44" s="38" t="str">
        <f t="shared" si="205"/>
        <v/>
      </c>
      <c r="AA44" s="38">
        <f t="shared" si="205"/>
        <v>1.2836692307692308</v>
      </c>
      <c r="AB44" s="72" t="str">
        <f>BQ44</f>
        <v/>
      </c>
      <c r="AC44" s="38">
        <f>IFERROR(AC42/AC43,"")</f>
        <v>1</v>
      </c>
      <c r="AD44" s="38"/>
      <c r="AE44" s="38" t="str">
        <f t="shared" ref="AE44:BO44" si="206">IFERROR(AE42/AE43,"")</f>
        <v/>
      </c>
      <c r="AF44" s="38" t="str">
        <f t="shared" si="206"/>
        <v/>
      </c>
      <c r="AG44" s="38" t="str">
        <f t="shared" si="206"/>
        <v/>
      </c>
      <c r="AH44" s="38" t="str">
        <f t="shared" si="206"/>
        <v/>
      </c>
      <c r="AI44" s="38" t="str">
        <f t="shared" si="206"/>
        <v/>
      </c>
      <c r="AJ44" s="38" t="str">
        <f t="shared" si="206"/>
        <v/>
      </c>
      <c r="AK44" s="38" t="str">
        <f t="shared" si="206"/>
        <v/>
      </c>
      <c r="AL44" s="38" t="str">
        <f t="shared" si="206"/>
        <v/>
      </c>
      <c r="AM44" s="38" t="str">
        <f t="shared" si="206"/>
        <v/>
      </c>
      <c r="AN44" s="38" t="str">
        <f t="shared" si="206"/>
        <v/>
      </c>
      <c r="AO44" s="38" t="str">
        <f t="shared" si="206"/>
        <v/>
      </c>
      <c r="AP44" s="38" t="str">
        <f t="shared" si="206"/>
        <v/>
      </c>
      <c r="AQ44" s="38" t="str">
        <f t="shared" si="206"/>
        <v/>
      </c>
      <c r="AR44" s="38" t="str">
        <f t="shared" si="206"/>
        <v/>
      </c>
      <c r="AS44" s="38" t="str">
        <f t="shared" si="206"/>
        <v/>
      </c>
      <c r="AT44" s="38" t="str">
        <f t="shared" si="206"/>
        <v/>
      </c>
      <c r="AU44" s="38" t="str">
        <f t="shared" si="206"/>
        <v/>
      </c>
      <c r="AV44" s="38" t="str">
        <f t="shared" si="206"/>
        <v/>
      </c>
      <c r="AW44" s="38">
        <f t="shared" si="206"/>
        <v>1.0360330288294315</v>
      </c>
      <c r="AX44" s="38">
        <f t="shared" si="206"/>
        <v>0.89627434782608728</v>
      </c>
      <c r="AY44" s="38">
        <f t="shared" si="206"/>
        <v>1.1491272436850528</v>
      </c>
      <c r="AZ44" s="38" t="str">
        <f t="shared" si="206"/>
        <v/>
      </c>
      <c r="BA44" s="38" t="str">
        <f t="shared" si="206"/>
        <v/>
      </c>
      <c r="BB44" s="38" t="str">
        <f t="shared" si="206"/>
        <v/>
      </c>
      <c r="BC44" s="38">
        <f t="shared" si="206"/>
        <v>1.1041647922608693</v>
      </c>
      <c r="BD44" s="38">
        <f t="shared" si="206"/>
        <v>0.84928636363636345</v>
      </c>
      <c r="BE44" s="38">
        <f t="shared" si="206"/>
        <v>1.3431081989552263</v>
      </c>
      <c r="BF44" s="38" t="str">
        <f t="shared" si="206"/>
        <v/>
      </c>
      <c r="BG44" s="38" t="str">
        <f t="shared" si="206"/>
        <v/>
      </c>
      <c r="BH44" s="38" t="str">
        <f t="shared" si="206"/>
        <v/>
      </c>
      <c r="BI44" s="38" t="str">
        <f t="shared" si="206"/>
        <v/>
      </c>
      <c r="BJ44" s="38" t="str">
        <f t="shared" si="206"/>
        <v/>
      </c>
      <c r="BK44" s="38" t="str">
        <f t="shared" si="206"/>
        <v/>
      </c>
      <c r="BL44" s="38">
        <f t="shared" si="206"/>
        <v>1.1388334117647059</v>
      </c>
      <c r="BM44" s="38">
        <f t="shared" si="206"/>
        <v>1.3259731578947367</v>
      </c>
      <c r="BN44" s="38"/>
      <c r="BO44" s="38">
        <f t="shared" si="206"/>
        <v>0.85886611277474523</v>
      </c>
      <c r="BP44" s="38">
        <f>IFERROR(BP42/BQ43,"")</f>
        <v>5.1450601296296306</v>
      </c>
      <c r="BQ44" s="38" t="str">
        <f>IFERROR(BQ42/#REF!,"")</f>
        <v/>
      </c>
      <c r="BR44" s="38" t="str">
        <f t="shared" ref="BR44:CR44" si="207">IFERROR(BR42/BR43,"")</f>
        <v/>
      </c>
      <c r="BS44" s="38" t="str">
        <f t="shared" si="207"/>
        <v/>
      </c>
      <c r="BT44" s="38" t="str">
        <f t="shared" si="207"/>
        <v/>
      </c>
      <c r="BU44" s="38" t="str">
        <f t="shared" si="207"/>
        <v/>
      </c>
      <c r="BV44" s="38">
        <f t="shared" si="207"/>
        <v>0.93440763525641013</v>
      </c>
      <c r="BW44" s="38">
        <f t="shared" si="207"/>
        <v>1.141</v>
      </c>
      <c r="BX44" s="38">
        <f t="shared" si="207"/>
        <v>0.90911818243106579</v>
      </c>
      <c r="BY44" s="38" t="str">
        <f t="shared" si="207"/>
        <v/>
      </c>
      <c r="BZ44" s="38" t="str">
        <f t="shared" si="207"/>
        <v/>
      </c>
      <c r="CA44" s="38" t="str">
        <f t="shared" si="207"/>
        <v/>
      </c>
      <c r="CB44" s="38" t="str">
        <f t="shared" si="207"/>
        <v/>
      </c>
      <c r="CC44" s="38" t="str">
        <f t="shared" si="207"/>
        <v/>
      </c>
      <c r="CD44" s="38" t="str">
        <f t="shared" si="207"/>
        <v/>
      </c>
      <c r="CE44" s="38" t="str">
        <f t="shared" si="207"/>
        <v/>
      </c>
      <c r="CF44" s="38" t="str">
        <f t="shared" si="207"/>
        <v/>
      </c>
      <c r="CG44" s="38" t="str">
        <f t="shared" si="207"/>
        <v/>
      </c>
      <c r="CH44" s="38" t="str">
        <f t="shared" si="207"/>
        <v/>
      </c>
      <c r="CI44" s="38">
        <f t="shared" si="207"/>
        <v>0</v>
      </c>
      <c r="CJ44" s="38">
        <f t="shared" si="207"/>
        <v>1.59846</v>
      </c>
      <c r="CK44" s="38">
        <f t="shared" si="207"/>
        <v>0.4438794747777996</v>
      </c>
      <c r="CL44" s="38" t="str">
        <f t="shared" si="207"/>
        <v/>
      </c>
      <c r="CM44" s="38" t="str">
        <f t="shared" si="207"/>
        <v/>
      </c>
      <c r="CN44" s="38">
        <f t="shared" si="207"/>
        <v>0.34927950572684957</v>
      </c>
      <c r="CO44" s="38" t="str">
        <f t="shared" si="207"/>
        <v/>
      </c>
      <c r="CP44" s="38" t="str">
        <f t="shared" si="207"/>
        <v/>
      </c>
      <c r="CQ44" s="38" t="str">
        <f t="shared" si="207"/>
        <v/>
      </c>
      <c r="CR44" s="38" t="str">
        <f t="shared" si="207"/>
        <v/>
      </c>
      <c r="CS44" s="38"/>
      <c r="CT44" s="38" t="str">
        <f>IFERROR(CT42/CT43,"")</f>
        <v/>
      </c>
      <c r="CU44" s="38"/>
      <c r="CV44" s="38" t="str">
        <f>IFERROR(CV42/CV43,"")</f>
        <v/>
      </c>
      <c r="CW44" s="38"/>
      <c r="CX44" s="38" t="str">
        <f>IFERROR(CX42/CX43,"")</f>
        <v/>
      </c>
      <c r="CY44" s="38"/>
      <c r="CZ44" s="38" t="str">
        <f>IFERROR(CZ42/CZ43,"")</f>
        <v/>
      </c>
      <c r="DA44" s="38"/>
      <c r="DB44" s="38" t="str">
        <f>IFERROR(DB42/DB43,"")</f>
        <v/>
      </c>
      <c r="DC44" s="38"/>
      <c r="DD44" s="38" t="str">
        <f>IFERROR(DD42/DD43,"")</f>
        <v/>
      </c>
      <c r="DE44" s="38" t="str">
        <f>IFERROR(DE42/DE43,"")</f>
        <v/>
      </c>
      <c r="DF44" s="38" t="str">
        <f>IFERROR(DF42/DF43,"")</f>
        <v/>
      </c>
      <c r="DG44" s="38"/>
      <c r="DH44" s="38" t="str">
        <f>IFERROR(DH42/DH43,"")</f>
        <v/>
      </c>
      <c r="DI44" s="38"/>
      <c r="DJ44" s="38" t="str">
        <f>IFERROR(DJ42/DJ43,"")</f>
        <v/>
      </c>
      <c r="DK44" s="38"/>
      <c r="DL44" s="38" t="str">
        <f>IFERROR(DL42/DL43,"")</f>
        <v/>
      </c>
      <c r="DM44" s="38"/>
      <c r="DN44" s="38" t="str">
        <f>IFERROR(DN42/DN43,"")</f>
        <v/>
      </c>
      <c r="DO44" s="38"/>
      <c r="DP44" s="38" t="str">
        <f>IFERROR(DP42/DP43,"")</f>
        <v/>
      </c>
      <c r="DQ44" s="38"/>
      <c r="DR44" s="38"/>
      <c r="DS44" s="38" t="str">
        <f>IFERROR(DS42/DS43,"")</f>
        <v/>
      </c>
      <c r="DT44" s="38" t="str">
        <f>IFERROR(DT42/DT43,"")</f>
        <v/>
      </c>
      <c r="DU44" s="38"/>
      <c r="DV44" s="38" t="str">
        <f>IFERROR(DV42/DV43,"")</f>
        <v/>
      </c>
      <c r="DW44" s="38"/>
      <c r="DX44" s="38" t="str">
        <f>IFERROR(DX42/DX43,"")</f>
        <v/>
      </c>
      <c r="DY44" s="38"/>
      <c r="DZ44" s="38" t="str">
        <f>IFERROR(DZ42/DZ43,"")</f>
        <v/>
      </c>
      <c r="EA44" s="38"/>
      <c r="EB44" s="38" t="str">
        <f>IFERROR(EB42/EB43,"")</f>
        <v/>
      </c>
      <c r="EC44" s="38"/>
      <c r="ED44" s="38" t="str">
        <f>IFERROR(ED42/ED43,"")</f>
        <v/>
      </c>
      <c r="EE44" s="38"/>
      <c r="EF44" s="38" t="str">
        <f>IFERROR(EF42/EF43,"")</f>
        <v/>
      </c>
      <c r="EG44" s="38" t="str">
        <f>IFERROR(EG42/EG43,"")</f>
        <v/>
      </c>
      <c r="EH44" s="38"/>
      <c r="EI44" s="38"/>
      <c r="EJ44" s="38"/>
      <c r="EK44" s="38" t="str">
        <f>IFERROR(EK42/EK43,"")</f>
        <v/>
      </c>
      <c r="EL44" s="38"/>
      <c r="EM44" s="38" t="str">
        <f>IFERROR(EM42/EM43,"")</f>
        <v/>
      </c>
      <c r="EN44" s="38"/>
      <c r="EO44" s="38" t="str">
        <f>IFERROR(EO42/EO43,"")</f>
        <v/>
      </c>
      <c r="EP44" s="38"/>
      <c r="EQ44" s="38" t="str">
        <f>IFERROR(EQ42/EQ43,"")</f>
        <v/>
      </c>
      <c r="ER44" s="38"/>
      <c r="ES44" s="38" t="str">
        <f>IFERROR(ES42/ES43,"")</f>
        <v/>
      </c>
      <c r="ET44" s="38" t="str">
        <f>IFERROR(ET42/ET43,"")</f>
        <v/>
      </c>
      <c r="EU44" s="38" t="str">
        <f>IFERROR(EU42/EU43,"")</f>
        <v/>
      </c>
      <c r="EV44" s="38" t="str">
        <f>IFERROR(EV42/EV43,"")</f>
        <v/>
      </c>
      <c r="EW44" s="38" t="str">
        <f t="shared" ref="EW44:FW44" si="208">IFERROR(EW42/EW43,"")</f>
        <v/>
      </c>
      <c r="EX44" s="38" t="str">
        <f t="shared" si="208"/>
        <v/>
      </c>
      <c r="EY44" s="38" t="str">
        <f t="shared" si="208"/>
        <v/>
      </c>
      <c r="EZ44" s="38" t="str">
        <f t="shared" si="208"/>
        <v/>
      </c>
      <c r="FA44" s="38" t="str">
        <f t="shared" si="208"/>
        <v/>
      </c>
      <c r="FB44" s="38" t="str">
        <f t="shared" si="208"/>
        <v/>
      </c>
      <c r="FC44" s="38" t="str">
        <f t="shared" si="208"/>
        <v/>
      </c>
      <c r="FD44" s="38" t="str">
        <f t="shared" si="208"/>
        <v/>
      </c>
      <c r="FE44" s="38" t="str">
        <f t="shared" si="208"/>
        <v/>
      </c>
      <c r="FF44" s="38" t="str">
        <f t="shared" si="208"/>
        <v/>
      </c>
      <c r="FG44" s="38" t="str">
        <f t="shared" si="208"/>
        <v/>
      </c>
      <c r="FH44" s="38" t="str">
        <f t="shared" si="208"/>
        <v/>
      </c>
      <c r="FI44" s="38" t="str">
        <f t="shared" si="208"/>
        <v/>
      </c>
      <c r="FJ44" s="38" t="str">
        <f t="shared" si="208"/>
        <v/>
      </c>
      <c r="FK44" s="38" t="str">
        <f t="shared" si="208"/>
        <v/>
      </c>
      <c r="FL44" s="38" t="str">
        <f t="shared" si="208"/>
        <v/>
      </c>
      <c r="FM44" s="38" t="str">
        <f t="shared" si="208"/>
        <v/>
      </c>
      <c r="FN44" s="38" t="str">
        <f t="shared" si="208"/>
        <v/>
      </c>
      <c r="FO44" s="38" t="str">
        <f t="shared" si="208"/>
        <v/>
      </c>
      <c r="FP44" s="38" t="str">
        <f t="shared" si="208"/>
        <v/>
      </c>
      <c r="FQ44" s="38" t="str">
        <f t="shared" si="208"/>
        <v/>
      </c>
      <c r="FR44" s="38" t="str">
        <f t="shared" si="208"/>
        <v/>
      </c>
      <c r="FS44" s="38" t="str">
        <f t="shared" si="208"/>
        <v/>
      </c>
      <c r="FT44" s="38" t="str">
        <f t="shared" si="208"/>
        <v/>
      </c>
      <c r="FU44" s="38" t="str">
        <f t="shared" si="208"/>
        <v/>
      </c>
      <c r="FV44" s="38" t="str">
        <f t="shared" si="208"/>
        <v/>
      </c>
      <c r="FW44" s="38" t="str">
        <f t="shared" si="208"/>
        <v/>
      </c>
      <c r="FX44" s="38"/>
      <c r="FY44" s="38" t="str">
        <f>IFERROR(FY42/FY43,"")</f>
        <v/>
      </c>
      <c r="FZ44" s="38"/>
      <c r="GA44" s="38" t="str">
        <f>IFERROR(GA42/GA43,"")</f>
        <v/>
      </c>
      <c r="GB44" s="38"/>
      <c r="GC44" s="38" t="str">
        <f>IFERROR(GC42/GC43,"")</f>
        <v/>
      </c>
      <c r="GD44" s="38"/>
      <c r="GE44" s="38" t="str">
        <f>IFERROR(GE42/GE43,"")</f>
        <v/>
      </c>
      <c r="GF44" s="38"/>
      <c r="GG44" s="38" t="str">
        <f>IFERROR(GG42/GG43,"")</f>
        <v/>
      </c>
      <c r="GH44" s="38"/>
      <c r="GI44" s="38" t="str">
        <f t="shared" ref="GI44:GY44" si="209">IFERROR(GI42/GI43,"")</f>
        <v/>
      </c>
      <c r="GJ44" s="38" t="str">
        <f t="shared" si="209"/>
        <v/>
      </c>
      <c r="GK44" s="38" t="str">
        <f t="shared" si="209"/>
        <v/>
      </c>
      <c r="GL44" s="38">
        <f t="shared" si="209"/>
        <v>1.3393695152956615</v>
      </c>
      <c r="GM44" s="38">
        <f t="shared" si="209"/>
        <v>1.1641253795320594</v>
      </c>
      <c r="GN44" s="38">
        <f t="shared" si="209"/>
        <v>1.9438665376617374</v>
      </c>
      <c r="GO44" s="38">
        <f t="shared" si="209"/>
        <v>1.4360493913043482</v>
      </c>
      <c r="GP44" s="38" t="str">
        <f t="shared" si="209"/>
        <v/>
      </c>
      <c r="GQ44" s="38" t="str">
        <f t="shared" si="209"/>
        <v/>
      </c>
      <c r="GR44" s="38" t="str">
        <f t="shared" si="209"/>
        <v/>
      </c>
      <c r="GS44" s="38" t="str">
        <f t="shared" si="209"/>
        <v/>
      </c>
      <c r="GT44" s="38" t="str">
        <f t="shared" si="209"/>
        <v/>
      </c>
      <c r="GU44" s="38" t="str">
        <f t="shared" si="209"/>
        <v/>
      </c>
      <c r="GV44" s="38" t="str">
        <f t="shared" si="209"/>
        <v/>
      </c>
      <c r="GW44" s="38" t="str">
        <f t="shared" si="209"/>
        <v/>
      </c>
      <c r="GX44" s="38" t="str">
        <f t="shared" si="209"/>
        <v/>
      </c>
      <c r="GY44" s="38" t="str">
        <f t="shared" si="209"/>
        <v/>
      </c>
      <c r="GZ44" s="72"/>
      <c r="HA44" s="38"/>
      <c r="HB44" s="38" t="str">
        <f>IFERROR(HB42/HB43,"")</f>
        <v/>
      </c>
      <c r="HC44" s="38"/>
      <c r="HD44" s="38" t="str">
        <f>IFERROR(HD42/HD43,"")</f>
        <v/>
      </c>
      <c r="HE44" s="38"/>
      <c r="HF44" s="38" t="str">
        <f>IFERROR(HF42/HF43,"")</f>
        <v/>
      </c>
      <c r="HG44" s="38"/>
      <c r="HH44" s="38" t="str">
        <f>IFERROR(HH42/HH43,"")</f>
        <v/>
      </c>
      <c r="HI44" s="38"/>
      <c r="HJ44" s="38" t="str">
        <f>IFERROR(HJ42/HJ43,"")</f>
        <v/>
      </c>
      <c r="HK44" s="38"/>
      <c r="HL44" s="38" t="str">
        <f>IFERROR(HL42/HL43,"")</f>
        <v/>
      </c>
      <c r="HM44" s="38" t="str">
        <f>IFERROR(HM42/HM43,"")</f>
        <v/>
      </c>
      <c r="HN44" s="38" t="str">
        <f>IFERROR(HN42/HN43,"")</f>
        <v/>
      </c>
      <c r="HO44" s="38"/>
      <c r="HP44" s="38"/>
      <c r="HQ44" s="38"/>
      <c r="HR44" s="38"/>
      <c r="HS44" s="38"/>
      <c r="HT44" s="38"/>
      <c r="HU44" s="38"/>
      <c r="HV44" s="38"/>
      <c r="HW44" s="38"/>
      <c r="HX44" s="38"/>
      <c r="HY44" s="38"/>
      <c r="HZ44" s="38"/>
      <c r="IA44" s="38"/>
      <c r="IB44" s="38"/>
      <c r="IC44" s="38"/>
      <c r="ID44" s="38" t="str">
        <f>IFERROR(ID42/ID43,"")</f>
        <v/>
      </c>
      <c r="IE44" s="38"/>
      <c r="IF44" s="38" t="str">
        <f>IFERROR(IF42/IF43,"")</f>
        <v/>
      </c>
      <c r="IG44" s="38"/>
      <c r="IH44" s="38" t="str">
        <f>IFERROR(IH42/IH43,"")</f>
        <v/>
      </c>
      <c r="II44" s="38"/>
      <c r="IJ44" s="38" t="str">
        <f>IFERROR(IJ42/IJ43,"")</f>
        <v/>
      </c>
      <c r="IK44" s="38"/>
      <c r="IL44" s="38" t="str">
        <f>IFERROR(IL42/IL43,"")</f>
        <v/>
      </c>
      <c r="IM44" s="38"/>
      <c r="IN44" s="38" t="str">
        <f>IFERROR(IN42/IN43,"")</f>
        <v/>
      </c>
      <c r="IO44" s="38"/>
      <c r="IP44" s="38" t="str">
        <f>IFERROR(IP42/IP43,"")</f>
        <v/>
      </c>
      <c r="IQ44" s="38" t="str">
        <f>IFERROR(IQ42/IQ43,"")</f>
        <v/>
      </c>
      <c r="IR44" s="38" t="str">
        <f>IFERROR(IR42/IR43,"")</f>
        <v/>
      </c>
      <c r="IS44" s="38"/>
      <c r="IT44" s="38"/>
      <c r="IU44" s="38" t="str">
        <f>IFERROR(IU42/IU43,"")</f>
        <v/>
      </c>
      <c r="IV44" s="38"/>
      <c r="IW44" s="38" t="str">
        <f>IFERROR(IW42/IW43,"")</f>
        <v/>
      </c>
      <c r="IX44" s="38"/>
      <c r="IY44" s="38" t="str">
        <f>IFERROR(IY42/IY43,"")</f>
        <v/>
      </c>
      <c r="IZ44" s="38"/>
      <c r="JA44" s="38" t="str">
        <f>IFERROR(JA42/JA43,"")</f>
        <v/>
      </c>
      <c r="JB44" s="38"/>
      <c r="JC44" s="38" t="str">
        <f>IFERROR(JC42/JC43,"")</f>
        <v/>
      </c>
      <c r="JD44" s="38"/>
      <c r="JE44" s="38" t="str">
        <f t="shared" ref="JE44:JO44" si="210">IFERROR(JE42/JE43,"")</f>
        <v/>
      </c>
      <c r="JF44" s="38" t="str">
        <f t="shared" si="210"/>
        <v/>
      </c>
      <c r="JG44" s="38" t="str">
        <f t="shared" si="210"/>
        <v/>
      </c>
      <c r="JH44" s="38" t="str">
        <f t="shared" si="210"/>
        <v/>
      </c>
      <c r="JI44" s="38" t="str">
        <f t="shared" si="210"/>
        <v/>
      </c>
      <c r="JJ44" s="1973">
        <f t="shared" si="210"/>
        <v>1.4934689230769231</v>
      </c>
      <c r="JK44" s="1973">
        <f t="shared" si="210"/>
        <v>1.3614040000000003</v>
      </c>
      <c r="JL44" s="1973" t="str">
        <f t="shared" si="210"/>
        <v/>
      </c>
      <c r="JM44" s="1973">
        <f t="shared" si="210"/>
        <v>1.4360493913043479</v>
      </c>
      <c r="JN44" s="38" t="str">
        <f t="shared" si="210"/>
        <v/>
      </c>
      <c r="JO44" s="38" t="str">
        <f t="shared" si="210"/>
        <v/>
      </c>
      <c r="JP44" s="38">
        <f t="shared" ref="JP44:KM44" si="211">IFERROR(IF(1-ABS(1-(JP42/JP43))&lt;0,0,1-ABS(1-(JP42/JP43))),0)</f>
        <v>0</v>
      </c>
      <c r="JQ44" s="38">
        <f t="shared" si="211"/>
        <v>0</v>
      </c>
      <c r="JR44" s="38">
        <f t="shared" si="211"/>
        <v>0</v>
      </c>
      <c r="JS44" s="38">
        <f t="shared" si="211"/>
        <v>0</v>
      </c>
      <c r="JT44" s="38">
        <f t="shared" si="211"/>
        <v>0</v>
      </c>
      <c r="JU44" s="38">
        <f t="shared" si="211"/>
        <v>0</v>
      </c>
      <c r="JV44" s="38">
        <f t="shared" si="211"/>
        <v>0</v>
      </c>
      <c r="JW44" s="38">
        <f t="shared" si="211"/>
        <v>0</v>
      </c>
      <c r="JX44" s="38">
        <f t="shared" si="211"/>
        <v>0</v>
      </c>
      <c r="JY44" s="38">
        <f t="shared" si="211"/>
        <v>0</v>
      </c>
      <c r="JZ44" s="38">
        <f t="shared" si="211"/>
        <v>0</v>
      </c>
      <c r="KA44" s="38">
        <f t="shared" si="211"/>
        <v>0</v>
      </c>
      <c r="KB44" s="38">
        <f t="shared" si="211"/>
        <v>0</v>
      </c>
      <c r="KC44" s="38">
        <f t="shared" si="211"/>
        <v>0</v>
      </c>
      <c r="KD44" s="38">
        <f t="shared" si="211"/>
        <v>0</v>
      </c>
      <c r="KE44" s="38">
        <f t="shared" si="211"/>
        <v>0</v>
      </c>
      <c r="KF44" s="38">
        <f t="shared" si="211"/>
        <v>0</v>
      </c>
      <c r="KG44" s="38">
        <f t="shared" si="211"/>
        <v>0</v>
      </c>
      <c r="KH44" s="38">
        <f t="shared" si="211"/>
        <v>0</v>
      </c>
      <c r="KI44" s="38">
        <f t="shared" si="211"/>
        <v>0</v>
      </c>
      <c r="KJ44" s="38">
        <f t="shared" si="211"/>
        <v>0</v>
      </c>
      <c r="KK44" s="38">
        <f t="shared" si="211"/>
        <v>0</v>
      </c>
      <c r="KL44" s="38">
        <f t="shared" si="211"/>
        <v>0</v>
      </c>
      <c r="KM44" s="38">
        <f t="shared" si="211"/>
        <v>0</v>
      </c>
      <c r="KN44" s="38" t="str">
        <f t="shared" ref="KN44:LG44" si="212">IFERROR(KN42/KN43,"")</f>
        <v/>
      </c>
      <c r="KO44" s="38" t="str">
        <f t="shared" si="212"/>
        <v/>
      </c>
      <c r="KP44" s="38">
        <f t="shared" si="212"/>
        <v>0.98550837196249741</v>
      </c>
      <c r="KQ44" s="38">
        <f t="shared" si="212"/>
        <v>0.80933287438520185</v>
      </c>
      <c r="KR44" s="38">
        <f t="shared" si="212"/>
        <v>1.4355309717595568</v>
      </c>
      <c r="KS44" s="38">
        <f t="shared" si="212"/>
        <v>0.96565239708683714</v>
      </c>
      <c r="KT44" s="38">
        <f t="shared" si="212"/>
        <v>0.90536081381878053</v>
      </c>
      <c r="KU44" s="38">
        <f t="shared" si="212"/>
        <v>0.99852222334639118</v>
      </c>
      <c r="KV44" s="38">
        <f t="shared" si="212"/>
        <v>0.92916265399005149</v>
      </c>
      <c r="KW44" s="38">
        <f t="shared" si="212"/>
        <v>1.0549139119453221</v>
      </c>
      <c r="KX44" s="38">
        <f t="shared" si="212"/>
        <v>0.93165885462973019</v>
      </c>
      <c r="KY44" s="38">
        <f t="shared" si="212"/>
        <v>0.93832788389608202</v>
      </c>
      <c r="KZ44" s="38" t="str">
        <f t="shared" si="212"/>
        <v/>
      </c>
      <c r="LA44" s="38" t="str">
        <f t="shared" si="212"/>
        <v/>
      </c>
      <c r="LB44" s="38" t="str">
        <f t="shared" si="212"/>
        <v/>
      </c>
      <c r="LC44" s="38" t="str">
        <f t="shared" si="212"/>
        <v/>
      </c>
      <c r="LD44" s="38" t="str">
        <f t="shared" si="212"/>
        <v/>
      </c>
      <c r="LE44" s="38">
        <f t="shared" si="212"/>
        <v>0</v>
      </c>
      <c r="LF44" s="38" t="str">
        <f t="shared" si="212"/>
        <v/>
      </c>
      <c r="LG44" s="38" t="str">
        <f t="shared" si="212"/>
        <v/>
      </c>
      <c r="LH44" s="38"/>
      <c r="LI44" s="38"/>
      <c r="LJ44" s="38"/>
      <c r="LK44" s="38"/>
      <c r="LL44" s="38"/>
      <c r="LM44" s="38"/>
      <c r="LN44" s="38" t="str">
        <f t="shared" ref="LN44:LS44" si="213">IFERROR(LN42/LN43,"")</f>
        <v/>
      </c>
      <c r="LO44" s="38" t="str">
        <f t="shared" si="213"/>
        <v/>
      </c>
      <c r="LP44" s="38" t="str">
        <f t="shared" si="213"/>
        <v/>
      </c>
      <c r="LQ44" s="38" t="str">
        <f t="shared" si="213"/>
        <v/>
      </c>
      <c r="LR44" s="38" t="str">
        <f t="shared" si="213"/>
        <v/>
      </c>
      <c r="LS44" s="38" t="str">
        <f t="shared" si="213"/>
        <v/>
      </c>
      <c r="LT44" s="38"/>
      <c r="LU44" s="38" t="str">
        <f>IFERROR(LU42/LU43,"")</f>
        <v/>
      </c>
      <c r="LV44" s="38" t="str">
        <f>IFERROR(LV42/LV43,"")</f>
        <v/>
      </c>
      <c r="LW44" s="38" t="str">
        <f>IFERROR(LW42/LW43,"")</f>
        <v/>
      </c>
      <c r="LX44" s="38" t="str">
        <f>IFERROR(LX42/LX43,"")</f>
        <v/>
      </c>
      <c r="LY44" s="38" t="str">
        <f>IFERROR(LY42/LY43,"")</f>
        <v/>
      </c>
      <c r="LZ44" s="38"/>
      <c r="MA44" s="38" t="str">
        <f>IFERROR(MA42/MA43,"")</f>
        <v/>
      </c>
      <c r="MB44" s="38" t="str">
        <f>IFERROR(MB42/MB43,"")</f>
        <v/>
      </c>
      <c r="MC44" s="38"/>
      <c r="MD44" s="38" t="str">
        <f>IFERROR(MD42/MD43,"")</f>
        <v/>
      </c>
      <c r="ME44" s="38" t="str">
        <f>IFERROR(ME42/ME43,"")</f>
        <v/>
      </c>
      <c r="MF44" s="38"/>
      <c r="MG44" s="38"/>
      <c r="MH44" s="38" t="str">
        <f>IFERROR(MH42/MH43,"")</f>
        <v/>
      </c>
      <c r="MI44" s="38" t="str">
        <f>IFERROR(MI42/MI43,"")</f>
        <v/>
      </c>
      <c r="MJ44" s="38" t="str">
        <f>IFERROR(MJ42/MJ43,"")</f>
        <v/>
      </c>
      <c r="MK44" s="38" t="str">
        <f>IFERROR(MK42/MK43,"")</f>
        <v/>
      </c>
      <c r="ML44" s="38"/>
      <c r="MM44" s="38" t="str">
        <f>IFERROR(MM42/MM43,"")</f>
        <v/>
      </c>
      <c r="MN44" s="38" t="str">
        <f>IFERROR(MN42/MN43,"")</f>
        <v/>
      </c>
      <c r="MO44" s="38" t="str">
        <f>IFERROR(MO42/MO43,"")</f>
        <v/>
      </c>
      <c r="MP44" s="38" t="str">
        <f>IFERROR(MP42/MP43,"")</f>
        <v/>
      </c>
      <c r="MQ44" s="38" t="str">
        <f>IFERROR(MQ42/MQ43,"")</f>
        <v/>
      </c>
      <c r="MR44" s="38"/>
      <c r="MS44" s="38" t="str">
        <f t="shared" ref="MS44:ND44" si="214">IFERROR(MS42/MS43,"")</f>
        <v/>
      </c>
      <c r="MT44" s="38" t="str">
        <f t="shared" si="214"/>
        <v/>
      </c>
      <c r="MU44" s="38" t="str">
        <f t="shared" si="214"/>
        <v/>
      </c>
      <c r="MV44" s="38" t="str">
        <f t="shared" si="214"/>
        <v/>
      </c>
      <c r="MW44" s="38" t="str">
        <f t="shared" si="214"/>
        <v/>
      </c>
      <c r="MX44" s="38" t="str">
        <f t="shared" si="214"/>
        <v/>
      </c>
      <c r="MY44" s="38" t="str">
        <f t="shared" si="214"/>
        <v/>
      </c>
      <c r="MZ44" s="38" t="str">
        <f t="shared" si="214"/>
        <v/>
      </c>
      <c r="NA44" s="38" t="str">
        <f t="shared" si="214"/>
        <v/>
      </c>
      <c r="NB44" s="38" t="str">
        <f t="shared" si="214"/>
        <v/>
      </c>
      <c r="NC44" s="38" t="str">
        <f t="shared" si="214"/>
        <v/>
      </c>
      <c r="ND44" s="38" t="str">
        <f t="shared" si="214"/>
        <v/>
      </c>
      <c r="NE44" s="38"/>
      <c r="NF44" s="38" t="str">
        <f>IFERROR(NF42/NF43,"")</f>
        <v/>
      </c>
      <c r="NG44" s="38" t="str">
        <f>IFERROR(NG42/NG43,"")</f>
        <v/>
      </c>
      <c r="NH44" s="38" t="str">
        <f>IFERROR(NH42/NH43,"")</f>
        <v/>
      </c>
      <c r="NI44" s="38"/>
      <c r="NJ44" s="38" t="str">
        <f>IFERROR(NJ42/NJ43,"")</f>
        <v/>
      </c>
      <c r="NK44" s="38"/>
      <c r="NL44" s="38" t="str">
        <f>IFERROR(NL42/NL43,"")</f>
        <v/>
      </c>
      <c r="NM44" s="38"/>
      <c r="NN44" s="38" t="str">
        <f>IFERROR(NN42/NN43,"")</f>
        <v/>
      </c>
      <c r="NO44" s="38"/>
      <c r="NP44" s="38" t="str">
        <f>IFERROR(NP42/NP43,"")</f>
        <v/>
      </c>
      <c r="NQ44" s="38"/>
      <c r="NR44" s="38" t="str">
        <f>IFERROR(NR42/NR43,"")</f>
        <v/>
      </c>
      <c r="NS44" s="38"/>
      <c r="NT44" s="38" t="str">
        <f>IFERROR(NT42/NT43,"")</f>
        <v/>
      </c>
      <c r="NU44" s="38" t="str">
        <f>IFERROR(NU42/NU43,"")</f>
        <v/>
      </c>
      <c r="NV44" s="38"/>
      <c r="NW44" s="38" t="str">
        <f>IFERROR(NW42/NW43,"")</f>
        <v/>
      </c>
      <c r="NX44" s="38"/>
      <c r="NY44" s="38" t="str">
        <f>IFERROR(NY42/NY43,"")</f>
        <v/>
      </c>
      <c r="NZ44" s="38"/>
      <c r="OA44" s="38" t="str">
        <f>IFERROR(OA42/OA43,"")</f>
        <v/>
      </c>
      <c r="OB44" s="38"/>
      <c r="OC44" s="38" t="str">
        <f>IFERROR(OC42/OC43,"")</f>
        <v/>
      </c>
      <c r="OD44" s="38"/>
      <c r="OE44" s="38" t="str">
        <f>IFERROR(OE42/OE43,"")</f>
        <v/>
      </c>
      <c r="OF44" s="38"/>
      <c r="OG44" s="38" t="str">
        <f>IFERROR(OG42/OG43,"")</f>
        <v/>
      </c>
      <c r="OH44" s="38" t="str">
        <f>IFERROR(OH42/OH43,"")</f>
        <v/>
      </c>
      <c r="OI44" s="38"/>
      <c r="OJ44" s="38" t="str">
        <f>IFERROR(OJ42/OJ43,"")</f>
        <v/>
      </c>
      <c r="OK44" s="38"/>
      <c r="OL44" s="38" t="str">
        <f>IFERROR(OL42/OL43,"")</f>
        <v/>
      </c>
      <c r="OM44" s="38"/>
      <c r="ON44" s="38" t="str">
        <f>IFERROR(ON42/ON43,"")</f>
        <v/>
      </c>
      <c r="OO44" s="38"/>
      <c r="OP44" s="38" t="str">
        <f>IFERROR(OP42/OP43,"")</f>
        <v/>
      </c>
      <c r="OQ44" s="38"/>
      <c r="OR44" s="38" t="str">
        <f>IFERROR(OR42/OR43,"")</f>
        <v/>
      </c>
      <c r="OS44" s="38"/>
      <c r="OT44" s="38" t="str">
        <f t="shared" ref="OT44:PL44" si="215">IFERROR(OT42/OT43,"")</f>
        <v/>
      </c>
      <c r="OU44" s="38" t="str">
        <f t="shared" si="215"/>
        <v/>
      </c>
      <c r="OV44" s="38" t="str">
        <f t="shared" si="215"/>
        <v/>
      </c>
      <c r="OW44" s="38" t="str">
        <f t="shared" si="215"/>
        <v/>
      </c>
      <c r="OX44" s="38" t="str">
        <f t="shared" si="215"/>
        <v/>
      </c>
      <c r="OY44" s="38" t="str">
        <f t="shared" si="215"/>
        <v/>
      </c>
      <c r="OZ44" s="38" t="str">
        <f t="shared" si="215"/>
        <v/>
      </c>
      <c r="PA44" s="38" t="str">
        <f t="shared" si="215"/>
        <v/>
      </c>
      <c r="PB44" s="38" t="str">
        <f t="shared" si="215"/>
        <v/>
      </c>
      <c r="PC44" s="38" t="str">
        <f t="shared" si="215"/>
        <v/>
      </c>
      <c r="PD44" s="38" t="str">
        <f t="shared" si="215"/>
        <v/>
      </c>
      <c r="PE44" s="38" t="str">
        <f t="shared" si="215"/>
        <v/>
      </c>
      <c r="PF44" s="38" t="str">
        <f t="shared" si="215"/>
        <v/>
      </c>
      <c r="PG44" s="38" t="str">
        <f t="shared" si="215"/>
        <v/>
      </c>
      <c r="PH44" s="38" t="str">
        <f t="shared" si="215"/>
        <v/>
      </c>
      <c r="PI44" s="38" t="str">
        <f t="shared" si="215"/>
        <v/>
      </c>
      <c r="PJ44" s="38" t="str">
        <f t="shared" si="215"/>
        <v/>
      </c>
      <c r="PK44" s="38" t="str">
        <f t="shared" si="215"/>
        <v/>
      </c>
      <c r="PL44" s="38" t="str">
        <f t="shared" si="215"/>
        <v/>
      </c>
      <c r="PM44" s="38"/>
      <c r="PN44" s="38"/>
      <c r="PO44" s="38" t="str">
        <f t="shared" ref="PO44:PT44" si="216">IFERROR(PO42/PO43,"")</f>
        <v/>
      </c>
      <c r="PP44" s="38" t="str">
        <f t="shared" si="216"/>
        <v/>
      </c>
      <c r="PQ44" s="38" t="str">
        <f t="shared" si="216"/>
        <v/>
      </c>
      <c r="PR44" s="38" t="str">
        <f t="shared" si="216"/>
        <v/>
      </c>
      <c r="PS44" s="38" t="str">
        <f t="shared" si="216"/>
        <v/>
      </c>
      <c r="PT44" s="38" t="str">
        <f t="shared" si="216"/>
        <v/>
      </c>
      <c r="PU44" s="38"/>
      <c r="PV44" s="38"/>
      <c r="PW44" s="38" t="str">
        <f>IFERROR(PW42/PW43,"")</f>
        <v/>
      </c>
      <c r="PX44" s="38"/>
      <c r="PY44" s="38" t="str">
        <f>IFERROR(PY42/PY43,"")</f>
        <v/>
      </c>
      <c r="PZ44" s="38"/>
      <c r="QA44" s="38" t="str">
        <f>IFERROR(QA42/QA43,"")</f>
        <v/>
      </c>
      <c r="QB44" s="38" t="str">
        <f>IFERROR(QB42/QB43,"")</f>
        <v/>
      </c>
      <c r="QC44" s="38"/>
      <c r="QD44" s="38"/>
      <c r="QE44" s="38"/>
      <c r="QF44" s="38"/>
      <c r="QG44" s="38"/>
      <c r="QH44" s="38" t="str">
        <f>IFERROR(QH42/QH43,"")</f>
        <v/>
      </c>
      <c r="RZ44" s="1"/>
    </row>
    <row r="45" spans="1:503">
      <c r="D45" s="1"/>
      <c r="O45" t="e">
        <f ca="1">IF(VALUE(MONTH(DATEVALUE(MID(CELL("filename",A1),FIND("]",CELL("filename",A1))+1,255)&amp;"1")))&lt;&gt;MONTH(TODAY()),O43/(DAY(EOMONTH(DATE(YEAR(TODAY()),VALUE(MONTH(DATEVALUE(MID(CELL("filename",A1),FIND("]",CELL("filename",A1))+1,255)&amp;"1"))),1),0))),(O43-O42)/('[1]Summary TCM'!$AB$140-DAY(TODAY()-1)))</f>
        <v>#VALUE!</v>
      </c>
      <c r="P45" t="e">
        <f ca="1">IF(VALUE(MONTH(DATEVALUE(MID(CELL("filename",B1),FIND("]",CELL("filename",B1))+1,255)&amp;"1")))&lt;&gt;MONTH(TODAY()),P43/(DAY(EOMONTH(DATE(YEAR(TODAY()),VALUE(MONTH(DATEVALUE(MID(CELL("filename",B1),FIND("]",CELL("filename",B1))+1,255)&amp;"1"))),1),0))),(P43-P42)/('[1]Summary TCM'!$AB$140-DAY(TODAY()-1)))</f>
        <v>#VALUE!</v>
      </c>
      <c r="Q45" t="e">
        <f ca="1">IF(VALUE(MONTH(DATEVALUE(MID(CELL("filename",C1),FIND("]",CELL("filename",C1))+1,255)&amp;"1")))&lt;&gt;MONTH(TODAY()),Q43/(DAY(EOMONTH(DATE(YEAR(TODAY()),VALUE(MONTH(DATEVALUE(MID(CELL("filename",C1),FIND("]",CELL("filename",C1))+1,255)&amp;"1"))),1),0))),(Q43-Q42)/('[1]Summary TCM'!$AB$140-DAY(TODAY()-1)))</f>
        <v>#VALUE!</v>
      </c>
      <c r="R45" t="e">
        <f ca="1">IF(VALUE(MONTH(DATEVALUE(MID(CELL("filename",D1),FIND("]",CELL("filename",D1))+1,255)&amp;"1")))&lt;&gt;MONTH(TODAY()),R43/(DAY(EOMONTH(DATE(YEAR(TODAY()),VALUE(MONTH(DATEVALUE(MID(CELL("filename",D1),FIND("]",CELL("filename",D1))+1,255)&amp;"1"))),1),0))),(R43-R42)/('[1]Summary TCM'!$AB$140-DAY(TODAY()-1)))</f>
        <v>#VALUE!</v>
      </c>
      <c r="S45" s="72" t="e">
        <f ca="1">SUM(BF45,BI45,BL45,BY45)</f>
        <v>#VALUE!</v>
      </c>
      <c r="T45" t="e">
        <f ca="1">IF(VALUE(MONTH(DATEVALUE(MID(CELL("filename",H1),FIND("]",CELL("filename",H1))+1,255)&amp;"1")))&lt;&gt;MONTH(TODAY()),T43/(DAY(EOMONTH(DATE(YEAR(TODAY()),VALUE(MONTH(DATEVALUE(MID(CELL("filename",H1),FIND("]",CELL("filename",H1))+1,255)&amp;"1"))),1),0))),(T43-T42)/('[1]Summary TCM'!$AB$140-DAY(TODAY()-1)))</f>
        <v>#VALUE!</v>
      </c>
      <c r="U45" t="e">
        <f ca="1">IF(VALUE(MONTH(DATEVALUE(MID(CELL("filename",I1),FIND("]",CELL("filename",I1))+1,255)&amp;"1")))&lt;&gt;MONTH(TODAY()),U43/(DAY(EOMONTH(DATE(YEAR(TODAY()),VALUE(MONTH(DATEVALUE(MID(CELL("filename",I1),FIND("]",CELL("filename",I1))+1,255)&amp;"1"))),1),0))),(U43-U42)/('[1]Summary TCM'!$AB$140-DAY(TODAY()-1)))</f>
        <v>#VALUE!</v>
      </c>
      <c r="V45" t="e">
        <f ca="1">IF(VALUE(MONTH(DATEVALUE(MID(CELL("filename",L1),FIND("]",CELL("filename",L1))+1,255)&amp;"1")))&lt;&gt;MONTH(TODAY()),V43/(DAY(EOMONTH(DATE(YEAR(TODAY()),VALUE(MONTH(DATEVALUE(MID(CELL("filename",L1),FIND("]",CELL("filename",L1))+1,255)&amp;"1"))),1),0))),(V43-V42)/('[1]Summary TCM'!$AB$140-DAY(TODAY()-1)))</f>
        <v>#VALUE!</v>
      </c>
      <c r="W45" t="e">
        <f ca="1">IF(VALUE(MONTH(DATEVALUE(MID(CELL("filename",M1),FIND("]",CELL("filename",M1))+1,255)&amp;"1")))&lt;&gt;MONTH(TODAY()),W43/(DAY(EOMONTH(DATE(YEAR(TODAY()),VALUE(MONTH(DATEVALUE(MID(CELL("filename",M1),FIND("]",CELL("filename",M1))+1,255)&amp;"1"))),1),0))),(W43-W42)/('[1]Summary TCM'!$AB$140-DAY(TODAY()-1)))</f>
        <v>#VALUE!</v>
      </c>
      <c r="X45" t="e">
        <f ca="1">IF(VALUE(MONTH(DATEVALUE(MID(CELL("filename",N1),FIND("]",CELL("filename",N1))+1,255)&amp;"1")))&lt;&gt;MONTH(TODAY()),X43/(DAY(EOMONTH(DATE(YEAR(TODAY()),VALUE(MONTH(DATEVALUE(MID(CELL("filename",N1),FIND("]",CELL("filename",N1))+1,255)&amp;"1"))),1),0))),(X43-X42)/('[1]Summary TCM'!$AB$140-DAY(TODAY()-1)))</f>
        <v>#VALUE!</v>
      </c>
      <c r="Y45" t="e">
        <f ca="1">IF(VALUE(MONTH(DATEVALUE(MID(CELL("filename",O1),FIND("]",CELL("filename",O1))+1,255)&amp;"1")))&lt;&gt;MONTH(TODAY()),Y43/(DAY(EOMONTH(DATE(YEAR(TODAY()),VALUE(MONTH(DATEVALUE(MID(CELL("filename",O1),FIND("]",CELL("filename",O1))+1,255)&amp;"1"))),1),0))),(Y43-Y42)/('[1]Summary TCM'!$AB$140-DAY(TODAY()-1)))</f>
        <v>#VALUE!</v>
      </c>
      <c r="Z45" t="e">
        <f ca="1">IF(VALUE(MONTH(DATEVALUE(MID(CELL("filename",P1),FIND("]",CELL("filename",P1))+1,255)&amp;"1")))&lt;&gt;MONTH(TODAY()),Z43/(DAY(EOMONTH(DATE(YEAR(TODAY()),VALUE(MONTH(DATEVALUE(MID(CELL("filename",P1),FIND("]",CELL("filename",P1))+1,255)&amp;"1"))),1),0))),(Z43-Z42)/('[1]Summary TCM'!$AB$140-DAY(TODAY()-1)))</f>
        <v>#VALUE!</v>
      </c>
      <c r="AE45" t="e">
        <f ca="1">IF(VALUE(MONTH(DATEVALUE(MID(CELL("filename",Q1),FIND("]",CELL("filename",Q1))+1,255)&amp;"1")))&lt;&gt;MONTH(TODAY()),AE43/(DAY(EOMONTH(DATE(YEAR(TODAY()),VALUE(MONTH(DATEVALUE(MID(CELL("filename",Q1),FIND("]",CELL("filename",Q1))+1,255)&amp;"1"))),1),0))),(AE43-AE42)/('[1]Summary TCM'!$AB$140-DAY(TODAY()-1)))</f>
        <v>#VALUE!</v>
      </c>
      <c r="AF45" t="e">
        <f ca="1">IF(VALUE(MONTH(DATEVALUE(MID(CELL("filename",R1),FIND("]",CELL("filename",R1))+1,255)&amp;"1")))&lt;&gt;MONTH(TODAY()),AF43/(DAY(EOMONTH(DATE(YEAR(TODAY()),VALUE(MONTH(DATEVALUE(MID(CELL("filename",R1),FIND("]",CELL("filename",R1))+1,255)&amp;"1"))),1),0))),(AF43-AF42)/('[1]Summary TCM'!$AB$140-DAY(TODAY()-1)))</f>
        <v>#VALUE!</v>
      </c>
      <c r="AG45" t="e">
        <f ca="1">IF(VALUE(MONTH(DATEVALUE(MID(CELL("filename",S1),FIND("]",CELL("filename",S1))+1,255)&amp;"1")))&lt;&gt;MONTH(TODAY()),AG43/(DAY(EOMONTH(DATE(YEAR(TODAY()),VALUE(MONTH(DATEVALUE(MID(CELL("filename",S1),FIND("]",CELL("filename",S1))+1,255)&amp;"1"))),1),0))),(AG43-AG42)/('[1]Summary TCM'!$AB$140-DAY(TODAY()-1)))</f>
        <v>#VALUE!</v>
      </c>
      <c r="AH45" t="e">
        <f ca="1">IF(VALUE(MONTH(DATEVALUE(MID(CELL("filename",T1),FIND("]",CELL("filename",T1))+1,255)&amp;"1")))&lt;&gt;MONTH(TODAY()),AH43/(DAY(EOMONTH(DATE(YEAR(TODAY()),VALUE(MONTH(DATEVALUE(MID(CELL("filename",T1),FIND("]",CELL("filename",T1))+1,255)&amp;"1"))),1),0))),(AH43-AH42)/('[1]Summary TCM'!$AB$140-DAY(TODAY()-1)))</f>
        <v>#VALUE!</v>
      </c>
      <c r="AI45" t="e">
        <f ca="1">IF(VALUE(MONTH(DATEVALUE(MID(CELL("filename",U1),FIND("]",CELL("filename",U1))+1,255)&amp;"1")))&lt;&gt;MONTH(TODAY()),AI43/(DAY(EOMONTH(DATE(YEAR(TODAY()),VALUE(MONTH(DATEVALUE(MID(CELL("filename",U1),FIND("]",CELL("filename",U1))+1,255)&amp;"1"))),1),0))),(AI43-AI42)/('[1]Summary TCM'!$AB$140-DAY(TODAY()-1)))</f>
        <v>#VALUE!</v>
      </c>
      <c r="AJ45" t="e">
        <f ca="1">IF(VALUE(MONTH(DATEVALUE(MID(CELL("filename",V1),FIND("]",CELL("filename",V1))+1,255)&amp;"1")))&lt;&gt;MONTH(TODAY()),AJ43/(DAY(EOMONTH(DATE(YEAR(TODAY()),VALUE(MONTH(DATEVALUE(MID(CELL("filename",V1),FIND("]",CELL("filename",V1))+1,255)&amp;"1"))),1),0))),(AJ43-AJ42)/('[1]Summary TCM'!$AB$140-DAY(TODAY()-1)))</f>
        <v>#VALUE!</v>
      </c>
      <c r="AK45" t="e">
        <f ca="1">IF(VALUE(MONTH(DATEVALUE(MID(CELL("filename",W1),FIND("]",CELL("filename",W1))+1,255)&amp;"1")))&lt;&gt;MONTH(TODAY()),AK43/(DAY(EOMONTH(DATE(YEAR(TODAY()),VALUE(MONTH(DATEVALUE(MID(CELL("filename",W1),FIND("]",CELL("filename",W1))+1,255)&amp;"1"))),1),0))),(AK43-AK42)/('[1]Summary TCM'!$AB$140-DAY(TODAY()-1)))</f>
        <v>#VALUE!</v>
      </c>
      <c r="AL45" t="e">
        <f ca="1">IF(VALUE(MONTH(DATEVALUE(MID(CELL("filename",X1),FIND("]",CELL("filename",X1))+1,255)&amp;"1")))&lt;&gt;MONTH(TODAY()),AL43/(DAY(EOMONTH(DATE(YEAR(TODAY()),VALUE(MONTH(DATEVALUE(MID(CELL("filename",X1),FIND("]",CELL("filename",X1))+1,255)&amp;"1"))),1),0))),(AL43-AL42)/('[1]Summary TCM'!$AB$140-DAY(TODAY()-1)))</f>
        <v>#VALUE!</v>
      </c>
      <c r="AN45" t="e">
        <f ca="1">IF(VALUE(MONTH(DATEVALUE(MID(CELL("filename",Z1),FIND("]",CELL("filename",Z1))+1,255)&amp;"1")))&lt;&gt;MONTH(TODAY()),AN43/(DAY(EOMONTH(DATE(YEAR(TODAY()),VALUE(MONTH(DATEVALUE(MID(CELL("filename",Z1),FIND("]",CELL("filename",Z1))+1,255)&amp;"1"))),1),0))),(AN43-AN42)/('[1]Summary TCM'!$AB$140-DAY(TODAY()-1)))</f>
        <v>#VALUE!</v>
      </c>
      <c r="AO45" t="e">
        <f ca="1">IF(VALUE(MONTH(DATEVALUE(MID(CELL("filename",AE1),FIND("]",CELL("filename",AE1))+1,255)&amp;"1")))&lt;&gt;MONTH(TODAY()),AO43/(DAY(EOMONTH(DATE(YEAR(TODAY()),VALUE(MONTH(DATEVALUE(MID(CELL("filename",AE1),FIND("]",CELL("filename",AE1))+1,255)&amp;"1"))),1),0))),(AO43-AO42)/('[1]Summary TCM'!$AB$140-DAY(TODAY()-1)))</f>
        <v>#VALUE!</v>
      </c>
      <c r="AP45" t="e">
        <f ca="1">IF(VALUE(MONTH(DATEVALUE(MID(CELL("filename",AF1),FIND("]",CELL("filename",AF1))+1,255)&amp;"1")))&lt;&gt;MONTH(TODAY()),AP43/(DAY(EOMONTH(DATE(YEAR(TODAY()),VALUE(MONTH(DATEVALUE(MID(CELL("filename",AF1),FIND("]",CELL("filename",AF1))+1,255)&amp;"1"))),1),0))),(AP43-AP42)/('[1]Summary TCM'!$AB$140-DAY(TODAY()-1)))</f>
        <v>#VALUE!</v>
      </c>
      <c r="AQ45" t="e">
        <f ca="1">IF(VALUE(MONTH(DATEVALUE(MID(CELL("filename",AG1),FIND("]",CELL("filename",AG1))+1,255)&amp;"1")))&lt;&gt;MONTH(TODAY()),AQ43/(DAY(EOMONTH(DATE(YEAR(TODAY()),VALUE(MONTH(DATEVALUE(MID(CELL("filename",AG1),FIND("]",CELL("filename",AG1))+1,255)&amp;"1"))),1),0))),(AQ43-AQ42)/('[1]Summary TCM'!$AB$140-DAY(TODAY()-1)))</f>
        <v>#VALUE!</v>
      </c>
      <c r="AR45" t="e">
        <f ca="1">IF(VALUE(MONTH(DATEVALUE(MID(CELL("filename",AH1),FIND("]",CELL("filename",AH1))+1,255)&amp;"1")))&lt;&gt;MONTH(TODAY()),AR43/(DAY(EOMONTH(DATE(YEAR(TODAY()),VALUE(MONTH(DATEVALUE(MID(CELL("filename",AH1),FIND("]",CELL("filename",AH1))+1,255)&amp;"1"))),1),0))),(AR43-AR42)/('[1]Summary TCM'!$AB$140-DAY(TODAY()-1)))</f>
        <v>#VALUE!</v>
      </c>
      <c r="AS45" t="e">
        <f ca="1">IF(VALUE(MONTH(DATEVALUE(MID(CELL("filename",AI1),FIND("]",CELL("filename",AI1))+1,255)&amp;"1")))&lt;&gt;MONTH(TODAY()),AS43/(DAY(EOMONTH(DATE(YEAR(TODAY()),VALUE(MONTH(DATEVALUE(MID(CELL("filename",AI1),FIND("]",CELL("filename",AI1))+1,255)&amp;"1"))),1),0))),(AS43-AS42)/('[1]Summary TCM'!$AB$140-DAY(TODAY()-1)))</f>
        <v>#VALUE!</v>
      </c>
      <c r="AT45" t="e">
        <f ca="1">IF(VALUE(MONTH(DATEVALUE(MID(CELL("filename",AJ1),FIND("]",CELL("filename",AJ1))+1,255)&amp;"1")))&lt;&gt;MONTH(TODAY()),AT43/(DAY(EOMONTH(DATE(YEAR(TODAY()),VALUE(MONTH(DATEVALUE(MID(CELL("filename",AJ1),FIND("]",CELL("filename",AJ1))+1,255)&amp;"1"))),1),0))),(AT43-AT42)/('[1]Summary TCM'!$AB$140-DAY(TODAY()-1)))</f>
        <v>#VALUE!</v>
      </c>
      <c r="AU45" t="e">
        <f ca="1">IF(VALUE(MONTH(DATEVALUE(MID(CELL("filename",AK1),FIND("]",CELL("filename",AK1))+1,255)&amp;"1")))&lt;&gt;MONTH(TODAY()),AU43/(DAY(EOMONTH(DATE(YEAR(TODAY()),VALUE(MONTH(DATEVALUE(MID(CELL("filename",AK1),FIND("]",CELL("filename",AK1))+1,255)&amp;"1"))),1),0))),(AU43-AU42)/('[1]Summary TCM'!$AB$140-DAY(TODAY()-1)))</f>
        <v>#VALUE!</v>
      </c>
      <c r="AV45" t="e">
        <f ca="1">IF(VALUE(MONTH(DATEVALUE(MID(CELL("filename",AL1),FIND("]",CELL("filename",AL1))+1,255)&amp;"1")))&lt;&gt;MONTH(TODAY()),AV43/(DAY(EOMONTH(DATE(YEAR(TODAY()),VALUE(MONTH(DATEVALUE(MID(CELL("filename",AL1),FIND("]",CELL("filename",AL1))+1,255)&amp;"1"))),1),0))),(AV43-AV42)/('[1]Summary TCM'!$AB$140-DAY(TODAY()-1)))</f>
        <v>#VALUE!</v>
      </c>
      <c r="AW45" t="e">
        <f ca="1">IF(VALUE(MONTH(DATEVALUE(MID(CELL("filename",AM1),FIND("]",CELL("filename",AM1))+1,255)&amp;"1")))&lt;&gt;MONTH(TODAY()),AW43/(DAY(EOMONTH(DATE(YEAR(TODAY()),VALUE(MONTH(DATEVALUE(MID(CELL("filename",AM1),FIND("]",CELL("filename",AM1))+1,255)&amp;"1"))),1),0))),(AW43-AW42)/('[1]Summary TCM'!$AB$140-DAY(TODAY()-1)))</f>
        <v>#VALUE!</v>
      </c>
      <c r="AX45" t="e">
        <f ca="1">IF(VALUE(MONTH(DATEVALUE(MID(CELL("filename",AN1),FIND("]",CELL("filename",AN1))+1,255)&amp;"1")))&lt;&gt;MONTH(TODAY()),AX43/(DAY(EOMONTH(DATE(YEAR(TODAY()),VALUE(MONTH(DATEVALUE(MID(CELL("filename",AN1),FIND("]",CELL("filename",AN1))+1,255)&amp;"1"))),1),0))),(AX43-AX42)/('[1]Summary TCM'!$AB$140-DAY(TODAY()-1)))</f>
        <v>#VALUE!</v>
      </c>
      <c r="AY45" t="e">
        <f ca="1">IF(VALUE(MONTH(DATEVALUE(MID(CELL("filename",AO1),FIND("]",CELL("filename",AO1))+1,255)&amp;"1")))&lt;&gt;MONTH(TODAY()),AY43/(DAY(EOMONTH(DATE(YEAR(TODAY()),VALUE(MONTH(DATEVALUE(MID(CELL("filename",AO1),FIND("]",CELL("filename",AO1))+1,255)&amp;"1"))),1),0))),(AY43-AY42)/('[1]Summary TCM'!$AB$140-DAY(TODAY()-1)))</f>
        <v>#VALUE!</v>
      </c>
      <c r="AZ45" t="e">
        <f ca="1">IF(VALUE(MONTH(DATEVALUE(MID(CELL("filename",AP1),FIND("]",CELL("filename",AP1))+1,255)&amp;"1")))&lt;&gt;MONTH(TODAY()),AZ43/(DAY(EOMONTH(DATE(YEAR(TODAY()),VALUE(MONTH(DATEVALUE(MID(CELL("filename",AP1),FIND("]",CELL("filename",AP1))+1,255)&amp;"1"))),1),0))),(AZ43-AZ42)/('[1]Summary TCM'!$AB$140-DAY(TODAY()-1)))</f>
        <v>#VALUE!</v>
      </c>
      <c r="BA45" t="e">
        <f ca="1">IF(VALUE(MONTH(DATEVALUE(MID(CELL("filename",AQ1),FIND("]",CELL("filename",AQ1))+1,255)&amp;"1")))&lt;&gt;MONTH(TODAY()),BA43/(DAY(EOMONTH(DATE(YEAR(TODAY()),VALUE(MONTH(DATEVALUE(MID(CELL("filename",AQ1),FIND("]",CELL("filename",AQ1))+1,255)&amp;"1"))),1),0))),(BA43-BA42)/('[1]Summary TCM'!$AB$140-DAY(TODAY()-1)))</f>
        <v>#VALUE!</v>
      </c>
      <c r="BB45" t="e">
        <f ca="1">IF(VALUE(MONTH(DATEVALUE(MID(CELL("filename",AR1),FIND("]",CELL("filename",AR1))+1,255)&amp;"1")))&lt;&gt;MONTH(TODAY()),BB43/(DAY(EOMONTH(DATE(YEAR(TODAY()),VALUE(MONTH(DATEVALUE(MID(CELL("filename",AR1),FIND("]",CELL("filename",AR1))+1,255)&amp;"1"))),1),0))),(BB43-BB42)/('[1]Summary TCM'!$AB$140-DAY(TODAY()-1)))</f>
        <v>#VALUE!</v>
      </c>
      <c r="BC45" t="e">
        <f ca="1">IF(VALUE(MONTH(DATEVALUE(MID(CELL("filename",AS1),FIND("]",CELL("filename",AS1))+1,255)&amp;"1")))&lt;&gt;MONTH(TODAY()),BC43/(DAY(EOMONTH(DATE(YEAR(TODAY()),VALUE(MONTH(DATEVALUE(MID(CELL("filename",AS1),FIND("]",CELL("filename",AS1))+1,255)&amp;"1"))),1),0))),(BC43-BC42)/('[1]Summary TCM'!$AB$140-DAY(TODAY()-1)))</f>
        <v>#VALUE!</v>
      </c>
      <c r="BD45" t="e">
        <f ca="1">IF(VALUE(MONTH(DATEVALUE(MID(CELL("filename",AT1),FIND("]",CELL("filename",AT1))+1,255)&amp;"1")))&lt;&gt;MONTH(TODAY()),BD43/(DAY(EOMONTH(DATE(YEAR(TODAY()),VALUE(MONTH(DATEVALUE(MID(CELL("filename",AT1),FIND("]",CELL("filename",AT1))+1,255)&amp;"1"))),1),0))),(BD43-BD42)/('[1]Summary TCM'!$AB$140-DAY(TODAY()-1)))</f>
        <v>#VALUE!</v>
      </c>
      <c r="BE45" t="e">
        <f ca="1">IF(VALUE(MONTH(DATEVALUE(MID(CELL("filename",AU1),FIND("]",CELL("filename",AU1))+1,255)&amp;"1")))&lt;&gt;MONTH(TODAY()),BE43/(DAY(EOMONTH(DATE(YEAR(TODAY()),VALUE(MONTH(DATEVALUE(MID(CELL("filename",AU1),FIND("]",CELL("filename",AU1))+1,255)&amp;"1"))),1),0))),(BE43-BE42)/('[1]Summary TCM'!$AB$140-DAY(TODAY()-1)))</f>
        <v>#VALUE!</v>
      </c>
      <c r="BF45" t="e">
        <f ca="1">IF(VALUE(MONTH(DATEVALUE(MID(CELL("filename",AV1),FIND("]",CELL("filename",AV1))+1,255)&amp;"1")))&lt;&gt;MONTH(TODAY()),BF43/(DAY(EOMONTH(DATE(YEAR(TODAY()),VALUE(MONTH(DATEVALUE(MID(CELL("filename",AV1),FIND("]",CELL("filename",AV1))+1,255)&amp;"1"))),1),0))),(BF43-BF42)/('[1]Summary TCM'!$AB$140-DAY(TODAY()-1)))</f>
        <v>#VALUE!</v>
      </c>
      <c r="BG45" t="e">
        <f ca="1">IF(VALUE(MONTH(DATEVALUE(MID(CELL("filename",AW1),FIND("]",CELL("filename",AW1))+1,255)&amp;"1")))&lt;&gt;MONTH(TODAY()),BG43/(DAY(EOMONTH(DATE(YEAR(TODAY()),VALUE(MONTH(DATEVALUE(MID(CELL("filename",AW1),FIND("]",CELL("filename",AW1))+1,255)&amp;"1"))),1),0))),(BG43-BG42)/('[1]Summary TCM'!$AB$140-DAY(TODAY()-1)))</f>
        <v>#VALUE!</v>
      </c>
      <c r="BH45" t="e">
        <f ca="1">IF(VALUE(MONTH(DATEVALUE(MID(CELL("filename",AX1),FIND("]",CELL("filename",AX1))+1,255)&amp;"1")))&lt;&gt;MONTH(TODAY()),BH43/(DAY(EOMONTH(DATE(YEAR(TODAY()),VALUE(MONTH(DATEVALUE(MID(CELL("filename",AX1),FIND("]",CELL("filename",AX1))+1,255)&amp;"1"))),1),0))),(BH43-BH42)/('[1]Summary TCM'!$AB$140-DAY(TODAY()-1)))</f>
        <v>#VALUE!</v>
      </c>
      <c r="BI45" t="e">
        <f ca="1">IF(VALUE(MONTH(DATEVALUE(MID(CELL("filename",AY1),FIND("]",CELL("filename",AY1))+1,255)&amp;"1")))&lt;&gt;MONTH(TODAY()),BI43/(DAY(EOMONTH(DATE(YEAR(TODAY()),VALUE(MONTH(DATEVALUE(MID(CELL("filename",AY1),FIND("]",CELL("filename",AY1))+1,255)&amp;"1"))),1),0))),(BI43-BI42)/('[1]Summary TCM'!$AB$140-DAY(TODAY()-1)))</f>
        <v>#VALUE!</v>
      </c>
      <c r="BJ45" t="e">
        <f ca="1">IF(VALUE(MONTH(DATEVALUE(MID(CELL("filename",AZ1),FIND("]",CELL("filename",AZ1))+1,255)&amp;"1")))&lt;&gt;MONTH(TODAY()),BJ43/(DAY(EOMONTH(DATE(YEAR(TODAY()),VALUE(MONTH(DATEVALUE(MID(CELL("filename",AZ1),FIND("]",CELL("filename",AZ1))+1,255)&amp;"1"))),1),0))),(BJ43-BJ42)/('[1]Summary TCM'!$AB$140-DAY(TODAY()-1)))</f>
        <v>#VALUE!</v>
      </c>
      <c r="BK45" t="e">
        <f ca="1">IF(VALUE(MONTH(DATEVALUE(MID(CELL("filename",BA1),FIND("]",CELL("filename",BA1))+1,255)&amp;"1")))&lt;&gt;MONTH(TODAY()),BK43/(DAY(EOMONTH(DATE(YEAR(TODAY()),VALUE(MONTH(DATEVALUE(MID(CELL("filename",BA1),FIND("]",CELL("filename",BA1))+1,255)&amp;"1"))),1),0))),(BK43-BK42)/('[1]Summary TCM'!$AB$140-DAY(TODAY()-1)))</f>
        <v>#VALUE!</v>
      </c>
      <c r="BL45" t="e">
        <f ca="1">IF(VALUE(MONTH(DATEVALUE(MID(CELL("filename",BB1),FIND("]",CELL("filename",BB1))+1,255)&amp;"1")))&lt;&gt;MONTH(TODAY()),BL43/(DAY(EOMONTH(DATE(YEAR(TODAY()),VALUE(MONTH(DATEVALUE(MID(CELL("filename",BB1),FIND("]",CELL("filename",BB1))+1,255)&amp;"1"))),1),0))),(BL43-BL42)/('[1]Summary TCM'!$AB$140-DAY(TODAY()-1)))</f>
        <v>#VALUE!</v>
      </c>
      <c r="BM45" t="e">
        <f ca="1">IF(VALUE(MONTH(DATEVALUE(MID(CELL("filename",BC1),FIND("]",CELL("filename",BC1))+1,255)&amp;"1")))&lt;&gt;MONTH(TODAY()),BM43/(DAY(EOMONTH(DATE(YEAR(TODAY()),VALUE(MONTH(DATEVALUE(MID(CELL("filename",BC1),FIND("]",CELL("filename",BC1))+1,255)&amp;"1"))),1),0))),(BM43-BM42)/('[1]Summary TCM'!$AB$140-DAY(TODAY()-1)))</f>
        <v>#VALUE!</v>
      </c>
      <c r="BO45" t="e">
        <f ca="1">IF(VALUE(MONTH(DATEVALUE(MID(CELL("filename",BD1),FIND("]",CELL("filename",BD1))+1,255)&amp;"1")))&lt;&gt;MONTH(TODAY()),BO43/(DAY(EOMONTH(DATE(YEAR(TODAY()),VALUE(MONTH(DATEVALUE(MID(CELL("filename",BD1),FIND("]",CELL("filename",BD1))+1,255)&amp;"1"))),1),0))),(BO43-BO42)/('[1]Summary TCM'!$AB$140-DAY(TODAY()-1)))</f>
        <v>#VALUE!</v>
      </c>
      <c r="BP45" t="e">
        <f ca="1">IF(VALUE(MONTH(DATEVALUE(MID(CELL("filename",BE1),FIND("]",CELL("filename",BE1))+1,255)&amp;"1")))&lt;&gt;MONTH(TODAY()),BQ43/(DAY(EOMONTH(DATE(YEAR(TODAY()),VALUE(MONTH(DATEVALUE(MID(CELL("filename",BE1),FIND("]",CELL("filename",BE1))+1,255)&amp;"1"))),1),0))),(BQ43-BP42)/('[1]Summary TCM'!$AB$140-DAY(TODAY()-1)))</f>
        <v>#VALUE!</v>
      </c>
      <c r="BQ45" t="e">
        <f ca="1">IF(VALUE(MONTH(DATEVALUE(MID(CELL("filename",BF1),FIND("]",CELL("filename",BF1))+1,255)&amp;"1")))&lt;&gt;MONTH(TODAY()),#REF!/(DAY(EOMONTH(DATE(YEAR(TODAY()),VALUE(MONTH(DATEVALUE(MID(CELL("filename",BF1),FIND("]",CELL("filename",BF1))+1,255)&amp;"1"))),1),0))),(#REF!-BQ42)/('[1]Summary TCM'!$AB$140-DAY(TODAY()-1)))</f>
        <v>#VALUE!</v>
      </c>
      <c r="BR45" t="e">
        <f ca="1">IF(VALUE(MONTH(DATEVALUE(MID(CELL("filename",BG1),FIND("]",CELL("filename",BG1))+1,255)&amp;"1")))&lt;&gt;MONTH(TODAY()),BR43/(DAY(EOMONTH(DATE(YEAR(TODAY()),VALUE(MONTH(DATEVALUE(MID(CELL("filename",BG1),FIND("]",CELL("filename",BG1))+1,255)&amp;"1"))),1),0))),(BR43-BR42)/('[1]Summary TCM'!$AB$140-DAY(TODAY()-1)))</f>
        <v>#VALUE!</v>
      </c>
      <c r="BS45" t="e">
        <f ca="1">IF(VALUE(MONTH(DATEVALUE(MID(CELL("filename",BE1),FIND("]",CELL("filename",BE1))+1,255)&amp;"1")))&lt;&gt;MONTH(TODAY()),BS43/(DAY(EOMONTH(DATE(YEAR(TODAY()),VALUE(MONTH(DATEVALUE(MID(CELL("filename",BE1),FIND("]",CELL("filename",BE1))+1,255)&amp;"1"))),1),0))),(BS43-BS42)/('[1]Summary TCM'!$AB$140-DAY(TODAY()-1)))</f>
        <v>#VALUE!</v>
      </c>
      <c r="BT45" t="e">
        <f ca="1">IF(VALUE(MONTH(DATEVALUE(MID(CELL("filename",BF1),FIND("]",CELL("filename",BF1))+1,255)&amp;"1")))&lt;&gt;MONTH(TODAY()),BT43/(DAY(EOMONTH(DATE(YEAR(TODAY()),VALUE(MONTH(DATEVALUE(MID(CELL("filename",BF1),FIND("]",CELL("filename",BF1))+1,255)&amp;"1"))),1),0))),(BT43-BT42)/('[1]Summary TCM'!$AB$140-DAY(TODAY()-1)))</f>
        <v>#VALUE!</v>
      </c>
      <c r="BU45" t="e">
        <f ca="1">IF(VALUE(MONTH(DATEVALUE(MID(CELL("filename",BG1),FIND("]",CELL("filename",BG1))+1,255)&amp;"1")))&lt;&gt;MONTH(TODAY()),BU43/(DAY(EOMONTH(DATE(YEAR(TODAY()),VALUE(MONTH(DATEVALUE(MID(CELL("filename",BG1),FIND("]",CELL("filename",BG1))+1,255)&amp;"1"))),1),0))),(BU43-BU42)/('[1]Summary TCM'!$AB$140-DAY(TODAY()-1)))</f>
        <v>#VALUE!</v>
      </c>
      <c r="BV45" t="e">
        <f ca="1">IF(VALUE(MONTH(DATEVALUE(MID(CELL("filename",BH1),FIND("]",CELL("filename",BH1))+1,255)&amp;"1")))&lt;&gt;MONTH(TODAY()),BV43/(DAY(EOMONTH(DATE(YEAR(TODAY()),VALUE(MONTH(DATEVALUE(MID(CELL("filename",BH1),FIND("]",CELL("filename",BH1))+1,255)&amp;"1"))),1),0))),(BV43-BV42)/('[1]Summary TCM'!$AB$140-DAY(TODAY()-1)))</f>
        <v>#VALUE!</v>
      </c>
      <c r="BW45" t="e">
        <f ca="1">IF(VALUE(MONTH(DATEVALUE(MID(CELL("filename",BI1),FIND("]",CELL("filename",BI1))+1,255)&amp;"1")))&lt;&gt;MONTH(TODAY()),BW43/(DAY(EOMONTH(DATE(YEAR(TODAY()),VALUE(MONTH(DATEVALUE(MID(CELL("filename",BI1),FIND("]",CELL("filename",BI1))+1,255)&amp;"1"))),1),0))),(BW43-BW42)/('[1]Summary TCM'!$AB$140-DAY(TODAY()-1)))</f>
        <v>#VALUE!</v>
      </c>
      <c r="BX45" t="e">
        <f ca="1">IF(VALUE(MONTH(DATEVALUE(MID(CELL("filename",BJ1),FIND("]",CELL("filename",BJ1))+1,255)&amp;"1")))&lt;&gt;MONTH(TODAY()),BX43/(DAY(EOMONTH(DATE(YEAR(TODAY()),VALUE(MONTH(DATEVALUE(MID(CELL("filename",BJ1),FIND("]",CELL("filename",BJ1))+1,255)&amp;"1"))),1),0))),(BX43-BX42)/('[1]Summary TCM'!$AB$140-DAY(TODAY()-1)))</f>
        <v>#VALUE!</v>
      </c>
      <c r="CE45" t="e">
        <f ca="1">IF(VALUE(MONTH(DATEVALUE(MID(CELL("filename",BK1),FIND("]",CELL("filename",BK1))+1,255)&amp;"1")))&lt;&gt;MONTH(TODAY()),CE43/(DAY(EOMONTH(DATE(YEAR(TODAY()),VALUE(MONTH(DATEVALUE(MID(CELL("filename",BK1),FIND("]",CELL("filename",BK1))+1,255)&amp;"1"))),1),0))),(CE43-CE42)/('[1]Summary TCM'!$AB$140-DAY(TODAY()-1)))</f>
        <v>#VALUE!</v>
      </c>
      <c r="CF45" t="e">
        <f ca="1">IF(VALUE(MONTH(DATEVALUE(MID(CELL("filename",BL1),FIND("]",CELL("filename",BL1))+1,255)&amp;"1")))&lt;&gt;MONTH(TODAY()),CF43/(DAY(EOMONTH(DATE(YEAR(TODAY()),VALUE(MONTH(DATEVALUE(MID(CELL("filename",BL1),FIND("]",CELL("filename",BL1))+1,255)&amp;"1"))),1),0))),(CF43-CF42)/('[1]Summary TCM'!$AB$140-DAY(TODAY()-1)))</f>
        <v>#VALUE!</v>
      </c>
      <c r="CG45" t="e">
        <f ca="1">IF(VALUE(MONTH(DATEVALUE(MID(CELL("filename",BM1),FIND("]",CELL("filename",BM1))+1,255)&amp;"1")))&lt;&gt;MONTH(TODAY()),CG43/(DAY(EOMONTH(DATE(YEAR(TODAY()),VALUE(MONTH(DATEVALUE(MID(CELL("filename",BM1),FIND("]",CELL("filename",BM1))+1,255)&amp;"1"))),1),0))),(CG43-CG42)/('[1]Summary TCM'!$AB$140-DAY(TODAY()-1)))</f>
        <v>#VALUE!</v>
      </c>
      <c r="DL45" s="281"/>
      <c r="JP45">
        <f>SUMPRODUCT(JP43:JW43,JP44:JW44)</f>
        <v>0</v>
      </c>
      <c r="JX45">
        <f>SUMPRODUCT(JX43:KE43,JX44:KE44)</f>
        <v>0</v>
      </c>
      <c r="KF45">
        <f>SUMPRODUCT(KF43:KM43,KF44:KM44)</f>
        <v>0</v>
      </c>
      <c r="LY45" s="314"/>
      <c r="MA45" s="314"/>
      <c r="MC45" s="1"/>
      <c r="OE45" s="95"/>
      <c r="QO45" s="1"/>
      <c r="QP45" s="1"/>
      <c r="QR45" s="1"/>
      <c r="QS45" s="1"/>
      <c r="RZ45" s="1"/>
    </row>
    <row r="46" spans="1:503">
      <c r="D46" s="1"/>
      <c r="E46" s="1"/>
      <c r="F46" s="1"/>
      <c r="G46" s="1"/>
      <c r="H46" s="95"/>
      <c r="I46" s="1"/>
      <c r="AB46" s="887"/>
      <c r="DL46" s="1"/>
      <c r="GR46" s="887">
        <f>GM41+GN41</f>
        <v>264967.63</v>
      </c>
      <c r="JM46" s="95"/>
      <c r="JN46" s="1"/>
      <c r="LL46" s="330"/>
      <c r="LT46" s="314"/>
      <c r="NP46" s="1"/>
      <c r="NY46" s="1"/>
      <c r="NZ46" s="1"/>
      <c r="OE46" s="95"/>
      <c r="RZ46" s="1"/>
    </row>
    <row r="47" spans="1:503">
      <c r="C47" s="1"/>
      <c r="D47" s="887"/>
      <c r="E47" s="1"/>
      <c r="F47" s="1"/>
      <c r="G47" s="1"/>
      <c r="H47" s="887"/>
      <c r="I47" s="1"/>
      <c r="P47" s="887"/>
      <c r="T47" s="887"/>
      <c r="AB47" s="887"/>
      <c r="AQ47" s="95"/>
      <c r="AR47" s="95"/>
      <c r="AS47" s="95"/>
      <c r="AT47" s="95"/>
      <c r="AU47" s="95"/>
      <c r="AV47" s="95"/>
      <c r="AW47" s="95"/>
      <c r="AX47" s="95"/>
      <c r="AY47" s="95"/>
      <c r="AZ47" s="95"/>
      <c r="BA47" s="95"/>
      <c r="BB47" s="95"/>
      <c r="BC47" s="95"/>
      <c r="BD47" s="95"/>
      <c r="BE47" s="95"/>
      <c r="BF47" s="95"/>
      <c r="BG47" s="95"/>
      <c r="BH47" s="95"/>
      <c r="BI47" s="95"/>
      <c r="BJ47" s="95"/>
      <c r="BK47" s="95"/>
      <c r="BL47" s="95"/>
      <c r="BM47" s="95"/>
      <c r="BN47" s="95"/>
      <c r="BO47" s="95"/>
      <c r="BP47" s="95">
        <f ca="1">BP47</f>
        <v>0</v>
      </c>
      <c r="BQ47" s="95"/>
      <c r="BR47" s="95"/>
      <c r="BS47" s="95"/>
      <c r="BT47" s="95"/>
      <c r="BU47" s="95"/>
      <c r="BV47" s="95"/>
      <c r="BW47" s="95"/>
      <c r="BX47" s="95"/>
      <c r="BY47" s="95"/>
      <c r="BZ47" s="95"/>
      <c r="CA47" s="95"/>
      <c r="CB47" s="95"/>
      <c r="CC47" s="95"/>
      <c r="CD47" s="95"/>
      <c r="DY47" s="1">
        <f>DX28+DT28</f>
        <v>0</v>
      </c>
      <c r="GO47" s="887"/>
      <c r="GR47" s="887"/>
      <c r="JJ47" s="887"/>
      <c r="JK47" s="887"/>
      <c r="JM47" s="887">
        <f>300000-JM41</f>
        <v>-30291.360000000044</v>
      </c>
      <c r="JN47" s="887"/>
      <c r="KV47" s="347"/>
      <c r="LJ47" s="329"/>
      <c r="LL47" s="1447"/>
      <c r="LM47" s="314"/>
      <c r="LN47" s="314"/>
      <c r="LQ47" s="314"/>
      <c r="LR47" s="314">
        <v>5222.3980000000001</v>
      </c>
      <c r="LT47" s="314"/>
      <c r="NP47" s="1"/>
      <c r="RZ47" s="1"/>
    </row>
    <row r="48" spans="1:503" hidden="1">
      <c r="D48" s="887"/>
      <c r="E48" s="1"/>
      <c r="F48" s="1"/>
      <c r="G48" s="1"/>
      <c r="I48" s="95"/>
      <c r="O48" s="887"/>
      <c r="P48" s="887"/>
      <c r="S48" s="887"/>
      <c r="T48" s="887"/>
      <c r="AB48" s="887"/>
      <c r="AC48" s="1"/>
      <c r="AD48" s="1"/>
      <c r="AE48" s="1"/>
      <c r="AQ48" s="887"/>
      <c r="AR48" s="887"/>
      <c r="AW48" s="1">
        <f>AW43-AW42</f>
        <v>-53869.378100000089</v>
      </c>
      <c r="BC48" s="1">
        <f>BC43-BC42</f>
        <v>-119789.51109999977</v>
      </c>
      <c r="BG48" s="887"/>
      <c r="BL48" s="1">
        <f>BL43-BL42</f>
        <v>-118008.40000000002</v>
      </c>
      <c r="BM48" s="887">
        <f>BM43/31</f>
        <v>1225.8064516129032</v>
      </c>
      <c r="BN48" s="887"/>
      <c r="BP48" s="887"/>
      <c r="BQ48" s="887"/>
      <c r="BS48" s="421">
        <f>BS43-BS42</f>
        <v>0</v>
      </c>
      <c r="BT48" s="95"/>
      <c r="BV48" s="1">
        <f>BV43-BV42</f>
        <v>51162.044500000076</v>
      </c>
      <c r="BW48" s="1">
        <f>BW43-BW41</f>
        <v>-5640</v>
      </c>
      <c r="BY48" s="1">
        <f>BY43-BY42</f>
        <v>0</v>
      </c>
      <c r="CE48" s="421">
        <f>CE43-CE42</f>
        <v>0</v>
      </c>
      <c r="CH48" s="887"/>
      <c r="IN48" s="1"/>
      <c r="JJ48" s="887">
        <f>JJ43-JJ41</f>
        <v>-64150.960000000021</v>
      </c>
      <c r="JK48" s="887">
        <f>JK43-JK41</f>
        <v>-36140.400000000023</v>
      </c>
      <c r="JL48" s="887"/>
      <c r="JM48" s="887">
        <f>JM47/13</f>
        <v>-2330.1046153846187</v>
      </c>
      <c r="JN48" s="887"/>
      <c r="JP48" s="2715"/>
      <c r="JQ48" s="2715"/>
      <c r="LH48" s="328"/>
      <c r="LI48" s="328"/>
      <c r="LJ48" s="331"/>
      <c r="LM48" s="328"/>
      <c r="LN48" s="314"/>
      <c r="LR48" s="314">
        <v>7444.732</v>
      </c>
      <c r="LT48" s="314"/>
      <c r="NP48" s="1"/>
      <c r="PK48" t="s">
        <v>79</v>
      </c>
      <c r="RZ48" s="1"/>
    </row>
    <row r="49" spans="2:494" ht="25.2" hidden="1" customHeight="1">
      <c r="D49" s="887"/>
      <c r="O49" s="1">
        <f>O43-O42</f>
        <v>-173658.88920000009</v>
      </c>
      <c r="P49" s="887">
        <f>P43-P41</f>
        <v>20217.699999999953</v>
      </c>
      <c r="S49" s="887">
        <f>S43-S42</f>
        <v>-118008.40000000002</v>
      </c>
      <c r="T49" s="887">
        <f>T43-T41</f>
        <v>-12386.979999999996</v>
      </c>
      <c r="X49" s="887">
        <f>X43-X42</f>
        <v>-5640</v>
      </c>
      <c r="Y49" s="887"/>
      <c r="Z49" s="1"/>
      <c r="AA49" s="887">
        <f>P41+T41+AB41</f>
        <v>222469.48000000004</v>
      </c>
      <c r="AB49" s="887"/>
      <c r="AD49" s="1"/>
      <c r="AE49" s="1"/>
      <c r="BG49" s="887"/>
      <c r="BW49" s="887">
        <f>BW43/31</f>
        <v>1290.3225806451612</v>
      </c>
      <c r="BZ49" s="887"/>
      <c r="DU49" s="1"/>
      <c r="EN49" s="1"/>
      <c r="GZ49" s="887">
        <f>GX38-GO38</f>
        <v>0</v>
      </c>
      <c r="JJ49" s="887"/>
      <c r="JM49" s="887"/>
      <c r="JN49" s="887"/>
      <c r="LH49" s="306"/>
      <c r="LI49" s="887"/>
      <c r="LJ49" s="887"/>
      <c r="LK49" s="327"/>
      <c r="LN49" s="314"/>
      <c r="LR49" s="314">
        <v>7339.2969999999996</v>
      </c>
      <c r="NP49" s="1"/>
      <c r="OC49" s="1"/>
      <c r="RZ49" s="1"/>
    </row>
    <row r="50" spans="2:494" hidden="1">
      <c r="M50" s="92"/>
      <c r="O50">
        <f>'Summary TCM'!BB21</f>
        <v>3600000</v>
      </c>
      <c r="P50" s="1692">
        <f>'Summary TCM'!BB38</f>
        <v>235000</v>
      </c>
      <c r="S50">
        <f>'Summary TCM'!BB25/31</f>
        <v>33870.967741935485</v>
      </c>
      <c r="T50" s="887">
        <f>'Summary TCM'!BB42/31</f>
        <v>1774.1935483870968</v>
      </c>
      <c r="U50" s="887"/>
      <c r="W50">
        <f>'Summary TCM'!BB29+'Summary TCM'!BB99</f>
        <v>720000</v>
      </c>
      <c r="X50" s="887">
        <f>'Summary TCM'!BB46+'Summary TCM'!BB113</f>
        <v>70000</v>
      </c>
      <c r="AB50" s="887"/>
      <c r="AD50" s="887"/>
      <c r="AX50" s="887"/>
      <c r="BD50" s="887"/>
      <c r="BM50" s="887"/>
      <c r="BN50" s="887"/>
      <c r="BQ50" s="887"/>
      <c r="BW50" s="887"/>
      <c r="GO50" s="1079"/>
      <c r="GT50" s="887">
        <f>GT43/31</f>
        <v>0</v>
      </c>
      <c r="JJ50" s="887"/>
      <c r="JM50" s="95"/>
      <c r="JN50" s="887"/>
      <c r="JP50" s="95"/>
      <c r="JR50" s="887"/>
      <c r="LI50" s="887"/>
      <c r="LJ50" s="95"/>
      <c r="LM50" s="314"/>
      <c r="LN50" s="314"/>
      <c r="LZ50" s="1078"/>
      <c r="NP50" s="1"/>
      <c r="RZ50" s="1"/>
    </row>
    <row r="51" spans="2:494" ht="22.95" hidden="1" customHeight="1">
      <c r="M51" s="39"/>
      <c r="O51" s="1">
        <f>O50/31</f>
        <v>116129.03225806452</v>
      </c>
      <c r="P51" s="887">
        <f>P50/31</f>
        <v>7580.6451612903229</v>
      </c>
      <c r="W51">
        <f>W50/31</f>
        <v>23225.806451612902</v>
      </c>
      <c r="X51" s="887">
        <f>X50/31</f>
        <v>2258.0645161290322</v>
      </c>
      <c r="Y51" s="887"/>
      <c r="AB51" s="887"/>
      <c r="JM51" s="485"/>
      <c r="LL51" s="95"/>
      <c r="NP51" s="1"/>
      <c r="RZ51" s="1"/>
    </row>
    <row r="52" spans="2:494" s="145" customFormat="1" hidden="1">
      <c r="M52" s="982"/>
      <c r="O52" s="1717">
        <v>116129.03225806452</v>
      </c>
      <c r="P52" s="1717">
        <v>7580.6451612903229</v>
      </c>
      <c r="S52" s="2222">
        <f>S50</f>
        <v>33870.967741935485</v>
      </c>
      <c r="T52" s="2222">
        <f>T50</f>
        <v>1774.1935483870968</v>
      </c>
      <c r="W52" s="2222">
        <v>23225.806451612902</v>
      </c>
      <c r="X52" s="2222">
        <v>2258.0645161290322</v>
      </c>
      <c r="AB52" s="489">
        <f>P43-P41</f>
        <v>20217.699999999953</v>
      </c>
      <c r="AW52" s="145">
        <f>114433+880303+87096</f>
        <v>1081832</v>
      </c>
      <c r="AX52" s="145">
        <f>14516+24194+16935</f>
        <v>55645</v>
      </c>
      <c r="BC52" s="145">
        <f>10391+32968</f>
        <v>43359</v>
      </c>
      <c r="JN52" s="432"/>
      <c r="NP52" s="1"/>
      <c r="RZ52" s="459"/>
    </row>
    <row r="53" spans="2:494" s="145" customFormat="1" hidden="1">
      <c r="B53" s="145">
        <v>1</v>
      </c>
      <c r="C53" s="459"/>
      <c r="D53" s="459"/>
      <c r="M53" s="982"/>
      <c r="N53" s="145">
        <v>1</v>
      </c>
      <c r="O53" s="459">
        <f>O52</f>
        <v>116129.03225806452</v>
      </c>
      <c r="P53" s="986">
        <f>P52</f>
        <v>7580.6451612903229</v>
      </c>
      <c r="R53" s="145">
        <v>1</v>
      </c>
      <c r="S53" s="459">
        <f>S52</f>
        <v>33870.967741935485</v>
      </c>
      <c r="T53" s="459">
        <f>T52</f>
        <v>1774.1935483870968</v>
      </c>
      <c r="V53" s="145">
        <v>1</v>
      </c>
      <c r="W53" s="459">
        <f>W52</f>
        <v>23225.806451612902</v>
      </c>
      <c r="X53" s="145">
        <f>X52</f>
        <v>2258.0645161290322</v>
      </c>
      <c r="Z53" s="145">
        <v>1</v>
      </c>
      <c r="AB53" s="145">
        <v>30</v>
      </c>
      <c r="BF53" s="145">
        <v>121506</v>
      </c>
      <c r="NP53" s="1"/>
      <c r="RZ53" s="459"/>
    </row>
    <row r="54" spans="2:494" s="145" customFormat="1" hidden="1">
      <c r="B54" s="145">
        <v>2</v>
      </c>
      <c r="C54" s="459"/>
      <c r="D54" s="459"/>
      <c r="M54" s="982"/>
      <c r="N54" s="145">
        <v>2</v>
      </c>
      <c r="O54" s="459">
        <f t="shared" ref="O54:O83" si="217">O53+($O$52)</f>
        <v>232258.06451612903</v>
      </c>
      <c r="P54" s="986">
        <f t="shared" ref="P54:P83" si="218">P53+($P$52)</f>
        <v>15161.290322580646</v>
      </c>
      <c r="R54" s="145">
        <v>2</v>
      </c>
      <c r="S54" s="459">
        <f t="shared" ref="S54:S83" si="219">S53+($S$52)</f>
        <v>67741.93548387097</v>
      </c>
      <c r="T54" s="459">
        <f t="shared" ref="T54:T83" si="220">T53+$T$52</f>
        <v>3548.3870967741937</v>
      </c>
      <c r="V54" s="145">
        <v>2</v>
      </c>
      <c r="W54" s="459">
        <f t="shared" ref="W54:W83" si="221">W53+($W$52)</f>
        <v>46451.612903225803</v>
      </c>
      <c r="X54" s="459">
        <f t="shared" ref="X54:X83" si="222">X53+$X$52</f>
        <v>4516.1290322580644</v>
      </c>
      <c r="Z54" s="145">
        <v>2</v>
      </c>
      <c r="AB54" s="489">
        <f>AB52/AB53</f>
        <v>673.92333333333181</v>
      </c>
      <c r="BF54" s="145">
        <v>896260</v>
      </c>
      <c r="NP54" s="1"/>
      <c r="RZ54" s="459"/>
    </row>
    <row r="55" spans="2:494" s="145" customFormat="1" hidden="1">
      <c r="B55" s="145">
        <v>3</v>
      </c>
      <c r="C55" s="459"/>
      <c r="D55" s="459"/>
      <c r="M55" s="982"/>
      <c r="N55" s="145">
        <v>3</v>
      </c>
      <c r="O55" s="459">
        <f t="shared" si="217"/>
        <v>348387.09677419357</v>
      </c>
      <c r="P55" s="986">
        <f t="shared" si="218"/>
        <v>22741.93548387097</v>
      </c>
      <c r="R55" s="145">
        <v>3</v>
      </c>
      <c r="S55" s="459">
        <f t="shared" si="219"/>
        <v>101612.90322580645</v>
      </c>
      <c r="T55" s="459">
        <f t="shared" si="220"/>
        <v>5322.5806451612907</v>
      </c>
      <c r="V55" s="145">
        <v>3</v>
      </c>
      <c r="W55" s="459">
        <f t="shared" si="221"/>
        <v>69677.419354838697</v>
      </c>
      <c r="X55" s="459">
        <f t="shared" si="222"/>
        <v>6774.1935483870966</v>
      </c>
      <c r="Z55" s="145">
        <v>3</v>
      </c>
      <c r="BF55" s="145">
        <v>24906</v>
      </c>
      <c r="NP55" s="1"/>
      <c r="RZ55" s="459"/>
    </row>
    <row r="56" spans="2:494" s="145" customFormat="1" hidden="1">
      <c r="B56" s="145">
        <v>4</v>
      </c>
      <c r="C56" s="459"/>
      <c r="D56" s="459"/>
      <c r="M56" s="982"/>
      <c r="N56" s="145">
        <v>4</v>
      </c>
      <c r="O56" s="459">
        <f t="shared" si="217"/>
        <v>464516.12903225806</v>
      </c>
      <c r="P56" s="986">
        <f t="shared" si="218"/>
        <v>30322.580645161292</v>
      </c>
      <c r="R56" s="145">
        <v>4</v>
      </c>
      <c r="S56" s="459">
        <f t="shared" si="219"/>
        <v>135483.87096774194</v>
      </c>
      <c r="T56" s="459">
        <f t="shared" si="220"/>
        <v>7096.7741935483873</v>
      </c>
      <c r="V56" s="145">
        <v>4</v>
      </c>
      <c r="W56" s="459">
        <f t="shared" si="221"/>
        <v>92903.225806451606</v>
      </c>
      <c r="X56" s="459">
        <f t="shared" si="222"/>
        <v>9032.2580645161288</v>
      </c>
      <c r="Z56" s="145">
        <v>4</v>
      </c>
      <c r="NP56" s="1"/>
      <c r="RZ56" s="459"/>
    </row>
    <row r="57" spans="2:494" s="145" customFormat="1" hidden="1">
      <c r="B57" s="145">
        <v>5</v>
      </c>
      <c r="C57" s="459"/>
      <c r="D57" s="459"/>
      <c r="M57" s="982"/>
      <c r="N57" s="145">
        <v>5</v>
      </c>
      <c r="O57" s="459">
        <f t="shared" si="217"/>
        <v>580645.16129032255</v>
      </c>
      <c r="P57" s="986">
        <f t="shared" si="218"/>
        <v>37903.225806451614</v>
      </c>
      <c r="R57" s="145">
        <v>5</v>
      </c>
      <c r="S57" s="459">
        <f t="shared" si="219"/>
        <v>169354.83870967742</v>
      </c>
      <c r="T57" s="459">
        <f t="shared" si="220"/>
        <v>8870.9677419354848</v>
      </c>
      <c r="V57" s="145">
        <v>5</v>
      </c>
      <c r="W57" s="459">
        <f t="shared" si="221"/>
        <v>116129.03225806452</v>
      </c>
      <c r="X57" s="459">
        <f t="shared" si="222"/>
        <v>11290.322580645161</v>
      </c>
      <c r="Z57" s="145">
        <v>5</v>
      </c>
      <c r="BF57" s="1005">
        <f>SUM(BF53:BF56)</f>
        <v>1042672</v>
      </c>
      <c r="NP57" s="1"/>
      <c r="RZ57" s="459"/>
    </row>
    <row r="58" spans="2:494" s="145" customFormat="1" hidden="1">
      <c r="B58" s="145">
        <v>6</v>
      </c>
      <c r="C58" s="459"/>
      <c r="D58" s="459"/>
      <c r="M58" s="982"/>
      <c r="N58" s="145">
        <v>6</v>
      </c>
      <c r="O58" s="459">
        <f t="shared" si="217"/>
        <v>696774.19354838703</v>
      </c>
      <c r="P58" s="986">
        <f t="shared" si="218"/>
        <v>45483.870967741939</v>
      </c>
      <c r="R58" s="145">
        <v>6</v>
      </c>
      <c r="S58" s="459">
        <f t="shared" si="219"/>
        <v>203225.80645161291</v>
      </c>
      <c r="T58" s="459">
        <f t="shared" si="220"/>
        <v>10645.161290322581</v>
      </c>
      <c r="V58" s="145">
        <v>6</v>
      </c>
      <c r="W58" s="459">
        <f t="shared" si="221"/>
        <v>139354.83870967742</v>
      </c>
      <c r="X58" s="459">
        <f t="shared" si="222"/>
        <v>13548.387096774193</v>
      </c>
      <c r="Z58" s="145">
        <v>6</v>
      </c>
      <c r="BF58" s="145">
        <f>1038834-1017766</f>
        <v>21068</v>
      </c>
      <c r="NP58" s="1"/>
      <c r="RZ58" s="459"/>
    </row>
    <row r="59" spans="2:494" s="145" customFormat="1" hidden="1">
      <c r="B59" s="145">
        <v>7</v>
      </c>
      <c r="C59" s="459"/>
      <c r="D59" s="459"/>
      <c r="M59" s="982"/>
      <c r="N59" s="145">
        <v>7</v>
      </c>
      <c r="O59" s="459">
        <f t="shared" si="217"/>
        <v>812903.22580645152</v>
      </c>
      <c r="P59" s="986">
        <f t="shared" si="218"/>
        <v>53064.516129032265</v>
      </c>
      <c r="R59" s="145">
        <v>7</v>
      </c>
      <c r="S59" s="459">
        <f t="shared" si="219"/>
        <v>237096.77419354839</v>
      </c>
      <c r="T59" s="459">
        <f t="shared" si="220"/>
        <v>12419.354838709678</v>
      </c>
      <c r="V59" s="145">
        <v>7</v>
      </c>
      <c r="W59" s="459">
        <f t="shared" si="221"/>
        <v>162580.64516129033</v>
      </c>
      <c r="X59" s="459">
        <f t="shared" si="222"/>
        <v>15806.451612903225</v>
      </c>
      <c r="Z59" s="145">
        <v>7</v>
      </c>
      <c r="BF59" s="145">
        <f>BF57-1038834</f>
        <v>3838</v>
      </c>
      <c r="NP59" s="1"/>
      <c r="RZ59" s="459"/>
    </row>
    <row r="60" spans="2:494" s="145" customFormat="1" hidden="1">
      <c r="B60" s="145">
        <v>8</v>
      </c>
      <c r="C60" s="459"/>
      <c r="D60" s="459"/>
      <c r="M60" s="982"/>
      <c r="N60" s="145">
        <v>8</v>
      </c>
      <c r="O60" s="459">
        <f t="shared" si="217"/>
        <v>929032.25806451601</v>
      </c>
      <c r="P60" s="986">
        <f t="shared" si="218"/>
        <v>60645.161290322591</v>
      </c>
      <c r="R60" s="145">
        <v>8</v>
      </c>
      <c r="S60" s="459">
        <f t="shared" si="219"/>
        <v>270967.74193548388</v>
      </c>
      <c r="T60" s="459">
        <f t="shared" si="220"/>
        <v>14193.548387096775</v>
      </c>
      <c r="V60" s="145">
        <v>8</v>
      </c>
      <c r="W60" s="459">
        <f t="shared" si="221"/>
        <v>185806.45161290324</v>
      </c>
      <c r="X60" s="459">
        <f t="shared" si="222"/>
        <v>18064.516129032258</v>
      </c>
      <c r="Z60" s="145">
        <v>8</v>
      </c>
      <c r="AP60" s="145">
        <v>37911.700000000004</v>
      </c>
      <c r="NP60" s="1"/>
      <c r="RZ60" s="459"/>
    </row>
    <row r="61" spans="2:494" s="145" customFormat="1" hidden="1">
      <c r="B61" s="145">
        <v>9</v>
      </c>
      <c r="C61" s="459"/>
      <c r="D61" s="459"/>
      <c r="M61" s="982"/>
      <c r="N61" s="145">
        <v>9</v>
      </c>
      <c r="O61" s="459">
        <f t="shared" si="217"/>
        <v>1045161.2903225805</v>
      </c>
      <c r="P61" s="986">
        <f t="shared" si="218"/>
        <v>68225.806451612909</v>
      </c>
      <c r="R61" s="145">
        <v>9</v>
      </c>
      <c r="S61" s="459">
        <f t="shared" si="219"/>
        <v>304838.70967741939</v>
      </c>
      <c r="T61" s="459">
        <f t="shared" si="220"/>
        <v>15967.741935483871</v>
      </c>
      <c r="V61" s="145">
        <v>9</v>
      </c>
      <c r="W61" s="459">
        <f t="shared" si="221"/>
        <v>209032.25806451615</v>
      </c>
      <c r="X61" s="459">
        <f t="shared" si="222"/>
        <v>20322.580645161288</v>
      </c>
      <c r="Z61" s="145">
        <v>9</v>
      </c>
      <c r="NP61" s="1"/>
      <c r="RZ61" s="459"/>
    </row>
    <row r="62" spans="2:494" s="145" customFormat="1" hidden="1">
      <c r="B62" s="145">
        <v>10</v>
      </c>
      <c r="C62" s="459"/>
      <c r="D62" s="459"/>
      <c r="M62" s="982"/>
      <c r="N62" s="145">
        <v>10</v>
      </c>
      <c r="O62" s="459">
        <f t="shared" si="217"/>
        <v>1161290.3225806451</v>
      </c>
      <c r="P62" s="986">
        <f t="shared" si="218"/>
        <v>75806.451612903227</v>
      </c>
      <c r="R62" s="145">
        <v>10</v>
      </c>
      <c r="S62" s="459">
        <f t="shared" si="219"/>
        <v>338709.67741935491</v>
      </c>
      <c r="T62" s="459">
        <f t="shared" si="220"/>
        <v>17741.93548387097</v>
      </c>
      <c r="V62" s="145">
        <v>10</v>
      </c>
      <c r="W62" s="459">
        <f t="shared" si="221"/>
        <v>232258.06451612906</v>
      </c>
      <c r="X62" s="459">
        <f t="shared" si="222"/>
        <v>22580.645161290318</v>
      </c>
      <c r="Z62" s="145">
        <v>10</v>
      </c>
      <c r="NP62" s="1"/>
      <c r="RZ62" s="459"/>
    </row>
    <row r="63" spans="2:494" s="145" customFormat="1" hidden="1">
      <c r="B63" s="145">
        <v>11</v>
      </c>
      <c r="C63" s="459"/>
      <c r="D63" s="459"/>
      <c r="M63" s="982"/>
      <c r="N63" s="145">
        <v>11</v>
      </c>
      <c r="O63" s="459">
        <f t="shared" si="217"/>
        <v>1277419.3548387096</v>
      </c>
      <c r="P63" s="986">
        <f t="shared" si="218"/>
        <v>83387.096774193546</v>
      </c>
      <c r="R63" s="145">
        <v>11</v>
      </c>
      <c r="S63" s="459">
        <f t="shared" si="219"/>
        <v>372580.64516129042</v>
      </c>
      <c r="T63" s="459">
        <f t="shared" si="220"/>
        <v>19516.129032258068</v>
      </c>
      <c r="V63" s="145">
        <v>11</v>
      </c>
      <c r="W63" s="459">
        <f t="shared" si="221"/>
        <v>255483.87096774197</v>
      </c>
      <c r="X63" s="459">
        <f t="shared" si="222"/>
        <v>24838.709677419349</v>
      </c>
      <c r="Z63" s="145">
        <v>11</v>
      </c>
      <c r="NP63" s="1"/>
      <c r="RZ63" s="459"/>
    </row>
    <row r="64" spans="2:494" s="145" customFormat="1" hidden="1">
      <c r="B64" s="145">
        <v>12</v>
      </c>
      <c r="C64" s="459"/>
      <c r="D64" s="459"/>
      <c r="M64" s="982"/>
      <c r="N64" s="145">
        <v>12</v>
      </c>
      <c r="O64" s="459">
        <f t="shared" si="217"/>
        <v>1393548.3870967741</v>
      </c>
      <c r="P64" s="986">
        <f t="shared" si="218"/>
        <v>90967.741935483864</v>
      </c>
      <c r="R64" s="145">
        <v>12</v>
      </c>
      <c r="S64" s="459">
        <f t="shared" si="219"/>
        <v>406451.61290322593</v>
      </c>
      <c r="T64" s="459">
        <f t="shared" si="220"/>
        <v>21290.322580645166</v>
      </c>
      <c r="V64" s="145">
        <v>12</v>
      </c>
      <c r="W64" s="459">
        <f t="shared" si="221"/>
        <v>278709.67741935485</v>
      </c>
      <c r="X64" s="459">
        <f t="shared" si="222"/>
        <v>27096.774193548379</v>
      </c>
      <c r="Z64" s="145">
        <v>12</v>
      </c>
      <c r="NP64" s="1"/>
      <c r="RZ64" s="459"/>
    </row>
    <row r="65" spans="2:494" s="145" customFormat="1" hidden="1">
      <c r="B65" s="145">
        <v>13</v>
      </c>
      <c r="C65" s="459"/>
      <c r="D65" s="459"/>
      <c r="M65" s="982"/>
      <c r="N65" s="145">
        <v>13</v>
      </c>
      <c r="O65" s="459">
        <f t="shared" si="217"/>
        <v>1509677.4193548386</v>
      </c>
      <c r="P65" s="986">
        <f t="shared" si="218"/>
        <v>98548.387096774182</v>
      </c>
      <c r="R65" s="145">
        <v>13</v>
      </c>
      <c r="S65" s="459">
        <f t="shared" si="219"/>
        <v>440322.58064516145</v>
      </c>
      <c r="T65" s="459">
        <f t="shared" si="220"/>
        <v>23064.516129032265</v>
      </c>
      <c r="V65" s="145">
        <v>13</v>
      </c>
      <c r="W65" s="459">
        <f t="shared" si="221"/>
        <v>301935.48387096776</v>
      </c>
      <c r="X65" s="459">
        <f t="shared" si="222"/>
        <v>29354.838709677409</v>
      </c>
      <c r="Z65" s="145">
        <v>13</v>
      </c>
      <c r="NP65" s="1"/>
      <c r="RZ65" s="459"/>
    </row>
    <row r="66" spans="2:494" s="145" customFormat="1" hidden="1">
      <c r="B66" s="145">
        <v>14</v>
      </c>
      <c r="C66" s="459"/>
      <c r="D66" s="459"/>
      <c r="M66" s="982"/>
      <c r="N66" s="145">
        <v>14</v>
      </c>
      <c r="O66" s="459">
        <f t="shared" si="217"/>
        <v>1625806.451612903</v>
      </c>
      <c r="P66" s="986">
        <f t="shared" si="218"/>
        <v>106129.0322580645</v>
      </c>
      <c r="R66" s="145">
        <v>14</v>
      </c>
      <c r="S66" s="459">
        <f t="shared" si="219"/>
        <v>474193.54838709696</v>
      </c>
      <c r="T66" s="459">
        <f t="shared" si="220"/>
        <v>24838.709677419363</v>
      </c>
      <c r="V66" s="145">
        <v>14</v>
      </c>
      <c r="W66" s="459">
        <f t="shared" si="221"/>
        <v>325161.29032258067</v>
      </c>
      <c r="X66" s="459">
        <f t="shared" si="222"/>
        <v>31612.90322580644</v>
      </c>
      <c r="Z66" s="145">
        <v>14</v>
      </c>
      <c r="NP66" s="1"/>
      <c r="RZ66" s="459"/>
    </row>
    <row r="67" spans="2:494" s="145" customFormat="1" hidden="1">
      <c r="B67" s="145">
        <v>15</v>
      </c>
      <c r="C67" s="459"/>
      <c r="D67" s="459"/>
      <c r="M67" s="982"/>
      <c r="N67" s="145">
        <v>15</v>
      </c>
      <c r="O67" s="459">
        <f t="shared" si="217"/>
        <v>1741935.4838709675</v>
      </c>
      <c r="P67" s="986">
        <f t="shared" si="218"/>
        <v>113709.67741935482</v>
      </c>
      <c r="R67" s="145">
        <v>15</v>
      </c>
      <c r="S67" s="459">
        <f t="shared" si="219"/>
        <v>508064.51612903248</v>
      </c>
      <c r="T67" s="459">
        <f t="shared" si="220"/>
        <v>26612.903225806462</v>
      </c>
      <c r="V67" s="145">
        <v>15</v>
      </c>
      <c r="W67" s="459">
        <f t="shared" si="221"/>
        <v>348387.09677419357</v>
      </c>
      <c r="X67" s="459">
        <f t="shared" si="222"/>
        <v>33870.96774193547</v>
      </c>
      <c r="Z67" s="145">
        <v>15</v>
      </c>
      <c r="NP67" s="1"/>
      <c r="RZ67" s="459"/>
    </row>
    <row r="68" spans="2:494" s="145" customFormat="1" hidden="1">
      <c r="B68" s="145">
        <v>16</v>
      </c>
      <c r="C68" s="459"/>
      <c r="D68" s="459"/>
      <c r="M68" s="982"/>
      <c r="N68" s="145">
        <v>16</v>
      </c>
      <c r="O68" s="459">
        <f t="shared" si="217"/>
        <v>1858064.516129032</v>
      </c>
      <c r="P68" s="986">
        <f t="shared" si="218"/>
        <v>121290.32258064514</v>
      </c>
      <c r="R68" s="145">
        <v>16</v>
      </c>
      <c r="S68" s="459">
        <f t="shared" si="219"/>
        <v>541935.48387096799</v>
      </c>
      <c r="T68" s="459">
        <f t="shared" si="220"/>
        <v>28387.09677419356</v>
      </c>
      <c r="V68" s="145">
        <v>16</v>
      </c>
      <c r="W68" s="459">
        <f t="shared" si="221"/>
        <v>371612.90322580648</v>
      </c>
      <c r="X68" s="459">
        <f t="shared" si="222"/>
        <v>36129.032258064501</v>
      </c>
      <c r="Z68" s="145">
        <v>16</v>
      </c>
      <c r="NP68" s="1"/>
      <c r="RZ68" s="459"/>
    </row>
    <row r="69" spans="2:494" s="145" customFormat="1" hidden="1">
      <c r="B69" s="145">
        <v>17</v>
      </c>
      <c r="C69" s="459"/>
      <c r="D69" s="459"/>
      <c r="N69" s="145">
        <v>17</v>
      </c>
      <c r="O69" s="459">
        <f t="shared" si="217"/>
        <v>1974193.5483870965</v>
      </c>
      <c r="P69" s="986">
        <f t="shared" si="218"/>
        <v>128870.96774193546</v>
      </c>
      <c r="R69" s="145">
        <v>17</v>
      </c>
      <c r="S69" s="459">
        <f t="shared" si="219"/>
        <v>575806.4516129035</v>
      </c>
      <c r="T69" s="459">
        <f t="shared" si="220"/>
        <v>30161.290322580659</v>
      </c>
      <c r="V69" s="145">
        <v>17</v>
      </c>
      <c r="W69" s="459">
        <f t="shared" si="221"/>
        <v>394838.70967741939</v>
      </c>
      <c r="X69" s="459">
        <f t="shared" si="222"/>
        <v>38387.096774193531</v>
      </c>
      <c r="Z69" s="145">
        <v>17</v>
      </c>
      <c r="NP69" s="1"/>
      <c r="RZ69" s="459"/>
    </row>
    <row r="70" spans="2:494" s="145" customFormat="1" hidden="1">
      <c r="B70" s="145">
        <v>18</v>
      </c>
      <c r="C70" s="459"/>
      <c r="D70" s="459"/>
      <c r="N70" s="145">
        <v>18</v>
      </c>
      <c r="O70" s="459">
        <f t="shared" si="217"/>
        <v>2090322.580645161</v>
      </c>
      <c r="P70" s="986">
        <f t="shared" si="218"/>
        <v>136451.61290322579</v>
      </c>
      <c r="R70" s="145">
        <v>18</v>
      </c>
      <c r="S70" s="459">
        <f t="shared" si="219"/>
        <v>609677.41935483902</v>
      </c>
      <c r="T70" s="459">
        <f t="shared" si="220"/>
        <v>31935.483870967757</v>
      </c>
      <c r="V70" s="145">
        <v>18</v>
      </c>
      <c r="W70" s="459">
        <f t="shared" si="221"/>
        <v>418064.5161290323</v>
      </c>
      <c r="X70" s="459">
        <f t="shared" si="222"/>
        <v>40645.161290322561</v>
      </c>
      <c r="Z70" s="145">
        <v>18</v>
      </c>
      <c r="NP70" s="1"/>
      <c r="RZ70" s="459"/>
    </row>
    <row r="71" spans="2:494" s="145" customFormat="1" hidden="1">
      <c r="B71" s="145">
        <v>19</v>
      </c>
      <c r="C71" s="459"/>
      <c r="D71" s="459"/>
      <c r="N71" s="145">
        <v>19</v>
      </c>
      <c r="O71" s="459">
        <f t="shared" si="217"/>
        <v>2206451.6129032257</v>
      </c>
      <c r="P71" s="986">
        <f t="shared" si="218"/>
        <v>144032.25806451612</v>
      </c>
      <c r="R71" s="145">
        <v>19</v>
      </c>
      <c r="S71" s="459">
        <f t="shared" si="219"/>
        <v>643548.38709677453</v>
      </c>
      <c r="T71" s="459">
        <f t="shared" si="220"/>
        <v>33709.677419354855</v>
      </c>
      <c r="V71" s="145">
        <v>19</v>
      </c>
      <c r="W71" s="459">
        <f t="shared" si="221"/>
        <v>441290.32258064521</v>
      </c>
      <c r="X71" s="459">
        <f t="shared" si="222"/>
        <v>42903.225806451592</v>
      </c>
      <c r="Z71" s="145">
        <v>19</v>
      </c>
      <c r="NP71" s="1"/>
      <c r="RZ71" s="459"/>
    </row>
    <row r="72" spans="2:494" s="145" customFormat="1" hidden="1">
      <c r="B72" s="145">
        <v>20</v>
      </c>
      <c r="C72" s="459"/>
      <c r="D72" s="459"/>
      <c r="N72" s="145">
        <v>20</v>
      </c>
      <c r="O72" s="459">
        <f t="shared" si="217"/>
        <v>2322580.6451612902</v>
      </c>
      <c r="P72" s="986">
        <f t="shared" si="218"/>
        <v>151612.90322580645</v>
      </c>
      <c r="R72" s="145">
        <v>20</v>
      </c>
      <c r="S72" s="459">
        <f t="shared" si="219"/>
        <v>677419.35483871005</v>
      </c>
      <c r="T72" s="459">
        <f t="shared" si="220"/>
        <v>35483.870967741954</v>
      </c>
      <c r="V72" s="145">
        <v>20</v>
      </c>
      <c r="W72" s="459">
        <f t="shared" si="221"/>
        <v>464516.12903225812</v>
      </c>
      <c r="X72" s="459">
        <f t="shared" si="222"/>
        <v>45161.290322580622</v>
      </c>
      <c r="Z72" s="145">
        <v>20</v>
      </c>
      <c r="NP72" s="1"/>
      <c r="RZ72" s="459"/>
    </row>
    <row r="73" spans="2:494" s="145" customFormat="1" hidden="1">
      <c r="B73" s="145">
        <v>21</v>
      </c>
      <c r="C73" s="459"/>
      <c r="D73" s="459"/>
      <c r="N73" s="145">
        <v>21</v>
      </c>
      <c r="O73" s="459">
        <f t="shared" si="217"/>
        <v>2438709.6774193547</v>
      </c>
      <c r="P73" s="986">
        <f t="shared" si="218"/>
        <v>159193.54838709679</v>
      </c>
      <c r="R73" s="145">
        <v>21</v>
      </c>
      <c r="S73" s="459">
        <f t="shared" si="219"/>
        <v>711290.32258064556</v>
      </c>
      <c r="T73" s="459">
        <f t="shared" si="220"/>
        <v>37258.064516129052</v>
      </c>
      <c r="V73" s="145">
        <v>21</v>
      </c>
      <c r="W73" s="459">
        <f t="shared" si="221"/>
        <v>487741.93548387103</v>
      </c>
      <c r="X73" s="459">
        <f t="shared" si="222"/>
        <v>47419.354838709653</v>
      </c>
      <c r="Z73" s="145">
        <v>21</v>
      </c>
      <c r="NP73" s="1"/>
      <c r="RZ73" s="459"/>
    </row>
    <row r="74" spans="2:494" s="145" customFormat="1" hidden="1">
      <c r="B74" s="145">
        <v>22</v>
      </c>
      <c r="C74" s="459"/>
      <c r="D74" s="459"/>
      <c r="N74" s="145">
        <v>22</v>
      </c>
      <c r="O74" s="459">
        <f t="shared" si="217"/>
        <v>2554838.7096774192</v>
      </c>
      <c r="P74" s="986">
        <f t="shared" si="218"/>
        <v>166774.19354838712</v>
      </c>
      <c r="R74" s="145">
        <v>22</v>
      </c>
      <c r="S74" s="459">
        <f t="shared" si="219"/>
        <v>745161.29032258107</v>
      </c>
      <c r="T74" s="459">
        <f t="shared" si="220"/>
        <v>39032.258064516151</v>
      </c>
      <c r="V74" s="145">
        <v>22</v>
      </c>
      <c r="W74" s="459">
        <f t="shared" si="221"/>
        <v>510967.74193548394</v>
      </c>
      <c r="X74" s="459">
        <f t="shared" si="222"/>
        <v>49677.419354838683</v>
      </c>
      <c r="Z74" s="145">
        <v>22</v>
      </c>
      <c r="NP74" s="1"/>
      <c r="RZ74" s="459"/>
    </row>
    <row r="75" spans="2:494" s="145" customFormat="1" hidden="1">
      <c r="B75" s="145">
        <v>23</v>
      </c>
      <c r="C75" s="459"/>
      <c r="D75" s="459"/>
      <c r="N75" s="145">
        <v>23</v>
      </c>
      <c r="O75" s="459">
        <f t="shared" si="217"/>
        <v>2670967.7419354836</v>
      </c>
      <c r="P75" s="986">
        <f t="shared" si="218"/>
        <v>174354.83870967745</v>
      </c>
      <c r="R75" s="145">
        <v>23</v>
      </c>
      <c r="S75" s="459">
        <f t="shared" si="219"/>
        <v>779032.25806451659</v>
      </c>
      <c r="T75" s="459">
        <f t="shared" si="220"/>
        <v>40806.451612903249</v>
      </c>
      <c r="V75" s="145">
        <v>23</v>
      </c>
      <c r="W75" s="459">
        <f t="shared" si="221"/>
        <v>534193.54838709685</v>
      </c>
      <c r="X75" s="459">
        <f t="shared" si="222"/>
        <v>51935.483870967713</v>
      </c>
      <c r="Y75" s="459"/>
      <c r="Z75" s="145">
        <v>23</v>
      </c>
      <c r="NP75" s="1"/>
      <c r="RZ75" s="459"/>
    </row>
    <row r="76" spans="2:494" s="145" customFormat="1" hidden="1">
      <c r="B76" s="145">
        <v>24</v>
      </c>
      <c r="C76" s="459"/>
      <c r="D76" s="459"/>
      <c r="N76" s="145">
        <v>24</v>
      </c>
      <c r="O76" s="459">
        <f t="shared" si="217"/>
        <v>2787096.7741935481</v>
      </c>
      <c r="P76" s="986">
        <f t="shared" si="218"/>
        <v>181935.48387096779</v>
      </c>
      <c r="R76" s="145">
        <v>24</v>
      </c>
      <c r="S76" s="459">
        <f t="shared" si="219"/>
        <v>812903.2258064521</v>
      </c>
      <c r="T76" s="459">
        <f t="shared" si="220"/>
        <v>42580.645161290347</v>
      </c>
      <c r="V76" s="145">
        <v>24</v>
      </c>
      <c r="W76" s="459">
        <f t="shared" si="221"/>
        <v>557419.3548387097</v>
      </c>
      <c r="X76" s="459">
        <f t="shared" si="222"/>
        <v>54193.548387096744</v>
      </c>
      <c r="Z76" s="145">
        <v>24</v>
      </c>
      <c r="NP76" s="1"/>
      <c r="RZ76" s="459"/>
    </row>
    <row r="77" spans="2:494" s="145" customFormat="1" hidden="1">
      <c r="B77" s="145">
        <v>25</v>
      </c>
      <c r="C77" s="459"/>
      <c r="D77" s="459"/>
      <c r="N77" s="145">
        <v>25</v>
      </c>
      <c r="O77" s="459">
        <f t="shared" si="217"/>
        <v>2903225.8064516126</v>
      </c>
      <c r="P77" s="986">
        <f t="shared" si="218"/>
        <v>189516.12903225812</v>
      </c>
      <c r="R77" s="145">
        <v>25</v>
      </c>
      <c r="S77" s="459">
        <f t="shared" si="219"/>
        <v>846774.19354838762</v>
      </c>
      <c r="T77" s="459">
        <f t="shared" si="220"/>
        <v>44354.838709677446</v>
      </c>
      <c r="V77" s="145">
        <v>25</v>
      </c>
      <c r="W77" s="459">
        <f t="shared" si="221"/>
        <v>580645.16129032255</v>
      </c>
      <c r="X77" s="459">
        <f t="shared" si="222"/>
        <v>56451.612903225774</v>
      </c>
      <c r="Z77" s="145">
        <v>25</v>
      </c>
      <c r="NP77" s="1"/>
      <c r="RZ77" s="459"/>
    </row>
    <row r="78" spans="2:494" s="145" customFormat="1" hidden="1">
      <c r="B78" s="145">
        <v>26</v>
      </c>
      <c r="C78" s="459"/>
      <c r="D78" s="459"/>
      <c r="N78" s="145">
        <v>26</v>
      </c>
      <c r="O78" s="459">
        <f t="shared" si="217"/>
        <v>3019354.8387096771</v>
      </c>
      <c r="P78" s="986">
        <f t="shared" si="218"/>
        <v>197096.77419354845</v>
      </c>
      <c r="R78" s="145">
        <v>26</v>
      </c>
      <c r="S78" s="459">
        <f t="shared" si="219"/>
        <v>880645.16129032313</v>
      </c>
      <c r="T78" s="459">
        <f t="shared" si="220"/>
        <v>46129.032258064544</v>
      </c>
      <c r="V78" s="145">
        <v>26</v>
      </c>
      <c r="W78" s="459">
        <f t="shared" si="221"/>
        <v>603870.9677419354</v>
      </c>
      <c r="X78" s="459">
        <f t="shared" si="222"/>
        <v>58709.677419354804</v>
      </c>
      <c r="Z78" s="145">
        <v>26</v>
      </c>
      <c r="NP78" s="1"/>
      <c r="RZ78" s="459"/>
    </row>
    <row r="79" spans="2:494" s="145" customFormat="1" hidden="1">
      <c r="B79" s="145">
        <v>27</v>
      </c>
      <c r="C79" s="459"/>
      <c r="D79" s="459"/>
      <c r="N79" s="145">
        <v>27</v>
      </c>
      <c r="O79" s="459">
        <f t="shared" si="217"/>
        <v>3135483.8709677416</v>
      </c>
      <c r="P79" s="986">
        <f t="shared" si="218"/>
        <v>204677.41935483878</v>
      </c>
      <c r="R79" s="145">
        <v>27</v>
      </c>
      <c r="S79" s="459">
        <f t="shared" si="219"/>
        <v>914516.12903225864</v>
      </c>
      <c r="T79" s="459">
        <f t="shared" si="220"/>
        <v>47903.225806451643</v>
      </c>
      <c r="V79" s="145">
        <v>27</v>
      </c>
      <c r="W79" s="459">
        <f t="shared" si="221"/>
        <v>627096.77419354825</v>
      </c>
      <c r="X79" s="459">
        <f t="shared" si="222"/>
        <v>60967.741935483835</v>
      </c>
      <c r="Z79" s="145">
        <v>27</v>
      </c>
      <c r="NP79" s="1"/>
      <c r="RZ79" s="459"/>
    </row>
    <row r="80" spans="2:494" s="145" customFormat="1" hidden="1">
      <c r="B80" s="145">
        <v>28</v>
      </c>
      <c r="C80" s="459"/>
      <c r="D80" s="459"/>
      <c r="N80" s="145">
        <v>28</v>
      </c>
      <c r="O80" s="459">
        <f t="shared" si="217"/>
        <v>3251612.9032258061</v>
      </c>
      <c r="P80" s="986">
        <f t="shared" si="218"/>
        <v>212258.06451612912</v>
      </c>
      <c r="R80" s="145">
        <v>28</v>
      </c>
      <c r="S80" s="459">
        <f t="shared" si="219"/>
        <v>948387.09677419416</v>
      </c>
      <c r="T80" s="459">
        <f t="shared" si="220"/>
        <v>49677.419354838741</v>
      </c>
      <c r="V80" s="145">
        <v>28</v>
      </c>
      <c r="W80" s="459">
        <f t="shared" si="221"/>
        <v>650322.5806451611</v>
      </c>
      <c r="X80" s="459">
        <f t="shared" si="222"/>
        <v>63225.806451612865</v>
      </c>
      <c r="Z80" s="145">
        <v>28</v>
      </c>
      <c r="NP80" s="1"/>
      <c r="RZ80" s="459"/>
    </row>
    <row r="81" spans="2:494" s="145" customFormat="1" hidden="1">
      <c r="B81" s="145">
        <v>29</v>
      </c>
      <c r="C81" s="459"/>
      <c r="D81" s="459"/>
      <c r="N81" s="145">
        <v>29</v>
      </c>
      <c r="O81" s="459">
        <f t="shared" si="217"/>
        <v>3367741.9354838706</v>
      </c>
      <c r="P81" s="986">
        <f t="shared" si="218"/>
        <v>219838.70967741945</v>
      </c>
      <c r="R81" s="145">
        <v>29</v>
      </c>
      <c r="S81" s="459">
        <f t="shared" si="219"/>
        <v>982258.06451612967</v>
      </c>
      <c r="T81" s="459">
        <f t="shared" si="220"/>
        <v>51451.61290322584</v>
      </c>
      <c r="V81" s="145">
        <v>29</v>
      </c>
      <c r="W81" s="459">
        <f t="shared" si="221"/>
        <v>673548.38709677395</v>
      </c>
      <c r="X81" s="459">
        <f t="shared" si="222"/>
        <v>65483.870967741896</v>
      </c>
      <c r="Z81" s="145">
        <v>29</v>
      </c>
      <c r="NP81" s="1"/>
      <c r="RZ81" s="459"/>
    </row>
    <row r="82" spans="2:494" s="145" customFormat="1" hidden="1">
      <c r="B82" s="145">
        <v>30</v>
      </c>
      <c r="C82" s="459"/>
      <c r="D82" s="459"/>
      <c r="N82" s="145">
        <v>30</v>
      </c>
      <c r="O82" s="459">
        <f t="shared" si="217"/>
        <v>3483870.967741935</v>
      </c>
      <c r="P82" s="986">
        <f t="shared" si="218"/>
        <v>227419.35483870978</v>
      </c>
      <c r="R82" s="145">
        <v>30</v>
      </c>
      <c r="S82" s="459">
        <f t="shared" si="219"/>
        <v>1016129.0322580652</v>
      </c>
      <c r="T82" s="459">
        <f t="shared" si="220"/>
        <v>53225.806451612938</v>
      </c>
      <c r="V82" s="145">
        <v>30</v>
      </c>
      <c r="W82" s="459">
        <f t="shared" si="221"/>
        <v>696774.1935483868</v>
      </c>
      <c r="X82" s="459">
        <f t="shared" si="222"/>
        <v>67741.935483870926</v>
      </c>
      <c r="NP82" s="1"/>
      <c r="RZ82" s="459"/>
    </row>
    <row r="83" spans="2:494" s="145" customFormat="1" hidden="1">
      <c r="B83" s="145">
        <v>31</v>
      </c>
      <c r="C83" s="459"/>
      <c r="D83" s="459"/>
      <c r="N83" s="145">
        <v>31</v>
      </c>
      <c r="O83" s="459">
        <f t="shared" si="217"/>
        <v>3599999.9999999995</v>
      </c>
      <c r="P83" s="986">
        <f t="shared" si="218"/>
        <v>235000.00000000012</v>
      </c>
      <c r="Q83" s="982"/>
      <c r="R83" s="145">
        <v>31</v>
      </c>
      <c r="S83" s="459">
        <f t="shared" si="219"/>
        <v>1050000.0000000007</v>
      </c>
      <c r="T83" s="459">
        <f t="shared" si="220"/>
        <v>55000.000000000036</v>
      </c>
      <c r="U83" s="982"/>
      <c r="V83" s="145">
        <v>31</v>
      </c>
      <c r="W83" s="459">
        <f t="shared" si="221"/>
        <v>719999.99999999965</v>
      </c>
      <c r="X83" s="459">
        <f t="shared" si="222"/>
        <v>69999.999999999956</v>
      </c>
      <c r="NP83" s="1"/>
      <c r="RZ83" s="459"/>
    </row>
    <row r="84" spans="2:494" s="145" customFormat="1" hidden="1">
      <c r="NP84" s="1"/>
      <c r="RZ84" s="459"/>
    </row>
    <row r="85" spans="2:494" s="145" customFormat="1" hidden="1">
      <c r="NP85" s="1"/>
      <c r="RZ85" s="459"/>
    </row>
    <row r="86" spans="2:494" s="145" customFormat="1" hidden="1">
      <c r="NP86" s="1"/>
      <c r="RZ86" s="459"/>
    </row>
    <row r="87" spans="2:494" s="145" customFormat="1" hidden="1">
      <c r="NP87" s="1"/>
      <c r="RZ87" s="459"/>
    </row>
    <row r="88" spans="2:494" s="145" customFormat="1" hidden="1">
      <c r="W88" s="459"/>
      <c r="X88" s="459"/>
      <c r="NP88" s="1"/>
      <c r="RZ88" s="459"/>
    </row>
    <row r="89" spans="2:494" s="145" customFormat="1" hidden="1">
      <c r="O89" s="489"/>
      <c r="P89" s="489"/>
      <c r="S89" s="489"/>
      <c r="T89" s="489"/>
      <c r="W89" s="489"/>
      <c r="X89" s="489"/>
      <c r="NP89" s="1"/>
      <c r="RZ89" s="459"/>
    </row>
    <row r="90" spans="2:494" s="145" customFormat="1" hidden="1">
      <c r="O90" s="489">
        <f>O43/31</f>
        <v>85322.580645161288</v>
      </c>
      <c r="P90" s="489">
        <f>P43/31</f>
        <v>5483.8709677419356</v>
      </c>
      <c r="S90" s="489">
        <f>S43/31</f>
        <v>27419.354838709678</v>
      </c>
      <c r="T90" s="489">
        <f>T43/31</f>
        <v>1225.8064516129032</v>
      </c>
      <c r="W90" s="489">
        <f>SUM(W43+AA43)/31</f>
        <v>29354.83870967742</v>
      </c>
      <c r="X90" s="489">
        <f>SUM(X43+AB43)/31</f>
        <v>2161.2903225806454</v>
      </c>
      <c r="NP90" s="1"/>
      <c r="RZ90" s="459"/>
    </row>
    <row r="91" spans="2:494" s="145" customFormat="1" hidden="1">
      <c r="NP91" s="1"/>
      <c r="RZ91" s="459"/>
    </row>
    <row r="92" spans="2:494" s="145" customFormat="1" hidden="1">
      <c r="NP92" s="1"/>
      <c r="RZ92" s="459"/>
    </row>
    <row r="93" spans="2:494" s="145" customFormat="1" hidden="1">
      <c r="NP93" s="1"/>
      <c r="RZ93" s="459"/>
    </row>
    <row r="94" spans="2:494" s="145" customFormat="1" hidden="1">
      <c r="M94" s="982"/>
      <c r="O94" s="1076">
        <v>85322.580645161288</v>
      </c>
      <c r="P94" s="1076">
        <v>5483.8709677419356</v>
      </c>
      <c r="Q94" s="459"/>
      <c r="R94" s="459"/>
      <c r="S94" s="983">
        <v>27419.354838709678</v>
      </c>
      <c r="T94" s="983">
        <v>1225.8064516129032</v>
      </c>
      <c r="U94" s="984"/>
      <c r="V94" s="984"/>
      <c r="W94" s="1076">
        <v>29354.83870967742</v>
      </c>
      <c r="X94" s="983">
        <v>2161.2903225806454</v>
      </c>
      <c r="Y94" s="985"/>
      <c r="Z94" s="985"/>
      <c r="AB94" s="459">
        <f>P94*31</f>
        <v>170000</v>
      </c>
      <c r="JN94" s="432"/>
      <c r="NP94" s="1"/>
      <c r="RZ94" s="459"/>
    </row>
    <row r="95" spans="2:494" s="145" customFormat="1" hidden="1">
      <c r="B95" s="145">
        <v>1</v>
      </c>
      <c r="C95" s="459"/>
      <c r="D95" s="459"/>
      <c r="M95" s="982"/>
      <c r="N95" s="145">
        <v>1</v>
      </c>
      <c r="O95" s="459">
        <f>O94</f>
        <v>85322.580645161288</v>
      </c>
      <c r="P95" s="459">
        <f>P94</f>
        <v>5483.8709677419356</v>
      </c>
      <c r="R95" s="145">
        <v>1</v>
      </c>
      <c r="S95" s="459">
        <f>S94</f>
        <v>27419.354838709678</v>
      </c>
      <c r="T95" s="145">
        <f>T94</f>
        <v>1225.8064516129032</v>
      </c>
      <c r="V95" s="145">
        <v>1</v>
      </c>
      <c r="W95" s="459">
        <f>W94</f>
        <v>29354.83870967742</v>
      </c>
      <c r="X95" s="459">
        <f>X94</f>
        <v>2161.2903225806454</v>
      </c>
      <c r="Z95" s="145">
        <v>1</v>
      </c>
      <c r="NP95" s="1"/>
      <c r="RZ95" s="459"/>
    </row>
    <row r="96" spans="2:494" s="145" customFormat="1" hidden="1">
      <c r="B96" s="145">
        <v>2</v>
      </c>
      <c r="C96" s="459"/>
      <c r="D96" s="459"/>
      <c r="M96" s="982"/>
      <c r="N96" s="145">
        <v>2</v>
      </c>
      <c r="O96" s="459">
        <f t="shared" ref="O96:O125" si="223">O95+($O$94)</f>
        <v>170645.16129032258</v>
      </c>
      <c r="P96" s="459">
        <f t="shared" ref="P96:P125" si="224">P95+($P$94)</f>
        <v>10967.741935483871</v>
      </c>
      <c r="R96" s="145">
        <v>2</v>
      </c>
      <c r="S96" s="459">
        <f t="shared" ref="S96:S125" si="225">S95+($S$94)</f>
        <v>54838.709677419356</v>
      </c>
      <c r="T96" s="489">
        <f t="shared" ref="T96:T125" si="226">T95+($T$94)</f>
        <v>2451.6129032258063</v>
      </c>
      <c r="V96" s="145">
        <v>2</v>
      </c>
      <c r="W96" s="459">
        <f t="shared" ref="W96:W125" si="227">W95+($W$94)</f>
        <v>58709.677419354841</v>
      </c>
      <c r="X96" s="459">
        <f t="shared" ref="X96:X125" si="228">X95+$X$94</f>
        <v>4322.5806451612907</v>
      </c>
      <c r="Z96" s="145">
        <v>2</v>
      </c>
      <c r="NP96" s="1"/>
      <c r="RZ96" s="459"/>
    </row>
    <row r="97" spans="2:494" s="145" customFormat="1" hidden="1">
      <c r="B97" s="145">
        <v>3</v>
      </c>
      <c r="C97" s="459"/>
      <c r="D97" s="459"/>
      <c r="M97" s="982"/>
      <c r="N97" s="145">
        <v>3</v>
      </c>
      <c r="O97" s="459">
        <f t="shared" si="223"/>
        <v>255967.74193548388</v>
      </c>
      <c r="P97" s="459">
        <f t="shared" si="224"/>
        <v>16451.612903225807</v>
      </c>
      <c r="R97" s="145">
        <v>3</v>
      </c>
      <c r="S97" s="459">
        <f t="shared" si="225"/>
        <v>82258.06451612903</v>
      </c>
      <c r="T97" s="489">
        <f t="shared" si="226"/>
        <v>3677.4193548387093</v>
      </c>
      <c r="V97" s="145">
        <v>3</v>
      </c>
      <c r="W97" s="459">
        <f t="shared" si="227"/>
        <v>88064.516129032258</v>
      </c>
      <c r="X97" s="459">
        <f t="shared" si="228"/>
        <v>6483.8709677419356</v>
      </c>
      <c r="Z97" s="145">
        <v>3</v>
      </c>
      <c r="NP97" s="1"/>
      <c r="RZ97" s="459"/>
    </row>
    <row r="98" spans="2:494" s="145" customFormat="1" hidden="1">
      <c r="B98" s="145">
        <v>4</v>
      </c>
      <c r="C98" s="459"/>
      <c r="D98" s="459"/>
      <c r="M98" s="982"/>
      <c r="N98" s="145">
        <v>4</v>
      </c>
      <c r="O98" s="459">
        <f t="shared" si="223"/>
        <v>341290.32258064515</v>
      </c>
      <c r="P98" s="459">
        <f t="shared" si="224"/>
        <v>21935.483870967742</v>
      </c>
      <c r="R98" s="145">
        <v>4</v>
      </c>
      <c r="S98" s="459">
        <f t="shared" si="225"/>
        <v>109677.41935483871</v>
      </c>
      <c r="T98" s="489">
        <f t="shared" si="226"/>
        <v>4903.2258064516127</v>
      </c>
      <c r="V98" s="145">
        <v>4</v>
      </c>
      <c r="W98" s="459">
        <f t="shared" si="227"/>
        <v>117419.35483870968</v>
      </c>
      <c r="X98" s="459">
        <f t="shared" si="228"/>
        <v>8645.1612903225814</v>
      </c>
      <c r="Z98" s="145">
        <v>4</v>
      </c>
      <c r="NP98" s="1"/>
      <c r="RZ98" s="459"/>
    </row>
    <row r="99" spans="2:494" s="145" customFormat="1" hidden="1">
      <c r="B99" s="145">
        <v>5</v>
      </c>
      <c r="C99" s="459"/>
      <c r="D99" s="459"/>
      <c r="M99" s="982"/>
      <c r="N99" s="145">
        <v>5</v>
      </c>
      <c r="O99" s="459">
        <f t="shared" si="223"/>
        <v>426612.90322580643</v>
      </c>
      <c r="P99" s="459">
        <f t="shared" si="224"/>
        <v>27419.354838709678</v>
      </c>
      <c r="R99" s="145">
        <v>5</v>
      </c>
      <c r="S99" s="459">
        <f t="shared" si="225"/>
        <v>137096.77419354839</v>
      </c>
      <c r="T99" s="489">
        <f t="shared" si="226"/>
        <v>6129.0322580645161</v>
      </c>
      <c r="V99" s="145">
        <v>5</v>
      </c>
      <c r="W99" s="459">
        <f t="shared" si="227"/>
        <v>146774.19354838709</v>
      </c>
      <c r="X99" s="459">
        <f t="shared" si="228"/>
        <v>10806.451612903227</v>
      </c>
      <c r="Z99" s="145">
        <v>5</v>
      </c>
      <c r="NP99" s="1"/>
      <c r="RZ99" s="459"/>
    </row>
    <row r="100" spans="2:494" s="145" customFormat="1" hidden="1">
      <c r="B100" s="145">
        <v>6</v>
      </c>
      <c r="C100" s="459"/>
      <c r="D100" s="459"/>
      <c r="M100" s="982"/>
      <c r="N100" s="145">
        <v>6</v>
      </c>
      <c r="O100" s="459">
        <f t="shared" si="223"/>
        <v>511935.4838709677</v>
      </c>
      <c r="P100" s="459">
        <f t="shared" si="224"/>
        <v>32903.225806451614</v>
      </c>
      <c r="R100" s="145">
        <v>6</v>
      </c>
      <c r="S100" s="459">
        <f t="shared" si="225"/>
        <v>164516.12903225806</v>
      </c>
      <c r="T100" s="489">
        <f t="shared" si="226"/>
        <v>7354.8387096774195</v>
      </c>
      <c r="V100" s="145">
        <v>6</v>
      </c>
      <c r="W100" s="459">
        <f t="shared" si="227"/>
        <v>176129.03225806452</v>
      </c>
      <c r="X100" s="459">
        <f t="shared" si="228"/>
        <v>12967.741935483873</v>
      </c>
      <c r="Z100" s="145">
        <v>6</v>
      </c>
      <c r="NP100" s="1"/>
      <c r="RZ100" s="459"/>
    </row>
    <row r="101" spans="2:494" s="145" customFormat="1" hidden="1">
      <c r="B101" s="145">
        <v>7</v>
      </c>
      <c r="C101" s="459"/>
      <c r="D101" s="459"/>
      <c r="M101" s="982"/>
      <c r="N101" s="145">
        <v>7</v>
      </c>
      <c r="O101" s="459">
        <f t="shared" si="223"/>
        <v>597258.06451612897</v>
      </c>
      <c r="P101" s="459">
        <f t="shared" si="224"/>
        <v>38387.096774193546</v>
      </c>
      <c r="R101" s="145">
        <v>7</v>
      </c>
      <c r="S101" s="459">
        <f t="shared" si="225"/>
        <v>191935.48387096773</v>
      </c>
      <c r="T101" s="489">
        <f t="shared" si="226"/>
        <v>8580.645161290322</v>
      </c>
      <c r="V101" s="145">
        <v>7</v>
      </c>
      <c r="W101" s="459">
        <f t="shared" si="227"/>
        <v>205483.87096774194</v>
      </c>
      <c r="X101" s="459">
        <f t="shared" si="228"/>
        <v>15129.032258064519</v>
      </c>
      <c r="Z101" s="145">
        <v>7</v>
      </c>
      <c r="NP101" s="1"/>
      <c r="RZ101" s="459"/>
    </row>
    <row r="102" spans="2:494" s="145" customFormat="1" hidden="1">
      <c r="B102" s="145">
        <v>8</v>
      </c>
      <c r="C102" s="459"/>
      <c r="D102" s="459"/>
      <c r="M102" s="982"/>
      <c r="N102" s="145">
        <v>8</v>
      </c>
      <c r="O102" s="459">
        <f t="shared" si="223"/>
        <v>682580.6451612903</v>
      </c>
      <c r="P102" s="459">
        <f t="shared" si="224"/>
        <v>43870.967741935485</v>
      </c>
      <c r="R102" s="145">
        <v>8</v>
      </c>
      <c r="S102" s="459">
        <f t="shared" si="225"/>
        <v>219354.83870967739</v>
      </c>
      <c r="T102" s="489">
        <f t="shared" si="226"/>
        <v>9806.4516129032254</v>
      </c>
      <c r="V102" s="145">
        <v>8</v>
      </c>
      <c r="W102" s="459">
        <f t="shared" si="227"/>
        <v>234838.70967741936</v>
      </c>
      <c r="X102" s="459">
        <f t="shared" si="228"/>
        <v>17290.322580645163</v>
      </c>
      <c r="Z102" s="145">
        <v>8</v>
      </c>
      <c r="AP102" s="145">
        <v>37911.700000000004</v>
      </c>
      <c r="NP102" s="1"/>
      <c r="RZ102" s="459"/>
    </row>
    <row r="103" spans="2:494" s="145" customFormat="1" hidden="1">
      <c r="B103" s="145">
        <v>9</v>
      </c>
      <c r="C103" s="459"/>
      <c r="D103" s="459"/>
      <c r="M103" s="982"/>
      <c r="N103" s="145">
        <v>9</v>
      </c>
      <c r="O103" s="459">
        <f t="shared" si="223"/>
        <v>767903.22580645164</v>
      </c>
      <c r="P103" s="459">
        <f t="shared" si="224"/>
        <v>49354.838709677424</v>
      </c>
      <c r="R103" s="145">
        <v>9</v>
      </c>
      <c r="S103" s="459">
        <f t="shared" si="225"/>
        <v>246774.19354838706</v>
      </c>
      <c r="T103" s="489">
        <f t="shared" si="226"/>
        <v>11032.258064516129</v>
      </c>
      <c r="V103" s="145">
        <v>9</v>
      </c>
      <c r="W103" s="459">
        <f t="shared" si="227"/>
        <v>264193.54838709679</v>
      </c>
      <c r="X103" s="459">
        <f t="shared" si="228"/>
        <v>19451.612903225807</v>
      </c>
      <c r="Z103" s="145">
        <v>9</v>
      </c>
      <c r="NP103" s="1"/>
      <c r="RZ103" s="459"/>
    </row>
    <row r="104" spans="2:494" s="145" customFormat="1" hidden="1">
      <c r="B104" s="145">
        <v>10</v>
      </c>
      <c r="C104" s="459"/>
      <c r="D104" s="459"/>
      <c r="M104" s="982"/>
      <c r="N104" s="145">
        <v>10</v>
      </c>
      <c r="O104" s="459">
        <f t="shared" si="223"/>
        <v>853225.80645161297</v>
      </c>
      <c r="P104" s="459">
        <f t="shared" si="224"/>
        <v>54838.709677419363</v>
      </c>
      <c r="R104" s="145">
        <v>10</v>
      </c>
      <c r="S104" s="459">
        <f t="shared" si="225"/>
        <v>274193.54838709673</v>
      </c>
      <c r="T104" s="489">
        <f t="shared" si="226"/>
        <v>12258.064516129032</v>
      </c>
      <c r="V104" s="145">
        <v>10</v>
      </c>
      <c r="W104" s="459">
        <f t="shared" si="227"/>
        <v>293548.38709677418</v>
      </c>
      <c r="X104" s="459">
        <f t="shared" si="228"/>
        <v>21612.903225806451</v>
      </c>
      <c r="Z104" s="145">
        <v>10</v>
      </c>
      <c r="NP104" s="1"/>
      <c r="RZ104" s="459"/>
    </row>
    <row r="105" spans="2:494" s="145" customFormat="1" hidden="1">
      <c r="B105" s="145">
        <v>11</v>
      </c>
      <c r="C105" s="459"/>
      <c r="D105" s="459"/>
      <c r="M105" s="982"/>
      <c r="N105" s="145">
        <v>11</v>
      </c>
      <c r="O105" s="459">
        <f t="shared" si="223"/>
        <v>938548.3870967743</v>
      </c>
      <c r="P105" s="459">
        <f t="shared" si="224"/>
        <v>60322.580645161303</v>
      </c>
      <c r="R105" s="145">
        <v>11</v>
      </c>
      <c r="S105" s="459">
        <f t="shared" si="225"/>
        <v>301612.90322580643</v>
      </c>
      <c r="T105" s="489">
        <f t="shared" si="226"/>
        <v>13483.870967741936</v>
      </c>
      <c r="V105" s="145">
        <v>11</v>
      </c>
      <c r="W105" s="459">
        <f t="shared" si="227"/>
        <v>322903.22580645158</v>
      </c>
      <c r="X105" s="459">
        <f t="shared" si="228"/>
        <v>23774.193548387095</v>
      </c>
      <c r="Z105" s="145">
        <v>11</v>
      </c>
      <c r="NP105" s="1"/>
      <c r="RZ105" s="459"/>
    </row>
    <row r="106" spans="2:494" s="145" customFormat="1" hidden="1">
      <c r="B106" s="145">
        <v>12</v>
      </c>
      <c r="C106" s="459"/>
      <c r="D106" s="459"/>
      <c r="M106" s="982"/>
      <c r="N106" s="145">
        <v>12</v>
      </c>
      <c r="O106" s="459">
        <f t="shared" si="223"/>
        <v>1023870.9677419356</v>
      </c>
      <c r="P106" s="459">
        <f t="shared" si="224"/>
        <v>65806.451612903242</v>
      </c>
      <c r="R106" s="145">
        <v>12</v>
      </c>
      <c r="S106" s="459">
        <f t="shared" si="225"/>
        <v>329032.25806451612</v>
      </c>
      <c r="T106" s="489">
        <f t="shared" si="226"/>
        <v>14709.677419354839</v>
      </c>
      <c r="V106" s="145">
        <v>12</v>
      </c>
      <c r="W106" s="459">
        <f t="shared" si="227"/>
        <v>352258.06451612897</v>
      </c>
      <c r="X106" s="459">
        <f t="shared" si="228"/>
        <v>25935.483870967739</v>
      </c>
      <c r="Z106" s="145">
        <v>12</v>
      </c>
      <c r="NP106" s="1"/>
      <c r="RZ106" s="459"/>
    </row>
    <row r="107" spans="2:494" s="145" customFormat="1" hidden="1">
      <c r="B107" s="145">
        <v>13</v>
      </c>
      <c r="C107" s="459"/>
      <c r="D107" s="459"/>
      <c r="M107" s="982"/>
      <c r="N107" s="145">
        <v>13</v>
      </c>
      <c r="O107" s="459">
        <f t="shared" si="223"/>
        <v>1109193.548387097</v>
      </c>
      <c r="P107" s="459">
        <f t="shared" si="224"/>
        <v>71290.322580645181</v>
      </c>
      <c r="R107" s="145">
        <v>13</v>
      </c>
      <c r="S107" s="459">
        <f t="shared" si="225"/>
        <v>356451.61290322582</v>
      </c>
      <c r="T107" s="489">
        <f t="shared" si="226"/>
        <v>15935.483870967742</v>
      </c>
      <c r="V107" s="145">
        <v>13</v>
      </c>
      <c r="W107" s="459">
        <f t="shared" si="227"/>
        <v>381612.90322580637</v>
      </c>
      <c r="X107" s="459">
        <f t="shared" si="228"/>
        <v>28096.774193548383</v>
      </c>
      <c r="Z107" s="145">
        <v>13</v>
      </c>
      <c r="NP107" s="1"/>
      <c r="RZ107" s="459"/>
    </row>
    <row r="108" spans="2:494" s="145" customFormat="1" hidden="1">
      <c r="B108" s="145">
        <v>14</v>
      </c>
      <c r="C108" s="459"/>
      <c r="D108" s="459"/>
      <c r="M108" s="982"/>
      <c r="N108" s="145">
        <v>14</v>
      </c>
      <c r="O108" s="459">
        <f t="shared" si="223"/>
        <v>1194516.1290322582</v>
      </c>
      <c r="P108" s="459">
        <f t="shared" si="224"/>
        <v>76774.19354838712</v>
      </c>
      <c r="R108" s="145">
        <v>14</v>
      </c>
      <c r="S108" s="459">
        <f t="shared" si="225"/>
        <v>383870.96774193551</v>
      </c>
      <c r="T108" s="489">
        <f t="shared" si="226"/>
        <v>17161.290322580644</v>
      </c>
      <c r="V108" s="145">
        <v>14</v>
      </c>
      <c r="W108" s="459">
        <f t="shared" si="227"/>
        <v>410967.74193548376</v>
      </c>
      <c r="X108" s="459">
        <f t="shared" si="228"/>
        <v>30258.064516129027</v>
      </c>
      <c r="Z108" s="145">
        <v>14</v>
      </c>
      <c r="NP108" s="1"/>
      <c r="RZ108" s="459"/>
    </row>
    <row r="109" spans="2:494" s="145" customFormat="1" hidden="1">
      <c r="B109" s="145">
        <v>15</v>
      </c>
      <c r="C109" s="459"/>
      <c r="D109" s="459"/>
      <c r="M109" s="982"/>
      <c r="N109" s="145">
        <v>15</v>
      </c>
      <c r="O109" s="459">
        <f t="shared" si="223"/>
        <v>1279838.7096774194</v>
      </c>
      <c r="P109" s="459">
        <f t="shared" si="224"/>
        <v>82258.064516129059</v>
      </c>
      <c r="R109" s="145">
        <v>15</v>
      </c>
      <c r="S109" s="459">
        <f t="shared" si="225"/>
        <v>411290.32258064521</v>
      </c>
      <c r="T109" s="489">
        <f t="shared" si="226"/>
        <v>18387.096774193546</v>
      </c>
      <c r="V109" s="145">
        <v>15</v>
      </c>
      <c r="W109" s="459">
        <f t="shared" si="227"/>
        <v>440322.58064516116</v>
      </c>
      <c r="X109" s="459">
        <f t="shared" si="228"/>
        <v>32419.354838709671</v>
      </c>
      <c r="Z109" s="145">
        <v>15</v>
      </c>
      <c r="NP109" s="1"/>
      <c r="RZ109" s="459"/>
    </row>
    <row r="110" spans="2:494" s="145" customFormat="1" hidden="1">
      <c r="B110" s="145">
        <v>16</v>
      </c>
      <c r="C110" s="459"/>
      <c r="D110" s="459"/>
      <c r="M110" s="982"/>
      <c r="N110" s="145">
        <v>16</v>
      </c>
      <c r="O110" s="459">
        <f t="shared" si="223"/>
        <v>1365161.2903225806</v>
      </c>
      <c r="P110" s="459">
        <f t="shared" si="224"/>
        <v>87741.935483870999</v>
      </c>
      <c r="R110" s="145">
        <v>16</v>
      </c>
      <c r="S110" s="459">
        <f t="shared" si="225"/>
        <v>438709.67741935491</v>
      </c>
      <c r="T110" s="489">
        <f t="shared" si="226"/>
        <v>19612.903225806447</v>
      </c>
      <c r="V110" s="145">
        <v>16</v>
      </c>
      <c r="W110" s="459">
        <f t="shared" si="227"/>
        <v>469677.41935483855</v>
      </c>
      <c r="X110" s="459">
        <f t="shared" si="228"/>
        <v>34580.645161290318</v>
      </c>
      <c r="Z110" s="145">
        <v>16</v>
      </c>
      <c r="NP110" s="1"/>
      <c r="RZ110" s="459"/>
    </row>
    <row r="111" spans="2:494" s="145" customFormat="1" hidden="1">
      <c r="B111" s="145">
        <v>17</v>
      </c>
      <c r="C111" s="459"/>
      <c r="D111" s="459"/>
      <c r="N111" s="145">
        <v>17</v>
      </c>
      <c r="O111" s="459">
        <f t="shared" si="223"/>
        <v>1450483.8709677418</v>
      </c>
      <c r="P111" s="459">
        <f t="shared" si="224"/>
        <v>93225.806451612938</v>
      </c>
      <c r="R111" s="145">
        <v>17</v>
      </c>
      <c r="S111" s="459">
        <f t="shared" si="225"/>
        <v>466129.0322580646</v>
      </c>
      <c r="T111" s="489">
        <f t="shared" si="226"/>
        <v>20838.709677419349</v>
      </c>
      <c r="V111" s="145">
        <v>17</v>
      </c>
      <c r="W111" s="459">
        <f t="shared" si="227"/>
        <v>499032.25806451595</v>
      </c>
      <c r="X111" s="459">
        <f t="shared" si="228"/>
        <v>36741.935483870962</v>
      </c>
      <c r="Z111" s="145">
        <v>17</v>
      </c>
      <c r="NP111" s="1"/>
      <c r="RZ111" s="459"/>
    </row>
    <row r="112" spans="2:494" s="145" customFormat="1" hidden="1">
      <c r="B112" s="145">
        <v>18</v>
      </c>
      <c r="C112" s="459"/>
      <c r="D112" s="459"/>
      <c r="N112" s="145">
        <v>18</v>
      </c>
      <c r="O112" s="459">
        <f t="shared" si="223"/>
        <v>1535806.451612903</v>
      </c>
      <c r="P112" s="459">
        <f t="shared" si="224"/>
        <v>98709.677419354877</v>
      </c>
      <c r="R112" s="145">
        <v>18</v>
      </c>
      <c r="S112" s="459">
        <f t="shared" si="225"/>
        <v>493548.3870967743</v>
      </c>
      <c r="T112" s="489">
        <f t="shared" si="226"/>
        <v>22064.51612903225</v>
      </c>
      <c r="V112" s="145">
        <v>18</v>
      </c>
      <c r="W112" s="459">
        <f t="shared" si="227"/>
        <v>528387.09677419334</v>
      </c>
      <c r="X112" s="459">
        <f t="shared" si="228"/>
        <v>38903.225806451606</v>
      </c>
      <c r="Z112" s="145">
        <v>18</v>
      </c>
      <c r="NP112" s="1"/>
      <c r="RZ112" s="459"/>
    </row>
    <row r="113" spans="2:494" s="145" customFormat="1" hidden="1">
      <c r="B113" s="145">
        <v>19</v>
      </c>
      <c r="C113" s="459"/>
      <c r="D113" s="459"/>
      <c r="N113" s="145">
        <v>19</v>
      </c>
      <c r="O113" s="459">
        <f t="shared" si="223"/>
        <v>1621129.0322580643</v>
      </c>
      <c r="P113" s="459">
        <f t="shared" si="224"/>
        <v>104193.54838709682</v>
      </c>
      <c r="R113" s="145">
        <v>19</v>
      </c>
      <c r="S113" s="459">
        <f t="shared" si="225"/>
        <v>520967.74193548399</v>
      </c>
      <c r="T113" s="489">
        <f t="shared" si="226"/>
        <v>23290.322580645152</v>
      </c>
      <c r="V113" s="145">
        <v>19</v>
      </c>
      <c r="W113" s="459">
        <f t="shared" si="227"/>
        <v>557741.93548387079</v>
      </c>
      <c r="X113" s="459">
        <f t="shared" si="228"/>
        <v>41064.51612903225</v>
      </c>
      <c r="Z113" s="145">
        <v>19</v>
      </c>
      <c r="NP113" s="1"/>
      <c r="RZ113" s="459"/>
    </row>
    <row r="114" spans="2:494" s="145" customFormat="1" hidden="1">
      <c r="B114" s="145">
        <v>20</v>
      </c>
      <c r="C114" s="459"/>
      <c r="D114" s="459"/>
      <c r="N114" s="145">
        <v>20</v>
      </c>
      <c r="O114" s="459">
        <f t="shared" si="223"/>
        <v>1706451.6129032255</v>
      </c>
      <c r="P114" s="459">
        <f t="shared" si="224"/>
        <v>109677.41935483876</v>
      </c>
      <c r="R114" s="145">
        <v>20</v>
      </c>
      <c r="S114" s="459">
        <f t="shared" si="225"/>
        <v>548387.09677419369</v>
      </c>
      <c r="T114" s="489">
        <f t="shared" si="226"/>
        <v>24516.129032258053</v>
      </c>
      <c r="V114" s="145">
        <v>20</v>
      </c>
      <c r="W114" s="459">
        <f t="shared" si="227"/>
        <v>587096.77419354825</v>
      </c>
      <c r="X114" s="459">
        <f t="shared" si="228"/>
        <v>43225.806451612894</v>
      </c>
      <c r="Z114" s="145">
        <v>20</v>
      </c>
      <c r="NP114" s="1"/>
      <c r="RZ114" s="459"/>
    </row>
    <row r="115" spans="2:494" s="145" customFormat="1" hidden="1">
      <c r="B115" s="145">
        <v>21</v>
      </c>
      <c r="C115" s="459"/>
      <c r="D115" s="459"/>
      <c r="N115" s="145">
        <v>21</v>
      </c>
      <c r="O115" s="459">
        <f t="shared" si="223"/>
        <v>1791774.1935483867</v>
      </c>
      <c r="P115" s="459">
        <f t="shared" si="224"/>
        <v>115161.29032258069</v>
      </c>
      <c r="R115" s="145">
        <v>21</v>
      </c>
      <c r="S115" s="459">
        <f t="shared" si="225"/>
        <v>575806.45161290339</v>
      </c>
      <c r="T115" s="489">
        <f t="shared" si="226"/>
        <v>25741.935483870955</v>
      </c>
      <c r="V115" s="145">
        <v>21</v>
      </c>
      <c r="W115" s="459">
        <f t="shared" si="227"/>
        <v>616451.6129032257</v>
      </c>
      <c r="X115" s="459">
        <f t="shared" si="228"/>
        <v>45387.096774193538</v>
      </c>
      <c r="Z115" s="145">
        <v>21</v>
      </c>
      <c r="NP115" s="1"/>
      <c r="RZ115" s="459"/>
    </row>
    <row r="116" spans="2:494" s="145" customFormat="1" hidden="1">
      <c r="B116" s="145">
        <v>22</v>
      </c>
      <c r="C116" s="459"/>
      <c r="D116" s="459"/>
      <c r="N116" s="145">
        <v>22</v>
      </c>
      <c r="O116" s="459">
        <f t="shared" si="223"/>
        <v>1877096.7741935479</v>
      </c>
      <c r="P116" s="459">
        <f t="shared" si="224"/>
        <v>120645.16129032263</v>
      </c>
      <c r="R116" s="145">
        <v>22</v>
      </c>
      <c r="S116" s="459">
        <f t="shared" si="225"/>
        <v>603225.80645161308</v>
      </c>
      <c r="T116" s="489">
        <f t="shared" si="226"/>
        <v>26967.741935483857</v>
      </c>
      <c r="V116" s="145">
        <v>22</v>
      </c>
      <c r="W116" s="459">
        <f t="shared" si="227"/>
        <v>645806.45161290315</v>
      </c>
      <c r="X116" s="459">
        <f t="shared" si="228"/>
        <v>47548.387096774182</v>
      </c>
      <c r="Z116" s="145">
        <v>22</v>
      </c>
      <c r="NP116" s="1"/>
      <c r="RZ116" s="459"/>
    </row>
    <row r="117" spans="2:494" s="145" customFormat="1" hidden="1">
      <c r="B117" s="145">
        <v>23</v>
      </c>
      <c r="C117" s="459"/>
      <c r="D117" s="459"/>
      <c r="N117" s="145">
        <v>23</v>
      </c>
      <c r="O117" s="459">
        <f t="shared" si="223"/>
        <v>1962419.3548387091</v>
      </c>
      <c r="P117" s="459">
        <f t="shared" si="224"/>
        <v>126129.03225806457</v>
      </c>
      <c r="R117" s="145">
        <v>23</v>
      </c>
      <c r="S117" s="459">
        <f t="shared" si="225"/>
        <v>630645.16129032278</v>
      </c>
      <c r="T117" s="489">
        <f t="shared" si="226"/>
        <v>28193.548387096758</v>
      </c>
      <c r="V117" s="145">
        <v>23</v>
      </c>
      <c r="W117" s="459">
        <f t="shared" si="227"/>
        <v>675161.29032258061</v>
      </c>
      <c r="X117" s="459">
        <f t="shared" si="228"/>
        <v>49709.677419354826</v>
      </c>
      <c r="Y117" s="459"/>
      <c r="Z117" s="145">
        <v>23</v>
      </c>
      <c r="NP117" s="1"/>
      <c r="RZ117" s="459"/>
    </row>
    <row r="118" spans="2:494" s="145" customFormat="1" hidden="1">
      <c r="B118" s="145">
        <v>24</v>
      </c>
      <c r="C118" s="459"/>
      <c r="D118" s="459"/>
      <c r="N118" s="145">
        <v>24</v>
      </c>
      <c r="O118" s="459">
        <f t="shared" si="223"/>
        <v>2047741.9354838703</v>
      </c>
      <c r="P118" s="459">
        <f t="shared" si="224"/>
        <v>131612.90322580651</v>
      </c>
      <c r="R118" s="145">
        <v>24</v>
      </c>
      <c r="S118" s="459">
        <f t="shared" si="225"/>
        <v>658064.51612903248</v>
      </c>
      <c r="T118" s="489">
        <f t="shared" si="226"/>
        <v>29419.35483870966</v>
      </c>
      <c r="V118" s="145">
        <v>24</v>
      </c>
      <c r="W118" s="459">
        <f t="shared" si="227"/>
        <v>704516.12903225806</v>
      </c>
      <c r="X118" s="459">
        <f t="shared" si="228"/>
        <v>51870.96774193547</v>
      </c>
      <c r="Z118" s="145">
        <v>24</v>
      </c>
      <c r="NP118" s="1"/>
      <c r="RZ118" s="459"/>
    </row>
    <row r="119" spans="2:494" s="145" customFormat="1" hidden="1">
      <c r="B119" s="145">
        <v>25</v>
      </c>
      <c r="C119" s="459"/>
      <c r="D119" s="459"/>
      <c r="N119" s="145">
        <v>25</v>
      </c>
      <c r="O119" s="459">
        <f t="shared" si="223"/>
        <v>2133064.5161290318</v>
      </c>
      <c r="P119" s="459">
        <f t="shared" si="224"/>
        <v>137096.77419354845</v>
      </c>
      <c r="R119" s="145">
        <v>25</v>
      </c>
      <c r="S119" s="459">
        <f t="shared" si="225"/>
        <v>685483.87096774217</v>
      </c>
      <c r="T119" s="489">
        <f t="shared" si="226"/>
        <v>30645.161290322561</v>
      </c>
      <c r="V119" s="145">
        <v>25</v>
      </c>
      <c r="W119" s="459">
        <f t="shared" si="227"/>
        <v>733870.96774193551</v>
      </c>
      <c r="X119" s="459">
        <f t="shared" si="228"/>
        <v>54032.258064516114</v>
      </c>
      <c r="Z119" s="145">
        <v>25</v>
      </c>
      <c r="NP119" s="1"/>
      <c r="RZ119" s="459"/>
    </row>
    <row r="120" spans="2:494" s="145" customFormat="1" hidden="1">
      <c r="B120" s="145">
        <v>26</v>
      </c>
      <c r="C120" s="459"/>
      <c r="D120" s="459"/>
      <c r="N120" s="145">
        <v>26</v>
      </c>
      <c r="O120" s="459">
        <f t="shared" si="223"/>
        <v>2218387.096774193</v>
      </c>
      <c r="P120" s="459">
        <f t="shared" si="224"/>
        <v>142580.64516129039</v>
      </c>
      <c r="R120" s="145">
        <v>26</v>
      </c>
      <c r="S120" s="459">
        <f t="shared" si="225"/>
        <v>712903.22580645187</v>
      </c>
      <c r="T120" s="489">
        <f t="shared" si="226"/>
        <v>31870.967741935463</v>
      </c>
      <c r="V120" s="145">
        <v>26</v>
      </c>
      <c r="W120" s="459">
        <f t="shared" si="227"/>
        <v>763225.80645161297</v>
      </c>
      <c r="X120" s="459">
        <f t="shared" si="228"/>
        <v>56193.548387096758</v>
      </c>
      <c r="Z120" s="145">
        <v>26</v>
      </c>
      <c r="NP120" s="1"/>
      <c r="RZ120" s="459"/>
    </row>
    <row r="121" spans="2:494" s="145" customFormat="1" hidden="1">
      <c r="B121" s="145">
        <v>27</v>
      </c>
      <c r="C121" s="459"/>
      <c r="D121" s="459"/>
      <c r="N121" s="145">
        <v>27</v>
      </c>
      <c r="O121" s="459">
        <f t="shared" si="223"/>
        <v>2303709.6774193542</v>
      </c>
      <c r="P121" s="459">
        <f t="shared" si="224"/>
        <v>148064.51612903233</v>
      </c>
      <c r="R121" s="145">
        <v>27</v>
      </c>
      <c r="S121" s="459">
        <f t="shared" si="225"/>
        <v>740322.58064516156</v>
      </c>
      <c r="T121" s="489">
        <f t="shared" si="226"/>
        <v>33096.774193548365</v>
      </c>
      <c r="V121" s="145">
        <v>27</v>
      </c>
      <c r="W121" s="459">
        <f t="shared" si="227"/>
        <v>792580.64516129042</v>
      </c>
      <c r="X121" s="459">
        <f t="shared" si="228"/>
        <v>58354.838709677402</v>
      </c>
      <c r="Z121" s="145">
        <v>27</v>
      </c>
      <c r="NP121" s="1"/>
      <c r="RZ121" s="459"/>
    </row>
    <row r="122" spans="2:494" s="145" customFormat="1" hidden="1">
      <c r="B122" s="145">
        <v>28</v>
      </c>
      <c r="C122" s="459"/>
      <c r="D122" s="459"/>
      <c r="N122" s="145">
        <v>28</v>
      </c>
      <c r="O122" s="459">
        <f t="shared" si="223"/>
        <v>2389032.2580645154</v>
      </c>
      <c r="P122" s="459">
        <f t="shared" si="224"/>
        <v>153548.38709677427</v>
      </c>
      <c r="R122" s="145">
        <v>28</v>
      </c>
      <c r="S122" s="459">
        <f t="shared" si="225"/>
        <v>767741.93548387126</v>
      </c>
      <c r="T122" s="489">
        <f t="shared" si="226"/>
        <v>34322.580645161266</v>
      </c>
      <c r="V122" s="145">
        <v>28</v>
      </c>
      <c r="W122" s="459">
        <f t="shared" si="227"/>
        <v>821935.48387096787</v>
      </c>
      <c r="X122" s="459">
        <f t="shared" si="228"/>
        <v>60516.129032258046</v>
      </c>
      <c r="Z122" s="145">
        <v>28</v>
      </c>
      <c r="NP122" s="1"/>
      <c r="RZ122" s="459"/>
    </row>
    <row r="123" spans="2:494" s="145" customFormat="1" hidden="1">
      <c r="B123" s="145">
        <v>29</v>
      </c>
      <c r="C123" s="459"/>
      <c r="D123" s="459"/>
      <c r="N123" s="145">
        <v>29</v>
      </c>
      <c r="O123" s="459">
        <f t="shared" si="223"/>
        <v>2474354.8387096766</v>
      </c>
      <c r="P123" s="459">
        <f t="shared" si="224"/>
        <v>159032.25806451621</v>
      </c>
      <c r="R123" s="145">
        <v>29</v>
      </c>
      <c r="S123" s="459">
        <f t="shared" si="225"/>
        <v>795161.29032258096</v>
      </c>
      <c r="T123" s="489">
        <f t="shared" si="226"/>
        <v>35548.387096774168</v>
      </c>
      <c r="V123" s="145">
        <v>29</v>
      </c>
      <c r="W123" s="459">
        <f t="shared" si="227"/>
        <v>851290.32258064533</v>
      </c>
      <c r="X123" s="459">
        <f t="shared" si="228"/>
        <v>62677.41935483869</v>
      </c>
      <c r="Z123" s="145">
        <v>29</v>
      </c>
      <c r="NP123" s="1"/>
      <c r="RZ123" s="459"/>
    </row>
    <row r="124" spans="2:494" s="145" customFormat="1" hidden="1">
      <c r="B124" s="145">
        <v>30</v>
      </c>
      <c r="C124" s="459"/>
      <c r="D124" s="459"/>
      <c r="N124" s="145">
        <v>30</v>
      </c>
      <c r="O124" s="459">
        <f t="shared" si="223"/>
        <v>2559677.4193548379</v>
      </c>
      <c r="P124" s="459">
        <f t="shared" si="224"/>
        <v>164516.12903225815</v>
      </c>
      <c r="R124" s="145">
        <v>30</v>
      </c>
      <c r="S124" s="459">
        <f t="shared" si="225"/>
        <v>822580.64516129065</v>
      </c>
      <c r="T124" s="489">
        <f t="shared" si="226"/>
        <v>36774.193548387069</v>
      </c>
      <c r="V124" s="145">
        <v>30</v>
      </c>
      <c r="W124" s="459">
        <f t="shared" si="227"/>
        <v>880645.16129032278</v>
      </c>
      <c r="X124" s="459">
        <f t="shared" si="228"/>
        <v>64838.709677419334</v>
      </c>
      <c r="Z124" s="145">
        <v>29</v>
      </c>
      <c r="NP124" s="1"/>
      <c r="RZ124" s="459"/>
    </row>
    <row r="125" spans="2:494" hidden="1">
      <c r="B125" s="145">
        <v>31</v>
      </c>
      <c r="C125" s="459"/>
      <c r="D125" s="459"/>
      <c r="N125" s="145">
        <v>31</v>
      </c>
      <c r="O125" s="459">
        <f t="shared" si="223"/>
        <v>2644999.9999999991</v>
      </c>
      <c r="P125" s="459">
        <f t="shared" si="224"/>
        <v>170000.00000000009</v>
      </c>
      <c r="Q125" s="985"/>
      <c r="R125" s="145">
        <v>31</v>
      </c>
      <c r="S125" s="459">
        <f t="shared" si="225"/>
        <v>850000.00000000035</v>
      </c>
      <c r="T125" s="489">
        <f t="shared" si="226"/>
        <v>37999.999999999971</v>
      </c>
      <c r="U125" s="985"/>
      <c r="V125" s="145">
        <v>31</v>
      </c>
      <c r="W125" s="459">
        <f t="shared" si="227"/>
        <v>910000.00000000023</v>
      </c>
      <c r="X125" s="459">
        <f t="shared" si="228"/>
        <v>66999.999999999985</v>
      </c>
      <c r="Y125" s="145"/>
      <c r="Z125" s="145">
        <v>29</v>
      </c>
      <c r="NP125" s="1"/>
      <c r="RZ125" s="1"/>
    </row>
    <row r="126" spans="2:494" hidden="1">
      <c r="NP126" s="1"/>
      <c r="RZ126" s="1"/>
    </row>
    <row r="127" spans="2:494" hidden="1">
      <c r="NP127" s="1"/>
      <c r="RZ127" s="1"/>
    </row>
    <row r="128" spans="2:494" hidden="1">
      <c r="NP128" s="1"/>
      <c r="RZ128" s="1"/>
    </row>
    <row r="129" spans="2:494" hidden="1">
      <c r="NP129" s="1"/>
      <c r="RZ129" s="1"/>
    </row>
    <row r="130" spans="2:494" hidden="1">
      <c r="NP130" s="1"/>
      <c r="RZ130" s="1"/>
    </row>
    <row r="131" spans="2:494" hidden="1">
      <c r="P131" s="887"/>
      <c r="NP131" s="1"/>
      <c r="RZ131" s="1"/>
    </row>
    <row r="132" spans="2:494" hidden="1">
      <c r="O132" s="347">
        <f>'Summary TIS'!AE3/31</f>
        <v>32385.788599704119</v>
      </c>
      <c r="P132" s="347">
        <f>'Summary TIS'!AE8/31</f>
        <v>2129.0322580645161</v>
      </c>
      <c r="NP132" s="1"/>
      <c r="RZ132" s="1"/>
    </row>
    <row r="133" spans="2:494" hidden="1">
      <c r="O133" s="347"/>
      <c r="P133" s="347"/>
      <c r="NP133" s="1"/>
      <c r="RZ133" s="1"/>
    </row>
    <row r="134" spans="2:494" ht="23.4" hidden="1">
      <c r="C134" s="1075"/>
      <c r="O134" s="347"/>
      <c r="P134" s="347"/>
      <c r="NP134" s="1"/>
      <c r="RZ134" s="1"/>
    </row>
    <row r="135" spans="2:494" hidden="1">
      <c r="O135" s="2161">
        <v>32385.788599704119</v>
      </c>
      <c r="P135" s="2161">
        <v>2129.0322580645161</v>
      </c>
      <c r="NP135" s="1"/>
      <c r="RZ135" s="1"/>
    </row>
    <row r="136" spans="2:494" hidden="1">
      <c r="B136">
        <v>1</v>
      </c>
      <c r="N136">
        <v>1</v>
      </c>
      <c r="O136" s="1067">
        <f>O135</f>
        <v>32385.788599704119</v>
      </c>
      <c r="P136" s="1067">
        <f>P135</f>
        <v>2129.0322580645161</v>
      </c>
      <c r="NP136" s="1"/>
      <c r="RZ136" s="1"/>
    </row>
    <row r="137" spans="2:494" hidden="1">
      <c r="B137">
        <v>2</v>
      </c>
      <c r="N137">
        <v>2</v>
      </c>
      <c r="O137" s="1067">
        <f t="shared" ref="O137:O166" si="229">O136+($O$135)</f>
        <v>64771.577199408239</v>
      </c>
      <c r="P137" s="1067">
        <f t="shared" ref="P137:P166" si="230">P136+($P$135)</f>
        <v>4258.0645161290322</v>
      </c>
      <c r="T137">
        <f>74000/31</f>
        <v>2387.0967741935483</v>
      </c>
      <c r="NP137" s="1"/>
      <c r="RZ137" s="1"/>
    </row>
    <row r="138" spans="2:494" hidden="1">
      <c r="B138">
        <v>3</v>
      </c>
      <c r="N138">
        <v>3</v>
      </c>
      <c r="O138" s="1067">
        <f t="shared" si="229"/>
        <v>97157.365799112362</v>
      </c>
      <c r="P138" s="1067">
        <f t="shared" si="230"/>
        <v>6387.0967741935483</v>
      </c>
      <c r="NP138" s="1"/>
      <c r="RZ138" s="1"/>
    </row>
    <row r="139" spans="2:494" hidden="1">
      <c r="B139">
        <v>4</v>
      </c>
      <c r="N139">
        <v>4</v>
      </c>
      <c r="O139" s="1067">
        <f t="shared" si="229"/>
        <v>129543.15439881648</v>
      </c>
      <c r="P139" s="1067">
        <f t="shared" si="230"/>
        <v>8516.1290322580644</v>
      </c>
      <c r="NP139" s="1"/>
      <c r="RZ139" s="1"/>
    </row>
    <row r="140" spans="2:494" hidden="1">
      <c r="B140">
        <v>5</v>
      </c>
      <c r="N140">
        <v>5</v>
      </c>
      <c r="O140" s="1067">
        <f t="shared" si="229"/>
        <v>161928.94299852059</v>
      </c>
      <c r="P140" s="1067">
        <f t="shared" si="230"/>
        <v>10645.16129032258</v>
      </c>
      <c r="NP140" s="1"/>
      <c r="RZ140" s="1"/>
    </row>
    <row r="141" spans="2:494" hidden="1">
      <c r="B141">
        <v>6</v>
      </c>
      <c r="N141">
        <v>6</v>
      </c>
      <c r="O141" s="1067">
        <f t="shared" si="229"/>
        <v>194314.73159822472</v>
      </c>
      <c r="P141" s="1067">
        <f t="shared" si="230"/>
        <v>12774.193548387095</v>
      </c>
      <c r="NP141" s="1"/>
      <c r="RZ141" s="1"/>
    </row>
    <row r="142" spans="2:494" hidden="1">
      <c r="B142">
        <v>7</v>
      </c>
      <c r="N142">
        <v>7</v>
      </c>
      <c r="O142" s="1067">
        <f t="shared" si="229"/>
        <v>226700.52019792885</v>
      </c>
      <c r="P142" s="1067">
        <f t="shared" si="230"/>
        <v>14903.22580645161</v>
      </c>
      <c r="NP142" s="1"/>
      <c r="RZ142" s="1"/>
    </row>
    <row r="143" spans="2:494" hidden="1">
      <c r="B143">
        <v>8</v>
      </c>
      <c r="N143">
        <v>8</v>
      </c>
      <c r="O143" s="1067">
        <f t="shared" si="229"/>
        <v>259086.30879763298</v>
      </c>
      <c r="P143" s="1067">
        <f t="shared" si="230"/>
        <v>17032.258064516125</v>
      </c>
      <c r="NP143" s="1"/>
      <c r="RZ143" s="1"/>
    </row>
    <row r="144" spans="2:494" hidden="1">
      <c r="B144">
        <v>9</v>
      </c>
      <c r="N144">
        <v>9</v>
      </c>
      <c r="O144" s="1067">
        <f t="shared" si="229"/>
        <v>291472.09739733709</v>
      </c>
      <c r="P144" s="1067">
        <f t="shared" si="230"/>
        <v>19161.29032258064</v>
      </c>
      <c r="NP144" s="1"/>
      <c r="RZ144" s="1"/>
    </row>
    <row r="145" spans="2:494" hidden="1">
      <c r="B145">
        <v>10</v>
      </c>
      <c r="N145">
        <v>10</v>
      </c>
      <c r="O145" s="1067">
        <f t="shared" si="229"/>
        <v>323857.88599704119</v>
      </c>
      <c r="P145" s="1067">
        <f t="shared" si="230"/>
        <v>21290.322580645156</v>
      </c>
      <c r="NP145" s="1"/>
      <c r="RZ145" s="1"/>
    </row>
    <row r="146" spans="2:494" hidden="1">
      <c r="B146">
        <v>11</v>
      </c>
      <c r="N146">
        <v>11</v>
      </c>
      <c r="O146" s="1067">
        <f t="shared" si="229"/>
        <v>356243.67459674529</v>
      </c>
      <c r="P146" s="1067">
        <f t="shared" si="230"/>
        <v>23419.354838709671</v>
      </c>
      <c r="NP146" s="1"/>
      <c r="RZ146" s="1"/>
    </row>
    <row r="147" spans="2:494" hidden="1">
      <c r="B147">
        <v>12</v>
      </c>
      <c r="N147">
        <v>12</v>
      </c>
      <c r="O147" s="1067">
        <f t="shared" si="229"/>
        <v>388629.46319644939</v>
      </c>
      <c r="P147" s="1067">
        <f t="shared" si="230"/>
        <v>25548.387096774186</v>
      </c>
      <c r="NP147" s="1"/>
      <c r="RZ147" s="1"/>
    </row>
    <row r="148" spans="2:494" hidden="1">
      <c r="B148">
        <v>13</v>
      </c>
      <c r="N148">
        <v>13</v>
      </c>
      <c r="O148" s="1067">
        <f t="shared" si="229"/>
        <v>421015.25179615349</v>
      </c>
      <c r="P148" s="1067">
        <f t="shared" si="230"/>
        <v>27677.419354838701</v>
      </c>
      <c r="NP148" s="1"/>
      <c r="RZ148" s="1"/>
    </row>
    <row r="149" spans="2:494" hidden="1">
      <c r="B149">
        <v>14</v>
      </c>
      <c r="N149">
        <v>14</v>
      </c>
      <c r="O149" s="1067">
        <f t="shared" si="229"/>
        <v>453401.04039585759</v>
      </c>
      <c r="P149" s="1067">
        <f t="shared" si="230"/>
        <v>29806.451612903216</v>
      </c>
      <c r="NP149" s="1"/>
      <c r="RZ149" s="1"/>
    </row>
    <row r="150" spans="2:494" hidden="1">
      <c r="B150">
        <v>15</v>
      </c>
      <c r="N150">
        <v>15</v>
      </c>
      <c r="O150" s="1067">
        <f t="shared" si="229"/>
        <v>485786.82899556169</v>
      </c>
      <c r="P150" s="1067">
        <f t="shared" si="230"/>
        <v>31935.483870967731</v>
      </c>
      <c r="NP150" s="1"/>
      <c r="RZ150" s="1"/>
    </row>
    <row r="151" spans="2:494" hidden="1">
      <c r="B151">
        <v>16</v>
      </c>
      <c r="N151">
        <v>16</v>
      </c>
      <c r="O151" s="1067">
        <f t="shared" si="229"/>
        <v>518172.61759526579</v>
      </c>
      <c r="P151" s="1067">
        <f t="shared" si="230"/>
        <v>34064.51612903225</v>
      </c>
      <c r="NP151" s="1"/>
      <c r="RZ151" s="1"/>
    </row>
    <row r="152" spans="2:494" hidden="1">
      <c r="B152">
        <v>17</v>
      </c>
      <c r="N152">
        <v>17</v>
      </c>
      <c r="O152" s="1067">
        <f t="shared" si="229"/>
        <v>550558.4061949699</v>
      </c>
      <c r="P152" s="1067">
        <f t="shared" si="230"/>
        <v>36193.548387096766</v>
      </c>
      <c r="NP152" s="1"/>
      <c r="RZ152" s="1"/>
    </row>
    <row r="153" spans="2:494" hidden="1">
      <c r="B153">
        <v>18</v>
      </c>
      <c r="N153">
        <v>18</v>
      </c>
      <c r="O153" s="1067">
        <f t="shared" si="229"/>
        <v>582944.19479467405</v>
      </c>
      <c r="P153" s="1067">
        <f t="shared" si="230"/>
        <v>38322.580645161281</v>
      </c>
      <c r="NP153" s="1"/>
      <c r="RZ153" s="1"/>
    </row>
    <row r="154" spans="2:494" hidden="1">
      <c r="B154">
        <v>19</v>
      </c>
      <c r="N154">
        <v>19</v>
      </c>
      <c r="O154" s="1067">
        <f t="shared" si="229"/>
        <v>615329.98339437821</v>
      </c>
      <c r="P154" s="1067">
        <f t="shared" si="230"/>
        <v>40451.612903225796</v>
      </c>
      <c r="NP154" s="1"/>
      <c r="RZ154" s="1"/>
    </row>
    <row r="155" spans="2:494" hidden="1">
      <c r="B155">
        <v>20</v>
      </c>
      <c r="N155">
        <v>20</v>
      </c>
      <c r="O155" s="1067">
        <f t="shared" si="229"/>
        <v>647715.77199408237</v>
      </c>
      <c r="P155" s="1067">
        <f t="shared" si="230"/>
        <v>42580.645161290311</v>
      </c>
      <c r="NP155" s="1"/>
      <c r="RZ155" s="1"/>
    </row>
    <row r="156" spans="2:494" hidden="1">
      <c r="B156">
        <v>21</v>
      </c>
      <c r="N156">
        <v>21</v>
      </c>
      <c r="O156" s="1067">
        <f t="shared" si="229"/>
        <v>680101.56059378653</v>
      </c>
      <c r="P156" s="1067">
        <f t="shared" si="230"/>
        <v>44709.677419354826</v>
      </c>
      <c r="NP156" s="1"/>
      <c r="RZ156" s="1"/>
    </row>
    <row r="157" spans="2:494" hidden="1">
      <c r="B157">
        <v>22</v>
      </c>
      <c r="N157">
        <v>22</v>
      </c>
      <c r="O157" s="1067">
        <f t="shared" si="229"/>
        <v>712487.34919349069</v>
      </c>
      <c r="P157" s="1067">
        <f t="shared" si="230"/>
        <v>46838.709677419341</v>
      </c>
      <c r="NP157" s="1"/>
      <c r="RZ157" s="1"/>
    </row>
    <row r="158" spans="2:494" hidden="1">
      <c r="B158">
        <v>23</v>
      </c>
      <c r="N158">
        <v>23</v>
      </c>
      <c r="O158" s="1067">
        <f t="shared" si="229"/>
        <v>744873.13779319485</v>
      </c>
      <c r="P158" s="1067">
        <f t="shared" si="230"/>
        <v>48967.741935483857</v>
      </c>
      <c r="NP158" s="1"/>
      <c r="RZ158" s="1"/>
    </row>
    <row r="159" spans="2:494" hidden="1">
      <c r="B159">
        <v>24</v>
      </c>
      <c r="N159">
        <v>24</v>
      </c>
      <c r="O159" s="1067">
        <f t="shared" si="229"/>
        <v>777258.92639289901</v>
      </c>
      <c r="P159" s="1067">
        <f t="shared" si="230"/>
        <v>51096.774193548372</v>
      </c>
      <c r="NP159" s="1"/>
      <c r="RZ159" s="1"/>
    </row>
    <row r="160" spans="2:494" hidden="1">
      <c r="B160">
        <v>25</v>
      </c>
      <c r="N160">
        <v>25</v>
      </c>
      <c r="O160" s="1067">
        <f t="shared" si="229"/>
        <v>809644.71499260317</v>
      </c>
      <c r="P160" s="1067">
        <f t="shared" si="230"/>
        <v>53225.806451612887</v>
      </c>
      <c r="NP160" s="1"/>
      <c r="RZ160" s="1"/>
    </row>
    <row r="161" spans="2:494" hidden="1">
      <c r="B161">
        <v>26</v>
      </c>
      <c r="N161">
        <v>26</v>
      </c>
      <c r="O161" s="1067">
        <f t="shared" si="229"/>
        <v>842030.50359230733</v>
      </c>
      <c r="P161" s="1067">
        <f t="shared" si="230"/>
        <v>55354.838709677402</v>
      </c>
      <c r="NP161" s="1"/>
      <c r="RZ161" s="1"/>
    </row>
    <row r="162" spans="2:494" hidden="1">
      <c r="B162">
        <v>27</v>
      </c>
      <c r="N162">
        <v>27</v>
      </c>
      <c r="O162" s="1067">
        <f t="shared" si="229"/>
        <v>874416.29219201149</v>
      </c>
      <c r="P162" s="1067">
        <f t="shared" si="230"/>
        <v>57483.870967741917</v>
      </c>
      <c r="NP162" s="1"/>
      <c r="RZ162" s="1"/>
    </row>
    <row r="163" spans="2:494" hidden="1">
      <c r="B163">
        <v>28</v>
      </c>
      <c r="N163">
        <v>28</v>
      </c>
      <c r="O163" s="1067">
        <f t="shared" si="229"/>
        <v>906802.08079171565</v>
      </c>
      <c r="P163" s="1067">
        <f t="shared" si="230"/>
        <v>59612.903225806433</v>
      </c>
      <c r="NP163" s="1"/>
      <c r="RZ163" s="1"/>
    </row>
    <row r="164" spans="2:494" hidden="1">
      <c r="B164">
        <v>29</v>
      </c>
      <c r="N164">
        <v>29</v>
      </c>
      <c r="O164" s="1067">
        <f t="shared" si="229"/>
        <v>939187.86939141981</v>
      </c>
      <c r="P164" s="1067">
        <f t="shared" si="230"/>
        <v>61741.935483870948</v>
      </c>
      <c r="NP164" s="1"/>
      <c r="RZ164" s="1"/>
    </row>
    <row r="165" spans="2:494" hidden="1">
      <c r="B165">
        <v>30</v>
      </c>
      <c r="N165">
        <v>30</v>
      </c>
      <c r="O165" s="1067">
        <f t="shared" si="229"/>
        <v>971573.65799112397</v>
      </c>
      <c r="P165" s="1067">
        <f t="shared" si="230"/>
        <v>63870.967741935463</v>
      </c>
      <c r="NP165" s="1"/>
      <c r="RZ165" s="1"/>
    </row>
    <row r="166" spans="2:494" hidden="1">
      <c r="B166">
        <v>31</v>
      </c>
      <c r="N166">
        <v>31</v>
      </c>
      <c r="O166" s="1067">
        <f t="shared" si="229"/>
        <v>1003959.4465908281</v>
      </c>
      <c r="P166" s="1067">
        <f t="shared" si="230"/>
        <v>65999.999999999985</v>
      </c>
      <c r="NP166" s="1"/>
      <c r="RZ166" s="1"/>
    </row>
    <row r="167" spans="2:494" hidden="1">
      <c r="O167" s="1067"/>
      <c r="P167" s="1067"/>
      <c r="NP167" s="1"/>
      <c r="RZ167" s="1"/>
    </row>
    <row r="168" spans="2:494" hidden="1">
      <c r="O168" s="1067"/>
      <c r="P168" s="1067"/>
      <c r="NP168" s="1"/>
    </row>
    <row r="169" spans="2:494" hidden="1">
      <c r="O169" s="1067"/>
      <c r="P169" s="1067"/>
      <c r="NP169" s="1"/>
    </row>
    <row r="170" spans="2:494" hidden="1">
      <c r="O170" s="1067"/>
      <c r="P170" s="1067"/>
      <c r="NP170" s="1"/>
    </row>
    <row r="171" spans="2:494" hidden="1">
      <c r="O171" s="1067"/>
      <c r="P171" s="1067"/>
      <c r="NP171" s="1"/>
    </row>
    <row r="172" spans="2:494" hidden="1">
      <c r="O172" s="1067"/>
      <c r="P172" s="1067"/>
      <c r="NP172" s="1"/>
    </row>
    <row r="173" spans="2:494" hidden="1">
      <c r="O173" s="1067">
        <f>'August TIS'!C45/31</f>
        <v>38225.806451612996</v>
      </c>
      <c r="P173" s="1067">
        <f>'August TIS'!D45/31</f>
        <v>2096.7741935483873</v>
      </c>
      <c r="NP173" s="1"/>
    </row>
    <row r="174" spans="2:494" hidden="1">
      <c r="O174" s="1067"/>
      <c r="P174" s="1067"/>
      <c r="NP174" s="1"/>
    </row>
    <row r="175" spans="2:494" hidden="1">
      <c r="O175" s="1067"/>
      <c r="P175" s="1067"/>
      <c r="NP175" s="1"/>
    </row>
    <row r="176" spans="2:494" hidden="1">
      <c r="O176" s="1067"/>
      <c r="P176" s="1067"/>
      <c r="NP176" s="1"/>
    </row>
    <row r="177" spans="2:494" hidden="1">
      <c r="O177" s="2161">
        <v>38225.806451612996</v>
      </c>
      <c r="P177" s="2161">
        <v>2096.7741935483873</v>
      </c>
      <c r="Q177" s="887">
        <f>P177/31</f>
        <v>67.637877211238305</v>
      </c>
      <c r="NP177" s="1"/>
      <c r="RZ177" s="1"/>
    </row>
    <row r="178" spans="2:494" hidden="1">
      <c r="B178">
        <v>1</v>
      </c>
      <c r="N178">
        <v>1</v>
      </c>
      <c r="O178" s="1067">
        <f>O177</f>
        <v>38225.806451612996</v>
      </c>
      <c r="P178" s="1067">
        <f>P177</f>
        <v>2096.7741935483873</v>
      </c>
      <c r="NP178" s="1"/>
      <c r="RZ178" s="1"/>
    </row>
    <row r="179" spans="2:494" hidden="1">
      <c r="B179">
        <v>2</v>
      </c>
      <c r="N179">
        <v>2</v>
      </c>
      <c r="O179" s="1067">
        <f t="shared" ref="O179:O208" si="231">O178+($O$177)</f>
        <v>76451.612903225992</v>
      </c>
      <c r="P179" s="1067">
        <f t="shared" ref="P179:P208" si="232">P178+($P$177)</f>
        <v>4193.5483870967746</v>
      </c>
      <c r="NP179" s="1"/>
      <c r="RZ179" s="1"/>
    </row>
    <row r="180" spans="2:494" hidden="1">
      <c r="B180">
        <v>3</v>
      </c>
      <c r="N180">
        <v>3</v>
      </c>
      <c r="O180" s="1067">
        <f t="shared" si="231"/>
        <v>114677.41935483899</v>
      </c>
      <c r="P180" s="1067">
        <f t="shared" si="232"/>
        <v>6290.3225806451619</v>
      </c>
      <c r="NP180" s="1"/>
      <c r="RZ180" s="1"/>
    </row>
    <row r="181" spans="2:494" hidden="1">
      <c r="B181">
        <v>4</v>
      </c>
      <c r="N181">
        <v>4</v>
      </c>
      <c r="O181" s="1067">
        <f t="shared" si="231"/>
        <v>152903.22580645198</v>
      </c>
      <c r="P181" s="1067">
        <f t="shared" si="232"/>
        <v>8387.0967741935492</v>
      </c>
      <c r="NP181" s="1"/>
      <c r="RZ181" s="1"/>
    </row>
    <row r="182" spans="2:494" hidden="1">
      <c r="B182">
        <v>5</v>
      </c>
      <c r="N182">
        <v>5</v>
      </c>
      <c r="O182" s="1067">
        <f t="shared" si="231"/>
        <v>191129.03225806498</v>
      </c>
      <c r="P182" s="1067">
        <f t="shared" si="232"/>
        <v>10483.870967741936</v>
      </c>
      <c r="NP182" s="1"/>
      <c r="RZ182" s="1"/>
    </row>
    <row r="183" spans="2:494" hidden="1">
      <c r="B183">
        <v>6</v>
      </c>
      <c r="N183">
        <v>6</v>
      </c>
      <c r="O183" s="1067">
        <f t="shared" si="231"/>
        <v>229354.83870967798</v>
      </c>
      <c r="P183" s="1067">
        <f t="shared" si="232"/>
        <v>12580.645161290322</v>
      </c>
      <c r="NP183" s="1"/>
      <c r="RZ183" s="1"/>
    </row>
    <row r="184" spans="2:494" hidden="1">
      <c r="B184">
        <v>7</v>
      </c>
      <c r="N184">
        <v>7</v>
      </c>
      <c r="O184" s="1067">
        <f t="shared" si="231"/>
        <v>267580.645161291</v>
      </c>
      <c r="P184" s="1067">
        <f t="shared" si="232"/>
        <v>14677.419354838708</v>
      </c>
      <c r="NP184" s="1"/>
      <c r="RZ184" s="1"/>
    </row>
    <row r="185" spans="2:494" hidden="1">
      <c r="B185">
        <v>8</v>
      </c>
      <c r="N185">
        <v>8</v>
      </c>
      <c r="O185" s="1067">
        <f t="shared" si="231"/>
        <v>305806.45161290397</v>
      </c>
      <c r="P185" s="1067">
        <f t="shared" si="232"/>
        <v>16774.193548387095</v>
      </c>
      <c r="NP185" s="1"/>
      <c r="RZ185" s="1"/>
    </row>
    <row r="186" spans="2:494" hidden="1">
      <c r="B186">
        <v>9</v>
      </c>
      <c r="N186">
        <v>9</v>
      </c>
      <c r="O186" s="1067">
        <f t="shared" si="231"/>
        <v>344032.25806451694</v>
      </c>
      <c r="P186" s="1067">
        <f t="shared" si="232"/>
        <v>18870.967741935481</v>
      </c>
      <c r="NP186" s="1"/>
      <c r="RZ186" s="1"/>
    </row>
    <row r="187" spans="2:494" hidden="1">
      <c r="B187">
        <v>10</v>
      </c>
      <c r="N187">
        <v>10</v>
      </c>
      <c r="O187" s="1067">
        <f t="shared" si="231"/>
        <v>382258.0645161299</v>
      </c>
      <c r="P187" s="1067">
        <f t="shared" si="232"/>
        <v>20967.741935483868</v>
      </c>
      <c r="NP187" s="1"/>
      <c r="RZ187" s="1"/>
    </row>
    <row r="188" spans="2:494" hidden="1">
      <c r="B188">
        <v>11</v>
      </c>
      <c r="N188">
        <v>11</v>
      </c>
      <c r="O188" s="1067">
        <f t="shared" si="231"/>
        <v>420483.87096774287</v>
      </c>
      <c r="P188" s="1067">
        <f t="shared" si="232"/>
        <v>23064.516129032254</v>
      </c>
      <c r="NP188" s="1"/>
      <c r="RZ188" s="1"/>
    </row>
    <row r="189" spans="2:494" hidden="1">
      <c r="B189">
        <v>12</v>
      </c>
      <c r="N189">
        <v>12</v>
      </c>
      <c r="O189" s="1067">
        <f t="shared" si="231"/>
        <v>458709.67741935584</v>
      </c>
      <c r="P189" s="1067">
        <f t="shared" si="232"/>
        <v>25161.29032258064</v>
      </c>
      <c r="NP189" s="1"/>
      <c r="RZ189" s="1"/>
    </row>
    <row r="190" spans="2:494" hidden="1">
      <c r="B190">
        <v>13</v>
      </c>
      <c r="N190">
        <v>13</v>
      </c>
      <c r="O190" s="1067">
        <f t="shared" si="231"/>
        <v>496935.4838709688</v>
      </c>
      <c r="P190" s="1067">
        <f t="shared" si="232"/>
        <v>27258.064516129027</v>
      </c>
      <c r="NP190" s="1"/>
      <c r="RZ190" s="1"/>
    </row>
    <row r="191" spans="2:494" hidden="1">
      <c r="B191">
        <v>14</v>
      </c>
      <c r="N191">
        <v>14</v>
      </c>
      <c r="O191" s="1067">
        <f t="shared" si="231"/>
        <v>535161.29032258177</v>
      </c>
      <c r="P191" s="1067">
        <f t="shared" si="232"/>
        <v>29354.838709677413</v>
      </c>
      <c r="NP191" s="1"/>
      <c r="RZ191" s="1"/>
    </row>
    <row r="192" spans="2:494" hidden="1">
      <c r="B192">
        <v>15</v>
      </c>
      <c r="N192">
        <v>15</v>
      </c>
      <c r="O192" s="1067">
        <f t="shared" si="231"/>
        <v>573387.09677419474</v>
      </c>
      <c r="P192" s="1067">
        <f t="shared" si="232"/>
        <v>31451.6129032258</v>
      </c>
      <c r="NP192" s="1"/>
      <c r="RZ192" s="1"/>
    </row>
    <row r="193" spans="2:494" hidden="1">
      <c r="B193">
        <v>16</v>
      </c>
      <c r="N193">
        <v>16</v>
      </c>
      <c r="O193" s="1067">
        <f t="shared" si="231"/>
        <v>611612.90322580771</v>
      </c>
      <c r="P193" s="1067">
        <f t="shared" si="232"/>
        <v>33548.38709677419</v>
      </c>
      <c r="NP193" s="1"/>
      <c r="RZ193" s="1"/>
    </row>
    <row r="194" spans="2:494" hidden="1">
      <c r="B194">
        <v>17</v>
      </c>
      <c r="N194">
        <v>17</v>
      </c>
      <c r="O194" s="1067">
        <f t="shared" si="231"/>
        <v>649838.70967742067</v>
      </c>
      <c r="P194" s="1067">
        <f t="shared" si="232"/>
        <v>35645.161290322576</v>
      </c>
      <c r="NP194" s="1"/>
      <c r="RZ194" s="1"/>
    </row>
    <row r="195" spans="2:494" hidden="1">
      <c r="B195">
        <v>18</v>
      </c>
      <c r="N195">
        <v>18</v>
      </c>
      <c r="O195" s="1067">
        <f t="shared" si="231"/>
        <v>688064.51612903364</v>
      </c>
      <c r="P195" s="1067">
        <f t="shared" si="232"/>
        <v>37741.935483870962</v>
      </c>
      <c r="NP195" s="1"/>
      <c r="RZ195" s="1"/>
    </row>
    <row r="196" spans="2:494" hidden="1">
      <c r="B196">
        <v>19</v>
      </c>
      <c r="N196">
        <v>19</v>
      </c>
      <c r="O196" s="1067">
        <f t="shared" si="231"/>
        <v>726290.32258064661</v>
      </c>
      <c r="P196" s="1067">
        <f t="shared" si="232"/>
        <v>39838.709677419349</v>
      </c>
      <c r="NP196" s="1"/>
      <c r="RZ196" s="1"/>
    </row>
    <row r="197" spans="2:494" hidden="1">
      <c r="B197">
        <v>20</v>
      </c>
      <c r="N197">
        <v>20</v>
      </c>
      <c r="O197" s="1067">
        <f t="shared" si="231"/>
        <v>764516.12903225957</v>
      </c>
      <c r="P197" s="1067">
        <f t="shared" si="232"/>
        <v>41935.483870967735</v>
      </c>
      <c r="NP197" s="1"/>
      <c r="RZ197" s="1"/>
    </row>
    <row r="198" spans="2:494" hidden="1">
      <c r="B198">
        <v>21</v>
      </c>
      <c r="N198">
        <v>21</v>
      </c>
      <c r="O198" s="1067">
        <f t="shared" si="231"/>
        <v>802741.93548387254</v>
      </c>
      <c r="P198" s="1067">
        <f t="shared" si="232"/>
        <v>44032.258064516122</v>
      </c>
      <c r="NP198" s="1"/>
      <c r="RZ198" s="1"/>
    </row>
    <row r="199" spans="2:494" hidden="1">
      <c r="B199">
        <v>22</v>
      </c>
      <c r="N199">
        <v>22</v>
      </c>
      <c r="O199" s="1067">
        <f t="shared" si="231"/>
        <v>840967.74193548551</v>
      </c>
      <c r="P199" s="1067">
        <f t="shared" si="232"/>
        <v>46129.032258064508</v>
      </c>
      <c r="NP199" s="1"/>
      <c r="RZ199" s="1"/>
    </row>
    <row r="200" spans="2:494" hidden="1">
      <c r="B200">
        <v>23</v>
      </c>
      <c r="N200">
        <v>23</v>
      </c>
      <c r="O200" s="1067">
        <f t="shared" si="231"/>
        <v>879193.54838709848</v>
      </c>
      <c r="P200" s="1067">
        <f t="shared" si="232"/>
        <v>48225.806451612894</v>
      </c>
      <c r="NP200" s="1"/>
      <c r="RZ200" s="1"/>
    </row>
    <row r="201" spans="2:494" hidden="1">
      <c r="B201">
        <v>24</v>
      </c>
      <c r="N201">
        <v>24</v>
      </c>
      <c r="O201" s="1067">
        <f t="shared" si="231"/>
        <v>917419.35483871144</v>
      </c>
      <c r="P201" s="1067">
        <f t="shared" si="232"/>
        <v>50322.580645161281</v>
      </c>
      <c r="NP201" s="1"/>
      <c r="RZ201" s="1"/>
    </row>
    <row r="202" spans="2:494" hidden="1">
      <c r="B202">
        <v>25</v>
      </c>
      <c r="N202">
        <v>25</v>
      </c>
      <c r="O202" s="1067">
        <f t="shared" si="231"/>
        <v>955645.16129032441</v>
      </c>
      <c r="P202" s="1067">
        <f t="shared" si="232"/>
        <v>52419.354838709667</v>
      </c>
      <c r="NP202" s="1"/>
      <c r="RZ202" s="1"/>
    </row>
    <row r="203" spans="2:494" hidden="1">
      <c r="B203">
        <v>26</v>
      </c>
      <c r="N203">
        <v>26</v>
      </c>
      <c r="O203" s="1067">
        <f t="shared" si="231"/>
        <v>993870.96774193738</v>
      </c>
      <c r="P203" s="1067">
        <f t="shared" si="232"/>
        <v>54516.129032258053</v>
      </c>
      <c r="NP203" s="1"/>
      <c r="RZ203" s="1"/>
    </row>
    <row r="204" spans="2:494" hidden="1">
      <c r="B204">
        <v>27</v>
      </c>
      <c r="N204">
        <v>27</v>
      </c>
      <c r="O204" s="1067">
        <f t="shared" si="231"/>
        <v>1032096.7741935503</v>
      </c>
      <c r="P204" s="1067">
        <f t="shared" si="232"/>
        <v>56612.90322580644</v>
      </c>
      <c r="NP204" s="1"/>
      <c r="RZ204" s="1"/>
    </row>
    <row r="205" spans="2:494" hidden="1">
      <c r="B205">
        <v>28</v>
      </c>
      <c r="N205">
        <v>28</v>
      </c>
      <c r="O205" s="1067">
        <f t="shared" si="231"/>
        <v>1070322.5806451633</v>
      </c>
      <c r="P205" s="1067">
        <f t="shared" si="232"/>
        <v>58709.677419354826</v>
      </c>
      <c r="NP205" s="1"/>
      <c r="RZ205" s="1"/>
    </row>
    <row r="206" spans="2:494" hidden="1">
      <c r="B206">
        <v>29</v>
      </c>
      <c r="N206">
        <v>29</v>
      </c>
      <c r="O206" s="1067">
        <f t="shared" si="231"/>
        <v>1108548.3870967764</v>
      </c>
      <c r="P206" s="1067">
        <f t="shared" si="232"/>
        <v>60806.451612903213</v>
      </c>
      <c r="NP206" s="1"/>
      <c r="RZ206" s="1"/>
    </row>
    <row r="207" spans="2:494" hidden="1">
      <c r="B207">
        <v>30</v>
      </c>
      <c r="N207">
        <v>30</v>
      </c>
      <c r="O207" s="1067">
        <f t="shared" si="231"/>
        <v>1146774.1935483895</v>
      </c>
      <c r="P207" s="1067">
        <f t="shared" si="232"/>
        <v>62903.225806451599</v>
      </c>
      <c r="NP207" s="1"/>
      <c r="RZ207" s="1"/>
    </row>
    <row r="208" spans="2:494" hidden="1">
      <c r="B208">
        <v>31</v>
      </c>
      <c r="N208">
        <v>31</v>
      </c>
      <c r="O208" s="1067">
        <f t="shared" si="231"/>
        <v>1185000.0000000026</v>
      </c>
      <c r="P208" s="1067">
        <f t="shared" si="232"/>
        <v>64999.999999999985</v>
      </c>
      <c r="NP208" s="1"/>
      <c r="RZ208" s="1"/>
    </row>
    <row r="209" spans="4:494">
      <c r="D209" s="887"/>
      <c r="O209" s="1067"/>
      <c r="P209" s="1067"/>
      <c r="DL209" s="1"/>
      <c r="DM209" s="1"/>
      <c r="JJ209" s="887">
        <f>JJ48/13</f>
        <v>-4934.6892307692324</v>
      </c>
      <c r="JK209" s="887">
        <f>JK48/13</f>
        <v>-2780.0307692307711</v>
      </c>
      <c r="NP209" s="1"/>
      <c r="RZ209" s="1"/>
    </row>
    <row r="210" spans="4:494">
      <c r="O210" s="1067"/>
      <c r="P210" s="1067"/>
      <c r="AA210" s="1"/>
      <c r="AB210" s="887">
        <f>(AB43+X43)/30</f>
        <v>2233.3333333333335</v>
      </c>
      <c r="BM210" s="887">
        <f>BM43/30</f>
        <v>1266.6666666666667</v>
      </c>
      <c r="BN210" s="887"/>
      <c r="BQ210" s="887" t="e">
        <f>#REF!/30</f>
        <v>#REF!</v>
      </c>
      <c r="BW210" s="887">
        <f>BW43/30</f>
        <v>1333.3333333333333</v>
      </c>
      <c r="DL210" s="1"/>
      <c r="DM210" s="1"/>
      <c r="NP210" s="1"/>
      <c r="RZ210" s="1"/>
    </row>
    <row r="211" spans="4:494">
      <c r="O211" s="1067"/>
      <c r="P211" s="1067"/>
      <c r="BZ211" s="887">
        <f>BZ43/30</f>
        <v>0</v>
      </c>
      <c r="DL211" s="1"/>
      <c r="DM211" s="1"/>
      <c r="JM211" s="887"/>
      <c r="JN211" s="1"/>
      <c r="LZ211" s="1074"/>
      <c r="NP211" s="1"/>
      <c r="RZ211" s="1"/>
    </row>
    <row r="212" spans="4:494">
      <c r="O212" s="1067"/>
      <c r="P212" s="1067"/>
      <c r="AB212" s="887">
        <f>X41+AB41</f>
        <v>67940.200000000012</v>
      </c>
      <c r="DL212" s="1"/>
      <c r="DM212" s="1"/>
      <c r="JM212" s="281"/>
      <c r="JN212" s="887"/>
      <c r="NP212" s="1"/>
      <c r="RZ212" s="1"/>
    </row>
    <row r="213" spans="4:494">
      <c r="O213" s="1067"/>
      <c r="P213" s="1067"/>
      <c r="DL213" s="1"/>
      <c r="DM213" s="1"/>
      <c r="GT213" s="887"/>
      <c r="JN213" s="887"/>
      <c r="NP213" s="1"/>
      <c r="RZ213" s="1"/>
    </row>
    <row r="214" spans="4:494">
      <c r="O214" s="1067"/>
      <c r="P214" s="1067"/>
      <c r="DL214" s="1"/>
      <c r="DM214" s="1"/>
      <c r="NP214" s="1"/>
    </row>
    <row r="215" spans="4:494">
      <c r="O215" s="1067"/>
      <c r="P215" s="1067"/>
      <c r="DL215" s="1"/>
      <c r="DM215" s="1"/>
      <c r="NP215" s="1"/>
    </row>
    <row r="216" spans="4:494">
      <c r="O216" s="1067"/>
      <c r="P216" s="1067"/>
      <c r="DL216" s="1"/>
      <c r="DM216" s="1"/>
      <c r="NP216" s="1"/>
    </row>
    <row r="217" spans="4:494">
      <c r="O217" s="1067"/>
      <c r="P217" s="1067"/>
      <c r="BW217">
        <v>2378</v>
      </c>
      <c r="DL217" s="1"/>
      <c r="DM217" s="1"/>
      <c r="NP217" s="1"/>
    </row>
    <row r="218" spans="4:494">
      <c r="O218" s="1067"/>
      <c r="P218" s="1067"/>
      <c r="DL218" s="1"/>
      <c r="DM218" s="1"/>
      <c r="NP218" s="1"/>
    </row>
    <row r="219" spans="4:494">
      <c r="O219" s="1067"/>
      <c r="P219" s="1067"/>
      <c r="DL219" s="1"/>
      <c r="DM219" s="1"/>
      <c r="NP219" s="1"/>
    </row>
    <row r="220" spans="4:494">
      <c r="O220" s="1067"/>
      <c r="P220" s="1067"/>
      <c r="DL220" s="1"/>
      <c r="DM220" s="1"/>
      <c r="NP220" s="1"/>
    </row>
    <row r="221" spans="4:494">
      <c r="O221" s="1067"/>
      <c r="P221" s="1067"/>
      <c r="DL221" s="1"/>
      <c r="DM221" s="1"/>
      <c r="NP221" s="1"/>
    </row>
    <row r="222" spans="4:494">
      <c r="O222" s="1067"/>
      <c r="P222" s="1067"/>
      <c r="DL222" s="1"/>
      <c r="DM222" s="1"/>
      <c r="NP222" s="1"/>
    </row>
    <row r="223" spans="4:494">
      <c r="O223" s="1067"/>
      <c r="P223" s="1067"/>
      <c r="DL223" s="1"/>
      <c r="DM223" s="1"/>
      <c r="NP223" s="1"/>
    </row>
    <row r="224" spans="4:494">
      <c r="O224" s="1067"/>
      <c r="P224" s="1067"/>
      <c r="DL224" s="1"/>
      <c r="DM224" s="1"/>
      <c r="JJ224" s="887">
        <f>JJ43/31</f>
        <v>4193.5483870967746</v>
      </c>
      <c r="NP224" s="1"/>
    </row>
    <row r="225" spans="15:380">
      <c r="O225" s="1067"/>
      <c r="P225" s="1067"/>
      <c r="DL225" s="1"/>
      <c r="DM225" s="1"/>
      <c r="NP225" s="1"/>
    </row>
    <row r="226" spans="15:380">
      <c r="O226" s="1067"/>
      <c r="P226" s="1067"/>
      <c r="DL226" s="1"/>
      <c r="DM226" s="1"/>
      <c r="NP226" s="1"/>
    </row>
    <row r="227" spans="15:380">
      <c r="O227" s="1067"/>
      <c r="P227" s="1067"/>
      <c r="DL227" s="1"/>
      <c r="DM227" s="1"/>
      <c r="NP227" s="1"/>
    </row>
    <row r="228" spans="15:380">
      <c r="O228" s="1067"/>
      <c r="P228" s="1067"/>
      <c r="T228" s="887">
        <f>P41+T41+AB41</f>
        <v>222469.48000000004</v>
      </c>
      <c r="DL228" s="1"/>
      <c r="DM228" s="1"/>
      <c r="NP228" s="1"/>
    </row>
    <row r="229" spans="15:380">
      <c r="O229" s="1067"/>
      <c r="P229" s="1067"/>
      <c r="DL229" s="1"/>
      <c r="DM229" s="1"/>
      <c r="NP229" s="1"/>
    </row>
    <row r="230" spans="15:380">
      <c r="O230" s="1067"/>
      <c r="P230" s="1067"/>
      <c r="DL230" s="1"/>
      <c r="DM230" s="1"/>
      <c r="NP230" s="1"/>
    </row>
    <row r="231" spans="15:380">
      <c r="O231" s="1067"/>
      <c r="P231" s="1067"/>
      <c r="DL231" s="1"/>
      <c r="DM231" s="1"/>
      <c r="NP231" s="1"/>
    </row>
    <row r="232" spans="15:380">
      <c r="O232" s="1067"/>
      <c r="P232" s="1067"/>
      <c r="DL232" s="1"/>
      <c r="DM232" s="1"/>
      <c r="NP232" s="1"/>
    </row>
    <row r="233" spans="15:380">
      <c r="O233" s="1067"/>
      <c r="P233" s="1067"/>
      <c r="DL233" s="1"/>
      <c r="DM233" s="1"/>
      <c r="NP233" s="1"/>
    </row>
    <row r="234" spans="15:380">
      <c r="O234" s="1067"/>
      <c r="P234" s="1067"/>
      <c r="DL234" s="1"/>
      <c r="DM234" s="1"/>
      <c r="NP234" s="1"/>
    </row>
    <row r="235" spans="15:380">
      <c r="O235" s="1067"/>
      <c r="P235" s="1067"/>
      <c r="NP235" s="1"/>
    </row>
    <row r="236" spans="15:380">
      <c r="O236" s="1067"/>
      <c r="P236" s="1067"/>
      <c r="NP236" s="1"/>
    </row>
    <row r="237" spans="15:380">
      <c r="O237" s="1067"/>
      <c r="P237" s="1067"/>
    </row>
    <row r="238" spans="15:380">
      <c r="O238" s="1067"/>
      <c r="P238" s="1067"/>
    </row>
    <row r="239" spans="15:380">
      <c r="O239" s="1067"/>
      <c r="P239" s="1067"/>
    </row>
    <row r="240" spans="15:380">
      <c r="O240" s="1067"/>
      <c r="P240" s="1067"/>
    </row>
    <row r="241" spans="15:16">
      <c r="O241" s="1067"/>
      <c r="P241" s="1067"/>
    </row>
    <row r="242" spans="15:16">
      <c r="O242" s="1067"/>
      <c r="P242" s="1067"/>
    </row>
    <row r="243" spans="15:16">
      <c r="O243" s="1067"/>
      <c r="P243" s="1067"/>
    </row>
    <row r="244" spans="15:16">
      <c r="O244" s="1067"/>
      <c r="P244" s="1067"/>
    </row>
    <row r="245" spans="15:16">
      <c r="O245" s="1067"/>
      <c r="P245" s="1067"/>
    </row>
    <row r="246" spans="15:16">
      <c r="O246" s="1067"/>
      <c r="P246" s="1067"/>
    </row>
    <row r="247" spans="15:16">
      <c r="O247" s="1067"/>
      <c r="P247" s="1067"/>
    </row>
    <row r="248" spans="15:16">
      <c r="O248" s="1067"/>
      <c r="P248" s="1067"/>
    </row>
    <row r="249" spans="15:16">
      <c r="O249" s="1067"/>
      <c r="P249" s="1067"/>
    </row>
    <row r="250" spans="15:16">
      <c r="O250" s="1067"/>
      <c r="P250" s="1067"/>
    </row>
    <row r="251" spans="15:16">
      <c r="O251" s="1067"/>
      <c r="P251" s="1067"/>
    </row>
    <row r="252" spans="15:16">
      <c r="O252" s="1067"/>
      <c r="P252" s="1067"/>
    </row>
    <row r="253" spans="15:16">
      <c r="O253" s="1067"/>
      <c r="P253" s="1067"/>
    </row>
    <row r="254" spans="15:16">
      <c r="O254" s="1067"/>
      <c r="P254" s="1067"/>
    </row>
    <row r="255" spans="15:16">
      <c r="O255" s="1067"/>
      <c r="P255" s="1067"/>
    </row>
    <row r="256" spans="15:16">
      <c r="O256" s="1067"/>
      <c r="P256" s="1067"/>
    </row>
    <row r="257" spans="15:16">
      <c r="O257" s="1067"/>
      <c r="P257" s="1067"/>
    </row>
    <row r="258" spans="15:16">
      <c r="O258" s="1067"/>
      <c r="P258" s="1067"/>
    </row>
    <row r="259" spans="15:16">
      <c r="O259" s="1067"/>
      <c r="P259" s="1067"/>
    </row>
    <row r="260" spans="15:16">
      <c r="O260" s="1067"/>
      <c r="P260" s="1067"/>
    </row>
    <row r="261" spans="15:16">
      <c r="O261" s="1067"/>
      <c r="P261" s="1067"/>
    </row>
    <row r="262" spans="15:16">
      <c r="O262" s="1067"/>
      <c r="P262" s="1067"/>
    </row>
    <row r="263" spans="15:16">
      <c r="O263" s="1067"/>
      <c r="P263" s="1067"/>
    </row>
    <row r="264" spans="15:16">
      <c r="O264" s="1067"/>
      <c r="P264" s="1067"/>
    </row>
    <row r="265" spans="15:16">
      <c r="O265" s="1067"/>
      <c r="P265" s="1067"/>
    </row>
    <row r="266" spans="15:16">
      <c r="O266" s="1067"/>
      <c r="P266" s="1067"/>
    </row>
    <row r="267" spans="15:16">
      <c r="O267" s="1067"/>
      <c r="P267" s="1067"/>
    </row>
    <row r="268" spans="15:16">
      <c r="O268" s="1067"/>
      <c r="P268" s="1067"/>
    </row>
    <row r="290" spans="4:273">
      <c r="D290" s="887">
        <f>D47/15</f>
        <v>0</v>
      </c>
      <c r="JM290" s="887">
        <f>JM47/9</f>
        <v>-3365.7066666666715</v>
      </c>
    </row>
    <row r="292" spans="4:273">
      <c r="JM292" s="314">
        <f>JM41+15000</f>
        <v>345291.36000000004</v>
      </c>
    </row>
    <row r="293" spans="4:273">
      <c r="JM293" s="1">
        <f>JM42+24000</f>
        <v>354291.36000000004</v>
      </c>
    </row>
    <row r="300" spans="4:273">
      <c r="AB300" s="1">
        <f>AB43-AB41</f>
        <v>4699.7999999999956</v>
      </c>
      <c r="JM300" s="887"/>
    </row>
    <row r="301" spans="4:273">
      <c r="JK301" s="1">
        <f>JJ41+JK41</f>
        <v>330291.36000000004</v>
      </c>
    </row>
  </sheetData>
  <mergeCells count="203">
    <mergeCell ref="RX8:SA8"/>
    <mergeCell ref="SB8:SE8"/>
    <mergeCell ref="JP48:JQ48"/>
    <mergeCell ref="QH6:QJ6"/>
    <mergeCell ref="QL6:QL7"/>
    <mergeCell ref="RK6:RM6"/>
    <mergeCell ref="RN6:RN7"/>
    <mergeCell ref="AA8:AD9"/>
    <mergeCell ref="RP8:RU8"/>
    <mergeCell ref="QB6:QB7"/>
    <mergeCell ref="QC6:QC7"/>
    <mergeCell ref="QD6:QD7"/>
    <mergeCell ref="QE6:QE7"/>
    <mergeCell ref="QF6:QF7"/>
    <mergeCell ref="QG6:QG7"/>
    <mergeCell ref="PO6:PO7"/>
    <mergeCell ref="PP6:PP7"/>
    <mergeCell ref="PQ6:PQ7"/>
    <mergeCell ref="PT6:PU6"/>
    <mergeCell ref="PV6:PZ6"/>
    <mergeCell ref="QA6:QA7"/>
    <mergeCell ref="OH6:OR6"/>
    <mergeCell ref="OT6:OT7"/>
    <mergeCell ref="OU6:OZ6"/>
    <mergeCell ref="LL6:LO6"/>
    <mergeCell ref="LP6:LP7"/>
    <mergeCell ref="LQ6:LQ7"/>
    <mergeCell ref="LS6:LW6"/>
    <mergeCell ref="LX6:LX7"/>
    <mergeCell ref="LY6:MD6"/>
    <mergeCell ref="PA6:PA7"/>
    <mergeCell ref="PB6:PG6"/>
    <mergeCell ref="PH6:PH7"/>
    <mergeCell ref="ND6:NF6"/>
    <mergeCell ref="NG6:NG7"/>
    <mergeCell ref="NH6:NS6"/>
    <mergeCell ref="NT6:NT7"/>
    <mergeCell ref="NU6:OE6"/>
    <mergeCell ref="OG6:OG7"/>
    <mergeCell ref="JN6:JN7"/>
    <mergeCell ref="JP6:JW6"/>
    <mergeCell ref="JX6:KE6"/>
    <mergeCell ref="KF6:KM6"/>
    <mergeCell ref="KN6:KN7"/>
    <mergeCell ref="KP6:KT6"/>
    <mergeCell ref="IS6:JF6"/>
    <mergeCell ref="JG6:JG7"/>
    <mergeCell ref="JJ6:JJ7"/>
    <mergeCell ref="JK6:JK7"/>
    <mergeCell ref="JL6:JL7"/>
    <mergeCell ref="JM6:JM7"/>
    <mergeCell ref="GZ6:HM6"/>
    <mergeCell ref="HN6:HN7"/>
    <mergeCell ref="HO6:IB6"/>
    <mergeCell ref="IC6:IC7"/>
    <mergeCell ref="ID6:IQ6"/>
    <mergeCell ref="IR6:IR7"/>
    <mergeCell ref="FW6:GG6"/>
    <mergeCell ref="GI6:GI7"/>
    <mergeCell ref="GL6:GN6"/>
    <mergeCell ref="GO6:GO7"/>
    <mergeCell ref="GR6:GR7"/>
    <mergeCell ref="GT6:GT7"/>
    <mergeCell ref="EZ6:EZ7"/>
    <mergeCell ref="FC6:FC7"/>
    <mergeCell ref="FD6:FD7"/>
    <mergeCell ref="FE6:FE7"/>
    <mergeCell ref="FF6:FF7"/>
    <mergeCell ref="FG6:FG7"/>
    <mergeCell ref="DS6:DS7"/>
    <mergeCell ref="DT6:ED6"/>
    <mergeCell ref="EF6:EF7"/>
    <mergeCell ref="EG6:EQ6"/>
    <mergeCell ref="ES6:ES7"/>
    <mergeCell ref="ET6:EY6"/>
    <mergeCell ref="CZ6:CZ7"/>
    <mergeCell ref="DA6:DA7"/>
    <mergeCell ref="DB6:DB7"/>
    <mergeCell ref="DC6:DC7"/>
    <mergeCell ref="DD6:DD7"/>
    <mergeCell ref="DF6:DP6"/>
    <mergeCell ref="CT6:CT7"/>
    <mergeCell ref="CU6:CU7"/>
    <mergeCell ref="CV6:CV7"/>
    <mergeCell ref="CW6:CW7"/>
    <mergeCell ref="CX6:CX7"/>
    <mergeCell ref="CY6:CY7"/>
    <mergeCell ref="CN6:CN7"/>
    <mergeCell ref="CO6:CO7"/>
    <mergeCell ref="CP6:CP7"/>
    <mergeCell ref="CR6:CR7"/>
    <mergeCell ref="CS6:CS7"/>
    <mergeCell ref="CB6:CD6"/>
    <mergeCell ref="CE6:CG6"/>
    <mergeCell ref="CI6:CI7"/>
    <mergeCell ref="CJ6:CJ7"/>
    <mergeCell ref="CK6:CK7"/>
    <mergeCell ref="CL6:CL7"/>
    <mergeCell ref="BV6:BX6"/>
    <mergeCell ref="BY6:CA6"/>
    <mergeCell ref="AQ6:AS6"/>
    <mergeCell ref="AT6:AV6"/>
    <mergeCell ref="AW6:AY6"/>
    <mergeCell ref="AZ6:BB6"/>
    <mergeCell ref="BC6:BE6"/>
    <mergeCell ref="BF6:BH6"/>
    <mergeCell ref="CM6:CM7"/>
    <mergeCell ref="AI6:AL6"/>
    <mergeCell ref="AN6:AP6"/>
    <mergeCell ref="QU5:QZ5"/>
    <mergeCell ref="RB5:RG5"/>
    <mergeCell ref="C6:C7"/>
    <mergeCell ref="D6:D7"/>
    <mergeCell ref="E6:E7"/>
    <mergeCell ref="F6:G6"/>
    <mergeCell ref="H6:I6"/>
    <mergeCell ref="J6:K6"/>
    <mergeCell ref="L6:M6"/>
    <mergeCell ref="O6:R6"/>
    <mergeCell ref="PK5:PQ5"/>
    <mergeCell ref="PR5:PR40"/>
    <mergeCell ref="PT5:QL5"/>
    <mergeCell ref="QM5:QM40"/>
    <mergeCell ref="QO5:QP5"/>
    <mergeCell ref="QR5:QS5"/>
    <mergeCell ref="PK6:PK7"/>
    <mergeCell ref="PL6:PL7"/>
    <mergeCell ref="BI6:BK6"/>
    <mergeCell ref="BL6:BO6"/>
    <mergeCell ref="BP6:BR6"/>
    <mergeCell ref="BS6:BU6"/>
    <mergeCell ref="LH5:LQ5"/>
    <mergeCell ref="LR5:LR40"/>
    <mergeCell ref="KU6:KY6"/>
    <mergeCell ref="KZ6:LD6"/>
    <mergeCell ref="LE6:LE7"/>
    <mergeCell ref="LH6:LK6"/>
    <mergeCell ref="PM6:PM7"/>
    <mergeCell ref="PN6:PN7"/>
    <mergeCell ref="LS5:MV5"/>
    <mergeCell ref="MW5:MW40"/>
    <mergeCell ref="MY5:NB5"/>
    <mergeCell ref="NC5:NC40"/>
    <mergeCell ref="ND5:PH5"/>
    <mergeCell ref="PI5:PI40"/>
    <mergeCell ref="ME6:MI6"/>
    <mergeCell ref="MJ6:MJ7"/>
    <mergeCell ref="MK6:MO6"/>
    <mergeCell ref="MP6:MP7"/>
    <mergeCell ref="MQ6:MU6"/>
    <mergeCell ref="MV6:MV7"/>
    <mergeCell ref="MY6:MY7"/>
    <mergeCell ref="MZ6:MZ7"/>
    <mergeCell ref="NA6:NA7"/>
    <mergeCell ref="NB6:NB7"/>
    <mergeCell ref="LH4:MW4"/>
    <mergeCell ref="MY4:PI4"/>
    <mergeCell ref="PK4:PR4"/>
    <mergeCell ref="PT4:QM4"/>
    <mergeCell ref="C5:M5"/>
    <mergeCell ref="N5:N40"/>
    <mergeCell ref="O5:AL5"/>
    <mergeCell ref="AM5:AM40"/>
    <mergeCell ref="AN5:CG5"/>
    <mergeCell ref="CI5:CO5"/>
    <mergeCell ref="FC5:FG5"/>
    <mergeCell ref="FH5:FH40"/>
    <mergeCell ref="FI5:GI5"/>
    <mergeCell ref="GJ5:GJ40"/>
    <mergeCell ref="GL5:GR5"/>
    <mergeCell ref="GS5:GS40"/>
    <mergeCell ref="FI6:FN6"/>
    <mergeCell ref="FO6:FO7"/>
    <mergeCell ref="FP6:FU6"/>
    <mergeCell ref="FV6:FV7"/>
    <mergeCell ref="GT5:GX5"/>
    <mergeCell ref="GY5:GY40"/>
    <mergeCell ref="GZ5:JG5"/>
    <mergeCell ref="JH5:JH40"/>
    <mergeCell ref="B4:B7"/>
    <mergeCell ref="C4:CP4"/>
    <mergeCell ref="CR4:FA4"/>
    <mergeCell ref="FC4:GJ4"/>
    <mergeCell ref="GL4:JH4"/>
    <mergeCell ref="JJ4:LF4"/>
    <mergeCell ref="CR5:DD5"/>
    <mergeCell ref="DE5:DE40"/>
    <mergeCell ref="DF5:EZ5"/>
    <mergeCell ref="FA5:FA40"/>
    <mergeCell ref="JJ5:JN5"/>
    <mergeCell ref="JO5:JO40"/>
    <mergeCell ref="GU6:GU7"/>
    <mergeCell ref="GV6:GV7"/>
    <mergeCell ref="GW6:GW7"/>
    <mergeCell ref="GX6:GX7"/>
    <mergeCell ref="JP5:KN5"/>
    <mergeCell ref="KO5:KO40"/>
    <mergeCell ref="KP5:LE5"/>
    <mergeCell ref="LF5:LF40"/>
    <mergeCell ref="S6:V6"/>
    <mergeCell ref="W6:Z6"/>
    <mergeCell ref="AA6:AD6"/>
    <mergeCell ref="AE6:AH6"/>
  </mergeCells>
  <conditionalFormatting sqref="B10:B40">
    <cfRule type="expression" dxfId="88" priority="2189" stopIfTrue="1">
      <formula>SUMIFS($AQ10:$CG10,$AQ$7:$CG$7,"ROM")&lt;&gt;SUM($DS10,$EF10,$ES10,$PZ10)</formula>
    </cfRule>
    <cfRule type="expression" dxfId="87" priority="2190" stopIfTrue="1">
      <formula>OR(SUM(GT10:GW10)&lt;&gt;SUM(HN10,IR10,JG10),SUM(HN10,IR10,JG10)&lt;&gt;SUM(JJ10:JL10))</formula>
    </cfRule>
    <cfRule type="expression" dxfId="86" priority="2191">
      <formula>OR(SUM(#REF!)&lt;&gt;SUM(P1048567,AE1048567,AT1048567),SUM(P1048567,AE1048567,AT1048567)&lt;&gt;SUM(AW1048567:AY1048567))</formula>
    </cfRule>
  </conditionalFormatting>
  <conditionalFormatting sqref="C10:S10 U10:CD10 CF10:GU10 GW10:JL10 JO10:QL10 T10:T40 AC11:AV11 BX11:CD11 CF11:CM11 U11:W15 NG11:NM18 X11:Z23 KZ11:LW34 C11:R40 AA11:AA40 AX11:BW40 JO11:KY40 LX11:NC40 NN11:NO40 OD11:QL40 GM11:GM41 AB11:AB42 ND11:NF42 NP11:NP42 OC11:OC42 S11:S45 CA12:CD18 CF12:CH18 BZ12:BZ19 BX12:BY29 CI12:CM37 AC12:AW40 W16:W17 U16:U20 V18:W20 CA19:CH19 NH19:NM20 NG19:NG25 BZ20:CH29 U21:W23 NI21:NM24 NH21:NH25 V24:Z40 U24:U44 NI25:NI31 NJ25:NM33 NG26:NH31 BX30:CH37 NG32:NI33 NG34:NM40 KZ35:LQ35 LR35:LW36 KZ36:LP36 KZ37:LW40 BX38:CM40 T43 AB44 HF11:HF40 NQ11:OB40 CN11:CN40">
    <cfRule type="expression" dxfId="85" priority="15">
      <formula>$B10=DAY(TODAY()-1)</formula>
    </cfRule>
  </conditionalFormatting>
  <conditionalFormatting sqref="O10:R40">
    <cfRule type="expression" dxfId="84" priority="13">
      <formula>OR(AND(O10&lt;(O$45-(10%*O$45)),O$7="OB"),AND(O10&lt;(O$45-(10%*O$45)),O$7="ROM"))</formula>
    </cfRule>
  </conditionalFormatting>
  <conditionalFormatting sqref="T10:T40 S10:S45 AK11:AV11 AK12:AW40 T43">
    <cfRule type="expression" dxfId="83" priority="12">
      <formula>OR(AND(S10&lt;(S$45-(10%*S$45)),S$7="OB"),AND(S10&lt;(S$45-(10%*S$45)),S$7="ROM"))</formula>
    </cfRule>
  </conditionalFormatting>
  <conditionalFormatting sqref="V16">
    <cfRule type="expression" dxfId="82" priority="16">
      <formula>$B16=DAY(TODAY()-1)</formula>
    </cfRule>
  </conditionalFormatting>
  <conditionalFormatting sqref="W10:X40">
    <cfRule type="expression" dxfId="81" priority="9">
      <formula>OR(AND(W10&lt;(W$45-(10%*W$45)),W$7="OB"),AND(W10&lt;(W$45-(10%*W$45)),W$7="ROM"))</formula>
    </cfRule>
  </conditionalFormatting>
  <conditionalFormatting sqref="Y10:AD10 U10:V16 BO11:BV12 Y11:AA40 AC11:AD40 AG11:AJ40 AB11:AB42 BO13:BS15 BT13:BV21 BP16:BS16 U17:U20 BO17:BS21 V18:V20 U21:V23 BO22:BV33 V24:V40 U24:U44 BO34:BP35 BR34:BV35 BO36:BV40 O40 AB44">
    <cfRule type="expression" dxfId="80" priority="14">
      <formula>OR(AND(O10&lt;(O$45-(10%*O$45)),O$7="OB"),AND(O10&lt;(O$45-(10%*O$45)),O$7="ROM"))</formula>
    </cfRule>
  </conditionalFormatting>
  <conditionalFormatting sqref="AE10:AF40">
    <cfRule type="expression" dxfId="79" priority="10">
      <formula>OR(AND(AE10&lt;(AE$45-(10%*AE$45)),AE$7="OB"),AND(AE10&lt;(AE$45-(10%*AE$45)),AE$7="ROM"))</formula>
    </cfRule>
  </conditionalFormatting>
  <conditionalFormatting sqref="AG10:CA10 AX11:BN40 BQ11:BQ40 BW11:CA40">
    <cfRule type="expression" dxfId="78" priority="11">
      <formula>OR(AND(AG10&lt;(AG$45-(10%*AG$45)),AG$7="OB"),AND(AG10&lt;(AG$45-(10%*AG$45)),AG$7="ROM"))</formula>
    </cfRule>
  </conditionalFormatting>
  <conditionalFormatting sqref="AW10">
    <cfRule type="expression" dxfId="77" priority="20">
      <formula>$B11=DAY(TODAY()-1)</formula>
    </cfRule>
  </conditionalFormatting>
  <conditionalFormatting sqref="CB10:CG40">
    <cfRule type="expression" dxfId="76" priority="6">
      <formula>OR(AND(CB10&lt;(CB$45-(10%*CB$45)),CB$7="OB"),AND(CB10&lt;(CB$45-(10%*CB$45)),CB$7="ROM"))</formula>
    </cfRule>
  </conditionalFormatting>
  <conditionalFormatting sqref="CE10:CE18">
    <cfRule type="expression" dxfId="75" priority="7">
      <formula>$B10=DAY(TODAY()-1)</formula>
    </cfRule>
  </conditionalFormatting>
  <conditionalFormatting sqref="GN11:HE40 HG11:JL40 CO11:GL40">
    <cfRule type="expression" dxfId="74" priority="3">
      <formula>$B11=DAY(TODAY()-1)</formula>
    </cfRule>
  </conditionalFormatting>
  <conditionalFormatting sqref="EF1">
    <cfRule type="expression" dxfId="73" priority="2">
      <formula>$B1=DAY(TODAY()-1)</formula>
    </cfRule>
  </conditionalFormatting>
  <conditionalFormatting sqref="EG10">
    <cfRule type="expression" dxfId="72" priority="5">
      <formula>OR(AND(EG10&lt;(EG$45-(10%*EG$45)),EG$7="OB"),AND(EG10&lt;(EG$45-(10%*EG$45)),EG$7="ROM"))</formula>
    </cfRule>
  </conditionalFormatting>
  <conditionalFormatting sqref="EI21">
    <cfRule type="expression" dxfId="71" priority="8">
      <formula>OR(AND(EI21&lt;(EI$45-(10%*EI$45)),EI$7="OB"),AND(EI21&lt;(EI$45-(10%*EI$45)),EI$7="ROM"))</formula>
    </cfRule>
  </conditionalFormatting>
  <conditionalFormatting sqref="JM10:JN40">
    <cfRule type="expression" dxfId="70" priority="4">
      <formula>$B10=DAY(TODAY()-1)</formula>
    </cfRule>
  </conditionalFormatting>
  <conditionalFormatting sqref="OK1">
    <cfRule type="expression" dxfId="69" priority="1">
      <formula>$B1=DAY(TODAY()-1)</formula>
    </cfRule>
  </conditionalFormatting>
  <pageMargins left="0.7" right="0.7" top="0.75" bottom="0.75" header="0.3" footer="0.3"/>
  <pageSetup orientation="portrait" r:id="rId1"/>
  <drawing r:id="rId2"/>
  <legacy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B2:TF141"/>
  <sheetViews>
    <sheetView showGridLines="0" zoomScale="70" zoomScaleNormal="70" workbookViewId="0">
      <pane xSplit="2" ySplit="1" topLeftCell="AE8" activePane="bottomRight" state="frozen"/>
      <selection pane="topRight" activeCell="H17" sqref="H17"/>
      <selection pane="bottomLeft" activeCell="H17" sqref="H17"/>
      <selection pane="bottomRight" activeCell="AS11" sqref="AS11"/>
    </sheetView>
  </sheetViews>
  <sheetFormatPr defaultColWidth="8.6640625" defaultRowHeight="14.4"/>
  <cols>
    <col min="1" max="1" width="2.33203125" customWidth="1"/>
    <col min="2" max="2" width="7.33203125" customWidth="1"/>
    <col min="3" max="3" width="15.33203125" customWidth="1"/>
    <col min="4" max="4" width="13" customWidth="1"/>
    <col min="5" max="7" width="10.44140625" customWidth="1"/>
    <col min="8" max="8" width="13.6640625" customWidth="1"/>
    <col min="9" max="9" width="10.44140625" customWidth="1"/>
    <col min="10" max="10" width="12.33203125" hidden="1" customWidth="1"/>
    <col min="11" max="11" width="8.6640625" hidden="1" customWidth="1"/>
    <col min="12" max="12" width="14.6640625" hidden="1" customWidth="1"/>
    <col min="13" max="13" width="8.6640625" hidden="1" customWidth="1"/>
    <col min="14" max="14" width="5" customWidth="1"/>
    <col min="15" max="15" width="14.6640625" customWidth="1"/>
    <col min="16" max="16" width="12.109375" customWidth="1"/>
    <col min="17" max="17" width="12.6640625" bestFit="1" customWidth="1"/>
    <col min="18" max="18" width="11.5546875" bestFit="1" customWidth="1"/>
    <col min="19" max="19" width="11.6640625" hidden="1" customWidth="1"/>
    <col min="20" max="20" width="22.33203125" hidden="1" customWidth="1"/>
    <col min="21" max="23" width="17.44140625" customWidth="1"/>
    <col min="24" max="24" width="17" customWidth="1"/>
    <col min="25" max="25" width="1.33203125" customWidth="1"/>
    <col min="26" max="26" width="11.33203125" customWidth="1"/>
    <col min="27" max="27" width="14.33203125" customWidth="1"/>
    <col min="28" max="28" width="11.33203125" customWidth="1"/>
    <col min="29" max="29" width="17.6640625" customWidth="1"/>
    <col min="30" max="33" width="11.33203125" customWidth="1"/>
    <col min="34" max="34" width="18.6640625" customWidth="1"/>
    <col min="35" max="37" width="12.33203125" customWidth="1"/>
    <col min="38" max="38" width="12.109375" customWidth="1"/>
    <col min="39" max="40" width="12.109375" hidden="1" customWidth="1"/>
    <col min="41" max="42" width="17.5546875" customWidth="1"/>
    <col min="43" max="43" width="12" customWidth="1"/>
    <col min="44" max="45" width="18.44140625" customWidth="1"/>
    <col min="46" max="46" width="18.44140625" hidden="1" customWidth="1"/>
    <col min="47" max="47" width="18.44140625" customWidth="1"/>
    <col min="48" max="48" width="12.109375" hidden="1" customWidth="1"/>
    <col min="49" max="49" width="1.33203125" customWidth="1"/>
    <col min="50" max="50" width="15" customWidth="1"/>
    <col min="51" max="51" width="15" hidden="1" customWidth="1"/>
    <col min="52" max="52" width="8" customWidth="1"/>
    <col min="53" max="57" width="8.44140625" customWidth="1"/>
    <col min="58" max="58" width="2.44140625" customWidth="1"/>
    <col min="59" max="61" width="17.88671875" hidden="1" customWidth="1"/>
    <col min="62" max="62" width="0.5546875" customWidth="1"/>
    <col min="63" max="63" width="13.88671875" customWidth="1"/>
    <col min="64" max="65" width="6.6640625" customWidth="1"/>
    <col min="66" max="66" width="8.88671875" customWidth="1"/>
    <col min="67" max="67" width="7" customWidth="1"/>
    <col min="68" max="68" width="9.33203125" customWidth="1"/>
    <col min="69" max="69" width="19.44140625" customWidth="1"/>
    <col min="70" max="70" width="2.5546875" customWidth="1"/>
    <col min="71" max="71" width="19" customWidth="1"/>
    <col min="72" max="88" width="30.5546875" hidden="1" customWidth="1"/>
    <col min="89" max="89" width="1.6640625" customWidth="1"/>
    <col min="90" max="90" width="9.33203125" customWidth="1"/>
    <col min="91" max="91" width="8.6640625" customWidth="1"/>
    <col min="92" max="92" width="14.109375" customWidth="1"/>
    <col min="93" max="93" width="19.44140625" customWidth="1"/>
    <col min="94" max="94" width="5.44140625" customWidth="1"/>
    <col min="95" max="95" width="6.6640625" customWidth="1"/>
    <col min="96" max="96" width="12.6640625" customWidth="1"/>
    <col min="97" max="97" width="20" customWidth="1"/>
    <col min="98" max="98" width="8.6640625" customWidth="1"/>
    <col min="99" max="99" width="10.33203125" customWidth="1"/>
    <col min="100" max="100" width="9.33203125" customWidth="1"/>
    <col min="101" max="102" width="8.6640625" customWidth="1"/>
    <col min="103" max="103" width="1.33203125" customWidth="1"/>
    <col min="104" max="104" width="12" customWidth="1"/>
    <col min="105" max="105" width="8.6640625" customWidth="1"/>
    <col min="106" max="106" width="3.33203125" customWidth="1"/>
    <col min="107" max="107" width="14.5546875" bestFit="1" customWidth="1"/>
    <col min="108" max="108" width="16.33203125" customWidth="1"/>
    <col min="109" max="109" width="12.33203125" customWidth="1"/>
    <col min="110" max="110" width="14.6640625" hidden="1" customWidth="1"/>
    <col min="111" max="111" width="11.44140625" hidden="1" customWidth="1"/>
    <col min="112" max="112" width="11.6640625" hidden="1" customWidth="1"/>
    <col min="113" max="113" width="14.5546875" customWidth="1"/>
    <col min="114" max="114" width="16.33203125" customWidth="1"/>
    <col min="115" max="115" width="8.6640625" customWidth="1"/>
    <col min="116" max="116" width="8.5546875" hidden="1" customWidth="1"/>
    <col min="117" max="117" width="8.6640625" hidden="1" customWidth="1"/>
    <col min="118" max="118" width="9.33203125" hidden="1" customWidth="1"/>
    <col min="119" max="120" width="8.6640625" hidden="1" customWidth="1"/>
    <col min="121" max="121" width="8.33203125" hidden="1" customWidth="1"/>
    <col min="122" max="122" width="13.6640625" customWidth="1"/>
    <col min="123" max="123" width="15.33203125" customWidth="1"/>
    <col min="124" max="124" width="9.33203125" customWidth="1"/>
    <col min="125" max="125" width="11.6640625" customWidth="1"/>
    <col min="126" max="126" width="11.33203125" customWidth="1"/>
    <col min="127" max="127" width="8.6640625" customWidth="1"/>
    <col min="128" max="128" width="17.33203125" hidden="1" customWidth="1"/>
    <col min="129" max="129" width="18.33203125" hidden="1" customWidth="1"/>
    <col min="130" max="130" width="8.6640625" hidden="1" customWidth="1"/>
    <col min="131" max="131" width="16.44140625" customWidth="1"/>
    <col min="132" max="132" width="13.5546875" customWidth="1"/>
    <col min="133" max="133" width="10.6640625" customWidth="1"/>
    <col min="134" max="134" width="14.6640625" customWidth="1"/>
    <col min="135" max="135" width="14" customWidth="1"/>
    <col min="136" max="136" width="8.6640625" customWidth="1"/>
    <col min="137" max="137" width="13.33203125" customWidth="1"/>
    <col min="138" max="138" width="12.6640625" customWidth="1"/>
    <col min="139" max="139" width="9.33203125" customWidth="1"/>
    <col min="140" max="140" width="13.5546875" hidden="1" customWidth="1"/>
    <col min="141" max="141" width="12.33203125" hidden="1" customWidth="1"/>
    <col min="142" max="142" width="9.33203125" hidden="1" customWidth="1"/>
    <col min="143" max="143" width="12.6640625" hidden="1" customWidth="1"/>
    <col min="144" max="144" width="11.33203125" hidden="1" customWidth="1"/>
    <col min="145" max="145" width="9.33203125" hidden="1" customWidth="1"/>
    <col min="146" max="146" width="13.44140625" hidden="1" customWidth="1"/>
    <col min="147" max="147" width="13" hidden="1" customWidth="1"/>
    <col min="148" max="148" width="9.33203125" hidden="1" customWidth="1"/>
    <col min="149" max="149" width="7.6640625" customWidth="1"/>
    <col min="150" max="152" width="10.6640625" customWidth="1"/>
    <col min="156" max="156" width="0" hidden="1" customWidth="1"/>
    <col min="157" max="157" width="18.33203125" customWidth="1"/>
    <col min="158" max="158" width="6.6640625" customWidth="1"/>
    <col min="160" max="160" width="11.6640625" bestFit="1" customWidth="1"/>
    <col min="162" max="162" width="11.6640625" bestFit="1" customWidth="1"/>
    <col min="164" max="164" width="11.6640625" bestFit="1" customWidth="1"/>
    <col min="166" max="166" width="11.6640625" bestFit="1" customWidth="1"/>
    <col min="168" max="168" width="11.6640625" bestFit="1" customWidth="1"/>
    <col min="170" max="170" width="11.6640625" bestFit="1" customWidth="1"/>
    <col min="171" max="171" width="13.33203125" bestFit="1" customWidth="1"/>
    <col min="172" max="172" width="7.6640625" customWidth="1"/>
    <col min="174" max="174" width="11.6640625" bestFit="1" customWidth="1"/>
    <col min="175" max="175" width="11.6640625" customWidth="1"/>
    <col min="176" max="176" width="11.6640625" bestFit="1" customWidth="1"/>
    <col min="177" max="177" width="12.5546875" bestFit="1" customWidth="1"/>
    <col min="178" max="178" width="11.6640625" bestFit="1" customWidth="1"/>
    <col min="180" max="180" width="11.6640625" bestFit="1" customWidth="1"/>
    <col min="181" max="181" width="12.6640625" bestFit="1" customWidth="1"/>
    <col min="182" max="182" width="11.6640625" bestFit="1" customWidth="1"/>
    <col min="183" max="183" width="10.6640625" bestFit="1" customWidth="1"/>
    <col min="184" max="184" width="11.6640625" bestFit="1" customWidth="1"/>
    <col min="185" max="185" width="13.6640625" bestFit="1" customWidth="1"/>
    <col min="186" max="186" width="11.33203125" customWidth="1"/>
    <col min="187" max="187" width="16.6640625" customWidth="1"/>
    <col min="188" max="188" width="9.6640625" customWidth="1"/>
    <col min="189" max="189" width="11.6640625" bestFit="1" customWidth="1"/>
    <col min="190" max="190" width="10.33203125" bestFit="1" customWidth="1"/>
    <col min="191" max="191" width="11.6640625" bestFit="1" customWidth="1"/>
    <col min="192" max="192" width="10.33203125" customWidth="1"/>
    <col min="193" max="193" width="11.6640625" bestFit="1" customWidth="1"/>
    <col min="194" max="194" width="12.33203125" customWidth="1"/>
    <col min="195" max="195" width="10.33203125" customWidth="1"/>
    <col min="196" max="196" width="9.33203125" customWidth="1"/>
    <col min="197" max="197" width="11.6640625" bestFit="1" customWidth="1"/>
    <col min="198" max="198" width="14.6640625" customWidth="1"/>
    <col min="199" max="199" width="12.6640625" bestFit="1" customWidth="1"/>
    <col min="200" max="200" width="12.33203125" hidden="1" customWidth="1"/>
    <col min="201" max="201" width="12.6640625" bestFit="1" customWidth="1"/>
    <col min="202" max="202" width="12.33203125" hidden="1" customWidth="1"/>
    <col min="203" max="203" width="12.6640625" bestFit="1" customWidth="1"/>
    <col min="204" max="204" width="12.33203125" hidden="1" customWidth="1"/>
    <col min="205" max="205" width="12.6640625" bestFit="1" customWidth="1"/>
    <col min="206" max="206" width="12.33203125" hidden="1" customWidth="1"/>
    <col min="207" max="207" width="12.6640625" bestFit="1" customWidth="1"/>
    <col min="208" max="208" width="12.33203125" hidden="1" customWidth="1"/>
    <col min="209" max="209" width="12.6640625" bestFit="1" customWidth="1"/>
    <col min="210" max="210" width="11.6640625" hidden="1" customWidth="1"/>
    <col min="211" max="211" width="12.6640625" customWidth="1"/>
    <col min="212" max="218" width="8.6640625" hidden="1" customWidth="1"/>
    <col min="219" max="219" width="1.33203125" customWidth="1"/>
    <col min="220" max="220" width="6.6640625" customWidth="1"/>
    <col min="223" max="223" width="9.33203125" bestFit="1" customWidth="1"/>
    <col min="226" max="226" width="1.33203125" customWidth="1"/>
    <col min="227" max="240" width="8.6640625" hidden="1" customWidth="1"/>
    <col min="241" max="241" width="7.33203125" bestFit="1" customWidth="1"/>
    <col min="242" max="242" width="11.6640625" bestFit="1" customWidth="1"/>
    <col min="243" max="243" width="6.6640625" bestFit="1" customWidth="1"/>
    <col min="244" max="244" width="11.6640625" bestFit="1" customWidth="1"/>
    <col min="245" max="245" width="6.6640625" bestFit="1" customWidth="1"/>
    <col min="246" max="246" width="11.6640625" bestFit="1" customWidth="1"/>
    <col min="247" max="247" width="6.6640625" bestFit="1" customWidth="1"/>
    <col min="248" max="248" width="11.6640625" bestFit="1" customWidth="1"/>
    <col min="249" max="249" width="10.33203125" bestFit="1" customWidth="1"/>
    <col min="250" max="250" width="11.6640625" bestFit="1" customWidth="1"/>
    <col min="251" max="251" width="6.6640625" bestFit="1" customWidth="1"/>
    <col min="252" max="252" width="11.6640625" bestFit="1" customWidth="1"/>
    <col min="254" max="254" width="1.33203125" customWidth="1"/>
    <col min="255" max="255" width="6.6640625" customWidth="1"/>
    <col min="256" max="256" width="13" customWidth="1"/>
    <col min="257" max="257" width="13.44140625" customWidth="1"/>
    <col min="258" max="258" width="12" customWidth="1"/>
    <col min="259" max="259" width="12.6640625" customWidth="1"/>
    <col min="260" max="260" width="10.33203125" hidden="1" customWidth="1"/>
    <col min="261" max="261" width="0" hidden="1" customWidth="1"/>
    <col min="262" max="262" width="37.44140625" customWidth="1"/>
    <col min="263" max="263" width="1.33203125" customWidth="1"/>
    <col min="264" max="264" width="13.33203125" bestFit="1" customWidth="1"/>
    <col min="265" max="265" width="12.33203125" bestFit="1" customWidth="1"/>
    <col min="266" max="266" width="13.33203125" customWidth="1"/>
    <col min="267" max="267" width="12.33203125" hidden="1" customWidth="1"/>
    <col min="268" max="268" width="12.33203125" bestFit="1" customWidth="1"/>
    <col min="269" max="269" width="1.33203125" customWidth="1"/>
    <col min="270" max="270" width="13.5546875" hidden="1" customWidth="1"/>
    <col min="271" max="271" width="12.33203125" hidden="1" customWidth="1"/>
    <col min="272" max="272" width="13.33203125" hidden="1" customWidth="1"/>
    <col min="273" max="273" width="13" hidden="1" customWidth="1"/>
    <col min="274" max="274" width="12.6640625" hidden="1" customWidth="1"/>
    <col min="275" max="275" width="14.44140625" hidden="1" customWidth="1"/>
    <col min="276" max="276" width="12" hidden="1" customWidth="1"/>
    <col min="277" max="278" width="11.6640625" hidden="1" customWidth="1"/>
    <col min="279" max="279" width="13" hidden="1" customWidth="1"/>
    <col min="280" max="280" width="10.33203125" hidden="1" customWidth="1"/>
    <col min="281" max="281" width="11.6640625" hidden="1" customWidth="1"/>
    <col min="282" max="282" width="0" hidden="1" customWidth="1"/>
    <col min="283" max="283" width="10.33203125" hidden="1" customWidth="1"/>
    <col min="284" max="284" width="10.44140625" hidden="1" customWidth="1"/>
    <col min="285" max="285" width="11.33203125" customWidth="1"/>
    <col min="286" max="286" width="11.6640625" bestFit="1" customWidth="1"/>
    <col min="287" max="287" width="10.33203125" bestFit="1" customWidth="1"/>
    <col min="288" max="288" width="11.6640625" bestFit="1" customWidth="1"/>
    <col min="289" max="289" width="12.33203125" bestFit="1" customWidth="1"/>
    <col min="290" max="290" width="11.6640625" bestFit="1" customWidth="1"/>
    <col min="291" max="291" width="10.44140625" bestFit="1" customWidth="1"/>
    <col min="292" max="292" width="11.6640625" bestFit="1" customWidth="1"/>
    <col min="293" max="293" width="12.33203125" bestFit="1" customWidth="1"/>
    <col min="294" max="294" width="11.6640625" bestFit="1" customWidth="1"/>
    <col min="295" max="295" width="12" customWidth="1"/>
    <col min="296" max="296" width="12.33203125" bestFit="1" customWidth="1"/>
    <col min="299" max="299" width="11.6640625" bestFit="1" customWidth="1"/>
    <col min="300" max="300" width="7.33203125" bestFit="1" customWidth="1"/>
    <col min="301" max="301" width="11.6640625" bestFit="1" customWidth="1"/>
    <col min="302" max="302" width="9.44140625" customWidth="1"/>
    <col min="303" max="303" width="11.6640625" bestFit="1" customWidth="1"/>
    <col min="304" max="305" width="12" bestFit="1" customWidth="1"/>
    <col min="306" max="306" width="8.5546875" customWidth="1"/>
    <col min="307" max="307" width="11.6640625" bestFit="1" customWidth="1"/>
    <col min="308" max="308" width="10.44140625" bestFit="1" customWidth="1"/>
    <col min="309" max="309" width="12" bestFit="1" customWidth="1"/>
    <col min="310" max="310" width="9.5546875" customWidth="1"/>
    <col min="311" max="311" width="11.6640625" bestFit="1" customWidth="1"/>
    <col min="314" max="314" width="13" customWidth="1"/>
    <col min="315" max="315" width="1.33203125" customWidth="1"/>
    <col min="316" max="316" width="6.6640625" customWidth="1"/>
    <col min="317" max="317" width="21.33203125" customWidth="1"/>
    <col min="318" max="318" width="16" customWidth="1"/>
    <col min="319" max="319" width="15.5546875" bestFit="1" customWidth="1"/>
    <col min="320" max="320" width="13.33203125" bestFit="1" customWidth="1"/>
    <col min="321" max="321" width="13" bestFit="1" customWidth="1"/>
    <col min="322" max="322" width="3.6640625" customWidth="1"/>
    <col min="323" max="323" width="12.5546875" bestFit="1" customWidth="1"/>
    <col min="327" max="327" width="11.5546875" customWidth="1"/>
    <col min="331" max="338" width="8.6640625" customWidth="1"/>
    <col min="345" max="345" width="8.6640625" customWidth="1"/>
    <col min="346" max="346" width="6.33203125" customWidth="1"/>
    <col min="348" max="348" width="1.33203125" customWidth="1"/>
    <col min="354" max="354" width="12.33203125" customWidth="1"/>
    <col min="355" max="358" width="8.6640625" customWidth="1"/>
    <col min="364" max="364" width="0" hidden="1" customWidth="1"/>
    <col min="365" max="365" width="1.33203125" customWidth="1"/>
    <col min="366" max="366" width="6.6640625" customWidth="1"/>
    <col min="367" max="367" width="16.33203125" customWidth="1"/>
    <col min="368" max="368" width="13.33203125" customWidth="1"/>
    <col min="369" max="369" width="25.33203125" customWidth="1"/>
    <col min="370" max="370" width="14.33203125" bestFit="1" customWidth="1"/>
    <col min="371" max="371" width="14.44140625" customWidth="1"/>
    <col min="372" max="372" width="13.44140625" bestFit="1" customWidth="1"/>
    <col min="374" max="374" width="0" hidden="1" customWidth="1"/>
    <col min="376" max="376" width="49.33203125" customWidth="1"/>
    <col min="377" max="377" width="1.33203125" customWidth="1"/>
    <col min="378" max="378" width="15.33203125" customWidth="1"/>
    <col min="379" max="379" width="10.33203125" bestFit="1" customWidth="1"/>
    <col min="380" max="380" width="13.6640625" bestFit="1" customWidth="1"/>
    <col min="381" max="381" width="9.44140625" customWidth="1"/>
    <col min="382" max="382" width="9.6640625" customWidth="1"/>
    <col min="383" max="383" width="12.33203125" customWidth="1"/>
    <col min="384" max="384" width="10.44140625" bestFit="1" customWidth="1"/>
    <col min="385" max="385" width="9" customWidth="1"/>
    <col min="386" max="386" width="13.6640625" bestFit="1" customWidth="1"/>
    <col min="387" max="387" width="12" bestFit="1" customWidth="1"/>
    <col min="388" max="388" width="13" bestFit="1" customWidth="1"/>
    <col min="389" max="389" width="9.6640625" bestFit="1" customWidth="1"/>
    <col min="390" max="390" width="9.33203125" bestFit="1" customWidth="1"/>
    <col min="391" max="391" width="12.6640625" customWidth="1"/>
    <col min="392" max="392" width="13.6640625" bestFit="1" customWidth="1"/>
    <col min="393" max="393" width="9.44140625" bestFit="1" customWidth="1"/>
    <col min="394" max="394" width="9.6640625" bestFit="1" customWidth="1"/>
    <col min="395" max="395" width="13.5546875" bestFit="1" customWidth="1"/>
    <col min="396" max="396" width="7.6640625" customWidth="1"/>
    <col min="397" max="397" width="9.33203125" customWidth="1"/>
    <col min="398" max="398" width="15.5546875" customWidth="1"/>
    <col min="399" max="399" width="9.44140625" customWidth="1"/>
    <col min="400" max="400" width="9.6640625" customWidth="1"/>
    <col min="401" max="401" width="13.5546875" customWidth="1"/>
    <col min="402" max="403" width="9.33203125" customWidth="1"/>
    <col min="404" max="404" width="15.5546875" customWidth="1"/>
    <col min="405" max="405" width="9.44140625" customWidth="1"/>
    <col min="406" max="406" width="9.6640625" customWidth="1"/>
    <col min="407" max="407" width="8.6640625" customWidth="1"/>
    <col min="408" max="408" width="1.33203125" customWidth="1"/>
    <col min="409" max="409" width="6.6640625" customWidth="1"/>
    <col min="410" max="410" width="13" customWidth="1"/>
    <col min="411" max="411" width="12.33203125" customWidth="1"/>
    <col min="413" max="413" width="12" customWidth="1"/>
    <col min="414" max="414" width="1.33203125" customWidth="1"/>
    <col min="415" max="415" width="17.33203125" customWidth="1"/>
    <col min="416" max="417" width="17.6640625" customWidth="1"/>
    <col min="418" max="418" width="15.33203125" customWidth="1"/>
    <col min="419" max="419" width="13.6640625" customWidth="1"/>
    <col min="420" max="420" width="14.44140625" customWidth="1"/>
    <col min="421" max="421" width="12.33203125" bestFit="1" customWidth="1"/>
    <col min="422" max="422" width="11.6640625" bestFit="1" customWidth="1"/>
    <col min="423" max="423" width="12" bestFit="1" customWidth="1"/>
    <col min="424" max="424" width="11.6640625" bestFit="1" customWidth="1"/>
    <col min="425" max="425" width="13.33203125" customWidth="1"/>
    <col min="426" max="426" width="13.44140625" customWidth="1"/>
    <col min="427" max="427" width="10.33203125" customWidth="1"/>
    <col min="428" max="428" width="11.6640625" bestFit="1" customWidth="1"/>
    <col min="429" max="429" width="6.6640625" bestFit="1" customWidth="1"/>
    <col min="430" max="430" width="11.6640625" bestFit="1" customWidth="1"/>
    <col min="431" max="431" width="11.5546875" bestFit="1" customWidth="1"/>
    <col min="432" max="432" width="12.33203125" customWidth="1"/>
    <col min="433" max="433" width="11.6640625" bestFit="1" customWidth="1"/>
    <col min="434" max="434" width="11.33203125" customWidth="1"/>
    <col min="435" max="435" width="11.6640625" bestFit="1" customWidth="1"/>
    <col min="436" max="436" width="10.33203125" customWidth="1"/>
    <col min="437" max="437" width="11.6640625" bestFit="1" customWidth="1"/>
    <col min="438" max="438" width="12.33203125" customWidth="1"/>
    <col min="439" max="439" width="11.6640625" bestFit="1" customWidth="1"/>
    <col min="440" max="440" width="13.44140625" customWidth="1"/>
    <col min="441" max="441" width="14.6640625" customWidth="1"/>
    <col min="442" max="442" width="11.33203125" bestFit="1" customWidth="1"/>
    <col min="443" max="443" width="12.6640625" bestFit="1" customWidth="1"/>
    <col min="444" max="444" width="12.33203125" customWidth="1"/>
    <col min="445" max="445" width="10" customWidth="1"/>
    <col min="446" max="446" width="11.6640625" bestFit="1" customWidth="1"/>
    <col min="447" max="447" width="9.6640625" customWidth="1"/>
    <col min="448" max="448" width="11.6640625" bestFit="1" customWidth="1"/>
    <col min="449" max="449" width="11" customWidth="1"/>
    <col min="450" max="450" width="11.6640625" bestFit="1" customWidth="1"/>
    <col min="451" max="451" width="9.6640625" customWidth="1"/>
    <col min="452" max="452" width="11.6640625" bestFit="1" customWidth="1"/>
    <col min="453" max="453" width="9.33203125" bestFit="1" customWidth="1"/>
    <col min="454" max="454" width="11.6640625" bestFit="1" customWidth="1"/>
    <col min="455" max="455" width="8.33203125" customWidth="1"/>
    <col min="456" max="456" width="11.6640625" bestFit="1" customWidth="1"/>
    <col min="457" max="457" width="13.6640625" customWidth="1"/>
    <col min="458" max="458" width="9.33203125" hidden="1" customWidth="1"/>
    <col min="459" max="459" width="9.5546875" hidden="1" customWidth="1"/>
    <col min="460" max="463" width="9.33203125" hidden="1" customWidth="1"/>
    <col min="464" max="464" width="9.5546875" hidden="1" customWidth="1"/>
    <col min="465" max="468" width="8.6640625" hidden="1" customWidth="1"/>
    <col min="469" max="469" width="13.44140625" hidden="1" customWidth="1"/>
    <col min="470" max="470" width="8.6640625" hidden="1" customWidth="1"/>
    <col min="471" max="471" width="9.33203125" hidden="1" customWidth="1"/>
    <col min="472" max="472" width="1.33203125" customWidth="1"/>
    <col min="473" max="473" width="6.6640625" customWidth="1"/>
    <col min="479" max="479" width="1.33203125" customWidth="1"/>
    <col min="480" max="480" width="6.6640625" customWidth="1"/>
    <col min="481" max="482" width="14" customWidth="1"/>
    <col min="484" max="485" width="12.33203125" customWidth="1"/>
    <col min="486" max="487" width="14" customWidth="1"/>
    <col min="488" max="488" width="10.6640625" customWidth="1"/>
    <col min="489" max="489" width="12" bestFit="1" customWidth="1"/>
    <col min="490" max="493" width="12" customWidth="1"/>
    <col min="494" max="494" width="12.6640625" customWidth="1"/>
    <col min="495" max="495" width="11.5546875" customWidth="1"/>
    <col min="496" max="497" width="14.33203125" customWidth="1"/>
    <col min="507" max="522" width="0" hidden="1" customWidth="1"/>
    <col min="523" max="523" width="12.33203125" hidden="1" customWidth="1"/>
    <col min="524" max="526" width="8.6640625" hidden="1" customWidth="1"/>
    <col min="527" max="527" width="8.6640625" customWidth="1"/>
  </cols>
  <sheetData>
    <row r="2" spans="2:97">
      <c r="O2" s="887"/>
      <c r="P2" s="887"/>
      <c r="Q2" s="887"/>
      <c r="R2" s="887"/>
      <c r="AS2">
        <v>2548.0778736734878</v>
      </c>
    </row>
    <row r="3" spans="2:97">
      <c r="AS3">
        <v>171.482126326512</v>
      </c>
    </row>
    <row r="4" spans="2:97">
      <c r="AS4" s="1903">
        <f>AS2+AS3</f>
        <v>2719.56</v>
      </c>
    </row>
    <row r="6" spans="2:97">
      <c r="G6" s="431">
        <f>+ROUND('July TIS'!H43,0)</f>
        <v>152</v>
      </c>
      <c r="AR6" s="987"/>
    </row>
    <row r="7" spans="2:97" ht="27.6" customHeight="1">
      <c r="G7" s="98" t="e">
        <f>+ROUND('July TIS'!H44,0/mm)</f>
        <v>#NAME?</v>
      </c>
      <c r="AI7" s="1006"/>
      <c r="AJ7" s="1006"/>
      <c r="AK7" s="1006"/>
    </row>
    <row r="8" spans="2:97" ht="14.7" customHeight="1">
      <c r="B8" s="2625" t="s">
        <v>103</v>
      </c>
      <c r="C8" s="993"/>
      <c r="D8" s="993"/>
      <c r="E8" s="993"/>
      <c r="F8" s="993"/>
      <c r="G8" s="993"/>
      <c r="H8" s="993"/>
      <c r="I8" s="993"/>
      <c r="J8" s="993"/>
      <c r="K8" s="993"/>
      <c r="L8" s="993"/>
      <c r="M8" s="993"/>
      <c r="N8" s="993"/>
      <c r="O8" s="2727" t="s">
        <v>18</v>
      </c>
      <c r="P8" s="2727"/>
      <c r="Q8" s="2727"/>
      <c r="R8" s="2727"/>
      <c r="S8" s="2727"/>
      <c r="T8" s="2728"/>
      <c r="U8" s="1221"/>
      <c r="V8" s="1221"/>
      <c r="W8" s="1221"/>
      <c r="X8" s="1222"/>
      <c r="Z8" s="2729"/>
      <c r="AA8" s="2729"/>
      <c r="AB8" s="2730"/>
      <c r="AC8" s="1702"/>
      <c r="AD8" s="1702"/>
      <c r="AE8" s="1702"/>
      <c r="AF8" s="1702"/>
      <c r="AG8" s="1702"/>
      <c r="AH8" s="1702"/>
      <c r="AI8" s="2731" t="s">
        <v>126</v>
      </c>
      <c r="AJ8" s="2732"/>
      <c r="AK8" s="2732"/>
      <c r="AL8" s="2733"/>
      <c r="AM8" s="1269"/>
      <c r="AN8" s="1269"/>
      <c r="AO8" s="1269"/>
      <c r="AP8" s="1269"/>
      <c r="AQ8" s="1269"/>
      <c r="AR8" s="1269"/>
      <c r="AS8" s="1269"/>
      <c r="AT8" s="466"/>
      <c r="AU8" s="1007"/>
      <c r="AV8" s="1269"/>
      <c r="AX8" s="2734" t="s">
        <v>107</v>
      </c>
      <c r="AY8" s="2735"/>
      <c r="AZ8" s="2735"/>
      <c r="BA8" s="2735"/>
      <c r="BB8" s="2735"/>
      <c r="BC8" s="2735"/>
      <c r="BD8" s="2736"/>
      <c r="BE8" s="41"/>
      <c r="BK8" s="2753" t="s">
        <v>108</v>
      </c>
      <c r="BL8" s="2754"/>
      <c r="BM8" s="2754"/>
      <c r="BN8" s="2754"/>
      <c r="BO8" s="2754"/>
      <c r="BP8" s="2754"/>
      <c r="BQ8" s="2755"/>
      <c r="BR8" s="42"/>
      <c r="BS8" s="2671" t="s">
        <v>181</v>
      </c>
      <c r="BT8" s="42"/>
      <c r="BU8" s="42"/>
      <c r="BV8" s="42"/>
      <c r="BW8" s="42"/>
      <c r="BX8" s="42"/>
      <c r="BY8" s="42"/>
      <c r="BZ8" s="42"/>
      <c r="CA8" s="42"/>
      <c r="CB8" s="42"/>
      <c r="CC8" s="42"/>
      <c r="CD8" s="42"/>
      <c r="CE8" s="42"/>
      <c r="CF8" s="42"/>
      <c r="CG8" s="42"/>
      <c r="CH8" s="42"/>
      <c r="CI8" s="42"/>
      <c r="CJ8" s="42"/>
      <c r="CK8" s="42"/>
    </row>
    <row r="9" spans="2:97" ht="14.4" customHeight="1">
      <c r="B9" s="2626"/>
      <c r="C9" s="2624" t="s">
        <v>111</v>
      </c>
      <c r="D9" s="2628"/>
      <c r="E9" s="2628"/>
      <c r="F9" s="2628"/>
      <c r="G9" s="2628"/>
      <c r="H9" s="2628"/>
      <c r="I9" s="2628"/>
      <c r="J9" s="2628"/>
      <c r="K9" s="2628"/>
      <c r="L9" s="2628"/>
      <c r="M9" s="2628"/>
      <c r="N9" s="993"/>
      <c r="O9" s="2740" t="s">
        <v>3</v>
      </c>
      <c r="P9" s="2742"/>
      <c r="Q9" s="2742"/>
      <c r="R9" s="2740"/>
      <c r="S9" s="2671" t="s">
        <v>127</v>
      </c>
      <c r="T9" s="2671" t="s">
        <v>145</v>
      </c>
      <c r="U9" s="42"/>
      <c r="V9" s="42"/>
      <c r="W9" s="42"/>
      <c r="X9" s="2671" t="s">
        <v>375</v>
      </c>
      <c r="Y9" s="42"/>
      <c r="Z9" s="2743" t="s">
        <v>376</v>
      </c>
      <c r="AA9" s="2744"/>
      <c r="AB9" s="2745"/>
      <c r="AC9" s="1704" t="s">
        <v>112</v>
      </c>
      <c r="AD9" s="1703"/>
      <c r="AE9" s="1703"/>
      <c r="AF9" s="1703"/>
      <c r="AG9" s="1703"/>
      <c r="AH9" s="1703"/>
      <c r="AI9" s="2749" t="s">
        <v>377</v>
      </c>
      <c r="AJ9" s="2750"/>
      <c r="AK9" s="2750"/>
      <c r="AL9" s="2751"/>
      <c r="AM9" s="1270"/>
      <c r="AN9" s="1270"/>
      <c r="AO9" s="2752"/>
      <c r="AP9" s="2752"/>
      <c r="AQ9" s="2752"/>
      <c r="AR9" s="2752"/>
      <c r="AS9" s="1270"/>
      <c r="AT9" s="1007"/>
      <c r="AU9" s="1359" t="s">
        <v>378</v>
      </c>
      <c r="AV9" s="1270"/>
      <c r="AW9" s="1007"/>
      <c r="AX9" s="2632" t="s">
        <v>77</v>
      </c>
      <c r="AY9" s="2671" t="s">
        <v>167</v>
      </c>
      <c r="AZ9" s="2624" t="s">
        <v>379</v>
      </c>
      <c r="BA9" s="2628"/>
      <c r="BB9" s="2628"/>
      <c r="BC9" s="2628"/>
      <c r="BD9" s="2631"/>
      <c r="BE9" s="41"/>
      <c r="BF9" s="1007"/>
      <c r="BG9" s="1007"/>
      <c r="BH9" s="1007"/>
      <c r="BI9" s="1007"/>
      <c r="BJ9" s="1007"/>
      <c r="BK9" s="182" t="s">
        <v>170</v>
      </c>
      <c r="BL9" s="2619" t="s">
        <v>171</v>
      </c>
      <c r="BM9" s="2673"/>
      <c r="BN9" s="2673"/>
      <c r="BO9" s="2676"/>
      <c r="BP9" s="2690" t="s">
        <v>172</v>
      </c>
      <c r="BQ9" s="2671" t="s">
        <v>145</v>
      </c>
      <c r="BR9" s="42"/>
      <c r="BS9" s="2672"/>
      <c r="BT9" s="42"/>
      <c r="BU9" s="42"/>
      <c r="BV9" s="42"/>
      <c r="BW9" s="42"/>
      <c r="BX9" s="42"/>
      <c r="BY9" s="42"/>
      <c r="BZ9" s="42"/>
      <c r="CA9" s="42"/>
      <c r="CB9" s="42"/>
      <c r="CC9" s="42"/>
      <c r="CD9" s="42"/>
      <c r="CE9" s="42"/>
      <c r="CF9" s="42"/>
      <c r="CG9" s="42"/>
      <c r="CH9" s="42"/>
      <c r="CI9" s="42"/>
      <c r="CJ9" s="42"/>
      <c r="CK9" s="42"/>
      <c r="CL9" s="1046"/>
    </row>
    <row r="10" spans="2:97" ht="34.200000000000003" customHeight="1">
      <c r="B10" s="2626"/>
      <c r="C10" s="2632" t="s">
        <v>3</v>
      </c>
      <c r="D10" s="2632" t="s">
        <v>126</v>
      </c>
      <c r="E10" s="2632" t="s">
        <v>127</v>
      </c>
      <c r="F10" s="2632" t="s">
        <v>212</v>
      </c>
      <c r="G10" s="2632"/>
      <c r="H10" s="2632" t="s">
        <v>128</v>
      </c>
      <c r="I10" s="2632"/>
      <c r="J10" s="2633"/>
      <c r="K10" s="2634"/>
      <c r="L10" s="2633"/>
      <c r="M10" s="2635"/>
      <c r="N10" s="993"/>
      <c r="O10" s="2741"/>
      <c r="P10" s="2681"/>
      <c r="Q10" s="2681"/>
      <c r="R10" s="2682"/>
      <c r="S10" s="2737"/>
      <c r="T10" s="2737"/>
      <c r="U10" s="2738" t="s">
        <v>380</v>
      </c>
      <c r="V10" s="2739"/>
      <c r="W10" s="2739"/>
      <c r="X10" s="2737"/>
      <c r="Y10" s="42"/>
      <c r="Z10" s="2746"/>
      <c r="AA10" s="2747"/>
      <c r="AB10" s="2748"/>
      <c r="AC10" s="1003" t="s">
        <v>130</v>
      </c>
      <c r="AD10" s="1003" t="s">
        <v>243</v>
      </c>
      <c r="AE10" s="1003" t="s">
        <v>244</v>
      </c>
      <c r="AF10" s="1003" t="s">
        <v>165</v>
      </c>
      <c r="AG10" s="1003" t="s">
        <v>7</v>
      </c>
      <c r="AH10" s="1003" t="s">
        <v>145</v>
      </c>
      <c r="AI10" s="1008" t="s">
        <v>147</v>
      </c>
      <c r="AJ10" s="1008" t="s">
        <v>69</v>
      </c>
      <c r="AK10" s="1008" t="s">
        <v>71</v>
      </c>
      <c r="AL10" s="1009"/>
      <c r="AM10" s="1413"/>
      <c r="AN10" s="1413"/>
      <c r="AO10" s="1308" t="s">
        <v>381</v>
      </c>
      <c r="AP10" s="1308" t="s">
        <v>382</v>
      </c>
      <c r="AQ10" s="1322" t="s">
        <v>7</v>
      </c>
      <c r="AR10" s="1308" t="s">
        <v>383</v>
      </c>
      <c r="AS10" s="1308" t="s">
        <v>384</v>
      </c>
      <c r="AT10" s="1007"/>
      <c r="AU10" s="1360" t="s">
        <v>385</v>
      </c>
      <c r="AV10" s="1413"/>
      <c r="AW10" s="1007"/>
      <c r="AX10" s="2632"/>
      <c r="AY10" s="2737"/>
      <c r="AZ10" s="2632" t="s">
        <v>168</v>
      </c>
      <c r="BA10" s="2632"/>
      <c r="BB10" s="2632"/>
      <c r="BC10" s="2632"/>
      <c r="BD10" s="2632"/>
      <c r="BE10" s="42"/>
      <c r="BF10" s="1007"/>
      <c r="BG10" s="1007"/>
      <c r="BH10" s="1007"/>
      <c r="BI10" s="1007"/>
      <c r="BJ10" s="1007"/>
      <c r="BK10" s="184" t="s">
        <v>168</v>
      </c>
      <c r="BL10" s="43" t="s">
        <v>198</v>
      </c>
      <c r="BM10" s="43" t="s">
        <v>199</v>
      </c>
      <c r="BN10" s="44" t="s">
        <v>200</v>
      </c>
      <c r="BO10" s="45" t="s">
        <v>201</v>
      </c>
      <c r="BP10" s="2691"/>
      <c r="BQ10" s="2672"/>
      <c r="BR10" s="42"/>
      <c r="BS10" s="181" t="s">
        <v>377</v>
      </c>
      <c r="BT10" s="42"/>
      <c r="BU10" s="42"/>
      <c r="BV10" s="42"/>
      <c r="BW10" s="42"/>
      <c r="BX10" s="42"/>
      <c r="BY10" s="42"/>
      <c r="BZ10" s="42"/>
      <c r="CA10" s="42"/>
      <c r="CB10" s="42"/>
      <c r="CC10" s="42"/>
      <c r="CD10" s="42"/>
      <c r="CE10" s="42"/>
      <c r="CF10" s="42"/>
      <c r="CG10" s="42"/>
      <c r="CH10" s="42"/>
      <c r="CI10" s="42"/>
      <c r="CJ10" s="42"/>
      <c r="CK10" s="42"/>
    </row>
    <row r="11" spans="2:97" ht="15" thickBot="1">
      <c r="B11" s="2726"/>
      <c r="C11" s="2632"/>
      <c r="D11" s="2632"/>
      <c r="E11" s="2632"/>
      <c r="F11" s="181"/>
      <c r="G11" s="181"/>
      <c r="H11" s="181" t="s">
        <v>193</v>
      </c>
      <c r="I11" s="181" t="s">
        <v>194</v>
      </c>
      <c r="J11" s="181"/>
      <c r="K11" s="181"/>
      <c r="L11" s="181"/>
      <c r="M11" s="182"/>
      <c r="N11" s="993"/>
      <c r="O11" s="2682"/>
      <c r="P11" s="1002" t="s">
        <v>69</v>
      </c>
      <c r="Q11" s="184" t="s">
        <v>71</v>
      </c>
      <c r="R11" s="184" t="s">
        <v>284</v>
      </c>
      <c r="S11" s="2672"/>
      <c r="T11" s="2672"/>
      <c r="U11" s="1411" t="s">
        <v>386</v>
      </c>
      <c r="V11" s="1010" t="s">
        <v>387</v>
      </c>
      <c r="W11" s="1010" t="s">
        <v>388</v>
      </c>
      <c r="X11" s="2672"/>
      <c r="Y11" s="42"/>
      <c r="Z11" s="888" t="s">
        <v>69</v>
      </c>
      <c r="AA11" s="184" t="s">
        <v>71</v>
      </c>
      <c r="AB11" s="184" t="s">
        <v>284</v>
      </c>
      <c r="AC11" s="184"/>
      <c r="AD11" s="184"/>
      <c r="AE11" s="184"/>
      <c r="AF11" s="184"/>
      <c r="AG11" s="184"/>
      <c r="AH11" s="184"/>
      <c r="AI11" s="1011">
        <f>'March TIS'!AI44</f>
        <v>0</v>
      </c>
      <c r="AJ11" s="1011">
        <f>'June TIS'!AJ44</f>
        <v>731.69488613999999</v>
      </c>
      <c r="AK11" s="1011">
        <f>'June TIS'!AK44</f>
        <v>93877.611735719998</v>
      </c>
      <c r="AL11" s="1932">
        <f t="shared" ref="AL11:AL42" si="0">SUM(AI11:AK11)</f>
        <v>94609.30662186</v>
      </c>
      <c r="AM11" s="1007"/>
      <c r="AN11" s="1007"/>
      <c r="AO11" s="1309"/>
      <c r="AP11" s="1318">
        <v>0</v>
      </c>
      <c r="AQ11" s="1318"/>
      <c r="AR11" s="1728">
        <f>'April TIS'!AR44</f>
        <v>0</v>
      </c>
      <c r="AS11" s="1728">
        <f>'June TIS'!AS44</f>
        <v>0</v>
      </c>
      <c r="AT11" s="1007"/>
      <c r="AU11" s="1476"/>
      <c r="AV11" s="1007"/>
      <c r="AW11" s="1013"/>
      <c r="AX11" s="2632"/>
      <c r="AY11" s="2672"/>
      <c r="AZ11" s="181" t="s">
        <v>61</v>
      </c>
      <c r="BA11" s="181" t="s">
        <v>62</v>
      </c>
      <c r="BB11" s="181" t="s">
        <v>63</v>
      </c>
      <c r="BC11" s="181" t="s">
        <v>196</v>
      </c>
      <c r="BD11" s="181" t="s">
        <v>197</v>
      </c>
      <c r="BE11" s="42"/>
      <c r="BF11" s="1013"/>
      <c r="BG11" s="1013"/>
      <c r="BH11" s="1013"/>
      <c r="BI11" s="1013"/>
      <c r="BJ11" s="1013"/>
      <c r="BK11" s="1395"/>
      <c r="BL11" s="17"/>
      <c r="BM11" s="18"/>
      <c r="BN11" s="1397"/>
      <c r="BO11" s="17"/>
      <c r="BP11" s="17"/>
      <c r="BQ11" s="1014"/>
      <c r="BR11" s="89"/>
      <c r="BS11" s="1228">
        <f>'June TIS'!BS44</f>
        <v>47045.816223959991</v>
      </c>
      <c r="BT11" s="89"/>
      <c r="BU11" s="89"/>
      <c r="BV11" s="89"/>
      <c r="BW11" s="89"/>
      <c r="BX11" s="89"/>
      <c r="BY11" s="89"/>
      <c r="BZ11" s="89"/>
      <c r="CA11" s="89"/>
      <c r="CB11" s="89"/>
      <c r="CC11" s="89"/>
      <c r="CD11" s="89"/>
      <c r="CE11" s="89"/>
      <c r="CF11" s="89"/>
      <c r="CG11" s="89"/>
      <c r="CH11" s="89"/>
      <c r="CI11" s="89"/>
      <c r="CJ11" s="89"/>
      <c r="CK11" s="89"/>
      <c r="CM11" s="1006"/>
      <c r="CN11" s="1015" t="s">
        <v>285</v>
      </c>
      <c r="CO11" s="1015" t="s">
        <v>293</v>
      </c>
      <c r="CQ11" s="1006"/>
      <c r="CR11" s="1015" t="s">
        <v>286</v>
      </c>
      <c r="CS11" s="1015" t="s">
        <v>293</v>
      </c>
    </row>
    <row r="12" spans="2:97">
      <c r="B12" s="988">
        <v>1</v>
      </c>
      <c r="C12" s="488">
        <f t="shared" ref="C12:C43" si="1">O12</f>
        <v>26251</v>
      </c>
      <c r="D12" s="488">
        <f t="shared" ref="D12:D42" si="2">Q12+P12+AQ12</f>
        <v>1690.3400000000001</v>
      </c>
      <c r="E12" s="1016">
        <f t="shared" ref="E12:E42" si="3">S12</f>
        <v>15.530011713619745</v>
      </c>
      <c r="F12" s="1017"/>
      <c r="G12" s="494"/>
      <c r="H12" s="1018">
        <v>10</v>
      </c>
      <c r="I12" s="2109">
        <v>6.17</v>
      </c>
      <c r="N12" s="993"/>
      <c r="O12" s="26">
        <v>26251</v>
      </c>
      <c r="P12" s="1020"/>
      <c r="Q12" s="1933">
        <v>1690.3400000000001</v>
      </c>
      <c r="R12" s="1227">
        <v>1690.3400000000001</v>
      </c>
      <c r="S12" s="27">
        <v>15.530011713619745</v>
      </c>
      <c r="T12" s="33"/>
      <c r="U12" s="2023">
        <v>1231.3400000000001</v>
      </c>
      <c r="V12" s="2225">
        <v>459</v>
      </c>
      <c r="W12" s="2225">
        <v>0</v>
      </c>
      <c r="X12" s="1024"/>
      <c r="Y12" s="1"/>
      <c r="Z12" s="1025">
        <v>0</v>
      </c>
      <c r="AA12" s="2174">
        <v>4678.0599999999995</v>
      </c>
      <c r="AB12" s="1025">
        <v>4678.0599999999995</v>
      </c>
      <c r="AC12" s="1025">
        <v>0</v>
      </c>
      <c r="AD12" s="1025">
        <v>0</v>
      </c>
      <c r="AE12" s="1025">
        <v>2116.1799999999998</v>
      </c>
      <c r="AF12" s="1025">
        <v>2561.88</v>
      </c>
      <c r="AG12" s="1025">
        <v>4678.0599999999995</v>
      </c>
      <c r="AH12" s="1025"/>
      <c r="AI12" s="1026"/>
      <c r="AJ12" s="1026">
        <f t="shared" ref="AJ12:AJ42" si="4">AJ11+P12-Z12</f>
        <v>731.69488613999999</v>
      </c>
      <c r="AK12" s="1026">
        <f t="shared" ref="AK12:AK42" si="5">AK11+Q12+AU12-AA12</f>
        <v>90889.891735719997</v>
      </c>
      <c r="AL12" s="1027">
        <f t="shared" si="0"/>
        <v>91621.586621859999</v>
      </c>
      <c r="AM12" s="1414"/>
      <c r="AN12" s="1414"/>
      <c r="AO12" s="1310"/>
      <c r="AP12" s="1310"/>
      <c r="AQ12" s="1934">
        <f t="shared" ref="AQ12:AQ42" si="6">AO12+AP12</f>
        <v>0</v>
      </c>
      <c r="AR12" s="1729">
        <f t="shared" ref="AR12:AS27" si="7">AR11+AO12-AT12</f>
        <v>0</v>
      </c>
      <c r="AS12" s="1729">
        <f t="shared" si="7"/>
        <v>0</v>
      </c>
      <c r="AT12" s="1007"/>
      <c r="AU12" s="2500">
        <f>SUMPRODUCT((IFERROR(VALUE(LEFT('Data Base CW TIS'!$E$2:$E$1000,2)),0)=B12)*('Data Base CW TIS'!$B$2:$B$1000="ROM TEMPORARY-ROM SB1 BK05")*('Data Base CW TIS'!$C$2:$C$1000="TIS-ROM TEMPORARY-ROM 6 (TIS)")*'Data Base CW TIS'!$N$2:$N$1000)</f>
        <v>0</v>
      </c>
      <c r="AV12" s="1414"/>
      <c r="AW12" s="987"/>
      <c r="AX12" s="1028">
        <f t="shared" ref="AX12:AX42" si="8">AB12</f>
        <v>4678.0599999999995</v>
      </c>
      <c r="AY12" s="171"/>
      <c r="AZ12" s="2" cm="1">
        <f t="array" ref="AZ12">IFERROR(SUMPRODUCT((TIS.HCV.MS!$A$3:$A$92=DATE(2026,7,$B12))*(TIS.HCV.MS!$O$3:$O$92&gt;0)*TIS.HCV.MS!$C$3:$C$92*TIS.HCV.MS!$O$3:$O$92)/SUMPRODUCT((TIS.HCV.MS!$A$3:$A$92=DATE(2026,7,$B12))*(TIS.HCV.MS!$O$3:$O$92&gt;0)*TIS.HCV.MS!$C$3:$C$92),0)</f>
        <v>0</v>
      </c>
      <c r="BA12" s="2110" cm="1">
        <f t="array" ref="BA12">IFERROR(SUMPRODUCT((TIS.HCV.MS!$A$3:$A$92=DATE(2026,7,$B12))*(TIS.HCV.MS!$M$3:$M$92&gt;0)*TIS.HCV.MS!$C$3:$C$92*TIS.HCV.MS!$M$3:$M$92)/SUMPRODUCT((TIS.HCV.MS!$A$3:$A$92=DATE(2026,7,$B12))*(TIS.HCV.MS!$M$3:$M$92&gt;0)*TIS.HCV.MS!$C$3:$C$92),0)</f>
        <v>0</v>
      </c>
      <c r="BB12" s="2110" cm="1">
        <f t="array" ref="BB12">IFERROR(SUMPRODUCT((TIS.HCV.MS!$A$3:$A$92=DATE(2026,7,$B12))*(TIS.HCV.MS!$G$3:$G$92&gt;0)*TIS.HCV.MS!$C$3:$C$92*TIS.HCV.MS!$G$3:$G$92)/SUMPRODUCT((TIS.HCV.MS!$A$3:$A$92=DATE(2026,7,$B12))*(TIS.HCV.MS!$G$3:$G$92&gt;0)*TIS.HCV.MS!$C$3:$C$92),0)</f>
        <v>0</v>
      </c>
      <c r="BC12" s="2110" cm="1">
        <f t="array" ref="BC12">IFERROR(SUMPRODUCT((TIS.HCV.MS!$A$3:$A$92=DATE(2026,7,$B12))*(TIS.HCV.MS!$F$3:$F$92&gt;0)*TIS.HCV.MS!$C$3:$C$92*TIS.HCV.MS!$F$3:$F$92)/SUMPRODUCT((TIS.HCV.MS!$A$3:$A$92=DATE(2026,7,$B12))*(TIS.HCV.MS!$F$3:$F$92&gt;0)*TIS.HCV.MS!$C$3:$C$92),0)</f>
        <v>0</v>
      </c>
      <c r="BD12" s="2111" cm="1">
        <f t="array" ref="BD12">IFERROR(SUMPRODUCT((TIS.HCV.MS!$A$3:$A$92=DATE(2026,7,$B12))*(TIS.HCV.MS!$E$3:$E$92&gt;0)*TIS.HCV.MS!$C$3:$C$92*TIS.HCV.MS!$E$3:$E$92)/SUMPRODUCT((TIS.HCV.MS!$A$3:$A$92=DATE(2026,7,$B12))*(TIS.HCV.MS!$E$3:$E$92&gt;0)*TIS.HCV.MS!$C$3:$C$92),0)</f>
        <v>0</v>
      </c>
      <c r="BF12" s="987"/>
      <c r="BG12" s="987"/>
      <c r="BH12" s="987"/>
      <c r="BI12" s="987"/>
      <c r="BJ12" s="987"/>
      <c r="BK12" s="1028">
        <v>7548</v>
      </c>
      <c r="BL12" s="1028">
        <v>1</v>
      </c>
      <c r="BM12" s="1028"/>
      <c r="BN12" s="1028"/>
      <c r="BO12" s="1028"/>
      <c r="BP12" s="1030">
        <f>'July TCM'!LO10</f>
        <v>4.6100000000000003</v>
      </c>
      <c r="BQ12" s="1031"/>
      <c r="BR12" s="1"/>
      <c r="BS12" s="1032">
        <f t="shared" ref="BS12:BS42" si="9">+BS11+AB12-BK12</f>
        <v>44175.876223959989</v>
      </c>
      <c r="BT12" s="1"/>
      <c r="BU12" s="1"/>
      <c r="BV12" s="1"/>
      <c r="BW12" s="1"/>
      <c r="BX12" s="1"/>
      <c r="BY12" s="1"/>
      <c r="BZ12" s="1"/>
      <c r="CA12" s="1"/>
      <c r="CB12" s="1"/>
      <c r="CC12" s="1"/>
      <c r="CD12" s="1"/>
      <c r="CE12" s="1"/>
      <c r="CF12" s="1"/>
      <c r="CG12" s="1"/>
      <c r="CH12" s="1"/>
      <c r="CI12" s="1"/>
      <c r="CJ12" s="1"/>
      <c r="CK12" s="1"/>
      <c r="CM12" s="1033">
        <v>1</v>
      </c>
      <c r="CN12" s="1">
        <f t="shared" ref="CN12:CN42" si="10">D12</f>
        <v>1690.3400000000001</v>
      </c>
      <c r="CO12">
        <v>2607010109</v>
      </c>
      <c r="CQ12" s="412">
        <v>1</v>
      </c>
      <c r="CR12" s="1">
        <f t="shared" ref="CR12:CR42" si="11">AB12</f>
        <v>4678.0599999999995</v>
      </c>
      <c r="CS12">
        <v>2607010113</v>
      </c>
    </row>
    <row r="13" spans="2:97">
      <c r="B13" s="989">
        <v>2</v>
      </c>
      <c r="C13" s="5">
        <f t="shared" si="1"/>
        <v>35308</v>
      </c>
      <c r="D13" s="488">
        <f t="shared" si="2"/>
        <v>3036.5600000000004</v>
      </c>
      <c r="E13" s="15">
        <f t="shared" si="3"/>
        <v>11.627631266959979</v>
      </c>
      <c r="F13" s="363"/>
      <c r="G13" s="64"/>
      <c r="H13" s="1034"/>
      <c r="I13" s="1035"/>
      <c r="N13" s="993"/>
      <c r="O13" s="26">
        <v>35308</v>
      </c>
      <c r="P13" s="1036"/>
      <c r="Q13" s="277">
        <v>3036.5600000000004</v>
      </c>
      <c r="R13" s="1227">
        <v>3036.5600000000004</v>
      </c>
      <c r="S13" s="27">
        <v>11.627631266959979</v>
      </c>
      <c r="T13" s="33"/>
      <c r="U13" s="2226">
        <v>2174.4</v>
      </c>
      <c r="V13" s="2227">
        <v>862.16000000000008</v>
      </c>
      <c r="W13" s="2227">
        <v>0</v>
      </c>
      <c r="X13" s="1038"/>
      <c r="Y13" s="1"/>
      <c r="Z13" s="1025">
        <v>0</v>
      </c>
      <c r="AA13" s="2174">
        <v>13375.650000000001</v>
      </c>
      <c r="AB13" s="1025">
        <v>13375.650000000001</v>
      </c>
      <c r="AC13" s="1025">
        <v>0</v>
      </c>
      <c r="AD13" s="1025">
        <v>0</v>
      </c>
      <c r="AE13" s="1025">
        <v>6520</v>
      </c>
      <c r="AF13" s="1025">
        <v>6855.65</v>
      </c>
      <c r="AG13" s="1025">
        <v>13375.65</v>
      </c>
      <c r="AH13" s="1025"/>
      <c r="AI13" s="1039"/>
      <c r="AJ13" s="1026">
        <f t="shared" si="4"/>
        <v>731.69488613999999</v>
      </c>
      <c r="AK13" s="1026">
        <f t="shared" si="5"/>
        <v>80550.801735719986</v>
      </c>
      <c r="AL13" s="1040">
        <f t="shared" si="0"/>
        <v>81282.496621859987</v>
      </c>
      <c r="AM13" s="1414"/>
      <c r="AN13" s="1414"/>
      <c r="AO13" s="1310"/>
      <c r="AP13" s="1310"/>
      <c r="AQ13" s="1934">
        <f t="shared" si="6"/>
        <v>0</v>
      </c>
      <c r="AR13" s="1729">
        <f t="shared" si="7"/>
        <v>0</v>
      </c>
      <c r="AS13" s="1729">
        <f t="shared" si="7"/>
        <v>0</v>
      </c>
      <c r="AT13" s="1007"/>
      <c r="AU13" s="2501">
        <f>SUMPRODUCT((IFERROR(VALUE(LEFT('Data Base CW TIS'!$E$2:$E$1000,2)),0)=B13)*('Data Base CW TIS'!$B$2:$B$1000="ROM TEMPORARY-ROM SB1 BK05")*('Data Base CW TIS'!$C$2:$C$1000="TIS-ROM TEMPORARY-ROM 6 (TIS)")*'Data Base CW TIS'!$N$2:$N$1000)</f>
        <v>0</v>
      </c>
      <c r="AV13" s="1414"/>
      <c r="AW13" s="987"/>
      <c r="AX13" s="310">
        <f t="shared" si="8"/>
        <v>13375.650000000001</v>
      </c>
      <c r="AY13" s="998"/>
      <c r="AZ13" s="2" cm="1">
        <f t="array" ref="AZ13">IFERROR(SUMPRODUCT((TIS.HCV.MS!$A$3:$A$92=DATE(2026,7,$B13))*(TIS.HCV.MS!$O$3:$O$92&gt;0)*TIS.HCV.MS!$C$3:$C$92*TIS.HCV.MS!$O$3:$O$92)/SUMPRODUCT((TIS.HCV.MS!$A$3:$A$92=DATE(2026,7,$B13))*(TIS.HCV.MS!$O$3:$O$92&gt;0)*TIS.HCV.MS!$C$3:$C$92),0)</f>
        <v>0</v>
      </c>
      <c r="BA13" s="2110" cm="1">
        <f t="array" ref="BA13">IFERROR(SUMPRODUCT((TIS.HCV.MS!$A$3:$A$92=DATE(2026,7,$B13))*(TIS.HCV.MS!$M$3:$M$92&gt;0)*TIS.HCV.MS!$C$3:$C$92*TIS.HCV.MS!$M$3:$M$92)/SUMPRODUCT((TIS.HCV.MS!$A$3:$A$92=DATE(2026,7,$B13))*(TIS.HCV.MS!$M$3:$M$92&gt;0)*TIS.HCV.MS!$C$3:$C$92),0)</f>
        <v>0</v>
      </c>
      <c r="BB13" s="2110" cm="1">
        <f t="array" ref="BB13">IFERROR(SUMPRODUCT((TIS.HCV.MS!$A$3:$A$92=DATE(2026,7,$B13))*(TIS.HCV.MS!$G$3:$G$92&gt;0)*TIS.HCV.MS!$C$3:$C$92*TIS.HCV.MS!$G$3:$G$92)/SUMPRODUCT((TIS.HCV.MS!$A$3:$A$92=DATE(2026,7,$B13))*(TIS.HCV.MS!$G$3:$G$92&gt;0)*TIS.HCV.MS!$C$3:$C$92),0)</f>
        <v>0</v>
      </c>
      <c r="BC13" s="2110" cm="1">
        <f t="array" ref="BC13">IFERROR(SUMPRODUCT((TIS.HCV.MS!$A$3:$A$92=DATE(2026,7,$B13))*(TIS.HCV.MS!$F$3:$F$92&gt;0)*TIS.HCV.MS!$C$3:$C$92*TIS.HCV.MS!$F$3:$F$92)/SUMPRODUCT((TIS.HCV.MS!$A$3:$A$92=DATE(2026,7,$B13))*(TIS.HCV.MS!$F$3:$F$92&gt;0)*TIS.HCV.MS!$C$3:$C$92),0)</f>
        <v>0</v>
      </c>
      <c r="BD13" s="2111" cm="1">
        <f t="array" ref="BD13">IFERROR(SUMPRODUCT((TIS.HCV.MS!$A$3:$A$92=DATE(2026,7,$B13))*(TIS.HCV.MS!$E$3:$E$92&gt;0)*TIS.HCV.MS!$C$3:$C$92*TIS.HCV.MS!$E$3:$E$92)/SUMPRODUCT((TIS.HCV.MS!$A$3:$A$92=DATE(2026,7,$B13))*(TIS.HCV.MS!$E$3:$E$92&gt;0)*TIS.HCV.MS!$C$3:$C$92),0)</f>
        <v>0</v>
      </c>
      <c r="BF13" s="987"/>
      <c r="BG13" s="987"/>
      <c r="BH13" s="987"/>
      <c r="BI13" s="987"/>
      <c r="BJ13" s="987"/>
      <c r="BK13" s="310">
        <v>15131.06</v>
      </c>
      <c r="BL13" s="310">
        <v>2</v>
      </c>
      <c r="BM13" s="310"/>
      <c r="BN13" s="310"/>
      <c r="BO13" s="310"/>
      <c r="BP13" s="1041">
        <f>'July TCM'!LO11</f>
        <v>4.53</v>
      </c>
      <c r="BQ13" s="1042"/>
      <c r="BR13" s="1"/>
      <c r="BS13" s="1032">
        <f t="shared" si="9"/>
        <v>42420.466223959993</v>
      </c>
      <c r="BT13" s="1"/>
      <c r="BU13" s="1"/>
      <c r="BV13" s="1"/>
      <c r="BW13" s="1"/>
      <c r="BX13" s="1"/>
      <c r="BY13" s="1"/>
      <c r="BZ13" s="1"/>
      <c r="CA13" s="1"/>
      <c r="CB13" s="1"/>
      <c r="CC13" s="1"/>
      <c r="CD13" s="1"/>
      <c r="CE13" s="1"/>
      <c r="CF13" s="1"/>
      <c r="CG13" s="1"/>
      <c r="CH13" s="1"/>
      <c r="CI13" s="1"/>
      <c r="CJ13" s="1"/>
      <c r="CK13" s="1"/>
      <c r="CM13" s="1033">
        <v>2</v>
      </c>
      <c r="CN13" s="1">
        <f t="shared" si="10"/>
        <v>3036.5600000000004</v>
      </c>
      <c r="CO13" s="1046">
        <v>2607020318</v>
      </c>
      <c r="CQ13" s="412">
        <v>2</v>
      </c>
      <c r="CR13" s="1">
        <f t="shared" si="11"/>
        <v>13375.650000000001</v>
      </c>
      <c r="CS13">
        <v>2607020316</v>
      </c>
    </row>
    <row r="14" spans="2:97">
      <c r="B14" s="989">
        <v>3</v>
      </c>
      <c r="C14" s="5">
        <f t="shared" si="1"/>
        <v>32586</v>
      </c>
      <c r="D14" s="488">
        <f t="shared" si="2"/>
        <v>1917.7999999999997</v>
      </c>
      <c r="E14" s="15">
        <f t="shared" si="3"/>
        <v>16.991344248618212</v>
      </c>
      <c r="F14" s="363"/>
      <c r="G14" s="64"/>
      <c r="H14" s="1034">
        <v>2</v>
      </c>
      <c r="I14" s="1035">
        <v>1.77</v>
      </c>
      <c r="N14" s="993"/>
      <c r="O14" s="26">
        <v>32586</v>
      </c>
      <c r="P14" s="1036"/>
      <c r="Q14" s="277">
        <v>1917.7999999999997</v>
      </c>
      <c r="R14" s="1227">
        <v>1917.7999999999997</v>
      </c>
      <c r="S14" s="27">
        <v>16.991344248618212</v>
      </c>
      <c r="T14" s="33"/>
      <c r="U14" s="2226">
        <v>1636.4799999999998</v>
      </c>
      <c r="V14" s="2227">
        <v>281.32</v>
      </c>
      <c r="W14" s="2227">
        <v>0</v>
      </c>
      <c r="X14" s="1038"/>
      <c r="Y14" s="1"/>
      <c r="Z14" s="1025">
        <v>0</v>
      </c>
      <c r="AA14" s="2174">
        <v>12969.669999999998</v>
      </c>
      <c r="AB14" s="1025">
        <v>12969.669999999998</v>
      </c>
      <c r="AC14" s="1025">
        <v>0</v>
      </c>
      <c r="AD14" s="1025">
        <v>0</v>
      </c>
      <c r="AE14" s="1025">
        <v>6873.61</v>
      </c>
      <c r="AF14" s="1025">
        <v>6096.0599999999995</v>
      </c>
      <c r="AG14" s="1025">
        <v>12969.669999999998</v>
      </c>
      <c r="AH14" s="1025"/>
      <c r="AI14" s="1039"/>
      <c r="AJ14" s="1026">
        <f t="shared" si="4"/>
        <v>731.69488613999999</v>
      </c>
      <c r="AK14" s="1026">
        <f t="shared" si="5"/>
        <v>69498.931735719991</v>
      </c>
      <c r="AL14" s="1040">
        <f t="shared" si="0"/>
        <v>70230.626621859992</v>
      </c>
      <c r="AM14" s="1414"/>
      <c r="AN14" s="1414"/>
      <c r="AO14" s="1310"/>
      <c r="AP14" s="1310"/>
      <c r="AQ14" s="1934">
        <f t="shared" si="6"/>
        <v>0</v>
      </c>
      <c r="AR14" s="1729">
        <f t="shared" si="7"/>
        <v>0</v>
      </c>
      <c r="AS14" s="1729">
        <f t="shared" si="7"/>
        <v>0</v>
      </c>
      <c r="AT14" s="1007"/>
      <c r="AU14" s="2501">
        <f>SUMPRODUCT((IFERROR(VALUE(LEFT('Data Base CW TIS'!$E$2:$E$1000,2)),0)=B14)*('Data Base CW TIS'!$B$2:$B$1000="ROM TEMPORARY-ROM SB1 BK05")*('Data Base CW TIS'!$C$2:$C$1000="TIS-ROM TEMPORARY-ROM 6 (TIS)")*'Data Base CW TIS'!$N$2:$N$1000)</f>
        <v>0</v>
      </c>
      <c r="AV14" s="1414"/>
      <c r="AW14" s="987"/>
      <c r="AX14" s="310">
        <f t="shared" si="8"/>
        <v>12969.669999999998</v>
      </c>
      <c r="AY14" s="1043"/>
      <c r="AZ14" s="2" cm="1">
        <f t="array" ref="AZ14">IFERROR(SUMPRODUCT((TIS.HCV.MS!$A$3:$A$92=DATE(2026,7,$B14))*(TIS.HCV.MS!$O$3:$O$92&gt;0)*TIS.HCV.MS!$C$3:$C$92*TIS.HCV.MS!$O$3:$O$92)/SUMPRODUCT((TIS.HCV.MS!$A$3:$A$92=DATE(2026,7,$B14))*(TIS.HCV.MS!$O$3:$O$92&gt;0)*TIS.HCV.MS!$C$3:$C$92),0)</f>
        <v>0</v>
      </c>
      <c r="BA14" s="2110" cm="1">
        <f t="array" ref="BA14">IFERROR(SUMPRODUCT((TIS.HCV.MS!$A$3:$A$92=DATE(2026,7,$B14))*(TIS.HCV.MS!$M$3:$M$92&gt;0)*TIS.HCV.MS!$C$3:$C$92*TIS.HCV.MS!$M$3:$M$92)/SUMPRODUCT((TIS.HCV.MS!$A$3:$A$92=DATE(2026,7,$B14))*(TIS.HCV.MS!$M$3:$M$92&gt;0)*TIS.HCV.MS!$C$3:$C$92),0)</f>
        <v>0</v>
      </c>
      <c r="BB14" s="2110" cm="1">
        <f t="array" ref="BB14">IFERROR(SUMPRODUCT((TIS.HCV.MS!$A$3:$A$92=DATE(2026,7,$B14))*(TIS.HCV.MS!$G$3:$G$92&gt;0)*TIS.HCV.MS!$C$3:$C$92*TIS.HCV.MS!$G$3:$G$92)/SUMPRODUCT((TIS.HCV.MS!$A$3:$A$92=DATE(2026,7,$B14))*(TIS.HCV.MS!$G$3:$G$92&gt;0)*TIS.HCV.MS!$C$3:$C$92),0)</f>
        <v>0</v>
      </c>
      <c r="BC14" s="2110" cm="1">
        <f t="array" ref="BC14">IFERROR(SUMPRODUCT((TIS.HCV.MS!$A$3:$A$92=DATE(2026,7,$B14))*(TIS.HCV.MS!$F$3:$F$92&gt;0)*TIS.HCV.MS!$C$3:$C$92*TIS.HCV.MS!$F$3:$F$92)/SUMPRODUCT((TIS.HCV.MS!$A$3:$A$92=DATE(2026,7,$B14))*(TIS.HCV.MS!$F$3:$F$92&gt;0)*TIS.HCV.MS!$C$3:$C$92),0)</f>
        <v>0</v>
      </c>
      <c r="BD14" s="2111" cm="1">
        <f t="array" ref="BD14">IFERROR(SUMPRODUCT((TIS.HCV.MS!$A$3:$A$92=DATE(2026,7,$B14))*(TIS.HCV.MS!$E$3:$E$92&gt;0)*TIS.HCV.MS!$C$3:$C$92*TIS.HCV.MS!$E$3:$E$92)/SUMPRODUCT((TIS.HCV.MS!$A$3:$A$92=DATE(2026,7,$B14))*(TIS.HCV.MS!$E$3:$E$92&gt;0)*TIS.HCV.MS!$C$3:$C$92),0)</f>
        <v>0</v>
      </c>
      <c r="BF14" s="987"/>
      <c r="BG14" s="987"/>
      <c r="BH14" s="987"/>
      <c r="BI14" s="987"/>
      <c r="BJ14" s="987"/>
      <c r="BK14" s="310"/>
      <c r="BL14" s="310"/>
      <c r="BM14" s="310"/>
      <c r="BN14" s="310"/>
      <c r="BO14" s="310"/>
      <c r="BP14" s="1041">
        <f>'July TCM'!LO12</f>
        <v>4.63</v>
      </c>
      <c r="BQ14" s="1042"/>
      <c r="BR14" s="1"/>
      <c r="BS14" s="1032">
        <f t="shared" si="9"/>
        <v>55390.136223959991</v>
      </c>
      <c r="BT14" s="1"/>
      <c r="BU14" s="1"/>
      <c r="BV14" s="1"/>
      <c r="BW14" s="1"/>
      <c r="BX14" s="1"/>
      <c r="BY14" s="1"/>
      <c r="BZ14" s="1"/>
      <c r="CA14" s="1"/>
      <c r="CB14" s="1"/>
      <c r="CC14" s="1"/>
      <c r="CD14" s="1"/>
      <c r="CE14" s="1"/>
      <c r="CF14" s="1"/>
      <c r="CG14" s="1"/>
      <c r="CH14" s="1"/>
      <c r="CI14" s="1"/>
      <c r="CJ14" s="1"/>
      <c r="CK14" s="1"/>
      <c r="CM14" s="1033">
        <v>3</v>
      </c>
      <c r="CN14" s="1">
        <f t="shared" si="10"/>
        <v>1917.7999999999997</v>
      </c>
      <c r="CO14">
        <v>2607030631</v>
      </c>
      <c r="CQ14" s="412">
        <v>3</v>
      </c>
      <c r="CR14" s="1">
        <f t="shared" si="11"/>
        <v>12969.669999999998</v>
      </c>
      <c r="CS14">
        <v>2607030892</v>
      </c>
    </row>
    <row r="15" spans="2:97">
      <c r="B15" s="989">
        <v>4</v>
      </c>
      <c r="C15" s="5">
        <f t="shared" si="1"/>
        <v>40581</v>
      </c>
      <c r="D15" s="488">
        <f t="shared" si="2"/>
        <v>860.78</v>
      </c>
      <c r="E15" s="15">
        <f t="shared" si="3"/>
        <v>47.144450382211481</v>
      </c>
      <c r="F15" s="363"/>
      <c r="G15" s="64"/>
      <c r="H15" s="1034"/>
      <c r="I15" s="1035"/>
      <c r="N15" s="993"/>
      <c r="O15" s="26">
        <v>40581</v>
      </c>
      <c r="P15" s="1036"/>
      <c r="Q15" s="277">
        <v>860.78</v>
      </c>
      <c r="R15" s="1227">
        <v>860.78</v>
      </c>
      <c r="S15" s="27">
        <v>47.144450382211481</v>
      </c>
      <c r="T15" s="33"/>
      <c r="U15" s="2226">
        <v>504.05999999999995</v>
      </c>
      <c r="V15" s="2227">
        <v>356.72</v>
      </c>
      <c r="W15" s="2227">
        <v>0</v>
      </c>
      <c r="X15" s="1038"/>
      <c r="Y15" s="1"/>
      <c r="Z15" s="1025">
        <v>0</v>
      </c>
      <c r="AA15" s="2174">
        <v>0</v>
      </c>
      <c r="AB15" s="1025">
        <v>0</v>
      </c>
      <c r="AC15" s="1025">
        <v>0</v>
      </c>
      <c r="AD15" s="1025">
        <v>0</v>
      </c>
      <c r="AE15" s="1025">
        <v>0</v>
      </c>
      <c r="AF15" s="1025">
        <v>0</v>
      </c>
      <c r="AG15" s="1025">
        <v>0</v>
      </c>
      <c r="AH15" s="1025"/>
      <c r="AI15" s="1039"/>
      <c r="AJ15" s="1026">
        <f t="shared" si="4"/>
        <v>731.69488613999999</v>
      </c>
      <c r="AK15" s="1026">
        <f t="shared" si="5"/>
        <v>70359.71173571999</v>
      </c>
      <c r="AL15" s="1040">
        <f t="shared" si="0"/>
        <v>71091.406621859991</v>
      </c>
      <c r="AM15" s="1414"/>
      <c r="AN15" s="1414"/>
      <c r="AO15" s="1310"/>
      <c r="AP15" s="1310"/>
      <c r="AQ15" s="1934">
        <f t="shared" si="6"/>
        <v>0</v>
      </c>
      <c r="AR15" s="1729">
        <f t="shared" si="7"/>
        <v>0</v>
      </c>
      <c r="AS15" s="1729">
        <f t="shared" si="7"/>
        <v>0</v>
      </c>
      <c r="AT15" s="1007"/>
      <c r="AU15" s="2501">
        <f>SUMPRODUCT((IFERROR(VALUE(LEFT('Data Base CW TIS'!$E$2:$E$1000,2)),0)=B15)*('Data Base CW TIS'!$B$2:$B$1000="ROM TEMPORARY-ROM SB1 BK05")*('Data Base CW TIS'!$C$2:$C$1000="TIS-ROM TEMPORARY-ROM 6 (TIS)")*'Data Base CW TIS'!$N$2:$N$1000)</f>
        <v>0</v>
      </c>
      <c r="AV15" s="1414"/>
      <c r="AW15" s="987"/>
      <c r="AX15" s="310">
        <f t="shared" si="8"/>
        <v>0</v>
      </c>
      <c r="AY15" s="998"/>
      <c r="AZ15" s="2" cm="1">
        <f t="array" ref="AZ15">IFERROR(SUMPRODUCT((TIS.HCV.MS!$A$3:$A$92=DATE(2026,7,$B15))*(TIS.HCV.MS!$O$3:$O$92&gt;0)*TIS.HCV.MS!$C$3:$C$92*TIS.HCV.MS!$O$3:$O$92)/SUMPRODUCT((TIS.HCV.MS!$A$3:$A$92=DATE(2026,7,$B15))*(TIS.HCV.MS!$O$3:$O$92&gt;0)*TIS.HCV.MS!$C$3:$C$92),0)</f>
        <v>0</v>
      </c>
      <c r="BA15" s="2110" cm="1">
        <f t="array" ref="BA15">IFERROR(SUMPRODUCT((TIS.HCV.MS!$A$3:$A$92=DATE(2026,7,$B15))*(TIS.HCV.MS!$M$3:$M$92&gt;0)*TIS.HCV.MS!$C$3:$C$92*TIS.HCV.MS!$M$3:$M$92)/SUMPRODUCT((TIS.HCV.MS!$A$3:$A$92=DATE(2026,7,$B15))*(TIS.HCV.MS!$M$3:$M$92&gt;0)*TIS.HCV.MS!$C$3:$C$92),0)</f>
        <v>0</v>
      </c>
      <c r="BB15" s="2110" cm="1">
        <f t="array" ref="BB15">IFERROR(SUMPRODUCT((TIS.HCV.MS!$A$3:$A$92=DATE(2026,7,$B15))*(TIS.HCV.MS!$G$3:$G$92&gt;0)*TIS.HCV.MS!$C$3:$C$92*TIS.HCV.MS!$G$3:$G$92)/SUMPRODUCT((TIS.HCV.MS!$A$3:$A$92=DATE(2026,7,$B15))*(TIS.HCV.MS!$G$3:$G$92&gt;0)*TIS.HCV.MS!$C$3:$C$92),0)</f>
        <v>0</v>
      </c>
      <c r="BC15" s="2110" cm="1">
        <f t="array" ref="BC15">IFERROR(SUMPRODUCT((TIS.HCV.MS!$A$3:$A$92=DATE(2026,7,$B15))*(TIS.HCV.MS!$F$3:$F$92&gt;0)*TIS.HCV.MS!$C$3:$C$92*TIS.HCV.MS!$F$3:$F$92)/SUMPRODUCT((TIS.HCV.MS!$A$3:$A$92=DATE(2026,7,$B15))*(TIS.HCV.MS!$F$3:$F$92&gt;0)*TIS.HCV.MS!$C$3:$C$92),0)</f>
        <v>0</v>
      </c>
      <c r="BD15" s="2111" cm="1">
        <f t="array" ref="BD15">IFERROR(SUMPRODUCT((TIS.HCV.MS!$A$3:$A$92=DATE(2026,7,$B15))*(TIS.HCV.MS!$E$3:$E$92&gt;0)*TIS.HCV.MS!$C$3:$C$92*TIS.HCV.MS!$E$3:$E$92)/SUMPRODUCT((TIS.HCV.MS!$A$3:$A$92=DATE(2026,7,$B15))*(TIS.HCV.MS!$E$3:$E$92&gt;0)*TIS.HCV.MS!$C$3:$C$92),0)</f>
        <v>0</v>
      </c>
      <c r="BF15" s="987"/>
      <c r="BG15" s="987"/>
      <c r="BH15" s="987"/>
      <c r="BI15" s="987"/>
      <c r="BJ15" s="987"/>
      <c r="BK15" s="310"/>
      <c r="BL15" s="310"/>
      <c r="BM15" s="310"/>
      <c r="BN15" s="310"/>
      <c r="BO15" s="310"/>
      <c r="BP15" s="1041">
        <f>'July TCM'!LO13</f>
        <v>4.71</v>
      </c>
      <c r="BQ15" s="1042"/>
      <c r="BR15" s="1"/>
      <c r="BS15" s="1032">
        <f t="shared" si="9"/>
        <v>55390.136223959991</v>
      </c>
      <c r="BT15" s="1"/>
      <c r="BU15" s="1"/>
      <c r="BV15" s="1"/>
      <c r="BW15" s="1"/>
      <c r="BX15" s="1"/>
      <c r="BY15" s="1"/>
      <c r="BZ15" s="1"/>
      <c r="CA15" s="1"/>
      <c r="CB15" s="1"/>
      <c r="CC15" s="1"/>
      <c r="CD15" s="1"/>
      <c r="CE15" s="1"/>
      <c r="CF15" s="1"/>
      <c r="CG15" s="1"/>
      <c r="CH15" s="1"/>
      <c r="CI15" s="1"/>
      <c r="CJ15" s="1"/>
      <c r="CK15" s="1"/>
      <c r="CM15" s="1033">
        <v>4</v>
      </c>
      <c r="CN15" s="1">
        <f t="shared" si="10"/>
        <v>860.78</v>
      </c>
      <c r="CO15">
        <v>2607040957</v>
      </c>
      <c r="CQ15" s="412">
        <v>4</v>
      </c>
      <c r="CR15" s="1">
        <f t="shared" si="11"/>
        <v>0</v>
      </c>
    </row>
    <row r="16" spans="2:97" ht="13.5" customHeight="1">
      <c r="B16" s="989">
        <v>5</v>
      </c>
      <c r="C16" s="5">
        <f t="shared" si="1"/>
        <v>41613</v>
      </c>
      <c r="D16" s="488">
        <f t="shared" si="2"/>
        <v>2013.8600000000001</v>
      </c>
      <c r="E16" s="15">
        <f t="shared" si="3"/>
        <v>20.66330330807504</v>
      </c>
      <c r="F16" s="363"/>
      <c r="G16" s="64"/>
      <c r="H16" s="1034"/>
      <c r="I16" s="1035"/>
      <c r="N16" s="993"/>
      <c r="O16" s="26">
        <v>41613</v>
      </c>
      <c r="P16" s="36"/>
      <c r="Q16" s="277">
        <v>2013.8600000000001</v>
      </c>
      <c r="R16" s="1227">
        <v>2013.8600000000001</v>
      </c>
      <c r="S16" s="27">
        <v>20.66330330807504</v>
      </c>
      <c r="T16" s="33"/>
      <c r="U16" s="2226">
        <v>1591.3600000000001</v>
      </c>
      <c r="V16" s="2227">
        <v>422.5</v>
      </c>
      <c r="W16" s="2227">
        <v>0</v>
      </c>
      <c r="X16" s="1038"/>
      <c r="Y16" s="1"/>
      <c r="Z16" s="1025">
        <v>0</v>
      </c>
      <c r="AA16" s="2174">
        <v>0</v>
      </c>
      <c r="AB16" s="1025">
        <v>0</v>
      </c>
      <c r="AC16" s="1025">
        <v>0</v>
      </c>
      <c r="AD16" s="1025">
        <v>0</v>
      </c>
      <c r="AE16" s="1025">
        <v>0</v>
      </c>
      <c r="AF16" s="1025">
        <v>0</v>
      </c>
      <c r="AG16" s="1025">
        <v>0</v>
      </c>
      <c r="AH16" s="1025"/>
      <c r="AI16" s="1039"/>
      <c r="AJ16" s="1026">
        <f t="shared" si="4"/>
        <v>731.69488613999999</v>
      </c>
      <c r="AK16" s="1026">
        <f t="shared" si="5"/>
        <v>72373.57173571999</v>
      </c>
      <c r="AL16" s="1040">
        <f t="shared" si="0"/>
        <v>73105.266621859992</v>
      </c>
      <c r="AM16" s="1414"/>
      <c r="AN16" s="1414"/>
      <c r="AO16" s="1310"/>
      <c r="AP16" s="1310"/>
      <c r="AQ16" s="1934">
        <f t="shared" si="6"/>
        <v>0</v>
      </c>
      <c r="AR16" s="1729">
        <f t="shared" si="7"/>
        <v>0</v>
      </c>
      <c r="AS16" s="1729">
        <f t="shared" si="7"/>
        <v>0</v>
      </c>
      <c r="AT16" s="1007"/>
      <c r="AU16" s="2501">
        <f>SUMPRODUCT((IFERROR(VALUE(LEFT('Data Base CW TIS'!$E$2:$E$1000,2)),0)=B16)*('Data Base CW TIS'!$B$2:$B$1000="ROM TEMPORARY-ROM SB1 BK05")*('Data Base CW TIS'!$C$2:$C$1000="TIS-ROM TEMPORARY-ROM 6 (TIS)")*'Data Base CW TIS'!$N$2:$N$1000)</f>
        <v>0</v>
      </c>
      <c r="AV16" s="1414"/>
      <c r="AW16" s="987"/>
      <c r="AX16" s="310">
        <f t="shared" si="8"/>
        <v>0</v>
      </c>
      <c r="AY16" s="998"/>
      <c r="AZ16" s="2" cm="1">
        <f t="array" ref="AZ16">IFERROR(SUMPRODUCT((TIS.HCV.MS!$A$3:$A$92=DATE(2026,7,$B17))*(TIS.HCV.MS!$O$3:$O$92&gt;0)*TIS.HCV.MS!$C$3:$C$92*TIS.HCV.MS!$O$3:$O$92)/SUMPRODUCT((TIS.HCV.MS!$A$3:$A$92=DATE(2026,7,$B17))*(TIS.HCV.MS!$O$3:$O$92&gt;0)*TIS.HCV.MS!$C$3:$C$92),0)</f>
        <v>0</v>
      </c>
      <c r="BA16" s="2110" cm="1">
        <f t="array" ref="BA16">IFERROR(SUMPRODUCT((TIS.HCV.MS!$A$3:$A$92=DATE(2026,7,$B17))*(TIS.HCV.MS!$M$3:$M$92&gt;0)*TIS.HCV.MS!$C$3:$C$92*TIS.HCV.MS!$M$3:$M$92)/SUMPRODUCT((TIS.HCV.MS!$A$3:$A$92=DATE(2026,7,$B17))*(TIS.HCV.MS!$M$3:$M$92&gt;0)*TIS.HCV.MS!$C$3:$C$92),0)</f>
        <v>0</v>
      </c>
      <c r="BB16" s="2110" cm="1">
        <f t="array" ref="BB16">IFERROR(SUMPRODUCT((TIS.HCV.MS!$A$3:$A$92=DATE(2026,7,$B17))*(TIS.HCV.MS!$G$3:$G$92&gt;0)*TIS.HCV.MS!$C$3:$C$92*TIS.HCV.MS!$G$3:$G$92)/SUMPRODUCT((TIS.HCV.MS!$A$3:$A$92=DATE(2026,7,$B17))*(TIS.HCV.MS!$G$3:$G$92&gt;0)*TIS.HCV.MS!$C$3:$C$92),0)</f>
        <v>0</v>
      </c>
      <c r="BC16" s="2110" cm="1">
        <f t="array" ref="BC16">IFERROR(SUMPRODUCT((TIS.HCV.MS!$A$3:$A$92=DATE(2026,7,$B17))*(TIS.HCV.MS!$F$3:$F$92&gt;0)*TIS.HCV.MS!$C$3:$C$92*TIS.HCV.MS!$F$3:$F$92)/SUMPRODUCT((TIS.HCV.MS!$A$3:$A$92=DATE(2026,7,$B17))*(TIS.HCV.MS!$F$3:$F$92&gt;0)*TIS.HCV.MS!$C$3:$C$92),0)</f>
        <v>0</v>
      </c>
      <c r="BD16" s="2111" cm="1">
        <f t="array" ref="BD16">IFERROR(SUMPRODUCT((TIS.HCV.MS!$A$3:$A$92=DATE(2026,7,$B17))*(TIS.HCV.MS!$E$3:$E$92&gt;0)*TIS.HCV.MS!$C$3:$C$92*TIS.HCV.MS!$E$3:$E$92)/SUMPRODUCT((TIS.HCV.MS!$A$3:$A$92=DATE(2026,7,$B17))*(TIS.HCV.MS!$E$3:$E$92&gt;0)*TIS.HCV.MS!$C$3:$C$92),0)</f>
        <v>0</v>
      </c>
      <c r="BF16" s="987"/>
      <c r="BG16" s="987"/>
      <c r="BH16" s="987"/>
      <c r="BI16" s="987"/>
      <c r="BJ16" s="987"/>
      <c r="BK16" s="310"/>
      <c r="BL16" s="310"/>
      <c r="BM16" s="310"/>
      <c r="BN16" s="310"/>
      <c r="BO16" s="310"/>
      <c r="BP16" s="1041">
        <f>'July TCM'!LO14</f>
        <v>4.75</v>
      </c>
      <c r="BQ16" s="2214"/>
      <c r="BR16" s="1"/>
      <c r="BS16" s="1032">
        <f t="shared" si="9"/>
        <v>55390.136223959991</v>
      </c>
      <c r="BT16" s="1"/>
      <c r="BU16" s="1"/>
      <c r="BV16" s="1"/>
      <c r="BW16" s="1"/>
      <c r="BX16" s="1"/>
      <c r="BY16" s="1"/>
      <c r="BZ16" s="1"/>
      <c r="CA16" s="1"/>
      <c r="CB16" s="1"/>
      <c r="CC16" s="1"/>
      <c r="CD16" s="1"/>
      <c r="CE16" s="1"/>
      <c r="CF16" s="1"/>
      <c r="CG16" s="1"/>
      <c r="CH16" s="1"/>
      <c r="CI16" s="1"/>
      <c r="CJ16" s="1"/>
      <c r="CK16" s="1"/>
      <c r="CM16" s="1033">
        <v>5</v>
      </c>
      <c r="CN16" s="1">
        <f t="shared" si="10"/>
        <v>2013.8600000000001</v>
      </c>
      <c r="CO16" s="1045">
        <v>2607051204</v>
      </c>
      <c r="CQ16" s="412">
        <v>5</v>
      </c>
      <c r="CR16" s="1">
        <f t="shared" si="11"/>
        <v>0</v>
      </c>
      <c r="CS16" s="1046"/>
    </row>
    <row r="17" spans="2:97">
      <c r="B17" s="989">
        <v>6</v>
      </c>
      <c r="C17" s="5">
        <f t="shared" si="1"/>
        <v>37755</v>
      </c>
      <c r="D17" s="488">
        <f t="shared" si="2"/>
        <v>3545.8</v>
      </c>
      <c r="E17" s="15">
        <f t="shared" si="3"/>
        <v>10.647808675052174</v>
      </c>
      <c r="F17" s="363"/>
      <c r="G17" s="64"/>
      <c r="H17" s="1034"/>
      <c r="I17" s="1035"/>
      <c r="N17" s="993"/>
      <c r="O17" s="26">
        <v>37755</v>
      </c>
      <c r="P17" s="36"/>
      <c r="Q17" s="277">
        <v>3545.8</v>
      </c>
      <c r="R17" s="1227">
        <v>3545.8</v>
      </c>
      <c r="S17" s="27">
        <v>10.647808675052174</v>
      </c>
      <c r="T17" s="33"/>
      <c r="U17" s="2226">
        <v>3545.8</v>
      </c>
      <c r="V17" s="2227">
        <v>0</v>
      </c>
      <c r="W17" s="2227">
        <v>0</v>
      </c>
      <c r="X17" s="1038"/>
      <c r="Y17" s="1"/>
      <c r="Z17" s="1025">
        <v>0</v>
      </c>
      <c r="AA17" s="2174">
        <v>0</v>
      </c>
      <c r="AB17" s="1025">
        <v>0</v>
      </c>
      <c r="AC17" s="1025">
        <v>0</v>
      </c>
      <c r="AD17" s="1025">
        <v>0</v>
      </c>
      <c r="AE17" s="1025">
        <v>0</v>
      </c>
      <c r="AF17" s="1025">
        <v>0</v>
      </c>
      <c r="AG17" s="1025">
        <v>0</v>
      </c>
      <c r="AH17" s="1025"/>
      <c r="AI17" s="1039"/>
      <c r="AJ17" s="1026">
        <f t="shared" si="4"/>
        <v>731.69488613999999</v>
      </c>
      <c r="AK17" s="1026">
        <f t="shared" si="5"/>
        <v>75919.371735719993</v>
      </c>
      <c r="AL17" s="1040">
        <f t="shared" si="0"/>
        <v>76651.066621859994</v>
      </c>
      <c r="AM17" s="1414"/>
      <c r="AN17" s="1414"/>
      <c r="AO17" s="1310"/>
      <c r="AP17" s="1310"/>
      <c r="AQ17" s="1934">
        <f t="shared" si="6"/>
        <v>0</v>
      </c>
      <c r="AR17" s="1729">
        <f t="shared" si="7"/>
        <v>0</v>
      </c>
      <c r="AS17" s="1729">
        <f t="shared" si="7"/>
        <v>0</v>
      </c>
      <c r="AT17" s="1007"/>
      <c r="AU17" s="2501">
        <f>SUMPRODUCT((IFERROR(VALUE(LEFT('Data Base CW TIS'!$E$2:$E$1000,2)),0)=B17)*('Data Base CW TIS'!$B$2:$B$1000="ROM TEMPORARY-ROM SB1 BK05")*('Data Base CW TIS'!$C$2:$C$1000="TIS-ROM TEMPORARY-ROM 6 (TIS)")*'Data Base CW TIS'!$N$2:$N$1000)</f>
        <v>0</v>
      </c>
      <c r="AV17" s="1414"/>
      <c r="AW17" s="987"/>
      <c r="AX17" s="310">
        <f t="shared" si="8"/>
        <v>0</v>
      </c>
      <c r="AY17" s="998"/>
      <c r="AZ17" s="2" cm="1">
        <f t="array" ref="AZ17">IFERROR(SUMPRODUCT((TIS.HCV.MS!$A$3:$A$92=DATE(2026,7,$B17))*(TIS.HCV.MS!$O$3:$O$92&gt;0)*TIS.HCV.MS!$C$3:$C$92*TIS.HCV.MS!$O$3:$O$92)/SUMPRODUCT((TIS.HCV.MS!$A$3:$A$92=DATE(2026,7,$B17))*(TIS.HCV.MS!$O$3:$O$92&gt;0)*TIS.HCV.MS!$C$3:$C$92),0)</f>
        <v>0</v>
      </c>
      <c r="BA17" s="2110" cm="1">
        <f t="array" ref="BA17">IFERROR(SUMPRODUCT((TIS.HCV.MS!$A$3:$A$92=DATE(2026,7,$B17))*(TIS.HCV.MS!$M$3:$M$92&gt;0)*TIS.HCV.MS!$C$3:$C$92*TIS.HCV.MS!$M$3:$M$92)/SUMPRODUCT((TIS.HCV.MS!$A$3:$A$92=DATE(2026,7,$B17))*(TIS.HCV.MS!$M$3:$M$92&gt;0)*TIS.HCV.MS!$C$3:$C$92),0)</f>
        <v>0</v>
      </c>
      <c r="BB17" s="2110" cm="1">
        <f t="array" ref="BB17">IFERROR(SUMPRODUCT((TIS.HCV.MS!$A$3:$A$92=DATE(2026,7,$B17))*(TIS.HCV.MS!$G$3:$G$92&gt;0)*TIS.HCV.MS!$C$3:$C$92*TIS.HCV.MS!$G$3:$G$92)/SUMPRODUCT((TIS.HCV.MS!$A$3:$A$92=DATE(2026,7,$B17))*(TIS.HCV.MS!$G$3:$G$92&gt;0)*TIS.HCV.MS!$C$3:$C$92),0)</f>
        <v>0</v>
      </c>
      <c r="BC17" s="2110" cm="1">
        <f t="array" ref="BC17">IFERROR(SUMPRODUCT((TIS.HCV.MS!$A$3:$A$92=DATE(2026,7,$B17))*(TIS.HCV.MS!$F$3:$F$92&gt;0)*TIS.HCV.MS!$C$3:$C$92*TIS.HCV.MS!$F$3:$F$92)/SUMPRODUCT((TIS.HCV.MS!$A$3:$A$92=DATE(2026,7,$B17))*(TIS.HCV.MS!$F$3:$F$92&gt;0)*TIS.HCV.MS!$C$3:$C$92),0)</f>
        <v>0</v>
      </c>
      <c r="BD17" s="2111" cm="1">
        <f t="array" ref="BD17">IFERROR(SUMPRODUCT((TIS.HCV.MS!$A$3:$A$92=DATE(2026,7,$B17))*(TIS.HCV.MS!$E$3:$E$92&gt;0)*TIS.HCV.MS!$C$3:$C$92*TIS.HCV.MS!$E$3:$E$92)/SUMPRODUCT((TIS.HCV.MS!$A$3:$A$92=DATE(2026,7,$B17))*(TIS.HCV.MS!$E$3:$E$92&gt;0)*TIS.HCV.MS!$C$3:$C$92),0)</f>
        <v>0</v>
      </c>
      <c r="BF17" s="987"/>
      <c r="BG17" s="987"/>
      <c r="BH17" s="987"/>
      <c r="BI17" s="987"/>
      <c r="BJ17" s="987"/>
      <c r="BK17" s="310"/>
      <c r="BL17" s="310"/>
      <c r="BM17" s="310"/>
      <c r="BN17" s="310"/>
      <c r="BO17" s="310"/>
      <c r="BP17" s="1041">
        <f>'July TCM'!LO15</f>
        <v>4.75</v>
      </c>
      <c r="BQ17" s="1042"/>
      <c r="BR17" s="1"/>
      <c r="BS17" s="1032">
        <f t="shared" si="9"/>
        <v>55390.136223959991</v>
      </c>
      <c r="BT17" s="1"/>
      <c r="BU17" s="1"/>
      <c r="BV17" s="1"/>
      <c r="BW17" s="1"/>
      <c r="BX17" s="1"/>
      <c r="BY17" s="1"/>
      <c r="BZ17" s="1"/>
      <c r="CA17" s="1"/>
      <c r="CB17" s="1"/>
      <c r="CC17" s="1"/>
      <c r="CD17" s="1"/>
      <c r="CE17" s="1"/>
      <c r="CF17" s="1"/>
      <c r="CG17" s="1"/>
      <c r="CH17" s="1"/>
      <c r="CI17" s="1"/>
      <c r="CJ17" s="1"/>
      <c r="CK17" s="1"/>
      <c r="CM17" s="1033">
        <v>6</v>
      </c>
      <c r="CN17" s="1">
        <f t="shared" si="10"/>
        <v>3545.8</v>
      </c>
      <c r="CO17" s="1226">
        <v>2607061423</v>
      </c>
      <c r="CQ17" s="412">
        <v>6</v>
      </c>
      <c r="CR17" s="1">
        <f t="shared" si="11"/>
        <v>0</v>
      </c>
    </row>
    <row r="18" spans="2:97">
      <c r="B18" s="989">
        <v>7</v>
      </c>
      <c r="C18" s="5">
        <f t="shared" si="1"/>
        <v>38450</v>
      </c>
      <c r="D18" s="488">
        <f t="shared" si="2"/>
        <v>3436.41</v>
      </c>
      <c r="E18" s="15">
        <f t="shared" si="3"/>
        <v>11.189002476421615</v>
      </c>
      <c r="F18" s="363"/>
      <c r="G18" s="64"/>
      <c r="H18" s="1034"/>
      <c r="I18" s="2107"/>
      <c r="N18" s="993"/>
      <c r="O18" s="26">
        <v>38450</v>
      </c>
      <c r="P18" s="36"/>
      <c r="Q18" s="277">
        <v>3436.41</v>
      </c>
      <c r="R18" s="1227">
        <v>3436.41</v>
      </c>
      <c r="S18" s="27">
        <v>11.189002476421615</v>
      </c>
      <c r="T18" s="33"/>
      <c r="U18" s="2226">
        <v>3167.15</v>
      </c>
      <c r="V18" s="2227">
        <v>269.26</v>
      </c>
      <c r="W18" s="2227">
        <v>0</v>
      </c>
      <c r="X18" s="1038"/>
      <c r="Y18" s="1"/>
      <c r="Z18" s="1025">
        <v>0</v>
      </c>
      <c r="AA18" s="2174">
        <v>0</v>
      </c>
      <c r="AB18" s="1025">
        <v>0</v>
      </c>
      <c r="AC18" s="1025">
        <v>0</v>
      </c>
      <c r="AD18" s="1025">
        <v>0</v>
      </c>
      <c r="AE18" s="1025">
        <v>0</v>
      </c>
      <c r="AF18" s="1025">
        <v>0</v>
      </c>
      <c r="AG18" s="1025">
        <v>0</v>
      </c>
      <c r="AH18" s="1025"/>
      <c r="AI18" s="1039"/>
      <c r="AJ18" s="1026">
        <f t="shared" si="4"/>
        <v>731.69488613999999</v>
      </c>
      <c r="AK18" s="1026">
        <f t="shared" si="5"/>
        <v>79355.781735719997</v>
      </c>
      <c r="AL18" s="1040">
        <f t="shared" si="0"/>
        <v>80087.476621859998</v>
      </c>
      <c r="AM18" s="1414"/>
      <c r="AN18" s="1414"/>
      <c r="AO18" s="1310"/>
      <c r="AP18" s="1310"/>
      <c r="AQ18" s="1934">
        <f t="shared" si="6"/>
        <v>0</v>
      </c>
      <c r="AR18" s="1729">
        <f t="shared" si="7"/>
        <v>0</v>
      </c>
      <c r="AS18" s="1729">
        <f t="shared" si="7"/>
        <v>0</v>
      </c>
      <c r="AT18" s="1007"/>
      <c r="AU18" s="2501">
        <f>SUMPRODUCT((IFERROR(VALUE(LEFT('Data Base CW TIS'!$E$2:$E$1000,2)),0)=B18)*('Data Base CW TIS'!$B$2:$B$1000="ROM TEMPORARY-ROM SB1 BK05")*('Data Base CW TIS'!$C$2:$C$1000="TIS-ROM TEMPORARY-ROM 6 (TIS)")*'Data Base CW TIS'!$N$2:$N$1000)</f>
        <v>0</v>
      </c>
      <c r="AV18" s="1414"/>
      <c r="AW18" s="987"/>
      <c r="AX18" s="310">
        <f t="shared" si="8"/>
        <v>0</v>
      </c>
      <c r="AY18" s="998"/>
      <c r="AZ18" s="2" cm="1">
        <f t="array" ref="AZ18">IFERROR(SUMPRODUCT((TIS.HCV.MS!$A$3:$A$92=DATE(2026,7,$B18))*(TIS.HCV.MS!$O$3:$O$92&gt;0)*TIS.HCV.MS!$C$3:$C$92*TIS.HCV.MS!$O$3:$O$92)/SUMPRODUCT((TIS.HCV.MS!$A$3:$A$92=DATE(2026,7,$B18))*(TIS.HCV.MS!$O$3:$O$92&gt;0)*TIS.HCV.MS!$C$3:$C$92),0)</f>
        <v>0</v>
      </c>
      <c r="BA18" s="2110" cm="1">
        <f t="array" ref="BA18">IFERROR(SUMPRODUCT((TIS.HCV.MS!$A$3:$A$92=DATE(2026,7,$B18))*(TIS.HCV.MS!$M$3:$M$92&gt;0)*TIS.HCV.MS!$C$3:$C$92*TIS.HCV.MS!$M$3:$M$92)/SUMPRODUCT((TIS.HCV.MS!$A$3:$A$92=DATE(2026,7,$B18))*(TIS.HCV.MS!$M$3:$M$92&gt;0)*TIS.HCV.MS!$C$3:$C$92),0)</f>
        <v>0</v>
      </c>
      <c r="BB18" s="2110" cm="1">
        <f t="array" ref="BB18">IFERROR(SUMPRODUCT((TIS.HCV.MS!$A$3:$A$92=DATE(2026,7,$B18))*(TIS.HCV.MS!$G$3:$G$92&gt;0)*TIS.HCV.MS!$C$3:$C$92*TIS.HCV.MS!$G$3:$G$92)/SUMPRODUCT((TIS.HCV.MS!$A$3:$A$92=DATE(2026,7,$B18))*(TIS.HCV.MS!$G$3:$G$92&gt;0)*TIS.HCV.MS!$C$3:$C$92),0)</f>
        <v>0</v>
      </c>
      <c r="BC18" s="2110" cm="1">
        <f t="array" ref="BC18">IFERROR(SUMPRODUCT((TIS.HCV.MS!$A$3:$A$92=DATE(2026,7,$B18))*(TIS.HCV.MS!$F$3:$F$92&gt;0)*TIS.HCV.MS!$C$3:$C$92*TIS.HCV.MS!$F$3:$F$92)/SUMPRODUCT((TIS.HCV.MS!$A$3:$A$92=DATE(2026,7,$B18))*(TIS.HCV.MS!$F$3:$F$92&gt;0)*TIS.HCV.MS!$C$3:$C$92),0)</f>
        <v>0</v>
      </c>
      <c r="BD18" s="2111" cm="1">
        <f t="array" ref="BD18">IFERROR(SUMPRODUCT((TIS.HCV.MS!$A$3:$A$92=DATE(2026,7,$B18))*(TIS.HCV.MS!$E$3:$E$92&gt;0)*TIS.HCV.MS!$C$3:$C$92*TIS.HCV.MS!$E$3:$E$92)/SUMPRODUCT((TIS.HCV.MS!$A$3:$A$92=DATE(2026,7,$B18))*(TIS.HCV.MS!$E$3:$E$92&gt;0)*TIS.HCV.MS!$C$3:$C$92),0)</f>
        <v>0</v>
      </c>
      <c r="BF18" s="987"/>
      <c r="BG18" s="987"/>
      <c r="BH18" s="987"/>
      <c r="BI18" s="987"/>
      <c r="BJ18" s="987"/>
      <c r="BK18" s="1047"/>
      <c r="BL18" s="310"/>
      <c r="BM18" s="310"/>
      <c r="BN18" s="310">
        <v>1</v>
      </c>
      <c r="BO18" s="310"/>
      <c r="BP18" s="1041">
        <f>'July TCM'!LO16</f>
        <v>4.7300000000000004</v>
      </c>
      <c r="BQ18" s="1042"/>
      <c r="BR18" s="1"/>
      <c r="BS18" s="1032">
        <f t="shared" si="9"/>
        <v>55390.136223959991</v>
      </c>
      <c r="BT18" s="1"/>
      <c r="BU18" s="1"/>
      <c r="BV18" s="1"/>
      <c r="BW18" s="1"/>
      <c r="BX18" s="1"/>
      <c r="BY18" s="1"/>
      <c r="BZ18" s="1"/>
      <c r="CA18" s="1"/>
      <c r="CB18" s="1"/>
      <c r="CC18" s="1"/>
      <c r="CD18" s="1"/>
      <c r="CE18" s="1"/>
      <c r="CF18" s="1"/>
      <c r="CG18" s="1"/>
      <c r="CH18" s="1"/>
      <c r="CI18" s="1"/>
      <c r="CJ18" s="1"/>
      <c r="CK18" s="1"/>
      <c r="CM18" s="1033">
        <v>7</v>
      </c>
      <c r="CN18" s="1">
        <f t="shared" si="10"/>
        <v>3436.41</v>
      </c>
      <c r="CO18" s="2295">
        <v>2607071754</v>
      </c>
      <c r="CQ18" s="412">
        <v>7</v>
      </c>
      <c r="CR18" s="1">
        <f t="shared" si="11"/>
        <v>0</v>
      </c>
    </row>
    <row r="19" spans="2:97">
      <c r="B19" s="989">
        <v>8</v>
      </c>
      <c r="C19" s="5">
        <f t="shared" si="1"/>
        <v>37318</v>
      </c>
      <c r="D19" s="488">
        <f t="shared" si="2"/>
        <v>3893.02</v>
      </c>
      <c r="E19" s="15">
        <f t="shared" si="3"/>
        <v>9.5858742056295618</v>
      </c>
      <c r="F19" s="363"/>
      <c r="G19" s="64"/>
      <c r="H19" s="2108"/>
      <c r="I19" s="1035"/>
      <c r="N19" s="993"/>
      <c r="O19" s="26">
        <v>37318</v>
      </c>
      <c r="P19" s="36"/>
      <c r="Q19" s="277">
        <v>3893.02</v>
      </c>
      <c r="R19" s="1227">
        <v>3893.02</v>
      </c>
      <c r="S19" s="27">
        <v>9.5858742056295618</v>
      </c>
      <c r="T19" s="33"/>
      <c r="U19" s="2226">
        <v>3893.02</v>
      </c>
      <c r="V19" s="2227">
        <v>0</v>
      </c>
      <c r="W19" s="2227">
        <v>0</v>
      </c>
      <c r="X19" s="1038"/>
      <c r="Y19" s="1"/>
      <c r="Z19" s="1025">
        <v>0</v>
      </c>
      <c r="AA19" s="2174">
        <v>0</v>
      </c>
      <c r="AB19" s="1025">
        <v>0</v>
      </c>
      <c r="AC19" s="1025">
        <v>0</v>
      </c>
      <c r="AD19" s="1025">
        <v>0</v>
      </c>
      <c r="AE19" s="1025">
        <v>0</v>
      </c>
      <c r="AF19" s="1025">
        <v>0</v>
      </c>
      <c r="AG19" s="1025">
        <v>0</v>
      </c>
      <c r="AH19" s="1025"/>
      <c r="AI19" s="1039"/>
      <c r="AJ19" s="1026">
        <f t="shared" si="4"/>
        <v>731.69488613999999</v>
      </c>
      <c r="AK19" s="1026">
        <f t="shared" si="5"/>
        <v>83248.801735720001</v>
      </c>
      <c r="AL19" s="1040">
        <f t="shared" si="0"/>
        <v>83980.496621860002</v>
      </c>
      <c r="AM19" s="1414"/>
      <c r="AN19" s="1414"/>
      <c r="AO19" s="1310"/>
      <c r="AP19" s="1310"/>
      <c r="AQ19" s="1934">
        <f t="shared" si="6"/>
        <v>0</v>
      </c>
      <c r="AR19" s="1729">
        <f t="shared" si="7"/>
        <v>0</v>
      </c>
      <c r="AS19" s="1729">
        <f t="shared" si="7"/>
        <v>0</v>
      </c>
      <c r="AT19" s="1007"/>
      <c r="AU19" s="2501">
        <f>SUMPRODUCT((IFERROR(VALUE(LEFT('Data Base CW TIS'!$E$2:$E$1000,2)),0)=B19)*('Data Base CW TIS'!$B$2:$B$1000="ROM TEMPORARY-ROM SB1 BK05")*('Data Base CW TIS'!$C$2:$C$1000="TIS-ROM TEMPORARY-ROM 6 (TIS)")*'Data Base CW TIS'!$N$2:$N$1000)</f>
        <v>0</v>
      </c>
      <c r="AV19" s="1414"/>
      <c r="AW19" s="987"/>
      <c r="AX19" s="310">
        <f t="shared" si="8"/>
        <v>0</v>
      </c>
      <c r="AY19" s="998"/>
      <c r="AZ19" s="2" cm="1">
        <f t="array" ref="AZ19">IFERROR(SUMPRODUCT((TIS.HCV.MS!$A$3:$A$92=DATE(2026,7,$B19))*(TIS.HCV.MS!$O$3:$O$92&gt;0)*TIS.HCV.MS!$C$3:$C$92*TIS.HCV.MS!$O$3:$O$92)/SUMPRODUCT((TIS.HCV.MS!$A$3:$A$92=DATE(2026,7,$B19))*(TIS.HCV.MS!$O$3:$O$92&gt;0)*TIS.HCV.MS!$C$3:$C$92),0)</f>
        <v>0</v>
      </c>
      <c r="BA19" s="2110" cm="1">
        <f t="array" ref="BA19">IFERROR(SUMPRODUCT((TIS.HCV.MS!$A$3:$A$92=DATE(2026,7,$B19))*(TIS.HCV.MS!$M$3:$M$92&gt;0)*TIS.HCV.MS!$C$3:$C$92*TIS.HCV.MS!$M$3:$M$92)/SUMPRODUCT((TIS.HCV.MS!$A$3:$A$92=DATE(2026,7,$B19))*(TIS.HCV.MS!$M$3:$M$92&gt;0)*TIS.HCV.MS!$C$3:$C$92),0)</f>
        <v>0</v>
      </c>
      <c r="BB19" s="2110" cm="1">
        <f t="array" ref="BB19">IFERROR(SUMPRODUCT((TIS.HCV.MS!$A$3:$A$92=DATE(2026,7,$B19))*(TIS.HCV.MS!$G$3:$G$92&gt;0)*TIS.HCV.MS!$C$3:$C$92*TIS.HCV.MS!$G$3:$G$92)/SUMPRODUCT((TIS.HCV.MS!$A$3:$A$92=DATE(2026,7,$B19))*(TIS.HCV.MS!$G$3:$G$92&gt;0)*TIS.HCV.MS!$C$3:$C$92),0)</f>
        <v>0</v>
      </c>
      <c r="BC19" s="2110" cm="1">
        <f t="array" ref="BC19">IFERROR(SUMPRODUCT((TIS.HCV.MS!$A$3:$A$92=DATE(2026,7,$B19))*(TIS.HCV.MS!$F$3:$F$92&gt;0)*TIS.HCV.MS!$C$3:$C$92*TIS.HCV.MS!$F$3:$F$92)/SUMPRODUCT((TIS.HCV.MS!$A$3:$A$92=DATE(2026,7,$B19))*(TIS.HCV.MS!$F$3:$F$92&gt;0)*TIS.HCV.MS!$C$3:$C$92),0)</f>
        <v>0</v>
      </c>
      <c r="BD19" s="2111" cm="1">
        <f t="array" ref="BD19">IFERROR(SUMPRODUCT((TIS.HCV.MS!$A$3:$A$92=DATE(2026,7,$B19))*(TIS.HCV.MS!$E$3:$E$92&gt;0)*TIS.HCV.MS!$C$3:$C$92*TIS.HCV.MS!$E$3:$E$92)/SUMPRODUCT((TIS.HCV.MS!$A$3:$A$92=DATE(2026,7,$B19))*(TIS.HCV.MS!$E$3:$E$92&gt;0)*TIS.HCV.MS!$C$3:$C$92),0)</f>
        <v>0</v>
      </c>
      <c r="BF19" s="987"/>
      <c r="BG19" s="987"/>
      <c r="BH19" s="987"/>
      <c r="BI19" s="987"/>
      <c r="BJ19" s="987"/>
      <c r="BK19" s="310"/>
      <c r="BL19" s="310"/>
      <c r="BM19" s="310"/>
      <c r="BN19" s="310">
        <v>3</v>
      </c>
      <c r="BO19" s="310"/>
      <c r="BP19" s="1041">
        <f>'July TCM'!LO17</f>
        <v>4.57</v>
      </c>
      <c r="BQ19" s="1042"/>
      <c r="BR19" s="1"/>
      <c r="BS19" s="1032">
        <f t="shared" si="9"/>
        <v>55390.136223959991</v>
      </c>
      <c r="BT19" s="1"/>
      <c r="BU19" s="1"/>
      <c r="BV19" s="1"/>
      <c r="BW19" s="1"/>
      <c r="BX19" s="1"/>
      <c r="BY19" s="1"/>
      <c r="BZ19" s="1"/>
      <c r="CA19" s="1"/>
      <c r="CB19" s="1"/>
      <c r="CC19" s="1"/>
      <c r="CD19" s="1"/>
      <c r="CE19" s="1"/>
      <c r="CF19" s="1"/>
      <c r="CG19" s="1"/>
      <c r="CH19" s="1"/>
      <c r="CI19" s="1"/>
      <c r="CJ19" s="1"/>
      <c r="CK19" s="1"/>
      <c r="CM19" s="1033">
        <v>8</v>
      </c>
      <c r="CN19" s="1">
        <f t="shared" si="10"/>
        <v>3893.02</v>
      </c>
      <c r="CO19">
        <v>2607082112</v>
      </c>
      <c r="CQ19" s="412">
        <v>8</v>
      </c>
      <c r="CR19" s="1">
        <f t="shared" si="11"/>
        <v>0</v>
      </c>
    </row>
    <row r="20" spans="2:97">
      <c r="B20" s="989">
        <v>9</v>
      </c>
      <c r="C20" s="5">
        <f t="shared" si="1"/>
        <v>38226</v>
      </c>
      <c r="D20" s="488">
        <f t="shared" si="2"/>
        <v>3253.86</v>
      </c>
      <c r="E20" s="15">
        <f t="shared" si="3"/>
        <v>11.747893271376149</v>
      </c>
      <c r="F20" s="363"/>
      <c r="G20" s="64"/>
      <c r="H20" s="1034"/>
      <c r="I20" s="1018"/>
      <c r="N20" s="993"/>
      <c r="O20" s="26">
        <v>38226</v>
      </c>
      <c r="P20" s="36"/>
      <c r="Q20" s="277">
        <v>3253.86</v>
      </c>
      <c r="R20" s="1227">
        <v>3253.86</v>
      </c>
      <c r="S20" s="27">
        <v>11.747893271376149</v>
      </c>
      <c r="T20" s="33"/>
      <c r="U20" s="2226">
        <v>3253.86</v>
      </c>
      <c r="V20" s="2227">
        <v>0</v>
      </c>
      <c r="W20" s="2227">
        <v>0</v>
      </c>
      <c r="X20" s="1038"/>
      <c r="Y20" s="1"/>
      <c r="Z20" s="1025">
        <v>0</v>
      </c>
      <c r="AA20" s="2174">
        <v>9420.4400000000023</v>
      </c>
      <c r="AB20" s="1025">
        <v>9420.4400000000023</v>
      </c>
      <c r="AC20" s="1025">
        <v>0</v>
      </c>
      <c r="AD20" s="1025">
        <v>0</v>
      </c>
      <c r="AE20" s="1025">
        <v>5861.7500000000009</v>
      </c>
      <c r="AF20" s="1025">
        <v>3558.69</v>
      </c>
      <c r="AG20" s="1025">
        <v>9420.44</v>
      </c>
      <c r="AH20" s="1025"/>
      <c r="AI20" s="1039"/>
      <c r="AJ20" s="1026">
        <f t="shared" si="4"/>
        <v>731.69488613999999</v>
      </c>
      <c r="AK20" s="1026">
        <f t="shared" si="5"/>
        <v>77082.221735719999</v>
      </c>
      <c r="AL20" s="1040">
        <f t="shared" si="0"/>
        <v>77813.91662186</v>
      </c>
      <c r="AM20" s="1414"/>
      <c r="AN20" s="1414"/>
      <c r="AO20" s="1310"/>
      <c r="AP20" s="1310"/>
      <c r="AQ20" s="1934">
        <f t="shared" si="6"/>
        <v>0</v>
      </c>
      <c r="AR20" s="1729">
        <f t="shared" si="7"/>
        <v>0</v>
      </c>
      <c r="AS20" s="1729">
        <f t="shared" si="7"/>
        <v>0</v>
      </c>
      <c r="AT20" s="1007"/>
      <c r="AU20" s="2501">
        <f>SUMPRODUCT((IFERROR(VALUE(LEFT('Data Base CW TIS'!$E$2:$E$1000,2)),0)=B20)*('Data Base CW TIS'!$B$2:$B$1000="ROM TEMPORARY-ROM SB1 BK05")*('Data Base CW TIS'!$C$2:$C$1000="TIS-ROM TEMPORARY-ROM 6 (TIS)")*'Data Base CW TIS'!$N$2:$N$1000)</f>
        <v>0</v>
      </c>
      <c r="AV20" s="1414"/>
      <c r="AW20" s="987"/>
      <c r="AX20" s="310">
        <f t="shared" si="8"/>
        <v>9420.4400000000023</v>
      </c>
      <c r="AY20" s="998"/>
      <c r="AZ20" s="2" cm="1">
        <f t="array" ref="AZ20">IFERROR(SUMPRODUCT((TIS.HCV.MS!$A$3:$A$92=DATE(2026,7,$B20))*(TIS.HCV.MS!$O$3:$O$92&gt;0)*TIS.HCV.MS!$C$3:$C$92*TIS.HCV.MS!$O$3:$O$92)/SUMPRODUCT((TIS.HCV.MS!$A$3:$A$92=DATE(2026,7,$B20))*(TIS.HCV.MS!$O$3:$O$92&gt;0)*TIS.HCV.MS!$C$3:$C$92),0)</f>
        <v>0</v>
      </c>
      <c r="BA20" s="2110" cm="1">
        <f t="array" ref="BA20">IFERROR(SUMPRODUCT((TIS.HCV.MS!$A$3:$A$92=DATE(2026,7,$B20))*(TIS.HCV.MS!$M$3:$M$92&gt;0)*TIS.HCV.MS!$C$3:$C$92*TIS.HCV.MS!$M$3:$M$92)/SUMPRODUCT((TIS.HCV.MS!$A$3:$A$92=DATE(2026,7,$B20))*(TIS.HCV.MS!$M$3:$M$92&gt;0)*TIS.HCV.MS!$C$3:$C$92),0)</f>
        <v>0</v>
      </c>
      <c r="BB20" s="2110" cm="1">
        <f t="array" ref="BB20">IFERROR(SUMPRODUCT((TIS.HCV.MS!$A$3:$A$92=DATE(2026,7,$B20))*(TIS.HCV.MS!$G$3:$G$92&gt;0)*TIS.HCV.MS!$C$3:$C$92*TIS.HCV.MS!$G$3:$G$92)/SUMPRODUCT((TIS.HCV.MS!$A$3:$A$92=DATE(2026,7,$B20))*(TIS.HCV.MS!$G$3:$G$92&gt;0)*TIS.HCV.MS!$C$3:$C$92),0)</f>
        <v>0</v>
      </c>
      <c r="BC20" s="2110" cm="1">
        <f t="array" ref="BC20">IFERROR(SUMPRODUCT((TIS.HCV.MS!$A$3:$A$92=DATE(2026,7,$B20))*(TIS.HCV.MS!$F$3:$F$92&gt;0)*TIS.HCV.MS!$C$3:$C$92*TIS.HCV.MS!$F$3:$F$92)/SUMPRODUCT((TIS.HCV.MS!$A$3:$A$92=DATE(2026,7,$B20))*(TIS.HCV.MS!$F$3:$F$92&gt;0)*TIS.HCV.MS!$C$3:$C$92),0)</f>
        <v>0</v>
      </c>
      <c r="BD20" s="2111" cm="1">
        <f t="array" ref="BD20">IFERROR(SUMPRODUCT((TIS.HCV.MS!$A$3:$A$92=DATE(2026,7,$B20))*(TIS.HCV.MS!$E$3:$E$92&gt;0)*TIS.HCV.MS!$C$3:$C$92*TIS.HCV.MS!$E$3:$E$92)/SUMPRODUCT((TIS.HCV.MS!$A$3:$A$92=DATE(2026,7,$B20))*(TIS.HCV.MS!$E$3:$E$92&gt;0)*TIS.HCV.MS!$C$3:$C$92),0)</f>
        <v>0</v>
      </c>
      <c r="BF20" s="987"/>
      <c r="BG20" s="987"/>
      <c r="BH20" s="987"/>
      <c r="BI20" s="987"/>
      <c r="BJ20" s="987"/>
      <c r="BK20" s="310">
        <v>7609.69</v>
      </c>
      <c r="BL20" s="310">
        <v>1</v>
      </c>
      <c r="BM20" s="310"/>
      <c r="BN20" s="310">
        <v>1</v>
      </c>
      <c r="BO20" s="310"/>
      <c r="BP20" s="1041">
        <f>'July TCM'!LO18</f>
        <v>4.47</v>
      </c>
      <c r="BQ20" s="1042"/>
      <c r="BR20" s="1"/>
      <c r="BS20" s="1032">
        <f t="shared" si="9"/>
        <v>57200.886223959991</v>
      </c>
      <c r="BT20" s="1"/>
      <c r="BU20" s="1"/>
      <c r="BV20" s="1"/>
      <c r="BW20" s="1"/>
      <c r="BX20" s="1"/>
      <c r="BY20" s="1"/>
      <c r="BZ20" s="1"/>
      <c r="CA20" s="1"/>
      <c r="CB20" s="1"/>
      <c r="CC20" s="1"/>
      <c r="CD20" s="1"/>
      <c r="CE20" s="1"/>
      <c r="CF20" s="1"/>
      <c r="CG20" s="1"/>
      <c r="CH20" s="1"/>
      <c r="CI20" s="1"/>
      <c r="CJ20" s="1"/>
      <c r="CK20" s="1"/>
      <c r="CM20" s="1033">
        <v>9</v>
      </c>
      <c r="CN20" s="1">
        <f t="shared" si="10"/>
        <v>3253.86</v>
      </c>
      <c r="CO20" s="1046">
        <v>2607092469</v>
      </c>
      <c r="CQ20" s="412">
        <v>9</v>
      </c>
      <c r="CR20" s="1">
        <f t="shared" si="11"/>
        <v>9420.4400000000023</v>
      </c>
      <c r="CS20">
        <v>2607094015</v>
      </c>
    </row>
    <row r="21" spans="2:97">
      <c r="B21" s="989">
        <v>10</v>
      </c>
      <c r="C21" s="5">
        <f t="shared" si="1"/>
        <v>37405</v>
      </c>
      <c r="D21" s="488">
        <f t="shared" si="2"/>
        <v>3703.96</v>
      </c>
      <c r="E21" s="15">
        <f t="shared" si="3"/>
        <v>10.098651173338805</v>
      </c>
      <c r="F21" s="363"/>
      <c r="G21" s="64"/>
      <c r="H21" s="1034"/>
      <c r="I21" s="1034"/>
      <c r="N21" s="993"/>
      <c r="O21" s="26">
        <v>37405</v>
      </c>
      <c r="P21" s="36"/>
      <c r="Q21" s="277">
        <v>3703.96</v>
      </c>
      <c r="R21" s="1227">
        <v>3703.96</v>
      </c>
      <c r="S21" s="27">
        <v>10.098651173338805</v>
      </c>
      <c r="T21" s="33"/>
      <c r="U21" s="2226">
        <v>3703.96</v>
      </c>
      <c r="V21" s="2227">
        <v>0</v>
      </c>
      <c r="W21" s="2227">
        <v>0</v>
      </c>
      <c r="X21" s="1038"/>
      <c r="Y21" s="1"/>
      <c r="Z21" s="1025">
        <v>0</v>
      </c>
      <c r="AA21" s="2174">
        <v>12182.419999999998</v>
      </c>
      <c r="AB21" s="1025">
        <v>12182.419999999998</v>
      </c>
      <c r="AC21" s="1025">
        <v>0</v>
      </c>
      <c r="AD21" s="1025">
        <v>0</v>
      </c>
      <c r="AE21" s="1025">
        <v>5045.79</v>
      </c>
      <c r="AF21" s="1025">
        <v>7136.63</v>
      </c>
      <c r="AG21" s="1025">
        <v>12182.42</v>
      </c>
      <c r="AH21" s="1025"/>
      <c r="AI21" s="1039"/>
      <c r="AJ21" s="1026">
        <f t="shared" si="4"/>
        <v>731.69488613999999</v>
      </c>
      <c r="AK21" s="1026">
        <f t="shared" si="5"/>
        <v>68603.761735720007</v>
      </c>
      <c r="AL21" s="1040">
        <f t="shared" si="0"/>
        <v>69335.456621860008</v>
      </c>
      <c r="AM21" s="1414"/>
      <c r="AN21" s="1414"/>
      <c r="AO21" s="1310"/>
      <c r="AP21" s="1310"/>
      <c r="AQ21" s="1934">
        <f t="shared" si="6"/>
        <v>0</v>
      </c>
      <c r="AR21" s="1729">
        <f t="shared" si="7"/>
        <v>0</v>
      </c>
      <c r="AS21" s="1729">
        <f t="shared" si="7"/>
        <v>0</v>
      </c>
      <c r="AT21" s="1007"/>
      <c r="AU21" s="2501">
        <f>SUMPRODUCT((IFERROR(VALUE(LEFT('Data Base CW TIS'!$E$2:$E$1000,2)),0)=B21)*('Data Base CW TIS'!$B$2:$B$1000="ROM TEMPORARY-ROM SB1 BK05")*('Data Base CW TIS'!$C$2:$C$1000="TIS-ROM TEMPORARY-ROM 6 (TIS)")*'Data Base CW TIS'!$N$2:$N$1000)</f>
        <v>0</v>
      </c>
      <c r="AV21" s="1414"/>
      <c r="AW21" s="987"/>
      <c r="AX21" s="310">
        <f t="shared" si="8"/>
        <v>12182.419999999998</v>
      </c>
      <c r="AY21" s="998"/>
      <c r="AZ21" s="2" cm="1">
        <f t="array" ref="AZ21">IFERROR(SUMPRODUCT((TIS.HCV.MS!$A$3:$A$92=DATE(2026,7,$B21))*(TIS.HCV.MS!$O$3:$O$92&gt;0)*TIS.HCV.MS!$C$3:$C$92*TIS.HCV.MS!$O$3:$O$92)/SUMPRODUCT((TIS.HCV.MS!$A$3:$A$92=DATE(2026,7,$B21))*(TIS.HCV.MS!$O$3:$O$92&gt;0)*TIS.HCV.MS!$C$3:$C$92),0)</f>
        <v>0</v>
      </c>
      <c r="BA21" s="2110" cm="1">
        <f t="array" ref="BA21">IFERROR(SUMPRODUCT((TIS.HCV.MS!$A$3:$A$92=DATE(2026,7,$B21))*(TIS.HCV.MS!$M$3:$M$92&gt;0)*TIS.HCV.MS!$C$3:$C$92*TIS.HCV.MS!$M$3:$M$92)/SUMPRODUCT((TIS.HCV.MS!$A$3:$A$92=DATE(2026,7,$B21))*(TIS.HCV.MS!$M$3:$M$92&gt;0)*TIS.HCV.MS!$C$3:$C$92),0)</f>
        <v>0</v>
      </c>
      <c r="BB21" s="2110" cm="1">
        <f t="array" ref="BB21">IFERROR(SUMPRODUCT((TIS.HCV.MS!$A$3:$A$92=DATE(2026,7,$B21))*(TIS.HCV.MS!$G$3:$G$92&gt;0)*TIS.HCV.MS!$C$3:$C$92*TIS.HCV.MS!$G$3:$G$92)/SUMPRODUCT((TIS.HCV.MS!$A$3:$A$92=DATE(2026,7,$B21))*(TIS.HCV.MS!$G$3:$G$92&gt;0)*TIS.HCV.MS!$C$3:$C$92),0)</f>
        <v>0</v>
      </c>
      <c r="BC21" s="2110" cm="1">
        <f t="array" ref="BC21">IFERROR(SUMPRODUCT((TIS.HCV.MS!$A$3:$A$92=DATE(2026,7,$B21))*(TIS.HCV.MS!$F$3:$F$92&gt;0)*TIS.HCV.MS!$C$3:$C$92*TIS.HCV.MS!$F$3:$F$92)/SUMPRODUCT((TIS.HCV.MS!$A$3:$A$92=DATE(2026,7,$B21))*(TIS.HCV.MS!$F$3:$F$92&gt;0)*TIS.HCV.MS!$C$3:$C$92),0)</f>
        <v>0</v>
      </c>
      <c r="BD21" s="2111" cm="1">
        <f t="array" ref="BD21">IFERROR(SUMPRODUCT((TIS.HCV.MS!$A$3:$A$92=DATE(2026,7,$B21))*(TIS.HCV.MS!$E$3:$E$92&gt;0)*TIS.HCV.MS!$C$3:$C$92*TIS.HCV.MS!$E$3:$E$92)/SUMPRODUCT((TIS.HCV.MS!$A$3:$A$92=DATE(2026,7,$B21))*(TIS.HCV.MS!$E$3:$E$92&gt;0)*TIS.HCV.MS!$C$3:$C$92),0)</f>
        <v>0</v>
      </c>
      <c r="BF21" s="987"/>
      <c r="BG21" s="987"/>
      <c r="BH21" s="987"/>
      <c r="BI21" s="987"/>
      <c r="BJ21" s="987"/>
      <c r="BK21" s="310"/>
      <c r="BL21" s="310"/>
      <c r="BM21" s="310"/>
      <c r="BN21" s="310"/>
      <c r="BO21" s="310"/>
      <c r="BP21" s="1041">
        <f>'July TCM'!LO19</f>
        <v>4.32</v>
      </c>
      <c r="BQ21" s="1042"/>
      <c r="BR21" s="1"/>
      <c r="BS21" s="1032">
        <f t="shared" si="9"/>
        <v>69383.306223959982</v>
      </c>
      <c r="BT21" s="1"/>
      <c r="BU21" s="1"/>
      <c r="BV21" s="1"/>
      <c r="BW21" s="1"/>
      <c r="BX21" s="1"/>
      <c r="BY21" s="1"/>
      <c r="BZ21" s="1"/>
      <c r="CA21" s="1"/>
      <c r="CB21" s="1"/>
      <c r="CC21" s="1"/>
      <c r="CD21" s="1"/>
      <c r="CE21" s="1"/>
      <c r="CF21" s="1"/>
      <c r="CG21" s="1"/>
      <c r="CH21" s="1"/>
      <c r="CI21" s="1"/>
      <c r="CJ21" s="1"/>
      <c r="CK21" s="1"/>
      <c r="CM21" s="1033">
        <v>10</v>
      </c>
      <c r="CN21" s="1">
        <f t="shared" si="10"/>
        <v>3703.96</v>
      </c>
      <c r="CO21">
        <v>2607102707</v>
      </c>
      <c r="CQ21" s="412">
        <v>10</v>
      </c>
      <c r="CR21" s="1">
        <f t="shared" si="11"/>
        <v>12182.419999999998</v>
      </c>
      <c r="CS21">
        <v>2607104477</v>
      </c>
    </row>
    <row r="22" spans="2:97">
      <c r="B22" s="989">
        <v>11</v>
      </c>
      <c r="C22" s="5">
        <f t="shared" si="1"/>
        <v>37127</v>
      </c>
      <c r="D22" s="488">
        <f t="shared" si="2"/>
        <v>3766.3</v>
      </c>
      <c r="E22" s="15">
        <f t="shared" si="3"/>
        <v>9.8576852613971262</v>
      </c>
      <c r="F22" s="363"/>
      <c r="G22" s="64"/>
      <c r="H22" s="1034"/>
      <c r="I22" s="1034"/>
      <c r="N22" s="993"/>
      <c r="O22" s="26">
        <v>37127</v>
      </c>
      <c r="P22" s="36"/>
      <c r="Q22" s="277">
        <v>3766.3</v>
      </c>
      <c r="R22" s="1227">
        <v>3766.3</v>
      </c>
      <c r="S22" s="27">
        <v>9.8576852613971262</v>
      </c>
      <c r="T22" s="33"/>
      <c r="U22" s="2226">
        <v>3766.3</v>
      </c>
      <c r="V22" s="2227">
        <v>0</v>
      </c>
      <c r="W22" s="2227">
        <v>0</v>
      </c>
      <c r="X22" s="1038"/>
      <c r="Y22" s="1"/>
      <c r="Z22" s="1025">
        <v>0</v>
      </c>
      <c r="AA22" s="2174">
        <v>13948.759999999998</v>
      </c>
      <c r="AB22" s="1025">
        <v>13948.759999999998</v>
      </c>
      <c r="AC22" s="1025">
        <v>0</v>
      </c>
      <c r="AD22" s="1025">
        <v>0</v>
      </c>
      <c r="AE22" s="1025">
        <v>6002.43</v>
      </c>
      <c r="AF22" s="1025">
        <v>7946.33</v>
      </c>
      <c r="AG22" s="1025">
        <v>13948.76</v>
      </c>
      <c r="AH22" s="1025"/>
      <c r="AI22" s="1039"/>
      <c r="AJ22" s="1026">
        <f t="shared" si="4"/>
        <v>731.69488613999999</v>
      </c>
      <c r="AK22" s="1026">
        <f t="shared" si="5"/>
        <v>58421.301735720015</v>
      </c>
      <c r="AL22" s="1040">
        <f t="shared" si="0"/>
        <v>59152.996621860017</v>
      </c>
      <c r="AM22" s="1414"/>
      <c r="AN22" s="1414"/>
      <c r="AO22" s="1310"/>
      <c r="AP22" s="1310"/>
      <c r="AQ22" s="1934">
        <f t="shared" si="6"/>
        <v>0</v>
      </c>
      <c r="AR22" s="1729">
        <f t="shared" si="7"/>
        <v>0</v>
      </c>
      <c r="AS22" s="1729">
        <f t="shared" si="7"/>
        <v>0</v>
      </c>
      <c r="AT22" s="1007"/>
      <c r="AU22" s="2501">
        <f>SUMPRODUCT((IFERROR(VALUE(LEFT('Data Base CW TIS'!$E$2:$E$1000,2)),0)=B22)*('Data Base CW TIS'!$B$2:$B$1000="ROM TEMPORARY-ROM SB1 BK05")*('Data Base CW TIS'!$C$2:$C$1000="TIS-ROM TEMPORARY-ROM 6 (TIS)")*'Data Base CW TIS'!$N$2:$N$1000)</f>
        <v>0</v>
      </c>
      <c r="AV22" s="1414"/>
      <c r="AW22" s="987"/>
      <c r="AX22" s="310">
        <f>AB22</f>
        <v>13948.759999999998</v>
      </c>
      <c r="AY22" s="998"/>
      <c r="AZ22" s="2" cm="1">
        <f t="array" ref="AZ22">IFERROR(SUMPRODUCT((TIS.HCV.MS!$A$3:$A$92=DATE(2026,7,$B22))*(TIS.HCV.MS!$O$3:$O$92&gt;0)*TIS.HCV.MS!$C$3:$C$92*TIS.HCV.MS!$O$3:$O$92)/SUMPRODUCT((TIS.HCV.MS!$A$3:$A$92=DATE(2026,7,$B22))*(TIS.HCV.MS!$O$3:$O$92&gt;0)*TIS.HCV.MS!$C$3:$C$92),0)</f>
        <v>0</v>
      </c>
      <c r="BA22" s="2110" cm="1">
        <f t="array" ref="BA22">IFERROR(SUMPRODUCT((TIS.HCV.MS!$A$3:$A$92=DATE(2026,7,$B22))*(TIS.HCV.MS!$M$3:$M$92&gt;0)*TIS.HCV.MS!$C$3:$C$92*TIS.HCV.MS!$M$3:$M$92)/SUMPRODUCT((TIS.HCV.MS!$A$3:$A$92=DATE(2026,7,$B22))*(TIS.HCV.MS!$M$3:$M$92&gt;0)*TIS.HCV.MS!$C$3:$C$92),0)</f>
        <v>0</v>
      </c>
      <c r="BB22" s="2110" cm="1">
        <f t="array" ref="BB22">IFERROR(SUMPRODUCT((TIS.HCV.MS!$A$3:$A$92=DATE(2026,7,$B22))*(TIS.HCV.MS!$G$3:$G$92&gt;0)*TIS.HCV.MS!$C$3:$C$92*TIS.HCV.MS!$G$3:$G$92)/SUMPRODUCT((TIS.HCV.MS!$A$3:$A$92=DATE(2026,7,$B22))*(TIS.HCV.MS!$G$3:$G$92&gt;0)*TIS.HCV.MS!$C$3:$C$92),0)</f>
        <v>0</v>
      </c>
      <c r="BC22" s="2110" cm="1">
        <f t="array" ref="BC22">IFERROR(SUMPRODUCT((TIS.HCV.MS!$A$3:$A$92=DATE(2026,7,$B22))*(TIS.HCV.MS!$F$3:$F$92&gt;0)*TIS.HCV.MS!$C$3:$C$92*TIS.HCV.MS!$F$3:$F$92)/SUMPRODUCT((TIS.HCV.MS!$A$3:$A$92=DATE(2026,7,$B22))*(TIS.HCV.MS!$F$3:$F$92&gt;0)*TIS.HCV.MS!$C$3:$C$92),0)</f>
        <v>0</v>
      </c>
      <c r="BD22" s="2111" cm="1">
        <f t="array" ref="BD22">IFERROR(SUMPRODUCT((TIS.HCV.MS!$A$3:$A$92=DATE(2026,7,$B22))*(TIS.HCV.MS!$E$3:$E$92&gt;0)*TIS.HCV.MS!$C$3:$C$92*TIS.HCV.MS!$E$3:$E$92)/SUMPRODUCT((TIS.HCV.MS!$A$3:$A$92=DATE(2026,7,$B22))*(TIS.HCV.MS!$E$3:$E$92&gt;0)*TIS.HCV.MS!$C$3:$C$92),0)</f>
        <v>0</v>
      </c>
      <c r="BF22" s="987"/>
      <c r="BG22" s="987"/>
      <c r="BH22" s="987"/>
      <c r="BI22" s="987"/>
      <c r="BJ22" s="987"/>
      <c r="BK22" s="310">
        <v>7714.19</v>
      </c>
      <c r="BL22" s="310">
        <v>1</v>
      </c>
      <c r="BM22" s="310"/>
      <c r="BN22" s="310">
        <v>3</v>
      </c>
      <c r="BO22" s="310"/>
      <c r="BP22" s="1041">
        <f>'July TCM'!LO20</f>
        <v>3.68</v>
      </c>
      <c r="BQ22" s="1042"/>
      <c r="BR22" s="1"/>
      <c r="BS22" s="1032">
        <f t="shared" si="9"/>
        <v>75617.876223959975</v>
      </c>
      <c r="BT22" s="1"/>
      <c r="BU22" s="1"/>
      <c r="BV22" s="1"/>
      <c r="BW22" s="1"/>
      <c r="BX22" s="1"/>
      <c r="BY22" s="1"/>
      <c r="BZ22" s="1"/>
      <c r="CA22" s="1"/>
      <c r="CB22" s="1"/>
      <c r="CC22" s="1"/>
      <c r="CD22" s="1"/>
      <c r="CE22" s="1"/>
      <c r="CF22" s="1"/>
      <c r="CG22" s="1"/>
      <c r="CH22" s="1"/>
      <c r="CI22" s="1"/>
      <c r="CJ22" s="1"/>
      <c r="CK22" s="1"/>
      <c r="CM22" s="1033">
        <v>11</v>
      </c>
      <c r="CN22" s="1">
        <f t="shared" si="10"/>
        <v>3766.3</v>
      </c>
      <c r="CO22">
        <v>2607113056</v>
      </c>
      <c r="CQ22" s="412">
        <v>11</v>
      </c>
      <c r="CR22" s="1">
        <f t="shared" si="11"/>
        <v>13948.759999999998</v>
      </c>
      <c r="CS22">
        <v>2607114971</v>
      </c>
    </row>
    <row r="23" spans="2:97">
      <c r="B23" s="989">
        <v>12</v>
      </c>
      <c r="C23" s="5">
        <f t="shared" si="1"/>
        <v>39434</v>
      </c>
      <c r="D23" s="488">
        <f t="shared" si="2"/>
        <v>3303.7400000000002</v>
      </c>
      <c r="E23" s="15">
        <f t="shared" si="3"/>
        <v>11.936169311144338</v>
      </c>
      <c r="F23" s="363"/>
      <c r="G23" s="64"/>
      <c r="H23" s="1034"/>
      <c r="I23" s="1034"/>
      <c r="N23" s="993"/>
      <c r="O23" s="26">
        <v>39434</v>
      </c>
      <c r="P23" s="36"/>
      <c r="Q23" s="277">
        <v>3303.7400000000002</v>
      </c>
      <c r="R23" s="1227">
        <v>3303.7400000000002</v>
      </c>
      <c r="S23" s="27">
        <v>11.936169311144338</v>
      </c>
      <c r="U23" s="2226">
        <v>2978.32</v>
      </c>
      <c r="V23" s="2227">
        <v>325.42</v>
      </c>
      <c r="W23" s="2227">
        <v>0</v>
      </c>
      <c r="X23" s="1038"/>
      <c r="Y23" s="1"/>
      <c r="Z23" s="1025">
        <v>0</v>
      </c>
      <c r="AA23" s="2174">
        <v>0</v>
      </c>
      <c r="AB23" s="1025">
        <v>0</v>
      </c>
      <c r="AC23" s="1025">
        <v>0</v>
      </c>
      <c r="AD23" s="1025">
        <v>0</v>
      </c>
      <c r="AE23" s="1025">
        <v>0</v>
      </c>
      <c r="AF23" s="1025">
        <v>0</v>
      </c>
      <c r="AG23" s="1025">
        <v>0</v>
      </c>
      <c r="AH23" s="1025"/>
      <c r="AI23" s="1039"/>
      <c r="AJ23" s="1026">
        <f t="shared" si="4"/>
        <v>731.69488613999999</v>
      </c>
      <c r="AK23" s="1026">
        <f t="shared" si="5"/>
        <v>61725.041735720013</v>
      </c>
      <c r="AL23" s="1040">
        <f t="shared" si="0"/>
        <v>62456.736621860015</v>
      </c>
      <c r="AM23" s="1414"/>
      <c r="AN23" s="1414"/>
      <c r="AO23" s="1310"/>
      <c r="AP23" s="1310"/>
      <c r="AQ23" s="1934">
        <f t="shared" si="6"/>
        <v>0</v>
      </c>
      <c r="AR23" s="1729">
        <f t="shared" si="7"/>
        <v>0</v>
      </c>
      <c r="AS23" s="1729">
        <f t="shared" si="7"/>
        <v>0</v>
      </c>
      <c r="AT23" s="1007"/>
      <c r="AU23" s="2501">
        <f>SUMPRODUCT((IFERROR(VALUE(LEFT('Data Base CW TIS'!$E$2:$E$1000,2)),0)=B23)*('Data Base CW TIS'!$B$2:$B$1000="ROM TEMPORARY-ROM SB1 BK05")*('Data Base CW TIS'!$C$2:$C$1000="TIS-ROM TEMPORARY-ROM 6 (TIS)")*'Data Base CW TIS'!$N$2:$N$1000)</f>
        <v>0</v>
      </c>
      <c r="AV23" s="1414"/>
      <c r="AW23" s="987"/>
      <c r="AX23" s="310">
        <f t="shared" si="8"/>
        <v>0</v>
      </c>
      <c r="AY23" s="998"/>
      <c r="AZ23" s="2" cm="1">
        <f t="array" ref="AZ23">IFERROR(SUMPRODUCT((TIS.HCV.MS!$A$3:$A$92=DATE(2026,7,$B23))*(TIS.HCV.MS!$O$3:$O$92&gt;0)*TIS.HCV.MS!$C$3:$C$92*TIS.HCV.MS!$O$3:$O$92)/SUMPRODUCT((TIS.HCV.MS!$A$3:$A$92=DATE(2026,7,$B23))*(TIS.HCV.MS!$O$3:$O$92&gt;0)*TIS.HCV.MS!$C$3:$C$92),0)</f>
        <v>0</v>
      </c>
      <c r="BA23" s="2110" cm="1">
        <f t="array" ref="BA23">IFERROR(SUMPRODUCT((TIS.HCV.MS!$A$3:$A$92=DATE(2026,7,$B23))*(TIS.HCV.MS!$M$3:$M$92&gt;0)*TIS.HCV.MS!$C$3:$C$92*TIS.HCV.MS!$M$3:$M$92)/SUMPRODUCT((TIS.HCV.MS!$A$3:$A$92=DATE(2026,7,$B23))*(TIS.HCV.MS!$M$3:$M$92&gt;0)*TIS.HCV.MS!$C$3:$C$92),0)</f>
        <v>0</v>
      </c>
      <c r="BB23" s="2110" cm="1">
        <f t="array" ref="BB23">IFERROR(SUMPRODUCT((TIS.HCV.MS!$A$3:$A$92=DATE(2026,7,$B23))*(TIS.HCV.MS!$G$3:$G$92&gt;0)*TIS.HCV.MS!$C$3:$C$92*TIS.HCV.MS!$G$3:$G$92)/SUMPRODUCT((TIS.HCV.MS!$A$3:$A$92=DATE(2026,7,$B23))*(TIS.HCV.MS!$G$3:$G$92&gt;0)*TIS.HCV.MS!$C$3:$C$92),0)</f>
        <v>0</v>
      </c>
      <c r="BC23" s="2110" cm="1">
        <f t="array" ref="BC23">IFERROR(SUMPRODUCT((TIS.HCV.MS!$A$3:$A$92=DATE(2026,7,$B23))*(TIS.HCV.MS!$F$3:$F$92&gt;0)*TIS.HCV.MS!$C$3:$C$92*TIS.HCV.MS!$F$3:$F$92)/SUMPRODUCT((TIS.HCV.MS!$A$3:$A$92=DATE(2026,7,$B23))*(TIS.HCV.MS!$F$3:$F$92&gt;0)*TIS.HCV.MS!$C$3:$C$92),0)</f>
        <v>0</v>
      </c>
      <c r="BD23" s="2111" cm="1">
        <f t="array" ref="BD23">IFERROR(SUMPRODUCT((TIS.HCV.MS!$A$3:$A$92=DATE(2026,7,$B23))*(TIS.HCV.MS!$E$3:$E$92&gt;0)*TIS.HCV.MS!$C$3:$C$92*TIS.HCV.MS!$E$3:$E$92)/SUMPRODUCT((TIS.HCV.MS!$A$3:$A$92=DATE(2026,7,$B23))*(TIS.HCV.MS!$E$3:$E$92&gt;0)*TIS.HCV.MS!$C$3:$C$92),0)</f>
        <v>0</v>
      </c>
      <c r="BF23" s="987"/>
      <c r="BG23" s="987"/>
      <c r="BH23" s="987"/>
      <c r="BI23" s="987"/>
      <c r="BJ23" s="987"/>
      <c r="BK23" s="310">
        <v>15090.83</v>
      </c>
      <c r="BL23" s="310">
        <v>2</v>
      </c>
      <c r="BM23" s="310"/>
      <c r="BN23" s="310"/>
      <c r="BO23" s="310"/>
      <c r="BP23" s="1041">
        <f>'July TCM'!LO21</f>
        <v>2.97</v>
      </c>
      <c r="BQ23" s="1042"/>
      <c r="BR23" s="1"/>
      <c r="BS23" s="1032">
        <f t="shared" si="9"/>
        <v>60527.046223959973</v>
      </c>
      <c r="BT23" s="1"/>
      <c r="BU23" s="1"/>
      <c r="BV23" s="1"/>
      <c r="BW23" s="1"/>
      <c r="BX23" s="1"/>
      <c r="BY23" s="1"/>
      <c r="BZ23" s="1"/>
      <c r="CA23" s="1"/>
      <c r="CB23" s="1"/>
      <c r="CC23" s="1"/>
      <c r="CD23" s="1"/>
      <c r="CE23" s="1"/>
      <c r="CF23" s="1"/>
      <c r="CG23" s="1"/>
      <c r="CH23" s="1"/>
      <c r="CI23" s="1"/>
      <c r="CJ23" s="1"/>
      <c r="CK23" s="1"/>
      <c r="CM23" s="1033">
        <v>12</v>
      </c>
      <c r="CN23" s="1">
        <f t="shared" si="10"/>
        <v>3303.7400000000002</v>
      </c>
      <c r="CO23">
        <v>2607123432</v>
      </c>
      <c r="CP23" s="1048"/>
      <c r="CQ23" s="412">
        <v>12</v>
      </c>
      <c r="CR23" s="1">
        <f t="shared" si="11"/>
        <v>0</v>
      </c>
    </row>
    <row r="24" spans="2:97">
      <c r="B24" s="989">
        <v>13</v>
      </c>
      <c r="C24" s="5">
        <f t="shared" si="1"/>
        <v>36597</v>
      </c>
      <c r="D24" s="488">
        <f t="shared" si="2"/>
        <v>3439.06</v>
      </c>
      <c r="E24" s="15">
        <f t="shared" si="3"/>
        <v>10.641570661750595</v>
      </c>
      <c r="F24" s="363"/>
      <c r="G24" s="64"/>
      <c r="H24" s="1034"/>
      <c r="I24" s="1034"/>
      <c r="N24" s="993"/>
      <c r="O24" s="26">
        <v>36597</v>
      </c>
      <c r="P24" s="36"/>
      <c r="Q24" s="277">
        <v>3439.06</v>
      </c>
      <c r="R24" s="1227">
        <v>3439.06</v>
      </c>
      <c r="S24" s="27">
        <v>10.641570661750595</v>
      </c>
      <c r="T24" s="33"/>
      <c r="U24" s="2226">
        <v>2870.04</v>
      </c>
      <c r="V24" s="2227">
        <v>569.02</v>
      </c>
      <c r="W24" s="2227">
        <v>0</v>
      </c>
      <c r="X24" s="1038"/>
      <c r="Y24" s="1"/>
      <c r="Z24" s="1025">
        <v>0</v>
      </c>
      <c r="AA24" s="2174">
        <v>0</v>
      </c>
      <c r="AB24" s="1025">
        <v>0</v>
      </c>
      <c r="AC24" s="1025">
        <v>0</v>
      </c>
      <c r="AD24" s="1025">
        <v>0</v>
      </c>
      <c r="AE24" s="1025">
        <v>0</v>
      </c>
      <c r="AF24" s="1025">
        <v>0</v>
      </c>
      <c r="AG24" s="1025">
        <v>0</v>
      </c>
      <c r="AH24" s="1025"/>
      <c r="AI24" s="1039"/>
      <c r="AJ24" s="1026">
        <f t="shared" si="4"/>
        <v>731.69488613999999</v>
      </c>
      <c r="AK24" s="1026">
        <f t="shared" si="5"/>
        <v>65164.101735720011</v>
      </c>
      <c r="AL24" s="1040">
        <f t="shared" si="0"/>
        <v>65895.796621860005</v>
      </c>
      <c r="AM24" s="1414"/>
      <c r="AN24" s="1414"/>
      <c r="AO24" s="1310"/>
      <c r="AP24" s="1310"/>
      <c r="AQ24" s="1934">
        <f t="shared" si="6"/>
        <v>0</v>
      </c>
      <c r="AR24" s="1729">
        <f t="shared" si="7"/>
        <v>0</v>
      </c>
      <c r="AS24" s="1729">
        <f t="shared" si="7"/>
        <v>0</v>
      </c>
      <c r="AT24" s="1007"/>
      <c r="AU24" s="2501">
        <f>SUMPRODUCT((IFERROR(VALUE(LEFT('Data Base CW TIS'!$E$2:$E$1000,2)),0)=B24)*('Data Base CW TIS'!$B$2:$B$1000="ROM TEMPORARY-ROM SB1 BK05")*('Data Base CW TIS'!$C$2:$C$1000="TIS-ROM TEMPORARY-ROM 6 (TIS)")*'Data Base CW TIS'!$N$2:$N$1000)</f>
        <v>0</v>
      </c>
      <c r="AV24" s="1414"/>
      <c r="AW24" s="987"/>
      <c r="AX24" s="310">
        <f t="shared" si="8"/>
        <v>0</v>
      </c>
      <c r="AY24" s="998"/>
      <c r="AZ24" s="2" cm="1">
        <f t="array" ref="AZ24">IFERROR(SUMPRODUCT((TIS.HCV.MS!$A$3:$A$92=DATE(2026,7,$B24))*(TIS.HCV.MS!$O$3:$O$92&gt;0)*TIS.HCV.MS!$C$3:$C$92*TIS.HCV.MS!$O$3:$O$92)/SUMPRODUCT((TIS.HCV.MS!$A$3:$A$92=DATE(2026,7,$B24))*(TIS.HCV.MS!$O$3:$O$92&gt;0)*TIS.HCV.MS!$C$3:$C$92),0)</f>
        <v>0</v>
      </c>
      <c r="BA24" s="2110" cm="1">
        <f t="array" ref="BA24">IFERROR(SUMPRODUCT((TIS.HCV.MS!$A$3:$A$92=DATE(2026,7,$B24))*(TIS.HCV.MS!$M$3:$M$92&gt;0)*TIS.HCV.MS!$C$3:$C$92*TIS.HCV.MS!$M$3:$M$92)/SUMPRODUCT((TIS.HCV.MS!$A$3:$A$92=DATE(2026,7,$B24))*(TIS.HCV.MS!$M$3:$M$92&gt;0)*TIS.HCV.MS!$C$3:$C$92),0)</f>
        <v>0</v>
      </c>
      <c r="BB24" s="2110" cm="1">
        <f t="array" ref="BB24">IFERROR(SUMPRODUCT((TIS.HCV.MS!$A$3:$A$92=DATE(2026,7,$B24))*(TIS.HCV.MS!$G$3:$G$92&gt;0)*TIS.HCV.MS!$C$3:$C$92*TIS.HCV.MS!$G$3:$G$92)/SUMPRODUCT((TIS.HCV.MS!$A$3:$A$92=DATE(2026,7,$B24))*(TIS.HCV.MS!$G$3:$G$92&gt;0)*TIS.HCV.MS!$C$3:$C$92),0)</f>
        <v>0</v>
      </c>
      <c r="BC24" s="2110" cm="1">
        <f t="array" ref="BC24">IFERROR(SUMPRODUCT((TIS.HCV.MS!$A$3:$A$92=DATE(2026,7,$B24))*(TIS.HCV.MS!$F$3:$F$92&gt;0)*TIS.HCV.MS!$C$3:$C$92*TIS.HCV.MS!$F$3:$F$92)/SUMPRODUCT((TIS.HCV.MS!$A$3:$A$92=DATE(2026,7,$B24))*(TIS.HCV.MS!$F$3:$F$92&gt;0)*TIS.HCV.MS!$C$3:$C$92),0)</f>
        <v>0</v>
      </c>
      <c r="BD24" s="2111" cm="1">
        <f t="array" ref="BD24">IFERROR(SUMPRODUCT((TIS.HCV.MS!$A$3:$A$92=DATE(2026,7,$B24))*(TIS.HCV.MS!$E$3:$E$92&gt;0)*TIS.HCV.MS!$C$3:$C$92*TIS.HCV.MS!$E$3:$E$92)/SUMPRODUCT((TIS.HCV.MS!$A$3:$A$92=DATE(2026,7,$B24))*(TIS.HCV.MS!$E$3:$E$92&gt;0)*TIS.HCV.MS!$C$3:$C$92),0)</f>
        <v>0</v>
      </c>
      <c r="BF24" s="987"/>
      <c r="BG24" s="987"/>
      <c r="BH24" s="987"/>
      <c r="BI24" s="987"/>
      <c r="BJ24" s="987"/>
      <c r="BK24" s="847"/>
      <c r="BL24" s="310"/>
      <c r="BM24" s="310"/>
      <c r="BN24" s="310"/>
      <c r="BO24" s="310"/>
      <c r="BP24" s="1041">
        <f>'July TCM'!LO22</f>
        <v>2.44</v>
      </c>
      <c r="BQ24" s="1042"/>
      <c r="BR24" s="1"/>
      <c r="BS24" s="1032">
        <f t="shared" si="9"/>
        <v>60527.046223959973</v>
      </c>
      <c r="BT24" s="1"/>
      <c r="BU24" s="1"/>
      <c r="BV24" s="1"/>
      <c r="BW24" s="1"/>
      <c r="BX24" s="1"/>
      <c r="BY24" s="1"/>
      <c r="BZ24" s="1"/>
      <c r="CA24" s="1"/>
      <c r="CB24" s="1"/>
      <c r="CC24" s="1"/>
      <c r="CD24" s="1"/>
      <c r="CE24" s="1"/>
      <c r="CF24" s="1"/>
      <c r="CG24" s="1"/>
      <c r="CH24" s="1"/>
      <c r="CI24" s="1"/>
      <c r="CJ24" s="1"/>
      <c r="CK24" s="1"/>
      <c r="CM24" s="1033">
        <v>13</v>
      </c>
      <c r="CN24" s="1">
        <f t="shared" si="10"/>
        <v>3439.06</v>
      </c>
      <c r="CO24" s="1048">
        <v>2607133759</v>
      </c>
      <c r="CP24" s="1048"/>
      <c r="CQ24" s="412">
        <v>13</v>
      </c>
      <c r="CR24" s="1">
        <f t="shared" si="11"/>
        <v>0</v>
      </c>
    </row>
    <row r="25" spans="2:97">
      <c r="B25" s="989">
        <v>14</v>
      </c>
      <c r="C25" s="5">
        <f t="shared" si="1"/>
        <v>33481</v>
      </c>
      <c r="D25" s="488">
        <f t="shared" si="2"/>
        <v>3501.0400000000004</v>
      </c>
      <c r="E25" s="15">
        <f t="shared" si="3"/>
        <v>9.5631583757969043</v>
      </c>
      <c r="F25" s="363"/>
      <c r="G25" s="64"/>
      <c r="H25" s="1034"/>
      <c r="I25" s="1034"/>
      <c r="N25" s="993"/>
      <c r="O25" s="26">
        <v>33481</v>
      </c>
      <c r="P25" s="36"/>
      <c r="Q25" s="277">
        <v>3501.0400000000004</v>
      </c>
      <c r="R25" s="1227">
        <v>3501.0400000000004</v>
      </c>
      <c r="S25" s="27">
        <v>9.5631583757969043</v>
      </c>
      <c r="T25" s="33"/>
      <c r="U25" s="2226">
        <v>3501.0400000000004</v>
      </c>
      <c r="V25" s="2227">
        <v>0</v>
      </c>
      <c r="W25" s="2227">
        <v>0</v>
      </c>
      <c r="X25" s="1038"/>
      <c r="Y25" s="1"/>
      <c r="Z25" s="1025">
        <v>0</v>
      </c>
      <c r="AA25" s="2174">
        <v>0</v>
      </c>
      <c r="AB25" s="1025">
        <v>0</v>
      </c>
      <c r="AC25" s="1025">
        <v>0</v>
      </c>
      <c r="AD25" s="1025">
        <v>0</v>
      </c>
      <c r="AE25" s="1025">
        <v>0</v>
      </c>
      <c r="AF25" s="1025">
        <v>0</v>
      </c>
      <c r="AG25" s="1025">
        <v>0</v>
      </c>
      <c r="AH25" s="1025"/>
      <c r="AI25" s="1039"/>
      <c r="AJ25" s="1026">
        <f t="shared" si="4"/>
        <v>731.69488613999999</v>
      </c>
      <c r="AK25" s="1026">
        <f t="shared" si="5"/>
        <v>68665.141735720012</v>
      </c>
      <c r="AL25" s="1040">
        <f t="shared" si="0"/>
        <v>69396.836621860013</v>
      </c>
      <c r="AM25" s="1414"/>
      <c r="AN25" s="1414"/>
      <c r="AO25" s="1310"/>
      <c r="AP25" s="1310"/>
      <c r="AQ25" s="1934">
        <f t="shared" si="6"/>
        <v>0</v>
      </c>
      <c r="AR25" s="1729">
        <f t="shared" si="7"/>
        <v>0</v>
      </c>
      <c r="AS25" s="1729">
        <f t="shared" si="7"/>
        <v>0</v>
      </c>
      <c r="AT25" s="1007"/>
      <c r="AU25" s="2501">
        <f>SUMPRODUCT((IFERROR(VALUE(LEFT('Data Base CW TIS'!$E$2:$E$1000,2)),0)=B25)*('Data Base CW TIS'!$B$2:$B$1000="ROM TEMPORARY-ROM SB1 BK05")*('Data Base CW TIS'!$C$2:$C$1000="TIS-ROM TEMPORARY-ROM 6 (TIS)")*'Data Base CW TIS'!$N$2:$N$1000)</f>
        <v>0</v>
      </c>
      <c r="AV25" s="1414"/>
      <c r="AW25" s="987"/>
      <c r="AX25" s="310">
        <f t="shared" si="8"/>
        <v>0</v>
      </c>
      <c r="AY25" s="998"/>
      <c r="AZ25" s="2" cm="1">
        <f t="array" ref="AZ25">IFERROR(SUMPRODUCT((TIS.HCV.MS!$A$3:$A$92=DATE(2026,7,$B27))*(TIS.HCV.MS!$O$3:$O$92&gt;0)*TIS.HCV.MS!$C$3:$C$92*TIS.HCV.MS!$O$3:$O$92)/SUMPRODUCT((TIS.HCV.MS!$A$3:$A$92=DATE(2026,7,$B27))*(TIS.HCV.MS!$O$3:$O$92&gt;0)*TIS.HCV.MS!$C$3:$C$92),0)</f>
        <v>0</v>
      </c>
      <c r="BA25" s="2110" cm="1">
        <f t="array" ref="BA25">IFERROR(SUMPRODUCT((TIS.HCV.MS!$A$3:$A$92=DATE(2026,7,$B27))*(TIS.HCV.MS!$M$3:$M$92&gt;0)*TIS.HCV.MS!$C$3:$C$92*TIS.HCV.MS!$M$3:$M$92)/SUMPRODUCT((TIS.HCV.MS!$A$3:$A$92=DATE(2026,7,$B27))*(TIS.HCV.MS!$M$3:$M$92&gt;0)*TIS.HCV.MS!$C$3:$C$92),0)</f>
        <v>0</v>
      </c>
      <c r="BB25" s="2110" cm="1">
        <f t="array" ref="BB25">IFERROR(SUMPRODUCT((TIS.HCV.MS!$A$3:$A$92=DATE(2026,7,$B27))*(TIS.HCV.MS!$G$3:$G$92&gt;0)*TIS.HCV.MS!$C$3:$C$92*TIS.HCV.MS!$G$3:$G$92)/SUMPRODUCT((TIS.HCV.MS!$A$3:$A$92=DATE(2026,7,$B27))*(TIS.HCV.MS!$G$3:$G$92&gt;0)*TIS.HCV.MS!$C$3:$C$92),0)</f>
        <v>0</v>
      </c>
      <c r="BC25" s="2110" cm="1">
        <f t="array" ref="BC25">IFERROR(SUMPRODUCT((TIS.HCV.MS!$A$3:$A$92=DATE(2026,7,$B27))*(TIS.HCV.MS!$F$3:$F$92&gt;0)*TIS.HCV.MS!$C$3:$C$92*TIS.HCV.MS!$F$3:$F$92)/SUMPRODUCT((TIS.HCV.MS!$A$3:$A$92=DATE(2026,7,$B27))*(TIS.HCV.MS!$F$3:$F$92&gt;0)*TIS.HCV.MS!$C$3:$C$92),0)</f>
        <v>0</v>
      </c>
      <c r="BD25" s="2111" cm="1">
        <f t="array" ref="BD25">IFERROR(SUMPRODUCT((TIS.HCV.MS!$A$3:$A$92=DATE(2026,7,$B27))*(TIS.HCV.MS!$E$3:$E$92&gt;0)*TIS.HCV.MS!$C$3:$C$92*TIS.HCV.MS!$E$3:$E$92)/SUMPRODUCT((TIS.HCV.MS!$A$3:$A$92=DATE(2026,7,$B27))*(TIS.HCV.MS!$E$3:$E$92&gt;0)*TIS.HCV.MS!$C$3:$C$92),0)</f>
        <v>0</v>
      </c>
      <c r="BF25" s="987"/>
      <c r="BG25" s="987"/>
      <c r="BH25" s="987"/>
      <c r="BI25" s="987"/>
      <c r="BJ25" s="987"/>
      <c r="BK25" s="847"/>
      <c r="BL25" s="310"/>
      <c r="BM25" s="310"/>
      <c r="BN25" s="310"/>
      <c r="BO25" s="310"/>
      <c r="BP25" s="1041">
        <f>'July TCM'!LO23</f>
        <v>2.0499999999999998</v>
      </c>
      <c r="BQ25" s="1042"/>
      <c r="BR25" s="1"/>
      <c r="BS25" s="1032">
        <f t="shared" si="9"/>
        <v>60527.046223959973</v>
      </c>
      <c r="BT25" s="1"/>
      <c r="BU25" s="1"/>
      <c r="BV25" s="1"/>
      <c r="BW25" s="1"/>
      <c r="BX25" s="1"/>
      <c r="BY25" s="1"/>
      <c r="BZ25" s="1"/>
      <c r="CA25" s="1"/>
      <c r="CB25" s="1"/>
      <c r="CC25" s="1"/>
      <c r="CD25" s="1"/>
      <c r="CE25" s="1"/>
      <c r="CF25" s="1"/>
      <c r="CG25" s="1"/>
      <c r="CH25" s="1"/>
      <c r="CI25" s="1"/>
      <c r="CJ25" s="1"/>
      <c r="CK25" s="1"/>
      <c r="CM25" s="1033">
        <v>14</v>
      </c>
      <c r="CN25" s="1">
        <f t="shared" si="10"/>
        <v>3501.0400000000004</v>
      </c>
      <c r="CO25" s="1048">
        <v>2607144061</v>
      </c>
      <c r="CP25" s="1048"/>
      <c r="CQ25" s="412">
        <v>14</v>
      </c>
      <c r="CR25" s="1">
        <f t="shared" si="11"/>
        <v>0</v>
      </c>
    </row>
    <row r="26" spans="2:97">
      <c r="B26" s="989">
        <v>15</v>
      </c>
      <c r="C26" s="5">
        <f t="shared" si="1"/>
        <v>35537</v>
      </c>
      <c r="D26" s="488">
        <f t="shared" si="2"/>
        <v>2542.7799999999997</v>
      </c>
      <c r="E26" s="15">
        <f t="shared" si="3"/>
        <v>13.975648699454929</v>
      </c>
      <c r="F26" s="363"/>
      <c r="G26" s="64"/>
      <c r="H26" s="1034"/>
      <c r="I26" s="1034"/>
      <c r="N26" s="993"/>
      <c r="O26" s="26">
        <v>35537</v>
      </c>
      <c r="P26" s="36"/>
      <c r="Q26" s="277">
        <v>2542.7799999999997</v>
      </c>
      <c r="R26" s="1227">
        <v>2542.7799999999997</v>
      </c>
      <c r="S26" s="27">
        <v>13.975648699454929</v>
      </c>
      <c r="T26" s="33"/>
      <c r="U26" s="2226">
        <v>1562.1599999999999</v>
      </c>
      <c r="V26" s="2227">
        <v>980.61999999999989</v>
      </c>
      <c r="W26" s="2227">
        <v>0</v>
      </c>
      <c r="X26" s="1038"/>
      <c r="Y26" s="1"/>
      <c r="Z26" s="1025">
        <v>0</v>
      </c>
      <c r="AA26" s="2174">
        <v>0</v>
      </c>
      <c r="AB26" s="1025">
        <v>0</v>
      </c>
      <c r="AC26" s="1025">
        <v>0</v>
      </c>
      <c r="AD26" s="1025">
        <v>0</v>
      </c>
      <c r="AE26" s="1025">
        <v>0</v>
      </c>
      <c r="AF26" s="1025">
        <v>0</v>
      </c>
      <c r="AG26" s="1025">
        <v>0</v>
      </c>
      <c r="AH26" s="1025"/>
      <c r="AI26" s="1039"/>
      <c r="AJ26" s="1026">
        <f t="shared" si="4"/>
        <v>731.69488613999999</v>
      </c>
      <c r="AK26" s="1026">
        <f t="shared" si="5"/>
        <v>71207.92173572001</v>
      </c>
      <c r="AL26" s="1040">
        <f t="shared" si="0"/>
        <v>71939.616621860012</v>
      </c>
      <c r="AM26" s="1414"/>
      <c r="AN26" s="1414"/>
      <c r="AO26" s="1310"/>
      <c r="AP26" s="1310"/>
      <c r="AQ26" s="1934">
        <f t="shared" si="6"/>
        <v>0</v>
      </c>
      <c r="AR26" s="1729">
        <f t="shared" si="7"/>
        <v>0</v>
      </c>
      <c r="AS26" s="1729">
        <f t="shared" si="7"/>
        <v>0</v>
      </c>
      <c r="AT26" s="1007"/>
      <c r="AU26" s="2501">
        <f>SUMPRODUCT((IFERROR(VALUE(LEFT('Data Base CW TIS'!$E$2:$E$1000,2)),0)=B26)*('Data Base CW TIS'!$B$2:$B$1000="ROM TEMPORARY-ROM SB1 BK05")*('Data Base CW TIS'!$C$2:$C$1000="TIS-ROM TEMPORARY-ROM 6 (TIS)")*'Data Base CW TIS'!$N$2:$N$1000)</f>
        <v>0</v>
      </c>
      <c r="AV26" s="1414"/>
      <c r="AW26" s="987"/>
      <c r="AX26" s="310">
        <f t="shared" si="8"/>
        <v>0</v>
      </c>
      <c r="AY26" s="998"/>
      <c r="AZ26" s="2" cm="1">
        <f t="array" ref="AZ26">IFERROR(SUMPRODUCT((TIS.HCV.MS!$A$3:$A$92=DATE(2026,7,$B27))*(TIS.HCV.MS!$O$3:$O$92&gt;0)*TIS.HCV.MS!$C$3:$C$92*TIS.HCV.MS!$O$3:$O$92)/SUMPRODUCT((TIS.HCV.MS!$A$3:$A$92=DATE(2026,7,$B27))*(TIS.HCV.MS!$O$3:$O$92&gt;0)*TIS.HCV.MS!$C$3:$C$92),0)</f>
        <v>0</v>
      </c>
      <c r="BA26" s="2110" cm="1">
        <f t="array" ref="BA26">IFERROR(SUMPRODUCT((TIS.HCV.MS!$A$3:$A$92=DATE(2026,7,$B27))*(TIS.HCV.MS!$M$3:$M$92&gt;0)*TIS.HCV.MS!$C$3:$C$92*TIS.HCV.MS!$M$3:$M$92)/SUMPRODUCT((TIS.HCV.MS!$A$3:$A$92=DATE(2026,7,$B27))*(TIS.HCV.MS!$M$3:$M$92&gt;0)*TIS.HCV.MS!$C$3:$C$92),0)</f>
        <v>0</v>
      </c>
      <c r="BB26" s="2110" cm="1">
        <f t="array" ref="BB26">IFERROR(SUMPRODUCT((TIS.HCV.MS!$A$3:$A$92=DATE(2026,7,$B27))*(TIS.HCV.MS!$G$3:$G$92&gt;0)*TIS.HCV.MS!$C$3:$C$92*TIS.HCV.MS!$G$3:$G$92)/SUMPRODUCT((TIS.HCV.MS!$A$3:$A$92=DATE(2026,7,$B27))*(TIS.HCV.MS!$G$3:$G$92&gt;0)*TIS.HCV.MS!$C$3:$C$92),0)</f>
        <v>0</v>
      </c>
      <c r="BC26" s="2110" cm="1">
        <f t="array" ref="BC26">IFERROR(SUMPRODUCT((TIS.HCV.MS!$A$3:$A$92=DATE(2026,7,$B27))*(TIS.HCV.MS!$F$3:$F$92&gt;0)*TIS.HCV.MS!$C$3:$C$92*TIS.HCV.MS!$F$3:$F$92)/SUMPRODUCT((TIS.HCV.MS!$A$3:$A$92=DATE(2026,7,$B27))*(TIS.HCV.MS!$F$3:$F$92&gt;0)*TIS.HCV.MS!$C$3:$C$92),0)</f>
        <v>0</v>
      </c>
      <c r="BD26" s="2111" cm="1">
        <f t="array" ref="BD26">IFERROR(SUMPRODUCT((TIS.HCV.MS!$A$3:$A$92=DATE(2026,7,$B27))*(TIS.HCV.MS!$E$3:$E$92&gt;0)*TIS.HCV.MS!$C$3:$C$92*TIS.HCV.MS!$E$3:$E$92)/SUMPRODUCT((TIS.HCV.MS!$A$3:$A$92=DATE(2026,7,$B27))*(TIS.HCV.MS!$E$3:$E$92&gt;0)*TIS.HCV.MS!$C$3:$C$92),0)</f>
        <v>0</v>
      </c>
      <c r="BF26" s="987"/>
      <c r="BG26" s="987"/>
      <c r="BH26" s="987"/>
      <c r="BI26" s="987"/>
      <c r="BJ26" s="987"/>
      <c r="BK26" s="847"/>
      <c r="BL26" s="310"/>
      <c r="BM26" s="310"/>
      <c r="BN26" s="310"/>
      <c r="BO26" s="310"/>
      <c r="BP26" s="1041">
        <f>'July TCM'!LO24</f>
        <v>1.75</v>
      </c>
      <c r="BQ26" s="1042"/>
      <c r="BR26" s="1"/>
      <c r="BS26" s="1032">
        <f t="shared" si="9"/>
        <v>60527.046223959973</v>
      </c>
      <c r="BT26" s="1"/>
      <c r="BU26" s="1"/>
      <c r="BV26" s="1"/>
      <c r="BW26" s="1"/>
      <c r="BX26" s="1"/>
      <c r="BY26" s="1"/>
      <c r="BZ26" s="1"/>
      <c r="CA26" s="1"/>
      <c r="CB26" s="1"/>
      <c r="CC26" s="1"/>
      <c r="CD26" s="1"/>
      <c r="CE26" s="1"/>
      <c r="CF26" s="1"/>
      <c r="CG26" s="1"/>
      <c r="CH26" s="1"/>
      <c r="CI26" s="1"/>
      <c r="CJ26" s="1"/>
      <c r="CK26" s="1"/>
      <c r="CM26" s="1033">
        <v>15</v>
      </c>
      <c r="CN26" s="1">
        <f t="shared" si="10"/>
        <v>2542.7799999999997</v>
      </c>
      <c r="CO26">
        <v>2607154396</v>
      </c>
      <c r="CQ26" s="412">
        <v>15</v>
      </c>
      <c r="CR26" s="1">
        <f t="shared" si="11"/>
        <v>0</v>
      </c>
    </row>
    <row r="27" spans="2:97">
      <c r="B27" s="989">
        <v>16</v>
      </c>
      <c r="C27" s="5">
        <f t="shared" si="1"/>
        <v>36728</v>
      </c>
      <c r="D27" s="488">
        <f t="shared" si="2"/>
        <v>1375.1799999999998</v>
      </c>
      <c r="E27" s="15">
        <f t="shared" si="3"/>
        <v>26.70777643653922</v>
      </c>
      <c r="F27" s="363"/>
      <c r="G27" s="64"/>
      <c r="H27" s="1034"/>
      <c r="I27" s="1034"/>
      <c r="N27" s="993"/>
      <c r="O27" s="26">
        <v>36728</v>
      </c>
      <c r="P27" s="36"/>
      <c r="Q27" s="277">
        <v>1375.1799999999998</v>
      </c>
      <c r="R27" s="1227">
        <v>1375.1799999999998</v>
      </c>
      <c r="S27" s="27">
        <v>26.70777643653922</v>
      </c>
      <c r="T27" s="33"/>
      <c r="U27" s="2226">
        <v>1375.1799999999998</v>
      </c>
      <c r="V27" s="2227">
        <v>0</v>
      </c>
      <c r="W27" s="2227">
        <v>0</v>
      </c>
      <c r="X27" s="1038"/>
      <c r="Y27" s="1"/>
      <c r="Z27" s="1025">
        <v>0</v>
      </c>
      <c r="AA27" s="2174">
        <v>0</v>
      </c>
      <c r="AB27" s="1025">
        <v>0</v>
      </c>
      <c r="AC27" s="1025">
        <v>0</v>
      </c>
      <c r="AD27" s="1025">
        <v>0</v>
      </c>
      <c r="AE27" s="1025">
        <v>0</v>
      </c>
      <c r="AF27" s="1025">
        <v>0</v>
      </c>
      <c r="AG27" s="1025">
        <v>0</v>
      </c>
      <c r="AH27" s="1025"/>
      <c r="AI27" s="1039"/>
      <c r="AJ27" s="1026">
        <f t="shared" si="4"/>
        <v>731.69488613999999</v>
      </c>
      <c r="AK27" s="1026">
        <f t="shared" si="5"/>
        <v>72583.101735720003</v>
      </c>
      <c r="AL27" s="1040">
        <f t="shared" si="0"/>
        <v>73314.796621860005</v>
      </c>
      <c r="AM27" s="1414"/>
      <c r="AN27" s="1414"/>
      <c r="AO27" s="1310"/>
      <c r="AP27" s="1310"/>
      <c r="AQ27" s="1934">
        <f t="shared" si="6"/>
        <v>0</v>
      </c>
      <c r="AR27" s="1729">
        <f t="shared" si="7"/>
        <v>0</v>
      </c>
      <c r="AS27" s="1729">
        <f t="shared" si="7"/>
        <v>0</v>
      </c>
      <c r="AT27" s="1007"/>
      <c r="AU27" s="2501">
        <f>SUMPRODUCT((IFERROR(VALUE(LEFT('Data Base CW TIS'!$E$2:$E$1000,2)),0)=B27)*('Data Base CW TIS'!$B$2:$B$1000="ROM TEMPORARY-ROM SB1 BK05")*('Data Base CW TIS'!$C$2:$C$1000="TIS-ROM TEMPORARY-ROM 6 (TIS)")*'Data Base CW TIS'!$N$2:$N$1000)</f>
        <v>0</v>
      </c>
      <c r="AV27" s="1414"/>
      <c r="AW27" s="987"/>
      <c r="AX27" s="310">
        <f t="shared" si="8"/>
        <v>0</v>
      </c>
      <c r="AY27" s="998"/>
      <c r="AZ27" s="2" cm="1">
        <f t="array" ref="AZ27">IFERROR(SUMPRODUCT((TIS.HCV.MS!$A$3:$A$92=DATE(2026,7,$B27))*(TIS.HCV.MS!$O$3:$O$92&gt;0)*TIS.HCV.MS!$C$3:$C$92*TIS.HCV.MS!$O$3:$O$92)/SUMPRODUCT((TIS.HCV.MS!$A$3:$A$92=DATE(2026,7,$B27))*(TIS.HCV.MS!$O$3:$O$92&gt;0)*TIS.HCV.MS!$C$3:$C$92),0)</f>
        <v>0</v>
      </c>
      <c r="BA27" s="2110" cm="1">
        <f t="array" ref="BA27">IFERROR(SUMPRODUCT((TIS.HCV.MS!$A$3:$A$92=DATE(2026,7,$B27))*(TIS.HCV.MS!$M$3:$M$92&gt;0)*TIS.HCV.MS!$C$3:$C$92*TIS.HCV.MS!$M$3:$M$92)/SUMPRODUCT((TIS.HCV.MS!$A$3:$A$92=DATE(2026,7,$B27))*(TIS.HCV.MS!$M$3:$M$92&gt;0)*TIS.HCV.MS!$C$3:$C$92),0)</f>
        <v>0</v>
      </c>
      <c r="BB27" s="2110" cm="1">
        <f t="array" ref="BB27">IFERROR(SUMPRODUCT((TIS.HCV.MS!$A$3:$A$92=DATE(2026,7,$B27))*(TIS.HCV.MS!$G$3:$G$92&gt;0)*TIS.HCV.MS!$C$3:$C$92*TIS.HCV.MS!$G$3:$G$92)/SUMPRODUCT((TIS.HCV.MS!$A$3:$A$92=DATE(2026,7,$B27))*(TIS.HCV.MS!$G$3:$G$92&gt;0)*TIS.HCV.MS!$C$3:$C$92),0)</f>
        <v>0</v>
      </c>
      <c r="BC27" s="2110" cm="1">
        <f t="array" ref="BC27">IFERROR(SUMPRODUCT((TIS.HCV.MS!$A$3:$A$92=DATE(2026,7,$B27))*(TIS.HCV.MS!$F$3:$F$92&gt;0)*TIS.HCV.MS!$C$3:$C$92*TIS.HCV.MS!$F$3:$F$92)/SUMPRODUCT((TIS.HCV.MS!$A$3:$A$92=DATE(2026,7,$B27))*(TIS.HCV.MS!$F$3:$F$92&gt;0)*TIS.HCV.MS!$C$3:$C$92),0)</f>
        <v>0</v>
      </c>
      <c r="BD27" s="2111" cm="1">
        <f t="array" ref="BD27">IFERROR(SUMPRODUCT((TIS.HCV.MS!$A$3:$A$92=DATE(2026,7,$B27))*(TIS.HCV.MS!$E$3:$E$92&gt;0)*TIS.HCV.MS!$C$3:$C$92*TIS.HCV.MS!$E$3:$E$92)/SUMPRODUCT((TIS.HCV.MS!$A$3:$A$92=DATE(2026,7,$B27))*(TIS.HCV.MS!$E$3:$E$92&gt;0)*TIS.HCV.MS!$C$3:$C$92),0)</f>
        <v>0</v>
      </c>
      <c r="BF27" s="987"/>
      <c r="BG27" s="987"/>
      <c r="BH27" s="987"/>
      <c r="BI27" s="987"/>
      <c r="BJ27" s="987"/>
      <c r="BK27" s="847"/>
      <c r="BL27" s="310"/>
      <c r="BM27" s="310"/>
      <c r="BN27" s="310"/>
      <c r="BO27" s="310"/>
      <c r="BP27" s="1041">
        <f>'July TCM'!LO25</f>
        <v>1.45</v>
      </c>
      <c r="BQ27" s="1042"/>
      <c r="BR27" s="1"/>
      <c r="BS27" s="1032">
        <f t="shared" si="9"/>
        <v>60527.046223959973</v>
      </c>
      <c r="BT27" s="1"/>
      <c r="BU27" s="1"/>
      <c r="BV27" s="1"/>
      <c r="BW27" s="1"/>
      <c r="BX27" s="1"/>
      <c r="BY27" s="1"/>
      <c r="BZ27" s="1"/>
      <c r="CA27" s="1"/>
      <c r="CB27" s="1"/>
      <c r="CC27" s="1"/>
      <c r="CD27" s="1"/>
      <c r="CE27" s="1"/>
      <c r="CF27" s="1"/>
      <c r="CG27" s="1"/>
      <c r="CH27" s="1"/>
      <c r="CI27" s="1"/>
      <c r="CJ27" s="1"/>
      <c r="CK27" s="1"/>
      <c r="CM27" s="1033">
        <v>16</v>
      </c>
      <c r="CN27" s="1">
        <f t="shared" si="10"/>
        <v>1375.1799999999998</v>
      </c>
      <c r="CO27">
        <v>2607164711</v>
      </c>
      <c r="CP27" s="1048"/>
      <c r="CQ27" s="412">
        <v>16</v>
      </c>
      <c r="CR27" s="1">
        <f t="shared" si="11"/>
        <v>0</v>
      </c>
    </row>
    <row r="28" spans="2:97">
      <c r="B28" s="989">
        <v>17</v>
      </c>
      <c r="C28" s="5">
        <f t="shared" si="1"/>
        <v>37923</v>
      </c>
      <c r="D28" s="488">
        <f t="shared" si="2"/>
        <v>690.02</v>
      </c>
      <c r="E28" s="15">
        <f t="shared" si="3"/>
        <v>54.959276542708906</v>
      </c>
      <c r="F28" s="363"/>
      <c r="G28" s="64"/>
      <c r="H28" s="1034"/>
      <c r="I28" s="1034"/>
      <c r="N28" s="993"/>
      <c r="O28" s="26">
        <v>37923</v>
      </c>
      <c r="P28" s="36"/>
      <c r="Q28" s="277">
        <v>690.02</v>
      </c>
      <c r="R28" s="1227">
        <v>690.02</v>
      </c>
      <c r="S28" s="27">
        <v>54.959276542708906</v>
      </c>
      <c r="T28" s="33"/>
      <c r="U28" s="2226">
        <v>690.02</v>
      </c>
      <c r="V28" s="2227">
        <v>0</v>
      </c>
      <c r="W28" s="2227">
        <v>0</v>
      </c>
      <c r="X28" s="1038"/>
      <c r="Y28" s="1"/>
      <c r="Z28" s="1025">
        <v>0</v>
      </c>
      <c r="AA28" s="2174">
        <v>0</v>
      </c>
      <c r="AB28" s="1025">
        <v>0</v>
      </c>
      <c r="AC28" s="1025">
        <v>0</v>
      </c>
      <c r="AD28" s="1025">
        <v>0</v>
      </c>
      <c r="AE28" s="1025">
        <v>0</v>
      </c>
      <c r="AF28" s="1025">
        <v>0</v>
      </c>
      <c r="AG28" s="1025">
        <v>0</v>
      </c>
      <c r="AH28" s="1025"/>
      <c r="AI28" s="1039"/>
      <c r="AJ28" s="1026">
        <f t="shared" si="4"/>
        <v>731.69488613999999</v>
      </c>
      <c r="AK28" s="1026">
        <f t="shared" si="5"/>
        <v>73273.121735720008</v>
      </c>
      <c r="AL28" s="1040">
        <f t="shared" si="0"/>
        <v>74004.816621860009</v>
      </c>
      <c r="AM28" s="1414"/>
      <c r="AN28" s="1414"/>
      <c r="AO28" s="1310"/>
      <c r="AP28" s="1310"/>
      <c r="AQ28" s="1934">
        <f t="shared" si="6"/>
        <v>0</v>
      </c>
      <c r="AR28" s="1729">
        <f t="shared" ref="AR28:AS42" si="12">AR27+AO28-AT28</f>
        <v>0</v>
      </c>
      <c r="AS28" s="1729">
        <f t="shared" si="12"/>
        <v>0</v>
      </c>
      <c r="AT28" s="1007"/>
      <c r="AU28" s="2501">
        <f>SUMPRODUCT((IFERROR(VALUE(LEFT('Data Base CW TIS'!$E$2:$E$1000,2)),0)=B28)*('Data Base CW TIS'!$B$2:$B$1000="ROM TEMPORARY-ROM SB1 BK05")*('Data Base CW TIS'!$C$2:$C$1000="TIS-ROM TEMPORARY-ROM 6 (TIS)")*'Data Base CW TIS'!$N$2:$N$1000)</f>
        <v>0</v>
      </c>
      <c r="AV28" s="1414"/>
      <c r="AW28" s="987"/>
      <c r="AX28" s="310">
        <f t="shared" si="8"/>
        <v>0</v>
      </c>
      <c r="AY28" s="998"/>
      <c r="AZ28" s="2" cm="1">
        <f t="array" ref="AZ28">IFERROR(SUMPRODUCT((TIS.HCV.MS!$A$3:$A$92=DATE(2026,7,$B28))*(TIS.HCV.MS!$O$3:$O$92&gt;0)*TIS.HCV.MS!$C$3:$C$92*TIS.HCV.MS!$O$3:$O$92)/SUMPRODUCT((TIS.HCV.MS!$A$3:$A$92=DATE(2026,7,$B28))*(TIS.HCV.MS!$O$3:$O$92&gt;0)*TIS.HCV.MS!$C$3:$C$92),0)</f>
        <v>0</v>
      </c>
      <c r="BA28" s="2110" cm="1">
        <f t="array" ref="BA28">IFERROR(SUMPRODUCT((TIS.HCV.MS!$A$3:$A$92=DATE(2026,7,$B28))*(TIS.HCV.MS!$M$3:$M$92&gt;0)*TIS.HCV.MS!$C$3:$C$92*TIS.HCV.MS!$M$3:$M$92)/SUMPRODUCT((TIS.HCV.MS!$A$3:$A$92=DATE(2026,7,$B28))*(TIS.HCV.MS!$M$3:$M$92&gt;0)*TIS.HCV.MS!$C$3:$C$92),0)</f>
        <v>0</v>
      </c>
      <c r="BB28" s="2110" cm="1">
        <f t="array" ref="BB28">IFERROR(SUMPRODUCT((TIS.HCV.MS!$A$3:$A$92=DATE(2026,7,$B28))*(TIS.HCV.MS!$G$3:$G$92&gt;0)*TIS.HCV.MS!$C$3:$C$92*TIS.HCV.MS!$G$3:$G$92)/SUMPRODUCT((TIS.HCV.MS!$A$3:$A$92=DATE(2026,7,$B28))*(TIS.HCV.MS!$G$3:$G$92&gt;0)*TIS.HCV.MS!$C$3:$C$92),0)</f>
        <v>0</v>
      </c>
      <c r="BC28" s="2110" cm="1">
        <f t="array" ref="BC28">IFERROR(SUMPRODUCT((TIS.HCV.MS!$A$3:$A$92=DATE(2026,7,$B28))*(TIS.HCV.MS!$F$3:$F$92&gt;0)*TIS.HCV.MS!$C$3:$C$92*TIS.HCV.MS!$F$3:$F$92)/SUMPRODUCT((TIS.HCV.MS!$A$3:$A$92=DATE(2026,7,$B28))*(TIS.HCV.MS!$F$3:$F$92&gt;0)*TIS.HCV.MS!$C$3:$C$92),0)</f>
        <v>0</v>
      </c>
      <c r="BD28" s="2111" cm="1">
        <f t="array" ref="BD28">IFERROR(SUMPRODUCT((TIS.HCV.MS!$A$3:$A$92=DATE(2026,7,$B28))*(TIS.HCV.MS!$E$3:$E$92&gt;0)*TIS.HCV.MS!$C$3:$C$92*TIS.HCV.MS!$E$3:$E$92)/SUMPRODUCT((TIS.HCV.MS!$A$3:$A$92=DATE(2026,7,$B28))*(TIS.HCV.MS!$E$3:$E$92&gt;0)*TIS.HCV.MS!$C$3:$C$92),0)</f>
        <v>0</v>
      </c>
      <c r="BF28" s="987"/>
      <c r="BG28" s="987"/>
      <c r="BH28" s="987"/>
      <c r="BI28" s="987"/>
      <c r="BJ28" s="987"/>
      <c r="BK28" s="1049"/>
      <c r="BL28" s="310"/>
      <c r="BM28" s="310"/>
      <c r="BN28" s="310"/>
      <c r="BO28" s="310"/>
      <c r="BP28" s="1041">
        <f>'July TCM'!LO26</f>
        <v>1.26</v>
      </c>
      <c r="BQ28" s="1042"/>
      <c r="BR28" s="1"/>
      <c r="BS28" s="1032">
        <f t="shared" si="9"/>
        <v>60527.046223959973</v>
      </c>
      <c r="BT28" s="1"/>
      <c r="BU28" s="1"/>
      <c r="BV28" s="1"/>
      <c r="BW28" s="1"/>
      <c r="BX28" s="1"/>
      <c r="BY28" s="1"/>
      <c r="BZ28" s="1"/>
      <c r="CA28" s="1"/>
      <c r="CB28" s="1"/>
      <c r="CC28" s="1"/>
      <c r="CD28" s="1"/>
      <c r="CE28" s="1"/>
      <c r="CF28" s="1"/>
      <c r="CG28" s="1"/>
      <c r="CH28" s="1"/>
      <c r="CI28" s="1"/>
      <c r="CJ28" s="1"/>
      <c r="CK28" s="1"/>
      <c r="CM28" s="1033">
        <v>17</v>
      </c>
      <c r="CN28" s="1">
        <f t="shared" si="10"/>
        <v>690.02</v>
      </c>
      <c r="CO28">
        <v>2607174903</v>
      </c>
      <c r="CQ28" s="412">
        <v>17</v>
      </c>
      <c r="CR28" s="1">
        <f t="shared" si="11"/>
        <v>0</v>
      </c>
    </row>
    <row r="29" spans="2:97">
      <c r="B29" s="989">
        <v>18</v>
      </c>
      <c r="C29" s="5">
        <f t="shared" si="1"/>
        <v>38391</v>
      </c>
      <c r="D29" s="488">
        <f t="shared" si="2"/>
        <v>1437.96</v>
      </c>
      <c r="E29" s="15">
        <f t="shared" si="3"/>
        <v>26.698239172160559</v>
      </c>
      <c r="F29" s="363"/>
      <c r="G29" s="64"/>
      <c r="H29" s="1034">
        <v>2</v>
      </c>
      <c r="I29" s="1034">
        <v>1.4</v>
      </c>
      <c r="N29" s="993"/>
      <c r="O29" s="26">
        <v>38391</v>
      </c>
      <c r="P29" s="36"/>
      <c r="Q29" s="277">
        <v>1437.96</v>
      </c>
      <c r="R29" s="1227">
        <v>1437.96</v>
      </c>
      <c r="S29" s="27">
        <v>26.698239172160559</v>
      </c>
      <c r="T29" s="33"/>
      <c r="U29" s="2226">
        <v>1437.96</v>
      </c>
      <c r="V29" s="2227">
        <v>0</v>
      </c>
      <c r="W29" s="2227">
        <v>0</v>
      </c>
      <c r="X29" s="1038"/>
      <c r="Y29" s="1"/>
      <c r="Z29" s="1025">
        <v>0</v>
      </c>
      <c r="AA29" s="2174">
        <v>0</v>
      </c>
      <c r="AB29" s="1025">
        <v>0</v>
      </c>
      <c r="AC29" s="1025">
        <v>0</v>
      </c>
      <c r="AD29" s="1025">
        <v>0</v>
      </c>
      <c r="AE29" s="1025">
        <v>0</v>
      </c>
      <c r="AF29" s="1025">
        <v>0</v>
      </c>
      <c r="AG29" s="1025">
        <v>0</v>
      </c>
      <c r="AH29" s="1025"/>
      <c r="AI29" s="1039"/>
      <c r="AJ29" s="1026">
        <f t="shared" si="4"/>
        <v>731.69488613999999</v>
      </c>
      <c r="AK29" s="1026">
        <f t="shared" si="5"/>
        <v>74711.081735720014</v>
      </c>
      <c r="AL29" s="1040">
        <f t="shared" si="0"/>
        <v>75442.776621860015</v>
      </c>
      <c r="AM29" s="1414"/>
      <c r="AN29" s="1414"/>
      <c r="AO29" s="1310"/>
      <c r="AP29" s="1310"/>
      <c r="AQ29" s="1934">
        <f t="shared" si="6"/>
        <v>0</v>
      </c>
      <c r="AR29" s="1729">
        <f t="shared" si="12"/>
        <v>0</v>
      </c>
      <c r="AS29" s="1729">
        <f t="shared" si="12"/>
        <v>0</v>
      </c>
      <c r="AT29" s="1007"/>
      <c r="AU29" s="2501">
        <f>SUMPRODUCT((IFERROR(VALUE(LEFT('Data Base CW TIS'!$E$2:$E$1000,2)),0)=B29)*('Data Base CW TIS'!$B$2:$B$1000="ROM TEMPORARY-ROM SB1 BK05")*('Data Base CW TIS'!$C$2:$C$1000="TIS-ROM TEMPORARY-ROM 6 (TIS)")*'Data Base CW TIS'!$N$2:$N$1000)</f>
        <v>0</v>
      </c>
      <c r="AV29" s="1414"/>
      <c r="AW29" s="987"/>
      <c r="AX29" s="310">
        <f t="shared" si="8"/>
        <v>0</v>
      </c>
      <c r="AY29" s="868"/>
      <c r="AZ29" s="2" cm="1">
        <f t="array" ref="AZ29">IFERROR(SUMPRODUCT((TIS.HCV.MS!$A$3:$A$92=DATE(2026,7,$B29))*(TIS.HCV.MS!$O$3:$O$92&gt;0)*TIS.HCV.MS!$C$3:$C$92*TIS.HCV.MS!$O$3:$O$92)/SUMPRODUCT((TIS.HCV.MS!$A$3:$A$92=DATE(2026,7,$B29))*(TIS.HCV.MS!$O$3:$O$92&gt;0)*TIS.HCV.MS!$C$3:$C$92),0)</f>
        <v>0</v>
      </c>
      <c r="BA29" s="2110" cm="1">
        <f t="array" ref="BA29">IFERROR(SUMPRODUCT((TIS.HCV.MS!$A$3:$A$92=DATE(2026,7,$B29))*(TIS.HCV.MS!$M$3:$M$92&gt;0)*TIS.HCV.MS!$C$3:$C$92*TIS.HCV.MS!$M$3:$M$92)/SUMPRODUCT((TIS.HCV.MS!$A$3:$A$92=DATE(2026,7,$B29))*(TIS.HCV.MS!$M$3:$M$92&gt;0)*TIS.HCV.MS!$C$3:$C$92),0)</f>
        <v>0</v>
      </c>
      <c r="BB29" s="2110" cm="1">
        <f t="array" ref="BB29">IFERROR(SUMPRODUCT((TIS.HCV.MS!$A$3:$A$92=DATE(2026,7,$B29))*(TIS.HCV.MS!$G$3:$G$92&gt;0)*TIS.HCV.MS!$C$3:$C$92*TIS.HCV.MS!$G$3:$G$92)/SUMPRODUCT((TIS.HCV.MS!$A$3:$A$92=DATE(2026,7,$B29))*(TIS.HCV.MS!$G$3:$G$92&gt;0)*TIS.HCV.MS!$C$3:$C$92),0)</f>
        <v>0</v>
      </c>
      <c r="BC29" s="2110" cm="1">
        <f t="array" ref="BC29">IFERROR(SUMPRODUCT((TIS.HCV.MS!$A$3:$A$92=DATE(2026,7,$B29))*(TIS.HCV.MS!$F$3:$F$92&gt;0)*TIS.HCV.MS!$C$3:$C$92*TIS.HCV.MS!$F$3:$F$92)/SUMPRODUCT((TIS.HCV.MS!$A$3:$A$92=DATE(2026,7,$B29))*(TIS.HCV.MS!$F$3:$F$92&gt;0)*TIS.HCV.MS!$C$3:$C$92),0)</f>
        <v>0</v>
      </c>
      <c r="BD29" s="2111" cm="1">
        <f t="array" ref="BD29">IFERROR(SUMPRODUCT((TIS.HCV.MS!$A$3:$A$92=DATE(2026,7,$B29))*(TIS.HCV.MS!$E$3:$E$92&gt;0)*TIS.HCV.MS!$C$3:$C$92*TIS.HCV.MS!$E$3:$E$92)/SUMPRODUCT((TIS.HCV.MS!$A$3:$A$92=DATE(2026,7,$B29))*(TIS.HCV.MS!$E$3:$E$92&gt;0)*TIS.HCV.MS!$C$3:$C$92),0)</f>
        <v>0</v>
      </c>
      <c r="BF29" s="987"/>
      <c r="BG29" s="987"/>
      <c r="BH29" s="987"/>
      <c r="BI29" s="987"/>
      <c r="BJ29" s="987"/>
      <c r="BK29" s="847"/>
      <c r="BL29" s="847"/>
      <c r="BM29" s="847"/>
      <c r="BN29" s="847">
        <v>2</v>
      </c>
      <c r="BO29" s="310"/>
      <c r="BP29" s="1041">
        <f>'July TCM'!LO27</f>
        <v>1.68</v>
      </c>
      <c r="BQ29" s="1042"/>
      <c r="BR29" s="1"/>
      <c r="BS29" s="1032">
        <f t="shared" si="9"/>
        <v>60527.046223959973</v>
      </c>
      <c r="BT29" s="1"/>
      <c r="BU29" s="1"/>
      <c r="BV29" s="1"/>
      <c r="BW29" s="1"/>
      <c r="BX29" s="1"/>
      <c r="BY29" s="1"/>
      <c r="BZ29" s="1"/>
      <c r="CA29" s="1"/>
      <c r="CB29" s="1"/>
      <c r="CC29" s="1"/>
      <c r="CD29" s="1"/>
      <c r="CE29" s="1"/>
      <c r="CF29" s="1"/>
      <c r="CG29" s="1"/>
      <c r="CH29" s="1"/>
      <c r="CI29" s="1"/>
      <c r="CJ29" s="1"/>
      <c r="CK29" s="1"/>
      <c r="CM29" s="1033">
        <v>18</v>
      </c>
      <c r="CN29" s="1">
        <f t="shared" si="10"/>
        <v>1437.96</v>
      </c>
      <c r="CO29">
        <v>2607185028</v>
      </c>
      <c r="CQ29" s="412">
        <v>18</v>
      </c>
      <c r="CR29" s="1">
        <f t="shared" si="11"/>
        <v>0</v>
      </c>
    </row>
    <row r="30" spans="2:97">
      <c r="B30" s="989">
        <v>19</v>
      </c>
      <c r="C30" s="5">
        <f t="shared" si="1"/>
        <v>39417</v>
      </c>
      <c r="D30" s="488">
        <f t="shared" si="2"/>
        <v>1023.9300000000001</v>
      </c>
      <c r="E30" s="15">
        <f t="shared" si="3"/>
        <v>38.495795611028093</v>
      </c>
      <c r="F30" s="363"/>
      <c r="G30" s="64"/>
      <c r="H30" s="1034"/>
      <c r="I30" s="1034"/>
      <c r="N30" s="993"/>
      <c r="O30" s="26">
        <v>39417</v>
      </c>
      <c r="P30" s="36"/>
      <c r="Q30" s="277">
        <v>1023.9300000000001</v>
      </c>
      <c r="R30" s="1227">
        <v>1023.9300000000001</v>
      </c>
      <c r="S30" s="27">
        <v>38.495795611028093</v>
      </c>
      <c r="T30" s="33"/>
      <c r="U30" s="2226">
        <v>1023.9300000000001</v>
      </c>
      <c r="V30" s="2227">
        <v>0</v>
      </c>
      <c r="W30" s="2227">
        <v>0</v>
      </c>
      <c r="X30" s="1038"/>
      <c r="Y30" s="1"/>
      <c r="Z30" s="1025">
        <v>0</v>
      </c>
      <c r="AA30" s="2174">
        <v>0</v>
      </c>
      <c r="AB30" s="1025">
        <v>0</v>
      </c>
      <c r="AC30" s="1025">
        <v>0</v>
      </c>
      <c r="AD30" s="1025">
        <v>0</v>
      </c>
      <c r="AE30" s="1025">
        <v>0</v>
      </c>
      <c r="AF30" s="1025">
        <v>0</v>
      </c>
      <c r="AG30" s="1025">
        <v>0</v>
      </c>
      <c r="AH30" s="1025"/>
      <c r="AI30" s="1039"/>
      <c r="AJ30" s="1026">
        <f t="shared" si="4"/>
        <v>731.69488613999999</v>
      </c>
      <c r="AK30" s="1026">
        <f t="shared" si="5"/>
        <v>75735.011735720007</v>
      </c>
      <c r="AL30" s="1040">
        <f t="shared" si="0"/>
        <v>76466.706621860008</v>
      </c>
      <c r="AM30" s="1414"/>
      <c r="AN30" s="1414"/>
      <c r="AO30" s="1310"/>
      <c r="AP30" s="1310"/>
      <c r="AQ30" s="1934">
        <f t="shared" si="6"/>
        <v>0</v>
      </c>
      <c r="AR30" s="1729">
        <f t="shared" si="12"/>
        <v>0</v>
      </c>
      <c r="AS30" s="1729">
        <f t="shared" si="12"/>
        <v>0</v>
      </c>
      <c r="AT30" s="1007"/>
      <c r="AU30" s="2501">
        <f>SUMPRODUCT((IFERROR(VALUE(LEFT('Data Base CW TIS'!$E$2:$E$1000,2)),0)=B30)*('Data Base CW TIS'!$B$2:$B$1000="ROM TEMPORARY-ROM SB1 BK05")*('Data Base CW TIS'!$C$2:$C$1000="TIS-ROM TEMPORARY-ROM 6 (TIS)")*'Data Base CW TIS'!$N$2:$N$1000)</f>
        <v>0</v>
      </c>
      <c r="AV30" s="1414"/>
      <c r="AW30" s="987"/>
      <c r="AX30" s="310">
        <f t="shared" si="8"/>
        <v>0</v>
      </c>
      <c r="AY30" s="998"/>
      <c r="AZ30" s="2" cm="1">
        <f t="array" ref="AZ30">IFERROR(SUMPRODUCT((TIS.HCV.MS!$A$3:$A$92=DATE(2026,7,$B30))*(TIS.HCV.MS!$O$3:$O$92&gt;0)*TIS.HCV.MS!$C$3:$C$92*TIS.HCV.MS!$O$3:$O$92)/SUMPRODUCT((TIS.HCV.MS!$A$3:$A$92=DATE(2026,7,$B30))*(TIS.HCV.MS!$O$3:$O$92&gt;0)*TIS.HCV.MS!$C$3:$C$92),0)</f>
        <v>0</v>
      </c>
      <c r="BA30" s="2110" cm="1">
        <f t="array" ref="BA30">IFERROR(SUMPRODUCT((TIS.HCV.MS!$A$3:$A$92=DATE(2026,7,$B30))*(TIS.HCV.MS!$M$3:$M$92&gt;0)*TIS.HCV.MS!$C$3:$C$92*TIS.HCV.MS!$M$3:$M$92)/SUMPRODUCT((TIS.HCV.MS!$A$3:$A$92=DATE(2026,7,$B30))*(TIS.HCV.MS!$M$3:$M$92&gt;0)*TIS.HCV.MS!$C$3:$C$92),0)</f>
        <v>0</v>
      </c>
      <c r="BB30" s="2110" cm="1">
        <f t="array" ref="BB30">IFERROR(SUMPRODUCT((TIS.HCV.MS!$A$3:$A$92=DATE(2026,7,$B30))*(TIS.HCV.MS!$G$3:$G$92&gt;0)*TIS.HCV.MS!$C$3:$C$92*TIS.HCV.MS!$G$3:$G$92)/SUMPRODUCT((TIS.HCV.MS!$A$3:$A$92=DATE(2026,7,$B30))*(TIS.HCV.MS!$G$3:$G$92&gt;0)*TIS.HCV.MS!$C$3:$C$92),0)</f>
        <v>0</v>
      </c>
      <c r="BC30" s="2110" cm="1">
        <f t="array" ref="BC30">IFERROR(SUMPRODUCT((TIS.HCV.MS!$A$3:$A$92=DATE(2026,7,$B30))*(TIS.HCV.MS!$F$3:$F$92&gt;0)*TIS.HCV.MS!$C$3:$C$92*TIS.HCV.MS!$F$3:$F$92)/SUMPRODUCT((TIS.HCV.MS!$A$3:$A$92=DATE(2026,7,$B30))*(TIS.HCV.MS!$F$3:$F$92&gt;0)*TIS.HCV.MS!$C$3:$C$92),0)</f>
        <v>0</v>
      </c>
      <c r="BD30" s="2111" cm="1">
        <f t="array" ref="BD30">IFERROR(SUMPRODUCT((TIS.HCV.MS!$A$3:$A$92=DATE(2026,7,$B30))*(TIS.HCV.MS!$E$3:$E$92&gt;0)*TIS.HCV.MS!$C$3:$C$92*TIS.HCV.MS!$E$3:$E$92)/SUMPRODUCT((TIS.HCV.MS!$A$3:$A$92=DATE(2026,7,$B30))*(TIS.HCV.MS!$E$3:$E$92&gt;0)*TIS.HCV.MS!$C$3:$C$92),0)</f>
        <v>0</v>
      </c>
      <c r="BF30" s="987"/>
      <c r="BG30" s="987"/>
      <c r="BH30" s="987"/>
      <c r="BI30" s="987"/>
      <c r="BJ30" s="987"/>
      <c r="BK30" s="847">
        <v>7507.83</v>
      </c>
      <c r="BL30" s="310">
        <v>1</v>
      </c>
      <c r="BM30" s="310"/>
      <c r="BN30" s="310">
        <v>1</v>
      </c>
      <c r="BO30" s="310"/>
      <c r="BP30" s="1041">
        <f>'July TCM'!LO28</f>
        <v>2.27</v>
      </c>
      <c r="BQ30" s="1042"/>
      <c r="BR30" s="1"/>
      <c r="BS30" s="1032">
        <f t="shared" si="9"/>
        <v>53019.216223959971</v>
      </c>
      <c r="BT30" s="1"/>
      <c r="BU30" s="1"/>
      <c r="BV30" s="1"/>
      <c r="BW30" s="1"/>
      <c r="BX30" s="1"/>
      <c r="BY30" s="1"/>
      <c r="BZ30" s="1"/>
      <c r="CA30" s="1"/>
      <c r="CB30" s="1"/>
      <c r="CC30" s="1"/>
      <c r="CD30" s="1"/>
      <c r="CE30" s="1"/>
      <c r="CF30" s="1"/>
      <c r="CG30" s="1"/>
      <c r="CH30" s="1"/>
      <c r="CI30" s="1"/>
      <c r="CJ30" s="1"/>
      <c r="CK30" s="1"/>
      <c r="CM30" s="1033">
        <v>19</v>
      </c>
      <c r="CN30" s="1">
        <f t="shared" si="10"/>
        <v>1023.9300000000001</v>
      </c>
      <c r="CO30">
        <v>2607195226</v>
      </c>
      <c r="CQ30" s="412">
        <v>19</v>
      </c>
      <c r="CR30" s="1">
        <f t="shared" si="11"/>
        <v>0</v>
      </c>
    </row>
    <row r="31" spans="2:97">
      <c r="B31" s="989">
        <v>20</v>
      </c>
      <c r="C31" s="5">
        <f t="shared" si="1"/>
        <v>21915</v>
      </c>
      <c r="D31" s="488">
        <f t="shared" si="2"/>
        <v>443.08</v>
      </c>
      <c r="E31" s="15">
        <f t="shared" si="3"/>
        <v>49.460594023652618</v>
      </c>
      <c r="F31" s="363"/>
      <c r="G31" s="64"/>
      <c r="H31" s="1034">
        <v>23</v>
      </c>
      <c r="I31" s="1034">
        <v>12.18</v>
      </c>
      <c r="N31" s="993"/>
      <c r="O31" s="26">
        <v>21915</v>
      </c>
      <c r="P31" s="36"/>
      <c r="Q31" s="277">
        <v>443.08</v>
      </c>
      <c r="R31" s="1227">
        <v>443.08</v>
      </c>
      <c r="S31" s="5">
        <v>49.460594023652618</v>
      </c>
      <c r="T31" s="12"/>
      <c r="U31" s="2226">
        <v>0</v>
      </c>
      <c r="V31" s="2227">
        <v>443.08</v>
      </c>
      <c r="W31" s="2227">
        <v>0</v>
      </c>
      <c r="X31" s="1038"/>
      <c r="Y31" s="1"/>
      <c r="Z31" s="1025">
        <v>0</v>
      </c>
      <c r="AA31" s="2174">
        <v>0</v>
      </c>
      <c r="AB31" s="1025">
        <v>0</v>
      </c>
      <c r="AC31" s="1025">
        <v>0</v>
      </c>
      <c r="AD31" s="1025">
        <v>0</v>
      </c>
      <c r="AE31" s="1025">
        <v>0</v>
      </c>
      <c r="AF31" s="1025">
        <v>0</v>
      </c>
      <c r="AG31" s="1025">
        <v>0</v>
      </c>
      <c r="AH31" s="1025"/>
      <c r="AI31" s="1039"/>
      <c r="AJ31" s="1026">
        <f t="shared" si="4"/>
        <v>731.69488613999999</v>
      </c>
      <c r="AK31" s="1026">
        <f t="shared" si="5"/>
        <v>76178.091735720009</v>
      </c>
      <c r="AL31" s="1040">
        <f t="shared" si="0"/>
        <v>76909.78662186001</v>
      </c>
      <c r="AM31" s="1414"/>
      <c r="AN31" s="1414"/>
      <c r="AO31" s="1310"/>
      <c r="AP31" s="1310"/>
      <c r="AQ31" s="1934">
        <f t="shared" si="6"/>
        <v>0</v>
      </c>
      <c r="AR31" s="1729">
        <f t="shared" si="12"/>
        <v>0</v>
      </c>
      <c r="AS31" s="1729">
        <f t="shared" si="12"/>
        <v>0</v>
      </c>
      <c r="AT31" s="1007"/>
      <c r="AU31" s="2501">
        <f>SUMPRODUCT((IFERROR(VALUE(LEFT('Data Base CW TIS'!$E$2:$E$1000,2)),0)=B31)*('Data Base CW TIS'!$B$2:$B$1000="ROM TEMPORARY-ROM SB1 BK05")*('Data Base CW TIS'!$C$2:$C$1000="TIS-ROM TEMPORARY-ROM 6 (TIS)")*'Data Base CW TIS'!$N$2:$N$1000)</f>
        <v>0</v>
      </c>
      <c r="AV31" s="1414"/>
      <c r="AW31" s="987"/>
      <c r="AX31" s="310">
        <f t="shared" si="8"/>
        <v>0</v>
      </c>
      <c r="AY31" s="868"/>
      <c r="AZ31" s="2" cm="1">
        <f t="array" ref="AZ31">IFERROR(SUMPRODUCT((TIS.HCV.MS!$A$3:$A$92=DATE(2026,7,$B31))*(TIS.HCV.MS!$O$3:$O$92&gt;0)*TIS.HCV.MS!$C$3:$C$92*TIS.HCV.MS!$O$3:$O$92)/SUMPRODUCT((TIS.HCV.MS!$A$3:$A$92=DATE(2026,7,$B31))*(TIS.HCV.MS!$O$3:$O$92&gt;0)*TIS.HCV.MS!$C$3:$C$92),0)</f>
        <v>0</v>
      </c>
      <c r="BA31" s="2110" cm="1">
        <f t="array" ref="BA31">IFERROR(SUMPRODUCT((TIS.HCV.MS!$A$3:$A$92=DATE(2026,7,$B31))*(TIS.HCV.MS!$M$3:$M$92&gt;0)*TIS.HCV.MS!$C$3:$C$92*TIS.HCV.MS!$M$3:$M$92)/SUMPRODUCT((TIS.HCV.MS!$A$3:$A$92=DATE(2026,7,$B31))*(TIS.HCV.MS!$M$3:$M$92&gt;0)*TIS.HCV.MS!$C$3:$C$92),0)</f>
        <v>0</v>
      </c>
      <c r="BB31" s="2110" cm="1">
        <f t="array" ref="BB31">IFERROR(SUMPRODUCT((TIS.HCV.MS!$A$3:$A$92=DATE(2026,7,$B31))*(TIS.HCV.MS!$G$3:$G$92&gt;0)*TIS.HCV.MS!$C$3:$C$92*TIS.HCV.MS!$G$3:$G$92)/SUMPRODUCT((TIS.HCV.MS!$A$3:$A$92=DATE(2026,7,$B31))*(TIS.HCV.MS!$G$3:$G$92&gt;0)*TIS.HCV.MS!$C$3:$C$92),0)</f>
        <v>0</v>
      </c>
      <c r="BC31" s="2110" cm="1">
        <f t="array" ref="BC31">IFERROR(SUMPRODUCT((TIS.HCV.MS!$A$3:$A$92=DATE(2026,7,$B31))*(TIS.HCV.MS!$F$3:$F$92&gt;0)*TIS.HCV.MS!$C$3:$C$92*TIS.HCV.MS!$F$3:$F$92)/SUMPRODUCT((TIS.HCV.MS!$A$3:$A$92=DATE(2026,7,$B31))*(TIS.HCV.MS!$F$3:$F$92&gt;0)*TIS.HCV.MS!$C$3:$C$92),0)</f>
        <v>0</v>
      </c>
      <c r="BD31" s="2111" cm="1">
        <f t="array" ref="BD31">IFERROR(SUMPRODUCT((TIS.HCV.MS!$A$3:$A$92=DATE(2026,7,$B31))*(TIS.HCV.MS!$E$3:$E$92&gt;0)*TIS.HCV.MS!$C$3:$C$92*TIS.HCV.MS!$E$3:$E$92)/SUMPRODUCT((TIS.HCV.MS!$A$3:$A$92=DATE(2026,7,$B31))*(TIS.HCV.MS!$E$3:$E$92&gt;0)*TIS.HCV.MS!$C$3:$C$92),0)</f>
        <v>0</v>
      </c>
      <c r="BF31" s="987"/>
      <c r="BG31" s="987"/>
      <c r="BH31" s="987"/>
      <c r="BI31" s="987"/>
      <c r="BJ31" s="987"/>
      <c r="BK31" s="847"/>
      <c r="BL31" s="847"/>
      <c r="BM31" s="847"/>
      <c r="BN31" s="847">
        <v>1</v>
      </c>
      <c r="BO31" s="310"/>
      <c r="BP31" s="1041">
        <f>'July TCM'!LO29</f>
        <v>1.5</v>
      </c>
      <c r="BQ31" s="1042"/>
      <c r="BR31" s="1"/>
      <c r="BS31" s="1032">
        <f t="shared" si="9"/>
        <v>53019.216223959971</v>
      </c>
      <c r="BT31" s="1"/>
      <c r="BU31" s="1"/>
      <c r="BV31" s="1"/>
      <c r="BW31" s="1"/>
      <c r="BX31" s="1"/>
      <c r="BY31" s="1"/>
      <c r="BZ31" s="1"/>
      <c r="CA31" s="1"/>
      <c r="CB31" s="1"/>
      <c r="CC31" s="1"/>
      <c r="CD31" s="1"/>
      <c r="CE31" s="1"/>
      <c r="CF31" s="1"/>
      <c r="CG31" s="1"/>
      <c r="CH31" s="1"/>
      <c r="CI31" s="1"/>
      <c r="CJ31" s="1"/>
      <c r="CK31" s="1"/>
      <c r="CM31" s="1033">
        <v>20</v>
      </c>
      <c r="CN31" s="1">
        <f t="shared" si="10"/>
        <v>443.08</v>
      </c>
      <c r="CO31">
        <v>2607205458</v>
      </c>
      <c r="CQ31" s="412">
        <v>20</v>
      </c>
      <c r="CR31" s="1">
        <f t="shared" si="11"/>
        <v>0</v>
      </c>
    </row>
    <row r="32" spans="2:97">
      <c r="B32" s="989">
        <v>21</v>
      </c>
      <c r="C32" s="5">
        <f t="shared" si="1"/>
        <v>23556</v>
      </c>
      <c r="D32" s="488">
        <f t="shared" si="2"/>
        <v>142.98000000000002</v>
      </c>
      <c r="E32" s="15">
        <f t="shared" si="3"/>
        <v>164.75031472933276</v>
      </c>
      <c r="F32" s="363"/>
      <c r="G32" s="64"/>
      <c r="H32" s="1034">
        <v>47</v>
      </c>
      <c r="I32" s="1034">
        <v>9.4499999999999993</v>
      </c>
      <c r="N32" s="993"/>
      <c r="O32" s="26">
        <v>23556</v>
      </c>
      <c r="P32" s="36"/>
      <c r="Q32" s="277">
        <v>142.98000000000002</v>
      </c>
      <c r="R32" s="1227">
        <v>142.98000000000002</v>
      </c>
      <c r="S32" s="27">
        <v>164.75031472933276</v>
      </c>
      <c r="T32" s="33"/>
      <c r="U32" s="2226">
        <v>0</v>
      </c>
      <c r="V32" s="2227">
        <v>142.98000000000002</v>
      </c>
      <c r="W32" s="2227">
        <v>0</v>
      </c>
      <c r="X32" s="1038"/>
      <c r="Y32" s="1"/>
      <c r="Z32" s="1025">
        <v>0</v>
      </c>
      <c r="AA32" s="2174">
        <v>0</v>
      </c>
      <c r="AB32" s="1025">
        <v>0</v>
      </c>
      <c r="AC32" s="1025">
        <v>0</v>
      </c>
      <c r="AD32" s="1025">
        <v>0</v>
      </c>
      <c r="AE32" s="1025">
        <v>0</v>
      </c>
      <c r="AF32" s="1025">
        <v>0</v>
      </c>
      <c r="AG32" s="1025">
        <v>0</v>
      </c>
      <c r="AH32" s="1025"/>
      <c r="AI32" s="1039"/>
      <c r="AJ32" s="1026">
        <f t="shared" si="4"/>
        <v>731.69488613999999</v>
      </c>
      <c r="AK32" s="1026">
        <f t="shared" si="5"/>
        <v>76321.071735720005</v>
      </c>
      <c r="AL32" s="1040">
        <f t="shared" si="0"/>
        <v>77052.766621860006</v>
      </c>
      <c r="AM32" s="1414"/>
      <c r="AN32" s="1414"/>
      <c r="AO32" s="1310"/>
      <c r="AP32" s="1310"/>
      <c r="AQ32" s="1934">
        <f t="shared" si="6"/>
        <v>0</v>
      </c>
      <c r="AR32" s="1729">
        <f t="shared" si="12"/>
        <v>0</v>
      </c>
      <c r="AS32" s="1729">
        <f t="shared" si="12"/>
        <v>0</v>
      </c>
      <c r="AT32" s="1007"/>
      <c r="AU32" s="2501">
        <f>SUMPRODUCT((IFERROR(VALUE(LEFT('Data Base CW TIS'!$E$2:$E$1000,2)),0)=B32)*('Data Base CW TIS'!$B$2:$B$1000="ROM TEMPORARY-ROM SB1 BK05")*('Data Base CW TIS'!$C$2:$C$1000="TIS-ROM TEMPORARY-ROM 6 (TIS)")*'Data Base CW TIS'!$N$2:$N$1000)</f>
        <v>0</v>
      </c>
      <c r="AV32" s="1414"/>
      <c r="AW32" s="987"/>
      <c r="AX32" s="310">
        <f t="shared" si="8"/>
        <v>0</v>
      </c>
      <c r="AY32" s="998"/>
      <c r="AZ32" s="2" cm="1">
        <f t="array" ref="AZ32">IFERROR(SUMPRODUCT((TIS.HCV.MS!$A$3:$A$92=DATE(2026,7,$B32))*(TIS.HCV.MS!$O$3:$O$92&gt;0)*TIS.HCV.MS!$C$3:$C$92*TIS.HCV.MS!$O$3:$O$92)/SUMPRODUCT((TIS.HCV.MS!$A$3:$A$92=DATE(2026,7,$B32))*(TIS.HCV.MS!$O$3:$O$92&gt;0)*TIS.HCV.MS!$C$3:$C$92),0)</f>
        <v>0</v>
      </c>
      <c r="BA32" s="2110" cm="1">
        <f t="array" ref="BA32">IFERROR(SUMPRODUCT((TIS.HCV.MS!$A$3:$A$92=DATE(2026,7,$B32))*(TIS.HCV.MS!$M$3:$M$92&gt;0)*TIS.HCV.MS!$C$3:$C$92*TIS.HCV.MS!$M$3:$M$92)/SUMPRODUCT((TIS.HCV.MS!$A$3:$A$92=DATE(2026,7,$B32))*(TIS.HCV.MS!$M$3:$M$92&gt;0)*TIS.HCV.MS!$C$3:$C$92),0)</f>
        <v>0</v>
      </c>
      <c r="BB32" s="2110" cm="1">
        <f t="array" ref="BB32">IFERROR(SUMPRODUCT((TIS.HCV.MS!$A$3:$A$92=DATE(2026,7,$B32))*(TIS.HCV.MS!$G$3:$G$92&gt;0)*TIS.HCV.MS!$C$3:$C$92*TIS.HCV.MS!$G$3:$G$92)/SUMPRODUCT((TIS.HCV.MS!$A$3:$A$92=DATE(2026,7,$B32))*(TIS.HCV.MS!$G$3:$G$92&gt;0)*TIS.HCV.MS!$C$3:$C$92),0)</f>
        <v>0</v>
      </c>
      <c r="BC32" s="2110" cm="1">
        <f t="array" ref="BC32">IFERROR(SUMPRODUCT((TIS.HCV.MS!$A$3:$A$92=DATE(2026,7,$B32))*(TIS.HCV.MS!$F$3:$F$92&gt;0)*TIS.HCV.MS!$C$3:$C$92*TIS.HCV.MS!$F$3:$F$92)/SUMPRODUCT((TIS.HCV.MS!$A$3:$A$92=DATE(2026,7,$B32))*(TIS.HCV.MS!$F$3:$F$92&gt;0)*TIS.HCV.MS!$C$3:$C$92),0)</f>
        <v>0</v>
      </c>
      <c r="BD32" s="2111" cm="1">
        <f t="array" ref="BD32">IFERROR(SUMPRODUCT((TIS.HCV.MS!$A$3:$A$92=DATE(2026,7,$B32))*(TIS.HCV.MS!$E$3:$E$92&gt;0)*TIS.HCV.MS!$C$3:$C$92*TIS.HCV.MS!$E$3:$E$92)/SUMPRODUCT((TIS.HCV.MS!$A$3:$A$92=DATE(2026,7,$B32))*(TIS.HCV.MS!$E$3:$E$92&gt;0)*TIS.HCV.MS!$C$3:$C$92),0)</f>
        <v>0</v>
      </c>
      <c r="BF32" s="987"/>
      <c r="BG32" s="987"/>
      <c r="BH32" s="987"/>
      <c r="BI32" s="987"/>
      <c r="BJ32" s="987"/>
      <c r="BK32" s="847">
        <v>7502</v>
      </c>
      <c r="BL32" s="310">
        <v>1</v>
      </c>
      <c r="BM32" s="310"/>
      <c r="BN32" s="310"/>
      <c r="BO32" s="310"/>
      <c r="BP32" s="1041">
        <f>'July TCM'!LO30</f>
        <v>1.89</v>
      </c>
      <c r="BQ32" s="1042"/>
      <c r="BR32" s="1"/>
      <c r="BS32" s="1032">
        <f t="shared" si="9"/>
        <v>45517.216223959971</v>
      </c>
      <c r="BT32" s="1"/>
      <c r="BU32" s="1"/>
      <c r="BV32" s="1"/>
      <c r="BW32" s="1"/>
      <c r="BX32" s="1"/>
      <c r="BY32" s="1"/>
      <c r="BZ32" s="1"/>
      <c r="CA32" s="1"/>
      <c r="CB32" s="1"/>
      <c r="CC32" s="1"/>
      <c r="CD32" s="1"/>
      <c r="CE32" s="1"/>
      <c r="CF32" s="1"/>
      <c r="CG32" s="1"/>
      <c r="CH32" s="1"/>
      <c r="CI32" s="1"/>
      <c r="CJ32" s="1"/>
      <c r="CK32" s="1"/>
      <c r="CM32" s="1033">
        <v>21</v>
      </c>
      <c r="CN32" s="1">
        <f t="shared" si="10"/>
        <v>142.98000000000002</v>
      </c>
      <c r="CO32">
        <v>2607215615</v>
      </c>
      <c r="CQ32" s="412">
        <v>21</v>
      </c>
      <c r="CR32" s="1">
        <f t="shared" si="11"/>
        <v>0</v>
      </c>
    </row>
    <row r="33" spans="2:97">
      <c r="B33" s="989">
        <v>22</v>
      </c>
      <c r="C33" s="5">
        <f t="shared" si="1"/>
        <v>23100</v>
      </c>
      <c r="D33" s="488">
        <f t="shared" si="2"/>
        <v>777</v>
      </c>
      <c r="E33" s="15">
        <f t="shared" si="3"/>
        <v>0</v>
      </c>
      <c r="F33" s="363"/>
      <c r="G33" s="64"/>
      <c r="H33" s="1034">
        <v>43</v>
      </c>
      <c r="I33" s="1034">
        <v>9.08</v>
      </c>
      <c r="N33" s="993"/>
      <c r="O33" s="26">
        <v>23100</v>
      </c>
      <c r="P33" s="36"/>
      <c r="Q33" s="277">
        <v>0</v>
      </c>
      <c r="R33" s="1227">
        <v>0</v>
      </c>
      <c r="S33" s="27">
        <v>0</v>
      </c>
      <c r="T33" s="33"/>
      <c r="U33" s="2226">
        <v>0</v>
      </c>
      <c r="V33" s="2227">
        <v>0</v>
      </c>
      <c r="W33" s="2227">
        <v>0</v>
      </c>
      <c r="X33" s="1038"/>
      <c r="Y33" s="1"/>
      <c r="Z33" s="1025">
        <v>0</v>
      </c>
      <c r="AA33" s="2174">
        <v>0</v>
      </c>
      <c r="AB33" s="1025">
        <v>0</v>
      </c>
      <c r="AC33" s="1025">
        <v>0</v>
      </c>
      <c r="AD33" s="1025">
        <v>0</v>
      </c>
      <c r="AE33" s="1025">
        <v>0</v>
      </c>
      <c r="AF33" s="1025">
        <v>0</v>
      </c>
      <c r="AG33" s="1025">
        <v>0</v>
      </c>
      <c r="AH33" s="1025"/>
      <c r="AI33" s="1039"/>
      <c r="AJ33" s="1026">
        <f t="shared" si="4"/>
        <v>731.69488613999999</v>
      </c>
      <c r="AK33" s="1026">
        <f t="shared" si="5"/>
        <v>76321.071735720005</v>
      </c>
      <c r="AL33" s="1040">
        <f t="shared" si="0"/>
        <v>77052.766621860006</v>
      </c>
      <c r="AM33" s="1414"/>
      <c r="AN33" s="1414"/>
      <c r="AO33" s="1310"/>
      <c r="AP33" s="1310">
        <v>777</v>
      </c>
      <c r="AQ33" s="1934">
        <f t="shared" si="6"/>
        <v>777</v>
      </c>
      <c r="AR33" s="1729">
        <f t="shared" si="12"/>
        <v>0</v>
      </c>
      <c r="AS33" s="1729">
        <f t="shared" si="12"/>
        <v>777</v>
      </c>
      <c r="AT33" s="1007"/>
      <c r="AU33" s="2501">
        <f>SUMPRODUCT((IFERROR(VALUE(LEFT('Data Base CW TIS'!$E$2:$E$1000,2)),0)=B33)*('Data Base CW TIS'!$B$2:$B$1000="ROM TEMPORARY-ROM SB1 BK05")*('Data Base CW TIS'!$C$2:$C$1000="TIS-ROM TEMPORARY-ROM 6 (TIS)")*'Data Base CW TIS'!$N$2:$N$1000)</f>
        <v>0</v>
      </c>
      <c r="AV33" s="1414"/>
      <c r="AW33" s="987"/>
      <c r="AX33" s="310">
        <f t="shared" si="8"/>
        <v>0</v>
      </c>
      <c r="AY33" s="998"/>
      <c r="AZ33" s="2" cm="1">
        <f t="array" ref="AZ33">IFERROR(SUMPRODUCT((TIS.HCV.MS!$A$3:$A$92=DATE(2026,7,$B33))*(TIS.HCV.MS!$O$3:$O$92&gt;0)*TIS.HCV.MS!$C$3:$C$92*TIS.HCV.MS!$O$3:$O$92)/SUMPRODUCT((TIS.HCV.MS!$A$3:$A$92=DATE(2026,7,$B33))*(TIS.HCV.MS!$O$3:$O$92&gt;0)*TIS.HCV.MS!$C$3:$C$92),0)</f>
        <v>0</v>
      </c>
      <c r="BA33" s="2110" cm="1">
        <f t="array" ref="BA33">IFERROR(SUMPRODUCT((TIS.HCV.MS!$A$3:$A$92=DATE(2026,7,$B33))*(TIS.HCV.MS!$M$3:$M$92&gt;0)*TIS.HCV.MS!$C$3:$C$92*TIS.HCV.MS!$M$3:$M$92)/SUMPRODUCT((TIS.HCV.MS!$A$3:$A$92=DATE(2026,7,$B33))*(TIS.HCV.MS!$M$3:$M$92&gt;0)*TIS.HCV.MS!$C$3:$C$92),0)</f>
        <v>0</v>
      </c>
      <c r="BB33" s="2110" cm="1">
        <f t="array" ref="BB33">IFERROR(SUMPRODUCT((TIS.HCV.MS!$A$3:$A$92=DATE(2026,7,$B33))*(TIS.HCV.MS!$G$3:$G$92&gt;0)*TIS.HCV.MS!$C$3:$C$92*TIS.HCV.MS!$G$3:$G$92)/SUMPRODUCT((TIS.HCV.MS!$A$3:$A$92=DATE(2026,7,$B33))*(TIS.HCV.MS!$G$3:$G$92&gt;0)*TIS.HCV.MS!$C$3:$C$92),0)</f>
        <v>0</v>
      </c>
      <c r="BC33" s="2110" cm="1">
        <f t="array" ref="BC33">IFERROR(SUMPRODUCT((TIS.HCV.MS!$A$3:$A$92=DATE(2026,7,$B33))*(TIS.HCV.MS!$F$3:$F$92&gt;0)*TIS.HCV.MS!$C$3:$C$92*TIS.HCV.MS!$F$3:$F$92)/SUMPRODUCT((TIS.HCV.MS!$A$3:$A$92=DATE(2026,7,$B33))*(TIS.HCV.MS!$F$3:$F$92&gt;0)*TIS.HCV.MS!$C$3:$C$92),0)</f>
        <v>0</v>
      </c>
      <c r="BD33" s="2111" cm="1">
        <f t="array" ref="BD33">IFERROR(SUMPRODUCT((TIS.HCV.MS!$A$3:$A$92=DATE(2026,7,$B33))*(TIS.HCV.MS!$E$3:$E$92&gt;0)*TIS.HCV.MS!$C$3:$C$92*TIS.HCV.MS!$E$3:$E$92)/SUMPRODUCT((TIS.HCV.MS!$A$3:$A$92=DATE(2026,7,$B33))*(TIS.HCV.MS!$E$3:$E$92&gt;0)*TIS.HCV.MS!$C$3:$C$92),0)</f>
        <v>0</v>
      </c>
      <c r="BF33" s="987"/>
      <c r="BG33" s="987"/>
      <c r="BH33" s="987"/>
      <c r="BI33" s="987"/>
      <c r="BJ33" s="987"/>
      <c r="BK33" s="847"/>
      <c r="BL33" s="310"/>
      <c r="BM33" s="310"/>
      <c r="BN33" s="310">
        <v>1</v>
      </c>
      <c r="BO33" s="310"/>
      <c r="BP33" s="1041">
        <f>'July TCM'!LO31</f>
        <v>1.89</v>
      </c>
      <c r="BQ33" s="1042"/>
      <c r="BR33" s="1"/>
      <c r="BS33" s="1032">
        <f t="shared" si="9"/>
        <v>45517.216223959971</v>
      </c>
      <c r="BT33" s="1"/>
      <c r="BU33" s="1"/>
      <c r="BV33" s="1"/>
      <c r="BW33" s="1"/>
      <c r="BX33" s="1"/>
      <c r="BY33" s="1"/>
      <c r="BZ33" s="1"/>
      <c r="CA33" s="1"/>
      <c r="CB33" s="1"/>
      <c r="CC33" s="1"/>
      <c r="CD33" s="1"/>
      <c r="CE33" s="1"/>
      <c r="CF33" s="1"/>
      <c r="CG33" s="1"/>
      <c r="CH33" s="1"/>
      <c r="CI33" s="1"/>
      <c r="CJ33" s="1"/>
      <c r="CK33" s="1"/>
      <c r="CM33" s="1033">
        <v>22</v>
      </c>
      <c r="CN33" s="1">
        <f t="shared" si="10"/>
        <v>777</v>
      </c>
      <c r="CO33" s="1048"/>
      <c r="CP33" s="1048"/>
      <c r="CQ33" s="412">
        <v>22</v>
      </c>
      <c r="CR33" s="1">
        <f t="shared" si="11"/>
        <v>0</v>
      </c>
    </row>
    <row r="34" spans="2:97">
      <c r="B34" s="989">
        <v>23</v>
      </c>
      <c r="C34" s="5">
        <f t="shared" si="1"/>
        <v>34388</v>
      </c>
      <c r="D34" s="488">
        <f t="shared" si="2"/>
        <v>1344</v>
      </c>
      <c r="E34" s="15">
        <f t="shared" si="3"/>
        <v>0</v>
      </c>
      <c r="F34" s="363"/>
      <c r="G34" s="64"/>
      <c r="H34" s="1034">
        <v>7</v>
      </c>
      <c r="I34" s="1034">
        <v>5.03</v>
      </c>
      <c r="N34" s="993"/>
      <c r="O34" s="26">
        <v>34388</v>
      </c>
      <c r="P34" s="36"/>
      <c r="Q34" s="277">
        <v>0</v>
      </c>
      <c r="R34" s="1227">
        <v>0</v>
      </c>
      <c r="S34" s="27">
        <v>0</v>
      </c>
      <c r="T34" s="33"/>
      <c r="U34" s="2226">
        <v>0</v>
      </c>
      <c r="V34" s="2227">
        <v>0</v>
      </c>
      <c r="W34" s="2227">
        <v>0</v>
      </c>
      <c r="X34" s="1038"/>
      <c r="Y34" s="1"/>
      <c r="Z34" s="1025">
        <v>615.49</v>
      </c>
      <c r="AA34" s="2174">
        <v>9719.17</v>
      </c>
      <c r="AB34" s="1025">
        <v>10334.66</v>
      </c>
      <c r="AC34" s="1025">
        <v>0</v>
      </c>
      <c r="AD34" s="1025">
        <v>0</v>
      </c>
      <c r="AE34" s="1025">
        <v>5481.6</v>
      </c>
      <c r="AF34" s="1025">
        <v>4853.0599999999995</v>
      </c>
      <c r="AG34" s="1025">
        <v>10334.66</v>
      </c>
      <c r="AH34" s="1025"/>
      <c r="AI34" s="1039"/>
      <c r="AJ34" s="1026">
        <f t="shared" si="4"/>
        <v>116.20488613999999</v>
      </c>
      <c r="AK34" s="1026">
        <f t="shared" si="5"/>
        <v>66601.901735720006</v>
      </c>
      <c r="AL34" s="1040">
        <f t="shared" si="0"/>
        <v>66718.106621860003</v>
      </c>
      <c r="AM34" s="1414"/>
      <c r="AN34" s="1414"/>
      <c r="AO34" s="1310"/>
      <c r="AP34" s="1310">
        <v>1344</v>
      </c>
      <c r="AQ34" s="1934">
        <f t="shared" si="6"/>
        <v>1344</v>
      </c>
      <c r="AR34" s="1729">
        <f t="shared" si="12"/>
        <v>0</v>
      </c>
      <c r="AS34" s="1729">
        <f t="shared" si="12"/>
        <v>2121</v>
      </c>
      <c r="AT34" s="1007"/>
      <c r="AU34" s="2501">
        <f>SUMPRODUCT((IFERROR(VALUE(LEFT('Data Base CW TIS'!$E$2:$E$1000,2)),0)=B34)*('Data Base CW TIS'!$B$2:$B$1000="ROM TEMPORARY-ROM SB1 BK05")*('Data Base CW TIS'!$C$2:$C$1000="TIS-ROM TEMPORARY-ROM 6 (TIS)")*'Data Base CW TIS'!$N$2:$N$1000)</f>
        <v>0</v>
      </c>
      <c r="AV34" s="1414"/>
      <c r="AW34" s="987"/>
      <c r="AX34" s="310">
        <f t="shared" si="8"/>
        <v>10334.66</v>
      </c>
      <c r="AY34" s="998"/>
      <c r="AZ34" s="2" cm="1">
        <f t="array" ref="AZ34">IFERROR(SUMPRODUCT((TIS.HCV.MS!$A$3:$A$92=DATE(2026,7,$B34))*(TIS.HCV.MS!$O$3:$O$92&gt;0)*TIS.HCV.MS!$C$3:$C$92*TIS.HCV.MS!$O$3:$O$92)/SUMPRODUCT((TIS.HCV.MS!$A$3:$A$92=DATE(2026,7,$B34))*(TIS.HCV.MS!$O$3:$O$92&gt;0)*TIS.HCV.MS!$C$3:$C$92),0)</f>
        <v>0</v>
      </c>
      <c r="BA34" s="2110" cm="1">
        <f t="array" ref="BA34">IFERROR(SUMPRODUCT((TIS.HCV.MS!$A$3:$A$92=DATE(2026,7,$B34))*(TIS.HCV.MS!$M$3:$M$92&gt;0)*TIS.HCV.MS!$C$3:$C$92*TIS.HCV.MS!$M$3:$M$92)/SUMPRODUCT((TIS.HCV.MS!$A$3:$A$92=DATE(2026,7,$B34))*(TIS.HCV.MS!$M$3:$M$92&gt;0)*TIS.HCV.MS!$C$3:$C$92),0)</f>
        <v>0</v>
      </c>
      <c r="BB34" s="2110" cm="1">
        <f t="array" ref="BB34">IFERROR(SUMPRODUCT((TIS.HCV.MS!$A$3:$A$92=DATE(2026,7,$B34))*(TIS.HCV.MS!$G$3:$G$92&gt;0)*TIS.HCV.MS!$C$3:$C$92*TIS.HCV.MS!$G$3:$G$92)/SUMPRODUCT((TIS.HCV.MS!$A$3:$A$92=DATE(2026,7,$B34))*(TIS.HCV.MS!$G$3:$G$92&gt;0)*TIS.HCV.MS!$C$3:$C$92),0)</f>
        <v>0</v>
      </c>
      <c r="BC34" s="2110" cm="1">
        <f t="array" ref="BC34">IFERROR(SUMPRODUCT((TIS.HCV.MS!$A$3:$A$92=DATE(2026,7,$B34))*(TIS.HCV.MS!$F$3:$F$92&gt;0)*TIS.HCV.MS!$C$3:$C$92*TIS.HCV.MS!$F$3:$F$92)/SUMPRODUCT((TIS.HCV.MS!$A$3:$A$92=DATE(2026,7,$B34))*(TIS.HCV.MS!$F$3:$F$92&gt;0)*TIS.HCV.MS!$C$3:$C$92),0)</f>
        <v>0</v>
      </c>
      <c r="BD34" s="2111" cm="1">
        <f t="array" ref="BD34">IFERROR(SUMPRODUCT((TIS.HCV.MS!$A$3:$A$92=DATE(2026,7,$B34))*(TIS.HCV.MS!$E$3:$E$92&gt;0)*TIS.HCV.MS!$C$3:$C$92*TIS.HCV.MS!$E$3:$E$92)/SUMPRODUCT((TIS.HCV.MS!$A$3:$A$92=DATE(2026,7,$B34))*(TIS.HCV.MS!$E$3:$E$92&gt;0)*TIS.HCV.MS!$C$3:$C$92),0)</f>
        <v>0</v>
      </c>
      <c r="BF34" s="987"/>
      <c r="BG34" s="987"/>
      <c r="BH34" s="987"/>
      <c r="BI34" s="987"/>
      <c r="BJ34" s="987"/>
      <c r="BK34" s="847">
        <v>7502.24</v>
      </c>
      <c r="BL34" s="310">
        <v>1</v>
      </c>
      <c r="BM34" s="310"/>
      <c r="BN34" s="310"/>
      <c r="BO34" s="310"/>
      <c r="BP34" s="1041">
        <f>'July TCM'!LO32</f>
        <v>1.89</v>
      </c>
      <c r="BQ34" s="1042"/>
      <c r="BR34" s="1"/>
      <c r="BS34" s="1032">
        <f t="shared" si="9"/>
        <v>48349.636223959977</v>
      </c>
      <c r="BT34" s="1"/>
      <c r="BU34" s="1"/>
      <c r="BV34" s="1"/>
      <c r="BW34" s="1"/>
      <c r="BX34" s="1"/>
      <c r="BY34" s="1"/>
      <c r="BZ34" s="1"/>
      <c r="CA34" s="1"/>
      <c r="CB34" s="1"/>
      <c r="CC34" s="1"/>
      <c r="CD34" s="1"/>
      <c r="CE34" s="1"/>
      <c r="CF34" s="1"/>
      <c r="CG34" s="1"/>
      <c r="CH34" s="1"/>
      <c r="CI34" s="1"/>
      <c r="CJ34" s="1"/>
      <c r="CK34" s="1"/>
      <c r="CM34" s="1033">
        <v>23</v>
      </c>
      <c r="CN34" s="1">
        <f t="shared" si="10"/>
        <v>1344</v>
      </c>
      <c r="CQ34" s="412">
        <v>23</v>
      </c>
      <c r="CR34" s="1">
        <f t="shared" si="11"/>
        <v>10334.66</v>
      </c>
      <c r="CS34">
        <v>26072311281</v>
      </c>
    </row>
    <row r="35" spans="2:97">
      <c r="B35" s="989">
        <v>24</v>
      </c>
      <c r="C35" s="5">
        <f t="shared" si="1"/>
        <v>44746</v>
      </c>
      <c r="D35" s="488">
        <f>Q35+P35+AQ35</f>
        <v>1890</v>
      </c>
      <c r="E35" s="15">
        <f t="shared" si="3"/>
        <v>0</v>
      </c>
      <c r="F35" s="363"/>
      <c r="G35" s="64"/>
      <c r="H35" s="1034">
        <v>18</v>
      </c>
      <c r="I35" s="1034">
        <v>7.5</v>
      </c>
      <c r="N35" s="993"/>
      <c r="O35" s="26">
        <v>44746</v>
      </c>
      <c r="P35" s="36"/>
      <c r="Q35" s="277">
        <v>0</v>
      </c>
      <c r="R35" s="1227">
        <v>0</v>
      </c>
      <c r="S35" s="27">
        <v>0</v>
      </c>
      <c r="T35" s="33"/>
      <c r="U35" s="2226">
        <v>0</v>
      </c>
      <c r="V35" s="2227">
        <v>0</v>
      </c>
      <c r="W35" s="2227">
        <v>0</v>
      </c>
      <c r="X35" s="1038"/>
      <c r="Y35" s="1"/>
      <c r="Z35" s="1025">
        <v>0</v>
      </c>
      <c r="AA35" s="2174">
        <v>0</v>
      </c>
      <c r="AB35" s="1025">
        <v>0</v>
      </c>
      <c r="AC35" s="1025">
        <v>0</v>
      </c>
      <c r="AD35" s="1025">
        <v>0</v>
      </c>
      <c r="AE35" s="1025">
        <v>0</v>
      </c>
      <c r="AF35" s="1025">
        <v>0</v>
      </c>
      <c r="AG35" s="1025">
        <v>0</v>
      </c>
      <c r="AH35" s="1025"/>
      <c r="AI35" s="1039"/>
      <c r="AJ35" s="1026">
        <f t="shared" si="4"/>
        <v>116.20488613999999</v>
      </c>
      <c r="AK35" s="1026">
        <f t="shared" si="5"/>
        <v>66601.901735720006</v>
      </c>
      <c r="AL35" s="1040">
        <f t="shared" si="0"/>
        <v>66718.106621860003</v>
      </c>
      <c r="AM35" s="1414"/>
      <c r="AN35" s="1414"/>
      <c r="AO35" s="1310"/>
      <c r="AP35" s="1310">
        <v>1890</v>
      </c>
      <c r="AQ35" s="1934">
        <f t="shared" si="6"/>
        <v>1890</v>
      </c>
      <c r="AR35" s="1729">
        <f t="shared" si="12"/>
        <v>0</v>
      </c>
      <c r="AS35" s="1729">
        <f t="shared" si="12"/>
        <v>4011</v>
      </c>
      <c r="AT35" s="1007"/>
      <c r="AU35" s="2501">
        <f>SUMPRODUCT((IFERROR(VALUE(LEFT('Data Base CW TIS'!$E$2:$E$1000,2)),0)=B35)*('Data Base CW TIS'!$B$2:$B$1000="ROM TEMPORARY-ROM SB1 BK05")*('Data Base CW TIS'!$C$2:$C$1000="TIS-ROM TEMPORARY-ROM 6 (TIS)")*'Data Base CW TIS'!$N$2:$N$1000)</f>
        <v>0</v>
      </c>
      <c r="AV35" s="1414"/>
      <c r="AW35" s="987"/>
      <c r="AX35" s="310">
        <f t="shared" si="8"/>
        <v>0</v>
      </c>
      <c r="AY35" s="998"/>
      <c r="AZ35" s="2" cm="1">
        <f t="array" ref="AZ35">IFERROR(SUMPRODUCT((TIS.HCV.MS!$A$3:$A$92=DATE(2026,7,$B37))*(TIS.HCV.MS!$O$3:$O$92&gt;0)*TIS.HCV.MS!$C$3:$C$92*TIS.HCV.MS!$O$3:$O$92)/SUMPRODUCT((TIS.HCV.MS!$A$3:$A$92=DATE(2026,7,$B37))*(TIS.HCV.MS!$O$3:$O$92&gt;0)*TIS.HCV.MS!$C$3:$C$92),0)</f>
        <v>0</v>
      </c>
      <c r="BA35" s="2110" cm="1">
        <f t="array" ref="BA35">IFERROR(SUMPRODUCT((TIS.HCV.MS!$A$3:$A$92=DATE(2026,7,$B37))*(TIS.HCV.MS!$M$3:$M$92&gt;0)*TIS.HCV.MS!$C$3:$C$92*TIS.HCV.MS!$M$3:$M$92)/SUMPRODUCT((TIS.HCV.MS!$A$3:$A$92=DATE(2026,7,$B37))*(TIS.HCV.MS!$M$3:$M$92&gt;0)*TIS.HCV.MS!$C$3:$C$92),0)</f>
        <v>0</v>
      </c>
      <c r="BB35" s="2110" cm="1">
        <f t="array" ref="BB35">IFERROR(SUMPRODUCT((TIS.HCV.MS!$A$3:$A$92=DATE(2026,7,$B37))*(TIS.HCV.MS!$G$3:$G$92&gt;0)*TIS.HCV.MS!$C$3:$C$92*TIS.HCV.MS!$G$3:$G$92)/SUMPRODUCT((TIS.HCV.MS!$A$3:$A$92=DATE(2026,7,$B37))*(TIS.HCV.MS!$G$3:$G$92&gt;0)*TIS.HCV.MS!$C$3:$C$92),0)</f>
        <v>0</v>
      </c>
      <c r="BC35" s="2110" cm="1">
        <f t="array" ref="BC35">IFERROR(SUMPRODUCT((TIS.HCV.MS!$A$3:$A$92=DATE(2026,7,$B37))*(TIS.HCV.MS!$F$3:$F$92&gt;0)*TIS.HCV.MS!$C$3:$C$92*TIS.HCV.MS!$F$3:$F$92)/SUMPRODUCT((TIS.HCV.MS!$A$3:$A$92=DATE(2026,7,$B37))*(TIS.HCV.MS!$F$3:$F$92&gt;0)*TIS.HCV.MS!$C$3:$C$92),0)</f>
        <v>0</v>
      </c>
      <c r="BD35" s="2111" cm="1">
        <f t="array" ref="BD35">IFERROR(SUMPRODUCT((TIS.HCV.MS!$A$3:$A$92=DATE(2026,7,$B37))*(TIS.HCV.MS!$E$3:$E$92&gt;0)*TIS.HCV.MS!$C$3:$C$92*TIS.HCV.MS!$E$3:$E$92)/SUMPRODUCT((TIS.HCV.MS!$A$3:$A$92=DATE(2026,7,$B37))*(TIS.HCV.MS!$E$3:$E$92&gt;0)*TIS.HCV.MS!$C$3:$C$92),0)</f>
        <v>0</v>
      </c>
      <c r="BF35" s="987"/>
      <c r="BG35" s="987"/>
      <c r="BH35" s="987"/>
      <c r="BI35" s="987"/>
      <c r="BJ35" s="987"/>
      <c r="BK35" s="310"/>
      <c r="BL35" s="310"/>
      <c r="BM35" s="310"/>
      <c r="BN35" s="310">
        <v>1</v>
      </c>
      <c r="BO35" s="310"/>
      <c r="BP35" s="1041">
        <f>'July TCM'!LO33</f>
        <v>1.89</v>
      </c>
      <c r="BQ35" s="1042"/>
      <c r="BR35" s="1"/>
      <c r="BS35" s="1032">
        <f t="shared" si="9"/>
        <v>48349.636223959977</v>
      </c>
      <c r="BT35" s="1"/>
      <c r="BU35" s="1"/>
      <c r="BV35" s="1"/>
      <c r="BW35" s="1"/>
      <c r="BX35" s="1"/>
      <c r="BY35" s="1"/>
      <c r="BZ35" s="1"/>
      <c r="CA35" s="1"/>
      <c r="CB35" s="1"/>
      <c r="CC35" s="1"/>
      <c r="CD35" s="1"/>
      <c r="CE35" s="1"/>
      <c r="CF35" s="1"/>
      <c r="CG35" s="1"/>
      <c r="CH35" s="1"/>
      <c r="CI35" s="1"/>
      <c r="CJ35" s="1"/>
      <c r="CK35" s="1"/>
      <c r="CM35" s="1033">
        <v>24</v>
      </c>
      <c r="CN35" s="1">
        <f t="shared" si="10"/>
        <v>1890</v>
      </c>
      <c r="CO35" s="1050"/>
      <c r="CP35" s="1048"/>
      <c r="CQ35" s="412">
        <v>24</v>
      </c>
      <c r="CR35" s="1">
        <f t="shared" si="11"/>
        <v>0</v>
      </c>
    </row>
    <row r="36" spans="2:97">
      <c r="B36" s="989">
        <v>25</v>
      </c>
      <c r="C36" s="5">
        <f t="shared" si="1"/>
        <v>29805</v>
      </c>
      <c r="D36" s="488">
        <f t="shared" si="2"/>
        <v>945</v>
      </c>
      <c r="E36" s="1051">
        <f t="shared" si="3"/>
        <v>0</v>
      </c>
      <c r="F36" s="363"/>
      <c r="G36" s="64"/>
      <c r="H36" s="1034"/>
      <c r="I36" s="1034"/>
      <c r="N36" s="993"/>
      <c r="O36" s="26">
        <v>29805</v>
      </c>
      <c r="P36" s="36"/>
      <c r="Q36" s="277">
        <v>0</v>
      </c>
      <c r="R36" s="1227">
        <v>0</v>
      </c>
      <c r="S36" s="53">
        <v>0</v>
      </c>
      <c r="T36" s="33"/>
      <c r="U36" s="2226">
        <v>0</v>
      </c>
      <c r="V36" s="2227">
        <v>0</v>
      </c>
      <c r="W36" s="2227">
        <v>0</v>
      </c>
      <c r="X36" s="1038"/>
      <c r="Y36" s="1"/>
      <c r="Z36" s="1025">
        <v>0</v>
      </c>
      <c r="AA36" s="2174">
        <v>0</v>
      </c>
      <c r="AB36" s="1025">
        <v>0</v>
      </c>
      <c r="AC36" s="1025">
        <v>0</v>
      </c>
      <c r="AD36" s="1025">
        <v>0</v>
      </c>
      <c r="AE36" s="1025">
        <v>0</v>
      </c>
      <c r="AF36" s="1025">
        <v>0</v>
      </c>
      <c r="AG36" s="1025">
        <v>0</v>
      </c>
      <c r="AH36" s="1025"/>
      <c r="AI36" s="1039"/>
      <c r="AJ36" s="1026">
        <f t="shared" si="4"/>
        <v>116.20488613999999</v>
      </c>
      <c r="AK36" s="1026">
        <f t="shared" si="5"/>
        <v>66601.901735720006</v>
      </c>
      <c r="AL36" s="1040">
        <f t="shared" si="0"/>
        <v>66718.106621860003</v>
      </c>
      <c r="AM36" s="1414"/>
      <c r="AN36" s="1414"/>
      <c r="AO36" s="1310"/>
      <c r="AP36" s="1310">
        <v>945</v>
      </c>
      <c r="AQ36" s="1934">
        <f t="shared" si="6"/>
        <v>945</v>
      </c>
      <c r="AR36" s="1729">
        <f t="shared" si="12"/>
        <v>0</v>
      </c>
      <c r="AS36" s="1729">
        <f t="shared" si="12"/>
        <v>4956</v>
      </c>
      <c r="AT36" s="1007"/>
      <c r="AU36" s="2501">
        <f>SUMPRODUCT((IFERROR(VALUE(LEFT('Data Base CW TIS'!$E$2:$E$1000,2)),0)=B36)*('Data Base CW TIS'!$B$2:$B$1000="ROM TEMPORARY-ROM SB1 BK05")*('Data Base CW TIS'!$C$2:$C$1000="TIS-ROM TEMPORARY-ROM 6 (TIS)")*'Data Base CW TIS'!$N$2:$N$1000)</f>
        <v>0</v>
      </c>
      <c r="AV36" s="1414"/>
      <c r="AW36" s="987"/>
      <c r="AX36" s="310">
        <f t="shared" si="8"/>
        <v>0</v>
      </c>
      <c r="AY36" s="998"/>
      <c r="AZ36" s="2" cm="1">
        <f t="array" ref="AZ36">IFERROR(SUMPRODUCT((TIS.HCV.MS!$A$3:$A$92=DATE(2026,7,$B37))*(TIS.HCV.MS!$O$3:$O$92&gt;0)*TIS.HCV.MS!$C$3:$C$92*TIS.HCV.MS!$O$3:$O$92)/SUMPRODUCT((TIS.HCV.MS!$A$3:$A$92=DATE(2026,7,$B37))*(TIS.HCV.MS!$O$3:$O$92&gt;0)*TIS.HCV.MS!$C$3:$C$92),0)</f>
        <v>0</v>
      </c>
      <c r="BA36" s="2110" cm="1">
        <f t="array" ref="BA36">IFERROR(SUMPRODUCT((TIS.HCV.MS!$A$3:$A$92=DATE(2026,7,$B37))*(TIS.HCV.MS!$M$3:$M$92&gt;0)*TIS.HCV.MS!$C$3:$C$92*TIS.HCV.MS!$M$3:$M$92)/SUMPRODUCT((TIS.HCV.MS!$A$3:$A$92=DATE(2026,7,$B37))*(TIS.HCV.MS!$M$3:$M$92&gt;0)*TIS.HCV.MS!$C$3:$C$92),0)</f>
        <v>0</v>
      </c>
      <c r="BB36" s="2110" cm="1">
        <f t="array" ref="BB36">IFERROR(SUMPRODUCT((TIS.HCV.MS!$A$3:$A$92=DATE(2026,7,$B37))*(TIS.HCV.MS!$G$3:$G$92&gt;0)*TIS.HCV.MS!$C$3:$C$92*TIS.HCV.MS!$G$3:$G$92)/SUMPRODUCT((TIS.HCV.MS!$A$3:$A$92=DATE(2026,7,$B37))*(TIS.HCV.MS!$G$3:$G$92&gt;0)*TIS.HCV.MS!$C$3:$C$92),0)</f>
        <v>0</v>
      </c>
      <c r="BC36" s="2110" cm="1">
        <f t="array" ref="BC36">IFERROR(SUMPRODUCT((TIS.HCV.MS!$A$3:$A$92=DATE(2026,7,$B37))*(TIS.HCV.MS!$F$3:$F$92&gt;0)*TIS.HCV.MS!$C$3:$C$92*TIS.HCV.MS!$F$3:$F$92)/SUMPRODUCT((TIS.HCV.MS!$A$3:$A$92=DATE(2026,7,$B37))*(TIS.HCV.MS!$F$3:$F$92&gt;0)*TIS.HCV.MS!$C$3:$C$92),0)</f>
        <v>0</v>
      </c>
      <c r="BD36" s="2111" cm="1">
        <f t="array" ref="BD36">IFERROR(SUMPRODUCT((TIS.HCV.MS!$A$3:$A$92=DATE(2026,7,$B37))*(TIS.HCV.MS!$E$3:$E$92&gt;0)*TIS.HCV.MS!$C$3:$C$92*TIS.HCV.MS!$E$3:$E$92)/SUMPRODUCT((TIS.HCV.MS!$A$3:$A$92=DATE(2026,7,$B37))*(TIS.HCV.MS!$E$3:$E$92&gt;0)*TIS.HCV.MS!$C$3:$C$92),0)</f>
        <v>0</v>
      </c>
      <c r="BF36" s="987"/>
      <c r="BG36" s="987"/>
      <c r="BH36" s="987"/>
      <c r="BI36" s="987"/>
      <c r="BJ36" s="987"/>
      <c r="BK36" s="310">
        <v>15114.36</v>
      </c>
      <c r="BL36" s="310">
        <v>2</v>
      </c>
      <c r="BM36" s="310"/>
      <c r="BN36" s="310">
        <v>2</v>
      </c>
      <c r="BO36" s="310"/>
      <c r="BP36" s="1041">
        <f>'July TCM'!LO34</f>
        <v>1.75</v>
      </c>
      <c r="BQ36" s="1042"/>
      <c r="BR36" s="1"/>
      <c r="BS36" s="1032">
        <f t="shared" si="9"/>
        <v>33235.276223959976</v>
      </c>
      <c r="BT36" s="1"/>
      <c r="BU36" s="1"/>
      <c r="BV36" s="1"/>
      <c r="BW36" s="1"/>
      <c r="BX36" s="1"/>
      <c r="BY36" s="1"/>
      <c r="BZ36" s="1"/>
      <c r="CA36" s="1"/>
      <c r="CB36" s="1"/>
      <c r="CC36" s="1"/>
      <c r="CD36" s="1"/>
      <c r="CE36" s="1"/>
      <c r="CF36" s="1"/>
      <c r="CG36" s="1"/>
      <c r="CH36" s="1"/>
      <c r="CI36" s="1"/>
      <c r="CJ36" s="1"/>
      <c r="CK36" s="1"/>
      <c r="CM36" s="1033">
        <v>25</v>
      </c>
      <c r="CN36" s="1">
        <f t="shared" si="10"/>
        <v>945</v>
      </c>
      <c r="CQ36" s="412">
        <v>25</v>
      </c>
      <c r="CR36" s="1">
        <f t="shared" si="11"/>
        <v>0</v>
      </c>
    </row>
    <row r="37" spans="2:97">
      <c r="B37" s="989">
        <v>26</v>
      </c>
      <c r="C37" s="5">
        <f t="shared" si="1"/>
        <v>43130</v>
      </c>
      <c r="D37" s="488">
        <f t="shared" si="2"/>
        <v>1323</v>
      </c>
      <c r="E37" s="1051">
        <f t="shared" si="3"/>
        <v>0</v>
      </c>
      <c r="F37" s="363"/>
      <c r="G37" s="64"/>
      <c r="H37" s="1034"/>
      <c r="I37" s="1034"/>
      <c r="N37" s="993"/>
      <c r="O37" s="26">
        <v>43130</v>
      </c>
      <c r="P37" s="36"/>
      <c r="Q37" s="277">
        <v>0</v>
      </c>
      <c r="R37" s="1227">
        <v>0</v>
      </c>
      <c r="S37" s="53">
        <v>0</v>
      </c>
      <c r="T37" s="33"/>
      <c r="U37" s="2226">
        <v>0</v>
      </c>
      <c r="V37" s="2227">
        <v>0</v>
      </c>
      <c r="W37" s="2227">
        <v>0</v>
      </c>
      <c r="X37" s="1038"/>
      <c r="Y37" s="1"/>
      <c r="Z37" s="1025">
        <v>0</v>
      </c>
      <c r="AA37" s="2174">
        <v>0</v>
      </c>
      <c r="AB37" s="1025">
        <v>0</v>
      </c>
      <c r="AC37" s="1025">
        <v>0</v>
      </c>
      <c r="AD37" s="1025">
        <v>0</v>
      </c>
      <c r="AE37" s="1025">
        <v>0</v>
      </c>
      <c r="AF37" s="1025">
        <v>0</v>
      </c>
      <c r="AG37" s="1025">
        <v>0</v>
      </c>
      <c r="AH37" s="1025"/>
      <c r="AI37" s="1039"/>
      <c r="AJ37" s="1026">
        <f t="shared" si="4"/>
        <v>116.20488613999999</v>
      </c>
      <c r="AK37" s="1026">
        <f t="shared" si="5"/>
        <v>66601.901735720006</v>
      </c>
      <c r="AL37" s="1040">
        <f t="shared" si="0"/>
        <v>66718.106621860003</v>
      </c>
      <c r="AM37" s="1414"/>
      <c r="AN37" s="1414"/>
      <c r="AO37" s="1310"/>
      <c r="AP37" s="1310">
        <v>1323</v>
      </c>
      <c r="AQ37" s="1934">
        <f t="shared" si="6"/>
        <v>1323</v>
      </c>
      <c r="AR37" s="1729">
        <f t="shared" si="12"/>
        <v>0</v>
      </c>
      <c r="AS37" s="1729">
        <f t="shared" si="12"/>
        <v>6279</v>
      </c>
      <c r="AT37" s="1007"/>
      <c r="AU37" s="2501">
        <f>SUMPRODUCT((IFERROR(VALUE(LEFT('Data Base CW TIS'!$E$2:$E$1000,2)),0)=B37)*('Data Base CW TIS'!$B$2:$B$1000="ROM TEMPORARY-ROM SB1 BK05")*('Data Base CW TIS'!$C$2:$C$1000="TIS-ROM TEMPORARY-ROM 6 (TIS)")*'Data Base CW TIS'!$N$2:$N$1000)</f>
        <v>0</v>
      </c>
      <c r="AV37" s="1414"/>
      <c r="AW37" s="987"/>
      <c r="AX37" s="310">
        <f t="shared" si="8"/>
        <v>0</v>
      </c>
      <c r="AY37" s="998"/>
      <c r="AZ37" s="2" cm="1">
        <f t="array" ref="AZ37">IFERROR(SUMPRODUCT((TIS.HCV.MS!$A$3:$A$92=DATE(2026,7,$B37))*(TIS.HCV.MS!$O$3:$O$92&gt;0)*TIS.HCV.MS!$C$3:$C$92*TIS.HCV.MS!$O$3:$O$92)/SUMPRODUCT((TIS.HCV.MS!$A$3:$A$92=DATE(2026,7,$B37))*(TIS.HCV.MS!$O$3:$O$92&gt;0)*TIS.HCV.MS!$C$3:$C$92),0)</f>
        <v>0</v>
      </c>
      <c r="BA37" s="2110" cm="1">
        <f t="array" ref="BA37">IFERROR(SUMPRODUCT((TIS.HCV.MS!$A$3:$A$92=DATE(2026,7,$B37))*(TIS.HCV.MS!$M$3:$M$92&gt;0)*TIS.HCV.MS!$C$3:$C$92*TIS.HCV.MS!$M$3:$M$92)/SUMPRODUCT((TIS.HCV.MS!$A$3:$A$92=DATE(2026,7,$B37))*(TIS.HCV.MS!$M$3:$M$92&gt;0)*TIS.HCV.MS!$C$3:$C$92),0)</f>
        <v>0</v>
      </c>
      <c r="BB37" s="2110" cm="1">
        <f t="array" ref="BB37">IFERROR(SUMPRODUCT((TIS.HCV.MS!$A$3:$A$92=DATE(2026,7,$B37))*(TIS.HCV.MS!$G$3:$G$92&gt;0)*TIS.HCV.MS!$C$3:$C$92*TIS.HCV.MS!$G$3:$G$92)/SUMPRODUCT((TIS.HCV.MS!$A$3:$A$92=DATE(2026,7,$B37))*(TIS.HCV.MS!$G$3:$G$92&gt;0)*TIS.HCV.MS!$C$3:$C$92),0)</f>
        <v>0</v>
      </c>
      <c r="BC37" s="2110" cm="1">
        <f t="array" ref="BC37">IFERROR(SUMPRODUCT((TIS.HCV.MS!$A$3:$A$92=DATE(2026,7,$B37))*(TIS.HCV.MS!$F$3:$F$92&gt;0)*TIS.HCV.MS!$C$3:$C$92*TIS.HCV.MS!$F$3:$F$92)/SUMPRODUCT((TIS.HCV.MS!$A$3:$A$92=DATE(2026,7,$B37))*(TIS.HCV.MS!$F$3:$F$92&gt;0)*TIS.HCV.MS!$C$3:$C$92),0)</f>
        <v>0</v>
      </c>
      <c r="BD37" s="2111" cm="1">
        <f t="array" ref="BD37">IFERROR(SUMPRODUCT((TIS.HCV.MS!$A$3:$A$92=DATE(2026,7,$B37))*(TIS.HCV.MS!$E$3:$E$92&gt;0)*TIS.HCV.MS!$C$3:$C$92*TIS.HCV.MS!$E$3:$E$92)/SUMPRODUCT((TIS.HCV.MS!$A$3:$A$92=DATE(2026,7,$B37))*(TIS.HCV.MS!$E$3:$E$92&gt;0)*TIS.HCV.MS!$C$3:$C$92),0)</f>
        <v>0</v>
      </c>
      <c r="BF37" s="987"/>
      <c r="BG37" s="987"/>
      <c r="BH37" s="987"/>
      <c r="BI37" s="987"/>
      <c r="BJ37" s="987"/>
      <c r="BK37" s="310"/>
      <c r="BL37" s="310"/>
      <c r="BM37" s="310"/>
      <c r="BN37" s="310">
        <v>3</v>
      </c>
      <c r="BO37" s="310"/>
      <c r="BP37" s="1041">
        <f>'July TCM'!LO35</f>
        <v>1.75</v>
      </c>
      <c r="BQ37" s="1052"/>
      <c r="BR37" s="857"/>
      <c r="BS37" s="1032">
        <f t="shared" si="9"/>
        <v>33235.276223959976</v>
      </c>
      <c r="BT37" s="857"/>
      <c r="BU37" s="857"/>
      <c r="BV37" s="857"/>
      <c r="BW37" s="857"/>
      <c r="BX37" s="857"/>
      <c r="BY37" s="857"/>
      <c r="BZ37" s="857"/>
      <c r="CA37" s="857"/>
      <c r="CB37" s="857"/>
      <c r="CC37" s="857"/>
      <c r="CD37" s="857"/>
      <c r="CE37" s="857"/>
      <c r="CF37" s="857"/>
      <c r="CG37" s="857"/>
      <c r="CH37" s="857"/>
      <c r="CI37" s="857"/>
      <c r="CJ37" s="857"/>
      <c r="CK37" s="857"/>
      <c r="CM37" s="1033">
        <v>26</v>
      </c>
      <c r="CN37" s="1">
        <f t="shared" si="10"/>
        <v>1323</v>
      </c>
      <c r="CO37" s="1048"/>
      <c r="CP37" s="1048"/>
      <c r="CQ37" s="412">
        <v>26</v>
      </c>
      <c r="CR37" s="1">
        <f t="shared" si="11"/>
        <v>0</v>
      </c>
    </row>
    <row r="38" spans="2:97">
      <c r="B38" s="989">
        <v>27</v>
      </c>
      <c r="C38" s="5">
        <f t="shared" si="1"/>
        <v>37840</v>
      </c>
      <c r="D38" s="488">
        <f t="shared" si="2"/>
        <v>1890</v>
      </c>
      <c r="E38" s="1051">
        <f t="shared" si="3"/>
        <v>0</v>
      </c>
      <c r="F38" s="363"/>
      <c r="G38" s="64"/>
      <c r="H38" s="1034"/>
      <c r="I38" s="1034"/>
      <c r="N38" s="993"/>
      <c r="O38" s="26">
        <v>37840</v>
      </c>
      <c r="P38" s="36"/>
      <c r="Q38" s="277">
        <v>0</v>
      </c>
      <c r="R38" s="1227">
        <v>0</v>
      </c>
      <c r="S38" s="53">
        <v>0</v>
      </c>
      <c r="T38" s="33"/>
      <c r="U38" s="2226">
        <v>0</v>
      </c>
      <c r="V38" s="2227">
        <v>0</v>
      </c>
      <c r="W38" s="2227">
        <v>0</v>
      </c>
      <c r="X38" s="1038"/>
      <c r="Y38" s="1"/>
      <c r="Z38" s="1025">
        <v>0</v>
      </c>
      <c r="AA38" s="2174">
        <v>0</v>
      </c>
      <c r="AB38" s="1025">
        <v>0</v>
      </c>
      <c r="AC38" s="1025">
        <v>0</v>
      </c>
      <c r="AD38" s="1025">
        <v>0</v>
      </c>
      <c r="AE38" s="1025">
        <v>0</v>
      </c>
      <c r="AF38" s="1025">
        <v>0</v>
      </c>
      <c r="AG38" s="1025">
        <v>0</v>
      </c>
      <c r="AH38" s="1025"/>
      <c r="AI38" s="1039"/>
      <c r="AJ38" s="1026">
        <f t="shared" si="4"/>
        <v>116.20488613999999</v>
      </c>
      <c r="AK38" s="1026">
        <f t="shared" si="5"/>
        <v>66601.901735720006</v>
      </c>
      <c r="AL38" s="1040">
        <f t="shared" si="0"/>
        <v>66718.106621860003</v>
      </c>
      <c r="AM38" s="1414"/>
      <c r="AN38" s="1414"/>
      <c r="AO38" s="1310"/>
      <c r="AP38" s="1310">
        <v>1890</v>
      </c>
      <c r="AQ38" s="1934">
        <f t="shared" si="6"/>
        <v>1890</v>
      </c>
      <c r="AR38" s="1729">
        <f t="shared" si="12"/>
        <v>0</v>
      </c>
      <c r="AS38" s="1729">
        <f t="shared" si="12"/>
        <v>8169</v>
      </c>
      <c r="AT38" s="1007"/>
      <c r="AU38" s="2501">
        <f>SUMPRODUCT((IFERROR(VALUE(LEFT('Data Base CW TIS'!$E$2:$E$1000,2)),0)=B38)*('Data Base CW TIS'!$B$2:$B$1000="ROM TEMPORARY-ROM SB1 BK05")*('Data Base CW TIS'!$C$2:$C$1000="TIS-ROM TEMPORARY-ROM 6 (TIS)")*'Data Base CW TIS'!$N$2:$N$1000)</f>
        <v>0</v>
      </c>
      <c r="AV38" s="1414"/>
      <c r="AW38" s="987"/>
      <c r="AX38" s="310">
        <f t="shared" si="8"/>
        <v>0</v>
      </c>
      <c r="AY38" s="998"/>
      <c r="AZ38" s="2" cm="1">
        <f t="array" ref="AZ38">IFERROR(SUMPRODUCT((TIS.HCV.MS!$A$3:$A$92=DATE(2026,7,$B38))*(TIS.HCV.MS!$O$3:$O$92&gt;0)*TIS.HCV.MS!$C$3:$C$92*TIS.HCV.MS!$O$3:$O$92)/SUMPRODUCT((TIS.HCV.MS!$A$3:$A$92=DATE(2026,7,$B38))*(TIS.HCV.MS!$O$3:$O$92&gt;0)*TIS.HCV.MS!$C$3:$C$92),0)</f>
        <v>0</v>
      </c>
      <c r="BA38" s="2110" cm="1">
        <f t="array" ref="BA38">IFERROR(SUMPRODUCT((TIS.HCV.MS!$A$3:$A$92=DATE(2026,7,$B38))*(TIS.HCV.MS!$M$3:$M$92&gt;0)*TIS.HCV.MS!$C$3:$C$92*TIS.HCV.MS!$M$3:$M$92)/SUMPRODUCT((TIS.HCV.MS!$A$3:$A$92=DATE(2026,7,$B38))*(TIS.HCV.MS!$M$3:$M$92&gt;0)*TIS.HCV.MS!$C$3:$C$92),0)</f>
        <v>0</v>
      </c>
      <c r="BB38" s="2110" cm="1">
        <f t="array" ref="BB38">IFERROR(SUMPRODUCT((TIS.HCV.MS!$A$3:$A$92=DATE(2026,7,$B38))*(TIS.HCV.MS!$G$3:$G$92&gt;0)*TIS.HCV.MS!$C$3:$C$92*TIS.HCV.MS!$G$3:$G$92)/SUMPRODUCT((TIS.HCV.MS!$A$3:$A$92=DATE(2026,7,$B38))*(TIS.HCV.MS!$G$3:$G$92&gt;0)*TIS.HCV.MS!$C$3:$C$92),0)</f>
        <v>0</v>
      </c>
      <c r="BC38" s="2110" cm="1">
        <f t="array" ref="BC38">IFERROR(SUMPRODUCT((TIS.HCV.MS!$A$3:$A$92=DATE(2026,7,$B38))*(TIS.HCV.MS!$F$3:$F$92&gt;0)*TIS.HCV.MS!$C$3:$C$92*TIS.HCV.MS!$F$3:$F$92)/SUMPRODUCT((TIS.HCV.MS!$A$3:$A$92=DATE(2026,7,$B38))*(TIS.HCV.MS!$F$3:$F$92&gt;0)*TIS.HCV.MS!$C$3:$C$92),0)</f>
        <v>0</v>
      </c>
      <c r="BD38" s="2111" cm="1">
        <f t="array" ref="BD38">IFERROR(SUMPRODUCT((TIS.HCV.MS!$A$3:$A$92=DATE(2026,7,$B38))*(TIS.HCV.MS!$E$3:$E$92&gt;0)*TIS.HCV.MS!$C$3:$C$92*TIS.HCV.MS!$E$3:$E$92)/SUMPRODUCT((TIS.HCV.MS!$A$3:$A$92=DATE(2026,7,$B38))*(TIS.HCV.MS!$E$3:$E$92&gt;0)*TIS.HCV.MS!$C$3:$C$92),0)</f>
        <v>0</v>
      </c>
      <c r="BF38" s="987"/>
      <c r="BG38" s="987"/>
      <c r="BH38" s="987"/>
      <c r="BI38" s="987"/>
      <c r="BJ38" s="987"/>
      <c r="BK38" s="310">
        <v>15040.119999999999</v>
      </c>
      <c r="BL38" s="310">
        <v>2</v>
      </c>
      <c r="BM38" s="310"/>
      <c r="BN38" s="310">
        <v>1</v>
      </c>
      <c r="BO38" s="310"/>
      <c r="BP38" s="1041">
        <f>'July TCM'!LO36</f>
        <v>1.89</v>
      </c>
      <c r="BQ38" s="1053"/>
      <c r="BR38" s="857"/>
      <c r="BS38" s="1032">
        <f t="shared" si="9"/>
        <v>18195.156223959977</v>
      </c>
      <c r="BT38" s="857"/>
      <c r="BU38" s="857"/>
      <c r="BV38" s="857"/>
      <c r="BW38" s="857"/>
      <c r="BX38" s="857"/>
      <c r="BY38" s="857"/>
      <c r="BZ38" s="857"/>
      <c r="CA38" s="857"/>
      <c r="CB38" s="857"/>
      <c r="CC38" s="857"/>
      <c r="CD38" s="857"/>
      <c r="CE38" s="857"/>
      <c r="CF38" s="857"/>
      <c r="CG38" s="857"/>
      <c r="CH38" s="857"/>
      <c r="CI38" s="857"/>
      <c r="CJ38" s="857"/>
      <c r="CK38" s="857"/>
      <c r="CM38" s="1033">
        <v>27</v>
      </c>
      <c r="CN38" s="1">
        <f t="shared" si="10"/>
        <v>1890</v>
      </c>
      <c r="CO38" s="1048"/>
      <c r="CP38" s="1048"/>
      <c r="CQ38" s="412">
        <v>27</v>
      </c>
      <c r="CR38" s="1">
        <f t="shared" si="11"/>
        <v>0</v>
      </c>
    </row>
    <row r="39" spans="2:97">
      <c r="B39" s="989">
        <v>28</v>
      </c>
      <c r="C39" s="5">
        <f t="shared" si="1"/>
        <v>33853</v>
      </c>
      <c r="D39" s="488">
        <f t="shared" si="2"/>
        <v>1617</v>
      </c>
      <c r="E39" s="1051">
        <f t="shared" si="3"/>
        <v>0</v>
      </c>
      <c r="F39" s="363"/>
      <c r="G39" s="64"/>
      <c r="H39" s="1034"/>
      <c r="I39" s="1034"/>
      <c r="N39" s="993"/>
      <c r="O39" s="26">
        <v>33853</v>
      </c>
      <c r="P39" s="36"/>
      <c r="Q39" s="277">
        <v>0</v>
      </c>
      <c r="R39" s="1227">
        <v>0</v>
      </c>
      <c r="S39" s="53">
        <v>0</v>
      </c>
      <c r="T39" s="33"/>
      <c r="U39" s="2226">
        <v>0</v>
      </c>
      <c r="V39" s="2419">
        <v>0</v>
      </c>
      <c r="W39" s="2419">
        <v>0</v>
      </c>
      <c r="X39" s="1038"/>
      <c r="Y39" s="1"/>
      <c r="Z39" s="1025">
        <v>0</v>
      </c>
      <c r="AA39" s="2174">
        <v>0</v>
      </c>
      <c r="AB39" s="1025">
        <v>0</v>
      </c>
      <c r="AC39" s="1025">
        <v>0</v>
      </c>
      <c r="AD39" s="1025">
        <v>0</v>
      </c>
      <c r="AE39" s="1025">
        <v>0</v>
      </c>
      <c r="AF39" s="1025">
        <v>0</v>
      </c>
      <c r="AG39" s="1025">
        <v>0</v>
      </c>
      <c r="AH39" s="1025"/>
      <c r="AI39" s="1039"/>
      <c r="AJ39" s="1026">
        <f t="shared" si="4"/>
        <v>116.20488613999999</v>
      </c>
      <c r="AK39" s="1026">
        <f t="shared" si="5"/>
        <v>66601.901735720006</v>
      </c>
      <c r="AL39" s="1040">
        <f t="shared" si="0"/>
        <v>66718.106621860003</v>
      </c>
      <c r="AM39" s="1414"/>
      <c r="AN39" s="1414"/>
      <c r="AO39" s="1310"/>
      <c r="AP39" s="1310">
        <v>1617</v>
      </c>
      <c r="AQ39" s="1934">
        <f t="shared" si="6"/>
        <v>1617</v>
      </c>
      <c r="AR39" s="1729">
        <f t="shared" si="12"/>
        <v>0</v>
      </c>
      <c r="AS39" s="1729">
        <f t="shared" si="12"/>
        <v>9786</v>
      </c>
      <c r="AT39" s="1007"/>
      <c r="AU39" s="2501">
        <f>SUMPRODUCT((IFERROR(VALUE(LEFT('Data Base CW TIS'!$E$2:$E$1000,2)),0)=B39)*('Data Base CW TIS'!$B$2:$B$1000="ROM TEMPORARY-ROM SB1 BK05")*('Data Base CW TIS'!$C$2:$C$1000="TIS-ROM TEMPORARY-ROM 6 (TIS)")*'Data Base CW TIS'!$N$2:$N$1000)</f>
        <v>0</v>
      </c>
      <c r="AV39" s="1414"/>
      <c r="AW39" s="987"/>
      <c r="AX39" s="310">
        <f t="shared" si="8"/>
        <v>0</v>
      </c>
      <c r="AY39" s="998"/>
      <c r="AZ39" s="2" cm="1">
        <f t="array" ref="AZ39">IFERROR(SUMPRODUCT((TIS.HCV.MS!$A$3:$A$92=DATE(2026,7,$B39))*(TIS.HCV.MS!$O$3:$O$92&gt;0)*TIS.HCV.MS!$C$3:$C$92*TIS.HCV.MS!$O$3:$O$92)/SUMPRODUCT((TIS.HCV.MS!$A$3:$A$92=DATE(2026,7,$B39))*(TIS.HCV.MS!$O$3:$O$92&gt;0)*TIS.HCV.MS!$C$3:$C$92),0)</f>
        <v>0</v>
      </c>
      <c r="BA39" s="2110" cm="1">
        <f t="array" ref="BA39">IFERROR(SUMPRODUCT((TIS.HCV.MS!$A$3:$A$92=DATE(2026,7,$B39))*(TIS.HCV.MS!$M$3:$M$92&gt;0)*TIS.HCV.MS!$C$3:$C$92*TIS.HCV.MS!$M$3:$M$92)/SUMPRODUCT((TIS.HCV.MS!$A$3:$A$92=DATE(2026,7,$B39))*(TIS.HCV.MS!$M$3:$M$92&gt;0)*TIS.HCV.MS!$C$3:$C$92),0)</f>
        <v>0</v>
      </c>
      <c r="BB39" s="2110" cm="1">
        <f t="array" ref="BB39">IFERROR(SUMPRODUCT((TIS.HCV.MS!$A$3:$A$92=DATE(2026,7,$B39))*(TIS.HCV.MS!$G$3:$G$92&gt;0)*TIS.HCV.MS!$C$3:$C$92*TIS.HCV.MS!$G$3:$G$92)/SUMPRODUCT((TIS.HCV.MS!$A$3:$A$92=DATE(2026,7,$B39))*(TIS.HCV.MS!$G$3:$G$92&gt;0)*TIS.HCV.MS!$C$3:$C$92),0)</f>
        <v>0</v>
      </c>
      <c r="BC39" s="2110" cm="1">
        <f t="array" ref="BC39">IFERROR(SUMPRODUCT((TIS.HCV.MS!$A$3:$A$92=DATE(2026,7,$B39))*(TIS.HCV.MS!$F$3:$F$92&gt;0)*TIS.HCV.MS!$C$3:$C$92*TIS.HCV.MS!$F$3:$F$92)/SUMPRODUCT((TIS.HCV.MS!$A$3:$A$92=DATE(2026,7,$B39))*(TIS.HCV.MS!$F$3:$F$92&gt;0)*TIS.HCV.MS!$C$3:$C$92),0)</f>
        <v>0</v>
      </c>
      <c r="BD39" s="2111" cm="1">
        <f t="array" ref="BD39">IFERROR(SUMPRODUCT((TIS.HCV.MS!$A$3:$A$92=DATE(2026,7,$B39))*(TIS.HCV.MS!$E$3:$E$92&gt;0)*TIS.HCV.MS!$C$3:$C$92*TIS.HCV.MS!$E$3:$E$92)/SUMPRODUCT((TIS.HCV.MS!$A$3:$A$92=DATE(2026,7,$B39))*(TIS.HCV.MS!$E$3:$E$92&gt;0)*TIS.HCV.MS!$C$3:$C$92),0)</f>
        <v>0</v>
      </c>
      <c r="BF39" s="987"/>
      <c r="BG39" s="987"/>
      <c r="BH39" s="987"/>
      <c r="BI39" s="987"/>
      <c r="BJ39" s="987"/>
      <c r="BK39" s="310">
        <v>7160.17</v>
      </c>
      <c r="BL39" s="310">
        <v>204</v>
      </c>
      <c r="BM39" s="310"/>
      <c r="BN39" s="310"/>
      <c r="BO39" s="310"/>
      <c r="BP39" s="1041">
        <f>'July TCM'!LO37</f>
        <v>1.87</v>
      </c>
      <c r="BQ39" s="1042"/>
      <c r="BR39" s="1"/>
      <c r="BS39" s="1032">
        <f t="shared" si="9"/>
        <v>11034.986223959977</v>
      </c>
      <c r="BT39" s="1"/>
      <c r="BU39" s="1"/>
      <c r="BV39" s="1"/>
      <c r="BW39" s="1"/>
      <c r="BX39" s="1"/>
      <c r="BY39" s="1"/>
      <c r="BZ39" s="1"/>
      <c r="CA39" s="1"/>
      <c r="CB39" s="1"/>
      <c r="CC39" s="1"/>
      <c r="CD39" s="1"/>
      <c r="CE39" s="1"/>
      <c r="CF39" s="1"/>
      <c r="CG39" s="1"/>
      <c r="CH39" s="1"/>
      <c r="CI39" s="1"/>
      <c r="CJ39" s="1"/>
      <c r="CK39" s="1"/>
      <c r="CM39" s="1033">
        <v>28</v>
      </c>
      <c r="CN39" s="1">
        <f t="shared" si="10"/>
        <v>1617</v>
      </c>
      <c r="CO39" s="1045"/>
      <c r="CQ39" s="412">
        <v>28</v>
      </c>
      <c r="CR39" s="1">
        <f t="shared" si="11"/>
        <v>0</v>
      </c>
    </row>
    <row r="40" spans="2:97">
      <c r="B40" s="989">
        <v>29</v>
      </c>
      <c r="C40" s="5">
        <f t="shared" si="1"/>
        <v>23852</v>
      </c>
      <c r="D40" s="488">
        <f t="shared" si="2"/>
        <v>1113</v>
      </c>
      <c r="E40" s="1051">
        <f t="shared" si="3"/>
        <v>0</v>
      </c>
      <c r="F40" s="363"/>
      <c r="G40" s="64"/>
      <c r="H40" s="1034"/>
      <c r="I40" s="1034"/>
      <c r="N40" s="993"/>
      <c r="O40" s="26">
        <v>23852</v>
      </c>
      <c r="P40" s="36"/>
      <c r="Q40" s="277">
        <v>0</v>
      </c>
      <c r="R40" s="1227">
        <v>0</v>
      </c>
      <c r="S40" s="53">
        <v>0</v>
      </c>
      <c r="T40" s="33"/>
      <c r="U40" s="2226">
        <v>0</v>
      </c>
      <c r="V40" s="2227">
        <v>0</v>
      </c>
      <c r="W40" s="2227">
        <v>0</v>
      </c>
      <c r="X40" s="1038"/>
      <c r="Y40" s="1"/>
      <c r="Z40" s="1025">
        <v>0</v>
      </c>
      <c r="AA40" s="2174">
        <v>0</v>
      </c>
      <c r="AB40" s="1025">
        <v>0</v>
      </c>
      <c r="AC40" s="1025">
        <v>0</v>
      </c>
      <c r="AD40" s="1025">
        <v>0</v>
      </c>
      <c r="AE40" s="1025">
        <v>0</v>
      </c>
      <c r="AF40" s="1025">
        <v>0</v>
      </c>
      <c r="AG40" s="1025">
        <v>0</v>
      </c>
      <c r="AH40" s="1025"/>
      <c r="AI40" s="1039"/>
      <c r="AJ40" s="1026">
        <f t="shared" si="4"/>
        <v>116.20488613999999</v>
      </c>
      <c r="AK40" s="1026">
        <f t="shared" si="5"/>
        <v>66601.901735720006</v>
      </c>
      <c r="AL40" s="1040">
        <f t="shared" si="0"/>
        <v>66718.106621860003</v>
      </c>
      <c r="AM40" s="1414"/>
      <c r="AN40" s="1414"/>
      <c r="AO40" s="1310"/>
      <c r="AP40" s="1310">
        <v>1113</v>
      </c>
      <c r="AQ40" s="1934">
        <f t="shared" si="6"/>
        <v>1113</v>
      </c>
      <c r="AR40" s="1729">
        <f t="shared" si="12"/>
        <v>0</v>
      </c>
      <c r="AS40" s="1729">
        <f t="shared" si="12"/>
        <v>10899</v>
      </c>
      <c r="AT40" s="1007"/>
      <c r="AU40" s="2501">
        <f>SUMPRODUCT((IFERROR(VALUE(LEFT('Data Base CW TIS'!$E$2:$E$1000,2)),0)=B40)*('Data Base CW TIS'!$B$2:$B$1000="ROM TEMPORARY-ROM SB1 BK05")*('Data Base CW TIS'!$C$2:$C$1000="TIS-ROM TEMPORARY-ROM 6 (TIS)")*'Data Base CW TIS'!$N$2:$N$1000)</f>
        <v>0</v>
      </c>
      <c r="AV40" s="1414"/>
      <c r="AW40" s="987"/>
      <c r="AX40" s="310">
        <f t="shared" si="8"/>
        <v>0</v>
      </c>
      <c r="AY40" s="998"/>
      <c r="AZ40" s="2" cm="1">
        <f t="array" ref="AZ40">IFERROR(SUMPRODUCT((TIS.HCV.MS!$A$3:$A$92=DATE(2026,7,$B40))*(TIS.HCV.MS!$O$3:$O$92&gt;0)*TIS.HCV.MS!$C$3:$C$92*TIS.HCV.MS!$O$3:$O$92)/SUMPRODUCT((TIS.HCV.MS!$A$3:$A$92=DATE(2026,7,$B40))*(TIS.HCV.MS!$O$3:$O$92&gt;0)*TIS.HCV.MS!$C$3:$C$92),0)</f>
        <v>0</v>
      </c>
      <c r="BA40" s="2110" cm="1">
        <f t="array" ref="BA40">IFERROR(SUMPRODUCT((TIS.HCV.MS!$A$3:$A$92=DATE(2026,7,$B40))*(TIS.HCV.MS!$M$3:$M$92&gt;0)*TIS.HCV.MS!$C$3:$C$92*TIS.HCV.MS!$M$3:$M$92)/SUMPRODUCT((TIS.HCV.MS!$A$3:$A$92=DATE(2026,7,$B40))*(TIS.HCV.MS!$M$3:$M$92&gt;0)*TIS.HCV.MS!$C$3:$C$92),0)</f>
        <v>0</v>
      </c>
      <c r="BB40" s="2110" cm="1">
        <f t="array" ref="BB40">IFERROR(SUMPRODUCT((TIS.HCV.MS!$A$3:$A$92=DATE(2026,7,$B40))*(TIS.HCV.MS!$G$3:$G$92&gt;0)*TIS.HCV.MS!$C$3:$C$92*TIS.HCV.MS!$G$3:$G$92)/SUMPRODUCT((TIS.HCV.MS!$A$3:$A$92=DATE(2026,7,$B40))*(TIS.HCV.MS!$G$3:$G$92&gt;0)*TIS.HCV.MS!$C$3:$C$92),0)</f>
        <v>0</v>
      </c>
      <c r="BC40" s="2110" cm="1">
        <f t="array" ref="BC40">IFERROR(SUMPRODUCT((TIS.HCV.MS!$A$3:$A$92=DATE(2026,7,$B40))*(TIS.HCV.MS!$F$3:$F$92&gt;0)*TIS.HCV.MS!$C$3:$C$92*TIS.HCV.MS!$F$3:$F$92)/SUMPRODUCT((TIS.HCV.MS!$A$3:$A$92=DATE(2026,7,$B40))*(TIS.HCV.MS!$F$3:$F$92&gt;0)*TIS.HCV.MS!$C$3:$C$92),0)</f>
        <v>0</v>
      </c>
      <c r="BD40" s="2111" cm="1">
        <f t="array" ref="BD40">IFERROR(SUMPRODUCT((TIS.HCV.MS!$A$3:$A$92=DATE(2026,7,$B40))*(TIS.HCV.MS!$E$3:$E$92&gt;0)*TIS.HCV.MS!$C$3:$C$92*TIS.HCV.MS!$E$3:$E$92)/SUMPRODUCT((TIS.HCV.MS!$A$3:$A$92=DATE(2026,7,$B40))*(TIS.HCV.MS!$E$3:$E$92&gt;0)*TIS.HCV.MS!$C$3:$C$92),0)</f>
        <v>0</v>
      </c>
      <c r="BF40" s="987"/>
      <c r="BG40" s="987"/>
      <c r="BH40" s="987"/>
      <c r="BI40" s="987"/>
      <c r="BJ40" s="987"/>
      <c r="BK40" s="310"/>
      <c r="BL40" s="310"/>
      <c r="BM40" s="310"/>
      <c r="BN40" s="310"/>
      <c r="BO40" s="310"/>
      <c r="BP40" s="1041">
        <f>'July TCM'!LO38</f>
        <v>1.87</v>
      </c>
      <c r="BQ40" s="1042"/>
      <c r="BR40" s="1"/>
      <c r="BS40" s="1032">
        <f t="shared" si="9"/>
        <v>11034.986223959977</v>
      </c>
      <c r="BT40" s="1"/>
      <c r="BU40" s="1"/>
      <c r="BV40" s="1"/>
      <c r="BW40" s="1"/>
      <c r="BX40" s="1"/>
      <c r="BY40" s="1"/>
      <c r="BZ40" s="1"/>
      <c r="CA40" s="1"/>
      <c r="CB40" s="1"/>
      <c r="CC40" s="1"/>
      <c r="CD40" s="1"/>
      <c r="CE40" s="1"/>
      <c r="CF40" s="1"/>
      <c r="CG40" s="1"/>
      <c r="CH40" s="1"/>
      <c r="CI40" s="1"/>
      <c r="CJ40" s="1"/>
      <c r="CK40" s="1"/>
      <c r="CM40" s="1033">
        <v>29</v>
      </c>
      <c r="CN40" s="1">
        <f t="shared" si="10"/>
        <v>1113</v>
      </c>
      <c r="CQ40" s="412">
        <v>29</v>
      </c>
      <c r="CR40" s="1">
        <f t="shared" si="11"/>
        <v>0</v>
      </c>
    </row>
    <row r="41" spans="2:97">
      <c r="B41" s="990">
        <v>30</v>
      </c>
      <c r="C41" s="5">
        <f t="shared" si="1"/>
        <v>37928</v>
      </c>
      <c r="D41" s="488">
        <f t="shared" si="2"/>
        <v>1638</v>
      </c>
      <c r="E41" s="1051">
        <f t="shared" si="3"/>
        <v>0</v>
      </c>
      <c r="F41" s="845"/>
      <c r="G41" s="64"/>
      <c r="H41" s="1034"/>
      <c r="I41" s="1034"/>
      <c r="N41" s="1054"/>
      <c r="O41" s="26">
        <v>37928</v>
      </c>
      <c r="P41" s="36"/>
      <c r="Q41" s="277">
        <v>0</v>
      </c>
      <c r="R41" s="1227">
        <v>0</v>
      </c>
      <c r="S41" s="53">
        <v>0</v>
      </c>
      <c r="T41" s="33"/>
      <c r="U41" s="2226">
        <v>0</v>
      </c>
      <c r="V41" s="2227">
        <v>0</v>
      </c>
      <c r="W41" s="2227">
        <v>0</v>
      </c>
      <c r="X41" s="1038"/>
      <c r="Y41" s="1"/>
      <c r="Z41" s="1025">
        <v>0</v>
      </c>
      <c r="AA41" s="2174">
        <v>0</v>
      </c>
      <c r="AB41" s="1025">
        <v>0</v>
      </c>
      <c r="AC41" s="1025">
        <v>0</v>
      </c>
      <c r="AD41" s="1025">
        <v>0</v>
      </c>
      <c r="AE41" s="1025">
        <v>0</v>
      </c>
      <c r="AF41" s="1025">
        <v>0</v>
      </c>
      <c r="AG41" s="1025">
        <v>0</v>
      </c>
      <c r="AH41" s="1025"/>
      <c r="AI41" s="1039"/>
      <c r="AJ41" s="1026">
        <f t="shared" si="4"/>
        <v>116.20488613999999</v>
      </c>
      <c r="AK41" s="1026">
        <f t="shared" si="5"/>
        <v>66601.901735720006</v>
      </c>
      <c r="AL41" s="1040">
        <f t="shared" si="0"/>
        <v>66718.106621860003</v>
      </c>
      <c r="AM41" s="1414"/>
      <c r="AN41" s="1414"/>
      <c r="AO41" s="1310"/>
      <c r="AP41" s="1310">
        <v>1638</v>
      </c>
      <c r="AQ41" s="1934">
        <f t="shared" si="6"/>
        <v>1638</v>
      </c>
      <c r="AR41" s="1729">
        <f t="shared" si="12"/>
        <v>0</v>
      </c>
      <c r="AS41" s="1729">
        <f t="shared" si="12"/>
        <v>12537</v>
      </c>
      <c r="AT41" s="1007"/>
      <c r="AU41" s="2501">
        <f>SUMPRODUCT((IFERROR(VALUE(LEFT('Data Base CW TIS'!$E$2:$E$1000,2)),0)=B41)*('Data Base CW TIS'!$B$2:$B$1000="ROM TEMPORARY-ROM SB1 BK05")*('Data Base CW TIS'!$C$2:$C$1000="TIS-ROM TEMPORARY-ROM 6 (TIS)")*'Data Base CW TIS'!$N$2:$N$1000)</f>
        <v>0</v>
      </c>
      <c r="AV41" s="1414"/>
      <c r="AW41" s="987"/>
      <c r="AX41" s="310">
        <f t="shared" si="8"/>
        <v>0</v>
      </c>
      <c r="AY41" s="998"/>
      <c r="AZ41" s="2" cm="1">
        <f t="array" ref="AZ41">IFERROR(SUMPRODUCT((TIS.HCV.MS!$A$3:$A$92=DATE(2026,7,$B41))*(TIS.HCV.MS!$O$3:$O$92&gt;0)*TIS.HCV.MS!$C$3:$C$92*TIS.HCV.MS!$O$3:$O$92)/SUMPRODUCT((TIS.HCV.MS!$A$3:$A$92=DATE(2026,7,$B41))*(TIS.HCV.MS!$O$3:$O$92&gt;0)*TIS.HCV.MS!$C$3:$C$92),0)</f>
        <v>0</v>
      </c>
      <c r="BA41" s="2110" cm="1">
        <f t="array" ref="BA41">IFERROR(SUMPRODUCT((TIS.HCV.MS!$A$3:$A$92=DATE(2026,7,$B41))*(TIS.HCV.MS!$M$3:$M$92&gt;0)*TIS.HCV.MS!$C$3:$C$92*TIS.HCV.MS!$M$3:$M$92)/SUMPRODUCT((TIS.HCV.MS!$A$3:$A$92=DATE(2026,7,$B41))*(TIS.HCV.MS!$M$3:$M$92&gt;0)*TIS.HCV.MS!$C$3:$C$92),0)</f>
        <v>0</v>
      </c>
      <c r="BB41" s="2110" cm="1">
        <f t="array" ref="BB41">IFERROR(SUMPRODUCT((TIS.HCV.MS!$A$3:$A$92=DATE(2026,7,$B41))*(TIS.HCV.MS!$G$3:$G$92&gt;0)*TIS.HCV.MS!$C$3:$C$92*TIS.HCV.MS!$G$3:$G$92)/SUMPRODUCT((TIS.HCV.MS!$A$3:$A$92=DATE(2026,7,$B41))*(TIS.HCV.MS!$G$3:$G$92&gt;0)*TIS.HCV.MS!$C$3:$C$92),0)</f>
        <v>0</v>
      </c>
      <c r="BC41" s="2110" cm="1">
        <f t="array" ref="BC41">IFERROR(SUMPRODUCT((TIS.HCV.MS!$A$3:$A$92=DATE(2026,7,$B41))*(TIS.HCV.MS!$F$3:$F$92&gt;0)*TIS.HCV.MS!$C$3:$C$92*TIS.HCV.MS!$F$3:$F$92)/SUMPRODUCT((TIS.HCV.MS!$A$3:$A$92=DATE(2026,7,$B41))*(TIS.HCV.MS!$F$3:$F$92&gt;0)*TIS.HCV.MS!$C$3:$C$92),0)</f>
        <v>0</v>
      </c>
      <c r="BD41" s="2111" cm="1">
        <f t="array" ref="BD41">IFERROR(SUMPRODUCT((TIS.HCV.MS!$A$3:$A$92=DATE(2026,7,$B41))*(TIS.HCV.MS!$E$3:$E$92&gt;0)*TIS.HCV.MS!$C$3:$C$92*TIS.HCV.MS!$E$3:$E$92)/SUMPRODUCT((TIS.HCV.MS!$A$3:$A$92=DATE(2026,7,$B41))*(TIS.HCV.MS!$E$3:$E$92&gt;0)*TIS.HCV.MS!$C$3:$C$92),0)</f>
        <v>0</v>
      </c>
      <c r="BF41" s="987"/>
      <c r="BG41" s="987"/>
      <c r="BH41" s="987"/>
      <c r="BI41" s="987"/>
      <c r="BJ41" s="987"/>
      <c r="BK41" s="310"/>
      <c r="BL41" s="310"/>
      <c r="BM41" s="310"/>
      <c r="BN41" s="310">
        <v>1</v>
      </c>
      <c r="BO41" s="310"/>
      <c r="BP41" s="1041">
        <f>'July TCM'!LO39</f>
        <v>1.87</v>
      </c>
      <c r="BQ41" s="275"/>
      <c r="BR41" s="1"/>
      <c r="BS41" s="1032">
        <f t="shared" si="9"/>
        <v>11034.986223959977</v>
      </c>
      <c r="BT41" s="1"/>
      <c r="BU41" s="1"/>
      <c r="BV41" s="1"/>
      <c r="BW41" s="1"/>
      <c r="BX41" s="1"/>
      <c r="BY41" s="1"/>
      <c r="BZ41" s="1"/>
      <c r="CA41" s="1"/>
      <c r="CB41" s="1"/>
      <c r="CC41" s="1"/>
      <c r="CD41" s="1"/>
      <c r="CE41" s="1"/>
      <c r="CF41" s="72"/>
      <c r="CG41" s="72"/>
      <c r="CH41" s="72"/>
      <c r="CI41" s="72"/>
      <c r="CJ41" s="72"/>
      <c r="CK41" s="72"/>
      <c r="CM41" s="1033">
        <v>30</v>
      </c>
      <c r="CN41" s="1">
        <f t="shared" si="10"/>
        <v>1638</v>
      </c>
      <c r="CO41" s="1096"/>
      <c r="CQ41" s="412">
        <v>30</v>
      </c>
      <c r="CR41" s="1">
        <f t="shared" si="11"/>
        <v>0</v>
      </c>
    </row>
    <row r="42" spans="2:97" ht="15" thickBot="1">
      <c r="B42" s="990">
        <v>31</v>
      </c>
      <c r="C42" s="1450">
        <f t="shared" si="1"/>
        <v>35234</v>
      </c>
      <c r="D42" s="7">
        <f t="shared" si="2"/>
        <v>1176</v>
      </c>
      <c r="E42" s="1452">
        <f t="shared" si="3"/>
        <v>0</v>
      </c>
      <c r="F42" s="1453"/>
      <c r="G42" s="1454"/>
      <c r="H42" s="1455"/>
      <c r="I42" s="1455"/>
      <c r="J42" s="1456"/>
      <c r="K42" s="1457"/>
      <c r="L42" s="1457"/>
      <c r="M42" s="1457"/>
      <c r="N42" s="1458"/>
      <c r="O42" s="1459">
        <v>35234</v>
      </c>
      <c r="P42" s="1460"/>
      <c r="Q42" s="1935">
        <v>0</v>
      </c>
      <c r="R42" s="1936">
        <v>0</v>
      </c>
      <c r="S42" s="1056">
        <v>0</v>
      </c>
      <c r="T42" s="1057"/>
      <c r="U42" s="2228">
        <v>0</v>
      </c>
      <c r="V42" s="2229">
        <v>0</v>
      </c>
      <c r="W42" s="2229">
        <v>0</v>
      </c>
      <c r="X42" s="2230"/>
      <c r="Y42" s="1"/>
      <c r="Z42" s="1025">
        <v>0</v>
      </c>
      <c r="AA42" s="2174">
        <v>0</v>
      </c>
      <c r="AB42" s="1059">
        <v>0</v>
      </c>
      <c r="AC42" s="1059">
        <v>0</v>
      </c>
      <c r="AD42" s="1059">
        <v>0</v>
      </c>
      <c r="AE42" s="1025">
        <v>0</v>
      </c>
      <c r="AF42" s="1025">
        <v>0</v>
      </c>
      <c r="AG42" s="1059">
        <v>0</v>
      </c>
      <c r="AH42" s="1059"/>
      <c r="AI42" s="1060"/>
      <c r="AJ42" s="1026">
        <f t="shared" si="4"/>
        <v>116.20488613999999</v>
      </c>
      <c r="AK42" s="1026">
        <f t="shared" si="5"/>
        <v>66601.901735720006</v>
      </c>
      <c r="AL42" s="1061">
        <f t="shared" si="0"/>
        <v>66718.106621860003</v>
      </c>
      <c r="AM42" s="1414"/>
      <c r="AN42" s="1414"/>
      <c r="AO42" s="1311"/>
      <c r="AP42" s="1311">
        <v>1176</v>
      </c>
      <c r="AQ42" s="1937">
        <f t="shared" si="6"/>
        <v>1176</v>
      </c>
      <c r="AR42" s="1730">
        <f t="shared" si="12"/>
        <v>0</v>
      </c>
      <c r="AS42" s="1729">
        <f t="shared" si="12"/>
        <v>13713</v>
      </c>
      <c r="AT42" s="1377"/>
      <c r="AU42" s="2502">
        <f>SUMPRODUCT((IFERROR(VALUE(LEFT('Data Base CW TIS'!$E$2:$E$1000,2)),0)=B42)*('Data Base CW TIS'!$B$2:$B$1000="ROM TEMPORARY-ROM SB1 BK05")*('Data Base CW TIS'!$C$2:$C$1000="TIS-ROM TEMPORARY-ROM 6 (TIS)")*'Data Base CW TIS'!$N$2:$N$1000)</f>
        <v>0</v>
      </c>
      <c r="AV42" s="1414"/>
      <c r="AW42" s="987"/>
      <c r="AX42" s="332">
        <f t="shared" si="8"/>
        <v>0</v>
      </c>
      <c r="AY42" s="1062"/>
      <c r="AZ42" s="2192" cm="1">
        <f t="array" ref="AZ42">IFERROR(SUMPRODUCT((TIS.HCV.MS!$A$3:$A$92=DATE(2026,7,$B42))*(TIS.HCV.MS!$O$3:$O$92&gt;0)*TIS.HCV.MS!$C$3:$C$92*TIS.HCV.MS!$O$3:$O$92)/SUMPRODUCT((TIS.HCV.MS!$A$3:$A$92=DATE(2026,7,$B42))*(TIS.HCV.MS!$O$3:$O$92&gt;0)*TIS.HCV.MS!$C$3:$C$92),0)</f>
        <v>0</v>
      </c>
      <c r="BA42" s="2193" cm="1">
        <f t="array" ref="BA42">IFERROR(SUMPRODUCT((TIS.HCV.MS!$A$3:$A$92=DATE(2026,7,$B42))*(TIS.HCV.MS!$M$3:$M$92&gt;0)*TIS.HCV.MS!$C$3:$C$92*TIS.HCV.MS!$M$3:$M$92)/SUMPRODUCT((TIS.HCV.MS!$A$3:$A$92=DATE(2026,7,$B42))*(TIS.HCV.MS!$M$3:$M$92&gt;0)*TIS.HCV.MS!$C$3:$C$92),0)</f>
        <v>0</v>
      </c>
      <c r="BB42" s="2193" cm="1">
        <f t="array" ref="BB42">IFERROR(SUMPRODUCT((TIS.HCV.MS!$A$3:$A$92=DATE(2026,7,$B42))*(TIS.HCV.MS!$G$3:$G$92&gt;0)*TIS.HCV.MS!$C$3:$C$92*TIS.HCV.MS!$G$3:$G$92)/SUMPRODUCT((TIS.HCV.MS!$A$3:$A$92=DATE(2026,7,$B42))*(TIS.HCV.MS!$G$3:$G$92&gt;0)*TIS.HCV.MS!$C$3:$C$92),0)</f>
        <v>0</v>
      </c>
      <c r="BC42" s="2193" cm="1">
        <f t="array" ref="BC42">IFERROR(SUMPRODUCT((TIS.HCV.MS!$A$3:$A$92=DATE(2026,7,$B42))*(TIS.HCV.MS!$F$3:$F$92&gt;0)*TIS.HCV.MS!$C$3:$C$92*TIS.HCV.MS!$F$3:$F$92)/SUMPRODUCT((TIS.HCV.MS!$A$3:$A$92=DATE(2026,7,$B42))*(TIS.HCV.MS!$F$3:$F$92&gt;0)*TIS.HCV.MS!$C$3:$C$92),0)</f>
        <v>0</v>
      </c>
      <c r="BD42" s="2194" cm="1">
        <f t="array" ref="BD42">IFERROR(SUMPRODUCT((TIS.HCV.MS!$A$3:$A$92=DATE(2026,7,$B42))*(TIS.HCV.MS!$E$3:$E$92&gt;0)*TIS.HCV.MS!$C$3:$C$92*TIS.HCV.MS!$E$3:$E$92)/SUMPRODUCT((TIS.HCV.MS!$A$3:$A$92=DATE(2026,7,$B42))*(TIS.HCV.MS!$E$3:$E$92&gt;0)*TIS.HCV.MS!$C$3:$C$92),0)</f>
        <v>0</v>
      </c>
      <c r="BF42" s="987"/>
      <c r="BG42" s="987"/>
      <c r="BH42" s="987"/>
      <c r="BI42" s="987"/>
      <c r="BJ42" s="987"/>
      <c r="BK42" s="332"/>
      <c r="BL42" s="332"/>
      <c r="BM42" s="332"/>
      <c r="BN42" s="332">
        <v>1</v>
      </c>
      <c r="BO42" s="332"/>
      <c r="BP42" s="1103">
        <f>'July TCM'!LO40</f>
        <v>1.87</v>
      </c>
      <c r="BQ42" s="332"/>
      <c r="BR42" s="1"/>
      <c r="BS42" s="1032">
        <f t="shared" si="9"/>
        <v>11034.986223959977</v>
      </c>
      <c r="BT42" s="1"/>
      <c r="BU42" s="1"/>
      <c r="BV42" s="1"/>
      <c r="BW42" s="1"/>
      <c r="BX42" s="1"/>
      <c r="BY42" s="1"/>
      <c r="BZ42" s="1"/>
      <c r="CA42" s="1"/>
      <c r="CB42" s="1"/>
      <c r="CC42" s="1"/>
      <c r="CD42" s="1"/>
      <c r="CE42" s="1"/>
      <c r="CF42" s="72"/>
      <c r="CG42" s="72"/>
      <c r="CH42" s="72"/>
      <c r="CI42" s="72"/>
      <c r="CJ42" s="72"/>
      <c r="CK42" s="72"/>
      <c r="CM42" s="1033">
        <v>31</v>
      </c>
      <c r="CN42" s="1">
        <f t="shared" si="10"/>
        <v>1176</v>
      </c>
      <c r="CQ42" s="412">
        <v>31</v>
      </c>
      <c r="CR42" s="1">
        <f t="shared" si="11"/>
        <v>0</v>
      </c>
    </row>
    <row r="43" spans="2:97">
      <c r="B43" s="307" t="s">
        <v>206</v>
      </c>
      <c r="C43" s="72">
        <f t="shared" si="1"/>
        <v>1089475</v>
      </c>
      <c r="D43" s="95">
        <f>SUM(D12:D42)</f>
        <v>62731.46</v>
      </c>
      <c r="E43" s="1065">
        <f>IFERROR(C43/D43,0)</f>
        <v>17.36728269994035</v>
      </c>
      <c r="H43" s="38">
        <f>SUM(H12:H42)</f>
        <v>152</v>
      </c>
      <c r="I43" s="1904">
        <f>SUM(I12:I42)</f>
        <v>52.58</v>
      </c>
      <c r="O43" s="72">
        <f>SUM(O12:O42)</f>
        <v>1089475</v>
      </c>
      <c r="P43" s="72">
        <f>SUM(P12:P42)</f>
        <v>0</v>
      </c>
      <c r="Q43" s="72">
        <f>SUM(Q12:Q42)</f>
        <v>49018.46</v>
      </c>
      <c r="R43" s="72">
        <f>SUM(R12:R42)</f>
        <v>49018.46</v>
      </c>
      <c r="S43" s="72">
        <f>IFERROR(O43/Q43,0)</f>
        <v>22.225810439577252</v>
      </c>
      <c r="T43" s="72"/>
      <c r="U43" s="364">
        <f>SUM(U12:U42)</f>
        <v>43906.37999999999</v>
      </c>
      <c r="V43" s="307">
        <f>SUM(V12:V42)</f>
        <v>5112.08</v>
      </c>
      <c r="W43" s="364">
        <f>SUM(W12:W42)</f>
        <v>0</v>
      </c>
      <c r="X43" s="72">
        <f>SUM(X12:X42)</f>
        <v>0</v>
      </c>
      <c r="Y43" s="1"/>
      <c r="Z43" s="1068">
        <f t="shared" ref="Z43:AF43" si="13">SUM(Z12:Z42)</f>
        <v>615.49</v>
      </c>
      <c r="AA43" s="2152">
        <f t="shared" si="13"/>
        <v>76294.17</v>
      </c>
      <c r="AB43" s="1068">
        <f t="shared" si="13"/>
        <v>76909.66</v>
      </c>
      <c r="AC43" s="1068">
        <f t="shared" si="13"/>
        <v>0</v>
      </c>
      <c r="AD43" s="1068">
        <f t="shared" si="13"/>
        <v>0</v>
      </c>
      <c r="AE43" s="1068">
        <f t="shared" si="13"/>
        <v>37901.360000000001</v>
      </c>
      <c r="AF43" s="1068">
        <f t="shared" si="13"/>
        <v>39008.299999999996</v>
      </c>
      <c r="AG43" s="1068">
        <f t="shared" ref="AG43" si="14">SUM(AC43:AF43)</f>
        <v>76909.66</v>
      </c>
      <c r="AH43" s="39"/>
      <c r="AI43" s="1068">
        <f>+AI42</f>
        <v>0</v>
      </c>
      <c r="AJ43" s="1068">
        <f>+AJ42</f>
        <v>116.20488613999999</v>
      </c>
      <c r="AK43" s="1068">
        <f>+AK42</f>
        <v>66601.901735720006</v>
      </c>
      <c r="AL43" s="1066">
        <f>AL42</f>
        <v>66718.106621860003</v>
      </c>
      <c r="AM43" s="1066"/>
      <c r="AN43" s="1066"/>
      <c r="AO43" s="1066">
        <f>SUM(AO12:AO42)</f>
        <v>0</v>
      </c>
      <c r="AP43" s="1362">
        <f>SUM(AP12:AP42)</f>
        <v>13713</v>
      </c>
      <c r="AQ43" s="1066">
        <f>SUM(AQ12:AQ42)</f>
        <v>13713</v>
      </c>
      <c r="AR43" s="1066">
        <f>+AR42</f>
        <v>0</v>
      </c>
      <c r="AS43" s="1066">
        <f>+AS42</f>
        <v>13713</v>
      </c>
      <c r="AT43" s="1066"/>
      <c r="AU43" s="1376">
        <f>SUM(AU11:AU42)</f>
        <v>0</v>
      </c>
      <c r="AV43" s="1066"/>
      <c r="AX43" s="72">
        <f>SUM(AX12:AX42)</f>
        <v>76909.66</v>
      </c>
      <c r="AY43" s="72"/>
      <c r="AZ43" s="72" cm="1">
        <f t="array" ref="AZ43">IFERROR(SUMPRODUCT((AZ12:AZ42&lt;&gt;"")*AZ12:AZ42,$AX$12:$AX$42)/SUMIFS($AX$12:$AX$42,AZ12:AZ42,"&gt;"&amp;0),0)</f>
        <v>0</v>
      </c>
      <c r="BA43" s="38" cm="1">
        <f t="array" ref="BA43">IFERROR(SUMPRODUCT((BA12:BA42&lt;&gt;"")*BA12:BA42,$AX$12:$AX$42)/SUMIFS($AX$12:$AX$42,BA12:BA42,"&gt;"&amp;0),0)</f>
        <v>0</v>
      </c>
      <c r="BB43" s="38" cm="1">
        <f t="array" ref="BB43">IFERROR(SUMPRODUCT((BB12:BB42&lt;&gt;"")*BB12:BB42,$AX$12:$AX$42)/SUMIFS($AX$12:$AX$42,BB12:BB42,"&gt;"&amp;0),0)</f>
        <v>0</v>
      </c>
      <c r="BC43" s="38" cm="1">
        <f t="array" ref="BC43">IFERROR(SUMPRODUCT((BC12:BC42&lt;&gt;"")*BC12:BC42,$AX$12:$AX$42)/SUMIFS($AX$12:$AX$42,BC12:BC42,"&gt;"&amp;0),0)</f>
        <v>0</v>
      </c>
      <c r="BD43" s="38" cm="1">
        <f t="array" ref="BD43">IFERROR(SUMPRODUCT((BD12:BD42&lt;&gt;"")*BD12:BD42,$AX$12:$AX$42)/SUMIFS($AX$12:$AX$42,BD12:BD42,"&gt;"&amp;0),0)</f>
        <v>0</v>
      </c>
      <c r="BE43" s="38"/>
      <c r="BK43" s="1081">
        <f>SUM(BK12:BK42)</f>
        <v>112920.49</v>
      </c>
      <c r="BL43" s="72">
        <f>SUM(BL12:BL42)</f>
        <v>218</v>
      </c>
      <c r="BM43" s="72">
        <f>SUM(BM12:BM42)</f>
        <v>0</v>
      </c>
      <c r="BN43" s="72">
        <f>SUM(BN12:BN42)</f>
        <v>22</v>
      </c>
      <c r="BO43" s="72">
        <f>SUM(BO12:BO42)</f>
        <v>0</v>
      </c>
      <c r="BP43" s="38">
        <f>AVERAGE(BP12:BP42)</f>
        <v>2.8241935483870972</v>
      </c>
      <c r="BQ43" s="72">
        <f>SUM(BQ12:BQ42)</f>
        <v>0</v>
      </c>
      <c r="BR43" s="1"/>
      <c r="BS43" s="72">
        <f>+BS42</f>
        <v>11034.986223959977</v>
      </c>
      <c r="BT43" s="1"/>
      <c r="BU43" s="1"/>
      <c r="BV43" s="1"/>
      <c r="BW43" s="1"/>
      <c r="BX43" s="1"/>
      <c r="BY43" s="1"/>
      <c r="BZ43" s="1"/>
      <c r="CA43" s="1"/>
      <c r="CB43" s="1"/>
      <c r="CC43" s="1"/>
      <c r="CD43" s="1"/>
      <c r="CE43" s="1"/>
      <c r="CF43" s="72"/>
      <c r="CG43" s="72"/>
      <c r="CH43" s="72"/>
      <c r="CI43" s="72"/>
      <c r="CJ43" s="72"/>
      <c r="CK43" s="72"/>
      <c r="CO43" s="281"/>
    </row>
    <row r="44" spans="2:97">
      <c r="B44" s="307" t="s">
        <v>207</v>
      </c>
      <c r="C44" s="364">
        <f>O44</f>
        <v>1044532.1963</v>
      </c>
      <c r="D44" s="412">
        <f>D43</f>
        <v>62731.46</v>
      </c>
      <c r="E44" s="347">
        <f>IFERROR(C44/D44,0)</f>
        <v>16.650851045073715</v>
      </c>
      <c r="H44" s="307">
        <f>H43</f>
        <v>152</v>
      </c>
      <c r="I44" s="364">
        <f>I43</f>
        <v>52.58</v>
      </c>
      <c r="O44" s="421">
        <v>1044532.1963</v>
      </c>
      <c r="P44" s="95">
        <f>P43</f>
        <v>0</v>
      </c>
      <c r="Q44" s="95">
        <f>Q43</f>
        <v>49018.46</v>
      </c>
      <c r="R44" s="95">
        <f>R43</f>
        <v>49018.46</v>
      </c>
      <c r="S44" s="1067">
        <f>IFERROR(O44/Q44,0)</f>
        <v>21.308955775028426</v>
      </c>
      <c r="U44" s="1068">
        <f>U43</f>
        <v>43906.37999999999</v>
      </c>
      <c r="V44" s="1068">
        <f>V43</f>
        <v>5112.08</v>
      </c>
      <c r="W44" s="1068">
        <f>W43</f>
        <v>0</v>
      </c>
      <c r="X44" s="1">
        <f>X43</f>
        <v>0</v>
      </c>
      <c r="Y44" s="1"/>
      <c r="Z44" s="1068">
        <f t="shared" ref="Z44:AG44" si="15">Z43</f>
        <v>615.49</v>
      </c>
      <c r="AA44" s="1068">
        <f t="shared" si="15"/>
        <v>76294.17</v>
      </c>
      <c r="AB44" s="1068">
        <f t="shared" si="15"/>
        <v>76909.66</v>
      </c>
      <c r="AC44" s="1068">
        <f t="shared" si="15"/>
        <v>0</v>
      </c>
      <c r="AD44" s="1068">
        <f t="shared" si="15"/>
        <v>0</v>
      </c>
      <c r="AE44" s="1068">
        <f t="shared" si="15"/>
        <v>37901.360000000001</v>
      </c>
      <c r="AF44" s="1068">
        <f t="shared" si="15"/>
        <v>39008.299999999996</v>
      </c>
      <c r="AG44" s="1068">
        <f t="shared" si="15"/>
        <v>76909.66</v>
      </c>
      <c r="AH44" s="1068"/>
      <c r="AI44" s="1068">
        <f>AI43</f>
        <v>0</v>
      </c>
      <c r="AJ44" s="1370">
        <v>0</v>
      </c>
      <c r="AK44" s="1068">
        <v>65017.10948159999</v>
      </c>
      <c r="AL44" s="1066">
        <f>AL43</f>
        <v>66718.106621860003</v>
      </c>
      <c r="AM44" s="1066"/>
      <c r="AN44" s="1066"/>
      <c r="AO44" s="1066">
        <f>AO43</f>
        <v>0</v>
      </c>
      <c r="AP44" s="1066">
        <f>AP43</f>
        <v>13713</v>
      </c>
      <c r="AQ44" s="1066">
        <f>AQ43</f>
        <v>13713</v>
      </c>
      <c r="AR44" s="1066">
        <f>AR43</f>
        <v>0</v>
      </c>
      <c r="AS44" s="1066">
        <f>AS43</f>
        <v>13713</v>
      </c>
      <c r="AT44" s="1066"/>
      <c r="AU44" s="1362">
        <f>AU43</f>
        <v>0</v>
      </c>
      <c r="AV44" s="1066"/>
      <c r="AX44" s="72">
        <f>+AX43</f>
        <v>76909.66</v>
      </c>
      <c r="AY44" s="72"/>
      <c r="AZ44" s="72">
        <f>AZ43</f>
        <v>0</v>
      </c>
      <c r="BA44" s="38">
        <f>BA43</f>
        <v>0</v>
      </c>
      <c r="BB44" s="38">
        <f>BB43</f>
        <v>0</v>
      </c>
      <c r="BC44" s="38">
        <f>BC43</f>
        <v>0</v>
      </c>
      <c r="BD44" s="38">
        <f>BD43</f>
        <v>0</v>
      </c>
      <c r="BE44" s="38"/>
      <c r="BK44" s="72">
        <f t="shared" ref="BK44:BQ44" si="16">+BK43</f>
        <v>112920.49</v>
      </c>
      <c r="BL44" s="72">
        <f t="shared" si="16"/>
        <v>218</v>
      </c>
      <c r="BM44" s="72">
        <f t="shared" si="16"/>
        <v>0</v>
      </c>
      <c r="BN44" s="72">
        <f t="shared" si="16"/>
        <v>22</v>
      </c>
      <c r="BO44" s="72"/>
      <c r="BP44" s="38">
        <f t="shared" si="16"/>
        <v>2.8241935483870972</v>
      </c>
      <c r="BQ44" s="72">
        <f t="shared" si="16"/>
        <v>0</v>
      </c>
      <c r="BR44" s="1"/>
      <c r="BS44" s="364">
        <v>14018.778234149999</v>
      </c>
      <c r="BT44" s="1"/>
      <c r="BU44" s="1"/>
      <c r="BV44" s="1"/>
      <c r="BW44" s="1"/>
      <c r="BX44" s="1"/>
      <c r="BY44" s="1"/>
      <c r="BZ44" s="1"/>
      <c r="CA44" s="1"/>
      <c r="CB44" s="1"/>
      <c r="CC44" s="1"/>
      <c r="CD44" s="1"/>
      <c r="CE44" s="1"/>
      <c r="CF44" s="72"/>
      <c r="CG44" s="72"/>
      <c r="CH44" s="72"/>
      <c r="CI44" s="72"/>
      <c r="CJ44" s="72"/>
      <c r="CK44" s="72"/>
      <c r="CO44" s="281"/>
    </row>
    <row r="45" spans="2:97">
      <c r="B45" s="312" t="s">
        <v>12</v>
      </c>
      <c r="C45" s="991">
        <f>O45</f>
        <v>1100000</v>
      </c>
      <c r="D45" s="1069">
        <v>60000</v>
      </c>
      <c r="E45" s="1231"/>
      <c r="F45" s="1069"/>
      <c r="G45" s="1069"/>
      <c r="H45" s="1069"/>
      <c r="I45" s="1069"/>
      <c r="J45" s="1069"/>
      <c r="K45" s="1069"/>
      <c r="L45" s="1069"/>
      <c r="M45" s="1069"/>
      <c r="N45" s="1069"/>
      <c r="O45" s="2166">
        <v>1100000</v>
      </c>
      <c r="P45" s="2166"/>
      <c r="Q45" s="2166"/>
      <c r="R45" s="2166">
        <v>60000</v>
      </c>
      <c r="S45" s="1070">
        <f>IFERROR(O45/Q45,0)</f>
        <v>0</v>
      </c>
      <c r="T45" s="1069"/>
      <c r="U45" s="1069"/>
      <c r="V45" s="1069"/>
      <c r="W45" s="1069"/>
      <c r="X45" s="1069"/>
      <c r="Y45" s="39"/>
      <c r="Z45" s="1071"/>
      <c r="AA45" s="1071"/>
      <c r="AB45" s="1071">
        <v>70000</v>
      </c>
      <c r="AC45" s="1071"/>
      <c r="AD45" s="1071"/>
      <c r="AE45" s="1071"/>
      <c r="AF45" s="1071"/>
      <c r="AG45" s="1071"/>
      <c r="AH45" s="1071"/>
      <c r="AI45" s="1071"/>
      <c r="AJ45" s="1071"/>
      <c r="AK45" s="1071"/>
      <c r="AL45" s="1072"/>
      <c r="AM45" s="1072"/>
      <c r="AN45" s="1072"/>
      <c r="AO45" s="1072"/>
      <c r="AP45" s="1072"/>
      <c r="AQ45" s="1072"/>
      <c r="AR45" s="1072"/>
      <c r="AS45" s="1072"/>
      <c r="AT45" s="1072"/>
      <c r="AU45" s="1072"/>
      <c r="AV45" s="1072"/>
      <c r="AW45" s="887"/>
      <c r="AX45" s="337">
        <v>70000</v>
      </c>
      <c r="AY45" s="337"/>
      <c r="AZ45" s="72">
        <v>6824.4902225997603</v>
      </c>
      <c r="BA45" s="38">
        <v>1.6046894421393501</v>
      </c>
      <c r="BB45" s="38">
        <v>2.9538162037923099</v>
      </c>
      <c r="BC45" s="38">
        <v>4.4327769749624304</v>
      </c>
      <c r="BD45" s="38">
        <v>9.2954142043572094</v>
      </c>
      <c r="BE45" s="38"/>
      <c r="BF45" s="887"/>
      <c r="BG45" s="887"/>
      <c r="BH45" s="887"/>
      <c r="BI45" s="887"/>
      <c r="BJ45" s="887"/>
      <c r="BK45" s="337">
        <v>75000</v>
      </c>
      <c r="BL45" s="308"/>
      <c r="BM45" s="308"/>
      <c r="BN45" s="308"/>
      <c r="BO45" s="308"/>
      <c r="BP45" s="308"/>
      <c r="BQ45" s="308"/>
      <c r="BR45" s="1073"/>
      <c r="BS45" s="308"/>
      <c r="BT45" s="1073"/>
      <c r="BU45" s="1073"/>
      <c r="BV45" s="1073"/>
      <c r="BW45" s="1073"/>
      <c r="BX45" s="1073"/>
      <c r="BY45" s="1073"/>
      <c r="BZ45" s="1073"/>
      <c r="CA45" s="1073"/>
      <c r="CB45" s="1073"/>
      <c r="CC45" s="1073"/>
      <c r="CD45" s="1073"/>
      <c r="CE45" s="1073"/>
      <c r="CF45" s="308"/>
      <c r="CG45" s="308"/>
      <c r="CH45" s="308"/>
      <c r="CI45" s="308"/>
      <c r="CJ45" s="308"/>
      <c r="CK45" s="308"/>
      <c r="CO45" s="1"/>
    </row>
    <row r="46" spans="2:97">
      <c r="B46" t="s">
        <v>208</v>
      </c>
      <c r="U46" s="39"/>
      <c r="V46" s="39"/>
      <c r="W46" s="39"/>
      <c r="AB46" s="1"/>
      <c r="AX46" s="110">
        <f>IFERROR(AX44/AX45,"")</f>
        <v>1.0987094285714287</v>
      </c>
      <c r="AY46" s="110"/>
      <c r="BK46" s="38">
        <f>IFERROR(BK44/BK45,"")</f>
        <v>1.5056065333333335</v>
      </c>
      <c r="BL46" s="38"/>
      <c r="BM46" s="38"/>
      <c r="BN46" s="38" t="str">
        <f t="shared" ref="BN46:BQ47" si="17">IFERROR(BN44/BN45,"")</f>
        <v/>
      </c>
      <c r="BO46" s="2151"/>
      <c r="BP46" s="38" t="str">
        <f t="shared" si="17"/>
        <v/>
      </c>
      <c r="BQ46" s="38" t="str">
        <f t="shared" si="17"/>
        <v/>
      </c>
      <c r="CF46" s="38"/>
      <c r="CG46" s="38"/>
      <c r="CH46" s="38"/>
      <c r="CI46" s="38"/>
      <c r="CJ46" s="38"/>
      <c r="CK46" s="38"/>
      <c r="CO46" s="887"/>
    </row>
    <row r="47" spans="2:97">
      <c r="R47" s="95">
        <f>R43+AU43</f>
        <v>49018.46</v>
      </c>
      <c r="AX47" s="110">
        <f>IFERROR(AX45/AX46,"")</f>
        <v>63711.112492240885</v>
      </c>
      <c r="AY47" s="110"/>
      <c r="BK47" s="38">
        <f>IFERROR(BK45/BK46,"")</f>
        <v>49813.811470354049</v>
      </c>
      <c r="BL47" s="38"/>
      <c r="BM47" s="38"/>
      <c r="BN47" s="38" t="str">
        <f t="shared" si="17"/>
        <v/>
      </c>
      <c r="BO47" s="2151"/>
      <c r="BP47" s="38" t="str">
        <f t="shared" si="17"/>
        <v/>
      </c>
      <c r="BQ47" s="38" t="str">
        <f t="shared" si="17"/>
        <v/>
      </c>
      <c r="CF47" s="38"/>
      <c r="CG47" s="38"/>
      <c r="CH47" s="38"/>
      <c r="CI47" s="38"/>
      <c r="CJ47" s="38"/>
      <c r="CK47" s="38"/>
      <c r="CO47" s="281"/>
    </row>
    <row r="48" spans="2:97">
      <c r="O48" s="987"/>
      <c r="P48" s="1"/>
      <c r="BO48" s="281"/>
      <c r="CO48" s="281"/>
    </row>
    <row r="49" spans="4:93">
      <c r="D49" s="1"/>
      <c r="BO49" s="281"/>
      <c r="CO49" s="1"/>
    </row>
    <row r="50" spans="4:93">
      <c r="D50" s="1">
        <f>C45/31</f>
        <v>35483.870967741932</v>
      </c>
      <c r="S50" s="1"/>
      <c r="BO50" s="281"/>
      <c r="CO50" s="887"/>
    </row>
    <row r="51" spans="4:93">
      <c r="S51" s="1"/>
      <c r="BO51" s="281"/>
    </row>
    <row r="52" spans="4:93">
      <c r="S52" s="887"/>
      <c r="BO52" s="281"/>
    </row>
    <row r="53" spans="4:93">
      <c r="G53" s="887"/>
      <c r="H53" s="887"/>
      <c r="BO53" s="281"/>
    </row>
    <row r="54" spans="4:93">
      <c r="O54" s="887"/>
      <c r="P54" s="887"/>
      <c r="BB54">
        <v>76909.66</v>
      </c>
      <c r="BO54" s="281"/>
    </row>
    <row r="55" spans="4:93">
      <c r="BO55" s="281"/>
    </row>
    <row r="56" spans="4:93">
      <c r="O56" s="887"/>
      <c r="P56" s="887"/>
      <c r="R56" s="887"/>
      <c r="BO56" s="281"/>
    </row>
    <row r="57" spans="4:93">
      <c r="G57" s="887"/>
      <c r="H57" s="987"/>
      <c r="O57" s="39"/>
      <c r="P57" s="39"/>
      <c r="Q57" s="39"/>
      <c r="R57" s="39"/>
      <c r="X57" s="39"/>
      <c r="Y57" s="39"/>
      <c r="Z57" s="39"/>
      <c r="AA57" s="39"/>
      <c r="AB57" s="39"/>
      <c r="AC57" s="39"/>
      <c r="AD57" s="39"/>
      <c r="AE57" s="39"/>
      <c r="AF57" s="39"/>
      <c r="AG57" s="39"/>
      <c r="AH57" s="39"/>
      <c r="AI57" s="39"/>
      <c r="AJ57" s="39"/>
      <c r="AK57" s="39"/>
      <c r="BO57" s="281"/>
    </row>
    <row r="58" spans="4:93">
      <c r="BN58" s="1"/>
      <c r="BO58" s="281"/>
    </row>
    <row r="59" spans="4:93">
      <c r="O59" s="987"/>
      <c r="P59" s="987"/>
      <c r="X59" s="987"/>
      <c r="Y59" s="987"/>
      <c r="Z59" s="987"/>
      <c r="AA59" s="987"/>
      <c r="AB59" s="987"/>
      <c r="AC59" s="987"/>
      <c r="AD59" s="987"/>
      <c r="AE59" s="987"/>
      <c r="AF59" s="987"/>
      <c r="AG59" s="987"/>
      <c r="AH59" s="987"/>
      <c r="AI59" s="987"/>
      <c r="AJ59" s="987"/>
      <c r="AK59" s="987"/>
      <c r="BO59" s="281"/>
    </row>
    <row r="60" spans="4:93">
      <c r="O60" s="987"/>
      <c r="P60" s="987"/>
      <c r="X60" s="987"/>
      <c r="Y60" s="987"/>
      <c r="Z60" s="987"/>
      <c r="AA60" s="987"/>
      <c r="AB60" s="987"/>
      <c r="AC60" s="987"/>
      <c r="AD60" s="987"/>
      <c r="AE60" s="987"/>
      <c r="AF60" s="987"/>
      <c r="AG60" s="987"/>
      <c r="AH60" s="987"/>
      <c r="AI60" s="987"/>
      <c r="AJ60" s="987"/>
      <c r="AK60" s="987"/>
      <c r="BO60" s="281"/>
    </row>
    <row r="61" spans="4:93">
      <c r="O61" s="987"/>
      <c r="P61" s="987"/>
      <c r="X61" s="987"/>
      <c r="Y61" s="987"/>
      <c r="Z61" s="987"/>
      <c r="AA61" s="987"/>
      <c r="AB61" s="987"/>
      <c r="AC61" s="987"/>
      <c r="AD61" s="987"/>
      <c r="AE61" s="987"/>
      <c r="AF61" s="987"/>
      <c r="AG61" s="987"/>
      <c r="AH61" s="987"/>
      <c r="AI61" s="987"/>
      <c r="AJ61" s="987"/>
      <c r="AK61" s="987"/>
      <c r="BO61" s="281"/>
    </row>
    <row r="62" spans="4:93">
      <c r="O62" s="987"/>
      <c r="P62" s="987"/>
      <c r="X62" s="987"/>
      <c r="Y62" s="987"/>
      <c r="Z62" s="987"/>
      <c r="AA62" s="987"/>
      <c r="AB62" s="987"/>
      <c r="AC62" s="987"/>
      <c r="AD62" s="987"/>
      <c r="AE62" s="987"/>
      <c r="AF62" s="987"/>
      <c r="AG62" s="987"/>
      <c r="AH62" s="987"/>
      <c r="AI62" s="987"/>
      <c r="AJ62" s="987"/>
      <c r="AK62" s="987"/>
      <c r="BO62" s="281"/>
    </row>
    <row r="63" spans="4:93">
      <c r="O63" s="987"/>
      <c r="P63" s="987"/>
      <c r="X63" s="987"/>
      <c r="Y63" s="987"/>
      <c r="Z63" s="987"/>
      <c r="AA63" s="987"/>
      <c r="AB63" s="987"/>
      <c r="AC63" s="987"/>
      <c r="AD63" s="987"/>
      <c r="AE63" s="987"/>
      <c r="AF63" s="987"/>
      <c r="AG63" s="987"/>
      <c r="AH63" s="987"/>
      <c r="AI63" s="987"/>
      <c r="AJ63" s="987"/>
      <c r="AK63" s="987"/>
      <c r="BO63" s="281"/>
    </row>
    <row r="64" spans="4:93">
      <c r="O64" s="987"/>
      <c r="P64" s="987"/>
      <c r="X64" s="987"/>
      <c r="Y64" s="987"/>
      <c r="Z64" s="987"/>
      <c r="AA64" s="987"/>
      <c r="AB64" s="987"/>
      <c r="AC64" s="987"/>
      <c r="AD64" s="987"/>
      <c r="AE64" s="987"/>
      <c r="AF64" s="987"/>
      <c r="AG64" s="987"/>
      <c r="AH64" s="987"/>
      <c r="AI64" s="987"/>
      <c r="AJ64" s="987"/>
      <c r="AK64" s="987"/>
      <c r="BO64" s="281"/>
    </row>
    <row r="65" spans="15:67">
      <c r="O65" s="987"/>
      <c r="P65" s="987"/>
      <c r="X65" s="987"/>
      <c r="Y65" s="987"/>
      <c r="Z65" s="987"/>
      <c r="AA65" s="987"/>
      <c r="AB65" s="987"/>
      <c r="AC65" s="987"/>
      <c r="AD65" s="987"/>
      <c r="AE65" s="987"/>
      <c r="AF65" s="987"/>
      <c r="AG65" s="987"/>
      <c r="AH65" s="987"/>
      <c r="AI65" s="987"/>
      <c r="AJ65" s="987"/>
      <c r="AK65" s="987"/>
      <c r="BO65" s="281"/>
    </row>
    <row r="66" spans="15:67">
      <c r="O66" s="987"/>
      <c r="P66" s="987"/>
      <c r="X66" s="987"/>
      <c r="Y66" s="987"/>
      <c r="Z66" s="987"/>
      <c r="AA66" s="987"/>
      <c r="AB66" s="987"/>
      <c r="AC66" s="987"/>
      <c r="AD66" s="987"/>
      <c r="AE66" s="987"/>
      <c r="AF66" s="987"/>
      <c r="AG66" s="987"/>
      <c r="AH66" s="987"/>
      <c r="AI66" s="987"/>
      <c r="AJ66" s="987"/>
      <c r="AK66" s="987"/>
      <c r="BO66" s="281"/>
    </row>
    <row r="67" spans="15:67">
      <c r="O67" s="987"/>
      <c r="P67" s="987"/>
      <c r="X67" s="987"/>
      <c r="Y67" s="987"/>
      <c r="Z67" s="987"/>
      <c r="AA67" s="987"/>
      <c r="AB67" s="987"/>
      <c r="AC67" s="987"/>
      <c r="AD67" s="987"/>
      <c r="AE67" s="987"/>
      <c r="AF67" s="987"/>
      <c r="AG67" s="987"/>
      <c r="AH67" s="987"/>
      <c r="AI67" s="987"/>
      <c r="AJ67" s="987"/>
      <c r="AK67" s="987"/>
      <c r="BO67" s="281"/>
    </row>
    <row r="68" spans="15:67" ht="14.4" hidden="1" customHeight="1">
      <c r="O68" s="987"/>
      <c r="P68" s="987"/>
      <c r="X68" s="987"/>
      <c r="Y68" s="987"/>
      <c r="Z68" s="987"/>
      <c r="AA68" s="987"/>
      <c r="AB68" s="987"/>
      <c r="AC68" s="987"/>
      <c r="AD68" s="987"/>
      <c r="AE68" s="987"/>
      <c r="AF68" s="987"/>
      <c r="AG68" s="987"/>
      <c r="AH68" s="987"/>
      <c r="AI68" s="987"/>
      <c r="AJ68" s="987"/>
      <c r="AK68" s="987"/>
      <c r="BO68" s="281">
        <v>64344</v>
      </c>
    </row>
    <row r="69" spans="15:67" hidden="1">
      <c r="O69" s="987"/>
      <c r="P69" s="987"/>
      <c r="X69" s="987"/>
      <c r="Y69" s="987"/>
      <c r="Z69" s="987"/>
      <c r="AA69" s="987"/>
      <c r="AB69" s="987"/>
      <c r="AC69" s="987"/>
      <c r="AD69" s="987"/>
      <c r="AE69" s="987"/>
      <c r="AF69" s="987"/>
      <c r="AG69" s="987"/>
      <c r="AH69" s="987"/>
      <c r="AI69" s="987"/>
      <c r="AJ69" s="987"/>
      <c r="AK69" s="987"/>
    </row>
    <row r="70" spans="15:67" hidden="1">
      <c r="O70" s="987"/>
      <c r="P70" s="987"/>
      <c r="X70" s="987"/>
      <c r="Y70" s="987"/>
      <c r="Z70" s="987"/>
      <c r="AA70" s="987"/>
      <c r="AB70" s="987"/>
      <c r="AC70" s="987"/>
      <c r="AD70" s="987"/>
      <c r="AE70" s="987"/>
      <c r="AF70" s="987"/>
      <c r="AG70" s="987"/>
      <c r="AH70" s="987"/>
      <c r="AI70" s="987"/>
      <c r="AJ70" s="987"/>
      <c r="AK70" s="987"/>
    </row>
    <row r="71" spans="15:67" hidden="1">
      <c r="O71" s="987"/>
      <c r="P71" s="987"/>
      <c r="X71" s="987"/>
      <c r="Y71" s="987"/>
      <c r="Z71" s="987"/>
      <c r="AA71" s="987"/>
      <c r="AB71" s="987"/>
      <c r="AC71" s="987"/>
      <c r="AD71" s="987"/>
      <c r="AE71" s="987"/>
      <c r="AF71" s="987"/>
      <c r="AG71" s="987"/>
      <c r="AH71" s="987"/>
      <c r="AI71" s="987"/>
      <c r="AJ71" s="987"/>
      <c r="AK71" s="987"/>
    </row>
    <row r="72" spans="15:67" hidden="1">
      <c r="O72" s="987"/>
      <c r="P72" s="987"/>
      <c r="X72" s="987"/>
      <c r="Y72" s="987"/>
      <c r="Z72" s="987"/>
      <c r="AA72" s="987"/>
      <c r="AB72" s="987"/>
      <c r="AC72" s="987"/>
      <c r="AD72" s="987"/>
      <c r="AE72" s="987"/>
      <c r="AF72" s="987"/>
      <c r="AG72" s="987"/>
      <c r="AH72" s="987"/>
      <c r="AI72" s="987"/>
      <c r="AJ72" s="987"/>
      <c r="AK72" s="987"/>
    </row>
    <row r="73" spans="15:67" hidden="1">
      <c r="O73" s="987"/>
      <c r="P73" s="987"/>
      <c r="X73" s="987"/>
      <c r="Y73" s="987"/>
      <c r="Z73" s="987"/>
      <c r="AA73" s="987"/>
      <c r="AB73" s="987"/>
      <c r="AC73" s="987"/>
      <c r="AD73" s="987"/>
      <c r="AE73" s="987"/>
      <c r="AF73" s="987"/>
      <c r="AG73" s="987"/>
      <c r="AH73" s="987"/>
      <c r="AI73" s="987"/>
      <c r="AJ73" s="987"/>
      <c r="AK73" s="987"/>
    </row>
    <row r="74" spans="15:67" hidden="1">
      <c r="O74" s="987"/>
      <c r="P74" s="987"/>
      <c r="X74" s="987"/>
      <c r="Y74" s="987"/>
      <c r="Z74" s="987"/>
      <c r="AA74" s="987"/>
      <c r="AB74" s="987"/>
      <c r="AC74" s="987"/>
      <c r="AD74" s="987"/>
      <c r="AE74" s="987"/>
      <c r="AF74" s="987"/>
      <c r="AG74" s="987"/>
      <c r="AH74" s="987"/>
      <c r="AI74" s="987"/>
      <c r="AJ74" s="987"/>
      <c r="AK74" s="987"/>
    </row>
    <row r="75" spans="15:67" hidden="1">
      <c r="O75" s="987"/>
      <c r="P75" s="987"/>
      <c r="X75" s="987"/>
      <c r="Y75" s="987"/>
      <c r="Z75" s="987"/>
      <c r="AA75" s="987"/>
      <c r="AB75" s="987"/>
      <c r="AC75" s="987"/>
      <c r="AD75" s="987"/>
      <c r="AE75" s="987"/>
      <c r="AF75" s="987"/>
      <c r="AG75" s="987"/>
      <c r="AH75" s="987"/>
      <c r="AI75" s="987"/>
      <c r="AJ75" s="987"/>
      <c r="AK75" s="987"/>
    </row>
    <row r="76" spans="15:67" hidden="1">
      <c r="O76" s="987"/>
      <c r="P76" s="987"/>
      <c r="X76" s="987"/>
      <c r="Y76" s="987"/>
      <c r="Z76" s="987"/>
      <c r="AA76" s="987"/>
      <c r="AB76" s="987"/>
      <c r="AC76" s="987"/>
      <c r="AD76" s="987"/>
      <c r="AE76" s="987"/>
      <c r="AF76" s="987"/>
      <c r="AG76" s="987"/>
      <c r="AH76" s="987"/>
      <c r="AI76" s="987"/>
      <c r="AJ76" s="987"/>
      <c r="AK76" s="987"/>
    </row>
    <row r="77" spans="15:67" hidden="1">
      <c r="O77" s="987"/>
      <c r="P77" s="987"/>
      <c r="X77" s="987"/>
      <c r="Y77" s="987"/>
      <c r="Z77" s="987"/>
      <c r="AA77" s="987"/>
      <c r="AB77" s="987"/>
      <c r="AC77" s="987"/>
      <c r="AD77" s="987"/>
      <c r="AE77" s="987"/>
      <c r="AF77" s="987"/>
      <c r="AG77" s="987"/>
      <c r="AH77" s="987"/>
      <c r="AI77" s="987"/>
      <c r="AJ77" s="987"/>
      <c r="AK77" s="987"/>
    </row>
    <row r="78" spans="15:67" hidden="1">
      <c r="O78" s="987"/>
      <c r="P78" s="987"/>
      <c r="X78" s="987"/>
      <c r="Y78" s="987"/>
      <c r="Z78" s="987"/>
      <c r="AA78" s="987"/>
      <c r="AB78" s="987"/>
      <c r="AC78" s="987"/>
      <c r="AD78" s="987"/>
      <c r="AE78" s="987"/>
      <c r="AF78" s="987"/>
      <c r="AG78" s="987"/>
      <c r="AH78" s="987"/>
      <c r="AI78" s="987"/>
      <c r="AJ78" s="987"/>
      <c r="AK78" s="987"/>
    </row>
    <row r="79" spans="15:67" hidden="1">
      <c r="O79" s="987"/>
      <c r="P79" s="987"/>
      <c r="X79" s="987"/>
      <c r="Y79" s="987"/>
      <c r="Z79" s="987"/>
      <c r="AA79" s="987"/>
      <c r="AB79" s="987"/>
      <c r="AC79" s="987"/>
      <c r="AD79" s="987"/>
      <c r="AE79" s="987"/>
      <c r="AF79" s="987"/>
      <c r="AG79" s="987"/>
      <c r="AH79" s="987"/>
      <c r="AI79" s="987"/>
      <c r="AJ79" s="987"/>
      <c r="AK79" s="987"/>
    </row>
    <row r="80" spans="15:67" hidden="1">
      <c r="O80" s="987"/>
      <c r="P80" s="987"/>
      <c r="X80" s="987"/>
      <c r="Y80" s="987"/>
      <c r="Z80" s="987"/>
      <c r="AA80" s="987"/>
      <c r="AB80" s="987"/>
      <c r="AC80" s="987"/>
      <c r="AD80" s="987"/>
      <c r="AE80" s="987"/>
      <c r="AF80" s="987"/>
      <c r="AG80" s="987"/>
      <c r="AH80" s="987"/>
      <c r="AI80" s="987"/>
      <c r="AJ80" s="987"/>
      <c r="AK80" s="987"/>
    </row>
    <row r="81" spans="15:37" hidden="1">
      <c r="O81" s="987"/>
      <c r="P81" s="987"/>
      <c r="X81" s="987"/>
      <c r="Y81" s="987"/>
      <c r="Z81" s="987"/>
      <c r="AA81" s="987"/>
      <c r="AB81" s="987"/>
      <c r="AC81" s="987"/>
      <c r="AD81" s="987"/>
      <c r="AE81" s="987"/>
      <c r="AF81" s="987"/>
      <c r="AG81" s="987"/>
      <c r="AH81" s="987"/>
      <c r="AI81" s="987"/>
      <c r="AJ81" s="987"/>
      <c r="AK81" s="987"/>
    </row>
    <row r="82" spans="15:37" hidden="1">
      <c r="O82" s="987"/>
      <c r="P82" s="987"/>
      <c r="X82" s="987"/>
      <c r="Y82" s="987"/>
      <c r="Z82" s="987"/>
      <c r="AA82" s="987"/>
      <c r="AB82" s="987"/>
      <c r="AC82" s="987"/>
      <c r="AD82" s="987"/>
      <c r="AE82" s="987"/>
      <c r="AF82" s="987"/>
      <c r="AG82" s="987"/>
      <c r="AH82" s="987"/>
      <c r="AI82" s="987"/>
      <c r="AJ82" s="987"/>
      <c r="AK82" s="987"/>
    </row>
    <row r="83" spans="15:37" hidden="1">
      <c r="O83" s="987"/>
      <c r="P83" s="987"/>
      <c r="X83" s="987"/>
      <c r="Y83" s="987"/>
      <c r="Z83" s="987"/>
      <c r="AA83" s="987"/>
      <c r="AB83" s="987"/>
      <c r="AC83" s="987"/>
      <c r="AD83" s="987"/>
      <c r="AE83" s="987"/>
      <c r="AF83" s="987"/>
      <c r="AG83" s="987"/>
      <c r="AH83" s="987"/>
      <c r="AI83" s="987"/>
      <c r="AJ83" s="987"/>
      <c r="AK83" s="987"/>
    </row>
    <row r="84" spans="15:37" hidden="1">
      <c r="O84" s="987"/>
      <c r="P84" s="987"/>
      <c r="X84" s="987"/>
      <c r="Y84" s="987"/>
      <c r="Z84" s="987"/>
      <c r="AA84" s="987"/>
      <c r="AB84" s="987"/>
      <c r="AC84" s="987"/>
      <c r="AD84" s="987"/>
      <c r="AE84" s="987"/>
      <c r="AF84" s="987"/>
      <c r="AG84" s="987"/>
      <c r="AH84" s="987"/>
      <c r="AI84" s="987"/>
      <c r="AJ84" s="987"/>
      <c r="AK84" s="987"/>
    </row>
    <row r="85" spans="15:37" hidden="1">
      <c r="O85" s="987"/>
      <c r="P85" s="987"/>
      <c r="X85" s="987"/>
      <c r="Y85" s="987"/>
      <c r="Z85" s="987"/>
      <c r="AA85" s="987"/>
      <c r="AB85" s="987"/>
      <c r="AC85" s="987"/>
      <c r="AD85" s="987"/>
      <c r="AE85" s="987"/>
      <c r="AF85" s="987"/>
      <c r="AG85" s="987"/>
      <c r="AH85" s="987"/>
      <c r="AI85" s="987"/>
      <c r="AJ85" s="987"/>
      <c r="AK85" s="987"/>
    </row>
    <row r="86" spans="15:37" hidden="1">
      <c r="O86" s="987"/>
      <c r="P86" s="987"/>
      <c r="X86" s="987"/>
      <c r="Y86" s="987"/>
      <c r="Z86" s="987"/>
      <c r="AA86" s="987"/>
      <c r="AB86" s="987"/>
      <c r="AC86" s="987"/>
      <c r="AD86" s="987"/>
      <c r="AE86" s="987"/>
      <c r="AF86" s="987"/>
      <c r="AG86" s="987"/>
      <c r="AH86" s="987"/>
      <c r="AI86" s="987"/>
      <c r="AJ86" s="987"/>
      <c r="AK86" s="987"/>
    </row>
    <row r="87" spans="15:37" hidden="1">
      <c r="O87" s="987"/>
      <c r="P87" s="987"/>
      <c r="X87" s="987"/>
      <c r="Y87" s="987"/>
      <c r="Z87" s="987"/>
      <c r="AA87" s="987"/>
      <c r="AB87" s="987"/>
      <c r="AC87" s="987"/>
      <c r="AD87" s="987"/>
      <c r="AE87" s="987"/>
      <c r="AF87" s="987"/>
      <c r="AG87" s="987"/>
      <c r="AH87" s="987"/>
      <c r="AI87" s="987"/>
      <c r="AJ87" s="987"/>
      <c r="AK87" s="987"/>
    </row>
    <row r="88" spans="15:37" hidden="1">
      <c r="O88" s="987"/>
      <c r="P88" s="987"/>
      <c r="X88" s="987"/>
      <c r="Y88" s="987"/>
      <c r="Z88" s="987"/>
      <c r="AA88" s="987"/>
      <c r="AB88" s="987"/>
      <c r="AC88" s="987"/>
      <c r="AD88" s="987"/>
      <c r="AE88" s="987"/>
      <c r="AF88" s="987"/>
      <c r="AG88" s="987"/>
      <c r="AH88" s="987"/>
      <c r="AI88" s="987"/>
      <c r="AJ88" s="987"/>
      <c r="AK88" s="987"/>
    </row>
    <row r="89" spans="15:37" hidden="1"/>
    <row r="90" spans="15:37" hidden="1"/>
    <row r="91" spans="15:37" hidden="1"/>
    <row r="92" spans="15:37" hidden="1"/>
    <row r="93" spans="15:37" hidden="1"/>
    <row r="94" spans="15:37" hidden="1"/>
    <row r="95" spans="15:37" hidden="1"/>
    <row r="96" spans="15:37" hidden="1"/>
    <row r="97" spans="2:37" hidden="1"/>
    <row r="98" spans="2:37" hidden="1"/>
    <row r="99" spans="2:37" hidden="1">
      <c r="O99" s="39">
        <v>9677.4193548387102</v>
      </c>
      <c r="P99" s="39"/>
      <c r="Q99" s="39">
        <v>347.15938203065798</v>
      </c>
      <c r="R99" s="39"/>
      <c r="X99" s="39"/>
      <c r="Y99" s="39"/>
      <c r="Z99" s="39"/>
      <c r="AA99" s="39"/>
      <c r="AB99" s="39"/>
      <c r="AC99" s="39"/>
      <c r="AD99" s="39"/>
      <c r="AE99" s="39"/>
      <c r="AF99" s="39"/>
      <c r="AG99" s="39"/>
      <c r="AH99" s="39"/>
      <c r="AI99" s="39"/>
      <c r="AJ99" s="39"/>
      <c r="AK99" s="39"/>
    </row>
    <row r="100" spans="2:37" hidden="1">
      <c r="B100">
        <v>1</v>
      </c>
      <c r="C100" t="e">
        <f>SUM(O100,#REF!,#REF!)</f>
        <v>#REF!</v>
      </c>
      <c r="D100" t="e">
        <f>SUM(Q100,#REF!,X100)</f>
        <v>#REF!</v>
      </c>
      <c r="N100">
        <v>1</v>
      </c>
      <c r="O100">
        <f>O99</f>
        <v>9677.4193548387102</v>
      </c>
    </row>
    <row r="101" spans="2:37" hidden="1">
      <c r="B101">
        <v>2</v>
      </c>
      <c r="C101" t="e">
        <f>SUM(O101,#REF!,#REF!)</f>
        <v>#REF!</v>
      </c>
      <c r="D101" t="e">
        <f>SUM(Q101,#REF!,X101)</f>
        <v>#REF!</v>
      </c>
      <c r="N101">
        <v>2</v>
      </c>
      <c r="O101">
        <f t="shared" ref="O101:O130" si="18">O100+($O$99)</f>
        <v>19354.83870967742</v>
      </c>
    </row>
    <row r="102" spans="2:37" hidden="1">
      <c r="B102">
        <v>3</v>
      </c>
      <c r="C102" t="e">
        <f>SUM(O102,#REF!,#REF!)</f>
        <v>#REF!</v>
      </c>
      <c r="D102" t="e">
        <f>SUM(Q102,#REF!,X102)</f>
        <v>#REF!</v>
      </c>
      <c r="N102">
        <v>3</v>
      </c>
      <c r="O102">
        <f t="shared" si="18"/>
        <v>29032.258064516129</v>
      </c>
    </row>
    <row r="103" spans="2:37" hidden="1">
      <c r="B103">
        <v>4</v>
      </c>
      <c r="C103" t="e">
        <f>SUM(O103,#REF!,#REF!)</f>
        <v>#REF!</v>
      </c>
      <c r="D103" t="e">
        <f>SUM(Q103,#REF!,X103)</f>
        <v>#REF!</v>
      </c>
      <c r="N103">
        <v>4</v>
      </c>
      <c r="O103">
        <f t="shared" si="18"/>
        <v>38709.677419354841</v>
      </c>
    </row>
    <row r="104" spans="2:37" hidden="1">
      <c r="B104">
        <v>5</v>
      </c>
      <c r="C104" t="e">
        <f>SUM(O104,#REF!,#REF!)</f>
        <v>#REF!</v>
      </c>
      <c r="D104" t="e">
        <f>SUM(Q104,#REF!,X104)</f>
        <v>#REF!</v>
      </c>
      <c r="N104">
        <v>5</v>
      </c>
      <c r="O104">
        <f t="shared" si="18"/>
        <v>48387.096774193553</v>
      </c>
    </row>
    <row r="105" spans="2:37" hidden="1">
      <c r="B105">
        <v>6</v>
      </c>
      <c r="C105" t="e">
        <f>SUM(O105,#REF!,#REF!)</f>
        <v>#REF!</v>
      </c>
      <c r="D105" t="e">
        <f>SUM(Q105,#REF!,X105)</f>
        <v>#REF!</v>
      </c>
      <c r="N105">
        <v>6</v>
      </c>
      <c r="O105">
        <f t="shared" si="18"/>
        <v>58064.516129032265</v>
      </c>
    </row>
    <row r="106" spans="2:37" hidden="1">
      <c r="B106">
        <v>7</v>
      </c>
      <c r="C106" t="e">
        <f>SUM(O106,#REF!,#REF!)</f>
        <v>#REF!</v>
      </c>
      <c r="D106" t="e">
        <f>SUM(Q106,#REF!,X106)</f>
        <v>#REF!</v>
      </c>
      <c r="N106">
        <v>7</v>
      </c>
      <c r="O106">
        <f t="shared" si="18"/>
        <v>67741.93548387097</v>
      </c>
    </row>
    <row r="107" spans="2:37" hidden="1">
      <c r="B107">
        <v>8</v>
      </c>
      <c r="C107" t="e">
        <f>SUM(O107,#REF!,#REF!)</f>
        <v>#REF!</v>
      </c>
      <c r="D107" t="e">
        <f>SUM(Q107,#REF!,X107)</f>
        <v>#REF!</v>
      </c>
      <c r="N107">
        <v>8</v>
      </c>
      <c r="O107">
        <f t="shared" si="18"/>
        <v>77419.354838709682</v>
      </c>
    </row>
    <row r="108" spans="2:37" hidden="1">
      <c r="B108">
        <v>9</v>
      </c>
      <c r="C108" t="e">
        <f>SUM(O108,#REF!,#REF!)</f>
        <v>#REF!</v>
      </c>
      <c r="D108" t="e">
        <f>SUM(Q108,#REF!,X108)</f>
        <v>#REF!</v>
      </c>
      <c r="N108">
        <v>9</v>
      </c>
      <c r="O108">
        <f t="shared" si="18"/>
        <v>87096.774193548394</v>
      </c>
    </row>
    <row r="109" spans="2:37" hidden="1">
      <c r="B109">
        <v>10</v>
      </c>
      <c r="C109" t="e">
        <f>SUM(O109,#REF!,#REF!)</f>
        <v>#REF!</v>
      </c>
      <c r="D109" t="e">
        <f>SUM(Q109,#REF!,X109)</f>
        <v>#REF!</v>
      </c>
      <c r="N109">
        <v>10</v>
      </c>
      <c r="O109">
        <f t="shared" si="18"/>
        <v>96774.193548387106</v>
      </c>
    </row>
    <row r="110" spans="2:37" hidden="1">
      <c r="B110">
        <v>11</v>
      </c>
      <c r="C110" t="e">
        <f>SUM(O110,#REF!,#REF!)</f>
        <v>#REF!</v>
      </c>
      <c r="D110" t="e">
        <f>SUM(Q110,#REF!,X110)</f>
        <v>#REF!</v>
      </c>
      <c r="N110">
        <v>11</v>
      </c>
      <c r="O110">
        <f t="shared" si="18"/>
        <v>106451.61290322582</v>
      </c>
    </row>
    <row r="111" spans="2:37" hidden="1">
      <c r="B111">
        <v>12</v>
      </c>
      <c r="C111" t="e">
        <f>SUM(O111,#REF!,#REF!)</f>
        <v>#REF!</v>
      </c>
      <c r="D111" t="e">
        <f>SUM(Q111,#REF!,X111)</f>
        <v>#REF!</v>
      </c>
      <c r="N111">
        <v>12</v>
      </c>
      <c r="O111">
        <f t="shared" si="18"/>
        <v>116129.03225806453</v>
      </c>
    </row>
    <row r="112" spans="2:37" hidden="1">
      <c r="B112">
        <v>13</v>
      </c>
      <c r="C112" t="e">
        <f>SUM(O112,#REF!,#REF!)</f>
        <v>#REF!</v>
      </c>
      <c r="D112" t="e">
        <f>SUM(Q112,#REF!,X112)</f>
        <v>#REF!</v>
      </c>
      <c r="N112">
        <v>13</v>
      </c>
      <c r="O112">
        <f t="shared" si="18"/>
        <v>125806.45161290324</v>
      </c>
    </row>
    <row r="113" spans="2:15" hidden="1">
      <c r="B113">
        <v>14</v>
      </c>
      <c r="C113" t="e">
        <f>SUM(O113,#REF!,#REF!)</f>
        <v>#REF!</v>
      </c>
      <c r="D113" t="e">
        <f>SUM(Q113,#REF!,X113)</f>
        <v>#REF!</v>
      </c>
      <c r="N113">
        <v>14</v>
      </c>
      <c r="O113">
        <f t="shared" si="18"/>
        <v>135483.87096774194</v>
      </c>
    </row>
    <row r="114" spans="2:15" hidden="1">
      <c r="B114">
        <v>15</v>
      </c>
      <c r="C114" t="e">
        <f>SUM(O114,#REF!,#REF!)</f>
        <v>#REF!</v>
      </c>
      <c r="D114" t="e">
        <f>SUM(Q114,#REF!,X114)</f>
        <v>#REF!</v>
      </c>
      <c r="N114">
        <v>15</v>
      </c>
      <c r="O114">
        <f t="shared" si="18"/>
        <v>145161.29032258064</v>
      </c>
    </row>
    <row r="115" spans="2:15" hidden="1">
      <c r="B115">
        <v>16</v>
      </c>
      <c r="C115" t="e">
        <f>SUM(O115,#REF!,#REF!)</f>
        <v>#REF!</v>
      </c>
      <c r="D115" t="e">
        <f>SUM(Q115,#REF!,X115)</f>
        <v>#REF!</v>
      </c>
      <c r="N115">
        <v>16</v>
      </c>
      <c r="O115">
        <f t="shared" si="18"/>
        <v>154838.70967741933</v>
      </c>
    </row>
    <row r="116" spans="2:15" hidden="1">
      <c r="B116">
        <v>17</v>
      </c>
      <c r="C116" t="e">
        <f>SUM(O116,#REF!,#REF!)</f>
        <v>#REF!</v>
      </c>
      <c r="D116" t="e">
        <f>SUM(Q116,#REF!,X116)</f>
        <v>#REF!</v>
      </c>
      <c r="N116">
        <v>17</v>
      </c>
      <c r="O116">
        <f t="shared" si="18"/>
        <v>164516.12903225803</v>
      </c>
    </row>
    <row r="117" spans="2:15" hidden="1">
      <c r="B117">
        <v>18</v>
      </c>
      <c r="C117" t="e">
        <f>SUM(O117,#REF!,#REF!)</f>
        <v>#REF!</v>
      </c>
      <c r="D117" t="e">
        <f>SUM(Q117,#REF!,X117)</f>
        <v>#REF!</v>
      </c>
      <c r="N117">
        <v>18</v>
      </c>
      <c r="O117">
        <f t="shared" si="18"/>
        <v>174193.54838709673</v>
      </c>
    </row>
    <row r="118" spans="2:15" hidden="1">
      <c r="B118">
        <v>19</v>
      </c>
      <c r="C118" t="e">
        <f>SUM(O118,#REF!,#REF!)</f>
        <v>#REF!</v>
      </c>
      <c r="D118" t="e">
        <f>SUM(Q118,#REF!,X118)</f>
        <v>#REF!</v>
      </c>
      <c r="N118">
        <v>19</v>
      </c>
      <c r="O118">
        <f t="shared" si="18"/>
        <v>183870.96774193543</v>
      </c>
    </row>
    <row r="119" spans="2:15" hidden="1">
      <c r="B119">
        <v>20</v>
      </c>
      <c r="C119" t="e">
        <f>SUM(O119,#REF!,#REF!)</f>
        <v>#REF!</v>
      </c>
      <c r="D119" t="e">
        <f>SUM(Q119,#REF!,X119)</f>
        <v>#REF!</v>
      </c>
      <c r="N119">
        <v>20</v>
      </c>
      <c r="O119">
        <f t="shared" si="18"/>
        <v>193548.38709677412</v>
      </c>
    </row>
    <row r="120" spans="2:15" hidden="1">
      <c r="B120">
        <v>21</v>
      </c>
      <c r="C120" t="e">
        <f>SUM(O120,#REF!,#REF!)</f>
        <v>#REF!</v>
      </c>
      <c r="D120" t="e">
        <f>SUM(Q120,#REF!,X120)</f>
        <v>#REF!</v>
      </c>
      <c r="N120">
        <v>21</v>
      </c>
      <c r="O120">
        <f t="shared" si="18"/>
        <v>203225.80645161282</v>
      </c>
    </row>
    <row r="121" spans="2:15" hidden="1">
      <c r="B121">
        <v>22</v>
      </c>
      <c r="C121" t="e">
        <f>SUM(O121,#REF!,#REF!)</f>
        <v>#REF!</v>
      </c>
      <c r="D121" t="e">
        <f>SUM(Q121,#REF!,X121)</f>
        <v>#REF!</v>
      </c>
      <c r="N121">
        <v>22</v>
      </c>
      <c r="O121">
        <f t="shared" si="18"/>
        <v>212903.22580645152</v>
      </c>
    </row>
    <row r="122" spans="2:15" hidden="1">
      <c r="B122">
        <v>23</v>
      </c>
      <c r="C122" t="e">
        <f>SUM(O122,#REF!,#REF!)</f>
        <v>#REF!</v>
      </c>
      <c r="D122" t="e">
        <f>SUM(Q122,#REF!,X122)</f>
        <v>#REF!</v>
      </c>
      <c r="N122">
        <v>23</v>
      </c>
      <c r="O122">
        <f t="shared" si="18"/>
        <v>222580.64516129022</v>
      </c>
    </row>
    <row r="123" spans="2:15" hidden="1">
      <c r="B123">
        <v>24</v>
      </c>
      <c r="C123" t="e">
        <f>SUM(O123,#REF!,#REF!)</f>
        <v>#REF!</v>
      </c>
      <c r="D123" t="e">
        <f>SUM(Q123,#REF!,X123)</f>
        <v>#REF!</v>
      </c>
      <c r="N123">
        <v>24</v>
      </c>
      <c r="O123">
        <f t="shared" si="18"/>
        <v>232258.06451612891</v>
      </c>
    </row>
    <row r="124" spans="2:15" hidden="1">
      <c r="B124">
        <v>25</v>
      </c>
      <c r="C124" t="e">
        <f>SUM(O124,#REF!,#REF!)</f>
        <v>#REF!</v>
      </c>
      <c r="D124" t="e">
        <f>SUM(Q124,#REF!,X124)</f>
        <v>#REF!</v>
      </c>
      <c r="N124">
        <v>25</v>
      </c>
      <c r="O124">
        <f t="shared" si="18"/>
        <v>241935.48387096761</v>
      </c>
    </row>
    <row r="125" spans="2:15" hidden="1">
      <c r="B125">
        <v>26</v>
      </c>
      <c r="C125" t="e">
        <f>SUM(O125,#REF!,#REF!)</f>
        <v>#REF!</v>
      </c>
      <c r="D125" t="e">
        <f>SUM(Q125,#REF!,X125)</f>
        <v>#REF!</v>
      </c>
      <c r="N125">
        <v>26</v>
      </c>
      <c r="O125">
        <f t="shared" si="18"/>
        <v>251612.90322580631</v>
      </c>
    </row>
    <row r="126" spans="2:15" hidden="1">
      <c r="B126">
        <v>27</v>
      </c>
      <c r="C126" t="e">
        <f>SUM(O126,#REF!,#REF!)</f>
        <v>#REF!</v>
      </c>
      <c r="D126" t="e">
        <f>SUM(Q126,#REF!,X126)</f>
        <v>#REF!</v>
      </c>
      <c r="N126">
        <v>27</v>
      </c>
      <c r="O126">
        <f t="shared" si="18"/>
        <v>261290.32258064501</v>
      </c>
    </row>
    <row r="127" spans="2:15" hidden="1">
      <c r="B127">
        <v>28</v>
      </c>
      <c r="C127" t="e">
        <f>SUM(O127,#REF!,#REF!)</f>
        <v>#REF!</v>
      </c>
      <c r="D127" t="e">
        <f>SUM(Q127,#REF!,X127)</f>
        <v>#REF!</v>
      </c>
      <c r="N127">
        <v>28</v>
      </c>
      <c r="O127">
        <f t="shared" si="18"/>
        <v>270967.7419354837</v>
      </c>
    </row>
    <row r="128" spans="2:15" hidden="1">
      <c r="B128">
        <v>29</v>
      </c>
      <c r="C128" t="e">
        <f>SUM(O128,#REF!,#REF!)</f>
        <v>#REF!</v>
      </c>
      <c r="D128" t="e">
        <f>SUM(Q128,#REF!,X128)</f>
        <v>#REF!</v>
      </c>
      <c r="N128">
        <v>29</v>
      </c>
      <c r="O128">
        <f t="shared" si="18"/>
        <v>280645.16129032243</v>
      </c>
    </row>
    <row r="129" spans="2:15" hidden="1">
      <c r="B129">
        <v>30</v>
      </c>
      <c r="C129" t="e">
        <f>SUM(O129,#REF!,#REF!)</f>
        <v>#REF!</v>
      </c>
      <c r="D129" t="e">
        <f>SUM(Q129,#REF!,X129)</f>
        <v>#REF!</v>
      </c>
      <c r="N129">
        <v>30</v>
      </c>
      <c r="O129">
        <f t="shared" si="18"/>
        <v>290322.58064516116</v>
      </c>
    </row>
    <row r="130" spans="2:15" hidden="1">
      <c r="B130">
        <v>31</v>
      </c>
      <c r="C130" t="e">
        <f>SUM(O130,#REF!,#REF!)</f>
        <v>#REF!</v>
      </c>
      <c r="D130" t="e">
        <f>SUM(Q130,#REF!,X130)</f>
        <v>#REF!</v>
      </c>
      <c r="N130">
        <v>31</v>
      </c>
      <c r="O130">
        <f t="shared" si="18"/>
        <v>299999.99999999988</v>
      </c>
    </row>
    <row r="131" spans="2:15" hidden="1"/>
    <row r="132" spans="2:15" hidden="1"/>
    <row r="133" spans="2:15" hidden="1"/>
    <row r="134" spans="2:15" hidden="1"/>
    <row r="135" spans="2:15" hidden="1"/>
    <row r="136" spans="2:15" hidden="1"/>
    <row r="137" spans="2:15" hidden="1"/>
    <row r="138" spans="2:15" hidden="1"/>
    <row r="139" spans="2:15" hidden="1"/>
    <row r="140" spans="2:15" hidden="1"/>
    <row r="141" spans="2:15" hidden="1"/>
  </sheetData>
  <mergeCells count="31">
    <mergeCell ref="B8:B11"/>
    <mergeCell ref="O8:T8"/>
    <mergeCell ref="Z8:AB8"/>
    <mergeCell ref="AI8:AL8"/>
    <mergeCell ref="AX8:BD8"/>
    <mergeCell ref="AX9:AX11"/>
    <mergeCell ref="AY9:AY11"/>
    <mergeCell ref="AZ9:BD9"/>
    <mergeCell ref="D10:D11"/>
    <mergeCell ref="E10:E11"/>
    <mergeCell ref="F10:G10"/>
    <mergeCell ref="H10:I10"/>
    <mergeCell ref="J10:K10"/>
    <mergeCell ref="L10:M10"/>
    <mergeCell ref="U10:W10"/>
    <mergeCell ref="BS8:BS9"/>
    <mergeCell ref="C9:M9"/>
    <mergeCell ref="O9:O11"/>
    <mergeCell ref="P9:R10"/>
    <mergeCell ref="S9:S11"/>
    <mergeCell ref="T9:T11"/>
    <mergeCell ref="X9:X11"/>
    <mergeCell ref="Z9:AB10"/>
    <mergeCell ref="AI9:AL9"/>
    <mergeCell ref="AO9:AR9"/>
    <mergeCell ref="BK8:BQ8"/>
    <mergeCell ref="BL9:BO9"/>
    <mergeCell ref="AZ10:BD10"/>
    <mergeCell ref="BP9:BP10"/>
    <mergeCell ref="BQ9:BQ10"/>
    <mergeCell ref="C10:C11"/>
  </mergeCells>
  <conditionalFormatting sqref="C43">
    <cfRule type="expression" dxfId="68" priority="12">
      <formula>OR(AND(C43&lt;(#REF!-(10%*#REF!)),#REF!="OB"),AND(C43&lt;(#REF!-(10%*#REF!)),#REF!="ROM"))</formula>
    </cfRule>
    <cfRule type="expression" dxfId="67" priority="13">
      <formula>$B43=DAY(TODAY()-1)</formula>
    </cfRule>
  </conditionalFormatting>
  <conditionalFormatting sqref="O12:U12 S13:T22 O13:R42 U13:U42 S23 O43:W43">
    <cfRule type="expression" dxfId="66" priority="14">
      <formula>OR(AND(O12&lt;(#REF!-(10%*#REF!)),#REF!="OB"),AND(O12&lt;(#REF!-(10%*#REF!)),#REF!="ROM"))</formula>
    </cfRule>
  </conditionalFormatting>
  <conditionalFormatting sqref="O12:U12 AX12:AY12 BQ12:BR37 BT12:CK37 AY13 S13:T22 O13:R42 U13:U42 AX13:AX42 AY15:AY18 S23 BQ39:BR42 BT39:CK43 O43:W43 BK43:BR43">
    <cfRule type="expression" dxfId="65" priority="15">
      <formula>$B12=DAY(TODAY()-1)</formula>
    </cfRule>
  </conditionalFormatting>
  <conditionalFormatting sqref="V12:W42 S24:T42">
    <cfRule type="expression" dxfId="64" priority="4">
      <formula>OR(AND(S12&lt;(#REF!-(10%*#REF!)),#REF!="OB"),AND(S12&lt;(#REF!-(10%*#REF!)),#REF!="ROM"))</formula>
    </cfRule>
    <cfRule type="expression" dxfId="63" priority="5">
      <formula>$B12=DAY(TODAY()-1)</formula>
    </cfRule>
  </conditionalFormatting>
  <conditionalFormatting sqref="X12:AK43">
    <cfRule type="expression" dxfId="62" priority="10">
      <formula>OR(AND(X12&lt;(#REF!-(10%*#REF!)),#REF!="OB"),AND(X12&lt;(#REF!-(10%*#REF!)),#REF!="ROM"))</formula>
    </cfRule>
    <cfRule type="expression" dxfId="61" priority="11">
      <formula>$B12=DAY(TODAY()-1)</formula>
    </cfRule>
  </conditionalFormatting>
  <conditionalFormatting sqref="AO1:AU100">
    <cfRule type="expression" dxfId="60" priority="2">
      <formula>OR(TEXT($A2,"dd/mm/yyyy")=TEXT(DATE(2025,4,18),"dd/mm/yyyy"), TEXT($A2,"dd/mm/yyyy")=TEXT(TODAY()-1,"dd/mm/yyyy"))</formula>
    </cfRule>
  </conditionalFormatting>
  <conditionalFormatting sqref="AO2:AU100">
    <cfRule type="expression" dxfId="59" priority="1">
      <formula>OR($B2=DAY(TODAY()-1))</formula>
    </cfRule>
  </conditionalFormatting>
  <conditionalFormatting sqref="AX43:AY43">
    <cfRule type="expression" dxfId="58" priority="8">
      <formula>$B43=DAY(TODAY()-1)</formula>
    </cfRule>
  </conditionalFormatting>
  <conditionalFormatting sqref="AY19">
    <cfRule type="expression" dxfId="57" priority="16">
      <formula>$B14=DAY(TODAY()-1)</formula>
    </cfRule>
  </conditionalFormatting>
  <conditionalFormatting sqref="AY20:AY42">
    <cfRule type="expression" dxfId="56" priority="7">
      <formula>$B20=DAY(TODAY()-1)</formula>
    </cfRule>
  </conditionalFormatting>
  <conditionalFormatting sqref="AZ12:BE43">
    <cfRule type="expression" dxfId="55" priority="6">
      <formula>$B12=DAY(TODAY()-1)</formula>
    </cfRule>
  </conditionalFormatting>
  <conditionalFormatting sqref="BK12:BP42">
    <cfRule type="expression" dxfId="54" priority="3">
      <formula>$B12=DAY(TODAY()-1)</formula>
    </cfRule>
  </conditionalFormatting>
  <conditionalFormatting sqref="BS12:BS42">
    <cfRule type="expression" dxfId="53" priority="9">
      <formula>$B12=DAY(TODAY()-1)</formula>
    </cfRule>
  </conditionalFormatting>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1:SI301"/>
  <sheetViews>
    <sheetView showGridLines="0" topLeftCell="A2" zoomScale="70" zoomScaleNormal="70" workbookViewId="0">
      <pane xSplit="2" topLeftCell="C1" activePane="topRight" state="frozen"/>
      <selection pane="topRight" activeCell="A16" sqref="A16:XFD16"/>
    </sheetView>
  </sheetViews>
  <sheetFormatPr defaultColWidth="8.6640625" defaultRowHeight="14.4"/>
  <cols>
    <col min="1" max="1" width="2.33203125" customWidth="1"/>
    <col min="2" max="2" width="7.33203125" customWidth="1"/>
    <col min="3" max="3" width="15.33203125" customWidth="1"/>
    <col min="4" max="4" width="13" customWidth="1"/>
    <col min="5" max="5" width="10.44140625" customWidth="1"/>
    <col min="6" max="7" width="10.44140625" hidden="1" customWidth="1"/>
    <col min="8" max="8" width="13.6640625" customWidth="1"/>
    <col min="9" max="9" width="10.44140625" customWidth="1"/>
    <col min="10" max="10" width="12.33203125" customWidth="1"/>
    <col min="11" max="11" width="11.5546875" customWidth="1"/>
    <col min="12" max="12" width="10" customWidth="1"/>
    <col min="13" max="13" width="8.6640625" customWidth="1"/>
    <col min="14" max="14" width="5" customWidth="1"/>
    <col min="15" max="15" width="14.6640625" customWidth="1"/>
    <col min="16" max="16" width="16.6640625" customWidth="1"/>
    <col min="17" max="17" width="11.6640625" customWidth="1"/>
    <col min="18" max="18" width="8.33203125" customWidth="1"/>
    <col min="19" max="19" width="12.6640625" customWidth="1"/>
    <col min="20" max="20" width="15.33203125" customWidth="1"/>
    <col min="21" max="21" width="10.33203125" customWidth="1"/>
    <col min="22" max="22" width="8.6640625" customWidth="1"/>
    <col min="23" max="23" width="13" customWidth="1"/>
    <col min="24" max="24" width="13.6640625" customWidth="1"/>
    <col min="25" max="25" width="10.6640625" customWidth="1"/>
    <col min="26" max="26" width="9.33203125" customWidth="1"/>
    <col min="27" max="27" width="15.44140625" customWidth="1"/>
    <col min="28" max="28" width="12.6640625" customWidth="1"/>
    <col min="29" max="30" width="9.33203125" customWidth="1"/>
    <col min="31" max="31" width="14.33203125" hidden="1" customWidth="1"/>
    <col min="32" max="33" width="12.6640625" hidden="1" customWidth="1"/>
    <col min="34" max="34" width="8.6640625" hidden="1" customWidth="1"/>
    <col min="35" max="35" width="10.33203125" hidden="1" customWidth="1"/>
    <col min="36" max="36" width="9.33203125" hidden="1" customWidth="1"/>
    <col min="37" max="38" width="8.6640625" hidden="1" customWidth="1"/>
    <col min="39" max="39" width="1.33203125" customWidth="1"/>
    <col min="40" max="40" width="12" hidden="1" customWidth="1"/>
    <col min="41" max="42" width="8.6640625" hidden="1" customWidth="1"/>
    <col min="43" max="43" width="14.5546875" hidden="1" customWidth="1"/>
    <col min="44" max="45" width="12.33203125" hidden="1" customWidth="1"/>
    <col min="46" max="46" width="14.6640625" hidden="1" customWidth="1"/>
    <col min="47" max="47" width="11.44140625" hidden="1" customWidth="1"/>
    <col min="48" max="48" width="11.6640625" hidden="1" customWidth="1"/>
    <col min="49" max="49" width="14.5546875" customWidth="1"/>
    <col min="50" max="50" width="17" customWidth="1"/>
    <col min="51" max="51" width="16.5546875" customWidth="1"/>
    <col min="52" max="52" width="8.5546875" hidden="1" customWidth="1"/>
    <col min="53" max="53" width="8.6640625" hidden="1" customWidth="1"/>
    <col min="54" max="54" width="9.33203125" hidden="1" customWidth="1"/>
    <col min="55" max="55" width="15" customWidth="1"/>
    <col min="56" max="56" width="12.33203125" customWidth="1"/>
    <col min="57" max="57" width="10.44140625" customWidth="1"/>
    <col min="58" max="58" width="13.6640625" hidden="1" customWidth="1"/>
    <col min="59" max="59" width="15.33203125" hidden="1" customWidth="1"/>
    <col min="60" max="60" width="9.33203125" hidden="1" customWidth="1"/>
    <col min="61" max="61" width="11.6640625" hidden="1" customWidth="1"/>
    <col min="62" max="62" width="12.33203125" hidden="1" customWidth="1"/>
    <col min="63" max="63" width="8.6640625" hidden="1" customWidth="1"/>
    <col min="64" max="64" width="13.109375" customWidth="1"/>
    <col min="65" max="66" width="12.33203125" customWidth="1"/>
    <col min="67" max="67" width="8.6640625" customWidth="1"/>
    <col min="68" max="68" width="11.44140625" customWidth="1"/>
    <col min="69" max="69" width="14.6640625" customWidth="1"/>
    <col min="70" max="70" width="10.6640625" customWidth="1"/>
    <col min="71" max="72" width="11.44140625" hidden="1" customWidth="1"/>
    <col min="73" max="73" width="8.6640625" hidden="1" customWidth="1"/>
    <col min="74" max="74" width="13.33203125" customWidth="1"/>
    <col min="75" max="75" width="12.6640625" customWidth="1"/>
    <col min="76" max="76" width="11.88671875" customWidth="1"/>
    <col min="77" max="77" width="13.5546875" hidden="1" customWidth="1"/>
    <col min="78" max="78" width="12.33203125" hidden="1" customWidth="1"/>
    <col min="79" max="79" width="9.33203125" hidden="1" customWidth="1"/>
    <col min="80" max="80" width="12.6640625" hidden="1" customWidth="1"/>
    <col min="81" max="81" width="11.33203125" hidden="1" customWidth="1"/>
    <col min="82" max="82" width="9.33203125" hidden="1" customWidth="1"/>
    <col min="83" max="83" width="13.44140625" hidden="1" customWidth="1"/>
    <col min="84" max="84" width="13" hidden="1" customWidth="1"/>
    <col min="85" max="85" width="9.33203125" hidden="1" customWidth="1"/>
    <col min="86" max="86" width="7.6640625" customWidth="1"/>
    <col min="87" max="88" width="10.6640625" customWidth="1"/>
    <col min="89" max="89" width="12.33203125" customWidth="1"/>
    <col min="90" max="90" width="11" customWidth="1"/>
    <col min="91" max="91" width="0" hidden="1" customWidth="1"/>
    <col min="92" max="92" width="11.6640625" customWidth="1"/>
    <col min="93" max="93" width="0" hidden="1" customWidth="1"/>
    <col min="94" max="94" width="18.33203125" customWidth="1"/>
    <col min="95" max="95" width="6.6640625" customWidth="1"/>
    <col min="97" max="97" width="11.6640625" bestFit="1" customWidth="1"/>
    <col min="99" max="99" width="11.6640625" bestFit="1" customWidth="1"/>
    <col min="101" max="101" width="11.6640625" bestFit="1" customWidth="1"/>
    <col min="103" max="103" width="11.6640625" bestFit="1" customWidth="1"/>
    <col min="104" max="104" width="11.5546875" customWidth="1"/>
    <col min="105" max="105" width="11.6640625" bestFit="1" customWidth="1"/>
    <col min="106" max="106" width="10.33203125" customWidth="1"/>
    <col min="107" max="107" width="11.6640625" bestFit="1" customWidth="1"/>
    <col min="108" max="108" width="13.33203125" bestFit="1" customWidth="1"/>
    <col min="109" max="109" width="7.6640625" customWidth="1"/>
    <col min="110" max="110" width="12.33203125" customWidth="1"/>
    <col min="111" max="111" width="11.6640625" bestFit="1" customWidth="1"/>
    <col min="112" max="112" width="11.6640625" customWidth="1"/>
    <col min="113" max="113" width="11.6640625" bestFit="1" customWidth="1"/>
    <col min="114" max="114" width="12.5546875" bestFit="1" customWidth="1"/>
    <col min="115" max="115" width="11.6640625" bestFit="1" customWidth="1"/>
    <col min="116" max="116" width="12.5546875" customWidth="1"/>
    <col min="117" max="117" width="11.6640625" bestFit="1" customWidth="1"/>
    <col min="118" max="118" width="12.6640625" bestFit="1" customWidth="1"/>
    <col min="119" max="119" width="11.6640625" bestFit="1" customWidth="1"/>
    <col min="120" max="121" width="12.33203125" customWidth="1"/>
    <col min="122" max="122" width="11.6640625" bestFit="1" customWidth="1"/>
    <col min="123" max="123" width="13.6640625" bestFit="1" customWidth="1"/>
    <col min="124" max="124" width="11.33203125" customWidth="1"/>
    <col min="125" max="125" width="16.6640625" customWidth="1"/>
    <col min="126" max="126" width="9.6640625" customWidth="1"/>
    <col min="127" max="127" width="11.6640625" bestFit="1" customWidth="1"/>
    <col min="128" max="128" width="10.33203125" bestFit="1" customWidth="1"/>
    <col min="129" max="129" width="11.6640625" bestFit="1" customWidth="1"/>
    <col min="130" max="130" width="10.33203125" customWidth="1"/>
    <col min="131" max="131" width="11.6640625" bestFit="1" customWidth="1"/>
    <col min="132" max="132" width="12.33203125" customWidth="1"/>
    <col min="133" max="133" width="10.33203125" customWidth="1"/>
    <col min="134" max="134" width="9.33203125" customWidth="1"/>
    <col min="135" max="135" width="11.6640625" bestFit="1" customWidth="1"/>
    <col min="136" max="136" width="14.6640625" customWidth="1"/>
    <col min="137" max="137" width="12.6640625" bestFit="1" customWidth="1"/>
    <col min="138" max="138" width="12.33203125" customWidth="1"/>
    <col min="139" max="139" width="12.6640625" bestFit="1" customWidth="1"/>
    <col min="140" max="140" width="12.33203125" customWidth="1"/>
    <col min="141" max="141" width="12.6640625" bestFit="1" customWidth="1"/>
    <col min="142" max="142" width="12.33203125" customWidth="1"/>
    <col min="143" max="143" width="12.6640625" bestFit="1" customWidth="1"/>
    <col min="144" max="144" width="12.33203125" customWidth="1"/>
    <col min="145" max="145" width="12.6640625" bestFit="1" customWidth="1"/>
    <col min="146" max="146" width="12.33203125" customWidth="1"/>
    <col min="147" max="147" width="12.6640625" bestFit="1" customWidth="1"/>
    <col min="148" max="148" width="11.6640625" customWidth="1"/>
    <col min="149" max="149" width="12.6640625" customWidth="1"/>
    <col min="150" max="156" width="8.6640625" hidden="1" customWidth="1"/>
    <col min="157" max="157" width="1.33203125" customWidth="1"/>
    <col min="158" max="158" width="6.6640625" customWidth="1"/>
    <col min="161" max="161" width="9.33203125" bestFit="1" customWidth="1"/>
    <col min="164" max="164" width="1.33203125" customWidth="1"/>
    <col min="165" max="178" width="8.6640625" hidden="1" customWidth="1"/>
    <col min="179" max="179" width="7.33203125" bestFit="1" customWidth="1"/>
    <col min="180" max="180" width="11.6640625" bestFit="1" customWidth="1"/>
    <col min="181" max="181" width="6.6640625" bestFit="1" customWidth="1"/>
    <col min="182" max="182" width="11.6640625" bestFit="1" customWidth="1"/>
    <col min="183" max="183" width="6.6640625" bestFit="1" customWidth="1"/>
    <col min="184" max="184" width="11.6640625" bestFit="1" customWidth="1"/>
    <col min="185" max="185" width="6.6640625" bestFit="1" customWidth="1"/>
    <col min="186" max="186" width="11.6640625" bestFit="1" customWidth="1"/>
    <col min="187" max="187" width="10.33203125" bestFit="1" customWidth="1"/>
    <col min="188" max="188" width="11.6640625" bestFit="1" customWidth="1"/>
    <col min="189" max="189" width="8.44140625" customWidth="1"/>
    <col min="190" max="190" width="11.6640625" bestFit="1" customWidth="1"/>
    <col min="192" max="192" width="1.33203125" customWidth="1"/>
    <col min="193" max="193" width="6.6640625" customWidth="1"/>
    <col min="194" max="194" width="13" customWidth="1"/>
    <col min="195" max="195" width="13.44140625" customWidth="1"/>
    <col min="196" max="196" width="14.33203125" customWidth="1"/>
    <col min="197" max="197" width="17.33203125" customWidth="1"/>
    <col min="198" max="198" width="10.33203125" hidden="1" customWidth="1"/>
    <col min="199" max="199" width="8.6640625" hidden="1" customWidth="1"/>
    <col min="200" max="200" width="45.33203125" customWidth="1"/>
    <col min="201" max="201" width="1.33203125" customWidth="1"/>
    <col min="202" max="202" width="15.44140625" customWidth="1"/>
    <col min="203" max="204" width="13.33203125" customWidth="1"/>
    <col min="205" max="205" width="12.33203125" customWidth="1"/>
    <col min="206" max="206" width="15.33203125" customWidth="1"/>
    <col min="207" max="207" width="1.33203125" customWidth="1"/>
    <col min="208" max="208" width="13.5546875" customWidth="1"/>
    <col min="209" max="209" width="12.33203125" customWidth="1"/>
    <col min="210" max="210" width="13.33203125" customWidth="1"/>
    <col min="211" max="211" width="13" customWidth="1"/>
    <col min="212" max="212" width="12.6640625" customWidth="1"/>
    <col min="213" max="213" width="14.44140625" customWidth="1"/>
    <col min="214" max="214" width="12" customWidth="1"/>
    <col min="215" max="216" width="11.6640625" customWidth="1"/>
    <col min="217" max="217" width="13" customWidth="1"/>
    <col min="218" max="218" width="11.5546875" customWidth="1"/>
    <col min="219" max="219" width="11.6640625" customWidth="1"/>
    <col min="220" max="220" width="10.44140625" customWidth="1"/>
    <col min="221" max="221" width="10.33203125" customWidth="1"/>
    <col min="222" max="222" width="11.44140625" customWidth="1"/>
    <col min="223" max="236" width="10.44140625" hidden="1" customWidth="1"/>
    <col min="237" max="237" width="0.5546875" hidden="1" customWidth="1"/>
    <col min="238" max="238" width="11.33203125" customWidth="1"/>
    <col min="239" max="239" width="11.6640625" customWidth="1"/>
    <col min="240" max="240" width="10.33203125" customWidth="1"/>
    <col min="241" max="241" width="11.6640625" customWidth="1"/>
    <col min="242" max="242" width="12.33203125" bestFit="1" customWidth="1"/>
    <col min="243" max="243" width="11.6640625" bestFit="1" customWidth="1"/>
    <col min="244" max="244" width="12" customWidth="1"/>
    <col min="245" max="245" width="11.6640625" bestFit="1" customWidth="1"/>
    <col min="246" max="246" width="12.33203125" bestFit="1" customWidth="1"/>
    <col min="247" max="247" width="11.6640625" bestFit="1" customWidth="1"/>
    <col min="248" max="248" width="13.33203125" customWidth="1"/>
    <col min="249" max="249" width="12.33203125" customWidth="1"/>
    <col min="250" max="251" width="8.6640625" customWidth="1"/>
    <col min="252" max="252" width="13" customWidth="1"/>
    <col min="253" max="253" width="10.6640625" customWidth="1"/>
    <col min="254" max="254" width="11.6640625" bestFit="1" customWidth="1"/>
    <col min="255" max="255" width="9.44140625" customWidth="1"/>
    <col min="256" max="256" width="11.6640625" bestFit="1" customWidth="1"/>
    <col min="257" max="258" width="12" bestFit="1" customWidth="1"/>
    <col min="259" max="259" width="10.5546875" customWidth="1"/>
    <col min="260" max="260" width="11.6640625" bestFit="1" customWidth="1"/>
    <col min="261" max="261" width="12.5546875" bestFit="1" customWidth="1"/>
    <col min="262" max="262" width="12" bestFit="1" customWidth="1"/>
    <col min="263" max="263" width="11.6640625" customWidth="1"/>
    <col min="264" max="264" width="11.6640625" bestFit="1" customWidth="1"/>
    <col min="267" max="267" width="13" customWidth="1"/>
    <col min="268" max="268" width="1.33203125" customWidth="1"/>
    <col min="269" max="269" width="6.6640625" customWidth="1"/>
    <col min="270" max="270" width="15.33203125" customWidth="1"/>
    <col min="271" max="271" width="16" customWidth="1"/>
    <col min="272" max="272" width="15.5546875" bestFit="1" customWidth="1"/>
    <col min="273" max="273" width="13.6640625" customWidth="1"/>
    <col min="274" max="274" width="13" bestFit="1" customWidth="1"/>
    <col min="275" max="275" width="3.6640625" customWidth="1"/>
    <col min="276" max="276" width="9.6640625" customWidth="1"/>
    <col min="278" max="278" width="12.33203125" bestFit="1" customWidth="1"/>
    <col min="279" max="279" width="12.44140625" customWidth="1"/>
    <col min="280" max="280" width="11.5546875" customWidth="1"/>
    <col min="284" max="288" width="8.6640625" customWidth="1"/>
    <col min="289" max="289" width="9.33203125" customWidth="1"/>
    <col min="290" max="291" width="8.6640625" customWidth="1"/>
    <col min="298" max="298" width="8.6640625" customWidth="1"/>
    <col min="299" max="299" width="6.33203125" customWidth="1"/>
    <col min="301" max="301" width="1.33203125" customWidth="1"/>
    <col min="302" max="302" width="10.6640625" bestFit="1" customWidth="1"/>
    <col min="303" max="303" width="8.88671875" bestFit="1" customWidth="1"/>
    <col min="304" max="306" width="8.6640625" bestFit="1" customWidth="1"/>
    <col min="307" max="307" width="10.33203125" customWidth="1"/>
    <col min="308" max="308" width="8.33203125" customWidth="1"/>
    <col min="309" max="311" width="8.6640625" customWidth="1"/>
    <col min="317" max="317" width="0" hidden="1" customWidth="1"/>
    <col min="318" max="318" width="1.33203125" customWidth="1"/>
    <col min="319" max="319" width="6.6640625" customWidth="1"/>
    <col min="320" max="320" width="16.33203125" customWidth="1"/>
    <col min="321" max="321" width="15.33203125" customWidth="1"/>
    <col min="322" max="322" width="15.109375" customWidth="1"/>
    <col min="323" max="323" width="14.33203125" bestFit="1" customWidth="1"/>
    <col min="324" max="324" width="15.88671875" customWidth="1"/>
    <col min="325" max="325" width="13.44140625" bestFit="1" customWidth="1"/>
    <col min="327" max="327" width="0" hidden="1" customWidth="1"/>
    <col min="329" max="329" width="49.33203125" customWidth="1"/>
    <col min="330" max="330" width="1.33203125" customWidth="1"/>
    <col min="331" max="331" width="15.33203125" customWidth="1"/>
    <col min="332" max="332" width="10.33203125" bestFit="1" customWidth="1"/>
    <col min="333" max="333" width="13.6640625" bestFit="1" customWidth="1"/>
    <col min="334" max="334" width="9.44140625" customWidth="1"/>
    <col min="335" max="335" width="9.6640625" customWidth="1"/>
    <col min="336" max="336" width="12.33203125" customWidth="1"/>
    <col min="337" max="337" width="11.21875" customWidth="1"/>
    <col min="338" max="338" width="11.33203125" customWidth="1"/>
    <col min="339" max="339" width="13.6640625" bestFit="1" customWidth="1"/>
    <col min="340" max="340" width="12" bestFit="1" customWidth="1"/>
    <col min="341" max="341" width="13" bestFit="1" customWidth="1"/>
    <col min="342" max="342" width="12.21875" bestFit="1" customWidth="1"/>
    <col min="343" max="343" width="9.33203125" bestFit="1" customWidth="1"/>
    <col min="344" max="344" width="12.6640625" customWidth="1"/>
    <col min="345" max="345" width="13.6640625" bestFit="1" customWidth="1"/>
    <col min="346" max="346" width="9.44140625" bestFit="1" customWidth="1"/>
    <col min="347" max="347" width="9.6640625" bestFit="1" customWidth="1"/>
    <col min="348" max="348" width="13.5546875" bestFit="1" customWidth="1"/>
    <col min="349" max="349" width="7.6640625" customWidth="1"/>
    <col min="350" max="350" width="9.33203125" customWidth="1"/>
    <col min="351" max="351" width="15.5546875" customWidth="1"/>
    <col min="352" max="352" width="9.44140625" customWidth="1"/>
    <col min="353" max="353" width="9.6640625" customWidth="1"/>
    <col min="354" max="354" width="13.5546875" customWidth="1"/>
    <col min="355" max="356" width="9.33203125" customWidth="1"/>
    <col min="357" max="357" width="15.5546875" customWidth="1"/>
    <col min="358" max="358" width="9.44140625" customWidth="1"/>
    <col min="359" max="359" width="9.6640625" customWidth="1"/>
    <col min="360" max="360" width="8.6640625" customWidth="1"/>
    <col min="361" max="361" width="1.33203125" customWidth="1"/>
    <col min="362" max="362" width="6.6640625" customWidth="1"/>
    <col min="363" max="363" width="13" customWidth="1"/>
    <col min="364" max="364" width="12.33203125" customWidth="1"/>
    <col min="366" max="366" width="12" customWidth="1"/>
    <col min="367" max="367" width="1.33203125" customWidth="1"/>
    <col min="368" max="368" width="17.33203125" customWidth="1"/>
    <col min="369" max="369" width="17.6640625" customWidth="1"/>
    <col min="370" max="370" width="17.6640625" hidden="1" customWidth="1"/>
    <col min="371" max="371" width="15.33203125" customWidth="1"/>
    <col min="372" max="372" width="13.6640625" hidden="1" customWidth="1"/>
    <col min="373" max="373" width="14.44140625" hidden="1" customWidth="1"/>
    <col min="374" max="374" width="12.33203125" hidden="1" customWidth="1"/>
    <col min="375" max="375" width="11.6640625" hidden="1" customWidth="1"/>
    <col min="376" max="376" width="12" hidden="1" customWidth="1"/>
    <col min="377" max="377" width="11.6640625" hidden="1" customWidth="1"/>
    <col min="378" max="378" width="13.33203125" hidden="1" customWidth="1"/>
    <col min="379" max="379" width="13.44140625" hidden="1" customWidth="1"/>
    <col min="380" max="380" width="12.5546875" customWidth="1"/>
    <col min="381" max="381" width="11.6640625" customWidth="1"/>
    <col min="382" max="382" width="9.33203125" customWidth="1"/>
    <col min="383" max="383" width="11.6640625" bestFit="1" customWidth="1"/>
    <col min="384" max="384" width="11.5546875" bestFit="1" customWidth="1"/>
    <col min="385" max="385" width="12.33203125" hidden="1" customWidth="1"/>
    <col min="386" max="386" width="11.6640625" hidden="1" customWidth="1"/>
    <col min="387" max="387" width="11.33203125" hidden="1" customWidth="1"/>
    <col min="388" max="388" width="11.6640625" hidden="1" customWidth="1"/>
    <col min="389" max="389" width="10.33203125" hidden="1" customWidth="1"/>
    <col min="390" max="390" width="11.6640625" hidden="1" customWidth="1"/>
    <col min="391" max="391" width="12.33203125" customWidth="1"/>
    <col min="392" max="392" width="11.6640625" hidden="1" customWidth="1"/>
    <col min="393" max="393" width="13.44140625" customWidth="1"/>
    <col min="394" max="394" width="14.6640625" hidden="1" customWidth="1"/>
    <col min="395" max="395" width="11.33203125" bestFit="1" customWidth="1"/>
    <col min="396" max="396" width="12.6640625" hidden="1" customWidth="1"/>
    <col min="397" max="397" width="12.33203125" customWidth="1"/>
    <col min="398" max="398" width="10" hidden="1" customWidth="1"/>
    <col min="399" max="399" width="11.6640625" hidden="1" customWidth="1"/>
    <col min="400" max="400" width="9.6640625" hidden="1" customWidth="1"/>
    <col min="401" max="401" width="11.6640625" hidden="1" customWidth="1"/>
    <col min="402" max="402" width="11" hidden="1" customWidth="1"/>
    <col min="403" max="403" width="11.6640625" hidden="1" customWidth="1"/>
    <col min="404" max="404" width="9.6640625" hidden="1" customWidth="1"/>
    <col min="405" max="405" width="11.6640625" hidden="1" customWidth="1"/>
    <col min="406" max="406" width="10.6640625" customWidth="1"/>
    <col min="407" max="407" width="11.6640625" hidden="1" customWidth="1"/>
    <col min="408" max="408" width="10.6640625" customWidth="1"/>
    <col min="409" max="409" width="11.6640625" hidden="1" customWidth="1"/>
    <col min="410" max="410" width="13.6640625" customWidth="1"/>
    <col min="411" max="411" width="9.33203125" hidden="1" customWidth="1"/>
    <col min="412" max="412" width="9.5546875" hidden="1" customWidth="1"/>
    <col min="413" max="416" width="9.33203125" hidden="1" customWidth="1"/>
    <col min="417" max="417" width="9.5546875" hidden="1" customWidth="1"/>
    <col min="418" max="421" width="8.6640625" hidden="1" customWidth="1"/>
    <col min="422" max="422" width="13.44140625" hidden="1" customWidth="1"/>
    <col min="423" max="423" width="8.6640625" hidden="1" customWidth="1"/>
    <col min="424" max="424" width="9.33203125" hidden="1" customWidth="1"/>
    <col min="425" max="425" width="1.33203125" hidden="1" customWidth="1"/>
    <col min="426" max="426" width="10.44140625" customWidth="1"/>
    <col min="427" max="427" width="11.6640625" customWidth="1"/>
    <col min="428" max="430" width="9.5546875" customWidth="1"/>
    <col min="431" max="431" width="11.5546875" customWidth="1"/>
    <col min="432" max="432" width="11.88671875" customWidth="1"/>
    <col min="433" max="433" width="15.6640625" customWidth="1"/>
    <col min="434" max="434" width="1.33203125" customWidth="1"/>
    <col min="435" max="435" width="6.6640625" customWidth="1"/>
    <col min="436" max="437" width="14" customWidth="1"/>
    <col min="439" max="440" width="12.33203125" customWidth="1"/>
    <col min="441" max="442" width="14" customWidth="1"/>
    <col min="443" max="443" width="10.6640625" customWidth="1"/>
    <col min="444" max="444" width="12" bestFit="1" customWidth="1"/>
    <col min="445" max="445" width="11.33203125" customWidth="1"/>
    <col min="446" max="449" width="12" customWidth="1"/>
    <col min="450" max="450" width="12.6640625" customWidth="1"/>
    <col min="451" max="451" width="11.5546875" customWidth="1"/>
    <col min="452" max="452" width="14.33203125" customWidth="1"/>
    <col min="453" max="453" width="14.33203125" hidden="1" customWidth="1"/>
    <col min="463" max="478" width="0" hidden="1" customWidth="1"/>
    <col min="479" max="479" width="12.33203125" hidden="1" customWidth="1"/>
    <col min="480" max="482" width="8.6640625" hidden="1" customWidth="1"/>
    <col min="483" max="483" width="8.6640625" customWidth="1"/>
    <col min="484" max="485" width="11.33203125" customWidth="1"/>
    <col min="486" max="486" width="10" bestFit="1" customWidth="1"/>
    <col min="487" max="487" width="10" customWidth="1"/>
    <col min="488" max="488" width="18.33203125" bestFit="1" customWidth="1"/>
    <col min="489" max="489" width="19.5546875" bestFit="1" customWidth="1"/>
    <col min="493" max="493" width="11.6640625" customWidth="1"/>
    <col min="494" max="494" width="19.5546875" bestFit="1" customWidth="1"/>
    <col min="503" max="503" width="19.44140625" customWidth="1"/>
  </cols>
  <sheetData>
    <row r="1" spans="1:503">
      <c r="AQ1" s="887"/>
      <c r="AR1" s="887"/>
      <c r="AW1" s="887"/>
      <c r="AX1" s="887"/>
      <c r="BF1" s="887"/>
      <c r="BG1" s="887"/>
      <c r="BI1" s="887"/>
      <c r="BJ1" s="887"/>
      <c r="BP1" s="887"/>
      <c r="BQ1" s="887"/>
      <c r="BS1" s="887"/>
      <c r="BT1" s="887"/>
      <c r="CJ1" s="1">
        <f>CF28+CC28</f>
        <v>0</v>
      </c>
      <c r="EF1" s="28"/>
      <c r="EL1" s="281"/>
      <c r="GO1">
        <v>721.35</v>
      </c>
      <c r="GQ1" s="314"/>
      <c r="HJ1" s="1">
        <v>89.9</v>
      </c>
      <c r="IL1" s="1692"/>
      <c r="IQ1">
        <v>58.5</v>
      </c>
      <c r="JJ1" s="106"/>
      <c r="JK1" s="106"/>
      <c r="JL1" s="106"/>
      <c r="LO1" s="106"/>
      <c r="NF1" s="98"/>
      <c r="NG1" s="98"/>
      <c r="NH1" s="145"/>
      <c r="NM1" s="1"/>
      <c r="NQ1" s="1"/>
      <c r="OE1">
        <v>2540.64</v>
      </c>
      <c r="OK1" s="72"/>
      <c r="PQ1" s="1"/>
      <c r="PT1" s="1"/>
      <c r="RZ1" s="1"/>
    </row>
    <row r="2" spans="1:503">
      <c r="BT2" s="1"/>
      <c r="BW2" s="1"/>
      <c r="CF2" s="1"/>
      <c r="DF2">
        <v>214.42</v>
      </c>
      <c r="DN2" s="852"/>
      <c r="DS2" s="25"/>
      <c r="EI2" s="281"/>
      <c r="EJ2" s="281"/>
      <c r="GQ2" s="314"/>
      <c r="HK2">
        <v>726.15</v>
      </c>
      <c r="JA2" s="106"/>
      <c r="MB2">
        <v>3250.7799999997887</v>
      </c>
      <c r="NF2" s="145"/>
      <c r="NG2" s="98"/>
      <c r="NJ2" s="1"/>
      <c r="NN2" s="98"/>
      <c r="NO2" s="98"/>
      <c r="NP2" s="98"/>
      <c r="NS2" s="1"/>
      <c r="NW2" s="1"/>
      <c r="OQ2" s="1"/>
      <c r="OT2" s="1"/>
      <c r="PK2">
        <v>1550.98</v>
      </c>
      <c r="QO2" t="s">
        <v>209</v>
      </c>
      <c r="RZ2" s="1"/>
    </row>
    <row r="3" spans="1:503">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489"/>
      <c r="AR3" s="489"/>
      <c r="AS3" s="145"/>
      <c r="AT3" s="489"/>
      <c r="AU3" s="489"/>
      <c r="AV3" s="145"/>
      <c r="AW3" s="489"/>
      <c r="AX3" s="489"/>
      <c r="AY3" s="145"/>
      <c r="AZ3" s="145"/>
      <c r="BA3" s="145"/>
      <c r="BB3" s="145"/>
      <c r="BC3" s="145"/>
      <c r="BD3" s="145"/>
      <c r="BE3" s="145"/>
      <c r="BF3" s="489"/>
      <c r="BG3" s="489"/>
      <c r="BH3" s="145"/>
      <c r="BI3" s="489"/>
      <c r="BJ3" s="489"/>
      <c r="BK3" s="145"/>
      <c r="BL3" s="489"/>
      <c r="BM3" s="489"/>
      <c r="BN3" s="489"/>
      <c r="BO3" s="145"/>
      <c r="BP3" s="489"/>
      <c r="BQ3" s="489"/>
      <c r="BR3" s="145"/>
      <c r="BS3" s="489"/>
      <c r="BT3" s="489"/>
      <c r="BU3" s="145"/>
      <c r="BV3" s="489"/>
      <c r="BW3" s="489"/>
      <c r="BX3" s="145"/>
      <c r="BY3" s="489"/>
      <c r="BZ3" s="489"/>
      <c r="CA3" s="145"/>
      <c r="CB3" s="489"/>
      <c r="CC3" s="489">
        <f>CC43/31</f>
        <v>0</v>
      </c>
      <c r="CD3" s="145"/>
      <c r="CE3" s="489">
        <f>CE43/31</f>
        <v>0</v>
      </c>
      <c r="CF3" s="489">
        <f>CF43/31</f>
        <v>0</v>
      </c>
      <c r="CG3" s="145"/>
      <c r="CH3" s="145"/>
      <c r="CI3" s="145"/>
      <c r="CJ3" s="145"/>
      <c r="CK3" s="145"/>
      <c r="CL3" s="145"/>
      <c r="CM3" s="145"/>
      <c r="CN3" s="145"/>
      <c r="CO3" s="145"/>
      <c r="CP3" s="145"/>
      <c r="DN3" s="95"/>
      <c r="DP3" s="95"/>
      <c r="DQ3" s="95"/>
      <c r="EG3" s="1"/>
      <c r="EH3" s="1"/>
      <c r="GQ3" s="314"/>
      <c r="NF3" s="145">
        <v>10013.654684596553</v>
      </c>
      <c r="NG3" s="98"/>
      <c r="NJ3" s="1"/>
      <c r="NT3" s="1"/>
      <c r="OA3" s="1"/>
      <c r="OE3" s="1"/>
      <c r="RZ3" s="1"/>
    </row>
    <row r="4" spans="1:503" s="39" customFormat="1" ht="36" customHeight="1">
      <c r="B4" s="2625" t="s">
        <v>103</v>
      </c>
      <c r="C4" s="2692" t="s">
        <v>104</v>
      </c>
      <c r="D4" s="2693"/>
      <c r="E4" s="2693"/>
      <c r="F4" s="2693"/>
      <c r="G4" s="2693"/>
      <c r="H4" s="2693"/>
      <c r="I4" s="2693"/>
      <c r="J4" s="2693"/>
      <c r="K4" s="2693"/>
      <c r="L4" s="2693"/>
      <c r="M4" s="2693"/>
      <c r="N4" s="2693"/>
      <c r="O4" s="2693"/>
      <c r="P4" s="2693"/>
      <c r="Q4" s="2693"/>
      <c r="R4" s="2693"/>
      <c r="S4" s="2693"/>
      <c r="T4" s="2693"/>
      <c r="U4" s="2693"/>
      <c r="V4" s="2693"/>
      <c r="W4" s="2693"/>
      <c r="X4" s="2693"/>
      <c r="Y4" s="2693"/>
      <c r="Z4" s="2693"/>
      <c r="AA4" s="2693"/>
      <c r="AB4" s="2693"/>
      <c r="AC4" s="2693"/>
      <c r="AD4" s="2693"/>
      <c r="AE4" s="2693"/>
      <c r="AF4" s="2693"/>
      <c r="AG4" s="2693"/>
      <c r="AH4" s="2693"/>
      <c r="AI4" s="2693"/>
      <c r="AJ4" s="2693"/>
      <c r="AK4" s="2693"/>
      <c r="AL4" s="2693"/>
      <c r="AM4" s="2693"/>
      <c r="AN4" s="2693"/>
      <c r="AO4" s="2693"/>
      <c r="AP4" s="2693"/>
      <c r="AQ4" s="2693"/>
      <c r="AR4" s="2693"/>
      <c r="AS4" s="2693"/>
      <c r="AT4" s="2693"/>
      <c r="AU4" s="2693"/>
      <c r="AV4" s="2693"/>
      <c r="AW4" s="2693"/>
      <c r="AX4" s="2693"/>
      <c r="AY4" s="2693"/>
      <c r="AZ4" s="2693"/>
      <c r="BA4" s="2693"/>
      <c r="BB4" s="2693"/>
      <c r="BC4" s="2693"/>
      <c r="BD4" s="2693"/>
      <c r="BE4" s="2693"/>
      <c r="BF4" s="2693"/>
      <c r="BG4" s="2693"/>
      <c r="BH4" s="2693"/>
      <c r="BI4" s="2693"/>
      <c r="BJ4" s="2693"/>
      <c r="BK4" s="2693"/>
      <c r="BL4" s="2693"/>
      <c r="BM4" s="2693"/>
      <c r="BN4" s="2693"/>
      <c r="BO4" s="2693"/>
      <c r="BP4" s="2693"/>
      <c r="BQ4" s="2693"/>
      <c r="BR4" s="2693"/>
      <c r="BS4" s="2693"/>
      <c r="BT4" s="2693"/>
      <c r="BU4" s="2693"/>
      <c r="BV4" s="2693"/>
      <c r="BW4" s="2693"/>
      <c r="BX4" s="2693"/>
      <c r="BY4" s="2693"/>
      <c r="BZ4" s="2693"/>
      <c r="CA4" s="2693"/>
      <c r="CB4" s="2693"/>
      <c r="CC4" s="2693"/>
      <c r="CD4" s="2693"/>
      <c r="CE4" s="2693"/>
      <c r="CF4" s="2693"/>
      <c r="CG4" s="2693"/>
      <c r="CH4" s="2693"/>
      <c r="CI4" s="2693"/>
      <c r="CJ4" s="2693"/>
      <c r="CK4" s="2693"/>
      <c r="CL4" s="2693"/>
      <c r="CM4" s="2693"/>
      <c r="CN4" s="2693"/>
      <c r="CO4" s="2693"/>
      <c r="CP4" s="2694"/>
      <c r="CR4" s="2646" t="s">
        <v>105</v>
      </c>
      <c r="CS4" s="2647"/>
      <c r="CT4" s="2647"/>
      <c r="CU4" s="2647"/>
      <c r="CV4" s="2647"/>
      <c r="CW4" s="2647"/>
      <c r="CX4" s="2647"/>
      <c r="CY4" s="2647"/>
      <c r="CZ4" s="2647"/>
      <c r="DA4" s="2647"/>
      <c r="DB4" s="2647"/>
      <c r="DC4" s="2647"/>
      <c r="DD4" s="2647"/>
      <c r="DE4" s="2647"/>
      <c r="DF4" s="2647"/>
      <c r="DG4" s="2647"/>
      <c r="DH4" s="2647"/>
      <c r="DI4" s="2647"/>
      <c r="DJ4" s="2647"/>
      <c r="DK4" s="2647"/>
      <c r="DL4" s="2647"/>
      <c r="DM4" s="2647"/>
      <c r="DN4" s="2647"/>
      <c r="DO4" s="2647"/>
      <c r="DP4" s="2647"/>
      <c r="DQ4" s="2647"/>
      <c r="DR4" s="2647"/>
      <c r="DS4" s="2647"/>
      <c r="DT4" s="2647"/>
      <c r="DU4" s="2647"/>
      <c r="DV4" s="2647"/>
      <c r="DW4" s="2647"/>
      <c r="DX4" s="2647"/>
      <c r="DY4" s="2647"/>
      <c r="DZ4" s="2647"/>
      <c r="EA4" s="2647"/>
      <c r="EB4" s="2647"/>
      <c r="EC4" s="2647"/>
      <c r="ED4" s="2647"/>
      <c r="EE4" s="2647"/>
      <c r="EF4" s="2647"/>
      <c r="EG4" s="2647"/>
      <c r="EH4" s="2647"/>
      <c r="EI4" s="2647"/>
      <c r="EJ4" s="2647"/>
      <c r="EK4" s="2647"/>
      <c r="EL4" s="2647"/>
      <c r="EM4" s="2647"/>
      <c r="EN4" s="2647"/>
      <c r="EO4" s="2647"/>
      <c r="EP4" s="2647"/>
      <c r="EQ4" s="2647"/>
      <c r="ER4" s="2647"/>
      <c r="ES4" s="2647"/>
      <c r="ET4" s="2647"/>
      <c r="EU4" s="2647"/>
      <c r="EV4" s="2647"/>
      <c r="EW4" s="2647"/>
      <c r="EX4" s="2647"/>
      <c r="EY4" s="2647"/>
      <c r="EZ4" s="2647"/>
      <c r="FA4" s="2648"/>
      <c r="FC4" s="2649" t="s">
        <v>106</v>
      </c>
      <c r="FD4" s="2650"/>
      <c r="FE4" s="2650"/>
      <c r="FF4" s="2650"/>
      <c r="FG4" s="2650"/>
      <c r="FH4" s="2650"/>
      <c r="FI4" s="2650"/>
      <c r="FJ4" s="2650"/>
      <c r="FK4" s="2650"/>
      <c r="FL4" s="2650"/>
      <c r="FM4" s="2650"/>
      <c r="FN4" s="2650"/>
      <c r="FO4" s="2650"/>
      <c r="FP4" s="2650"/>
      <c r="FQ4" s="2650"/>
      <c r="FR4" s="2650"/>
      <c r="FS4" s="2650"/>
      <c r="FT4" s="2650"/>
      <c r="FU4" s="2650"/>
      <c r="FV4" s="2650"/>
      <c r="FW4" s="2650"/>
      <c r="FX4" s="2650"/>
      <c r="FY4" s="2650"/>
      <c r="FZ4" s="2650"/>
      <c r="GA4" s="2650"/>
      <c r="GB4" s="2650"/>
      <c r="GC4" s="2650"/>
      <c r="GD4" s="2650"/>
      <c r="GE4" s="2650"/>
      <c r="GF4" s="2650"/>
      <c r="GG4" s="2650"/>
      <c r="GH4" s="2650"/>
      <c r="GI4" s="2650"/>
      <c r="GJ4" s="2651"/>
      <c r="GL4" s="2652" t="s">
        <v>22</v>
      </c>
      <c r="GM4" s="2653"/>
      <c r="GN4" s="2653"/>
      <c r="GO4" s="2653"/>
      <c r="GP4" s="2653"/>
      <c r="GQ4" s="2653"/>
      <c r="GR4" s="2653"/>
      <c r="GS4" s="2653"/>
      <c r="GT4" s="2653"/>
      <c r="GU4" s="2653"/>
      <c r="GV4" s="2653"/>
      <c r="GW4" s="2653"/>
      <c r="GX4" s="2653"/>
      <c r="GY4" s="2653"/>
      <c r="GZ4" s="2653"/>
      <c r="HA4" s="2653"/>
      <c r="HB4" s="2653"/>
      <c r="HC4" s="2653"/>
      <c r="HD4" s="2653"/>
      <c r="HE4" s="2653"/>
      <c r="HF4" s="2653"/>
      <c r="HG4" s="2653"/>
      <c r="HH4" s="2653"/>
      <c r="HI4" s="2653"/>
      <c r="HJ4" s="2653"/>
      <c r="HK4" s="2653"/>
      <c r="HL4" s="2653"/>
      <c r="HM4" s="2653"/>
      <c r="HN4" s="2653"/>
      <c r="HO4" s="2653"/>
      <c r="HP4" s="2653"/>
      <c r="HQ4" s="2653"/>
      <c r="HR4" s="2653"/>
      <c r="HS4" s="2653"/>
      <c r="HT4" s="2653"/>
      <c r="HU4" s="2653"/>
      <c r="HV4" s="2653"/>
      <c r="HW4" s="2653"/>
      <c r="HX4" s="2653"/>
      <c r="HY4" s="2653"/>
      <c r="HZ4" s="2653"/>
      <c r="IA4" s="2653"/>
      <c r="IB4" s="2653"/>
      <c r="IC4" s="2653"/>
      <c r="ID4" s="2653"/>
      <c r="IE4" s="2653"/>
      <c r="IF4" s="2653"/>
      <c r="IG4" s="2653"/>
      <c r="IH4" s="2653"/>
      <c r="II4" s="2653"/>
      <c r="IJ4" s="2653"/>
      <c r="IK4" s="2653"/>
      <c r="IL4" s="2653"/>
      <c r="IM4" s="2653"/>
      <c r="IN4" s="2653"/>
      <c r="IO4" s="2653"/>
      <c r="IP4" s="2653"/>
      <c r="IQ4" s="2653"/>
      <c r="IR4" s="2653"/>
      <c r="IS4" s="2653"/>
      <c r="IT4" s="2653"/>
      <c r="IU4" s="2653"/>
      <c r="IV4" s="2653"/>
      <c r="IW4" s="2653"/>
      <c r="IX4" s="2653"/>
      <c r="IY4" s="2653"/>
      <c r="IZ4" s="2653"/>
      <c r="JA4" s="2653"/>
      <c r="JB4" s="2653"/>
      <c r="JC4" s="2653"/>
      <c r="JD4" s="2653"/>
      <c r="JE4" s="2653"/>
      <c r="JF4" s="2653"/>
      <c r="JG4" s="2653"/>
      <c r="JH4" s="2654"/>
      <c r="JJ4" s="2655" t="s">
        <v>107</v>
      </c>
      <c r="JK4" s="2656"/>
      <c r="JL4" s="2656"/>
      <c r="JM4" s="2656"/>
      <c r="JN4" s="2656"/>
      <c r="JO4" s="2656"/>
      <c r="JP4" s="2656"/>
      <c r="JQ4" s="2656"/>
      <c r="JR4" s="2656"/>
      <c r="JS4" s="2656"/>
      <c r="JT4" s="2656"/>
      <c r="JU4" s="2656"/>
      <c r="JV4" s="2656"/>
      <c r="JW4" s="2656"/>
      <c r="JX4" s="2656"/>
      <c r="JY4" s="2656"/>
      <c r="JZ4" s="2656"/>
      <c r="KA4" s="2656"/>
      <c r="KB4" s="2656"/>
      <c r="KC4" s="2656"/>
      <c r="KD4" s="2656"/>
      <c r="KE4" s="2656"/>
      <c r="KF4" s="2656"/>
      <c r="KG4" s="2656"/>
      <c r="KH4" s="2656"/>
      <c r="KI4" s="2656"/>
      <c r="KJ4" s="2656"/>
      <c r="KK4" s="2656"/>
      <c r="KL4" s="2656"/>
      <c r="KM4" s="2656"/>
      <c r="KN4" s="2656"/>
      <c r="KO4" s="2656"/>
      <c r="KP4" s="2656"/>
      <c r="KQ4" s="2656"/>
      <c r="KR4" s="2656"/>
      <c r="KS4" s="2656"/>
      <c r="KT4" s="2656"/>
      <c r="KU4" s="2656"/>
      <c r="KV4" s="2656"/>
      <c r="KW4" s="2656"/>
      <c r="KX4" s="2656"/>
      <c r="KY4" s="2656"/>
      <c r="KZ4" s="2656"/>
      <c r="LA4" s="2656"/>
      <c r="LB4" s="2656"/>
      <c r="LC4" s="2656"/>
      <c r="LD4" s="2656"/>
      <c r="LE4" s="2656"/>
      <c r="LF4" s="2657"/>
      <c r="LH4" s="2658" t="s">
        <v>108</v>
      </c>
      <c r="LI4" s="2659"/>
      <c r="LJ4" s="2659"/>
      <c r="LK4" s="2659"/>
      <c r="LL4" s="2659"/>
      <c r="LM4" s="2659"/>
      <c r="LN4" s="2659"/>
      <c r="LO4" s="2659"/>
      <c r="LP4" s="2659"/>
      <c r="LQ4" s="2659"/>
      <c r="LR4" s="2659"/>
      <c r="LS4" s="2659"/>
      <c r="LT4" s="2659"/>
      <c r="LU4" s="2659"/>
      <c r="LV4" s="2659"/>
      <c r="LW4" s="2659"/>
      <c r="LX4" s="2659"/>
      <c r="LY4" s="2659"/>
      <c r="LZ4" s="2659"/>
      <c r="MA4" s="2659"/>
      <c r="MB4" s="2659"/>
      <c r="MC4" s="2659"/>
      <c r="MD4" s="2659"/>
      <c r="ME4" s="2659"/>
      <c r="MF4" s="2659"/>
      <c r="MG4" s="2659"/>
      <c r="MH4" s="2659"/>
      <c r="MI4" s="2659"/>
      <c r="MJ4" s="2659"/>
      <c r="MK4" s="2659"/>
      <c r="ML4" s="2659"/>
      <c r="MM4" s="2659"/>
      <c r="MN4" s="2659"/>
      <c r="MO4" s="2659"/>
      <c r="MP4" s="2659"/>
      <c r="MQ4" s="2659"/>
      <c r="MR4" s="2659"/>
      <c r="MS4" s="2659"/>
      <c r="MT4" s="2659"/>
      <c r="MU4" s="2659"/>
      <c r="MV4" s="2659"/>
      <c r="MW4" s="2660"/>
      <c r="MY4" s="2661"/>
      <c r="MZ4" s="2662"/>
      <c r="NA4" s="2662"/>
      <c r="NB4" s="2662"/>
      <c r="NC4" s="2662"/>
      <c r="ND4" s="2662"/>
      <c r="NE4" s="2662"/>
      <c r="NF4" s="2662"/>
      <c r="NG4" s="2662"/>
      <c r="NH4" s="2662"/>
      <c r="NI4" s="2662"/>
      <c r="NJ4" s="2662"/>
      <c r="NK4" s="2662"/>
      <c r="NL4" s="2662"/>
      <c r="NM4" s="2662"/>
      <c r="NN4" s="2662"/>
      <c r="NO4" s="2662"/>
      <c r="NP4" s="2662"/>
      <c r="NQ4" s="2662"/>
      <c r="NR4" s="2662"/>
      <c r="NS4" s="2662"/>
      <c r="NT4" s="2662"/>
      <c r="NU4" s="2662"/>
      <c r="NV4" s="2662"/>
      <c r="NW4" s="2662"/>
      <c r="NX4" s="2662"/>
      <c r="NY4" s="2662"/>
      <c r="NZ4" s="2662"/>
      <c r="OA4" s="2662"/>
      <c r="OB4" s="2662"/>
      <c r="OC4" s="2662"/>
      <c r="OD4" s="2662"/>
      <c r="OE4" s="2662"/>
      <c r="OF4" s="2662"/>
      <c r="OG4" s="2662"/>
      <c r="OH4" s="2662"/>
      <c r="OI4" s="2662"/>
      <c r="OJ4" s="2662"/>
      <c r="OK4" s="2662"/>
      <c r="OL4" s="2662"/>
      <c r="OM4" s="2662"/>
      <c r="ON4" s="2662"/>
      <c r="OO4" s="2662"/>
      <c r="OP4" s="2662"/>
      <c r="OQ4" s="2662"/>
      <c r="OR4" s="2662"/>
      <c r="OS4" s="2662"/>
      <c r="OT4" s="2662"/>
      <c r="OU4" s="2662"/>
      <c r="OV4" s="2662"/>
      <c r="OW4" s="2662"/>
      <c r="OX4" s="2662"/>
      <c r="OY4" s="2662"/>
      <c r="OZ4" s="2662"/>
      <c r="PA4" s="2662"/>
      <c r="PB4" s="2662"/>
      <c r="PC4" s="2662"/>
      <c r="PD4" s="2662"/>
      <c r="PE4" s="2662"/>
      <c r="PF4" s="2662"/>
      <c r="PG4" s="2662"/>
      <c r="PH4" s="2662"/>
      <c r="PI4" s="2663"/>
      <c r="PK4" s="2664" t="s">
        <v>110</v>
      </c>
      <c r="PL4" s="2665"/>
      <c r="PM4" s="2665"/>
      <c r="PN4" s="2665"/>
      <c r="PO4" s="2665"/>
      <c r="PP4" s="2665"/>
      <c r="PQ4" s="2665"/>
      <c r="PR4" s="2666"/>
      <c r="PT4" s="2677" t="s">
        <v>30</v>
      </c>
      <c r="PU4" s="2678"/>
      <c r="PV4" s="2678"/>
      <c r="PW4" s="2678"/>
      <c r="PX4" s="2678"/>
      <c r="PY4" s="2678"/>
      <c r="PZ4" s="2678"/>
      <c r="QA4" s="2678"/>
      <c r="QB4" s="2678"/>
      <c r="QC4" s="2678"/>
      <c r="QD4" s="2678"/>
      <c r="QE4" s="2678"/>
      <c r="QF4" s="2678"/>
      <c r="QG4" s="2678"/>
      <c r="QH4" s="2678"/>
      <c r="QI4" s="2678"/>
      <c r="QJ4" s="2678"/>
      <c r="QK4" s="2678"/>
      <c r="QL4" s="2678"/>
      <c r="QM4" s="2679"/>
      <c r="RZ4" s="1068"/>
    </row>
    <row r="5" spans="1:503" s="40" customFormat="1" ht="12.75" customHeight="1">
      <c r="B5" s="2626"/>
      <c r="C5" s="2624" t="s">
        <v>111</v>
      </c>
      <c r="D5" s="2628"/>
      <c r="E5" s="2628"/>
      <c r="F5" s="2628"/>
      <c r="G5" s="2628"/>
      <c r="H5" s="2628"/>
      <c r="I5" s="2628"/>
      <c r="J5" s="2628"/>
      <c r="K5" s="2628"/>
      <c r="L5" s="2628"/>
      <c r="M5" s="2628"/>
      <c r="N5" s="2629"/>
      <c r="O5" s="2631" t="s">
        <v>112</v>
      </c>
      <c r="P5" s="2623"/>
      <c r="Q5" s="2623"/>
      <c r="R5" s="2623"/>
      <c r="S5" s="2623"/>
      <c r="T5" s="2623"/>
      <c r="U5" s="2623"/>
      <c r="V5" s="2623"/>
      <c r="W5" s="2623"/>
      <c r="X5" s="2623"/>
      <c r="Y5" s="2623"/>
      <c r="Z5" s="2623"/>
      <c r="AA5" s="2623"/>
      <c r="AB5" s="2623"/>
      <c r="AC5" s="2623"/>
      <c r="AD5" s="2623"/>
      <c r="AE5" s="2623"/>
      <c r="AF5" s="2623"/>
      <c r="AG5" s="2623"/>
      <c r="AH5" s="2623"/>
      <c r="AI5" s="2623"/>
      <c r="AJ5" s="2623"/>
      <c r="AK5" s="2623"/>
      <c r="AL5" s="2624"/>
      <c r="AM5" s="2629"/>
      <c r="AN5" s="2680" t="s">
        <v>113</v>
      </c>
      <c r="AO5" s="2681"/>
      <c r="AP5" s="2681"/>
      <c r="AQ5" s="2681"/>
      <c r="AR5" s="2681"/>
      <c r="AS5" s="2681"/>
      <c r="AT5" s="2681"/>
      <c r="AU5" s="2681"/>
      <c r="AV5" s="2681"/>
      <c r="AW5" s="2681"/>
      <c r="AX5" s="2681"/>
      <c r="AY5" s="2681"/>
      <c r="AZ5" s="2681"/>
      <c r="BA5" s="2681"/>
      <c r="BB5" s="2681"/>
      <c r="BC5" s="2681"/>
      <c r="BD5" s="2681"/>
      <c r="BE5" s="2681"/>
      <c r="BF5" s="2681"/>
      <c r="BG5" s="2681"/>
      <c r="BH5" s="2681"/>
      <c r="BI5" s="2681"/>
      <c r="BJ5" s="2681"/>
      <c r="BK5" s="2681"/>
      <c r="BL5" s="2681"/>
      <c r="BM5" s="2681"/>
      <c r="BN5" s="2681"/>
      <c r="BO5" s="2681"/>
      <c r="BP5" s="2681"/>
      <c r="BQ5" s="2681"/>
      <c r="BR5" s="2681"/>
      <c r="BS5" s="2681"/>
      <c r="BT5" s="2681"/>
      <c r="BU5" s="2681"/>
      <c r="BV5" s="2681"/>
      <c r="BW5" s="2681"/>
      <c r="BX5" s="2681"/>
      <c r="BY5" s="2681"/>
      <c r="BZ5" s="2681"/>
      <c r="CA5" s="2681"/>
      <c r="CB5" s="2681"/>
      <c r="CC5" s="2681"/>
      <c r="CD5" s="2681"/>
      <c r="CE5" s="2681"/>
      <c r="CF5" s="2681"/>
      <c r="CG5" s="2682"/>
      <c r="CH5" s="147"/>
      <c r="CI5" s="2633" t="s">
        <v>114</v>
      </c>
      <c r="CJ5" s="2635"/>
      <c r="CK5" s="2635"/>
      <c r="CL5" s="2635"/>
      <c r="CM5" s="2635"/>
      <c r="CN5" s="2635"/>
      <c r="CO5" s="2634"/>
      <c r="CP5" s="348" t="s">
        <v>210</v>
      </c>
      <c r="CQ5" s="41"/>
      <c r="CR5" s="2623" t="s">
        <v>111</v>
      </c>
      <c r="CS5" s="2623"/>
      <c r="CT5" s="2623"/>
      <c r="CU5" s="2623"/>
      <c r="CV5" s="2623"/>
      <c r="CW5" s="2623"/>
      <c r="CX5" s="2623"/>
      <c r="CY5" s="2623"/>
      <c r="CZ5" s="2623"/>
      <c r="DA5" s="2623"/>
      <c r="DB5" s="2623"/>
      <c r="DC5" s="2624"/>
      <c r="DD5" s="2624"/>
      <c r="DE5" s="2685"/>
      <c r="DF5" s="2624" t="s">
        <v>115</v>
      </c>
      <c r="DG5" s="2628"/>
      <c r="DH5" s="2628"/>
      <c r="DI5" s="2628"/>
      <c r="DJ5" s="2628"/>
      <c r="DK5" s="2628"/>
      <c r="DL5" s="2628"/>
      <c r="DM5" s="2628"/>
      <c r="DN5" s="2628"/>
      <c r="DO5" s="2628"/>
      <c r="DP5" s="2628"/>
      <c r="DQ5" s="2628"/>
      <c r="DR5" s="2628"/>
      <c r="DS5" s="2628"/>
      <c r="DT5" s="2628"/>
      <c r="DU5" s="2628"/>
      <c r="DV5" s="2628"/>
      <c r="DW5" s="2628"/>
      <c r="DX5" s="2628"/>
      <c r="DY5" s="2628"/>
      <c r="DZ5" s="2628"/>
      <c r="EA5" s="2628"/>
      <c r="EB5" s="2628"/>
      <c r="EC5" s="2628"/>
      <c r="ED5" s="2628"/>
      <c r="EE5" s="2628"/>
      <c r="EF5" s="2628"/>
      <c r="EG5" s="2628"/>
      <c r="EH5" s="2628"/>
      <c r="EI5" s="2628"/>
      <c r="EJ5" s="2628"/>
      <c r="EK5" s="2628"/>
      <c r="EL5" s="2628"/>
      <c r="EM5" s="2628"/>
      <c r="EN5" s="2628"/>
      <c r="EO5" s="2628"/>
      <c r="EP5" s="2628"/>
      <c r="EQ5" s="2628"/>
      <c r="ER5" s="2628"/>
      <c r="ES5" s="2628"/>
      <c r="ET5" s="2628"/>
      <c r="EU5" s="2628"/>
      <c r="EV5" s="2628"/>
      <c r="EW5" s="2628"/>
      <c r="EX5" s="2628"/>
      <c r="EY5" s="2628"/>
      <c r="EZ5" s="2631"/>
      <c r="FA5" s="2685"/>
      <c r="FC5" s="2624" t="s">
        <v>111</v>
      </c>
      <c r="FD5" s="2628"/>
      <c r="FE5" s="2628"/>
      <c r="FF5" s="2628"/>
      <c r="FG5" s="2631"/>
      <c r="FH5" s="2674"/>
      <c r="FI5" s="2631" t="s">
        <v>116</v>
      </c>
      <c r="FJ5" s="2623"/>
      <c r="FK5" s="2623"/>
      <c r="FL5" s="2623"/>
      <c r="FM5" s="2623"/>
      <c r="FN5" s="2623"/>
      <c r="FO5" s="2623"/>
      <c r="FP5" s="2623"/>
      <c r="FQ5" s="2623"/>
      <c r="FR5" s="2623"/>
      <c r="FS5" s="2623"/>
      <c r="FT5" s="2623"/>
      <c r="FU5" s="2623"/>
      <c r="FV5" s="2623"/>
      <c r="FW5" s="2623"/>
      <c r="FX5" s="2623"/>
      <c r="FY5" s="2623"/>
      <c r="FZ5" s="2623"/>
      <c r="GA5" s="2623"/>
      <c r="GB5" s="2623"/>
      <c r="GC5" s="2623"/>
      <c r="GD5" s="2623"/>
      <c r="GE5" s="2623"/>
      <c r="GF5" s="2623"/>
      <c r="GG5" s="2623"/>
      <c r="GH5" s="2624"/>
      <c r="GI5" s="2624"/>
      <c r="GJ5" s="2674"/>
      <c r="GL5" s="2623" t="s">
        <v>111</v>
      </c>
      <c r="GM5" s="2623"/>
      <c r="GN5" s="2623"/>
      <c r="GO5" s="2623"/>
      <c r="GP5" s="2623"/>
      <c r="GQ5" s="2623"/>
      <c r="GR5" s="2624"/>
      <c r="GS5" s="2667"/>
      <c r="GT5" s="2631" t="s">
        <v>112</v>
      </c>
      <c r="GU5" s="2623"/>
      <c r="GV5" s="2623"/>
      <c r="GW5" s="2623"/>
      <c r="GX5" s="2624"/>
      <c r="GY5" s="2667"/>
      <c r="GZ5" s="2631" t="s">
        <v>117</v>
      </c>
      <c r="HA5" s="2631"/>
      <c r="HB5" s="2623"/>
      <c r="HC5" s="2623"/>
      <c r="HD5" s="2623"/>
      <c r="HE5" s="2623"/>
      <c r="HF5" s="2623"/>
      <c r="HG5" s="2623"/>
      <c r="HH5" s="2623"/>
      <c r="HI5" s="2623"/>
      <c r="HJ5" s="2623"/>
      <c r="HK5" s="2623"/>
      <c r="HL5" s="2623"/>
      <c r="HM5" s="2623"/>
      <c r="HN5" s="2623"/>
      <c r="HO5" s="2623"/>
      <c r="HP5" s="2623"/>
      <c r="HQ5" s="2623"/>
      <c r="HR5" s="2623"/>
      <c r="HS5" s="2623"/>
      <c r="HT5" s="2623"/>
      <c r="HU5" s="2623"/>
      <c r="HV5" s="2623"/>
      <c r="HW5" s="2623"/>
      <c r="HX5" s="2623"/>
      <c r="HY5" s="2623"/>
      <c r="HZ5" s="2623"/>
      <c r="IA5" s="2623"/>
      <c r="IB5" s="2623"/>
      <c r="IC5" s="2623"/>
      <c r="ID5" s="2623"/>
      <c r="IE5" s="2623"/>
      <c r="IF5" s="2623"/>
      <c r="IG5" s="2623"/>
      <c r="IH5" s="2623"/>
      <c r="II5" s="2623"/>
      <c r="IJ5" s="2623"/>
      <c r="IK5" s="2623"/>
      <c r="IL5" s="2623"/>
      <c r="IM5" s="2623"/>
      <c r="IN5" s="2623"/>
      <c r="IO5" s="2623"/>
      <c r="IP5" s="2623"/>
      <c r="IQ5" s="2623"/>
      <c r="IR5" s="2623"/>
      <c r="IS5" s="2623"/>
      <c r="IT5" s="2623"/>
      <c r="IU5" s="2623"/>
      <c r="IV5" s="2623"/>
      <c r="IW5" s="2623"/>
      <c r="IX5" s="2623"/>
      <c r="IY5" s="2623"/>
      <c r="IZ5" s="2623"/>
      <c r="JA5" s="2623"/>
      <c r="JB5" s="2623"/>
      <c r="JC5" s="2623"/>
      <c r="JD5" s="2623"/>
      <c r="JE5" s="2623"/>
      <c r="JF5" s="2623"/>
      <c r="JG5" s="2624"/>
      <c r="JH5" s="2667"/>
      <c r="JJ5" s="2623" t="s">
        <v>111</v>
      </c>
      <c r="JK5" s="2623"/>
      <c r="JL5" s="2623"/>
      <c r="JM5" s="2623"/>
      <c r="JN5" s="2624"/>
      <c r="JO5" s="2669"/>
      <c r="JP5" s="2631" t="s">
        <v>118</v>
      </c>
      <c r="JQ5" s="2623"/>
      <c r="JR5" s="2623"/>
      <c r="JS5" s="2623"/>
      <c r="JT5" s="2623"/>
      <c r="JU5" s="2623"/>
      <c r="JV5" s="2623"/>
      <c r="JW5" s="2623"/>
      <c r="JX5" s="2623"/>
      <c r="JY5" s="2623"/>
      <c r="JZ5" s="2623"/>
      <c r="KA5" s="2623"/>
      <c r="KB5" s="2623"/>
      <c r="KC5" s="2623"/>
      <c r="KD5" s="2623"/>
      <c r="KE5" s="2623"/>
      <c r="KF5" s="2623"/>
      <c r="KG5" s="2623"/>
      <c r="KH5" s="2623"/>
      <c r="KI5" s="2623"/>
      <c r="KJ5" s="2623"/>
      <c r="KK5" s="2623"/>
      <c r="KL5" s="2623"/>
      <c r="KM5" s="2623"/>
      <c r="KN5" s="2624"/>
      <c r="KO5" s="2669"/>
      <c r="KP5" s="2631" t="s">
        <v>119</v>
      </c>
      <c r="KQ5" s="2623"/>
      <c r="KR5" s="2623"/>
      <c r="KS5" s="2623"/>
      <c r="KT5" s="2623"/>
      <c r="KU5" s="2623"/>
      <c r="KV5" s="2623"/>
      <c r="KW5" s="2623"/>
      <c r="KX5" s="2623"/>
      <c r="KY5" s="2623"/>
      <c r="KZ5" s="2623"/>
      <c r="LA5" s="2623"/>
      <c r="LB5" s="2623"/>
      <c r="LC5" s="2623"/>
      <c r="LD5" s="2623"/>
      <c r="LE5" s="2624"/>
      <c r="LF5" s="2669"/>
      <c r="LH5" s="2623" t="s">
        <v>111</v>
      </c>
      <c r="LI5" s="2623"/>
      <c r="LJ5" s="2623"/>
      <c r="LK5" s="2623"/>
      <c r="LL5" s="2623"/>
      <c r="LM5" s="2623"/>
      <c r="LN5" s="2623"/>
      <c r="LO5" s="2623"/>
      <c r="LP5" s="2623"/>
      <c r="LQ5" s="2624"/>
      <c r="LR5" s="2688"/>
      <c r="LS5" s="2631" t="s">
        <v>120</v>
      </c>
      <c r="LT5" s="2631"/>
      <c r="LU5" s="2623"/>
      <c r="LV5" s="2623"/>
      <c r="LW5" s="2623"/>
      <c r="LX5" s="2623"/>
      <c r="LY5" s="2623"/>
      <c r="LZ5" s="2623"/>
      <c r="MA5" s="2623"/>
      <c r="MB5" s="2623"/>
      <c r="MC5" s="2623"/>
      <c r="MD5" s="2623"/>
      <c r="ME5" s="2623"/>
      <c r="MF5" s="2623"/>
      <c r="MG5" s="2623"/>
      <c r="MH5" s="2623"/>
      <c r="MI5" s="2623"/>
      <c r="MJ5" s="2623"/>
      <c r="MK5" s="2623"/>
      <c r="ML5" s="2623"/>
      <c r="MM5" s="2623"/>
      <c r="MN5" s="2623"/>
      <c r="MO5" s="2623"/>
      <c r="MP5" s="2623"/>
      <c r="MQ5" s="2623"/>
      <c r="MR5" s="2623"/>
      <c r="MS5" s="2623"/>
      <c r="MT5" s="2623"/>
      <c r="MU5" s="2623"/>
      <c r="MV5" s="2624"/>
      <c r="MW5" s="2688"/>
      <c r="MY5" s="2623" t="s">
        <v>111</v>
      </c>
      <c r="MZ5" s="2623"/>
      <c r="NA5" s="2623"/>
      <c r="NB5" s="2624"/>
      <c r="NC5" s="2621"/>
      <c r="ND5" s="2631" t="s">
        <v>121</v>
      </c>
      <c r="NE5" s="2631"/>
      <c r="NF5" s="2623"/>
      <c r="NG5" s="2623"/>
      <c r="NH5" s="2623"/>
      <c r="NI5" s="2623"/>
      <c r="NJ5" s="2623"/>
      <c r="NK5" s="2623"/>
      <c r="NL5" s="2623"/>
      <c r="NM5" s="2623"/>
      <c r="NN5" s="2623"/>
      <c r="NO5" s="2623"/>
      <c r="NP5" s="2623"/>
      <c r="NQ5" s="2623"/>
      <c r="NR5" s="2623"/>
      <c r="NS5" s="2623"/>
      <c r="NT5" s="2623"/>
      <c r="NU5" s="2623"/>
      <c r="NV5" s="2623"/>
      <c r="NW5" s="2623"/>
      <c r="NX5" s="2623"/>
      <c r="NY5" s="2623"/>
      <c r="NZ5" s="2623"/>
      <c r="OA5" s="2623"/>
      <c r="OB5" s="2623"/>
      <c r="OC5" s="2623"/>
      <c r="OD5" s="2623"/>
      <c r="OE5" s="2623"/>
      <c r="OF5" s="2623"/>
      <c r="OG5" s="2623"/>
      <c r="OH5" s="2623"/>
      <c r="OI5" s="2623"/>
      <c r="OJ5" s="2623"/>
      <c r="OK5" s="2623"/>
      <c r="OL5" s="2623"/>
      <c r="OM5" s="2623"/>
      <c r="ON5" s="2623"/>
      <c r="OO5" s="2623"/>
      <c r="OP5" s="2623"/>
      <c r="OQ5" s="2623"/>
      <c r="OR5" s="2623"/>
      <c r="OS5" s="2623"/>
      <c r="OT5" s="2623"/>
      <c r="OU5" s="2623"/>
      <c r="OV5" s="2623"/>
      <c r="OW5" s="2623"/>
      <c r="OX5" s="2623"/>
      <c r="OY5" s="2623"/>
      <c r="OZ5" s="2623"/>
      <c r="PA5" s="2623"/>
      <c r="PB5" s="2623"/>
      <c r="PC5" s="2623"/>
      <c r="PD5" s="2623"/>
      <c r="PE5" s="2623"/>
      <c r="PF5" s="2623"/>
      <c r="PG5" s="2623"/>
      <c r="PH5" s="2624"/>
      <c r="PI5" s="2621"/>
      <c r="PK5" s="2623" t="s">
        <v>111</v>
      </c>
      <c r="PL5" s="2623"/>
      <c r="PM5" s="2623"/>
      <c r="PN5" s="2623"/>
      <c r="PO5" s="2623"/>
      <c r="PP5" s="2624"/>
      <c r="PQ5" s="2624"/>
      <c r="PR5" s="2615"/>
      <c r="PT5" s="2633" t="s">
        <v>211</v>
      </c>
      <c r="PU5" s="2635"/>
      <c r="PV5" s="2635"/>
      <c r="PW5" s="2635"/>
      <c r="PX5" s="2635"/>
      <c r="PY5" s="2635"/>
      <c r="PZ5" s="2635"/>
      <c r="QA5" s="2635"/>
      <c r="QB5" s="2635"/>
      <c r="QC5" s="2635"/>
      <c r="QD5" s="2635"/>
      <c r="QE5" s="2635"/>
      <c r="QF5" s="2635"/>
      <c r="QG5" s="2635"/>
      <c r="QH5" s="2635"/>
      <c r="QI5" s="2635"/>
      <c r="QJ5" s="2635"/>
      <c r="QK5" s="2635"/>
      <c r="QL5" s="2634"/>
      <c r="QM5" s="2615"/>
      <c r="QO5" s="2617" t="s">
        <v>122</v>
      </c>
      <c r="QP5" s="2617"/>
      <c r="QR5" s="2617" t="s">
        <v>123</v>
      </c>
      <c r="QS5" s="2617"/>
      <c r="QU5" s="2618" t="s">
        <v>124</v>
      </c>
      <c r="QV5" s="2618"/>
      <c r="QW5" s="2618"/>
      <c r="QX5" s="2618"/>
      <c r="QY5" s="2618"/>
      <c r="QZ5" s="2618"/>
      <c r="RA5" s="89"/>
      <c r="RB5" s="2618" t="s">
        <v>125</v>
      </c>
      <c r="RC5" s="2618"/>
      <c r="RD5" s="2618"/>
      <c r="RE5" s="2618"/>
      <c r="RF5" s="2618"/>
      <c r="RG5" s="2618"/>
      <c r="RZ5" s="1148"/>
    </row>
    <row r="6" spans="1:503" s="42" customFormat="1" ht="31.2" customHeight="1">
      <c r="B6" s="2626"/>
      <c r="C6" s="2632" t="s">
        <v>3</v>
      </c>
      <c r="D6" s="2632" t="s">
        <v>126</v>
      </c>
      <c r="E6" s="2632" t="s">
        <v>127</v>
      </c>
      <c r="F6" s="2633" t="s">
        <v>212</v>
      </c>
      <c r="G6" s="2634"/>
      <c r="H6" s="2633" t="s">
        <v>212</v>
      </c>
      <c r="I6" s="2634"/>
      <c r="J6" s="2633" t="s">
        <v>128</v>
      </c>
      <c r="K6" s="2634"/>
      <c r="L6" s="2633" t="s">
        <v>129</v>
      </c>
      <c r="M6" s="2635"/>
      <c r="N6" s="2629"/>
      <c r="O6" s="2636" t="s">
        <v>16</v>
      </c>
      <c r="P6" s="2637"/>
      <c r="Q6" s="2637"/>
      <c r="R6" s="2559"/>
      <c r="S6" s="2638" t="s">
        <v>17</v>
      </c>
      <c r="T6" s="2638"/>
      <c r="U6" s="2638"/>
      <c r="V6" s="2638"/>
      <c r="W6" s="2697" t="s">
        <v>213</v>
      </c>
      <c r="X6" s="2698"/>
      <c r="Y6" s="2698"/>
      <c r="Z6" s="2698"/>
      <c r="AA6" s="2699" t="s">
        <v>18</v>
      </c>
      <c r="AB6" s="2700"/>
      <c r="AC6" s="2700"/>
      <c r="AD6" s="2700"/>
      <c r="AE6" s="2701" t="s">
        <v>66</v>
      </c>
      <c r="AF6" s="2701"/>
      <c r="AG6" s="2701"/>
      <c r="AH6" s="2701"/>
      <c r="AI6" s="2640" t="s">
        <v>214</v>
      </c>
      <c r="AJ6" s="2640"/>
      <c r="AK6" s="2640"/>
      <c r="AL6" s="2641"/>
      <c r="AM6" s="2629"/>
      <c r="AN6" s="2636" t="s">
        <v>215</v>
      </c>
      <c r="AO6" s="2637"/>
      <c r="AP6" s="2637"/>
      <c r="AQ6" s="2637" t="s">
        <v>216</v>
      </c>
      <c r="AR6" s="2637"/>
      <c r="AS6" s="2637"/>
      <c r="AT6" s="2637" t="s">
        <v>217</v>
      </c>
      <c r="AU6" s="2637"/>
      <c r="AV6" s="2559"/>
      <c r="AW6" s="2637" t="s">
        <v>218</v>
      </c>
      <c r="AX6" s="2637"/>
      <c r="AY6" s="2637"/>
      <c r="AZ6" s="2637" t="s">
        <v>219</v>
      </c>
      <c r="BA6" s="2637"/>
      <c r="BB6" s="2637"/>
      <c r="BC6" s="2637" t="s">
        <v>220</v>
      </c>
      <c r="BD6" s="2637"/>
      <c r="BE6" s="2637"/>
      <c r="BF6" s="2638" t="s">
        <v>221</v>
      </c>
      <c r="BG6" s="2708"/>
      <c r="BH6" s="2709"/>
      <c r="BI6" s="2638" t="s">
        <v>222</v>
      </c>
      <c r="BJ6" s="2638"/>
      <c r="BK6" s="2638"/>
      <c r="BL6" s="2638" t="s">
        <v>223</v>
      </c>
      <c r="BM6" s="2638"/>
      <c r="BN6" s="2638"/>
      <c r="BO6" s="2638"/>
      <c r="BP6" s="2706" t="s">
        <v>224</v>
      </c>
      <c r="BQ6" s="2706"/>
      <c r="BR6" s="2706"/>
      <c r="BS6" s="2698" t="s">
        <v>225</v>
      </c>
      <c r="BT6" s="2698"/>
      <c r="BU6" s="2698"/>
      <c r="BV6" s="2698" t="s">
        <v>226</v>
      </c>
      <c r="BW6" s="2707"/>
      <c r="BX6" s="2697"/>
      <c r="BY6" s="2638" t="s">
        <v>227</v>
      </c>
      <c r="BZ6" s="2638"/>
      <c r="CA6" s="2645"/>
      <c r="CB6" s="2698" t="s">
        <v>228</v>
      </c>
      <c r="CC6" s="2698"/>
      <c r="CD6" s="2710"/>
      <c r="CE6" s="2698" t="s">
        <v>229</v>
      </c>
      <c r="CF6" s="2698"/>
      <c r="CG6" s="2710"/>
      <c r="CH6" s="147"/>
      <c r="CI6" s="2634" t="s">
        <v>16</v>
      </c>
      <c r="CJ6" s="2632" t="s">
        <v>17</v>
      </c>
      <c r="CK6" s="2632" t="s">
        <v>18</v>
      </c>
      <c r="CL6" s="2632" t="s">
        <v>83</v>
      </c>
      <c r="CM6" s="2632" t="s">
        <v>130</v>
      </c>
      <c r="CN6" s="2671" t="s">
        <v>7</v>
      </c>
      <c r="CO6" s="2633" t="s">
        <v>145</v>
      </c>
      <c r="CP6" s="2632" t="s">
        <v>18</v>
      </c>
      <c r="CR6" s="2632" t="s">
        <v>146</v>
      </c>
      <c r="CS6" s="2632" t="s">
        <v>230</v>
      </c>
      <c r="CT6" s="2632" t="s">
        <v>147</v>
      </c>
      <c r="CU6" s="2632" t="s">
        <v>231</v>
      </c>
      <c r="CV6" s="2632" t="s">
        <v>148</v>
      </c>
      <c r="CW6" s="2632" t="s">
        <v>232</v>
      </c>
      <c r="CX6" s="2632" t="s">
        <v>149</v>
      </c>
      <c r="CY6" s="2632" t="s">
        <v>233</v>
      </c>
      <c r="CZ6" s="2632" t="s">
        <v>69</v>
      </c>
      <c r="DA6" s="2632" t="s">
        <v>234</v>
      </c>
      <c r="DB6" s="2632" t="s">
        <v>71</v>
      </c>
      <c r="DC6" s="2632" t="s">
        <v>235</v>
      </c>
      <c r="DD6" s="2633" t="s">
        <v>7</v>
      </c>
      <c r="DE6" s="2685"/>
      <c r="DF6" s="2633" t="s">
        <v>236</v>
      </c>
      <c r="DG6" s="2635"/>
      <c r="DH6" s="2635"/>
      <c r="DI6" s="2635"/>
      <c r="DJ6" s="2635"/>
      <c r="DK6" s="2635"/>
      <c r="DL6" s="2635"/>
      <c r="DM6" s="2635"/>
      <c r="DN6" s="2635"/>
      <c r="DO6" s="2635"/>
      <c r="DP6" s="2635"/>
      <c r="DQ6" s="1394"/>
      <c r="DR6" s="1394"/>
      <c r="DS6" s="2711" t="s">
        <v>151</v>
      </c>
      <c r="DT6" s="2633" t="s">
        <v>237</v>
      </c>
      <c r="DU6" s="2635"/>
      <c r="DV6" s="2635"/>
      <c r="DW6" s="2635"/>
      <c r="DX6" s="2635"/>
      <c r="DY6" s="2635"/>
      <c r="DZ6" s="2635"/>
      <c r="EA6" s="2635"/>
      <c r="EB6" s="2635"/>
      <c r="EC6" s="2635"/>
      <c r="ED6" s="2635"/>
      <c r="EE6" s="1394"/>
      <c r="EF6" s="2711" t="s">
        <v>151</v>
      </c>
      <c r="EG6" s="2953" t="s">
        <v>238</v>
      </c>
      <c r="EH6" s="2954"/>
      <c r="EI6" s="2954"/>
      <c r="EJ6" s="2954"/>
      <c r="EK6" s="2954"/>
      <c r="EL6" s="2954"/>
      <c r="EM6" s="2954"/>
      <c r="EN6" s="2954"/>
      <c r="EO6" s="2954"/>
      <c r="EP6" s="2954"/>
      <c r="EQ6" s="2954"/>
      <c r="ER6" s="1394"/>
      <c r="ES6" s="2711" t="s">
        <v>151</v>
      </c>
      <c r="ET6" s="2633" t="s">
        <v>154</v>
      </c>
      <c r="EU6" s="2635"/>
      <c r="EV6" s="2635"/>
      <c r="EW6" s="2635"/>
      <c r="EX6" s="2635"/>
      <c r="EY6" s="2635"/>
      <c r="EZ6" s="2711" t="s">
        <v>151</v>
      </c>
      <c r="FA6" s="2685"/>
      <c r="FC6" s="2690" t="s">
        <v>239</v>
      </c>
      <c r="FD6" s="2690" t="s">
        <v>240</v>
      </c>
      <c r="FE6" s="2690" t="s">
        <v>242</v>
      </c>
      <c r="FF6" s="2671" t="s">
        <v>7</v>
      </c>
      <c r="FG6" s="2671" t="s">
        <v>145</v>
      </c>
      <c r="FH6" s="2674"/>
      <c r="FI6" s="2634" t="s">
        <v>158</v>
      </c>
      <c r="FJ6" s="2632"/>
      <c r="FK6" s="2632"/>
      <c r="FL6" s="2632"/>
      <c r="FM6" s="2632"/>
      <c r="FN6" s="2633"/>
      <c r="FO6" s="2676" t="s">
        <v>151</v>
      </c>
      <c r="FP6" s="2632" t="s">
        <v>159</v>
      </c>
      <c r="FQ6" s="2632"/>
      <c r="FR6" s="2632"/>
      <c r="FS6" s="2632"/>
      <c r="FT6" s="2632"/>
      <c r="FU6" s="2633"/>
      <c r="FV6" s="2676" t="s">
        <v>151</v>
      </c>
      <c r="FW6" s="2632" t="s">
        <v>242</v>
      </c>
      <c r="FX6" s="2632"/>
      <c r="FY6" s="2632"/>
      <c r="FZ6" s="2632"/>
      <c r="GA6" s="2632"/>
      <c r="GB6" s="2632"/>
      <c r="GC6" s="2632"/>
      <c r="GD6" s="2632"/>
      <c r="GE6" s="2632"/>
      <c r="GF6" s="2633"/>
      <c r="GG6" s="2633"/>
      <c r="GH6" s="1394"/>
      <c r="GI6" s="2673" t="s">
        <v>151</v>
      </c>
      <c r="GJ6" s="2674"/>
      <c r="GL6" s="2632" t="s">
        <v>161</v>
      </c>
      <c r="GM6" s="2632"/>
      <c r="GN6" s="2633"/>
      <c r="GO6" s="2634" t="s">
        <v>7</v>
      </c>
      <c r="GP6" s="181" t="s">
        <v>162</v>
      </c>
      <c r="GQ6" s="181" t="s">
        <v>163</v>
      </c>
      <c r="GR6" s="2633" t="s">
        <v>145</v>
      </c>
      <c r="GS6" s="2667"/>
      <c r="GT6" s="2634" t="s">
        <v>130</v>
      </c>
      <c r="GU6" s="2632" t="s">
        <v>243</v>
      </c>
      <c r="GV6" s="2632" t="s">
        <v>244</v>
      </c>
      <c r="GW6" s="2632" t="s">
        <v>165</v>
      </c>
      <c r="GX6" s="2619" t="s">
        <v>7</v>
      </c>
      <c r="GY6" s="2667"/>
      <c r="GZ6" s="2634" t="s">
        <v>35</v>
      </c>
      <c r="HA6" s="2634"/>
      <c r="HB6" s="2632"/>
      <c r="HC6" s="2632"/>
      <c r="HD6" s="2632"/>
      <c r="HE6" s="2632"/>
      <c r="HF6" s="2632"/>
      <c r="HG6" s="2632"/>
      <c r="HH6" s="2632"/>
      <c r="HI6" s="2632"/>
      <c r="HJ6" s="2632"/>
      <c r="HK6" s="2632"/>
      <c r="HL6" s="2632"/>
      <c r="HM6" s="2633"/>
      <c r="HN6" s="2676" t="s">
        <v>151</v>
      </c>
      <c r="HO6" s="2619" t="s">
        <v>110</v>
      </c>
      <c r="HP6" s="2673"/>
      <c r="HQ6" s="2673"/>
      <c r="HR6" s="2673"/>
      <c r="HS6" s="2673"/>
      <c r="HT6" s="2673"/>
      <c r="HU6" s="2673"/>
      <c r="HV6" s="2673"/>
      <c r="HW6" s="2673"/>
      <c r="HX6" s="2673"/>
      <c r="HY6" s="2673"/>
      <c r="HZ6" s="2673"/>
      <c r="IA6" s="2673"/>
      <c r="IB6" s="2673"/>
      <c r="IC6" s="2711" t="s">
        <v>151</v>
      </c>
      <c r="ID6" s="2632" t="s">
        <v>245</v>
      </c>
      <c r="IE6" s="2632"/>
      <c r="IF6" s="2632"/>
      <c r="IG6" s="2632"/>
      <c r="IH6" s="2632"/>
      <c r="II6" s="2632"/>
      <c r="IJ6" s="2632"/>
      <c r="IK6" s="2632"/>
      <c r="IL6" s="2632"/>
      <c r="IM6" s="2632"/>
      <c r="IN6" s="2632"/>
      <c r="IO6" s="2632"/>
      <c r="IP6" s="2632"/>
      <c r="IQ6" s="2633"/>
      <c r="IR6" s="2676" t="s">
        <v>151</v>
      </c>
      <c r="IS6" s="2632" t="s">
        <v>246</v>
      </c>
      <c r="IT6" s="2632"/>
      <c r="IU6" s="2632"/>
      <c r="IV6" s="2632"/>
      <c r="IW6" s="2632"/>
      <c r="IX6" s="2632"/>
      <c r="IY6" s="2632"/>
      <c r="IZ6" s="2632"/>
      <c r="JA6" s="2632"/>
      <c r="JB6" s="2632"/>
      <c r="JC6" s="2632"/>
      <c r="JD6" s="2632"/>
      <c r="JE6" s="2632"/>
      <c r="JF6" s="2633"/>
      <c r="JG6" s="2673" t="s">
        <v>151</v>
      </c>
      <c r="JH6" s="2667"/>
      <c r="JJ6" s="2632" t="s">
        <v>76</v>
      </c>
      <c r="JK6" s="2671" t="s">
        <v>77</v>
      </c>
      <c r="JL6" s="2632" t="s">
        <v>247</v>
      </c>
      <c r="JM6" s="2632" t="s">
        <v>7</v>
      </c>
      <c r="JN6" s="2633" t="s">
        <v>145</v>
      </c>
      <c r="JO6" s="2669"/>
      <c r="JP6" s="2634" t="str">
        <f>JJ6</f>
        <v>TCM.HCV.LS</v>
      </c>
      <c r="JQ6" s="2632"/>
      <c r="JR6" s="2632"/>
      <c r="JS6" s="2632"/>
      <c r="JT6" s="2632"/>
      <c r="JU6" s="2632"/>
      <c r="JV6" s="2632"/>
      <c r="JW6" s="2632"/>
      <c r="JX6" s="2634" t="str">
        <f>JK6</f>
        <v>TCM.HCV.HS</v>
      </c>
      <c r="JY6" s="2632"/>
      <c r="JZ6" s="2632"/>
      <c r="KA6" s="2632"/>
      <c r="KB6" s="2632"/>
      <c r="KC6" s="2632"/>
      <c r="KD6" s="2632"/>
      <c r="KE6" s="2632"/>
      <c r="KF6" s="2632" t="str">
        <f>JL6</f>
        <v>LCV.MS.HA</v>
      </c>
      <c r="KG6" s="2632"/>
      <c r="KH6" s="2632"/>
      <c r="KI6" s="2632"/>
      <c r="KJ6" s="2632"/>
      <c r="KK6" s="2632"/>
      <c r="KL6" s="2632"/>
      <c r="KM6" s="2632"/>
      <c r="KN6" s="2633" t="s">
        <v>145</v>
      </c>
      <c r="KO6" s="2669"/>
      <c r="KP6" s="2634" t="s">
        <v>167</v>
      </c>
      <c r="KQ6" s="2632"/>
      <c r="KR6" s="2632"/>
      <c r="KS6" s="2632"/>
      <c r="KT6" s="2632"/>
      <c r="KU6" s="2634" t="s">
        <v>168</v>
      </c>
      <c r="KV6" s="2632"/>
      <c r="KW6" s="2632"/>
      <c r="KX6" s="2632"/>
      <c r="KY6" s="2632"/>
      <c r="KZ6" s="2632" t="s">
        <v>247</v>
      </c>
      <c r="LA6" s="2632"/>
      <c r="LB6" s="2632"/>
      <c r="LC6" s="2632"/>
      <c r="LD6" s="2632"/>
      <c r="LE6" s="2633" t="s">
        <v>145</v>
      </c>
      <c r="LF6" s="2669"/>
      <c r="LH6" s="2633" t="s">
        <v>170</v>
      </c>
      <c r="LI6" s="2635"/>
      <c r="LJ6" s="2635"/>
      <c r="LK6" s="2634"/>
      <c r="LL6" s="2619" t="s">
        <v>171</v>
      </c>
      <c r="LM6" s="2673"/>
      <c r="LN6" s="2673"/>
      <c r="LO6" s="2673"/>
      <c r="LP6" s="2690" t="s">
        <v>172</v>
      </c>
      <c r="LQ6" s="2633" t="s">
        <v>145</v>
      </c>
      <c r="LR6" s="2688"/>
      <c r="LS6" s="2634" t="s">
        <v>173</v>
      </c>
      <c r="LT6" s="2634"/>
      <c r="LU6" s="2632"/>
      <c r="LV6" s="2632"/>
      <c r="LW6" s="2632"/>
      <c r="LX6" s="2620" t="s">
        <v>151</v>
      </c>
      <c r="LY6" s="2632" t="s">
        <v>174</v>
      </c>
      <c r="LZ6" s="2632"/>
      <c r="MA6" s="2632"/>
      <c r="MB6" s="2632"/>
      <c r="MC6" s="2632"/>
      <c r="MD6" s="2632"/>
      <c r="ME6" s="2632" t="s">
        <v>175</v>
      </c>
      <c r="MF6" s="2632"/>
      <c r="MG6" s="2632"/>
      <c r="MH6" s="2632"/>
      <c r="MI6" s="2632"/>
      <c r="MJ6" s="2620" t="s">
        <v>151</v>
      </c>
      <c r="MK6" s="2632" t="s">
        <v>176</v>
      </c>
      <c r="ML6" s="2632"/>
      <c r="MM6" s="2632"/>
      <c r="MN6" s="2632"/>
      <c r="MO6" s="2632"/>
      <c r="MP6" s="2620" t="s">
        <v>151</v>
      </c>
      <c r="MQ6" s="2632" t="s">
        <v>248</v>
      </c>
      <c r="MR6" s="2632"/>
      <c r="MS6" s="2632"/>
      <c r="MT6" s="2632"/>
      <c r="MU6" s="2632"/>
      <c r="MV6" s="2619" t="s">
        <v>151</v>
      </c>
      <c r="MW6" s="2688"/>
      <c r="MY6" s="2632" t="s">
        <v>178</v>
      </c>
      <c r="MZ6" s="2632" t="s">
        <v>126</v>
      </c>
      <c r="NA6" s="2632" t="s">
        <v>179</v>
      </c>
      <c r="NB6" s="2633" t="s">
        <v>249</v>
      </c>
      <c r="NC6" s="2621"/>
      <c r="ND6" s="2634" t="s">
        <v>181</v>
      </c>
      <c r="NE6" s="2634"/>
      <c r="NF6" s="2632"/>
      <c r="NG6" s="2632" t="s">
        <v>7</v>
      </c>
      <c r="NH6" s="2633" t="s">
        <v>35</v>
      </c>
      <c r="NI6" s="2635"/>
      <c r="NJ6" s="2635"/>
      <c r="NK6" s="2635"/>
      <c r="NL6" s="2635"/>
      <c r="NM6" s="2635"/>
      <c r="NN6" s="2635"/>
      <c r="NO6" s="2635"/>
      <c r="NP6" s="2635"/>
      <c r="NQ6" s="2635"/>
      <c r="NR6" s="2635"/>
      <c r="NS6" s="2634"/>
      <c r="NT6" s="2620" t="s">
        <v>151</v>
      </c>
      <c r="NU6" s="2632" t="s">
        <v>245</v>
      </c>
      <c r="NV6" s="2632"/>
      <c r="NW6" s="2632"/>
      <c r="NX6" s="2632"/>
      <c r="NY6" s="2632"/>
      <c r="NZ6" s="2632"/>
      <c r="OA6" s="2632"/>
      <c r="OB6" s="2632"/>
      <c r="OC6" s="2632"/>
      <c r="OD6" s="2632"/>
      <c r="OE6" s="2632"/>
      <c r="OF6" s="181"/>
      <c r="OG6" s="2620" t="s">
        <v>151</v>
      </c>
      <c r="OH6" s="2632" t="s">
        <v>246</v>
      </c>
      <c r="OI6" s="2632"/>
      <c r="OJ6" s="2632"/>
      <c r="OK6" s="2632"/>
      <c r="OL6" s="2632"/>
      <c r="OM6" s="2632"/>
      <c r="ON6" s="2632"/>
      <c r="OO6" s="2632"/>
      <c r="OP6" s="2632"/>
      <c r="OQ6" s="2632"/>
      <c r="OR6" s="2632"/>
      <c r="OS6" s="181"/>
      <c r="OT6" s="2620" t="s">
        <v>151</v>
      </c>
      <c r="OU6" s="2632" t="s">
        <v>250</v>
      </c>
      <c r="OV6" s="2632"/>
      <c r="OW6" s="2632"/>
      <c r="OX6" s="2632"/>
      <c r="OY6" s="2632"/>
      <c r="OZ6" s="2632"/>
      <c r="PA6" s="2620" t="s">
        <v>151</v>
      </c>
      <c r="PB6" s="2632" t="s">
        <v>251</v>
      </c>
      <c r="PC6" s="2632"/>
      <c r="PD6" s="2632"/>
      <c r="PE6" s="2632"/>
      <c r="PF6" s="2632"/>
      <c r="PG6" s="2632"/>
      <c r="PH6" s="2619" t="s">
        <v>151</v>
      </c>
      <c r="PI6" s="2621"/>
      <c r="PK6" s="2620" t="s">
        <v>184</v>
      </c>
      <c r="PL6" s="2620" t="s">
        <v>252</v>
      </c>
      <c r="PM6" s="2703" t="s">
        <v>253</v>
      </c>
      <c r="PN6" s="2705" t="s">
        <v>186</v>
      </c>
      <c r="PO6" s="2619" t="s">
        <v>91</v>
      </c>
      <c r="PP6" s="2619" t="s">
        <v>254</v>
      </c>
      <c r="PQ6" s="2619" t="s">
        <v>145</v>
      </c>
      <c r="PR6" s="2615"/>
      <c r="PT6" s="2619" t="s">
        <v>255</v>
      </c>
      <c r="PU6" s="2676"/>
      <c r="PV6" s="2619" t="s">
        <v>256</v>
      </c>
      <c r="PW6" s="2673"/>
      <c r="PX6" s="2673"/>
      <c r="PY6" s="2673"/>
      <c r="PZ6" s="2676"/>
      <c r="QA6" s="2620" t="s">
        <v>184</v>
      </c>
      <c r="QB6" s="2620" t="s">
        <v>189</v>
      </c>
      <c r="QC6" s="2620" t="s">
        <v>189</v>
      </c>
      <c r="QD6" s="2690" t="s">
        <v>257</v>
      </c>
      <c r="QE6" s="2690" t="s">
        <v>258</v>
      </c>
      <c r="QF6" s="2620" t="s">
        <v>259</v>
      </c>
      <c r="QG6" s="2620" t="s">
        <v>260</v>
      </c>
      <c r="QH6" s="2716" t="s">
        <v>191</v>
      </c>
      <c r="QI6" s="2717"/>
      <c r="QJ6" s="2711"/>
      <c r="QK6" s="1405"/>
      <c r="QL6" s="2619" t="s">
        <v>145</v>
      </c>
      <c r="QM6" s="2615"/>
      <c r="QR6" s="105" t="s">
        <v>192</v>
      </c>
      <c r="QS6" s="105">
        <v>13000</v>
      </c>
      <c r="RK6" s="2718" t="s">
        <v>261</v>
      </c>
      <c r="RL6" s="2718"/>
      <c r="RM6" s="2719"/>
      <c r="RN6" s="2719" t="s">
        <v>7</v>
      </c>
      <c r="RZ6" s="1134"/>
    </row>
    <row r="7" spans="1:503" s="42" customFormat="1" ht="46.2" customHeight="1">
      <c r="B7" s="2627"/>
      <c r="C7" s="2632"/>
      <c r="D7" s="2632"/>
      <c r="E7" s="2632"/>
      <c r="F7" s="181"/>
      <c r="G7" s="181"/>
      <c r="H7" s="181" t="s">
        <v>193</v>
      </c>
      <c r="I7" s="181" t="s">
        <v>194</v>
      </c>
      <c r="J7" s="181" t="s">
        <v>193</v>
      </c>
      <c r="K7" s="181" t="s">
        <v>194</v>
      </c>
      <c r="L7" s="181" t="s">
        <v>193</v>
      </c>
      <c r="M7" s="182" t="s">
        <v>194</v>
      </c>
      <c r="N7" s="2629"/>
      <c r="O7" s="183" t="s">
        <v>3</v>
      </c>
      <c r="P7" s="181" t="s">
        <v>126</v>
      </c>
      <c r="Q7" s="181" t="s">
        <v>127</v>
      </c>
      <c r="R7" s="182" t="s">
        <v>145</v>
      </c>
      <c r="S7" s="181" t="s">
        <v>3</v>
      </c>
      <c r="T7" s="181" t="s">
        <v>126</v>
      </c>
      <c r="U7" s="181" t="s">
        <v>127</v>
      </c>
      <c r="V7" s="181" t="s">
        <v>145</v>
      </c>
      <c r="W7" s="183" t="s">
        <v>3</v>
      </c>
      <c r="X7" s="181" t="s">
        <v>126</v>
      </c>
      <c r="Y7" s="181" t="s">
        <v>127</v>
      </c>
      <c r="Z7" s="181" t="s">
        <v>145</v>
      </c>
      <c r="AA7" s="183" t="s">
        <v>3</v>
      </c>
      <c r="AB7" s="181" t="s">
        <v>126</v>
      </c>
      <c r="AC7" s="181" t="s">
        <v>127</v>
      </c>
      <c r="AD7" s="181" t="s">
        <v>145</v>
      </c>
      <c r="AE7" s="181" t="s">
        <v>3</v>
      </c>
      <c r="AF7" s="181" t="s">
        <v>126</v>
      </c>
      <c r="AG7" s="181" t="s">
        <v>127</v>
      </c>
      <c r="AH7" s="181" t="s">
        <v>145</v>
      </c>
      <c r="AI7" s="181" t="s">
        <v>3</v>
      </c>
      <c r="AJ7" s="181" t="s">
        <v>126</v>
      </c>
      <c r="AK7" s="181" t="s">
        <v>127</v>
      </c>
      <c r="AL7" s="182" t="s">
        <v>145</v>
      </c>
      <c r="AM7" s="2629"/>
      <c r="AN7" s="183" t="s">
        <v>3</v>
      </c>
      <c r="AO7" s="181" t="s">
        <v>126</v>
      </c>
      <c r="AP7" s="181" t="s">
        <v>127</v>
      </c>
      <c r="AQ7" s="181" t="s">
        <v>3</v>
      </c>
      <c r="AR7" s="181" t="s">
        <v>126</v>
      </c>
      <c r="AS7" s="181" t="s">
        <v>127</v>
      </c>
      <c r="AT7" s="181" t="s">
        <v>3</v>
      </c>
      <c r="AU7" s="181" t="s">
        <v>126</v>
      </c>
      <c r="AV7" s="182" t="s">
        <v>127</v>
      </c>
      <c r="AW7" s="181" t="s">
        <v>3</v>
      </c>
      <c r="AX7" s="181" t="s">
        <v>126</v>
      </c>
      <c r="AY7" s="181" t="s">
        <v>127</v>
      </c>
      <c r="AZ7" s="181" t="s">
        <v>3</v>
      </c>
      <c r="BA7" s="181" t="s">
        <v>126</v>
      </c>
      <c r="BB7" s="181" t="s">
        <v>127</v>
      </c>
      <c r="BC7" s="181" t="s">
        <v>3</v>
      </c>
      <c r="BD7" s="181" t="s">
        <v>126</v>
      </c>
      <c r="BE7" s="181" t="s">
        <v>127</v>
      </c>
      <c r="BF7" s="181" t="s">
        <v>3</v>
      </c>
      <c r="BG7" s="181" t="s">
        <v>126</v>
      </c>
      <c r="BH7" s="181" t="s">
        <v>127</v>
      </c>
      <c r="BI7" s="181" t="s">
        <v>3</v>
      </c>
      <c r="BJ7" s="181" t="s">
        <v>126</v>
      </c>
      <c r="BK7" s="181" t="s">
        <v>127</v>
      </c>
      <c r="BL7" s="181" t="s">
        <v>3</v>
      </c>
      <c r="BM7" s="181" t="s">
        <v>126</v>
      </c>
      <c r="BN7" s="181" t="s">
        <v>262</v>
      </c>
      <c r="BO7" s="181" t="s">
        <v>127</v>
      </c>
      <c r="BP7" s="181" t="s">
        <v>3</v>
      </c>
      <c r="BQ7" s="181" t="s">
        <v>126</v>
      </c>
      <c r="BR7" s="181" t="s">
        <v>127</v>
      </c>
      <c r="BS7" s="181" t="s">
        <v>3</v>
      </c>
      <c r="BT7" s="181" t="s">
        <v>126</v>
      </c>
      <c r="BU7" s="181" t="s">
        <v>127</v>
      </c>
      <c r="BV7" s="181" t="s">
        <v>3</v>
      </c>
      <c r="BW7" s="181" t="s">
        <v>126</v>
      </c>
      <c r="BX7" s="182" t="s">
        <v>127</v>
      </c>
      <c r="BY7" s="182" t="s">
        <v>3</v>
      </c>
      <c r="BZ7" s="182" t="s">
        <v>126</v>
      </c>
      <c r="CA7" s="182" t="s">
        <v>127</v>
      </c>
      <c r="CB7" s="181" t="s">
        <v>3</v>
      </c>
      <c r="CC7" s="181" t="s">
        <v>126</v>
      </c>
      <c r="CD7" s="182" t="s">
        <v>127</v>
      </c>
      <c r="CE7" s="181" t="s">
        <v>3</v>
      </c>
      <c r="CF7" s="181" t="s">
        <v>126</v>
      </c>
      <c r="CG7" s="182" t="s">
        <v>127</v>
      </c>
      <c r="CH7" s="148"/>
      <c r="CI7" s="2634"/>
      <c r="CJ7" s="2632"/>
      <c r="CK7" s="2632"/>
      <c r="CL7" s="2632"/>
      <c r="CM7" s="2632"/>
      <c r="CN7" s="2672"/>
      <c r="CO7" s="2633"/>
      <c r="CP7" s="2632"/>
      <c r="CR7" s="2632"/>
      <c r="CS7" s="2632"/>
      <c r="CT7" s="2632"/>
      <c r="CU7" s="2632"/>
      <c r="CV7" s="2632"/>
      <c r="CW7" s="2632"/>
      <c r="CX7" s="2632"/>
      <c r="CY7" s="2632"/>
      <c r="CZ7" s="2632"/>
      <c r="DA7" s="2632"/>
      <c r="DB7" s="2632"/>
      <c r="DC7" s="2632"/>
      <c r="DD7" s="2633"/>
      <c r="DE7" s="2685"/>
      <c r="DF7" s="183" t="s">
        <v>146</v>
      </c>
      <c r="DG7" s="183" t="s">
        <v>230</v>
      </c>
      <c r="DH7" s="181" t="s">
        <v>147</v>
      </c>
      <c r="DI7" s="181" t="s">
        <v>231</v>
      </c>
      <c r="DJ7" s="181" t="s">
        <v>148</v>
      </c>
      <c r="DK7" s="181" t="s">
        <v>232</v>
      </c>
      <c r="DL7" s="181" t="s">
        <v>149</v>
      </c>
      <c r="DM7" s="181" t="s">
        <v>233</v>
      </c>
      <c r="DN7" s="181" t="s">
        <v>69</v>
      </c>
      <c r="DO7" s="181" t="s">
        <v>234</v>
      </c>
      <c r="DP7" s="181" t="s">
        <v>71</v>
      </c>
      <c r="DQ7" s="181" t="s">
        <v>606</v>
      </c>
      <c r="DR7" s="181" t="s">
        <v>235</v>
      </c>
      <c r="DS7" s="2712"/>
      <c r="DT7" s="183" t="s">
        <v>146</v>
      </c>
      <c r="DU7" s="183" t="s">
        <v>230</v>
      </c>
      <c r="DV7" s="181" t="s">
        <v>147</v>
      </c>
      <c r="DW7" s="181" t="s">
        <v>231</v>
      </c>
      <c r="DX7" s="181" t="s">
        <v>148</v>
      </c>
      <c r="DY7" s="181" t="s">
        <v>232</v>
      </c>
      <c r="DZ7" s="181" t="s">
        <v>149</v>
      </c>
      <c r="EA7" s="181" t="s">
        <v>233</v>
      </c>
      <c r="EB7" s="181" t="s">
        <v>69</v>
      </c>
      <c r="EC7" s="181" t="s">
        <v>234</v>
      </c>
      <c r="ED7" s="181" t="s">
        <v>71</v>
      </c>
      <c r="EE7" s="181" t="s">
        <v>235</v>
      </c>
      <c r="EF7" s="2712"/>
      <c r="EG7" s="183" t="s">
        <v>263</v>
      </c>
      <c r="EH7" s="181" t="s">
        <v>264</v>
      </c>
      <c r="EI7" s="181" t="s">
        <v>265</v>
      </c>
      <c r="EJ7" s="181" t="s">
        <v>266</v>
      </c>
      <c r="EK7" s="181" t="s">
        <v>267</v>
      </c>
      <c r="EL7" s="181" t="s">
        <v>268</v>
      </c>
      <c r="EM7" s="181" t="s">
        <v>269</v>
      </c>
      <c r="EN7" s="181" t="s">
        <v>270</v>
      </c>
      <c r="EO7" s="181" t="s">
        <v>271</v>
      </c>
      <c r="EP7" s="181" t="s">
        <v>272</v>
      </c>
      <c r="EQ7" s="181" t="s">
        <v>273</v>
      </c>
      <c r="ER7" s="181" t="s">
        <v>274</v>
      </c>
      <c r="ES7" s="2712"/>
      <c r="ET7" s="181" t="s">
        <v>146</v>
      </c>
      <c r="EU7" s="181" t="s">
        <v>147</v>
      </c>
      <c r="EV7" s="181" t="s">
        <v>148</v>
      </c>
      <c r="EW7" s="181" t="s">
        <v>149</v>
      </c>
      <c r="EX7" s="181" t="s">
        <v>69</v>
      </c>
      <c r="EY7" s="181" t="s">
        <v>71</v>
      </c>
      <c r="EZ7" s="2712"/>
      <c r="FA7" s="2685"/>
      <c r="FC7" s="2691"/>
      <c r="FD7" s="2691"/>
      <c r="FE7" s="2691"/>
      <c r="FF7" s="2672"/>
      <c r="FG7" s="2672"/>
      <c r="FH7" s="2674"/>
      <c r="FI7" s="183" t="s">
        <v>146</v>
      </c>
      <c r="FJ7" s="181" t="s">
        <v>147</v>
      </c>
      <c r="FK7" s="181" t="s">
        <v>148</v>
      </c>
      <c r="FL7" s="181" t="s">
        <v>149</v>
      </c>
      <c r="FM7" s="181" t="s">
        <v>69</v>
      </c>
      <c r="FN7" s="181" t="s">
        <v>71</v>
      </c>
      <c r="FO7" s="2620"/>
      <c r="FP7" s="181" t="s">
        <v>146</v>
      </c>
      <c r="FQ7" s="181" t="s">
        <v>147</v>
      </c>
      <c r="FR7" s="181" t="s">
        <v>148</v>
      </c>
      <c r="FS7" s="181" t="s">
        <v>149</v>
      </c>
      <c r="FT7" s="181" t="s">
        <v>69</v>
      </c>
      <c r="FU7" s="181" t="s">
        <v>71</v>
      </c>
      <c r="FV7" s="2620"/>
      <c r="FW7" s="181" t="s">
        <v>275</v>
      </c>
      <c r="FX7" s="181" t="s">
        <v>230</v>
      </c>
      <c r="FY7" s="181" t="s">
        <v>147</v>
      </c>
      <c r="FZ7" s="181" t="s">
        <v>231</v>
      </c>
      <c r="GA7" s="181" t="s">
        <v>148</v>
      </c>
      <c r="GB7" s="181" t="s">
        <v>232</v>
      </c>
      <c r="GC7" s="181" t="s">
        <v>149</v>
      </c>
      <c r="GD7" s="181" t="s">
        <v>233</v>
      </c>
      <c r="GE7" s="181" t="s">
        <v>69</v>
      </c>
      <c r="GF7" s="181" t="s">
        <v>234</v>
      </c>
      <c r="GG7" s="181" t="s">
        <v>71</v>
      </c>
      <c r="GH7" s="182" t="s">
        <v>235</v>
      </c>
      <c r="GI7" s="2619"/>
      <c r="GJ7" s="2674"/>
      <c r="GL7" s="181" t="s">
        <v>276</v>
      </c>
      <c r="GM7" s="181" t="s">
        <v>81</v>
      </c>
      <c r="GN7" s="181" t="s">
        <v>37</v>
      </c>
      <c r="GO7" s="2632"/>
      <c r="GP7" s="181" t="s">
        <v>277</v>
      </c>
      <c r="GQ7" s="181" t="s">
        <v>277</v>
      </c>
      <c r="GR7" s="2633"/>
      <c r="GS7" s="2667"/>
      <c r="GT7" s="2634"/>
      <c r="GU7" s="2632"/>
      <c r="GV7" s="2632"/>
      <c r="GW7" s="2632"/>
      <c r="GX7" s="2619"/>
      <c r="GY7" s="2667"/>
      <c r="GZ7" s="183" t="s">
        <v>263</v>
      </c>
      <c r="HA7" s="181" t="s">
        <v>264</v>
      </c>
      <c r="HB7" s="181" t="s">
        <v>265</v>
      </c>
      <c r="HC7" s="181" t="s">
        <v>266</v>
      </c>
      <c r="HD7" s="181" t="s">
        <v>267</v>
      </c>
      <c r="HE7" s="181" t="s">
        <v>268</v>
      </c>
      <c r="HF7" s="181" t="s">
        <v>269</v>
      </c>
      <c r="HG7" s="181" t="s">
        <v>270</v>
      </c>
      <c r="HH7" s="181" t="s">
        <v>271</v>
      </c>
      <c r="HI7" s="181" t="s">
        <v>272</v>
      </c>
      <c r="HJ7" s="181" t="s">
        <v>273</v>
      </c>
      <c r="HK7" s="181" t="s">
        <v>274</v>
      </c>
      <c r="HL7" s="181" t="s">
        <v>179</v>
      </c>
      <c r="HM7" s="181" t="s">
        <v>278</v>
      </c>
      <c r="HN7" s="2620"/>
      <c r="HO7" s="1001" t="s">
        <v>275</v>
      </c>
      <c r="HP7" s="1001" t="s">
        <v>230</v>
      </c>
      <c r="HQ7" s="1001" t="s">
        <v>147</v>
      </c>
      <c r="HR7" s="1001" t="s">
        <v>231</v>
      </c>
      <c r="HS7" s="1001" t="s">
        <v>148</v>
      </c>
      <c r="HT7" s="1001" t="s">
        <v>232</v>
      </c>
      <c r="HU7" s="1001" t="s">
        <v>149</v>
      </c>
      <c r="HV7" s="1001" t="s">
        <v>233</v>
      </c>
      <c r="HW7" s="1001" t="s">
        <v>69</v>
      </c>
      <c r="HX7" s="1001" t="s">
        <v>234</v>
      </c>
      <c r="HY7" s="1001" t="s">
        <v>71</v>
      </c>
      <c r="HZ7" s="1001" t="s">
        <v>235</v>
      </c>
      <c r="IA7" s="1001" t="s">
        <v>179</v>
      </c>
      <c r="IB7" s="1001" t="s">
        <v>30</v>
      </c>
      <c r="IC7" s="2712"/>
      <c r="ID7" s="183" t="s">
        <v>275</v>
      </c>
      <c r="IE7" s="181" t="s">
        <v>230</v>
      </c>
      <c r="IF7" s="181" t="s">
        <v>147</v>
      </c>
      <c r="IG7" s="181" t="s">
        <v>231</v>
      </c>
      <c r="IH7" s="181" t="s">
        <v>148</v>
      </c>
      <c r="II7" s="181" t="s">
        <v>232</v>
      </c>
      <c r="IJ7" s="181" t="s">
        <v>149</v>
      </c>
      <c r="IK7" s="181" t="s">
        <v>233</v>
      </c>
      <c r="IL7" s="181" t="s">
        <v>69</v>
      </c>
      <c r="IM7" s="181" t="s">
        <v>234</v>
      </c>
      <c r="IN7" s="181" t="s">
        <v>71</v>
      </c>
      <c r="IO7" s="181" t="s">
        <v>606</v>
      </c>
      <c r="IP7" s="181" t="s">
        <v>179</v>
      </c>
      <c r="IQ7" s="181" t="s">
        <v>30</v>
      </c>
      <c r="IR7" s="2620"/>
      <c r="IS7" s="183" t="s">
        <v>275</v>
      </c>
      <c r="IT7" s="181" t="s">
        <v>230</v>
      </c>
      <c r="IU7" s="181" t="s">
        <v>147</v>
      </c>
      <c r="IV7" s="181" t="s">
        <v>231</v>
      </c>
      <c r="IW7" s="181" t="s">
        <v>148</v>
      </c>
      <c r="IX7" s="181" t="s">
        <v>232</v>
      </c>
      <c r="IY7" s="181" t="s">
        <v>149</v>
      </c>
      <c r="IZ7" s="181" t="s">
        <v>233</v>
      </c>
      <c r="JA7" s="181" t="s">
        <v>69</v>
      </c>
      <c r="JB7" s="181" t="s">
        <v>234</v>
      </c>
      <c r="JC7" s="181" t="s">
        <v>71</v>
      </c>
      <c r="JD7" s="181" t="s">
        <v>235</v>
      </c>
      <c r="JE7" s="181" t="s">
        <v>179</v>
      </c>
      <c r="JF7" s="181" t="s">
        <v>30</v>
      </c>
      <c r="JG7" s="2619"/>
      <c r="JH7" s="2667"/>
      <c r="JJ7" s="2632"/>
      <c r="JK7" s="2672"/>
      <c r="JL7" s="2632"/>
      <c r="JM7" s="2632"/>
      <c r="JN7" s="2633"/>
      <c r="JO7" s="2669"/>
      <c r="JP7" s="183" t="s">
        <v>146</v>
      </c>
      <c r="JQ7" s="181" t="s">
        <v>147</v>
      </c>
      <c r="JR7" s="181" t="s">
        <v>148</v>
      </c>
      <c r="JS7" s="181" t="s">
        <v>149</v>
      </c>
      <c r="JT7" s="181" t="s">
        <v>69</v>
      </c>
      <c r="JU7" s="181" t="s">
        <v>71</v>
      </c>
      <c r="JV7" s="181" t="s">
        <v>179</v>
      </c>
      <c r="JW7" s="181" t="s">
        <v>30</v>
      </c>
      <c r="JX7" s="183" t="s">
        <v>146</v>
      </c>
      <c r="JY7" s="181" t="s">
        <v>147</v>
      </c>
      <c r="JZ7" s="181" t="s">
        <v>148</v>
      </c>
      <c r="KA7" s="181" t="s">
        <v>149</v>
      </c>
      <c r="KB7" s="181" t="s">
        <v>69</v>
      </c>
      <c r="KC7" s="181" t="s">
        <v>71</v>
      </c>
      <c r="KD7" s="181" t="s">
        <v>179</v>
      </c>
      <c r="KE7" s="181" t="s">
        <v>30</v>
      </c>
      <c r="KF7" s="181" t="s">
        <v>146</v>
      </c>
      <c r="KG7" s="181" t="s">
        <v>147</v>
      </c>
      <c r="KH7" s="181" t="s">
        <v>148</v>
      </c>
      <c r="KI7" s="181" t="s">
        <v>149</v>
      </c>
      <c r="KJ7" s="181" t="s">
        <v>69</v>
      </c>
      <c r="KK7" s="181" t="s">
        <v>71</v>
      </c>
      <c r="KL7" s="181" t="s">
        <v>179</v>
      </c>
      <c r="KM7" s="181" t="s">
        <v>30</v>
      </c>
      <c r="KN7" s="2633"/>
      <c r="KO7" s="2669"/>
      <c r="KP7" s="183" t="s">
        <v>61</v>
      </c>
      <c r="KQ7" s="181" t="s">
        <v>62</v>
      </c>
      <c r="KR7" s="181" t="s">
        <v>63</v>
      </c>
      <c r="KS7" s="181" t="s">
        <v>196</v>
      </c>
      <c r="KT7" s="181" t="s">
        <v>197</v>
      </c>
      <c r="KU7" s="183" t="s">
        <v>61</v>
      </c>
      <c r="KV7" s="181" t="s">
        <v>62</v>
      </c>
      <c r="KW7" s="181" t="s">
        <v>63</v>
      </c>
      <c r="KX7" s="181" t="s">
        <v>196</v>
      </c>
      <c r="KY7" s="181" t="s">
        <v>197</v>
      </c>
      <c r="KZ7" s="181" t="s">
        <v>61</v>
      </c>
      <c r="LA7" s="181" t="s">
        <v>62</v>
      </c>
      <c r="LB7" s="181" t="s">
        <v>63</v>
      </c>
      <c r="LC7" s="181" t="s">
        <v>196</v>
      </c>
      <c r="LD7" s="181" t="s">
        <v>197</v>
      </c>
      <c r="LE7" s="2633"/>
      <c r="LF7" s="2669"/>
      <c r="LH7" s="184" t="s">
        <v>167</v>
      </c>
      <c r="LI7" s="184" t="s">
        <v>168</v>
      </c>
      <c r="LJ7" s="184" t="s">
        <v>279</v>
      </c>
      <c r="LK7" s="184" t="s">
        <v>7</v>
      </c>
      <c r="LL7" s="43" t="s">
        <v>198</v>
      </c>
      <c r="LM7" s="43" t="s">
        <v>199</v>
      </c>
      <c r="LN7" s="44" t="s">
        <v>200</v>
      </c>
      <c r="LO7" s="45" t="s">
        <v>201</v>
      </c>
      <c r="LP7" s="2691"/>
      <c r="LQ7" s="2633"/>
      <c r="LR7" s="2688"/>
      <c r="LS7" s="183" t="s">
        <v>167</v>
      </c>
      <c r="LT7" s="184" t="s">
        <v>168</v>
      </c>
      <c r="LU7" s="181" t="s">
        <v>169</v>
      </c>
      <c r="LV7" s="181" t="s">
        <v>202</v>
      </c>
      <c r="LW7" s="181" t="s">
        <v>280</v>
      </c>
      <c r="LX7" s="2620"/>
      <c r="LY7" s="181" t="s">
        <v>167</v>
      </c>
      <c r="LZ7" s="184" t="s">
        <v>168</v>
      </c>
      <c r="MA7" s="181" t="s">
        <v>169</v>
      </c>
      <c r="MB7" s="181" t="s">
        <v>202</v>
      </c>
      <c r="MC7" s="181" t="s">
        <v>280</v>
      </c>
      <c r="MD7" s="181" t="s">
        <v>151</v>
      </c>
      <c r="ME7" s="181" t="s">
        <v>167</v>
      </c>
      <c r="MF7" s="184" t="s">
        <v>168</v>
      </c>
      <c r="MG7" s="181" t="s">
        <v>169</v>
      </c>
      <c r="MH7" s="181" t="s">
        <v>202</v>
      </c>
      <c r="MI7" s="181" t="s">
        <v>203</v>
      </c>
      <c r="MJ7" s="2620"/>
      <c r="MK7" s="181" t="s">
        <v>167</v>
      </c>
      <c r="ML7" s="181" t="s">
        <v>168</v>
      </c>
      <c r="MM7" s="181" t="s">
        <v>169</v>
      </c>
      <c r="MN7" s="181" t="s">
        <v>202</v>
      </c>
      <c r="MO7" s="181" t="s">
        <v>203</v>
      </c>
      <c r="MP7" s="2620"/>
      <c r="MQ7" s="181" t="s">
        <v>167</v>
      </c>
      <c r="MR7" s="184" t="s">
        <v>168</v>
      </c>
      <c r="MS7" s="181" t="s">
        <v>169</v>
      </c>
      <c r="MT7" s="181" t="s">
        <v>202</v>
      </c>
      <c r="MU7" s="181" t="s">
        <v>280</v>
      </c>
      <c r="MV7" s="2619"/>
      <c r="MW7" s="2688"/>
      <c r="MY7" s="2632"/>
      <c r="MZ7" s="2632"/>
      <c r="NA7" s="2632"/>
      <c r="NB7" s="2633"/>
      <c r="NC7" s="2621"/>
      <c r="ND7" s="183" t="s">
        <v>167</v>
      </c>
      <c r="NE7" s="183" t="s">
        <v>168</v>
      </c>
      <c r="NF7" s="181" t="s">
        <v>169</v>
      </c>
      <c r="NG7" s="2632"/>
      <c r="NH7" s="183" t="s">
        <v>263</v>
      </c>
      <c r="NI7" s="181" t="s">
        <v>230</v>
      </c>
      <c r="NJ7" s="181" t="s">
        <v>265</v>
      </c>
      <c r="NK7" s="181" t="s">
        <v>231</v>
      </c>
      <c r="NL7" s="181" t="s">
        <v>267</v>
      </c>
      <c r="NM7" s="181" t="s">
        <v>232</v>
      </c>
      <c r="NN7" s="181" t="s">
        <v>269</v>
      </c>
      <c r="NO7" s="181" t="s">
        <v>233</v>
      </c>
      <c r="NP7" s="181" t="s">
        <v>69</v>
      </c>
      <c r="NQ7" s="999" t="s">
        <v>281</v>
      </c>
      <c r="NR7" s="181" t="s">
        <v>146</v>
      </c>
      <c r="NS7" s="181" t="s">
        <v>71</v>
      </c>
      <c r="NT7" s="2620"/>
      <c r="NU7" s="183" t="s">
        <v>275</v>
      </c>
      <c r="NV7" s="181" t="s">
        <v>230</v>
      </c>
      <c r="NW7" s="181" t="s">
        <v>147</v>
      </c>
      <c r="NX7" s="181" t="s">
        <v>231</v>
      </c>
      <c r="NY7" s="181" t="s">
        <v>148</v>
      </c>
      <c r="NZ7" s="181" t="s">
        <v>232</v>
      </c>
      <c r="OA7" s="181" t="s">
        <v>149</v>
      </c>
      <c r="OB7" s="181" t="s">
        <v>233</v>
      </c>
      <c r="OC7" s="181" t="s">
        <v>71</v>
      </c>
      <c r="OD7" s="181" t="s">
        <v>234</v>
      </c>
      <c r="OE7" s="181" t="s">
        <v>606</v>
      </c>
      <c r="OF7" s="181" t="s">
        <v>235</v>
      </c>
      <c r="OG7" s="2620"/>
      <c r="OH7" s="183" t="s">
        <v>275</v>
      </c>
      <c r="OI7" s="181" t="s">
        <v>230</v>
      </c>
      <c r="OJ7" s="181" t="s">
        <v>147</v>
      </c>
      <c r="OK7" s="181" t="s">
        <v>231</v>
      </c>
      <c r="OL7" s="181" t="s">
        <v>148</v>
      </c>
      <c r="OM7" s="181" t="s">
        <v>232</v>
      </c>
      <c r="ON7" s="181" t="s">
        <v>149</v>
      </c>
      <c r="OO7" s="181" t="s">
        <v>233</v>
      </c>
      <c r="OP7" s="181" t="s">
        <v>69</v>
      </c>
      <c r="OQ7" s="181" t="s">
        <v>234</v>
      </c>
      <c r="OR7" s="181" t="s">
        <v>71</v>
      </c>
      <c r="OS7" s="181" t="s">
        <v>235</v>
      </c>
      <c r="OT7" s="2620"/>
      <c r="OU7" s="181" t="s">
        <v>146</v>
      </c>
      <c r="OV7" s="181" t="s">
        <v>147</v>
      </c>
      <c r="OW7" s="181" t="s">
        <v>148</v>
      </c>
      <c r="OX7" s="181" t="s">
        <v>149</v>
      </c>
      <c r="OY7" s="181" t="s">
        <v>69</v>
      </c>
      <c r="OZ7" s="181" t="s">
        <v>71</v>
      </c>
      <c r="PA7" s="2620"/>
      <c r="PB7" s="181" t="s">
        <v>146</v>
      </c>
      <c r="PC7" s="181" t="s">
        <v>147</v>
      </c>
      <c r="PD7" s="181" t="s">
        <v>148</v>
      </c>
      <c r="PE7" s="181" t="s">
        <v>149</v>
      </c>
      <c r="PF7" s="181" t="s">
        <v>69</v>
      </c>
      <c r="PG7" s="181" t="s">
        <v>71</v>
      </c>
      <c r="PH7" s="2619"/>
      <c r="PI7" s="2621"/>
      <c r="PK7" s="2620"/>
      <c r="PL7" s="2620"/>
      <c r="PM7" s="2704"/>
      <c r="PN7" s="2705"/>
      <c r="PO7" s="2619"/>
      <c r="PP7" s="2619"/>
      <c r="PQ7" s="2619"/>
      <c r="PR7" s="2615"/>
      <c r="PT7" s="999" t="s">
        <v>243</v>
      </c>
      <c r="PU7" s="999" t="s">
        <v>72</v>
      </c>
      <c r="PV7" s="999" t="s">
        <v>35</v>
      </c>
      <c r="PW7" s="999" t="s">
        <v>81</v>
      </c>
      <c r="PX7" s="999" t="s">
        <v>282</v>
      </c>
      <c r="PY7" s="999" t="s">
        <v>283</v>
      </c>
      <c r="PZ7" s="999" t="s">
        <v>284</v>
      </c>
      <c r="QA7" s="2620"/>
      <c r="QB7" s="2620"/>
      <c r="QC7" s="2620"/>
      <c r="QD7" s="2691"/>
      <c r="QE7" s="2691"/>
      <c r="QF7" s="2620"/>
      <c r="QG7" s="2620"/>
      <c r="QH7" s="999" t="s">
        <v>35</v>
      </c>
      <c r="QI7" s="999" t="s">
        <v>81</v>
      </c>
      <c r="QJ7" s="999" t="s">
        <v>37</v>
      </c>
      <c r="QK7" s="1000"/>
      <c r="QL7" s="2619"/>
      <c r="QM7" s="2615"/>
      <c r="QO7" s="181" t="s">
        <v>204</v>
      </c>
      <c r="QP7" s="181" t="s">
        <v>205</v>
      </c>
      <c r="QR7" s="181" t="s">
        <v>204</v>
      </c>
      <c r="QS7" s="181" t="s">
        <v>205</v>
      </c>
      <c r="QU7" s="89" t="s">
        <v>146</v>
      </c>
      <c r="QV7" s="89" t="s">
        <v>147</v>
      </c>
      <c r="QW7" s="89" t="s">
        <v>148</v>
      </c>
      <c r="QX7" s="89" t="s">
        <v>149</v>
      </c>
      <c r="QY7" s="89" t="s">
        <v>69</v>
      </c>
      <c r="QZ7" s="89" t="s">
        <v>71</v>
      </c>
      <c r="RA7" s="89"/>
      <c r="RB7" s="89" t="s">
        <v>146</v>
      </c>
      <c r="RC7" s="89" t="s">
        <v>147</v>
      </c>
      <c r="RD7" s="89" t="s">
        <v>148</v>
      </c>
      <c r="RE7" s="89" t="s">
        <v>149</v>
      </c>
      <c r="RF7" s="89" t="s">
        <v>69</v>
      </c>
      <c r="RG7" s="89" t="s">
        <v>71</v>
      </c>
      <c r="RK7" s="1004" t="s">
        <v>167</v>
      </c>
      <c r="RL7" s="1004" t="s">
        <v>168</v>
      </c>
      <c r="RM7" s="1003" t="s">
        <v>169</v>
      </c>
      <c r="RN7" s="2719"/>
      <c r="RZ7" s="1134"/>
    </row>
    <row r="8" spans="1:503" s="89" customFormat="1" ht="15" customHeight="1">
      <c r="C8" s="1395"/>
      <c r="D8" s="1395"/>
      <c r="E8" s="1395"/>
      <c r="F8" s="1395"/>
      <c r="G8" s="1395"/>
      <c r="H8" s="1395"/>
      <c r="I8" s="1395"/>
      <c r="J8" s="1395"/>
      <c r="K8" s="1395"/>
      <c r="L8" s="1395"/>
      <c r="M8" s="1395"/>
      <c r="N8" s="2629"/>
      <c r="O8" s="1395"/>
      <c r="P8" s="1395"/>
      <c r="Q8" s="1395"/>
      <c r="R8" s="1395"/>
      <c r="S8" s="1147"/>
      <c r="T8" s="1395"/>
      <c r="U8" s="1406"/>
      <c r="V8" s="1146"/>
      <c r="W8" s="1395"/>
      <c r="X8" s="1395"/>
      <c r="Y8" s="1395"/>
      <c r="Z8" s="1395"/>
      <c r="AA8" s="2720"/>
      <c r="AB8" s="2721"/>
      <c r="AC8" s="2721"/>
      <c r="AD8" s="2722"/>
      <c r="AE8" s="1395"/>
      <c r="AF8" s="1395"/>
      <c r="AG8" s="1395"/>
      <c r="AH8" s="1395"/>
      <c r="AI8" s="1395"/>
      <c r="AJ8" s="1395"/>
      <c r="AK8" s="1395"/>
      <c r="AL8" s="1395"/>
      <c r="AM8" s="2629"/>
      <c r="AN8" s="1395"/>
      <c r="AO8" s="1395"/>
      <c r="AP8" s="1395"/>
      <c r="AQ8" s="1395"/>
      <c r="AR8" s="1395"/>
      <c r="AS8" s="1395"/>
      <c r="AT8" s="1395"/>
      <c r="AU8" s="1395"/>
      <c r="AV8" s="1395"/>
      <c r="AW8" s="1147"/>
      <c r="AX8" s="1395"/>
      <c r="AY8" s="1395"/>
      <c r="AZ8" s="1395"/>
      <c r="BA8" s="1395"/>
      <c r="BB8" s="1395"/>
      <c r="BC8" s="1395"/>
      <c r="BD8" s="1395"/>
      <c r="BE8" s="1395"/>
      <c r="BF8" s="1395"/>
      <c r="BG8" s="1395"/>
      <c r="BH8" s="1395"/>
      <c r="BI8" s="1395"/>
      <c r="BJ8" s="1395"/>
      <c r="BK8" s="1395"/>
      <c r="BL8" s="1395"/>
      <c r="BM8" s="1395"/>
      <c r="BN8" s="1395"/>
      <c r="BO8" s="1395"/>
      <c r="BP8" s="1395"/>
      <c r="BQ8" s="1395"/>
      <c r="BR8" s="1395"/>
      <c r="BS8" s="1395"/>
      <c r="BT8" s="1395"/>
      <c r="BU8" s="1395"/>
      <c r="BV8" s="1395"/>
      <c r="BW8" s="1395"/>
      <c r="BX8" s="1395"/>
      <c r="CH8" s="147"/>
      <c r="CI8" s="1395"/>
      <c r="CJ8" s="1395"/>
      <c r="CK8" s="1395"/>
      <c r="CL8" s="1395"/>
      <c r="CM8" s="1395"/>
      <c r="CO8" s="1395"/>
      <c r="CP8" s="323"/>
      <c r="CR8" s="1395"/>
      <c r="CS8" s="1395"/>
      <c r="CT8" s="1395"/>
      <c r="CU8" s="1395"/>
      <c r="CV8" s="1395"/>
      <c r="CW8" s="1395"/>
      <c r="CX8" s="1395"/>
      <c r="CY8" s="1395"/>
      <c r="CZ8" s="1395"/>
      <c r="DA8" s="1395"/>
      <c r="DB8" s="1395"/>
      <c r="DC8" s="1395"/>
      <c r="DD8" s="1395"/>
      <c r="DE8" s="2685"/>
      <c r="DF8" s="1395"/>
      <c r="DG8" s="1395"/>
      <c r="DH8" s="1395"/>
      <c r="DI8" s="1395"/>
      <c r="DJ8" s="1395"/>
      <c r="DK8" s="1395"/>
      <c r="DL8" s="1395"/>
      <c r="DM8" s="1395"/>
      <c r="DN8" s="1395"/>
      <c r="DO8" s="1395"/>
      <c r="DP8" s="1395"/>
      <c r="DQ8" s="1395"/>
      <c r="DR8" s="1395"/>
      <c r="DS8" s="1396"/>
      <c r="DT8" s="1395"/>
      <c r="DU8" s="1395"/>
      <c r="DV8" s="1395"/>
      <c r="DW8" s="1395"/>
      <c r="DX8" s="1395"/>
      <c r="DY8" s="1395"/>
      <c r="DZ8" s="1395"/>
      <c r="EA8" s="1395"/>
      <c r="EB8" s="1395"/>
      <c r="EC8" s="1395"/>
      <c r="ED8" s="1395"/>
      <c r="EE8" s="1395"/>
      <c r="EF8" s="1396"/>
      <c r="EG8" s="1395"/>
      <c r="EH8" s="1395"/>
      <c r="EI8" s="1395"/>
      <c r="EJ8" s="1395"/>
      <c r="EK8" s="1395"/>
      <c r="EL8" s="1395"/>
      <c r="EM8" s="1395"/>
      <c r="EN8" s="1395"/>
      <c r="EO8" s="1395"/>
      <c r="EP8" s="1395"/>
      <c r="EQ8" s="1395"/>
      <c r="ER8" s="1395"/>
      <c r="ES8" s="1396"/>
      <c r="ET8" s="1395"/>
      <c r="EU8" s="1395"/>
      <c r="EV8" s="1395"/>
      <c r="EW8" s="1395"/>
      <c r="EX8" s="1395"/>
      <c r="EY8" s="1395"/>
      <c r="EZ8" s="1396"/>
      <c r="FA8" s="2685"/>
      <c r="FC8" s="1396"/>
      <c r="FD8" s="1396"/>
      <c r="FE8" s="1396"/>
      <c r="FF8" s="1395"/>
      <c r="FG8" s="1395"/>
      <c r="FH8" s="2674"/>
      <c r="FI8" s="1395"/>
      <c r="FJ8" s="1395"/>
      <c r="FK8" s="1395"/>
      <c r="FL8" s="1395"/>
      <c r="FM8" s="1395"/>
      <c r="FN8" s="1395"/>
      <c r="FO8" s="1396"/>
      <c r="FP8" s="1395"/>
      <c r="FQ8" s="1395"/>
      <c r="FR8" s="1395"/>
      <c r="FS8" s="1395"/>
      <c r="FT8" s="1395"/>
      <c r="FU8" s="1395"/>
      <c r="FV8" s="1396"/>
      <c r="FW8" s="1395"/>
      <c r="FX8" s="1395"/>
      <c r="FY8" s="1395"/>
      <c r="FZ8" s="1395"/>
      <c r="GA8" s="1395"/>
      <c r="GB8" s="1395"/>
      <c r="GC8" s="1395"/>
      <c r="GD8" s="1395"/>
      <c r="GE8" s="1395"/>
      <c r="GF8" s="1395"/>
      <c r="GG8" s="1395"/>
      <c r="GH8" s="1395"/>
      <c r="GI8" s="1396"/>
      <c r="GJ8" s="2674"/>
      <c r="GL8" s="1395"/>
      <c r="GM8" s="1395"/>
      <c r="GN8" s="1395"/>
      <c r="GO8" s="1395"/>
      <c r="GP8" s="1395"/>
      <c r="GQ8" s="1395"/>
      <c r="GR8" s="1395"/>
      <c r="GS8" s="2667"/>
      <c r="GT8" s="1395"/>
      <c r="GU8" s="1395"/>
      <c r="GV8" s="1395"/>
      <c r="GW8" s="1395"/>
      <c r="GX8" s="1396"/>
      <c r="GY8" s="2667"/>
      <c r="GZ8" s="1395"/>
      <c r="HA8" s="1395"/>
      <c r="HB8" s="1395"/>
      <c r="HC8" s="1395"/>
      <c r="HD8" s="1395"/>
      <c r="HE8" s="1395"/>
      <c r="HF8" s="1395"/>
      <c r="HG8" s="1395"/>
      <c r="HH8" s="1395"/>
      <c r="HI8" s="1395"/>
      <c r="HJ8" s="1395"/>
      <c r="HK8" s="1395"/>
      <c r="HL8" s="1395"/>
      <c r="HM8" s="1395"/>
      <c r="HN8" s="1396"/>
      <c r="HO8" s="1145"/>
      <c r="HP8" s="1407"/>
      <c r="HQ8" s="1407"/>
      <c r="HR8" s="1407"/>
      <c r="HS8" s="1407"/>
      <c r="HT8" s="1407"/>
      <c r="HU8" s="1407"/>
      <c r="HV8" s="1407"/>
      <c r="HW8" s="1407"/>
      <c r="HX8" s="1407"/>
      <c r="HY8" s="1407"/>
      <c r="HZ8" s="1407"/>
      <c r="IA8" s="1407"/>
      <c r="IB8" s="1407"/>
      <c r="IC8" s="1144"/>
      <c r="ID8" s="1395"/>
      <c r="IE8" s="1395"/>
      <c r="IF8" s="1395"/>
      <c r="IG8" s="1395"/>
      <c r="IH8" s="1395"/>
      <c r="II8" s="1395"/>
      <c r="IJ8" s="1395"/>
      <c r="IK8" s="1395"/>
      <c r="IL8" s="1395"/>
      <c r="IM8" s="1395"/>
      <c r="IN8" s="1395"/>
      <c r="IO8" s="1395"/>
      <c r="IP8" s="1395"/>
      <c r="IQ8" s="1395"/>
      <c r="IR8" s="1396"/>
      <c r="IS8" s="1395"/>
      <c r="IT8" s="1395"/>
      <c r="IU8" s="1395"/>
      <c r="IV8" s="1395"/>
      <c r="IW8" s="1395"/>
      <c r="IX8" s="1395"/>
      <c r="IY8" s="1395"/>
      <c r="IZ8" s="1395"/>
      <c r="JA8" s="1395"/>
      <c r="JB8" s="1395"/>
      <c r="JC8" s="1395"/>
      <c r="JD8" s="1395"/>
      <c r="JE8" s="1395"/>
      <c r="JF8" s="1395"/>
      <c r="JG8" s="1396"/>
      <c r="JH8" s="2667"/>
      <c r="JJ8" s="1395"/>
      <c r="JK8" s="1395"/>
      <c r="JL8" s="1395"/>
      <c r="JM8" s="1395"/>
      <c r="JN8" s="1395"/>
      <c r="JO8" s="2669"/>
      <c r="JP8" s="1395"/>
      <c r="JQ8" s="1395"/>
      <c r="JR8" s="1395"/>
      <c r="JS8" s="1395"/>
      <c r="JT8" s="1395"/>
      <c r="JU8" s="1395"/>
      <c r="JV8" s="1395"/>
      <c r="JW8" s="1395"/>
      <c r="JX8" s="1395"/>
      <c r="JY8" s="1395"/>
      <c r="JZ8" s="1395"/>
      <c r="KA8" s="1395"/>
      <c r="KB8" s="1395"/>
      <c r="KC8" s="1395"/>
      <c r="KD8" s="1395"/>
      <c r="KE8" s="1395"/>
      <c r="KG8" s="1395"/>
      <c r="KH8" s="1395"/>
      <c r="KI8" s="1395"/>
      <c r="KJ8" s="1395"/>
      <c r="KK8" s="1395"/>
      <c r="KL8" s="1395"/>
      <c r="KM8" s="1395"/>
      <c r="KN8" s="1395"/>
      <c r="KO8" s="2669"/>
      <c r="KP8" s="1395"/>
      <c r="KQ8" s="1395"/>
      <c r="KR8" s="1395"/>
      <c r="KS8" s="1395"/>
      <c r="KT8" s="1395"/>
      <c r="KU8" s="1395"/>
      <c r="KV8" s="1395"/>
      <c r="KW8" s="1395"/>
      <c r="KX8" s="1395"/>
      <c r="KY8" s="1395"/>
      <c r="KZ8" s="1395"/>
      <c r="LA8" s="1395"/>
      <c r="LB8" s="1395"/>
      <c r="LC8" s="1395"/>
      <c r="LD8" s="1395"/>
      <c r="LE8" s="1395"/>
      <c r="LF8" s="2669"/>
      <c r="LH8" s="1395"/>
      <c r="LI8" s="1395"/>
      <c r="LJ8" s="1395"/>
      <c r="LK8" s="1395"/>
      <c r="LL8" s="17"/>
      <c r="LM8" s="18"/>
      <c r="LN8" s="1397"/>
      <c r="LO8" s="17"/>
      <c r="LP8" s="17"/>
      <c r="LQ8" s="1395"/>
      <c r="LR8" s="2688"/>
      <c r="LS8" s="1395"/>
      <c r="LT8" s="1395"/>
      <c r="LU8" s="1395"/>
      <c r="LV8" s="1395"/>
      <c r="LW8" s="1395"/>
      <c r="LX8" s="1396"/>
      <c r="LY8" s="1395"/>
      <c r="LZ8" s="1395"/>
      <c r="MA8" s="1395"/>
      <c r="MB8" s="1395"/>
      <c r="MC8" s="1395"/>
      <c r="MD8" s="1395"/>
      <c r="ME8" s="1395"/>
      <c r="MF8" s="1395"/>
      <c r="MG8" s="1395"/>
      <c r="MH8" s="1395"/>
      <c r="MI8" s="1395"/>
      <c r="MJ8" s="1396"/>
      <c r="MK8" s="1395"/>
      <c r="ML8" s="1395"/>
      <c r="MM8" s="1395"/>
      <c r="MN8" s="1395"/>
      <c r="MO8" s="1395"/>
      <c r="MP8" s="1396"/>
      <c r="MQ8" s="1395"/>
      <c r="MR8" s="1395"/>
      <c r="MS8" s="1395"/>
      <c r="MT8" s="1395"/>
      <c r="MU8" s="1395"/>
      <c r="MV8" s="1396"/>
      <c r="MW8" s="2688"/>
      <c r="NC8" s="2621"/>
      <c r="ND8" s="303"/>
      <c r="NE8" s="303"/>
      <c r="NF8" s="303"/>
      <c r="NT8" s="298">
        <f t="shared" ref="NT8:NT40" si="0">SUM(NH8:NS8)</f>
        <v>0</v>
      </c>
      <c r="NU8" s="105"/>
      <c r="NV8" s="105"/>
      <c r="NW8" s="105"/>
      <c r="NX8" s="105"/>
      <c r="NY8" s="105"/>
      <c r="NZ8" s="105"/>
      <c r="OA8" s="105"/>
      <c r="OB8" s="105"/>
      <c r="OC8" s="105"/>
      <c r="OD8" s="105"/>
      <c r="OE8" s="105"/>
      <c r="OF8" s="105"/>
      <c r="OG8" s="298">
        <f t="shared" ref="OG8:OG40" si="1">SUM(NU8:OF8)</f>
        <v>0</v>
      </c>
      <c r="OL8" s="304"/>
      <c r="OM8" s="304"/>
      <c r="OP8" s="304"/>
      <c r="OQ8" s="304"/>
      <c r="OT8" s="298">
        <f t="shared" ref="OT8:OT40" si="2">SUM(OH8:OS8)</f>
        <v>0</v>
      </c>
      <c r="PA8" s="19"/>
      <c r="PH8" s="298">
        <f t="shared" ref="PH8:PH40" si="3">SUM(PB8:PG8)</f>
        <v>0</v>
      </c>
      <c r="PI8" s="2621"/>
      <c r="PR8" s="2615"/>
      <c r="QM8" s="2615"/>
      <c r="RP8" s="2713" t="s">
        <v>285</v>
      </c>
      <c r="RQ8" s="2713"/>
      <c r="RR8" s="2713"/>
      <c r="RS8" s="2713"/>
      <c r="RT8" s="2713"/>
      <c r="RU8" s="2713"/>
      <c r="RX8" s="2713" t="s">
        <v>286</v>
      </c>
      <c r="RY8" s="2713"/>
      <c r="RZ8" s="2713"/>
      <c r="SA8" s="2713"/>
      <c r="SB8" s="2714" t="s">
        <v>287</v>
      </c>
      <c r="SC8" s="2714"/>
      <c r="SD8" s="2714"/>
      <c r="SE8" s="2714"/>
      <c r="SG8" s="1143" t="s">
        <v>288</v>
      </c>
      <c r="SH8" s="1143"/>
      <c r="SI8" s="1143"/>
    </row>
    <row r="9" spans="1:503" s="89" customFormat="1" ht="15" customHeight="1">
      <c r="B9" s="89">
        <f>COUNTIF(MY10:QF40,"&lt;"&amp;0)</f>
        <v>20</v>
      </c>
      <c r="C9" s="2517"/>
      <c r="D9" s="2517"/>
      <c r="E9" s="2517"/>
      <c r="F9" s="2517"/>
      <c r="G9" s="2517"/>
      <c r="H9" s="2517"/>
      <c r="I9" s="2517"/>
      <c r="N9" s="2629"/>
      <c r="S9" s="300"/>
      <c r="U9" s="105"/>
      <c r="V9" s="301"/>
      <c r="AA9" s="2723"/>
      <c r="AB9" s="2724"/>
      <c r="AC9" s="2724"/>
      <c r="AD9" s="2725"/>
      <c r="AM9" s="2629"/>
      <c r="AW9" s="2516"/>
      <c r="AX9" s="2517"/>
      <c r="AY9" s="2517"/>
      <c r="AZ9" s="2517"/>
      <c r="BA9" s="2517"/>
      <c r="BB9" s="2517"/>
      <c r="BC9" s="2517"/>
      <c r="BD9" s="2517"/>
      <c r="BE9" s="2517"/>
      <c r="BF9" s="2517"/>
      <c r="BG9" s="2517"/>
      <c r="BH9" s="2517"/>
      <c r="BI9" s="2517"/>
      <c r="BJ9" s="2517"/>
      <c r="BK9" s="2517"/>
      <c r="BL9" s="2517"/>
      <c r="BM9" s="2517"/>
      <c r="BN9" s="2517"/>
      <c r="BO9" s="2517"/>
      <c r="BP9" s="2517"/>
      <c r="BQ9" s="2517"/>
      <c r="BR9" s="2517"/>
      <c r="BS9" s="2517"/>
      <c r="BT9" s="2517"/>
      <c r="BU9" s="2517"/>
      <c r="BV9" s="2517"/>
      <c r="CH9" s="147"/>
      <c r="CP9" s="323"/>
      <c r="DE9" s="2685"/>
      <c r="DF9" s="105"/>
      <c r="DG9" s="105"/>
      <c r="DH9" s="105"/>
      <c r="DI9" s="105"/>
      <c r="DJ9" s="105"/>
      <c r="DK9" s="105"/>
      <c r="DL9" s="105"/>
      <c r="DM9" s="105"/>
      <c r="DN9" s="105"/>
      <c r="DO9" s="105"/>
      <c r="DP9" s="105"/>
      <c r="DQ9" s="105"/>
      <c r="DR9" s="105"/>
      <c r="DS9" s="1142"/>
      <c r="EF9" s="19"/>
      <c r="ES9" s="19"/>
      <c r="EZ9" s="19"/>
      <c r="FA9" s="2685"/>
      <c r="FC9" s="19"/>
      <c r="FD9" s="19"/>
      <c r="FE9" s="19"/>
      <c r="FH9" s="2674"/>
      <c r="FO9" s="19"/>
      <c r="FV9" s="19"/>
      <c r="GI9" s="19"/>
      <c r="GJ9" s="2674"/>
      <c r="GS9" s="2667"/>
      <c r="GV9" s="2517"/>
      <c r="GX9" s="19"/>
      <c r="GY9" s="2667"/>
      <c r="HN9" s="19"/>
      <c r="HO9" s="1141"/>
      <c r="HP9" s="1140"/>
      <c r="HQ9" s="1140"/>
      <c r="HR9" s="1140"/>
      <c r="HS9" s="1140"/>
      <c r="HT9" s="1140"/>
      <c r="HU9" s="1140"/>
      <c r="HV9" s="1140"/>
      <c r="HW9" s="1140"/>
      <c r="HX9" s="1140"/>
      <c r="HY9" s="1140"/>
      <c r="HZ9" s="1140"/>
      <c r="IA9" s="1140"/>
      <c r="IB9" s="1140"/>
      <c r="IC9" s="1139"/>
      <c r="IR9" s="19"/>
      <c r="JG9" s="19"/>
      <c r="JH9" s="2667"/>
      <c r="JO9" s="2669"/>
      <c r="KO9" s="2669"/>
      <c r="LF9" s="2669"/>
      <c r="LL9" s="17"/>
      <c r="LM9" s="18"/>
      <c r="LN9" s="180"/>
      <c r="LO9" s="17"/>
      <c r="LP9" s="2523"/>
      <c r="LQ9" s="2525"/>
      <c r="LR9" s="2688"/>
      <c r="LX9" s="19"/>
      <c r="MJ9" s="19"/>
      <c r="MP9" s="19"/>
      <c r="MV9" s="19"/>
      <c r="MW9" s="2688"/>
      <c r="NC9" s="2621"/>
      <c r="ND9" s="349">
        <f>'August TCM'!ND42</f>
        <v>195117.10680113197</v>
      </c>
      <c r="NE9" s="349">
        <f>'August TCM'!NE42</f>
        <v>160640.41086498057</v>
      </c>
      <c r="NF9" s="1138">
        <f>'July TCM'!NE42</f>
        <v>0</v>
      </c>
      <c r="NG9" s="349">
        <f t="shared" ref="NG9:NG40" si="4">SUM(ND9:NF9)</f>
        <v>355757.51766611252</v>
      </c>
      <c r="NH9" s="349"/>
      <c r="NI9" s="349"/>
      <c r="NJ9" s="349"/>
      <c r="NK9" s="349"/>
      <c r="NL9" s="349">
        <v>0</v>
      </c>
      <c r="NM9" s="349"/>
      <c r="NN9" s="349">
        <v>0</v>
      </c>
      <c r="NO9" s="349"/>
      <c r="NP9" s="349">
        <f>'August TCM'!NP42</f>
        <v>25982.510136227243</v>
      </c>
      <c r="NQ9" s="349">
        <f>'August TCM'!NQ42</f>
        <v>22358.939343794715</v>
      </c>
      <c r="NR9" s="349">
        <f>'August TCM'!NR42</f>
        <v>8756.5482322711578</v>
      </c>
      <c r="NS9" s="349">
        <f>'August TCM'!NS42</f>
        <v>2637.968041053507</v>
      </c>
      <c r="NT9" s="362">
        <f t="shared" si="0"/>
        <v>59735.965753346623</v>
      </c>
      <c r="NU9" s="349"/>
      <c r="NV9" s="349"/>
      <c r="NW9" s="349"/>
      <c r="NX9" s="349"/>
      <c r="NY9" s="349"/>
      <c r="NZ9" s="349"/>
      <c r="OA9" s="349">
        <f>'August TCM'!OA42</f>
        <v>14919.735564997227</v>
      </c>
      <c r="OB9" s="349">
        <f>'July TCM'!OA42</f>
        <v>0</v>
      </c>
      <c r="OC9" s="349">
        <f>'August TCM'!OC42</f>
        <v>28717.066475620366</v>
      </c>
      <c r="OD9" s="349">
        <f>'June TCM'!OC42</f>
        <v>0</v>
      </c>
      <c r="OE9" s="349">
        <f>'August TCM'!OE42</f>
        <v>13429.316718063665</v>
      </c>
      <c r="OF9" s="349">
        <f>'May TCM'!OE42</f>
        <v>0</v>
      </c>
      <c r="OG9" s="349">
        <f t="shared" si="1"/>
        <v>57066.118758681259</v>
      </c>
      <c r="OH9" s="349">
        <v>0</v>
      </c>
      <c r="OI9" s="349"/>
      <c r="OJ9" s="349">
        <v>0</v>
      </c>
      <c r="OK9" s="349"/>
      <c r="OL9" s="349">
        <v>0</v>
      </c>
      <c r="OM9" s="349"/>
      <c r="ON9" s="349">
        <v>0</v>
      </c>
      <c r="OO9" s="349"/>
      <c r="OP9" s="349">
        <f>'August TCM'!OP42</f>
        <v>47681.457649249809</v>
      </c>
      <c r="OQ9" s="349">
        <f>'June TCM'!OP42</f>
        <v>0</v>
      </c>
      <c r="OR9" s="349">
        <f>'August TCM'!OR42</f>
        <v>16240.960865173456</v>
      </c>
      <c r="OS9" s="349"/>
      <c r="OT9" s="349">
        <f t="shared" si="2"/>
        <v>63922.418514423262</v>
      </c>
      <c r="PB9" s="42"/>
      <c r="PC9" s="42"/>
      <c r="PD9" s="42"/>
      <c r="PE9" s="42"/>
      <c r="PF9" s="42"/>
      <c r="PG9" s="42"/>
      <c r="PH9" s="298">
        <f t="shared" si="3"/>
        <v>0</v>
      </c>
      <c r="PI9" s="2621"/>
      <c r="PO9" s="2028">
        <f>'August TCM'!PO42</f>
        <v>31243.513435124725</v>
      </c>
      <c r="PP9" s="2028">
        <f>'August TCM'!PP42</f>
        <v>27551.333787707357</v>
      </c>
      <c r="PR9" s="2615"/>
      <c r="QH9" s="1137">
        <f>'August TCM'!QH42</f>
        <v>29562.488999999998</v>
      </c>
      <c r="QI9" s="1137">
        <f>'August TCM'!QI42</f>
        <v>297507.71090897999</v>
      </c>
      <c r="QJ9" s="1137">
        <f>'August TCM'!QJ42</f>
        <v>4972.2504480000007</v>
      </c>
      <c r="QK9" s="1136">
        <v>5505.3678056099998</v>
      </c>
      <c r="QM9" s="2615"/>
      <c r="QO9" s="105"/>
      <c r="QP9" s="105"/>
      <c r="RK9" s="42">
        <v>45424.161751083164</v>
      </c>
      <c r="RL9" s="42">
        <v>3925.5835498622801</v>
      </c>
      <c r="RM9" s="42">
        <v>9178.5689913333827</v>
      </c>
      <c r="RN9" s="42">
        <f t="shared" ref="RN9:RN40" si="5">SUM(RK9:RM9)</f>
        <v>58528.314292278832</v>
      </c>
      <c r="RP9" s="866" t="s">
        <v>81</v>
      </c>
      <c r="RQ9" s="866" t="s">
        <v>289</v>
      </c>
      <c r="RR9" s="1135" t="s">
        <v>290</v>
      </c>
      <c r="RS9" s="1135" t="s">
        <v>37</v>
      </c>
      <c r="RT9" s="42" t="s">
        <v>291</v>
      </c>
      <c r="RU9" s="42" t="s">
        <v>292</v>
      </c>
      <c r="RZ9" s="1134" t="s">
        <v>293</v>
      </c>
      <c r="SB9" s="1133"/>
      <c r="SC9" s="1133" t="s">
        <v>294</v>
      </c>
      <c r="SD9" s="1133"/>
      <c r="SE9" s="1133" t="s">
        <v>178</v>
      </c>
      <c r="SI9" s="89" t="s">
        <v>293</v>
      </c>
    </row>
    <row r="10" spans="1:503" s="1" customFormat="1" ht="15" customHeight="1">
      <c r="B10" s="471">
        <v>1</v>
      </c>
      <c r="C10" s="2000">
        <f>+O10+S10+W10+AE10+AI10+AA10</f>
        <v>167482</v>
      </c>
      <c r="D10" s="2518">
        <f>P10+T10+X10+AB10</f>
        <v>7153.6</v>
      </c>
      <c r="E10" s="2519">
        <f t="shared" ref="E10:E42" si="6">IFERROR(C10/D10,0)</f>
        <v>23.412267949004697</v>
      </c>
      <c r="F10" s="870"/>
      <c r="G10" s="870"/>
      <c r="H10" s="295"/>
      <c r="I10" s="299"/>
      <c r="J10" s="48"/>
      <c r="K10" s="50"/>
      <c r="L10" s="48"/>
      <c r="M10" s="60"/>
      <c r="N10" s="2629"/>
      <c r="O10" s="4">
        <f>+SUM(AQ10,BC10,AW10)</f>
        <v>99876</v>
      </c>
      <c r="P10" s="1225">
        <f t="shared" ref="P10:P40" si="7">+SUM(AR10,AU10,AX10,BD10)</f>
        <v>3110.7599999999998</v>
      </c>
      <c r="Q10" s="1950">
        <f t="shared" ref="Q10:Q43" si="8">IFERROR(O10/P10,0)</f>
        <v>32.10662346179069</v>
      </c>
      <c r="R10" s="32"/>
      <c r="S10" s="26">
        <f t="shared" ref="S10:S42" si="9">SUM(BF10,BI10,BL10,BY10)</f>
        <v>40383</v>
      </c>
      <c r="T10" s="27">
        <f>+SUM(BZ10,BJ10,BM10,BG10,BN10)</f>
        <v>2031.2400000000002</v>
      </c>
      <c r="U10" s="1919">
        <f t="shared" ref="U10:U44" si="10">IFERROR(S10/T10,0)</f>
        <v>19.880959413954034</v>
      </c>
      <c r="V10" s="25"/>
      <c r="W10" s="1742">
        <f t="shared" ref="W10:X40" si="11">BV10+CE10+BS10</f>
        <v>22343</v>
      </c>
      <c r="X10" s="5">
        <f t="shared" si="11"/>
        <v>1176</v>
      </c>
      <c r="Y10" s="1919">
        <f t="shared" ref="Y10:Y43" si="12">IFERROR(W10/X10,0)</f>
        <v>18.999149659863946</v>
      </c>
      <c r="Z10" s="32"/>
      <c r="AA10" s="26">
        <f t="shared" ref="AA10:AA39" si="13">SUM(BP10)</f>
        <v>4880</v>
      </c>
      <c r="AB10" s="27">
        <f t="shared" ref="AB10:AB11" si="14">BQ10+CC10</f>
        <v>835.6</v>
      </c>
      <c r="AC10" s="1909">
        <f t="shared" ref="AC10:AC41" si="15">IFERROR(AA10/AB10,0)</f>
        <v>5.8401148875059832</v>
      </c>
      <c r="AD10" s="28"/>
      <c r="AE10" s="36"/>
      <c r="AF10" s="36"/>
      <c r="AG10" s="49">
        <f t="shared" ref="AG10:AG42" si="16">IFERROR(AE10/AF10,0)</f>
        <v>0</v>
      </c>
      <c r="AH10" s="25"/>
      <c r="AI10" s="23"/>
      <c r="AJ10" s="24"/>
      <c r="AK10" s="49">
        <f t="shared" ref="AK10:AK43" si="17">IFERROR(AI10/AJ10,0)</f>
        <v>0</v>
      </c>
      <c r="AL10" s="25"/>
      <c r="AM10" s="2629"/>
      <c r="AN10" s="8"/>
      <c r="AO10" s="3"/>
      <c r="AP10" s="60">
        <f t="shared" ref="AP10:AP41" si="18">IFERROR(AN10/AO10,0)</f>
        <v>0</v>
      </c>
      <c r="AQ10" s="35"/>
      <c r="AR10" s="49"/>
      <c r="AS10" s="60">
        <f t="shared" ref="AS10:AS42" si="19">IFERROR(AQ10/AR10,0)</f>
        <v>0</v>
      </c>
      <c r="AT10" s="35"/>
      <c r="AU10" s="24"/>
      <c r="AV10" s="50">
        <f t="shared" ref="AV10:AV41" si="20">IFERROR(AT10/AU10,0)</f>
        <v>0</v>
      </c>
      <c r="AW10" s="1121">
        <v>57624</v>
      </c>
      <c r="AX10" s="280">
        <f>SUMPRODUCT(ISNUMBER(SEARCH("BK20",'Data Base Coal Wining'!$C$2:$C$2000))*ISNUMBER(SEARCH("P3000",'Data Base Coal Wining'!$C$2:$C$2000))*('Data Base Coal Wining'!$H$2:$H$2000="PAMA")*('Data Base Coal Wining'!$G$2:$G$2000="Coal Winning")*ISNUMBER(SEARCH(TEXT('September TCM'!$B10,"00")&amp;"/09/2026",'Data Base Coal Wining'!$E$2:$E$2000))*'Data Base Coal Wining'!$N$2:$N$2000)</f>
        <v>3110.7599999999998</v>
      </c>
      <c r="AY10" s="2513">
        <f>IFERROR(AW9/AX10,0)</f>
        <v>0</v>
      </c>
      <c r="AZ10" s="1999"/>
      <c r="BA10" s="280"/>
      <c r="BB10" s="299">
        <f t="shared" ref="BB10:BB40" si="21">IFERROR(AZ10/BA10,0)</f>
        <v>0</v>
      </c>
      <c r="BC10" s="1939">
        <v>42252</v>
      </c>
      <c r="BD10" s="2154">
        <f>SUMPRODUCT(ISNUMBER(SEARCH("BK30",'Data Base Coal Wining'!$C$2:$C$2000))*ISNUMBER(SEARCH("P3000",'Data Base Coal Wining'!$C$2:$C$2000))*('Data Base Coal Wining'!$H$2:$H$2000="PAMA")*('Data Base Coal Wining'!$G$2:$G$2000="Coal Winning")*ISNUMBER(SEARCH(TEXT('September TCM'!$B10,"00")&amp;"/09/2026",'Data Base Coal Wining'!$E$2:$E$2000))*'Data Base Coal Wining'!$N$2:$N$2000)</f>
        <v>0</v>
      </c>
      <c r="BE10" s="2513">
        <f t="shared" ref="BE10:BE40" si="22">IFERROR(BC10/BD10,0)</f>
        <v>0</v>
      </c>
      <c r="BF10" s="1999"/>
      <c r="BG10" s="2514"/>
      <c r="BH10" s="299">
        <f t="shared" ref="BH10:BH40" si="23">IFERROR(BF10/BG10,0)</f>
        <v>0</v>
      </c>
      <c r="BI10" s="1999">
        <v>0</v>
      </c>
      <c r="BJ10" s="2514">
        <v>0</v>
      </c>
      <c r="BK10" s="299">
        <f t="shared" ref="BK10:BK40" si="24">IFERROR(BI10/BJ10,0)</f>
        <v>0</v>
      </c>
      <c r="BL10" s="2515">
        <v>40383</v>
      </c>
      <c r="BM10" s="2154">
        <f>SUMPRODUCT(ISNUMBER(SEARCH("BK26",'Data Base Coal Wining'!$C$2:$C$2000))*ISNUMBER(SEARCH("P4400",'Data Base Coal Wining'!$C$2:$C$2000))*('Data Base Coal Wining'!$H$2:$H$2000="MAP")*('Data Base Coal Wining'!$G$2:$G$2000="Coal Winning")*ISNUMBER(SEARCH(TEXT('September TCM'!$B10,"00")&amp;"/09/2026",'Data Base Coal Wining'!$E$2:$E$2000))*'Data Base Coal Wining'!$N$2:$N$2000)</f>
        <v>2031.2400000000002</v>
      </c>
      <c r="BN10" s="2169"/>
      <c r="BO10" s="2513">
        <f t="shared" ref="BO10:BO40" si="25">IFERROR(BL10/BM10,0)</f>
        <v>19.880959413954034</v>
      </c>
      <c r="BP10" s="1132">
        <v>4880</v>
      </c>
      <c r="BQ10" s="2514">
        <f>SUMPRODUCT(ISNUMBER(SEARCH("BK34",'Data Base Coal Wining'!$C$2:$C$2000))*ISNUMBER(SEARCH("P4000",'Data Base Coal Wining'!$C$2:$C$2000))*('Data Base Coal Wining'!$H$2:$H$2000="PJPN")*('Data Base Coal Wining'!$G$2:$G$2000="Coal Winning")*ISNUMBER(SEARCH(TEXT('September TCM'!$B10,"00")&amp;"/09/2026",'Data Base Coal Wining'!$E$2:$E$2000))*'Data Base Coal Wining'!$N$2:$N$2000)</f>
        <v>835.6</v>
      </c>
      <c r="BR10" s="2513">
        <f t="shared" ref="BR10:BR40" si="26">IFERROR(BP10/BQ10,0)</f>
        <v>5.8401148875059832</v>
      </c>
      <c r="BS10" s="1999"/>
      <c r="BT10" s="2514"/>
      <c r="BU10" s="299">
        <f t="shared" ref="BU10:BU40" si="27">IFERROR(BS10/BT10,0)</f>
        <v>0</v>
      </c>
      <c r="BV10" s="1999">
        <v>22343</v>
      </c>
      <c r="BW10" s="24">
        <v>1176</v>
      </c>
      <c r="BX10" s="1905">
        <f t="shared" ref="BX10:BX16" si="28">IFERROR(BV10/BW10,0)</f>
        <v>18.999149659863946</v>
      </c>
      <c r="BY10" s="26"/>
      <c r="BZ10" s="24"/>
      <c r="CA10" s="61">
        <f t="shared" ref="CA10:CA43" si="29">IFERROR(BY10/BZ10,0)</f>
        <v>0</v>
      </c>
      <c r="CB10" s="35"/>
      <c r="CC10" s="24"/>
      <c r="CD10" s="60">
        <f t="shared" ref="CD10:CD43" si="30">IFERROR(CB10/CC10,0)</f>
        <v>0</v>
      </c>
      <c r="CE10" s="23"/>
      <c r="CF10" s="1345"/>
      <c r="CG10" s="25">
        <f t="shared" ref="CG10:CG41" si="31">IFERROR(CE10/CF10,0)</f>
        <v>0</v>
      </c>
      <c r="CH10" s="149"/>
      <c r="CI10" s="1131"/>
      <c r="CJ10" s="3"/>
      <c r="CK10" s="3">
        <v>11551</v>
      </c>
      <c r="CL10" s="3"/>
      <c r="CM10" s="3"/>
      <c r="CN10" s="3">
        <f>SUM(CI10:CL10)</f>
        <v>11551</v>
      </c>
      <c r="CO10" s="32"/>
      <c r="CP10" s="366"/>
      <c r="CR10" s="2">
        <f t="shared" ref="CR10:DB33" si="32">SUM(DF10,DT10,EG10)</f>
        <v>0</v>
      </c>
      <c r="CS10" s="8">
        <f t="shared" si="32"/>
        <v>0</v>
      </c>
      <c r="CT10" s="3">
        <f t="shared" si="32"/>
        <v>0</v>
      </c>
      <c r="CU10" s="3">
        <f t="shared" si="32"/>
        <v>0</v>
      </c>
      <c r="CV10" s="3">
        <f t="shared" si="32"/>
        <v>0</v>
      </c>
      <c r="CW10" s="3">
        <f t="shared" si="32"/>
        <v>0</v>
      </c>
      <c r="CX10" s="1408">
        <f t="shared" si="32"/>
        <v>3110.7599999999998</v>
      </c>
      <c r="CY10" s="3">
        <f t="shared" si="32"/>
        <v>0</v>
      </c>
      <c r="CZ10" s="3">
        <f t="shared" si="32"/>
        <v>2866.84</v>
      </c>
      <c r="DA10" s="3">
        <f t="shared" si="32"/>
        <v>0</v>
      </c>
      <c r="DB10" s="1408">
        <f t="shared" si="32"/>
        <v>1176</v>
      </c>
      <c r="DC10" s="11">
        <f t="shared" ref="DC10:DC40" si="33">SUM(DR10,EE10,ER10)</f>
        <v>0</v>
      </c>
      <c r="DD10" s="310">
        <f t="shared" ref="DD10:DD31" si="34">SUM(CR10:DC10,PX10,PY10)</f>
        <v>7153.6</v>
      </c>
      <c r="DE10" s="2695"/>
      <c r="DF10" s="8"/>
      <c r="DG10" s="8"/>
      <c r="DH10" s="3"/>
      <c r="DI10" s="3"/>
      <c r="DJ10" s="3"/>
      <c r="DK10" s="3"/>
      <c r="DL10" s="3">
        <f>SUMPRODUCT(('Data Base Coal Wining'!$D$2:$D$2000="TCM-ROM SB1 BK05-ROM 4")*('Data Base Coal Wining'!$G$2:$G$2000="Coal Winning")*ISNUMBER(SEARCH(TEXT('September TCM'!$B10,"00")&amp;"/09/2026",'Data Base Coal Wining'!$E$2:$E$2000))*'Data Base Coal Wining'!$N$2:$N$2000)</f>
        <v>3110.7599999999998</v>
      </c>
      <c r="DM10" s="3"/>
      <c r="DN10" s="3">
        <f>SUMPRODUCT(('Data Base Coal Wining'!$D$2:$D$2000="TCM-ROM SB1 BK05-ROM 5")*('Data Base Coal Wining'!$G$2:$G$2000="Coal Winning")*ISNUMBER(SEARCH(TEXT('September TCM'!$B10,"00")&amp;"/09/2026",'Data Base Coal Wining'!$E$2:$E$2000))*'Data Base Coal Wining'!$N$2:$N$2000)</f>
        <v>0</v>
      </c>
      <c r="DO10" s="3"/>
      <c r="DP10" s="3">
        <f>SUMPRODUCT(('Data Base Coal Wining'!$D$2:$D$2000="TCM-ROM SB1 BK05-ROM 6")*('Data Base Coal Wining'!$G$2:$G$2000="Coal Winning")*ISNUMBER(SEARCH(TEXT('September TCM'!$B10,"00")&amp;"/09/2026",'Data Base Coal Wining'!$E$2:$E$2000))*'Data Base Coal Wining'!$N$2:$N$2000)</f>
        <v>0</v>
      </c>
      <c r="DQ10" s="11">
        <f>SUMPRODUCT(('Data Base Coal Wining'!$D$2:$D$2000="TCM-ROM SB1 BK05-ROM 6.1")*('Data Base Coal Wining'!$G$2:$G$2000="Coal Winning")*ISNUMBER(SEARCH(TEXT('September TCM'!$B10,"00")&amp;"/09/2026",'Data Base Coal Wining'!$E$2:$E$2000))*'Data Base Coal Wining'!$N$2:$N$2000)</f>
        <v>0</v>
      </c>
      <c r="DR10" s="11"/>
      <c r="DS10" s="1905">
        <f t="shared" ref="DS10:DS40" si="35">SUM(DF10:DR10)</f>
        <v>3110.7599999999998</v>
      </c>
      <c r="DT10" s="35"/>
      <c r="DU10" s="35"/>
      <c r="DV10" s="24"/>
      <c r="DW10" s="24"/>
      <c r="DX10" s="3"/>
      <c r="DY10" s="3"/>
      <c r="DZ10" s="3"/>
      <c r="EA10" s="3"/>
      <c r="EB10" s="3">
        <f>SUMPRODUCT(('Data Base Coal Wining'!$D$2:$D$2000="TCM-ROM SB2 BK24-ROM 5")*('Data Base Coal Wining'!$G$2:$G$2000="Coal Winning")*ISNUMBER(SEARCH(TEXT('September TCM'!$B10,"00")&amp;"/09/2026",'Data Base Coal Wining'!$E$2:$E$2000))*'Data Base Coal Wining'!$N$2:$N$2000)</f>
        <v>2866.84</v>
      </c>
      <c r="EC10" s="49"/>
      <c r="ED10" s="24">
        <f>SUMPRODUCT(('Data Base Coal Wining'!$D$2:$D$2000="TCM-ROM SB2 BK24-ROM 6")*('Data Base Coal Wining'!$G$2:$G$2000="Coal Winning")*ISNUMBER(SEARCH(TEXT('September TCM'!$B10,"00")&amp;"/09/2026",'Data Base Coal Wining'!$E$2:$E$2000))*'Data Base Coal Wining'!$N$2:$N$2000)</f>
        <v>0</v>
      </c>
      <c r="EE10" s="32"/>
      <c r="EF10" s="28">
        <f t="shared" ref="EF10:EF40" si="36">SUM(DT10:EE10)</f>
        <v>2866.84</v>
      </c>
      <c r="EG10" s="24"/>
      <c r="EH10" s="35"/>
      <c r="EI10" s="3"/>
      <c r="EJ10" s="24"/>
      <c r="EK10" s="24"/>
      <c r="EL10" s="24"/>
      <c r="EM10" s="24"/>
      <c r="EN10" s="24"/>
      <c r="EO10" s="3"/>
      <c r="EP10" s="3"/>
      <c r="EQ10" s="3">
        <v>1176</v>
      </c>
      <c r="ER10" s="32"/>
      <c r="ES10" s="25">
        <f t="shared" ref="ES10:ES12" si="37">SUM(EG10:EQ10)</f>
        <v>1176</v>
      </c>
      <c r="ET10" s="35"/>
      <c r="EU10" s="24"/>
      <c r="EV10" s="24"/>
      <c r="EW10" s="24"/>
      <c r="EX10" s="24"/>
      <c r="EY10" s="24"/>
      <c r="EZ10" s="32">
        <f t="shared" ref="EZ10:EZ40" si="38">SUM(ET10:EY10)</f>
        <v>0</v>
      </c>
      <c r="FA10" s="2685"/>
      <c r="FC10" s="2">
        <f t="shared" ref="FC10:FC40" si="39">+FO10</f>
        <v>0</v>
      </c>
      <c r="FD10" s="3">
        <f t="shared" ref="FD10:FD40" si="40">+FV10</f>
        <v>0</v>
      </c>
      <c r="FE10" s="3">
        <f t="shared" ref="FE10:FE34" si="41">+GI10</f>
        <v>0</v>
      </c>
      <c r="FF10" s="11">
        <f t="shared" ref="FF10:FF40" si="42">SUM(FC10:FE10)</f>
        <v>0</v>
      </c>
      <c r="FG10" s="32"/>
      <c r="FH10" s="2674"/>
      <c r="FI10" s="8"/>
      <c r="FJ10" s="3"/>
      <c r="FK10" s="3"/>
      <c r="FL10" s="3"/>
      <c r="FM10" s="3"/>
      <c r="FN10" s="24"/>
      <c r="FO10" s="25">
        <f t="shared" ref="FO10:FO40" si="43">SUM(FI10:FN10)</f>
        <v>0</v>
      </c>
      <c r="FP10" s="35"/>
      <c r="FQ10" s="24"/>
      <c r="FR10" s="24"/>
      <c r="FS10" s="24"/>
      <c r="FT10" s="24"/>
      <c r="FU10" s="24"/>
      <c r="FV10" s="25">
        <f t="shared" ref="FV10:FV40" si="44">SUM(FP10:FU10)</f>
        <v>0</v>
      </c>
      <c r="FW10" s="35"/>
      <c r="FX10" s="35"/>
      <c r="FY10" s="24"/>
      <c r="FZ10" s="24"/>
      <c r="GA10" s="24"/>
      <c r="GB10" s="24"/>
      <c r="GC10" s="24"/>
      <c r="GD10" s="24"/>
      <c r="GE10" s="24" cm="1">
        <f t="array" ref="GE10">SUMPRODUCT(('Data Base Coal Wining'!$C$2:$C$2000="TCM-ROM TEMPORARY SB2 KM 76-ROM HAC (S4700 Hard Ban)")*(ISNUMBER(SEARCH(TEXT('September TCM'!$B10,"00")&amp;"/08/2026",'Data Base Coal Wining'!$E$2:$E$2000)))*'Data Base Coal Wining'!$N$2:$N$2000)</f>
        <v>0</v>
      </c>
      <c r="GF10" s="24"/>
      <c r="GG10" s="24"/>
      <c r="GH10" s="32"/>
      <c r="GI10" s="32">
        <f t="shared" ref="GI10:GI40" si="45">SUM(FW10:GG10)</f>
        <v>0</v>
      </c>
      <c r="GJ10" s="2674"/>
      <c r="GL10" s="2">
        <f>+HN10</f>
        <v>0</v>
      </c>
      <c r="GM10" s="63">
        <f>+IR10</f>
        <v>0</v>
      </c>
      <c r="GN10" s="24">
        <f>+JG10</f>
        <v>0</v>
      </c>
      <c r="GO10" s="1926">
        <f t="shared" ref="GO10:GO40" si="46">SUM(GL10:GN10)</f>
        <v>0</v>
      </c>
      <c r="GP10" s="140"/>
      <c r="GQ10" s="140"/>
      <c r="GR10" s="1130" t="s">
        <v>1106</v>
      </c>
      <c r="GS10" s="2667"/>
      <c r="GT10" s="1721">
        <f>SUMPRODUCT(('Data Base hauling'!$H$2:$H$2000="Trust")*(ISNUMBER(SEARCH(TEXT('September TCM'!$B10,"00")&amp;"/09/2026",'Data Base hauling'!$E$2:$E$2000)))*'Data Base hauling'!$N$2:$N$2000)</f>
        <v>0</v>
      </c>
      <c r="GU10" s="1721">
        <f>SUMPRODUCT(('Data Base hauling'!$H$2:$H$2000="MPE")*(ISNUMBER(SEARCH(TEXT('September TCM'!$B10,"00")&amp;"/09/2026",'Data Base hauling'!$E$2:$E$2000)))*'Data Base hauling'!$N$2:$N$2000)</f>
        <v>0</v>
      </c>
      <c r="GV10" s="3">
        <f>SUMPRODUCT(('Data Base hauling'!$H$2:$H$2000="MPE")*(ISNUMBER(SEARCH(TEXT('September TCM'!$B10,"00")&amp;"/09/2026",'Data Base hauling'!$E$2:$E$2000)))*'Data Base hauling'!$N$2:$N$2000)</f>
        <v>0</v>
      </c>
      <c r="GW10" s="1721">
        <f>SUMPRODUCT(('Data Base hauling'!$H$2:$H$2000="RP")*(ISNUMBER(SEARCH(TEXT('September TCM'!$B10,"00")&amp;"/09/2026",'Data Base hauling'!$E$2:$E$2000)))*'Data Base hauling'!$N$2:$N$2000)</f>
        <v>0</v>
      </c>
      <c r="GX10" s="2543">
        <f>SUM(GT10:GW10)</f>
        <v>0</v>
      </c>
      <c r="GY10" s="2667"/>
      <c r="GZ10" s="35">
        <f>SUMPRODUCT(('Data Base hauling'!$C$2:$C$2000="TCM-ROM NB-ROM 1")*(ISNUMBER(SEARCH(TEXT('September TCM'!$B10,"00")&amp;"/09/2026",'Data Base hauling'!$E$2:$E$2000)))*'Data Base hauling'!$N$2:$N$2000)</f>
        <v>0</v>
      </c>
      <c r="HA10" s="35"/>
      <c r="HB10" s="24"/>
      <c r="HC10" s="24"/>
      <c r="HD10" s="24"/>
      <c r="HE10" s="24"/>
      <c r="HF10" s="24">
        <f>SUMPRODUCT(('Data Base hauling'!$C$2:$C$2000="TCM-ROM NB-ROM 4")*(ISNUMBER(SEARCH(TEXT('September TCM'!$B10,"00")&amp;"/09/2026",'Data Base hauling'!$E$2:$E$2000)))*'Data Base hauling'!$N$2:$N$2000)</f>
        <v>0</v>
      </c>
      <c r="HG10" s="24"/>
      <c r="HH10" s="24">
        <f>SUMPRODUCT(('Data Base hauling'!$C$2:$C$2000="TCM-ROM NB-ROM 5")*(ISNUMBER(SEARCH(TEXT('September TCM'!$B10,"00")&amp;"/09/2026",'Data Base hauling'!$E$2:$E$2000)))*'Data Base hauling'!$N$2:$N$2000)</f>
        <v>0</v>
      </c>
      <c r="HI10" s="24"/>
      <c r="HJ10" s="24">
        <f>SUMPRODUCT(('Data Base hauling'!$C$2:$C$2000="TCM-ROM NB-ROM 6")*(ISNUMBER(SEARCH(TEXT('September TCM'!$B10,"00")&amp;"/09/2026",'Data Base hauling'!$E$2:$E$2000)))*'Data Base hauling'!$N$2:$N$2000)</f>
        <v>0</v>
      </c>
      <c r="HK10" s="24"/>
      <c r="HL10" s="24">
        <f>SUMPRODUCT(('Data Base hauling'!$C$2:$C$2000="TCM-WASH-CR3")*(ISNUMBER(SEARCH(TEXT('September TCM'!$B10,"00")&amp;"/09/2026",'Data Base hauling'!$E$2:$E$2000)))*'Data Base hauling'!$N$2:$N$2000)</f>
        <v>0</v>
      </c>
      <c r="HM10" s="24"/>
      <c r="HN10" s="25">
        <f t="shared" ref="HN10:HN16" si="47">SUM(GZ10:HM10)</f>
        <v>0</v>
      </c>
      <c r="HO10" s="35"/>
      <c r="HP10" s="24"/>
      <c r="HQ10" s="24"/>
      <c r="HR10" s="24"/>
      <c r="HS10" s="24"/>
      <c r="HT10" s="24"/>
      <c r="HU10" s="24">
        <f t="array" ref="HU10">SUMPRODUCT(('Data Base hauling'!$C$2:$C$2000="TCM-ROM SB1 BK05-ROM 4")*(ISNUMBER(SEARCH(TEXT('September TCM'!$B10,"00")&amp;"/03/2026",'Data Base hauling'!$E$2:$E$2000)))*'Data Base hauling'!$N$2:$N$2000)</f>
        <v>0</v>
      </c>
      <c r="HV10" s="24"/>
      <c r="HW10" s="24">
        <f t="array" ref="HW10">SUMPRODUCT(('Data Base hauling'!$C$2:$C$2000="TCM-ROM SB1 BK05-ROM 5")*(ISNUMBER(SEARCH(TEXT('September TCM'!$B10,"00")&amp;"/03/2026",'Data Base hauling'!$E$2:$E$2000)))*'Data Base hauling'!$N$2:$N$2000)</f>
        <v>0</v>
      </c>
      <c r="HX10" s="24"/>
      <c r="HY10" s="24"/>
      <c r="HZ10" s="24"/>
      <c r="IA10" s="24"/>
      <c r="IB10" s="24"/>
      <c r="IC10" s="32">
        <f t="shared" ref="IC10:IC42" si="48">SUM(HO10:IB10)</f>
        <v>0</v>
      </c>
      <c r="ID10" s="48"/>
      <c r="IE10" s="1129"/>
      <c r="IF10" s="49"/>
      <c r="IG10" s="49"/>
      <c r="IH10" s="49"/>
      <c r="II10" s="49"/>
      <c r="IJ10" s="1926">
        <f>SUMPRODUCT(('Data Base hauling'!$C$2:$C$2000="TCM-ROM SB1 BK05-ROM 4")*(ISNUMBER(SEARCH(TEXT('September TCM'!$B10,"00")&amp;"/09/2026",'Data Base hauling'!$E$2:$E$2000)))*'Data Base hauling'!$N$2:$N$2000)</f>
        <v>0</v>
      </c>
      <c r="IK10" s="1926"/>
      <c r="IL10" s="1926">
        <f>SUMPRODUCT(('Data Base hauling'!$C$2:$C$2000="TCM-ROM SB1 BK05-ROM 5")*(ISNUMBER(SEARCH(TEXT('September TCM'!$B10,"00")&amp;"/09/2026",'Data Base hauling'!$E$2:$E$2000)))*'Data Base hauling'!$N$2:$N$2000)</f>
        <v>0</v>
      </c>
      <c r="IM10" s="49"/>
      <c r="IN10" s="49">
        <f>SUMPRODUCT(('Data Base hauling'!$C$2:$C$2000="TCM-ROM SB1 BK05-ROM 6")*(ISNUMBER(SEARCH(TEXT('September TCM'!$B10,"00")&amp;"/09/2026",'Data Base hauling'!$E$2:$E$2000)))*'Data Base hauling'!$N$2:$N$2000)</f>
        <v>0</v>
      </c>
      <c r="IO10" s="49"/>
      <c r="IP10" s="49"/>
      <c r="IQ10" s="49">
        <f>SUMPRODUCT(('Data Base hauling'!$C$2:$C$2000="TCM-HAC1 (Production)-ROM 2(HAC)")*(ISNUMBER(SEARCH(TEXT('September TCM'!$B10,"00")&amp;"/09/2026",'Data Base hauling'!$E$2:$E$2000)))*'Data Base hauling'!$N$2:$N$2000)</f>
        <v>0</v>
      </c>
      <c r="IR10" s="2195">
        <f t="shared" ref="IR10:IR16" si="49">SUM(ID10:IQ10)</f>
        <v>0</v>
      </c>
      <c r="IS10" s="35"/>
      <c r="IT10" s="35"/>
      <c r="IU10" s="24"/>
      <c r="IV10" s="24"/>
      <c r="IW10" s="49"/>
      <c r="IX10" s="24"/>
      <c r="IY10" s="24">
        <f>SUMPRODUCT(('Data Base hauling'!$C$2:$C$2000="TCM-ROM SB2 BK24-ROM 4")*(ISNUMBER(SEARCH(TEXT('September TCM'!$B10,"00")&amp;"/09/2026",'Data Base hauling'!$E$2:$E$2000)))*'Data Base hauling'!$N$2:$N$2000)</f>
        <v>0</v>
      </c>
      <c r="IZ10" s="24"/>
      <c r="JA10" s="24">
        <f>SUMPRODUCT(('Data Base hauling'!$C$2:$C$2000="TCM-ROM SB2 BK24-ROM 5")*(ISNUMBER(SEARCH(TEXT('September TCM'!$B10,"00")&amp;"/09/2026",'Data Base hauling'!$E$2:$E$2000)))*'Data Base hauling'!$N$2:$N$2000)</f>
        <v>0</v>
      </c>
      <c r="JB10" s="24"/>
      <c r="JC10" s="24">
        <f>SUMPRODUCT(('Data Base hauling'!$C$2:$C$2000="TCM-ROM SB2 BK24-ROM 6")*(ISNUMBER(SEARCH(TEXT('September TCM'!$B10,"00")&amp;"/09/2026",'Data Base hauling'!$E$2:$E$2000)))*'Data Base hauling'!$N$2:$N$2000)</f>
        <v>0</v>
      </c>
      <c r="JD10" s="24"/>
      <c r="JE10" s="24"/>
      <c r="JF10" s="24"/>
      <c r="JG10" s="32">
        <f t="shared" ref="JG10" si="50">SUM(IS10:JF10)</f>
        <v>0</v>
      </c>
      <c r="JH10" s="2667"/>
      <c r="JJ10" s="2014">
        <f>SUMPRODUCT(('Data Base hauling'!$O$2:$O$2000="TCM.HCV.LS")*(ISNUMBER(SEARCH(TEXT('September TCM'!$B10,"00")&amp;"/09/2026",'Data Base hauling'!$E$2:$E$2000)))*'Data Base hauling'!$N$2:$N$2000)</f>
        <v>0</v>
      </c>
      <c r="JK10" s="2015">
        <f>SUMPRODUCT(('Data Base hauling'!$O$2:$O$2000="TCM.HCV.HS")*(ISNUMBER(SEARCH(TEXT('September TCM'!$B10,"00")&amp;"/09/2026",'Data Base hauling'!$E$2:$E$2000)))*'Data Base hauling'!$N$2:$N$2000)</f>
        <v>0</v>
      </c>
      <c r="JL10" s="49"/>
      <c r="JM10" s="1736">
        <f t="shared" ref="JM10:JM40" si="51">+JJ10+JL10+JK10</f>
        <v>0</v>
      </c>
      <c r="JN10" s="32"/>
      <c r="JO10" s="2669"/>
      <c r="JP10" s="66" t="str">
        <f>IFERROR(SUMPRODUCT(('Data Base hauling'!$O$2:$O$2000="TCM.HCV.LS")*('Data Base hauling'!$C$2:$C$2000="TCM-ROM NB-ROM 1")*(ISNUMBER(SEARCH(TEXT('September TCM'!$B10,"00")&amp;"/09/2026",'Data Base hauling'!$E$2:$E$2000)))*'Data Base hauling'!$N$2:$N$2000)/'September TCM'!$JJ10,"")</f>
        <v/>
      </c>
      <c r="JQ10" s="67" t="str">
        <f>IFERROR(SUMPRODUCT(('Data Base hauling'!$O$2:$O$2000="TCM.HCV.LS")*('Data Base hauling'!$C$2:$C$2000="TCM-ROM NB-ROM 2")*(ISNUMBER(SEARCH(TEXT('September TCM'!$B10,"00")&amp;"/09/2026",'Data Base hauling'!$E$2:$E$2000)))*'Data Base hauling'!$N$2:$N$2000)/'September TCM'!$JJ10,"")</f>
        <v/>
      </c>
      <c r="JR10" s="67" t="str">
        <f>IFERROR(SUMPRODUCT(('Data Base hauling'!$O$2:$O$2000="TCM.HCV.LS")*('Data Base hauling'!$C$2:$C$2000="TCM-ROM NB-ROM 3")*(ISNUMBER(SEARCH(TEXT('September TCM'!$B10,"00")&amp;"/09/2026",'Data Base hauling'!$E$2:$E$2000)))*'Data Base hauling'!$N$2:$N$2000)/'September TCM'!$JJ10,"")</f>
        <v/>
      </c>
      <c r="JS10" s="67" t="str">
        <f>IFERROR(SUMPRODUCT(('Data Base hauling'!$O$2:$O$2000="TCM.HCV.LS")*('Data Base hauling'!$C$2:$C$2000="TCM-ROM SB1 BK05-ROM 4")*(ISNUMBER(SEARCH(TEXT('September TCM'!$B10,"00")&amp;"/09/2026",'Data Base hauling'!$E$2:$E$2000)))*'Data Base hauling'!$N$2:$N$2000)/'September TCM'!$JJ10,"")</f>
        <v/>
      </c>
      <c r="JT10" s="67" t="str">
        <f>IFERROR(SUMPRODUCT(('Data Base hauling'!$O$2:$O$2000="TCM.HCV.LS")*SIGN(('Data Base hauling'!$C$2:$C$2000="TCM-ROM NB-ROM 5")+('Data Base hauling'!$C$2:$C$2000="TCM-ROM SB1 BK05-ROM 5")+('Data Base hauling'!$C$2:$C$2000="TCM-ROM SB2 BK24-ROM 5"))*(ISNUMBER(SEARCH(TEXT('September TCM'!$B10,"00")&amp;"/09/2026",'Data Base hauling'!$E$2:$E$2000)))*'Data Base hauling'!$N$2:$N$2000)/'September TCM'!$JJ10,"")</f>
        <v/>
      </c>
      <c r="JU10" s="67" t="str">
        <f>IFERROR(SUMPRODUCT(('Data Base hauling'!$O$2:$O$2000="TCM.HCV.LS")*SIGN(('Data Base hauling'!$C$2:$C$2000="TCM-ROM NB-ROM 6")+('Data Base hauling'!$C$2:$C$2000="TCM-ROM SB1 BK05-ROM 6")+('Data Base hauling'!$C$2:$C$2000="TCM-ROM SB2 BK24-ROM 6"))*(ISNUMBER(SEARCH(TEXT('September TCM'!$B10,"00")&amp;"/09/2026",'Data Base hauling'!$E$2:$E$2000)))*'Data Base hauling'!$N$2:$N$2000)/'September TCM'!$JJ10,"")</f>
        <v/>
      </c>
      <c r="JV10" s="67" t="str">
        <f>IFERROR(SUMPRODUCT(('Data Base hauling'!$O$2:$O$2000="TCM.HCV.LS")*('Data Base hauling'!$C$2:$C$2000="TCM-WASH-CR3")*(ISNUMBER(SEARCH(TEXT('September TCM'!$B10,"00")&amp;"/09/2026",'Data Base hauling'!$E$2:$E$2000)))*'Data Base hauling'!$N$2:$N$2000)/'September TCM'!$JJ10,"")</f>
        <v/>
      </c>
      <c r="JW10" s="1921">
        <f>SUMPRODUCT(('Data Base hauling'!$O$2:$O$2000="TCM.HCV.LS")*('Data Base hauling'!$C$2:$C$2000="TCM-HAC-CR3")*(ISNUMBER(SEARCH(TEXT('September TCM'!$B10,"00")&amp;"/089/2026",'Data Base hauling'!$E$2:$E$2000)))*'Data Base hauling'!$N$2:$N$2000)</f>
        <v>0</v>
      </c>
      <c r="JX10" s="66" t="str">
        <f>IFERROR(SUMPRODUCT(('Data Base hauling'!$O$2:$O$2000="TCM.HCV.HS")*('Data Base hauling'!$C$2:$C$2000="TCM-ROM NB-ROM 1")*(ISNUMBER(SEARCH(TEXT('September TCM'!$B10,"00")&amp;"/09/2026",'Data Base hauling'!$E$2:$E$2000)))*'Data Base hauling'!$N$2:$N$2000)/'September TCM'!$JK10,"")</f>
        <v/>
      </c>
      <c r="JY10" s="67" t="str">
        <f>IFERROR(SUMPRODUCT(('Data Base hauling'!$O$2:$O$2000="TCM.HCV.HS")*('Data Base hauling'!$C$2:$C$2000="TCM-ROM NB-ROM 2")*(ISNUMBER(SEARCH(TEXT('September TCM'!$B10,"00")&amp;"/09/2026",'Data Base hauling'!$E$2:$E$2000)))*'Data Base hauling'!$N$2:$N$2000)/'September TCM'!$JK10,"")</f>
        <v/>
      </c>
      <c r="JZ10" s="67" t="str">
        <f>IFERROR(SUMPRODUCT(('Data Base hauling'!$O$2:$O$2000="TCM.HCV.HS")*('Data Base hauling'!$C$2:$C$2000="TCM-ROM NB-ROM 3")*(ISNUMBER(SEARCH(TEXT('September TCM'!$B10,"00")&amp;"/09/2026",'Data Base hauling'!$E$2:$E$2000)))*'Data Base hauling'!$N$2:$N$2000)/'September TCM'!$JK10,"")</f>
        <v/>
      </c>
      <c r="KA10" s="67" t="str">
        <f>IFERROR(SUMPRODUCT(('Data Base hauling'!$O$2:$O$2000="TCM.HCV.HS")*('Data Base hauling'!$C$2:$C$2000="TCM-ROM SB1 BK05-ROM 4")*(ISNUMBER(SEARCH(TEXT('September TCM'!$B10,"00")&amp;"/09/2026",'Data Base hauling'!$E$2:$E$2000)))*'Data Base hauling'!$N$2:$N$2000)/'September TCM'!$JK10,"")</f>
        <v/>
      </c>
      <c r="KB10" s="67" t="str">
        <f>IFERROR(SUMPRODUCT(('Data Base hauling'!$O$2:$O$2000="TCM.HCV.HS")*SIGN(('Data Base hauling'!$C$2:$C$2000="TCM-ROM NB-ROM 5")+('Data Base hauling'!$C$2:$C$2000="TCM-ROM SB1 BK05-ROM 5")+('Data Base hauling'!$C$2:$C$2000="TCM-ROM SB2 BK24-ROM 5"))*(ISNUMBER(SEARCH(TEXT('September TCM'!$B10,"00")&amp;"/09/2026",'Data Base hauling'!$E$2:$E$2000)))*'Data Base hauling'!$N$2:$N$2000)/'September TCM'!$JK10,"")</f>
        <v/>
      </c>
      <c r="KC10" s="67" t="str">
        <f>IFERROR(SUMPRODUCT(('Data Base hauling'!$O$2:$O$2000="TCM.HCV.HS")*SIGN(('Data Base hauling'!$C$2:$C$2000="TCM-ROM NB-ROM 6")+('Data Base hauling'!$C$2:$C$2000="TCM-ROM SB1 BK05-ROM 6")+('Data Base hauling'!$C$2:$C$2000="TCM-ROM SB2 BK24-ROM 6"))*(ISNUMBER(SEARCH(TEXT('September TCM'!$B10,"00")&amp;"/09/2026",'Data Base hauling'!$E$2:$E$2000)))*'Data Base hauling'!$N$2:$N$2000)/'September TCM'!$JK10,"")</f>
        <v/>
      </c>
      <c r="KD10" s="67" t="str">
        <f>IFERROR(SUMPRODUCT(('Data Base hauling'!$O$2:$O$2000="TCM.HCV.HS")*('Data Base hauling'!$C$2:$C$2000="TCM-WASH-CR3")*(ISNUMBER(SEARCH(TEXT('September TCM'!$B10,"00")&amp;"/09/2026",'Data Base hauling'!$E$2:$E$2000)))*'Data Base hauling'!$N$2:$N$2000)/'September TCM'!$JK10,"")</f>
        <v/>
      </c>
      <c r="KE10" s="68" t="str">
        <f>IFERROR(SUMPRODUCT(('Data Base hauling'!$O$2:$O$2000="TCM.HCV.HS")*('Data Base hauling'!$C$2:$C$2000="TCM-HAC-CR3")*(ISNUMBER(SEARCH(TEXT('September TCM'!$B10,"00")&amp;"/09/2026",'Data Base hauling'!$E$2:$E$2000)))*'Data Base hauling'!$N$2:$N$2000)/'September TCM'!$JK10,"")</f>
        <v/>
      </c>
      <c r="KF10" s="66"/>
      <c r="KG10" s="67"/>
      <c r="KH10" s="67"/>
      <c r="KI10" s="67"/>
      <c r="KJ10" s="67"/>
      <c r="KK10" s="67"/>
      <c r="KL10" s="67"/>
      <c r="KM10" s="67"/>
      <c r="KN10" s="32"/>
      <c r="KO10" s="2669"/>
      <c r="KP10" s="2203">
        <f>IFERROR(SUMPRODUCT((TCM.HCV.LS!$A$3:$A$58=DATE(2026,9,$B10))*(TCM.HCV.LS!$O$3:$O$58&gt;0)*TCM.HCV.LS!$C$3:$C$58*TCM.HCV.LS!$O$3:$O$58)/SUMPRODUCT((TCM.HCV.LS!$A$3:$A$58=DATE(2026,9,$B10))*(TCM.HCV.LS!$O$3:$O$58&gt;0)*TCM.HCV.LS!$C$3:$C$58),0)</f>
        <v>0</v>
      </c>
      <c r="KQ10" s="1721">
        <f>IFERROR(SUMPRODUCT((TCM.HCV.LS!$A$3:$A$58=DATE(2026,9,$B10))*(TCM.HCV.LS!$M$3:$M$58&gt;0)*TCM.HCV.LS!$C$3:$C$58*TCM.HCV.LS!$M$3:$M$58)/SUMPRODUCT((TCM.HCV.LS!$A$3:$A$58=DATE(2026,9,$B10))*(TCM.HCV.LS!$M$3:$M$58&gt;0)*TCM.HCV.LS!$C$3:$C$58),0)</f>
        <v>0</v>
      </c>
      <c r="KR10" s="1721">
        <f>IFERROR(SUMPRODUCT((TCM.HCV.LS!$A$3:$A$58=DATE(2026,9,$B10))*(TCM.HCV.LS!$G$3:$G$58&gt;0)*TCM.HCV.LS!$C$3:$C$58*TCM.HCV.LS!$G$3:$G$58)/SUMPRODUCT((TCM.HCV.LS!$A$3:$A$58=DATE(2026,9,$B10))*(TCM.HCV.LS!$G$3:$G$58&gt;0)*TCM.HCV.LS!$C$3:$C$58),0)</f>
        <v>0</v>
      </c>
      <c r="KS10" s="1721">
        <f>IFERROR(SUMPRODUCT((TCM.HCV.LS!$A$3:$A$58=DATE(2026,9,$B10))*(TCM.HCV.LS!$F$3:$F$58&gt;0)*TCM.HCV.LS!$C$3:$C$58*TCM.HCV.LS!$F$3:$F$58)/SUMPRODUCT((TCM.HCV.LS!$A$3:$A$58=DATE(2026,9,$B10))*(TCM.HCV.LS!$F$3:$F$58&gt;0)*TCM.HCV.LS!$C$3:$C$58),0)</f>
        <v>0</v>
      </c>
      <c r="KT10" s="1722">
        <f>IFERROR(SUMPRODUCT((TCM.HCV.LS!$A$3:$A$58=DATE(2026,9,$B10))*(TCM.HCV.LS!$E$3:$E$58&gt;0)*TCM.HCV.LS!$C$3:$C$58*TCM.HCV.LS!$E$3:$E$58)/SUMPRODUCT((TCM.HCV.LS!$A$3:$A$58=DATE(2026,9,$B10))*(TCM.HCV.LS!$E$3:$E$58&gt;0)*TCM.HCV.LS!$C$3:$C$58),0)</f>
        <v>0</v>
      </c>
      <c r="KU10" s="1958">
        <f>IFERROR(SUMPRODUCT((TCM.HCV.HS!$A$3:$A$84=DATE(2026,9,$B10))*(TCM.HCV.HS!$O$3:$O$84&gt;0)*TCM.HCV.HS!$C$3:$C$84*TCM.HCV.HS!$O$3:$O$84)/SUMPRODUCT((TCM.HCV.HS!$A$3:$A$84=DATE(2026,9,$B10))*(TCM.HCV.HS!$O$3:$O$84&gt;0)*TCM.HCV.HS!$C$3:$C$84),0)</f>
        <v>0</v>
      </c>
      <c r="KV10" s="1961">
        <f>IFERROR(SUMPRODUCT((TCM.HCV.HS!$A$3:$A$84=DATE(2026,9,$B10))*(TCM.HCV.HS!$M$3:$M$84&gt;0)*TCM.HCV.HS!$C$3:$C$84*TCM.HCV.HS!$M$3:$M$84)/SUMPRODUCT((TCM.HCV.HS!$A$3:$A$84=DATE(2026,9,$B10))*(TCM.HCV.HS!$M$3:$M$84&gt;0)*TCM.HCV.HS!$C$3:$C$84),0)</f>
        <v>0</v>
      </c>
      <c r="KW10" s="1961">
        <f>IFERROR(SUMPRODUCT((TCM.HCV.HS!$A$3:$A$84=DATE(2026,9,$B10))*(TCM.HCV.HS!$G$3:$G$84&gt;0)*TCM.HCV.HS!$C$3:$C$84*TCM.HCV.HS!$G$3:$G$84)/SUMPRODUCT((TCM.HCV.HS!$A$3:$A$84=DATE(2026,9,$B10))*(TCM.HCV.HS!$G$3:$G$84&gt;0)*TCM.HCV.HS!$C$3:$C$84),0)</f>
        <v>0</v>
      </c>
      <c r="KX10" s="1961">
        <f>IFERROR(SUMPRODUCT((TCM.HCV.HS!$A$3:$A$84=DATE(2026,9,$B10))*(TCM.HCV.HS!$F$3:$F$84&gt;0)*TCM.HCV.HS!$C$3:$C$84*TCM.HCV.HS!$F$3:$F$84)/SUMPRODUCT((TCM.HCV.HS!$A$3:$A$84=DATE(2026,9,$B10))*(TCM.HCV.HS!$F$3:$F$84&gt;0)*TCM.HCV.HS!$C$3:$C$84),0)</f>
        <v>0</v>
      </c>
      <c r="KY10" s="1962">
        <f>IFERROR(SUMPRODUCT((TCM.HCV.HS!$A$3:$A$84=DATE(2026,9,$B10))*(TCM.HCV.HS!$E$3:$E$84&gt;0)*TCM.HCV.HS!$C$3:$C$84*TCM.HCV.HS!$E$3:$E$84)/SUMPRODUCT((TCM.HCV.HS!$A$3:$A$84=DATE(2026,9,$B10))*(TCM.HCV.HS!$E$3:$E$84&gt;0)*TCM.HCV.HS!$C$3:$C$84),0)</f>
        <v>0</v>
      </c>
      <c r="KZ10" s="35"/>
      <c r="LA10" s="49"/>
      <c r="LB10" s="49"/>
      <c r="LC10" s="49"/>
      <c r="LD10" s="49"/>
      <c r="LE10" s="32"/>
      <c r="LF10" s="2669"/>
      <c r="LH10" s="998">
        <f t="shared" ref="LH10:LJ24" si="52">SUM(LS10,LY10,MK10,MQ10+ME10)</f>
        <v>0</v>
      </c>
      <c r="LI10" s="27">
        <f t="shared" si="52"/>
        <v>0</v>
      </c>
      <c r="LJ10" s="27">
        <f t="shared" si="52"/>
        <v>0</v>
      </c>
      <c r="LK10" s="28">
        <f t="shared" ref="LK10:LK40" si="53">SUM(LH10:LJ10)</f>
        <v>0</v>
      </c>
      <c r="LL10" s="35"/>
      <c r="LM10" s="24">
        <v>1</v>
      </c>
      <c r="LN10" s="24">
        <v>7</v>
      </c>
      <c r="LO10" s="32"/>
      <c r="LP10" s="1044">
        <v>0.7</v>
      </c>
      <c r="LQ10" s="2524" t="s">
        <v>1107</v>
      </c>
      <c r="LR10" s="2688"/>
      <c r="LS10" s="35"/>
      <c r="LT10" s="35"/>
      <c r="LU10" s="24"/>
      <c r="LV10" s="24"/>
      <c r="LW10" s="24"/>
      <c r="LX10" s="1117">
        <f t="shared" ref="LX10" si="54">SUM(LS10:LW10)</f>
        <v>0</v>
      </c>
      <c r="LY10" s="35"/>
      <c r="LZ10" s="35"/>
      <c r="MA10" s="24"/>
      <c r="MB10" s="24"/>
      <c r="MC10" s="417"/>
      <c r="MD10" s="28">
        <f t="shared" ref="MD10:MD22" si="55">SUM(LY10:MC10)</f>
        <v>0</v>
      </c>
      <c r="ME10" s="23"/>
      <c r="MF10" s="35"/>
      <c r="MG10" s="24"/>
      <c r="MH10" s="24"/>
      <c r="MI10" s="24"/>
      <c r="MJ10" s="25"/>
      <c r="MK10" s="35"/>
      <c r="ML10" s="35"/>
      <c r="MM10" s="24"/>
      <c r="MN10" s="24"/>
      <c r="MO10" s="24"/>
      <c r="MP10" s="25"/>
      <c r="MQ10" s="35"/>
      <c r="MR10" s="35"/>
      <c r="MS10" s="24"/>
      <c r="MT10" s="24"/>
      <c r="MU10" s="24"/>
      <c r="MV10" s="32">
        <f t="shared" ref="MV10:MV40" si="56">SUM(MQ10:MU10)</f>
        <v>0</v>
      </c>
      <c r="MW10" s="2688"/>
      <c r="MY10" s="23">
        <f t="shared" ref="MY10:MY40" si="57">+NG10</f>
        <v>355757.51766611252</v>
      </c>
      <c r="MZ10" s="24">
        <f t="shared" ref="MZ10:MZ40" si="58">+SUM(NT10,OG10,OT10,PA10,PH10)</f>
        <v>187878.10302645114</v>
      </c>
      <c r="NA10" s="24">
        <f t="shared" ref="NA10:NA40" si="59">+PP10</f>
        <v>27762.583787707357</v>
      </c>
      <c r="NB10" s="333">
        <f t="shared" ref="NB10:NB40" si="60">+SUM(QH10,QI10,QJ10)</f>
        <v>329222.53035697999</v>
      </c>
      <c r="NC10" s="2621"/>
      <c r="ND10" s="23">
        <f t="shared" ref="ND10" si="61">+ND9+JJ10-LH10-LJ10</f>
        <v>195117.10680113197</v>
      </c>
      <c r="NE10" s="1655">
        <f t="shared" ref="NE10" si="62">+NE9+JK10-LI10</f>
        <v>160640.41086498057</v>
      </c>
      <c r="NF10" s="60">
        <f t="shared" ref="NF10:NF40" si="63">+NF9+JL10</f>
        <v>0</v>
      </c>
      <c r="NG10" s="274">
        <f t="shared" si="4"/>
        <v>355757.51766611252</v>
      </c>
      <c r="NH10" s="23">
        <f t="shared" ref="NH10:NQ25" si="64">+NH9+EG10-GZ10</f>
        <v>0</v>
      </c>
      <c r="NI10" s="23">
        <f t="shared" si="64"/>
        <v>0</v>
      </c>
      <c r="NJ10" s="24">
        <f t="shared" si="64"/>
        <v>0</v>
      </c>
      <c r="NK10" s="24">
        <f t="shared" si="64"/>
        <v>0</v>
      </c>
      <c r="NL10" s="24">
        <f t="shared" si="64"/>
        <v>0</v>
      </c>
      <c r="NM10" s="24">
        <f t="shared" si="64"/>
        <v>0</v>
      </c>
      <c r="NN10" s="24">
        <f>+NN9+EM10-HF10</f>
        <v>0</v>
      </c>
      <c r="NO10" s="24">
        <f t="shared" si="64"/>
        <v>0</v>
      </c>
      <c r="NP10" s="24">
        <f>+NP9+EO10-HH10</f>
        <v>25982.510136227243</v>
      </c>
      <c r="NQ10" s="24">
        <f t="shared" si="64"/>
        <v>22358.939343794715</v>
      </c>
      <c r="NR10" s="24">
        <f>'May TCM'!NQ42</f>
        <v>8756.5482322711578</v>
      </c>
      <c r="NS10" s="24">
        <f>+NS9+EQ10-HJ10</f>
        <v>3813.968041053507</v>
      </c>
      <c r="NT10" s="24">
        <f t="shared" si="0"/>
        <v>60911.965753346623</v>
      </c>
      <c r="NU10" s="27">
        <f t="shared" ref="NU10:OB25" si="65">+NU9+DF10-ID10</f>
        <v>0</v>
      </c>
      <c r="NV10" s="280">
        <f t="shared" si="65"/>
        <v>0</v>
      </c>
      <c r="NW10" s="1127">
        <f t="shared" si="65"/>
        <v>0</v>
      </c>
      <c r="NX10" s="280">
        <f t="shared" si="65"/>
        <v>0</v>
      </c>
      <c r="NY10" s="27">
        <f t="shared" si="65"/>
        <v>0</v>
      </c>
      <c r="NZ10" s="27">
        <f t="shared" si="65"/>
        <v>0</v>
      </c>
      <c r="OA10" s="27">
        <f t="shared" si="65"/>
        <v>18030.495564997225</v>
      </c>
      <c r="OB10" s="27">
        <f t="shared" si="65"/>
        <v>0</v>
      </c>
      <c r="OC10" s="27">
        <f t="shared" ref="OC10:OC40" si="66">+OC9+DP10-IN10</f>
        <v>28717.066475620366</v>
      </c>
      <c r="OD10" s="280"/>
      <c r="OE10" s="24">
        <f>+OE9+DQ10-IO10</f>
        <v>13429.316718063665</v>
      </c>
      <c r="OF10" s="24">
        <f t="shared" ref="OF10:OF40" si="67">+OF9+DR10-IO10</f>
        <v>0</v>
      </c>
      <c r="OG10" s="24">
        <f t="shared" si="1"/>
        <v>60176.878758681254</v>
      </c>
      <c r="OH10" s="24">
        <f t="shared" ref="OH10:OO25" si="68">+OH9+DT10+FW10-IS10</f>
        <v>0</v>
      </c>
      <c r="OI10" s="24">
        <f t="shared" si="68"/>
        <v>0</v>
      </c>
      <c r="OJ10" s="24">
        <f t="shared" si="68"/>
        <v>0</v>
      </c>
      <c r="OK10" s="24">
        <f t="shared" si="68"/>
        <v>0</v>
      </c>
      <c r="OL10" s="27">
        <f t="shared" si="68"/>
        <v>0</v>
      </c>
      <c r="OM10" s="24">
        <f t="shared" si="68"/>
        <v>0</v>
      </c>
      <c r="ON10" s="24">
        <f t="shared" si="68"/>
        <v>0</v>
      </c>
      <c r="OO10" s="24">
        <f t="shared" si="68"/>
        <v>0</v>
      </c>
      <c r="OP10" s="24">
        <f t="shared" ref="OP10:OP40" si="69">+OP9+EB10+GE10+QG10-JA10</f>
        <v>50548.297649249813</v>
      </c>
      <c r="OQ10" s="24">
        <f t="shared" ref="OQ10:OS25" si="70">+OQ9+EC10+GF10-JB10</f>
        <v>0</v>
      </c>
      <c r="OR10" s="24">
        <f t="shared" si="70"/>
        <v>16240.960865173456</v>
      </c>
      <c r="OS10" s="24">
        <f t="shared" si="70"/>
        <v>0</v>
      </c>
      <c r="OT10" s="25">
        <f t="shared" si="2"/>
        <v>66789.258514423273</v>
      </c>
      <c r="OU10" s="35"/>
      <c r="OV10" s="24"/>
      <c r="OW10" s="24"/>
      <c r="OX10" s="24"/>
      <c r="OY10" s="24"/>
      <c r="OZ10" s="24"/>
      <c r="PA10" s="25">
        <f t="shared" ref="PA10:PA40" si="71">SUM(OU10:OZ10)</f>
        <v>0</v>
      </c>
      <c r="PB10" s="35">
        <f t="shared" ref="PB10:PB40" si="72">+PB9+ET10-FW10</f>
        <v>0</v>
      </c>
      <c r="PC10" s="24">
        <f t="shared" ref="PC10:PC40" si="73">+PC9+EU10-FY10</f>
        <v>0</v>
      </c>
      <c r="PD10" s="24">
        <f t="shared" ref="PD10:PD40" si="74">+PD9+EV10-GA10</f>
        <v>0</v>
      </c>
      <c r="PE10" s="24">
        <f t="shared" ref="PE10:PE40" si="75">+PE9+EW10-GC10</f>
        <v>0</v>
      </c>
      <c r="PF10" s="24"/>
      <c r="PG10" s="24">
        <f t="shared" ref="PG10:PG40" si="76">+PG9+EY10-GG10</f>
        <v>0</v>
      </c>
      <c r="PH10" s="32">
        <f t="shared" si="3"/>
        <v>0</v>
      </c>
      <c r="PI10" s="2621"/>
      <c r="PK10" s="1907">
        <f>SUMPRODUCT(('Data Base Coal Wining'!$D$2:$D$2000="WASHING PLANT")*ISNUMBER(SEARCH(TEXT('September TCM'!$B10,"00")&amp;"/09/2026",'Data Base Coal Wining'!$E$2:$E$2000))*'Data Base Coal Wining'!$N$2:$N$2000)</f>
        <v>2819.92</v>
      </c>
      <c r="PL10" s="1101">
        <v>760.49999999999989</v>
      </c>
      <c r="PM10" s="1101">
        <v>211.24999999999997</v>
      </c>
      <c r="PN10" s="3">
        <f t="shared" ref="PN10:PN28" si="77">HL10</f>
        <v>0</v>
      </c>
      <c r="PO10" s="3">
        <f t="shared" ref="PO10:PO40" si="78">PO9+PK10-PL10</f>
        <v>33302.933435124723</v>
      </c>
      <c r="PP10" s="11">
        <f t="shared" ref="PP10:PP23" si="79">PP9+PM10-PN10</f>
        <v>27762.583787707357</v>
      </c>
      <c r="PQ10" s="14"/>
      <c r="PR10" s="2615"/>
      <c r="PT10" s="2"/>
      <c r="PU10" s="8"/>
      <c r="PV10" s="8"/>
      <c r="PW10" s="8"/>
      <c r="PX10" s="8">
        <f>SUMPRODUCT(('Data Base Coal Wining'!$D$2:$D$2000="TCM-ROM SB1 BK05-ROM 2 (HAC)")*('Data Base Coal Wining'!$G$2:$G$2000="Coal Winning")*ISNUMBER(SEARCH(TEXT('September TCM'!$B10,"00")&amp;"/09/2026",'Data Base Coal Wining'!$E$2:$E$2000))*'Data Base Coal Wining'!$N$2:$N$2000)</f>
        <v>0</v>
      </c>
      <c r="PY10" s="8"/>
      <c r="PZ10" s="8">
        <f t="shared" ref="PZ10:PZ40" si="80">SUM(PW10:PY10)</f>
        <v>0</v>
      </c>
      <c r="QA10" s="3">
        <f t="shared" ref="QA10:QA40" si="81">+PK10</f>
        <v>2819.92</v>
      </c>
      <c r="QB10" s="3"/>
      <c r="QC10" s="3"/>
      <c r="QD10" s="3"/>
      <c r="QE10" s="3"/>
      <c r="QF10" s="3"/>
      <c r="QG10" s="11"/>
      <c r="QH10" s="11">
        <f t="shared" ref="QH10:QH40" si="82">+QH9+PT10-HM10</f>
        <v>29562.488999999998</v>
      </c>
      <c r="QI10" s="420">
        <f t="shared" ref="QI10:QI40" si="83">+QI9+PW10+PX10-IQ10-QA10</f>
        <v>294687.79090898001</v>
      </c>
      <c r="QJ10" s="1106">
        <f>+QJ9+PY10-QF10</f>
        <v>4972.2504480000007</v>
      </c>
      <c r="QK10" s="484">
        <f t="shared" ref="QK10:QK40" si="84">QK9-QE10</f>
        <v>5505.3678056099998</v>
      </c>
      <c r="QL10" s="11"/>
      <c r="QM10" s="2615"/>
      <c r="QO10" s="139" t="str">
        <f t="shared" ref="QO10:QO40" si="85">IF(JJ10=0,"",(IFERROR(IF(1-ABS(1-(JP10/JP$43))&lt;0,0,1-ABS(1-(JP10/JP$43))),0)*JP$43)+(IFERROR(IF(1-ABS(1-(JQ10/JQ$43))&lt;0,0,1-ABS(1-(JQ10/JQ$43))),0)*JQ$43)+(IFERROR(IF(1-ABS(1-(JR10/JR$43))&lt;0,0,1-ABS(1-(JR10/JR$43))),0)*JR$43)+(IFERROR(IF(1-ABS(1-(JS10/JS$43))&lt;0,0,1-ABS(1-(JS10/JS$43))),0)*JS$43)+(IFERROR(IF(1-ABS(1-(JT10/JT$43))&lt;0,0,1-ABS(1-(JT10/JT$43))),0)*JT$43)+(IFERROR(IF(1-ABS(1-(JU10/JU$43))&lt;0,0,1-ABS(1-(JU10/JU$43))),0)*JU$43)+(IFERROR(IF(1-ABS(1-(JV10/JV$43))&lt;0,0,1-ABS(1-(JV10/JV$43))),0)*JV$43)+(IFERROR(IF(1-ABS(1-(JW10/JW$43))&lt;0,0,1-ABS(1-(JW10/JW$43))),0)*JW$43))</f>
        <v/>
      </c>
      <c r="QP10" s="139" t="str">
        <f t="shared" ref="QP10:QP40" si="86">IF(JL10=0,"",(IFERROR(IF(1-ABS(1-(KF10/KF$43))&lt;0,0,1-ABS(1-(KF10/KF$43))),0)*KF$43)+(IFERROR(IF(1-ABS(1-(KG10/KG$43))&lt;0,0,1-ABS(1-(KG10/KG$43))),0)*KG$43)+(IFERROR(IF(1-ABS(1-(KH10/KH$43))&lt;0,0,1-ABS(1-(KH10/KH$43))),0)*KH$43)+(IFERROR(IF(1-ABS(1-(KI10/KI$43))&lt;0,0,1-ABS(1-(KI10/KI$43))),0)*KI$43)+(IFERROR(IF(1-ABS(1-(KJ10/KJ$43))&lt;0,0,1-ABS(1-(KJ10/KJ$43))),0)*KJ$43)+(IFERROR(IF(1-ABS(1-(KK10/KK$43))&lt;0,0,1-ABS(1-(KK10/KK$43))),0)*KK$43)+(IFERROR(IF(1-ABS(1-(KL10/KL$43))&lt;0,0,1-ABS(1-(KL10/KL$43))),0)*KL$43)+(IFERROR(IF(1-ABS(1-(KM10/KM$43))&lt;0,0,1-ABS(1-(KM10/KM$43))),0)*KM$43))</f>
        <v/>
      </c>
      <c r="QR10" s="139" t="str">
        <f t="shared" ref="QR10:QR40" si="87">IF(JM10&gt;0,SUMPRODUCT(QU10:QZ10,$JP$43:$JU$43),"")</f>
        <v/>
      </c>
      <c r="QS10" s="139" t="str">
        <f t="shared" ref="QS10:QS40" si="88">IF(JM10&gt;0,SUMPRODUCT(RB10:RG10,$KF$43:$KK$43),"")</f>
        <v/>
      </c>
      <c r="QU10" s="1">
        <f t="shared" ref="QU10:QU40" si="89">IF(NU$43=0,0,IF(SUM(NU10,OH10)-NU$8-OH$8&gt;NU$43,1,(SUM(NU10,OH10)-NU$8-OH$8)/NU$43))</f>
        <v>0</v>
      </c>
      <c r="QV10" s="1">
        <f t="shared" ref="QV10:QV40" si="90">IF(NW$43=0,0,IF(SUM(NW10,OJ10)-NW$8-OJ$8&gt;NW$43,1,(SUM(NW10,OJ10)-NW$8-OJ$8)/NW$43))</f>
        <v>0</v>
      </c>
      <c r="QW10" s="1">
        <f t="shared" ref="QW10:QW40" si="91">IF(NY$43=0,0,IF(SUM(NY10,OL10)-NY$8-OL$8&gt;NY$43,1,(SUM(NY10,OL10)-NY$8-OL$8)/NY$43))</f>
        <v>0</v>
      </c>
      <c r="QX10" s="1">
        <f t="shared" ref="QX10:QX40" si="92">IF(OA$43=0,0,IF(SUM(OA10,ON10)-OA$8-ON$8&gt;OA$43,1,(SUM(OA10,ON10)-OA$8-ON$8)/OA$43))</f>
        <v>0</v>
      </c>
      <c r="QY10" s="1">
        <f t="shared" ref="QY10:QY40" si="93">IF(OC$43=0,0,IF(SUM(OC10,OP10)-OC$8-OP$8&gt;OC$43,1,(SUM(OC10,OP10)-OC$8-OP$8)/OC$43))</f>
        <v>0</v>
      </c>
      <c r="QZ10" s="1">
        <f t="shared" ref="QZ10:QZ40" si="94">IF(OE$43=0,0,IF(SUM(OE10,OR10)-OE$8-OR$8&gt;OE$43,1,(SUM(OE10,OR10)-OE$8-OR$8)/OE$43))</f>
        <v>0</v>
      </c>
      <c r="RB10" s="1">
        <f t="shared" ref="RB10:RB40" si="95">+IF(NU$43=0,0,IF(SUM(NU10,OH10)-NU$8-OH$8&gt;NU$43,1,(SUM(NU10,OH10)-NU$8-OH$8)/NU$43))</f>
        <v>0</v>
      </c>
      <c r="RC10" s="1">
        <f t="shared" ref="RC10:RC40" si="96">+IF(NW$43=0,0,IF(SUM(NW10,OJ10)-NW$8-OJ$8&gt;NW$43,1,(SUM(NW10,OJ10)-NW$8-OJ$8)/NW$43))</f>
        <v>0</v>
      </c>
      <c r="RD10" s="1">
        <f t="shared" ref="RD10:RD40" si="97">+IF(NY$43=0,0,IF(SUM(NY10,OL10)-NY$8-OL$8&gt;NY$43,1,(SUM(NY10,OL10)-NY$8-OL$8)/NY$43))</f>
        <v>0</v>
      </c>
      <c r="RE10" s="1">
        <f t="shared" ref="RE10:RE40" si="98">+IF(OA$43=0,0,IF(SUM(OA10,ON10)-OA$8-ON$8&gt;OA$43,1,(SUM(OA10,ON10)-OA$8-ON$8)/OA$43))</f>
        <v>0</v>
      </c>
      <c r="RF10" s="1">
        <f t="shared" ref="RF10:RF40" si="99">+IF(OC$43=0,0,IF(SUM(OC10,OP10)-OC$8-OP$8&gt;OC$43,1,(SUM(OC10,OP10)-OC$8-OP$8)/OC$43))</f>
        <v>0</v>
      </c>
      <c r="RG10" s="1">
        <f t="shared" ref="RG10:RG40" si="100">+IF(OE$43=0,0,IF(SUM(OE10,OR10)-OE$8-OR$8&gt;OE$43,1,(SUM(OE10,OR10)-OE$8-OR$8)/OE$43))</f>
        <v>0</v>
      </c>
      <c r="RJ10" s="1">
        <v>1</v>
      </c>
      <c r="RK10" s="1">
        <f t="shared" ref="RK10:RM17" si="101">+RK9+JJ10-LH10</f>
        <v>45424.161751083164</v>
      </c>
      <c r="RL10" s="1">
        <f t="shared" si="101"/>
        <v>3925.5835498622801</v>
      </c>
      <c r="RM10" s="1">
        <f t="shared" si="101"/>
        <v>9178.5689913333827</v>
      </c>
      <c r="RN10" s="89">
        <f t="shared" si="5"/>
        <v>58528.314292278832</v>
      </c>
      <c r="RO10" s="1033">
        <v>1</v>
      </c>
      <c r="RP10" s="1098">
        <v>0</v>
      </c>
      <c r="RQ10" s="1098">
        <f t="shared" ref="RQ10:RR40" si="102">PX10</f>
        <v>0</v>
      </c>
      <c r="RR10" s="1097">
        <f t="shared" si="102"/>
        <v>0</v>
      </c>
      <c r="RS10" s="1097">
        <f t="shared" ref="RS10:RS40" si="103">BG10+AX10+BJ10+BM10+BZ10+BD10+BQ10-PY10</f>
        <v>5977.6</v>
      </c>
      <c r="RT10" s="1094"/>
      <c r="RU10" s="1094" t="s">
        <v>1108</v>
      </c>
      <c r="RX10" s="421">
        <v>1</v>
      </c>
      <c r="RY10" s="1095">
        <f t="shared" ref="RY10:RY40" si="104">GX10</f>
        <v>0</v>
      </c>
      <c r="RZ10" s="1094"/>
      <c r="SB10" s="1090"/>
      <c r="SC10" s="1090">
        <f t="shared" ref="SC10:SC40" si="105">(DS10+EF10)-(RP10+RS10)</f>
        <v>0</v>
      </c>
      <c r="SD10" s="1090"/>
      <c r="SE10" s="1090">
        <f t="shared" ref="SE10:SE17" si="106">JM10-RY10</f>
        <v>0</v>
      </c>
      <c r="SG10" s="1">
        <v>1</v>
      </c>
      <c r="SH10" s="1">
        <f t="shared" ref="SH10:SH40" si="107">PN10</f>
        <v>0</v>
      </c>
    </row>
    <row r="11" spans="1:503" s="1" customFormat="1" ht="18.600000000000001" customHeight="1">
      <c r="B11" s="471">
        <v>2</v>
      </c>
      <c r="C11" s="4">
        <f t="shared" ref="C11:C29" si="108">+O11+S11+W11+AE11+AI11+AA11</f>
        <v>162553</v>
      </c>
      <c r="D11" s="1590">
        <f t="shared" ref="D11:D15" si="109">P11+T11+X11+AB11</f>
        <v>10467.84</v>
      </c>
      <c r="E11" s="1895">
        <f t="shared" si="6"/>
        <v>15.528800593054536</v>
      </c>
      <c r="F11" s="870"/>
      <c r="G11" s="870"/>
      <c r="H11" s="52"/>
      <c r="I11" s="61"/>
      <c r="J11" s="52"/>
      <c r="K11" s="54"/>
      <c r="L11" s="52"/>
      <c r="M11" s="61"/>
      <c r="N11" s="2629"/>
      <c r="O11" s="4">
        <f>+SUM(AQ11,BC11,AW11)</f>
        <v>96012</v>
      </c>
      <c r="P11" s="1225">
        <f t="shared" si="7"/>
        <v>5598.16</v>
      </c>
      <c r="Q11" s="1951">
        <f t="shared" si="8"/>
        <v>17.150635208711435</v>
      </c>
      <c r="R11" s="33"/>
      <c r="S11" s="26">
        <f t="shared" si="9"/>
        <v>35892</v>
      </c>
      <c r="T11" s="27">
        <f t="shared" ref="T11:T40" si="110">+SUM(BZ11,BJ11,BM11,BG11,BN11)</f>
        <v>3071.32</v>
      </c>
      <c r="U11" s="1909">
        <f t="shared" si="10"/>
        <v>11.686180534753786</v>
      </c>
      <c r="V11" s="28"/>
      <c r="W11" s="1742">
        <f t="shared" si="11"/>
        <v>24653</v>
      </c>
      <c r="X11" s="5">
        <f t="shared" si="11"/>
        <v>1676</v>
      </c>
      <c r="Y11" s="1909">
        <f t="shared" si="12"/>
        <v>14.709427207637232</v>
      </c>
      <c r="Z11" s="33"/>
      <c r="AA11" s="26">
        <f t="shared" si="13"/>
        <v>5996</v>
      </c>
      <c r="AB11" s="27">
        <f t="shared" si="14"/>
        <v>122.36</v>
      </c>
      <c r="AC11" s="1909">
        <f t="shared" si="15"/>
        <v>49.002942137953582</v>
      </c>
      <c r="AD11" s="28"/>
      <c r="AE11" s="36"/>
      <c r="AF11" s="36"/>
      <c r="AG11" s="53">
        <f t="shared" si="16"/>
        <v>0</v>
      </c>
      <c r="AH11" s="28"/>
      <c r="AI11" s="26"/>
      <c r="AJ11" s="27"/>
      <c r="AK11" s="53">
        <f t="shared" si="17"/>
        <v>0</v>
      </c>
      <c r="AL11" s="28"/>
      <c r="AM11" s="2629"/>
      <c r="AN11" s="9"/>
      <c r="AO11" s="5"/>
      <c r="AP11" s="61">
        <f t="shared" si="18"/>
        <v>0</v>
      </c>
      <c r="AQ11" s="36"/>
      <c r="AR11" s="53"/>
      <c r="AS11" s="61">
        <f t="shared" si="19"/>
        <v>0</v>
      </c>
      <c r="AT11" s="36"/>
      <c r="AU11" s="27"/>
      <c r="AV11" s="54">
        <f t="shared" si="20"/>
        <v>0</v>
      </c>
      <c r="AW11" s="1">
        <v>45654</v>
      </c>
      <c r="AX11" s="280">
        <f>SUMPRODUCT(ISNUMBER(SEARCH("BK20",'Data Base Coal Wining'!$C$2:$C$2000))*ISNUMBER(SEARCH("P3000",'Data Base Coal Wining'!$C$2:$C$2000))*('Data Base Coal Wining'!$H$2:$H$2000="PAMA")*('Data Base Coal Wining'!$G$2:$G$2000="Coal Winning")*ISNUMBER(SEARCH(TEXT('September TCM'!$B11,"00")&amp;"/09/2026",'Data Base Coal Wining'!$E$2:$E$2000))*'Data Base Coal Wining'!$N$2:$N$2000)</f>
        <v>5598.16</v>
      </c>
      <c r="AY11" s="1735">
        <f>IFERROR(AW10/AX11,0)</f>
        <v>10.29338211126513</v>
      </c>
      <c r="AZ11" s="36"/>
      <c r="BA11" s="27"/>
      <c r="BB11" s="61">
        <f t="shared" si="21"/>
        <v>0</v>
      </c>
      <c r="BC11" s="1740">
        <v>50358</v>
      </c>
      <c r="BD11" s="2154">
        <f>SUMPRODUCT(ISNUMBER(SEARCH("BK30",'Data Base Coal Wining'!$C$2:$C$2000))*ISNUMBER(SEARCH("P3000",'Data Base Coal Wining'!$C$2:$C$2000))*('Data Base Coal Wining'!$H$2:$H$2000="PAMA")*('Data Base Coal Wining'!$G$2:$G$2000="Coal Winning")*ISNUMBER(SEARCH(TEXT('September TCM'!$B11,"00")&amp;"/09/2026",'Data Base Coal Wining'!$E$2:$E$2000))*'Data Base Coal Wining'!$N$2:$N$2000)</f>
        <v>0</v>
      </c>
      <c r="BE11" s="1735">
        <f t="shared" si="22"/>
        <v>0</v>
      </c>
      <c r="BF11" s="36"/>
      <c r="BG11" s="53"/>
      <c r="BH11" s="61">
        <f t="shared" si="23"/>
        <v>0</v>
      </c>
      <c r="BI11" s="36">
        <v>0</v>
      </c>
      <c r="BJ11" s="53">
        <v>0</v>
      </c>
      <c r="BK11" s="61">
        <f t="shared" si="24"/>
        <v>0</v>
      </c>
      <c r="BL11" s="1742">
        <v>35892</v>
      </c>
      <c r="BM11" s="2154">
        <f>SUMPRODUCT(ISNUMBER(SEARCH("BK26",'Data Base Coal Wining'!$C$2:$C$2000))*ISNUMBER(SEARCH("P4400",'Data Base Coal Wining'!$C$2:$C$2000))*('Data Base Coal Wining'!$H$2:$H$2000="MAP")*('Data Base Coal Wining'!$G$2:$G$2000="Coal Winning")*ISNUMBER(SEARCH(TEXT('September TCM'!$B11,"00")&amp;"/09/2026",'Data Base Coal Wining'!$E$2:$E$2000))*'Data Base Coal Wining'!$N$2:$N$2000)</f>
        <v>3071.32</v>
      </c>
      <c r="BN11" s="2170"/>
      <c r="BO11" s="1735">
        <f t="shared" si="25"/>
        <v>11.686180534753786</v>
      </c>
      <c r="BP11" s="1126">
        <v>5996</v>
      </c>
      <c r="BQ11" s="2514">
        <f>SUMPRODUCT(ISNUMBER(SEARCH("BK34",'Data Base Coal Wining'!$C$2:$C$2000))*ISNUMBER(SEARCH("P4000",'Data Base Coal Wining'!$C$2:$C$2000))*('Data Base Coal Wining'!$H$2:$H$2000="PJPN")*('Data Base Coal Wining'!$G$2:$G$2000="Coal Winning")*ISNUMBER(SEARCH(TEXT('September TCM'!$B11,"00")&amp;"/09/2026",'Data Base Coal Wining'!$E$2:$E$2000))*'Data Base Coal Wining'!$N$2:$N$2000)</f>
        <v>122.36</v>
      </c>
      <c r="BR11" s="1735">
        <f t="shared" si="26"/>
        <v>49.002942137953582</v>
      </c>
      <c r="BS11" s="36"/>
      <c r="BT11" s="53"/>
      <c r="BU11" s="61">
        <f t="shared" si="27"/>
        <v>0</v>
      </c>
      <c r="BV11" s="36">
        <v>24653</v>
      </c>
      <c r="BW11" s="27">
        <v>1676</v>
      </c>
      <c r="BX11" s="1906">
        <f t="shared" si="28"/>
        <v>14.709427207637232</v>
      </c>
      <c r="BY11" s="26"/>
      <c r="BZ11" s="419"/>
      <c r="CA11" s="61">
        <f t="shared" si="29"/>
        <v>0</v>
      </c>
      <c r="CB11" s="36"/>
      <c r="CC11" s="5"/>
      <c r="CD11" s="482">
        <f t="shared" si="30"/>
        <v>0</v>
      </c>
      <c r="CE11" s="4"/>
      <c r="CF11" s="27"/>
      <c r="CG11" s="28">
        <f t="shared" si="31"/>
        <v>0</v>
      </c>
      <c r="CH11" s="149"/>
      <c r="CI11" s="4"/>
      <c r="CJ11" s="5"/>
      <c r="CK11" s="5">
        <v>9035</v>
      </c>
      <c r="CL11" s="5"/>
      <c r="CM11" s="5"/>
      <c r="CN11" s="3">
        <f t="shared" ref="CN11:CN40" si="111">SUM(CI11:CL11)</f>
        <v>9035</v>
      </c>
      <c r="CO11" s="33"/>
      <c r="CP11" s="366"/>
      <c r="CR11" s="4">
        <f t="shared" si="32"/>
        <v>0</v>
      </c>
      <c r="CS11" s="9">
        <f t="shared" si="32"/>
        <v>0</v>
      </c>
      <c r="CT11" s="5">
        <f t="shared" si="32"/>
        <v>0</v>
      </c>
      <c r="CU11" s="5">
        <f t="shared" si="32"/>
        <v>0</v>
      </c>
      <c r="CV11" s="5">
        <f t="shared" si="32"/>
        <v>0</v>
      </c>
      <c r="CW11" s="12">
        <f t="shared" si="32"/>
        <v>0</v>
      </c>
      <c r="CX11" s="486">
        <f t="shared" si="32"/>
        <v>5598.16</v>
      </c>
      <c r="CY11" s="9">
        <f t="shared" si="32"/>
        <v>0</v>
      </c>
      <c r="CZ11" s="5">
        <f t="shared" si="32"/>
        <v>3967.68</v>
      </c>
      <c r="DA11" s="12">
        <f t="shared" si="32"/>
        <v>0</v>
      </c>
      <c r="DB11" s="486">
        <f t="shared" si="32"/>
        <v>902</v>
      </c>
      <c r="DC11" s="486">
        <f t="shared" si="33"/>
        <v>0</v>
      </c>
      <c r="DD11" s="310">
        <f t="shared" si="34"/>
        <v>10467.84</v>
      </c>
      <c r="DE11" s="2695"/>
      <c r="DF11" s="8"/>
      <c r="DG11" s="9"/>
      <c r="DH11" s="5"/>
      <c r="DI11" s="5"/>
      <c r="DJ11" s="5"/>
      <c r="DK11" s="5"/>
      <c r="DL11" s="3">
        <f>SUMPRODUCT(('Data Base Coal Wining'!$D$2:$D$2000="TCM-ROM SB1 BK05-ROM 4")*('Data Base Coal Wining'!$G$2:$G$2000="Coal Winning")*ISNUMBER(SEARCH(TEXT('September TCM'!$B11,"00")&amp;"/09/2026",'Data Base Coal Wining'!$E$2:$E$2000))*'Data Base Coal Wining'!$N$2:$N$2000)</f>
        <v>5598.16</v>
      </c>
      <c r="DM11" s="5"/>
      <c r="DN11" s="3">
        <f>SUMPRODUCT(('Data Base Coal Wining'!$D$2:$D$2000="TCM-ROM SB1 BK05-ROM 5")*('Data Base Coal Wining'!$G$2:$G$2000="Coal Winning")*ISNUMBER(SEARCH(TEXT('September TCM'!$B11,"00")&amp;"/09/2026",'Data Base Coal Wining'!$E$2:$E$2000))*'Data Base Coal Wining'!$N$2:$N$2000)</f>
        <v>0</v>
      </c>
      <c r="DO11" s="5"/>
      <c r="DP11" s="3">
        <f>SUMPRODUCT(('Data Base Coal Wining'!$D$2:$D$2000="TCM-ROM SB1 BK05-ROM 6")*('Data Base Coal Wining'!$G$2:$G$2000="Coal Winning")*ISNUMBER(SEARCH(TEXT('September TCM'!$B11,"00")&amp;"/09/2026",'Data Base Coal Wining'!$E$2:$E$2000))*'Data Base Coal Wining'!$N$2:$N$2000)</f>
        <v>0</v>
      </c>
      <c r="DQ11" s="11">
        <f>SUMPRODUCT(('Data Base Coal Wining'!$D$2:$D$2000="TCM-ROM SB1 BK05-ROM 6.1")*('Data Base Coal Wining'!$G$2:$G$2000="Coal Winning")*ISNUMBER(SEARCH(TEXT('September TCM'!$B11,"00")&amp;"/09/2026",'Data Base Coal Wining'!$E$2:$E$2000))*'Data Base Coal Wining'!$N$2:$N$2000)</f>
        <v>0</v>
      </c>
      <c r="DR11" s="12"/>
      <c r="DS11" s="1906">
        <f t="shared" si="35"/>
        <v>5598.16</v>
      </c>
      <c r="DT11" s="36"/>
      <c r="DU11" s="36"/>
      <c r="DV11" s="27"/>
      <c r="DW11" s="27"/>
      <c r="DX11" s="5"/>
      <c r="DY11" s="5"/>
      <c r="DZ11" s="64"/>
      <c r="EA11" s="5"/>
      <c r="EB11" s="3">
        <f>SUMPRODUCT(('Data Base Coal Wining'!$D$2:$D$2000="TCM-ROM SB2 BK24-ROM 5")*('Data Base Coal Wining'!$G$2:$G$2000="Coal Winning")*ISNUMBER(SEARCH(TEXT('September TCM'!$B11,"00")&amp;"/09/2026",'Data Base Coal Wining'!$E$2:$E$2000))*'Data Base Coal Wining'!$N$2:$N$2000)</f>
        <v>3193.68</v>
      </c>
      <c r="EC11" s="53"/>
      <c r="ED11" s="24">
        <f>SUMPRODUCT(('Data Base Coal Wining'!$D$2:$D$2000="TCM-ROM SB2 BK24-ROM 6")*('Data Base Coal Wining'!$G$2:$G$2000="Coal Winning")*ISNUMBER(SEARCH(TEXT('September TCM'!$B11,"00")&amp;"/09/2026",'Data Base Coal Wining'!$E$2:$E$2000))*'Data Base Coal Wining'!$N$2:$N$2000)</f>
        <v>0</v>
      </c>
      <c r="EE11" s="33"/>
      <c r="EF11" s="28">
        <f t="shared" si="36"/>
        <v>3193.68</v>
      </c>
      <c r="EG11" s="9"/>
      <c r="EH11" s="9"/>
      <c r="EI11" s="5"/>
      <c r="EJ11" s="5"/>
      <c r="EK11" s="27"/>
      <c r="EL11" s="27"/>
      <c r="EM11" s="27"/>
      <c r="EN11" s="27"/>
      <c r="EO11" s="5">
        <v>774</v>
      </c>
      <c r="EP11" s="5"/>
      <c r="EQ11" s="5">
        <v>902</v>
      </c>
      <c r="ER11" s="33"/>
      <c r="ES11" s="28">
        <f t="shared" si="37"/>
        <v>1676</v>
      </c>
      <c r="ET11" s="36"/>
      <c r="EU11" s="27"/>
      <c r="EV11" s="27"/>
      <c r="EW11" s="27"/>
      <c r="EX11" s="27"/>
      <c r="EY11" s="27"/>
      <c r="EZ11" s="33">
        <f t="shared" si="38"/>
        <v>0</v>
      </c>
      <c r="FA11" s="2685"/>
      <c r="FC11" s="4">
        <f t="shared" si="39"/>
        <v>0</v>
      </c>
      <c r="FD11" s="5">
        <f t="shared" si="40"/>
        <v>0</v>
      </c>
      <c r="FE11" s="5">
        <f t="shared" si="41"/>
        <v>0</v>
      </c>
      <c r="FF11" s="12">
        <f t="shared" si="42"/>
        <v>0</v>
      </c>
      <c r="FG11" s="33"/>
      <c r="FH11" s="2674"/>
      <c r="FI11" s="9"/>
      <c r="FJ11" s="5"/>
      <c r="FK11" s="5"/>
      <c r="FL11" s="5"/>
      <c r="FM11" s="5"/>
      <c r="FN11" s="27"/>
      <c r="FO11" s="28">
        <f t="shared" si="43"/>
        <v>0</v>
      </c>
      <c r="FP11" s="36"/>
      <c r="FQ11" s="27"/>
      <c r="FR11" s="27"/>
      <c r="FS11" s="27"/>
      <c r="FT11" s="27"/>
      <c r="FU11" s="27"/>
      <c r="FV11" s="28">
        <f t="shared" si="44"/>
        <v>0</v>
      </c>
      <c r="FW11" s="36"/>
      <c r="FX11" s="36"/>
      <c r="FY11" s="27"/>
      <c r="FZ11" s="27"/>
      <c r="GA11" s="27"/>
      <c r="GB11" s="27"/>
      <c r="GC11" s="27"/>
      <c r="GD11" s="27"/>
      <c r="GE11" s="24" cm="1">
        <f t="array" ref="GE11">SUMPRODUCT(('Data Base Coal Wining'!$C$2:$C$2000="TCM-ROM TEMPORARY SB2 KM 76-ROM HAC (S4700 Hard Ban)")*(ISNUMBER(SEARCH(TEXT('September TCM'!$B11,"00")&amp;"/08/2026",'Data Base Coal Wining'!$E$2:$E$2000)))*'Data Base Coal Wining'!$N$2:$N$2000)</f>
        <v>0</v>
      </c>
      <c r="GF11" s="27"/>
      <c r="GG11" s="27"/>
      <c r="GH11" s="33"/>
      <c r="GI11" s="33">
        <f t="shared" si="45"/>
        <v>0</v>
      </c>
      <c r="GJ11" s="2674"/>
      <c r="GL11" s="2">
        <f t="shared" ref="GL11:GL40" si="112">+HN11</f>
        <v>0</v>
      </c>
      <c r="GM11" s="63">
        <f t="shared" ref="GM11:GM41" si="113">+IR11</f>
        <v>0</v>
      </c>
      <c r="GN11" s="24">
        <f t="shared" ref="GN11:GN40" si="114">+JG11</f>
        <v>0</v>
      </c>
      <c r="GO11" s="1736">
        <f t="shared" si="46"/>
        <v>0</v>
      </c>
      <c r="GP11" s="141"/>
      <c r="GQ11" s="141"/>
      <c r="GR11" s="33" t="s">
        <v>1106</v>
      </c>
      <c r="GS11" s="2667"/>
      <c r="GT11" s="1723">
        <f>SUMPRODUCT(('Data Base hauling'!$H$2:$H$2000="Trust")*(ISNUMBER(SEARCH(TEXT('September TCM'!$B11,"00")&amp;"/09/2026",'Data Base hauling'!$E$2:$E$2000)))*'Data Base hauling'!$N$2:$N$2000)</f>
        <v>0</v>
      </c>
      <c r="GU11" s="1723">
        <f>SUMPRODUCT(('Data Base hauling'!$H$2:$H$2000="MPE")*(ISNUMBER(SEARCH(TEXT('September TCM'!$B11,"00")&amp;"/09/2026",'Data Base hauling'!$E$2:$E$2000)))*'Data Base hauling'!$N$2:$N$2000)</f>
        <v>0</v>
      </c>
      <c r="GV11" s="5">
        <f>SUMPRODUCT(('Data Base hauling'!$H$2:$H$2000="MPE")*(ISNUMBER(SEARCH(TEXT('September TCM'!$B11,"00")&amp;"/09/2026",'Data Base hauling'!$E$2:$E$2000)))*'Data Base hauling'!$N$2:$N$2000)</f>
        <v>0</v>
      </c>
      <c r="GW11" s="1723">
        <f>SUMPRODUCT(('Data Base hauling'!$H$2:$H$2000="RP")*(ISNUMBER(SEARCH(TEXT('September TCM'!$B11,"00")&amp;"/09/2026",'Data Base hauling'!$E$2:$E$2000)))*'Data Base hauling'!$N$2:$N$2000)</f>
        <v>0</v>
      </c>
      <c r="GX11" s="2544">
        <f t="shared" ref="GX11:GX40" si="115">SUM(GT11:GW11)</f>
        <v>0</v>
      </c>
      <c r="GY11" s="2667"/>
      <c r="GZ11" s="35">
        <f>SUMPRODUCT(('Data Base hauling'!$C$2:$C$2000="TCM-ROM NB-ROM 1")*(ISNUMBER(SEARCH(TEXT('September TCM'!$B11,"00")&amp;"/09/2026",'Data Base hauling'!$E$2:$E$2000)))*'Data Base hauling'!$N$2:$N$2000)</f>
        <v>0</v>
      </c>
      <c r="HA11" s="36"/>
      <c r="HB11" s="27"/>
      <c r="HC11" s="27"/>
      <c r="HD11" s="27"/>
      <c r="HE11" s="27"/>
      <c r="HF11" s="24">
        <f>SUMPRODUCT(('Data Base hauling'!$C$2:$C$2000="TCM-ROM NB-ROM 4")*(ISNUMBER(SEARCH(TEXT('September TCM'!$B11,"00")&amp;"/09/2026",'Data Base hauling'!$E$2:$E$2000)))*'Data Base hauling'!$N$2:$N$2000)</f>
        <v>0</v>
      </c>
      <c r="HG11" s="24"/>
      <c r="HH11" s="24">
        <f>SUMPRODUCT(('Data Base hauling'!$C$2:$C$2000="TCM-ROM NB-ROM 5")*(ISNUMBER(SEARCH(TEXT('September TCM'!$B11,"00")&amp;"/09/2026",'Data Base hauling'!$E$2:$E$2000)))*'Data Base hauling'!$N$2:$N$2000)</f>
        <v>0</v>
      </c>
      <c r="HI11" s="24"/>
      <c r="HJ11" s="24">
        <f>SUMPRODUCT(('Data Base hauling'!$C$2:$C$2000="TCM-ROM NB-ROM 6")*(ISNUMBER(SEARCH(TEXT('September TCM'!$B11,"00")&amp;"/09/2026",'Data Base hauling'!$E$2:$E$2000)))*'Data Base hauling'!$N$2:$N$2000)</f>
        <v>0</v>
      </c>
      <c r="HK11" s="24"/>
      <c r="HL11" s="24">
        <f>SUMPRODUCT(('Data Base hauling'!$C$2:$C$2000="TCM-WASH-CR3")*(ISNUMBER(SEARCH(TEXT('September TCM'!$B11,"00")&amp;"/09/2026",'Data Base hauling'!$E$2:$E$2000)))*'Data Base hauling'!$N$2:$N$2000)</f>
        <v>0</v>
      </c>
      <c r="HM11" s="27"/>
      <c r="HN11" s="28">
        <f t="shared" si="47"/>
        <v>0</v>
      </c>
      <c r="HO11" s="36"/>
      <c r="HP11" s="27"/>
      <c r="HQ11" s="27"/>
      <c r="HR11" s="27"/>
      <c r="HS11" s="27"/>
      <c r="HT11" s="27"/>
      <c r="HU11" s="27">
        <f t="array" ref="HU11">SUMPRODUCT(('Data Base hauling'!$C$2:$C$2000="TCM-ROM SB1 BK05-ROM 4")*(ISNUMBER(SEARCH(TEXT('September TCM'!$B11,"00")&amp;"/03/2026",'Data Base hauling'!$E$2:$E$2000)))*'Data Base hauling'!$N$2:$N$2000)</f>
        <v>0</v>
      </c>
      <c r="HV11" s="27"/>
      <c r="HW11" s="27">
        <f t="array" ref="HW11">SUMPRODUCT(('Data Base hauling'!$C$2:$C$2000="TCM-ROM SB1 BK05-ROM 5")*(ISNUMBER(SEARCH(TEXT('September TCM'!$B11,"00")&amp;"/03/2026",'Data Base hauling'!$E$2:$E$2000)))*'Data Base hauling'!$N$2:$N$2000)</f>
        <v>0</v>
      </c>
      <c r="HX11" s="27"/>
      <c r="HY11" s="27"/>
      <c r="HZ11" s="27"/>
      <c r="IA11" s="27"/>
      <c r="IB11" s="27"/>
      <c r="IC11" s="33">
        <f t="shared" si="48"/>
        <v>0</v>
      </c>
      <c r="ID11" s="52"/>
      <c r="IE11" s="152"/>
      <c r="IF11" s="53"/>
      <c r="IG11" s="53"/>
      <c r="IH11" s="53"/>
      <c r="II11" s="53"/>
      <c r="IJ11" s="1926">
        <f>SUMPRODUCT(('Data Base hauling'!$C$2:$C$2000="TCM-ROM SB1 BK05-ROM 4")*(ISNUMBER(SEARCH(TEXT('September TCM'!$B11,"00")&amp;"/09/2026",'Data Base hauling'!$E$2:$E$2000)))*'Data Base hauling'!$N$2:$N$2000)</f>
        <v>0</v>
      </c>
      <c r="IK11" s="1926"/>
      <c r="IL11" s="1926">
        <f>SUMPRODUCT(('Data Base hauling'!$C$2:$C$2000="TCM-ROM SB1 BK05-ROM 5")*(ISNUMBER(SEARCH(TEXT('September TCM'!$B11,"00")&amp;"/09/2026",'Data Base hauling'!$E$2:$E$2000)))*'Data Base hauling'!$N$2:$N$2000)</f>
        <v>0</v>
      </c>
      <c r="IM11" s="49"/>
      <c r="IN11" s="49">
        <f>SUMPRODUCT(('Data Base hauling'!$C$2:$C$2000="TCM-ROM SB1 BK05-ROM 6")*(ISNUMBER(SEARCH(TEXT('September TCM'!$B11,"00")&amp;"/09/2026",'Data Base hauling'!$E$2:$E$2000)))*'Data Base hauling'!$N$2:$N$2000)</f>
        <v>0</v>
      </c>
      <c r="IO11" s="49"/>
      <c r="IP11" s="49"/>
      <c r="IQ11" s="49">
        <f>SUMPRODUCT(('Data Base hauling'!$C$2:$C$2000="TCM-HAC1 (Production)-ROM 2(HAC)")*(ISNUMBER(SEARCH(TEXT('September TCM'!$B11,"00")&amp;"/09/2026",'Data Base hauling'!$E$2:$E$2000)))*'Data Base hauling'!$N$2:$N$2000)</f>
        <v>0</v>
      </c>
      <c r="IR11" s="2195">
        <f t="shared" si="49"/>
        <v>0</v>
      </c>
      <c r="IS11" s="36"/>
      <c r="IT11" s="36"/>
      <c r="IU11" s="27"/>
      <c r="IV11" s="27"/>
      <c r="IW11" s="53"/>
      <c r="IX11" s="27"/>
      <c r="IY11" s="24">
        <f>SUMPRODUCT(('Data Base hauling'!$C$2:$C$2000="TCM-ROM SB2 BK24-ROM 4")*(ISNUMBER(SEARCH(TEXT('September TCM'!$B11,"00")&amp;"/09/2026",'Data Base hauling'!$E$2:$E$2000)))*'Data Base hauling'!$N$2:$N$2000)</f>
        <v>0</v>
      </c>
      <c r="IZ11" s="24"/>
      <c r="JA11" s="24">
        <f>SUMPRODUCT(('Data Base hauling'!$C$2:$C$2000="TCM-ROM SB2 BK24-ROM 5")*(ISNUMBER(SEARCH(TEXT('September TCM'!$B11,"00")&amp;"/09/2026",'Data Base hauling'!$E$2:$E$2000)))*'Data Base hauling'!$N$2:$N$2000)</f>
        <v>0</v>
      </c>
      <c r="JB11" s="24"/>
      <c r="JC11" s="24">
        <f>SUMPRODUCT(('Data Base hauling'!$C$2:$C$2000="TCM-ROM SB2 BK24-ROM 6")*(ISNUMBER(SEARCH(TEXT('September TCM'!$B11,"00")&amp;"/09/2026",'Data Base hauling'!$E$2:$E$2000)))*'Data Base hauling'!$N$2:$N$2000)</f>
        <v>0</v>
      </c>
      <c r="JD11" s="27"/>
      <c r="JE11" s="27"/>
      <c r="JF11" s="27"/>
      <c r="JG11" s="33">
        <f>SUM(IS11:JF11)</f>
        <v>0</v>
      </c>
      <c r="JH11" s="2667"/>
      <c r="JJ11" s="2014">
        <f>SUMPRODUCT(('Data Base hauling'!$O$2:$O$2000="TCM.HCV.LS")*(ISNUMBER(SEARCH(TEXT('September TCM'!$B11,"00")&amp;"/09/2026",'Data Base hauling'!$E$2:$E$2000)))*'Data Base hauling'!$N$2:$N$2000)</f>
        <v>0</v>
      </c>
      <c r="JK11" s="2015">
        <f>SUMPRODUCT(('Data Base hauling'!$O$2:$O$2000="TCM.HCV.HS")*(ISNUMBER(SEARCH(TEXT('September TCM'!$B11,"00")&amp;"/09/2026",'Data Base hauling'!$E$2:$E$2000)))*'Data Base hauling'!$N$2:$N$2000)</f>
        <v>0</v>
      </c>
      <c r="JL11" s="53"/>
      <c r="JM11" s="1736">
        <f t="shared" si="51"/>
        <v>0</v>
      </c>
      <c r="JN11" s="33"/>
      <c r="JO11" s="2669"/>
      <c r="JP11" s="66" t="str">
        <f>IFERROR(SUMPRODUCT(('Data Base hauling'!$O$2:$O$2000="TCM.HCV.LS")*('Data Base hauling'!$C$2:$C$2000="TCM-ROM NB-ROM 1")*(ISNUMBER(SEARCH(TEXT('September TCM'!$B11,"00")&amp;"/09/2026",'Data Base hauling'!$E$2:$E$2000)))*'Data Base hauling'!$N$2:$N$2000)/'September TCM'!$JJ11,"")</f>
        <v/>
      </c>
      <c r="JQ11" s="67" t="str">
        <f>IFERROR(SUMPRODUCT(('Data Base hauling'!$O$2:$O$2000="TCM.HCV.LS")*('Data Base hauling'!$C$2:$C$2000="TCM-ROM NB-ROM 2")*(ISNUMBER(SEARCH(TEXT('September TCM'!$B11,"00")&amp;"/09/2026",'Data Base hauling'!$E$2:$E$2000)))*'Data Base hauling'!$N$2:$N$2000)/'September TCM'!$JJ11,"")</f>
        <v/>
      </c>
      <c r="JR11" s="67" t="str">
        <f>IFERROR(SUMPRODUCT(('Data Base hauling'!$O$2:$O$2000="TCM.HCV.LS")*('Data Base hauling'!$C$2:$C$2000="TCM-ROM NB-ROM 3")*(ISNUMBER(SEARCH(TEXT('September TCM'!$B11,"00")&amp;"/09/2026",'Data Base hauling'!$E$2:$E$2000)))*'Data Base hauling'!$N$2:$N$2000)/'September TCM'!$JJ11,"")</f>
        <v/>
      </c>
      <c r="JS11" s="67" t="str">
        <f>IFERROR(SUMPRODUCT(('Data Base hauling'!$O$2:$O$2000="TCM.HCV.LS")*('Data Base hauling'!$C$2:$C$2000="TCM-ROM SB1 BK05-ROM 4")*(ISNUMBER(SEARCH(TEXT('September TCM'!$B11,"00")&amp;"/09/2026",'Data Base hauling'!$E$2:$E$2000)))*'Data Base hauling'!$N$2:$N$2000)/'September TCM'!$JJ11,"")</f>
        <v/>
      </c>
      <c r="JT11" s="67" t="str">
        <f>IFERROR(SUMPRODUCT(('Data Base hauling'!$O$2:$O$2000="TCM.HCV.LS")*SIGN(('Data Base hauling'!$C$2:$C$2000="TCM-ROM NB-ROM 5")+('Data Base hauling'!$C$2:$C$2000="TCM-ROM SB1 BK05-ROM 5")+('Data Base hauling'!$C$2:$C$2000="TCM-ROM SB2 BK24-ROM 5"))*(ISNUMBER(SEARCH(TEXT('September TCM'!$B11,"00")&amp;"/09/2026",'Data Base hauling'!$E$2:$E$2000)))*'Data Base hauling'!$N$2:$N$2000)/'September TCM'!$JJ11,"")</f>
        <v/>
      </c>
      <c r="JU11" s="67" t="str">
        <f>IFERROR(SUMPRODUCT(('Data Base hauling'!$O$2:$O$2000="TCM.HCV.LS")*SIGN(('Data Base hauling'!$C$2:$C$2000="TCM-ROM NB-ROM 6")+('Data Base hauling'!$C$2:$C$2000="TCM-ROM SB1 BK05-ROM 6")+('Data Base hauling'!$C$2:$C$2000="TCM-ROM SB2 BK24-ROM 6"))*(ISNUMBER(SEARCH(TEXT('September TCM'!$B11,"00")&amp;"/09/2026",'Data Base hauling'!$E$2:$E$2000)))*'Data Base hauling'!$N$2:$N$2000)/'September TCM'!$JJ11,"")</f>
        <v/>
      </c>
      <c r="JV11" s="67" t="str">
        <f>IFERROR(SUMPRODUCT(('Data Base hauling'!$O$2:$O$2000="TCM.HCV.LS")*('Data Base hauling'!$C$2:$C$2000="TCM-WASH-CR3")*(ISNUMBER(SEARCH(TEXT('September TCM'!$B11,"00")&amp;"/09/2026",'Data Base hauling'!$E$2:$E$2000)))*'Data Base hauling'!$N$2:$N$2000)/'September TCM'!$JJ11,"")</f>
        <v/>
      </c>
      <c r="JW11" s="1921">
        <f>SUMPRODUCT(('Data Base hauling'!$O$2:$O$2000="TCM.HCV.LS")*('Data Base hauling'!$C$2:$C$2000="TCM-HAC-CR3")*(ISNUMBER(SEARCH(TEXT('September TCM'!$B11,"00")&amp;"/089/2026",'Data Base hauling'!$E$2:$E$2000)))*'Data Base hauling'!$N$2:$N$2000)</f>
        <v>0</v>
      </c>
      <c r="JX11" s="66" t="str">
        <f>IFERROR(SUMPRODUCT(('Data Base hauling'!$O$2:$O$2000="TCM.HCV.HS")*('Data Base hauling'!$C$2:$C$2000="TCM-ROM NB-ROM 1")*(ISNUMBER(SEARCH(TEXT('September TCM'!$B11,"00")&amp;"/09/2026",'Data Base hauling'!$E$2:$E$2000)))*'Data Base hauling'!$N$2:$N$2000)/'September TCM'!$JK11,"")</f>
        <v/>
      </c>
      <c r="JY11" s="67" t="str">
        <f>IFERROR(SUMPRODUCT(('Data Base hauling'!$O$2:$O$2000="TCM.HCV.HS")*('Data Base hauling'!$C$2:$C$2000="TCM-ROM NB-ROM 2")*(ISNUMBER(SEARCH(TEXT('September TCM'!$B11,"00")&amp;"/09/2026",'Data Base hauling'!$E$2:$E$2000)))*'Data Base hauling'!$N$2:$N$2000)/'September TCM'!$JK11,"")</f>
        <v/>
      </c>
      <c r="JZ11" s="67" t="str">
        <f>IFERROR(SUMPRODUCT(('Data Base hauling'!$O$2:$O$2000="TCM.HCV.HS")*('Data Base hauling'!$C$2:$C$2000="TCM-ROM NB-ROM 3")*(ISNUMBER(SEARCH(TEXT('September TCM'!$B11,"00")&amp;"/09/2026",'Data Base hauling'!$E$2:$E$2000)))*'Data Base hauling'!$N$2:$N$2000)/'September TCM'!$JK11,"")</f>
        <v/>
      </c>
      <c r="KA11" s="67" t="str">
        <f>IFERROR(SUMPRODUCT(('Data Base hauling'!$O$2:$O$2000="TCM.HCV.HS")*('Data Base hauling'!$C$2:$C$2000="TCM-ROM SB1 BK05-ROM 4")*(ISNUMBER(SEARCH(TEXT('September TCM'!$B11,"00")&amp;"/09/2026",'Data Base hauling'!$E$2:$E$2000)))*'Data Base hauling'!$N$2:$N$2000)/'September TCM'!$JK11,"")</f>
        <v/>
      </c>
      <c r="KB11" s="67" t="str">
        <f>IFERROR(SUMPRODUCT(('Data Base hauling'!$O$2:$O$2000="TCM.HCV.HS")*SIGN(('Data Base hauling'!$C$2:$C$2000="TCM-ROM NB-ROM 5")+('Data Base hauling'!$C$2:$C$2000="TCM-ROM SB1 BK05-ROM 5")+('Data Base hauling'!$C$2:$C$2000="TCM-ROM SB2 BK24-ROM 5"))*(ISNUMBER(SEARCH(TEXT('September TCM'!$B11,"00")&amp;"/09/2026",'Data Base hauling'!$E$2:$E$2000)))*'Data Base hauling'!$N$2:$N$2000)/'September TCM'!$JK11,"")</f>
        <v/>
      </c>
      <c r="KC11" s="67" t="str">
        <f>IFERROR(SUMPRODUCT(('Data Base hauling'!$O$2:$O$2000="TCM.HCV.HS")*SIGN(('Data Base hauling'!$C$2:$C$2000="TCM-ROM NB-ROM 6")+('Data Base hauling'!$C$2:$C$2000="TCM-ROM SB1 BK05-ROM 6")+('Data Base hauling'!$C$2:$C$2000="TCM-ROM SB2 BK24-ROM 6"))*(ISNUMBER(SEARCH(TEXT('September TCM'!$B11,"00")&amp;"/09/2026",'Data Base hauling'!$E$2:$E$2000)))*'Data Base hauling'!$N$2:$N$2000)/'September TCM'!$JK11,"")</f>
        <v/>
      </c>
      <c r="KD11" s="67" t="str">
        <f>IFERROR(SUMPRODUCT(('Data Base hauling'!$O$2:$O$2000="TCM.HCV.HS")*('Data Base hauling'!$C$2:$C$2000="TCM-WASH-CR3")*(ISNUMBER(SEARCH(TEXT('September TCM'!$B11,"00")&amp;"/09/2026",'Data Base hauling'!$E$2:$E$2000)))*'Data Base hauling'!$N$2:$N$2000)/'September TCM'!$JK11,"")</f>
        <v/>
      </c>
      <c r="KE11" s="68" t="str">
        <f>IFERROR(SUMPRODUCT(('Data Base hauling'!$O$2:$O$2000="TCM.HCV.HS")*('Data Base hauling'!$C$2:$C$2000="TCM-HAC-CR3")*(ISNUMBER(SEARCH(TEXT('September TCM'!$B11,"00")&amp;"/09/2026",'Data Base hauling'!$E$2:$E$2000)))*'Data Base hauling'!$N$2:$N$2000)/'September TCM'!$JK11,"")</f>
        <v/>
      </c>
      <c r="KF11" s="69"/>
      <c r="KG11" s="70"/>
      <c r="KH11" s="70"/>
      <c r="KI11" s="70"/>
      <c r="KJ11" s="70"/>
      <c r="KK11" s="70"/>
      <c r="KL11" s="70"/>
      <c r="KM11" s="70"/>
      <c r="KN11" s="33"/>
      <c r="KO11" s="2669"/>
      <c r="KP11" s="2203">
        <f>IFERROR(SUMPRODUCT((TCM.HCV.LS!$A$3:$A$58=DATE(2026,9,$B11))*(TCM.HCV.LS!$O$3:$O$58&gt;0)*TCM.HCV.LS!$C$3:$C$58*TCM.HCV.LS!$O$3:$O$58)/SUMPRODUCT((TCM.HCV.LS!$A$3:$A$58=DATE(2026,9,$B11))*(TCM.HCV.LS!$O$3:$O$58&gt;0)*TCM.HCV.LS!$C$3:$C$58),0)</f>
        <v>0</v>
      </c>
      <c r="KQ11" s="1721">
        <f>IFERROR(SUMPRODUCT((TCM.HCV.LS!$A$3:$A$58=DATE(2026,9,$B11))*(TCM.HCV.LS!$M$3:$M$58&gt;0)*TCM.HCV.LS!$C$3:$C$58*TCM.HCV.LS!$M$3:$M$58)/SUMPRODUCT((TCM.HCV.LS!$A$3:$A$58=DATE(2026,9,$B11))*(TCM.HCV.LS!$M$3:$M$58&gt;0)*TCM.HCV.LS!$C$3:$C$58),0)</f>
        <v>0</v>
      </c>
      <c r="KR11" s="1721">
        <f>IFERROR(SUMPRODUCT((TCM.HCV.LS!$A$3:$A$58=DATE(2026,9,$B11))*(TCM.HCV.LS!$G$3:$G$58&gt;0)*TCM.HCV.LS!$C$3:$C$58*TCM.HCV.LS!$G$3:$G$58)/SUMPRODUCT((TCM.HCV.LS!$A$3:$A$58=DATE(2026,9,$B11))*(TCM.HCV.LS!$G$3:$G$58&gt;0)*TCM.HCV.LS!$C$3:$C$58),0)</f>
        <v>0</v>
      </c>
      <c r="KS11" s="1721">
        <f>IFERROR(SUMPRODUCT((TCM.HCV.LS!$A$3:$A$58=DATE(2026,9,$B11))*(TCM.HCV.LS!$F$3:$F$58&gt;0)*TCM.HCV.LS!$C$3:$C$58*TCM.HCV.LS!$F$3:$F$58)/SUMPRODUCT((TCM.HCV.LS!$A$3:$A$58=DATE(2026,9,$B11))*(TCM.HCV.LS!$F$3:$F$58&gt;0)*TCM.HCV.LS!$C$3:$C$58),0)</f>
        <v>0</v>
      </c>
      <c r="KT11" s="1722">
        <f>IFERROR(SUMPRODUCT((TCM.HCV.LS!$A$3:$A$58=DATE(2026,9,$B11))*(TCM.HCV.LS!$E$3:$E$58&gt;0)*TCM.HCV.LS!$C$3:$C$58*TCM.HCV.LS!$E$3:$E$58)/SUMPRODUCT((TCM.HCV.LS!$A$3:$A$58=DATE(2026,9,$B11))*(TCM.HCV.LS!$E$3:$E$58&gt;0)*TCM.HCV.LS!$C$3:$C$58),0)</f>
        <v>0</v>
      </c>
      <c r="KU11" s="1958">
        <f>IFERROR(SUMPRODUCT((TCM.HCV.HS!$A$3:$A$84=DATE(2026,9,$B11))*(TCM.HCV.HS!$O$3:$O$84&gt;0)*TCM.HCV.HS!$C$3:$C$84*TCM.HCV.HS!$O$3:$O$84)/SUMPRODUCT((TCM.HCV.HS!$A$3:$A$84=DATE(2026,9,$B11))*(TCM.HCV.HS!$O$3:$O$84&gt;0)*TCM.HCV.HS!$C$3:$C$84),0)</f>
        <v>0</v>
      </c>
      <c r="KV11" s="1961">
        <f>IFERROR(SUMPRODUCT((TCM.HCV.HS!$A$3:$A$84=DATE(2026,9,$B11))*(TCM.HCV.HS!$M$3:$M$84&gt;0)*TCM.HCV.HS!$C$3:$C$84*TCM.HCV.HS!$M$3:$M$84)/SUMPRODUCT((TCM.HCV.HS!$A$3:$A$84=DATE(2026,9,$B11))*(TCM.HCV.HS!$M$3:$M$84&gt;0)*TCM.HCV.HS!$C$3:$C$84),0)</f>
        <v>0</v>
      </c>
      <c r="KW11" s="1961">
        <f>IFERROR(SUMPRODUCT((TCM.HCV.HS!$A$3:$A$84=DATE(2026,9,$B11))*(TCM.HCV.HS!$G$3:$G$84&gt;0)*TCM.HCV.HS!$C$3:$C$84*TCM.HCV.HS!$G$3:$G$84)/SUMPRODUCT((TCM.HCV.HS!$A$3:$A$84=DATE(2026,9,$B11))*(TCM.HCV.HS!$G$3:$G$84&gt;0)*TCM.HCV.HS!$C$3:$C$84),0)</f>
        <v>0</v>
      </c>
      <c r="KX11" s="1961">
        <f>IFERROR(SUMPRODUCT((TCM.HCV.HS!$A$3:$A$84=DATE(2026,9,$B11))*(TCM.HCV.HS!$F$3:$F$84&gt;0)*TCM.HCV.HS!$C$3:$C$84*TCM.HCV.HS!$F$3:$F$84)/SUMPRODUCT((TCM.HCV.HS!$A$3:$A$84=DATE(2026,9,$B11))*(TCM.HCV.HS!$F$3:$F$84&gt;0)*TCM.HCV.HS!$C$3:$C$84),0)</f>
        <v>0</v>
      </c>
      <c r="KY11" s="1962">
        <f>IFERROR(SUMPRODUCT((TCM.HCV.HS!$A$3:$A$84=DATE(2026,9,$B11))*(TCM.HCV.HS!$E$3:$E$84&gt;0)*TCM.HCV.HS!$C$3:$C$84*TCM.HCV.HS!$E$3:$E$84)/SUMPRODUCT((TCM.HCV.HS!$A$3:$A$84=DATE(2026,9,$B11))*(TCM.HCV.HS!$E$3:$E$84&gt;0)*TCM.HCV.HS!$C$3:$C$84),0)</f>
        <v>0</v>
      </c>
      <c r="KZ11" s="36"/>
      <c r="LA11" s="53"/>
      <c r="LB11" s="53"/>
      <c r="LC11" s="53"/>
      <c r="LD11" s="53"/>
      <c r="LE11" s="33"/>
      <c r="LF11" s="2669"/>
      <c r="LH11" s="998">
        <f t="shared" si="52"/>
        <v>0</v>
      </c>
      <c r="LI11" s="27">
        <f t="shared" si="52"/>
        <v>0</v>
      </c>
      <c r="LJ11" s="27">
        <f t="shared" si="52"/>
        <v>0</v>
      </c>
      <c r="LK11" s="28">
        <f t="shared" si="53"/>
        <v>0</v>
      </c>
      <c r="LL11" s="36"/>
      <c r="LM11" s="27"/>
      <c r="LN11" s="27">
        <v>6</v>
      </c>
      <c r="LO11" s="33"/>
      <c r="LP11" s="1044">
        <v>0.3</v>
      </c>
      <c r="LQ11" s="1128" t="s">
        <v>1109</v>
      </c>
      <c r="LR11" s="2688"/>
      <c r="LS11" s="36"/>
      <c r="LT11" s="36"/>
      <c r="LU11" s="27"/>
      <c r="LV11" s="27"/>
      <c r="LW11" s="27"/>
      <c r="LX11" s="1117">
        <f>SUM(LS11:LW11)</f>
        <v>0</v>
      </c>
      <c r="LY11" s="36"/>
      <c r="LZ11" s="36"/>
      <c r="MA11" s="27"/>
      <c r="MB11" s="27"/>
      <c r="MC11" s="33"/>
      <c r="MD11" s="28">
        <f t="shared" si="55"/>
        <v>0</v>
      </c>
      <c r="ME11" s="26"/>
      <c r="MF11" s="36"/>
      <c r="MG11" s="27"/>
      <c r="MH11" s="27"/>
      <c r="MI11" s="27"/>
      <c r="MJ11" s="28"/>
      <c r="MK11" s="36"/>
      <c r="ML11" s="36"/>
      <c r="MM11" s="27"/>
      <c r="MN11" s="27"/>
      <c r="MO11" s="27"/>
      <c r="MP11" s="28"/>
      <c r="MQ11" s="36"/>
      <c r="MR11" s="36"/>
      <c r="MS11" s="27"/>
      <c r="MT11" s="27"/>
      <c r="MU11" s="27"/>
      <c r="MV11" s="33">
        <f t="shared" si="56"/>
        <v>0</v>
      </c>
      <c r="MW11" s="2688"/>
      <c r="MY11" s="26">
        <f t="shared" si="57"/>
        <v>355757.51766611252</v>
      </c>
      <c r="MZ11" s="27">
        <f t="shared" si="58"/>
        <v>198345.94302645116</v>
      </c>
      <c r="NA11" s="27">
        <f t="shared" si="59"/>
        <v>28132.583787707357</v>
      </c>
      <c r="NB11" s="28">
        <f t="shared" si="60"/>
        <v>326226.05035698001</v>
      </c>
      <c r="NC11" s="2621"/>
      <c r="ND11" s="23">
        <f t="shared" ref="ND11:ND40" si="116">+ND10+JJ11-LH11-LJ11</f>
        <v>195117.10680113197</v>
      </c>
      <c r="NE11" s="1655">
        <f t="shared" ref="NE11:NE40" si="117">+NE10+JK11-LI11</f>
        <v>160640.41086498057</v>
      </c>
      <c r="NF11" s="60">
        <f t="shared" si="63"/>
        <v>0</v>
      </c>
      <c r="NG11" s="275">
        <f t="shared" si="4"/>
        <v>355757.51766611252</v>
      </c>
      <c r="NH11" s="26">
        <f t="shared" si="64"/>
        <v>0</v>
      </c>
      <c r="NI11" s="27">
        <f t="shared" si="64"/>
        <v>0</v>
      </c>
      <c r="NJ11" s="27">
        <f t="shared" si="64"/>
        <v>0</v>
      </c>
      <c r="NK11" s="27">
        <f t="shared" si="64"/>
        <v>0</v>
      </c>
      <c r="NL11" s="27">
        <f t="shared" si="64"/>
        <v>0</v>
      </c>
      <c r="NM11" s="33">
        <f t="shared" si="64"/>
        <v>0</v>
      </c>
      <c r="NN11" s="280">
        <f t="shared" si="64"/>
        <v>0</v>
      </c>
      <c r="NO11" s="36">
        <f t="shared" si="64"/>
        <v>0</v>
      </c>
      <c r="NP11" s="24">
        <f t="shared" si="64"/>
        <v>26756.510136227243</v>
      </c>
      <c r="NQ11" s="27">
        <f t="shared" si="64"/>
        <v>22358.939343794715</v>
      </c>
      <c r="NR11" s="24">
        <f t="shared" ref="NR11:NR40" si="118">+NR10+EG11-GZ11</f>
        <v>8756.5482322711578</v>
      </c>
      <c r="NS11" s="24">
        <f t="shared" ref="NS11:NS40" si="119">+NS10+EQ11-HJ11</f>
        <v>4715.9680410535075</v>
      </c>
      <c r="NT11" s="27">
        <f t="shared" si="0"/>
        <v>62587.965753346623</v>
      </c>
      <c r="NU11" s="27">
        <f t="shared" si="65"/>
        <v>0</v>
      </c>
      <c r="NV11" s="27">
        <f t="shared" si="65"/>
        <v>0</v>
      </c>
      <c r="NW11" s="27">
        <f t="shared" si="65"/>
        <v>0</v>
      </c>
      <c r="NX11" s="27">
        <f t="shared" si="65"/>
        <v>0</v>
      </c>
      <c r="NY11" s="27">
        <f t="shared" si="65"/>
        <v>0</v>
      </c>
      <c r="NZ11" s="27">
        <f t="shared" si="65"/>
        <v>0</v>
      </c>
      <c r="OA11" s="27">
        <f t="shared" si="65"/>
        <v>23628.655564997225</v>
      </c>
      <c r="OB11" s="27">
        <f t="shared" si="65"/>
        <v>0</v>
      </c>
      <c r="OC11" s="27">
        <f t="shared" si="66"/>
        <v>28717.066475620366</v>
      </c>
      <c r="OD11" s="280"/>
      <c r="OE11" s="27">
        <f t="shared" ref="OE11:OE40" si="120">+OE10+DQ11-IO11</f>
        <v>13429.316718063665</v>
      </c>
      <c r="OF11" s="27">
        <f t="shared" si="67"/>
        <v>0</v>
      </c>
      <c r="OG11" s="27">
        <f t="shared" si="1"/>
        <v>65775.038758681258</v>
      </c>
      <c r="OH11" s="27">
        <f t="shared" si="68"/>
        <v>0</v>
      </c>
      <c r="OI11" s="27">
        <f t="shared" si="68"/>
        <v>0</v>
      </c>
      <c r="OJ11" s="27">
        <f t="shared" si="68"/>
        <v>0</v>
      </c>
      <c r="OK11" s="27">
        <f t="shared" si="68"/>
        <v>0</v>
      </c>
      <c r="OL11" s="27">
        <f t="shared" si="68"/>
        <v>0</v>
      </c>
      <c r="OM11" s="27">
        <f t="shared" si="68"/>
        <v>0</v>
      </c>
      <c r="ON11" s="24">
        <f t="shared" si="68"/>
        <v>0</v>
      </c>
      <c r="OO11" s="27">
        <f t="shared" si="68"/>
        <v>0</v>
      </c>
      <c r="OP11" s="24">
        <f t="shared" si="69"/>
        <v>53741.977649249813</v>
      </c>
      <c r="OQ11" s="27">
        <f t="shared" si="70"/>
        <v>0</v>
      </c>
      <c r="OR11" s="24">
        <f t="shared" si="70"/>
        <v>16240.960865173456</v>
      </c>
      <c r="OS11" s="27">
        <f t="shared" si="70"/>
        <v>0</v>
      </c>
      <c r="OT11" s="28">
        <f t="shared" si="2"/>
        <v>69982.938514423266</v>
      </c>
      <c r="OU11" s="36"/>
      <c r="OV11" s="27"/>
      <c r="OW11" s="27"/>
      <c r="OX11" s="27"/>
      <c r="OY11" s="27"/>
      <c r="OZ11" s="27"/>
      <c r="PA11" s="28">
        <f t="shared" si="71"/>
        <v>0</v>
      </c>
      <c r="PB11" s="36">
        <f t="shared" si="72"/>
        <v>0</v>
      </c>
      <c r="PC11" s="27">
        <f t="shared" si="73"/>
        <v>0</v>
      </c>
      <c r="PD11" s="27">
        <f t="shared" si="74"/>
        <v>0</v>
      </c>
      <c r="PE11" s="27">
        <f t="shared" si="75"/>
        <v>0</v>
      </c>
      <c r="PF11" s="24"/>
      <c r="PG11" s="27">
        <f t="shared" si="76"/>
        <v>0</v>
      </c>
      <c r="PH11" s="33">
        <f t="shared" si="3"/>
        <v>0</v>
      </c>
      <c r="PI11" s="2621"/>
      <c r="PK11" s="1907">
        <f>SUMPRODUCT(('Data Base Coal Wining'!$D$2:$D$2000="WASHING PLANT")*ISNUMBER(SEARCH(TEXT('September TCM'!$B11,"00")&amp;"/09/2026",'Data Base Coal Wining'!$E$2:$E$2000))*'Data Base Coal Wining'!$N$2:$N$2000)</f>
        <v>2996.4800000000005</v>
      </c>
      <c r="PL11" s="1101">
        <v>1332</v>
      </c>
      <c r="PM11" s="1101">
        <v>370</v>
      </c>
      <c r="PN11" s="3">
        <f t="shared" si="77"/>
        <v>0</v>
      </c>
      <c r="PO11" s="3">
        <f t="shared" si="78"/>
        <v>34967.413435124727</v>
      </c>
      <c r="PP11" s="11">
        <f t="shared" si="79"/>
        <v>28132.583787707357</v>
      </c>
      <c r="PQ11" s="15"/>
      <c r="PR11" s="2615"/>
      <c r="PT11" s="4"/>
      <c r="PU11" s="9"/>
      <c r="PV11" s="9"/>
      <c r="PW11" s="9"/>
      <c r="PX11" s="8">
        <f>SUMPRODUCT(('Data Base Coal Wining'!$D$2:$D$2000="TCM-ROM SB1 BK05-ROM 2 (HAC)")*('Data Base Coal Wining'!$G$2:$G$2000="Coal Winning")*ISNUMBER(SEARCH(TEXT('September TCM'!$B11,"00")&amp;"/09/2026",'Data Base Coal Wining'!$E$2:$E$2000))*'Data Base Coal Wining'!$N$2:$N$2000)</f>
        <v>0</v>
      </c>
      <c r="PY11" s="9"/>
      <c r="PZ11" s="8">
        <f t="shared" si="80"/>
        <v>0</v>
      </c>
      <c r="QA11" s="5">
        <f t="shared" si="81"/>
        <v>2996.4800000000005</v>
      </c>
      <c r="QB11" s="5"/>
      <c r="QC11" s="5"/>
      <c r="QD11" s="5"/>
      <c r="QE11" s="5"/>
      <c r="QF11" s="5"/>
      <c r="QG11" s="12"/>
      <c r="QH11" s="12">
        <f t="shared" si="82"/>
        <v>29562.488999999998</v>
      </c>
      <c r="QI11" s="420">
        <f t="shared" si="83"/>
        <v>291691.31090898003</v>
      </c>
      <c r="QJ11" s="1106">
        <f t="shared" ref="QJ11:QJ39" si="121">+QJ10+PY11-QF11</f>
        <v>4972.2504480000007</v>
      </c>
      <c r="QK11" s="484">
        <f t="shared" si="84"/>
        <v>5505.3678056099998</v>
      </c>
      <c r="QL11" s="12"/>
      <c r="QM11" s="2615"/>
      <c r="QO11" s="139" t="str">
        <f t="shared" si="85"/>
        <v/>
      </c>
      <c r="QP11" s="139" t="str">
        <f t="shared" si="86"/>
        <v/>
      </c>
      <c r="QR11" s="139" t="str">
        <f t="shared" si="87"/>
        <v/>
      </c>
      <c r="QS11" s="139" t="str">
        <f t="shared" si="88"/>
        <v/>
      </c>
      <c r="QU11" s="1">
        <f t="shared" si="89"/>
        <v>0</v>
      </c>
      <c r="QV11" s="1">
        <f t="shared" si="90"/>
        <v>0</v>
      </c>
      <c r="QW11" s="1">
        <f t="shared" si="91"/>
        <v>0</v>
      </c>
      <c r="QX11" s="1">
        <f t="shared" si="92"/>
        <v>0</v>
      </c>
      <c r="QY11" s="1">
        <f t="shared" si="93"/>
        <v>0</v>
      </c>
      <c r="QZ11" s="1">
        <f t="shared" si="94"/>
        <v>0</v>
      </c>
      <c r="RB11" s="1">
        <f t="shared" si="95"/>
        <v>0</v>
      </c>
      <c r="RC11" s="1">
        <f t="shared" si="96"/>
        <v>0</v>
      </c>
      <c r="RD11" s="1">
        <f t="shared" si="97"/>
        <v>0</v>
      </c>
      <c r="RE11" s="1">
        <f t="shared" si="98"/>
        <v>0</v>
      </c>
      <c r="RF11" s="1">
        <f t="shared" si="99"/>
        <v>0</v>
      </c>
      <c r="RG11" s="1">
        <f t="shared" si="100"/>
        <v>0</v>
      </c>
      <c r="RJ11" s="1">
        <v>2</v>
      </c>
      <c r="RK11" s="1">
        <f t="shared" si="101"/>
        <v>45424.161751083164</v>
      </c>
      <c r="RL11" s="1">
        <f t="shared" si="101"/>
        <v>3925.5835498622801</v>
      </c>
      <c r="RM11" s="1">
        <f t="shared" si="101"/>
        <v>9178.5689913333827</v>
      </c>
      <c r="RN11" s="89">
        <f t="shared" si="5"/>
        <v>58528.314292278832</v>
      </c>
      <c r="RO11" s="1033">
        <v>2</v>
      </c>
      <c r="RP11" s="1098">
        <v>0</v>
      </c>
      <c r="RQ11" s="1098">
        <f t="shared" si="102"/>
        <v>0</v>
      </c>
      <c r="RR11" s="1097">
        <f t="shared" si="102"/>
        <v>0</v>
      </c>
      <c r="RS11" s="1097">
        <f t="shared" si="103"/>
        <v>8791.84</v>
      </c>
      <c r="RT11" s="2420"/>
      <c r="RU11" s="2441" t="s">
        <v>1110</v>
      </c>
      <c r="RX11" s="421">
        <v>2</v>
      </c>
      <c r="RY11" s="1095">
        <f t="shared" si="104"/>
        <v>0</v>
      </c>
      <c r="RZ11" s="1096"/>
      <c r="SB11" s="1090"/>
      <c r="SC11" s="1090">
        <f t="shared" si="105"/>
        <v>0</v>
      </c>
      <c r="SD11" s="1090"/>
      <c r="SE11" s="1090">
        <f t="shared" si="106"/>
        <v>0</v>
      </c>
      <c r="SG11" s="1">
        <v>2</v>
      </c>
      <c r="SH11" s="1">
        <f t="shared" si="107"/>
        <v>0</v>
      </c>
      <c r="SI11" s="1094"/>
    </row>
    <row r="12" spans="1:503" s="1" customFormat="1">
      <c r="A12" s="1">
        <v>1630.7189913362533</v>
      </c>
      <c r="B12" s="471">
        <v>3</v>
      </c>
      <c r="C12" s="4">
        <f t="shared" si="108"/>
        <v>168294</v>
      </c>
      <c r="D12" s="1590">
        <f t="shared" si="109"/>
        <v>12107.04</v>
      </c>
      <c r="E12" s="1895">
        <f t="shared" si="6"/>
        <v>13.900507473337825</v>
      </c>
      <c r="F12" s="870"/>
      <c r="G12" s="870"/>
      <c r="H12" s="52"/>
      <c r="I12" s="61"/>
      <c r="J12" s="52"/>
      <c r="K12" s="54"/>
      <c r="L12" s="52"/>
      <c r="M12" s="61"/>
      <c r="N12" s="2629"/>
      <c r="O12" s="4">
        <f>+SUM(AQ12,BC12,AW12)</f>
        <v>101010</v>
      </c>
      <c r="P12" s="1225">
        <f t="shared" si="7"/>
        <v>6080.6400000000012</v>
      </c>
      <c r="Q12" s="1913">
        <f t="shared" si="8"/>
        <v>16.6117382380802</v>
      </c>
      <c r="R12" s="33"/>
      <c r="S12" s="26">
        <f t="shared" si="9"/>
        <v>36233</v>
      </c>
      <c r="T12" s="27">
        <f t="shared" si="110"/>
        <v>4262.3999999999987</v>
      </c>
      <c r="U12" s="1909">
        <f t="shared" si="10"/>
        <v>8.5006099849849868</v>
      </c>
      <c r="V12" s="28"/>
      <c r="W12" s="1742">
        <f t="shared" si="11"/>
        <v>25618</v>
      </c>
      <c r="X12" s="5">
        <f t="shared" si="11"/>
        <v>1764</v>
      </c>
      <c r="Y12" s="1909">
        <f t="shared" si="12"/>
        <v>14.522675736961451</v>
      </c>
      <c r="Z12" s="33"/>
      <c r="AA12" s="26">
        <f t="shared" si="13"/>
        <v>5433</v>
      </c>
      <c r="AB12" s="27">
        <f>BQ12+CC12</f>
        <v>0</v>
      </c>
      <c r="AC12" s="1909">
        <f t="shared" si="15"/>
        <v>0</v>
      </c>
      <c r="AD12" s="28"/>
      <c r="AE12" s="36"/>
      <c r="AF12" s="36"/>
      <c r="AG12" s="53">
        <f t="shared" si="16"/>
        <v>0</v>
      </c>
      <c r="AH12" s="28"/>
      <c r="AI12" s="23"/>
      <c r="AJ12" s="27"/>
      <c r="AK12" s="53">
        <f t="shared" si="17"/>
        <v>0</v>
      </c>
      <c r="AL12" s="28"/>
      <c r="AM12" s="2629"/>
      <c r="AN12" s="9"/>
      <c r="AO12" s="5"/>
      <c r="AP12" s="61">
        <f t="shared" si="18"/>
        <v>0</v>
      </c>
      <c r="AQ12" s="36"/>
      <c r="AR12" s="53"/>
      <c r="AS12" s="61">
        <f t="shared" si="19"/>
        <v>0</v>
      </c>
      <c r="AT12" s="36"/>
      <c r="AU12" s="27"/>
      <c r="AV12" s="54">
        <f t="shared" si="20"/>
        <v>0</v>
      </c>
      <c r="AW12" s="26">
        <v>58674</v>
      </c>
      <c r="AX12" s="280">
        <f>SUMPRODUCT(ISNUMBER(SEARCH("BK20",'Data Base Coal Wining'!$C$2:$C$2000))*ISNUMBER(SEARCH("P3000",'Data Base Coal Wining'!$C$2:$C$2000))*('Data Base Coal Wining'!$H$2:$H$2000="PAMA")*('Data Base Coal Wining'!$G$2:$G$2000="Coal Winning")*ISNUMBER(SEARCH(TEXT('September TCM'!$B12,"00")&amp;"/09/2026",'Data Base Coal Wining'!$E$2:$E$2000))*'Data Base Coal Wining'!$N$2:$N$2000)</f>
        <v>6080.6400000000012</v>
      </c>
      <c r="AY12" s="1735">
        <f t="shared" ref="AY12:AY17" si="122">IFERROR(AW12/AX12,0)</f>
        <v>9.6493132301862943</v>
      </c>
      <c r="AZ12" s="36"/>
      <c r="BA12" s="27"/>
      <c r="BB12" s="61">
        <f t="shared" si="21"/>
        <v>0</v>
      </c>
      <c r="BC12" s="1740">
        <v>42336</v>
      </c>
      <c r="BD12" s="2154">
        <f>SUMPRODUCT(ISNUMBER(SEARCH("BK30",'Data Base Coal Wining'!$C$2:$C$2000))*ISNUMBER(SEARCH("P3000",'Data Base Coal Wining'!$C$2:$C$2000))*('Data Base Coal Wining'!$H$2:$H$2000="PAMA")*('Data Base Coal Wining'!$G$2:$G$2000="Coal Winning")*ISNUMBER(SEARCH(TEXT('September TCM'!$B12,"00")&amp;"/09/2026",'Data Base Coal Wining'!$E$2:$E$2000))*'Data Base Coal Wining'!$N$2:$N$2000)</f>
        <v>0</v>
      </c>
      <c r="BE12" s="1735">
        <f t="shared" si="22"/>
        <v>0</v>
      </c>
      <c r="BF12" s="36"/>
      <c r="BG12" s="53"/>
      <c r="BH12" s="61">
        <f t="shared" si="23"/>
        <v>0</v>
      </c>
      <c r="BI12" s="36">
        <v>0</v>
      </c>
      <c r="BJ12" s="53">
        <v>0</v>
      </c>
      <c r="BK12" s="61">
        <f t="shared" si="24"/>
        <v>0</v>
      </c>
      <c r="BL12" s="1742">
        <v>36233</v>
      </c>
      <c r="BM12" s="2154">
        <f>SUMPRODUCT(ISNUMBER(SEARCH("BK26",'Data Base Coal Wining'!$C$2:$C$2000))*ISNUMBER(SEARCH("P4400",'Data Base Coal Wining'!$C$2:$C$2000))*('Data Base Coal Wining'!$H$2:$H$2000="MAP")*('Data Base Coal Wining'!$G$2:$G$2000="Coal Winning")*ISNUMBER(SEARCH(TEXT('September TCM'!$B12,"00")&amp;"/09/2026",'Data Base Coal Wining'!$E$2:$E$2000))*'Data Base Coal Wining'!$N$2:$N$2000)</f>
        <v>4262.3999999999987</v>
      </c>
      <c r="BN12" s="2170"/>
      <c r="BO12" s="1735">
        <f t="shared" si="25"/>
        <v>8.5006099849849868</v>
      </c>
      <c r="BP12" s="1125">
        <v>5433</v>
      </c>
      <c r="BQ12" s="2514">
        <f>SUMPRODUCT(ISNUMBER(SEARCH("BK34",'Data Base Coal Wining'!$C$2:$C$2000))*ISNUMBER(SEARCH("P4000",'Data Base Coal Wining'!$C$2:$C$2000))*('Data Base Coal Wining'!$H$2:$H$2000="PJPN")*('Data Base Coal Wining'!$G$2:$G$2000="Coal Winning")*ISNUMBER(SEARCH(TEXT('September TCM'!$B12,"00")&amp;"/09/2026",'Data Base Coal Wining'!$E$2:$E$2000))*'Data Base Coal Wining'!$N$2:$N$2000)</f>
        <v>0</v>
      </c>
      <c r="BR12" s="1735">
        <f t="shared" si="26"/>
        <v>0</v>
      </c>
      <c r="BS12" s="36"/>
      <c r="BT12" s="53"/>
      <c r="BU12" s="61">
        <f t="shared" si="27"/>
        <v>0</v>
      </c>
      <c r="BV12" s="36">
        <v>25618</v>
      </c>
      <c r="BW12" s="27">
        <v>1764</v>
      </c>
      <c r="BX12" s="1906">
        <f t="shared" si="28"/>
        <v>14.522675736961451</v>
      </c>
      <c r="BY12" s="26"/>
      <c r="BZ12" s="27"/>
      <c r="CA12" s="61">
        <f t="shared" si="29"/>
        <v>0</v>
      </c>
      <c r="CB12" s="36"/>
      <c r="CC12" s="5"/>
      <c r="CD12" s="482">
        <f t="shared" si="30"/>
        <v>0</v>
      </c>
      <c r="CE12" s="4"/>
      <c r="CF12" s="280"/>
      <c r="CG12" s="28">
        <f t="shared" si="31"/>
        <v>0</v>
      </c>
      <c r="CH12" s="150"/>
      <c r="CI12" s="4"/>
      <c r="CJ12" s="5"/>
      <c r="CK12" s="5">
        <v>10459</v>
      </c>
      <c r="CL12" s="5"/>
      <c r="CM12" s="5"/>
      <c r="CN12" s="3">
        <f t="shared" si="111"/>
        <v>10459</v>
      </c>
      <c r="CO12" s="33"/>
      <c r="CP12" s="366"/>
      <c r="CR12" s="4">
        <f t="shared" si="32"/>
        <v>0</v>
      </c>
      <c r="CS12" s="9">
        <f t="shared" si="32"/>
        <v>0</v>
      </c>
      <c r="CT12" s="5">
        <f t="shared" si="32"/>
        <v>0</v>
      </c>
      <c r="CU12" s="5">
        <f t="shared" si="32"/>
        <v>0</v>
      </c>
      <c r="CV12" s="5">
        <f t="shared" si="32"/>
        <v>0</v>
      </c>
      <c r="CW12" s="5">
        <f t="shared" si="32"/>
        <v>0</v>
      </c>
      <c r="CX12" s="488">
        <f t="shared" si="32"/>
        <v>6080.6400000000012</v>
      </c>
      <c r="CY12" s="5">
        <f t="shared" si="32"/>
        <v>0</v>
      </c>
      <c r="CZ12" s="5">
        <f t="shared" si="32"/>
        <v>6026.3999999999987</v>
      </c>
      <c r="DA12" s="5">
        <f t="shared" si="32"/>
        <v>0</v>
      </c>
      <c r="DB12" s="488">
        <f t="shared" si="32"/>
        <v>0</v>
      </c>
      <c r="DC12" s="12">
        <f t="shared" si="33"/>
        <v>0</v>
      </c>
      <c r="DD12" s="310">
        <f t="shared" si="34"/>
        <v>12107.04</v>
      </c>
      <c r="DE12" s="2695"/>
      <c r="DF12" s="8"/>
      <c r="DG12" s="9"/>
      <c r="DH12" s="5"/>
      <c r="DI12" s="5"/>
      <c r="DJ12" s="5"/>
      <c r="DK12" s="5"/>
      <c r="DL12" s="3">
        <f>SUMPRODUCT(('Data Base Coal Wining'!$D$2:$D$2000="TCM-ROM SB1 BK05-ROM 4")*('Data Base Coal Wining'!$G$2:$G$2000="Coal Winning")*ISNUMBER(SEARCH(TEXT('September TCM'!$B12,"00")&amp;"/09/2026",'Data Base Coal Wining'!$E$2:$E$2000))*'Data Base Coal Wining'!$N$2:$N$2000)</f>
        <v>6080.6400000000012</v>
      </c>
      <c r="DM12" s="5"/>
      <c r="DN12" s="3">
        <f>SUMPRODUCT(('Data Base Coal Wining'!$D$2:$D$2000="TCM-ROM SB1 BK05-ROM 5")*('Data Base Coal Wining'!$G$2:$G$2000="Coal Winning")*ISNUMBER(SEARCH(TEXT('September TCM'!$B12,"00")&amp;"/09/2026",'Data Base Coal Wining'!$E$2:$E$2000))*'Data Base Coal Wining'!$N$2:$N$2000)</f>
        <v>0</v>
      </c>
      <c r="DO12" s="5"/>
      <c r="DP12" s="3">
        <f>SUMPRODUCT(('Data Base Coal Wining'!$D$2:$D$2000="TCM-ROM SB1 BK05-ROM 6")*('Data Base Coal Wining'!$G$2:$G$2000="Coal Winning")*ISNUMBER(SEARCH(TEXT('September TCM'!$B12,"00")&amp;"/09/2026",'Data Base Coal Wining'!$E$2:$E$2000))*'Data Base Coal Wining'!$N$2:$N$2000)</f>
        <v>0</v>
      </c>
      <c r="DQ12" s="11">
        <f>SUMPRODUCT(('Data Base Coal Wining'!$D$2:$D$2000="TCM-ROM SB1 BK05-ROM 6.1")*('Data Base Coal Wining'!$G$2:$G$2000="Coal Winning")*ISNUMBER(SEARCH(TEXT('September TCM'!$B12,"00")&amp;"/09/2026",'Data Base Coal Wining'!$E$2:$E$2000))*'Data Base Coal Wining'!$N$2:$N$2000)</f>
        <v>0</v>
      </c>
      <c r="DR12" s="12"/>
      <c r="DS12" s="1906">
        <f t="shared" si="35"/>
        <v>6080.6400000000012</v>
      </c>
      <c r="DT12" s="36"/>
      <c r="DU12" s="36"/>
      <c r="DV12" s="27"/>
      <c r="DW12" s="27"/>
      <c r="DX12" s="5"/>
      <c r="DY12" s="5"/>
      <c r="DZ12" s="64"/>
      <c r="EA12" s="5"/>
      <c r="EB12" s="3">
        <f>SUMPRODUCT(('Data Base Coal Wining'!$D$2:$D$2000="TCM-ROM SB2 BK24-ROM 5")*('Data Base Coal Wining'!$G$2:$G$2000="Coal Winning")*ISNUMBER(SEARCH(TEXT('September TCM'!$B12,"00")&amp;"/09/2026",'Data Base Coal Wining'!$E$2:$E$2000))*'Data Base Coal Wining'!$N$2:$N$2000)</f>
        <v>4262.3999999999987</v>
      </c>
      <c r="EC12" s="53"/>
      <c r="ED12" s="24">
        <f>SUMPRODUCT(('Data Base Coal Wining'!$D$2:$D$2000="TCM-ROM SB2 BK24-ROM 6")*('Data Base Coal Wining'!$G$2:$G$2000="Coal Winning")*ISNUMBER(SEARCH(TEXT('September TCM'!$B12,"00")&amp;"/09/2026",'Data Base Coal Wining'!$E$2:$E$2000))*'Data Base Coal Wining'!$N$2:$N$2000)</f>
        <v>0</v>
      </c>
      <c r="EE12" s="33"/>
      <c r="EF12" s="28">
        <f t="shared" si="36"/>
        <v>4262.3999999999987</v>
      </c>
      <c r="EG12" s="9"/>
      <c r="EH12" s="9"/>
      <c r="EI12" s="491"/>
      <c r="EJ12" s="5"/>
      <c r="EK12" s="27"/>
      <c r="EL12" s="27"/>
      <c r="EM12" s="27"/>
      <c r="EN12" s="27"/>
      <c r="EO12" s="5">
        <v>1764</v>
      </c>
      <c r="EP12" s="5"/>
      <c r="EQ12" s="5"/>
      <c r="ER12" s="33"/>
      <c r="ES12" s="28">
        <f t="shared" si="37"/>
        <v>1764</v>
      </c>
      <c r="ET12" s="36"/>
      <c r="EU12" s="27"/>
      <c r="EV12" s="27"/>
      <c r="EW12" s="27"/>
      <c r="EX12" s="27"/>
      <c r="EY12" s="27"/>
      <c r="EZ12" s="33">
        <f t="shared" si="38"/>
        <v>0</v>
      </c>
      <c r="FA12" s="2685"/>
      <c r="FC12" s="4">
        <f t="shared" si="39"/>
        <v>0</v>
      </c>
      <c r="FD12" s="5">
        <f t="shared" si="40"/>
        <v>0</v>
      </c>
      <c r="FE12" s="5">
        <f t="shared" si="41"/>
        <v>0</v>
      </c>
      <c r="FF12" s="12">
        <f t="shared" si="42"/>
        <v>0</v>
      </c>
      <c r="FG12" s="33"/>
      <c r="FH12" s="2674"/>
      <c r="FI12" s="9"/>
      <c r="FJ12" s="5"/>
      <c r="FK12" s="5"/>
      <c r="FL12" s="5"/>
      <c r="FM12" s="5"/>
      <c r="FN12" s="27"/>
      <c r="FO12" s="28">
        <f t="shared" si="43"/>
        <v>0</v>
      </c>
      <c r="FP12" s="36"/>
      <c r="FQ12" s="27"/>
      <c r="FR12" s="27"/>
      <c r="FS12" s="27"/>
      <c r="FT12" s="27"/>
      <c r="FU12" s="27"/>
      <c r="FV12" s="28">
        <f t="shared" si="44"/>
        <v>0</v>
      </c>
      <c r="FW12" s="36"/>
      <c r="FX12" s="36"/>
      <c r="FY12" s="27"/>
      <c r="FZ12" s="27"/>
      <c r="GA12" s="27"/>
      <c r="GB12" s="27"/>
      <c r="GC12" s="27"/>
      <c r="GD12" s="27"/>
      <c r="GE12" s="24" cm="1">
        <f t="array" ref="GE12">SUMPRODUCT(('Data Base Coal Wining'!$C$2:$C$2000="TCM-ROM TEMPORARY SB2 KM 76-ROM HAC (S4700 Hard Ban)")*(ISNUMBER(SEARCH(TEXT('September TCM'!$B12,"00")&amp;"/08/2026",'Data Base Coal Wining'!$E$2:$E$2000)))*'Data Base Coal Wining'!$N$2:$N$2000)</f>
        <v>0</v>
      </c>
      <c r="GF12" s="27"/>
      <c r="GG12" s="27"/>
      <c r="GH12" s="33"/>
      <c r="GI12" s="33">
        <f t="shared" si="45"/>
        <v>0</v>
      </c>
      <c r="GJ12" s="2674"/>
      <c r="GL12" s="2">
        <f t="shared" si="112"/>
        <v>0</v>
      </c>
      <c r="GM12" s="63">
        <f t="shared" si="113"/>
        <v>0</v>
      </c>
      <c r="GN12" s="24">
        <f t="shared" si="114"/>
        <v>0</v>
      </c>
      <c r="GO12" s="1736">
        <f t="shared" si="46"/>
        <v>0</v>
      </c>
      <c r="GP12" s="141"/>
      <c r="GQ12" s="141"/>
      <c r="GR12" s="33" t="s">
        <v>1106</v>
      </c>
      <c r="GS12" s="2667"/>
      <c r="GT12" s="1723">
        <f>SUMPRODUCT(('Data Base hauling'!$H$2:$H$2000="Trust")*(ISNUMBER(SEARCH(TEXT('September TCM'!$B12,"00")&amp;"/09/2026",'Data Base hauling'!$E$2:$E$2000)))*'Data Base hauling'!$N$2:$N$2000)</f>
        <v>0</v>
      </c>
      <c r="GU12" s="1723">
        <f>SUMPRODUCT(('Data Base hauling'!$H$2:$H$2000="MPE")*(ISNUMBER(SEARCH(TEXT('September TCM'!$B12,"00")&amp;"/09/2026",'Data Base hauling'!$E$2:$E$2000)))*'Data Base hauling'!$N$2:$N$2000)</f>
        <v>0</v>
      </c>
      <c r="GV12" s="5">
        <f>SUMPRODUCT(('Data Base hauling'!$H$2:$H$2000="MPE")*(ISNUMBER(SEARCH(TEXT('September TCM'!$B12,"00")&amp;"/09/2026",'Data Base hauling'!$E$2:$E$2000)))*'Data Base hauling'!$N$2:$N$2000)</f>
        <v>0</v>
      </c>
      <c r="GW12" s="1723">
        <f>SUMPRODUCT(('Data Base hauling'!$H$2:$H$2000="RP")*(ISNUMBER(SEARCH(TEXT('September TCM'!$B12,"00")&amp;"/09/2026",'Data Base hauling'!$E$2:$E$2000)))*'Data Base hauling'!$N$2:$N$2000)</f>
        <v>0</v>
      </c>
      <c r="GX12" s="2544">
        <f t="shared" si="115"/>
        <v>0</v>
      </c>
      <c r="GY12" s="2667"/>
      <c r="GZ12" s="35">
        <f>SUMPRODUCT(('Data Base hauling'!$C$2:$C$2000="TCM-ROM NB-ROM 1")*(ISNUMBER(SEARCH(TEXT('September TCM'!$B12,"00")&amp;"/09/2026",'Data Base hauling'!$E$2:$E$2000)))*'Data Base hauling'!$N$2:$N$2000)</f>
        <v>0</v>
      </c>
      <c r="HA12" s="36"/>
      <c r="HB12" s="27"/>
      <c r="HC12" s="27"/>
      <c r="HD12" s="27"/>
      <c r="HE12" s="27"/>
      <c r="HF12" s="24">
        <f>SUMPRODUCT(('Data Base hauling'!$C$2:$C$2000="TCM-ROM NB-ROM 4")*(ISNUMBER(SEARCH(TEXT('September TCM'!$B12,"00")&amp;"/09/2026",'Data Base hauling'!$E$2:$E$2000)))*'Data Base hauling'!$N$2:$N$2000)</f>
        <v>0</v>
      </c>
      <c r="HG12" s="24"/>
      <c r="HH12" s="24">
        <f>SUMPRODUCT(('Data Base hauling'!$C$2:$C$2000="TCM-ROM NB-ROM 5")*(ISNUMBER(SEARCH(TEXT('September TCM'!$B12,"00")&amp;"/09/2026",'Data Base hauling'!$E$2:$E$2000)))*'Data Base hauling'!$N$2:$N$2000)</f>
        <v>0</v>
      </c>
      <c r="HI12" s="24"/>
      <c r="HJ12" s="24">
        <f>SUMPRODUCT(('Data Base hauling'!$C$2:$C$2000="TCM-ROM NB-ROM 6")*(ISNUMBER(SEARCH(TEXT('September TCM'!$B12,"00")&amp;"/09/2026",'Data Base hauling'!$E$2:$E$2000)))*'Data Base hauling'!$N$2:$N$2000)</f>
        <v>0</v>
      </c>
      <c r="HK12" s="24"/>
      <c r="HL12" s="24">
        <f>SUMPRODUCT(('Data Base hauling'!$C$2:$C$2000="TCM-WASH-CR3")*(ISNUMBER(SEARCH(TEXT('September TCM'!$B12,"00")&amp;"/09/2026",'Data Base hauling'!$E$2:$E$2000)))*'Data Base hauling'!$N$2:$N$2000)</f>
        <v>0</v>
      </c>
      <c r="HM12" s="27"/>
      <c r="HN12" s="28">
        <f t="shared" si="47"/>
        <v>0</v>
      </c>
      <c r="HO12" s="36"/>
      <c r="HP12" s="27"/>
      <c r="HQ12" s="27"/>
      <c r="HR12" s="27"/>
      <c r="HS12" s="27"/>
      <c r="HT12" s="27"/>
      <c r="HU12" s="27">
        <f t="array" ref="HU12">SUMPRODUCT(('Data Base hauling'!$C$2:$C$2000="TCM-ROM SB1 BK05-ROM 4")*(ISNUMBER(SEARCH(TEXT('September TCM'!$B12,"00")&amp;"/03/2026",'Data Base hauling'!$E$2:$E$2000)))*'Data Base hauling'!$N$2:$N$2000)</f>
        <v>0</v>
      </c>
      <c r="HV12" s="27"/>
      <c r="HW12" s="27">
        <f t="array" ref="HW12">SUMPRODUCT(('Data Base hauling'!$C$2:$C$2000="TCM-ROM SB1 BK05-ROM 5")*(ISNUMBER(SEARCH(TEXT('September TCM'!$B12,"00")&amp;"/03/2026",'Data Base hauling'!$E$2:$E$2000)))*'Data Base hauling'!$N$2:$N$2000)</f>
        <v>0</v>
      </c>
      <c r="HX12" s="27"/>
      <c r="HY12" s="27"/>
      <c r="HZ12" s="27"/>
      <c r="IA12" s="27"/>
      <c r="IB12" s="27"/>
      <c r="IC12" s="33">
        <f t="shared" si="48"/>
        <v>0</v>
      </c>
      <c r="ID12" s="52"/>
      <c r="IE12" s="152"/>
      <c r="IF12" s="53"/>
      <c r="IG12" s="53"/>
      <c r="IH12" s="53"/>
      <c r="II12" s="53"/>
      <c r="IJ12" s="1926">
        <f>SUMPRODUCT(('Data Base hauling'!$C$2:$C$2000="TCM-ROM SB1 BK05-ROM 4")*(ISNUMBER(SEARCH(TEXT('September TCM'!$B12,"00")&amp;"/09/2026",'Data Base hauling'!$E$2:$E$2000)))*'Data Base hauling'!$N$2:$N$2000)</f>
        <v>0</v>
      </c>
      <c r="IK12" s="1926"/>
      <c r="IL12" s="1926">
        <f>SUMPRODUCT(('Data Base hauling'!$C$2:$C$2000="TCM-ROM SB1 BK05-ROM 5")*(ISNUMBER(SEARCH(TEXT('September TCM'!$B12,"00")&amp;"/09/2026",'Data Base hauling'!$E$2:$E$2000)))*'Data Base hauling'!$N$2:$N$2000)</f>
        <v>0</v>
      </c>
      <c r="IM12" s="49"/>
      <c r="IN12" s="49">
        <f>SUMPRODUCT(('Data Base hauling'!$C$2:$C$2000="TCM-ROM SB1 BK05-ROM 6")*(ISNUMBER(SEARCH(TEXT('September TCM'!$B12,"00")&amp;"/09/2026",'Data Base hauling'!$E$2:$E$2000)))*'Data Base hauling'!$N$2:$N$2000)</f>
        <v>0</v>
      </c>
      <c r="IO12" s="49"/>
      <c r="IP12" s="49"/>
      <c r="IQ12" s="49">
        <f>SUMPRODUCT(('Data Base hauling'!$C$2:$C$2000="TCM-HAC1 (Production)-ROM 2(HAC)")*(ISNUMBER(SEARCH(TEXT('September TCM'!$B12,"00")&amp;"/09/2026",'Data Base hauling'!$E$2:$E$2000)))*'Data Base hauling'!$N$2:$N$2000)</f>
        <v>0</v>
      </c>
      <c r="IR12" s="2195">
        <f t="shared" si="49"/>
        <v>0</v>
      </c>
      <c r="IS12" s="36"/>
      <c r="IT12" s="36"/>
      <c r="IU12" s="27"/>
      <c r="IV12" s="27"/>
      <c r="IW12" s="53"/>
      <c r="IX12" s="27"/>
      <c r="IY12" s="24">
        <f>SUMPRODUCT(('Data Base hauling'!$C$2:$C$2000="TCM-ROM SB2 BK24-ROM 4")*(ISNUMBER(SEARCH(TEXT('September TCM'!$B12,"00")&amp;"/09/2026",'Data Base hauling'!$E$2:$E$2000)))*'Data Base hauling'!$N$2:$N$2000)</f>
        <v>0</v>
      </c>
      <c r="IZ12" s="24"/>
      <c r="JA12" s="24">
        <f>SUMPRODUCT(('Data Base hauling'!$C$2:$C$2000="TCM-ROM SB2 BK24-ROM 5")*(ISNUMBER(SEARCH(TEXT('September TCM'!$B12,"00")&amp;"/09/2026",'Data Base hauling'!$E$2:$E$2000)))*'Data Base hauling'!$N$2:$N$2000)</f>
        <v>0</v>
      </c>
      <c r="JB12" s="24"/>
      <c r="JC12" s="24">
        <f>SUMPRODUCT(('Data Base hauling'!$C$2:$C$2000="TCM-ROM SB2 BK24-ROM 6")*(ISNUMBER(SEARCH(TEXT('September TCM'!$B12,"00")&amp;"/09/2026",'Data Base hauling'!$E$2:$E$2000)))*'Data Base hauling'!$N$2:$N$2000)</f>
        <v>0</v>
      </c>
      <c r="JD12" s="27"/>
      <c r="JE12" s="27"/>
      <c r="JF12" s="27"/>
      <c r="JG12" s="33">
        <f t="shared" ref="JG12:JG16" si="123">SUM(IS12:JF12)</f>
        <v>0</v>
      </c>
      <c r="JH12" s="2667"/>
      <c r="JJ12" s="2014">
        <f>SUMPRODUCT(('Data Base hauling'!$O$2:$O$2000="TCM.HCV.LS")*(ISNUMBER(SEARCH(TEXT('September TCM'!$B12,"00")&amp;"/09/2026",'Data Base hauling'!$E$2:$E$2000)))*'Data Base hauling'!$N$2:$N$2000)</f>
        <v>0</v>
      </c>
      <c r="JK12" s="2015">
        <f>SUMPRODUCT(('Data Base hauling'!$O$2:$O$2000="TCM.HCV.HS")*(ISNUMBER(SEARCH(TEXT('September TCM'!$B12,"00")&amp;"/09/2026",'Data Base hauling'!$E$2:$E$2000)))*'Data Base hauling'!$N$2:$N$2000)</f>
        <v>0</v>
      </c>
      <c r="JL12" s="53"/>
      <c r="JM12" s="1736">
        <f t="shared" si="51"/>
        <v>0</v>
      </c>
      <c r="JN12" s="33"/>
      <c r="JO12" s="2669"/>
      <c r="JP12" s="66" t="str">
        <f>IFERROR(SUMPRODUCT(('Data Base hauling'!$O$2:$O$2000="TCM.HCV.LS")*('Data Base hauling'!$C$2:$C$2000="TCM-ROM NB-ROM 1")*(ISNUMBER(SEARCH(TEXT('September TCM'!$B12,"00")&amp;"/09/2026",'Data Base hauling'!$E$2:$E$2000)))*'Data Base hauling'!$N$2:$N$2000)/'September TCM'!$JJ12,"")</f>
        <v/>
      </c>
      <c r="JQ12" s="67" t="str">
        <f>IFERROR(SUMPRODUCT(('Data Base hauling'!$O$2:$O$2000="TCM.HCV.LS")*('Data Base hauling'!$C$2:$C$2000="TCM-ROM NB-ROM 2")*(ISNUMBER(SEARCH(TEXT('September TCM'!$B12,"00")&amp;"/09/2026",'Data Base hauling'!$E$2:$E$2000)))*'Data Base hauling'!$N$2:$N$2000)/'September TCM'!$JJ12,"")</f>
        <v/>
      </c>
      <c r="JR12" s="67" t="str">
        <f>IFERROR(SUMPRODUCT(('Data Base hauling'!$O$2:$O$2000="TCM.HCV.LS")*('Data Base hauling'!$C$2:$C$2000="TCM-ROM NB-ROM 3")*(ISNUMBER(SEARCH(TEXT('September TCM'!$B12,"00")&amp;"/09/2026",'Data Base hauling'!$E$2:$E$2000)))*'Data Base hauling'!$N$2:$N$2000)/'September TCM'!$JJ12,"")</f>
        <v/>
      </c>
      <c r="JS12" s="67" t="str">
        <f>IFERROR(SUMPRODUCT(('Data Base hauling'!$O$2:$O$2000="TCM.HCV.LS")*('Data Base hauling'!$C$2:$C$2000="TCM-ROM SB1 BK05-ROM 4")*(ISNUMBER(SEARCH(TEXT('September TCM'!$B12,"00")&amp;"/09/2026",'Data Base hauling'!$E$2:$E$2000)))*'Data Base hauling'!$N$2:$N$2000)/'September TCM'!$JJ12,"")</f>
        <v/>
      </c>
      <c r="JT12" s="67" t="str">
        <f>IFERROR(SUMPRODUCT(('Data Base hauling'!$O$2:$O$2000="TCM.HCV.LS")*SIGN(('Data Base hauling'!$C$2:$C$2000="TCM-ROM NB-ROM 5")+('Data Base hauling'!$C$2:$C$2000="TCM-ROM SB1 BK05-ROM 5")+('Data Base hauling'!$C$2:$C$2000="TCM-ROM SB2 BK24-ROM 5"))*(ISNUMBER(SEARCH(TEXT('September TCM'!$B12,"00")&amp;"/09/2026",'Data Base hauling'!$E$2:$E$2000)))*'Data Base hauling'!$N$2:$N$2000)/'September TCM'!$JJ12,"")</f>
        <v/>
      </c>
      <c r="JU12" s="67" t="str">
        <f>IFERROR(SUMPRODUCT(('Data Base hauling'!$O$2:$O$2000="TCM.HCV.LS")*SIGN(('Data Base hauling'!$C$2:$C$2000="TCM-ROM NB-ROM 6")+('Data Base hauling'!$C$2:$C$2000="TCM-ROM SB1 BK05-ROM 6")+('Data Base hauling'!$C$2:$C$2000="TCM-ROM SB2 BK24-ROM 6"))*(ISNUMBER(SEARCH(TEXT('September TCM'!$B12,"00")&amp;"/09/2026",'Data Base hauling'!$E$2:$E$2000)))*'Data Base hauling'!$N$2:$N$2000)/'September TCM'!$JJ12,"")</f>
        <v/>
      </c>
      <c r="JV12" s="67" t="str">
        <f>IFERROR(SUMPRODUCT(('Data Base hauling'!$O$2:$O$2000="TCM.HCV.LS")*('Data Base hauling'!$C$2:$C$2000="TCM-WASH-CR3")*(ISNUMBER(SEARCH(TEXT('September TCM'!$B12,"00")&amp;"/09/2026",'Data Base hauling'!$E$2:$E$2000)))*'Data Base hauling'!$N$2:$N$2000)/'September TCM'!$JJ12,"")</f>
        <v/>
      </c>
      <c r="JW12" s="1921">
        <f>SUMPRODUCT(('Data Base hauling'!$O$2:$O$2000="TCM.HCV.LS")*('Data Base hauling'!$C$2:$C$2000="TCM-HAC-CR3")*(ISNUMBER(SEARCH(TEXT('September TCM'!$B12,"00")&amp;"/089/2026",'Data Base hauling'!$E$2:$E$2000)))*'Data Base hauling'!$N$2:$N$2000)</f>
        <v>0</v>
      </c>
      <c r="JX12" s="66" t="str">
        <f>IFERROR(SUMPRODUCT(('Data Base hauling'!$O$2:$O$2000="TCM.HCV.HS")*('Data Base hauling'!$C$2:$C$2000="TCM-ROM NB-ROM 1")*(ISNUMBER(SEARCH(TEXT('September TCM'!$B12,"00")&amp;"/09/2026",'Data Base hauling'!$E$2:$E$2000)))*'Data Base hauling'!$N$2:$N$2000)/'September TCM'!$JK12,"")</f>
        <v/>
      </c>
      <c r="JY12" s="67" t="str">
        <f>IFERROR(SUMPRODUCT(('Data Base hauling'!$O$2:$O$2000="TCM.HCV.HS")*('Data Base hauling'!$C$2:$C$2000="TCM-ROM NB-ROM 2")*(ISNUMBER(SEARCH(TEXT('September TCM'!$B12,"00")&amp;"/09/2026",'Data Base hauling'!$E$2:$E$2000)))*'Data Base hauling'!$N$2:$N$2000)/'September TCM'!$JK12,"")</f>
        <v/>
      </c>
      <c r="JZ12" s="67" t="str">
        <f>IFERROR(SUMPRODUCT(('Data Base hauling'!$O$2:$O$2000="TCM.HCV.HS")*('Data Base hauling'!$C$2:$C$2000="TCM-ROM NB-ROM 3")*(ISNUMBER(SEARCH(TEXT('September TCM'!$B12,"00")&amp;"/09/2026",'Data Base hauling'!$E$2:$E$2000)))*'Data Base hauling'!$N$2:$N$2000)/'September TCM'!$JK12,"")</f>
        <v/>
      </c>
      <c r="KA12" s="67" t="str">
        <f>IFERROR(SUMPRODUCT(('Data Base hauling'!$O$2:$O$2000="TCM.HCV.HS")*('Data Base hauling'!$C$2:$C$2000="TCM-ROM SB1 BK05-ROM 4")*(ISNUMBER(SEARCH(TEXT('September TCM'!$B12,"00")&amp;"/09/2026",'Data Base hauling'!$E$2:$E$2000)))*'Data Base hauling'!$N$2:$N$2000)/'September TCM'!$JK12,"")</f>
        <v/>
      </c>
      <c r="KB12" s="67" t="str">
        <f>IFERROR(SUMPRODUCT(('Data Base hauling'!$O$2:$O$2000="TCM.HCV.HS")*SIGN(('Data Base hauling'!$C$2:$C$2000="TCM-ROM NB-ROM 5")+('Data Base hauling'!$C$2:$C$2000="TCM-ROM SB1 BK05-ROM 5")+('Data Base hauling'!$C$2:$C$2000="TCM-ROM SB2 BK24-ROM 5"))*(ISNUMBER(SEARCH(TEXT('September TCM'!$B12,"00")&amp;"/09/2026",'Data Base hauling'!$E$2:$E$2000)))*'Data Base hauling'!$N$2:$N$2000)/'September TCM'!$JK12,"")</f>
        <v/>
      </c>
      <c r="KC12" s="67" t="str">
        <f>IFERROR(SUMPRODUCT(('Data Base hauling'!$O$2:$O$2000="TCM.HCV.HS")*SIGN(('Data Base hauling'!$C$2:$C$2000="TCM-ROM NB-ROM 6")+('Data Base hauling'!$C$2:$C$2000="TCM-ROM SB1 BK05-ROM 6")+('Data Base hauling'!$C$2:$C$2000="TCM-ROM SB2 BK24-ROM 6"))*(ISNUMBER(SEARCH(TEXT('September TCM'!$B12,"00")&amp;"/09/2026",'Data Base hauling'!$E$2:$E$2000)))*'Data Base hauling'!$N$2:$N$2000)/'September TCM'!$JK12,"")</f>
        <v/>
      </c>
      <c r="KD12" s="67" t="str">
        <f>IFERROR(SUMPRODUCT(('Data Base hauling'!$O$2:$O$2000="TCM.HCV.HS")*('Data Base hauling'!$C$2:$C$2000="TCM-WASH-CR3")*(ISNUMBER(SEARCH(TEXT('September TCM'!$B12,"00")&amp;"/09/2026",'Data Base hauling'!$E$2:$E$2000)))*'Data Base hauling'!$N$2:$N$2000)/'September TCM'!$JK12,"")</f>
        <v/>
      </c>
      <c r="KE12" s="68" t="str">
        <f>IFERROR(SUMPRODUCT(('Data Base hauling'!$O$2:$O$2000="TCM.HCV.HS")*('Data Base hauling'!$C$2:$C$2000="TCM-HAC-CR3")*(ISNUMBER(SEARCH(TEXT('September TCM'!$B12,"00")&amp;"/09/2026",'Data Base hauling'!$E$2:$E$2000)))*'Data Base hauling'!$N$2:$N$2000)/'September TCM'!$JK12,"")</f>
        <v/>
      </c>
      <c r="KF12" s="69"/>
      <c r="KG12" s="70"/>
      <c r="KH12" s="70"/>
      <c r="KI12" s="70"/>
      <c r="KJ12" s="70"/>
      <c r="KK12" s="70"/>
      <c r="KL12" s="70"/>
      <c r="KM12" s="70"/>
      <c r="KN12" s="33"/>
      <c r="KO12" s="2669"/>
      <c r="KP12" s="2203">
        <f>IFERROR(SUMPRODUCT((TCM.HCV.LS!$A$3:$A$58=DATE(2026,9,$B12))*(TCM.HCV.LS!$O$3:$O$58&gt;0)*TCM.HCV.LS!$C$3:$C$58*TCM.HCV.LS!$O$3:$O$58)/SUMPRODUCT((TCM.HCV.LS!$A$3:$A$58=DATE(2026,9,$B12))*(TCM.HCV.LS!$O$3:$O$58&gt;0)*TCM.HCV.LS!$C$3:$C$58),0)</f>
        <v>0</v>
      </c>
      <c r="KQ12" s="1721">
        <f>IFERROR(SUMPRODUCT((TCM.HCV.LS!$A$3:$A$58=DATE(2026,9,$B12))*(TCM.HCV.LS!$M$3:$M$58&gt;0)*TCM.HCV.LS!$C$3:$C$58*TCM.HCV.LS!$M$3:$M$58)/SUMPRODUCT((TCM.HCV.LS!$A$3:$A$58=DATE(2026,9,$B12))*(TCM.HCV.LS!$M$3:$M$58&gt;0)*TCM.HCV.LS!$C$3:$C$58),0)</f>
        <v>0</v>
      </c>
      <c r="KR12" s="1721">
        <f>IFERROR(SUMPRODUCT((TCM.HCV.LS!$A$3:$A$58=DATE(2026,9,$B12))*(TCM.HCV.LS!$G$3:$G$58&gt;0)*TCM.HCV.LS!$C$3:$C$58*TCM.HCV.LS!$G$3:$G$58)/SUMPRODUCT((TCM.HCV.LS!$A$3:$A$58=DATE(2026,9,$B12))*(TCM.HCV.LS!$G$3:$G$58&gt;0)*TCM.HCV.LS!$C$3:$C$58),0)</f>
        <v>0</v>
      </c>
      <c r="KS12" s="1721">
        <f>IFERROR(SUMPRODUCT((TCM.HCV.LS!$A$3:$A$58=DATE(2026,9,$B12))*(TCM.HCV.LS!$F$3:$F$58&gt;0)*TCM.HCV.LS!$C$3:$C$58*TCM.HCV.LS!$F$3:$F$58)/SUMPRODUCT((TCM.HCV.LS!$A$3:$A$58=DATE(2026,9,$B12))*(TCM.HCV.LS!$F$3:$F$58&gt;0)*TCM.HCV.LS!$C$3:$C$58),0)</f>
        <v>0</v>
      </c>
      <c r="KT12" s="1722">
        <f>IFERROR(SUMPRODUCT((TCM.HCV.LS!$A$3:$A$58=DATE(2026,9,$B12))*(TCM.HCV.LS!$E$3:$E$58&gt;0)*TCM.HCV.LS!$C$3:$C$58*TCM.HCV.LS!$E$3:$E$58)/SUMPRODUCT((TCM.HCV.LS!$A$3:$A$58=DATE(2026,9,$B12))*(TCM.HCV.LS!$E$3:$E$58&gt;0)*TCM.HCV.LS!$C$3:$C$58),0)</f>
        <v>0</v>
      </c>
      <c r="KU12" s="1958">
        <f>IFERROR(SUMPRODUCT((TCM.HCV.HS!$A$3:$A$84=DATE(2026,9,$B12))*(TCM.HCV.HS!$O$3:$O$84&gt;0)*TCM.HCV.HS!$C$3:$C$84*TCM.HCV.HS!$O$3:$O$84)/SUMPRODUCT((TCM.HCV.HS!$A$3:$A$84=DATE(2026,9,$B12))*(TCM.HCV.HS!$O$3:$O$84&gt;0)*TCM.HCV.HS!$C$3:$C$84),0)</f>
        <v>0</v>
      </c>
      <c r="KV12" s="1961">
        <f>IFERROR(SUMPRODUCT((TCM.HCV.HS!$A$3:$A$84=DATE(2026,9,$B12))*(TCM.HCV.HS!$M$3:$M$84&gt;0)*TCM.HCV.HS!$C$3:$C$84*TCM.HCV.HS!$M$3:$M$84)/SUMPRODUCT((TCM.HCV.HS!$A$3:$A$84=DATE(2026,9,$B12))*(TCM.HCV.HS!$M$3:$M$84&gt;0)*TCM.HCV.HS!$C$3:$C$84),0)</f>
        <v>0</v>
      </c>
      <c r="KW12" s="1961">
        <f>IFERROR(SUMPRODUCT((TCM.HCV.HS!$A$3:$A$84=DATE(2026,9,$B12))*(TCM.HCV.HS!$G$3:$G$84&gt;0)*TCM.HCV.HS!$C$3:$C$84*TCM.HCV.HS!$G$3:$G$84)/SUMPRODUCT((TCM.HCV.HS!$A$3:$A$84=DATE(2026,9,$B12))*(TCM.HCV.HS!$G$3:$G$84&gt;0)*TCM.HCV.HS!$C$3:$C$84),0)</f>
        <v>0</v>
      </c>
      <c r="KX12" s="1961">
        <f>IFERROR(SUMPRODUCT((TCM.HCV.HS!$A$3:$A$84=DATE(2026,9,$B12))*(TCM.HCV.HS!$F$3:$F$84&gt;0)*TCM.HCV.HS!$C$3:$C$84*TCM.HCV.HS!$F$3:$F$84)/SUMPRODUCT((TCM.HCV.HS!$A$3:$A$84=DATE(2026,9,$B12))*(TCM.HCV.HS!$F$3:$F$84&gt;0)*TCM.HCV.HS!$C$3:$C$84),0)</f>
        <v>0</v>
      </c>
      <c r="KY12" s="1962">
        <f>IFERROR(SUMPRODUCT((TCM.HCV.HS!$A$3:$A$84=DATE(2026,9,$B12))*(TCM.HCV.HS!$E$3:$E$84&gt;0)*TCM.HCV.HS!$C$3:$C$84*TCM.HCV.HS!$E$3:$E$84)/SUMPRODUCT((TCM.HCV.HS!$A$3:$A$84=DATE(2026,9,$B12))*(TCM.HCV.HS!$E$3:$E$84&gt;0)*TCM.HCV.HS!$C$3:$C$84),0)</f>
        <v>0</v>
      </c>
      <c r="KZ12" s="36"/>
      <c r="LA12" s="53"/>
      <c r="LB12" s="53"/>
      <c r="LC12" s="53"/>
      <c r="LD12" s="53"/>
      <c r="LE12" s="33"/>
      <c r="LF12" s="2669"/>
      <c r="LH12" s="998">
        <f t="shared" si="52"/>
        <v>0</v>
      </c>
      <c r="LI12" s="27">
        <f t="shared" si="52"/>
        <v>0</v>
      </c>
      <c r="LJ12" s="27">
        <f t="shared" si="52"/>
        <v>0</v>
      </c>
      <c r="LK12" s="28">
        <f t="shared" si="53"/>
        <v>0</v>
      </c>
      <c r="LL12" s="36"/>
      <c r="LM12" s="27"/>
      <c r="LN12" s="27">
        <v>8</v>
      </c>
      <c r="LO12" s="33"/>
      <c r="LP12" s="1041">
        <v>0.19</v>
      </c>
      <c r="LQ12" s="486" t="s">
        <v>1109</v>
      </c>
      <c r="LR12" s="2688"/>
      <c r="LS12" s="36"/>
      <c r="LT12" s="27"/>
      <c r="LU12" s="27"/>
      <c r="LV12" s="27"/>
      <c r="LW12" s="27"/>
      <c r="LX12" s="1117">
        <f t="shared" ref="LX12:LX15" si="124">SUM(LS12:LW12)</f>
        <v>0</v>
      </c>
      <c r="LY12" s="36"/>
      <c r="LZ12" s="36"/>
      <c r="MA12" s="27"/>
      <c r="MB12" s="27"/>
      <c r="MC12" s="33"/>
      <c r="MD12" s="28">
        <f t="shared" si="55"/>
        <v>0</v>
      </c>
      <c r="ME12" s="26"/>
      <c r="MF12" s="36"/>
      <c r="MG12" s="27"/>
      <c r="MH12" s="27"/>
      <c r="MI12" s="27"/>
      <c r="MJ12" s="28"/>
      <c r="MK12" s="36"/>
      <c r="ML12" s="36"/>
      <c r="MM12" s="27"/>
      <c r="MN12" s="27"/>
      <c r="MO12" s="27"/>
      <c r="MP12" s="28"/>
      <c r="MQ12" s="36"/>
      <c r="MR12" s="36"/>
      <c r="MS12" s="27"/>
      <c r="MT12" s="27"/>
      <c r="MU12" s="27"/>
      <c r="MV12" s="33">
        <f t="shared" si="56"/>
        <v>0</v>
      </c>
      <c r="MW12" s="2688"/>
      <c r="MY12" s="26">
        <f t="shared" si="57"/>
        <v>355757.51766611252</v>
      </c>
      <c r="MZ12" s="27">
        <f t="shared" si="58"/>
        <v>210452.98302645114</v>
      </c>
      <c r="NA12" s="27">
        <f t="shared" si="59"/>
        <v>28388.833787707357</v>
      </c>
      <c r="NB12" s="28">
        <f t="shared" si="60"/>
        <v>323232.25035698002</v>
      </c>
      <c r="NC12" s="2621"/>
      <c r="ND12" s="23">
        <f t="shared" si="116"/>
        <v>195117.10680113197</v>
      </c>
      <c r="NE12" s="1655">
        <f t="shared" si="117"/>
        <v>160640.41086498057</v>
      </c>
      <c r="NF12" s="60">
        <f t="shared" si="63"/>
        <v>0</v>
      </c>
      <c r="NG12" s="275">
        <f t="shared" si="4"/>
        <v>355757.51766611252</v>
      </c>
      <c r="NH12" s="26">
        <f t="shared" si="64"/>
        <v>0</v>
      </c>
      <c r="NI12" s="27">
        <f t="shared" si="64"/>
        <v>0</v>
      </c>
      <c r="NJ12" s="27">
        <f t="shared" si="64"/>
        <v>0</v>
      </c>
      <c r="NK12" s="27">
        <f t="shared" si="64"/>
        <v>0</v>
      </c>
      <c r="NL12" s="27">
        <f t="shared" si="64"/>
        <v>0</v>
      </c>
      <c r="NM12" s="33">
        <f t="shared" si="64"/>
        <v>0</v>
      </c>
      <c r="NN12" s="27">
        <f t="shared" si="64"/>
        <v>0</v>
      </c>
      <c r="NO12" s="36">
        <f t="shared" si="64"/>
        <v>0</v>
      </c>
      <c r="NP12" s="24">
        <f t="shared" si="64"/>
        <v>28520.510136227243</v>
      </c>
      <c r="NQ12" s="27">
        <f t="shared" si="64"/>
        <v>22358.939343794715</v>
      </c>
      <c r="NR12" s="24">
        <f t="shared" si="118"/>
        <v>8756.5482322711578</v>
      </c>
      <c r="NS12" s="24">
        <f t="shared" si="119"/>
        <v>4715.9680410535075</v>
      </c>
      <c r="NT12" s="27">
        <f t="shared" si="0"/>
        <v>64351.965753346623</v>
      </c>
      <c r="NU12" s="27">
        <f t="shared" si="65"/>
        <v>0</v>
      </c>
      <c r="NV12" s="27">
        <f t="shared" si="65"/>
        <v>0</v>
      </c>
      <c r="NW12" s="27">
        <f t="shared" si="65"/>
        <v>0</v>
      </c>
      <c r="NX12" s="27">
        <f t="shared" si="65"/>
        <v>0</v>
      </c>
      <c r="NY12" s="27">
        <f t="shared" si="65"/>
        <v>0</v>
      </c>
      <c r="NZ12" s="27">
        <f t="shared" si="65"/>
        <v>0</v>
      </c>
      <c r="OA12" s="27">
        <f t="shared" si="65"/>
        <v>29709.295564997228</v>
      </c>
      <c r="OB12" s="27">
        <f t="shared" si="65"/>
        <v>0</v>
      </c>
      <c r="OC12" s="27">
        <f t="shared" si="66"/>
        <v>28717.066475620366</v>
      </c>
      <c r="OD12" s="280"/>
      <c r="OE12" s="27">
        <f t="shared" si="120"/>
        <v>13429.316718063665</v>
      </c>
      <c r="OF12" s="27">
        <f t="shared" si="67"/>
        <v>0</v>
      </c>
      <c r="OG12" s="28">
        <f t="shared" si="1"/>
        <v>71855.678758681257</v>
      </c>
      <c r="OH12" s="27">
        <f t="shared" si="68"/>
        <v>0</v>
      </c>
      <c r="OI12" s="27">
        <f t="shared" si="68"/>
        <v>0</v>
      </c>
      <c r="OJ12" s="27">
        <f t="shared" si="68"/>
        <v>0</v>
      </c>
      <c r="OK12" s="27">
        <f t="shared" si="68"/>
        <v>0</v>
      </c>
      <c r="OL12" s="27">
        <f t="shared" si="68"/>
        <v>0</v>
      </c>
      <c r="OM12" s="27">
        <f t="shared" si="68"/>
        <v>0</v>
      </c>
      <c r="ON12" s="24">
        <f t="shared" si="68"/>
        <v>0</v>
      </c>
      <c r="OO12" s="27">
        <f t="shared" si="68"/>
        <v>0</v>
      </c>
      <c r="OP12" s="24">
        <f t="shared" si="69"/>
        <v>58004.377649249815</v>
      </c>
      <c r="OQ12" s="27">
        <f t="shared" si="70"/>
        <v>0</v>
      </c>
      <c r="OR12" s="24">
        <f t="shared" si="70"/>
        <v>16240.960865173456</v>
      </c>
      <c r="OS12" s="27">
        <f t="shared" si="70"/>
        <v>0</v>
      </c>
      <c r="OT12" s="28">
        <f t="shared" si="2"/>
        <v>74245.338514423274</v>
      </c>
      <c r="OU12" s="36"/>
      <c r="OV12" s="27"/>
      <c r="OW12" s="27"/>
      <c r="OX12" s="27"/>
      <c r="OY12" s="27"/>
      <c r="OZ12" s="27"/>
      <c r="PA12" s="28">
        <f t="shared" si="71"/>
        <v>0</v>
      </c>
      <c r="PB12" s="36">
        <f t="shared" si="72"/>
        <v>0</v>
      </c>
      <c r="PC12" s="27">
        <f t="shared" si="73"/>
        <v>0</v>
      </c>
      <c r="PD12" s="27">
        <f t="shared" si="74"/>
        <v>0</v>
      </c>
      <c r="PE12" s="27">
        <f t="shared" si="75"/>
        <v>0</v>
      </c>
      <c r="PF12" s="24"/>
      <c r="PG12" s="27">
        <f t="shared" si="76"/>
        <v>0</v>
      </c>
      <c r="PH12" s="33">
        <f t="shared" si="3"/>
        <v>0</v>
      </c>
      <c r="PI12" s="2621"/>
      <c r="PK12" s="1907">
        <f>SUMPRODUCT(('Data Base Coal Wining'!$D$2:$D$2000="WASHING PLANT")*ISNUMBER(SEARCH(TEXT('September TCM'!$B12,"00")&amp;"/09/2026",'Data Base Coal Wining'!$E$2:$E$2000))*'Data Base Coal Wining'!$N$2:$N$2000)</f>
        <v>2993.8</v>
      </c>
      <c r="PL12" s="1101">
        <v>922.5</v>
      </c>
      <c r="PM12" s="1101">
        <v>256.25</v>
      </c>
      <c r="PN12" s="3">
        <f t="shared" si="77"/>
        <v>0</v>
      </c>
      <c r="PO12" s="3">
        <f t="shared" si="78"/>
        <v>37038.71343512473</v>
      </c>
      <c r="PP12" s="11">
        <f t="shared" si="79"/>
        <v>28388.833787707357</v>
      </c>
      <c r="PQ12" s="15"/>
      <c r="PR12" s="2615"/>
      <c r="PT12" s="4"/>
      <c r="PU12" s="9"/>
      <c r="PV12" s="9"/>
      <c r="PW12" s="9"/>
      <c r="PX12" s="8">
        <f>SUMPRODUCT(('Data Base Coal Wining'!$D$2:$D$2000="TCM-ROM SB1 BK05-ROM 2 (HAC)")*('Data Base Coal Wining'!$G$2:$G$2000="Coal Winning")*ISNUMBER(SEARCH(TEXT('September TCM'!$B12,"00")&amp;"/09/2026",'Data Base Coal Wining'!$E$2:$E$2000))*'Data Base Coal Wining'!$N$2:$N$2000)</f>
        <v>0</v>
      </c>
      <c r="PY12" s="9"/>
      <c r="PZ12" s="8">
        <f t="shared" si="80"/>
        <v>0</v>
      </c>
      <c r="QA12" s="5">
        <f t="shared" si="81"/>
        <v>2993.8</v>
      </c>
      <c r="QB12" s="5"/>
      <c r="QC12" s="5"/>
      <c r="QD12" s="5"/>
      <c r="QE12" s="5"/>
      <c r="QF12" s="5"/>
      <c r="QG12" s="12"/>
      <c r="QH12" s="12">
        <f t="shared" si="82"/>
        <v>29562.488999999998</v>
      </c>
      <c r="QI12" s="420">
        <f t="shared" si="83"/>
        <v>288697.51090898004</v>
      </c>
      <c r="QJ12" s="1106">
        <f t="shared" si="121"/>
        <v>4972.2504480000007</v>
      </c>
      <c r="QK12" s="484">
        <f t="shared" si="84"/>
        <v>5505.3678056099998</v>
      </c>
      <c r="QL12" s="12"/>
      <c r="QM12" s="2615"/>
      <c r="QO12" s="139" t="str">
        <f t="shared" si="85"/>
        <v/>
      </c>
      <c r="QP12" s="139" t="str">
        <f t="shared" si="86"/>
        <v/>
      </c>
      <c r="QR12" s="139" t="str">
        <f t="shared" si="87"/>
        <v/>
      </c>
      <c r="QS12" s="139" t="str">
        <f t="shared" si="88"/>
        <v/>
      </c>
      <c r="QU12" s="1">
        <f t="shared" si="89"/>
        <v>0</v>
      </c>
      <c r="QV12" s="1">
        <f t="shared" si="90"/>
        <v>0</v>
      </c>
      <c r="QW12" s="1">
        <f t="shared" si="91"/>
        <v>0</v>
      </c>
      <c r="QX12" s="1">
        <f t="shared" si="92"/>
        <v>0</v>
      </c>
      <c r="QY12" s="1">
        <f t="shared" si="93"/>
        <v>0</v>
      </c>
      <c r="QZ12" s="1">
        <f t="shared" si="94"/>
        <v>0</v>
      </c>
      <c r="RB12" s="1">
        <f t="shared" si="95"/>
        <v>0</v>
      </c>
      <c r="RC12" s="1">
        <f t="shared" si="96"/>
        <v>0</v>
      </c>
      <c r="RD12" s="1">
        <f t="shared" si="97"/>
        <v>0</v>
      </c>
      <c r="RE12" s="1">
        <f t="shared" si="98"/>
        <v>0</v>
      </c>
      <c r="RF12" s="1">
        <f t="shared" si="99"/>
        <v>0</v>
      </c>
      <c r="RG12" s="1">
        <f t="shared" si="100"/>
        <v>0</v>
      </c>
      <c r="RJ12" s="1">
        <v>3</v>
      </c>
      <c r="RK12" s="1">
        <f t="shared" si="101"/>
        <v>45424.161751083164</v>
      </c>
      <c r="RL12" s="1">
        <f t="shared" si="101"/>
        <v>3925.5835498622801</v>
      </c>
      <c r="RM12" s="1">
        <f t="shared" si="101"/>
        <v>9178.5689913333827</v>
      </c>
      <c r="RN12" s="89">
        <f t="shared" si="5"/>
        <v>58528.314292278832</v>
      </c>
      <c r="RO12" s="1033">
        <v>3</v>
      </c>
      <c r="RP12" s="1098">
        <v>0</v>
      </c>
      <c r="RQ12" s="1098">
        <f t="shared" si="102"/>
        <v>0</v>
      </c>
      <c r="RR12" s="1097">
        <f t="shared" si="102"/>
        <v>0</v>
      </c>
      <c r="RS12" s="1097">
        <f t="shared" si="103"/>
        <v>10343.040000000001</v>
      </c>
      <c r="RT12" s="2420"/>
      <c r="RU12" s="2420" t="s">
        <v>1111</v>
      </c>
      <c r="RX12" s="421">
        <v>3</v>
      </c>
      <c r="RY12" s="1095">
        <f t="shared" si="104"/>
        <v>0</v>
      </c>
      <c r="RZ12" s="1094"/>
      <c r="SB12" s="1090"/>
      <c r="SC12" s="1090">
        <f t="shared" si="105"/>
        <v>0</v>
      </c>
      <c r="SD12" s="1090"/>
      <c r="SE12" s="1090">
        <f t="shared" si="106"/>
        <v>0</v>
      </c>
      <c r="SG12" s="1">
        <v>3</v>
      </c>
      <c r="SH12" s="1">
        <f t="shared" si="107"/>
        <v>0</v>
      </c>
      <c r="SI12" s="1094"/>
    </row>
    <row r="13" spans="1:503" s="1" customFormat="1" ht="16.95" customHeight="1">
      <c r="A13" s="1" t="s">
        <v>207</v>
      </c>
      <c r="B13" s="471">
        <v>4</v>
      </c>
      <c r="C13" s="4">
        <f t="shared" si="108"/>
        <v>117831</v>
      </c>
      <c r="D13" s="1590">
        <f t="shared" si="109"/>
        <v>6924.8399999999992</v>
      </c>
      <c r="E13" s="1895">
        <f t="shared" si="6"/>
        <v>17.015700001732895</v>
      </c>
      <c r="F13" s="870"/>
      <c r="G13" s="870"/>
      <c r="H13" s="52">
        <v>10</v>
      </c>
      <c r="I13" s="61">
        <v>4.67</v>
      </c>
      <c r="J13" s="52"/>
      <c r="K13" s="61"/>
      <c r="L13" s="52">
        <v>73</v>
      </c>
      <c r="M13" s="61">
        <v>9.75</v>
      </c>
      <c r="N13" s="2629"/>
      <c r="O13" s="4">
        <f t="shared" ref="O13:O40" si="125">+SUM(AQ13,BC13,AW13)</f>
        <v>73164</v>
      </c>
      <c r="P13" s="1225">
        <f t="shared" si="7"/>
        <v>4649.32</v>
      </c>
      <c r="Q13" s="1913">
        <f t="shared" si="8"/>
        <v>15.736494799239459</v>
      </c>
      <c r="R13" s="33"/>
      <c r="S13" s="26">
        <f t="shared" si="9"/>
        <v>20283</v>
      </c>
      <c r="T13" s="27">
        <f t="shared" si="110"/>
        <v>781.51999999999987</v>
      </c>
      <c r="U13" s="1909">
        <f t="shared" si="10"/>
        <v>25.953270549698029</v>
      </c>
      <c r="V13" s="28"/>
      <c r="W13" s="1742">
        <f t="shared" si="11"/>
        <v>18931</v>
      </c>
      <c r="X13" s="5">
        <f t="shared" si="11"/>
        <v>1494</v>
      </c>
      <c r="Y13" s="1909">
        <f t="shared" si="12"/>
        <v>12.671352074966533</v>
      </c>
      <c r="Z13" s="33"/>
      <c r="AA13" s="26">
        <f t="shared" si="13"/>
        <v>5453</v>
      </c>
      <c r="AB13" s="27">
        <f t="shared" ref="AB13:AB41" si="126">BQ13+CC13</f>
        <v>0</v>
      </c>
      <c r="AC13" s="1909">
        <f t="shared" si="15"/>
        <v>0</v>
      </c>
      <c r="AD13" s="28"/>
      <c r="AE13" s="36"/>
      <c r="AF13" s="36"/>
      <c r="AG13" s="53">
        <f t="shared" si="16"/>
        <v>0</v>
      </c>
      <c r="AH13" s="28"/>
      <c r="AI13" s="26"/>
      <c r="AJ13" s="27"/>
      <c r="AK13" s="53">
        <f t="shared" si="17"/>
        <v>0</v>
      </c>
      <c r="AL13" s="28"/>
      <c r="AM13" s="2629"/>
      <c r="AN13" s="9"/>
      <c r="AO13" s="5"/>
      <c r="AP13" s="61">
        <f t="shared" si="18"/>
        <v>0</v>
      </c>
      <c r="AQ13" s="36"/>
      <c r="AR13" s="53"/>
      <c r="AS13" s="61">
        <f t="shared" si="19"/>
        <v>0</v>
      </c>
      <c r="AT13" s="36"/>
      <c r="AU13" s="27"/>
      <c r="AV13" s="54">
        <f t="shared" si="20"/>
        <v>0</v>
      </c>
      <c r="AW13" s="26">
        <v>32256</v>
      </c>
      <c r="AX13" s="280">
        <f>SUMPRODUCT(ISNUMBER(SEARCH("BK20",'Data Base Coal Wining'!$C$2:$C$2000))*ISNUMBER(SEARCH("P3000",'Data Base Coal Wining'!$C$2:$C$2000))*('Data Base Coal Wining'!$H$2:$H$2000="PAMA")*('Data Base Coal Wining'!$G$2:$G$2000="Coal Winning")*ISNUMBER(SEARCH(TEXT('September TCM'!$B13,"00")&amp;"/09/2026",'Data Base Coal Wining'!$E$2:$E$2000))*'Data Base Coal Wining'!$N$2:$N$2000)</f>
        <v>3800.92</v>
      </c>
      <c r="AY13" s="1735">
        <f t="shared" si="122"/>
        <v>8.4863664586468541</v>
      </c>
      <c r="AZ13" s="36"/>
      <c r="BA13" s="27"/>
      <c r="BB13" s="61">
        <f t="shared" si="21"/>
        <v>0</v>
      </c>
      <c r="BC13" s="1740">
        <v>40908</v>
      </c>
      <c r="BD13" s="2154">
        <f>SUMPRODUCT(ISNUMBER(SEARCH("BK30",'Data Base Coal Wining'!$C$2:$C$2000))*ISNUMBER(SEARCH("P3000",'Data Base Coal Wining'!$C$2:$C$2000))*('Data Base Coal Wining'!$H$2:$H$2000="PAMA")*('Data Base Coal Wining'!$G$2:$G$2000="Coal Winning")*ISNUMBER(SEARCH(TEXT('September TCM'!$B13,"00")&amp;"/09/2026",'Data Base Coal Wining'!$E$2:$E$2000))*'Data Base Coal Wining'!$N$2:$N$2000)</f>
        <v>848.40000000000009</v>
      </c>
      <c r="BE13" s="1735">
        <f t="shared" si="22"/>
        <v>48.217821782178213</v>
      </c>
      <c r="BF13" s="36"/>
      <c r="BG13" s="53"/>
      <c r="BH13" s="61">
        <f t="shared" si="23"/>
        <v>0</v>
      </c>
      <c r="BI13" s="36">
        <v>0</v>
      </c>
      <c r="BJ13" s="53">
        <v>0</v>
      </c>
      <c r="BK13" s="61">
        <f t="shared" si="24"/>
        <v>0</v>
      </c>
      <c r="BL13" s="1742">
        <v>20283</v>
      </c>
      <c r="BM13" s="2154">
        <f>SUMPRODUCT(ISNUMBER(SEARCH("BK26",'Data Base Coal Wining'!$C$2:$C$2000))*ISNUMBER(SEARCH("P4400",'Data Base Coal Wining'!$C$2:$C$2000))*('Data Base Coal Wining'!$H$2:$H$2000="MAP")*('Data Base Coal Wining'!$G$2:$G$2000="Coal Winning")*ISNUMBER(SEARCH(TEXT('September TCM'!$B13,"00")&amp;"/09/2026",'Data Base Coal Wining'!$E$2:$E$2000))*'Data Base Coal Wining'!$N$2:$N$2000)</f>
        <v>781.51999999999987</v>
      </c>
      <c r="BN13" s="2170"/>
      <c r="BO13" s="1735">
        <f t="shared" si="25"/>
        <v>25.953270549698029</v>
      </c>
      <c r="BP13" s="1125">
        <v>5453</v>
      </c>
      <c r="BQ13" s="2514">
        <f>SUMPRODUCT(ISNUMBER(SEARCH("BK34",'Data Base Coal Wining'!$C$2:$C$2000))*ISNUMBER(SEARCH("P4000",'Data Base Coal Wining'!$C$2:$C$2000))*('Data Base Coal Wining'!$H$2:$H$2000="PJPN")*('Data Base Coal Wining'!$G$2:$G$2000="Coal Winning")*ISNUMBER(SEARCH(TEXT('September TCM'!$B13,"00")&amp;"/09/2026",'Data Base Coal Wining'!$E$2:$E$2000))*'Data Base Coal Wining'!$N$2:$N$2000)</f>
        <v>0</v>
      </c>
      <c r="BR13" s="1735">
        <f t="shared" si="26"/>
        <v>0</v>
      </c>
      <c r="BS13" s="36"/>
      <c r="BT13" s="53"/>
      <c r="BU13" s="61">
        <f t="shared" si="27"/>
        <v>0</v>
      </c>
      <c r="BV13" s="36">
        <v>18931</v>
      </c>
      <c r="BW13" s="27">
        <v>1494</v>
      </c>
      <c r="BX13" s="1906">
        <f t="shared" si="28"/>
        <v>12.671352074966533</v>
      </c>
      <c r="BY13" s="26"/>
      <c r="BZ13" s="27"/>
      <c r="CA13" s="61">
        <f t="shared" si="29"/>
        <v>0</v>
      </c>
      <c r="CB13" s="36"/>
      <c r="CC13" s="5"/>
      <c r="CD13" s="482">
        <f t="shared" si="30"/>
        <v>0</v>
      </c>
      <c r="CE13" s="4"/>
      <c r="CF13" s="5"/>
      <c r="CG13" s="28">
        <f t="shared" si="31"/>
        <v>0</v>
      </c>
      <c r="CH13" s="150"/>
      <c r="CI13" s="4"/>
      <c r="CJ13" s="5">
        <v>2415</v>
      </c>
      <c r="CK13" s="5">
        <v>8658</v>
      </c>
      <c r="CL13" s="5"/>
      <c r="CM13" s="5"/>
      <c r="CN13" s="3">
        <f t="shared" si="111"/>
        <v>11073</v>
      </c>
      <c r="CO13" s="33"/>
      <c r="CP13" s="366"/>
      <c r="CR13" s="4">
        <f t="shared" si="32"/>
        <v>0</v>
      </c>
      <c r="CS13" s="9">
        <f t="shared" si="32"/>
        <v>0</v>
      </c>
      <c r="CT13" s="5">
        <f t="shared" si="32"/>
        <v>0</v>
      </c>
      <c r="CU13" s="5">
        <f t="shared" si="32"/>
        <v>0</v>
      </c>
      <c r="CV13" s="5">
        <f t="shared" si="32"/>
        <v>0</v>
      </c>
      <c r="CW13" s="5">
        <f t="shared" si="32"/>
        <v>0</v>
      </c>
      <c r="CX13" s="5">
        <f t="shared" si="32"/>
        <v>3800.92</v>
      </c>
      <c r="CY13" s="5">
        <f t="shared" si="32"/>
        <v>0</v>
      </c>
      <c r="CZ13" s="5">
        <f t="shared" si="32"/>
        <v>781.51999999999987</v>
      </c>
      <c r="DA13" s="5">
        <f t="shared" si="32"/>
        <v>0</v>
      </c>
      <c r="DB13" s="5">
        <f t="shared" si="32"/>
        <v>2342.4</v>
      </c>
      <c r="DC13" s="12">
        <f t="shared" si="33"/>
        <v>0</v>
      </c>
      <c r="DD13" s="310">
        <f t="shared" si="34"/>
        <v>6924.84</v>
      </c>
      <c r="DE13" s="2695"/>
      <c r="DF13" s="8"/>
      <c r="DG13" s="9"/>
      <c r="DH13" s="5"/>
      <c r="DI13" s="5"/>
      <c r="DJ13" s="5"/>
      <c r="DK13" s="5"/>
      <c r="DL13" s="3">
        <f>SUMPRODUCT(('Data Base Coal Wining'!$D$2:$D$2000="TCM-ROM SB1 BK05-ROM 4")*('Data Base Coal Wining'!$G$2:$G$2000="Coal Winning")*ISNUMBER(SEARCH(TEXT('September TCM'!$B13,"00")&amp;"/09/2026",'Data Base Coal Wining'!$E$2:$E$2000))*'Data Base Coal Wining'!$N$2:$N$2000)</f>
        <v>3800.92</v>
      </c>
      <c r="DM13" s="5"/>
      <c r="DN13" s="3">
        <f>SUMPRODUCT(('Data Base Coal Wining'!$D$2:$D$2000="TCM-ROM SB1 BK05-ROM 5")*('Data Base Coal Wining'!$G$2:$G$2000="Coal Winning")*ISNUMBER(SEARCH(TEXT('September TCM'!$B13,"00")&amp;"/09/2026",'Data Base Coal Wining'!$E$2:$E$2000))*'Data Base Coal Wining'!$N$2:$N$2000)</f>
        <v>0</v>
      </c>
      <c r="DO13" s="5"/>
      <c r="DP13" s="3">
        <f>SUMPRODUCT(('Data Base Coal Wining'!$D$2:$D$2000="TCM-ROM SB1 BK05-ROM 6")*('Data Base Coal Wining'!$G$2:$G$2000="Coal Winning")*ISNUMBER(SEARCH(TEXT('September TCM'!$B13,"00")&amp;"/09/2026",'Data Base Coal Wining'!$E$2:$E$2000))*'Data Base Coal Wining'!$N$2:$N$2000)</f>
        <v>0</v>
      </c>
      <c r="DQ13" s="11">
        <f>SUMPRODUCT(('Data Base Coal Wining'!$D$2:$D$2000="TCM-ROM SB1 BK05-ROM 6.1")*('Data Base Coal Wining'!$G$2:$G$2000="Coal Winning")*ISNUMBER(SEARCH(TEXT('September TCM'!$B13,"00")&amp;"/09/2026",'Data Base Coal Wining'!$E$2:$E$2000))*'Data Base Coal Wining'!$N$2:$N$2000)</f>
        <v>0</v>
      </c>
      <c r="DR13" s="12"/>
      <c r="DS13" s="1906">
        <f t="shared" si="35"/>
        <v>3800.92</v>
      </c>
      <c r="DT13" s="36"/>
      <c r="DU13" s="36"/>
      <c r="DV13" s="27"/>
      <c r="DW13" s="27"/>
      <c r="DX13" s="5"/>
      <c r="DY13" s="5"/>
      <c r="DZ13" s="64"/>
      <c r="EA13" s="5"/>
      <c r="EB13" s="3">
        <f>SUMPRODUCT(('Data Base Coal Wining'!$D$2:$D$2000="TCM-ROM SB2 BK24-ROM 5")*('Data Base Coal Wining'!$G$2:$G$2000="Coal Winning")*ISNUMBER(SEARCH(TEXT('September TCM'!$B13,"00")&amp;"/09/2026",'Data Base Coal Wining'!$E$2:$E$2000))*'Data Base Coal Wining'!$N$2:$N$2000)</f>
        <v>781.51999999999987</v>
      </c>
      <c r="EC13" s="27"/>
      <c r="ED13" s="24">
        <f>SUMPRODUCT(('Data Base Coal Wining'!$D$2:$D$2000="TCM-ROM SB2 BK24-ROM 6")*('Data Base Coal Wining'!$G$2:$G$2000="Coal Winning")*ISNUMBER(SEARCH(TEXT('September TCM'!$B13,"00")&amp;"/09/2026",'Data Base Coal Wining'!$E$2:$E$2000))*'Data Base Coal Wining'!$N$2:$N$2000)</f>
        <v>848.40000000000009</v>
      </c>
      <c r="EE13" s="33"/>
      <c r="EF13" s="28">
        <f t="shared" si="36"/>
        <v>1629.92</v>
      </c>
      <c r="EG13" s="9"/>
      <c r="EH13" s="9"/>
      <c r="EI13" s="5"/>
      <c r="EJ13" s="5"/>
      <c r="EK13" s="27"/>
      <c r="EL13" s="27"/>
      <c r="EM13" s="27"/>
      <c r="EN13" s="27"/>
      <c r="EO13" s="5"/>
      <c r="EP13" s="5"/>
      <c r="EQ13" s="5">
        <v>1494</v>
      </c>
      <c r="ER13" s="33"/>
      <c r="ES13" s="28">
        <f>SUM(EG13:EQ13)</f>
        <v>1494</v>
      </c>
      <c r="ET13" s="36"/>
      <c r="EU13" s="27"/>
      <c r="EV13" s="27"/>
      <c r="EW13" s="27"/>
      <c r="EX13" s="27"/>
      <c r="EY13" s="27"/>
      <c r="EZ13" s="33">
        <f t="shared" si="38"/>
        <v>0</v>
      </c>
      <c r="FA13" s="2685"/>
      <c r="FC13" s="4">
        <f t="shared" si="39"/>
        <v>0</v>
      </c>
      <c r="FD13" s="5">
        <f t="shared" si="40"/>
        <v>0</v>
      </c>
      <c r="FE13" s="5">
        <f t="shared" si="41"/>
        <v>0</v>
      </c>
      <c r="FF13" s="12">
        <f t="shared" si="42"/>
        <v>0</v>
      </c>
      <c r="FG13" s="33"/>
      <c r="FH13" s="2674"/>
      <c r="FI13" s="9"/>
      <c r="FJ13" s="5"/>
      <c r="FK13" s="5"/>
      <c r="FL13" s="5"/>
      <c r="FM13" s="5"/>
      <c r="FN13" s="27"/>
      <c r="FO13" s="28">
        <f t="shared" si="43"/>
        <v>0</v>
      </c>
      <c r="FP13" s="36"/>
      <c r="FQ13" s="27"/>
      <c r="FR13" s="27"/>
      <c r="FS13" s="27"/>
      <c r="FT13" s="27"/>
      <c r="FU13" s="27"/>
      <c r="FV13" s="28">
        <f t="shared" si="44"/>
        <v>0</v>
      </c>
      <c r="FW13" s="36"/>
      <c r="FX13" s="36"/>
      <c r="FY13" s="27"/>
      <c r="FZ13" s="27"/>
      <c r="GA13" s="27"/>
      <c r="GB13" s="27"/>
      <c r="GC13" s="27"/>
      <c r="GD13" s="27"/>
      <c r="GE13" s="24" cm="1">
        <f t="array" ref="GE13">SUMPRODUCT(('Data Base Coal Wining'!$C$2:$C$2000="TCM-ROM TEMPORARY SB2 KM 76-ROM HAC (S4700 Hard Ban)")*(ISNUMBER(SEARCH(TEXT('September TCM'!$B13,"00")&amp;"/08/2026",'Data Base Coal Wining'!$E$2:$E$2000)))*'Data Base Coal Wining'!$N$2:$N$2000)</f>
        <v>0</v>
      </c>
      <c r="GF13" s="27"/>
      <c r="GG13" s="27"/>
      <c r="GH13" s="33"/>
      <c r="GI13" s="33">
        <f t="shared" si="45"/>
        <v>0</v>
      </c>
      <c r="GJ13" s="2674"/>
      <c r="GL13" s="2">
        <f t="shared" si="112"/>
        <v>0</v>
      </c>
      <c r="GM13" s="63">
        <f t="shared" si="113"/>
        <v>0</v>
      </c>
      <c r="GN13" s="24">
        <f t="shared" si="114"/>
        <v>0</v>
      </c>
      <c r="GO13" s="1736">
        <f t="shared" si="46"/>
        <v>0</v>
      </c>
      <c r="GP13" s="141"/>
      <c r="GQ13" s="141"/>
      <c r="GR13" s="33" t="s">
        <v>1106</v>
      </c>
      <c r="GS13" s="2667"/>
      <c r="GT13" s="1723">
        <f>SUMPRODUCT(('Data Base hauling'!$H$2:$H$2000="Trust")*(ISNUMBER(SEARCH(TEXT('September TCM'!$B13,"00")&amp;"/09/2026",'Data Base hauling'!$E$2:$E$2000)))*'Data Base hauling'!$N$2:$N$2000)</f>
        <v>0</v>
      </c>
      <c r="GU13" s="1723">
        <f>SUMPRODUCT(('Data Base hauling'!$H$2:$H$2000="MPE")*(ISNUMBER(SEARCH(TEXT('September TCM'!$B13,"00")&amp;"/09/2026",'Data Base hauling'!$E$2:$E$2000)))*'Data Base hauling'!$N$2:$N$2000)</f>
        <v>0</v>
      </c>
      <c r="GV13" s="5">
        <f>SUMPRODUCT(('Data Base hauling'!$H$2:$H$2000="MPE")*(ISNUMBER(SEARCH(TEXT('September TCM'!$B13,"00")&amp;"/09/2026",'Data Base hauling'!$E$2:$E$2000)))*'Data Base hauling'!$N$2:$N$2000)</f>
        <v>0</v>
      </c>
      <c r="GW13" s="1723">
        <f>SUMPRODUCT(('Data Base hauling'!$H$2:$H$2000="RP")*(ISNUMBER(SEARCH(TEXT('September TCM'!$B13,"00")&amp;"/09/2026",'Data Base hauling'!$E$2:$E$2000)))*'Data Base hauling'!$N$2:$N$2000)</f>
        <v>0</v>
      </c>
      <c r="GX13" s="2544">
        <f t="shared" si="115"/>
        <v>0</v>
      </c>
      <c r="GY13" s="2667"/>
      <c r="GZ13" s="35">
        <f>SUMPRODUCT(('Data Base hauling'!$C$2:$C$2000="TCM-ROM NB-ROM 1")*(ISNUMBER(SEARCH(TEXT('September TCM'!$B13,"00")&amp;"/09/2026",'Data Base hauling'!$E$2:$E$2000)))*'Data Base hauling'!$N$2:$N$2000)</f>
        <v>0</v>
      </c>
      <c r="HA13" s="36"/>
      <c r="HB13" s="27"/>
      <c r="HC13" s="27"/>
      <c r="HD13" s="27"/>
      <c r="HE13" s="27"/>
      <c r="HF13" s="24">
        <f>SUMPRODUCT(('Data Base hauling'!$C$2:$C$2000="TCM-ROM NB-ROM 4")*(ISNUMBER(SEARCH(TEXT('September TCM'!$B13,"00")&amp;"/09/2026",'Data Base hauling'!$E$2:$E$2000)))*'Data Base hauling'!$N$2:$N$2000)</f>
        <v>0</v>
      </c>
      <c r="HG13" s="24"/>
      <c r="HH13" s="24">
        <f>SUMPRODUCT(('Data Base hauling'!$C$2:$C$2000="TCM-ROM NB-ROM 5")*(ISNUMBER(SEARCH(TEXT('September TCM'!$B13,"00")&amp;"/09/2026",'Data Base hauling'!$E$2:$E$2000)))*'Data Base hauling'!$N$2:$N$2000)</f>
        <v>0</v>
      </c>
      <c r="HI13" s="24"/>
      <c r="HJ13" s="24">
        <f>SUMPRODUCT(('Data Base hauling'!$C$2:$C$2000="TCM-ROM NB-ROM 6")*(ISNUMBER(SEARCH(TEXT('September TCM'!$B13,"00")&amp;"/09/2026",'Data Base hauling'!$E$2:$E$2000)))*'Data Base hauling'!$N$2:$N$2000)</f>
        <v>0</v>
      </c>
      <c r="HK13" s="24"/>
      <c r="HL13" s="24">
        <f>SUMPRODUCT(('Data Base hauling'!$C$2:$C$2000="TCM-WASH-CR3")*(ISNUMBER(SEARCH(TEXT('September TCM'!$B13,"00")&amp;"/09/2026",'Data Base hauling'!$E$2:$E$2000)))*'Data Base hauling'!$N$2:$N$2000)</f>
        <v>0</v>
      </c>
      <c r="HM13" s="27"/>
      <c r="HN13" s="28">
        <f t="shared" si="47"/>
        <v>0</v>
      </c>
      <c r="HO13" s="36"/>
      <c r="HP13" s="27"/>
      <c r="HQ13" s="27"/>
      <c r="HR13" s="27"/>
      <c r="HS13" s="27"/>
      <c r="HT13" s="27"/>
      <c r="HU13" s="27">
        <f t="array" ref="HU13">SUMPRODUCT(('Data Base hauling'!$C$2:$C$2000="TCM-ROM SB1 BK05-ROM 4")*(ISNUMBER(SEARCH(TEXT('September TCM'!$B13,"00")&amp;"/03/2026",'Data Base hauling'!$E$2:$E$2000)))*'Data Base hauling'!$N$2:$N$2000)</f>
        <v>0</v>
      </c>
      <c r="HV13" s="27"/>
      <c r="HW13" s="27">
        <f t="array" ref="HW13">SUMPRODUCT(('Data Base hauling'!$C$2:$C$2000="TCM-ROM SB1 BK05-ROM 5")*(ISNUMBER(SEARCH(TEXT('September TCM'!$B13,"00")&amp;"/03/2026",'Data Base hauling'!$E$2:$E$2000)))*'Data Base hauling'!$N$2:$N$2000)</f>
        <v>0</v>
      </c>
      <c r="HX13" s="27"/>
      <c r="HY13" s="27"/>
      <c r="HZ13" s="27"/>
      <c r="IA13" s="27"/>
      <c r="IB13" s="27"/>
      <c r="IC13" s="33">
        <f t="shared" si="48"/>
        <v>0</v>
      </c>
      <c r="ID13" s="845"/>
      <c r="IE13" s="363"/>
      <c r="IF13" s="64"/>
      <c r="IG13" s="64"/>
      <c r="IH13" s="64"/>
      <c r="II13" s="64"/>
      <c r="IJ13" s="1926">
        <f>SUMPRODUCT(('Data Base hauling'!$C$2:$C$2000="TCM-ROM SB1 BK05-ROM 4")*(ISNUMBER(SEARCH(TEXT('September TCM'!$B13,"00")&amp;"/09/2026",'Data Base hauling'!$E$2:$E$2000)))*'Data Base hauling'!$N$2:$N$2000)</f>
        <v>0</v>
      </c>
      <c r="IK13" s="1926"/>
      <c r="IL13" s="1926">
        <f>SUMPRODUCT(('Data Base hauling'!$C$2:$C$2000="TCM-ROM SB1 BK05-ROM 5")*(ISNUMBER(SEARCH(TEXT('September TCM'!$B13,"00")&amp;"/09/2026",'Data Base hauling'!$E$2:$E$2000)))*'Data Base hauling'!$N$2:$N$2000)</f>
        <v>0</v>
      </c>
      <c r="IM13" s="49"/>
      <c r="IN13" s="49">
        <f>SUMPRODUCT(('Data Base hauling'!$C$2:$C$2000="TCM-ROM SB1 BK05-ROM 6")*(ISNUMBER(SEARCH(TEXT('September TCM'!$B13,"00")&amp;"/09/2026",'Data Base hauling'!$E$2:$E$2000)))*'Data Base hauling'!$N$2:$N$2000)</f>
        <v>0</v>
      </c>
      <c r="IO13" s="49"/>
      <c r="IP13" s="49"/>
      <c r="IQ13" s="49">
        <f>SUMPRODUCT(('Data Base hauling'!$C$2:$C$2000="TCM-HAC1 (Production)-ROM 2(HAC)")*(ISNUMBER(SEARCH(TEXT('September TCM'!$B13,"00")&amp;"/09/2026",'Data Base hauling'!$E$2:$E$2000)))*'Data Base hauling'!$N$2:$N$2000)</f>
        <v>0</v>
      </c>
      <c r="IR13" s="2195">
        <f t="shared" si="49"/>
        <v>0</v>
      </c>
      <c r="IS13" s="36"/>
      <c r="IT13" s="36"/>
      <c r="IU13" s="27"/>
      <c r="IV13" s="27"/>
      <c r="IW13" s="53"/>
      <c r="IX13" s="27"/>
      <c r="IY13" s="24">
        <f>SUMPRODUCT(('Data Base hauling'!$C$2:$C$2000="TCM-ROM SB2 BK24-ROM 4")*(ISNUMBER(SEARCH(TEXT('September TCM'!$B13,"00")&amp;"/09/2026",'Data Base hauling'!$E$2:$E$2000)))*'Data Base hauling'!$N$2:$N$2000)</f>
        <v>0</v>
      </c>
      <c r="IZ13" s="24"/>
      <c r="JA13" s="24">
        <f>SUMPRODUCT(('Data Base hauling'!$C$2:$C$2000="TCM-ROM SB2 BK24-ROM 5")*(ISNUMBER(SEARCH(TEXT('September TCM'!$B13,"00")&amp;"/09/2026",'Data Base hauling'!$E$2:$E$2000)))*'Data Base hauling'!$N$2:$N$2000)</f>
        <v>0</v>
      </c>
      <c r="JB13" s="24"/>
      <c r="JC13" s="24">
        <f>SUMPRODUCT(('Data Base hauling'!$C$2:$C$2000="TCM-ROM SB2 BK24-ROM 6")*(ISNUMBER(SEARCH(TEXT('September TCM'!$B13,"00")&amp;"/09/2026",'Data Base hauling'!$E$2:$E$2000)))*'Data Base hauling'!$N$2:$N$2000)</f>
        <v>0</v>
      </c>
      <c r="JD13" s="27"/>
      <c r="JE13" s="27"/>
      <c r="JF13" s="27"/>
      <c r="JG13" s="33">
        <f t="shared" si="123"/>
        <v>0</v>
      </c>
      <c r="JH13" s="2667"/>
      <c r="JJ13" s="2014">
        <f>SUMPRODUCT(('Data Base hauling'!$O$2:$O$2000="TCM.HCV.LS")*(ISNUMBER(SEARCH(TEXT('September TCM'!$B13,"00")&amp;"/09/2026",'Data Base hauling'!$E$2:$E$2000)))*'Data Base hauling'!$N$2:$N$2000)</f>
        <v>0</v>
      </c>
      <c r="JK13" s="2015">
        <f>SUMPRODUCT(('Data Base hauling'!$O$2:$O$2000="TCM.HCV.HS")*(ISNUMBER(SEARCH(TEXT('September TCM'!$B13,"00")&amp;"/09/2026",'Data Base hauling'!$E$2:$E$2000)))*'Data Base hauling'!$N$2:$N$2000)</f>
        <v>0</v>
      </c>
      <c r="JL13" s="53"/>
      <c r="JM13" s="1736">
        <f t="shared" si="51"/>
        <v>0</v>
      </c>
      <c r="JN13" s="33"/>
      <c r="JO13" s="2669"/>
      <c r="JP13" s="66" t="str">
        <f>IFERROR(SUMPRODUCT(('Data Base hauling'!$O$2:$O$2000="TCM.HCV.LS")*('Data Base hauling'!$C$2:$C$2000="TCM-ROM NB-ROM 1")*(ISNUMBER(SEARCH(TEXT('September TCM'!$B13,"00")&amp;"/09/2026",'Data Base hauling'!$E$2:$E$2000)))*'Data Base hauling'!$N$2:$N$2000)/'September TCM'!$JJ13,"")</f>
        <v/>
      </c>
      <c r="JQ13" s="67" t="str">
        <f>IFERROR(SUMPRODUCT(('Data Base hauling'!$O$2:$O$2000="TCM.HCV.LS")*('Data Base hauling'!$C$2:$C$2000="TCM-ROM NB-ROM 2")*(ISNUMBER(SEARCH(TEXT('September TCM'!$B13,"00")&amp;"/09/2026",'Data Base hauling'!$E$2:$E$2000)))*'Data Base hauling'!$N$2:$N$2000)/'September TCM'!$JJ13,"")</f>
        <v/>
      </c>
      <c r="JR13" s="67" t="str">
        <f>IFERROR(SUMPRODUCT(('Data Base hauling'!$O$2:$O$2000="TCM.HCV.LS")*('Data Base hauling'!$C$2:$C$2000="TCM-ROM NB-ROM 3")*(ISNUMBER(SEARCH(TEXT('September TCM'!$B13,"00")&amp;"/09/2026",'Data Base hauling'!$E$2:$E$2000)))*'Data Base hauling'!$N$2:$N$2000)/'September TCM'!$JJ13,"")</f>
        <v/>
      </c>
      <c r="JS13" s="67" t="str">
        <f>IFERROR(SUMPRODUCT(('Data Base hauling'!$O$2:$O$2000="TCM.HCV.LS")*('Data Base hauling'!$C$2:$C$2000="TCM-ROM SB1 BK05-ROM 4")*(ISNUMBER(SEARCH(TEXT('September TCM'!$B13,"00")&amp;"/09/2026",'Data Base hauling'!$E$2:$E$2000)))*'Data Base hauling'!$N$2:$N$2000)/'September TCM'!$JJ13,"")</f>
        <v/>
      </c>
      <c r="JT13" s="67" t="str">
        <f>IFERROR(SUMPRODUCT(('Data Base hauling'!$O$2:$O$2000="TCM.HCV.LS")*SIGN(('Data Base hauling'!$C$2:$C$2000="TCM-ROM NB-ROM 5")+('Data Base hauling'!$C$2:$C$2000="TCM-ROM SB1 BK05-ROM 5")+('Data Base hauling'!$C$2:$C$2000="TCM-ROM SB2 BK24-ROM 5"))*(ISNUMBER(SEARCH(TEXT('September TCM'!$B13,"00")&amp;"/09/2026",'Data Base hauling'!$E$2:$E$2000)))*'Data Base hauling'!$N$2:$N$2000)/'September TCM'!$JJ13,"")</f>
        <v/>
      </c>
      <c r="JU13" s="67" t="str">
        <f>IFERROR(SUMPRODUCT(('Data Base hauling'!$O$2:$O$2000="TCM.HCV.LS")*SIGN(('Data Base hauling'!$C$2:$C$2000="TCM-ROM NB-ROM 6")+('Data Base hauling'!$C$2:$C$2000="TCM-ROM SB1 BK05-ROM 6")+('Data Base hauling'!$C$2:$C$2000="TCM-ROM SB2 BK24-ROM 6"))*(ISNUMBER(SEARCH(TEXT('September TCM'!$B13,"00")&amp;"/09/2026",'Data Base hauling'!$E$2:$E$2000)))*'Data Base hauling'!$N$2:$N$2000)/'September TCM'!$JJ13,"")</f>
        <v/>
      </c>
      <c r="JV13" s="67" t="str">
        <f>IFERROR(SUMPRODUCT(('Data Base hauling'!$O$2:$O$2000="TCM.HCV.LS")*('Data Base hauling'!$C$2:$C$2000="TCM-WASH-CR3")*(ISNUMBER(SEARCH(TEXT('September TCM'!$B13,"00")&amp;"/09/2026",'Data Base hauling'!$E$2:$E$2000)))*'Data Base hauling'!$N$2:$N$2000)/'September TCM'!$JJ13,"")</f>
        <v/>
      </c>
      <c r="JW13" s="1921">
        <f>SUMPRODUCT(('Data Base hauling'!$O$2:$O$2000="TCM.HCV.LS")*('Data Base hauling'!$C$2:$C$2000="TCM-HAC-CR3")*(ISNUMBER(SEARCH(TEXT('September TCM'!$B13,"00")&amp;"/089/2026",'Data Base hauling'!$E$2:$E$2000)))*'Data Base hauling'!$N$2:$N$2000)</f>
        <v>0</v>
      </c>
      <c r="JX13" s="66" t="str">
        <f>IFERROR(SUMPRODUCT(('Data Base hauling'!$O$2:$O$2000="TCM.HCV.HS")*('Data Base hauling'!$C$2:$C$2000="TCM-ROM NB-ROM 1")*(ISNUMBER(SEARCH(TEXT('September TCM'!$B13,"00")&amp;"/09/2026",'Data Base hauling'!$E$2:$E$2000)))*'Data Base hauling'!$N$2:$N$2000)/'September TCM'!$JK13,"")</f>
        <v/>
      </c>
      <c r="JY13" s="67" t="str">
        <f>IFERROR(SUMPRODUCT(('Data Base hauling'!$O$2:$O$2000="TCM.HCV.HS")*('Data Base hauling'!$C$2:$C$2000="TCM-ROM NB-ROM 2")*(ISNUMBER(SEARCH(TEXT('September TCM'!$B13,"00")&amp;"/09/2026",'Data Base hauling'!$E$2:$E$2000)))*'Data Base hauling'!$N$2:$N$2000)/'September TCM'!$JK13,"")</f>
        <v/>
      </c>
      <c r="JZ13" s="67" t="str">
        <f>IFERROR(SUMPRODUCT(('Data Base hauling'!$O$2:$O$2000="TCM.HCV.HS")*('Data Base hauling'!$C$2:$C$2000="TCM-ROM NB-ROM 3")*(ISNUMBER(SEARCH(TEXT('September TCM'!$B13,"00")&amp;"/09/2026",'Data Base hauling'!$E$2:$E$2000)))*'Data Base hauling'!$N$2:$N$2000)/'September TCM'!$JK13,"")</f>
        <v/>
      </c>
      <c r="KA13" s="67" t="str">
        <f>IFERROR(SUMPRODUCT(('Data Base hauling'!$O$2:$O$2000="TCM.HCV.HS")*('Data Base hauling'!$C$2:$C$2000="TCM-ROM SB1 BK05-ROM 4")*(ISNUMBER(SEARCH(TEXT('September TCM'!$B13,"00")&amp;"/09/2026",'Data Base hauling'!$E$2:$E$2000)))*'Data Base hauling'!$N$2:$N$2000)/'September TCM'!$JK13,"")</f>
        <v/>
      </c>
      <c r="KB13" s="67" t="str">
        <f>IFERROR(SUMPRODUCT(('Data Base hauling'!$O$2:$O$2000="TCM.HCV.HS")*SIGN(('Data Base hauling'!$C$2:$C$2000="TCM-ROM NB-ROM 5")+('Data Base hauling'!$C$2:$C$2000="TCM-ROM SB1 BK05-ROM 5")+('Data Base hauling'!$C$2:$C$2000="TCM-ROM SB2 BK24-ROM 5"))*(ISNUMBER(SEARCH(TEXT('September TCM'!$B13,"00")&amp;"/09/2026",'Data Base hauling'!$E$2:$E$2000)))*'Data Base hauling'!$N$2:$N$2000)/'September TCM'!$JK13,"")</f>
        <v/>
      </c>
      <c r="KC13" s="67" t="str">
        <f>IFERROR(SUMPRODUCT(('Data Base hauling'!$O$2:$O$2000="TCM.HCV.HS")*SIGN(('Data Base hauling'!$C$2:$C$2000="TCM-ROM NB-ROM 6")+('Data Base hauling'!$C$2:$C$2000="TCM-ROM SB1 BK05-ROM 6")+('Data Base hauling'!$C$2:$C$2000="TCM-ROM SB2 BK24-ROM 6"))*(ISNUMBER(SEARCH(TEXT('September TCM'!$B13,"00")&amp;"/09/2026",'Data Base hauling'!$E$2:$E$2000)))*'Data Base hauling'!$N$2:$N$2000)/'September TCM'!$JK13,"")</f>
        <v/>
      </c>
      <c r="KD13" s="67" t="str">
        <f>IFERROR(SUMPRODUCT(('Data Base hauling'!$O$2:$O$2000="TCM.HCV.HS")*('Data Base hauling'!$C$2:$C$2000="TCM-WASH-CR3")*(ISNUMBER(SEARCH(TEXT('September TCM'!$B13,"00")&amp;"/09/2026",'Data Base hauling'!$E$2:$E$2000)))*'Data Base hauling'!$N$2:$N$2000)/'September TCM'!$JK13,"")</f>
        <v/>
      </c>
      <c r="KE13" s="68" t="str">
        <f>IFERROR(SUMPRODUCT(('Data Base hauling'!$O$2:$O$2000="TCM.HCV.HS")*('Data Base hauling'!$C$2:$C$2000="TCM-HAC-CR3")*(ISNUMBER(SEARCH(TEXT('September TCM'!$B13,"00")&amp;"/09/2026",'Data Base hauling'!$E$2:$E$2000)))*'Data Base hauling'!$N$2:$N$2000)/'September TCM'!$JK13,"")</f>
        <v/>
      </c>
      <c r="KF13" s="69"/>
      <c r="KG13" s="70"/>
      <c r="KH13" s="70"/>
      <c r="KI13" s="70"/>
      <c r="KJ13" s="70"/>
      <c r="KK13" s="70"/>
      <c r="KL13" s="70"/>
      <c r="KM13" s="70"/>
      <c r="KN13" s="33"/>
      <c r="KO13" s="2669"/>
      <c r="KP13" s="2203">
        <f>IFERROR(SUMPRODUCT((TCM.HCV.LS!$A$3:$A$58=DATE(2026,9,$B13))*(TCM.HCV.LS!$O$3:$O$58&gt;0)*TCM.HCV.LS!$C$3:$C$58*TCM.HCV.LS!$O$3:$O$58)/SUMPRODUCT((TCM.HCV.LS!$A$3:$A$58=DATE(2026,9,$B13))*(TCM.HCV.LS!$O$3:$O$58&gt;0)*TCM.HCV.LS!$C$3:$C$58),0)</f>
        <v>0</v>
      </c>
      <c r="KQ13" s="1721">
        <f>IFERROR(SUMPRODUCT((TCM.HCV.LS!$A$3:$A$58=DATE(2026,9,$B13))*(TCM.HCV.LS!$M$3:$M$58&gt;0)*TCM.HCV.LS!$C$3:$C$58*TCM.HCV.LS!$M$3:$M$58)/SUMPRODUCT((TCM.HCV.LS!$A$3:$A$58=DATE(2026,9,$B13))*(TCM.HCV.LS!$M$3:$M$58&gt;0)*TCM.HCV.LS!$C$3:$C$58),0)</f>
        <v>0</v>
      </c>
      <c r="KR13" s="1721">
        <f>IFERROR(SUMPRODUCT((TCM.HCV.LS!$A$3:$A$58=DATE(2026,9,$B13))*(TCM.HCV.LS!$G$3:$G$58&gt;0)*TCM.HCV.LS!$C$3:$C$58*TCM.HCV.LS!$G$3:$G$58)/SUMPRODUCT((TCM.HCV.LS!$A$3:$A$58=DATE(2026,9,$B13))*(TCM.HCV.LS!$G$3:$G$58&gt;0)*TCM.HCV.LS!$C$3:$C$58),0)</f>
        <v>0</v>
      </c>
      <c r="KS13" s="1721">
        <f>IFERROR(SUMPRODUCT((TCM.HCV.LS!$A$3:$A$58=DATE(2026,9,$B13))*(TCM.HCV.LS!$F$3:$F$58&gt;0)*TCM.HCV.LS!$C$3:$C$58*TCM.HCV.LS!$F$3:$F$58)/SUMPRODUCT((TCM.HCV.LS!$A$3:$A$58=DATE(2026,9,$B13))*(TCM.HCV.LS!$F$3:$F$58&gt;0)*TCM.HCV.LS!$C$3:$C$58),0)</f>
        <v>0</v>
      </c>
      <c r="KT13" s="1722">
        <f>IFERROR(SUMPRODUCT((TCM.HCV.LS!$A$3:$A$58=DATE(2026,9,$B13))*(TCM.HCV.LS!$E$3:$E$58&gt;0)*TCM.HCV.LS!$C$3:$C$58*TCM.HCV.LS!$E$3:$E$58)/SUMPRODUCT((TCM.HCV.LS!$A$3:$A$58=DATE(2026,9,$B13))*(TCM.HCV.LS!$E$3:$E$58&gt;0)*TCM.HCV.LS!$C$3:$C$58),0)</f>
        <v>0</v>
      </c>
      <c r="KU13" s="1958">
        <f>IFERROR(SUMPRODUCT((TCM.HCV.HS!$A$3:$A$84=DATE(2026,9,$B13))*(TCM.HCV.HS!$O$3:$O$84&gt;0)*TCM.HCV.HS!$C$3:$C$84*TCM.HCV.HS!$O$3:$O$84)/SUMPRODUCT((TCM.HCV.HS!$A$3:$A$84=DATE(2026,9,$B13))*(TCM.HCV.HS!$O$3:$O$84&gt;0)*TCM.HCV.HS!$C$3:$C$84),0)</f>
        <v>0</v>
      </c>
      <c r="KV13" s="1961">
        <f>IFERROR(SUMPRODUCT((TCM.HCV.HS!$A$3:$A$84=DATE(2026,9,$B13))*(TCM.HCV.HS!$M$3:$M$84&gt;0)*TCM.HCV.HS!$C$3:$C$84*TCM.HCV.HS!$M$3:$M$84)/SUMPRODUCT((TCM.HCV.HS!$A$3:$A$84=DATE(2026,9,$B13))*(TCM.HCV.HS!$M$3:$M$84&gt;0)*TCM.HCV.HS!$C$3:$C$84),0)</f>
        <v>0</v>
      </c>
      <c r="KW13" s="1961">
        <f>IFERROR(SUMPRODUCT((TCM.HCV.HS!$A$3:$A$84=DATE(2026,9,$B13))*(TCM.HCV.HS!$G$3:$G$84&gt;0)*TCM.HCV.HS!$C$3:$C$84*TCM.HCV.HS!$G$3:$G$84)/SUMPRODUCT((TCM.HCV.HS!$A$3:$A$84=DATE(2026,9,$B13))*(TCM.HCV.HS!$G$3:$G$84&gt;0)*TCM.HCV.HS!$C$3:$C$84),0)</f>
        <v>0</v>
      </c>
      <c r="KX13" s="1961">
        <f>IFERROR(SUMPRODUCT((TCM.HCV.HS!$A$3:$A$84=DATE(2026,9,$B13))*(TCM.HCV.HS!$F$3:$F$84&gt;0)*TCM.HCV.HS!$C$3:$C$84*TCM.HCV.HS!$F$3:$F$84)/SUMPRODUCT((TCM.HCV.HS!$A$3:$A$84=DATE(2026,9,$B13))*(TCM.HCV.HS!$F$3:$F$84&gt;0)*TCM.HCV.HS!$C$3:$C$84),0)</f>
        <v>0</v>
      </c>
      <c r="KY13" s="1962">
        <f>IFERROR(SUMPRODUCT((TCM.HCV.HS!$A$3:$A$84=DATE(2026,9,$B13))*(TCM.HCV.HS!$E$3:$E$84&gt;0)*TCM.HCV.HS!$C$3:$C$84*TCM.HCV.HS!$E$3:$E$84)/SUMPRODUCT((TCM.HCV.HS!$A$3:$A$84=DATE(2026,9,$B13))*(TCM.HCV.HS!$E$3:$E$84&gt;0)*TCM.HCV.HS!$C$3:$C$84),0)</f>
        <v>0</v>
      </c>
      <c r="KZ13" s="36"/>
      <c r="LA13" s="53"/>
      <c r="LB13" s="53"/>
      <c r="LC13" s="53"/>
      <c r="LD13" s="53"/>
      <c r="LE13" s="33"/>
      <c r="LF13" s="2669"/>
      <c r="LH13" s="998">
        <f t="shared" si="52"/>
        <v>0</v>
      </c>
      <c r="LI13" s="27">
        <f t="shared" si="52"/>
        <v>0</v>
      </c>
      <c r="LJ13" s="27">
        <f t="shared" si="52"/>
        <v>0</v>
      </c>
      <c r="LK13" s="28">
        <f t="shared" si="53"/>
        <v>0</v>
      </c>
      <c r="LL13" s="36"/>
      <c r="LM13" s="27"/>
      <c r="LN13" s="27">
        <v>1</v>
      </c>
      <c r="LO13" s="33"/>
      <c r="LP13" s="1041">
        <v>0</v>
      </c>
      <c r="LQ13" s="486" t="s">
        <v>1109</v>
      </c>
      <c r="LR13" s="2688"/>
      <c r="LS13" s="21"/>
      <c r="LT13" s="2213"/>
      <c r="LU13" s="27"/>
      <c r="LV13" s="27"/>
      <c r="LW13" s="27"/>
      <c r="LX13" s="1117">
        <f t="shared" si="124"/>
        <v>0</v>
      </c>
      <c r="LY13" s="36"/>
      <c r="LZ13" s="36"/>
      <c r="MA13" s="27"/>
      <c r="MB13" s="27"/>
      <c r="MC13" s="33"/>
      <c r="MD13" s="28">
        <f t="shared" si="55"/>
        <v>0</v>
      </c>
      <c r="ME13" s="26"/>
      <c r="MF13" s="36"/>
      <c r="MG13" s="27"/>
      <c r="MH13" s="27"/>
      <c r="MI13" s="27"/>
      <c r="MJ13" s="28"/>
      <c r="MK13" s="36"/>
      <c r="ML13" s="36"/>
      <c r="MM13" s="27"/>
      <c r="MN13" s="27"/>
      <c r="MO13" s="27"/>
      <c r="MP13" s="28"/>
      <c r="MQ13" s="36"/>
      <c r="MR13" s="36"/>
      <c r="MS13" s="27"/>
      <c r="MT13" s="27"/>
      <c r="MU13" s="27"/>
      <c r="MV13" s="33">
        <f t="shared" si="56"/>
        <v>0</v>
      </c>
      <c r="MW13" s="2688"/>
      <c r="MY13" s="26">
        <f t="shared" si="57"/>
        <v>355757.51766611252</v>
      </c>
      <c r="MZ13" s="27">
        <f t="shared" si="58"/>
        <v>217377.82302645117</v>
      </c>
      <c r="NA13" s="27">
        <f t="shared" si="59"/>
        <v>28741.333787707357</v>
      </c>
      <c r="NB13" s="28">
        <f t="shared" si="60"/>
        <v>320808.25035698002</v>
      </c>
      <c r="NC13" s="2621"/>
      <c r="ND13" s="23">
        <f t="shared" si="116"/>
        <v>195117.10680113197</v>
      </c>
      <c r="NE13" s="1655">
        <f t="shared" si="117"/>
        <v>160640.41086498057</v>
      </c>
      <c r="NF13" s="60">
        <f t="shared" si="63"/>
        <v>0</v>
      </c>
      <c r="NG13" s="275">
        <f t="shared" si="4"/>
        <v>355757.51766611252</v>
      </c>
      <c r="NH13" s="26">
        <f t="shared" si="64"/>
        <v>0</v>
      </c>
      <c r="NI13" s="27">
        <f t="shared" si="64"/>
        <v>0</v>
      </c>
      <c r="NJ13" s="27">
        <f t="shared" si="64"/>
        <v>0</v>
      </c>
      <c r="NK13" s="27">
        <f t="shared" si="64"/>
        <v>0</v>
      </c>
      <c r="NL13" s="27">
        <f t="shared" si="64"/>
        <v>0</v>
      </c>
      <c r="NM13" s="33">
        <f t="shared" si="64"/>
        <v>0</v>
      </c>
      <c r="NN13" s="27">
        <f t="shared" si="64"/>
        <v>0</v>
      </c>
      <c r="NO13" s="36">
        <f t="shared" si="64"/>
        <v>0</v>
      </c>
      <c r="NP13" s="24">
        <f t="shared" si="64"/>
        <v>28520.510136227243</v>
      </c>
      <c r="NQ13" s="27">
        <f t="shared" si="64"/>
        <v>22358.939343794715</v>
      </c>
      <c r="NR13" s="24">
        <f t="shared" si="118"/>
        <v>8756.5482322711578</v>
      </c>
      <c r="NS13" s="24">
        <f t="shared" si="119"/>
        <v>6209.9680410535075</v>
      </c>
      <c r="NT13" s="27">
        <f t="shared" si="0"/>
        <v>65845.965753346623</v>
      </c>
      <c r="NU13" s="27">
        <f t="shared" si="65"/>
        <v>0</v>
      </c>
      <c r="NV13" s="27">
        <f t="shared" si="65"/>
        <v>0</v>
      </c>
      <c r="NW13" s="27">
        <f t="shared" si="65"/>
        <v>0</v>
      </c>
      <c r="NX13" s="27">
        <f t="shared" si="65"/>
        <v>0</v>
      </c>
      <c r="NY13" s="27">
        <f t="shared" si="65"/>
        <v>0</v>
      </c>
      <c r="NZ13" s="27">
        <f t="shared" si="65"/>
        <v>0</v>
      </c>
      <c r="OA13" s="27">
        <f t="shared" si="65"/>
        <v>33510.215564997226</v>
      </c>
      <c r="OB13" s="27">
        <f t="shared" si="65"/>
        <v>0</v>
      </c>
      <c r="OC13" s="27">
        <f t="shared" si="66"/>
        <v>28717.066475620366</v>
      </c>
      <c r="OD13" s="280"/>
      <c r="OE13" s="27">
        <f t="shared" si="120"/>
        <v>13429.316718063665</v>
      </c>
      <c r="OF13" s="27">
        <f t="shared" si="67"/>
        <v>0</v>
      </c>
      <c r="OG13" s="28">
        <f t="shared" si="1"/>
        <v>75656.598758681255</v>
      </c>
      <c r="OH13" s="27">
        <f t="shared" si="68"/>
        <v>0</v>
      </c>
      <c r="OI13" s="27">
        <f t="shared" si="68"/>
        <v>0</v>
      </c>
      <c r="OJ13" s="27">
        <f t="shared" si="68"/>
        <v>0</v>
      </c>
      <c r="OK13" s="27">
        <f t="shared" si="68"/>
        <v>0</v>
      </c>
      <c r="OL13" s="27">
        <f t="shared" si="68"/>
        <v>0</v>
      </c>
      <c r="OM13" s="27">
        <f t="shared" si="68"/>
        <v>0</v>
      </c>
      <c r="ON13" s="24">
        <f t="shared" si="68"/>
        <v>0</v>
      </c>
      <c r="OO13" s="27">
        <f t="shared" si="68"/>
        <v>0</v>
      </c>
      <c r="OP13" s="24">
        <f t="shared" si="69"/>
        <v>58785.897649249811</v>
      </c>
      <c r="OQ13" s="27">
        <f t="shared" si="70"/>
        <v>0</v>
      </c>
      <c r="OR13" s="24">
        <f t="shared" si="70"/>
        <v>17089.360865173458</v>
      </c>
      <c r="OS13" s="27">
        <f t="shared" si="70"/>
        <v>0</v>
      </c>
      <c r="OT13" s="28">
        <f t="shared" si="2"/>
        <v>75875.258514423273</v>
      </c>
      <c r="OU13" s="36"/>
      <c r="OV13" s="27"/>
      <c r="OW13" s="27"/>
      <c r="OX13" s="27"/>
      <c r="OY13" s="27"/>
      <c r="OZ13" s="27"/>
      <c r="PA13" s="28">
        <f t="shared" si="71"/>
        <v>0</v>
      </c>
      <c r="PB13" s="36">
        <f t="shared" si="72"/>
        <v>0</v>
      </c>
      <c r="PC13" s="27">
        <f t="shared" si="73"/>
        <v>0</v>
      </c>
      <c r="PD13" s="27">
        <f t="shared" si="74"/>
        <v>0</v>
      </c>
      <c r="PE13" s="27">
        <f t="shared" si="75"/>
        <v>0</v>
      </c>
      <c r="PF13" s="24"/>
      <c r="PG13" s="27">
        <f t="shared" si="76"/>
        <v>0</v>
      </c>
      <c r="PH13" s="33">
        <f t="shared" si="3"/>
        <v>0</v>
      </c>
      <c r="PI13" s="2621"/>
      <c r="PK13" s="1907">
        <f>SUMPRODUCT(('Data Base Coal Wining'!$D$2:$D$2000="WASHING PLANT")*ISNUMBER(SEARCH(TEXT('September TCM'!$B13,"00")&amp;"/09/2026",'Data Base Coal Wining'!$E$2:$E$2000))*'Data Base Coal Wining'!$N$2:$N$2000)</f>
        <v>2424</v>
      </c>
      <c r="PL13" s="2192">
        <v>1269.0000000000002</v>
      </c>
      <c r="PM13" s="2262">
        <v>352.50000000000006</v>
      </c>
      <c r="PN13" s="8">
        <f t="shared" si="77"/>
        <v>0</v>
      </c>
      <c r="PO13" s="3">
        <f t="shared" si="78"/>
        <v>38193.71343512473</v>
      </c>
      <c r="PP13" s="11">
        <f t="shared" si="79"/>
        <v>28741.333787707357</v>
      </c>
      <c r="PQ13" s="15"/>
      <c r="PR13" s="2615"/>
      <c r="PT13" s="4"/>
      <c r="PU13" s="9"/>
      <c r="PV13" s="9"/>
      <c r="PW13" s="9"/>
      <c r="PX13" s="8">
        <f>SUMPRODUCT(('Data Base Coal Wining'!$D$2:$D$2000="TCM-ROM SB1 BK05-ROM 2 (HAC)")*('Data Base Coal Wining'!$G$2:$G$2000="Coal Winning")*ISNUMBER(SEARCH(TEXT('September TCM'!$B13,"00")&amp;"/09/2026",'Data Base Coal Wining'!$E$2:$E$2000))*'Data Base Coal Wining'!$N$2:$N$2000)</f>
        <v>0</v>
      </c>
      <c r="PY13" s="9"/>
      <c r="PZ13" s="8">
        <f t="shared" si="80"/>
        <v>0</v>
      </c>
      <c r="QA13" s="5">
        <f t="shared" si="81"/>
        <v>2424</v>
      </c>
      <c r="QB13" s="5"/>
      <c r="QC13" s="5"/>
      <c r="QD13" s="5"/>
      <c r="QE13" s="5"/>
      <c r="QF13" s="5"/>
      <c r="QG13" s="12"/>
      <c r="QH13" s="12">
        <f t="shared" si="82"/>
        <v>29562.488999999998</v>
      </c>
      <c r="QI13" s="420">
        <f t="shared" si="83"/>
        <v>286273.51090898004</v>
      </c>
      <c r="QJ13" s="1106">
        <f t="shared" si="121"/>
        <v>4972.2504480000007</v>
      </c>
      <c r="QK13" s="484">
        <f t="shared" si="84"/>
        <v>5505.3678056099998</v>
      </c>
      <c r="QL13" s="12"/>
      <c r="QM13" s="2615"/>
      <c r="QO13" s="139" t="str">
        <f t="shared" si="85"/>
        <v/>
      </c>
      <c r="QP13" s="139" t="str">
        <f t="shared" si="86"/>
        <v/>
      </c>
      <c r="QR13" s="139" t="str">
        <f t="shared" si="87"/>
        <v/>
      </c>
      <c r="QS13" s="139" t="str">
        <f t="shared" si="88"/>
        <v/>
      </c>
      <c r="QU13" s="1">
        <f t="shared" si="89"/>
        <v>0</v>
      </c>
      <c r="QV13" s="1">
        <f t="shared" si="90"/>
        <v>0</v>
      </c>
      <c r="QW13" s="1">
        <f t="shared" si="91"/>
        <v>0</v>
      </c>
      <c r="QX13" s="1">
        <f t="shared" si="92"/>
        <v>0</v>
      </c>
      <c r="QY13" s="1">
        <f t="shared" si="93"/>
        <v>0</v>
      </c>
      <c r="QZ13" s="1">
        <f t="shared" si="94"/>
        <v>0</v>
      </c>
      <c r="RB13" s="1">
        <f t="shared" si="95"/>
        <v>0</v>
      </c>
      <c r="RC13" s="1">
        <f t="shared" si="96"/>
        <v>0</v>
      </c>
      <c r="RD13" s="1">
        <f t="shared" si="97"/>
        <v>0</v>
      </c>
      <c r="RE13" s="1">
        <f t="shared" si="98"/>
        <v>0</v>
      </c>
      <c r="RF13" s="1">
        <f t="shared" si="99"/>
        <v>0</v>
      </c>
      <c r="RG13" s="1">
        <f t="shared" si="100"/>
        <v>0</v>
      </c>
      <c r="RJ13" s="1">
        <v>4</v>
      </c>
      <c r="RK13" s="1">
        <f t="shared" si="101"/>
        <v>45424.161751083164</v>
      </c>
      <c r="RL13" s="1">
        <f t="shared" si="101"/>
        <v>3925.5835498622801</v>
      </c>
      <c r="RM13" s="1">
        <f t="shared" si="101"/>
        <v>9178.5689913333827</v>
      </c>
      <c r="RN13" s="89">
        <f t="shared" si="5"/>
        <v>58528.314292278832</v>
      </c>
      <c r="RO13" s="1033">
        <v>4</v>
      </c>
      <c r="RP13" s="1098">
        <v>0</v>
      </c>
      <c r="RQ13" s="1098">
        <f t="shared" si="102"/>
        <v>0</v>
      </c>
      <c r="RR13" s="1097">
        <f t="shared" si="102"/>
        <v>0</v>
      </c>
      <c r="RS13" s="1097">
        <f t="shared" si="103"/>
        <v>5430.84</v>
      </c>
      <c r="RT13" s="1094"/>
      <c r="RU13" s="2420">
        <v>2609040243</v>
      </c>
      <c r="RX13" s="421">
        <v>4</v>
      </c>
      <c r="RY13" s="1095">
        <f t="shared" si="104"/>
        <v>0</v>
      </c>
      <c r="RZ13" s="1094"/>
      <c r="SB13" s="1090"/>
      <c r="SC13" s="1090">
        <f t="shared" si="105"/>
        <v>0</v>
      </c>
      <c r="SD13" s="1090"/>
      <c r="SE13" s="1090">
        <f t="shared" si="106"/>
        <v>0</v>
      </c>
      <c r="SG13" s="1">
        <v>4</v>
      </c>
      <c r="SH13" s="1">
        <f t="shared" si="107"/>
        <v>0</v>
      </c>
      <c r="SI13" s="1094"/>
    </row>
    <row r="14" spans="1:503" s="1" customFormat="1" ht="13.2" customHeight="1">
      <c r="B14" s="471">
        <v>5</v>
      </c>
      <c r="C14" s="4">
        <f t="shared" si="108"/>
        <v>166998</v>
      </c>
      <c r="D14" s="1590">
        <f t="shared" si="109"/>
        <v>6494.8</v>
      </c>
      <c r="E14" s="1895">
        <f t="shared" si="6"/>
        <v>25.712570056044836</v>
      </c>
      <c r="F14" s="870"/>
      <c r="G14" s="870"/>
      <c r="H14" s="52"/>
      <c r="I14" s="61"/>
      <c r="J14" s="52"/>
      <c r="K14" s="54"/>
      <c r="L14" s="52"/>
      <c r="M14" s="61"/>
      <c r="N14" s="2629"/>
      <c r="O14" s="4">
        <f t="shared" si="125"/>
        <v>99750</v>
      </c>
      <c r="P14" s="1225">
        <f t="shared" si="7"/>
        <v>2851.36</v>
      </c>
      <c r="Q14" s="1913">
        <f t="shared" si="8"/>
        <v>34.983306211772629</v>
      </c>
      <c r="R14" s="33"/>
      <c r="S14" s="26">
        <f t="shared" si="9"/>
        <v>36027</v>
      </c>
      <c r="T14" s="27">
        <f t="shared" si="110"/>
        <v>1579.44</v>
      </c>
      <c r="U14" s="1909">
        <f t="shared" si="10"/>
        <v>22.809983285215012</v>
      </c>
      <c r="V14" s="28"/>
      <c r="W14" s="1742">
        <f t="shared" si="11"/>
        <v>24815</v>
      </c>
      <c r="X14" s="5">
        <f t="shared" si="11"/>
        <v>2064</v>
      </c>
      <c r="Y14" s="1909">
        <f t="shared" si="12"/>
        <v>12.022771317829458</v>
      </c>
      <c r="Z14" s="33"/>
      <c r="AA14" s="26">
        <f t="shared" si="13"/>
        <v>6406</v>
      </c>
      <c r="AB14" s="27">
        <f t="shared" si="126"/>
        <v>0</v>
      </c>
      <c r="AC14" s="1909">
        <f t="shared" si="15"/>
        <v>0</v>
      </c>
      <c r="AD14" s="28"/>
      <c r="AE14" s="36"/>
      <c r="AF14" s="36"/>
      <c r="AG14" s="53">
        <f t="shared" si="16"/>
        <v>0</v>
      </c>
      <c r="AH14" s="28"/>
      <c r="AI14" s="23"/>
      <c r="AJ14" s="27"/>
      <c r="AK14" s="53">
        <f t="shared" si="17"/>
        <v>0</v>
      </c>
      <c r="AL14" s="28"/>
      <c r="AM14" s="2629"/>
      <c r="AN14" s="9"/>
      <c r="AO14" s="5"/>
      <c r="AP14" s="61">
        <f t="shared" si="18"/>
        <v>0</v>
      </c>
      <c r="AQ14" s="36"/>
      <c r="AR14" s="53"/>
      <c r="AS14" s="61">
        <f t="shared" si="19"/>
        <v>0</v>
      </c>
      <c r="AT14" s="36"/>
      <c r="AU14" s="27"/>
      <c r="AV14" s="54">
        <f t="shared" si="20"/>
        <v>0</v>
      </c>
      <c r="AW14" s="26">
        <v>48804</v>
      </c>
      <c r="AX14" s="280">
        <f>SUMPRODUCT(ISNUMBER(SEARCH("BK20",'Data Base Coal Wining'!$C$2:$C$2000))*ISNUMBER(SEARCH("P3000",'Data Base Coal Wining'!$C$2:$C$2000))*('Data Base Coal Wining'!$H$2:$H$2000="PAMA")*('Data Base Coal Wining'!$G$2:$G$2000="Coal Winning")*ISNUMBER(SEARCH(TEXT('September TCM'!$B14,"00")&amp;"/09/2026",'Data Base Coal Wining'!$E$2:$E$2000))*'Data Base Coal Wining'!$N$2:$N$2000)</f>
        <v>1924.3400000000001</v>
      </c>
      <c r="AY14" s="1735">
        <f t="shared" si="122"/>
        <v>25.361422617624743</v>
      </c>
      <c r="AZ14" s="36"/>
      <c r="BA14" s="27"/>
      <c r="BB14" s="61">
        <f t="shared" si="21"/>
        <v>0</v>
      </c>
      <c r="BC14" s="1740">
        <v>50946</v>
      </c>
      <c r="BD14" s="2154">
        <f>SUMPRODUCT(ISNUMBER(SEARCH("BK30",'Data Base Coal Wining'!$C$2:$C$2000))*ISNUMBER(SEARCH("P3000",'Data Base Coal Wining'!$C$2:$C$2000))*('Data Base Coal Wining'!$H$2:$H$2000="PAMA")*('Data Base Coal Wining'!$G$2:$G$2000="Coal Winning")*ISNUMBER(SEARCH(TEXT('September TCM'!$B14,"00")&amp;"/09/2026",'Data Base Coal Wining'!$E$2:$E$2000))*'Data Base Coal Wining'!$N$2:$N$2000)</f>
        <v>927.0200000000001</v>
      </c>
      <c r="BE14" s="1735">
        <f>IFERROR(BC14/BD14,0)</f>
        <v>54.956743112338458</v>
      </c>
      <c r="BF14" s="36"/>
      <c r="BG14" s="53"/>
      <c r="BH14" s="61">
        <f t="shared" si="23"/>
        <v>0</v>
      </c>
      <c r="BI14" s="36">
        <v>0</v>
      </c>
      <c r="BJ14" s="53">
        <v>0</v>
      </c>
      <c r="BK14" s="61">
        <f t="shared" si="24"/>
        <v>0</v>
      </c>
      <c r="BL14" s="1742">
        <v>36027</v>
      </c>
      <c r="BM14" s="2154">
        <f>SUMPRODUCT(ISNUMBER(SEARCH("BK26",'Data Base Coal Wining'!$C$2:$C$2000))*ISNUMBER(SEARCH("P4400",'Data Base Coal Wining'!$C$2:$C$2000))*('Data Base Coal Wining'!$H$2:$H$2000="MAP")*('Data Base Coal Wining'!$G$2:$G$2000="Coal Winning")*ISNUMBER(SEARCH(TEXT('September TCM'!$B14,"00")&amp;"/09/2026",'Data Base Coal Wining'!$E$2:$E$2000))*'Data Base Coal Wining'!$N$2:$N$2000)</f>
        <v>1579.44</v>
      </c>
      <c r="BN14" s="2170"/>
      <c r="BO14" s="1735">
        <f t="shared" si="25"/>
        <v>22.809983285215012</v>
      </c>
      <c r="BP14" s="36">
        <v>6406</v>
      </c>
      <c r="BQ14" s="2514">
        <f>SUMPRODUCT(ISNUMBER(SEARCH("BK34",'Data Base Coal Wining'!$C$2:$C$2000))*ISNUMBER(SEARCH("P4000",'Data Base Coal Wining'!$C$2:$C$2000))*('Data Base Coal Wining'!$H$2:$H$2000="PJPN")*('Data Base Coal Wining'!$G$2:$G$2000="Coal Winning")*ISNUMBER(SEARCH(TEXT('September TCM'!$B14,"00")&amp;"/09/2026",'Data Base Coal Wining'!$E$2:$E$2000))*'Data Base Coal Wining'!$N$2:$N$2000)</f>
        <v>0</v>
      </c>
      <c r="BR14" s="1735">
        <f t="shared" si="26"/>
        <v>0</v>
      </c>
      <c r="BS14" s="36"/>
      <c r="BT14" s="53"/>
      <c r="BU14" s="61">
        <f t="shared" si="27"/>
        <v>0</v>
      </c>
      <c r="BV14" s="36">
        <v>24815</v>
      </c>
      <c r="BW14" s="27">
        <v>2064</v>
      </c>
      <c r="BX14" s="1906">
        <f t="shared" si="28"/>
        <v>12.022771317829458</v>
      </c>
      <c r="BY14" s="26"/>
      <c r="BZ14" s="27"/>
      <c r="CA14" s="61">
        <f t="shared" si="29"/>
        <v>0</v>
      </c>
      <c r="CB14" s="36"/>
      <c r="CC14" s="481"/>
      <c r="CD14" s="482">
        <f t="shared" si="30"/>
        <v>0</v>
      </c>
      <c r="CE14" s="4"/>
      <c r="CF14" s="5"/>
      <c r="CG14" s="28">
        <f t="shared" si="31"/>
        <v>0</v>
      </c>
      <c r="CH14" s="150"/>
      <c r="CI14" s="4"/>
      <c r="CJ14" s="5">
        <v>5865</v>
      </c>
      <c r="CK14" s="5">
        <v>10890</v>
      </c>
      <c r="CL14" s="5"/>
      <c r="CM14" s="5"/>
      <c r="CN14" s="3">
        <f t="shared" si="111"/>
        <v>16755</v>
      </c>
      <c r="CO14" s="33"/>
      <c r="CP14" s="366"/>
      <c r="CR14" s="4">
        <f t="shared" si="32"/>
        <v>0</v>
      </c>
      <c r="CS14" s="9">
        <f t="shared" si="32"/>
        <v>0</v>
      </c>
      <c r="CT14" s="5">
        <f t="shared" si="32"/>
        <v>0</v>
      </c>
      <c r="CU14" s="5">
        <f t="shared" si="32"/>
        <v>0</v>
      </c>
      <c r="CV14" s="5">
        <f t="shared" si="32"/>
        <v>0</v>
      </c>
      <c r="CW14" s="5">
        <f t="shared" si="32"/>
        <v>0</v>
      </c>
      <c r="CX14" s="5">
        <f t="shared" si="32"/>
        <v>1924.3400000000001</v>
      </c>
      <c r="CY14" s="5">
        <f t="shared" si="32"/>
        <v>0</v>
      </c>
      <c r="CZ14" s="5">
        <f t="shared" si="32"/>
        <v>1579.44</v>
      </c>
      <c r="DA14" s="5">
        <f t="shared" si="32"/>
        <v>0</v>
      </c>
      <c r="DB14" s="5">
        <f t="shared" si="32"/>
        <v>2991.02</v>
      </c>
      <c r="DC14" s="12">
        <f t="shared" si="33"/>
        <v>0</v>
      </c>
      <c r="DD14" s="310">
        <f t="shared" si="34"/>
        <v>6494.8</v>
      </c>
      <c r="DE14" s="2695"/>
      <c r="DF14" s="8"/>
      <c r="DG14" s="9"/>
      <c r="DH14" s="5"/>
      <c r="DI14" s="5"/>
      <c r="DJ14" s="5"/>
      <c r="DK14" s="5"/>
      <c r="DL14" s="3">
        <f>SUMPRODUCT(('Data Base Coal Wining'!$D$2:$D$2000="TCM-ROM SB1 BK05-ROM 4")*('Data Base Coal Wining'!$G$2:$G$2000="Coal Winning")*ISNUMBER(SEARCH(TEXT('September TCM'!$B14,"00")&amp;"/09/2026",'Data Base Coal Wining'!$E$2:$E$2000))*'Data Base Coal Wining'!$N$2:$N$2000)</f>
        <v>1924.3400000000001</v>
      </c>
      <c r="DM14" s="5"/>
      <c r="DN14" s="3">
        <f>SUMPRODUCT(('Data Base Coal Wining'!$D$2:$D$2000="TCM-ROM SB1 BK05-ROM 5")*('Data Base Coal Wining'!$G$2:$G$2000="Coal Winning")*ISNUMBER(SEARCH(TEXT('September TCM'!$B14,"00")&amp;"/09/2026",'Data Base Coal Wining'!$E$2:$E$2000))*'Data Base Coal Wining'!$N$2:$N$2000)</f>
        <v>0</v>
      </c>
      <c r="DO14" s="5"/>
      <c r="DP14" s="3">
        <f>SUMPRODUCT(('Data Base Coal Wining'!$D$2:$D$2000="TCM-ROM SB1 BK05-ROM 6")*('Data Base Coal Wining'!$G$2:$G$2000="Coal Winning")*ISNUMBER(SEARCH(TEXT('September TCM'!$B14,"00")&amp;"/09/2026",'Data Base Coal Wining'!$E$2:$E$2000))*'Data Base Coal Wining'!$N$2:$N$2000)</f>
        <v>0</v>
      </c>
      <c r="DQ14" s="11">
        <f>SUMPRODUCT(('Data Base Coal Wining'!$D$2:$D$2000="TCM-ROM SB1 BK05-ROM 6.1")*('Data Base Coal Wining'!$G$2:$G$2000="Coal Winning")*ISNUMBER(SEARCH(TEXT('September TCM'!$B14,"00")&amp;"/09/2026",'Data Base Coal Wining'!$E$2:$E$2000))*'Data Base Coal Wining'!$N$2:$N$2000)</f>
        <v>0</v>
      </c>
      <c r="DR14" s="12"/>
      <c r="DS14" s="1906">
        <f t="shared" si="35"/>
        <v>1924.3400000000001</v>
      </c>
      <c r="DT14" s="36"/>
      <c r="DU14" s="36"/>
      <c r="DV14" s="27"/>
      <c r="DW14" s="27"/>
      <c r="DX14" s="5"/>
      <c r="DY14" s="5"/>
      <c r="DZ14" s="5"/>
      <c r="EA14" s="5"/>
      <c r="EB14" s="3">
        <f>SUMPRODUCT(('Data Base Coal Wining'!$D$2:$D$2000="TCM-ROM SB2 BK24-ROM 5")*('Data Base Coal Wining'!$G$2:$G$2000="Coal Winning")*ISNUMBER(SEARCH(TEXT('September TCM'!$B14,"00")&amp;"/09/2026",'Data Base Coal Wining'!$E$2:$E$2000))*'Data Base Coal Wining'!$N$2:$N$2000)</f>
        <v>1579.44</v>
      </c>
      <c r="EC14" s="53"/>
      <c r="ED14" s="24">
        <f>SUMPRODUCT(('Data Base Coal Wining'!$D$2:$D$2000="TCM-ROM SB2 BK24-ROM 6")*('Data Base Coal Wining'!$G$2:$G$2000="Coal Winning")*ISNUMBER(SEARCH(TEXT('September TCM'!$B14,"00")&amp;"/09/2026",'Data Base Coal Wining'!$E$2:$E$2000))*'Data Base Coal Wining'!$N$2:$N$2000)</f>
        <v>927.0200000000001</v>
      </c>
      <c r="EE14" s="33"/>
      <c r="EF14" s="28">
        <f t="shared" si="36"/>
        <v>2506.46</v>
      </c>
      <c r="EG14" s="9"/>
      <c r="EH14" s="9"/>
      <c r="EI14" s="5"/>
      <c r="EJ14" s="5"/>
      <c r="EK14" s="27"/>
      <c r="EL14" s="27"/>
      <c r="EM14" s="27"/>
      <c r="EN14" s="27"/>
      <c r="EO14" s="5"/>
      <c r="EP14" s="5"/>
      <c r="EQ14" s="27">
        <v>2064</v>
      </c>
      <c r="ER14" s="33"/>
      <c r="ES14" s="28">
        <f t="shared" ref="ES14:ES40" si="127">SUM(EG14:EQ14)</f>
        <v>2064</v>
      </c>
      <c r="ET14" s="36"/>
      <c r="EU14" s="27"/>
      <c r="EV14" s="27"/>
      <c r="EW14" s="27"/>
      <c r="EX14" s="27"/>
      <c r="EY14" s="27"/>
      <c r="EZ14" s="33">
        <f t="shared" si="38"/>
        <v>0</v>
      </c>
      <c r="FA14" s="2685"/>
      <c r="FC14" s="4">
        <f t="shared" si="39"/>
        <v>0</v>
      </c>
      <c r="FD14" s="5">
        <f t="shared" si="40"/>
        <v>0</v>
      </c>
      <c r="FE14" s="5">
        <f t="shared" si="41"/>
        <v>0</v>
      </c>
      <c r="FF14" s="12">
        <f t="shared" si="42"/>
        <v>0</v>
      </c>
      <c r="FG14" s="33"/>
      <c r="FH14" s="2674"/>
      <c r="FI14" s="9"/>
      <c r="FJ14" s="5"/>
      <c r="FK14" s="5"/>
      <c r="FL14" s="5"/>
      <c r="FM14" s="5"/>
      <c r="FN14" s="27"/>
      <c r="FO14" s="28">
        <f t="shared" si="43"/>
        <v>0</v>
      </c>
      <c r="FP14" s="36"/>
      <c r="FQ14" s="27"/>
      <c r="FR14" s="27"/>
      <c r="FS14" s="27"/>
      <c r="FT14" s="27"/>
      <c r="FU14" s="27"/>
      <c r="FV14" s="28">
        <f t="shared" si="44"/>
        <v>0</v>
      </c>
      <c r="FW14" s="36"/>
      <c r="FX14" s="36"/>
      <c r="FY14" s="27"/>
      <c r="FZ14" s="27"/>
      <c r="GA14" s="27"/>
      <c r="GB14" s="27"/>
      <c r="GC14" s="27"/>
      <c r="GD14" s="27"/>
      <c r="GE14" s="24" cm="1">
        <f t="array" ref="GE14">SUMPRODUCT(('Data Base Coal Wining'!$C$2:$C$2000="TCM-ROM TEMPORARY SB2 KM 76-ROM HAC (S4700 Hard Ban)")*(ISNUMBER(SEARCH(TEXT('September TCM'!$B14,"00")&amp;"/08/2026",'Data Base Coal Wining'!$E$2:$E$2000)))*'Data Base Coal Wining'!$N$2:$N$2000)</f>
        <v>0</v>
      </c>
      <c r="GF14" s="27"/>
      <c r="GG14" s="27"/>
      <c r="GH14" s="33"/>
      <c r="GI14" s="33">
        <f t="shared" si="45"/>
        <v>0</v>
      </c>
      <c r="GJ14" s="2674"/>
      <c r="GL14" s="2">
        <f t="shared" si="112"/>
        <v>4668.6400000000003</v>
      </c>
      <c r="GM14" s="63">
        <f t="shared" si="113"/>
        <v>7244.26</v>
      </c>
      <c r="GN14" s="24">
        <f t="shared" si="114"/>
        <v>4870.95</v>
      </c>
      <c r="GO14" s="1736">
        <f t="shared" si="46"/>
        <v>16783.850000000002</v>
      </c>
      <c r="GP14" s="141"/>
      <c r="GQ14" s="141"/>
      <c r="GR14" s="33"/>
      <c r="GS14" s="2667"/>
      <c r="GT14" s="1723">
        <f>SUMPRODUCT(('Data Base hauling'!$H$2:$H$2000="Trust")*(ISNUMBER(SEARCH(TEXT('September TCM'!$B14,"00")&amp;"/09/2026",'Data Base hauling'!$E$2:$E$2000)))*'Data Base hauling'!$N$2:$N$2000)</f>
        <v>0</v>
      </c>
      <c r="GU14" s="1723">
        <f>SUMPRODUCT(('Data Base hauling'!$H$2:$H$2000="RT")*(ISNUMBER(SEARCH(TEXT('September TCM'!$B14,"00")&amp;"/09/2026",'Data Base hauling'!$E$2:$E$2000)))*'Data Base hauling'!$N$2:$N$2000)</f>
        <v>985.3</v>
      </c>
      <c r="GV14" s="5">
        <f>SUMPRODUCT(('Data Base hauling'!$H$2:$H$2000="MPE")*(ISNUMBER(SEARCH(TEXT('September TCM'!$B14,"00")&amp;"/09/2026",'Data Base hauling'!$E$2:$E$2000)))*'Data Base hauling'!$N$2:$N$2000)</f>
        <v>5828.5899999999992</v>
      </c>
      <c r="GW14" s="1723">
        <f>SUMPRODUCT(('Data Base hauling'!$H$2:$H$2000="RP")*(ISNUMBER(SEARCH(TEXT('September TCM'!$B14,"00")&amp;"/09/2026",'Data Base hauling'!$E$2:$E$2000)))*'Data Base hauling'!$N$2:$N$2000)</f>
        <v>9969.9599999999973</v>
      </c>
      <c r="GX14" s="2544">
        <f t="shared" si="115"/>
        <v>16783.849999999999</v>
      </c>
      <c r="GY14" s="2667"/>
      <c r="GZ14" s="35">
        <f>SUMPRODUCT(('Data Base hauling'!$C$2:$C$2000="TCM-ROM NB-ROM 1")*(ISNUMBER(SEARCH(TEXT('September TCM'!$B14,"00")&amp;"/09/2026",'Data Base hauling'!$E$2:$E$2000)))*'Data Base hauling'!$N$2:$N$2000)</f>
        <v>0</v>
      </c>
      <c r="HA14" s="9"/>
      <c r="HB14" s="5"/>
      <c r="HC14" s="5"/>
      <c r="HD14" s="5"/>
      <c r="HE14" s="5"/>
      <c r="HF14" s="24">
        <f>SUMPRODUCT(('Data Base hauling'!$C$2:$C$2000="TCM-ROM NB-ROM 4")*(ISNUMBER(SEARCH(TEXT('September TCM'!$B14,"00")&amp;"/09/2026",'Data Base hauling'!$E$2:$E$2000)))*'Data Base hauling'!$N$2:$N$2000)</f>
        <v>0</v>
      </c>
      <c r="HG14" s="24"/>
      <c r="HH14" s="24">
        <f>SUMPRODUCT(('Data Base hauling'!$C$2:$C$2000="TCM-ROM NB-ROM 5")*(ISNUMBER(SEARCH(TEXT('September TCM'!$B14,"00")&amp;"/09/2026",'Data Base hauling'!$E$2:$E$2000)))*'Data Base hauling'!$N$2:$N$2000)</f>
        <v>2244.7600000000002</v>
      </c>
      <c r="HI14" s="24"/>
      <c r="HJ14" s="24">
        <f>SUMPRODUCT(('Data Base hauling'!$C$2:$C$2000="TCM-ROM NB-ROM 6")*(ISNUMBER(SEARCH(TEXT('September TCM'!$B14,"00")&amp;"/09/2026",'Data Base hauling'!$E$2:$E$2000)))*'Data Base hauling'!$N$2:$N$2000)</f>
        <v>1438.58</v>
      </c>
      <c r="HK14" s="24"/>
      <c r="HL14" s="24">
        <f>SUMPRODUCT(('Data Base hauling'!$C$2:$C$2000="TCM-WASH-CR3")*(ISNUMBER(SEARCH(TEXT('September TCM'!$B14,"00")&amp;"/09/2026",'Data Base hauling'!$E$2:$E$2000)))*'Data Base hauling'!$N$2:$N$2000)</f>
        <v>985.3</v>
      </c>
      <c r="HM14" s="5"/>
      <c r="HN14" s="15">
        <f t="shared" si="47"/>
        <v>4668.6400000000003</v>
      </c>
      <c r="HO14" s="9"/>
      <c r="HP14" s="5"/>
      <c r="HQ14" s="5"/>
      <c r="HR14" s="5"/>
      <c r="HS14" s="5"/>
      <c r="HT14" s="5"/>
      <c r="HU14" s="5">
        <f t="array" ref="HU14">SUMPRODUCT(('Data Base hauling'!$C$2:$C$2000="TCM-ROM SB1 BK05-ROM 4")*(ISNUMBER(SEARCH(TEXT('September TCM'!$B14,"00")&amp;"/03/2026",'Data Base hauling'!$E$2:$E$2000)))*'Data Base hauling'!$N$2:$N$2000)</f>
        <v>0</v>
      </c>
      <c r="HV14" s="5"/>
      <c r="HW14" s="5">
        <f t="array" ref="HW14">SUMPRODUCT(('Data Base hauling'!$C$2:$C$2000="TCM-ROM SB1 BK05-ROM 5")*(ISNUMBER(SEARCH(TEXT('September TCM'!$B14,"00")&amp;"/03/2026",'Data Base hauling'!$E$2:$E$2000)))*'Data Base hauling'!$N$2:$N$2000)</f>
        <v>0</v>
      </c>
      <c r="HX14" s="5"/>
      <c r="HY14" s="5"/>
      <c r="HZ14" s="5"/>
      <c r="IA14" s="5"/>
      <c r="IB14" s="5"/>
      <c r="IC14" s="12">
        <f t="shared" si="48"/>
        <v>0</v>
      </c>
      <c r="ID14" s="845"/>
      <c r="IE14" s="363"/>
      <c r="IF14" s="64"/>
      <c r="IG14" s="64"/>
      <c r="IH14" s="64"/>
      <c r="II14" s="64"/>
      <c r="IJ14" s="1926">
        <f>SUMPRODUCT(('Data Base hauling'!$C$2:$C$2000="TCM-ROM SB1 BK05-ROM 4")*(ISNUMBER(SEARCH(TEXT('September TCM'!$B14,"00")&amp;"/09/2026",'Data Base hauling'!$E$2:$E$2000)))*'Data Base hauling'!$N$2:$N$2000)</f>
        <v>1521.15</v>
      </c>
      <c r="IK14" s="1926"/>
      <c r="IL14" s="1926">
        <f>SUMPRODUCT(('Data Base hauling'!$C$2:$C$2000="TCM-ROM SB1 BK05-ROM 5")*(ISNUMBER(SEARCH(TEXT('September TCM'!$B14,"00")&amp;"/09/2026",'Data Base hauling'!$E$2:$E$2000)))*'Data Base hauling'!$N$2:$N$2000)</f>
        <v>0</v>
      </c>
      <c r="IM14" s="49"/>
      <c r="IN14" s="49">
        <f>SUMPRODUCT(('Data Base hauling'!$C$2:$C$2000="TCM-ROM SB1 BK05-ROM 6")*(ISNUMBER(SEARCH(TEXT('September TCM'!$B14,"00")&amp;"/09/2026",'Data Base hauling'!$E$2:$E$2000)))*'Data Base hauling'!$N$2:$N$2000)</f>
        <v>5723.11</v>
      </c>
      <c r="IO14" s="49"/>
      <c r="IP14" s="49"/>
      <c r="IQ14" s="49">
        <f>SUMPRODUCT(('Data Base hauling'!$C$2:$C$2000="TCM-HAC1 (Production)-ROM 2(HAC)")*(ISNUMBER(SEARCH(TEXT('September TCM'!$B14,"00")&amp;"/09/2026",'Data Base hauling'!$E$2:$E$2000)))*'Data Base hauling'!$N$2:$N$2000)</f>
        <v>0</v>
      </c>
      <c r="IR14" s="2195">
        <f t="shared" si="49"/>
        <v>7244.26</v>
      </c>
      <c r="IS14" s="9"/>
      <c r="IT14" s="9"/>
      <c r="IU14" s="5"/>
      <c r="IV14" s="5"/>
      <c r="IW14" s="64"/>
      <c r="IX14" s="5"/>
      <c r="IY14" s="24">
        <f>SUMPRODUCT(('Data Base hauling'!$C$2:$C$2000="TCM-ROM SB2 BK24-ROM 4")*(ISNUMBER(SEARCH(TEXT('September TCM'!$B14,"00")&amp;"/09/2026",'Data Base hauling'!$E$2:$E$2000)))*'Data Base hauling'!$N$2:$N$2000)</f>
        <v>0</v>
      </c>
      <c r="IZ14" s="24"/>
      <c r="JA14" s="24">
        <f>SUMPRODUCT(('Data Base hauling'!$C$2:$C$2000="TCM-ROM SB2 BK24-ROM 5")*(ISNUMBER(SEARCH(TEXT('September TCM'!$B14,"00")&amp;"/09/2026",'Data Base hauling'!$E$2:$E$2000)))*'Data Base hauling'!$N$2:$N$2000)</f>
        <v>3375.41</v>
      </c>
      <c r="JB14" s="24"/>
      <c r="JC14" s="24">
        <f>SUMPRODUCT(('Data Base hauling'!$C$2:$C$2000="TCM-ROM SB2 BK24-ROM 6")*(ISNUMBER(SEARCH(TEXT('September TCM'!$B14,"00")&amp;"/09/2026",'Data Base hauling'!$E$2:$E$2000)))*'Data Base hauling'!$N$2:$N$2000)</f>
        <v>1495.54</v>
      </c>
      <c r="JD14" s="5"/>
      <c r="JE14" s="5"/>
      <c r="JF14" s="5"/>
      <c r="JG14" s="12">
        <f t="shared" si="123"/>
        <v>4870.95</v>
      </c>
      <c r="JH14" s="2667"/>
      <c r="JJ14" s="2014">
        <f>SUMPRODUCT(('Data Base hauling'!$O$2:$O$2000="TCM.HCV.LS")*(ISNUMBER(SEARCH(TEXT('September TCM'!$B14,"00")&amp;"/09/2026",'Data Base hauling'!$E$2:$E$2000)))*'Data Base hauling'!$N$2:$N$2000)</f>
        <v>8285.0899999999983</v>
      </c>
      <c r="JK14" s="2015">
        <f>SUMPRODUCT(('Data Base hauling'!$O$2:$O$2000="TCM.HCV.HS")*(ISNUMBER(SEARCH(TEXT('September TCM'!$B14,"00")&amp;"/09/2026",'Data Base hauling'!$E$2:$E$2000)))*'Data Base hauling'!$N$2:$N$2000)</f>
        <v>8498.76</v>
      </c>
      <c r="JL14" s="53"/>
      <c r="JM14" s="1736">
        <f t="shared" si="51"/>
        <v>16783.849999999999</v>
      </c>
      <c r="JN14" s="33"/>
      <c r="JO14" s="2669"/>
      <c r="JP14" s="66">
        <f>IFERROR(SUMPRODUCT(('Data Base hauling'!$O$2:$O$2000="TCM.HCV.LS")*('Data Base hauling'!$C$2:$C$2000="TCM-ROM NB-ROM 1")*(ISNUMBER(SEARCH(TEXT('September TCM'!$B14,"00")&amp;"/09/2026",'Data Base hauling'!$E$2:$E$2000)))*'Data Base hauling'!$N$2:$N$2000)/'September TCM'!$JJ14,"")</f>
        <v>0</v>
      </c>
      <c r="JQ14" s="67">
        <f>IFERROR(SUMPRODUCT(('Data Base hauling'!$O$2:$O$2000="TCM.HCV.LS")*('Data Base hauling'!$C$2:$C$2000="TCM-ROM NB-ROM 2")*(ISNUMBER(SEARCH(TEXT('September TCM'!$B14,"00")&amp;"/09/2026",'Data Base hauling'!$E$2:$E$2000)))*'Data Base hauling'!$N$2:$N$2000)/'September TCM'!$JJ14,"")</f>
        <v>0</v>
      </c>
      <c r="JR14" s="67">
        <f>IFERROR(SUMPRODUCT(('Data Base hauling'!$O$2:$O$2000="TCM.HCV.LS")*('Data Base hauling'!$C$2:$C$2000="TCM-ROM NB-ROM 3")*(ISNUMBER(SEARCH(TEXT('September TCM'!$B14,"00")&amp;"/09/2026",'Data Base hauling'!$E$2:$E$2000)))*'Data Base hauling'!$N$2:$N$2000)/'September TCM'!$JJ14,"")</f>
        <v>0</v>
      </c>
      <c r="JS14" s="67">
        <f>IFERROR(SUMPRODUCT(('Data Base hauling'!$O$2:$O$2000="TCM.HCV.LS")*('Data Base hauling'!$C$2:$C$2000="TCM-ROM SB1 BK05-ROM 4")*(ISNUMBER(SEARCH(TEXT('September TCM'!$B14,"00")&amp;"/09/2026",'Data Base hauling'!$E$2:$E$2000)))*'Data Base hauling'!$N$2:$N$2000)/'September TCM'!$JJ14,"")</f>
        <v>0</v>
      </c>
      <c r="JT14" s="67">
        <f>IFERROR(SUMPRODUCT(('Data Base hauling'!$O$2:$O$2000="TCM.HCV.LS")*SIGN(('Data Base hauling'!$C$2:$C$2000="TCM-ROM NB-ROM 5")+('Data Base hauling'!$C$2:$C$2000="TCM-ROM SB1 BK05-ROM 5")+('Data Base hauling'!$C$2:$C$2000="TCM-ROM SB2 BK24-ROM 5"))*(ISNUMBER(SEARCH(TEXT('September TCM'!$B14,"00")&amp;"/09/2026",'Data Base hauling'!$E$2:$E$2000)))*'Data Base hauling'!$N$2:$N$2000)/'September TCM'!$JJ14,"")</f>
        <v>0.67834748928496869</v>
      </c>
      <c r="JU14" s="67">
        <f>IFERROR(SUMPRODUCT(('Data Base hauling'!$O$2:$O$2000="TCM.HCV.LS")*SIGN(('Data Base hauling'!$C$2:$C$2000="TCM-ROM NB-ROM 6")+('Data Base hauling'!$C$2:$C$2000="TCM-ROM SB1 BK05-ROM 6")+('Data Base hauling'!$C$2:$C$2000="TCM-ROM SB2 BK24-ROM 6"))*(ISNUMBER(SEARCH(TEXT('September TCM'!$B14,"00")&amp;"/09/2026",'Data Base hauling'!$E$2:$E$2000)))*'Data Base hauling'!$N$2:$N$2000)/'September TCM'!$JJ14,"")</f>
        <v>0.31597363456522509</v>
      </c>
      <c r="JV14" s="67">
        <f>IFERROR(SUMPRODUCT(('Data Base hauling'!$O$2:$O$2000="TCM.HCV.LS")*('Data Base hauling'!$C$2:$C$2000="TCM-WASH-CR3")*(ISNUMBER(SEARCH(TEXT('September TCM'!$B14,"00")&amp;"/09/2026",'Data Base hauling'!$E$2:$E$2000)))*'Data Base hauling'!$N$2:$N$2000)/'September TCM'!$JJ14,"")</f>
        <v>5.67887614980646E-3</v>
      </c>
      <c r="JW14" s="1921">
        <f>SUMPRODUCT(('Data Base hauling'!$O$2:$O$2000="TCM.HCV.LS")*('Data Base hauling'!$C$2:$C$2000="TCM-HAC-CR3")*(ISNUMBER(SEARCH(TEXT('September TCM'!$B14,"00")&amp;"/089/2026",'Data Base hauling'!$E$2:$E$2000)))*'Data Base hauling'!$N$2:$N$2000)</f>
        <v>0</v>
      </c>
      <c r="JX14" s="66">
        <f>IFERROR(SUMPRODUCT(('Data Base hauling'!$O$2:$O$2000="TCM.HCV.HS")*('Data Base hauling'!$C$2:$C$2000="TCM-ROM NB-ROM 1")*(ISNUMBER(SEARCH(TEXT('September TCM'!$B14,"00")&amp;"/09/2026",'Data Base hauling'!$E$2:$E$2000)))*'Data Base hauling'!$N$2:$N$2000)/'September TCM'!$JK14,"")</f>
        <v>0</v>
      </c>
      <c r="JY14" s="67">
        <f>IFERROR(SUMPRODUCT(('Data Base hauling'!$O$2:$O$2000="TCM.HCV.HS")*('Data Base hauling'!$C$2:$C$2000="TCM-ROM NB-ROM 2")*(ISNUMBER(SEARCH(TEXT('September TCM'!$B14,"00")&amp;"/09/2026",'Data Base hauling'!$E$2:$E$2000)))*'Data Base hauling'!$N$2:$N$2000)/'September TCM'!$JK14,"")</f>
        <v>0</v>
      </c>
      <c r="JZ14" s="67">
        <f>IFERROR(SUMPRODUCT(('Data Base hauling'!$O$2:$O$2000="TCM.HCV.HS")*('Data Base hauling'!$C$2:$C$2000="TCM-ROM NB-ROM 3")*(ISNUMBER(SEARCH(TEXT('September TCM'!$B14,"00")&amp;"/09/2026",'Data Base hauling'!$E$2:$E$2000)))*'Data Base hauling'!$N$2:$N$2000)/'September TCM'!$JK14,"")</f>
        <v>0</v>
      </c>
      <c r="KA14" s="67">
        <f>IFERROR(SUMPRODUCT(('Data Base hauling'!$O$2:$O$2000="TCM.HCV.HS")*('Data Base hauling'!$C$2:$C$2000="TCM-ROM SB1 BK05-ROM 4")*(ISNUMBER(SEARCH(TEXT('September TCM'!$B14,"00")&amp;"/09/2026",'Data Base hauling'!$E$2:$E$2000)))*'Data Base hauling'!$N$2:$N$2000)/'September TCM'!$JK14,"")</f>
        <v>0.17898493427276449</v>
      </c>
      <c r="KB14" s="67">
        <f>IFERROR(SUMPRODUCT(('Data Base hauling'!$O$2:$O$2000="TCM.HCV.HS")*SIGN(('Data Base hauling'!$C$2:$C$2000="TCM-ROM NB-ROM 5")+('Data Base hauling'!$C$2:$C$2000="TCM-ROM SB1 BK05-ROM 5")+('Data Base hauling'!$C$2:$C$2000="TCM-ROM SB2 BK24-ROM 5"))*(ISNUMBER(SEARCH(TEXT('September TCM'!$B14,"00")&amp;"/09/2026",'Data Base hauling'!$E$2:$E$2000)))*'Data Base hauling'!$N$2:$N$2000)/'September TCM'!$JK14,"")</f>
        <v>0</v>
      </c>
      <c r="KC14" s="67">
        <f>IFERROR(SUMPRODUCT(('Data Base hauling'!$O$2:$O$2000="TCM.HCV.HS")*SIGN(('Data Base hauling'!$C$2:$C$2000="TCM-ROM NB-ROM 6")+('Data Base hauling'!$C$2:$C$2000="TCM-ROM SB1 BK05-ROM 6")+('Data Base hauling'!$C$2:$C$2000="TCM-ROM SB2 BK24-ROM 6"))*(ISNUMBER(SEARCH(TEXT('September TCM'!$B14,"00")&amp;"/09/2026",'Data Base hauling'!$E$2:$E$2000)))*'Data Base hauling'!$N$2:$N$2000)/'September TCM'!$JK14,"")</f>
        <v>0.71061660759922607</v>
      </c>
      <c r="KD14" s="67">
        <f>IFERROR(SUMPRODUCT(('Data Base hauling'!$O$2:$O$2000="TCM.HCV.HS")*('Data Base hauling'!$C$2:$C$2000="TCM-WASH-CR3")*(ISNUMBER(SEARCH(TEXT('September TCM'!$B14,"00")&amp;"/09/2026",'Data Base hauling'!$E$2:$E$2000)))*'Data Base hauling'!$N$2:$N$2000)/'September TCM'!$JK14,"")</f>
        <v>0.11039845812800926</v>
      </c>
      <c r="KE14" s="68">
        <f>IFERROR(SUMPRODUCT(('Data Base hauling'!$O$2:$O$2000="TCM.HCV.HS")*('Data Base hauling'!$C$2:$C$2000="TCM-HAC-CR3")*(ISNUMBER(SEARCH(TEXT('September TCM'!$B14,"00")&amp;"/09/2026",'Data Base hauling'!$E$2:$E$2000)))*'Data Base hauling'!$N$2:$N$2000)/'September TCM'!$JK14,"")</f>
        <v>0</v>
      </c>
      <c r="KF14" s="69"/>
      <c r="KG14" s="70"/>
      <c r="KH14" s="70"/>
      <c r="KI14" s="70"/>
      <c r="KJ14" s="70"/>
      <c r="KK14" s="70"/>
      <c r="KL14" s="70"/>
      <c r="KM14" s="70"/>
      <c r="KN14" s="33"/>
      <c r="KO14" s="2669"/>
      <c r="KP14" s="2203">
        <f>IFERROR(SUMPRODUCT((TCM.HCV.LS!$A$3:$A$58=DATE(2026,9,$B14))*(TCM.HCV.LS!$O$3:$O$58&gt;0)*TCM.HCV.LS!$C$3:$C$58*TCM.HCV.LS!$O$3:$O$58)/SUMPRODUCT((TCM.HCV.LS!$A$3:$A$58=DATE(2026,9,$B14))*(TCM.HCV.LS!$O$3:$O$58&gt;0)*TCM.HCV.LS!$C$3:$C$58),0)</f>
        <v>7123.9718620014683</v>
      </c>
      <c r="KQ14" s="1721">
        <f>IFERROR(SUMPRODUCT((TCM.HCV.LS!$A$3:$A$58=DATE(2026,9,$B14))*(TCM.HCV.LS!$M$3:$M$58&gt;0)*TCM.HCV.LS!$C$3:$C$58*TCM.HCV.LS!$M$3:$M$58)/SUMPRODUCT((TCM.HCV.LS!$A$3:$A$58=DATE(2026,9,$B14))*(TCM.HCV.LS!$M$3:$M$58&gt;0)*TCM.HCV.LS!$C$3:$C$58),0)</f>
        <v>0.84776608759481276</v>
      </c>
      <c r="KR14" s="1721">
        <f>IFERROR(SUMPRODUCT((TCM.HCV.LS!$A$3:$A$58=DATE(2026,9,$B14))*(TCM.HCV.LS!$G$3:$G$58&gt;0)*TCM.HCV.LS!$C$3:$C$58*TCM.HCV.LS!$G$3:$G$58)/SUMPRODUCT((TCM.HCV.LS!$A$3:$A$58=DATE(2026,9,$B14))*(TCM.HCV.LS!$G$3:$G$58&gt;0)*TCM.HCV.LS!$C$3:$C$58),0)</f>
        <v>2.7703743577195987</v>
      </c>
      <c r="KS14" s="1721">
        <f>IFERROR(SUMPRODUCT((TCM.HCV.LS!$A$3:$A$58=DATE(2026,9,$B14))*(TCM.HCV.LS!$F$3:$F$58&gt;0)*TCM.HCV.LS!$C$3:$C$58*TCM.HCV.LS!$F$3:$F$58)/SUMPRODUCT((TCM.HCV.LS!$A$3:$A$58=DATE(2026,9,$B14))*(TCM.HCV.LS!$F$3:$F$58&gt;0)*TCM.HCV.LS!$C$3:$C$58),0)</f>
        <v>5.8783508686077806</v>
      </c>
      <c r="KT14" s="1722">
        <f>IFERROR(SUMPRODUCT((TCM.HCV.LS!$A$3:$A$58=DATE(2026,9,$B14))*(TCM.HCV.LS!$E$3:$E$58&gt;0)*TCM.HCV.LS!$C$3:$C$58*TCM.HCV.LS!$E$3:$E$58)/SUMPRODUCT((TCM.HCV.LS!$A$3:$A$58=DATE(2026,9,$B14))*(TCM.HCV.LS!$E$3:$E$58&gt;0)*TCM.HCV.LS!$C$3:$C$58),0)</f>
        <v>9.5338401517005131</v>
      </c>
      <c r="KU14" s="1958">
        <f>IFERROR(SUMPRODUCT((TCM.HCV.HS!$A$3:$A$84=DATE(2026,9,$B14))*(TCM.HCV.HS!$O$3:$O$84&gt;0)*TCM.HCV.HS!$C$3:$C$84*TCM.HCV.HS!$O$3:$O$84)/SUMPRODUCT((TCM.HCV.HS!$A$3:$A$84=DATE(2026,9,$B14))*(TCM.HCV.HS!$O$3:$O$84&gt;0)*TCM.HCV.HS!$C$3:$C$84),0)</f>
        <v>6940.9081767029811</v>
      </c>
      <c r="KV14" s="1961">
        <f>IFERROR(SUMPRODUCT((TCM.HCV.HS!$A$3:$A$84=DATE(2026,9,$B14))*(TCM.HCV.HS!$M$3:$M$84&gt;0)*TCM.HCV.HS!$C$3:$C$84*TCM.HCV.HS!$M$3:$M$84)/SUMPRODUCT((TCM.HCV.HS!$A$3:$A$84=DATE(2026,9,$B14))*(TCM.HCV.HS!$M$3:$M$84&gt;0)*TCM.HCV.HS!$C$3:$C$84),0)</f>
        <v>1.5594349335568058</v>
      </c>
      <c r="KW14" s="1961">
        <f>IFERROR(SUMPRODUCT((TCM.HCV.HS!$A$3:$A$84=DATE(2026,9,$B14))*(TCM.HCV.HS!$G$3:$G$84&gt;0)*TCM.HCV.HS!$C$3:$C$84*TCM.HCV.HS!$G$3:$G$84)/SUMPRODUCT((TCM.HCV.HS!$A$3:$A$84=DATE(2026,9,$B14))*(TCM.HCV.HS!$G$3:$G$84&gt;0)*TCM.HCV.HS!$C$3:$C$84),0)</f>
        <v>5.441053513707649</v>
      </c>
      <c r="KX14" s="1961">
        <f>IFERROR(SUMPRODUCT((TCM.HCV.HS!$A$3:$A$84=DATE(2026,9,$B14))*(TCM.HCV.HS!$F$3:$F$84&gt;0)*TCM.HCV.HS!$C$3:$C$84*TCM.HCV.HS!$F$3:$F$84)/SUMPRODUCT((TCM.HCV.HS!$A$3:$A$84=DATE(2026,9,$B14))*(TCM.HCV.HS!$F$3:$F$84&gt;0)*TCM.HCV.HS!$C$3:$C$84),0)</f>
        <v>6.2771866395307079</v>
      </c>
      <c r="KY14" s="1962">
        <f>IFERROR(SUMPRODUCT((TCM.HCV.HS!$A$3:$A$84=DATE(2026,9,$B14))*(TCM.HCV.HS!$E$3:$E$84&gt;0)*TCM.HCV.HS!$C$3:$C$84*TCM.HCV.HS!$E$3:$E$84)/SUMPRODUCT((TCM.HCV.HS!$A$3:$A$84=DATE(2026,9,$B14))*(TCM.HCV.HS!$E$3:$E$84&gt;0)*TCM.HCV.HS!$C$3:$C$84),0)</f>
        <v>9.7447571423440689</v>
      </c>
      <c r="KZ14" s="36"/>
      <c r="LA14" s="53"/>
      <c r="LB14" s="53"/>
      <c r="LC14" s="53"/>
      <c r="LD14" s="53"/>
      <c r="LE14" s="33"/>
      <c r="LF14" s="2669"/>
      <c r="LH14" s="998">
        <f t="shared" si="52"/>
        <v>0</v>
      </c>
      <c r="LI14" s="2167">
        <f t="shared" si="52"/>
        <v>5287.23</v>
      </c>
      <c r="LJ14" s="27">
        <f t="shared" si="52"/>
        <v>0</v>
      </c>
      <c r="LK14" s="1906">
        <f t="shared" si="53"/>
        <v>5287.23</v>
      </c>
      <c r="LL14" s="36">
        <v>1</v>
      </c>
      <c r="LM14" s="27"/>
      <c r="LN14" s="27"/>
      <c r="LO14" s="33"/>
      <c r="LP14" s="2540">
        <v>0</v>
      </c>
      <c r="LQ14" s="486"/>
      <c r="LR14" s="2688"/>
      <c r="LS14" s="21"/>
      <c r="LT14" s="27"/>
      <c r="LU14" s="27"/>
      <c r="LV14" s="27"/>
      <c r="LW14" s="27"/>
      <c r="LX14" s="1117">
        <f t="shared" si="124"/>
        <v>0</v>
      </c>
      <c r="LY14" s="36"/>
      <c r="LZ14" s="2269">
        <v>5287.23</v>
      </c>
      <c r="MA14" s="27"/>
      <c r="MB14" s="27"/>
      <c r="MC14" s="33"/>
      <c r="MD14" s="1906">
        <f t="shared" si="55"/>
        <v>5287.23</v>
      </c>
      <c r="ME14" s="26"/>
      <c r="MF14" s="36"/>
      <c r="MG14" s="27"/>
      <c r="MH14" s="27"/>
      <c r="MI14" s="27"/>
      <c r="MJ14" s="28"/>
      <c r="MK14" s="36"/>
      <c r="ML14" s="36"/>
      <c r="MM14" s="27"/>
      <c r="MN14" s="27"/>
      <c r="MO14" s="27"/>
      <c r="MP14" s="28"/>
      <c r="MQ14" s="36"/>
      <c r="MR14" s="36"/>
      <c r="MS14" s="27"/>
      <c r="MT14" s="27"/>
      <c r="MU14" s="27"/>
      <c r="MV14" s="33">
        <f t="shared" si="56"/>
        <v>0</v>
      </c>
      <c r="MW14" s="2688"/>
      <c r="MY14" s="26">
        <f t="shared" si="57"/>
        <v>367254.13766611251</v>
      </c>
      <c r="MZ14" s="27">
        <f t="shared" si="58"/>
        <v>208074.07302645117</v>
      </c>
      <c r="NA14" s="27">
        <f t="shared" si="59"/>
        <v>27988.533787707358</v>
      </c>
      <c r="NB14" s="28">
        <f t="shared" si="60"/>
        <v>320631.55035698001</v>
      </c>
      <c r="NC14" s="2621"/>
      <c r="ND14" s="23">
        <f t="shared" si="116"/>
        <v>203402.19680113197</v>
      </c>
      <c r="NE14" s="1655">
        <f t="shared" si="117"/>
        <v>163851.94086498057</v>
      </c>
      <c r="NF14" s="60">
        <f t="shared" si="63"/>
        <v>0</v>
      </c>
      <c r="NG14" s="275">
        <f t="shared" si="4"/>
        <v>367254.13766611251</v>
      </c>
      <c r="NH14" s="26">
        <f t="shared" si="64"/>
        <v>0</v>
      </c>
      <c r="NI14" s="27">
        <f t="shared" si="64"/>
        <v>0</v>
      </c>
      <c r="NJ14" s="27">
        <f t="shared" si="64"/>
        <v>0</v>
      </c>
      <c r="NK14" s="27">
        <f t="shared" si="64"/>
        <v>0</v>
      </c>
      <c r="NL14" s="27">
        <f t="shared" si="64"/>
        <v>0</v>
      </c>
      <c r="NM14" s="33">
        <f t="shared" si="64"/>
        <v>0</v>
      </c>
      <c r="NN14" s="27">
        <f t="shared" si="64"/>
        <v>0</v>
      </c>
      <c r="NO14" s="36">
        <f t="shared" si="64"/>
        <v>0</v>
      </c>
      <c r="NP14" s="24">
        <f t="shared" si="64"/>
        <v>26275.750136227245</v>
      </c>
      <c r="NQ14" s="27">
        <f t="shared" si="64"/>
        <v>22358.939343794715</v>
      </c>
      <c r="NR14" s="24">
        <f t="shared" si="118"/>
        <v>8756.5482322711578</v>
      </c>
      <c r="NS14" s="24">
        <f t="shared" si="119"/>
        <v>6835.3880410535075</v>
      </c>
      <c r="NT14" s="27">
        <f t="shared" si="0"/>
        <v>64226.625753346627</v>
      </c>
      <c r="NU14" s="27">
        <f t="shared" si="65"/>
        <v>0</v>
      </c>
      <c r="NV14" s="27">
        <f t="shared" si="65"/>
        <v>0</v>
      </c>
      <c r="NW14" s="27">
        <f t="shared" si="65"/>
        <v>0</v>
      </c>
      <c r="NX14" s="27">
        <f t="shared" si="65"/>
        <v>0</v>
      </c>
      <c r="NY14" s="27">
        <f t="shared" si="65"/>
        <v>0</v>
      </c>
      <c r="NZ14" s="27">
        <f t="shared" si="65"/>
        <v>0</v>
      </c>
      <c r="OA14" s="27">
        <f t="shared" si="65"/>
        <v>33913.405564997222</v>
      </c>
      <c r="OB14" s="27">
        <f t="shared" si="65"/>
        <v>0</v>
      </c>
      <c r="OC14" s="27">
        <f t="shared" si="66"/>
        <v>22993.956475620365</v>
      </c>
      <c r="OD14" s="280"/>
      <c r="OE14" s="27">
        <f t="shared" si="120"/>
        <v>13429.316718063665</v>
      </c>
      <c r="OF14" s="27">
        <f t="shared" si="67"/>
        <v>0</v>
      </c>
      <c r="OG14" s="28">
        <f t="shared" si="1"/>
        <v>70336.678758681257</v>
      </c>
      <c r="OH14" s="27">
        <f t="shared" si="68"/>
        <v>0</v>
      </c>
      <c r="OI14" s="27">
        <f t="shared" si="68"/>
        <v>0</v>
      </c>
      <c r="OJ14" s="27">
        <f t="shared" si="68"/>
        <v>0</v>
      </c>
      <c r="OK14" s="27">
        <f t="shared" si="68"/>
        <v>0</v>
      </c>
      <c r="OL14" s="27">
        <f t="shared" si="68"/>
        <v>0</v>
      </c>
      <c r="OM14" s="27">
        <f t="shared" si="68"/>
        <v>0</v>
      </c>
      <c r="ON14" s="24">
        <f t="shared" si="68"/>
        <v>0</v>
      </c>
      <c r="OO14" s="27">
        <f t="shared" si="68"/>
        <v>0</v>
      </c>
      <c r="OP14" s="24">
        <f t="shared" si="69"/>
        <v>56989.927649249817</v>
      </c>
      <c r="OQ14" s="27">
        <f t="shared" si="70"/>
        <v>0</v>
      </c>
      <c r="OR14" s="24">
        <f t="shared" si="70"/>
        <v>16520.840865173457</v>
      </c>
      <c r="OS14" s="27">
        <f t="shared" si="70"/>
        <v>0</v>
      </c>
      <c r="OT14" s="28">
        <f t="shared" si="2"/>
        <v>73510.768514423282</v>
      </c>
      <c r="OU14" s="36"/>
      <c r="OV14" s="27"/>
      <c r="OW14" s="27"/>
      <c r="OX14" s="27"/>
      <c r="OY14" s="27"/>
      <c r="OZ14" s="27"/>
      <c r="PA14" s="28">
        <f t="shared" si="71"/>
        <v>0</v>
      </c>
      <c r="PB14" s="36">
        <f t="shared" si="72"/>
        <v>0</v>
      </c>
      <c r="PC14" s="27">
        <f t="shared" si="73"/>
        <v>0</v>
      </c>
      <c r="PD14" s="27">
        <f t="shared" si="74"/>
        <v>0</v>
      </c>
      <c r="PE14" s="27">
        <f t="shared" si="75"/>
        <v>0</v>
      </c>
      <c r="PF14" s="24"/>
      <c r="PG14" s="27">
        <f t="shared" si="76"/>
        <v>0</v>
      </c>
      <c r="PH14" s="33">
        <f t="shared" si="3"/>
        <v>0</v>
      </c>
      <c r="PI14" s="2621"/>
      <c r="PK14" s="1907">
        <f>SUMPRODUCT(('Data Base Coal Wining'!$D$2:$D$2000="WASHING PLANT")*ISNUMBER(SEARCH(TEXT('September TCM'!$B14,"00")&amp;"/09/2026",'Data Base Coal Wining'!$E$2:$E$2000))*'Data Base Coal Wining'!$N$2:$N$2000)</f>
        <v>176.7</v>
      </c>
      <c r="PL14" s="1101">
        <v>837</v>
      </c>
      <c r="PM14" s="1101">
        <v>232.5</v>
      </c>
      <c r="PN14" s="3">
        <f t="shared" si="77"/>
        <v>985.3</v>
      </c>
      <c r="PO14" s="3">
        <f t="shared" si="78"/>
        <v>37533.413435124727</v>
      </c>
      <c r="PP14" s="11">
        <f t="shared" si="79"/>
        <v>27988.533787707358</v>
      </c>
      <c r="PQ14" s="15"/>
      <c r="PR14" s="2615"/>
      <c r="PT14" s="4"/>
      <c r="PU14" s="9"/>
      <c r="PV14" s="9"/>
      <c r="PW14" s="9"/>
      <c r="PX14" s="8">
        <f>SUMPRODUCT(('Data Base Coal Wining'!$D$2:$D$2000="TCM-ROM SB1 BK05-ROM 2 (HAC)")*('Data Base Coal Wining'!$G$2:$G$2000="Coal Winning")*ISNUMBER(SEARCH(TEXT('September TCM'!$B14,"00")&amp;"/09/2026",'Data Base Coal Wining'!$E$2:$E$2000))*'Data Base Coal Wining'!$N$2:$N$2000)</f>
        <v>0</v>
      </c>
      <c r="PY14" s="9"/>
      <c r="PZ14" s="8">
        <f t="shared" si="80"/>
        <v>0</v>
      </c>
      <c r="QA14" s="5">
        <f t="shared" si="81"/>
        <v>176.7</v>
      </c>
      <c r="QB14" s="5"/>
      <c r="QC14" s="5"/>
      <c r="QD14" s="5"/>
      <c r="QE14" s="5"/>
      <c r="QF14" s="5"/>
      <c r="QG14" s="12"/>
      <c r="QH14" s="12">
        <f t="shared" si="82"/>
        <v>29562.488999999998</v>
      </c>
      <c r="QI14" s="420">
        <f t="shared" si="83"/>
        <v>286096.81090898003</v>
      </c>
      <c r="QJ14" s="1106">
        <f t="shared" si="121"/>
        <v>4972.2504480000007</v>
      </c>
      <c r="QK14" s="484">
        <f t="shared" si="84"/>
        <v>5505.3678056099998</v>
      </c>
      <c r="QL14" s="12"/>
      <c r="QM14" s="2615"/>
      <c r="QO14" s="139">
        <f t="shared" si="85"/>
        <v>0</v>
      </c>
      <c r="QP14" s="139" t="str">
        <f t="shared" si="86"/>
        <v/>
      </c>
      <c r="QR14" s="139">
        <f t="shared" si="87"/>
        <v>0</v>
      </c>
      <c r="QS14" s="139">
        <f t="shared" si="88"/>
        <v>0</v>
      </c>
      <c r="QU14" s="1">
        <f t="shared" si="89"/>
        <v>0</v>
      </c>
      <c r="QV14" s="1">
        <f t="shared" si="90"/>
        <v>0</v>
      </c>
      <c r="QW14" s="1">
        <f t="shared" si="91"/>
        <v>0</v>
      </c>
      <c r="QX14" s="1">
        <f t="shared" si="92"/>
        <v>0</v>
      </c>
      <c r="QY14" s="1">
        <f t="shared" si="93"/>
        <v>0</v>
      </c>
      <c r="QZ14" s="1">
        <f t="shared" si="94"/>
        <v>0</v>
      </c>
      <c r="RB14" s="1">
        <f t="shared" si="95"/>
        <v>0</v>
      </c>
      <c r="RC14" s="1">
        <f t="shared" si="96"/>
        <v>0</v>
      </c>
      <c r="RD14" s="1">
        <f t="shared" si="97"/>
        <v>0</v>
      </c>
      <c r="RE14" s="1">
        <f t="shared" si="98"/>
        <v>0</v>
      </c>
      <c r="RF14" s="1">
        <f t="shared" si="99"/>
        <v>0</v>
      </c>
      <c r="RG14" s="1">
        <f t="shared" si="100"/>
        <v>0</v>
      </c>
      <c r="RJ14" s="1">
        <v>5</v>
      </c>
      <c r="RK14" s="1">
        <f t="shared" si="101"/>
        <v>53709.25175108316</v>
      </c>
      <c r="RL14" s="1">
        <f t="shared" si="101"/>
        <v>7137.1135498622807</v>
      </c>
      <c r="RM14" s="1">
        <f t="shared" si="101"/>
        <v>9178.5689913333827</v>
      </c>
      <c r="RN14" s="89">
        <f t="shared" si="5"/>
        <v>70024.93429227882</v>
      </c>
      <c r="RO14" s="1033">
        <v>5</v>
      </c>
      <c r="RP14" s="1098">
        <v>0</v>
      </c>
      <c r="RQ14" s="1098">
        <f t="shared" si="102"/>
        <v>0</v>
      </c>
      <c r="RR14" s="1097">
        <f t="shared" si="102"/>
        <v>0</v>
      </c>
      <c r="RS14" s="1097">
        <f t="shared" si="103"/>
        <v>4430.8</v>
      </c>
      <c r="RT14" s="1094"/>
      <c r="RU14" s="2512">
        <v>2609050276</v>
      </c>
      <c r="RX14" s="421">
        <v>5</v>
      </c>
      <c r="RY14" s="1095">
        <f t="shared" si="104"/>
        <v>16783.849999999999</v>
      </c>
      <c r="RZ14" s="2420">
        <v>2609051798</v>
      </c>
      <c r="SB14" s="1090"/>
      <c r="SC14" s="1090">
        <f t="shared" si="105"/>
        <v>0</v>
      </c>
      <c r="SD14" s="1090"/>
      <c r="SE14" s="1090">
        <f t="shared" si="106"/>
        <v>0</v>
      </c>
      <c r="SG14" s="1">
        <v>5</v>
      </c>
      <c r="SH14" s="1">
        <f t="shared" si="107"/>
        <v>985.3</v>
      </c>
      <c r="SI14" s="2420">
        <v>2609051899</v>
      </c>
    </row>
    <row r="15" spans="1:503" s="1" customFormat="1">
      <c r="B15" s="471">
        <v>6</v>
      </c>
      <c r="C15" s="4">
        <f t="shared" si="108"/>
        <v>155578</v>
      </c>
      <c r="D15" s="1736">
        <f t="shared" si="109"/>
        <v>7692.3600000000006</v>
      </c>
      <c r="E15" s="1895">
        <f t="shared" si="6"/>
        <v>20.225002469983203</v>
      </c>
      <c r="F15" s="870"/>
      <c r="G15" s="870"/>
      <c r="H15" s="52"/>
      <c r="I15" s="61"/>
      <c r="J15" s="52"/>
      <c r="K15" s="54"/>
      <c r="L15" s="52"/>
      <c r="M15" s="61"/>
      <c r="N15" s="2629"/>
      <c r="O15" s="4">
        <f t="shared" si="125"/>
        <v>90048</v>
      </c>
      <c r="P15" s="1225">
        <f t="shared" si="7"/>
        <v>2419.5600000000004</v>
      </c>
      <c r="Q15" s="1913">
        <f t="shared" si="8"/>
        <v>37.21668402519466</v>
      </c>
      <c r="R15" s="33"/>
      <c r="S15" s="26">
        <f t="shared" si="9"/>
        <v>35427</v>
      </c>
      <c r="T15" s="27">
        <f t="shared" si="110"/>
        <v>1952.8</v>
      </c>
      <c r="U15" s="1909">
        <f t="shared" si="10"/>
        <v>18.141642769356821</v>
      </c>
      <c r="V15" s="28"/>
      <c r="W15" s="1742">
        <f t="shared" si="11"/>
        <v>21235</v>
      </c>
      <c r="X15" s="5">
        <f t="shared" si="11"/>
        <v>3320</v>
      </c>
      <c r="Y15" s="1909">
        <f t="shared" si="12"/>
        <v>6.3960843373493974</v>
      </c>
      <c r="Z15" s="33"/>
      <c r="AA15" s="26">
        <f t="shared" si="13"/>
        <v>8868</v>
      </c>
      <c r="AB15" s="27">
        <f t="shared" si="126"/>
        <v>0</v>
      </c>
      <c r="AC15" s="1909">
        <f t="shared" si="15"/>
        <v>0</v>
      </c>
      <c r="AD15" s="28"/>
      <c r="AE15" s="36"/>
      <c r="AF15" s="36"/>
      <c r="AG15" s="53">
        <f t="shared" si="16"/>
        <v>0</v>
      </c>
      <c r="AH15" s="28"/>
      <c r="AI15" s="26"/>
      <c r="AJ15" s="27"/>
      <c r="AK15" s="53">
        <f t="shared" si="17"/>
        <v>0</v>
      </c>
      <c r="AL15" s="28"/>
      <c r="AM15" s="2629"/>
      <c r="AN15" s="9"/>
      <c r="AO15" s="5"/>
      <c r="AP15" s="61">
        <f t="shared" si="18"/>
        <v>0</v>
      </c>
      <c r="AQ15" s="36"/>
      <c r="AR15" s="53"/>
      <c r="AS15" s="61">
        <f t="shared" si="19"/>
        <v>0</v>
      </c>
      <c r="AT15" s="36"/>
      <c r="AU15" s="27"/>
      <c r="AV15" s="54">
        <f t="shared" si="20"/>
        <v>0</v>
      </c>
      <c r="AW15" s="26">
        <v>51030</v>
      </c>
      <c r="AX15" s="280">
        <f>SUMPRODUCT(ISNUMBER(SEARCH("BK20",'Data Base Coal Wining'!$C$2:$C$2000))*ISNUMBER(SEARCH("P3000",'Data Base Coal Wining'!$C$2:$C$2000))*('Data Base Coal Wining'!$H$2:$H$2000="PAMA")*('Data Base Coal Wining'!$G$2:$G$2000="Coal Winning")*ISNUMBER(SEARCH(TEXT('September TCM'!$B15,"00")&amp;"/09/2026",'Data Base Coal Wining'!$E$2:$E$2000))*'Data Base Coal Wining'!$N$2:$N$2000)</f>
        <v>2419.5600000000004</v>
      </c>
      <c r="AY15" s="1735">
        <f t="shared" si="122"/>
        <v>21.090611516143426</v>
      </c>
      <c r="AZ15" s="36"/>
      <c r="BA15" s="27"/>
      <c r="BB15" s="61">
        <f t="shared" si="21"/>
        <v>0</v>
      </c>
      <c r="BC15" s="1740">
        <v>39018</v>
      </c>
      <c r="BD15" s="2154">
        <f>SUMPRODUCT(ISNUMBER(SEARCH("BK30",'Data Base Coal Wining'!$C$2:$C$2000))*ISNUMBER(SEARCH("P3000",'Data Base Coal Wining'!$C$2:$C$2000))*('Data Base Coal Wining'!$H$2:$H$2000="PAMA")*('Data Base Coal Wining'!$G$2:$G$2000="Coal Winning")*ISNUMBER(SEARCH(TEXT('September TCM'!$B15,"00")&amp;"/09/2026",'Data Base Coal Wining'!$E$2:$E$2000))*'Data Base Coal Wining'!$N$2:$N$2000)</f>
        <v>0</v>
      </c>
      <c r="BE15" s="1735">
        <f t="shared" si="22"/>
        <v>0</v>
      </c>
      <c r="BF15" s="36"/>
      <c r="BG15" s="53"/>
      <c r="BH15" s="61">
        <f t="shared" si="23"/>
        <v>0</v>
      </c>
      <c r="BI15" s="36">
        <v>0</v>
      </c>
      <c r="BJ15" s="53">
        <v>0</v>
      </c>
      <c r="BK15" s="61">
        <f t="shared" si="24"/>
        <v>0</v>
      </c>
      <c r="BL15" s="1742">
        <v>35427</v>
      </c>
      <c r="BM15" s="2154">
        <f>SUMPRODUCT(ISNUMBER(SEARCH("BK26",'Data Base Coal Wining'!$C$2:$C$2000))*ISNUMBER(SEARCH("P4400",'Data Base Coal Wining'!$C$2:$C$2000))*('Data Base Coal Wining'!$H$2:$H$2000="MAP")*('Data Base Coal Wining'!$G$2:$G$2000="Coal Winning")*ISNUMBER(SEARCH(TEXT('September TCM'!$B15,"00")&amp;"/09/2026",'Data Base Coal Wining'!$E$2:$E$2000))*'Data Base Coal Wining'!$N$2:$N$2000)</f>
        <v>1952.8</v>
      </c>
      <c r="BN15" s="2170"/>
      <c r="BO15" s="1735">
        <f t="shared" si="25"/>
        <v>18.141642769356821</v>
      </c>
      <c r="BP15" s="36">
        <v>8868</v>
      </c>
      <c r="BQ15" s="2514">
        <f>SUMPRODUCT(ISNUMBER(SEARCH("BK34",'Data Base Coal Wining'!$C$2:$C$2000))*ISNUMBER(SEARCH("P4000",'Data Base Coal Wining'!$C$2:$C$2000))*('Data Base Coal Wining'!$H$2:$H$2000="PJPN")*('Data Base Coal Wining'!$G$2:$G$2000="Coal Winning")*ISNUMBER(SEARCH(TEXT('September TCM'!$B15,"00")&amp;"/09/2026",'Data Base Coal Wining'!$E$2:$E$2000))*'Data Base Coal Wining'!$N$2:$N$2000)</f>
        <v>0</v>
      </c>
      <c r="BR15" s="1735">
        <f t="shared" si="26"/>
        <v>0</v>
      </c>
      <c r="BS15" s="36"/>
      <c r="BT15" s="53"/>
      <c r="BU15" s="61">
        <f t="shared" si="27"/>
        <v>0</v>
      </c>
      <c r="BV15" s="36">
        <v>21235</v>
      </c>
      <c r="BW15" s="27">
        <v>3320</v>
      </c>
      <c r="BX15" s="1906">
        <f t="shared" si="28"/>
        <v>6.3960843373493974</v>
      </c>
      <c r="BY15" s="26"/>
      <c r="BZ15" s="27"/>
      <c r="CA15" s="61">
        <f t="shared" si="29"/>
        <v>0</v>
      </c>
      <c r="CB15" s="36"/>
      <c r="CC15" s="481"/>
      <c r="CD15" s="482">
        <f t="shared" si="30"/>
        <v>0</v>
      </c>
      <c r="CE15" s="4"/>
      <c r="CF15" s="5"/>
      <c r="CG15" s="28">
        <f t="shared" si="31"/>
        <v>0</v>
      </c>
      <c r="CH15" s="149"/>
      <c r="CI15" s="4"/>
      <c r="CJ15" s="5">
        <v>4853</v>
      </c>
      <c r="CK15" s="5">
        <v>6464</v>
      </c>
      <c r="CL15" s="5"/>
      <c r="CM15" s="5"/>
      <c r="CN15" s="3">
        <f t="shared" si="111"/>
        <v>11317</v>
      </c>
      <c r="CO15" s="33"/>
      <c r="CP15" s="366"/>
      <c r="CR15" s="4">
        <f t="shared" si="32"/>
        <v>0</v>
      </c>
      <c r="CS15" s="9">
        <f t="shared" si="32"/>
        <v>0</v>
      </c>
      <c r="CT15" s="5">
        <f t="shared" si="32"/>
        <v>0</v>
      </c>
      <c r="CU15" s="5">
        <f t="shared" si="32"/>
        <v>0</v>
      </c>
      <c r="CV15" s="5">
        <f t="shared" si="32"/>
        <v>0</v>
      </c>
      <c r="CW15" s="5">
        <f t="shared" si="32"/>
        <v>0</v>
      </c>
      <c r="CX15" s="5">
        <f t="shared" si="32"/>
        <v>2419.5600000000004</v>
      </c>
      <c r="CY15" s="5">
        <f t="shared" si="32"/>
        <v>0</v>
      </c>
      <c r="CZ15" s="5">
        <f t="shared" si="32"/>
        <v>1952.8</v>
      </c>
      <c r="DA15" s="5">
        <f t="shared" si="32"/>
        <v>0</v>
      </c>
      <c r="DB15" s="5">
        <f t="shared" si="32"/>
        <v>3320</v>
      </c>
      <c r="DC15" s="12">
        <f t="shared" si="33"/>
        <v>0</v>
      </c>
      <c r="DD15" s="310">
        <f t="shared" si="34"/>
        <v>7692.3600000000006</v>
      </c>
      <c r="DE15" s="2695"/>
      <c r="DF15" s="8"/>
      <c r="DG15" s="9"/>
      <c r="DH15" s="5"/>
      <c r="DI15" s="5"/>
      <c r="DJ15" s="5"/>
      <c r="DK15" s="5"/>
      <c r="DL15" s="3">
        <f>SUMPRODUCT(('Data Base Coal Wining'!$D$2:$D$2000="TCM-ROM SB1 BK05-ROM 4")*('Data Base Coal Wining'!$G$2:$G$2000="Coal Winning")*ISNUMBER(SEARCH(TEXT('September TCM'!$B15,"00")&amp;"/09/2026",'Data Base Coal Wining'!$E$2:$E$2000))*'Data Base Coal Wining'!$N$2:$N$2000)</f>
        <v>2419.5600000000004</v>
      </c>
      <c r="DM15" s="5"/>
      <c r="DN15" s="3">
        <f>SUMPRODUCT(('Data Base Coal Wining'!$D$2:$D$2000="TCM-ROM SB1 BK05-ROM 5")*('Data Base Coal Wining'!$G$2:$G$2000="Coal Winning")*ISNUMBER(SEARCH(TEXT('September TCM'!$B15,"00")&amp;"/09/2026",'Data Base Coal Wining'!$E$2:$E$2000))*'Data Base Coal Wining'!$N$2:$N$2000)</f>
        <v>0</v>
      </c>
      <c r="DO15" s="5"/>
      <c r="DP15" s="3">
        <f>SUMPRODUCT(('Data Base Coal Wining'!$D$2:$D$2000="TCM-ROM SB1 BK05-ROM 6")*('Data Base Coal Wining'!$G$2:$G$2000="Coal Winning")*ISNUMBER(SEARCH(TEXT('September TCM'!$B15,"00")&amp;"/09/2026",'Data Base Coal Wining'!$E$2:$E$2000))*'Data Base Coal Wining'!$N$2:$N$2000)</f>
        <v>0</v>
      </c>
      <c r="DQ15" s="11">
        <f>SUMPRODUCT(('Data Base Coal Wining'!$D$2:$D$2000="TCM-ROM SB1 BK05-ROM 6.1")*('Data Base Coal Wining'!$G$2:$G$2000="Coal Winning")*ISNUMBER(SEARCH(TEXT('September TCM'!$B15,"00")&amp;"/09/2026",'Data Base Coal Wining'!$E$2:$E$2000))*'Data Base Coal Wining'!$N$2:$N$2000)</f>
        <v>0</v>
      </c>
      <c r="DR15" s="12"/>
      <c r="DS15" s="1906">
        <f t="shared" si="35"/>
        <v>2419.5600000000004</v>
      </c>
      <c r="DT15" s="36"/>
      <c r="DU15" s="36"/>
      <c r="DV15" s="27"/>
      <c r="DW15" s="27"/>
      <c r="DX15" s="5"/>
      <c r="DY15" s="5"/>
      <c r="DZ15" s="5"/>
      <c r="EA15" s="5"/>
      <c r="EB15" s="3">
        <f>SUMPRODUCT(('Data Base Coal Wining'!$D$2:$D$2000="TCM-ROM SB2 BK24-ROM 5")*('Data Base Coal Wining'!$G$2:$G$2000="Coal Winning")*ISNUMBER(SEARCH(TEXT('September TCM'!$B15,"00")&amp;"/09/2026",'Data Base Coal Wining'!$E$2:$E$2000))*'Data Base Coal Wining'!$N$2:$N$2000)</f>
        <v>1952.8</v>
      </c>
      <c r="EC15" s="53"/>
      <c r="ED15" s="24">
        <f>SUMPRODUCT(('Data Base Coal Wining'!$D$2:$D$2000="TCM-ROM SB2 BK24-ROM 6")*('Data Base Coal Wining'!$G$2:$G$2000="Coal Winning")*ISNUMBER(SEARCH(TEXT('September TCM'!$B15,"00")&amp;"/09/2026",'Data Base Coal Wining'!$E$2:$E$2000))*'Data Base Coal Wining'!$N$2:$N$2000)</f>
        <v>0</v>
      </c>
      <c r="EE15" s="33"/>
      <c r="EF15" s="28">
        <f t="shared" si="36"/>
        <v>1952.8</v>
      </c>
      <c r="EG15" s="9"/>
      <c r="EH15" s="9"/>
      <c r="EI15" s="5"/>
      <c r="EJ15" s="5"/>
      <c r="EK15" s="27"/>
      <c r="EL15" s="27"/>
      <c r="EM15" s="27"/>
      <c r="EN15" s="27"/>
      <c r="EO15" s="5"/>
      <c r="EP15" s="5"/>
      <c r="EQ15" s="5">
        <v>3320</v>
      </c>
      <c r="ER15" s="33"/>
      <c r="ES15" s="28">
        <f t="shared" si="127"/>
        <v>3320</v>
      </c>
      <c r="ET15" s="36"/>
      <c r="EU15" s="27"/>
      <c r="EV15" s="27"/>
      <c r="EW15" s="27"/>
      <c r="EX15" s="27"/>
      <c r="EY15" s="27"/>
      <c r="EZ15" s="33">
        <f t="shared" si="38"/>
        <v>0</v>
      </c>
      <c r="FA15" s="2685"/>
      <c r="FC15" s="4">
        <f t="shared" si="39"/>
        <v>0</v>
      </c>
      <c r="FD15" s="5">
        <f t="shared" si="40"/>
        <v>0</v>
      </c>
      <c r="FE15" s="5">
        <f t="shared" si="41"/>
        <v>0</v>
      </c>
      <c r="FF15" s="12">
        <f t="shared" si="42"/>
        <v>0</v>
      </c>
      <c r="FG15" s="33"/>
      <c r="FH15" s="2674"/>
      <c r="FI15" s="9"/>
      <c r="FJ15" s="5"/>
      <c r="FK15" s="5"/>
      <c r="FL15" s="5"/>
      <c r="FM15" s="5"/>
      <c r="FN15" s="27"/>
      <c r="FO15" s="28">
        <f t="shared" si="43"/>
        <v>0</v>
      </c>
      <c r="FP15" s="36"/>
      <c r="FQ15" s="27"/>
      <c r="FR15" s="27"/>
      <c r="FS15" s="27"/>
      <c r="FT15" s="27"/>
      <c r="FU15" s="27"/>
      <c r="FV15" s="28">
        <f t="shared" si="44"/>
        <v>0</v>
      </c>
      <c r="FW15" s="36"/>
      <c r="FX15" s="36"/>
      <c r="FY15" s="27"/>
      <c r="FZ15" s="27"/>
      <c r="GA15" s="27"/>
      <c r="GB15" s="27"/>
      <c r="GC15" s="27"/>
      <c r="GD15" s="27"/>
      <c r="GE15" s="24" cm="1">
        <f t="array" ref="GE15">SUMPRODUCT(('Data Base Coal Wining'!$C$2:$C$2000="TCM-ROM TEMPORARY SB2 KM 76-ROM HAC (S4700 Hard Ban)")*(ISNUMBER(SEARCH(TEXT('September TCM'!$B15,"00")&amp;"/08/2026",'Data Base Coal Wining'!$E$2:$E$2000)))*'Data Base Coal Wining'!$N$2:$N$2000)</f>
        <v>0</v>
      </c>
      <c r="GF15" s="27"/>
      <c r="GG15" s="27"/>
      <c r="GH15" s="33"/>
      <c r="GI15" s="33">
        <f t="shared" si="45"/>
        <v>0</v>
      </c>
      <c r="GJ15" s="2674"/>
      <c r="GL15" s="2">
        <f t="shared" si="112"/>
        <v>4483.7</v>
      </c>
      <c r="GM15" s="63">
        <f t="shared" si="113"/>
        <v>7161.1499999999987</v>
      </c>
      <c r="GN15" s="24">
        <f t="shared" si="114"/>
        <v>4326.1499999999996</v>
      </c>
      <c r="GO15" s="1736">
        <f t="shared" si="46"/>
        <v>15970.999999999998</v>
      </c>
      <c r="GP15" s="141"/>
      <c r="GQ15" s="141"/>
      <c r="GR15" s="33"/>
      <c r="GS15" s="2702"/>
      <c r="GT15" s="1723">
        <f>SUMPRODUCT(('Data Base hauling'!$H$2:$H$2000="Trust")*(ISNUMBER(SEARCH(TEXT('September TCM'!$B15,"00")&amp;"/09/2026",'Data Base hauling'!$E$2:$E$2000)))*'Data Base hauling'!$N$2:$N$2000)</f>
        <v>0</v>
      </c>
      <c r="GU15" s="1723">
        <f>SUMPRODUCT(('Data Base hauling'!$H$2:$H$2000="RT")*(ISNUMBER(SEARCH(TEXT('September TCM'!$B15,"00")&amp;"/09/2026",'Data Base hauling'!$E$2:$E$2000)))*'Data Base hauling'!$N$2:$N$2000)</f>
        <v>666.5</v>
      </c>
      <c r="GV15" s="5">
        <f>SUMPRODUCT(('Data Base hauling'!$H$2:$H$2000="MPE")*(ISNUMBER(SEARCH(TEXT('September TCM'!$B15,"00")&amp;"/09/2026",'Data Base hauling'!$E$2:$E$2000)))*'Data Base hauling'!$N$2:$N$2000)</f>
        <v>6031.45</v>
      </c>
      <c r="GW15" s="1723">
        <f>SUMPRODUCT(('Data Base hauling'!$H$2:$H$2000="RP")*(ISNUMBER(SEARCH(TEXT('September TCM'!$B15,"00")&amp;"/09/2026",'Data Base hauling'!$E$2:$E$2000)))*'Data Base hauling'!$N$2:$N$2000)</f>
        <v>9273.0500000000011</v>
      </c>
      <c r="GX15" s="2544">
        <f t="shared" si="115"/>
        <v>15971</v>
      </c>
      <c r="GY15" s="2667"/>
      <c r="GZ15" s="35">
        <f>SUMPRODUCT(('Data Base hauling'!$C$2:$C$2000="TCM-ROM NB-ROM 1")*(ISNUMBER(SEARCH(TEXT('September TCM'!$B15,"00")&amp;"/09/2026",'Data Base hauling'!$E$2:$E$2000)))*'Data Base hauling'!$N$2:$N$2000)</f>
        <v>0</v>
      </c>
      <c r="HA15" s="9"/>
      <c r="HB15" s="5"/>
      <c r="HC15" s="5"/>
      <c r="HD15" s="5"/>
      <c r="HE15" s="5"/>
      <c r="HF15" s="24">
        <f>SUMPRODUCT(('Data Base hauling'!$C$2:$C$2000="TCM-ROM NB-ROM 4")*(ISNUMBER(SEARCH(TEXT('September TCM'!$B15,"00")&amp;"/09/2026",'Data Base hauling'!$E$2:$E$2000)))*'Data Base hauling'!$N$2:$N$2000)</f>
        <v>0</v>
      </c>
      <c r="HG15" s="24"/>
      <c r="HH15" s="24">
        <f>SUMPRODUCT(('Data Base hauling'!$C$2:$C$2000="TCM-ROM NB-ROM 5")*(ISNUMBER(SEARCH(TEXT('September TCM'!$B15,"00")&amp;"/09/2026",'Data Base hauling'!$E$2:$E$2000)))*'Data Base hauling'!$N$2:$N$2000)</f>
        <v>2286.2199999999998</v>
      </c>
      <c r="HI15" s="24"/>
      <c r="HJ15" s="24">
        <f>SUMPRODUCT(('Data Base hauling'!$C$2:$C$2000="TCM-ROM NB-ROM 6")*(ISNUMBER(SEARCH(TEXT('September TCM'!$B15,"00")&amp;"/09/2026",'Data Base hauling'!$E$2:$E$2000)))*'Data Base hauling'!$N$2:$N$2000)</f>
        <v>1530.98</v>
      </c>
      <c r="HK15" s="24"/>
      <c r="HL15" s="24">
        <f>SUMPRODUCT(('Data Base hauling'!$C$2:$C$2000="TCM-WASH-CR3")*(ISNUMBER(SEARCH(TEXT('September TCM'!$B15,"00")&amp;"/09/2026",'Data Base hauling'!$E$2:$E$2000)))*'Data Base hauling'!$N$2:$N$2000)</f>
        <v>666.5</v>
      </c>
      <c r="HM15" s="5"/>
      <c r="HN15" s="15">
        <f t="shared" si="47"/>
        <v>4483.7</v>
      </c>
      <c r="HO15" s="9"/>
      <c r="HP15" s="5"/>
      <c r="HQ15" s="5"/>
      <c r="HR15" s="5"/>
      <c r="HS15" s="5"/>
      <c r="HT15" s="5"/>
      <c r="HU15" s="5">
        <f t="array" ref="HU15">SUMPRODUCT(('Data Base hauling'!$C$2:$C$2000="TCM-ROM SB1 BK05-ROM 4")*(ISNUMBER(SEARCH(TEXT('September TCM'!$B15,"00")&amp;"/03/2026",'Data Base hauling'!$E$2:$E$2000)))*'Data Base hauling'!$N$2:$N$2000)</f>
        <v>0</v>
      </c>
      <c r="HV15" s="5"/>
      <c r="HW15" s="5">
        <f t="array" ref="HW15">SUMPRODUCT(('Data Base hauling'!$C$2:$C$2000="TCM-ROM SB1 BK05-ROM 5")*(ISNUMBER(SEARCH(TEXT('September TCM'!$B15,"00")&amp;"/03/2026",'Data Base hauling'!$E$2:$E$2000)))*'Data Base hauling'!$N$2:$N$2000)</f>
        <v>0</v>
      </c>
      <c r="HX15" s="5"/>
      <c r="HY15" s="5"/>
      <c r="HZ15" s="5"/>
      <c r="IA15" s="5"/>
      <c r="IB15" s="5"/>
      <c r="IC15" s="12">
        <f t="shared" si="48"/>
        <v>0</v>
      </c>
      <c r="ID15" s="845"/>
      <c r="IE15" s="363"/>
      <c r="IF15" s="64"/>
      <c r="IG15" s="64"/>
      <c r="IH15" s="64"/>
      <c r="II15" s="64"/>
      <c r="IJ15" s="1926">
        <f>SUMPRODUCT(('Data Base hauling'!$C$2:$C$2000="TCM-ROM SB1 BK05-ROM 4")*(ISNUMBER(SEARCH(TEXT('September TCM'!$B15,"00")&amp;"/09/2026",'Data Base hauling'!$E$2:$E$2000)))*'Data Base hauling'!$N$2:$N$2000)</f>
        <v>1967.8700000000001</v>
      </c>
      <c r="IK15" s="1926"/>
      <c r="IL15" s="1926">
        <f>SUMPRODUCT(('Data Base hauling'!$C$2:$C$2000="TCM-ROM SB1 BK05-ROM 5")*(ISNUMBER(SEARCH(TEXT('September TCM'!$B15,"00")&amp;"/09/2026",'Data Base hauling'!$E$2:$E$2000)))*'Data Base hauling'!$N$2:$N$2000)</f>
        <v>0</v>
      </c>
      <c r="IM15" s="49"/>
      <c r="IN15" s="49">
        <f>SUMPRODUCT(('Data Base hauling'!$C$2:$C$2000="TCM-ROM SB1 BK05-ROM 6")*(ISNUMBER(SEARCH(TEXT('September TCM'!$B15,"00")&amp;"/09/2026",'Data Base hauling'!$E$2:$E$2000)))*'Data Base hauling'!$N$2:$N$2000)</f>
        <v>5193.2799999999988</v>
      </c>
      <c r="IO15" s="49"/>
      <c r="IP15" s="49"/>
      <c r="IQ15" s="49">
        <f>SUMPRODUCT(('Data Base hauling'!$C$2:$C$2000="TCM-HAC1 (Production)-ROM 2(HAC)")*(ISNUMBER(SEARCH(TEXT('September TCM'!$B15,"00")&amp;"/09/2026",'Data Base hauling'!$E$2:$E$2000)))*'Data Base hauling'!$N$2:$N$2000)</f>
        <v>0</v>
      </c>
      <c r="IR15" s="2195">
        <f t="shared" si="49"/>
        <v>7161.1499999999987</v>
      </c>
      <c r="IS15" s="9"/>
      <c r="IT15" s="9"/>
      <c r="IU15" s="5"/>
      <c r="IV15" s="5"/>
      <c r="IW15" s="64"/>
      <c r="IX15" s="5"/>
      <c r="IY15" s="24">
        <f>SUMPRODUCT(('Data Base hauling'!$C$2:$C$2000="TCM-ROM SB2 BK24-ROM 4")*(ISNUMBER(SEARCH(TEXT('September TCM'!$B15,"00")&amp;"/09/2026",'Data Base hauling'!$E$2:$E$2000)))*'Data Base hauling'!$N$2:$N$2000)</f>
        <v>0</v>
      </c>
      <c r="IZ15" s="24"/>
      <c r="JA15" s="24">
        <f>SUMPRODUCT(('Data Base hauling'!$C$2:$C$2000="TCM-ROM SB2 BK24-ROM 5")*(ISNUMBER(SEARCH(TEXT('September TCM'!$B15,"00")&amp;"/09/2026",'Data Base hauling'!$E$2:$E$2000)))*'Data Base hauling'!$N$2:$N$2000)</f>
        <v>2821.54</v>
      </c>
      <c r="JB15" s="24"/>
      <c r="JC15" s="24">
        <f>SUMPRODUCT(('Data Base hauling'!$C$2:$C$2000="TCM-ROM SB2 BK24-ROM 6")*(ISNUMBER(SEARCH(TEXT('September TCM'!$B15,"00")&amp;"/09/2026",'Data Base hauling'!$E$2:$E$2000)))*'Data Base hauling'!$N$2:$N$2000)</f>
        <v>1504.61</v>
      </c>
      <c r="JD15" s="5"/>
      <c r="JE15" s="5"/>
      <c r="JF15" s="5"/>
      <c r="JG15" s="12">
        <f t="shared" si="123"/>
        <v>4326.1499999999996</v>
      </c>
      <c r="JH15" s="2667"/>
      <c r="JJ15" s="2014">
        <f>SUMPRODUCT(('Data Base hauling'!$O$2:$O$2000="TCM.HCV.LS")*(ISNUMBER(SEARCH(TEXT('September TCM'!$B15,"00")&amp;"/09/2026",'Data Base hauling'!$E$2:$E$2000)))*'Data Base hauling'!$N$2:$N$2000)</f>
        <v>7890.86</v>
      </c>
      <c r="JK15" s="2015">
        <f>SUMPRODUCT(('Data Base hauling'!$O$2:$O$2000="TCM.HCV.HS")*(ISNUMBER(SEARCH(TEXT('September TCM'!$B15,"00")&amp;"/09/2026",'Data Base hauling'!$E$2:$E$2000)))*'Data Base hauling'!$N$2:$N$2000)</f>
        <v>8080.1400000000012</v>
      </c>
      <c r="JL15" s="53"/>
      <c r="JM15" s="1736">
        <f t="shared" si="51"/>
        <v>15971</v>
      </c>
      <c r="JN15" s="33"/>
      <c r="JO15" s="2669"/>
      <c r="JP15" s="66">
        <f>IFERROR(SUMPRODUCT(('Data Base hauling'!$O$2:$O$2000="TCM.HCV.LS")*('Data Base hauling'!$C$2:$C$2000="TCM-ROM NB-ROM 1")*(ISNUMBER(SEARCH(TEXT('September TCM'!$B15,"00")&amp;"/09/2026",'Data Base hauling'!$E$2:$E$2000)))*'Data Base hauling'!$N$2:$N$2000)/'September TCM'!$JJ15,"")</f>
        <v>0</v>
      </c>
      <c r="JQ15" s="67">
        <f>IFERROR(SUMPRODUCT(('Data Base hauling'!$O$2:$O$2000="TCM.HCV.LS")*('Data Base hauling'!$C$2:$C$2000="TCM-ROM NB-ROM 2")*(ISNUMBER(SEARCH(TEXT('September TCM'!$B15,"00")&amp;"/09/2026",'Data Base hauling'!$E$2:$E$2000)))*'Data Base hauling'!$N$2:$N$2000)/'September TCM'!$JJ15,"")</f>
        <v>0</v>
      </c>
      <c r="JR15" s="67">
        <f>IFERROR(SUMPRODUCT(('Data Base hauling'!$O$2:$O$2000="TCM.HCV.LS")*('Data Base hauling'!$C$2:$C$2000="TCM-ROM NB-ROM 3")*(ISNUMBER(SEARCH(TEXT('September TCM'!$B15,"00")&amp;"/09/2026",'Data Base hauling'!$E$2:$E$2000)))*'Data Base hauling'!$N$2:$N$2000)/'September TCM'!$JJ15,"")</f>
        <v>0</v>
      </c>
      <c r="JS15" s="67">
        <f>IFERROR(SUMPRODUCT(('Data Base hauling'!$O$2:$O$2000="TCM.HCV.LS")*('Data Base hauling'!$C$2:$C$2000="TCM-ROM SB1 BK05-ROM 4")*(ISNUMBER(SEARCH(TEXT('September TCM'!$B15,"00")&amp;"/09/2026",'Data Base hauling'!$E$2:$E$2000)))*'Data Base hauling'!$N$2:$N$2000)/'September TCM'!$JJ15,"")</f>
        <v>8.6239015772678774E-3</v>
      </c>
      <c r="JT15" s="67">
        <f>IFERROR(SUMPRODUCT(('Data Base hauling'!$O$2:$O$2000="TCM.HCV.LS")*SIGN(('Data Base hauling'!$C$2:$C$2000="TCM-ROM NB-ROM 5")+('Data Base hauling'!$C$2:$C$2000="TCM-ROM SB1 BK05-ROM 5")+('Data Base hauling'!$C$2:$C$2000="TCM-ROM SB2 BK24-ROM 5"))*(ISNUMBER(SEARCH(TEXT('September TCM'!$B15,"00")&amp;"/09/2026",'Data Base hauling'!$E$2:$E$2000)))*'Data Base hauling'!$N$2:$N$2000)/'September TCM'!$JJ15,"")</f>
        <v>0.63738426483298405</v>
      </c>
      <c r="JU15" s="67">
        <f>IFERROR(SUMPRODUCT(('Data Base hauling'!$O$2:$O$2000="TCM.HCV.LS")*SIGN(('Data Base hauling'!$C$2:$C$2000="TCM-ROM NB-ROM 6")+('Data Base hauling'!$C$2:$C$2000="TCM-ROM SB1 BK05-ROM 6")+('Data Base hauling'!$C$2:$C$2000="TCM-ROM SB2 BK24-ROM 6"))*(ISNUMBER(SEARCH(TEXT('September TCM'!$B15,"00")&amp;"/09/2026",'Data Base hauling'!$E$2:$E$2000)))*'Data Base hauling'!$N$2:$N$2000)/'September TCM'!$JJ15,"")</f>
        <v>0.35399183358974817</v>
      </c>
      <c r="JV15" s="67">
        <f>IFERROR(SUMPRODUCT(('Data Base hauling'!$O$2:$O$2000="TCM.HCV.LS")*('Data Base hauling'!$C$2:$C$2000="TCM-WASH-CR3")*(ISNUMBER(SEARCH(TEXT('September TCM'!$B15,"00")&amp;"/09/2026",'Data Base hauling'!$E$2:$E$2000)))*'Data Base hauling'!$N$2:$N$2000)/'September TCM'!$JJ15,"")</f>
        <v>0</v>
      </c>
      <c r="JW15" s="1921">
        <f>SUMPRODUCT(('Data Base hauling'!$O$2:$O$2000="TCM.HCV.LS")*('Data Base hauling'!$C$2:$C$2000="TCM-HAC-CR3")*(ISNUMBER(SEARCH(TEXT('September TCM'!$B15,"00")&amp;"/089/2026",'Data Base hauling'!$E$2:$E$2000)))*'Data Base hauling'!$N$2:$N$2000)</f>
        <v>0</v>
      </c>
      <c r="JX15" s="66">
        <f>IFERROR(SUMPRODUCT(('Data Base hauling'!$O$2:$O$2000="TCM.HCV.HS")*('Data Base hauling'!$C$2:$C$2000="TCM-ROM NB-ROM 1")*(ISNUMBER(SEARCH(TEXT('September TCM'!$B15,"00")&amp;"/09/2026",'Data Base hauling'!$E$2:$E$2000)))*'Data Base hauling'!$N$2:$N$2000)/'September TCM'!$JK15,"")</f>
        <v>0</v>
      </c>
      <c r="JY15" s="67">
        <f>IFERROR(SUMPRODUCT(('Data Base hauling'!$O$2:$O$2000="TCM.HCV.HS")*('Data Base hauling'!$C$2:$C$2000="TCM-ROM NB-ROM 2")*(ISNUMBER(SEARCH(TEXT('September TCM'!$B15,"00")&amp;"/09/2026",'Data Base hauling'!$E$2:$E$2000)))*'Data Base hauling'!$N$2:$N$2000)/'September TCM'!$JK15,"")</f>
        <v>0</v>
      </c>
      <c r="JZ15" s="67">
        <f>IFERROR(SUMPRODUCT(('Data Base hauling'!$O$2:$O$2000="TCM.HCV.HS")*('Data Base hauling'!$C$2:$C$2000="TCM-ROM NB-ROM 3")*(ISNUMBER(SEARCH(TEXT('September TCM'!$B15,"00")&amp;"/09/2026",'Data Base hauling'!$E$2:$E$2000)))*'Data Base hauling'!$N$2:$N$2000)/'September TCM'!$JK15,"")</f>
        <v>0</v>
      </c>
      <c r="KA15" s="67">
        <f>IFERROR(SUMPRODUCT(('Data Base hauling'!$O$2:$O$2000="TCM.HCV.HS")*('Data Base hauling'!$C$2:$C$2000="TCM-ROM SB1 BK05-ROM 4")*(ISNUMBER(SEARCH(TEXT('September TCM'!$B15,"00")&amp;"/09/2026",'Data Base hauling'!$E$2:$E$2000)))*'Data Base hauling'!$N$2:$N$2000)/'September TCM'!$JK15,"")</f>
        <v>0.23512216372488595</v>
      </c>
      <c r="KB15" s="67">
        <f>IFERROR(SUMPRODUCT(('Data Base hauling'!$O$2:$O$2000="TCM.HCV.HS")*SIGN(('Data Base hauling'!$C$2:$C$2000="TCM-ROM NB-ROM 5")+('Data Base hauling'!$C$2:$C$2000="TCM-ROM SB1 BK05-ROM 5")+('Data Base hauling'!$C$2:$C$2000="TCM-ROM SB2 BK24-ROM 5"))*(ISNUMBER(SEARCH(TEXT('September TCM'!$B15,"00")&amp;"/09/2026",'Data Base hauling'!$E$2:$E$2000)))*'Data Base hauling'!$N$2:$N$2000)/'September TCM'!$JK15,"")</f>
        <v>9.6842381443885857E-3</v>
      </c>
      <c r="KC15" s="67">
        <f>IFERROR(SUMPRODUCT(('Data Base hauling'!$O$2:$O$2000="TCM.HCV.HS")*SIGN(('Data Base hauling'!$C$2:$C$2000="TCM-ROM NB-ROM 6")+('Data Base hauling'!$C$2:$C$2000="TCM-ROM SB1 BK05-ROM 6")+('Data Base hauling'!$C$2:$C$2000="TCM-ROM SB2 BK24-ROM 6"))*(ISNUMBER(SEARCH(TEXT('September TCM'!$B15,"00")&amp;"/09/2026",'Data Base hauling'!$E$2:$E$2000)))*'Data Base hauling'!$N$2:$N$2000)/'September TCM'!$JK15,"")</f>
        <v>0.67270740358459147</v>
      </c>
      <c r="KD15" s="67">
        <f>IFERROR(SUMPRODUCT(('Data Base hauling'!$O$2:$O$2000="TCM.HCV.HS")*('Data Base hauling'!$C$2:$C$2000="TCM-WASH-CR3")*(ISNUMBER(SEARCH(TEXT('September TCM'!$B15,"00")&amp;"/09/2026",'Data Base hauling'!$E$2:$E$2000)))*'Data Base hauling'!$N$2:$N$2000)/'September TCM'!$JK15,"")</f>
        <v>8.2486194546134095E-2</v>
      </c>
      <c r="KE15" s="68">
        <f>IFERROR(SUMPRODUCT(('Data Base hauling'!$O$2:$O$2000="TCM.HCV.HS")*('Data Base hauling'!$C$2:$C$2000="TCM-HAC-CR3")*(ISNUMBER(SEARCH(TEXT('September TCM'!$B15,"00")&amp;"/09/2026",'Data Base hauling'!$E$2:$E$2000)))*'Data Base hauling'!$N$2:$N$2000)/'September TCM'!$JK15,"")</f>
        <v>0</v>
      </c>
      <c r="KF15" s="69"/>
      <c r="KG15" s="70"/>
      <c r="KH15" s="70"/>
      <c r="KI15" s="70"/>
      <c r="KJ15" s="70"/>
      <c r="KK15" s="70"/>
      <c r="KL15" s="70"/>
      <c r="KM15" s="70"/>
      <c r="KN15" s="33"/>
      <c r="KO15" s="2669"/>
      <c r="KP15" s="2203">
        <f>IFERROR(SUMPRODUCT((TCM.HCV.LS!$A$3:$A$58=DATE(2026,9,$B15))*(TCM.HCV.LS!$O$3:$O$58&gt;0)*TCM.HCV.LS!$C$3:$C$58*TCM.HCV.LS!$O$3:$O$58)/SUMPRODUCT((TCM.HCV.LS!$A$3:$A$58=DATE(2026,9,$B15))*(TCM.HCV.LS!$O$3:$O$58&gt;0)*TCM.HCV.LS!$C$3:$C$58),0)</f>
        <v>7050.0366572673674</v>
      </c>
      <c r="KQ15" s="1721">
        <f>IFERROR(SUMPRODUCT((TCM.HCV.LS!$A$3:$A$58=DATE(2026,9,$B15))*(TCM.HCV.LS!$M$3:$M$58&gt;0)*TCM.HCV.LS!$C$3:$C$58*TCM.HCV.LS!$M$3:$M$58)/SUMPRODUCT((TCM.HCV.LS!$A$3:$A$58=DATE(2026,9,$B15))*(TCM.HCV.LS!$M$3:$M$58&gt;0)*TCM.HCV.LS!$C$3:$C$58),0)</f>
        <v>0.65999999999999992</v>
      </c>
      <c r="KR15" s="1721">
        <f>IFERROR(SUMPRODUCT((TCM.HCV.LS!$A$3:$A$58=DATE(2026,9,$B15))*(TCM.HCV.LS!$G$3:$G$58&gt;0)*TCM.HCV.LS!$C$3:$C$58*TCM.HCV.LS!$G$3:$G$58)/SUMPRODUCT((TCM.HCV.LS!$A$3:$A$58=DATE(2026,9,$B15))*(TCM.HCV.LS!$G$3:$G$58&gt;0)*TCM.HCV.LS!$C$3:$C$58),0)</f>
        <v>3.2716764932068703</v>
      </c>
      <c r="KS15" s="1721">
        <f>IFERROR(SUMPRODUCT((TCM.HCV.LS!$A$3:$A$58=DATE(2026,9,$B15))*(TCM.HCV.LS!$F$3:$F$58&gt;0)*TCM.HCV.LS!$C$3:$C$58*TCM.HCV.LS!$F$3:$F$58)/SUMPRODUCT((TCM.HCV.LS!$A$3:$A$58=DATE(2026,9,$B15))*(TCM.HCV.LS!$F$3:$F$58&gt;0)*TCM.HCV.LS!$C$3:$C$58),0)</f>
        <v>6.1574621891822616</v>
      </c>
      <c r="KT15" s="1722">
        <f>IFERROR(SUMPRODUCT((TCM.HCV.LS!$A$3:$A$58=DATE(2026,9,$B15))*(TCM.HCV.LS!$E$3:$E$58&gt;0)*TCM.HCV.LS!$C$3:$C$58*TCM.HCV.LS!$E$3:$E$58)/SUMPRODUCT((TCM.HCV.LS!$A$3:$A$58=DATE(2026,9,$B15))*(TCM.HCV.LS!$E$3:$E$58&gt;0)*TCM.HCV.LS!$C$3:$C$58),0)</f>
        <v>9.1151436739297615</v>
      </c>
      <c r="KU15" s="1958">
        <f>IFERROR(SUMPRODUCT((TCM.HCV.HS!$A$3:$A$84=DATE(2026,9,$B15))*(TCM.HCV.HS!$O$3:$O$84&gt;0)*TCM.HCV.HS!$C$3:$C$84*TCM.HCV.HS!$O$3:$O$84)/SUMPRODUCT((TCM.HCV.HS!$A$3:$A$84=DATE(2026,9,$B15))*(TCM.HCV.HS!$O$3:$O$84&gt;0)*TCM.HCV.HS!$C$3:$C$84),0)</f>
        <v>6787.9624718538907</v>
      </c>
      <c r="KV15" s="1961">
        <f>IFERROR(SUMPRODUCT((TCM.HCV.HS!$A$3:$A$84=DATE(2026,9,$B15))*(TCM.HCV.HS!$M$3:$M$84&gt;0)*TCM.HCV.HS!$C$3:$C$84*TCM.HCV.HS!$M$3:$M$84)/SUMPRODUCT((TCM.HCV.HS!$A$3:$A$84=DATE(2026,9,$B15))*(TCM.HCV.HS!$M$3:$M$84&gt;0)*TCM.HCV.HS!$C$3:$C$84),0)</f>
        <v>1.7612359269452089</v>
      </c>
      <c r="KW15" s="1961">
        <f>IFERROR(SUMPRODUCT((TCM.HCV.HS!$A$3:$A$84=DATE(2026,9,$B15))*(TCM.HCV.HS!$G$3:$G$84&gt;0)*TCM.HCV.HS!$C$3:$C$84*TCM.HCV.HS!$G$3:$G$84)/SUMPRODUCT((TCM.HCV.HS!$A$3:$A$84=DATE(2026,9,$B15))*(TCM.HCV.HS!$G$3:$G$84&gt;0)*TCM.HCV.HS!$C$3:$C$84),0)</f>
        <v>6.5647185389041782</v>
      </c>
      <c r="KX15" s="1961">
        <f>IFERROR(SUMPRODUCT((TCM.HCV.HS!$A$3:$A$84=DATE(2026,9,$B15))*(TCM.HCV.HS!$F$3:$F$84&gt;0)*TCM.HCV.HS!$C$3:$C$84*TCM.HCV.HS!$F$3:$F$84)/SUMPRODUCT((TCM.HCV.HS!$A$3:$A$84=DATE(2026,9,$B15))*(TCM.HCV.HS!$F$3:$F$84&gt;0)*TCM.HCV.HS!$C$3:$C$84),0)</f>
        <v>6.0852439329497123</v>
      </c>
      <c r="KY15" s="1962">
        <f>IFERROR(SUMPRODUCT((TCM.HCV.HS!$A$3:$A$84=DATE(2026,9,$B15))*(TCM.HCV.HS!$E$3:$E$84&gt;0)*TCM.HCV.HS!$C$3:$C$84*TCM.HCV.HS!$E$3:$E$84)/SUMPRODUCT((TCM.HCV.HS!$A$3:$A$84=DATE(2026,9,$B15))*(TCM.HCV.HS!$E$3:$E$84&gt;0)*TCM.HCV.HS!$C$3:$C$84),0)</f>
        <v>9.1355144278208655</v>
      </c>
      <c r="KZ15" s="36"/>
      <c r="LA15" s="53"/>
      <c r="LB15" s="53"/>
      <c r="LC15" s="53"/>
      <c r="LD15" s="53"/>
      <c r="LE15" s="33"/>
      <c r="LF15" s="2669"/>
      <c r="LH15" s="998">
        <f t="shared" si="52"/>
        <v>0</v>
      </c>
      <c r="LI15" s="27">
        <f t="shared" si="52"/>
        <v>4451.72</v>
      </c>
      <c r="LJ15" s="27">
        <f t="shared" si="52"/>
        <v>0</v>
      </c>
      <c r="LK15" s="28">
        <f t="shared" si="53"/>
        <v>4451.72</v>
      </c>
      <c r="LL15" s="36">
        <v>1</v>
      </c>
      <c r="LM15" s="27"/>
      <c r="LN15" s="27">
        <v>8</v>
      </c>
      <c r="LO15" s="33"/>
      <c r="LP15" s="2540">
        <v>0</v>
      </c>
      <c r="LQ15" s="486"/>
      <c r="LR15" s="2688"/>
      <c r="LS15" s="1122"/>
      <c r="LT15" s="27"/>
      <c r="LU15" s="27"/>
      <c r="LV15" s="27"/>
      <c r="LW15" s="27"/>
      <c r="LX15" s="1117">
        <f t="shared" si="124"/>
        <v>0</v>
      </c>
      <c r="LY15" s="36"/>
      <c r="LZ15" s="36">
        <v>4451.72</v>
      </c>
      <c r="MA15" s="27"/>
      <c r="MB15" s="27"/>
      <c r="MC15" s="33"/>
      <c r="MD15" s="28">
        <f t="shared" si="55"/>
        <v>4451.72</v>
      </c>
      <c r="ME15" s="26"/>
      <c r="MF15" s="36"/>
      <c r="MG15" s="27"/>
      <c r="MH15" s="27"/>
      <c r="MI15" s="27"/>
      <c r="MJ15" s="28"/>
      <c r="MK15" s="36"/>
      <c r="ML15" s="36"/>
      <c r="MM15" s="27"/>
      <c r="MN15" s="27"/>
      <c r="MO15" s="27"/>
      <c r="MP15" s="28"/>
      <c r="MQ15" s="36"/>
      <c r="MR15" s="36"/>
      <c r="MS15" s="27"/>
      <c r="MT15" s="27"/>
      <c r="MU15" s="27"/>
      <c r="MV15" s="33">
        <f t="shared" si="56"/>
        <v>0</v>
      </c>
      <c r="MW15" s="2688"/>
      <c r="MY15" s="26">
        <f t="shared" si="57"/>
        <v>378773.41766611254</v>
      </c>
      <c r="MZ15" s="27">
        <f t="shared" si="58"/>
        <v>200461.93302645115</v>
      </c>
      <c r="NA15" s="27">
        <f t="shared" si="59"/>
        <v>27592.033787707358</v>
      </c>
      <c r="NB15" s="28">
        <f t="shared" si="60"/>
        <v>319695.99035698001</v>
      </c>
      <c r="NC15" s="2621"/>
      <c r="ND15" s="23">
        <f t="shared" si="116"/>
        <v>211293.05680113196</v>
      </c>
      <c r="NE15" s="1655">
        <f t="shared" si="117"/>
        <v>167480.36086498058</v>
      </c>
      <c r="NF15" s="60">
        <f t="shared" si="63"/>
        <v>0</v>
      </c>
      <c r="NG15" s="275">
        <f t="shared" si="4"/>
        <v>378773.41766611254</v>
      </c>
      <c r="NH15" s="26">
        <f t="shared" si="64"/>
        <v>0</v>
      </c>
      <c r="NI15" s="27">
        <f t="shared" si="64"/>
        <v>0</v>
      </c>
      <c r="NJ15" s="27">
        <f t="shared" si="64"/>
        <v>0</v>
      </c>
      <c r="NK15" s="27">
        <f t="shared" si="64"/>
        <v>0</v>
      </c>
      <c r="NL15" s="27">
        <f t="shared" si="64"/>
        <v>0</v>
      </c>
      <c r="NM15" s="33">
        <f t="shared" si="64"/>
        <v>0</v>
      </c>
      <c r="NN15" s="27">
        <f t="shared" si="64"/>
        <v>0</v>
      </c>
      <c r="NO15" s="36">
        <f t="shared" si="64"/>
        <v>0</v>
      </c>
      <c r="NP15" s="24">
        <f t="shared" si="64"/>
        <v>23989.530136227244</v>
      </c>
      <c r="NQ15" s="27">
        <f t="shared" si="64"/>
        <v>22358.939343794715</v>
      </c>
      <c r="NR15" s="24">
        <f t="shared" si="118"/>
        <v>8756.5482322711578</v>
      </c>
      <c r="NS15" s="24">
        <f t="shared" si="119"/>
        <v>8624.408041053508</v>
      </c>
      <c r="NT15" s="27">
        <f t="shared" si="0"/>
        <v>63729.42575334663</v>
      </c>
      <c r="NU15" s="27">
        <f t="shared" si="65"/>
        <v>0</v>
      </c>
      <c r="NV15" s="27">
        <f t="shared" si="65"/>
        <v>0</v>
      </c>
      <c r="NW15" s="27">
        <f t="shared" si="65"/>
        <v>0</v>
      </c>
      <c r="NX15" s="27">
        <f t="shared" si="65"/>
        <v>0</v>
      </c>
      <c r="NY15" s="27">
        <f t="shared" si="65"/>
        <v>0</v>
      </c>
      <c r="NZ15" s="27">
        <f t="shared" si="65"/>
        <v>0</v>
      </c>
      <c r="OA15" s="27">
        <f t="shared" si="65"/>
        <v>34365.095564997217</v>
      </c>
      <c r="OB15" s="27">
        <f t="shared" si="65"/>
        <v>0</v>
      </c>
      <c r="OC15" s="27">
        <f t="shared" si="66"/>
        <v>17800.676475620367</v>
      </c>
      <c r="OD15" s="280"/>
      <c r="OE15" s="27">
        <f t="shared" si="120"/>
        <v>13429.316718063665</v>
      </c>
      <c r="OF15" s="27">
        <f t="shared" si="67"/>
        <v>0</v>
      </c>
      <c r="OG15" s="28">
        <f t="shared" si="1"/>
        <v>65595.088758681246</v>
      </c>
      <c r="OH15" s="27">
        <f t="shared" si="68"/>
        <v>0</v>
      </c>
      <c r="OI15" s="27">
        <f t="shared" si="68"/>
        <v>0</v>
      </c>
      <c r="OJ15" s="27">
        <f t="shared" si="68"/>
        <v>0</v>
      </c>
      <c r="OK15" s="27">
        <f t="shared" si="68"/>
        <v>0</v>
      </c>
      <c r="OL15" s="27">
        <f t="shared" si="68"/>
        <v>0</v>
      </c>
      <c r="OM15" s="27">
        <f t="shared" si="68"/>
        <v>0</v>
      </c>
      <c r="ON15" s="24">
        <v>0</v>
      </c>
      <c r="OO15" s="27">
        <f t="shared" si="68"/>
        <v>0</v>
      </c>
      <c r="OP15" s="24">
        <f t="shared" si="69"/>
        <v>56121.18764924982</v>
      </c>
      <c r="OQ15" s="27">
        <f t="shared" si="70"/>
        <v>0</v>
      </c>
      <c r="OR15" s="24">
        <f t="shared" si="70"/>
        <v>15016.230865173457</v>
      </c>
      <c r="OS15" s="27">
        <f t="shared" si="70"/>
        <v>0</v>
      </c>
      <c r="OT15" s="28">
        <f t="shared" si="2"/>
        <v>71137.418514423276</v>
      </c>
      <c r="OU15" s="36"/>
      <c r="OV15" s="27"/>
      <c r="OW15" s="27"/>
      <c r="OX15" s="27"/>
      <c r="OY15" s="27"/>
      <c r="OZ15" s="27"/>
      <c r="PA15" s="28">
        <f t="shared" si="71"/>
        <v>0</v>
      </c>
      <c r="PB15" s="36">
        <f t="shared" si="72"/>
        <v>0</v>
      </c>
      <c r="PC15" s="27">
        <f t="shared" si="73"/>
        <v>0</v>
      </c>
      <c r="PD15" s="27">
        <f t="shared" si="74"/>
        <v>0</v>
      </c>
      <c r="PE15" s="27">
        <f t="shared" si="75"/>
        <v>0</v>
      </c>
      <c r="PF15" s="24"/>
      <c r="PG15" s="27">
        <f t="shared" si="76"/>
        <v>0</v>
      </c>
      <c r="PH15" s="33">
        <f t="shared" si="3"/>
        <v>0</v>
      </c>
      <c r="PI15" s="2621"/>
      <c r="PK15" s="1907">
        <f>SUMPRODUCT(('Data Base Coal Wining'!$D$2:$D$2000="WASHING PLANT")*ISNUMBER(SEARCH(TEXT('September TCM'!$B15,"00")&amp;"/09/2026",'Data Base Coal Wining'!$E$2:$E$2000))*'Data Base Coal Wining'!$N$2:$N$2000)</f>
        <v>935.56</v>
      </c>
      <c r="PL15" s="2192">
        <v>972</v>
      </c>
      <c r="PM15" s="2262">
        <v>270</v>
      </c>
      <c r="PN15" s="8">
        <f t="shared" si="77"/>
        <v>666.5</v>
      </c>
      <c r="PO15" s="3">
        <f t="shared" si="78"/>
        <v>37496.973435124724</v>
      </c>
      <c r="PP15" s="11">
        <f t="shared" si="79"/>
        <v>27592.033787707358</v>
      </c>
      <c r="PQ15" s="15"/>
      <c r="PR15" s="2615"/>
      <c r="PT15" s="4"/>
      <c r="PU15" s="9"/>
      <c r="PV15" s="9"/>
      <c r="PW15" s="9"/>
      <c r="PX15" s="8">
        <f>SUMPRODUCT(('Data Base Coal Wining'!$D$2:$D$2000="TCM-ROM SB1 BK05-ROM 2 (HAC)")*('Data Base Coal Wining'!$G$2:$G$2000="Coal Winning")*ISNUMBER(SEARCH(TEXT('September TCM'!$B15,"00")&amp;"/09/2026",'Data Base Coal Wining'!$E$2:$E$2000))*'Data Base Coal Wining'!$N$2:$N$2000)</f>
        <v>0</v>
      </c>
      <c r="PY15" s="9"/>
      <c r="PZ15" s="8">
        <f t="shared" si="80"/>
        <v>0</v>
      </c>
      <c r="QA15" s="5">
        <f t="shared" si="81"/>
        <v>935.56</v>
      </c>
      <c r="QB15" s="5"/>
      <c r="QC15" s="5"/>
      <c r="QD15" s="5"/>
      <c r="QE15" s="5"/>
      <c r="QF15" s="5"/>
      <c r="QG15" s="12"/>
      <c r="QH15" s="12">
        <f t="shared" si="82"/>
        <v>29562.488999999998</v>
      </c>
      <c r="QI15" s="420">
        <f t="shared" si="83"/>
        <v>285161.25090898003</v>
      </c>
      <c r="QJ15" s="1106">
        <f t="shared" si="121"/>
        <v>4972.2504480000007</v>
      </c>
      <c r="QK15" s="484">
        <f t="shared" si="84"/>
        <v>5505.3678056099998</v>
      </c>
      <c r="QL15" s="12"/>
      <c r="QM15" s="2615"/>
      <c r="QO15" s="139">
        <f t="shared" si="85"/>
        <v>0</v>
      </c>
      <c r="QP15" s="139" t="str">
        <f t="shared" si="86"/>
        <v/>
      </c>
      <c r="QR15" s="139">
        <f t="shared" si="87"/>
        <v>0</v>
      </c>
      <c r="QS15" s="139">
        <f t="shared" si="88"/>
        <v>0</v>
      </c>
      <c r="QU15" s="1">
        <f t="shared" si="89"/>
        <v>0</v>
      </c>
      <c r="QV15" s="1">
        <f t="shared" si="90"/>
        <v>0</v>
      </c>
      <c r="QW15" s="1">
        <f t="shared" si="91"/>
        <v>0</v>
      </c>
      <c r="QX15" s="1">
        <f t="shared" si="92"/>
        <v>0</v>
      </c>
      <c r="QY15" s="1">
        <f t="shared" si="93"/>
        <v>0</v>
      </c>
      <c r="QZ15" s="1">
        <f t="shared" si="94"/>
        <v>0</v>
      </c>
      <c r="RB15" s="1">
        <f t="shared" si="95"/>
        <v>0</v>
      </c>
      <c r="RC15" s="1">
        <f t="shared" si="96"/>
        <v>0</v>
      </c>
      <c r="RD15" s="1">
        <f t="shared" si="97"/>
        <v>0</v>
      </c>
      <c r="RE15" s="1">
        <f t="shared" si="98"/>
        <v>0</v>
      </c>
      <c r="RF15" s="1">
        <f t="shared" si="99"/>
        <v>0</v>
      </c>
      <c r="RG15" s="1">
        <f t="shared" si="100"/>
        <v>0</v>
      </c>
      <c r="RJ15" s="1">
        <v>6</v>
      </c>
      <c r="RK15" s="1">
        <f t="shared" si="101"/>
        <v>61600.111751083161</v>
      </c>
      <c r="RL15" s="1">
        <f t="shared" si="101"/>
        <v>10765.533549862281</v>
      </c>
      <c r="RM15" s="1">
        <f t="shared" si="101"/>
        <v>9178.5689913333827</v>
      </c>
      <c r="RN15" s="89">
        <f t="shared" si="5"/>
        <v>81544.214292278819</v>
      </c>
      <c r="RO15" s="1033">
        <v>6</v>
      </c>
      <c r="RP15" s="1098">
        <v>0</v>
      </c>
      <c r="RQ15" s="1098">
        <f t="shared" si="102"/>
        <v>0</v>
      </c>
      <c r="RR15" s="1097">
        <f t="shared" si="102"/>
        <v>0</v>
      </c>
      <c r="RS15" s="1097">
        <f t="shared" si="103"/>
        <v>4372.3600000000006</v>
      </c>
      <c r="RT15" s="1094"/>
      <c r="RU15" s="1094" t="s">
        <v>1112</v>
      </c>
      <c r="RX15" s="421">
        <v>6</v>
      </c>
      <c r="RY15" s="1095">
        <f t="shared" si="104"/>
        <v>15971</v>
      </c>
      <c r="RZ15" s="1094" t="s">
        <v>1113</v>
      </c>
      <c r="SB15" s="1090"/>
      <c r="SC15" s="1090">
        <f t="shared" si="105"/>
        <v>0</v>
      </c>
      <c r="SD15" s="1090"/>
      <c r="SE15" s="1090">
        <f t="shared" si="106"/>
        <v>0</v>
      </c>
      <c r="SG15" s="1">
        <v>6</v>
      </c>
      <c r="SH15" s="1">
        <f t="shared" si="107"/>
        <v>666.5</v>
      </c>
      <c r="SI15" s="1094" t="s">
        <v>1114</v>
      </c>
    </row>
    <row r="16" spans="1:503" s="1" customFormat="1">
      <c r="B16" s="471">
        <v>7</v>
      </c>
      <c r="C16" s="4">
        <f t="shared" si="108"/>
        <v>153766</v>
      </c>
      <c r="D16" s="1590">
        <f>P16+T16+X16+AB16</f>
        <v>7646.78</v>
      </c>
      <c r="E16" s="1895">
        <f t="shared" si="6"/>
        <v>20.108594728761648</v>
      </c>
      <c r="F16" s="870"/>
      <c r="G16" s="870"/>
      <c r="H16" s="52"/>
      <c r="I16" s="61"/>
      <c r="J16" s="52"/>
      <c r="K16" s="54"/>
      <c r="L16" s="52"/>
      <c r="M16" s="61"/>
      <c r="N16" s="2629"/>
      <c r="O16" s="4">
        <f t="shared" si="125"/>
        <v>88536</v>
      </c>
      <c r="P16" s="1225">
        <f t="shared" si="7"/>
        <v>3374.08</v>
      </c>
      <c r="Q16" s="1913">
        <f t="shared" si="8"/>
        <v>26.240041729893779</v>
      </c>
      <c r="R16" s="33"/>
      <c r="S16" s="26">
        <f t="shared" si="9"/>
        <v>35470</v>
      </c>
      <c r="T16" s="27">
        <f t="shared" si="110"/>
        <v>1472.7</v>
      </c>
      <c r="U16" s="1909">
        <f t="shared" si="10"/>
        <v>24.085013920010862</v>
      </c>
      <c r="V16" s="15"/>
      <c r="W16" s="1742">
        <f t="shared" si="11"/>
        <v>20096</v>
      </c>
      <c r="X16" s="5">
        <f t="shared" si="11"/>
        <v>2800</v>
      </c>
      <c r="Y16" s="1909">
        <f t="shared" si="12"/>
        <v>7.177142857142857</v>
      </c>
      <c r="Z16" s="33"/>
      <c r="AA16" s="26">
        <f t="shared" si="13"/>
        <v>9664</v>
      </c>
      <c r="AB16" s="27">
        <f t="shared" si="126"/>
        <v>0</v>
      </c>
      <c r="AC16" s="1909">
        <f t="shared" si="15"/>
        <v>0</v>
      </c>
      <c r="AD16" s="28"/>
      <c r="AE16" s="36"/>
      <c r="AF16" s="36"/>
      <c r="AG16" s="53">
        <f t="shared" si="16"/>
        <v>0</v>
      </c>
      <c r="AH16" s="28"/>
      <c r="AI16" s="23"/>
      <c r="AJ16" s="27"/>
      <c r="AK16" s="53">
        <f t="shared" si="17"/>
        <v>0</v>
      </c>
      <c r="AL16" s="28"/>
      <c r="AM16" s="2629"/>
      <c r="AN16" s="9"/>
      <c r="AO16" s="5"/>
      <c r="AP16" s="61">
        <f t="shared" si="18"/>
        <v>0</v>
      </c>
      <c r="AQ16" s="36"/>
      <c r="AR16" s="53"/>
      <c r="AS16" s="61">
        <f t="shared" si="19"/>
        <v>0</v>
      </c>
      <c r="AT16" s="36">
        <v>0</v>
      </c>
      <c r="AU16" s="27"/>
      <c r="AV16" s="54">
        <f t="shared" si="20"/>
        <v>0</v>
      </c>
      <c r="AW16" s="26">
        <v>49056</v>
      </c>
      <c r="AX16" s="280">
        <f>SUMPRODUCT(ISNUMBER(SEARCH("BK20",'Data Base Coal Wining'!$C$2:$C$2000))*ISNUMBER(SEARCH("P3000",'Data Base Coal Wining'!$C$2:$C$2000))*('Data Base Coal Wining'!$H$2:$H$2000="PAMA")*('Data Base Coal Wining'!$G$2:$G$2000="Coal Winning")*ISNUMBER(SEARCH(TEXT('September TCM'!$B16,"00")&amp;"/09/2026",'Data Base Coal Wining'!$E$2:$E$2000))*'Data Base Coal Wining'!$N$2:$N$2000)</f>
        <v>3374.08</v>
      </c>
      <c r="AY16" s="1735">
        <f t="shared" si="122"/>
        <v>14.539074355083461</v>
      </c>
      <c r="AZ16" s="36"/>
      <c r="BA16" s="27"/>
      <c r="BB16" s="61">
        <f t="shared" si="21"/>
        <v>0</v>
      </c>
      <c r="BC16" s="1740">
        <v>39480</v>
      </c>
      <c r="BD16" s="2154">
        <f>SUMPRODUCT(ISNUMBER(SEARCH("BK30",'Data Base Coal Wining'!$C$2:$C$2000))*ISNUMBER(SEARCH("P3000",'Data Base Coal Wining'!$C$2:$C$2000))*('Data Base Coal Wining'!$H$2:$H$2000="PAMA")*('Data Base Coal Wining'!$G$2:$G$2000="Coal Winning")*ISNUMBER(SEARCH(TEXT('September TCM'!$B16,"00")&amp;"/09/2026",'Data Base Coal Wining'!$E$2:$E$2000))*'Data Base Coal Wining'!$N$2:$N$2000)</f>
        <v>0</v>
      </c>
      <c r="BE16" s="1735">
        <f t="shared" si="22"/>
        <v>0</v>
      </c>
      <c r="BF16" s="36"/>
      <c r="BG16" s="53"/>
      <c r="BH16" s="61">
        <f t="shared" si="23"/>
        <v>0</v>
      </c>
      <c r="BI16" s="36">
        <v>0</v>
      </c>
      <c r="BJ16" s="53">
        <v>0</v>
      </c>
      <c r="BK16" s="61">
        <f t="shared" si="24"/>
        <v>0</v>
      </c>
      <c r="BL16" s="1742">
        <v>35470</v>
      </c>
      <c r="BM16" s="2154">
        <f>SUMPRODUCT(ISNUMBER(SEARCH("BK26",'Data Base Coal Wining'!$C$2:$C$2000))*ISNUMBER(SEARCH("P4400",'Data Base Coal Wining'!$C$2:$C$2000))*('Data Base Coal Wining'!$H$2:$H$2000="MAP")*('Data Base Coal Wining'!$G$2:$G$2000="Coal Winning")*ISNUMBER(SEARCH(TEXT('September TCM'!$B16,"00")&amp;"/09/2026",'Data Base Coal Wining'!$E$2:$E$2000))*'Data Base Coal Wining'!$N$2:$N$2000)</f>
        <v>1472.7</v>
      </c>
      <c r="BN16" s="2170"/>
      <c r="BO16" s="1735">
        <f t="shared" si="25"/>
        <v>24.085013920010862</v>
      </c>
      <c r="BP16" s="36">
        <v>9664</v>
      </c>
      <c r="BQ16" s="2514">
        <f>SUMPRODUCT(ISNUMBER(SEARCH("BK34",'Data Base Coal Wining'!$C$2:$C$2000))*ISNUMBER(SEARCH("P4000",'Data Base Coal Wining'!$C$2:$C$2000))*('Data Base Coal Wining'!$H$2:$H$2000="PJPN")*('Data Base Coal Wining'!$G$2:$G$2000="Coal Winning")*ISNUMBER(SEARCH(TEXT('September TCM'!$B16,"00")&amp;"/09/2026",'Data Base Coal Wining'!$E$2:$E$2000))*'Data Base Coal Wining'!$N$2:$N$2000)</f>
        <v>0</v>
      </c>
      <c r="BR16" s="1735">
        <f t="shared" si="26"/>
        <v>0</v>
      </c>
      <c r="BS16" s="36"/>
      <c r="BT16" s="53"/>
      <c r="BU16" s="61">
        <f t="shared" si="27"/>
        <v>0</v>
      </c>
      <c r="BV16" s="36">
        <v>20096</v>
      </c>
      <c r="BW16" s="27">
        <v>2800</v>
      </c>
      <c r="BX16" s="1906">
        <f t="shared" si="28"/>
        <v>7.177142857142857</v>
      </c>
      <c r="BY16" s="26"/>
      <c r="BZ16" s="27"/>
      <c r="CA16" s="61">
        <f t="shared" si="29"/>
        <v>0</v>
      </c>
      <c r="CB16" s="36"/>
      <c r="CC16" s="481"/>
      <c r="CD16" s="482">
        <f t="shared" si="30"/>
        <v>0</v>
      </c>
      <c r="CE16" s="4"/>
      <c r="CF16" s="5"/>
      <c r="CG16" s="28">
        <f t="shared" si="31"/>
        <v>0</v>
      </c>
      <c r="CH16" s="150"/>
      <c r="CI16" s="4"/>
      <c r="CJ16" s="5">
        <v>3657</v>
      </c>
      <c r="CK16" s="5"/>
      <c r="CL16" s="5"/>
      <c r="CM16" s="5"/>
      <c r="CN16" s="3">
        <f t="shared" si="111"/>
        <v>3657</v>
      </c>
      <c r="CO16" s="33"/>
      <c r="CP16" s="366"/>
      <c r="CR16" s="4">
        <f t="shared" si="32"/>
        <v>0</v>
      </c>
      <c r="CS16" s="9">
        <f t="shared" si="32"/>
        <v>0</v>
      </c>
      <c r="CT16" s="5">
        <f t="shared" si="32"/>
        <v>0</v>
      </c>
      <c r="CU16" s="5">
        <f t="shared" si="32"/>
        <v>0</v>
      </c>
      <c r="CV16" s="5">
        <f t="shared" si="32"/>
        <v>0</v>
      </c>
      <c r="CW16" s="5">
        <f t="shared" si="32"/>
        <v>0</v>
      </c>
      <c r="CX16" s="5">
        <f t="shared" si="32"/>
        <v>3374.08</v>
      </c>
      <c r="CY16" s="5">
        <f t="shared" si="32"/>
        <v>0</v>
      </c>
      <c r="CZ16" s="5">
        <f t="shared" si="32"/>
        <v>1472.7</v>
      </c>
      <c r="DA16" s="5">
        <f t="shared" si="32"/>
        <v>0</v>
      </c>
      <c r="DB16" s="5">
        <f t="shared" si="32"/>
        <v>2800</v>
      </c>
      <c r="DC16" s="12">
        <f t="shared" si="33"/>
        <v>0</v>
      </c>
      <c r="DD16" s="310">
        <f t="shared" si="34"/>
        <v>7646.78</v>
      </c>
      <c r="DE16" s="2695"/>
      <c r="DF16" s="8"/>
      <c r="DG16" s="9"/>
      <c r="DH16" s="5"/>
      <c r="DI16" s="5"/>
      <c r="DJ16" s="5"/>
      <c r="DK16" s="5"/>
      <c r="DL16" s="3">
        <f>SUMPRODUCT(('Data Base Coal Wining'!$D$2:$D$2000="TCM-ROM SB1 BK05-ROM 4")*('Data Base Coal Wining'!$G$2:$G$2000="Coal Winning")*ISNUMBER(SEARCH(TEXT('September TCM'!$B16,"00")&amp;"/09/2026",'Data Base Coal Wining'!$E$2:$E$2000))*'Data Base Coal Wining'!$N$2:$N$2000)</f>
        <v>3374.08</v>
      </c>
      <c r="DM16" s="5"/>
      <c r="DN16" s="3">
        <f>SUMPRODUCT(('Data Base Coal Wining'!$D$2:$D$2000="TCM-ROM SB1 BK05-ROM 5")*('Data Base Coal Wining'!$G$2:$G$2000="Coal Winning")*ISNUMBER(SEARCH(TEXT('September TCM'!$B16,"00")&amp;"/09/2026",'Data Base Coal Wining'!$E$2:$E$2000))*'Data Base Coal Wining'!$N$2:$N$2000)</f>
        <v>0</v>
      </c>
      <c r="DO16" s="5"/>
      <c r="DP16" s="3">
        <f>SUMPRODUCT(('Data Base Coal Wining'!$D$2:$D$2000="TCM-ROM SB1 BK05-ROM 6")*('Data Base Coal Wining'!$G$2:$G$2000="Coal Winning")*ISNUMBER(SEARCH(TEXT('September TCM'!$B16,"00")&amp;"/09/2026",'Data Base Coal Wining'!$E$2:$E$2000))*'Data Base Coal Wining'!$N$2:$N$2000)</f>
        <v>0</v>
      </c>
      <c r="DQ16" s="11">
        <f>SUMPRODUCT(('Data Base Coal Wining'!$D$2:$D$2000="TCM-ROM SB1 BK05-ROM 6.1")*('Data Base Coal Wining'!$G$2:$G$2000="Coal Winning")*ISNUMBER(SEARCH(TEXT('September TCM'!$B16,"00")&amp;"/09/2026",'Data Base Coal Wining'!$E$2:$E$2000))*'Data Base Coal Wining'!$N$2:$N$2000)</f>
        <v>0</v>
      </c>
      <c r="DR16" s="12"/>
      <c r="DS16" s="1906">
        <f t="shared" si="35"/>
        <v>3374.08</v>
      </c>
      <c r="DT16" s="36"/>
      <c r="DU16" s="36"/>
      <c r="DV16" s="27"/>
      <c r="DW16" s="27"/>
      <c r="DX16" s="5"/>
      <c r="DY16" s="5"/>
      <c r="DZ16" s="5"/>
      <c r="EA16" s="5"/>
      <c r="EB16" s="3">
        <f>SUMPRODUCT(('Data Base Coal Wining'!$D$2:$D$2000="TCM-ROM SB2 BK24-ROM 5")*('Data Base Coal Wining'!$G$2:$G$2000="Coal Winning")*ISNUMBER(SEARCH(TEXT('September TCM'!$B16,"00")&amp;"/09/2026",'Data Base Coal Wining'!$E$2:$E$2000))*'Data Base Coal Wining'!$N$2:$N$2000)</f>
        <v>1472.7</v>
      </c>
      <c r="EC16" s="53"/>
      <c r="ED16" s="24">
        <f>SUMPRODUCT(('Data Base Coal Wining'!$D$2:$D$2000="TCM-ROM SB2 BK24-ROM 6")*('Data Base Coal Wining'!$G$2:$G$2000="Coal Winning")*ISNUMBER(SEARCH(TEXT('September TCM'!$B16,"00")&amp;"/09/2026",'Data Base Coal Wining'!$E$2:$E$2000))*'Data Base Coal Wining'!$N$2:$N$2000)</f>
        <v>0</v>
      </c>
      <c r="EE16" s="33"/>
      <c r="EF16" s="28">
        <f t="shared" si="36"/>
        <v>1472.7</v>
      </c>
      <c r="EG16" s="9"/>
      <c r="EH16" s="9"/>
      <c r="EI16" s="5"/>
      <c r="EJ16" s="492"/>
      <c r="EK16" s="27"/>
      <c r="EL16" s="27"/>
      <c r="EM16" s="27"/>
      <c r="EN16" s="27"/>
      <c r="EO16" s="5"/>
      <c r="EP16" s="5"/>
      <c r="EQ16" s="5">
        <v>2800</v>
      </c>
      <c r="ER16" s="33"/>
      <c r="ES16" s="28">
        <f t="shared" si="127"/>
        <v>2800</v>
      </c>
      <c r="ET16" s="36"/>
      <c r="EU16" s="27"/>
      <c r="EV16" s="27"/>
      <c r="EW16" s="27"/>
      <c r="EX16" s="27"/>
      <c r="EY16" s="27"/>
      <c r="EZ16" s="33">
        <f t="shared" si="38"/>
        <v>0</v>
      </c>
      <c r="FA16" s="2685"/>
      <c r="FC16" s="4">
        <f t="shared" si="39"/>
        <v>0</v>
      </c>
      <c r="FD16" s="5">
        <f t="shared" si="40"/>
        <v>0</v>
      </c>
      <c r="FE16" s="5">
        <f t="shared" si="41"/>
        <v>0</v>
      </c>
      <c r="FF16" s="12">
        <f t="shared" si="42"/>
        <v>0</v>
      </c>
      <c r="FG16" s="33"/>
      <c r="FH16" s="2674"/>
      <c r="FI16" s="9"/>
      <c r="FJ16" s="5"/>
      <c r="FK16" s="5"/>
      <c r="FL16" s="5"/>
      <c r="FM16" s="5"/>
      <c r="FN16" s="27"/>
      <c r="FO16" s="28">
        <f t="shared" si="43"/>
        <v>0</v>
      </c>
      <c r="FP16" s="36"/>
      <c r="FQ16" s="27"/>
      <c r="FR16" s="27"/>
      <c r="FS16" s="27"/>
      <c r="FT16" s="27"/>
      <c r="FU16" s="27"/>
      <c r="FV16" s="28">
        <f t="shared" si="44"/>
        <v>0</v>
      </c>
      <c r="FW16" s="36"/>
      <c r="FX16" s="36"/>
      <c r="FY16" s="27"/>
      <c r="FZ16" s="27"/>
      <c r="GA16" s="27"/>
      <c r="GB16" s="27"/>
      <c r="GC16" s="27"/>
      <c r="GD16" s="27"/>
      <c r="GE16" s="24" cm="1">
        <f t="array" ref="GE16">SUMPRODUCT(('Data Base Coal Wining'!$C$2:$C$2000="TCM-ROM TEMPORARY SB2 KM 76-ROM HAC (S4700 Hard Ban)")*(ISNUMBER(SEARCH(TEXT('September TCM'!$B16,"00")&amp;"/08/2026",'Data Base Coal Wining'!$E$2:$E$2000)))*'Data Base Coal Wining'!$N$2:$N$2000)</f>
        <v>0</v>
      </c>
      <c r="GF16" s="27"/>
      <c r="GG16" s="27"/>
      <c r="GH16" s="33"/>
      <c r="GI16" s="33">
        <f t="shared" si="45"/>
        <v>0</v>
      </c>
      <c r="GJ16" s="2674"/>
      <c r="GL16" s="2">
        <f t="shared" si="112"/>
        <v>4463.43</v>
      </c>
      <c r="GM16" s="63">
        <f t="shared" si="113"/>
        <v>7369.26</v>
      </c>
      <c r="GN16" s="24">
        <f t="shared" si="114"/>
        <v>4978.22</v>
      </c>
      <c r="GO16" s="1736">
        <f t="shared" si="46"/>
        <v>16810.91</v>
      </c>
      <c r="GP16" s="141"/>
      <c r="GQ16" s="141"/>
      <c r="GR16" s="33"/>
      <c r="GS16" s="2667"/>
      <c r="GT16" s="1723">
        <f>SUMPRODUCT(('Data Base hauling'!$H$2:$H$2000="Trust")*(ISNUMBER(SEARCH(TEXT('September TCM'!$B16,"00")&amp;"/09/2026",'Data Base hauling'!$E$2:$E$2000)))*'Data Base hauling'!$N$2:$N$2000)</f>
        <v>0</v>
      </c>
      <c r="GU16" s="1723">
        <f>SUMPRODUCT(('Data Base hauling'!$H$2:$H$2000="RT")*(ISNUMBER(SEARCH(TEXT('September TCM'!$B16,"00")&amp;"/09/2026",'Data Base hauling'!$E$2:$E$2000)))*'Data Base hauling'!$N$2:$N$2000)</f>
        <v>610.70000000000005</v>
      </c>
      <c r="GV16" s="5">
        <f>SUMPRODUCT(('Data Base hauling'!$H$2:$H$2000="MPE")*(ISNUMBER(SEARCH(TEXT('September TCM'!$B16,"00")&amp;"/09/2026",'Data Base hauling'!$E$2:$E$2000)))*'Data Base hauling'!$N$2:$N$2000)</f>
        <v>6176.09</v>
      </c>
      <c r="GW16" s="1723">
        <f>SUMPRODUCT(('Data Base hauling'!$H$2:$H$2000="RP")*(ISNUMBER(SEARCH(TEXT('September TCM'!$B16,"00")&amp;"/09/2026",'Data Base hauling'!$E$2:$E$2000)))*'Data Base hauling'!$N$2:$N$2000)</f>
        <v>10024.119999999999</v>
      </c>
      <c r="GX16" s="2544">
        <f t="shared" si="115"/>
        <v>16810.91</v>
      </c>
      <c r="GY16" s="2667"/>
      <c r="GZ16" s="35">
        <f>SUMPRODUCT(('Data Base hauling'!$C$2:$C$2000="TCM-ROM NB-ROM 1")*(ISNUMBER(SEARCH(TEXT('September TCM'!$B16,"00")&amp;"/09/2026",'Data Base hauling'!$E$2:$E$2000)))*'Data Base hauling'!$N$2:$N$2000)</f>
        <v>313.35000000000002</v>
      </c>
      <c r="HA16" s="36"/>
      <c r="HB16" s="27"/>
      <c r="HC16" s="27"/>
      <c r="HD16" s="27"/>
      <c r="HE16" s="27"/>
      <c r="HF16" s="24">
        <f>SUMPRODUCT(('Data Base hauling'!$C$2:$C$2000="TCM-ROM NB-ROM 4")*(ISNUMBER(SEARCH(TEXT('September TCM'!$B16,"00")&amp;"/09/2026",'Data Base hauling'!$E$2:$E$2000)))*'Data Base hauling'!$N$2:$N$2000)</f>
        <v>0</v>
      </c>
      <c r="HG16" s="24"/>
      <c r="HH16" s="24">
        <f>SUMPRODUCT(('Data Base hauling'!$C$2:$C$2000="TCM-ROM NB-ROM 5")*(ISNUMBER(SEARCH(TEXT('September TCM'!$B16,"00")&amp;"/09/2026",'Data Base hauling'!$E$2:$E$2000)))*'Data Base hauling'!$N$2:$N$2000)</f>
        <v>2323.6600000000003</v>
      </c>
      <c r="HI16" s="24"/>
      <c r="HJ16" s="24">
        <f>SUMPRODUCT(('Data Base hauling'!$C$2:$C$2000="TCM-ROM NB-ROM 6")*(ISNUMBER(SEARCH(TEXT('September TCM'!$B16,"00")&amp;"/09/2026",'Data Base hauling'!$E$2:$E$2000)))*'Data Base hauling'!$N$2:$N$2000)</f>
        <v>1529.0700000000002</v>
      </c>
      <c r="HK16" s="24"/>
      <c r="HL16" s="24">
        <f>SUMPRODUCT(('Data Base hauling'!$C$2:$C$2000="TCM-WASH-CR3")*(ISNUMBER(SEARCH(TEXT('September TCM'!$B16,"00")&amp;"/09/2026",'Data Base hauling'!$E$2:$E$2000)))*'Data Base hauling'!$N$2:$N$2000)</f>
        <v>297.35000000000002</v>
      </c>
      <c r="HM16" s="27"/>
      <c r="HN16" s="28">
        <f t="shared" si="47"/>
        <v>4463.43</v>
      </c>
      <c r="HO16" s="36"/>
      <c r="HP16" s="27"/>
      <c r="HQ16" s="27"/>
      <c r="HR16" s="27"/>
      <c r="HS16" s="27"/>
      <c r="HT16" s="27"/>
      <c r="HU16" s="27">
        <f t="array" ref="HU16">SUMPRODUCT(('Data Base hauling'!$C$2:$C$2000="TCM-ROM SB1 BK05-ROM 4")*(ISNUMBER(SEARCH(TEXT('September TCM'!$B16,"00")&amp;"/03/2026",'Data Base hauling'!$E$2:$E$2000)))*'Data Base hauling'!$N$2:$N$2000)</f>
        <v>0</v>
      </c>
      <c r="HV16" s="27"/>
      <c r="HW16" s="27">
        <f t="array" ref="HW16">SUMPRODUCT(('Data Base hauling'!$C$2:$C$2000="TCM-ROM SB1 BK05-ROM 5")*(ISNUMBER(SEARCH(TEXT('September TCM'!$B16,"00")&amp;"/03/2026",'Data Base hauling'!$E$2:$E$2000)))*'Data Base hauling'!$N$2:$N$2000)</f>
        <v>0</v>
      </c>
      <c r="HX16" s="27"/>
      <c r="HY16" s="27"/>
      <c r="HZ16" s="27"/>
      <c r="IA16" s="27"/>
      <c r="IB16" s="27"/>
      <c r="IC16" s="33">
        <f t="shared" si="48"/>
        <v>0</v>
      </c>
      <c r="ID16" s="52"/>
      <c r="IE16" s="152"/>
      <c r="IF16" s="53"/>
      <c r="IG16" s="53"/>
      <c r="IH16" s="53"/>
      <c r="II16" s="53"/>
      <c r="IJ16" s="1926">
        <f>SUMPRODUCT(('Data Base hauling'!$C$2:$C$2000="TCM-ROM SB1 BK05-ROM 4")*(ISNUMBER(SEARCH(TEXT('September TCM'!$B16,"00")&amp;"/09/2026",'Data Base hauling'!$E$2:$E$2000)))*'Data Base hauling'!$N$2:$N$2000)</f>
        <v>2180.4699999999998</v>
      </c>
      <c r="IK16" s="1926"/>
      <c r="IL16" s="1926">
        <f>SUMPRODUCT(('Data Base hauling'!$C$2:$C$2000="TCM-ROM SB1 BK05-ROM 5")*(ISNUMBER(SEARCH(TEXT('September TCM'!$B16,"00")&amp;"/09/2026",'Data Base hauling'!$E$2:$E$2000)))*'Data Base hauling'!$N$2:$N$2000)</f>
        <v>0</v>
      </c>
      <c r="IM16" s="49"/>
      <c r="IN16" s="49">
        <f>SUMPRODUCT(('Data Base hauling'!$C$2:$C$2000="TCM-ROM SB1 BK05-ROM 6")*(ISNUMBER(SEARCH(TEXT('September TCM'!$B16,"00")&amp;"/09/2026",'Data Base hauling'!$E$2:$E$2000)))*'Data Base hauling'!$N$2:$N$2000)</f>
        <v>5188.7900000000009</v>
      </c>
      <c r="IO16" s="49"/>
      <c r="IP16" s="49"/>
      <c r="IQ16" s="49">
        <f>SUMPRODUCT(('Data Base hauling'!$C$2:$C$2000="TCM-HAC1 (Production)-ROM 2(HAC)")*(ISNUMBER(SEARCH(TEXT('September TCM'!$B16,"00")&amp;"/09/2026",'Data Base hauling'!$E$2:$E$2000)))*'Data Base hauling'!$N$2:$N$2000)</f>
        <v>0</v>
      </c>
      <c r="IR16" s="2195">
        <f t="shared" si="49"/>
        <v>7369.26</v>
      </c>
      <c r="IS16" s="36"/>
      <c r="IT16" s="36"/>
      <c r="IU16" s="27"/>
      <c r="IV16" s="27"/>
      <c r="IW16" s="53"/>
      <c r="IX16" s="27"/>
      <c r="IY16" s="24">
        <f>SUMPRODUCT(('Data Base hauling'!$C$2:$C$2000="TCM-ROM SB2 BK24-ROM 4")*(ISNUMBER(SEARCH(TEXT('September TCM'!$B16,"00")&amp;"/09/2026",'Data Base hauling'!$E$2:$E$2000)))*'Data Base hauling'!$N$2:$N$2000)</f>
        <v>0</v>
      </c>
      <c r="IZ16" s="24"/>
      <c r="JA16" s="24">
        <f>SUMPRODUCT(('Data Base hauling'!$C$2:$C$2000="TCM-ROM SB2 BK24-ROM 5")*(ISNUMBER(SEARCH(TEXT('September TCM'!$B16,"00")&amp;"/09/2026",'Data Base hauling'!$E$2:$E$2000)))*'Data Base hauling'!$N$2:$N$2000)</f>
        <v>3539.67</v>
      </c>
      <c r="JB16" s="24"/>
      <c r="JC16" s="24">
        <f>SUMPRODUCT(('Data Base hauling'!$C$2:$C$2000="TCM-ROM SB2 BK24-ROM 6")*(ISNUMBER(SEARCH(TEXT('September TCM'!$B16,"00")&amp;"/09/2026",'Data Base hauling'!$E$2:$E$2000)))*'Data Base hauling'!$N$2:$N$2000)</f>
        <v>1438.5500000000002</v>
      </c>
      <c r="JD16" s="27"/>
      <c r="JE16" s="27"/>
      <c r="JF16" s="27"/>
      <c r="JG16" s="54">
        <f t="shared" si="123"/>
        <v>4978.22</v>
      </c>
      <c r="JH16" s="2667"/>
      <c r="JJ16" s="2014">
        <f>SUMPRODUCT(('Data Base hauling'!$O$2:$O$2000="TCM.HCV.LS")*(ISNUMBER(SEARCH(TEXT('September TCM'!$B16,"00")&amp;"/09/2026",'Data Base hauling'!$E$2:$E$2000)))*'Data Base hauling'!$N$2:$N$2000)</f>
        <v>8295.73</v>
      </c>
      <c r="JK16" s="2015">
        <f>SUMPRODUCT(('Data Base hauling'!$O$2:$O$2000="TCM.HCV.HS")*(ISNUMBER(SEARCH(TEXT('September TCM'!$B16,"00")&amp;"/09/2026",'Data Base hauling'!$E$2:$E$2000)))*'Data Base hauling'!$N$2:$N$2000)</f>
        <v>8515.18</v>
      </c>
      <c r="JL16" s="53"/>
      <c r="JM16" s="1736">
        <f t="shared" si="51"/>
        <v>16810.91</v>
      </c>
      <c r="JN16" s="33"/>
      <c r="JO16" s="2669"/>
      <c r="JP16" s="66">
        <f>IFERROR(SUMPRODUCT(('Data Base hauling'!$O$2:$O$2000="TCM.HCV.LS")*('Data Base hauling'!$C$2:$C$2000="TCM-ROM NB-ROM 1")*(ISNUMBER(SEARCH(TEXT('September TCM'!$B16,"00")&amp;"/09/2026",'Data Base hauling'!$E$2:$E$2000)))*'Data Base hauling'!$N$2:$N$2000)/'September TCM'!$JJ16,"")</f>
        <v>0</v>
      </c>
      <c r="JQ16" s="67">
        <f>IFERROR(SUMPRODUCT(('Data Base hauling'!$O$2:$O$2000="TCM.HCV.LS")*('Data Base hauling'!$C$2:$C$2000="TCM-ROM NB-ROM 2")*(ISNUMBER(SEARCH(TEXT('September TCM'!$B16,"00")&amp;"/09/2026",'Data Base hauling'!$E$2:$E$2000)))*'Data Base hauling'!$N$2:$N$2000)/'September TCM'!$JJ16,"")</f>
        <v>0</v>
      </c>
      <c r="JR16" s="67">
        <f>IFERROR(SUMPRODUCT(('Data Base hauling'!$O$2:$O$2000="TCM.HCV.LS")*('Data Base hauling'!$C$2:$C$2000="TCM-ROM NB-ROM 3")*(ISNUMBER(SEARCH(TEXT('September TCM'!$B16,"00")&amp;"/09/2026",'Data Base hauling'!$E$2:$E$2000)))*'Data Base hauling'!$N$2:$N$2000)/'September TCM'!$JJ16,"")</f>
        <v>0</v>
      </c>
      <c r="JS16" s="67">
        <f>IFERROR(SUMPRODUCT(('Data Base hauling'!$O$2:$O$2000="TCM.HCV.LS")*('Data Base hauling'!$C$2:$C$2000="TCM-ROM SB1 BK05-ROM 4")*(ISNUMBER(SEARCH(TEXT('September TCM'!$B16,"00")&amp;"/09/2026",'Data Base hauling'!$E$2:$E$2000)))*'Data Base hauling'!$N$2:$N$2000)/'September TCM'!$JJ16,"")</f>
        <v>9.715841764377578E-3</v>
      </c>
      <c r="JT16" s="67">
        <f>IFERROR(SUMPRODUCT(('Data Base hauling'!$O$2:$O$2000="TCM.HCV.LS")*SIGN(('Data Base hauling'!$C$2:$C$2000="TCM-ROM NB-ROM 5")+('Data Base hauling'!$C$2:$C$2000="TCM-ROM SB1 BK05-ROM 5")+('Data Base hauling'!$C$2:$C$2000="TCM-ROM SB2 BK24-ROM 5"))*(ISNUMBER(SEARCH(TEXT('September TCM'!$B16,"00")&amp;"/09/2026",'Data Base hauling'!$E$2:$E$2000)))*'Data Base hauling'!$N$2:$N$2000)/'September TCM'!$JJ16,"")</f>
        <v>0.70678891429687329</v>
      </c>
      <c r="JU16" s="67">
        <f>IFERROR(SUMPRODUCT(('Data Base hauling'!$O$2:$O$2000="TCM.HCV.LS")*SIGN(('Data Base hauling'!$C$2:$C$2000="TCM-ROM NB-ROM 6")+('Data Base hauling'!$C$2:$C$2000="TCM-ROM SB1 BK05-ROM 6")+('Data Base hauling'!$C$2:$C$2000="TCM-ROM SB2 BK24-ROM 6"))*(ISNUMBER(SEARCH(TEXT('September TCM'!$B16,"00")&amp;"/09/2026",'Data Base hauling'!$E$2:$E$2000)))*'Data Base hauling'!$N$2:$N$2000)/'September TCM'!$JJ16,"")</f>
        <v>0.28349524393874925</v>
      </c>
      <c r="JV16" s="67">
        <f>IFERROR(SUMPRODUCT(('Data Base hauling'!$O$2:$O$2000="TCM.HCV.LS")*('Data Base hauling'!$C$2:$C$2000="TCM-WASH-CR3")*(ISNUMBER(SEARCH(TEXT('September TCM'!$B16,"00")&amp;"/09/2026",'Data Base hauling'!$E$2:$E$2000)))*'Data Base hauling'!$N$2:$N$2000)/'September TCM'!$JJ16,"")</f>
        <v>0</v>
      </c>
      <c r="JW16" s="1921">
        <f>SUMPRODUCT(('Data Base hauling'!$O$2:$O$2000="TCM.HCV.LS")*('Data Base hauling'!$C$2:$C$2000="TCM-HAC-CR3")*(ISNUMBER(SEARCH(TEXT('September TCM'!$B16,"00")&amp;"/089/2026",'Data Base hauling'!$E$2:$E$2000)))*'Data Base hauling'!$N$2:$N$2000)</f>
        <v>0</v>
      </c>
      <c r="JX16" s="66">
        <f>IFERROR(SUMPRODUCT(('Data Base hauling'!$O$2:$O$2000="TCM.HCV.HS")*('Data Base hauling'!$C$2:$C$2000="TCM-ROM NB-ROM 1")*(ISNUMBER(SEARCH(TEXT('September TCM'!$B16,"00")&amp;"/09/2026",'Data Base hauling'!$E$2:$E$2000)))*'Data Base hauling'!$N$2:$N$2000)/'September TCM'!$JK16,"")</f>
        <v>3.67989872204698E-2</v>
      </c>
      <c r="JY16" s="67">
        <f>IFERROR(SUMPRODUCT(('Data Base hauling'!$O$2:$O$2000="TCM.HCV.HS")*('Data Base hauling'!$C$2:$C$2000="TCM-ROM NB-ROM 2")*(ISNUMBER(SEARCH(TEXT('September TCM'!$B16,"00")&amp;"/09/2026",'Data Base hauling'!$E$2:$E$2000)))*'Data Base hauling'!$N$2:$N$2000)/'September TCM'!$JK16,"")</f>
        <v>0</v>
      </c>
      <c r="JZ16" s="67">
        <f>IFERROR(SUMPRODUCT(('Data Base hauling'!$O$2:$O$2000="TCM.HCV.HS")*('Data Base hauling'!$C$2:$C$2000="TCM-ROM NB-ROM 3")*(ISNUMBER(SEARCH(TEXT('September TCM'!$B16,"00")&amp;"/09/2026",'Data Base hauling'!$E$2:$E$2000)))*'Data Base hauling'!$N$2:$N$2000)/'September TCM'!$JK16,"")</f>
        <v>0</v>
      </c>
      <c r="KA16" s="67">
        <f>IFERROR(SUMPRODUCT(('Data Base hauling'!$O$2:$O$2000="TCM.HCV.HS")*('Data Base hauling'!$C$2:$C$2000="TCM-ROM SB1 BK05-ROM 4")*(ISNUMBER(SEARCH(TEXT('September TCM'!$B16,"00")&amp;"/09/2026",'Data Base hauling'!$E$2:$E$2000)))*'Data Base hauling'!$N$2:$N$2000)/'September TCM'!$JK16,"")</f>
        <v>0.24660312524221448</v>
      </c>
      <c r="KB16" s="67">
        <f>IFERROR(SUMPRODUCT(('Data Base hauling'!$O$2:$O$2000="TCM.HCV.HS")*SIGN(('Data Base hauling'!$C$2:$C$2000="TCM-ROM NB-ROM 5")+('Data Base hauling'!$C$2:$C$2000="TCM-ROM SB1 BK05-ROM 5")+('Data Base hauling'!$C$2:$C$2000="TCM-ROM SB2 BK24-ROM 5"))*(ISNUMBER(SEARCH(TEXT('September TCM'!$B16,"00")&amp;"/09/2026",'Data Base hauling'!$E$2:$E$2000)))*'Data Base hauling'!$N$2:$N$2000)/'September TCM'!$JK16,"")</f>
        <v>0</v>
      </c>
      <c r="KC16" s="67">
        <f>IFERROR(SUMPRODUCT(('Data Base hauling'!$O$2:$O$2000="TCM.HCV.HS")*SIGN(('Data Base hauling'!$C$2:$C$2000="TCM-ROM NB-ROM 6")+('Data Base hauling'!$C$2:$C$2000="TCM-ROM SB1 BK05-ROM 6")+('Data Base hauling'!$C$2:$C$2000="TCM-ROM SB2 BK24-ROM 6"))*(ISNUMBER(SEARCH(TEXT('September TCM'!$B16,"00")&amp;"/09/2026",'Data Base hauling'!$E$2:$E$2000)))*'Data Base hauling'!$N$2:$N$2000)/'September TCM'!$JK16,"")</f>
        <v>0.68167789758995101</v>
      </c>
      <c r="KD16" s="67">
        <f>IFERROR(SUMPRODUCT(('Data Base hauling'!$O$2:$O$2000="TCM.HCV.HS")*('Data Base hauling'!$C$2:$C$2000="TCM-WASH-CR3")*(ISNUMBER(SEARCH(TEXT('September TCM'!$B16,"00")&amp;"/09/2026",'Data Base hauling'!$E$2:$E$2000)))*'Data Base hauling'!$N$2:$N$2000)/'September TCM'!$JK16,"")</f>
        <v>3.4919989947364588E-2</v>
      </c>
      <c r="KE16" s="68">
        <f>IFERROR(SUMPRODUCT(('Data Base hauling'!$O$2:$O$2000="TCM.HCV.HS")*('Data Base hauling'!$C$2:$C$2000="TCM-HAC-CR3")*(ISNUMBER(SEARCH(TEXT('September TCM'!$B16,"00")&amp;"/09/2026",'Data Base hauling'!$E$2:$E$2000)))*'Data Base hauling'!$N$2:$N$2000)/'September TCM'!$JK16,"")</f>
        <v>0</v>
      </c>
      <c r="KF16" s="21"/>
      <c r="KG16" s="70"/>
      <c r="KH16" s="70"/>
      <c r="KI16" s="70"/>
      <c r="KJ16" s="70"/>
      <c r="KK16" s="70"/>
      <c r="KL16" s="70"/>
      <c r="KM16" s="70"/>
      <c r="KN16" s="33"/>
      <c r="KO16" s="2669"/>
      <c r="KP16" s="2203">
        <f>IFERROR(SUMPRODUCT((TCM.HCV.LS!$A$3:$A$58=DATE(2026,9,$B16))*(TCM.HCV.LS!$O$3:$O$58&gt;0)*TCM.HCV.LS!$C$3:$C$58*TCM.HCV.LS!$O$3:$O$58)/SUMPRODUCT((TCM.HCV.LS!$A$3:$A$58=DATE(2026,9,$B16))*(TCM.HCV.LS!$O$3:$O$58&gt;0)*TCM.HCV.LS!$C$3:$C$58),0)</f>
        <v>0</v>
      </c>
      <c r="KQ16" s="1721">
        <f>IFERROR(SUMPRODUCT((TCM.HCV.LS!$A$3:$A$58=DATE(2026,9,$B16))*(TCM.HCV.LS!$M$3:$M$58&gt;0)*TCM.HCV.LS!$C$3:$C$58*TCM.HCV.LS!$M$3:$M$58)/SUMPRODUCT((TCM.HCV.LS!$A$3:$A$58=DATE(2026,9,$B16))*(TCM.HCV.LS!$M$3:$M$58&gt;0)*TCM.HCV.LS!$C$3:$C$58),0)</f>
        <v>0</v>
      </c>
      <c r="KR16" s="1721">
        <f>IFERROR(SUMPRODUCT((TCM.HCV.LS!$A$3:$A$58=DATE(2026,9,$B16))*(TCM.HCV.LS!$G$3:$G$58&gt;0)*TCM.HCV.LS!$C$3:$C$58*TCM.HCV.LS!$G$3:$G$58)/SUMPRODUCT((TCM.HCV.LS!$A$3:$A$58=DATE(2026,9,$B16))*(TCM.HCV.LS!$G$3:$G$58&gt;0)*TCM.HCV.LS!$C$3:$C$58),0)</f>
        <v>0</v>
      </c>
      <c r="KS16" s="1721">
        <f>IFERROR(SUMPRODUCT((TCM.HCV.LS!$A$3:$A$58=DATE(2026,9,$B16))*(TCM.HCV.LS!$F$3:$F$58&gt;0)*TCM.HCV.LS!$C$3:$C$58*TCM.HCV.LS!$F$3:$F$58)/SUMPRODUCT((TCM.HCV.LS!$A$3:$A$58=DATE(2026,9,$B16))*(TCM.HCV.LS!$F$3:$F$58&gt;0)*TCM.HCV.LS!$C$3:$C$58),0)</f>
        <v>0</v>
      </c>
      <c r="KT16" s="1722">
        <f>IFERROR(SUMPRODUCT((TCM.HCV.LS!$A$3:$A$58=DATE(2026,9,$B16))*(TCM.HCV.LS!$E$3:$E$58&gt;0)*TCM.HCV.LS!$C$3:$C$58*TCM.HCV.LS!$E$3:$E$58)/SUMPRODUCT((TCM.HCV.LS!$A$3:$A$58=DATE(2026,9,$B16))*(TCM.HCV.LS!$E$3:$E$58&gt;0)*TCM.HCV.LS!$C$3:$C$58),0)</f>
        <v>0</v>
      </c>
      <c r="KU16" s="1958">
        <f>IFERROR(SUMPRODUCT((TCM.HCV.HS!$A$3:$A$84=DATE(2026,9,$B16))*(TCM.HCV.HS!$O$3:$O$84&gt;0)*TCM.HCV.HS!$C$3:$C$84*TCM.HCV.HS!$O$3:$O$84)/SUMPRODUCT((TCM.HCV.HS!$A$3:$A$84=DATE(2026,9,$B16))*(TCM.HCV.HS!$O$3:$O$84&gt;0)*TCM.HCV.HS!$C$3:$C$84),0)</f>
        <v>6947.8270469181234</v>
      </c>
      <c r="KV16" s="1961">
        <f>IFERROR(SUMPRODUCT((TCM.HCV.HS!$A$3:$A$84=DATE(2026,9,$B16))*(TCM.HCV.HS!$M$3:$M$84&gt;0)*TCM.HCV.HS!$C$3:$C$84*TCM.HCV.HS!$M$3:$M$84)/SUMPRODUCT((TCM.HCV.HS!$A$3:$A$84=DATE(2026,9,$B16))*(TCM.HCV.HS!$M$3:$M$84&gt;0)*TCM.HCV.HS!$C$3:$C$84),0)</f>
        <v>1.6989972401103954</v>
      </c>
      <c r="KW16" s="1961">
        <f>IFERROR(SUMPRODUCT((TCM.HCV.HS!$A$3:$A$84=DATE(2026,9,$B16))*(TCM.HCV.HS!$G$3:$G$84&gt;0)*TCM.HCV.HS!$C$3:$C$84*TCM.HCV.HS!$G$3:$G$84)/SUMPRODUCT((TCM.HCV.HS!$A$3:$A$84=DATE(2026,9,$B16))*(TCM.HCV.HS!$G$3:$G$84&gt;0)*TCM.HCV.HS!$C$3:$C$84),0)</f>
        <v>6.3016835326586937</v>
      </c>
      <c r="KX16" s="1961">
        <f>IFERROR(SUMPRODUCT((TCM.HCV.HS!$A$3:$A$84=DATE(2026,9,$B16))*(TCM.HCV.HS!$F$3:$F$84&gt;0)*TCM.HCV.HS!$C$3:$C$84*TCM.HCV.HS!$F$3:$F$84)/SUMPRODUCT((TCM.HCV.HS!$A$3:$A$84=DATE(2026,9,$B16))*(TCM.HCV.HS!$F$3:$F$84&gt;0)*TCM.HCV.HS!$C$3:$C$84),0)</f>
        <v>5.9685188592456306</v>
      </c>
      <c r="KY16" s="1962">
        <f>IFERROR(SUMPRODUCT((TCM.HCV.HS!$A$3:$A$84=DATE(2026,9,$B16))*(TCM.HCV.HS!$E$3:$E$84&gt;0)*TCM.HCV.HS!$C$3:$C$84*TCM.HCV.HS!$E$3:$E$84)/SUMPRODUCT((TCM.HCV.HS!$A$3:$A$84=DATE(2026,9,$B16))*(TCM.HCV.HS!$E$3:$E$84&gt;0)*TCM.HCV.HS!$C$3:$C$84),0)</f>
        <v>10.430754329346826</v>
      </c>
      <c r="KZ16" s="36"/>
      <c r="LA16" s="53"/>
      <c r="LB16" s="53"/>
      <c r="LC16" s="53"/>
      <c r="LD16" s="53"/>
      <c r="LE16" s="33"/>
      <c r="LF16" s="2669"/>
      <c r="LH16" s="2507">
        <f t="shared" si="52"/>
        <v>11864.444</v>
      </c>
      <c r="LI16" s="2557">
        <f t="shared" si="52"/>
        <v>6378.0360000000001</v>
      </c>
      <c r="LJ16" s="280">
        <f t="shared" si="52"/>
        <v>0</v>
      </c>
      <c r="LK16" s="2556">
        <f t="shared" si="53"/>
        <v>18242.48</v>
      </c>
      <c r="LL16" s="36">
        <v>4</v>
      </c>
      <c r="LM16" s="27">
        <v>1</v>
      </c>
      <c r="LN16" s="27">
        <v>9</v>
      </c>
      <c r="LO16" s="33"/>
      <c r="LP16" s="2540">
        <v>0</v>
      </c>
      <c r="LQ16" s="486"/>
      <c r="LR16" s="2688"/>
      <c r="LS16" s="2276"/>
      <c r="LT16" s="27"/>
      <c r="LU16" s="27"/>
      <c r="LV16" s="27"/>
      <c r="LW16" s="27"/>
      <c r="LX16" s="2505">
        <f>SUM(LS16:LW16)</f>
        <v>0</v>
      </c>
      <c r="LY16" s="2269">
        <v>11864.444</v>
      </c>
      <c r="LZ16" s="2269">
        <v>6378.0360000000001</v>
      </c>
      <c r="MA16" s="27"/>
      <c r="MB16" s="27"/>
      <c r="MC16" s="33"/>
      <c r="MD16" s="2555">
        <f>SUM(LY16:MC16)</f>
        <v>18242.48</v>
      </c>
      <c r="ME16" s="36"/>
      <c r="MF16" s="36"/>
      <c r="MG16" s="27"/>
      <c r="MH16" s="27"/>
      <c r="MI16" s="33"/>
      <c r="MJ16" s="28"/>
      <c r="MK16" s="36"/>
      <c r="ML16" s="36"/>
      <c r="MM16" s="27"/>
      <c r="MN16" s="27"/>
      <c r="MO16" s="27"/>
      <c r="MP16" s="28"/>
      <c r="MQ16" s="36"/>
      <c r="MR16" s="36"/>
      <c r="MS16" s="27"/>
      <c r="MT16" s="27"/>
      <c r="MU16" s="27"/>
      <c r="MV16" s="33">
        <f t="shared" si="56"/>
        <v>0</v>
      </c>
      <c r="MW16" s="2688"/>
      <c r="MY16" s="26">
        <f t="shared" si="57"/>
        <v>377341.84766611259</v>
      </c>
      <c r="MZ16" s="27">
        <f t="shared" si="58"/>
        <v>191281.80302645115</v>
      </c>
      <c r="NA16" s="27">
        <f t="shared" si="59"/>
        <v>27294.683787707359</v>
      </c>
      <c r="NB16" s="28">
        <f t="shared" si="60"/>
        <v>318297.33035698003</v>
      </c>
      <c r="NC16" s="2621"/>
      <c r="ND16" s="23">
        <f t="shared" si="116"/>
        <v>207724.34280113198</v>
      </c>
      <c r="NE16" s="1655">
        <f t="shared" si="117"/>
        <v>169617.50486498058</v>
      </c>
      <c r="NF16" s="60">
        <f t="shared" si="63"/>
        <v>0</v>
      </c>
      <c r="NG16" s="275">
        <f t="shared" si="4"/>
        <v>377341.84766611259</v>
      </c>
      <c r="NH16" s="26">
        <f t="shared" si="64"/>
        <v>-313.35000000000002</v>
      </c>
      <c r="NI16" s="27">
        <f t="shared" si="64"/>
        <v>0</v>
      </c>
      <c r="NJ16" s="27">
        <f t="shared" si="64"/>
        <v>0</v>
      </c>
      <c r="NK16" s="27">
        <f t="shared" si="64"/>
        <v>0</v>
      </c>
      <c r="NL16" s="27">
        <f t="shared" si="64"/>
        <v>0</v>
      </c>
      <c r="NM16" s="33">
        <f t="shared" si="64"/>
        <v>0</v>
      </c>
      <c r="NN16" s="27">
        <f t="shared" si="64"/>
        <v>0</v>
      </c>
      <c r="NO16" s="36">
        <f t="shared" si="64"/>
        <v>0</v>
      </c>
      <c r="NP16" s="24">
        <f t="shared" si="64"/>
        <v>21665.870136227244</v>
      </c>
      <c r="NQ16" s="27">
        <f t="shared" si="64"/>
        <v>22358.939343794715</v>
      </c>
      <c r="NR16" s="24">
        <f t="shared" si="118"/>
        <v>8443.1982322711574</v>
      </c>
      <c r="NS16" s="24">
        <f t="shared" si="119"/>
        <v>9895.3380410535083</v>
      </c>
      <c r="NT16" s="27">
        <f t="shared" si="0"/>
        <v>62049.995753346629</v>
      </c>
      <c r="NU16" s="27">
        <f t="shared" si="65"/>
        <v>0</v>
      </c>
      <c r="NV16" s="27">
        <f t="shared" si="65"/>
        <v>0</v>
      </c>
      <c r="NW16" s="27">
        <f t="shared" si="65"/>
        <v>0</v>
      </c>
      <c r="NX16" s="27">
        <f t="shared" si="65"/>
        <v>0</v>
      </c>
      <c r="NY16" s="27">
        <f t="shared" si="65"/>
        <v>0</v>
      </c>
      <c r="NZ16" s="27">
        <f t="shared" si="65"/>
        <v>0</v>
      </c>
      <c r="OA16" s="27">
        <f t="shared" si="65"/>
        <v>35558.705564997217</v>
      </c>
      <c r="OB16" s="27">
        <f t="shared" si="65"/>
        <v>0</v>
      </c>
      <c r="OC16" s="27">
        <f t="shared" si="66"/>
        <v>12611.886475620366</v>
      </c>
      <c r="OD16" s="280"/>
      <c r="OE16" s="27">
        <f t="shared" si="120"/>
        <v>13429.316718063665</v>
      </c>
      <c r="OF16" s="27">
        <f t="shared" si="67"/>
        <v>0</v>
      </c>
      <c r="OG16" s="28">
        <f t="shared" si="1"/>
        <v>61599.908758681253</v>
      </c>
      <c r="OH16" s="27">
        <f t="shared" si="68"/>
        <v>0</v>
      </c>
      <c r="OI16" s="27">
        <f t="shared" si="68"/>
        <v>0</v>
      </c>
      <c r="OJ16" s="27">
        <f t="shared" si="68"/>
        <v>0</v>
      </c>
      <c r="OK16" s="27">
        <f t="shared" si="68"/>
        <v>0</v>
      </c>
      <c r="OL16" s="27">
        <f t="shared" si="68"/>
        <v>0</v>
      </c>
      <c r="OM16" s="27">
        <f t="shared" si="68"/>
        <v>0</v>
      </c>
      <c r="ON16" s="24">
        <v>0</v>
      </c>
      <c r="OO16" s="27">
        <f t="shared" si="68"/>
        <v>0</v>
      </c>
      <c r="OP16" s="24">
        <f t="shared" si="69"/>
        <v>54054.217649249818</v>
      </c>
      <c r="OQ16" s="27">
        <f t="shared" si="70"/>
        <v>0</v>
      </c>
      <c r="OR16" s="24">
        <f t="shared" si="70"/>
        <v>13577.680865173457</v>
      </c>
      <c r="OS16" s="27">
        <f t="shared" si="70"/>
        <v>0</v>
      </c>
      <c r="OT16" s="28">
        <f t="shared" si="2"/>
        <v>67631.898514423272</v>
      </c>
      <c r="OU16" s="36"/>
      <c r="OV16" s="27"/>
      <c r="OW16" s="27"/>
      <c r="OX16" s="27"/>
      <c r="OY16" s="27"/>
      <c r="OZ16" s="27"/>
      <c r="PA16" s="28">
        <f t="shared" si="71"/>
        <v>0</v>
      </c>
      <c r="PB16" s="36">
        <f t="shared" si="72"/>
        <v>0</v>
      </c>
      <c r="PC16" s="27">
        <f t="shared" si="73"/>
        <v>0</v>
      </c>
      <c r="PD16" s="27">
        <f t="shared" si="74"/>
        <v>0</v>
      </c>
      <c r="PE16" s="27">
        <f t="shared" si="75"/>
        <v>0</v>
      </c>
      <c r="PF16" s="24"/>
      <c r="PG16" s="27">
        <f t="shared" si="76"/>
        <v>0</v>
      </c>
      <c r="PH16" s="33">
        <f t="shared" si="3"/>
        <v>0</v>
      </c>
      <c r="PI16" s="2621"/>
      <c r="PK16" s="1907">
        <f>SUMPRODUCT(('Data Base Coal Wining'!$D$2:$D$2000="WASHING PLANT")*ISNUMBER(SEARCH(TEXT('September TCM'!$B16,"00")&amp;"/09/2026",'Data Base Coal Wining'!$E$2:$E$2000))*'Data Base Coal Wining'!$N$2:$N$2000)</f>
        <v>1398.6599999999999</v>
      </c>
      <c r="PL16" s="1101"/>
      <c r="PM16" s="1101"/>
      <c r="PN16" s="3">
        <f t="shared" si="77"/>
        <v>297.35000000000002</v>
      </c>
      <c r="PO16" s="3">
        <f t="shared" si="78"/>
        <v>38895.633435124721</v>
      </c>
      <c r="PP16" s="11">
        <f t="shared" si="79"/>
        <v>27294.683787707359</v>
      </c>
      <c r="PQ16" s="15"/>
      <c r="PR16" s="2615"/>
      <c r="PT16" s="4"/>
      <c r="PU16" s="9"/>
      <c r="PV16" s="9"/>
      <c r="PW16" s="9"/>
      <c r="PX16" s="8">
        <f>SUMPRODUCT(('Data Base Coal Wining'!$D$2:$D$2000="TCM-ROM SB1 BK05-ROM 2 (HAC)")*('Data Base Coal Wining'!$G$2:$G$2000="Coal Winning")*ISNUMBER(SEARCH(TEXT('September TCM'!$B16,"00")&amp;"/09/2026",'Data Base Coal Wining'!$E$2:$E$2000))*'Data Base Coal Wining'!$N$2:$N$2000)</f>
        <v>0</v>
      </c>
      <c r="PY16" s="9"/>
      <c r="PZ16" s="8">
        <f t="shared" si="80"/>
        <v>0</v>
      </c>
      <c r="QA16" s="5">
        <f t="shared" si="81"/>
        <v>1398.6599999999999</v>
      </c>
      <c r="QB16" s="5"/>
      <c r="QC16" s="5"/>
      <c r="QD16" s="5"/>
      <c r="QE16" s="5"/>
      <c r="QF16" s="5"/>
      <c r="QG16" s="12"/>
      <c r="QH16" s="12">
        <f t="shared" si="82"/>
        <v>29562.488999999998</v>
      </c>
      <c r="QI16" s="420">
        <f t="shared" si="83"/>
        <v>283762.59090898006</v>
      </c>
      <c r="QJ16" s="1106">
        <f t="shared" si="121"/>
        <v>4972.2504480000007</v>
      </c>
      <c r="QK16" s="484">
        <f t="shared" si="84"/>
        <v>5505.3678056099998</v>
      </c>
      <c r="QL16" s="12"/>
      <c r="QM16" s="2615"/>
      <c r="QO16" s="139">
        <f t="shared" si="85"/>
        <v>0</v>
      </c>
      <c r="QP16" s="139" t="str">
        <f t="shared" si="86"/>
        <v/>
      </c>
      <c r="QR16" s="139">
        <f t="shared" si="87"/>
        <v>0</v>
      </c>
      <c r="QS16" s="139">
        <f t="shared" si="88"/>
        <v>0</v>
      </c>
      <c r="QU16" s="1">
        <f t="shared" si="89"/>
        <v>0</v>
      </c>
      <c r="QV16" s="1">
        <f t="shared" si="90"/>
        <v>0</v>
      </c>
      <c r="QW16" s="1">
        <f t="shared" si="91"/>
        <v>0</v>
      </c>
      <c r="QX16" s="1">
        <f t="shared" si="92"/>
        <v>0</v>
      </c>
      <c r="QY16" s="1">
        <f t="shared" si="93"/>
        <v>0</v>
      </c>
      <c r="QZ16" s="1">
        <f t="shared" si="94"/>
        <v>0</v>
      </c>
      <c r="RB16" s="1">
        <f t="shared" si="95"/>
        <v>0</v>
      </c>
      <c r="RC16" s="1">
        <f t="shared" si="96"/>
        <v>0</v>
      </c>
      <c r="RD16" s="1">
        <f t="shared" si="97"/>
        <v>0</v>
      </c>
      <c r="RE16" s="1">
        <f t="shared" si="98"/>
        <v>0</v>
      </c>
      <c r="RF16" s="1">
        <f t="shared" si="99"/>
        <v>0</v>
      </c>
      <c r="RG16" s="1">
        <f t="shared" si="100"/>
        <v>0</v>
      </c>
      <c r="RJ16" s="1">
        <v>7</v>
      </c>
      <c r="RK16" s="1">
        <f t="shared" si="101"/>
        <v>58031.397751083161</v>
      </c>
      <c r="RL16" s="1">
        <f t="shared" si="101"/>
        <v>12902.677549862281</v>
      </c>
      <c r="RM16" s="1">
        <f t="shared" si="101"/>
        <v>9178.5689913333827</v>
      </c>
      <c r="RN16" s="89">
        <f t="shared" si="5"/>
        <v>80112.644292278812</v>
      </c>
      <c r="RO16" s="1033">
        <v>7</v>
      </c>
      <c r="RP16" s="1098">
        <v>0</v>
      </c>
      <c r="RQ16" s="1098">
        <f t="shared" si="102"/>
        <v>0</v>
      </c>
      <c r="RR16" s="1097">
        <f t="shared" si="102"/>
        <v>0</v>
      </c>
      <c r="RS16" s="1097">
        <f t="shared" si="103"/>
        <v>4846.78</v>
      </c>
      <c r="RT16" s="1094"/>
      <c r="RU16" s="2420">
        <v>2609070437</v>
      </c>
      <c r="RX16" s="421">
        <v>7</v>
      </c>
      <c r="RY16" s="1095">
        <f t="shared" si="104"/>
        <v>16810.91</v>
      </c>
      <c r="RZ16" s="2420">
        <v>2609072852</v>
      </c>
      <c r="SB16" s="1090"/>
      <c r="SC16" s="1090">
        <f t="shared" si="105"/>
        <v>0</v>
      </c>
      <c r="SD16" s="1090"/>
      <c r="SE16" s="1090">
        <f t="shared" si="106"/>
        <v>0</v>
      </c>
      <c r="SG16" s="1">
        <v>7</v>
      </c>
      <c r="SH16" s="1">
        <f t="shared" si="107"/>
        <v>297.35000000000002</v>
      </c>
      <c r="SI16" s="2420">
        <v>2609072880</v>
      </c>
    </row>
    <row r="17" spans="1:503" s="1" customFormat="1">
      <c r="B17" s="471">
        <v>8</v>
      </c>
      <c r="C17" s="4">
        <f t="shared" si="108"/>
        <v>0</v>
      </c>
      <c r="D17" s="1590">
        <f t="shared" ref="D17:D39" si="128">P17+T17+X17+AB17</f>
        <v>0</v>
      </c>
      <c r="E17" s="1895">
        <f t="shared" si="6"/>
        <v>0</v>
      </c>
      <c r="F17" s="870"/>
      <c r="G17" s="870"/>
      <c r="H17" s="52"/>
      <c r="I17" s="61"/>
      <c r="J17" s="52"/>
      <c r="K17" s="54"/>
      <c r="L17" s="52"/>
      <c r="M17" s="61"/>
      <c r="N17" s="2629"/>
      <c r="O17" s="4">
        <f t="shared" si="125"/>
        <v>0</v>
      </c>
      <c r="P17" s="1225">
        <f t="shared" si="7"/>
        <v>0</v>
      </c>
      <c r="Q17" s="1913">
        <f t="shared" si="8"/>
        <v>0</v>
      </c>
      <c r="R17" s="33"/>
      <c r="S17" s="26">
        <f t="shared" si="9"/>
        <v>0</v>
      </c>
      <c r="T17" s="27">
        <f t="shared" si="110"/>
        <v>0</v>
      </c>
      <c r="U17" s="1909">
        <f t="shared" si="10"/>
        <v>0</v>
      </c>
      <c r="W17" s="1742">
        <f t="shared" si="11"/>
        <v>0</v>
      </c>
      <c r="X17" s="5">
        <f t="shared" si="11"/>
        <v>0</v>
      </c>
      <c r="Y17" s="1909">
        <f t="shared" si="12"/>
        <v>0</v>
      </c>
      <c r="Z17" s="33"/>
      <c r="AA17" s="26">
        <f t="shared" si="13"/>
        <v>0</v>
      </c>
      <c r="AB17" s="27">
        <f t="shared" si="126"/>
        <v>0</v>
      </c>
      <c r="AC17" s="1909">
        <f t="shared" si="15"/>
        <v>0</v>
      </c>
      <c r="AD17" s="28"/>
      <c r="AE17" s="36"/>
      <c r="AF17" s="36"/>
      <c r="AG17" s="53">
        <f t="shared" si="16"/>
        <v>0</v>
      </c>
      <c r="AH17" s="28"/>
      <c r="AI17" s="26"/>
      <c r="AJ17" s="27"/>
      <c r="AK17" s="53">
        <f t="shared" si="17"/>
        <v>0</v>
      </c>
      <c r="AL17" s="28"/>
      <c r="AM17" s="2629"/>
      <c r="AN17" s="9"/>
      <c r="AO17" s="5"/>
      <c r="AP17" s="61">
        <f t="shared" si="18"/>
        <v>0</v>
      </c>
      <c r="AQ17" s="36"/>
      <c r="AR17" s="53"/>
      <c r="AS17" s="61">
        <f t="shared" si="19"/>
        <v>0</v>
      </c>
      <c r="AT17" s="36">
        <v>0</v>
      </c>
      <c r="AU17" s="27"/>
      <c r="AV17" s="54">
        <f t="shared" si="20"/>
        <v>0</v>
      </c>
      <c r="AW17" s="26"/>
      <c r="AX17" s="280">
        <f>SUMPRODUCT(ISNUMBER(SEARCH("BK20",'Data Base Coal Wining'!$C$2:$C$2000))*ISNUMBER(SEARCH("P3000",'Data Base Coal Wining'!$C$2:$C$2000))*('Data Base Coal Wining'!$H$2:$H$2000="PAMA")*('Data Base Coal Wining'!$G$2:$G$2000="Coal Winning")*ISNUMBER(SEARCH(TEXT('September TCM'!$B17,"00")&amp;"/09/2026",'Data Base Coal Wining'!$E$2:$E$2000))*'Data Base Coal Wining'!$N$2:$N$2000)</f>
        <v>0</v>
      </c>
      <c r="AY17" s="1735">
        <f t="shared" si="122"/>
        <v>0</v>
      </c>
      <c r="AZ17" s="36"/>
      <c r="BA17" s="27"/>
      <c r="BB17" s="61">
        <f t="shared" si="21"/>
        <v>0</v>
      </c>
      <c r="BC17" s="1740"/>
      <c r="BD17" s="2154">
        <f>SUMPRODUCT(ISNUMBER(SEARCH("BK30",'Data Base Coal Wining'!$C$2:$C$2000))*ISNUMBER(SEARCH("P3000",'Data Base Coal Wining'!$C$2:$C$2000))*('Data Base Coal Wining'!$H$2:$H$2000="PAMA")*('Data Base Coal Wining'!$G$2:$G$2000="Coal Winning")*ISNUMBER(SEARCH(TEXT('September TCM'!$B17,"00")&amp;"/09/2026",'Data Base Coal Wining'!$E$2:$E$2000))*'Data Base Coal Wining'!$N$2:$N$2000)</f>
        <v>0</v>
      </c>
      <c r="BE17" s="1735">
        <f t="shared" si="22"/>
        <v>0</v>
      </c>
      <c r="BF17" s="36"/>
      <c r="BG17" s="53"/>
      <c r="BH17" s="61">
        <f t="shared" si="23"/>
        <v>0</v>
      </c>
      <c r="BI17" s="36">
        <v>0</v>
      </c>
      <c r="BJ17" s="53">
        <v>0</v>
      </c>
      <c r="BK17" s="61">
        <f t="shared" si="24"/>
        <v>0</v>
      </c>
      <c r="BL17" s="1742"/>
      <c r="BM17" s="2154">
        <f>SUMPRODUCT(ISNUMBER(SEARCH("BK26",'Data Base Coal Wining'!$C$2:$C$2000))*ISNUMBER(SEARCH("P4400",'Data Base Coal Wining'!$C$2:$C$2000))*('Data Base Coal Wining'!$H$2:$H$2000="MAP")*('Data Base Coal Wining'!$G$2:$G$2000="Coal Winning")*ISNUMBER(SEARCH(TEXT('September TCM'!$B17,"00")&amp;"/09/2026",'Data Base Coal Wining'!$E$2:$E$2000))*'Data Base Coal Wining'!$N$2:$N$2000)</f>
        <v>0</v>
      </c>
      <c r="BN17" s="2170"/>
      <c r="BO17" s="1735">
        <f t="shared" si="25"/>
        <v>0</v>
      </c>
      <c r="BP17" s="36"/>
      <c r="BQ17" s="2514">
        <f>SUMPRODUCT(ISNUMBER(SEARCH("BK34",'Data Base Coal Wining'!$C$2:$C$2000))*ISNUMBER(SEARCH("P4000",'Data Base Coal Wining'!$C$2:$C$2000))*('Data Base Coal Wining'!$H$2:$H$2000="PJPN")*('Data Base Coal Wining'!$G$2:$G$2000="Coal Winning")*ISNUMBER(SEARCH(TEXT('September TCM'!$B17,"00")&amp;"/09/2026",'Data Base Coal Wining'!$E$2:$E$2000))*'Data Base Coal Wining'!$N$2:$N$2000)</f>
        <v>0</v>
      </c>
      <c r="BR17" s="1735">
        <f t="shared" si="26"/>
        <v>0</v>
      </c>
      <c r="BS17" s="36"/>
      <c r="BT17" s="53"/>
      <c r="BU17" s="61">
        <f t="shared" si="27"/>
        <v>0</v>
      </c>
      <c r="BV17" s="36"/>
      <c r="BW17" s="27"/>
      <c r="BX17" s="1906">
        <f>IFERROR(BV17/BW17,0)</f>
        <v>0</v>
      </c>
      <c r="BY17" s="26"/>
      <c r="BZ17" s="27"/>
      <c r="CA17" s="61">
        <f t="shared" si="29"/>
        <v>0</v>
      </c>
      <c r="CB17" s="36"/>
      <c r="CC17" s="481"/>
      <c r="CD17" s="482">
        <f t="shared" si="30"/>
        <v>0</v>
      </c>
      <c r="CE17" s="4"/>
      <c r="CF17" s="5"/>
      <c r="CG17" s="28">
        <f t="shared" si="31"/>
        <v>0</v>
      </c>
      <c r="CH17" s="150"/>
      <c r="CI17" s="4"/>
      <c r="CJ17" s="5"/>
      <c r="CK17" s="5"/>
      <c r="CL17" s="5"/>
      <c r="CM17" s="5"/>
      <c r="CN17" s="3">
        <f t="shared" si="111"/>
        <v>0</v>
      </c>
      <c r="CO17" s="33"/>
      <c r="CP17" s="366"/>
      <c r="CR17" s="4">
        <f t="shared" si="32"/>
        <v>0</v>
      </c>
      <c r="CS17" s="9">
        <f t="shared" si="32"/>
        <v>0</v>
      </c>
      <c r="CT17" s="5">
        <f t="shared" si="32"/>
        <v>0</v>
      </c>
      <c r="CU17" s="5">
        <f t="shared" si="32"/>
        <v>0</v>
      </c>
      <c r="CV17" s="5">
        <f t="shared" si="32"/>
        <v>0</v>
      </c>
      <c r="CW17" s="5">
        <f t="shared" si="32"/>
        <v>0</v>
      </c>
      <c r="CX17" s="5">
        <f t="shared" si="32"/>
        <v>0</v>
      </c>
      <c r="CY17" s="5">
        <f t="shared" si="32"/>
        <v>0</v>
      </c>
      <c r="CZ17" s="5">
        <f t="shared" si="32"/>
        <v>0</v>
      </c>
      <c r="DA17" s="5">
        <f t="shared" si="32"/>
        <v>0</v>
      </c>
      <c r="DB17" s="5">
        <f t="shared" si="32"/>
        <v>0</v>
      </c>
      <c r="DC17" s="12">
        <f t="shared" si="33"/>
        <v>0</v>
      </c>
      <c r="DD17" s="310">
        <f t="shared" si="34"/>
        <v>0</v>
      </c>
      <c r="DE17" s="2695"/>
      <c r="DF17" s="8"/>
      <c r="DG17" s="9"/>
      <c r="DH17" s="5"/>
      <c r="DI17" s="5"/>
      <c r="DJ17" s="5"/>
      <c r="DK17" s="5"/>
      <c r="DL17" s="3">
        <f>SUMPRODUCT(('Data Base Coal Wining'!$D$2:$D$2000="TCM-ROM SB1 BK05-ROM 4")*('Data Base Coal Wining'!$G$2:$G$2000="Coal Winning")*ISNUMBER(SEARCH(TEXT('September TCM'!$B17,"00")&amp;"/09/2026",'Data Base Coal Wining'!$E$2:$E$2000))*'Data Base Coal Wining'!$N$2:$N$2000)</f>
        <v>0</v>
      </c>
      <c r="DM17" s="5"/>
      <c r="DN17" s="3">
        <f>SUMPRODUCT(('Data Base Coal Wining'!$D$2:$D$2000="TCM-ROM SB1 BK05-ROM 5")*('Data Base Coal Wining'!$G$2:$G$2000="Coal Winning")*ISNUMBER(SEARCH(TEXT('September TCM'!$B17,"00")&amp;"/09/2026",'Data Base Coal Wining'!$E$2:$E$2000))*'Data Base Coal Wining'!$N$2:$N$2000)</f>
        <v>0</v>
      </c>
      <c r="DO17" s="5"/>
      <c r="DP17" s="3">
        <f>SUMPRODUCT(('Data Base Coal Wining'!$D$2:$D$2000="TCM-ROM SB1 BK05-ROM 6")*('Data Base Coal Wining'!$G$2:$G$2000="Coal Winning")*ISNUMBER(SEARCH(TEXT('September TCM'!$B17,"00")&amp;"/09/2026",'Data Base Coal Wining'!$E$2:$E$2000))*'Data Base Coal Wining'!$N$2:$N$2000)</f>
        <v>0</v>
      </c>
      <c r="DQ17" s="11">
        <f>SUMPRODUCT(('Data Base Coal Wining'!$D$2:$D$2000="TCM-ROM SB1 BK05-ROM 6.1")*('Data Base Coal Wining'!$G$2:$G$2000="Coal Winning")*ISNUMBER(SEARCH(TEXT('September TCM'!$B17,"00")&amp;"/09/2026",'Data Base Coal Wining'!$E$2:$E$2000))*'Data Base Coal Wining'!$N$2:$N$2000)</f>
        <v>0</v>
      </c>
      <c r="DR17" s="12"/>
      <c r="DS17" s="1906">
        <f t="shared" si="35"/>
        <v>0</v>
      </c>
      <c r="DT17" s="36"/>
      <c r="DU17" s="36"/>
      <c r="DV17" s="27"/>
      <c r="DW17" s="27"/>
      <c r="DX17" s="5"/>
      <c r="DY17" s="5"/>
      <c r="DZ17" s="5"/>
      <c r="EA17" s="5"/>
      <c r="EB17" s="3">
        <f>SUMPRODUCT(('Data Base Coal Wining'!$D$2:$D$2000="TCM-ROM SB2 BK24-ROM 5")*('Data Base Coal Wining'!$G$2:$G$2000="Coal Winning")*ISNUMBER(SEARCH(TEXT('September TCM'!$B17,"00")&amp;"/09/2026",'Data Base Coal Wining'!$E$2:$E$2000))*'Data Base Coal Wining'!$N$2:$N$2000)</f>
        <v>0</v>
      </c>
      <c r="EC17" s="53"/>
      <c r="ED17" s="24">
        <f>SUMPRODUCT(('Data Base Coal Wining'!$D$2:$D$2000="TCM-ROM SB2 BK24-ROM 6")*('Data Base Coal Wining'!$G$2:$G$2000="Coal Winning")*ISNUMBER(SEARCH(TEXT('September TCM'!$B17,"00")&amp;"/09/2026",'Data Base Coal Wining'!$E$2:$E$2000))*'Data Base Coal Wining'!$N$2:$N$2000)</f>
        <v>0</v>
      </c>
      <c r="EE17" s="33"/>
      <c r="EF17" s="28">
        <f t="shared" si="36"/>
        <v>0</v>
      </c>
      <c r="EG17" s="9"/>
      <c r="EH17" s="9"/>
      <c r="EI17" s="5"/>
      <c r="EJ17" s="492"/>
      <c r="EK17" s="27"/>
      <c r="EL17" s="27"/>
      <c r="EM17" s="27"/>
      <c r="EN17" s="27"/>
      <c r="EO17" s="5"/>
      <c r="EP17" s="5"/>
      <c r="EQ17" s="5"/>
      <c r="ER17" s="33"/>
      <c r="ES17" s="28">
        <f t="shared" si="127"/>
        <v>0</v>
      </c>
      <c r="ET17" s="36"/>
      <c r="EU17" s="27"/>
      <c r="EV17" s="27"/>
      <c r="EW17" s="27"/>
      <c r="EX17" s="27"/>
      <c r="EY17" s="27"/>
      <c r="EZ17" s="33">
        <f t="shared" si="38"/>
        <v>0</v>
      </c>
      <c r="FA17" s="2685"/>
      <c r="FC17" s="4">
        <f t="shared" si="39"/>
        <v>0</v>
      </c>
      <c r="FD17" s="5">
        <f t="shared" si="40"/>
        <v>0</v>
      </c>
      <c r="FE17" s="5">
        <f t="shared" si="41"/>
        <v>0</v>
      </c>
      <c r="FF17" s="12">
        <f t="shared" si="42"/>
        <v>0</v>
      </c>
      <c r="FG17" s="33"/>
      <c r="FH17" s="2674"/>
      <c r="FI17" s="9"/>
      <c r="FJ17" s="5"/>
      <c r="FK17" s="5"/>
      <c r="FL17" s="5"/>
      <c r="FM17" s="5"/>
      <c r="FN17" s="27"/>
      <c r="FO17" s="28">
        <f t="shared" si="43"/>
        <v>0</v>
      </c>
      <c r="FP17" s="36"/>
      <c r="FQ17" s="27"/>
      <c r="FR17" s="27"/>
      <c r="FS17" s="27"/>
      <c r="FT17" s="27"/>
      <c r="FU17" s="27"/>
      <c r="FV17" s="28">
        <f t="shared" si="44"/>
        <v>0</v>
      </c>
      <c r="FW17" s="36"/>
      <c r="FX17" s="36"/>
      <c r="FY17" s="27"/>
      <c r="FZ17" s="27"/>
      <c r="GA17" s="27"/>
      <c r="GB17" s="27"/>
      <c r="GC17" s="27"/>
      <c r="GD17" s="27"/>
      <c r="GE17" s="24" cm="1">
        <f t="array" ref="GE17">SUMPRODUCT(('Data Base Coal Wining'!$C$2:$C$2000="TCM-ROM TEMPORARY SB2 KM 76-ROM HAC (S4700 Hard Ban)")*(ISNUMBER(SEARCH(TEXT('September TCM'!$B17,"00")&amp;"/08/2026",'Data Base Coal Wining'!$E$2:$E$2000)))*'Data Base Coal Wining'!$N$2:$N$2000)</f>
        <v>0</v>
      </c>
      <c r="GF17" s="27"/>
      <c r="GG17" s="27"/>
      <c r="GH17" s="33"/>
      <c r="GI17" s="33">
        <f t="shared" si="45"/>
        <v>0</v>
      </c>
      <c r="GJ17" s="2674"/>
      <c r="GL17" s="2">
        <f t="shared" si="112"/>
        <v>0</v>
      </c>
      <c r="GM17" s="63">
        <f t="shared" si="113"/>
        <v>0</v>
      </c>
      <c r="GN17" s="24">
        <f t="shared" si="114"/>
        <v>0</v>
      </c>
      <c r="GO17" s="1736">
        <f t="shared" si="46"/>
        <v>0</v>
      </c>
      <c r="GP17" s="141"/>
      <c r="GQ17" s="141"/>
      <c r="GR17" s="33"/>
      <c r="GS17" s="2667"/>
      <c r="GT17" s="1723">
        <f>SUMPRODUCT(('Data Base hauling'!$H$2:$H$2000="Trust")*(ISNUMBER(SEARCH(TEXT('September TCM'!$B17,"00")&amp;"/09/2026",'Data Base hauling'!$E$2:$E$2000)))*'Data Base hauling'!$N$2:$N$2000)</f>
        <v>0</v>
      </c>
      <c r="GU17" s="1723">
        <f>SUMPRODUCT(('Data Base hauling'!$H$2:$H$2000="RT")*(ISNUMBER(SEARCH(TEXT('September TCM'!$B17,"00")&amp;"/09/2026",'Data Base hauling'!$E$2:$E$2000)))*'Data Base hauling'!$N$2:$N$2000)</f>
        <v>0</v>
      </c>
      <c r="GV17" s="5">
        <f>SUMPRODUCT(('Data Base hauling'!$H$2:$H$2000="MPE")*(ISNUMBER(SEARCH(TEXT('September TCM'!$B17,"00")&amp;"/09/2026",'Data Base hauling'!$E$2:$E$2000)))*'Data Base hauling'!$N$2:$N$2000)</f>
        <v>0</v>
      </c>
      <c r="GW17" s="1723">
        <f>SUMPRODUCT(('Data Base hauling'!$H$2:$H$2000="RP")*(ISNUMBER(SEARCH(TEXT('September TCM'!$B17,"00")&amp;"/09/2026",'Data Base hauling'!$E$2:$E$2000)))*'Data Base hauling'!$N$2:$N$2000)</f>
        <v>0</v>
      </c>
      <c r="GX17" s="61">
        <f t="shared" si="115"/>
        <v>0</v>
      </c>
      <c r="GY17" s="2667"/>
      <c r="GZ17" s="35">
        <f>SUMPRODUCT(('Data Base hauling'!$C$2:$C$2000="TCM-ROM NB-ROM 1")*(ISNUMBER(SEARCH(TEXT('September TCM'!$B17,"00")&amp;"/09/2026",'Data Base hauling'!$E$2:$E$2000)))*'Data Base hauling'!$N$2:$N$2000)</f>
        <v>0</v>
      </c>
      <c r="HA17" s="36"/>
      <c r="HB17" s="27"/>
      <c r="HC17" s="27"/>
      <c r="HD17" s="27"/>
      <c r="HE17" s="27"/>
      <c r="HF17" s="24">
        <f>SUMPRODUCT(('Data Base hauling'!$C$2:$C$2000="TCM-ROM NB-ROM 4")*(ISNUMBER(SEARCH(TEXT('September TCM'!$B17,"00")&amp;"/09/2026",'Data Base hauling'!$E$2:$E$2000)))*'Data Base hauling'!$N$2:$N$2000)</f>
        <v>0</v>
      </c>
      <c r="HG17" s="24"/>
      <c r="HH17" s="24">
        <f>SUMPRODUCT(('Data Base hauling'!$C$2:$C$2000="TCM-ROM NB-ROM 5")*(ISNUMBER(SEARCH(TEXT('September TCM'!$B17,"00")&amp;"/09/2026",'Data Base hauling'!$E$2:$E$2000)))*'Data Base hauling'!$N$2:$N$2000)</f>
        <v>0</v>
      </c>
      <c r="HI17" s="24"/>
      <c r="HJ17" s="24">
        <f>SUMPRODUCT(('Data Base hauling'!$C$2:$C$2000="TCM-ROM NB-ROM 6")*(ISNUMBER(SEARCH(TEXT('September TCM'!$B17,"00")&amp;"/09/2026",'Data Base hauling'!$E$2:$E$2000)))*'Data Base hauling'!$N$2:$N$2000)</f>
        <v>0</v>
      </c>
      <c r="HK17" s="24"/>
      <c r="HL17" s="24">
        <f>SUMPRODUCT(('Data Base hauling'!$C$2:$C$2000="TCM-WASH-CR3")*(ISNUMBER(SEARCH(TEXT('September TCM'!$B17,"00")&amp;"/09/2026",'Data Base hauling'!$E$2:$E$2000)))*'Data Base hauling'!$N$2:$N$2000)</f>
        <v>0</v>
      </c>
      <c r="HM17" s="27"/>
      <c r="HN17" s="28">
        <f>SUM(GZ17:HM17)</f>
        <v>0</v>
      </c>
      <c r="HO17" s="36"/>
      <c r="HP17" s="27"/>
      <c r="HQ17" s="27"/>
      <c r="HR17" s="27"/>
      <c r="HS17" s="27"/>
      <c r="HT17" s="27"/>
      <c r="HU17" s="27">
        <f t="array" ref="HU17">SUMPRODUCT(('Data Base hauling'!$C$2:$C$2000="TCM-ROM SB1 BK05-ROM 4")*(ISNUMBER(SEARCH(TEXT('September TCM'!$B17,"00")&amp;"/03/2026",'Data Base hauling'!$E$2:$E$2000)))*'Data Base hauling'!$N$2:$N$2000)</f>
        <v>0</v>
      </c>
      <c r="HV17" s="27"/>
      <c r="HW17" s="27">
        <f t="array" ref="HW17">SUMPRODUCT(('Data Base hauling'!$C$2:$C$2000="TCM-ROM SB1 BK05-ROM 5")*(ISNUMBER(SEARCH(TEXT('September TCM'!$B17,"00")&amp;"/03/2026",'Data Base hauling'!$E$2:$E$2000)))*'Data Base hauling'!$N$2:$N$2000)</f>
        <v>0</v>
      </c>
      <c r="HX17" s="27"/>
      <c r="HY17" s="27"/>
      <c r="HZ17" s="27"/>
      <c r="IA17" s="27"/>
      <c r="IB17" s="27"/>
      <c r="IC17" s="33">
        <f t="shared" si="48"/>
        <v>0</v>
      </c>
      <c r="ID17" s="52"/>
      <c r="IE17" s="152"/>
      <c r="IF17" s="53"/>
      <c r="IG17" s="53"/>
      <c r="IH17" s="64"/>
      <c r="II17" s="64"/>
      <c r="IJ17" s="1926">
        <f>SUMPRODUCT(('Data Base hauling'!$C$2:$C$2000="TCM-ROM SB1 BK05-ROM 4")*(ISNUMBER(SEARCH(TEXT('September TCM'!$B17,"00")&amp;"/09/2026",'Data Base hauling'!$E$2:$E$2000)))*'Data Base hauling'!$N$2:$N$2000)</f>
        <v>0</v>
      </c>
      <c r="IK17" s="1926"/>
      <c r="IL17" s="1926">
        <f>SUMPRODUCT(('Data Base hauling'!$C$2:$C$2000="TCM-ROM SB1 BK05-ROM 5")*(ISNUMBER(SEARCH(TEXT('September TCM'!$B17,"00")&amp;"/09/2026",'Data Base hauling'!$E$2:$E$2000)))*'Data Base hauling'!$N$2:$N$2000)</f>
        <v>0</v>
      </c>
      <c r="IM17" s="49"/>
      <c r="IN17" s="49">
        <f>SUMPRODUCT(('Data Base hauling'!$C$2:$C$2000="TCM-ROM SB1 BK05-ROM 6")*(ISNUMBER(SEARCH(TEXT('September TCM'!$B17,"00")&amp;"/09/2026",'Data Base hauling'!$E$2:$E$2000)))*'Data Base hauling'!$N$2:$N$2000)</f>
        <v>0</v>
      </c>
      <c r="IO17" s="49"/>
      <c r="IP17" s="49"/>
      <c r="IQ17" s="49">
        <f>SUMPRODUCT(('Data Base hauling'!$C$2:$C$2000="TCM-HAC1 (Production)-ROM 2(HAC)")*(ISNUMBER(SEARCH(TEXT('September TCM'!$B17,"00")&amp;"/09/2026",'Data Base hauling'!$E$2:$E$2000)))*'Data Base hauling'!$N$2:$N$2000)</f>
        <v>0</v>
      </c>
      <c r="IR17" s="2195">
        <f>SUM(ID17:IQ17)</f>
        <v>0</v>
      </c>
      <c r="IS17" s="36"/>
      <c r="IT17" s="36"/>
      <c r="IU17" s="27"/>
      <c r="IV17" s="27"/>
      <c r="IW17" s="53"/>
      <c r="IX17" s="27"/>
      <c r="IY17" s="24">
        <f>SUMPRODUCT(('Data Base hauling'!$C$2:$C$2000="TCM-ROM SB2 BK24-ROM 4")*(ISNUMBER(SEARCH(TEXT('September TCM'!$B17,"00")&amp;"/09/2026",'Data Base hauling'!$E$2:$E$2000)))*'Data Base hauling'!$N$2:$N$2000)</f>
        <v>0</v>
      </c>
      <c r="IZ17" s="24"/>
      <c r="JA17" s="24">
        <f>SUMPRODUCT(('Data Base hauling'!$C$2:$C$2000="TCM-ROM SB2 BK24-ROM 5")*(ISNUMBER(SEARCH(TEXT('September TCM'!$B17,"00")&amp;"/09/2026",'Data Base hauling'!$E$2:$E$2000)))*'Data Base hauling'!$N$2:$N$2000)</f>
        <v>0</v>
      </c>
      <c r="JB17" s="24"/>
      <c r="JC17" s="24">
        <f>SUMPRODUCT(('Data Base hauling'!$C$2:$C$2000="TCM-ROM SB2 BK24-ROM 6")*(ISNUMBER(SEARCH(TEXT('September TCM'!$B17,"00")&amp;"/09/2026",'Data Base hauling'!$E$2:$E$2000)))*'Data Base hauling'!$N$2:$N$2000)</f>
        <v>0</v>
      </c>
      <c r="JD17" s="27"/>
      <c r="JE17" s="27"/>
      <c r="JF17" s="27"/>
      <c r="JG17" s="33">
        <f>SUM(IS17:JF17)</f>
        <v>0</v>
      </c>
      <c r="JH17" s="2667"/>
      <c r="JJ17" s="2014">
        <f>SUMPRODUCT(('Data Base hauling'!$O$2:$O$2000="TCM.HCV.LS")*(ISNUMBER(SEARCH(TEXT('September TCM'!$B17,"00")&amp;"/09/2026",'Data Base hauling'!$E$2:$E$2000)))*'Data Base hauling'!$N$2:$N$2000)</f>
        <v>0</v>
      </c>
      <c r="JK17" s="2015">
        <f>SUMPRODUCT(('Data Base hauling'!$O$2:$O$2000="TCM.HCV.HS")*(ISNUMBER(SEARCH(TEXT('September TCM'!$B17,"00")&amp;"/09/2026",'Data Base hauling'!$E$2:$E$2000)))*'Data Base hauling'!$N$2:$N$2000)</f>
        <v>0</v>
      </c>
      <c r="JL17" s="53"/>
      <c r="JM17" s="1736">
        <f t="shared" si="51"/>
        <v>0</v>
      </c>
      <c r="JN17" s="33"/>
      <c r="JO17" s="2669"/>
      <c r="JP17" s="66" t="str">
        <f>IFERROR(SUMPRODUCT(('Data Base hauling'!$O$2:$O$2000="TCM.HCV.LS")*('Data Base hauling'!$C$2:$C$2000="TCM-ROM NB-ROM 1")*(ISNUMBER(SEARCH(TEXT('September TCM'!$B17,"00")&amp;"/09/2026",'Data Base hauling'!$E$2:$E$2000)))*'Data Base hauling'!$N$2:$N$2000)/'September TCM'!$JJ17,"")</f>
        <v/>
      </c>
      <c r="JQ17" s="67" t="str">
        <f>IFERROR(SUMPRODUCT(('Data Base hauling'!$O$2:$O$2000="TCM.HCV.LS")*('Data Base hauling'!$C$2:$C$2000="TCM-ROM NB-ROM 2")*(ISNUMBER(SEARCH(TEXT('September TCM'!$B17,"00")&amp;"/09/2026",'Data Base hauling'!$E$2:$E$2000)))*'Data Base hauling'!$N$2:$N$2000)/'September TCM'!$JJ17,"")</f>
        <v/>
      </c>
      <c r="JR17" s="67" t="str">
        <f>IFERROR(SUMPRODUCT(('Data Base hauling'!$O$2:$O$2000="TCM.HCV.LS")*('Data Base hauling'!$C$2:$C$2000="TCM-ROM NB-ROM 3")*(ISNUMBER(SEARCH(TEXT('September TCM'!$B17,"00")&amp;"/09/2026",'Data Base hauling'!$E$2:$E$2000)))*'Data Base hauling'!$N$2:$N$2000)/'September TCM'!$JJ17,"")</f>
        <v/>
      </c>
      <c r="JS17" s="67" t="str">
        <f>IFERROR(SUMPRODUCT(('Data Base hauling'!$O$2:$O$2000="TCM.HCV.LS")*('Data Base hauling'!$C$2:$C$2000="TCM-ROM SB1 BK05-ROM 4")*(ISNUMBER(SEARCH(TEXT('September TCM'!$B17,"00")&amp;"/09/2026",'Data Base hauling'!$E$2:$E$2000)))*'Data Base hauling'!$N$2:$N$2000)/'September TCM'!$JJ17,"")</f>
        <v/>
      </c>
      <c r="JT17" s="67" t="str">
        <f>IFERROR(SUMPRODUCT(('Data Base hauling'!$O$2:$O$2000="TCM.HCV.LS")*SIGN(('Data Base hauling'!$C$2:$C$2000="TCM-ROM NB-ROM 5")+('Data Base hauling'!$C$2:$C$2000="TCM-ROM SB1 BK05-ROM 5")+('Data Base hauling'!$C$2:$C$2000="TCM-ROM SB2 BK24-ROM 5"))*(ISNUMBER(SEARCH(TEXT('September TCM'!$B17,"00")&amp;"/09/2026",'Data Base hauling'!$E$2:$E$2000)))*'Data Base hauling'!$N$2:$N$2000)/'September TCM'!$JJ17,"")</f>
        <v/>
      </c>
      <c r="JU17" s="67" t="str">
        <f>IFERROR(SUMPRODUCT(('Data Base hauling'!$O$2:$O$2000="TCM.HCV.LS")*SIGN(('Data Base hauling'!$C$2:$C$2000="TCM-ROM NB-ROM 6")+('Data Base hauling'!$C$2:$C$2000="TCM-ROM SB1 BK05-ROM 6")+('Data Base hauling'!$C$2:$C$2000="TCM-ROM SB2 BK24-ROM 6"))*(ISNUMBER(SEARCH(TEXT('September TCM'!$B17,"00")&amp;"/09/2026",'Data Base hauling'!$E$2:$E$2000)))*'Data Base hauling'!$N$2:$N$2000)/'September TCM'!$JJ17,"")</f>
        <v/>
      </c>
      <c r="JV17" s="67" t="str">
        <f>IFERROR(SUMPRODUCT(('Data Base hauling'!$O$2:$O$2000="TCM.HCV.LS")*('Data Base hauling'!$C$2:$C$2000="TCM-WASH-CR3")*(ISNUMBER(SEARCH(TEXT('September TCM'!$B17,"00")&amp;"/09/2026",'Data Base hauling'!$E$2:$E$2000)))*'Data Base hauling'!$N$2:$N$2000)/'September TCM'!$JJ17,"")</f>
        <v/>
      </c>
      <c r="JW17" s="1921">
        <f>SUMPRODUCT(('Data Base hauling'!$O$2:$O$2000="TCM.HCV.LS")*('Data Base hauling'!$C$2:$C$2000="TCM-HAC-CR3")*(ISNUMBER(SEARCH(TEXT('September TCM'!$B17,"00")&amp;"/089/2026",'Data Base hauling'!$E$2:$E$2000)))*'Data Base hauling'!$N$2:$N$2000)</f>
        <v>0</v>
      </c>
      <c r="JX17" s="66" t="str">
        <f>IFERROR(SUMPRODUCT(('Data Base hauling'!$O$2:$O$2000="TCM.HCV.HS")*('Data Base hauling'!$C$2:$C$2000="TCM-ROM NB-ROM 1")*(ISNUMBER(SEARCH(TEXT('September TCM'!$B17,"00")&amp;"/09/2026",'Data Base hauling'!$E$2:$E$2000)))*'Data Base hauling'!$N$2:$N$2000)/'September TCM'!$JK17,"")</f>
        <v/>
      </c>
      <c r="JY17" s="67" t="str">
        <f>IFERROR(SUMPRODUCT(('Data Base hauling'!$O$2:$O$2000="TCM.HCV.HS")*('Data Base hauling'!$C$2:$C$2000="TCM-ROM NB-ROM 2")*(ISNUMBER(SEARCH(TEXT('September TCM'!$B17,"00")&amp;"/09/2026",'Data Base hauling'!$E$2:$E$2000)))*'Data Base hauling'!$N$2:$N$2000)/'September TCM'!$JK17,"")</f>
        <v/>
      </c>
      <c r="JZ17" s="67" t="str">
        <f>IFERROR(SUMPRODUCT(('Data Base hauling'!$O$2:$O$2000="TCM.HCV.HS")*('Data Base hauling'!$C$2:$C$2000="TCM-ROM NB-ROM 3")*(ISNUMBER(SEARCH(TEXT('September TCM'!$B17,"00")&amp;"/09/2026",'Data Base hauling'!$E$2:$E$2000)))*'Data Base hauling'!$N$2:$N$2000)/'September TCM'!$JK17,"")</f>
        <v/>
      </c>
      <c r="KA17" s="67" t="str">
        <f>IFERROR(SUMPRODUCT(('Data Base hauling'!$O$2:$O$2000="TCM.HCV.HS")*('Data Base hauling'!$C$2:$C$2000="TCM-ROM SB1 BK05-ROM 4")*(ISNUMBER(SEARCH(TEXT('September TCM'!$B17,"00")&amp;"/09/2026",'Data Base hauling'!$E$2:$E$2000)))*'Data Base hauling'!$N$2:$N$2000)/'September TCM'!$JK17,"")</f>
        <v/>
      </c>
      <c r="KB17" s="67" t="str">
        <f>IFERROR(SUMPRODUCT(('Data Base hauling'!$O$2:$O$2000="TCM.HCV.HS")*SIGN(('Data Base hauling'!$C$2:$C$2000="TCM-ROM NB-ROM 5")+('Data Base hauling'!$C$2:$C$2000="TCM-ROM SB1 BK05-ROM 5")+('Data Base hauling'!$C$2:$C$2000="TCM-ROM SB2 BK24-ROM 5"))*(ISNUMBER(SEARCH(TEXT('September TCM'!$B17,"00")&amp;"/09/2026",'Data Base hauling'!$E$2:$E$2000)))*'Data Base hauling'!$N$2:$N$2000)/'September TCM'!$JK17,"")</f>
        <v/>
      </c>
      <c r="KC17" s="67" t="str">
        <f>IFERROR(SUMPRODUCT(('Data Base hauling'!$O$2:$O$2000="TCM.HCV.HS")*SIGN(('Data Base hauling'!$C$2:$C$2000="TCM-ROM NB-ROM 6")+('Data Base hauling'!$C$2:$C$2000="TCM-ROM SB1 BK05-ROM 6")+('Data Base hauling'!$C$2:$C$2000="TCM-ROM SB2 BK24-ROM 6"))*(ISNUMBER(SEARCH(TEXT('September TCM'!$B17,"00")&amp;"/09/2026",'Data Base hauling'!$E$2:$E$2000)))*'Data Base hauling'!$N$2:$N$2000)/'September TCM'!$JK17,"")</f>
        <v/>
      </c>
      <c r="KD17" s="67" t="str">
        <f>IFERROR(SUMPRODUCT(('Data Base hauling'!$O$2:$O$2000="TCM.HCV.HS")*('Data Base hauling'!$C$2:$C$2000="TCM-WASH-CR3")*(ISNUMBER(SEARCH(TEXT('September TCM'!$B17,"00")&amp;"/09/2026",'Data Base hauling'!$E$2:$E$2000)))*'Data Base hauling'!$N$2:$N$2000)/'September TCM'!$JK17,"")</f>
        <v/>
      </c>
      <c r="KE17" s="68" t="str">
        <f>IFERROR(SUMPRODUCT(('Data Base hauling'!$O$2:$O$2000="TCM.HCV.HS")*('Data Base hauling'!$C$2:$C$2000="TCM-HAC-CR3")*(ISNUMBER(SEARCH(TEXT('September TCM'!$B17,"00")&amp;"/09/2026",'Data Base hauling'!$E$2:$E$2000)))*'Data Base hauling'!$N$2:$N$2000)/'September TCM'!$JK17,"")</f>
        <v/>
      </c>
      <c r="KF17" s="69"/>
      <c r="KG17" s="70"/>
      <c r="KH17" s="70"/>
      <c r="KI17" s="70"/>
      <c r="KJ17" s="70"/>
      <c r="KK17" s="70"/>
      <c r="KL17" s="70"/>
      <c r="KM17" s="70"/>
      <c r="KN17" s="33"/>
      <c r="KO17" s="2669"/>
      <c r="KP17" s="2203">
        <f>IFERROR(SUMPRODUCT((TCM.HCV.LS!$A$3:$A$58=DATE(2026,9,$B17))*(TCM.HCV.LS!$O$3:$O$58&gt;0)*TCM.HCV.LS!$C$3:$C$58*TCM.HCV.LS!$O$3:$O$58)/SUMPRODUCT((TCM.HCV.LS!$A$3:$A$58=DATE(2026,9,$B17))*(TCM.HCV.LS!$O$3:$O$58&gt;0)*TCM.HCV.LS!$C$3:$C$58),0)</f>
        <v>0</v>
      </c>
      <c r="KQ17" s="1721">
        <f>IFERROR(SUMPRODUCT((TCM.HCV.LS!$A$3:$A$58=DATE(2026,9,$B17))*(TCM.HCV.LS!$M$3:$M$58&gt;0)*TCM.HCV.LS!$C$3:$C$58*TCM.HCV.LS!$M$3:$M$58)/SUMPRODUCT((TCM.HCV.LS!$A$3:$A$58=DATE(2026,9,$B17))*(TCM.HCV.LS!$M$3:$M$58&gt;0)*TCM.HCV.LS!$C$3:$C$58),0)</f>
        <v>0</v>
      </c>
      <c r="KR17" s="1721">
        <f>IFERROR(SUMPRODUCT((TCM.HCV.LS!$A$3:$A$58=DATE(2026,9,$B17))*(TCM.HCV.LS!$G$3:$G$58&gt;0)*TCM.HCV.LS!$C$3:$C$58*TCM.HCV.LS!$G$3:$G$58)/SUMPRODUCT((TCM.HCV.LS!$A$3:$A$58=DATE(2026,9,$B17))*(TCM.HCV.LS!$G$3:$G$58&gt;0)*TCM.HCV.LS!$C$3:$C$58),0)</f>
        <v>0</v>
      </c>
      <c r="KS17" s="1721">
        <f>IFERROR(SUMPRODUCT((TCM.HCV.LS!$A$3:$A$58=DATE(2026,9,$B17))*(TCM.HCV.LS!$F$3:$F$58&gt;0)*TCM.HCV.LS!$C$3:$C$58*TCM.HCV.LS!$F$3:$F$58)/SUMPRODUCT((TCM.HCV.LS!$A$3:$A$58=DATE(2026,9,$B17))*(TCM.HCV.LS!$F$3:$F$58&gt;0)*TCM.HCV.LS!$C$3:$C$58),0)</f>
        <v>0</v>
      </c>
      <c r="KT17" s="1722">
        <f>IFERROR(SUMPRODUCT((TCM.HCV.LS!$A$3:$A$58=DATE(2026,9,$B17))*(TCM.HCV.LS!$E$3:$E$58&gt;0)*TCM.HCV.LS!$C$3:$C$58*TCM.HCV.LS!$E$3:$E$58)/SUMPRODUCT((TCM.HCV.LS!$A$3:$A$58=DATE(2026,9,$B17))*(TCM.HCV.LS!$E$3:$E$58&gt;0)*TCM.HCV.LS!$C$3:$C$58),0)</f>
        <v>0</v>
      </c>
      <c r="KU17" s="1958">
        <f>IFERROR(SUMPRODUCT((TCM.HCV.HS!$A$3:$A$84=DATE(2026,9,$B17))*(TCM.HCV.HS!$O$3:$O$84&gt;0)*TCM.HCV.HS!$C$3:$C$84*TCM.HCV.HS!$O$3:$O$84)/SUMPRODUCT((TCM.HCV.HS!$A$3:$A$84=DATE(2026,9,$B17))*(TCM.HCV.HS!$O$3:$O$84&gt;0)*TCM.HCV.HS!$C$3:$C$84),0)</f>
        <v>0</v>
      </c>
      <c r="KV17" s="1961">
        <f>IFERROR(SUMPRODUCT((TCM.HCV.HS!$A$3:$A$84=DATE(2026,9,$B17))*(TCM.HCV.HS!$M$3:$M$84&gt;0)*TCM.HCV.HS!$C$3:$C$84*TCM.HCV.HS!$M$3:$M$84)/SUMPRODUCT((TCM.HCV.HS!$A$3:$A$84=DATE(2026,9,$B17))*(TCM.HCV.HS!$M$3:$M$84&gt;0)*TCM.HCV.HS!$C$3:$C$84),0)</f>
        <v>0</v>
      </c>
      <c r="KW17" s="1961">
        <f>IFERROR(SUMPRODUCT((TCM.HCV.HS!$A$3:$A$84=DATE(2026,9,$B17))*(TCM.HCV.HS!$G$3:$G$84&gt;0)*TCM.HCV.HS!$C$3:$C$84*TCM.HCV.HS!$G$3:$G$84)/SUMPRODUCT((TCM.HCV.HS!$A$3:$A$84=DATE(2026,9,$B17))*(TCM.HCV.HS!$G$3:$G$84&gt;0)*TCM.HCV.HS!$C$3:$C$84),0)</f>
        <v>0</v>
      </c>
      <c r="KX17" s="1961">
        <f>IFERROR(SUMPRODUCT((TCM.HCV.HS!$A$3:$A$84=DATE(2026,9,$B17))*(TCM.HCV.HS!$F$3:$F$84&gt;0)*TCM.HCV.HS!$C$3:$C$84*TCM.HCV.HS!$F$3:$F$84)/SUMPRODUCT((TCM.HCV.HS!$A$3:$A$84=DATE(2026,9,$B17))*(TCM.HCV.HS!$F$3:$F$84&gt;0)*TCM.HCV.HS!$C$3:$C$84),0)</f>
        <v>0</v>
      </c>
      <c r="KY17" s="1962">
        <f>IFERROR(SUMPRODUCT((TCM.HCV.HS!$A$3:$A$84=DATE(2026,9,$B17))*(TCM.HCV.HS!$E$3:$E$84&gt;0)*TCM.HCV.HS!$C$3:$C$84*TCM.HCV.HS!$E$3:$E$84)/SUMPRODUCT((TCM.HCV.HS!$A$3:$A$84=DATE(2026,9,$B17))*(TCM.HCV.HS!$E$3:$E$84&gt;0)*TCM.HCV.HS!$C$3:$C$84),0)</f>
        <v>0</v>
      </c>
      <c r="KZ17" s="36"/>
      <c r="LA17" s="53"/>
      <c r="LB17" s="53"/>
      <c r="LC17" s="53"/>
      <c r="LD17" s="53"/>
      <c r="LE17" s="33"/>
      <c r="LF17" s="2669"/>
      <c r="LH17" s="26">
        <f t="shared" si="52"/>
        <v>0</v>
      </c>
      <c r="LI17" s="27">
        <f t="shared" si="52"/>
        <v>0</v>
      </c>
      <c r="LJ17" s="27">
        <f t="shared" si="52"/>
        <v>0</v>
      </c>
      <c r="LK17" s="28">
        <f t="shared" si="53"/>
        <v>0</v>
      </c>
      <c r="LL17" s="36"/>
      <c r="LM17" s="27"/>
      <c r="LN17" s="27"/>
      <c r="LO17" s="33"/>
      <c r="LP17" s="2540">
        <v>0</v>
      </c>
      <c r="LQ17" s="486"/>
      <c r="LR17" s="2688"/>
      <c r="LS17" s="21"/>
      <c r="LT17" s="27"/>
      <c r="LU17" s="27"/>
      <c r="LV17" s="27"/>
      <c r="LW17" s="27"/>
      <c r="LX17" s="1117">
        <f t="shared" ref="LX17:LX40" si="129">SUM(LS17:LW17)</f>
        <v>0</v>
      </c>
      <c r="LY17" s="36"/>
      <c r="LZ17" s="36"/>
      <c r="MA17" s="27"/>
      <c r="MB17" s="27"/>
      <c r="MC17" s="33"/>
      <c r="MD17" s="28">
        <f t="shared" si="55"/>
        <v>0</v>
      </c>
      <c r="ME17" s="26"/>
      <c r="MF17" s="36"/>
      <c r="MG17" s="27"/>
      <c r="MH17" s="27"/>
      <c r="MI17" s="27"/>
      <c r="MJ17" s="28"/>
      <c r="MK17" s="36"/>
      <c r="ML17" s="36"/>
      <c r="MM17" s="27"/>
      <c r="MN17" s="27"/>
      <c r="MO17" s="27"/>
      <c r="MP17" s="28"/>
      <c r="MQ17" s="36"/>
      <c r="MR17" s="36"/>
      <c r="MS17" s="27"/>
      <c r="MT17" s="27"/>
      <c r="MU17" s="27"/>
      <c r="MV17" s="33">
        <f t="shared" si="56"/>
        <v>0</v>
      </c>
      <c r="MW17" s="2688"/>
      <c r="MY17" s="26">
        <f t="shared" si="57"/>
        <v>377341.84766611259</v>
      </c>
      <c r="MZ17" s="27">
        <f t="shared" si="58"/>
        <v>191281.80302645115</v>
      </c>
      <c r="NA17" s="27">
        <f t="shared" si="59"/>
        <v>27294.683787707359</v>
      </c>
      <c r="NB17" s="28">
        <f t="shared" si="60"/>
        <v>318297.33035698003</v>
      </c>
      <c r="NC17" s="2621"/>
      <c r="ND17" s="23">
        <f t="shared" si="116"/>
        <v>207724.34280113198</v>
      </c>
      <c r="NE17" s="1655">
        <f t="shared" si="117"/>
        <v>169617.50486498058</v>
      </c>
      <c r="NF17" s="60">
        <f t="shared" si="63"/>
        <v>0</v>
      </c>
      <c r="NG17" s="275">
        <f t="shared" si="4"/>
        <v>377341.84766611259</v>
      </c>
      <c r="NH17" s="26">
        <f t="shared" si="64"/>
        <v>-313.35000000000002</v>
      </c>
      <c r="NI17" s="27">
        <f t="shared" si="64"/>
        <v>0</v>
      </c>
      <c r="NJ17" s="27">
        <f t="shared" si="64"/>
        <v>0</v>
      </c>
      <c r="NK17" s="27">
        <f t="shared" si="64"/>
        <v>0</v>
      </c>
      <c r="NL17" s="27">
        <f t="shared" si="64"/>
        <v>0</v>
      </c>
      <c r="NM17" s="33">
        <f t="shared" si="64"/>
        <v>0</v>
      </c>
      <c r="NN17" s="27">
        <f t="shared" si="64"/>
        <v>0</v>
      </c>
      <c r="NO17" s="36">
        <f t="shared" si="64"/>
        <v>0</v>
      </c>
      <c r="NP17" s="24">
        <f t="shared" si="64"/>
        <v>21665.870136227244</v>
      </c>
      <c r="NQ17" s="27">
        <f t="shared" si="64"/>
        <v>22358.939343794715</v>
      </c>
      <c r="NR17" s="24">
        <f t="shared" si="118"/>
        <v>8443.1982322711574</v>
      </c>
      <c r="NS17" s="24">
        <f t="shared" si="119"/>
        <v>9895.3380410535083</v>
      </c>
      <c r="NT17" s="27">
        <f t="shared" si="0"/>
        <v>62049.995753346629</v>
      </c>
      <c r="NU17" s="27">
        <f t="shared" si="65"/>
        <v>0</v>
      </c>
      <c r="NV17" s="27">
        <f t="shared" si="65"/>
        <v>0</v>
      </c>
      <c r="NW17" s="27">
        <f t="shared" si="65"/>
        <v>0</v>
      </c>
      <c r="NX17" s="27">
        <f t="shared" si="65"/>
        <v>0</v>
      </c>
      <c r="NY17" s="27">
        <f t="shared" si="65"/>
        <v>0</v>
      </c>
      <c r="NZ17" s="27">
        <f t="shared" si="65"/>
        <v>0</v>
      </c>
      <c r="OA17" s="27">
        <f t="shared" si="65"/>
        <v>35558.705564997217</v>
      </c>
      <c r="OB17" s="27">
        <f t="shared" si="65"/>
        <v>0</v>
      </c>
      <c r="OC17" s="27">
        <f t="shared" si="66"/>
        <v>12611.886475620366</v>
      </c>
      <c r="OD17" s="1999"/>
      <c r="OE17" s="27">
        <f t="shared" si="120"/>
        <v>13429.316718063665</v>
      </c>
      <c r="OF17" s="27">
        <f t="shared" si="67"/>
        <v>0</v>
      </c>
      <c r="OG17" s="28">
        <f t="shared" si="1"/>
        <v>61599.908758681253</v>
      </c>
      <c r="OH17" s="27">
        <f t="shared" si="68"/>
        <v>0</v>
      </c>
      <c r="OI17" s="27">
        <f t="shared" si="68"/>
        <v>0</v>
      </c>
      <c r="OJ17" s="27">
        <f t="shared" si="68"/>
        <v>0</v>
      </c>
      <c r="OK17" s="27">
        <f t="shared" si="68"/>
        <v>0</v>
      </c>
      <c r="OL17" s="27">
        <f t="shared" si="68"/>
        <v>0</v>
      </c>
      <c r="OM17" s="27">
        <f t="shared" si="68"/>
        <v>0</v>
      </c>
      <c r="ON17" s="24">
        <f t="shared" si="68"/>
        <v>0</v>
      </c>
      <c r="OO17" s="27">
        <f t="shared" si="68"/>
        <v>0</v>
      </c>
      <c r="OP17" s="24">
        <f t="shared" si="69"/>
        <v>54054.217649249818</v>
      </c>
      <c r="OQ17" s="27">
        <f t="shared" si="70"/>
        <v>0</v>
      </c>
      <c r="OR17" s="24">
        <f t="shared" si="70"/>
        <v>13577.680865173457</v>
      </c>
      <c r="OS17" s="27">
        <f t="shared" si="70"/>
        <v>0</v>
      </c>
      <c r="OT17" s="28">
        <f t="shared" si="2"/>
        <v>67631.898514423272</v>
      </c>
      <c r="OU17" s="36"/>
      <c r="OV17" s="27"/>
      <c r="OW17" s="27"/>
      <c r="OX17" s="27"/>
      <c r="OY17" s="27"/>
      <c r="OZ17" s="27"/>
      <c r="PA17" s="28">
        <f t="shared" si="71"/>
        <v>0</v>
      </c>
      <c r="PB17" s="36">
        <f t="shared" si="72"/>
        <v>0</v>
      </c>
      <c r="PC17" s="27">
        <f t="shared" si="73"/>
        <v>0</v>
      </c>
      <c r="PD17" s="27">
        <f t="shared" si="74"/>
        <v>0</v>
      </c>
      <c r="PE17" s="27">
        <f t="shared" si="75"/>
        <v>0</v>
      </c>
      <c r="PF17" s="24"/>
      <c r="PG17" s="27">
        <f t="shared" si="76"/>
        <v>0</v>
      </c>
      <c r="PH17" s="33">
        <f t="shared" si="3"/>
        <v>0</v>
      </c>
      <c r="PI17" s="2621"/>
      <c r="PK17" s="1907">
        <f>SUMPRODUCT(('Data Base Coal Wining'!$D$2:$D$2000="WASHING PLANT")*ISNUMBER(SEARCH(TEXT('September TCM'!$B17,"00")&amp;"/09/2026",'Data Base Coal Wining'!$E$2:$E$2000))*'Data Base Coal Wining'!$N$2:$N$2000)</f>
        <v>0</v>
      </c>
      <c r="PL17" s="1101"/>
      <c r="PM17" s="1101"/>
      <c r="PN17" s="3">
        <f t="shared" si="77"/>
        <v>0</v>
      </c>
      <c r="PO17" s="3">
        <f t="shared" si="78"/>
        <v>38895.633435124721</v>
      </c>
      <c r="PP17" s="11">
        <f t="shared" si="79"/>
        <v>27294.683787707359</v>
      </c>
      <c r="PQ17" s="15"/>
      <c r="PR17" s="2615"/>
      <c r="PT17" s="4"/>
      <c r="PU17" s="9"/>
      <c r="PV17" s="9"/>
      <c r="PW17" s="9"/>
      <c r="PX17" s="8">
        <f>SUMPRODUCT(('Data Base Coal Wining'!$D$2:$D$2000="TCM-ROM SB1 BK05-ROM 2 (HAC)")*('Data Base Coal Wining'!$G$2:$G$2000="Coal Winning")*ISNUMBER(SEARCH(TEXT('September TCM'!$B17,"00")&amp;"/09/2026",'Data Base Coal Wining'!$E$2:$E$2000))*'Data Base Coal Wining'!$N$2:$N$2000)</f>
        <v>0</v>
      </c>
      <c r="PY17" s="9"/>
      <c r="PZ17" s="8">
        <f t="shared" si="80"/>
        <v>0</v>
      </c>
      <c r="QA17" s="5">
        <f t="shared" si="81"/>
        <v>0</v>
      </c>
      <c r="QB17" s="5"/>
      <c r="QC17" s="5"/>
      <c r="QD17" s="5"/>
      <c r="QE17" s="5"/>
      <c r="QF17" s="5"/>
      <c r="QG17" s="12"/>
      <c r="QH17" s="12">
        <f t="shared" si="82"/>
        <v>29562.488999999998</v>
      </c>
      <c r="QI17" s="420">
        <f t="shared" si="83"/>
        <v>283762.59090898006</v>
      </c>
      <c r="QJ17" s="1106">
        <f t="shared" si="121"/>
        <v>4972.2504480000007</v>
      </c>
      <c r="QK17" s="484">
        <f t="shared" si="84"/>
        <v>5505.3678056099998</v>
      </c>
      <c r="QL17" s="12"/>
      <c r="QM17" s="2615"/>
      <c r="QO17" s="139" t="str">
        <f t="shared" si="85"/>
        <v/>
      </c>
      <c r="QP17" s="139" t="str">
        <f t="shared" si="86"/>
        <v/>
      </c>
      <c r="QR17" s="139" t="str">
        <f t="shared" si="87"/>
        <v/>
      </c>
      <c r="QS17" s="139" t="str">
        <f t="shared" si="88"/>
        <v/>
      </c>
      <c r="QU17" s="1">
        <f t="shared" si="89"/>
        <v>0</v>
      </c>
      <c r="QV17" s="1">
        <f t="shared" si="90"/>
        <v>0</v>
      </c>
      <c r="QW17" s="1">
        <f t="shared" si="91"/>
        <v>0</v>
      </c>
      <c r="QX17" s="1">
        <f t="shared" si="92"/>
        <v>0</v>
      </c>
      <c r="QY17" s="1">
        <f t="shared" si="93"/>
        <v>0</v>
      </c>
      <c r="QZ17" s="1">
        <f t="shared" si="94"/>
        <v>0</v>
      </c>
      <c r="RB17" s="1">
        <f t="shared" si="95"/>
        <v>0</v>
      </c>
      <c r="RC17" s="1">
        <f t="shared" si="96"/>
        <v>0</v>
      </c>
      <c r="RD17" s="1">
        <f t="shared" si="97"/>
        <v>0</v>
      </c>
      <c r="RE17" s="1">
        <f t="shared" si="98"/>
        <v>0</v>
      </c>
      <c r="RF17" s="1">
        <f t="shared" si="99"/>
        <v>0</v>
      </c>
      <c r="RG17" s="1">
        <f t="shared" si="100"/>
        <v>0</v>
      </c>
      <c r="RJ17" s="1">
        <v>8</v>
      </c>
      <c r="RK17" s="1">
        <f t="shared" si="101"/>
        <v>58031.397751083161</v>
      </c>
      <c r="RL17" s="1">
        <f t="shared" si="101"/>
        <v>12902.677549862281</v>
      </c>
      <c r="RM17" s="1">
        <f t="shared" si="101"/>
        <v>9178.5689913333827</v>
      </c>
      <c r="RN17" s="89">
        <f t="shared" si="5"/>
        <v>80112.644292278812</v>
      </c>
      <c r="RO17" s="1033">
        <v>8</v>
      </c>
      <c r="RP17" s="1098">
        <v>0</v>
      </c>
      <c r="RQ17" s="1098">
        <f t="shared" si="102"/>
        <v>0</v>
      </c>
      <c r="RR17" s="1097">
        <f t="shared" si="102"/>
        <v>0</v>
      </c>
      <c r="RS17" s="1097">
        <f t="shared" si="103"/>
        <v>0</v>
      </c>
      <c r="RT17" s="1096"/>
      <c r="RU17" s="1109"/>
      <c r="RV17" s="1048"/>
      <c r="RX17" s="421">
        <v>8</v>
      </c>
      <c r="RY17" s="1095">
        <f t="shared" si="104"/>
        <v>0</v>
      </c>
      <c r="RZ17" s="2441"/>
      <c r="SA17" s="1048"/>
      <c r="SB17" s="1090"/>
      <c r="SC17" s="1090">
        <f t="shared" si="105"/>
        <v>0</v>
      </c>
      <c r="SD17" s="1090"/>
      <c r="SE17" s="1090">
        <f t="shared" si="106"/>
        <v>0</v>
      </c>
      <c r="SG17" s="1">
        <v>8</v>
      </c>
      <c r="SH17" s="1">
        <f t="shared" si="107"/>
        <v>0</v>
      </c>
      <c r="SI17" s="2420"/>
    </row>
    <row r="18" spans="1:503" s="1" customFormat="1" ht="15" customHeight="1">
      <c r="B18" s="471">
        <v>9</v>
      </c>
      <c r="C18" s="4">
        <f t="shared" si="108"/>
        <v>0</v>
      </c>
      <c r="D18" s="1590">
        <f t="shared" si="128"/>
        <v>0</v>
      </c>
      <c r="E18" s="1895">
        <f t="shared" si="6"/>
        <v>0</v>
      </c>
      <c r="F18" s="870"/>
      <c r="G18" s="870"/>
      <c r="H18" s="52"/>
      <c r="I18" s="61"/>
      <c r="J18" s="52"/>
      <c r="K18" s="54"/>
      <c r="L18" s="52"/>
      <c r="M18" s="61"/>
      <c r="N18" s="2629"/>
      <c r="O18" s="4">
        <f t="shared" si="125"/>
        <v>0</v>
      </c>
      <c r="P18" s="1225">
        <f t="shared" si="7"/>
        <v>0</v>
      </c>
      <c r="Q18" s="1952">
        <f t="shared" si="8"/>
        <v>0</v>
      </c>
      <c r="R18" s="33"/>
      <c r="S18" s="26">
        <f t="shared" si="9"/>
        <v>0</v>
      </c>
      <c r="T18" s="27">
        <f t="shared" si="110"/>
        <v>0</v>
      </c>
      <c r="U18" s="1909">
        <f t="shared" si="10"/>
        <v>0</v>
      </c>
      <c r="V18" s="15"/>
      <c r="W18" s="1742">
        <f t="shared" si="11"/>
        <v>0</v>
      </c>
      <c r="X18" s="1918">
        <f t="shared" si="11"/>
        <v>0</v>
      </c>
      <c r="Y18" s="1909">
        <f t="shared" si="12"/>
        <v>0</v>
      </c>
      <c r="Z18" s="33"/>
      <c r="AA18" s="26">
        <f t="shared" si="13"/>
        <v>0</v>
      </c>
      <c r="AB18" s="27">
        <f t="shared" si="126"/>
        <v>0</v>
      </c>
      <c r="AC18" s="1909">
        <f t="shared" si="15"/>
        <v>0</v>
      </c>
      <c r="AD18" s="28"/>
      <c r="AE18" s="36"/>
      <c r="AF18" s="36"/>
      <c r="AG18" s="53">
        <f t="shared" si="16"/>
        <v>0</v>
      </c>
      <c r="AH18" s="28"/>
      <c r="AI18" s="23"/>
      <c r="AJ18" s="27"/>
      <c r="AK18" s="53">
        <f t="shared" si="17"/>
        <v>0</v>
      </c>
      <c r="AL18" s="28"/>
      <c r="AM18" s="2629"/>
      <c r="AN18" s="9"/>
      <c r="AO18" s="5"/>
      <c r="AP18" s="61">
        <f t="shared" si="18"/>
        <v>0</v>
      </c>
      <c r="AQ18" s="36"/>
      <c r="AR18" s="53"/>
      <c r="AS18" s="61">
        <f t="shared" si="19"/>
        <v>0</v>
      </c>
      <c r="AT18" s="36">
        <v>0</v>
      </c>
      <c r="AU18" s="27"/>
      <c r="AV18" s="54">
        <f t="shared" si="20"/>
        <v>0</v>
      </c>
      <c r="AW18" s="26"/>
      <c r="AX18" s="280">
        <f>SUMPRODUCT(ISNUMBER(SEARCH("BK20",'Data Base Coal Wining'!$C$2:$C$2000))*ISNUMBER(SEARCH("P3000",'Data Base Coal Wining'!$C$2:$C$2000))*('Data Base Coal Wining'!$H$2:$H$2000="PAMA")*('Data Base Coal Wining'!$G$2:$G$2000="Coal Winning")*ISNUMBER(SEARCH(TEXT('September TCM'!$B18,"00")&amp;"/09/2026",'Data Base Coal Wining'!$E$2:$E$2000))*'Data Base Coal Wining'!$N$2:$N$2000)</f>
        <v>0</v>
      </c>
      <c r="AY18" s="1735">
        <f>IFERROR(AW18/AX18,0)</f>
        <v>0</v>
      </c>
      <c r="AZ18" s="36"/>
      <c r="BA18" s="27"/>
      <c r="BB18" s="61">
        <f t="shared" si="21"/>
        <v>0</v>
      </c>
      <c r="BC18" s="1740"/>
      <c r="BD18" s="2154">
        <f>SUMPRODUCT(ISNUMBER(SEARCH("BK30",'Data Base Coal Wining'!$C$2:$C$2000))*ISNUMBER(SEARCH("P3000",'Data Base Coal Wining'!$C$2:$C$2000))*('Data Base Coal Wining'!$H$2:$H$2000="PAMA")*('Data Base Coal Wining'!$G$2:$G$2000="Coal Winning")*ISNUMBER(SEARCH(TEXT('September TCM'!$B18,"00")&amp;"/09/2026",'Data Base Coal Wining'!$E$2:$E$2000))*'Data Base Coal Wining'!$N$2:$N$2000)</f>
        <v>0</v>
      </c>
      <c r="BE18" s="1735">
        <f t="shared" si="22"/>
        <v>0</v>
      </c>
      <c r="BF18" s="36"/>
      <c r="BG18" s="53"/>
      <c r="BH18" s="61">
        <f t="shared" si="23"/>
        <v>0</v>
      </c>
      <c r="BI18" s="36">
        <v>0</v>
      </c>
      <c r="BJ18" s="53">
        <v>0</v>
      </c>
      <c r="BK18" s="61">
        <f t="shared" si="24"/>
        <v>0</v>
      </c>
      <c r="BL18" s="1742"/>
      <c r="BM18" s="2154">
        <f>SUMPRODUCT(ISNUMBER(SEARCH("BK26",'Data Base Coal Wining'!$C$2:$C$2000))*ISNUMBER(SEARCH("P4400",'Data Base Coal Wining'!$C$2:$C$2000))*('Data Base Coal Wining'!$H$2:$H$2000="MAP")*('Data Base Coal Wining'!$G$2:$G$2000="Coal Winning")*ISNUMBER(SEARCH(TEXT('September TCM'!$B18,"00")&amp;"/09/2026",'Data Base Coal Wining'!$E$2:$E$2000))*'Data Base Coal Wining'!$N$2:$N$2000)</f>
        <v>0</v>
      </c>
      <c r="BN18" s="2171"/>
      <c r="BO18" s="1920">
        <f t="shared" si="25"/>
        <v>0</v>
      </c>
      <c r="BP18" s="9"/>
      <c r="BQ18" s="2514">
        <f>SUMPRODUCT(ISNUMBER(SEARCH("BK34",'Data Base Coal Wining'!$C$2:$C$2000))*ISNUMBER(SEARCH("P4000",'Data Base Coal Wining'!$C$2:$C$2000))*('Data Base Coal Wining'!$H$2:$H$2000="PJPN")*('Data Base Coal Wining'!$G$2:$G$2000="Coal Winning")*ISNUMBER(SEARCH(TEXT('September TCM'!$B18,"00")&amp;"/09/2026",'Data Base Coal Wining'!$E$2:$E$2000))*'Data Base Coal Wining'!$N$2:$N$2000)</f>
        <v>0</v>
      </c>
      <c r="BR18" s="1920">
        <f t="shared" si="26"/>
        <v>0</v>
      </c>
      <c r="BS18" s="9"/>
      <c r="BT18" s="53"/>
      <c r="BU18" s="482">
        <f t="shared" si="27"/>
        <v>0</v>
      </c>
      <c r="BV18" s="9"/>
      <c r="BW18" s="2511"/>
      <c r="BX18" s="1051">
        <f t="shared" ref="BX18:BX24" si="130">IFERROR(BV18/BW18,0)</f>
        <v>0</v>
      </c>
      <c r="BY18" s="26"/>
      <c r="BZ18" s="27"/>
      <c r="CA18" s="869">
        <f t="shared" si="29"/>
        <v>0</v>
      </c>
      <c r="CB18" s="9"/>
      <c r="CC18" s="481"/>
      <c r="CD18" s="482">
        <f t="shared" si="30"/>
        <v>0</v>
      </c>
      <c r="CE18" s="4"/>
      <c r="CF18" s="5"/>
      <c r="CG18" s="28">
        <f t="shared" si="31"/>
        <v>0</v>
      </c>
      <c r="CH18" s="150"/>
      <c r="CI18" s="4"/>
      <c r="CJ18" s="5"/>
      <c r="CK18" s="5"/>
      <c r="CL18" s="5"/>
      <c r="CM18" s="5"/>
      <c r="CN18" s="3">
        <f t="shared" si="111"/>
        <v>0</v>
      </c>
      <c r="CO18" s="33"/>
      <c r="CP18" s="366"/>
      <c r="CR18" s="4">
        <f t="shared" si="32"/>
        <v>0</v>
      </c>
      <c r="CS18" s="9">
        <f t="shared" si="32"/>
        <v>0</v>
      </c>
      <c r="CT18" s="5">
        <f t="shared" si="32"/>
        <v>0</v>
      </c>
      <c r="CU18" s="5">
        <f t="shared" si="32"/>
        <v>0</v>
      </c>
      <c r="CV18" s="5">
        <f t="shared" si="32"/>
        <v>0</v>
      </c>
      <c r="CW18" s="5">
        <f t="shared" si="32"/>
        <v>0</v>
      </c>
      <c r="CX18" s="5">
        <f t="shared" si="32"/>
        <v>0</v>
      </c>
      <c r="CY18" s="5">
        <f t="shared" si="32"/>
        <v>0</v>
      </c>
      <c r="CZ18" s="5">
        <f t="shared" si="32"/>
        <v>0</v>
      </c>
      <c r="DA18" s="5">
        <f t="shared" si="32"/>
        <v>0</v>
      </c>
      <c r="DB18" s="5">
        <f t="shared" si="32"/>
        <v>0</v>
      </c>
      <c r="DC18" s="12">
        <f t="shared" si="33"/>
        <v>0</v>
      </c>
      <c r="DD18" s="310">
        <f t="shared" si="34"/>
        <v>0</v>
      </c>
      <c r="DE18" s="2695"/>
      <c r="DF18" s="8"/>
      <c r="DG18" s="9"/>
      <c r="DH18" s="5"/>
      <c r="DI18" s="5"/>
      <c r="DJ18" s="5"/>
      <c r="DK18" s="5"/>
      <c r="DL18" s="3">
        <f>SUMPRODUCT(('Data Base Coal Wining'!$D$2:$D$2000="TCM-ROM SB1 BK05-ROM 4")*('Data Base Coal Wining'!$G$2:$G$2000="Coal Winning")*ISNUMBER(SEARCH(TEXT('September TCM'!$B18,"00")&amp;"/09/2026",'Data Base Coal Wining'!$E$2:$E$2000))*'Data Base Coal Wining'!$N$2:$N$2000)</f>
        <v>0</v>
      </c>
      <c r="DM18" s="5"/>
      <c r="DN18" s="3">
        <f>SUMPRODUCT(('Data Base Coal Wining'!$D$2:$D$2000="TCM-ROM SB1 BK05-ROM 5")*('Data Base Coal Wining'!$G$2:$G$2000="Coal Winning")*ISNUMBER(SEARCH(TEXT('September TCM'!$B18,"00")&amp;"/09/2026",'Data Base Coal Wining'!$E$2:$E$2000))*'Data Base Coal Wining'!$N$2:$N$2000)</f>
        <v>0</v>
      </c>
      <c r="DO18" s="5"/>
      <c r="DP18" s="3">
        <f>SUMPRODUCT(('Data Base Coal Wining'!$D$2:$D$2000="TCM-ROM SB1 BK05-ROM 6")*('Data Base Coal Wining'!$G$2:$G$2000="Coal Winning")*ISNUMBER(SEARCH(TEXT('September TCM'!$B18,"00")&amp;"/09/2026",'Data Base Coal Wining'!$E$2:$E$2000))*'Data Base Coal Wining'!$N$2:$N$2000)</f>
        <v>0</v>
      </c>
      <c r="DQ18" s="11">
        <f>SUMPRODUCT(('Data Base Coal Wining'!$D$2:$D$2000="TCM-ROM SB1 BK05-ROM 6.1")*('Data Base Coal Wining'!$G$2:$G$2000="Coal Winning")*ISNUMBER(SEARCH(TEXT('September TCM'!$B18,"00")&amp;"/09/2026",'Data Base Coal Wining'!$E$2:$E$2000))*'Data Base Coal Wining'!$N$2:$N$2000)</f>
        <v>0</v>
      </c>
      <c r="DR18" s="12"/>
      <c r="DS18" s="1906">
        <f t="shared" si="35"/>
        <v>0</v>
      </c>
      <c r="DT18" s="36"/>
      <c r="DU18" s="36"/>
      <c r="DV18" s="27"/>
      <c r="DW18" s="27"/>
      <c r="DX18" s="5"/>
      <c r="DY18" s="5"/>
      <c r="DZ18" s="5"/>
      <c r="EA18" s="5"/>
      <c r="EB18" s="3">
        <f>SUMPRODUCT(('Data Base Coal Wining'!$D$2:$D$2000="TCM-ROM SB2 BK24-ROM 5")*('Data Base Coal Wining'!$G$2:$G$2000="Coal Winning")*ISNUMBER(SEARCH(TEXT('September TCM'!$B18,"00")&amp;"/09/2026",'Data Base Coal Wining'!$E$2:$E$2000))*'Data Base Coal Wining'!$N$2:$N$2000)</f>
        <v>0</v>
      </c>
      <c r="EC18" s="53"/>
      <c r="ED18" s="24">
        <f>SUMPRODUCT(('Data Base Coal Wining'!$D$2:$D$2000="TCM-ROM SB2 BK24-ROM 6")*('Data Base Coal Wining'!$G$2:$G$2000="Coal Winning")*ISNUMBER(SEARCH(TEXT('September TCM'!$B18,"00")&amp;"/09/2026",'Data Base Coal Wining'!$E$2:$E$2000))*'Data Base Coal Wining'!$N$2:$N$2000)</f>
        <v>0</v>
      </c>
      <c r="EE18" s="33"/>
      <c r="EF18" s="28">
        <f t="shared" si="36"/>
        <v>0</v>
      </c>
      <c r="EG18" s="9"/>
      <c r="EH18" s="36"/>
      <c r="EI18" s="5"/>
      <c r="EJ18" s="313"/>
      <c r="EK18" s="27"/>
      <c r="EL18" s="27"/>
      <c r="EM18" s="27"/>
      <c r="EN18" s="27"/>
      <c r="EO18" s="5"/>
      <c r="EP18" s="5"/>
      <c r="EQ18" s="5"/>
      <c r="ER18" s="33"/>
      <c r="ES18" s="28">
        <f t="shared" si="127"/>
        <v>0</v>
      </c>
      <c r="ET18" s="36"/>
      <c r="EU18" s="27"/>
      <c r="EV18" s="27"/>
      <c r="EW18" s="27"/>
      <c r="EX18" s="27"/>
      <c r="EY18" s="27"/>
      <c r="EZ18" s="33">
        <f t="shared" si="38"/>
        <v>0</v>
      </c>
      <c r="FA18" s="2685"/>
      <c r="FC18" s="4">
        <f t="shared" si="39"/>
        <v>0</v>
      </c>
      <c r="FD18" s="5">
        <f t="shared" si="40"/>
        <v>0</v>
      </c>
      <c r="FE18" s="5">
        <f t="shared" si="41"/>
        <v>0</v>
      </c>
      <c r="FF18" s="12">
        <f t="shared" si="42"/>
        <v>0</v>
      </c>
      <c r="FG18" s="33"/>
      <c r="FH18" s="2674"/>
      <c r="FI18" s="9"/>
      <c r="FJ18" s="5"/>
      <c r="FK18" s="5"/>
      <c r="FL18" s="5"/>
      <c r="FM18" s="5"/>
      <c r="FN18" s="27"/>
      <c r="FO18" s="28">
        <f t="shared" si="43"/>
        <v>0</v>
      </c>
      <c r="FP18" s="36"/>
      <c r="FQ18" s="27"/>
      <c r="FR18" s="27"/>
      <c r="FS18" s="27"/>
      <c r="FT18" s="27"/>
      <c r="FU18" s="27"/>
      <c r="FV18" s="28">
        <f t="shared" si="44"/>
        <v>0</v>
      </c>
      <c r="FW18" s="36"/>
      <c r="FX18" s="36"/>
      <c r="FY18" s="27"/>
      <c r="FZ18" s="27"/>
      <c r="GA18" s="27"/>
      <c r="GB18" s="27"/>
      <c r="GC18" s="27"/>
      <c r="GD18" s="27"/>
      <c r="GE18" s="24" cm="1">
        <f t="array" ref="GE18">SUMPRODUCT(('Data Base Coal Wining'!$C$2:$C$2000="TCM-ROM TEMPORARY SB2 KM 76-ROM HAC (S4700 Hard Ban)")*(ISNUMBER(SEARCH(TEXT('September TCM'!$B18,"00")&amp;"/08/2026",'Data Base Coal Wining'!$E$2:$E$2000)))*'Data Base Coal Wining'!$N$2:$N$2000)</f>
        <v>0</v>
      </c>
      <c r="GF18" s="27"/>
      <c r="GG18" s="27"/>
      <c r="GH18" s="33"/>
      <c r="GI18" s="33">
        <f t="shared" si="45"/>
        <v>0</v>
      </c>
      <c r="GJ18" s="2674"/>
      <c r="GL18" s="2">
        <f t="shared" si="112"/>
        <v>0</v>
      </c>
      <c r="GM18" s="63">
        <f t="shared" si="113"/>
        <v>0</v>
      </c>
      <c r="GN18" s="24">
        <f t="shared" si="114"/>
        <v>0</v>
      </c>
      <c r="GO18" s="1736">
        <f t="shared" si="46"/>
        <v>0</v>
      </c>
      <c r="GP18" s="141"/>
      <c r="GQ18" s="141"/>
      <c r="GR18" s="33"/>
      <c r="GS18" s="2667"/>
      <c r="GT18" s="1723">
        <f>SUMPRODUCT(('Data Base hauling'!$H$2:$H$2000="Trust")*(ISNUMBER(SEARCH(TEXT('September TCM'!$B18,"00")&amp;"/09/2026",'Data Base hauling'!$E$2:$E$2000)))*'Data Base hauling'!$N$2:$N$2000)</f>
        <v>0</v>
      </c>
      <c r="GU18" s="1723">
        <f>SUMPRODUCT(('Data Base hauling'!$H$2:$H$2000="RT")*(ISNUMBER(SEARCH(TEXT('September TCM'!$B18,"00")&amp;"/09/2026",'Data Base hauling'!$E$2:$E$2000)))*'Data Base hauling'!$N$2:$N$2000)</f>
        <v>0</v>
      </c>
      <c r="GV18" s="5">
        <f>SUMPRODUCT(('Data Base hauling'!$H$2:$H$2000="MPE")*(ISNUMBER(SEARCH(TEXT('September TCM'!$B18,"00")&amp;"/09/2026",'Data Base hauling'!$E$2:$E$2000)))*'Data Base hauling'!$N$2:$N$2000)</f>
        <v>0</v>
      </c>
      <c r="GW18" s="1723">
        <f>SUMPRODUCT(('Data Base hauling'!$H$2:$H$2000="RP")*(ISNUMBER(SEARCH(TEXT('September TCM'!$B18,"00")&amp;"/09/2026",'Data Base hauling'!$E$2:$E$2000)))*'Data Base hauling'!$N$2:$N$2000)</f>
        <v>0</v>
      </c>
      <c r="GX18" s="61">
        <f t="shared" si="115"/>
        <v>0</v>
      </c>
      <c r="GY18" s="2667"/>
      <c r="GZ18" s="35">
        <f>SUMPRODUCT(('Data Base hauling'!$C$2:$C$2000="TCM-ROM NB-ROM 1")*(ISNUMBER(SEARCH(TEXT('September TCM'!$B18,"00")&amp;"/09/2026",'Data Base hauling'!$E$2:$E$2000)))*'Data Base hauling'!$N$2:$N$2000)</f>
        <v>0</v>
      </c>
      <c r="HA18" s="36"/>
      <c r="HB18" s="27"/>
      <c r="HC18" s="27"/>
      <c r="HD18" s="27"/>
      <c r="HE18" s="27"/>
      <c r="HF18" s="24">
        <f>SUMPRODUCT(('Data Base hauling'!$C$2:$C$2000="TCM-ROM NB-ROM 4")*(ISNUMBER(SEARCH(TEXT('September TCM'!$B18,"00")&amp;"/09/2026",'Data Base hauling'!$E$2:$E$2000)))*'Data Base hauling'!$N$2:$N$2000)</f>
        <v>0</v>
      </c>
      <c r="HG18" s="24"/>
      <c r="HH18" s="24">
        <f>SUMPRODUCT(('Data Base hauling'!$C$2:$C$2000="TCM-ROM NB-ROM 5")*(ISNUMBER(SEARCH(TEXT('September TCM'!$B18,"00")&amp;"/09/2026",'Data Base hauling'!$E$2:$E$2000)))*'Data Base hauling'!$N$2:$N$2000)</f>
        <v>0</v>
      </c>
      <c r="HI18" s="24"/>
      <c r="HJ18" s="24">
        <f>SUMPRODUCT(('Data Base hauling'!$C$2:$C$2000="TCM-ROM NB-ROM 6")*(ISNUMBER(SEARCH(TEXT('September TCM'!$B18,"00")&amp;"/09/2026",'Data Base hauling'!$E$2:$E$2000)))*'Data Base hauling'!$N$2:$N$2000)</f>
        <v>0</v>
      </c>
      <c r="HK18" s="24"/>
      <c r="HL18" s="24">
        <f>SUMPRODUCT(('Data Base hauling'!$C$2:$C$2000="TCM-WASH-CR3")*(ISNUMBER(SEARCH(TEXT('September TCM'!$B18,"00")&amp;"/09/2026",'Data Base hauling'!$E$2:$E$2000)))*'Data Base hauling'!$N$2:$N$2000)</f>
        <v>0</v>
      </c>
      <c r="HM18" s="27"/>
      <c r="HN18" s="28">
        <f t="shared" ref="HN18:HN42" si="131">SUM(GZ18:HM18)</f>
        <v>0</v>
      </c>
      <c r="HO18" s="36"/>
      <c r="HP18" s="27"/>
      <c r="HQ18" s="27"/>
      <c r="HR18" s="27"/>
      <c r="HS18" s="27"/>
      <c r="HT18" s="27"/>
      <c r="HU18" s="27">
        <f t="array" ref="HU18">SUMPRODUCT(('Data Base hauling'!$C$2:$C$2000="TCM-ROM SB1 BK05-ROM 4")*(ISNUMBER(SEARCH(TEXT('September TCM'!$B18,"00")&amp;"/03/2026",'Data Base hauling'!$E$2:$E$2000)))*'Data Base hauling'!$N$2:$N$2000)</f>
        <v>0</v>
      </c>
      <c r="HV18" s="27"/>
      <c r="HW18" s="27">
        <f t="array" ref="HW18">SUMPRODUCT(('Data Base hauling'!$C$2:$C$2000="TCM-ROM SB1 BK05-ROM 5")*(ISNUMBER(SEARCH(TEXT('September TCM'!$B18,"00")&amp;"/03/2026",'Data Base hauling'!$E$2:$E$2000)))*'Data Base hauling'!$N$2:$N$2000)</f>
        <v>0</v>
      </c>
      <c r="HX18" s="27"/>
      <c r="HY18" s="27"/>
      <c r="HZ18" s="27"/>
      <c r="IA18" s="27"/>
      <c r="IB18" s="27"/>
      <c r="IC18" s="33">
        <f t="shared" si="48"/>
        <v>0</v>
      </c>
      <c r="ID18" s="52"/>
      <c r="IE18" s="152"/>
      <c r="IF18" s="53"/>
      <c r="IG18" s="53"/>
      <c r="IH18" s="53"/>
      <c r="II18" s="53"/>
      <c r="IJ18" s="1926">
        <f>SUMPRODUCT(('Data Base hauling'!$C$2:$C$2000="TCM-ROM SB1 BK05-ROM 4")*(ISNUMBER(SEARCH(TEXT('September TCM'!$B18,"00")&amp;"/09/2026",'Data Base hauling'!$E$2:$E$2000)))*'Data Base hauling'!$N$2:$N$2000)</f>
        <v>0</v>
      </c>
      <c r="IK18" s="1926"/>
      <c r="IL18" s="1926">
        <f>SUMPRODUCT(('Data Base hauling'!$C$2:$C$2000="TCM-ROM SB1 BK05-ROM 5")*(ISNUMBER(SEARCH(TEXT('September TCM'!$B18,"00")&amp;"/09/2026",'Data Base hauling'!$E$2:$E$2000)))*'Data Base hauling'!$N$2:$N$2000)</f>
        <v>0</v>
      </c>
      <c r="IM18" s="49"/>
      <c r="IN18" s="49">
        <f>SUMPRODUCT(('Data Base hauling'!$C$2:$C$2000="TCM-ROM SB1 BK05-ROM 6")*(ISNUMBER(SEARCH(TEXT('September TCM'!$B18,"00")&amp;"/09/2026",'Data Base hauling'!$E$2:$E$2000)))*'Data Base hauling'!$N$2:$N$2000)</f>
        <v>0</v>
      </c>
      <c r="IO18" s="49"/>
      <c r="IP18" s="49"/>
      <c r="IQ18" s="49">
        <f>SUMPRODUCT(('Data Base hauling'!$C$2:$C$2000="TCM-HAC1 (Production)-ROM 2(HAC)")*(ISNUMBER(SEARCH(TEXT('September TCM'!$B18,"00")&amp;"/09/2026",'Data Base hauling'!$E$2:$E$2000)))*'Data Base hauling'!$N$2:$N$2000)</f>
        <v>0</v>
      </c>
      <c r="IR18" s="2195">
        <f t="shared" ref="IR18:IR40" si="132">SUM(ID18:IQ18)</f>
        <v>0</v>
      </c>
      <c r="IS18" s="36"/>
      <c r="IT18" s="36"/>
      <c r="IU18" s="27"/>
      <c r="IV18" s="27"/>
      <c r="IW18" s="53"/>
      <c r="IX18" s="27"/>
      <c r="IY18" s="24">
        <f>SUMPRODUCT(('Data Base hauling'!$C$2:$C$2000="TCM-ROM SB2 BK24-ROM 4")*(ISNUMBER(SEARCH(TEXT('September TCM'!$B18,"00")&amp;"/09/2026",'Data Base hauling'!$E$2:$E$2000)))*'Data Base hauling'!$N$2:$N$2000)</f>
        <v>0</v>
      </c>
      <c r="IZ18" s="24"/>
      <c r="JA18" s="24">
        <f>SUMPRODUCT(('Data Base hauling'!$C$2:$C$2000="TCM-ROM SB2 BK24-ROM 5")*(ISNUMBER(SEARCH(TEXT('September TCM'!$B18,"00")&amp;"/09/2026",'Data Base hauling'!$E$2:$E$2000)))*'Data Base hauling'!$N$2:$N$2000)</f>
        <v>0</v>
      </c>
      <c r="JB18" s="24"/>
      <c r="JC18" s="24">
        <f>SUMPRODUCT(('Data Base hauling'!$C$2:$C$2000="TCM-ROM SB2 BK24-ROM 6")*(ISNUMBER(SEARCH(TEXT('September TCM'!$B18,"00")&amp;"/09/2026",'Data Base hauling'!$E$2:$E$2000)))*'Data Base hauling'!$N$2:$N$2000)</f>
        <v>0</v>
      </c>
      <c r="JD18" s="27"/>
      <c r="JE18" s="27"/>
      <c r="JF18" s="27"/>
      <c r="JG18" s="33">
        <f t="shared" ref="JG18:JG40" si="133">SUM(IS18:JF18)</f>
        <v>0</v>
      </c>
      <c r="JH18" s="2667"/>
      <c r="JJ18" s="2014">
        <f>SUMPRODUCT(('Data Base hauling'!$O$2:$O$2000="TCM.HCV.LS")*(ISNUMBER(SEARCH(TEXT('September TCM'!$B18,"00")&amp;"/09/2026",'Data Base hauling'!$E$2:$E$2000)))*'Data Base hauling'!$N$2:$N$2000)</f>
        <v>0</v>
      </c>
      <c r="JK18" s="2015">
        <f>SUMPRODUCT(('Data Base hauling'!$O$2:$O$2000="TCM.HCV.HS")*(ISNUMBER(SEARCH(TEXT('September TCM'!$B18,"00")&amp;"/09/2026",'Data Base hauling'!$E$2:$E$2000)))*'Data Base hauling'!$N$2:$N$2000)</f>
        <v>0</v>
      </c>
      <c r="JL18" s="53"/>
      <c r="JM18" s="1736">
        <f t="shared" si="51"/>
        <v>0</v>
      </c>
      <c r="JN18" s="33"/>
      <c r="JO18" s="2669"/>
      <c r="JP18" s="66" t="str">
        <f>IFERROR(SUMPRODUCT(('Data Base hauling'!$O$2:$O$2000="TCM.HCV.LS")*('Data Base hauling'!$C$2:$C$2000="TCM-ROM NB-ROM 1")*(ISNUMBER(SEARCH(TEXT('September TCM'!$B18,"00")&amp;"/09/2026",'Data Base hauling'!$E$2:$E$2000)))*'Data Base hauling'!$N$2:$N$2000)/'September TCM'!$JJ18,"")</f>
        <v/>
      </c>
      <c r="JQ18" s="67" t="str">
        <f>IFERROR(SUMPRODUCT(('Data Base hauling'!$O$2:$O$2000="TCM.HCV.LS")*('Data Base hauling'!$C$2:$C$2000="TCM-ROM NB-ROM 2")*(ISNUMBER(SEARCH(TEXT('September TCM'!$B18,"00")&amp;"/09/2026",'Data Base hauling'!$E$2:$E$2000)))*'Data Base hauling'!$N$2:$N$2000)/'September TCM'!$JJ18,"")</f>
        <v/>
      </c>
      <c r="JR18" s="67" t="str">
        <f>IFERROR(SUMPRODUCT(('Data Base hauling'!$O$2:$O$2000="TCM.HCV.LS")*('Data Base hauling'!$C$2:$C$2000="TCM-ROM NB-ROM 3")*(ISNUMBER(SEARCH(TEXT('September TCM'!$B18,"00")&amp;"/09/2026",'Data Base hauling'!$E$2:$E$2000)))*'Data Base hauling'!$N$2:$N$2000)/'September TCM'!$JJ18,"")</f>
        <v/>
      </c>
      <c r="JS18" s="67" t="str">
        <f>IFERROR(SUMPRODUCT(('Data Base hauling'!$O$2:$O$2000="TCM.HCV.LS")*('Data Base hauling'!$C$2:$C$2000="TCM-ROM SB1 BK05-ROM 4")*(ISNUMBER(SEARCH(TEXT('September TCM'!$B18,"00")&amp;"/09/2026",'Data Base hauling'!$E$2:$E$2000)))*'Data Base hauling'!$N$2:$N$2000)/'September TCM'!$JJ18,"")</f>
        <v/>
      </c>
      <c r="JT18" s="67" t="str">
        <f>IFERROR(SUMPRODUCT(('Data Base hauling'!$O$2:$O$2000="TCM.HCV.LS")*SIGN(('Data Base hauling'!$C$2:$C$2000="TCM-ROM NB-ROM 5")+('Data Base hauling'!$C$2:$C$2000="TCM-ROM SB1 BK05-ROM 5")+('Data Base hauling'!$C$2:$C$2000="TCM-ROM SB2 BK24-ROM 5"))*(ISNUMBER(SEARCH(TEXT('September TCM'!$B18,"00")&amp;"/09/2026",'Data Base hauling'!$E$2:$E$2000)))*'Data Base hauling'!$N$2:$N$2000)/'September TCM'!$JJ18,"")</f>
        <v/>
      </c>
      <c r="JU18" s="67" t="str">
        <f>IFERROR(SUMPRODUCT(('Data Base hauling'!$O$2:$O$2000="TCM.HCV.LS")*SIGN(('Data Base hauling'!$C$2:$C$2000="TCM-ROM NB-ROM 6")+('Data Base hauling'!$C$2:$C$2000="TCM-ROM SB1 BK05-ROM 6")+('Data Base hauling'!$C$2:$C$2000="TCM-ROM SB2 BK24-ROM 6"))*(ISNUMBER(SEARCH(TEXT('September TCM'!$B18,"00")&amp;"/09/2026",'Data Base hauling'!$E$2:$E$2000)))*'Data Base hauling'!$N$2:$N$2000)/'September TCM'!$JJ18,"")</f>
        <v/>
      </c>
      <c r="JV18" s="67" t="str">
        <f>IFERROR(SUMPRODUCT(('Data Base hauling'!$O$2:$O$2000="TCM.HCV.LS")*('Data Base hauling'!$C$2:$C$2000="TCM-WASH-CR3")*(ISNUMBER(SEARCH(TEXT('September TCM'!$B18,"00")&amp;"/09/2026",'Data Base hauling'!$E$2:$E$2000)))*'Data Base hauling'!$N$2:$N$2000)/'September TCM'!$JJ18,"")</f>
        <v/>
      </c>
      <c r="JW18" s="1921">
        <f>SUMPRODUCT(('Data Base hauling'!$O$2:$O$2000="TCM.HCV.LS")*('Data Base hauling'!$C$2:$C$2000="TCM-HAC-CR3")*(ISNUMBER(SEARCH(TEXT('September TCM'!$B18,"00")&amp;"/089/2026",'Data Base hauling'!$E$2:$E$2000)))*'Data Base hauling'!$N$2:$N$2000)</f>
        <v>0</v>
      </c>
      <c r="JX18" s="66" t="str">
        <f>IFERROR(SUMPRODUCT(('Data Base hauling'!$O$2:$O$2000="TCM.HCV.HS")*('Data Base hauling'!$C$2:$C$2000="TCM-ROM NB-ROM 1")*(ISNUMBER(SEARCH(TEXT('September TCM'!$B18,"00")&amp;"/09/2026",'Data Base hauling'!$E$2:$E$2000)))*'Data Base hauling'!$N$2:$N$2000)/'September TCM'!$JK18,"")</f>
        <v/>
      </c>
      <c r="JY18" s="67" t="str">
        <f>IFERROR(SUMPRODUCT(('Data Base hauling'!$O$2:$O$2000="TCM.HCV.HS")*('Data Base hauling'!$C$2:$C$2000="TCM-ROM NB-ROM 2")*(ISNUMBER(SEARCH(TEXT('September TCM'!$B18,"00")&amp;"/09/2026",'Data Base hauling'!$E$2:$E$2000)))*'Data Base hauling'!$N$2:$N$2000)/'September TCM'!$JK18,"")</f>
        <v/>
      </c>
      <c r="JZ18" s="67" t="str">
        <f>IFERROR(SUMPRODUCT(('Data Base hauling'!$O$2:$O$2000="TCM.HCV.HS")*('Data Base hauling'!$C$2:$C$2000="TCM-ROM NB-ROM 3")*(ISNUMBER(SEARCH(TEXT('September TCM'!$B18,"00")&amp;"/09/2026",'Data Base hauling'!$E$2:$E$2000)))*'Data Base hauling'!$N$2:$N$2000)/'September TCM'!$JK18,"")</f>
        <v/>
      </c>
      <c r="KA18" s="67" t="str">
        <f>IFERROR(SUMPRODUCT(('Data Base hauling'!$O$2:$O$2000="TCM.HCV.HS")*('Data Base hauling'!$C$2:$C$2000="TCM-ROM SB1 BK05-ROM 4")*(ISNUMBER(SEARCH(TEXT('September TCM'!$B18,"00")&amp;"/09/2026",'Data Base hauling'!$E$2:$E$2000)))*'Data Base hauling'!$N$2:$N$2000)/'September TCM'!$JK18,"")</f>
        <v/>
      </c>
      <c r="KB18" s="67" t="str">
        <f>IFERROR(SUMPRODUCT(('Data Base hauling'!$O$2:$O$2000="TCM.HCV.HS")*SIGN(('Data Base hauling'!$C$2:$C$2000="TCM-ROM NB-ROM 5")+('Data Base hauling'!$C$2:$C$2000="TCM-ROM SB1 BK05-ROM 5")+('Data Base hauling'!$C$2:$C$2000="TCM-ROM SB2 BK24-ROM 5"))*(ISNUMBER(SEARCH(TEXT('September TCM'!$B18,"00")&amp;"/09/2026",'Data Base hauling'!$E$2:$E$2000)))*'Data Base hauling'!$N$2:$N$2000)/'September TCM'!$JK18,"")</f>
        <v/>
      </c>
      <c r="KC18" s="67" t="str">
        <f>IFERROR(SUMPRODUCT(('Data Base hauling'!$O$2:$O$2000="TCM.HCV.HS")*SIGN(('Data Base hauling'!$C$2:$C$2000="TCM-ROM NB-ROM 6")+('Data Base hauling'!$C$2:$C$2000="TCM-ROM SB1 BK05-ROM 6")+('Data Base hauling'!$C$2:$C$2000="TCM-ROM SB2 BK24-ROM 6"))*(ISNUMBER(SEARCH(TEXT('September TCM'!$B18,"00")&amp;"/09/2026",'Data Base hauling'!$E$2:$E$2000)))*'Data Base hauling'!$N$2:$N$2000)/'September TCM'!$JK18,"")</f>
        <v/>
      </c>
      <c r="KD18" s="67" t="str">
        <f>IFERROR(SUMPRODUCT(('Data Base hauling'!$O$2:$O$2000="TCM.HCV.HS")*('Data Base hauling'!$C$2:$C$2000="TCM-WASH-CR3")*(ISNUMBER(SEARCH(TEXT('September TCM'!$B18,"00")&amp;"/09/2026",'Data Base hauling'!$E$2:$E$2000)))*'Data Base hauling'!$N$2:$N$2000)/'September TCM'!$JK18,"")</f>
        <v/>
      </c>
      <c r="KE18" s="68" t="str">
        <f>IFERROR(SUMPRODUCT(('Data Base hauling'!$O$2:$O$2000="TCM.HCV.HS")*('Data Base hauling'!$C$2:$C$2000="TCM-HAC-CR3")*(ISNUMBER(SEARCH(TEXT('September TCM'!$B18,"00")&amp;"/09/2026",'Data Base hauling'!$E$2:$E$2000)))*'Data Base hauling'!$N$2:$N$2000)/'September TCM'!$JK18,"")</f>
        <v/>
      </c>
      <c r="KF18" s="69"/>
      <c r="KG18" s="70"/>
      <c r="KH18" s="70"/>
      <c r="KI18" s="70"/>
      <c r="KJ18" s="70"/>
      <c r="KK18" s="70"/>
      <c r="KL18" s="70"/>
      <c r="KM18" s="70"/>
      <c r="KN18" s="33"/>
      <c r="KO18" s="2669"/>
      <c r="KP18" s="2203">
        <f>IFERROR(SUMPRODUCT((TCM.HCV.LS!$A$3:$A$58=DATE(2026,9,$B18))*(TCM.HCV.LS!$O$3:$O$58&gt;0)*TCM.HCV.LS!$C$3:$C$58*TCM.HCV.LS!$O$3:$O$58)/SUMPRODUCT((TCM.HCV.LS!$A$3:$A$58=DATE(2026,9,$B18))*(TCM.HCV.LS!$O$3:$O$58&gt;0)*TCM.HCV.LS!$C$3:$C$58),0)</f>
        <v>0</v>
      </c>
      <c r="KQ18" s="1721">
        <f>IFERROR(SUMPRODUCT((TCM.HCV.LS!$A$3:$A$58=DATE(2026,9,$B18))*(TCM.HCV.LS!$M$3:$M$58&gt;0)*TCM.HCV.LS!$C$3:$C$58*TCM.HCV.LS!$M$3:$M$58)/SUMPRODUCT((TCM.HCV.LS!$A$3:$A$58=DATE(2026,9,$B18))*(TCM.HCV.LS!$M$3:$M$58&gt;0)*TCM.HCV.LS!$C$3:$C$58),0)</f>
        <v>0</v>
      </c>
      <c r="KR18" s="1721">
        <f>IFERROR(SUMPRODUCT((TCM.HCV.LS!$A$3:$A$58=DATE(2026,9,$B18))*(TCM.HCV.LS!$G$3:$G$58&gt;0)*TCM.HCV.LS!$C$3:$C$58*TCM.HCV.LS!$G$3:$G$58)/SUMPRODUCT((TCM.HCV.LS!$A$3:$A$58=DATE(2026,9,$B18))*(TCM.HCV.LS!$G$3:$G$58&gt;0)*TCM.HCV.LS!$C$3:$C$58),0)</f>
        <v>0</v>
      </c>
      <c r="KS18" s="1721">
        <f>IFERROR(SUMPRODUCT((TCM.HCV.LS!$A$3:$A$58=DATE(2026,9,$B18))*(TCM.HCV.LS!$F$3:$F$58&gt;0)*TCM.HCV.LS!$C$3:$C$58*TCM.HCV.LS!$F$3:$F$58)/SUMPRODUCT((TCM.HCV.LS!$A$3:$A$58=DATE(2026,9,$B18))*(TCM.HCV.LS!$F$3:$F$58&gt;0)*TCM.HCV.LS!$C$3:$C$58),0)</f>
        <v>0</v>
      </c>
      <c r="KT18" s="1722">
        <f>IFERROR(SUMPRODUCT((TCM.HCV.LS!$A$3:$A$58=DATE(2026,9,$B18))*(TCM.HCV.LS!$E$3:$E$58&gt;0)*TCM.HCV.LS!$C$3:$C$58*TCM.HCV.LS!$E$3:$E$58)/SUMPRODUCT((TCM.HCV.LS!$A$3:$A$58=DATE(2026,9,$B18))*(TCM.HCV.LS!$E$3:$E$58&gt;0)*TCM.HCV.LS!$C$3:$C$58),0)</f>
        <v>0</v>
      </c>
      <c r="KU18" s="1958">
        <f>IFERROR(SUMPRODUCT((TCM.HCV.HS!$A$3:$A$84=DATE(2026,9,$B18))*(TCM.HCV.HS!$O$3:$O$84&gt;0)*TCM.HCV.HS!$C$3:$C$84*TCM.HCV.HS!$O$3:$O$84)/SUMPRODUCT((TCM.HCV.HS!$A$3:$A$84=DATE(2026,9,$B18))*(TCM.HCV.HS!$O$3:$O$84&gt;0)*TCM.HCV.HS!$C$3:$C$84),0)</f>
        <v>0</v>
      </c>
      <c r="KV18" s="1961">
        <f>IFERROR(SUMPRODUCT((TCM.HCV.HS!$A$3:$A$84=DATE(2026,9,$B18))*(TCM.HCV.HS!$M$3:$M$84&gt;0)*TCM.HCV.HS!$C$3:$C$84*TCM.HCV.HS!$M$3:$M$84)/SUMPRODUCT((TCM.HCV.HS!$A$3:$A$84=DATE(2026,9,$B18))*(TCM.HCV.HS!$M$3:$M$84&gt;0)*TCM.HCV.HS!$C$3:$C$84),0)</f>
        <v>0</v>
      </c>
      <c r="KW18" s="1961">
        <f>IFERROR(SUMPRODUCT((TCM.HCV.HS!$A$3:$A$84=DATE(2026,9,$B18))*(TCM.HCV.HS!$G$3:$G$84&gt;0)*TCM.HCV.HS!$C$3:$C$84*TCM.HCV.HS!$G$3:$G$84)/SUMPRODUCT((TCM.HCV.HS!$A$3:$A$84=DATE(2026,9,$B18))*(TCM.HCV.HS!$G$3:$G$84&gt;0)*TCM.HCV.HS!$C$3:$C$84),0)</f>
        <v>0</v>
      </c>
      <c r="KX18" s="1961">
        <f>IFERROR(SUMPRODUCT((TCM.HCV.HS!$A$3:$A$84=DATE(2026,9,$B18))*(TCM.HCV.HS!$F$3:$F$84&gt;0)*TCM.HCV.HS!$C$3:$C$84*TCM.HCV.HS!$F$3:$F$84)/SUMPRODUCT((TCM.HCV.HS!$A$3:$A$84=DATE(2026,9,$B18))*(TCM.HCV.HS!$F$3:$F$84&gt;0)*TCM.HCV.HS!$C$3:$C$84),0)</f>
        <v>0</v>
      </c>
      <c r="KY18" s="1962">
        <f>IFERROR(SUMPRODUCT((TCM.HCV.HS!$A$3:$A$84=DATE(2026,9,$B18))*(TCM.HCV.HS!$E$3:$E$84&gt;0)*TCM.HCV.HS!$C$3:$C$84*TCM.HCV.HS!$E$3:$E$84)/SUMPRODUCT((TCM.HCV.HS!$A$3:$A$84=DATE(2026,9,$B18))*(TCM.HCV.HS!$E$3:$E$84&gt;0)*TCM.HCV.HS!$C$3:$C$84),0)</f>
        <v>0</v>
      </c>
      <c r="KZ18" s="36"/>
      <c r="LA18" s="53"/>
      <c r="LB18" s="53"/>
      <c r="LC18" s="53"/>
      <c r="LD18" s="53"/>
      <c r="LE18" s="33"/>
      <c r="LF18" s="2669"/>
      <c r="LH18" s="26">
        <f t="shared" si="52"/>
        <v>0</v>
      </c>
      <c r="LI18" s="27">
        <f t="shared" si="52"/>
        <v>0</v>
      </c>
      <c r="LJ18" s="27">
        <f t="shared" si="52"/>
        <v>0</v>
      </c>
      <c r="LK18" s="28">
        <f t="shared" si="53"/>
        <v>0</v>
      </c>
      <c r="LL18" s="36"/>
      <c r="LM18" s="27"/>
      <c r="LN18" s="27"/>
      <c r="LO18" s="33"/>
      <c r="LP18" s="1957"/>
      <c r="LQ18" s="486"/>
      <c r="LR18" s="2688"/>
      <c r="LS18" s="21"/>
      <c r="LT18" s="27"/>
      <c r="LU18" s="27"/>
      <c r="LV18" s="27"/>
      <c r="LW18" s="27"/>
      <c r="LX18" s="1117">
        <f t="shared" si="129"/>
        <v>0</v>
      </c>
      <c r="LY18" s="36"/>
      <c r="LZ18" s="36"/>
      <c r="MA18" s="27"/>
      <c r="MB18" s="27"/>
      <c r="MC18" s="33"/>
      <c r="MD18" s="28">
        <f t="shared" si="55"/>
        <v>0</v>
      </c>
      <c r="ME18" s="26"/>
      <c r="MF18" s="36"/>
      <c r="MG18" s="27"/>
      <c r="MH18" s="27"/>
      <c r="MI18" s="27"/>
      <c r="MJ18" s="28"/>
      <c r="MK18" s="36"/>
      <c r="ML18" s="36"/>
      <c r="MM18" s="27"/>
      <c r="MN18" s="27"/>
      <c r="MO18" s="27"/>
      <c r="MP18" s="28"/>
      <c r="MQ18" s="36"/>
      <c r="MR18" s="36"/>
      <c r="MS18" s="27"/>
      <c r="MT18" s="27"/>
      <c r="MU18" s="27"/>
      <c r="MV18" s="33">
        <f t="shared" si="56"/>
        <v>0</v>
      </c>
      <c r="MW18" s="2688"/>
      <c r="MY18" s="26">
        <f t="shared" si="57"/>
        <v>377341.84766611259</v>
      </c>
      <c r="MZ18" s="27">
        <f t="shared" si="58"/>
        <v>191281.80302645115</v>
      </c>
      <c r="NA18" s="27">
        <f t="shared" si="59"/>
        <v>27294.683787707359</v>
      </c>
      <c r="NB18" s="28">
        <f t="shared" si="60"/>
        <v>318297.33035698003</v>
      </c>
      <c r="NC18" s="2621"/>
      <c r="ND18" s="23">
        <f t="shared" si="116"/>
        <v>207724.34280113198</v>
      </c>
      <c r="NE18" s="1655">
        <f t="shared" si="117"/>
        <v>169617.50486498058</v>
      </c>
      <c r="NF18" s="60">
        <f t="shared" si="63"/>
        <v>0</v>
      </c>
      <c r="NG18" s="1110">
        <f t="shared" si="4"/>
        <v>377341.84766611259</v>
      </c>
      <c r="NH18" s="26">
        <f t="shared" si="64"/>
        <v>-313.35000000000002</v>
      </c>
      <c r="NI18" s="27">
        <f t="shared" si="64"/>
        <v>0</v>
      </c>
      <c r="NJ18" s="27">
        <f t="shared" si="64"/>
        <v>0</v>
      </c>
      <c r="NK18" s="27">
        <f t="shared" si="64"/>
        <v>0</v>
      </c>
      <c r="NL18" s="27">
        <f t="shared" si="64"/>
        <v>0</v>
      </c>
      <c r="NM18" s="33">
        <f t="shared" si="64"/>
        <v>0</v>
      </c>
      <c r="NN18" s="27">
        <f t="shared" si="64"/>
        <v>0</v>
      </c>
      <c r="NO18" s="36">
        <f t="shared" si="64"/>
        <v>0</v>
      </c>
      <c r="NP18" s="24">
        <f t="shared" si="64"/>
        <v>21665.870136227244</v>
      </c>
      <c r="NQ18" s="27">
        <f t="shared" si="64"/>
        <v>22358.939343794715</v>
      </c>
      <c r="NR18" s="24">
        <f t="shared" si="118"/>
        <v>8443.1982322711574</v>
      </c>
      <c r="NS18" s="24">
        <f t="shared" si="119"/>
        <v>9895.3380410535083</v>
      </c>
      <c r="NT18" s="27">
        <f t="shared" si="0"/>
        <v>62049.995753346629</v>
      </c>
      <c r="NU18" s="27">
        <f t="shared" si="65"/>
        <v>0</v>
      </c>
      <c r="NV18" s="27">
        <f t="shared" si="65"/>
        <v>0</v>
      </c>
      <c r="NW18" s="27">
        <f t="shared" si="65"/>
        <v>0</v>
      </c>
      <c r="NX18" s="27">
        <f t="shared" si="65"/>
        <v>0</v>
      </c>
      <c r="NY18" s="27">
        <f t="shared" si="65"/>
        <v>0</v>
      </c>
      <c r="NZ18" s="27">
        <f t="shared" si="65"/>
        <v>0</v>
      </c>
      <c r="OA18" s="27">
        <f t="shared" si="65"/>
        <v>35558.705564997217</v>
      </c>
      <c r="OB18" s="27">
        <f t="shared" si="65"/>
        <v>0</v>
      </c>
      <c r="OC18" s="27">
        <f t="shared" si="66"/>
        <v>12611.886475620366</v>
      </c>
      <c r="OD18" s="280"/>
      <c r="OE18" s="27">
        <f t="shared" si="120"/>
        <v>13429.316718063665</v>
      </c>
      <c r="OF18" s="27">
        <f t="shared" si="67"/>
        <v>0</v>
      </c>
      <c r="OG18" s="28">
        <f t="shared" si="1"/>
        <v>61599.908758681253</v>
      </c>
      <c r="OH18" s="27">
        <f t="shared" si="68"/>
        <v>0</v>
      </c>
      <c r="OI18" s="27">
        <f t="shared" si="68"/>
        <v>0</v>
      </c>
      <c r="OJ18" s="27">
        <f t="shared" si="68"/>
        <v>0</v>
      </c>
      <c r="OK18" s="27">
        <f t="shared" si="68"/>
        <v>0</v>
      </c>
      <c r="OL18" s="27">
        <f t="shared" si="68"/>
        <v>0</v>
      </c>
      <c r="OM18" s="27">
        <f t="shared" si="68"/>
        <v>0</v>
      </c>
      <c r="ON18" s="24">
        <f t="shared" si="68"/>
        <v>0</v>
      </c>
      <c r="OO18" s="27">
        <f t="shared" si="68"/>
        <v>0</v>
      </c>
      <c r="OP18" s="24">
        <f t="shared" si="69"/>
        <v>54054.217649249818</v>
      </c>
      <c r="OQ18" s="27">
        <f t="shared" si="70"/>
        <v>0</v>
      </c>
      <c r="OR18" s="24">
        <f t="shared" si="70"/>
        <v>13577.680865173457</v>
      </c>
      <c r="OS18" s="27">
        <f t="shared" si="70"/>
        <v>0</v>
      </c>
      <c r="OT18" s="28">
        <f t="shared" si="2"/>
        <v>67631.898514423272</v>
      </c>
      <c r="OU18" s="36"/>
      <c r="OV18" s="27"/>
      <c r="OW18" s="27"/>
      <c r="OX18" s="27"/>
      <c r="OY18" s="27"/>
      <c r="OZ18" s="27"/>
      <c r="PA18" s="28">
        <f t="shared" si="71"/>
        <v>0</v>
      </c>
      <c r="PB18" s="36">
        <f t="shared" si="72"/>
        <v>0</v>
      </c>
      <c r="PC18" s="27">
        <f t="shared" si="73"/>
        <v>0</v>
      </c>
      <c r="PD18" s="27">
        <f t="shared" si="74"/>
        <v>0</v>
      </c>
      <c r="PE18" s="27">
        <f t="shared" si="75"/>
        <v>0</v>
      </c>
      <c r="PF18" s="24"/>
      <c r="PG18" s="27">
        <f t="shared" si="76"/>
        <v>0</v>
      </c>
      <c r="PH18" s="33">
        <f t="shared" si="3"/>
        <v>0</v>
      </c>
      <c r="PI18" s="2621"/>
      <c r="PK18" s="1907">
        <f>SUMPRODUCT(('Data Base Coal Wining'!$D$2:$D$2000="WASHING PLANT")*ISNUMBER(SEARCH(TEXT('September TCM'!$B18,"00")&amp;"/09/2026",'Data Base Coal Wining'!$E$2:$E$2000))*'Data Base Coal Wining'!$N$2:$N$2000)</f>
        <v>0</v>
      </c>
      <c r="PL18" s="1101"/>
      <c r="PM18" s="1101"/>
      <c r="PN18" s="3">
        <f t="shared" si="77"/>
        <v>0</v>
      </c>
      <c r="PO18" s="3">
        <f t="shared" si="78"/>
        <v>38895.633435124721</v>
      </c>
      <c r="PP18" s="11">
        <f t="shared" si="79"/>
        <v>27294.683787707359</v>
      </c>
      <c r="PQ18" s="15"/>
      <c r="PR18" s="2615"/>
      <c r="PT18" s="4"/>
      <c r="PU18" s="9"/>
      <c r="PV18" s="9"/>
      <c r="PW18" s="9"/>
      <c r="PX18" s="8">
        <f>SUMPRODUCT(('Data Base Coal Wining'!$D$2:$D$2000="TCM-ROM SB1 BK05-ROM 2 (HAC)")*('Data Base Coal Wining'!$G$2:$G$2000="Coal Winning")*ISNUMBER(SEARCH(TEXT('September TCM'!$B18,"00")&amp;"/09/2026",'Data Base Coal Wining'!$E$2:$E$2000))*'Data Base Coal Wining'!$N$2:$N$2000)</f>
        <v>0</v>
      </c>
      <c r="PY18" s="9"/>
      <c r="PZ18" s="8">
        <f t="shared" si="80"/>
        <v>0</v>
      </c>
      <c r="QA18" s="5">
        <f t="shared" si="81"/>
        <v>0</v>
      </c>
      <c r="QB18" s="5"/>
      <c r="QC18" s="5"/>
      <c r="QD18" s="5"/>
      <c r="QE18" s="5"/>
      <c r="QF18" s="5"/>
      <c r="QG18" s="12"/>
      <c r="QH18" s="12">
        <f t="shared" si="82"/>
        <v>29562.488999999998</v>
      </c>
      <c r="QI18" s="420">
        <f t="shared" si="83"/>
        <v>283762.59090898006</v>
      </c>
      <c r="QJ18" s="1106">
        <f t="shared" si="121"/>
        <v>4972.2504480000007</v>
      </c>
      <c r="QK18" s="484">
        <f t="shared" si="84"/>
        <v>5505.3678056099998</v>
      </c>
      <c r="QL18" s="12"/>
      <c r="QM18" s="2615"/>
      <c r="QO18" s="139" t="str">
        <f t="shared" si="85"/>
        <v/>
      </c>
      <c r="QP18" s="139" t="str">
        <f t="shared" si="86"/>
        <v/>
      </c>
      <c r="QR18" s="139" t="str">
        <f t="shared" si="87"/>
        <v/>
      </c>
      <c r="QS18" s="139" t="str">
        <f t="shared" si="88"/>
        <v/>
      </c>
      <c r="QU18" s="1">
        <f t="shared" si="89"/>
        <v>0</v>
      </c>
      <c r="QV18" s="1">
        <f t="shared" si="90"/>
        <v>0</v>
      </c>
      <c r="QW18" s="1">
        <f t="shared" si="91"/>
        <v>0</v>
      </c>
      <c r="QX18" s="1">
        <f t="shared" si="92"/>
        <v>0</v>
      </c>
      <c r="QY18" s="1">
        <f t="shared" si="93"/>
        <v>0</v>
      </c>
      <c r="QZ18" s="1">
        <f t="shared" si="94"/>
        <v>0</v>
      </c>
      <c r="RB18" s="1">
        <f t="shared" si="95"/>
        <v>0</v>
      </c>
      <c r="RC18" s="1">
        <f t="shared" si="96"/>
        <v>0</v>
      </c>
      <c r="RD18" s="1">
        <f t="shared" si="97"/>
        <v>0</v>
      </c>
      <c r="RE18" s="1">
        <f t="shared" si="98"/>
        <v>0</v>
      </c>
      <c r="RF18" s="1">
        <f t="shared" si="99"/>
        <v>0</v>
      </c>
      <c r="RG18" s="1">
        <f t="shared" si="100"/>
        <v>0</v>
      </c>
      <c r="RJ18" s="1">
        <v>9</v>
      </c>
      <c r="RK18" s="421">
        <v>5984.4452097170979</v>
      </c>
      <c r="RL18" s="421">
        <v>5074.1017804837184</v>
      </c>
      <c r="RM18" s="421">
        <v>13404.263703387322</v>
      </c>
      <c r="RN18" s="490">
        <f t="shared" si="5"/>
        <v>24462.810693588137</v>
      </c>
      <c r="RO18" s="1033">
        <v>9</v>
      </c>
      <c r="RP18" s="1098">
        <v>0</v>
      </c>
      <c r="RQ18" s="1098">
        <f t="shared" si="102"/>
        <v>0</v>
      </c>
      <c r="RR18" s="1097">
        <f t="shared" si="102"/>
        <v>0</v>
      </c>
      <c r="RS18" s="1097">
        <f t="shared" si="103"/>
        <v>0</v>
      </c>
      <c r="RT18" s="1046"/>
      <c r="RU18" s="1928"/>
      <c r="RX18" s="421">
        <v>9</v>
      </c>
      <c r="RY18" s="1095">
        <f t="shared" si="104"/>
        <v>0</v>
      </c>
      <c r="RZ18" s="2420"/>
      <c r="SB18" s="1090"/>
      <c r="SC18" s="1090">
        <f t="shared" si="105"/>
        <v>0</v>
      </c>
      <c r="SD18" s="1090"/>
      <c r="SE18" s="1090">
        <f>JM18-RY18</f>
        <v>0</v>
      </c>
      <c r="SG18" s="1">
        <v>9</v>
      </c>
      <c r="SH18" s="1">
        <f t="shared" si="107"/>
        <v>0</v>
      </c>
      <c r="SI18" s="1094"/>
    </row>
    <row r="19" spans="1:503" s="1" customFormat="1" ht="15" customHeight="1">
      <c r="B19" s="471">
        <v>10</v>
      </c>
      <c r="C19" s="4">
        <f t="shared" si="108"/>
        <v>0</v>
      </c>
      <c r="D19" s="1590">
        <f t="shared" si="128"/>
        <v>0</v>
      </c>
      <c r="E19" s="1895">
        <f t="shared" si="6"/>
        <v>0</v>
      </c>
      <c r="F19" s="870"/>
      <c r="G19" s="870"/>
      <c r="H19" s="52"/>
      <c r="I19" s="61"/>
      <c r="J19" s="52"/>
      <c r="K19" s="54"/>
      <c r="L19" s="52"/>
      <c r="M19" s="61"/>
      <c r="N19" s="2629"/>
      <c r="O19" s="4">
        <f t="shared" si="125"/>
        <v>0</v>
      </c>
      <c r="P19" s="1225">
        <f t="shared" si="7"/>
        <v>0</v>
      </c>
      <c r="Q19" s="1952">
        <f t="shared" si="8"/>
        <v>0</v>
      </c>
      <c r="R19" s="33"/>
      <c r="S19" s="26">
        <f t="shared" si="9"/>
        <v>0</v>
      </c>
      <c r="T19" s="27">
        <f t="shared" si="110"/>
        <v>0</v>
      </c>
      <c r="U19" s="1909">
        <f t="shared" si="10"/>
        <v>0</v>
      </c>
      <c r="V19" s="15"/>
      <c r="W19" s="1742">
        <f t="shared" si="11"/>
        <v>0</v>
      </c>
      <c r="X19" s="1918">
        <f t="shared" si="11"/>
        <v>0</v>
      </c>
      <c r="Y19" s="1909">
        <f t="shared" si="12"/>
        <v>0</v>
      </c>
      <c r="Z19" s="33"/>
      <c r="AA19" s="26">
        <f t="shared" si="13"/>
        <v>0</v>
      </c>
      <c r="AB19" s="27">
        <f t="shared" si="126"/>
        <v>0</v>
      </c>
      <c r="AC19" s="1909">
        <f t="shared" si="15"/>
        <v>0</v>
      </c>
      <c r="AD19" s="28"/>
      <c r="AE19" s="36"/>
      <c r="AF19" s="36"/>
      <c r="AG19" s="53">
        <f t="shared" si="16"/>
        <v>0</v>
      </c>
      <c r="AH19" s="28"/>
      <c r="AI19" s="26"/>
      <c r="AJ19" s="27"/>
      <c r="AK19" s="53">
        <f t="shared" si="17"/>
        <v>0</v>
      </c>
      <c r="AL19" s="28"/>
      <c r="AM19" s="2629"/>
      <c r="AN19" s="9"/>
      <c r="AO19" s="5"/>
      <c r="AP19" s="61">
        <f t="shared" si="18"/>
        <v>0</v>
      </c>
      <c r="AQ19" s="36"/>
      <c r="AR19" s="53"/>
      <c r="AS19" s="61">
        <f t="shared" si="19"/>
        <v>0</v>
      </c>
      <c r="AT19" s="36">
        <v>0</v>
      </c>
      <c r="AU19" s="27"/>
      <c r="AV19" s="54">
        <f t="shared" si="20"/>
        <v>0</v>
      </c>
      <c r="AW19" s="26"/>
      <c r="AX19" s="280">
        <f>SUMPRODUCT(ISNUMBER(SEARCH("BK20",'Data Base Coal Wining'!$C$2:$C$2000))*ISNUMBER(SEARCH("P3000",'Data Base Coal Wining'!$C$2:$C$2000))*('Data Base Coal Wining'!$H$2:$H$2000="PAMA")*('Data Base Coal Wining'!$G$2:$G$2000="Coal Winning")*ISNUMBER(SEARCH(TEXT('September TCM'!$B19,"00")&amp;"/09/2026",'Data Base Coal Wining'!$E$2:$E$2000))*'Data Base Coal Wining'!$N$2:$N$2000)</f>
        <v>0</v>
      </c>
      <c r="AY19" s="1735">
        <f t="shared" ref="AY19:AY40" si="134">IFERROR(AW19/AX19,0)</f>
        <v>0</v>
      </c>
      <c r="AZ19" s="36"/>
      <c r="BA19" s="27"/>
      <c r="BB19" s="61">
        <f t="shared" si="21"/>
        <v>0</v>
      </c>
      <c r="BC19" s="1740"/>
      <c r="BD19" s="2154">
        <f>SUMPRODUCT(ISNUMBER(SEARCH("BK30",'Data Base Coal Wining'!$C$2:$C$2000))*ISNUMBER(SEARCH("P3000",'Data Base Coal Wining'!$C$2:$C$2000))*('Data Base Coal Wining'!$H$2:$H$2000="PAMA")*('Data Base Coal Wining'!$G$2:$G$2000="Coal Winning")*ISNUMBER(SEARCH(TEXT('September TCM'!$B19,"00")&amp;"/09/2026",'Data Base Coal Wining'!$E$2:$E$2000))*'Data Base Coal Wining'!$N$2:$N$2000)</f>
        <v>0</v>
      </c>
      <c r="BE19" s="1735">
        <f t="shared" si="22"/>
        <v>0</v>
      </c>
      <c r="BF19" s="36"/>
      <c r="BG19" s="53"/>
      <c r="BH19" s="61">
        <f t="shared" si="23"/>
        <v>0</v>
      </c>
      <c r="BI19" s="36">
        <v>0</v>
      </c>
      <c r="BJ19" s="53">
        <v>0</v>
      </c>
      <c r="BK19" s="61">
        <f t="shared" si="24"/>
        <v>0</v>
      </c>
      <c r="BL19" s="1742"/>
      <c r="BM19" s="2154">
        <f>SUMPRODUCT(ISNUMBER(SEARCH("BK26",'Data Base Coal Wining'!$C$2:$C$2000))*ISNUMBER(SEARCH("P4400",'Data Base Coal Wining'!$C$2:$C$2000))*('Data Base Coal Wining'!$H$2:$H$2000="MAP")*('Data Base Coal Wining'!$G$2:$G$2000="Coal Winning")*ISNUMBER(SEARCH(TEXT('September TCM'!$B19,"00")&amp;"/09/2026",'Data Base Coal Wining'!$E$2:$E$2000))*'Data Base Coal Wining'!$N$2:$N$2000)</f>
        <v>0</v>
      </c>
      <c r="BN19" s="2170"/>
      <c r="BO19" s="1920">
        <f t="shared" si="25"/>
        <v>0</v>
      </c>
      <c r="BP19" s="9"/>
      <c r="BQ19" s="2514">
        <f>SUMPRODUCT(ISNUMBER(SEARCH("BK34",'Data Base Coal Wining'!$C$2:$C$2000))*ISNUMBER(SEARCH("P4000",'Data Base Coal Wining'!$C$2:$C$2000))*('Data Base Coal Wining'!$H$2:$H$2000="PJPN")*('Data Base Coal Wining'!$G$2:$G$2000="Coal Winning")*ISNUMBER(SEARCH(TEXT('September TCM'!$B19,"00")&amp;"/09/2026",'Data Base Coal Wining'!$E$2:$E$2000))*'Data Base Coal Wining'!$N$2:$N$2000)</f>
        <v>0</v>
      </c>
      <c r="BR19" s="1920">
        <f t="shared" si="26"/>
        <v>0</v>
      </c>
      <c r="BS19" s="9"/>
      <c r="BT19" s="53"/>
      <c r="BU19" s="482">
        <f t="shared" si="27"/>
        <v>0</v>
      </c>
      <c r="BV19" s="9"/>
      <c r="BW19" s="27"/>
      <c r="BX19" s="1051">
        <f t="shared" si="130"/>
        <v>0</v>
      </c>
      <c r="BY19" s="26"/>
      <c r="BZ19" s="27"/>
      <c r="CA19" s="482">
        <f t="shared" si="29"/>
        <v>0</v>
      </c>
      <c r="CB19" s="9"/>
      <c r="CC19" s="481"/>
      <c r="CD19" s="482">
        <f t="shared" si="30"/>
        <v>0</v>
      </c>
      <c r="CE19" s="4"/>
      <c r="CF19" s="5"/>
      <c r="CG19" s="28">
        <f t="shared" si="31"/>
        <v>0</v>
      </c>
      <c r="CH19" s="150"/>
      <c r="CI19" s="4"/>
      <c r="CJ19" s="5"/>
      <c r="CK19" s="5"/>
      <c r="CL19" s="5"/>
      <c r="CM19" s="5"/>
      <c r="CN19" s="3">
        <f t="shared" si="111"/>
        <v>0</v>
      </c>
      <c r="CO19" s="5"/>
      <c r="CP19" s="5"/>
      <c r="CR19" s="4">
        <f t="shared" si="32"/>
        <v>0</v>
      </c>
      <c r="CS19" s="9">
        <f t="shared" si="32"/>
        <v>0</v>
      </c>
      <c r="CT19" s="5">
        <f t="shared" si="32"/>
        <v>0</v>
      </c>
      <c r="CU19" s="5">
        <f t="shared" si="32"/>
        <v>0</v>
      </c>
      <c r="CV19" s="5">
        <f t="shared" si="32"/>
        <v>0</v>
      </c>
      <c r="CW19" s="5">
        <f t="shared" si="32"/>
        <v>0</v>
      </c>
      <c r="CX19" s="5">
        <f t="shared" si="32"/>
        <v>0</v>
      </c>
      <c r="CY19" s="5">
        <f t="shared" si="32"/>
        <v>0</v>
      </c>
      <c r="CZ19" s="5">
        <f t="shared" si="32"/>
        <v>0</v>
      </c>
      <c r="DA19" s="5">
        <f t="shared" si="32"/>
        <v>0</v>
      </c>
      <c r="DB19" s="5">
        <f t="shared" si="32"/>
        <v>0</v>
      </c>
      <c r="DC19" s="12">
        <f t="shared" si="33"/>
        <v>0</v>
      </c>
      <c r="DD19" s="310">
        <f t="shared" si="34"/>
        <v>0</v>
      </c>
      <c r="DE19" s="2695"/>
      <c r="DF19" s="8"/>
      <c r="DG19" s="9"/>
      <c r="DH19" s="5"/>
      <c r="DI19" s="5"/>
      <c r="DJ19" s="5"/>
      <c r="DK19" s="5"/>
      <c r="DL19" s="3">
        <f>SUMPRODUCT(('Data Base Coal Wining'!$D$2:$D$2000="TCM-ROM SB1 BK05-ROM 4")*('Data Base Coal Wining'!$G$2:$G$2000="Coal Winning")*ISNUMBER(SEARCH(TEXT('September TCM'!$B19,"00")&amp;"/09/2026",'Data Base Coal Wining'!$E$2:$E$2000))*'Data Base Coal Wining'!$N$2:$N$2000)</f>
        <v>0</v>
      </c>
      <c r="DM19" s="5"/>
      <c r="DN19" s="3">
        <f>SUMPRODUCT(('Data Base Coal Wining'!$D$2:$D$2000="TCM-ROM SB1 BK05-ROM 5")*('Data Base Coal Wining'!$G$2:$G$2000="Coal Winning")*ISNUMBER(SEARCH(TEXT('September TCM'!$B19,"00")&amp;"/09/2026",'Data Base Coal Wining'!$E$2:$E$2000))*'Data Base Coal Wining'!$N$2:$N$2000)</f>
        <v>0</v>
      </c>
      <c r="DO19" s="5"/>
      <c r="DP19" s="3">
        <f>SUMPRODUCT(('Data Base Coal Wining'!$D$2:$D$2000="TCM-ROM SB1 BK05-ROM 6")*('Data Base Coal Wining'!$G$2:$G$2000="Coal Winning")*ISNUMBER(SEARCH(TEXT('September TCM'!$B19,"00")&amp;"/09/2026",'Data Base Coal Wining'!$E$2:$E$2000))*'Data Base Coal Wining'!$N$2:$N$2000)</f>
        <v>0</v>
      </c>
      <c r="DQ19" s="11">
        <f>SUMPRODUCT(('Data Base Coal Wining'!$D$2:$D$2000="TCM-ROM SB1 BK05-ROM 6.1")*('Data Base Coal Wining'!$G$2:$G$2000="Coal Winning")*ISNUMBER(SEARCH(TEXT('September TCM'!$B19,"00")&amp;"/09/2026",'Data Base Coal Wining'!$E$2:$E$2000))*'Data Base Coal Wining'!$N$2:$N$2000)</f>
        <v>0</v>
      </c>
      <c r="DR19" s="12"/>
      <c r="DS19" s="1906">
        <f t="shared" si="35"/>
        <v>0</v>
      </c>
      <c r="DT19" s="36"/>
      <c r="DU19" s="36"/>
      <c r="DV19" s="27"/>
      <c r="DW19" s="27"/>
      <c r="DX19" s="5"/>
      <c r="DY19" s="5"/>
      <c r="DZ19" s="5"/>
      <c r="EA19" s="5"/>
      <c r="EB19" s="3">
        <f>SUMPRODUCT(('Data Base Coal Wining'!$D$2:$D$2000="TCM-ROM SB2 BK24-ROM 5")*('Data Base Coal Wining'!$G$2:$G$2000="Coal Winning")*ISNUMBER(SEARCH(TEXT('September TCM'!$B19,"00")&amp;"/09/2026",'Data Base Coal Wining'!$E$2:$E$2000))*'Data Base Coal Wining'!$N$2:$N$2000)</f>
        <v>0</v>
      </c>
      <c r="EC19" s="27"/>
      <c r="ED19" s="24">
        <f>SUMPRODUCT(('Data Base Coal Wining'!$D$2:$D$2000="TCM-ROM SB2 BK24-ROM 6")*('Data Base Coal Wining'!$G$2:$G$2000="Coal Winning")*ISNUMBER(SEARCH(TEXT('September TCM'!$B19,"00")&amp;"/09/2026",'Data Base Coal Wining'!$E$2:$E$2000))*'Data Base Coal Wining'!$N$2:$N$2000)</f>
        <v>0</v>
      </c>
      <c r="EE19" s="33"/>
      <c r="EF19" s="28">
        <f t="shared" si="36"/>
        <v>0</v>
      </c>
      <c r="EG19" s="9"/>
      <c r="EH19" s="36"/>
      <c r="EI19" s="5"/>
      <c r="EJ19" s="313"/>
      <c r="EK19" s="27"/>
      <c r="EL19" s="27"/>
      <c r="EM19" s="27"/>
      <c r="EN19" s="27"/>
      <c r="EO19" s="5"/>
      <c r="EP19" s="5"/>
      <c r="EQ19" s="5"/>
      <c r="ER19" s="33"/>
      <c r="ES19" s="28">
        <f t="shared" si="127"/>
        <v>0</v>
      </c>
      <c r="ET19" s="36"/>
      <c r="EU19" s="27"/>
      <c r="EV19" s="27"/>
      <c r="EW19" s="27"/>
      <c r="EX19" s="27"/>
      <c r="EY19" s="27"/>
      <c r="EZ19" s="33">
        <f t="shared" si="38"/>
        <v>0</v>
      </c>
      <c r="FA19" s="2685"/>
      <c r="FC19" s="4">
        <f t="shared" si="39"/>
        <v>0</v>
      </c>
      <c r="FD19" s="5">
        <f t="shared" si="40"/>
        <v>0</v>
      </c>
      <c r="FE19" s="5">
        <f t="shared" si="41"/>
        <v>0</v>
      </c>
      <c r="FF19" s="12">
        <f t="shared" si="42"/>
        <v>0</v>
      </c>
      <c r="FG19" s="33"/>
      <c r="FH19" s="2674"/>
      <c r="FI19" s="9"/>
      <c r="FJ19" s="5"/>
      <c r="FK19" s="5"/>
      <c r="FL19" s="5"/>
      <c r="FM19" s="5"/>
      <c r="FN19" s="27"/>
      <c r="FO19" s="28">
        <f t="shared" si="43"/>
        <v>0</v>
      </c>
      <c r="FP19" s="36"/>
      <c r="FQ19" s="27"/>
      <c r="FR19" s="27"/>
      <c r="FS19" s="27"/>
      <c r="FT19" s="27"/>
      <c r="FU19" s="27"/>
      <c r="FV19" s="28">
        <f t="shared" si="44"/>
        <v>0</v>
      </c>
      <c r="FW19" s="36"/>
      <c r="FX19" s="36"/>
      <c r="FY19" s="27"/>
      <c r="FZ19" s="27"/>
      <c r="GA19" s="27"/>
      <c r="GB19" s="27"/>
      <c r="GC19" s="27"/>
      <c r="GD19" s="27"/>
      <c r="GE19" s="24" cm="1">
        <f t="array" ref="GE19">SUMPRODUCT(('Data Base Coal Wining'!$C$2:$C$2000="TCM-ROM TEMPORARY SB2 KM 76-ROM HAC (S4700 Hard Ban)")*(ISNUMBER(SEARCH(TEXT('September TCM'!$B19,"00")&amp;"/08/2026",'Data Base Coal Wining'!$E$2:$E$2000)))*'Data Base Coal Wining'!$N$2:$N$2000)</f>
        <v>0</v>
      </c>
      <c r="GF19" s="27"/>
      <c r="GG19" s="27"/>
      <c r="GH19" s="33"/>
      <c r="GI19" s="33">
        <f t="shared" si="45"/>
        <v>0</v>
      </c>
      <c r="GJ19" s="2674"/>
      <c r="GL19" s="2">
        <f t="shared" si="112"/>
        <v>0</v>
      </c>
      <c r="GM19" s="63">
        <f t="shared" si="113"/>
        <v>0</v>
      </c>
      <c r="GN19" s="24">
        <f t="shared" si="114"/>
        <v>0</v>
      </c>
      <c r="GO19" s="1736">
        <f t="shared" si="46"/>
        <v>0</v>
      </c>
      <c r="GP19" s="141"/>
      <c r="GQ19" s="141"/>
      <c r="GR19" s="33"/>
      <c r="GS19" s="2667"/>
      <c r="GT19" s="1723">
        <f>SUMPRODUCT(('Data Base hauling'!$H$2:$H$2000="Trust")*(ISNUMBER(SEARCH(TEXT('September TCM'!$B19,"00")&amp;"/09/2026",'Data Base hauling'!$E$2:$E$2000)))*'Data Base hauling'!$N$2:$N$2000)</f>
        <v>0</v>
      </c>
      <c r="GU19" s="1723">
        <f>SUMPRODUCT(('Data Base hauling'!$H$2:$H$2000="RT")*(ISNUMBER(SEARCH(TEXT('September TCM'!$B19,"00")&amp;"/09/2026",'Data Base hauling'!$E$2:$E$2000)))*'Data Base hauling'!$N$2:$N$2000)</f>
        <v>0</v>
      </c>
      <c r="GV19" s="5">
        <f>SUMPRODUCT(('Data Base hauling'!$H$2:$H$2000="MPE")*(ISNUMBER(SEARCH(TEXT('September TCM'!$B19,"00")&amp;"/09/2026",'Data Base hauling'!$E$2:$E$2000)))*'Data Base hauling'!$N$2:$N$2000)</f>
        <v>0</v>
      </c>
      <c r="GW19" s="1723">
        <f>SUMPRODUCT(('Data Base hauling'!$H$2:$H$2000="RP")*(ISNUMBER(SEARCH(TEXT('September TCM'!$B19,"00")&amp;"/09/2026",'Data Base hauling'!$E$2:$E$2000)))*'Data Base hauling'!$N$2:$N$2000)</f>
        <v>0</v>
      </c>
      <c r="GX19" s="61">
        <f t="shared" si="115"/>
        <v>0</v>
      </c>
      <c r="GY19" s="2667"/>
      <c r="GZ19" s="35">
        <f>SUMPRODUCT(('Data Base hauling'!$C$2:$C$2000="TCM-ROM NB-ROM 1")*(ISNUMBER(SEARCH(TEXT('September TCM'!$B19,"00")&amp;"/09/2026",'Data Base hauling'!$E$2:$E$2000)))*'Data Base hauling'!$N$2:$N$2000)</f>
        <v>0</v>
      </c>
      <c r="HA19" s="36"/>
      <c r="HB19" s="27"/>
      <c r="HC19" s="27"/>
      <c r="HD19" s="27"/>
      <c r="HE19" s="27"/>
      <c r="HF19" s="24">
        <f>SUMPRODUCT(('Data Base hauling'!$C$2:$C$2000="TCM-ROM NB-ROM 4")*(ISNUMBER(SEARCH(TEXT('September TCM'!$B19,"00")&amp;"/09/2026",'Data Base hauling'!$E$2:$E$2000)))*'Data Base hauling'!$N$2:$N$2000)</f>
        <v>0</v>
      </c>
      <c r="HG19" s="24"/>
      <c r="HH19" s="24">
        <f>SUMPRODUCT(('Data Base hauling'!$C$2:$C$2000="TCM-ROM NB-ROM 5")*(ISNUMBER(SEARCH(TEXT('September TCM'!$B19,"00")&amp;"/09/2026",'Data Base hauling'!$E$2:$E$2000)))*'Data Base hauling'!$N$2:$N$2000)</f>
        <v>0</v>
      </c>
      <c r="HI19" s="24"/>
      <c r="HJ19" s="24">
        <f>SUMPRODUCT(('Data Base hauling'!$C$2:$C$2000="TCM-ROM NB-ROM 6")*(ISNUMBER(SEARCH(TEXT('September TCM'!$B19,"00")&amp;"/09/2026",'Data Base hauling'!$E$2:$E$2000)))*'Data Base hauling'!$N$2:$N$2000)</f>
        <v>0</v>
      </c>
      <c r="HK19" s="24"/>
      <c r="HL19" s="24">
        <f>SUMPRODUCT(('Data Base hauling'!$C$2:$C$2000="TCM-WASH-CR3")*(ISNUMBER(SEARCH(TEXT('September TCM'!$B19,"00")&amp;"/09/2026",'Data Base hauling'!$E$2:$E$2000)))*'Data Base hauling'!$N$2:$N$2000)</f>
        <v>0</v>
      </c>
      <c r="HM19" s="27"/>
      <c r="HN19" s="28">
        <f t="shared" si="131"/>
        <v>0</v>
      </c>
      <c r="HO19" s="36"/>
      <c r="HP19" s="27"/>
      <c r="HQ19" s="27"/>
      <c r="HR19" s="27"/>
      <c r="HS19" s="27"/>
      <c r="HT19" s="27"/>
      <c r="HU19" s="27">
        <f t="array" ref="HU19">SUMPRODUCT(('Data Base hauling'!$C$2:$C$2000="TCM-ROM SB1 BK05-ROM 4")*(ISNUMBER(SEARCH(TEXT('September TCM'!$B19,"00")&amp;"/03/2026",'Data Base hauling'!$E$2:$E$2000)))*'Data Base hauling'!$N$2:$N$2000)</f>
        <v>0</v>
      </c>
      <c r="HV19" s="27"/>
      <c r="HW19" s="27">
        <f t="array" ref="HW19">SUMPRODUCT(('Data Base hauling'!$C$2:$C$2000="TCM-ROM SB1 BK05-ROM 5")*(ISNUMBER(SEARCH(TEXT('September TCM'!$B19,"00")&amp;"/03/2026",'Data Base hauling'!$E$2:$E$2000)))*'Data Base hauling'!$N$2:$N$2000)</f>
        <v>0</v>
      </c>
      <c r="HX19" s="27"/>
      <c r="HY19" s="27"/>
      <c r="HZ19" s="27"/>
      <c r="IA19" s="27"/>
      <c r="IB19" s="27"/>
      <c r="IC19" s="33">
        <f t="shared" si="48"/>
        <v>0</v>
      </c>
      <c r="ID19" s="52"/>
      <c r="IE19" s="152"/>
      <c r="IF19" s="53"/>
      <c r="IG19" s="53"/>
      <c r="IH19" s="53"/>
      <c r="II19" s="53"/>
      <c r="IJ19" s="1926">
        <f>SUMPRODUCT(('Data Base hauling'!$C$2:$C$2000="TCM-ROM SB1 BK05-ROM 4")*(ISNUMBER(SEARCH(TEXT('September TCM'!$B19,"00")&amp;"/09/2026",'Data Base hauling'!$E$2:$E$2000)))*'Data Base hauling'!$N$2:$N$2000)</f>
        <v>0</v>
      </c>
      <c r="IK19" s="1926"/>
      <c r="IL19" s="1926">
        <f>SUMPRODUCT(('Data Base hauling'!$C$2:$C$2000="TCM-ROM SB1 BK05-ROM 5")*(ISNUMBER(SEARCH(TEXT('September TCM'!$B19,"00")&amp;"/09/2026",'Data Base hauling'!$E$2:$E$2000)))*'Data Base hauling'!$N$2:$N$2000)</f>
        <v>0</v>
      </c>
      <c r="IM19" s="49"/>
      <c r="IN19" s="49">
        <f>SUMPRODUCT(('Data Base hauling'!$C$2:$C$2000="TCM-ROM SB1 BK05-ROM 6")*(ISNUMBER(SEARCH(TEXT('September TCM'!$B19,"00")&amp;"/09/2026",'Data Base hauling'!$E$2:$E$2000)))*'Data Base hauling'!$N$2:$N$2000)</f>
        <v>0</v>
      </c>
      <c r="IO19" s="49"/>
      <c r="IP19" s="49"/>
      <c r="IQ19" s="49">
        <f>SUMPRODUCT(('Data Base hauling'!$C$2:$C$2000="TCM-HAC1 (Production)-ROM 2(HAC)")*(ISNUMBER(SEARCH(TEXT('September TCM'!$B19,"00")&amp;"/09/2026",'Data Base hauling'!$E$2:$E$2000)))*'Data Base hauling'!$N$2:$N$2000)</f>
        <v>0</v>
      </c>
      <c r="IR19" s="2195">
        <f t="shared" si="132"/>
        <v>0</v>
      </c>
      <c r="IS19" s="36"/>
      <c r="IT19" s="36"/>
      <c r="IU19" s="27"/>
      <c r="IV19" s="27"/>
      <c r="IW19" s="53"/>
      <c r="IX19" s="27"/>
      <c r="IY19" s="24">
        <f>SUMPRODUCT(('Data Base hauling'!$C$2:$C$2000="TCM-ROM SB2 BK24-ROM 4")*(ISNUMBER(SEARCH(TEXT('September TCM'!$B19,"00")&amp;"/09/2026",'Data Base hauling'!$E$2:$E$2000)))*'Data Base hauling'!$N$2:$N$2000)</f>
        <v>0</v>
      </c>
      <c r="IZ19" s="24"/>
      <c r="JA19" s="24">
        <f>SUMPRODUCT(('Data Base hauling'!$C$2:$C$2000="TCM-ROM SB2 BK24-ROM 5")*(ISNUMBER(SEARCH(TEXT('September TCM'!$B19,"00")&amp;"/09/2026",'Data Base hauling'!$E$2:$E$2000)))*'Data Base hauling'!$N$2:$N$2000)</f>
        <v>0</v>
      </c>
      <c r="JB19" s="24"/>
      <c r="JC19" s="24">
        <f>SUMPRODUCT(('Data Base hauling'!$C$2:$C$2000="TCM-ROM SB2 BK24-ROM 6")*(ISNUMBER(SEARCH(TEXT('September TCM'!$B19,"00")&amp;"/09/2026",'Data Base hauling'!$E$2:$E$2000)))*'Data Base hauling'!$N$2:$N$2000)</f>
        <v>0</v>
      </c>
      <c r="JD19" s="27"/>
      <c r="JE19" s="27"/>
      <c r="JF19" s="27"/>
      <c r="JG19" s="33">
        <f t="shared" si="133"/>
        <v>0</v>
      </c>
      <c r="JH19" s="2667"/>
      <c r="JJ19" s="2014">
        <f>SUMPRODUCT(('Data Base hauling'!$O$2:$O$2000="TCM.HCV.LS")*(ISNUMBER(SEARCH(TEXT('September TCM'!$B19,"00")&amp;"/09/2026",'Data Base hauling'!$E$2:$E$2000)))*'Data Base hauling'!$N$2:$N$2000)</f>
        <v>0</v>
      </c>
      <c r="JK19" s="2015">
        <f>SUMPRODUCT(('Data Base hauling'!$O$2:$O$2000="TCM.HCV.HS")*(ISNUMBER(SEARCH(TEXT('September TCM'!$B19,"00")&amp;"/09/2026",'Data Base hauling'!$E$2:$E$2000)))*'Data Base hauling'!$N$2:$N$2000)</f>
        <v>0</v>
      </c>
      <c r="JL19" s="53"/>
      <c r="JM19" s="1736">
        <f t="shared" si="51"/>
        <v>0</v>
      </c>
      <c r="JN19" s="33"/>
      <c r="JO19" s="2669"/>
      <c r="JP19" s="66" t="str">
        <f>IFERROR(SUMPRODUCT(('Data Base hauling'!$O$2:$O$2000="TCM.HCV.LS")*('Data Base hauling'!$C$2:$C$2000="TCM-ROM NB-ROM 1")*(ISNUMBER(SEARCH(TEXT('September TCM'!$B19,"00")&amp;"/09/2026",'Data Base hauling'!$E$2:$E$2000)))*'Data Base hauling'!$N$2:$N$2000)/'September TCM'!$JJ19,"")</f>
        <v/>
      </c>
      <c r="JQ19" s="67" t="str">
        <f>IFERROR(SUMPRODUCT(('Data Base hauling'!$O$2:$O$2000="TCM.HCV.LS")*('Data Base hauling'!$C$2:$C$2000="TCM-ROM NB-ROM 2")*(ISNUMBER(SEARCH(TEXT('September TCM'!$B19,"00")&amp;"/09/2026",'Data Base hauling'!$E$2:$E$2000)))*'Data Base hauling'!$N$2:$N$2000)/'September TCM'!$JJ19,"")</f>
        <v/>
      </c>
      <c r="JR19" s="67" t="str">
        <f>IFERROR(SUMPRODUCT(('Data Base hauling'!$O$2:$O$2000="TCM.HCV.LS")*('Data Base hauling'!$C$2:$C$2000="TCM-ROM NB-ROM 3")*(ISNUMBER(SEARCH(TEXT('September TCM'!$B19,"00")&amp;"/09/2026",'Data Base hauling'!$E$2:$E$2000)))*'Data Base hauling'!$N$2:$N$2000)/'September TCM'!$JJ19,"")</f>
        <v/>
      </c>
      <c r="JS19" s="67" t="str">
        <f>IFERROR(SUMPRODUCT(('Data Base hauling'!$O$2:$O$2000="TCM.HCV.LS")*('Data Base hauling'!$C$2:$C$2000="TCM-ROM SB1 BK05-ROM 4")*(ISNUMBER(SEARCH(TEXT('September TCM'!$B19,"00")&amp;"/09/2026",'Data Base hauling'!$E$2:$E$2000)))*'Data Base hauling'!$N$2:$N$2000)/'September TCM'!$JJ19,"")</f>
        <v/>
      </c>
      <c r="JT19" s="67" t="str">
        <f>IFERROR(SUMPRODUCT(('Data Base hauling'!$O$2:$O$2000="TCM.HCV.LS")*SIGN(('Data Base hauling'!$C$2:$C$2000="TCM-ROM NB-ROM 5")+('Data Base hauling'!$C$2:$C$2000="TCM-ROM SB1 BK05-ROM 5")+('Data Base hauling'!$C$2:$C$2000="TCM-ROM SB2 BK24-ROM 5"))*(ISNUMBER(SEARCH(TEXT('September TCM'!$B19,"00")&amp;"/09/2026",'Data Base hauling'!$E$2:$E$2000)))*'Data Base hauling'!$N$2:$N$2000)/'September TCM'!$JJ19,"")</f>
        <v/>
      </c>
      <c r="JU19" s="67" t="str">
        <f>IFERROR(SUMPRODUCT(('Data Base hauling'!$O$2:$O$2000="TCM.HCV.LS")*SIGN(('Data Base hauling'!$C$2:$C$2000="TCM-ROM NB-ROM 6")+('Data Base hauling'!$C$2:$C$2000="TCM-ROM SB1 BK05-ROM 6")+('Data Base hauling'!$C$2:$C$2000="TCM-ROM SB2 BK24-ROM 6"))*(ISNUMBER(SEARCH(TEXT('September TCM'!$B19,"00")&amp;"/09/2026",'Data Base hauling'!$E$2:$E$2000)))*'Data Base hauling'!$N$2:$N$2000)/'September TCM'!$JJ19,"")</f>
        <v/>
      </c>
      <c r="JV19" s="67" t="str">
        <f>IFERROR(SUMPRODUCT(('Data Base hauling'!$O$2:$O$2000="TCM.HCV.LS")*('Data Base hauling'!$C$2:$C$2000="TCM-WASH-CR3")*(ISNUMBER(SEARCH(TEXT('September TCM'!$B19,"00")&amp;"/09/2026",'Data Base hauling'!$E$2:$E$2000)))*'Data Base hauling'!$N$2:$N$2000)/'September TCM'!$JJ19,"")</f>
        <v/>
      </c>
      <c r="JW19" s="1921">
        <f>SUMPRODUCT(('Data Base hauling'!$O$2:$O$2000="TCM.HCV.LS")*('Data Base hauling'!$C$2:$C$2000="TCM-HAC-CR3")*(ISNUMBER(SEARCH(TEXT('September TCM'!$B19,"00")&amp;"/089/2026",'Data Base hauling'!$E$2:$E$2000)))*'Data Base hauling'!$N$2:$N$2000)</f>
        <v>0</v>
      </c>
      <c r="JX19" s="66" t="str">
        <f>IFERROR(SUMPRODUCT(('Data Base hauling'!$O$2:$O$2000="TCM.HCV.HS")*('Data Base hauling'!$C$2:$C$2000="TCM-ROM NB-ROM 1")*(ISNUMBER(SEARCH(TEXT('September TCM'!$B19,"00")&amp;"/09/2026",'Data Base hauling'!$E$2:$E$2000)))*'Data Base hauling'!$N$2:$N$2000)/'September TCM'!$JK19,"")</f>
        <v/>
      </c>
      <c r="JY19" s="67" t="str">
        <f>IFERROR(SUMPRODUCT(('Data Base hauling'!$O$2:$O$2000="TCM.HCV.HS")*('Data Base hauling'!$C$2:$C$2000="TCM-ROM NB-ROM 2")*(ISNUMBER(SEARCH(TEXT('September TCM'!$B19,"00")&amp;"/09/2026",'Data Base hauling'!$E$2:$E$2000)))*'Data Base hauling'!$N$2:$N$2000)/'September TCM'!$JK19,"")</f>
        <v/>
      </c>
      <c r="JZ19" s="67" t="str">
        <f>IFERROR(SUMPRODUCT(('Data Base hauling'!$O$2:$O$2000="TCM.HCV.HS")*('Data Base hauling'!$C$2:$C$2000="TCM-ROM NB-ROM 3")*(ISNUMBER(SEARCH(TEXT('September TCM'!$B19,"00")&amp;"/09/2026",'Data Base hauling'!$E$2:$E$2000)))*'Data Base hauling'!$N$2:$N$2000)/'September TCM'!$JK19,"")</f>
        <v/>
      </c>
      <c r="KA19" s="67" t="str">
        <f>IFERROR(SUMPRODUCT(('Data Base hauling'!$O$2:$O$2000="TCM.HCV.HS")*('Data Base hauling'!$C$2:$C$2000="TCM-ROM SB1 BK05-ROM 4")*(ISNUMBER(SEARCH(TEXT('September TCM'!$B19,"00")&amp;"/09/2026",'Data Base hauling'!$E$2:$E$2000)))*'Data Base hauling'!$N$2:$N$2000)/'September TCM'!$JK19,"")</f>
        <v/>
      </c>
      <c r="KB19" s="67" t="str">
        <f>IFERROR(SUMPRODUCT(('Data Base hauling'!$O$2:$O$2000="TCM.HCV.HS")*SIGN(('Data Base hauling'!$C$2:$C$2000="TCM-ROM NB-ROM 5")+('Data Base hauling'!$C$2:$C$2000="TCM-ROM SB1 BK05-ROM 5")+('Data Base hauling'!$C$2:$C$2000="TCM-ROM SB2 BK24-ROM 5"))*(ISNUMBER(SEARCH(TEXT('September TCM'!$B19,"00")&amp;"/09/2026",'Data Base hauling'!$E$2:$E$2000)))*'Data Base hauling'!$N$2:$N$2000)/'September TCM'!$JK19,"")</f>
        <v/>
      </c>
      <c r="KC19" s="67" t="str">
        <f>IFERROR(SUMPRODUCT(('Data Base hauling'!$O$2:$O$2000="TCM.HCV.HS")*SIGN(('Data Base hauling'!$C$2:$C$2000="TCM-ROM NB-ROM 6")+('Data Base hauling'!$C$2:$C$2000="TCM-ROM SB1 BK05-ROM 6")+('Data Base hauling'!$C$2:$C$2000="TCM-ROM SB2 BK24-ROM 6"))*(ISNUMBER(SEARCH(TEXT('September TCM'!$B19,"00")&amp;"/09/2026",'Data Base hauling'!$E$2:$E$2000)))*'Data Base hauling'!$N$2:$N$2000)/'September TCM'!$JK19,"")</f>
        <v/>
      </c>
      <c r="KD19" s="67" t="str">
        <f>IFERROR(SUMPRODUCT(('Data Base hauling'!$O$2:$O$2000="TCM.HCV.HS")*('Data Base hauling'!$C$2:$C$2000="TCM-WASH-CR3")*(ISNUMBER(SEARCH(TEXT('September TCM'!$B19,"00")&amp;"/09/2026",'Data Base hauling'!$E$2:$E$2000)))*'Data Base hauling'!$N$2:$N$2000)/'September TCM'!$JK19,"")</f>
        <v/>
      </c>
      <c r="KE19" s="68" t="str">
        <f>IFERROR(SUMPRODUCT(('Data Base hauling'!$O$2:$O$2000="TCM.HCV.HS")*('Data Base hauling'!$C$2:$C$2000="TCM-HAC-CR3")*(ISNUMBER(SEARCH(TEXT('September TCM'!$B19,"00")&amp;"/09/2026",'Data Base hauling'!$E$2:$E$2000)))*'Data Base hauling'!$N$2:$N$2000)/'September TCM'!$JK19,"")</f>
        <v/>
      </c>
      <c r="KF19" s="69"/>
      <c r="KG19" s="70"/>
      <c r="KH19" s="70"/>
      <c r="KI19" s="70"/>
      <c r="KJ19" s="70"/>
      <c r="KK19" s="70"/>
      <c r="KL19" s="70"/>
      <c r="KM19" s="70"/>
      <c r="KN19" s="33"/>
      <c r="KO19" s="2669"/>
      <c r="KP19" s="2203">
        <f>IFERROR(SUMPRODUCT((TCM.HCV.LS!$A$3:$A$58=DATE(2026,9,$B19))*(TCM.HCV.LS!$O$3:$O$58&gt;0)*TCM.HCV.LS!$C$3:$C$58*TCM.HCV.LS!$O$3:$O$58)/SUMPRODUCT((TCM.HCV.LS!$A$3:$A$58=DATE(2026,9,$B19))*(TCM.HCV.LS!$O$3:$O$58&gt;0)*TCM.HCV.LS!$C$3:$C$58),0)</f>
        <v>0</v>
      </c>
      <c r="KQ19" s="1721">
        <f>IFERROR(SUMPRODUCT((TCM.HCV.LS!$A$3:$A$58=DATE(2026,9,$B19))*(TCM.HCV.LS!$M$3:$M$58&gt;0)*TCM.HCV.LS!$C$3:$C$58*TCM.HCV.LS!$M$3:$M$58)/SUMPRODUCT((TCM.HCV.LS!$A$3:$A$58=DATE(2026,9,$B19))*(TCM.HCV.LS!$M$3:$M$58&gt;0)*TCM.HCV.LS!$C$3:$C$58),0)</f>
        <v>0</v>
      </c>
      <c r="KR19" s="1721">
        <f>IFERROR(SUMPRODUCT((TCM.HCV.LS!$A$3:$A$58=DATE(2026,9,$B19))*(TCM.HCV.LS!$G$3:$G$58&gt;0)*TCM.HCV.LS!$C$3:$C$58*TCM.HCV.LS!$G$3:$G$58)/SUMPRODUCT((TCM.HCV.LS!$A$3:$A$58=DATE(2026,9,$B19))*(TCM.HCV.LS!$G$3:$G$58&gt;0)*TCM.HCV.LS!$C$3:$C$58),0)</f>
        <v>0</v>
      </c>
      <c r="KS19" s="1721">
        <f>IFERROR(SUMPRODUCT((TCM.HCV.LS!$A$3:$A$58=DATE(2026,9,$B19))*(TCM.HCV.LS!$F$3:$F$58&gt;0)*TCM.HCV.LS!$C$3:$C$58*TCM.HCV.LS!$F$3:$F$58)/SUMPRODUCT((TCM.HCV.LS!$A$3:$A$58=DATE(2026,9,$B19))*(TCM.HCV.LS!$F$3:$F$58&gt;0)*TCM.HCV.LS!$C$3:$C$58),0)</f>
        <v>0</v>
      </c>
      <c r="KT19" s="1722">
        <f>IFERROR(SUMPRODUCT((TCM.HCV.LS!$A$3:$A$58=DATE(2026,9,$B19))*(TCM.HCV.LS!$E$3:$E$58&gt;0)*TCM.HCV.LS!$C$3:$C$58*TCM.HCV.LS!$E$3:$E$58)/SUMPRODUCT((TCM.HCV.LS!$A$3:$A$58=DATE(2026,9,$B19))*(TCM.HCV.LS!$E$3:$E$58&gt;0)*TCM.HCV.LS!$C$3:$C$58),0)</f>
        <v>0</v>
      </c>
      <c r="KU19" s="1958">
        <f>IFERROR(SUMPRODUCT((TCM.HCV.HS!$A$3:$A$84=DATE(2026,9,$B19))*(TCM.HCV.HS!$O$3:$O$84&gt;0)*TCM.HCV.HS!$C$3:$C$84*TCM.HCV.HS!$O$3:$O$84)/SUMPRODUCT((TCM.HCV.HS!$A$3:$A$84=DATE(2026,9,$B19))*(TCM.HCV.HS!$O$3:$O$84&gt;0)*TCM.HCV.HS!$C$3:$C$84),0)</f>
        <v>0</v>
      </c>
      <c r="KV19" s="1961">
        <f>IFERROR(SUMPRODUCT((TCM.HCV.HS!$A$3:$A$84=DATE(2026,9,$B19))*(TCM.HCV.HS!$M$3:$M$84&gt;0)*TCM.HCV.HS!$C$3:$C$84*TCM.HCV.HS!$M$3:$M$84)/SUMPRODUCT((TCM.HCV.HS!$A$3:$A$84=DATE(2026,9,$B19))*(TCM.HCV.HS!$M$3:$M$84&gt;0)*TCM.HCV.HS!$C$3:$C$84),0)</f>
        <v>0</v>
      </c>
      <c r="KW19" s="1961">
        <f>IFERROR(SUMPRODUCT((TCM.HCV.HS!$A$3:$A$84=DATE(2026,9,$B19))*(TCM.HCV.HS!$G$3:$G$84&gt;0)*TCM.HCV.HS!$C$3:$C$84*TCM.HCV.HS!$G$3:$G$84)/SUMPRODUCT((TCM.HCV.HS!$A$3:$A$84=DATE(2026,9,$B19))*(TCM.HCV.HS!$G$3:$G$84&gt;0)*TCM.HCV.HS!$C$3:$C$84),0)</f>
        <v>0</v>
      </c>
      <c r="KX19" s="1961">
        <f>IFERROR(SUMPRODUCT((TCM.HCV.HS!$A$3:$A$84=DATE(2026,9,$B19))*(TCM.HCV.HS!$F$3:$F$84&gt;0)*TCM.HCV.HS!$C$3:$C$84*TCM.HCV.HS!$F$3:$F$84)/SUMPRODUCT((TCM.HCV.HS!$A$3:$A$84=DATE(2026,9,$B19))*(TCM.HCV.HS!$F$3:$F$84&gt;0)*TCM.HCV.HS!$C$3:$C$84),0)</f>
        <v>0</v>
      </c>
      <c r="KY19" s="1962">
        <f>IFERROR(SUMPRODUCT((TCM.HCV.HS!$A$3:$A$84=DATE(2026,9,$B19))*(TCM.HCV.HS!$E$3:$E$84&gt;0)*TCM.HCV.HS!$C$3:$C$84*TCM.HCV.HS!$E$3:$E$84)/SUMPRODUCT((TCM.HCV.HS!$A$3:$A$84=DATE(2026,9,$B19))*(TCM.HCV.HS!$E$3:$E$84&gt;0)*TCM.HCV.HS!$C$3:$C$84),0)</f>
        <v>0</v>
      </c>
      <c r="KZ19" s="36"/>
      <c r="LA19" s="53"/>
      <c r="LB19" s="53"/>
      <c r="LC19" s="53"/>
      <c r="LD19" s="53"/>
      <c r="LE19" s="33"/>
      <c r="LF19" s="2669"/>
      <c r="LH19" s="26">
        <f t="shared" si="52"/>
        <v>0</v>
      </c>
      <c r="LI19" s="27">
        <f t="shared" si="52"/>
        <v>0</v>
      </c>
      <c r="LJ19" s="27">
        <f t="shared" si="52"/>
        <v>0</v>
      </c>
      <c r="LK19" s="28">
        <f t="shared" si="53"/>
        <v>0</v>
      </c>
      <c r="LL19" s="36"/>
      <c r="LM19" s="27"/>
      <c r="LN19" s="27"/>
      <c r="LO19" s="33"/>
      <c r="LP19" s="1957"/>
      <c r="LQ19" s="486"/>
      <c r="LR19" s="2688"/>
      <c r="LS19" s="36"/>
      <c r="LT19" s="36"/>
      <c r="LU19" s="27"/>
      <c r="LV19" s="27"/>
      <c r="LW19" s="27"/>
      <c r="LX19" s="1117">
        <f t="shared" si="129"/>
        <v>0</v>
      </c>
      <c r="LY19" s="36"/>
      <c r="LZ19" s="36"/>
      <c r="MA19" s="27"/>
      <c r="MB19" s="27"/>
      <c r="MC19" s="33"/>
      <c r="MD19" s="28">
        <f t="shared" si="55"/>
        <v>0</v>
      </c>
      <c r="ME19" s="26"/>
      <c r="MF19" s="36"/>
      <c r="MG19" s="27"/>
      <c r="MH19" s="27"/>
      <c r="MI19" s="27"/>
      <c r="MJ19" s="28"/>
      <c r="MK19" s="36"/>
      <c r="ML19" s="36"/>
      <c r="MM19" s="27"/>
      <c r="MN19" s="27"/>
      <c r="MO19" s="27"/>
      <c r="MP19" s="28"/>
      <c r="MQ19" s="36"/>
      <c r="MR19" s="36"/>
      <c r="MS19" s="27"/>
      <c r="MT19" s="27"/>
      <c r="MU19" s="27"/>
      <c r="MV19" s="33">
        <f t="shared" si="56"/>
        <v>0</v>
      </c>
      <c r="MW19" s="2688"/>
      <c r="MY19" s="26">
        <f t="shared" si="57"/>
        <v>377341.84766611259</v>
      </c>
      <c r="MZ19" s="27">
        <f t="shared" si="58"/>
        <v>191281.80302645115</v>
      </c>
      <c r="NA19" s="27">
        <f t="shared" si="59"/>
        <v>27294.683787707359</v>
      </c>
      <c r="NB19" s="28">
        <f t="shared" si="60"/>
        <v>318297.33035698003</v>
      </c>
      <c r="NC19" s="2621"/>
      <c r="ND19" s="23">
        <f t="shared" si="116"/>
        <v>207724.34280113198</v>
      </c>
      <c r="NE19" s="1655">
        <f t="shared" si="117"/>
        <v>169617.50486498058</v>
      </c>
      <c r="NF19" s="60">
        <f t="shared" si="63"/>
        <v>0</v>
      </c>
      <c r="NG19" s="275">
        <f t="shared" si="4"/>
        <v>377341.84766611259</v>
      </c>
      <c r="NH19" s="26">
        <f t="shared" si="64"/>
        <v>-313.35000000000002</v>
      </c>
      <c r="NI19" s="27">
        <f t="shared" si="64"/>
        <v>0</v>
      </c>
      <c r="NJ19" s="27">
        <f t="shared" si="64"/>
        <v>0</v>
      </c>
      <c r="NK19" s="27">
        <f t="shared" si="64"/>
        <v>0</v>
      </c>
      <c r="NL19" s="27">
        <f t="shared" si="64"/>
        <v>0</v>
      </c>
      <c r="NM19" s="33">
        <f t="shared" si="64"/>
        <v>0</v>
      </c>
      <c r="NN19" s="27">
        <f t="shared" si="64"/>
        <v>0</v>
      </c>
      <c r="NO19" s="36">
        <f t="shared" si="64"/>
        <v>0</v>
      </c>
      <c r="NP19" s="24">
        <f t="shared" si="64"/>
        <v>21665.870136227244</v>
      </c>
      <c r="NQ19" s="27">
        <f t="shared" si="64"/>
        <v>22358.939343794715</v>
      </c>
      <c r="NR19" s="24">
        <f t="shared" si="118"/>
        <v>8443.1982322711574</v>
      </c>
      <c r="NS19" s="24">
        <f t="shared" si="119"/>
        <v>9895.3380410535083</v>
      </c>
      <c r="NT19" s="27">
        <f t="shared" si="0"/>
        <v>62049.995753346629</v>
      </c>
      <c r="NU19" s="27">
        <f t="shared" si="65"/>
        <v>0</v>
      </c>
      <c r="NV19" s="27">
        <f t="shared" si="65"/>
        <v>0</v>
      </c>
      <c r="NW19" s="27">
        <f t="shared" si="65"/>
        <v>0</v>
      </c>
      <c r="NX19" s="27">
        <f t="shared" si="65"/>
        <v>0</v>
      </c>
      <c r="NY19" s="27">
        <f t="shared" si="65"/>
        <v>0</v>
      </c>
      <c r="NZ19" s="27">
        <f t="shared" si="65"/>
        <v>0</v>
      </c>
      <c r="OA19" s="27">
        <f t="shared" si="65"/>
        <v>35558.705564997217</v>
      </c>
      <c r="OB19" s="27">
        <f t="shared" si="65"/>
        <v>0</v>
      </c>
      <c r="OC19" s="27">
        <f t="shared" si="66"/>
        <v>12611.886475620366</v>
      </c>
      <c r="OD19" s="280"/>
      <c r="OE19" s="27">
        <f t="shared" si="120"/>
        <v>13429.316718063665</v>
      </c>
      <c r="OF19" s="27">
        <f t="shared" si="67"/>
        <v>0</v>
      </c>
      <c r="OG19" s="28">
        <f t="shared" si="1"/>
        <v>61599.908758681253</v>
      </c>
      <c r="OH19" s="27">
        <f t="shared" si="68"/>
        <v>0</v>
      </c>
      <c r="OI19" s="27">
        <f t="shared" si="68"/>
        <v>0</v>
      </c>
      <c r="OJ19" s="27">
        <f t="shared" si="68"/>
        <v>0</v>
      </c>
      <c r="OK19" s="27">
        <f t="shared" si="68"/>
        <v>0</v>
      </c>
      <c r="OL19" s="27">
        <f t="shared" si="68"/>
        <v>0</v>
      </c>
      <c r="OM19" s="27">
        <f t="shared" si="68"/>
        <v>0</v>
      </c>
      <c r="ON19" s="24">
        <f t="shared" si="68"/>
        <v>0</v>
      </c>
      <c r="OO19" s="27">
        <f t="shared" si="68"/>
        <v>0</v>
      </c>
      <c r="OP19" s="24">
        <f t="shared" si="69"/>
        <v>54054.217649249818</v>
      </c>
      <c r="OQ19" s="27">
        <f t="shared" si="70"/>
        <v>0</v>
      </c>
      <c r="OR19" s="24">
        <f t="shared" si="70"/>
        <v>13577.680865173457</v>
      </c>
      <c r="OS19" s="27">
        <f t="shared" si="70"/>
        <v>0</v>
      </c>
      <c r="OT19" s="28">
        <f t="shared" si="2"/>
        <v>67631.898514423272</v>
      </c>
      <c r="OU19" s="36"/>
      <c r="OV19" s="27"/>
      <c r="OW19" s="27"/>
      <c r="OX19" s="27"/>
      <c r="OY19" s="27"/>
      <c r="OZ19" s="27"/>
      <c r="PA19" s="28">
        <f t="shared" si="71"/>
        <v>0</v>
      </c>
      <c r="PB19" s="36">
        <f t="shared" si="72"/>
        <v>0</v>
      </c>
      <c r="PC19" s="27">
        <f t="shared" si="73"/>
        <v>0</v>
      </c>
      <c r="PD19" s="27">
        <f t="shared" si="74"/>
        <v>0</v>
      </c>
      <c r="PE19" s="27">
        <f t="shared" si="75"/>
        <v>0</v>
      </c>
      <c r="PF19" s="24"/>
      <c r="PG19" s="27">
        <f t="shared" si="76"/>
        <v>0</v>
      </c>
      <c r="PH19" s="33">
        <f t="shared" si="3"/>
        <v>0</v>
      </c>
      <c r="PI19" s="2621"/>
      <c r="PK19" s="1907">
        <f>SUMPRODUCT(('Data Base Coal Wining'!$D$2:$D$2000="WASHING PLANT")*ISNUMBER(SEARCH(TEXT('September TCM'!$B19,"00")&amp;"/09/2026",'Data Base Coal Wining'!$E$2:$E$2000))*'Data Base Coal Wining'!$N$2:$N$2000)</f>
        <v>0</v>
      </c>
      <c r="PL19" s="2298"/>
      <c r="PM19" s="2298"/>
      <c r="PN19" s="3">
        <f t="shared" si="77"/>
        <v>0</v>
      </c>
      <c r="PO19" s="3">
        <f t="shared" si="78"/>
        <v>38895.633435124721</v>
      </c>
      <c r="PP19" s="11">
        <f t="shared" si="79"/>
        <v>27294.683787707359</v>
      </c>
      <c r="PQ19" s="15"/>
      <c r="PR19" s="2615"/>
      <c r="PT19" s="4"/>
      <c r="PU19" s="9"/>
      <c r="PV19" s="9"/>
      <c r="PW19" s="9"/>
      <c r="PX19" s="8">
        <f>SUMPRODUCT(('Data Base Coal Wining'!$D$2:$D$2000="TCM-ROM SB1 BK05-ROM 2 (HAC)")*('Data Base Coal Wining'!$G$2:$G$2000="Coal Winning")*ISNUMBER(SEARCH(TEXT('September TCM'!$B19,"00")&amp;"/09/2026",'Data Base Coal Wining'!$E$2:$E$2000))*'Data Base Coal Wining'!$N$2:$N$2000)</f>
        <v>0</v>
      </c>
      <c r="PY19" s="9"/>
      <c r="PZ19" s="8">
        <f t="shared" si="80"/>
        <v>0</v>
      </c>
      <c r="QA19" s="5">
        <f t="shared" si="81"/>
        <v>0</v>
      </c>
      <c r="QB19" s="5"/>
      <c r="QC19" s="5"/>
      <c r="QD19" s="5"/>
      <c r="QE19" s="5"/>
      <c r="QF19" s="5"/>
      <c r="QG19" s="12"/>
      <c r="QH19" s="12">
        <f t="shared" si="82"/>
        <v>29562.488999999998</v>
      </c>
      <c r="QI19" s="420">
        <f t="shared" si="83"/>
        <v>283762.59090898006</v>
      </c>
      <c r="QJ19" s="1106">
        <f t="shared" si="121"/>
        <v>4972.2504480000007</v>
      </c>
      <c r="QK19" s="484">
        <f t="shared" si="84"/>
        <v>5505.3678056099998</v>
      </c>
      <c r="QL19" s="12"/>
      <c r="QM19" s="2615"/>
      <c r="QO19" s="139" t="str">
        <f t="shared" si="85"/>
        <v/>
      </c>
      <c r="QP19" s="139" t="str">
        <f t="shared" si="86"/>
        <v/>
      </c>
      <c r="QR19" s="139" t="str">
        <f t="shared" si="87"/>
        <v/>
      </c>
      <c r="QS19" s="139" t="str">
        <f t="shared" si="88"/>
        <v/>
      </c>
      <c r="QU19" s="1">
        <f t="shared" si="89"/>
        <v>0</v>
      </c>
      <c r="QV19" s="1">
        <f t="shared" si="90"/>
        <v>0</v>
      </c>
      <c r="QW19" s="1">
        <f t="shared" si="91"/>
        <v>0</v>
      </c>
      <c r="QX19" s="1">
        <f t="shared" si="92"/>
        <v>0</v>
      </c>
      <c r="QY19" s="1">
        <f t="shared" si="93"/>
        <v>0</v>
      </c>
      <c r="QZ19" s="1">
        <f t="shared" si="94"/>
        <v>0</v>
      </c>
      <c r="RB19" s="1">
        <f t="shared" si="95"/>
        <v>0</v>
      </c>
      <c r="RC19" s="1">
        <f t="shared" si="96"/>
        <v>0</v>
      </c>
      <c r="RD19" s="1">
        <f t="shared" si="97"/>
        <v>0</v>
      </c>
      <c r="RE19" s="1">
        <f t="shared" si="98"/>
        <v>0</v>
      </c>
      <c r="RF19" s="1">
        <f t="shared" si="99"/>
        <v>0</v>
      </c>
      <c r="RG19" s="1">
        <f t="shared" si="100"/>
        <v>0</v>
      </c>
      <c r="RJ19" s="1">
        <v>10</v>
      </c>
      <c r="RK19" s="1">
        <f t="shared" ref="RK19:RM34" si="135">+RK18+JJ19-LH19</f>
        <v>5984.4452097170979</v>
      </c>
      <c r="RL19" s="1">
        <f t="shared" si="135"/>
        <v>5074.1017804837184</v>
      </c>
      <c r="RM19" s="1">
        <f t="shared" si="135"/>
        <v>13404.263703387322</v>
      </c>
      <c r="RN19" s="89">
        <f t="shared" si="5"/>
        <v>24462.810693588137</v>
      </c>
      <c r="RO19" s="1033">
        <v>10</v>
      </c>
      <c r="RP19" s="1098">
        <v>0</v>
      </c>
      <c r="RQ19" s="1098">
        <f t="shared" si="102"/>
        <v>0</v>
      </c>
      <c r="RR19" s="1097">
        <f t="shared" si="102"/>
        <v>0</v>
      </c>
      <c r="RS19" s="1097">
        <f t="shared" si="103"/>
        <v>0</v>
      </c>
      <c r="RT19" s="1109"/>
      <c r="RU19" s="1109"/>
      <c r="RV19" s="1048"/>
      <c r="RX19" s="421">
        <v>10</v>
      </c>
      <c r="RY19" s="1095">
        <f t="shared" si="104"/>
        <v>0</v>
      </c>
      <c r="RZ19" s="1928"/>
      <c r="SB19" s="1090"/>
      <c r="SC19" s="1090">
        <f t="shared" si="105"/>
        <v>0</v>
      </c>
      <c r="SD19" s="1090"/>
      <c r="SE19" s="1090">
        <f t="shared" ref="SE19:SE40" si="136">JM19-RY19</f>
        <v>0</v>
      </c>
      <c r="SG19" s="1">
        <v>10</v>
      </c>
      <c r="SH19" s="1">
        <f t="shared" si="107"/>
        <v>0</v>
      </c>
      <c r="SI19" s="2420"/>
    </row>
    <row r="20" spans="1:503" s="1" customFormat="1">
      <c r="B20" s="471">
        <v>11</v>
      </c>
      <c r="C20" s="4">
        <f t="shared" si="108"/>
        <v>0</v>
      </c>
      <c r="D20" s="1590">
        <f t="shared" si="128"/>
        <v>0</v>
      </c>
      <c r="E20" s="1895">
        <f t="shared" si="6"/>
        <v>0</v>
      </c>
      <c r="F20" s="870"/>
      <c r="G20" s="870"/>
      <c r="H20" s="52"/>
      <c r="I20" s="61"/>
      <c r="J20" s="52"/>
      <c r="K20" s="54"/>
      <c r="L20" s="52"/>
      <c r="M20" s="61"/>
      <c r="N20" s="2629"/>
      <c r="O20" s="4">
        <f t="shared" si="125"/>
        <v>0</v>
      </c>
      <c r="P20" s="1225">
        <f t="shared" si="7"/>
        <v>0</v>
      </c>
      <c r="Q20" s="1952">
        <f t="shared" si="8"/>
        <v>0</v>
      </c>
      <c r="R20" s="33"/>
      <c r="S20" s="26">
        <f t="shared" si="9"/>
        <v>0</v>
      </c>
      <c r="T20" s="27">
        <f t="shared" si="110"/>
        <v>0</v>
      </c>
      <c r="U20" s="1909">
        <f t="shared" si="10"/>
        <v>0</v>
      </c>
      <c r="V20" s="28"/>
      <c r="W20" s="1742">
        <f t="shared" si="11"/>
        <v>0</v>
      </c>
      <c r="X20" s="1918">
        <f t="shared" si="11"/>
        <v>0</v>
      </c>
      <c r="Y20" s="1909">
        <f t="shared" si="12"/>
        <v>0</v>
      </c>
      <c r="Z20" s="33"/>
      <c r="AA20" s="26">
        <f t="shared" si="13"/>
        <v>0</v>
      </c>
      <c r="AB20" s="27">
        <f t="shared" si="126"/>
        <v>0</v>
      </c>
      <c r="AC20" s="1909">
        <f t="shared" si="15"/>
        <v>0</v>
      </c>
      <c r="AD20" s="28"/>
      <c r="AE20" s="36"/>
      <c r="AF20" s="36"/>
      <c r="AG20" s="53">
        <f t="shared" si="16"/>
        <v>0</v>
      </c>
      <c r="AH20" s="28"/>
      <c r="AI20" s="23"/>
      <c r="AJ20" s="27"/>
      <c r="AK20" s="53">
        <f t="shared" si="17"/>
        <v>0</v>
      </c>
      <c r="AL20" s="28"/>
      <c r="AM20" s="2629"/>
      <c r="AN20" s="9"/>
      <c r="AO20" s="5"/>
      <c r="AP20" s="61">
        <f t="shared" si="18"/>
        <v>0</v>
      </c>
      <c r="AQ20" s="36"/>
      <c r="AR20" s="53"/>
      <c r="AS20" s="61">
        <f t="shared" si="19"/>
        <v>0</v>
      </c>
      <c r="AT20" s="36">
        <v>0</v>
      </c>
      <c r="AU20" s="27"/>
      <c r="AV20" s="54">
        <f t="shared" si="20"/>
        <v>0</v>
      </c>
      <c r="AW20" s="26"/>
      <c r="AX20" s="280">
        <f>SUMPRODUCT(ISNUMBER(SEARCH("BK20",'Data Base Coal Wining'!$C$2:$C$2000))*ISNUMBER(SEARCH("P3000",'Data Base Coal Wining'!$C$2:$C$2000))*('Data Base Coal Wining'!$H$2:$H$2000="PAMA")*('Data Base Coal Wining'!$G$2:$G$2000="Coal Winning")*ISNUMBER(SEARCH(TEXT('September TCM'!$B20,"00")&amp;"/09/2026",'Data Base Coal Wining'!$E$2:$E$2000))*'Data Base Coal Wining'!$N$2:$N$2000)</f>
        <v>0</v>
      </c>
      <c r="AY20" s="1735">
        <f t="shared" si="134"/>
        <v>0</v>
      </c>
      <c r="AZ20" s="1908"/>
      <c r="BA20" s="1909"/>
      <c r="BB20" s="1895">
        <f t="shared" si="21"/>
        <v>0</v>
      </c>
      <c r="BC20" s="1740"/>
      <c r="BD20" s="2154">
        <f>SUMPRODUCT(ISNUMBER(SEARCH("BK30",'Data Base Coal Wining'!$C$2:$C$2000))*ISNUMBER(SEARCH("P3000",'Data Base Coal Wining'!$C$2:$C$2000))*('Data Base Coal Wining'!$H$2:$H$2000="PAMA")*('Data Base Coal Wining'!$G$2:$G$2000="Coal Winning")*ISNUMBER(SEARCH(TEXT('September TCM'!$B20,"00")&amp;"/09/2026",'Data Base Coal Wining'!$E$2:$E$2000))*'Data Base Coal Wining'!$N$2:$N$2000)</f>
        <v>0</v>
      </c>
      <c r="BE20" s="1895">
        <f t="shared" si="22"/>
        <v>0</v>
      </c>
      <c r="BF20" s="1908"/>
      <c r="BG20" s="1909"/>
      <c r="BH20" s="1895">
        <f t="shared" si="23"/>
        <v>0</v>
      </c>
      <c r="BI20" s="1908">
        <v>0</v>
      </c>
      <c r="BJ20" s="1909">
        <v>0</v>
      </c>
      <c r="BK20" s="1895">
        <f t="shared" si="24"/>
        <v>0</v>
      </c>
      <c r="BL20" s="1742"/>
      <c r="BM20" s="2154">
        <f>SUMPRODUCT(ISNUMBER(SEARCH("BK26",'Data Base Coal Wining'!$C$2:$C$2000))*ISNUMBER(SEARCH("P4400",'Data Base Coal Wining'!$C$2:$C$2000))*('Data Base Coal Wining'!$H$2:$H$2000="MAP")*('Data Base Coal Wining'!$G$2:$G$2000="Coal Winning")*ISNUMBER(SEARCH(TEXT('September TCM'!$B20,"00")&amp;"/09/2026",'Data Base Coal Wining'!$E$2:$E$2000))*'Data Base Coal Wining'!$N$2:$N$2000)</f>
        <v>0</v>
      </c>
      <c r="BN20" s="2170"/>
      <c r="BO20" s="1920">
        <f t="shared" si="25"/>
        <v>0</v>
      </c>
      <c r="BP20" s="9"/>
      <c r="BQ20" s="2514">
        <f>SUMPRODUCT(ISNUMBER(SEARCH("BK34",'Data Base Coal Wining'!$C$2:$C$2000))*ISNUMBER(SEARCH("P4000",'Data Base Coal Wining'!$C$2:$C$2000))*('Data Base Coal Wining'!$H$2:$H$2000="PJPN")*('Data Base Coal Wining'!$G$2:$G$2000="Coal Winning")*ISNUMBER(SEARCH(TEXT('September TCM'!$B20,"00")&amp;"/09/2026",'Data Base Coal Wining'!$E$2:$E$2000))*'Data Base Coal Wining'!$N$2:$N$2000)</f>
        <v>0</v>
      </c>
      <c r="BR20" s="1920">
        <f t="shared" si="26"/>
        <v>0</v>
      </c>
      <c r="BS20" s="9"/>
      <c r="BT20" s="53"/>
      <c r="BU20" s="482">
        <f t="shared" si="27"/>
        <v>0</v>
      </c>
      <c r="BV20" s="9"/>
      <c r="BW20" s="27"/>
      <c r="BX20" s="1051">
        <f t="shared" si="130"/>
        <v>0</v>
      </c>
      <c r="BY20" s="26"/>
      <c r="BZ20" s="27"/>
      <c r="CA20" s="482">
        <f t="shared" si="29"/>
        <v>0</v>
      </c>
      <c r="CB20" s="9"/>
      <c r="CC20" s="481"/>
      <c r="CD20" s="482">
        <f t="shared" si="30"/>
        <v>0</v>
      </c>
      <c r="CE20" s="4"/>
      <c r="CF20" s="5"/>
      <c r="CG20" s="28">
        <f t="shared" si="31"/>
        <v>0</v>
      </c>
      <c r="CH20" s="150"/>
      <c r="CI20" s="4"/>
      <c r="CJ20" s="5"/>
      <c r="CK20" s="5"/>
      <c r="CL20" s="5"/>
      <c r="CM20" s="5"/>
      <c r="CN20" s="3">
        <f t="shared" si="111"/>
        <v>0</v>
      </c>
      <c r="CO20" s="33"/>
      <c r="CP20" s="366"/>
      <c r="CR20" s="4">
        <f t="shared" si="32"/>
        <v>0</v>
      </c>
      <c r="CS20" s="9">
        <f t="shared" si="32"/>
        <v>0</v>
      </c>
      <c r="CT20" s="5">
        <f t="shared" si="32"/>
        <v>0</v>
      </c>
      <c r="CU20" s="5">
        <f t="shared" si="32"/>
        <v>0</v>
      </c>
      <c r="CV20" s="5">
        <f t="shared" si="32"/>
        <v>0</v>
      </c>
      <c r="CW20" s="5">
        <f t="shared" si="32"/>
        <v>0</v>
      </c>
      <c r="CX20" s="5">
        <f t="shared" si="32"/>
        <v>0</v>
      </c>
      <c r="CY20" s="5">
        <f t="shared" si="32"/>
        <v>0</v>
      </c>
      <c r="CZ20" s="5">
        <f t="shared" si="32"/>
        <v>0</v>
      </c>
      <c r="DA20" s="5">
        <f t="shared" si="32"/>
        <v>0</v>
      </c>
      <c r="DB20" s="5">
        <f t="shared" si="32"/>
        <v>0</v>
      </c>
      <c r="DC20" s="12">
        <f t="shared" si="33"/>
        <v>0</v>
      </c>
      <c r="DD20" s="310">
        <f t="shared" si="34"/>
        <v>0</v>
      </c>
      <c r="DE20" s="2695"/>
      <c r="DF20" s="8"/>
      <c r="DG20" s="9"/>
      <c r="DH20" s="5"/>
      <c r="DI20" s="5"/>
      <c r="DJ20" s="5"/>
      <c r="DK20" s="5"/>
      <c r="DL20" s="3">
        <f>SUMPRODUCT(('Data Base Coal Wining'!$D$2:$D$2000="TCM-ROM SB1 BK05-ROM 4")*('Data Base Coal Wining'!$G$2:$G$2000="Coal Winning")*ISNUMBER(SEARCH(TEXT('September TCM'!$B20,"00")&amp;"/09/2026",'Data Base Coal Wining'!$E$2:$E$2000))*'Data Base Coal Wining'!$N$2:$N$2000)</f>
        <v>0</v>
      </c>
      <c r="DM20" s="5"/>
      <c r="DN20" s="3">
        <f>SUMPRODUCT(('Data Base Coal Wining'!$D$2:$D$2000="TCM-ROM SB1 BK05-ROM 5")*('Data Base Coal Wining'!$G$2:$G$2000="Coal Winning")*ISNUMBER(SEARCH(TEXT('September TCM'!$B20,"00")&amp;"/09/2026",'Data Base Coal Wining'!$E$2:$E$2000))*'Data Base Coal Wining'!$N$2:$N$2000)</f>
        <v>0</v>
      </c>
      <c r="DO20" s="27"/>
      <c r="DP20" s="3">
        <f>SUMPRODUCT(('Data Base Coal Wining'!$D$2:$D$2000="TCM-ROM SB1 BK05-ROM 6")*('Data Base Coal Wining'!$G$2:$G$2000="Coal Winning")*ISNUMBER(SEARCH(TEXT('September TCM'!$B20,"00")&amp;"/09/2026",'Data Base Coal Wining'!$E$2:$E$2000))*'Data Base Coal Wining'!$N$2:$N$2000)</f>
        <v>0</v>
      </c>
      <c r="DQ20" s="11">
        <f>SUMPRODUCT(('Data Base Coal Wining'!$D$2:$D$2000="TCM-ROM SB1 BK05-ROM 6.1")*('Data Base Coal Wining'!$G$2:$G$2000="Coal Winning")*ISNUMBER(SEARCH(TEXT('September TCM'!$B20,"00")&amp;"/09/2026",'Data Base Coal Wining'!$E$2:$E$2000))*'Data Base Coal Wining'!$N$2:$N$2000)</f>
        <v>0</v>
      </c>
      <c r="DR20" s="12"/>
      <c r="DS20" s="1906">
        <f t="shared" si="35"/>
        <v>0</v>
      </c>
      <c r="DT20" s="36"/>
      <c r="DU20" s="36"/>
      <c r="DV20" s="27"/>
      <c r="DW20" s="27"/>
      <c r="DX20" s="5"/>
      <c r="DY20" s="5"/>
      <c r="DZ20" s="5"/>
      <c r="EA20" s="5"/>
      <c r="EB20" s="3">
        <f>SUMPRODUCT(('Data Base Coal Wining'!$D$2:$D$2000="TCM-ROM SB2 BK24-ROM 5")*('Data Base Coal Wining'!$G$2:$G$2000="Coal Winning")*ISNUMBER(SEARCH(TEXT('September TCM'!$B20,"00")&amp;"/09/2026",'Data Base Coal Wining'!$E$2:$E$2000))*'Data Base Coal Wining'!$N$2:$N$2000)</f>
        <v>0</v>
      </c>
      <c r="EC20" s="27"/>
      <c r="ED20" s="24">
        <f>SUMPRODUCT(('Data Base Coal Wining'!$D$2:$D$2000="TCM-ROM SB2 BK24-ROM 6")*('Data Base Coal Wining'!$G$2:$G$2000="Coal Winning")*ISNUMBER(SEARCH(TEXT('September TCM'!$B20,"00")&amp;"/09/2026",'Data Base Coal Wining'!$E$2:$E$2000))*'Data Base Coal Wining'!$N$2:$N$2000)</f>
        <v>0</v>
      </c>
      <c r="EE20" s="33"/>
      <c r="EF20" s="28">
        <f t="shared" si="36"/>
        <v>0</v>
      </c>
      <c r="EG20" s="9"/>
      <c r="EH20" s="416"/>
      <c r="EI20" s="5"/>
      <c r="EJ20" s="313"/>
      <c r="EK20" s="27"/>
      <c r="EL20" s="27"/>
      <c r="EM20" s="27"/>
      <c r="EN20" s="27"/>
      <c r="EO20" s="5"/>
      <c r="EP20" s="5"/>
      <c r="EQ20" s="5"/>
      <c r="ER20" s="33"/>
      <c r="ES20" s="28">
        <f t="shared" si="127"/>
        <v>0</v>
      </c>
      <c r="ET20" s="36"/>
      <c r="EU20" s="27"/>
      <c r="EV20" s="27"/>
      <c r="EW20" s="27"/>
      <c r="EX20" s="27"/>
      <c r="EY20" s="27"/>
      <c r="EZ20" s="33">
        <f t="shared" si="38"/>
        <v>0</v>
      </c>
      <c r="FA20" s="2685"/>
      <c r="FC20" s="4">
        <f t="shared" si="39"/>
        <v>0</v>
      </c>
      <c r="FD20" s="5">
        <f t="shared" si="40"/>
        <v>0</v>
      </c>
      <c r="FE20" s="5">
        <f t="shared" si="41"/>
        <v>0</v>
      </c>
      <c r="FF20" s="12">
        <f t="shared" si="42"/>
        <v>0</v>
      </c>
      <c r="FG20" s="33"/>
      <c r="FH20" s="2674"/>
      <c r="FI20" s="9"/>
      <c r="FJ20" s="5"/>
      <c r="FK20" s="5"/>
      <c r="FL20" s="5"/>
      <c r="FM20" s="5"/>
      <c r="FN20" s="27"/>
      <c r="FO20" s="28">
        <f t="shared" si="43"/>
        <v>0</v>
      </c>
      <c r="FP20" s="36"/>
      <c r="FQ20" s="27"/>
      <c r="FR20" s="27"/>
      <c r="FS20" s="27"/>
      <c r="FT20" s="27"/>
      <c r="FU20" s="27"/>
      <c r="FV20" s="28">
        <f t="shared" si="44"/>
        <v>0</v>
      </c>
      <c r="FW20" s="36"/>
      <c r="FX20" s="36"/>
      <c r="FY20" s="27"/>
      <c r="FZ20" s="27"/>
      <c r="GA20" s="27"/>
      <c r="GB20" s="27"/>
      <c r="GC20" s="27"/>
      <c r="GD20" s="27"/>
      <c r="GE20" s="24" cm="1">
        <f t="array" ref="GE20">SUMPRODUCT(('Data Base Coal Wining'!$C$2:$C$2000="TCM-ROM TEMPORARY SB2 KM 76-ROM HAC (S4700 Hard Ban)")*(ISNUMBER(SEARCH(TEXT('September TCM'!$B20,"00")&amp;"/08/2026",'Data Base Coal Wining'!$E$2:$E$2000)))*'Data Base Coal Wining'!$N$2:$N$2000)</f>
        <v>0</v>
      </c>
      <c r="GF20" s="27"/>
      <c r="GG20" s="27"/>
      <c r="GH20" s="33"/>
      <c r="GI20" s="33">
        <f t="shared" si="45"/>
        <v>0</v>
      </c>
      <c r="GJ20" s="2674"/>
      <c r="GL20" s="2">
        <f t="shared" si="112"/>
        <v>0</v>
      </c>
      <c r="GM20" s="63">
        <f t="shared" si="113"/>
        <v>0</v>
      </c>
      <c r="GN20" s="24">
        <f t="shared" si="114"/>
        <v>0</v>
      </c>
      <c r="GO20" s="1736">
        <f t="shared" si="46"/>
        <v>0</v>
      </c>
      <c r="GP20" s="141"/>
      <c r="GQ20" s="141"/>
      <c r="GR20" s="33"/>
      <c r="GS20" s="2667"/>
      <c r="GT20" s="1723">
        <f>SUMPRODUCT(('Data Base hauling'!$H$2:$H$2000="Trust")*(ISNUMBER(SEARCH(TEXT('September TCM'!$B20,"00")&amp;"/09/2026",'Data Base hauling'!$E$2:$E$2000)))*'Data Base hauling'!$N$2:$N$2000)</f>
        <v>0</v>
      </c>
      <c r="GU20" s="1723">
        <f>SUMPRODUCT(('Data Base hauling'!$H$2:$H$2000="RT")*(ISNUMBER(SEARCH(TEXT('September TCM'!$B20,"00")&amp;"/09/2026",'Data Base hauling'!$E$2:$E$2000)))*'Data Base hauling'!$N$2:$N$2000)</f>
        <v>0</v>
      </c>
      <c r="GV20" s="5">
        <f>SUMPRODUCT(('Data Base hauling'!$H$2:$H$2000="MPE")*(ISNUMBER(SEARCH(TEXT('September TCM'!$B20,"00")&amp;"/09/2026",'Data Base hauling'!$E$2:$E$2000)))*'Data Base hauling'!$N$2:$N$2000)</f>
        <v>0</v>
      </c>
      <c r="GW20" s="1723">
        <f>SUMPRODUCT(('Data Base hauling'!$H$2:$H$2000="RP")*(ISNUMBER(SEARCH(TEXT('September TCM'!$B20,"00")&amp;"/09/2026",'Data Base hauling'!$E$2:$E$2000)))*'Data Base hauling'!$N$2:$N$2000)</f>
        <v>0</v>
      </c>
      <c r="GX20" s="61">
        <f t="shared" si="115"/>
        <v>0</v>
      </c>
      <c r="GY20" s="2667"/>
      <c r="GZ20" s="35">
        <f>SUMPRODUCT(('Data Base hauling'!$C$2:$C$2000="TCM-ROM NB-ROM 1")*(ISNUMBER(SEARCH(TEXT('September TCM'!$B20,"00")&amp;"/09/2026",'Data Base hauling'!$E$2:$E$2000)))*'Data Base hauling'!$N$2:$N$2000)</f>
        <v>0</v>
      </c>
      <c r="HA20" s="36"/>
      <c r="HB20" s="27"/>
      <c r="HC20" s="27"/>
      <c r="HD20" s="27"/>
      <c r="HE20" s="27"/>
      <c r="HF20" s="24">
        <f>SUMPRODUCT(('Data Base hauling'!$C$2:$C$2000="TCM-ROM NB-ROM 4")*(ISNUMBER(SEARCH(TEXT('September TCM'!$B20,"00")&amp;"/09/2026",'Data Base hauling'!$E$2:$E$2000)))*'Data Base hauling'!$N$2:$N$2000)</f>
        <v>0</v>
      </c>
      <c r="HG20" s="24"/>
      <c r="HH20" s="24">
        <f>SUMPRODUCT(('Data Base hauling'!$C$2:$C$2000="TCM-ROM NB-ROM 5")*(ISNUMBER(SEARCH(TEXT('September TCM'!$B20,"00")&amp;"/09/2026",'Data Base hauling'!$E$2:$E$2000)))*'Data Base hauling'!$N$2:$N$2000)</f>
        <v>0</v>
      </c>
      <c r="HI20" s="24"/>
      <c r="HJ20" s="24">
        <f>SUMPRODUCT(('Data Base hauling'!$C$2:$C$2000="TCM-ROM NB-ROM 6")*(ISNUMBER(SEARCH(TEXT('September TCM'!$B20,"00")&amp;"/09/2026",'Data Base hauling'!$E$2:$E$2000)))*'Data Base hauling'!$N$2:$N$2000)</f>
        <v>0</v>
      </c>
      <c r="HK20" s="24"/>
      <c r="HL20" s="24">
        <f>SUMPRODUCT(('Data Base hauling'!$C$2:$C$2000="TCM-WASH-CR3")*(ISNUMBER(SEARCH(TEXT('September TCM'!$B20,"00")&amp;"/09/2026",'Data Base hauling'!$E$2:$E$2000)))*'Data Base hauling'!$N$2:$N$2000)</f>
        <v>0</v>
      </c>
      <c r="HM20" s="27"/>
      <c r="HN20" s="28">
        <f t="shared" si="131"/>
        <v>0</v>
      </c>
      <c r="HO20" s="36"/>
      <c r="HP20" s="27"/>
      <c r="HQ20" s="27"/>
      <c r="HR20" s="27"/>
      <c r="HS20" s="27"/>
      <c r="HT20" s="27"/>
      <c r="HU20" s="27">
        <f t="array" ref="HU20">SUMPRODUCT(('Data Base hauling'!$C$2:$C$2000="TCM-ROM SB1 BK05-ROM 4")*(ISNUMBER(SEARCH(TEXT('September TCM'!$B20,"00")&amp;"/03/2026",'Data Base hauling'!$E$2:$E$2000)))*'Data Base hauling'!$N$2:$N$2000)</f>
        <v>0</v>
      </c>
      <c r="HV20" s="27"/>
      <c r="HW20" s="27">
        <f t="array" ref="HW20">SUMPRODUCT(('Data Base hauling'!$C$2:$C$2000="TCM-ROM SB1 BK05-ROM 5")*(ISNUMBER(SEARCH(TEXT('September TCM'!$B20,"00")&amp;"/03/2026",'Data Base hauling'!$E$2:$E$2000)))*'Data Base hauling'!$N$2:$N$2000)</f>
        <v>0</v>
      </c>
      <c r="HX20" s="27"/>
      <c r="HY20" s="27"/>
      <c r="HZ20" s="27"/>
      <c r="IA20" s="27"/>
      <c r="IB20" s="27"/>
      <c r="IC20" s="33">
        <f t="shared" si="48"/>
        <v>0</v>
      </c>
      <c r="ID20" s="52"/>
      <c r="IE20" s="152"/>
      <c r="IF20" s="53"/>
      <c r="IG20" s="53"/>
      <c r="IH20" s="53"/>
      <c r="II20" s="53"/>
      <c r="IJ20" s="1926">
        <f>SUMPRODUCT(('Data Base hauling'!$C$2:$C$2000="TCM-ROM SB1 BK05-ROM 4")*(ISNUMBER(SEARCH(TEXT('September TCM'!$B20,"00")&amp;"/09/2026",'Data Base hauling'!$E$2:$E$2000)))*'Data Base hauling'!$N$2:$N$2000)</f>
        <v>0</v>
      </c>
      <c r="IK20" s="1926"/>
      <c r="IL20" s="1926">
        <f>SUMPRODUCT(('Data Base hauling'!$C$2:$C$2000="TCM-ROM SB1 BK05-ROM 5")*(ISNUMBER(SEARCH(TEXT('September TCM'!$B20,"00")&amp;"/09/2026",'Data Base hauling'!$E$2:$E$2000)))*'Data Base hauling'!$N$2:$N$2000)</f>
        <v>0</v>
      </c>
      <c r="IM20" s="49"/>
      <c r="IN20" s="49">
        <f>SUMPRODUCT(('Data Base hauling'!$C$2:$C$2000="TCM-ROM SB1 BK05-ROM 6")*(ISNUMBER(SEARCH(TEXT('September TCM'!$B20,"00")&amp;"/09/2026",'Data Base hauling'!$E$2:$E$2000)))*'Data Base hauling'!$N$2:$N$2000)</f>
        <v>0</v>
      </c>
      <c r="IO20" s="49"/>
      <c r="IP20" s="49"/>
      <c r="IQ20" s="49">
        <f>SUMPRODUCT(('Data Base hauling'!$C$2:$C$2000="TCM-HAC1 (Production)-ROM 2(HAC)")*(ISNUMBER(SEARCH(TEXT('September TCM'!$B20,"00")&amp;"/09/2026",'Data Base hauling'!$E$2:$E$2000)))*'Data Base hauling'!$N$2:$N$2000)</f>
        <v>0</v>
      </c>
      <c r="IR20" s="2195">
        <f t="shared" si="132"/>
        <v>0</v>
      </c>
      <c r="IS20" s="36"/>
      <c r="IT20" s="36"/>
      <c r="IU20" s="27"/>
      <c r="IV20" s="27"/>
      <c r="IW20" s="53"/>
      <c r="IX20" s="27"/>
      <c r="IY20" s="24">
        <f>SUMPRODUCT(('Data Base hauling'!$C$2:$C$2000="TCM-ROM SB2 BK24-ROM 4")*(ISNUMBER(SEARCH(TEXT('September TCM'!$B20,"00")&amp;"/09/2026",'Data Base hauling'!$E$2:$E$2000)))*'Data Base hauling'!$N$2:$N$2000)</f>
        <v>0</v>
      </c>
      <c r="IZ20" s="24"/>
      <c r="JA20" s="24">
        <f>SUMPRODUCT(('Data Base hauling'!$C$2:$C$2000="TCM-ROM SB2 BK24-ROM 5")*(ISNUMBER(SEARCH(TEXT('September TCM'!$B20,"00")&amp;"/09/2026",'Data Base hauling'!$E$2:$E$2000)))*'Data Base hauling'!$N$2:$N$2000)</f>
        <v>0</v>
      </c>
      <c r="JB20" s="24"/>
      <c r="JC20" s="24">
        <f>SUMPRODUCT(('Data Base hauling'!$C$2:$C$2000="TCM-ROM SB2 BK24-ROM 6")*(ISNUMBER(SEARCH(TEXT('September TCM'!$B20,"00")&amp;"/09/2026",'Data Base hauling'!$E$2:$E$2000)))*'Data Base hauling'!$N$2:$N$2000)</f>
        <v>0</v>
      </c>
      <c r="JD20" s="27"/>
      <c r="JE20" s="27"/>
      <c r="JF20" s="27"/>
      <c r="JG20" s="33">
        <f t="shared" si="133"/>
        <v>0</v>
      </c>
      <c r="JH20" s="2667"/>
      <c r="JJ20" s="2014">
        <f>SUMPRODUCT(('Data Base hauling'!$O$2:$O$2000="TCM.HCV.LS")*(ISNUMBER(SEARCH(TEXT('September TCM'!$B20,"00")&amp;"/09/2026",'Data Base hauling'!$E$2:$E$2000)))*'Data Base hauling'!$N$2:$N$2000)</f>
        <v>0</v>
      </c>
      <c r="JK20" s="2015">
        <f>SUMPRODUCT(('Data Base hauling'!$O$2:$O$2000="TCM.HCV.HS")*(ISNUMBER(SEARCH(TEXT('September TCM'!$B20,"00")&amp;"/09/2026",'Data Base hauling'!$E$2:$E$2000)))*'Data Base hauling'!$N$2:$N$2000)</f>
        <v>0</v>
      </c>
      <c r="JL20" s="53"/>
      <c r="JM20" s="1736">
        <f t="shared" si="51"/>
        <v>0</v>
      </c>
      <c r="JN20" s="33"/>
      <c r="JO20" s="2669"/>
      <c r="JP20" s="66" t="str">
        <f>IFERROR(SUMPRODUCT(('Data Base hauling'!$O$2:$O$2000="TCM.HCV.LS")*('Data Base hauling'!$C$2:$C$2000="TCM-ROM NB-ROM 1")*(ISNUMBER(SEARCH(TEXT('September TCM'!$B20,"00")&amp;"/09/2026",'Data Base hauling'!$E$2:$E$2000)))*'Data Base hauling'!$N$2:$N$2000)/'September TCM'!$JJ20,"")</f>
        <v/>
      </c>
      <c r="JQ20" s="67" t="str">
        <f>IFERROR(SUMPRODUCT(('Data Base hauling'!$O$2:$O$2000="TCM.HCV.LS")*('Data Base hauling'!$C$2:$C$2000="TCM-ROM NB-ROM 2")*(ISNUMBER(SEARCH(TEXT('September TCM'!$B20,"00")&amp;"/09/2026",'Data Base hauling'!$E$2:$E$2000)))*'Data Base hauling'!$N$2:$N$2000)/'September TCM'!$JJ20,"")</f>
        <v/>
      </c>
      <c r="JR20" s="67" t="str">
        <f>IFERROR(SUMPRODUCT(('Data Base hauling'!$O$2:$O$2000="TCM.HCV.LS")*('Data Base hauling'!$C$2:$C$2000="TCM-ROM NB-ROM 3")*(ISNUMBER(SEARCH(TEXT('September TCM'!$B20,"00")&amp;"/09/2026",'Data Base hauling'!$E$2:$E$2000)))*'Data Base hauling'!$N$2:$N$2000)/'September TCM'!$JJ20,"")</f>
        <v/>
      </c>
      <c r="JS20" s="67" t="str">
        <f>IFERROR(SUMPRODUCT(('Data Base hauling'!$O$2:$O$2000="TCM.HCV.LS")*('Data Base hauling'!$C$2:$C$2000="TCM-ROM SB1 BK05-ROM 4")*(ISNUMBER(SEARCH(TEXT('September TCM'!$B20,"00")&amp;"/09/2026",'Data Base hauling'!$E$2:$E$2000)))*'Data Base hauling'!$N$2:$N$2000)/'September TCM'!$JJ20,"")</f>
        <v/>
      </c>
      <c r="JT20" s="67" t="str">
        <f>IFERROR(SUMPRODUCT(('Data Base hauling'!$O$2:$O$2000="TCM.HCV.LS")*SIGN(('Data Base hauling'!$C$2:$C$2000="TCM-ROM NB-ROM 5")+('Data Base hauling'!$C$2:$C$2000="TCM-ROM SB1 BK05-ROM 5")+('Data Base hauling'!$C$2:$C$2000="TCM-ROM SB2 BK24-ROM 5"))*(ISNUMBER(SEARCH(TEXT('September TCM'!$B20,"00")&amp;"/09/2026",'Data Base hauling'!$E$2:$E$2000)))*'Data Base hauling'!$N$2:$N$2000)/'September TCM'!$JJ20,"")</f>
        <v/>
      </c>
      <c r="JU20" s="67" t="str">
        <f>IFERROR(SUMPRODUCT(('Data Base hauling'!$O$2:$O$2000="TCM.HCV.LS")*SIGN(('Data Base hauling'!$C$2:$C$2000="TCM-ROM NB-ROM 6")+('Data Base hauling'!$C$2:$C$2000="TCM-ROM SB1 BK05-ROM 6")+('Data Base hauling'!$C$2:$C$2000="TCM-ROM SB2 BK24-ROM 6"))*(ISNUMBER(SEARCH(TEXT('September TCM'!$B20,"00")&amp;"/09/2026",'Data Base hauling'!$E$2:$E$2000)))*'Data Base hauling'!$N$2:$N$2000)/'September TCM'!$JJ20,"")</f>
        <v/>
      </c>
      <c r="JV20" s="67" t="str">
        <f>IFERROR(SUMPRODUCT(('Data Base hauling'!$O$2:$O$2000="TCM.HCV.LS")*('Data Base hauling'!$C$2:$C$2000="TCM-WASH-CR3")*(ISNUMBER(SEARCH(TEXT('September TCM'!$B20,"00")&amp;"/09/2026",'Data Base hauling'!$E$2:$E$2000)))*'Data Base hauling'!$N$2:$N$2000)/'September TCM'!$JJ20,"")</f>
        <v/>
      </c>
      <c r="JW20" s="1921">
        <f>SUMPRODUCT(('Data Base hauling'!$O$2:$O$2000="TCM.HCV.LS")*('Data Base hauling'!$C$2:$C$2000="TCM-HAC-CR3")*(ISNUMBER(SEARCH(TEXT('September TCM'!$B20,"00")&amp;"/089/2026",'Data Base hauling'!$E$2:$E$2000)))*'Data Base hauling'!$N$2:$N$2000)</f>
        <v>0</v>
      </c>
      <c r="JX20" s="66" t="str">
        <f>IFERROR(SUMPRODUCT(('Data Base hauling'!$O$2:$O$2000="TCM.HCV.HS")*('Data Base hauling'!$C$2:$C$2000="TCM-ROM NB-ROM 1")*(ISNUMBER(SEARCH(TEXT('September TCM'!$B20,"00")&amp;"/09/2026",'Data Base hauling'!$E$2:$E$2000)))*'Data Base hauling'!$N$2:$N$2000)/'September TCM'!$JK20,"")</f>
        <v/>
      </c>
      <c r="JY20" s="67" t="str">
        <f>IFERROR(SUMPRODUCT(('Data Base hauling'!$O$2:$O$2000="TCM.HCV.HS")*('Data Base hauling'!$C$2:$C$2000="TCM-ROM NB-ROM 2")*(ISNUMBER(SEARCH(TEXT('September TCM'!$B20,"00")&amp;"/09/2026",'Data Base hauling'!$E$2:$E$2000)))*'Data Base hauling'!$N$2:$N$2000)/'September TCM'!$JK20,"")</f>
        <v/>
      </c>
      <c r="JZ20" s="67" t="str">
        <f>IFERROR(SUMPRODUCT(('Data Base hauling'!$O$2:$O$2000="TCM.HCV.HS")*('Data Base hauling'!$C$2:$C$2000="TCM-ROM NB-ROM 3")*(ISNUMBER(SEARCH(TEXT('September TCM'!$B20,"00")&amp;"/09/2026",'Data Base hauling'!$E$2:$E$2000)))*'Data Base hauling'!$N$2:$N$2000)/'September TCM'!$JK20,"")</f>
        <v/>
      </c>
      <c r="KA20" s="67" t="str">
        <f>IFERROR(SUMPRODUCT(('Data Base hauling'!$O$2:$O$2000="TCM.HCV.HS")*('Data Base hauling'!$C$2:$C$2000="TCM-ROM SB1 BK05-ROM 4")*(ISNUMBER(SEARCH(TEXT('September TCM'!$B20,"00")&amp;"/09/2026",'Data Base hauling'!$E$2:$E$2000)))*'Data Base hauling'!$N$2:$N$2000)/'September TCM'!$JK20,"")</f>
        <v/>
      </c>
      <c r="KB20" s="67" t="str">
        <f>IFERROR(SUMPRODUCT(('Data Base hauling'!$O$2:$O$2000="TCM.HCV.HS")*SIGN(('Data Base hauling'!$C$2:$C$2000="TCM-ROM NB-ROM 5")+('Data Base hauling'!$C$2:$C$2000="TCM-ROM SB1 BK05-ROM 5")+('Data Base hauling'!$C$2:$C$2000="TCM-ROM SB2 BK24-ROM 5"))*(ISNUMBER(SEARCH(TEXT('September TCM'!$B20,"00")&amp;"/09/2026",'Data Base hauling'!$E$2:$E$2000)))*'Data Base hauling'!$N$2:$N$2000)/'September TCM'!$JK20,"")</f>
        <v/>
      </c>
      <c r="KC20" s="67" t="str">
        <f>IFERROR(SUMPRODUCT(('Data Base hauling'!$O$2:$O$2000="TCM.HCV.HS")*SIGN(('Data Base hauling'!$C$2:$C$2000="TCM-ROM NB-ROM 6")+('Data Base hauling'!$C$2:$C$2000="TCM-ROM SB1 BK05-ROM 6")+('Data Base hauling'!$C$2:$C$2000="TCM-ROM SB2 BK24-ROM 6"))*(ISNUMBER(SEARCH(TEXT('September TCM'!$B20,"00")&amp;"/09/2026",'Data Base hauling'!$E$2:$E$2000)))*'Data Base hauling'!$N$2:$N$2000)/'September TCM'!$JK20,"")</f>
        <v/>
      </c>
      <c r="KD20" s="67" t="str">
        <f>IFERROR(SUMPRODUCT(('Data Base hauling'!$O$2:$O$2000="TCM.HCV.HS")*('Data Base hauling'!$C$2:$C$2000="TCM-WASH-CR3")*(ISNUMBER(SEARCH(TEXT('September TCM'!$B20,"00")&amp;"/09/2026",'Data Base hauling'!$E$2:$E$2000)))*'Data Base hauling'!$N$2:$N$2000)/'September TCM'!$JK20,"")</f>
        <v/>
      </c>
      <c r="KE20" s="68" t="str">
        <f>IFERROR(SUMPRODUCT(('Data Base hauling'!$O$2:$O$2000="TCM.HCV.HS")*('Data Base hauling'!$C$2:$C$2000="TCM-HAC-CR3")*(ISNUMBER(SEARCH(TEXT('September TCM'!$B20,"00")&amp;"/09/2026",'Data Base hauling'!$E$2:$E$2000)))*'Data Base hauling'!$N$2:$N$2000)/'September TCM'!$JK20,"")</f>
        <v/>
      </c>
      <c r="KF20" s="69"/>
      <c r="KG20" s="70"/>
      <c r="KH20" s="70"/>
      <c r="KI20" s="70"/>
      <c r="KJ20" s="70"/>
      <c r="KK20" s="70"/>
      <c r="KL20" s="70"/>
      <c r="KM20" s="70"/>
      <c r="KN20" s="33"/>
      <c r="KO20" s="2669"/>
      <c r="KP20" s="2203">
        <f>IFERROR(SUMPRODUCT((TCM.HCV.LS!$A$3:$A$58=DATE(2026,9,$B20))*(TCM.HCV.LS!$O$3:$O$58&gt;0)*TCM.HCV.LS!$C$3:$C$58*TCM.HCV.LS!$O$3:$O$58)/SUMPRODUCT((TCM.HCV.LS!$A$3:$A$58=DATE(2026,9,$B20))*(TCM.HCV.LS!$O$3:$O$58&gt;0)*TCM.HCV.LS!$C$3:$C$58),0)</f>
        <v>0</v>
      </c>
      <c r="KQ20" s="1721">
        <f>IFERROR(SUMPRODUCT((TCM.HCV.LS!$A$3:$A$58=DATE(2026,9,$B20))*(TCM.HCV.LS!$M$3:$M$58&gt;0)*TCM.HCV.LS!$C$3:$C$58*TCM.HCV.LS!$M$3:$M$58)/SUMPRODUCT((TCM.HCV.LS!$A$3:$A$58=DATE(2026,9,$B20))*(TCM.HCV.LS!$M$3:$M$58&gt;0)*TCM.HCV.LS!$C$3:$C$58),0)</f>
        <v>0</v>
      </c>
      <c r="KR20" s="1721">
        <f>IFERROR(SUMPRODUCT((TCM.HCV.LS!$A$3:$A$58=DATE(2026,9,$B20))*(TCM.HCV.LS!$G$3:$G$58&gt;0)*TCM.HCV.LS!$C$3:$C$58*TCM.HCV.LS!$G$3:$G$58)/SUMPRODUCT((TCM.HCV.LS!$A$3:$A$58=DATE(2026,9,$B20))*(TCM.HCV.LS!$G$3:$G$58&gt;0)*TCM.HCV.LS!$C$3:$C$58),0)</f>
        <v>0</v>
      </c>
      <c r="KS20" s="1721">
        <f>IFERROR(SUMPRODUCT((TCM.HCV.LS!$A$3:$A$58=DATE(2026,9,$B20))*(TCM.HCV.LS!$F$3:$F$58&gt;0)*TCM.HCV.LS!$C$3:$C$58*TCM.HCV.LS!$F$3:$F$58)/SUMPRODUCT((TCM.HCV.LS!$A$3:$A$58=DATE(2026,9,$B20))*(TCM.HCV.LS!$F$3:$F$58&gt;0)*TCM.HCV.LS!$C$3:$C$58),0)</f>
        <v>0</v>
      </c>
      <c r="KT20" s="1722">
        <f>IFERROR(SUMPRODUCT((TCM.HCV.LS!$A$3:$A$58=DATE(2026,9,$B20))*(TCM.HCV.LS!$E$3:$E$58&gt;0)*TCM.HCV.LS!$C$3:$C$58*TCM.HCV.LS!$E$3:$E$58)/SUMPRODUCT((TCM.HCV.LS!$A$3:$A$58=DATE(2026,9,$B20))*(TCM.HCV.LS!$E$3:$E$58&gt;0)*TCM.HCV.LS!$C$3:$C$58),0)</f>
        <v>0</v>
      </c>
      <c r="KU20" s="1958">
        <f>IFERROR(SUMPRODUCT((TCM.HCV.HS!$A$3:$A$84=DATE(2026,9,$B20))*(TCM.HCV.HS!$O$3:$O$84&gt;0)*TCM.HCV.HS!$C$3:$C$84*TCM.HCV.HS!$O$3:$O$84)/SUMPRODUCT((TCM.HCV.HS!$A$3:$A$84=DATE(2026,9,$B20))*(TCM.HCV.HS!$O$3:$O$84&gt;0)*TCM.HCV.HS!$C$3:$C$84),0)</f>
        <v>0</v>
      </c>
      <c r="KV20" s="1961">
        <f>IFERROR(SUMPRODUCT((TCM.HCV.HS!$A$3:$A$84=DATE(2026,9,$B20))*(TCM.HCV.HS!$M$3:$M$84&gt;0)*TCM.HCV.HS!$C$3:$C$84*TCM.HCV.HS!$M$3:$M$84)/SUMPRODUCT((TCM.HCV.HS!$A$3:$A$84=DATE(2026,9,$B20))*(TCM.HCV.HS!$M$3:$M$84&gt;0)*TCM.HCV.HS!$C$3:$C$84),0)</f>
        <v>0</v>
      </c>
      <c r="KW20" s="1961">
        <f>IFERROR(SUMPRODUCT((TCM.HCV.HS!$A$3:$A$84=DATE(2026,9,$B20))*(TCM.HCV.HS!$G$3:$G$84&gt;0)*TCM.HCV.HS!$C$3:$C$84*TCM.HCV.HS!$G$3:$G$84)/SUMPRODUCT((TCM.HCV.HS!$A$3:$A$84=DATE(2026,9,$B20))*(TCM.HCV.HS!$G$3:$G$84&gt;0)*TCM.HCV.HS!$C$3:$C$84),0)</f>
        <v>0</v>
      </c>
      <c r="KX20" s="1961">
        <f>IFERROR(SUMPRODUCT((TCM.HCV.HS!$A$3:$A$84=DATE(2026,9,$B20))*(TCM.HCV.HS!$F$3:$F$84&gt;0)*TCM.HCV.HS!$C$3:$C$84*TCM.HCV.HS!$F$3:$F$84)/SUMPRODUCT((TCM.HCV.HS!$A$3:$A$84=DATE(2026,9,$B20))*(TCM.HCV.HS!$F$3:$F$84&gt;0)*TCM.HCV.HS!$C$3:$C$84),0)</f>
        <v>0</v>
      </c>
      <c r="KY20" s="1962">
        <f>IFERROR(SUMPRODUCT((TCM.HCV.HS!$A$3:$A$84=DATE(2026,9,$B20))*(TCM.HCV.HS!$E$3:$E$84&gt;0)*TCM.HCV.HS!$C$3:$C$84*TCM.HCV.HS!$E$3:$E$84)/SUMPRODUCT((TCM.HCV.HS!$A$3:$A$84=DATE(2026,9,$B20))*(TCM.HCV.HS!$E$3:$E$84&gt;0)*TCM.HCV.HS!$C$3:$C$84),0)</f>
        <v>0</v>
      </c>
      <c r="KZ20" s="36"/>
      <c r="LA20" s="53"/>
      <c r="LB20" s="53"/>
      <c r="LC20" s="53"/>
      <c r="LD20" s="53"/>
      <c r="LE20" s="33"/>
      <c r="LF20" s="2669"/>
      <c r="LH20" s="26">
        <f t="shared" si="52"/>
        <v>0</v>
      </c>
      <c r="LI20" s="27">
        <f t="shared" si="52"/>
        <v>0</v>
      </c>
      <c r="LJ20" s="27">
        <f t="shared" si="52"/>
        <v>0</v>
      </c>
      <c r="LK20" s="1906">
        <f t="shared" si="53"/>
        <v>0</v>
      </c>
      <c r="LL20" s="36"/>
      <c r="LM20" s="27"/>
      <c r="LN20" s="27"/>
      <c r="LO20" s="33"/>
      <c r="LP20" s="1957"/>
      <c r="LQ20" s="486"/>
      <c r="LR20" s="2688"/>
      <c r="LS20" s="36"/>
      <c r="LT20" s="36"/>
      <c r="LU20" s="27"/>
      <c r="LV20" s="27"/>
      <c r="LW20" s="27"/>
      <c r="LX20" s="1117">
        <f t="shared" si="129"/>
        <v>0</v>
      </c>
      <c r="LY20" s="2269"/>
      <c r="LZ20" s="2269"/>
      <c r="MA20" s="277"/>
      <c r="MB20" s="27"/>
      <c r="MC20" s="33"/>
      <c r="MD20" s="1906">
        <f t="shared" si="55"/>
        <v>0</v>
      </c>
      <c r="ME20" s="26"/>
      <c r="MF20" s="36"/>
      <c r="MG20" s="27"/>
      <c r="MH20" s="27"/>
      <c r="MI20" s="27"/>
      <c r="MJ20" s="28"/>
      <c r="MK20" s="36"/>
      <c r="ML20" s="36"/>
      <c r="MM20" s="27"/>
      <c r="MN20" s="27"/>
      <c r="MO20" s="27"/>
      <c r="MP20" s="28"/>
      <c r="MQ20" s="36"/>
      <c r="MR20" s="36"/>
      <c r="MS20" s="27"/>
      <c r="MT20" s="27"/>
      <c r="MU20" s="27"/>
      <c r="MV20" s="33">
        <f t="shared" si="56"/>
        <v>0</v>
      </c>
      <c r="MW20" s="2688"/>
      <c r="MY20" s="26">
        <f t="shared" si="57"/>
        <v>377341.84766611259</v>
      </c>
      <c r="MZ20" s="27">
        <f t="shared" si="58"/>
        <v>191281.80302645115</v>
      </c>
      <c r="NA20" s="27">
        <f t="shared" si="59"/>
        <v>27294.683787707359</v>
      </c>
      <c r="NB20" s="28">
        <f t="shared" si="60"/>
        <v>318297.33035698003</v>
      </c>
      <c r="NC20" s="2621"/>
      <c r="ND20" s="23">
        <f t="shared" si="116"/>
        <v>207724.34280113198</v>
      </c>
      <c r="NE20" s="1655">
        <f t="shared" si="117"/>
        <v>169617.50486498058</v>
      </c>
      <c r="NF20" s="60">
        <f t="shared" si="63"/>
        <v>0</v>
      </c>
      <c r="NG20" s="275">
        <f t="shared" si="4"/>
        <v>377341.84766611259</v>
      </c>
      <c r="NH20" s="26">
        <f t="shared" si="64"/>
        <v>-313.35000000000002</v>
      </c>
      <c r="NI20" s="27">
        <f t="shared" si="64"/>
        <v>0</v>
      </c>
      <c r="NJ20" s="27">
        <f t="shared" si="64"/>
        <v>0</v>
      </c>
      <c r="NK20" s="27">
        <f t="shared" si="64"/>
        <v>0</v>
      </c>
      <c r="NL20" s="27">
        <f t="shared" si="64"/>
        <v>0</v>
      </c>
      <c r="NM20" s="33">
        <f t="shared" si="64"/>
        <v>0</v>
      </c>
      <c r="NN20" s="27">
        <f t="shared" si="64"/>
        <v>0</v>
      </c>
      <c r="NO20" s="36">
        <f t="shared" si="64"/>
        <v>0</v>
      </c>
      <c r="NP20" s="24">
        <f t="shared" si="64"/>
        <v>21665.870136227244</v>
      </c>
      <c r="NQ20" s="27">
        <f t="shared" si="64"/>
        <v>22358.939343794715</v>
      </c>
      <c r="NR20" s="24">
        <f t="shared" si="118"/>
        <v>8443.1982322711574</v>
      </c>
      <c r="NS20" s="24">
        <f t="shared" si="119"/>
        <v>9895.3380410535083</v>
      </c>
      <c r="NT20" s="27">
        <f t="shared" si="0"/>
        <v>62049.995753346629</v>
      </c>
      <c r="NU20" s="27">
        <f t="shared" si="65"/>
        <v>0</v>
      </c>
      <c r="NV20" s="27">
        <f t="shared" si="65"/>
        <v>0</v>
      </c>
      <c r="NW20" s="27">
        <f t="shared" si="65"/>
        <v>0</v>
      </c>
      <c r="NX20" s="27">
        <f t="shared" si="65"/>
        <v>0</v>
      </c>
      <c r="NY20" s="27">
        <f t="shared" si="65"/>
        <v>0</v>
      </c>
      <c r="NZ20" s="27">
        <f t="shared" si="65"/>
        <v>0</v>
      </c>
      <c r="OA20" s="27">
        <f t="shared" si="65"/>
        <v>35558.705564997217</v>
      </c>
      <c r="OB20" s="27">
        <f t="shared" si="65"/>
        <v>0</v>
      </c>
      <c r="OC20" s="27">
        <f t="shared" si="66"/>
        <v>12611.886475620366</v>
      </c>
      <c r="OD20" s="280"/>
      <c r="OE20" s="27">
        <f t="shared" si="120"/>
        <v>13429.316718063665</v>
      </c>
      <c r="OF20" s="27">
        <f t="shared" si="67"/>
        <v>0</v>
      </c>
      <c r="OG20" s="28">
        <f t="shared" si="1"/>
        <v>61599.908758681253</v>
      </c>
      <c r="OH20" s="27">
        <f t="shared" si="68"/>
        <v>0</v>
      </c>
      <c r="OI20" s="27">
        <f t="shared" si="68"/>
        <v>0</v>
      </c>
      <c r="OJ20" s="27">
        <v>0</v>
      </c>
      <c r="OK20" s="27">
        <f t="shared" si="68"/>
        <v>0</v>
      </c>
      <c r="OL20" s="27">
        <f t="shared" si="68"/>
        <v>0</v>
      </c>
      <c r="OM20" s="27">
        <f t="shared" si="68"/>
        <v>0</v>
      </c>
      <c r="ON20" s="24">
        <f t="shared" si="68"/>
        <v>0</v>
      </c>
      <c r="OO20" s="27">
        <f t="shared" si="68"/>
        <v>0</v>
      </c>
      <c r="OP20" s="24">
        <f t="shared" si="69"/>
        <v>54054.217649249818</v>
      </c>
      <c r="OQ20" s="27">
        <f t="shared" si="70"/>
        <v>0</v>
      </c>
      <c r="OR20" s="24">
        <f t="shared" si="70"/>
        <v>13577.680865173457</v>
      </c>
      <c r="OS20" s="27">
        <f t="shared" si="70"/>
        <v>0</v>
      </c>
      <c r="OT20" s="28">
        <f t="shared" si="2"/>
        <v>67631.898514423272</v>
      </c>
      <c r="OU20" s="36"/>
      <c r="OV20" s="27"/>
      <c r="OW20" s="27"/>
      <c r="OX20" s="27"/>
      <c r="OY20" s="27"/>
      <c r="OZ20" s="27"/>
      <c r="PA20" s="28">
        <f t="shared" si="71"/>
        <v>0</v>
      </c>
      <c r="PB20" s="36">
        <f t="shared" si="72"/>
        <v>0</v>
      </c>
      <c r="PC20" s="27">
        <f t="shared" si="73"/>
        <v>0</v>
      </c>
      <c r="PD20" s="27">
        <f t="shared" si="74"/>
        <v>0</v>
      </c>
      <c r="PE20" s="27">
        <f t="shared" si="75"/>
        <v>0</v>
      </c>
      <c r="PF20" s="24"/>
      <c r="PG20" s="27">
        <f t="shared" si="76"/>
        <v>0</v>
      </c>
      <c r="PH20" s="33">
        <f t="shared" si="3"/>
        <v>0</v>
      </c>
      <c r="PI20" s="2621"/>
      <c r="PK20" s="1907">
        <f>SUMPRODUCT(('Data Base Coal Wining'!$D$2:$D$2000="WASHING PLANT")*ISNUMBER(SEARCH(TEXT('September TCM'!$B20,"00")&amp;"/09/2026",'Data Base Coal Wining'!$E$2:$E$2000))*'Data Base Coal Wining'!$N$2:$N$2000)</f>
        <v>0</v>
      </c>
      <c r="PL20" s="1101"/>
      <c r="PM20" s="1101"/>
      <c r="PN20" s="3">
        <f t="shared" si="77"/>
        <v>0</v>
      </c>
      <c r="PO20" s="3">
        <f t="shared" si="78"/>
        <v>38895.633435124721</v>
      </c>
      <c r="PP20" s="11">
        <f t="shared" si="79"/>
        <v>27294.683787707359</v>
      </c>
      <c r="PQ20" s="15"/>
      <c r="PR20" s="2615"/>
      <c r="PT20" s="4"/>
      <c r="PU20" s="9"/>
      <c r="PV20" s="9"/>
      <c r="PW20" s="9"/>
      <c r="PX20" s="8">
        <f>SUMPRODUCT(('Data Base Coal Wining'!$D$2:$D$2000="TCM-ROM SB1 BK05-ROM 2 (HAC)")*('Data Base Coal Wining'!$G$2:$G$2000="Coal Winning")*ISNUMBER(SEARCH(TEXT('September TCM'!$B20,"00")&amp;"/09/2026",'Data Base Coal Wining'!$E$2:$E$2000))*'Data Base Coal Wining'!$N$2:$N$2000)</f>
        <v>0</v>
      </c>
      <c r="PY20" s="9"/>
      <c r="PZ20" s="8">
        <f t="shared" si="80"/>
        <v>0</v>
      </c>
      <c r="QA20" s="5">
        <f t="shared" si="81"/>
        <v>0</v>
      </c>
      <c r="QB20" s="5"/>
      <c r="QC20" s="5"/>
      <c r="QD20" s="5"/>
      <c r="QE20" s="5"/>
      <c r="QF20" s="5"/>
      <c r="QG20" s="12"/>
      <c r="QH20" s="12">
        <f t="shared" si="82"/>
        <v>29562.488999999998</v>
      </c>
      <c r="QI20" s="420">
        <f t="shared" si="83"/>
        <v>283762.59090898006</v>
      </c>
      <c r="QJ20" s="1106">
        <f t="shared" si="121"/>
        <v>4972.2504480000007</v>
      </c>
      <c r="QK20" s="484">
        <f t="shared" si="84"/>
        <v>5505.3678056099998</v>
      </c>
      <c r="QL20" s="12"/>
      <c r="QM20" s="2615"/>
      <c r="QO20" s="139" t="str">
        <f t="shared" si="85"/>
        <v/>
      </c>
      <c r="QP20" s="139" t="str">
        <f t="shared" si="86"/>
        <v/>
      </c>
      <c r="QR20" s="139" t="str">
        <f t="shared" si="87"/>
        <v/>
      </c>
      <c r="QS20" s="139" t="str">
        <f t="shared" si="88"/>
        <v/>
      </c>
      <c r="QU20" s="1">
        <f t="shared" si="89"/>
        <v>0</v>
      </c>
      <c r="QV20" s="1">
        <f t="shared" si="90"/>
        <v>0</v>
      </c>
      <c r="QW20" s="1">
        <f t="shared" si="91"/>
        <v>0</v>
      </c>
      <c r="QX20" s="1">
        <f t="shared" si="92"/>
        <v>0</v>
      </c>
      <c r="QY20" s="1">
        <f t="shared" si="93"/>
        <v>0</v>
      </c>
      <c r="QZ20" s="1">
        <f t="shared" si="94"/>
        <v>0</v>
      </c>
      <c r="RB20" s="1">
        <f t="shared" si="95"/>
        <v>0</v>
      </c>
      <c r="RC20" s="1">
        <f t="shared" si="96"/>
        <v>0</v>
      </c>
      <c r="RD20" s="1">
        <f t="shared" si="97"/>
        <v>0</v>
      </c>
      <c r="RE20" s="1">
        <f t="shared" si="98"/>
        <v>0</v>
      </c>
      <c r="RF20" s="1">
        <f t="shared" si="99"/>
        <v>0</v>
      </c>
      <c r="RG20" s="1">
        <f t="shared" si="100"/>
        <v>0</v>
      </c>
      <c r="RJ20" s="1">
        <v>11</v>
      </c>
      <c r="RK20" s="1">
        <f t="shared" si="135"/>
        <v>5984.4452097170979</v>
      </c>
      <c r="RL20" s="1">
        <f t="shared" si="135"/>
        <v>5074.1017804837184</v>
      </c>
      <c r="RM20" s="1">
        <f t="shared" si="135"/>
        <v>13404.263703387322</v>
      </c>
      <c r="RN20" s="89">
        <f t="shared" si="5"/>
        <v>24462.810693588137</v>
      </c>
      <c r="RO20" s="1033">
        <v>11</v>
      </c>
      <c r="RP20" s="1098">
        <v>0</v>
      </c>
      <c r="RQ20" s="1098">
        <f t="shared" si="102"/>
        <v>0</v>
      </c>
      <c r="RR20" s="1097">
        <f t="shared" si="102"/>
        <v>0</v>
      </c>
      <c r="RS20" s="1097">
        <f t="shared" si="103"/>
        <v>0</v>
      </c>
      <c r="RT20" s="1109"/>
      <c r="RU20" s="1928"/>
      <c r="RX20" s="421">
        <v>11</v>
      </c>
      <c r="RY20" s="1095">
        <f t="shared" si="104"/>
        <v>0</v>
      </c>
      <c r="RZ20" s="1928"/>
      <c r="SB20" s="1090"/>
      <c r="SC20" s="1090">
        <f t="shared" si="105"/>
        <v>0</v>
      </c>
      <c r="SD20" s="1090"/>
      <c r="SE20" s="1090">
        <f t="shared" si="136"/>
        <v>0</v>
      </c>
      <c r="SG20" s="1">
        <v>11</v>
      </c>
      <c r="SH20" s="1">
        <f t="shared" si="107"/>
        <v>0</v>
      </c>
      <c r="SI20" s="1094"/>
    </row>
    <row r="21" spans="1:503" s="1" customFormat="1" ht="16.95" customHeight="1">
      <c r="B21" s="471">
        <v>12</v>
      </c>
      <c r="C21" s="4">
        <f t="shared" si="108"/>
        <v>0</v>
      </c>
      <c r="D21" s="1590">
        <f t="shared" si="128"/>
        <v>0</v>
      </c>
      <c r="E21" s="1895">
        <f t="shared" si="6"/>
        <v>0</v>
      </c>
      <c r="F21" s="870"/>
      <c r="G21" s="870"/>
      <c r="H21" s="52"/>
      <c r="I21" s="61"/>
      <c r="J21" s="52"/>
      <c r="K21" s="54"/>
      <c r="L21" s="52"/>
      <c r="M21" s="61"/>
      <c r="N21" s="2629"/>
      <c r="O21" s="4">
        <f t="shared" si="125"/>
        <v>0</v>
      </c>
      <c r="P21" s="1225">
        <f t="shared" si="7"/>
        <v>0</v>
      </c>
      <c r="Q21" s="1913">
        <f t="shared" si="8"/>
        <v>0</v>
      </c>
      <c r="R21" s="33"/>
      <c r="S21" s="26">
        <f t="shared" si="9"/>
        <v>0</v>
      </c>
      <c r="T21" s="27">
        <f t="shared" si="110"/>
        <v>0</v>
      </c>
      <c r="U21" s="1909">
        <f t="shared" si="10"/>
        <v>0</v>
      </c>
      <c r="V21" s="28"/>
      <c r="W21" s="1742">
        <f t="shared" si="11"/>
        <v>0</v>
      </c>
      <c r="X21" s="5">
        <f t="shared" si="11"/>
        <v>0</v>
      </c>
      <c r="Y21" s="1909">
        <f t="shared" si="12"/>
        <v>0</v>
      </c>
      <c r="Z21" s="33"/>
      <c r="AA21" s="26">
        <f t="shared" si="13"/>
        <v>0</v>
      </c>
      <c r="AB21" s="27">
        <f t="shared" si="126"/>
        <v>0</v>
      </c>
      <c r="AC21" s="1909">
        <f t="shared" si="15"/>
        <v>0</v>
      </c>
      <c r="AD21" s="28"/>
      <c r="AE21" s="36"/>
      <c r="AF21" s="36"/>
      <c r="AG21" s="53">
        <f t="shared" si="16"/>
        <v>0</v>
      </c>
      <c r="AH21" s="28"/>
      <c r="AI21" s="26"/>
      <c r="AJ21" s="27"/>
      <c r="AK21" s="53">
        <f t="shared" si="17"/>
        <v>0</v>
      </c>
      <c r="AL21" s="28"/>
      <c r="AM21" s="2629"/>
      <c r="AN21" s="9"/>
      <c r="AO21" s="5"/>
      <c r="AP21" s="61">
        <f t="shared" si="18"/>
        <v>0</v>
      </c>
      <c r="AQ21" s="36"/>
      <c r="AR21" s="53"/>
      <c r="AS21" s="61">
        <f t="shared" si="19"/>
        <v>0</v>
      </c>
      <c r="AT21" s="36">
        <v>0</v>
      </c>
      <c r="AU21" s="27"/>
      <c r="AV21" s="54">
        <f t="shared" si="20"/>
        <v>0</v>
      </c>
      <c r="AW21" s="26"/>
      <c r="AX21" s="280">
        <f>SUMPRODUCT(ISNUMBER(SEARCH("BK20",'Data Base Coal Wining'!$C$2:$C$2000))*ISNUMBER(SEARCH("P3000",'Data Base Coal Wining'!$C$2:$C$2000))*('Data Base Coal Wining'!$H$2:$H$2000="PAMA")*('Data Base Coal Wining'!$G$2:$G$2000="Coal Winning")*ISNUMBER(SEARCH(TEXT('September TCM'!$B21,"00")&amp;"/09/2026",'Data Base Coal Wining'!$E$2:$E$2000))*'Data Base Coal Wining'!$N$2:$N$2000)</f>
        <v>0</v>
      </c>
      <c r="AY21" s="1895">
        <f t="shared" si="134"/>
        <v>0</v>
      </c>
      <c r="AZ21" s="1908"/>
      <c r="BA21" s="1909"/>
      <c r="BB21" s="1895">
        <f t="shared" si="21"/>
        <v>0</v>
      </c>
      <c r="BC21" s="1740"/>
      <c r="BD21" s="2154">
        <f>SUMPRODUCT(ISNUMBER(SEARCH("BK30",'Data Base Coal Wining'!$C$2:$C$2000))*ISNUMBER(SEARCH("P3000",'Data Base Coal Wining'!$C$2:$C$2000))*('Data Base Coal Wining'!$H$2:$H$2000="PAMA")*('Data Base Coal Wining'!$G$2:$G$2000="Coal Winning")*ISNUMBER(SEARCH(TEXT('September TCM'!$B21,"00")&amp;"/09/2026",'Data Base Coal Wining'!$E$2:$E$2000))*'Data Base Coal Wining'!$N$2:$N$2000)</f>
        <v>0</v>
      </c>
      <c r="BE21" s="1895">
        <f t="shared" si="22"/>
        <v>0</v>
      </c>
      <c r="BF21" s="1908"/>
      <c r="BG21" s="1909"/>
      <c r="BH21" s="1895">
        <f t="shared" si="23"/>
        <v>0</v>
      </c>
      <c r="BI21" s="1908">
        <v>0</v>
      </c>
      <c r="BJ21" s="1909">
        <v>0</v>
      </c>
      <c r="BK21" s="1895">
        <f t="shared" si="24"/>
        <v>0</v>
      </c>
      <c r="BL21" s="1742"/>
      <c r="BM21" s="2154">
        <f>SUMPRODUCT(ISNUMBER(SEARCH("BK26",'Data Base Coal Wining'!$C$2:$C$2000))*ISNUMBER(SEARCH("P4400",'Data Base Coal Wining'!$C$2:$C$2000))*('Data Base Coal Wining'!$H$2:$H$2000="MAP")*('Data Base Coal Wining'!$G$2:$G$2000="Coal Winning")*ISNUMBER(SEARCH(TEXT('September TCM'!$B21,"00")&amp;"/09/2026",'Data Base Coal Wining'!$E$2:$E$2000))*'Data Base Coal Wining'!$N$2:$N$2000)</f>
        <v>0</v>
      </c>
      <c r="BN21" s="2170"/>
      <c r="BO21" s="1920">
        <f t="shared" si="25"/>
        <v>0</v>
      </c>
      <c r="BP21" s="9"/>
      <c r="BQ21" s="2514">
        <f>SUMPRODUCT(ISNUMBER(SEARCH("BK34",'Data Base Coal Wining'!$C$2:$C$2000))*ISNUMBER(SEARCH("P4000",'Data Base Coal Wining'!$C$2:$C$2000))*('Data Base Coal Wining'!$H$2:$H$2000="PJPN")*('Data Base Coal Wining'!$G$2:$G$2000="Coal Winning")*ISNUMBER(SEARCH(TEXT('September TCM'!$B21,"00")&amp;"/09/2026",'Data Base Coal Wining'!$E$2:$E$2000))*'Data Base Coal Wining'!$N$2:$N$2000)</f>
        <v>0</v>
      </c>
      <c r="BR21" s="1920">
        <f t="shared" si="26"/>
        <v>0</v>
      </c>
      <c r="BS21" s="9"/>
      <c r="BT21" s="53"/>
      <c r="BU21" s="482">
        <f t="shared" si="27"/>
        <v>0</v>
      </c>
      <c r="BV21" s="9"/>
      <c r="BW21" s="27"/>
      <c r="BX21" s="1051">
        <f t="shared" si="130"/>
        <v>0</v>
      </c>
      <c r="BY21" s="26"/>
      <c r="BZ21" s="27"/>
      <c r="CA21" s="482">
        <f t="shared" si="29"/>
        <v>0</v>
      </c>
      <c r="CB21" s="9"/>
      <c r="CC21" s="481"/>
      <c r="CD21" s="482">
        <f t="shared" si="30"/>
        <v>0</v>
      </c>
      <c r="CE21" s="4"/>
      <c r="CF21" s="5"/>
      <c r="CG21" s="28">
        <f t="shared" si="31"/>
        <v>0</v>
      </c>
      <c r="CH21" s="150"/>
      <c r="CI21" s="4"/>
      <c r="CJ21" s="5"/>
      <c r="CK21" s="5"/>
      <c r="CL21" s="5"/>
      <c r="CM21" s="5"/>
      <c r="CN21" s="3">
        <f t="shared" si="111"/>
        <v>0</v>
      </c>
      <c r="CO21" s="33"/>
      <c r="CP21" s="366"/>
      <c r="CR21" s="4">
        <f t="shared" si="32"/>
        <v>0</v>
      </c>
      <c r="CS21" s="9">
        <f t="shared" si="32"/>
        <v>0</v>
      </c>
      <c r="CT21" s="5">
        <f t="shared" si="32"/>
        <v>0</v>
      </c>
      <c r="CU21" s="5">
        <f t="shared" si="32"/>
        <v>0</v>
      </c>
      <c r="CV21" s="5">
        <f t="shared" si="32"/>
        <v>0</v>
      </c>
      <c r="CW21" s="5">
        <f t="shared" si="32"/>
        <v>0</v>
      </c>
      <c r="CX21" s="5">
        <f t="shared" si="32"/>
        <v>0</v>
      </c>
      <c r="CY21" s="5">
        <f t="shared" si="32"/>
        <v>0</v>
      </c>
      <c r="CZ21" s="5">
        <f t="shared" si="32"/>
        <v>0</v>
      </c>
      <c r="DA21" s="5">
        <f t="shared" si="32"/>
        <v>0</v>
      </c>
      <c r="DB21" s="5">
        <f t="shared" si="32"/>
        <v>0</v>
      </c>
      <c r="DC21" s="12">
        <f t="shared" si="33"/>
        <v>0</v>
      </c>
      <c r="DD21" s="310">
        <f t="shared" si="34"/>
        <v>0</v>
      </c>
      <c r="DE21" s="2695"/>
      <c r="DF21" s="8"/>
      <c r="DG21" s="9"/>
      <c r="DH21" s="5"/>
      <c r="DI21" s="5"/>
      <c r="DJ21" s="5"/>
      <c r="DK21" s="5"/>
      <c r="DL21" s="3">
        <f>SUMPRODUCT(('Data Base Coal Wining'!$D$2:$D$2000="TCM-ROM SB1 BK05-ROM 4")*('Data Base Coal Wining'!$G$2:$G$2000="Coal Winning")*ISNUMBER(SEARCH(TEXT('September TCM'!$B21,"00")&amp;"/09/2026",'Data Base Coal Wining'!$E$2:$E$2000))*'Data Base Coal Wining'!$N$2:$N$2000)</f>
        <v>0</v>
      </c>
      <c r="DM21" s="5"/>
      <c r="DN21" s="3">
        <f>SUMPRODUCT(('Data Base Coal Wining'!$D$2:$D$2000="TCM-ROM SB1 BK05-ROM 5")*('Data Base Coal Wining'!$G$2:$G$2000="Coal Winning")*ISNUMBER(SEARCH(TEXT('September TCM'!$B21,"00")&amp;"/09/2026",'Data Base Coal Wining'!$E$2:$E$2000))*'Data Base Coal Wining'!$N$2:$N$2000)</f>
        <v>0</v>
      </c>
      <c r="DO21" s="5"/>
      <c r="DP21" s="3">
        <f>SUMPRODUCT(('Data Base Coal Wining'!$D$2:$D$2000="TCM-ROM SB1 BK05-ROM 6")*('Data Base Coal Wining'!$G$2:$G$2000="Coal Winning")*ISNUMBER(SEARCH(TEXT('September TCM'!$B21,"00")&amp;"/09/2026",'Data Base Coal Wining'!$E$2:$E$2000))*'Data Base Coal Wining'!$N$2:$N$2000)</f>
        <v>0</v>
      </c>
      <c r="DQ21" s="11">
        <f>SUMPRODUCT(('Data Base Coal Wining'!$D$2:$D$2000="TCM-ROM SB1 BK05-ROM 6.1")*('Data Base Coal Wining'!$G$2:$G$2000="Coal Winning")*ISNUMBER(SEARCH(TEXT('September TCM'!$B21,"00")&amp;"/09/2026",'Data Base Coal Wining'!$E$2:$E$2000))*'Data Base Coal Wining'!$N$2:$N$2000)</f>
        <v>0</v>
      </c>
      <c r="DR21" s="12"/>
      <c r="DS21" s="28">
        <f t="shared" si="35"/>
        <v>0</v>
      </c>
      <c r="DT21" s="36"/>
      <c r="DU21" s="36"/>
      <c r="DV21" s="53"/>
      <c r="DW21" s="27"/>
      <c r="DX21" s="5"/>
      <c r="DY21" s="5"/>
      <c r="DZ21" s="5"/>
      <c r="EA21" s="5"/>
      <c r="EB21" s="3">
        <f>SUMPRODUCT(('Data Base Coal Wining'!$D$2:$D$2000="TCM-ROM SB2 BK24-ROM 5")*('Data Base Coal Wining'!$G$2:$G$2000="Coal Winning")*ISNUMBER(SEARCH(TEXT('September TCM'!$B21,"00")&amp;"/09/2026",'Data Base Coal Wining'!$E$2:$E$2000))*'Data Base Coal Wining'!$N$2:$N$2000)</f>
        <v>0</v>
      </c>
      <c r="EC21" s="27"/>
      <c r="ED21" s="24">
        <f>SUMPRODUCT(('Data Base Coal Wining'!$D$2:$D$2000="TCM-ROM SB2 BK24-ROM 6")*('Data Base Coal Wining'!$G$2:$G$2000="Coal Winning")*ISNUMBER(SEARCH(TEXT('September TCM'!$B21,"00")&amp;"/09/2026",'Data Base Coal Wining'!$E$2:$E$2000))*'Data Base Coal Wining'!$N$2:$N$2000)</f>
        <v>0</v>
      </c>
      <c r="EE21" s="33"/>
      <c r="EF21" s="28">
        <f t="shared" si="36"/>
        <v>0</v>
      </c>
      <c r="EG21" s="9"/>
      <c r="EH21" s="36"/>
      <c r="EI21" s="5"/>
      <c r="EJ21" s="313"/>
      <c r="EK21" s="27"/>
      <c r="EL21" s="27"/>
      <c r="EM21" s="27"/>
      <c r="EN21" s="27"/>
      <c r="EO21" s="5"/>
      <c r="EP21" s="5"/>
      <c r="EQ21" s="5"/>
      <c r="ER21" s="33"/>
      <c r="ES21" s="28">
        <f t="shared" si="127"/>
        <v>0</v>
      </c>
      <c r="ET21" s="36"/>
      <c r="EU21" s="27"/>
      <c r="EV21" s="27"/>
      <c r="EW21" s="27"/>
      <c r="EX21" s="27"/>
      <c r="EY21" s="27"/>
      <c r="EZ21" s="33">
        <f t="shared" si="38"/>
        <v>0</v>
      </c>
      <c r="FA21" s="2685"/>
      <c r="FC21" s="4">
        <f t="shared" si="39"/>
        <v>0</v>
      </c>
      <c r="FD21" s="5">
        <f t="shared" si="40"/>
        <v>0</v>
      </c>
      <c r="FE21" s="5">
        <f t="shared" si="41"/>
        <v>0</v>
      </c>
      <c r="FF21" s="12">
        <f t="shared" si="42"/>
        <v>0</v>
      </c>
      <c r="FG21" s="33"/>
      <c r="FH21" s="2674"/>
      <c r="FI21" s="9"/>
      <c r="FJ21" s="5"/>
      <c r="FK21" s="5"/>
      <c r="FL21" s="5"/>
      <c r="FM21" s="5"/>
      <c r="FN21" s="27"/>
      <c r="FO21" s="28">
        <f t="shared" si="43"/>
        <v>0</v>
      </c>
      <c r="FP21" s="36"/>
      <c r="FQ21" s="27"/>
      <c r="FR21" s="27"/>
      <c r="FS21" s="27"/>
      <c r="FT21" s="27"/>
      <c r="FU21" s="27"/>
      <c r="FV21" s="28">
        <f t="shared" si="44"/>
        <v>0</v>
      </c>
      <c r="FW21" s="36"/>
      <c r="FX21" s="36"/>
      <c r="FY21" s="27"/>
      <c r="FZ21" s="27"/>
      <c r="GA21" s="27"/>
      <c r="GB21" s="27"/>
      <c r="GC21" s="27"/>
      <c r="GD21" s="27"/>
      <c r="GE21" s="24" cm="1">
        <f t="array" ref="GE21">SUMPRODUCT(('Data Base Coal Wining'!$C$2:$C$2000="TCM-ROM TEMPORARY SB2 KM 76-ROM HAC (S4700 Hard Ban)")*(ISNUMBER(SEARCH(TEXT('September TCM'!$B21,"00")&amp;"/08/2026",'Data Base Coal Wining'!$E$2:$E$2000)))*'Data Base Coal Wining'!$N$2:$N$2000)</f>
        <v>0</v>
      </c>
      <c r="GF21" s="27"/>
      <c r="GG21" s="27"/>
      <c r="GH21" s="33"/>
      <c r="GI21" s="33">
        <f t="shared" si="45"/>
        <v>0</v>
      </c>
      <c r="GJ21" s="2674"/>
      <c r="GL21" s="2">
        <f t="shared" si="112"/>
        <v>0</v>
      </c>
      <c r="GM21" s="63">
        <f t="shared" si="113"/>
        <v>0</v>
      </c>
      <c r="GN21" s="24">
        <f t="shared" si="114"/>
        <v>0</v>
      </c>
      <c r="GO21" s="1736">
        <f t="shared" si="46"/>
        <v>0</v>
      </c>
      <c r="GP21" s="141"/>
      <c r="GQ21" s="141"/>
      <c r="GR21" s="33"/>
      <c r="GS21" s="2667"/>
      <c r="GT21" s="1723">
        <f>SUMPRODUCT(('Data Base hauling'!$H$2:$H$2000="Trust")*(ISNUMBER(SEARCH(TEXT('September TCM'!$B21,"00")&amp;"/09/2026",'Data Base hauling'!$E$2:$E$2000)))*'Data Base hauling'!$N$2:$N$2000)</f>
        <v>0</v>
      </c>
      <c r="GU21" s="1723">
        <f>SUMPRODUCT(('Data Base hauling'!$H$2:$H$2000="RT")*(ISNUMBER(SEARCH(TEXT('September TCM'!$B21,"00")&amp;"/09/2026",'Data Base hauling'!$E$2:$E$2000)))*'Data Base hauling'!$N$2:$N$2000)</f>
        <v>0</v>
      </c>
      <c r="GV21" s="5">
        <f>SUMPRODUCT(('Data Base hauling'!$H$2:$H$2000="MPE")*(ISNUMBER(SEARCH(TEXT('September TCM'!$B21,"00")&amp;"/09/2026",'Data Base hauling'!$E$2:$E$2000)))*'Data Base hauling'!$N$2:$N$2000)</f>
        <v>0</v>
      </c>
      <c r="GW21" s="1723">
        <f>SUMPRODUCT(('Data Base hauling'!$H$2:$H$2000="RP")*(ISNUMBER(SEARCH(TEXT('September TCM'!$B21,"00")&amp;"/09/2026",'Data Base hauling'!$E$2:$E$2000)))*'Data Base hauling'!$N$2:$N$2000)</f>
        <v>0</v>
      </c>
      <c r="GX21" s="61">
        <f t="shared" si="115"/>
        <v>0</v>
      </c>
      <c r="GY21" s="2667"/>
      <c r="GZ21" s="35">
        <f>SUMPRODUCT(('Data Base hauling'!$C$2:$C$2000="TCM-ROM NB-ROM 1")*(ISNUMBER(SEARCH(TEXT('September TCM'!$B21,"00")&amp;"/09/2026",'Data Base hauling'!$E$2:$E$2000)))*'Data Base hauling'!$N$2:$N$2000)</f>
        <v>0</v>
      </c>
      <c r="HA21" s="36"/>
      <c r="HB21" s="27"/>
      <c r="HC21" s="27"/>
      <c r="HD21" s="27"/>
      <c r="HE21" s="27"/>
      <c r="HF21" s="24">
        <f>SUMPRODUCT(('Data Base hauling'!$C$2:$C$2000="TCM-ROM NB-ROM 4")*(ISNUMBER(SEARCH(TEXT('September TCM'!$B21,"00")&amp;"/09/2026",'Data Base hauling'!$E$2:$E$2000)))*'Data Base hauling'!$N$2:$N$2000)</f>
        <v>0</v>
      </c>
      <c r="HG21" s="24"/>
      <c r="HH21" s="24">
        <f>SUMPRODUCT(('Data Base hauling'!$C$2:$C$2000="TCM-ROM NB-ROM 5")*(ISNUMBER(SEARCH(TEXT('September TCM'!$B21,"00")&amp;"/09/2026",'Data Base hauling'!$E$2:$E$2000)))*'Data Base hauling'!$N$2:$N$2000)</f>
        <v>0</v>
      </c>
      <c r="HI21" s="24"/>
      <c r="HJ21" s="24">
        <f>SUMPRODUCT(('Data Base hauling'!$C$2:$C$2000="TCM-ROM NB-ROM 6")*(ISNUMBER(SEARCH(TEXT('September TCM'!$B21,"00")&amp;"/09/2026",'Data Base hauling'!$E$2:$E$2000)))*'Data Base hauling'!$N$2:$N$2000)</f>
        <v>0</v>
      </c>
      <c r="HK21" s="24"/>
      <c r="HL21" s="24">
        <f>SUMPRODUCT(('Data Base hauling'!$C$2:$C$2000="TCM-WASH-CR3")*(ISNUMBER(SEARCH(TEXT('September TCM'!$B21,"00")&amp;"/09/2026",'Data Base hauling'!$E$2:$E$2000)))*'Data Base hauling'!$N$2:$N$2000)</f>
        <v>0</v>
      </c>
      <c r="HM21" s="27"/>
      <c r="HN21" s="28">
        <f t="shared" si="131"/>
        <v>0</v>
      </c>
      <c r="HO21" s="36"/>
      <c r="HP21" s="27"/>
      <c r="HQ21" s="27"/>
      <c r="HR21" s="27"/>
      <c r="HS21" s="27"/>
      <c r="HT21" s="27"/>
      <c r="HU21" s="27">
        <f t="array" ref="HU21">SUMPRODUCT(('Data Base hauling'!$C$2:$C$2000="TCM-ROM SB1 BK05-ROM 4")*(ISNUMBER(SEARCH(TEXT('September TCM'!$B21,"00")&amp;"/03/2026",'Data Base hauling'!$E$2:$E$2000)))*'Data Base hauling'!$N$2:$N$2000)</f>
        <v>0</v>
      </c>
      <c r="HV21" s="27"/>
      <c r="HW21" s="27">
        <f t="array" ref="HW21">SUMPRODUCT(('Data Base hauling'!$C$2:$C$2000="TCM-ROM SB1 BK05-ROM 5")*(ISNUMBER(SEARCH(TEXT('September TCM'!$B21,"00")&amp;"/03/2026",'Data Base hauling'!$E$2:$E$2000)))*'Data Base hauling'!$N$2:$N$2000)</f>
        <v>0</v>
      </c>
      <c r="HX21" s="27"/>
      <c r="HY21" s="27"/>
      <c r="HZ21" s="27"/>
      <c r="IA21" s="27"/>
      <c r="IB21" s="27"/>
      <c r="IC21" s="33">
        <f t="shared" si="48"/>
        <v>0</v>
      </c>
      <c r="ID21" s="52"/>
      <c r="IE21" s="152"/>
      <c r="IF21" s="53"/>
      <c r="IG21" s="53"/>
      <c r="IH21" s="53"/>
      <c r="II21" s="53"/>
      <c r="IJ21" s="1926">
        <f>SUMPRODUCT(('Data Base hauling'!$C$2:$C$2000="TCM-ROM SB1 BK05-ROM 4")*(ISNUMBER(SEARCH(TEXT('September TCM'!$B21,"00")&amp;"/09/2026",'Data Base hauling'!$E$2:$E$2000)))*'Data Base hauling'!$N$2:$N$2000)</f>
        <v>0</v>
      </c>
      <c r="IK21" s="1926"/>
      <c r="IL21" s="1926">
        <f>SUMPRODUCT(('Data Base hauling'!$C$2:$C$2000="TCM-ROM SB1 BK05-ROM 5")*(ISNUMBER(SEARCH(TEXT('September TCM'!$B21,"00")&amp;"/09/2026",'Data Base hauling'!$E$2:$E$2000)))*'Data Base hauling'!$N$2:$N$2000)</f>
        <v>0</v>
      </c>
      <c r="IM21" s="49"/>
      <c r="IN21" s="49">
        <f>SUMPRODUCT(('Data Base hauling'!$C$2:$C$2000="TCM-ROM SB1 BK05-ROM 6")*(ISNUMBER(SEARCH(TEXT('September TCM'!$B21,"00")&amp;"/09/2026",'Data Base hauling'!$E$2:$E$2000)))*'Data Base hauling'!$N$2:$N$2000)</f>
        <v>0</v>
      </c>
      <c r="IO21" s="49"/>
      <c r="IP21" s="49"/>
      <c r="IQ21" s="49">
        <f>SUMPRODUCT(('Data Base hauling'!$C$2:$C$2000="TCM-HAC1 (Production)-ROM 2(HAC)")*(ISNUMBER(SEARCH(TEXT('September TCM'!$B21,"00")&amp;"/09/2026",'Data Base hauling'!$E$2:$E$2000)))*'Data Base hauling'!$N$2:$N$2000)</f>
        <v>0</v>
      </c>
      <c r="IR21" s="2195">
        <f t="shared" si="132"/>
        <v>0</v>
      </c>
      <c r="IS21" s="36"/>
      <c r="IT21" s="36"/>
      <c r="IU21" s="27"/>
      <c r="IV21" s="27"/>
      <c r="IW21" s="53"/>
      <c r="IX21" s="27"/>
      <c r="IY21" s="24">
        <f>SUMPRODUCT(('Data Base hauling'!$C$2:$C$2000="TCM-ROM SB2 BK24-ROM 4")*(ISNUMBER(SEARCH(TEXT('September TCM'!$B21,"00")&amp;"/09/2026",'Data Base hauling'!$E$2:$E$2000)))*'Data Base hauling'!$N$2:$N$2000)</f>
        <v>0</v>
      </c>
      <c r="IZ21" s="24"/>
      <c r="JA21" s="24">
        <f>SUMPRODUCT(('Data Base hauling'!$C$2:$C$2000="TCM-ROM SB2 BK24-ROM 5")*(ISNUMBER(SEARCH(TEXT('September TCM'!$B21,"00")&amp;"/09/2026",'Data Base hauling'!$E$2:$E$2000)))*'Data Base hauling'!$N$2:$N$2000)</f>
        <v>0</v>
      </c>
      <c r="JB21" s="24"/>
      <c r="JC21" s="24">
        <f>SUMPRODUCT(('Data Base hauling'!$C$2:$C$2000="TCM-ROM SB2 BK24-ROM 6")*(ISNUMBER(SEARCH(TEXT('September TCM'!$B21,"00")&amp;"/09/2026",'Data Base hauling'!$E$2:$E$2000)))*'Data Base hauling'!$N$2:$N$2000)</f>
        <v>0</v>
      </c>
      <c r="JD21" s="27"/>
      <c r="JE21" s="27"/>
      <c r="JF21" s="27"/>
      <c r="JG21" s="33">
        <f t="shared" si="133"/>
        <v>0</v>
      </c>
      <c r="JH21" s="2667"/>
      <c r="JJ21" s="2014">
        <f>SUMPRODUCT(('Data Base hauling'!$O$2:$O$2000="TCM.HCV.LS")*(ISNUMBER(SEARCH(TEXT('September TCM'!$B21,"00")&amp;"/09/2026",'Data Base hauling'!$E$2:$E$2000)))*'Data Base hauling'!$N$2:$N$2000)</f>
        <v>0</v>
      </c>
      <c r="JK21" s="2015">
        <f>SUMPRODUCT(('Data Base hauling'!$O$2:$O$2000="TCM.HCV.HS")*(ISNUMBER(SEARCH(TEXT('September TCM'!$B21,"00")&amp;"/09/2026",'Data Base hauling'!$E$2:$E$2000)))*'Data Base hauling'!$N$2:$N$2000)</f>
        <v>0</v>
      </c>
      <c r="JL21" s="53"/>
      <c r="JM21" s="1736">
        <f t="shared" si="51"/>
        <v>0</v>
      </c>
      <c r="JN21" s="33"/>
      <c r="JO21" s="2669"/>
      <c r="JP21" s="66" t="str">
        <f>IFERROR(SUMPRODUCT(('Data Base hauling'!$O$2:$O$2000="TCM.HCV.LS")*('Data Base hauling'!$C$2:$C$2000="TCM-ROM NB-ROM 1")*(ISNUMBER(SEARCH(TEXT('September TCM'!$B21,"00")&amp;"/09/2026",'Data Base hauling'!$E$2:$E$2000)))*'Data Base hauling'!$N$2:$N$2000)/'September TCM'!$JJ21,"")</f>
        <v/>
      </c>
      <c r="JQ21" s="67" t="str">
        <f>IFERROR(SUMPRODUCT(('Data Base hauling'!$O$2:$O$2000="TCM.HCV.LS")*('Data Base hauling'!$C$2:$C$2000="TCM-ROM NB-ROM 2")*(ISNUMBER(SEARCH(TEXT('September TCM'!$B21,"00")&amp;"/09/2026",'Data Base hauling'!$E$2:$E$2000)))*'Data Base hauling'!$N$2:$N$2000)/'September TCM'!$JJ21,"")</f>
        <v/>
      </c>
      <c r="JR21" s="67" t="str">
        <f>IFERROR(SUMPRODUCT(('Data Base hauling'!$O$2:$O$2000="TCM.HCV.LS")*('Data Base hauling'!$C$2:$C$2000="TCM-ROM NB-ROM 3")*(ISNUMBER(SEARCH(TEXT('September TCM'!$B21,"00")&amp;"/09/2026",'Data Base hauling'!$E$2:$E$2000)))*'Data Base hauling'!$N$2:$N$2000)/'September TCM'!$JJ21,"")</f>
        <v/>
      </c>
      <c r="JS21" s="67" t="str">
        <f>IFERROR(SUMPRODUCT(('Data Base hauling'!$O$2:$O$2000="TCM.HCV.LS")*('Data Base hauling'!$C$2:$C$2000="TCM-ROM SB1 BK05-ROM 4")*(ISNUMBER(SEARCH(TEXT('September TCM'!$B21,"00")&amp;"/09/2026",'Data Base hauling'!$E$2:$E$2000)))*'Data Base hauling'!$N$2:$N$2000)/'September TCM'!$JJ21,"")</f>
        <v/>
      </c>
      <c r="JT21" s="67" t="str">
        <f>IFERROR(SUMPRODUCT(('Data Base hauling'!$O$2:$O$2000="TCM.HCV.LS")*SIGN(('Data Base hauling'!$C$2:$C$2000="TCM-ROM NB-ROM 5")+('Data Base hauling'!$C$2:$C$2000="TCM-ROM SB1 BK05-ROM 5")+('Data Base hauling'!$C$2:$C$2000="TCM-ROM SB2 BK24-ROM 5"))*(ISNUMBER(SEARCH(TEXT('September TCM'!$B21,"00")&amp;"/09/2026",'Data Base hauling'!$E$2:$E$2000)))*'Data Base hauling'!$N$2:$N$2000)/'September TCM'!$JJ21,"")</f>
        <v/>
      </c>
      <c r="JU21" s="67" t="str">
        <f>IFERROR(SUMPRODUCT(('Data Base hauling'!$O$2:$O$2000="TCM.HCV.LS")*SIGN(('Data Base hauling'!$C$2:$C$2000="TCM-ROM NB-ROM 6")+('Data Base hauling'!$C$2:$C$2000="TCM-ROM SB1 BK05-ROM 6")+('Data Base hauling'!$C$2:$C$2000="TCM-ROM SB2 BK24-ROM 6"))*(ISNUMBER(SEARCH(TEXT('September TCM'!$B21,"00")&amp;"/09/2026",'Data Base hauling'!$E$2:$E$2000)))*'Data Base hauling'!$N$2:$N$2000)/'September TCM'!$JJ21,"")</f>
        <v/>
      </c>
      <c r="JV21" s="67" t="str">
        <f>IFERROR(SUMPRODUCT(('Data Base hauling'!$O$2:$O$2000="TCM.HCV.LS")*('Data Base hauling'!$C$2:$C$2000="TCM-WASH-CR3")*(ISNUMBER(SEARCH(TEXT('September TCM'!$B21,"00")&amp;"/09/2026",'Data Base hauling'!$E$2:$E$2000)))*'Data Base hauling'!$N$2:$N$2000)/'September TCM'!$JJ21,"")</f>
        <v/>
      </c>
      <c r="JW21" s="1921">
        <f>SUMPRODUCT(('Data Base hauling'!$O$2:$O$2000="TCM.HCV.LS")*('Data Base hauling'!$C$2:$C$2000="TCM-HAC-CR3")*(ISNUMBER(SEARCH(TEXT('September TCM'!$B21,"00")&amp;"/089/2026",'Data Base hauling'!$E$2:$E$2000)))*'Data Base hauling'!$N$2:$N$2000)</f>
        <v>0</v>
      </c>
      <c r="JX21" s="66" t="str">
        <f>IFERROR(SUMPRODUCT(('Data Base hauling'!$O$2:$O$2000="TCM.HCV.HS")*('Data Base hauling'!$C$2:$C$2000="TCM-ROM NB-ROM 1")*(ISNUMBER(SEARCH(TEXT('September TCM'!$B21,"00")&amp;"/09/2026",'Data Base hauling'!$E$2:$E$2000)))*'Data Base hauling'!$N$2:$N$2000)/'September TCM'!$JK21,"")</f>
        <v/>
      </c>
      <c r="JY21" s="67" t="str">
        <f>IFERROR(SUMPRODUCT(('Data Base hauling'!$O$2:$O$2000="TCM.HCV.HS")*('Data Base hauling'!$C$2:$C$2000="TCM-ROM NB-ROM 2")*(ISNUMBER(SEARCH(TEXT('September TCM'!$B21,"00")&amp;"/09/2026",'Data Base hauling'!$E$2:$E$2000)))*'Data Base hauling'!$N$2:$N$2000)/'September TCM'!$JK21,"")</f>
        <v/>
      </c>
      <c r="JZ21" s="67" t="str">
        <f>IFERROR(SUMPRODUCT(('Data Base hauling'!$O$2:$O$2000="TCM.HCV.HS")*('Data Base hauling'!$C$2:$C$2000="TCM-ROM NB-ROM 3")*(ISNUMBER(SEARCH(TEXT('September TCM'!$B21,"00")&amp;"/09/2026",'Data Base hauling'!$E$2:$E$2000)))*'Data Base hauling'!$N$2:$N$2000)/'September TCM'!$JK21,"")</f>
        <v/>
      </c>
      <c r="KA21" s="67" t="str">
        <f>IFERROR(SUMPRODUCT(('Data Base hauling'!$O$2:$O$2000="TCM.HCV.HS")*('Data Base hauling'!$C$2:$C$2000="TCM-ROM SB1 BK05-ROM 4")*(ISNUMBER(SEARCH(TEXT('September TCM'!$B21,"00")&amp;"/09/2026",'Data Base hauling'!$E$2:$E$2000)))*'Data Base hauling'!$N$2:$N$2000)/'September TCM'!$JK21,"")</f>
        <v/>
      </c>
      <c r="KB21" s="67" t="str">
        <f>IFERROR(SUMPRODUCT(('Data Base hauling'!$O$2:$O$2000="TCM.HCV.HS")*SIGN(('Data Base hauling'!$C$2:$C$2000="TCM-ROM NB-ROM 5")+('Data Base hauling'!$C$2:$C$2000="TCM-ROM SB1 BK05-ROM 5")+('Data Base hauling'!$C$2:$C$2000="TCM-ROM SB2 BK24-ROM 5"))*(ISNUMBER(SEARCH(TEXT('September TCM'!$B21,"00")&amp;"/09/2026",'Data Base hauling'!$E$2:$E$2000)))*'Data Base hauling'!$N$2:$N$2000)/'September TCM'!$JK21,"")</f>
        <v/>
      </c>
      <c r="KC21" s="67" t="str">
        <f>IFERROR(SUMPRODUCT(('Data Base hauling'!$O$2:$O$2000="TCM.HCV.HS")*SIGN(('Data Base hauling'!$C$2:$C$2000="TCM-ROM NB-ROM 6")+('Data Base hauling'!$C$2:$C$2000="TCM-ROM SB1 BK05-ROM 6")+('Data Base hauling'!$C$2:$C$2000="TCM-ROM SB2 BK24-ROM 6"))*(ISNUMBER(SEARCH(TEXT('September TCM'!$B21,"00")&amp;"/09/2026",'Data Base hauling'!$E$2:$E$2000)))*'Data Base hauling'!$N$2:$N$2000)/'September TCM'!$JK21,"")</f>
        <v/>
      </c>
      <c r="KD21" s="67" t="str">
        <f>IFERROR(SUMPRODUCT(('Data Base hauling'!$O$2:$O$2000="TCM.HCV.HS")*('Data Base hauling'!$C$2:$C$2000="TCM-WASH-CR3")*(ISNUMBER(SEARCH(TEXT('September TCM'!$B21,"00")&amp;"/09/2026",'Data Base hauling'!$E$2:$E$2000)))*'Data Base hauling'!$N$2:$N$2000)/'September TCM'!$JK21,"")</f>
        <v/>
      </c>
      <c r="KE21" s="68" t="str">
        <f>IFERROR(SUMPRODUCT(('Data Base hauling'!$O$2:$O$2000="TCM.HCV.HS")*('Data Base hauling'!$C$2:$C$2000="TCM-HAC-CR3")*(ISNUMBER(SEARCH(TEXT('September TCM'!$B21,"00")&amp;"/09/2026",'Data Base hauling'!$E$2:$E$2000)))*'Data Base hauling'!$N$2:$N$2000)/'September TCM'!$JK21,"")</f>
        <v/>
      </c>
      <c r="KF21" s="69"/>
      <c r="KG21" s="70"/>
      <c r="KH21" s="70"/>
      <c r="KI21" s="70"/>
      <c r="KJ21" s="70"/>
      <c r="KK21" s="70"/>
      <c r="KL21" s="70"/>
      <c r="KM21" s="70"/>
      <c r="KN21" s="33"/>
      <c r="KO21" s="2669"/>
      <c r="KP21" s="2203">
        <f>IFERROR(SUMPRODUCT((TCM.HCV.LS!$A$3:$A$58=DATE(2026,9,$B21))*(TCM.HCV.LS!$O$3:$O$58&gt;0)*TCM.HCV.LS!$C$3:$C$58*TCM.HCV.LS!$O$3:$O$58)/SUMPRODUCT((TCM.HCV.LS!$A$3:$A$58=DATE(2026,9,$B21))*(TCM.HCV.LS!$O$3:$O$58&gt;0)*TCM.HCV.LS!$C$3:$C$58),0)</f>
        <v>0</v>
      </c>
      <c r="KQ21" s="1721">
        <f>IFERROR(SUMPRODUCT((TCM.HCV.LS!$A$3:$A$58=DATE(2026,9,$B21))*(TCM.HCV.LS!$M$3:$M$58&gt;0)*TCM.HCV.LS!$C$3:$C$58*TCM.HCV.LS!$M$3:$M$58)/SUMPRODUCT((TCM.HCV.LS!$A$3:$A$58=DATE(2026,9,$B21))*(TCM.HCV.LS!$M$3:$M$58&gt;0)*TCM.HCV.LS!$C$3:$C$58),0)</f>
        <v>0</v>
      </c>
      <c r="KR21" s="1721">
        <f>IFERROR(SUMPRODUCT((TCM.HCV.LS!$A$3:$A$58=DATE(2026,9,$B21))*(TCM.HCV.LS!$G$3:$G$58&gt;0)*TCM.HCV.LS!$C$3:$C$58*TCM.HCV.LS!$G$3:$G$58)/SUMPRODUCT((TCM.HCV.LS!$A$3:$A$58=DATE(2026,9,$B21))*(TCM.HCV.LS!$G$3:$G$58&gt;0)*TCM.HCV.LS!$C$3:$C$58),0)</f>
        <v>0</v>
      </c>
      <c r="KS21" s="1721">
        <f>IFERROR(SUMPRODUCT((TCM.HCV.LS!$A$3:$A$58=DATE(2026,9,$B21))*(TCM.HCV.LS!$F$3:$F$58&gt;0)*TCM.HCV.LS!$C$3:$C$58*TCM.HCV.LS!$F$3:$F$58)/SUMPRODUCT((TCM.HCV.LS!$A$3:$A$58=DATE(2026,9,$B21))*(TCM.HCV.LS!$F$3:$F$58&gt;0)*TCM.HCV.LS!$C$3:$C$58),0)</f>
        <v>0</v>
      </c>
      <c r="KT21" s="1722">
        <f>IFERROR(SUMPRODUCT((TCM.HCV.LS!$A$3:$A$58=DATE(2026,9,$B21))*(TCM.HCV.LS!$E$3:$E$58&gt;0)*TCM.HCV.LS!$C$3:$C$58*TCM.HCV.LS!$E$3:$E$58)/SUMPRODUCT((TCM.HCV.LS!$A$3:$A$58=DATE(2026,9,$B21))*(TCM.HCV.LS!$E$3:$E$58&gt;0)*TCM.HCV.LS!$C$3:$C$58),0)</f>
        <v>0</v>
      </c>
      <c r="KU21" s="1958">
        <f>IFERROR(SUMPRODUCT((TCM.HCV.HS!$A$3:$A$84=DATE(2026,9,$B21))*(TCM.HCV.HS!$O$3:$O$84&gt;0)*TCM.HCV.HS!$C$3:$C$84*TCM.HCV.HS!$O$3:$O$84)/SUMPRODUCT((TCM.HCV.HS!$A$3:$A$84=DATE(2026,9,$B21))*(TCM.HCV.HS!$O$3:$O$84&gt;0)*TCM.HCV.HS!$C$3:$C$84),0)</f>
        <v>0</v>
      </c>
      <c r="KV21" s="1961">
        <f>IFERROR(SUMPRODUCT((TCM.HCV.HS!$A$3:$A$84=DATE(2026,9,$B21))*(TCM.HCV.HS!$M$3:$M$84&gt;0)*TCM.HCV.HS!$C$3:$C$84*TCM.HCV.HS!$M$3:$M$84)/SUMPRODUCT((TCM.HCV.HS!$A$3:$A$84=DATE(2026,9,$B21))*(TCM.HCV.HS!$M$3:$M$84&gt;0)*TCM.HCV.HS!$C$3:$C$84),0)</f>
        <v>0</v>
      </c>
      <c r="KW21" s="1961">
        <f>IFERROR(SUMPRODUCT((TCM.HCV.HS!$A$3:$A$84=DATE(2026,9,$B21))*(TCM.HCV.HS!$G$3:$G$84&gt;0)*TCM.HCV.HS!$C$3:$C$84*TCM.HCV.HS!$G$3:$G$84)/SUMPRODUCT((TCM.HCV.HS!$A$3:$A$84=DATE(2026,9,$B21))*(TCM.HCV.HS!$G$3:$G$84&gt;0)*TCM.HCV.HS!$C$3:$C$84),0)</f>
        <v>0</v>
      </c>
      <c r="KX21" s="1961">
        <f>IFERROR(SUMPRODUCT((TCM.HCV.HS!$A$3:$A$84=DATE(2026,9,$B21))*(TCM.HCV.HS!$F$3:$F$84&gt;0)*TCM.HCV.HS!$C$3:$C$84*TCM.HCV.HS!$F$3:$F$84)/SUMPRODUCT((TCM.HCV.HS!$A$3:$A$84=DATE(2026,9,$B21))*(TCM.HCV.HS!$F$3:$F$84&gt;0)*TCM.HCV.HS!$C$3:$C$84),0)</f>
        <v>0</v>
      </c>
      <c r="KY21" s="1962">
        <f>IFERROR(SUMPRODUCT((TCM.HCV.HS!$A$3:$A$84=DATE(2026,9,$B21))*(TCM.HCV.HS!$E$3:$E$84&gt;0)*TCM.HCV.HS!$C$3:$C$84*TCM.HCV.HS!$E$3:$E$84)/SUMPRODUCT((TCM.HCV.HS!$A$3:$A$84=DATE(2026,9,$B21))*(TCM.HCV.HS!$E$3:$E$84&gt;0)*TCM.HCV.HS!$C$3:$C$84),0)</f>
        <v>0</v>
      </c>
      <c r="KZ21" s="36"/>
      <c r="LA21" s="53"/>
      <c r="LB21" s="53"/>
      <c r="LC21" s="53"/>
      <c r="LD21" s="53"/>
      <c r="LE21" s="33"/>
      <c r="LF21" s="2669"/>
      <c r="LH21" s="26">
        <f t="shared" si="52"/>
        <v>0</v>
      </c>
      <c r="LI21" s="27">
        <f t="shared" si="52"/>
        <v>0</v>
      </c>
      <c r="LJ21" s="27">
        <f t="shared" si="52"/>
        <v>0</v>
      </c>
      <c r="LK21" s="28">
        <f t="shared" si="53"/>
        <v>0</v>
      </c>
      <c r="LL21" s="36"/>
      <c r="LM21" s="27"/>
      <c r="LN21" s="27"/>
      <c r="LO21" s="33"/>
      <c r="LP21" s="1957"/>
      <c r="LQ21" s="486"/>
      <c r="LR21" s="2688"/>
      <c r="LS21" s="36"/>
      <c r="LT21" s="36"/>
      <c r="LU21" s="27"/>
      <c r="LV21" s="27"/>
      <c r="LW21" s="27"/>
      <c r="LX21" s="1117">
        <f t="shared" si="129"/>
        <v>0</v>
      </c>
      <c r="LY21" s="36"/>
      <c r="LZ21" s="36"/>
      <c r="MA21" s="27"/>
      <c r="MB21" s="27"/>
      <c r="MC21" s="33"/>
      <c r="MD21" s="28">
        <f t="shared" si="55"/>
        <v>0</v>
      </c>
      <c r="ME21" s="26"/>
      <c r="MF21" s="36"/>
      <c r="MG21" s="27"/>
      <c r="MH21" s="27"/>
      <c r="MI21" s="27"/>
      <c r="MJ21" s="28"/>
      <c r="MK21" s="36"/>
      <c r="ML21" s="36"/>
      <c r="MM21" s="27"/>
      <c r="MN21" s="27"/>
      <c r="MO21" s="27"/>
      <c r="MP21" s="28"/>
      <c r="MQ21" s="36"/>
      <c r="MR21" s="36"/>
      <c r="MS21" s="27"/>
      <c r="MT21" s="27"/>
      <c r="MU21" s="27"/>
      <c r="MV21" s="33">
        <f t="shared" si="56"/>
        <v>0</v>
      </c>
      <c r="MW21" s="2688"/>
      <c r="MY21" s="26">
        <f t="shared" si="57"/>
        <v>377341.84766611259</v>
      </c>
      <c r="MZ21" s="27">
        <f t="shared" si="58"/>
        <v>191281.80302645115</v>
      </c>
      <c r="NA21" s="27">
        <f t="shared" si="59"/>
        <v>27294.683787707359</v>
      </c>
      <c r="NB21" s="28">
        <f t="shared" si="60"/>
        <v>318297.33035698003</v>
      </c>
      <c r="NC21" s="2621"/>
      <c r="ND21" s="23">
        <f t="shared" si="116"/>
        <v>207724.34280113198</v>
      </c>
      <c r="NE21" s="1655">
        <f t="shared" si="117"/>
        <v>169617.50486498058</v>
      </c>
      <c r="NF21" s="60">
        <f t="shared" si="63"/>
        <v>0</v>
      </c>
      <c r="NG21" s="275">
        <f t="shared" si="4"/>
        <v>377341.84766611259</v>
      </c>
      <c r="NH21" s="26">
        <f t="shared" si="64"/>
        <v>-313.35000000000002</v>
      </c>
      <c r="NI21" s="27">
        <f t="shared" si="64"/>
        <v>0</v>
      </c>
      <c r="NJ21" s="27">
        <f t="shared" si="64"/>
        <v>0</v>
      </c>
      <c r="NK21" s="27">
        <f t="shared" si="64"/>
        <v>0</v>
      </c>
      <c r="NL21" s="27">
        <f t="shared" si="64"/>
        <v>0</v>
      </c>
      <c r="NM21" s="33">
        <f t="shared" si="64"/>
        <v>0</v>
      </c>
      <c r="NN21" s="27">
        <f t="shared" si="64"/>
        <v>0</v>
      </c>
      <c r="NO21" s="36">
        <f t="shared" si="64"/>
        <v>0</v>
      </c>
      <c r="NP21" s="24">
        <f t="shared" si="64"/>
        <v>21665.870136227244</v>
      </c>
      <c r="NQ21" s="27">
        <f t="shared" si="64"/>
        <v>22358.939343794715</v>
      </c>
      <c r="NR21" s="24">
        <f t="shared" si="118"/>
        <v>8443.1982322711574</v>
      </c>
      <c r="NS21" s="24">
        <f t="shared" si="119"/>
        <v>9895.3380410535083</v>
      </c>
      <c r="NT21" s="27">
        <f t="shared" si="0"/>
        <v>62049.995753346629</v>
      </c>
      <c r="NU21" s="27">
        <f t="shared" si="65"/>
        <v>0</v>
      </c>
      <c r="NV21" s="27">
        <f t="shared" si="65"/>
        <v>0</v>
      </c>
      <c r="NW21" s="27">
        <f t="shared" si="65"/>
        <v>0</v>
      </c>
      <c r="NX21" s="27">
        <f t="shared" si="65"/>
        <v>0</v>
      </c>
      <c r="NY21" s="27">
        <f t="shared" si="65"/>
        <v>0</v>
      </c>
      <c r="NZ21" s="27">
        <f t="shared" si="65"/>
        <v>0</v>
      </c>
      <c r="OA21" s="27">
        <f t="shared" si="65"/>
        <v>35558.705564997217</v>
      </c>
      <c r="OB21" s="27">
        <f t="shared" si="65"/>
        <v>0</v>
      </c>
      <c r="OC21" s="27">
        <f t="shared" si="66"/>
        <v>12611.886475620366</v>
      </c>
      <c r="OD21" s="280"/>
      <c r="OE21" s="27">
        <f t="shared" si="120"/>
        <v>13429.316718063665</v>
      </c>
      <c r="OF21" s="27">
        <f t="shared" si="67"/>
        <v>0</v>
      </c>
      <c r="OG21" s="28">
        <f t="shared" si="1"/>
        <v>61599.908758681253</v>
      </c>
      <c r="OH21" s="27">
        <f t="shared" si="68"/>
        <v>0</v>
      </c>
      <c r="OI21" s="27">
        <f t="shared" si="68"/>
        <v>0</v>
      </c>
      <c r="OJ21" s="27">
        <f>+OJ20+DV21+FY21-IU21</f>
        <v>0</v>
      </c>
      <c r="OK21" s="27">
        <f t="shared" si="68"/>
        <v>0</v>
      </c>
      <c r="OL21" s="27">
        <f t="shared" si="68"/>
        <v>0</v>
      </c>
      <c r="OM21" s="27">
        <f t="shared" si="68"/>
        <v>0</v>
      </c>
      <c r="ON21" s="24">
        <f t="shared" si="68"/>
        <v>0</v>
      </c>
      <c r="OO21" s="27">
        <f t="shared" si="68"/>
        <v>0</v>
      </c>
      <c r="OP21" s="24">
        <f t="shared" si="69"/>
        <v>54054.217649249818</v>
      </c>
      <c r="OQ21" s="27">
        <f t="shared" si="70"/>
        <v>0</v>
      </c>
      <c r="OR21" s="24">
        <f t="shared" si="70"/>
        <v>13577.680865173457</v>
      </c>
      <c r="OS21" s="27">
        <f t="shared" si="70"/>
        <v>0</v>
      </c>
      <c r="OT21" s="28">
        <f t="shared" si="2"/>
        <v>67631.898514423272</v>
      </c>
      <c r="OU21" s="36"/>
      <c r="OV21" s="27"/>
      <c r="OW21" s="27"/>
      <c r="OX21" s="27"/>
      <c r="OY21" s="27"/>
      <c r="OZ21" s="27"/>
      <c r="PA21" s="28">
        <f t="shared" si="71"/>
        <v>0</v>
      </c>
      <c r="PB21" s="36">
        <f t="shared" si="72"/>
        <v>0</v>
      </c>
      <c r="PC21" s="27">
        <f t="shared" si="73"/>
        <v>0</v>
      </c>
      <c r="PD21" s="27">
        <f t="shared" si="74"/>
        <v>0</v>
      </c>
      <c r="PE21" s="27">
        <f t="shared" si="75"/>
        <v>0</v>
      </c>
      <c r="PF21" s="24"/>
      <c r="PG21" s="27">
        <f t="shared" si="76"/>
        <v>0</v>
      </c>
      <c r="PH21" s="33">
        <f t="shared" si="3"/>
        <v>0</v>
      </c>
      <c r="PI21" s="2621"/>
      <c r="PK21" s="1907">
        <f>SUMPRODUCT(('Data Base Coal Wining'!$D$2:$D$2000="WASHING PLANT")*ISNUMBER(SEARCH(TEXT('September TCM'!$B21,"00")&amp;"/09/2026",'Data Base Coal Wining'!$E$2:$E$2000))*'Data Base Coal Wining'!$N$2:$N$2000)</f>
        <v>0</v>
      </c>
      <c r="PL21" s="1101"/>
      <c r="PM21" s="1101"/>
      <c r="PN21" s="3">
        <f t="shared" si="77"/>
        <v>0</v>
      </c>
      <c r="PO21" s="3">
        <f t="shared" si="78"/>
        <v>38895.633435124721</v>
      </c>
      <c r="PP21" s="11">
        <f t="shared" si="79"/>
        <v>27294.683787707359</v>
      </c>
      <c r="PQ21" s="15"/>
      <c r="PR21" s="2615"/>
      <c r="PT21" s="4"/>
      <c r="PU21" s="9"/>
      <c r="PV21" s="9"/>
      <c r="PW21" s="9"/>
      <c r="PX21" s="8">
        <f>SUMPRODUCT(('Data Base Coal Wining'!$D$2:$D$2000="TCM-ROM SB1 BK05-ROM 2 (HAC)")*('Data Base Coal Wining'!$G$2:$G$2000="Coal Winning")*ISNUMBER(SEARCH(TEXT('September TCM'!$B21,"00")&amp;"/09/2026",'Data Base Coal Wining'!$E$2:$E$2000))*'Data Base Coal Wining'!$N$2:$N$2000)</f>
        <v>0</v>
      </c>
      <c r="PY21" s="9"/>
      <c r="PZ21" s="8">
        <f t="shared" si="80"/>
        <v>0</v>
      </c>
      <c r="QA21" s="5">
        <f t="shared" si="81"/>
        <v>0</v>
      </c>
      <c r="QB21" s="5"/>
      <c r="QC21" s="5"/>
      <c r="QD21" s="5"/>
      <c r="QE21" s="5"/>
      <c r="QF21" s="5"/>
      <c r="QG21" s="12"/>
      <c r="QH21" s="12">
        <f t="shared" si="82"/>
        <v>29562.488999999998</v>
      </c>
      <c r="QI21" s="420">
        <f t="shared" si="83"/>
        <v>283762.59090898006</v>
      </c>
      <c r="QJ21" s="1106">
        <f t="shared" si="121"/>
        <v>4972.2504480000007</v>
      </c>
      <c r="QK21" s="484">
        <f t="shared" si="84"/>
        <v>5505.3678056099998</v>
      </c>
      <c r="QL21" s="12"/>
      <c r="QM21" s="2615"/>
      <c r="QO21" s="139" t="str">
        <f t="shared" si="85"/>
        <v/>
      </c>
      <c r="QP21" s="139" t="str">
        <f t="shared" si="86"/>
        <v/>
      </c>
      <c r="QR21" s="139" t="str">
        <f t="shared" si="87"/>
        <v/>
      </c>
      <c r="QS21" s="139" t="str">
        <f t="shared" si="88"/>
        <v/>
      </c>
      <c r="QU21" s="1">
        <f t="shared" si="89"/>
        <v>0</v>
      </c>
      <c r="QV21" s="1">
        <f t="shared" si="90"/>
        <v>0</v>
      </c>
      <c r="QW21" s="1">
        <f t="shared" si="91"/>
        <v>0</v>
      </c>
      <c r="QX21" s="1">
        <f t="shared" si="92"/>
        <v>0</v>
      </c>
      <c r="QY21" s="1">
        <f t="shared" si="93"/>
        <v>0</v>
      </c>
      <c r="QZ21" s="1">
        <f t="shared" si="94"/>
        <v>0</v>
      </c>
      <c r="RB21" s="1">
        <f t="shared" si="95"/>
        <v>0</v>
      </c>
      <c r="RC21" s="1">
        <f t="shared" si="96"/>
        <v>0</v>
      </c>
      <c r="RD21" s="1">
        <f t="shared" si="97"/>
        <v>0</v>
      </c>
      <c r="RE21" s="1">
        <f t="shared" si="98"/>
        <v>0</v>
      </c>
      <c r="RF21" s="1">
        <f t="shared" si="99"/>
        <v>0</v>
      </c>
      <c r="RG21" s="1">
        <f t="shared" si="100"/>
        <v>0</v>
      </c>
      <c r="RJ21" s="1">
        <v>12</v>
      </c>
      <c r="RK21" s="1">
        <f t="shared" si="135"/>
        <v>5984.4452097170979</v>
      </c>
      <c r="RL21" s="1">
        <f t="shared" si="135"/>
        <v>5074.1017804837184</v>
      </c>
      <c r="RM21" s="1">
        <f t="shared" si="135"/>
        <v>13404.263703387322</v>
      </c>
      <c r="RN21" s="89">
        <f t="shared" si="5"/>
        <v>24462.810693588137</v>
      </c>
      <c r="RO21" s="1033">
        <v>12</v>
      </c>
      <c r="RP21" s="1098">
        <v>0</v>
      </c>
      <c r="RQ21" s="1098">
        <f t="shared" si="102"/>
        <v>0</v>
      </c>
      <c r="RR21" s="1097">
        <f t="shared" si="102"/>
        <v>0</v>
      </c>
      <c r="RS21" s="1097">
        <f t="shared" si="103"/>
        <v>0</v>
      </c>
      <c r="RT21" s="1109"/>
      <c r="RU21" s="1928"/>
      <c r="RV21" s="1048"/>
      <c r="RX21" s="421">
        <v>12</v>
      </c>
      <c r="RY21" s="1095">
        <f t="shared" si="104"/>
        <v>0</v>
      </c>
      <c r="RZ21" s="1928"/>
      <c r="SB21" s="1090"/>
      <c r="SC21" s="1090">
        <f t="shared" si="105"/>
        <v>0</v>
      </c>
      <c r="SD21" s="1090"/>
      <c r="SE21" s="1090">
        <f t="shared" si="136"/>
        <v>0</v>
      </c>
      <c r="SG21" s="1">
        <v>12</v>
      </c>
      <c r="SH21" s="1">
        <f t="shared" si="107"/>
        <v>0</v>
      </c>
      <c r="SI21" s="1094"/>
    </row>
    <row r="22" spans="1:503" s="1" customFormat="1">
      <c r="B22" s="471">
        <v>13</v>
      </c>
      <c r="C22" s="4">
        <f t="shared" si="108"/>
        <v>0</v>
      </c>
      <c r="D22" s="1590">
        <f t="shared" si="128"/>
        <v>0</v>
      </c>
      <c r="E22" s="1895">
        <f t="shared" si="6"/>
        <v>0</v>
      </c>
      <c r="F22" s="870"/>
      <c r="G22" s="870"/>
      <c r="H22" s="52"/>
      <c r="I22" s="61"/>
      <c r="J22" s="52"/>
      <c r="K22" s="54"/>
      <c r="L22" s="52"/>
      <c r="M22" s="61"/>
      <c r="N22" s="2629"/>
      <c r="O22" s="4">
        <f t="shared" si="125"/>
        <v>0</v>
      </c>
      <c r="P22" s="1225">
        <f t="shared" si="7"/>
        <v>0</v>
      </c>
      <c r="Q22" s="1913">
        <f t="shared" si="8"/>
        <v>0</v>
      </c>
      <c r="R22" s="33"/>
      <c r="S22" s="26">
        <f t="shared" si="9"/>
        <v>0</v>
      </c>
      <c r="T22" s="27">
        <f t="shared" si="110"/>
        <v>0</v>
      </c>
      <c r="U22" s="1909">
        <f t="shared" si="10"/>
        <v>0</v>
      </c>
      <c r="V22" s="28"/>
      <c r="W22" s="26">
        <f t="shared" si="11"/>
        <v>0</v>
      </c>
      <c r="X22" s="5">
        <f t="shared" si="11"/>
        <v>0</v>
      </c>
      <c r="Y22" s="1909">
        <f t="shared" si="12"/>
        <v>0</v>
      </c>
      <c r="Z22" s="33"/>
      <c r="AA22" s="26">
        <f t="shared" si="13"/>
        <v>0</v>
      </c>
      <c r="AB22" s="27">
        <f t="shared" si="126"/>
        <v>0</v>
      </c>
      <c r="AC22" s="1909">
        <f t="shared" si="15"/>
        <v>0</v>
      </c>
      <c r="AD22" s="28"/>
      <c r="AE22" s="36"/>
      <c r="AF22" s="36"/>
      <c r="AG22" s="53">
        <f t="shared" si="16"/>
        <v>0</v>
      </c>
      <c r="AH22" s="28"/>
      <c r="AI22" s="23"/>
      <c r="AJ22" s="27"/>
      <c r="AK22" s="53">
        <f t="shared" si="17"/>
        <v>0</v>
      </c>
      <c r="AL22" s="28"/>
      <c r="AM22" s="2629"/>
      <c r="AN22" s="9"/>
      <c r="AO22" s="64"/>
      <c r="AP22" s="61">
        <f t="shared" si="18"/>
        <v>0</v>
      </c>
      <c r="AQ22" s="36"/>
      <c r="AR22" s="53"/>
      <c r="AS22" s="61">
        <f t="shared" si="19"/>
        <v>0</v>
      </c>
      <c r="AT22" s="36">
        <v>0</v>
      </c>
      <c r="AU22" s="27"/>
      <c r="AV22" s="54">
        <f t="shared" si="20"/>
        <v>0</v>
      </c>
      <c r="AW22" s="26"/>
      <c r="AX22" s="280">
        <f>SUMPRODUCT(ISNUMBER(SEARCH("BK20",'Data Base Coal Wining'!$C$2:$C$2000))*ISNUMBER(SEARCH("P3000",'Data Base Coal Wining'!$C$2:$C$2000))*('Data Base Coal Wining'!$H$2:$H$2000="PAMA")*('Data Base Coal Wining'!$G$2:$G$2000="Coal Winning")*ISNUMBER(SEARCH(TEXT('September TCM'!$B22,"00")&amp;"/09/2026",'Data Base Coal Wining'!$E$2:$E$2000))*'Data Base Coal Wining'!$N$2:$N$2000)</f>
        <v>0</v>
      </c>
      <c r="AY22" s="1895">
        <f t="shared" si="134"/>
        <v>0</v>
      </c>
      <c r="AZ22" s="1908"/>
      <c r="BA22" s="1909"/>
      <c r="BB22" s="1895">
        <f t="shared" si="21"/>
        <v>0</v>
      </c>
      <c r="BC22" s="1740"/>
      <c r="BD22" s="2154">
        <f>SUMPRODUCT(ISNUMBER(SEARCH("BK30",'Data Base Coal Wining'!$C$2:$C$2000))*ISNUMBER(SEARCH("P3000",'Data Base Coal Wining'!$C$2:$C$2000))*('Data Base Coal Wining'!$H$2:$H$2000="PAMA")*('Data Base Coal Wining'!$G$2:$G$2000="Coal Winning")*ISNUMBER(SEARCH(TEXT('September TCM'!$B22,"00")&amp;"/09/2026",'Data Base Coal Wining'!$E$2:$E$2000))*'Data Base Coal Wining'!$N$2:$N$2000)</f>
        <v>0</v>
      </c>
      <c r="BE22" s="1895">
        <f t="shared" si="22"/>
        <v>0</v>
      </c>
      <c r="BF22" s="1908"/>
      <c r="BG22" s="1909"/>
      <c r="BH22" s="1895">
        <f t="shared" si="23"/>
        <v>0</v>
      </c>
      <c r="BI22" s="1908">
        <v>0</v>
      </c>
      <c r="BJ22" s="1909">
        <v>0</v>
      </c>
      <c r="BK22" s="1895">
        <f t="shared" si="24"/>
        <v>0</v>
      </c>
      <c r="BL22" s="1742"/>
      <c r="BM22" s="2154">
        <f>SUMPRODUCT(ISNUMBER(SEARCH("BK26",'Data Base Coal Wining'!$C$2:$C$2000))*ISNUMBER(SEARCH("P4400",'Data Base Coal Wining'!$C$2:$C$2000))*('Data Base Coal Wining'!$H$2:$H$2000="MAP")*('Data Base Coal Wining'!$G$2:$G$2000="Coal Winning")*ISNUMBER(SEARCH(TEXT('September TCM'!$B22,"00")&amp;"/09/2026",'Data Base Coal Wining'!$E$2:$E$2000))*'Data Base Coal Wining'!$N$2:$N$2000)</f>
        <v>0</v>
      </c>
      <c r="BN22" s="2170"/>
      <c r="BO22" s="1920">
        <f t="shared" si="25"/>
        <v>0</v>
      </c>
      <c r="BP22" s="9"/>
      <c r="BQ22" s="2514">
        <f>SUMPRODUCT(ISNUMBER(SEARCH("BK34",'Data Base Coal Wining'!$C$2:$C$2000))*ISNUMBER(SEARCH("P4000",'Data Base Coal Wining'!$C$2:$C$2000))*('Data Base Coal Wining'!$H$2:$H$2000="PJPN")*('Data Base Coal Wining'!$G$2:$G$2000="Coal Winning")*ISNUMBER(SEARCH(TEXT('September TCM'!$B22,"00")&amp;"/09/2026",'Data Base Coal Wining'!$E$2:$E$2000))*'Data Base Coal Wining'!$N$2:$N$2000)</f>
        <v>0</v>
      </c>
      <c r="BR22" s="1920">
        <f t="shared" si="26"/>
        <v>0</v>
      </c>
      <c r="BS22" s="9"/>
      <c r="BT22" s="64"/>
      <c r="BU22" s="482">
        <f t="shared" si="27"/>
        <v>0</v>
      </c>
      <c r="BV22" s="9"/>
      <c r="BW22" s="280"/>
      <c r="BX22" s="2131">
        <f t="shared" si="130"/>
        <v>0</v>
      </c>
      <c r="BY22" s="26"/>
      <c r="BZ22" s="27"/>
      <c r="CA22" s="482">
        <f t="shared" si="29"/>
        <v>0</v>
      </c>
      <c r="CB22" s="9"/>
      <c r="CC22" s="481"/>
      <c r="CD22" s="482">
        <f t="shared" si="30"/>
        <v>0</v>
      </c>
      <c r="CE22" s="4"/>
      <c r="CF22" s="5"/>
      <c r="CG22" s="28">
        <f t="shared" si="31"/>
        <v>0</v>
      </c>
      <c r="CH22" s="150"/>
      <c r="CI22" s="4"/>
      <c r="CJ22" s="5"/>
      <c r="CK22" s="5"/>
      <c r="CL22" s="5"/>
      <c r="CM22" s="5"/>
      <c r="CN22" s="3">
        <f t="shared" si="111"/>
        <v>0</v>
      </c>
      <c r="CO22" s="33"/>
      <c r="CP22" s="366"/>
      <c r="CR22" s="4">
        <f t="shared" si="32"/>
        <v>0</v>
      </c>
      <c r="CS22" s="9">
        <f t="shared" si="32"/>
        <v>0</v>
      </c>
      <c r="CT22" s="5">
        <f t="shared" si="32"/>
        <v>0</v>
      </c>
      <c r="CU22" s="5">
        <f t="shared" si="32"/>
        <v>0</v>
      </c>
      <c r="CV22" s="5">
        <f t="shared" si="32"/>
        <v>0</v>
      </c>
      <c r="CW22" s="5">
        <f t="shared" si="32"/>
        <v>0</v>
      </c>
      <c r="CX22" s="5">
        <f t="shared" si="32"/>
        <v>0</v>
      </c>
      <c r="CY22" s="5">
        <f t="shared" si="32"/>
        <v>0</v>
      </c>
      <c r="CZ22" s="5">
        <f t="shared" si="32"/>
        <v>0</v>
      </c>
      <c r="DA22" s="5">
        <f t="shared" si="32"/>
        <v>0</v>
      </c>
      <c r="DB22" s="5">
        <f t="shared" si="32"/>
        <v>0</v>
      </c>
      <c r="DC22" s="12">
        <f t="shared" si="33"/>
        <v>0</v>
      </c>
      <c r="DD22" s="310">
        <f t="shared" si="34"/>
        <v>0</v>
      </c>
      <c r="DE22" s="2695"/>
      <c r="DF22" s="8"/>
      <c r="DG22" s="9"/>
      <c r="DH22" s="5"/>
      <c r="DI22" s="5"/>
      <c r="DJ22" s="5"/>
      <c r="DK22" s="5"/>
      <c r="DL22" s="3">
        <f>SUMPRODUCT(('Data Base Coal Wining'!$D$2:$D$2000="TCM-ROM SB1 BK05-ROM 4")*('Data Base Coal Wining'!$G$2:$G$2000="Coal Winning")*ISNUMBER(SEARCH(TEXT('September TCM'!$B22,"00")&amp;"/09/2026",'Data Base Coal Wining'!$E$2:$E$2000))*'Data Base Coal Wining'!$N$2:$N$2000)</f>
        <v>0</v>
      </c>
      <c r="DM22" s="5"/>
      <c r="DN22" s="3">
        <f>SUMPRODUCT(('Data Base Coal Wining'!$D$2:$D$2000="TCM-ROM SB1 BK05-ROM 5")*('Data Base Coal Wining'!$G$2:$G$2000="Coal Winning")*ISNUMBER(SEARCH(TEXT('September TCM'!$B22,"00")&amp;"/09/2026",'Data Base Coal Wining'!$E$2:$E$2000))*'Data Base Coal Wining'!$N$2:$N$2000)</f>
        <v>0</v>
      </c>
      <c r="DO22" s="5"/>
      <c r="DP22" s="3">
        <f>SUMPRODUCT(('Data Base Coal Wining'!$D$2:$D$2000="TCM-ROM SB1 BK05-ROM 6")*('Data Base Coal Wining'!$G$2:$G$2000="Coal Winning")*ISNUMBER(SEARCH(TEXT('September TCM'!$B22,"00")&amp;"/09/2026",'Data Base Coal Wining'!$E$2:$E$2000))*'Data Base Coal Wining'!$N$2:$N$2000)</f>
        <v>0</v>
      </c>
      <c r="DQ22" s="11">
        <f>SUMPRODUCT(('Data Base Coal Wining'!$D$2:$D$2000="TCM-ROM SB1 BK05-ROM 6.1")*('Data Base Coal Wining'!$G$2:$G$2000="Coal Winning")*ISNUMBER(SEARCH(TEXT('September TCM'!$B22,"00")&amp;"/09/2026",'Data Base Coal Wining'!$E$2:$E$2000))*'Data Base Coal Wining'!$N$2:$N$2000)</f>
        <v>0</v>
      </c>
      <c r="DR22" s="12"/>
      <c r="DS22" s="28">
        <f t="shared" si="35"/>
        <v>0</v>
      </c>
      <c r="DT22" s="36"/>
      <c r="DU22" s="36"/>
      <c r="DV22" s="53"/>
      <c r="DW22" s="27"/>
      <c r="DX22" s="5"/>
      <c r="DY22" s="5"/>
      <c r="DZ22" s="5"/>
      <c r="EA22" s="5"/>
      <c r="EB22" s="3">
        <f>SUMPRODUCT(('Data Base Coal Wining'!$D$2:$D$2000="TCM-ROM SB2 BK24-ROM 5")*('Data Base Coal Wining'!$G$2:$G$2000="Coal Winning")*ISNUMBER(SEARCH(TEXT('September TCM'!$B22,"00")&amp;"/09/2026",'Data Base Coal Wining'!$E$2:$E$2000))*'Data Base Coal Wining'!$N$2:$N$2000)</f>
        <v>0</v>
      </c>
      <c r="EC22" s="27"/>
      <c r="ED22" s="24">
        <f>SUMPRODUCT(('Data Base Coal Wining'!$D$2:$D$2000="TCM-ROM SB2 BK24-ROM 6")*('Data Base Coal Wining'!$G$2:$G$2000="Coal Winning")*ISNUMBER(SEARCH(TEXT('September TCM'!$B22,"00")&amp;"/09/2026",'Data Base Coal Wining'!$E$2:$E$2000))*'Data Base Coal Wining'!$N$2:$N$2000)</f>
        <v>0</v>
      </c>
      <c r="EE22" s="33"/>
      <c r="EF22" s="28">
        <f t="shared" si="36"/>
        <v>0</v>
      </c>
      <c r="EG22" s="9"/>
      <c r="EH22" s="36"/>
      <c r="EI22" s="5"/>
      <c r="EJ22" s="325"/>
      <c r="EK22" s="27"/>
      <c r="EL22" s="27"/>
      <c r="EM22" s="27"/>
      <c r="EN22" s="27"/>
      <c r="EO22" s="5"/>
      <c r="EP22" s="5"/>
      <c r="EQ22" s="5"/>
      <c r="ER22" s="33"/>
      <c r="ES22" s="28">
        <f t="shared" si="127"/>
        <v>0</v>
      </c>
      <c r="ET22" s="36"/>
      <c r="EU22" s="27"/>
      <c r="EV22" s="27"/>
      <c r="EW22" s="27"/>
      <c r="EX22" s="27"/>
      <c r="EY22" s="27"/>
      <c r="EZ22" s="33">
        <f t="shared" si="38"/>
        <v>0</v>
      </c>
      <c r="FA22" s="2685"/>
      <c r="FC22" s="4">
        <f t="shared" si="39"/>
        <v>0</v>
      </c>
      <c r="FD22" s="5">
        <f t="shared" si="40"/>
        <v>0</v>
      </c>
      <c r="FE22" s="5">
        <f t="shared" si="41"/>
        <v>0</v>
      </c>
      <c r="FF22" s="12">
        <f t="shared" si="42"/>
        <v>0</v>
      </c>
      <c r="FG22" s="33"/>
      <c r="FH22" s="2674"/>
      <c r="FI22" s="9"/>
      <c r="FJ22" s="5"/>
      <c r="FK22" s="5"/>
      <c r="FL22" s="5"/>
      <c r="FM22" s="5"/>
      <c r="FN22" s="27"/>
      <c r="FO22" s="28">
        <f t="shared" si="43"/>
        <v>0</v>
      </c>
      <c r="FP22" s="36"/>
      <c r="FQ22" s="27"/>
      <c r="FR22" s="27"/>
      <c r="FS22" s="27"/>
      <c r="FT22" s="27"/>
      <c r="FU22" s="27"/>
      <c r="FV22" s="28">
        <f t="shared" si="44"/>
        <v>0</v>
      </c>
      <c r="FW22" s="36"/>
      <c r="FX22" s="36"/>
      <c r="FY22" s="27"/>
      <c r="FZ22" s="27"/>
      <c r="GA22" s="27"/>
      <c r="GB22" s="27"/>
      <c r="GC22" s="27"/>
      <c r="GD22" s="27"/>
      <c r="GE22" s="24" cm="1">
        <f t="array" ref="GE22">SUMPRODUCT(('Data Base Coal Wining'!$C$2:$C$2000="TCM-ROM TEMPORARY SB2 KM 76-ROM HAC (S4700 Hard Ban)")*(ISNUMBER(SEARCH(TEXT('September TCM'!$B22,"00")&amp;"/08/2026",'Data Base Coal Wining'!$E$2:$E$2000)))*'Data Base Coal Wining'!$N$2:$N$2000)</f>
        <v>0</v>
      </c>
      <c r="GF22" s="27"/>
      <c r="GG22" s="27"/>
      <c r="GH22" s="33"/>
      <c r="GI22" s="33">
        <f t="shared" si="45"/>
        <v>0</v>
      </c>
      <c r="GJ22" s="2674"/>
      <c r="GL22" s="2">
        <f t="shared" si="112"/>
        <v>0</v>
      </c>
      <c r="GM22" s="63">
        <f t="shared" si="113"/>
        <v>0</v>
      </c>
      <c r="GN22" s="24">
        <f t="shared" si="114"/>
        <v>0</v>
      </c>
      <c r="GO22" s="1736">
        <f t="shared" si="46"/>
        <v>0</v>
      </c>
      <c r="GP22" s="141"/>
      <c r="GQ22" s="141"/>
      <c r="GR22" s="33"/>
      <c r="GS22" s="2667"/>
      <c r="GT22" s="1723">
        <f>SUMPRODUCT(('Data Base hauling'!$H$2:$H$2000="Trust")*(ISNUMBER(SEARCH(TEXT('September TCM'!$B22,"00")&amp;"/09/2026",'Data Base hauling'!$E$2:$E$2000)))*'Data Base hauling'!$N$2:$N$2000)</f>
        <v>0</v>
      </c>
      <c r="GU22" s="1723">
        <f>SUMPRODUCT(('Data Base hauling'!$H$2:$H$2000="RT")*(ISNUMBER(SEARCH(TEXT('September TCM'!$B22,"00")&amp;"/09/2026",'Data Base hauling'!$E$2:$E$2000)))*'Data Base hauling'!$N$2:$N$2000)</f>
        <v>0</v>
      </c>
      <c r="GV22" s="5">
        <f>SUMPRODUCT(('Data Base hauling'!$H$2:$H$2000="MPE")*(ISNUMBER(SEARCH(TEXT('September TCM'!$B22,"00")&amp;"/09/2026",'Data Base hauling'!$E$2:$E$2000)))*'Data Base hauling'!$N$2:$N$2000)</f>
        <v>0</v>
      </c>
      <c r="GW22" s="1723">
        <f>SUMPRODUCT(('Data Base hauling'!$H$2:$H$2000="RP")*(ISNUMBER(SEARCH(TEXT('September TCM'!$B22,"00")&amp;"/09/2026",'Data Base hauling'!$E$2:$E$2000)))*'Data Base hauling'!$N$2:$N$2000)</f>
        <v>0</v>
      </c>
      <c r="GX22" s="61">
        <f t="shared" si="115"/>
        <v>0</v>
      </c>
      <c r="GY22" s="2667"/>
      <c r="GZ22" s="35">
        <f>SUMPRODUCT(('Data Base hauling'!$C$2:$C$2000="TCM-ROM NB-ROM 1")*(ISNUMBER(SEARCH(TEXT('September TCM'!$B22,"00")&amp;"/09/2026",'Data Base hauling'!$E$2:$E$2000)))*'Data Base hauling'!$N$2:$N$2000)</f>
        <v>0</v>
      </c>
      <c r="HA22" s="36"/>
      <c r="HB22" s="27"/>
      <c r="HC22" s="27"/>
      <c r="HD22" s="27"/>
      <c r="HE22" s="27"/>
      <c r="HF22" s="24">
        <f>SUMPRODUCT(('Data Base hauling'!$C$2:$C$2000="TCM-ROM NB-ROM 4")*(ISNUMBER(SEARCH(TEXT('September TCM'!$B22,"00")&amp;"/09/2026",'Data Base hauling'!$E$2:$E$2000)))*'Data Base hauling'!$N$2:$N$2000)</f>
        <v>0</v>
      </c>
      <c r="HG22" s="24"/>
      <c r="HH22" s="24">
        <f>SUMPRODUCT(('Data Base hauling'!$C$2:$C$2000="TCM-ROM NB-ROM 5")*(ISNUMBER(SEARCH(TEXT('September TCM'!$B22,"00")&amp;"/09/2026",'Data Base hauling'!$E$2:$E$2000)))*'Data Base hauling'!$N$2:$N$2000)</f>
        <v>0</v>
      </c>
      <c r="HI22" s="24"/>
      <c r="HJ22" s="24">
        <f>SUMPRODUCT(('Data Base hauling'!$C$2:$C$2000="TCM-ROM NB-ROM 6")*(ISNUMBER(SEARCH(TEXT('September TCM'!$B22,"00")&amp;"/09/2026",'Data Base hauling'!$E$2:$E$2000)))*'Data Base hauling'!$N$2:$N$2000)</f>
        <v>0</v>
      </c>
      <c r="HK22" s="24"/>
      <c r="HL22" s="24">
        <f>SUMPRODUCT(('Data Base hauling'!$C$2:$C$2000="TCM-WASH-CR3")*(ISNUMBER(SEARCH(TEXT('September TCM'!$B22,"00")&amp;"/09/2026",'Data Base hauling'!$E$2:$E$2000)))*'Data Base hauling'!$N$2:$N$2000)</f>
        <v>0</v>
      </c>
      <c r="HM22" s="27"/>
      <c r="HN22" s="28">
        <f t="shared" si="131"/>
        <v>0</v>
      </c>
      <c r="HO22" s="36"/>
      <c r="HP22" s="27"/>
      <c r="HQ22" s="27"/>
      <c r="HR22" s="27"/>
      <c r="HS22" s="27"/>
      <c r="HT22" s="27"/>
      <c r="HU22" s="27">
        <f t="array" ref="HU22">SUMPRODUCT(('Data Base hauling'!$C$2:$C$2000="TCM-ROM SB1 BK05-ROM 4")*(ISNUMBER(SEARCH(TEXT('September TCM'!$B22,"00")&amp;"/03/2026",'Data Base hauling'!$E$2:$E$2000)))*'Data Base hauling'!$N$2:$N$2000)</f>
        <v>0</v>
      </c>
      <c r="HV22" s="27"/>
      <c r="HW22" s="27">
        <f t="array" ref="HW22">SUMPRODUCT(('Data Base hauling'!$C$2:$C$2000="TCM-ROM SB1 BK05-ROM 5")*(ISNUMBER(SEARCH(TEXT('September TCM'!$B22,"00")&amp;"/03/2026",'Data Base hauling'!$E$2:$E$2000)))*'Data Base hauling'!$N$2:$N$2000)</f>
        <v>0</v>
      </c>
      <c r="HX22" s="27"/>
      <c r="HY22" s="27"/>
      <c r="HZ22" s="27"/>
      <c r="IA22" s="27"/>
      <c r="IB22" s="27"/>
      <c r="IC22" s="33">
        <f t="shared" si="48"/>
        <v>0</v>
      </c>
      <c r="ID22" s="363"/>
      <c r="IE22" s="363"/>
      <c r="IF22" s="64"/>
      <c r="IG22" s="64"/>
      <c r="IH22" s="64"/>
      <c r="II22" s="64"/>
      <c r="IJ22" s="1926">
        <f>SUMPRODUCT(('Data Base hauling'!$C$2:$C$2000="TCM-ROM SB1 BK05-ROM 4")*(ISNUMBER(SEARCH(TEXT('September TCM'!$B22,"00")&amp;"/09/2026",'Data Base hauling'!$E$2:$E$2000)))*'Data Base hauling'!$N$2:$N$2000)</f>
        <v>0</v>
      </c>
      <c r="IK22" s="1926"/>
      <c r="IL22" s="1926">
        <f>SUMPRODUCT(('Data Base hauling'!$C$2:$C$2000="TCM-ROM SB1 BK05-ROM 5")*(ISNUMBER(SEARCH(TEXT('September TCM'!$B22,"00")&amp;"/09/2026",'Data Base hauling'!$E$2:$E$2000)))*'Data Base hauling'!$N$2:$N$2000)</f>
        <v>0</v>
      </c>
      <c r="IM22" s="49"/>
      <c r="IN22" s="49">
        <f>SUMPRODUCT(('Data Base hauling'!$C$2:$C$2000="TCM-ROM SB1 BK05-ROM 6")*(ISNUMBER(SEARCH(TEXT('September TCM'!$B22,"00")&amp;"/09/2026",'Data Base hauling'!$E$2:$E$2000)))*'Data Base hauling'!$N$2:$N$2000)</f>
        <v>0</v>
      </c>
      <c r="IO22" s="49"/>
      <c r="IP22" s="49"/>
      <c r="IQ22" s="49">
        <f>SUMPRODUCT(('Data Base hauling'!$C$2:$C$2000="TCM-HAC1 (Production)-ROM 2(HAC)")*(ISNUMBER(SEARCH(TEXT('September TCM'!$B22,"00")&amp;"/09/2026",'Data Base hauling'!$E$2:$E$2000)))*'Data Base hauling'!$N$2:$N$2000)</f>
        <v>0</v>
      </c>
      <c r="IR22" s="2195">
        <f t="shared" si="132"/>
        <v>0</v>
      </c>
      <c r="IS22" s="36"/>
      <c r="IT22" s="36"/>
      <c r="IU22" s="53"/>
      <c r="IV22" s="27"/>
      <c r="IW22" s="53"/>
      <c r="IX22" s="27"/>
      <c r="IY22" s="24">
        <f>SUMPRODUCT(('Data Base hauling'!$C$2:$C$2000="TCM-ROM SB2 BK24-ROM 4")*(ISNUMBER(SEARCH(TEXT('September TCM'!$B22,"00")&amp;"/09/2026",'Data Base hauling'!$E$2:$E$2000)))*'Data Base hauling'!$N$2:$N$2000)</f>
        <v>0</v>
      </c>
      <c r="IZ22" s="24"/>
      <c r="JA22" s="24">
        <f>SUMPRODUCT(('Data Base hauling'!$C$2:$C$2000="TCM-ROM SB2 BK24-ROM 5")*(ISNUMBER(SEARCH(TEXT('September TCM'!$B22,"00")&amp;"/09/2026",'Data Base hauling'!$E$2:$E$2000)))*'Data Base hauling'!$N$2:$N$2000)</f>
        <v>0</v>
      </c>
      <c r="JB22" s="24"/>
      <c r="JC22" s="24">
        <f>SUMPRODUCT(('Data Base hauling'!$C$2:$C$2000="TCM-ROM SB2 BK24-ROM 6")*(ISNUMBER(SEARCH(TEXT('September TCM'!$B22,"00")&amp;"/09/2026",'Data Base hauling'!$E$2:$E$2000)))*'Data Base hauling'!$N$2:$N$2000)</f>
        <v>0</v>
      </c>
      <c r="JD22" s="27"/>
      <c r="JE22" s="27"/>
      <c r="JF22" s="27"/>
      <c r="JG22" s="33">
        <f t="shared" si="133"/>
        <v>0</v>
      </c>
      <c r="JH22" s="2667"/>
      <c r="JJ22" s="2014">
        <f>SUMPRODUCT(('Data Base hauling'!$O$2:$O$2000="TCM.HCV.LS")*(ISNUMBER(SEARCH(TEXT('September TCM'!$B22,"00")&amp;"/09/2026",'Data Base hauling'!$E$2:$E$2000)))*'Data Base hauling'!$N$2:$N$2000)</f>
        <v>0</v>
      </c>
      <c r="JK22" s="2015">
        <f>SUMPRODUCT(('Data Base hauling'!$O$2:$O$2000="TCM.HCV.HS")*(ISNUMBER(SEARCH(TEXT('September TCM'!$B22,"00")&amp;"/09/2026",'Data Base hauling'!$E$2:$E$2000)))*'Data Base hauling'!$N$2:$N$2000)</f>
        <v>0</v>
      </c>
      <c r="JL22" s="53"/>
      <c r="JM22" s="1736">
        <f t="shared" si="51"/>
        <v>0</v>
      </c>
      <c r="JN22" s="33"/>
      <c r="JO22" s="2669"/>
      <c r="JP22" s="66" t="str">
        <f>IFERROR(SUMPRODUCT(('Data Base hauling'!$O$2:$O$2000="TCM.HCV.LS")*('Data Base hauling'!$C$2:$C$2000="TCM-ROM NB-ROM 1")*(ISNUMBER(SEARCH(TEXT('September TCM'!$B22,"00")&amp;"/09/2026",'Data Base hauling'!$E$2:$E$2000)))*'Data Base hauling'!$N$2:$N$2000)/'September TCM'!$JJ22,"")</f>
        <v/>
      </c>
      <c r="JQ22" s="67" t="str">
        <f>IFERROR(SUMPRODUCT(('Data Base hauling'!$O$2:$O$2000="TCM.HCV.LS")*('Data Base hauling'!$C$2:$C$2000="TCM-ROM NB-ROM 2")*(ISNUMBER(SEARCH(TEXT('September TCM'!$B22,"00")&amp;"/09/2026",'Data Base hauling'!$E$2:$E$2000)))*'Data Base hauling'!$N$2:$N$2000)/'September TCM'!$JJ22,"")</f>
        <v/>
      </c>
      <c r="JR22" s="67" t="str">
        <f>IFERROR(SUMPRODUCT(('Data Base hauling'!$O$2:$O$2000="TCM.HCV.LS")*('Data Base hauling'!$C$2:$C$2000="TCM-ROM NB-ROM 3")*(ISNUMBER(SEARCH(TEXT('September TCM'!$B22,"00")&amp;"/09/2026",'Data Base hauling'!$E$2:$E$2000)))*'Data Base hauling'!$N$2:$N$2000)/'September TCM'!$JJ22,"")</f>
        <v/>
      </c>
      <c r="JS22" s="67" t="str">
        <f>IFERROR(SUMPRODUCT(('Data Base hauling'!$O$2:$O$2000="TCM.HCV.LS")*('Data Base hauling'!$C$2:$C$2000="TCM-ROM SB1 BK05-ROM 4")*(ISNUMBER(SEARCH(TEXT('September TCM'!$B22,"00")&amp;"/09/2026",'Data Base hauling'!$E$2:$E$2000)))*'Data Base hauling'!$N$2:$N$2000)/'September TCM'!$JJ22,"")</f>
        <v/>
      </c>
      <c r="JT22" s="67" t="str">
        <f>IFERROR(SUMPRODUCT(('Data Base hauling'!$O$2:$O$2000="TCM.HCV.LS")*SIGN(('Data Base hauling'!$C$2:$C$2000="TCM-ROM NB-ROM 5")+('Data Base hauling'!$C$2:$C$2000="TCM-ROM SB1 BK05-ROM 5")+('Data Base hauling'!$C$2:$C$2000="TCM-ROM SB2 BK24-ROM 5"))*(ISNUMBER(SEARCH(TEXT('September TCM'!$B22,"00")&amp;"/09/2026",'Data Base hauling'!$E$2:$E$2000)))*'Data Base hauling'!$N$2:$N$2000)/'September TCM'!$JJ22,"")</f>
        <v/>
      </c>
      <c r="JU22" s="67" t="str">
        <f>IFERROR(SUMPRODUCT(('Data Base hauling'!$O$2:$O$2000="TCM.HCV.LS")*SIGN(('Data Base hauling'!$C$2:$C$2000="TCM-ROM NB-ROM 6")+('Data Base hauling'!$C$2:$C$2000="TCM-ROM SB1 BK05-ROM 6")+('Data Base hauling'!$C$2:$C$2000="TCM-ROM SB2 BK24-ROM 6"))*(ISNUMBER(SEARCH(TEXT('September TCM'!$B22,"00")&amp;"/09/2026",'Data Base hauling'!$E$2:$E$2000)))*'Data Base hauling'!$N$2:$N$2000)/'September TCM'!$JJ22,"")</f>
        <v/>
      </c>
      <c r="JV22" s="67" t="str">
        <f>IFERROR(SUMPRODUCT(('Data Base hauling'!$O$2:$O$2000="TCM.HCV.LS")*('Data Base hauling'!$C$2:$C$2000="TCM-WASH-CR3")*(ISNUMBER(SEARCH(TEXT('September TCM'!$B22,"00")&amp;"/09/2026",'Data Base hauling'!$E$2:$E$2000)))*'Data Base hauling'!$N$2:$N$2000)/'September TCM'!$JJ22,"")</f>
        <v/>
      </c>
      <c r="JW22" s="1921">
        <f>SUMPRODUCT(('Data Base hauling'!$O$2:$O$2000="TCM.HCV.LS")*('Data Base hauling'!$C$2:$C$2000="TCM-HAC-CR3")*(ISNUMBER(SEARCH(TEXT('September TCM'!$B22,"00")&amp;"/089/2026",'Data Base hauling'!$E$2:$E$2000)))*'Data Base hauling'!$N$2:$N$2000)</f>
        <v>0</v>
      </c>
      <c r="JX22" s="66" t="str">
        <f>IFERROR(SUMPRODUCT(('Data Base hauling'!$O$2:$O$2000="TCM.HCV.HS")*('Data Base hauling'!$C$2:$C$2000="TCM-ROM NB-ROM 1")*(ISNUMBER(SEARCH(TEXT('September TCM'!$B22,"00")&amp;"/09/2026",'Data Base hauling'!$E$2:$E$2000)))*'Data Base hauling'!$N$2:$N$2000)/'September TCM'!$JK22,"")</f>
        <v/>
      </c>
      <c r="JY22" s="67" t="str">
        <f>IFERROR(SUMPRODUCT(('Data Base hauling'!$O$2:$O$2000="TCM.HCV.HS")*('Data Base hauling'!$C$2:$C$2000="TCM-ROM NB-ROM 2")*(ISNUMBER(SEARCH(TEXT('September TCM'!$B22,"00")&amp;"/09/2026",'Data Base hauling'!$E$2:$E$2000)))*'Data Base hauling'!$N$2:$N$2000)/'September TCM'!$JK22,"")</f>
        <v/>
      </c>
      <c r="JZ22" s="67" t="str">
        <f>IFERROR(SUMPRODUCT(('Data Base hauling'!$O$2:$O$2000="TCM.HCV.HS")*('Data Base hauling'!$C$2:$C$2000="TCM-ROM NB-ROM 3")*(ISNUMBER(SEARCH(TEXT('September TCM'!$B22,"00")&amp;"/09/2026",'Data Base hauling'!$E$2:$E$2000)))*'Data Base hauling'!$N$2:$N$2000)/'September TCM'!$JK22,"")</f>
        <v/>
      </c>
      <c r="KA22" s="67" t="str">
        <f>IFERROR(SUMPRODUCT(('Data Base hauling'!$O$2:$O$2000="TCM.HCV.HS")*('Data Base hauling'!$C$2:$C$2000="TCM-ROM SB1 BK05-ROM 4")*(ISNUMBER(SEARCH(TEXT('September TCM'!$B22,"00")&amp;"/09/2026",'Data Base hauling'!$E$2:$E$2000)))*'Data Base hauling'!$N$2:$N$2000)/'September TCM'!$JK22,"")</f>
        <v/>
      </c>
      <c r="KB22" s="67" t="str">
        <f>IFERROR(SUMPRODUCT(('Data Base hauling'!$O$2:$O$2000="TCM.HCV.HS")*SIGN(('Data Base hauling'!$C$2:$C$2000="TCM-ROM NB-ROM 5")+('Data Base hauling'!$C$2:$C$2000="TCM-ROM SB1 BK05-ROM 5")+('Data Base hauling'!$C$2:$C$2000="TCM-ROM SB2 BK24-ROM 5"))*(ISNUMBER(SEARCH(TEXT('September TCM'!$B22,"00")&amp;"/09/2026",'Data Base hauling'!$E$2:$E$2000)))*'Data Base hauling'!$N$2:$N$2000)/'September TCM'!$JK22,"")</f>
        <v/>
      </c>
      <c r="KC22" s="67" t="str">
        <f>IFERROR(SUMPRODUCT(('Data Base hauling'!$O$2:$O$2000="TCM.HCV.HS")*SIGN(('Data Base hauling'!$C$2:$C$2000="TCM-ROM NB-ROM 6")+('Data Base hauling'!$C$2:$C$2000="TCM-ROM SB1 BK05-ROM 6")+('Data Base hauling'!$C$2:$C$2000="TCM-ROM SB2 BK24-ROM 6"))*(ISNUMBER(SEARCH(TEXT('September TCM'!$B22,"00")&amp;"/09/2026",'Data Base hauling'!$E$2:$E$2000)))*'Data Base hauling'!$N$2:$N$2000)/'September TCM'!$JK22,"")</f>
        <v/>
      </c>
      <c r="KD22" s="67" t="str">
        <f>IFERROR(SUMPRODUCT(('Data Base hauling'!$O$2:$O$2000="TCM.HCV.HS")*('Data Base hauling'!$C$2:$C$2000="TCM-WASH-CR3")*(ISNUMBER(SEARCH(TEXT('September TCM'!$B22,"00")&amp;"/09/2026",'Data Base hauling'!$E$2:$E$2000)))*'Data Base hauling'!$N$2:$N$2000)/'September TCM'!$JK22,"")</f>
        <v/>
      </c>
      <c r="KE22" s="68" t="str">
        <f>IFERROR(SUMPRODUCT(('Data Base hauling'!$O$2:$O$2000="TCM.HCV.HS")*('Data Base hauling'!$C$2:$C$2000="TCM-HAC-CR3")*(ISNUMBER(SEARCH(TEXT('September TCM'!$B22,"00")&amp;"/09/2026",'Data Base hauling'!$E$2:$E$2000)))*'Data Base hauling'!$N$2:$N$2000)/'September TCM'!$JK22,"")</f>
        <v/>
      </c>
      <c r="KF22" s="69"/>
      <c r="KG22" s="70"/>
      <c r="KH22" s="70"/>
      <c r="KI22" s="70"/>
      <c r="KJ22" s="70"/>
      <c r="KK22" s="70"/>
      <c r="KL22" s="70"/>
      <c r="KM22" s="70"/>
      <c r="KN22" s="33"/>
      <c r="KO22" s="2669"/>
      <c r="KP22" s="2203">
        <f>IFERROR(SUMPRODUCT((TCM.HCV.LS!$A$3:$A$58=DATE(2026,9,$B22))*(TCM.HCV.LS!$O$3:$O$58&gt;0)*TCM.HCV.LS!$C$3:$C$58*TCM.HCV.LS!$O$3:$O$58)/SUMPRODUCT((TCM.HCV.LS!$A$3:$A$58=DATE(2026,9,$B22))*(TCM.HCV.LS!$O$3:$O$58&gt;0)*TCM.HCV.LS!$C$3:$C$58),0)</f>
        <v>0</v>
      </c>
      <c r="KQ22" s="1721">
        <f>IFERROR(SUMPRODUCT((TCM.HCV.LS!$A$3:$A$58=DATE(2026,9,$B22))*(TCM.HCV.LS!$M$3:$M$58&gt;0)*TCM.HCV.LS!$C$3:$C$58*TCM.HCV.LS!$M$3:$M$58)/SUMPRODUCT((TCM.HCV.LS!$A$3:$A$58=DATE(2026,9,$B22))*(TCM.HCV.LS!$M$3:$M$58&gt;0)*TCM.HCV.LS!$C$3:$C$58),0)</f>
        <v>0</v>
      </c>
      <c r="KR22" s="1721">
        <f>IFERROR(SUMPRODUCT((TCM.HCV.LS!$A$3:$A$58=DATE(2026,9,$B22))*(TCM.HCV.LS!$G$3:$G$58&gt;0)*TCM.HCV.LS!$C$3:$C$58*TCM.HCV.LS!$G$3:$G$58)/SUMPRODUCT((TCM.HCV.LS!$A$3:$A$58=DATE(2026,9,$B22))*(TCM.HCV.LS!$G$3:$G$58&gt;0)*TCM.HCV.LS!$C$3:$C$58),0)</f>
        <v>0</v>
      </c>
      <c r="KS22" s="1721">
        <f>IFERROR(SUMPRODUCT((TCM.HCV.LS!$A$3:$A$58=DATE(2026,9,$B22))*(TCM.HCV.LS!$F$3:$F$58&gt;0)*TCM.HCV.LS!$C$3:$C$58*TCM.HCV.LS!$F$3:$F$58)/SUMPRODUCT((TCM.HCV.LS!$A$3:$A$58=DATE(2026,9,$B22))*(TCM.HCV.LS!$F$3:$F$58&gt;0)*TCM.HCV.LS!$C$3:$C$58),0)</f>
        <v>0</v>
      </c>
      <c r="KT22" s="1722">
        <f>IFERROR(SUMPRODUCT((TCM.HCV.LS!$A$3:$A$58=DATE(2026,9,$B22))*(TCM.HCV.LS!$E$3:$E$58&gt;0)*TCM.HCV.LS!$C$3:$C$58*TCM.HCV.LS!$E$3:$E$58)/SUMPRODUCT((TCM.HCV.LS!$A$3:$A$58=DATE(2026,9,$B22))*(TCM.HCV.LS!$E$3:$E$58&gt;0)*TCM.HCV.LS!$C$3:$C$58),0)</f>
        <v>0</v>
      </c>
      <c r="KU22" s="1958">
        <f>IFERROR(SUMPRODUCT((TCM.HCV.HS!$A$3:$A$84=DATE(2026,9,$B22))*(TCM.HCV.HS!$O$3:$O$84&gt;0)*TCM.HCV.HS!$C$3:$C$84*TCM.HCV.HS!$O$3:$O$84)/SUMPRODUCT((TCM.HCV.HS!$A$3:$A$84=DATE(2026,9,$B22))*(TCM.HCV.HS!$O$3:$O$84&gt;0)*TCM.HCV.HS!$C$3:$C$84),0)</f>
        <v>0</v>
      </c>
      <c r="KV22" s="1961">
        <f>IFERROR(SUMPRODUCT((TCM.HCV.HS!$A$3:$A$84=DATE(2026,9,$B22))*(TCM.HCV.HS!$M$3:$M$84&gt;0)*TCM.HCV.HS!$C$3:$C$84*TCM.HCV.HS!$M$3:$M$84)/SUMPRODUCT((TCM.HCV.HS!$A$3:$A$84=DATE(2026,9,$B22))*(TCM.HCV.HS!$M$3:$M$84&gt;0)*TCM.HCV.HS!$C$3:$C$84),0)</f>
        <v>0</v>
      </c>
      <c r="KW22" s="1961">
        <f>IFERROR(SUMPRODUCT((TCM.HCV.HS!$A$3:$A$84=DATE(2026,9,$B22))*(TCM.HCV.HS!$G$3:$G$84&gt;0)*TCM.HCV.HS!$C$3:$C$84*TCM.HCV.HS!$G$3:$G$84)/SUMPRODUCT((TCM.HCV.HS!$A$3:$A$84=DATE(2026,9,$B22))*(TCM.HCV.HS!$G$3:$G$84&gt;0)*TCM.HCV.HS!$C$3:$C$84),0)</f>
        <v>0</v>
      </c>
      <c r="KX22" s="1961">
        <f>IFERROR(SUMPRODUCT((TCM.HCV.HS!$A$3:$A$84=DATE(2026,9,$B22))*(TCM.HCV.HS!$F$3:$F$84&gt;0)*TCM.HCV.HS!$C$3:$C$84*TCM.HCV.HS!$F$3:$F$84)/SUMPRODUCT((TCM.HCV.HS!$A$3:$A$84=DATE(2026,9,$B22))*(TCM.HCV.HS!$F$3:$F$84&gt;0)*TCM.HCV.HS!$C$3:$C$84),0)</f>
        <v>0</v>
      </c>
      <c r="KY22" s="1962">
        <f>IFERROR(SUMPRODUCT((TCM.HCV.HS!$A$3:$A$84=DATE(2026,9,$B22))*(TCM.HCV.HS!$E$3:$E$84&gt;0)*TCM.HCV.HS!$C$3:$C$84*TCM.HCV.HS!$E$3:$E$84)/SUMPRODUCT((TCM.HCV.HS!$A$3:$A$84=DATE(2026,9,$B22))*(TCM.HCV.HS!$E$3:$E$84&gt;0)*TCM.HCV.HS!$C$3:$C$84),0)</f>
        <v>0</v>
      </c>
      <c r="KZ22" s="36"/>
      <c r="LA22" s="53"/>
      <c r="LB22" s="53"/>
      <c r="LC22" s="53"/>
      <c r="LD22" s="53"/>
      <c r="LE22" s="33"/>
      <c r="LF22" s="2669"/>
      <c r="LH22" s="4">
        <f t="shared" si="52"/>
        <v>0</v>
      </c>
      <c r="LI22" s="27">
        <f t="shared" si="52"/>
        <v>0</v>
      </c>
      <c r="LJ22" s="27">
        <f t="shared" si="52"/>
        <v>0</v>
      </c>
      <c r="LK22" s="28">
        <f t="shared" si="53"/>
        <v>0</v>
      </c>
      <c r="LL22" s="36"/>
      <c r="LM22" s="27"/>
      <c r="LN22" s="27"/>
      <c r="LO22" s="33"/>
      <c r="LP22" s="1957"/>
      <c r="LQ22" s="486"/>
      <c r="LR22" s="2688"/>
      <c r="LS22" s="36"/>
      <c r="LT22" s="36"/>
      <c r="LU22" s="27"/>
      <c r="LV22" s="27"/>
      <c r="LW22" s="27"/>
      <c r="LX22" s="1117">
        <f t="shared" si="129"/>
        <v>0</v>
      </c>
      <c r="LY22" s="36"/>
      <c r="LZ22" s="36"/>
      <c r="MA22" s="27"/>
      <c r="MB22" s="27"/>
      <c r="MC22" s="33"/>
      <c r="MD22" s="28">
        <f t="shared" si="55"/>
        <v>0</v>
      </c>
      <c r="ME22" s="26"/>
      <c r="MF22" s="36"/>
      <c r="MG22" s="27"/>
      <c r="MH22" s="27"/>
      <c r="MI22" s="27"/>
      <c r="MJ22" s="28"/>
      <c r="MK22" s="36"/>
      <c r="ML22" s="36"/>
      <c r="MM22" s="27"/>
      <c r="MN22" s="27"/>
      <c r="MO22" s="27"/>
      <c r="MP22" s="28"/>
      <c r="MQ22" s="36"/>
      <c r="MR22" s="36"/>
      <c r="MS22" s="27"/>
      <c r="MT22" s="27"/>
      <c r="MU22" s="27"/>
      <c r="MV22" s="33">
        <f t="shared" si="56"/>
        <v>0</v>
      </c>
      <c r="MW22" s="2688"/>
      <c r="MY22" s="26">
        <f t="shared" si="57"/>
        <v>377341.84766611259</v>
      </c>
      <c r="MZ22" s="27">
        <f t="shared" si="58"/>
        <v>191281.80302645115</v>
      </c>
      <c r="NA22" s="27">
        <f t="shared" si="59"/>
        <v>27294.683787707359</v>
      </c>
      <c r="NB22" s="28">
        <f t="shared" si="60"/>
        <v>318297.33035698003</v>
      </c>
      <c r="NC22" s="2621"/>
      <c r="ND22" s="23">
        <f t="shared" si="116"/>
        <v>207724.34280113198</v>
      </c>
      <c r="NE22" s="1655">
        <f t="shared" si="117"/>
        <v>169617.50486498058</v>
      </c>
      <c r="NF22" s="60">
        <f t="shared" si="63"/>
        <v>0</v>
      </c>
      <c r="NG22" s="275">
        <f t="shared" si="4"/>
        <v>377341.84766611259</v>
      </c>
      <c r="NH22" s="26">
        <f t="shared" si="64"/>
        <v>-313.35000000000002</v>
      </c>
      <c r="NI22" s="27">
        <f t="shared" si="64"/>
        <v>0</v>
      </c>
      <c r="NJ22" s="27">
        <f t="shared" si="64"/>
        <v>0</v>
      </c>
      <c r="NK22" s="27">
        <f t="shared" si="64"/>
        <v>0</v>
      </c>
      <c r="NL22" s="27">
        <f t="shared" si="64"/>
        <v>0</v>
      </c>
      <c r="NM22" s="33">
        <f t="shared" si="64"/>
        <v>0</v>
      </c>
      <c r="NN22" s="27">
        <f t="shared" si="64"/>
        <v>0</v>
      </c>
      <c r="NO22" s="36">
        <f t="shared" si="64"/>
        <v>0</v>
      </c>
      <c r="NP22" s="24">
        <f t="shared" si="64"/>
        <v>21665.870136227244</v>
      </c>
      <c r="NQ22" s="27">
        <f t="shared" si="64"/>
        <v>22358.939343794715</v>
      </c>
      <c r="NR22" s="24">
        <f t="shared" si="118"/>
        <v>8443.1982322711574</v>
      </c>
      <c r="NS22" s="24">
        <f t="shared" si="119"/>
        <v>9895.3380410535083</v>
      </c>
      <c r="NT22" s="27">
        <f t="shared" si="0"/>
        <v>62049.995753346629</v>
      </c>
      <c r="NU22" s="27">
        <f t="shared" si="65"/>
        <v>0</v>
      </c>
      <c r="NV22" s="27">
        <f t="shared" si="65"/>
        <v>0</v>
      </c>
      <c r="NW22" s="27">
        <f t="shared" si="65"/>
        <v>0</v>
      </c>
      <c r="NX22" s="27">
        <f t="shared" si="65"/>
        <v>0</v>
      </c>
      <c r="NY22" s="27">
        <f t="shared" si="65"/>
        <v>0</v>
      </c>
      <c r="NZ22" s="27">
        <f t="shared" si="65"/>
        <v>0</v>
      </c>
      <c r="OA22" s="27">
        <f t="shared" si="65"/>
        <v>35558.705564997217</v>
      </c>
      <c r="OB22" s="27">
        <f t="shared" si="65"/>
        <v>0</v>
      </c>
      <c r="OC22" s="27">
        <f t="shared" si="66"/>
        <v>12611.886475620366</v>
      </c>
      <c r="OD22" s="280"/>
      <c r="OE22" s="27">
        <f t="shared" si="120"/>
        <v>13429.316718063665</v>
      </c>
      <c r="OF22" s="27">
        <f t="shared" si="67"/>
        <v>0</v>
      </c>
      <c r="OG22" s="28">
        <f t="shared" si="1"/>
        <v>61599.908758681253</v>
      </c>
      <c r="OH22" s="27">
        <f t="shared" si="68"/>
        <v>0</v>
      </c>
      <c r="OI22" s="27">
        <f t="shared" si="68"/>
        <v>0</v>
      </c>
      <c r="OJ22" s="27">
        <v>0</v>
      </c>
      <c r="OK22" s="27">
        <f t="shared" si="68"/>
        <v>0</v>
      </c>
      <c r="OL22" s="27">
        <f t="shared" si="68"/>
        <v>0</v>
      </c>
      <c r="OM22" s="27">
        <f t="shared" si="68"/>
        <v>0</v>
      </c>
      <c r="ON22" s="24">
        <f t="shared" si="68"/>
        <v>0</v>
      </c>
      <c r="OO22" s="27">
        <f t="shared" si="68"/>
        <v>0</v>
      </c>
      <c r="OP22" s="24">
        <f t="shared" si="69"/>
        <v>54054.217649249818</v>
      </c>
      <c r="OQ22" s="27">
        <f t="shared" si="70"/>
        <v>0</v>
      </c>
      <c r="OR22" s="24">
        <f t="shared" si="70"/>
        <v>13577.680865173457</v>
      </c>
      <c r="OS22" s="27">
        <f t="shared" si="70"/>
        <v>0</v>
      </c>
      <c r="OT22" s="28">
        <f t="shared" si="2"/>
        <v>67631.898514423272</v>
      </c>
      <c r="OU22" s="36"/>
      <c r="OV22" s="27"/>
      <c r="OW22" s="27"/>
      <c r="OX22" s="27"/>
      <c r="OY22" s="27"/>
      <c r="OZ22" s="27"/>
      <c r="PA22" s="28">
        <f t="shared" si="71"/>
        <v>0</v>
      </c>
      <c r="PB22" s="36">
        <f t="shared" si="72"/>
        <v>0</v>
      </c>
      <c r="PC22" s="27">
        <f t="shared" si="73"/>
        <v>0</v>
      </c>
      <c r="PD22" s="27">
        <f t="shared" si="74"/>
        <v>0</v>
      </c>
      <c r="PE22" s="27">
        <f t="shared" si="75"/>
        <v>0</v>
      </c>
      <c r="PF22" s="24"/>
      <c r="PG22" s="27">
        <f t="shared" si="76"/>
        <v>0</v>
      </c>
      <c r="PH22" s="33">
        <f t="shared" si="3"/>
        <v>0</v>
      </c>
      <c r="PI22" s="2621"/>
      <c r="PK22" s="1907">
        <f>SUMPRODUCT(('Data Base Coal Wining'!$D$2:$D$2000="WASHING PLANT")*ISNUMBER(SEARCH(TEXT('September TCM'!$B22,"00")&amp;"/09/2026",'Data Base Coal Wining'!$E$2:$E$2000))*'Data Base Coal Wining'!$N$2:$N$2000)</f>
        <v>0</v>
      </c>
      <c r="PL22" s="1101"/>
      <c r="PM22" s="1101"/>
      <c r="PN22" s="1101">
        <f t="shared" si="77"/>
        <v>0</v>
      </c>
      <c r="PO22" s="3">
        <f t="shared" si="78"/>
        <v>38895.633435124721</v>
      </c>
      <c r="PP22" s="11">
        <f t="shared" si="79"/>
        <v>27294.683787707359</v>
      </c>
      <c r="PQ22" s="15"/>
      <c r="PR22" s="2615"/>
      <c r="PT22" s="4"/>
      <c r="PU22" s="9"/>
      <c r="PV22" s="9"/>
      <c r="PW22" s="9"/>
      <c r="PX22" s="8">
        <f>SUMPRODUCT(('Data Base Coal Wining'!$D$2:$D$2000="TCM-ROM SB1 BK05-ROM 2 (HAC)")*('Data Base Coal Wining'!$G$2:$G$2000="Coal Winning")*ISNUMBER(SEARCH(TEXT('September TCM'!$B22,"00")&amp;"/09/2026",'Data Base Coal Wining'!$E$2:$E$2000))*'Data Base Coal Wining'!$N$2:$N$2000)</f>
        <v>0</v>
      </c>
      <c r="PY22" s="9"/>
      <c r="PZ22" s="8">
        <f t="shared" si="80"/>
        <v>0</v>
      </c>
      <c r="QA22" s="5">
        <f t="shared" si="81"/>
        <v>0</v>
      </c>
      <c r="QB22" s="5"/>
      <c r="QC22" s="5"/>
      <c r="QD22" s="5"/>
      <c r="QE22" s="5"/>
      <c r="QF22" s="5"/>
      <c r="QG22" s="12"/>
      <c r="QH22" s="12">
        <f t="shared" si="82"/>
        <v>29562.488999999998</v>
      </c>
      <c r="QI22" s="420">
        <f t="shared" si="83"/>
        <v>283762.59090898006</v>
      </c>
      <c r="QJ22" s="1106">
        <f t="shared" si="121"/>
        <v>4972.2504480000007</v>
      </c>
      <c r="QK22" s="484">
        <f t="shared" si="84"/>
        <v>5505.3678056099998</v>
      </c>
      <c r="QL22" s="12"/>
      <c r="QM22" s="2615"/>
      <c r="QO22" s="139" t="str">
        <f t="shared" si="85"/>
        <v/>
      </c>
      <c r="QP22" s="139" t="str">
        <f t="shared" si="86"/>
        <v/>
      </c>
      <c r="QR22" s="139" t="str">
        <f t="shared" si="87"/>
        <v/>
      </c>
      <c r="QS22" s="139" t="str">
        <f t="shared" si="88"/>
        <v/>
      </c>
      <c r="QU22" s="1">
        <f t="shared" si="89"/>
        <v>0</v>
      </c>
      <c r="QV22" s="1">
        <f t="shared" si="90"/>
        <v>0</v>
      </c>
      <c r="QW22" s="1">
        <f t="shared" si="91"/>
        <v>0</v>
      </c>
      <c r="QX22" s="1">
        <f t="shared" si="92"/>
        <v>0</v>
      </c>
      <c r="QY22" s="1">
        <f t="shared" si="93"/>
        <v>0</v>
      </c>
      <c r="QZ22" s="1">
        <f t="shared" si="94"/>
        <v>0</v>
      </c>
      <c r="RB22" s="1">
        <f t="shared" si="95"/>
        <v>0</v>
      </c>
      <c r="RC22" s="1">
        <f t="shared" si="96"/>
        <v>0</v>
      </c>
      <c r="RD22" s="1">
        <f t="shared" si="97"/>
        <v>0</v>
      </c>
      <c r="RE22" s="1">
        <f t="shared" si="98"/>
        <v>0</v>
      </c>
      <c r="RF22" s="1">
        <f t="shared" si="99"/>
        <v>0</v>
      </c>
      <c r="RG22" s="1">
        <f t="shared" si="100"/>
        <v>0</v>
      </c>
      <c r="RJ22" s="1">
        <v>13</v>
      </c>
      <c r="RK22" s="1">
        <f t="shared" si="135"/>
        <v>5984.4452097170979</v>
      </c>
      <c r="RL22" s="1">
        <f t="shared" si="135"/>
        <v>5074.1017804837184</v>
      </c>
      <c r="RM22" s="1">
        <f t="shared" si="135"/>
        <v>13404.263703387322</v>
      </c>
      <c r="RN22" s="89">
        <f t="shared" si="5"/>
        <v>24462.810693588137</v>
      </c>
      <c r="RO22" s="1033">
        <v>13</v>
      </c>
      <c r="RP22" s="1098">
        <v>0</v>
      </c>
      <c r="RQ22" s="1098">
        <f t="shared" si="102"/>
        <v>0</v>
      </c>
      <c r="RR22" s="1097">
        <f t="shared" si="102"/>
        <v>0</v>
      </c>
      <c r="RS22" s="1097">
        <f t="shared" si="103"/>
        <v>0</v>
      </c>
      <c r="RT22" s="1050"/>
      <c r="RU22" s="1109"/>
      <c r="RV22" s="1048"/>
      <c r="RX22" s="421">
        <v>13</v>
      </c>
      <c r="RY22" s="1095">
        <f t="shared" si="104"/>
        <v>0</v>
      </c>
      <c r="RZ22" s="2441"/>
      <c r="SA22" s="1048"/>
      <c r="SB22" s="1090"/>
      <c r="SC22" s="1090">
        <f t="shared" si="105"/>
        <v>0</v>
      </c>
      <c r="SD22" s="1090"/>
      <c r="SE22" s="1090">
        <f t="shared" si="136"/>
        <v>0</v>
      </c>
      <c r="SG22" s="1">
        <v>13</v>
      </c>
      <c r="SH22" s="1">
        <f t="shared" si="107"/>
        <v>0</v>
      </c>
      <c r="SI22" s="1094"/>
    </row>
    <row r="23" spans="1:503" s="1" customFormat="1" ht="15" customHeight="1">
      <c r="A23" s="1">
        <v>160</v>
      </c>
      <c r="B23" s="471">
        <v>14</v>
      </c>
      <c r="C23" s="4">
        <f t="shared" si="108"/>
        <v>0</v>
      </c>
      <c r="D23" s="1590">
        <f t="shared" si="128"/>
        <v>0</v>
      </c>
      <c r="E23" s="1895">
        <f t="shared" si="6"/>
        <v>0</v>
      </c>
      <c r="F23" s="870"/>
      <c r="G23" s="870"/>
      <c r="H23" s="52"/>
      <c r="I23" s="61"/>
      <c r="J23" s="52"/>
      <c r="K23" s="54"/>
      <c r="L23" s="52"/>
      <c r="M23" s="61"/>
      <c r="N23" s="2629"/>
      <c r="O23" s="4">
        <f t="shared" si="125"/>
        <v>0</v>
      </c>
      <c r="P23" s="1225">
        <f t="shared" si="7"/>
        <v>0</v>
      </c>
      <c r="Q23" s="1913">
        <f t="shared" si="8"/>
        <v>0</v>
      </c>
      <c r="R23" s="33"/>
      <c r="S23" s="26">
        <f t="shared" si="9"/>
        <v>0</v>
      </c>
      <c r="T23" s="27">
        <f t="shared" si="110"/>
        <v>0</v>
      </c>
      <c r="U23" s="1909">
        <f t="shared" si="10"/>
        <v>0</v>
      </c>
      <c r="V23" s="28"/>
      <c r="W23" s="26">
        <f t="shared" si="11"/>
        <v>0</v>
      </c>
      <c r="X23" s="5">
        <f t="shared" si="11"/>
        <v>0</v>
      </c>
      <c r="Y23" s="1909">
        <f t="shared" si="12"/>
        <v>0</v>
      </c>
      <c r="Z23" s="33"/>
      <c r="AA23" s="26">
        <f t="shared" si="13"/>
        <v>0</v>
      </c>
      <c r="AB23" s="27">
        <f t="shared" si="126"/>
        <v>0</v>
      </c>
      <c r="AC23" s="1909">
        <f t="shared" si="15"/>
        <v>0</v>
      </c>
      <c r="AD23" s="28"/>
      <c r="AE23" s="36"/>
      <c r="AF23" s="36"/>
      <c r="AG23" s="53">
        <f t="shared" si="16"/>
        <v>0</v>
      </c>
      <c r="AH23" s="28"/>
      <c r="AI23" s="26"/>
      <c r="AJ23" s="27"/>
      <c r="AK23" s="53">
        <f t="shared" si="17"/>
        <v>0</v>
      </c>
      <c r="AL23" s="28"/>
      <c r="AM23" s="2629"/>
      <c r="AN23" s="9"/>
      <c r="AO23" s="5"/>
      <c r="AP23" s="61">
        <f t="shared" si="18"/>
        <v>0</v>
      </c>
      <c r="AQ23" s="36"/>
      <c r="AR23" s="53"/>
      <c r="AS23" s="61">
        <f t="shared" si="19"/>
        <v>0</v>
      </c>
      <c r="AT23" s="36">
        <v>0</v>
      </c>
      <c r="AU23" s="27"/>
      <c r="AV23" s="54">
        <f t="shared" si="20"/>
        <v>0</v>
      </c>
      <c r="AW23" s="26"/>
      <c r="AX23" s="280">
        <f>SUMPRODUCT(ISNUMBER(SEARCH("BK20",'Data Base Coal Wining'!$C$2:$C$2000))*ISNUMBER(SEARCH("P3000",'Data Base Coal Wining'!$C$2:$C$2000))*('Data Base Coal Wining'!$H$2:$H$2000="PAMA")*('Data Base Coal Wining'!$G$2:$G$2000="Coal Winning")*ISNUMBER(SEARCH(TEXT('September TCM'!$B23,"00")&amp;"/09/2026",'Data Base Coal Wining'!$E$2:$E$2000))*'Data Base Coal Wining'!$N$2:$N$2000)</f>
        <v>0</v>
      </c>
      <c r="AY23" s="1895">
        <f t="shared" si="134"/>
        <v>0</v>
      </c>
      <c r="AZ23" s="1908"/>
      <c r="BA23" s="1909"/>
      <c r="BB23" s="1895">
        <f t="shared" si="21"/>
        <v>0</v>
      </c>
      <c r="BC23" s="1740"/>
      <c r="BD23" s="2154">
        <f>SUMPRODUCT(ISNUMBER(SEARCH("BK30",'Data Base Coal Wining'!$C$2:$C$2000))*ISNUMBER(SEARCH("P3000",'Data Base Coal Wining'!$C$2:$C$2000))*('Data Base Coal Wining'!$H$2:$H$2000="PAMA")*('Data Base Coal Wining'!$G$2:$G$2000="Coal Winning")*ISNUMBER(SEARCH(TEXT('September TCM'!$B23,"00")&amp;"/09/2026",'Data Base Coal Wining'!$E$2:$E$2000))*'Data Base Coal Wining'!$N$2:$N$2000)</f>
        <v>0</v>
      </c>
      <c r="BE23" s="1895">
        <f t="shared" si="22"/>
        <v>0</v>
      </c>
      <c r="BF23" s="1908"/>
      <c r="BG23" s="1909"/>
      <c r="BH23" s="1895">
        <f t="shared" si="23"/>
        <v>0</v>
      </c>
      <c r="BI23" s="1908">
        <v>0</v>
      </c>
      <c r="BJ23" s="1909">
        <v>0</v>
      </c>
      <c r="BK23" s="1895">
        <f t="shared" si="24"/>
        <v>0</v>
      </c>
      <c r="BL23" s="1742"/>
      <c r="BM23" s="2154">
        <f>SUMPRODUCT(ISNUMBER(SEARCH("BK26",'Data Base Coal Wining'!$C$2:$C$2000))*ISNUMBER(SEARCH("P4400",'Data Base Coal Wining'!$C$2:$C$2000))*('Data Base Coal Wining'!$H$2:$H$2000="MAP")*('Data Base Coal Wining'!$G$2:$G$2000="Coal Winning")*ISNUMBER(SEARCH(TEXT('September TCM'!$B23,"00")&amp;"/09/2026",'Data Base Coal Wining'!$E$2:$E$2000))*'Data Base Coal Wining'!$N$2:$N$2000)</f>
        <v>0</v>
      </c>
      <c r="BN23" s="2170"/>
      <c r="BO23" s="1911">
        <f t="shared" si="25"/>
        <v>0</v>
      </c>
      <c r="BP23" s="9"/>
      <c r="BQ23" s="2514">
        <f>SUMPRODUCT(ISNUMBER(SEARCH("BK34",'Data Base Coal Wining'!$C$2:$C$2000))*ISNUMBER(SEARCH("P4000",'Data Base Coal Wining'!$C$2:$C$2000))*('Data Base Coal Wining'!$H$2:$H$2000="PJPN")*('Data Base Coal Wining'!$G$2:$G$2000="Coal Winning")*ISNUMBER(SEARCH(TEXT('September TCM'!$B23,"00")&amp;"/09/2026",'Data Base Coal Wining'!$E$2:$E$2000))*'Data Base Coal Wining'!$N$2:$N$2000)</f>
        <v>0</v>
      </c>
      <c r="BR23" s="1920">
        <f t="shared" si="26"/>
        <v>0</v>
      </c>
      <c r="BS23" s="9"/>
      <c r="BT23" s="64"/>
      <c r="BU23" s="482">
        <f t="shared" si="27"/>
        <v>0</v>
      </c>
      <c r="BV23" s="9"/>
      <c r="BW23" s="280"/>
      <c r="BX23" s="1051">
        <f t="shared" si="130"/>
        <v>0</v>
      </c>
      <c r="BY23" s="26"/>
      <c r="BZ23" s="27"/>
      <c r="CA23" s="482">
        <f t="shared" si="29"/>
        <v>0</v>
      </c>
      <c r="CB23" s="9"/>
      <c r="CC23" s="481"/>
      <c r="CD23" s="482">
        <f t="shared" si="30"/>
        <v>0</v>
      </c>
      <c r="CE23" s="4"/>
      <c r="CF23" s="5"/>
      <c r="CG23" s="28">
        <f t="shared" si="31"/>
        <v>0</v>
      </c>
      <c r="CH23" s="150"/>
      <c r="CI23" s="1108"/>
      <c r="CJ23" s="5"/>
      <c r="CK23" s="5"/>
      <c r="CL23" s="5"/>
      <c r="CM23" s="5"/>
      <c r="CN23" s="3">
        <f t="shared" si="111"/>
        <v>0</v>
      </c>
      <c r="CO23" s="33"/>
      <c r="CP23" s="366"/>
      <c r="CR23" s="4">
        <f t="shared" si="32"/>
        <v>0</v>
      </c>
      <c r="CS23" s="9">
        <f t="shared" si="32"/>
        <v>0</v>
      </c>
      <c r="CT23" s="5">
        <f t="shared" si="32"/>
        <v>0</v>
      </c>
      <c r="CU23" s="5">
        <f t="shared" si="32"/>
        <v>0</v>
      </c>
      <c r="CV23" s="5">
        <f t="shared" si="32"/>
        <v>0</v>
      </c>
      <c r="CW23" s="5">
        <f t="shared" si="32"/>
        <v>0</v>
      </c>
      <c r="CX23" s="5">
        <f t="shared" si="32"/>
        <v>0</v>
      </c>
      <c r="CY23" s="5">
        <f t="shared" si="32"/>
        <v>0</v>
      </c>
      <c r="CZ23" s="5">
        <f t="shared" si="32"/>
        <v>0</v>
      </c>
      <c r="DA23" s="5">
        <f t="shared" si="32"/>
        <v>0</v>
      </c>
      <c r="DB23" s="5">
        <f t="shared" si="32"/>
        <v>0</v>
      </c>
      <c r="DC23" s="12">
        <f t="shared" si="33"/>
        <v>0</v>
      </c>
      <c r="DD23" s="310">
        <f t="shared" si="34"/>
        <v>0</v>
      </c>
      <c r="DE23" s="2695"/>
      <c r="DF23" s="8"/>
      <c r="DG23" s="9"/>
      <c r="DH23" s="5"/>
      <c r="DI23" s="5"/>
      <c r="DJ23" s="5"/>
      <c r="DK23" s="5"/>
      <c r="DL23" s="3">
        <f>SUMPRODUCT(('Data Base Coal Wining'!$D$2:$D$2000="TCM-ROM SB1 BK05-ROM 4")*('Data Base Coal Wining'!$G$2:$G$2000="Coal Winning")*ISNUMBER(SEARCH(TEXT('September TCM'!$B23,"00")&amp;"/09/2026",'Data Base Coal Wining'!$E$2:$E$2000))*'Data Base Coal Wining'!$N$2:$N$2000)</f>
        <v>0</v>
      </c>
      <c r="DM23" s="5"/>
      <c r="DN23" s="3">
        <f>SUMPRODUCT(('Data Base Coal Wining'!$D$2:$D$2000="TCM-ROM SB1 BK05-ROM 5")*('Data Base Coal Wining'!$G$2:$G$2000="Coal Winning")*ISNUMBER(SEARCH(TEXT('September TCM'!$B23,"00")&amp;"/09/2026",'Data Base Coal Wining'!$E$2:$E$2000))*'Data Base Coal Wining'!$N$2:$N$2000)</f>
        <v>0</v>
      </c>
      <c r="DO23" s="5"/>
      <c r="DP23" s="3">
        <f>SUMPRODUCT(('Data Base Coal Wining'!$D$2:$D$2000="TCM-ROM SB1 BK05-ROM 6")*('Data Base Coal Wining'!$G$2:$G$2000="Coal Winning")*ISNUMBER(SEARCH(TEXT('September TCM'!$B23,"00")&amp;"/09/2026",'Data Base Coal Wining'!$E$2:$E$2000))*'Data Base Coal Wining'!$N$2:$N$2000)</f>
        <v>0</v>
      </c>
      <c r="DQ23" s="11">
        <f>SUMPRODUCT(('Data Base Coal Wining'!$D$2:$D$2000="TCM-ROM SB1 BK05-ROM 6.1")*('Data Base Coal Wining'!$G$2:$G$2000="Coal Winning")*ISNUMBER(SEARCH(TEXT('September TCM'!$B23,"00")&amp;"/09/2026",'Data Base Coal Wining'!$E$2:$E$2000))*'Data Base Coal Wining'!$N$2:$N$2000)</f>
        <v>0</v>
      </c>
      <c r="DR23" s="12"/>
      <c r="DS23" s="28">
        <f t="shared" si="35"/>
        <v>0</v>
      </c>
      <c r="DT23" s="36"/>
      <c r="DU23" s="9"/>
      <c r="DV23" s="5"/>
      <c r="DW23" s="5"/>
      <c r="DX23" s="5"/>
      <c r="DY23" s="5"/>
      <c r="DZ23" s="5"/>
      <c r="EA23" s="5"/>
      <c r="EB23" s="3">
        <f>SUMPRODUCT(('Data Base Coal Wining'!$D$2:$D$2000="TCM-ROM SB2 BK24-ROM 5")*('Data Base Coal Wining'!$G$2:$G$2000="Coal Winning")*ISNUMBER(SEARCH(TEXT('September TCM'!$B23,"00")&amp;"/09/2026",'Data Base Coal Wining'!$E$2:$E$2000))*'Data Base Coal Wining'!$N$2:$N$2000)</f>
        <v>0</v>
      </c>
      <c r="EC23" s="27"/>
      <c r="ED23" s="24">
        <f>SUMPRODUCT(('Data Base Coal Wining'!$D$2:$D$2000="TCM-ROM SB2 BK24-ROM 6")*('Data Base Coal Wining'!$G$2:$G$2000="Coal Winning")*ISNUMBER(SEARCH(TEXT('September TCM'!$B23,"00")&amp;"/09/2026",'Data Base Coal Wining'!$E$2:$E$2000))*'Data Base Coal Wining'!$N$2:$N$2000)</f>
        <v>0</v>
      </c>
      <c r="EE23" s="33"/>
      <c r="EF23" s="28">
        <f t="shared" si="36"/>
        <v>0</v>
      </c>
      <c r="EG23" s="9"/>
      <c r="EH23" s="36"/>
      <c r="EI23" s="5"/>
      <c r="EJ23" s="27"/>
      <c r="EK23" s="27"/>
      <c r="EL23" s="27"/>
      <c r="EM23" s="27"/>
      <c r="EN23" s="27"/>
      <c r="EO23" s="5"/>
      <c r="EP23" s="5"/>
      <c r="EQ23" s="5"/>
      <c r="ER23" s="33"/>
      <c r="ES23" s="28">
        <f t="shared" si="127"/>
        <v>0</v>
      </c>
      <c r="ET23" s="36"/>
      <c r="EU23" s="27"/>
      <c r="EV23" s="27"/>
      <c r="EW23" s="27"/>
      <c r="EX23" s="27"/>
      <c r="EY23" s="27"/>
      <c r="EZ23" s="33">
        <f t="shared" si="38"/>
        <v>0</v>
      </c>
      <c r="FA23" s="2685"/>
      <c r="FC23" s="4">
        <f t="shared" si="39"/>
        <v>0</v>
      </c>
      <c r="FD23" s="5">
        <f t="shared" si="40"/>
        <v>0</v>
      </c>
      <c r="FE23" s="5">
        <f t="shared" si="41"/>
        <v>0</v>
      </c>
      <c r="FF23" s="12">
        <f t="shared" si="42"/>
        <v>0</v>
      </c>
      <c r="FG23" s="33"/>
      <c r="FH23" s="2674"/>
      <c r="FI23" s="9"/>
      <c r="FJ23" s="5"/>
      <c r="FK23" s="5"/>
      <c r="FL23" s="5"/>
      <c r="FM23" s="5"/>
      <c r="FN23" s="27"/>
      <c r="FO23" s="28">
        <f t="shared" si="43"/>
        <v>0</v>
      </c>
      <c r="FP23" s="36"/>
      <c r="FQ23" s="27"/>
      <c r="FR23" s="27"/>
      <c r="FS23" s="27"/>
      <c r="FT23" s="27"/>
      <c r="FU23" s="27"/>
      <c r="FV23" s="28">
        <f t="shared" si="44"/>
        <v>0</v>
      </c>
      <c r="FW23" s="36"/>
      <c r="FX23" s="36"/>
      <c r="FY23" s="27"/>
      <c r="FZ23" s="27"/>
      <c r="GA23" s="27"/>
      <c r="GB23" s="27"/>
      <c r="GC23" s="27"/>
      <c r="GD23" s="27"/>
      <c r="GE23" s="24" cm="1">
        <f t="array" ref="GE23">SUMPRODUCT(('Data Base Coal Wining'!$C$2:$C$2000="TCM-ROM TEMPORARY SB2 KM 76-ROM HAC (S4700 Hard Ban)")*(ISNUMBER(SEARCH(TEXT('September TCM'!$B23,"00")&amp;"/08/2026",'Data Base Coal Wining'!$E$2:$E$2000)))*'Data Base Coal Wining'!$N$2:$N$2000)</f>
        <v>0</v>
      </c>
      <c r="GF23" s="27"/>
      <c r="GG23" s="27"/>
      <c r="GH23" s="33"/>
      <c r="GI23" s="33">
        <f t="shared" si="45"/>
        <v>0</v>
      </c>
      <c r="GJ23" s="2674"/>
      <c r="GL23" s="2">
        <f t="shared" si="112"/>
        <v>0</v>
      </c>
      <c r="GM23" s="63">
        <f t="shared" si="113"/>
        <v>0</v>
      </c>
      <c r="GN23" s="24">
        <f t="shared" si="114"/>
        <v>0</v>
      </c>
      <c r="GO23" s="1736">
        <f t="shared" si="46"/>
        <v>0</v>
      </c>
      <c r="GP23" s="141"/>
      <c r="GQ23" s="141"/>
      <c r="GR23" s="33"/>
      <c r="GS23" s="2667"/>
      <c r="GT23" s="1723">
        <f>SUMPRODUCT(('Data Base hauling'!$H$2:$H$2000="Trust")*(ISNUMBER(SEARCH(TEXT('September TCM'!$B23,"00")&amp;"/09/2026",'Data Base hauling'!$E$2:$E$2000)))*'Data Base hauling'!$N$2:$N$2000)</f>
        <v>0</v>
      </c>
      <c r="GU23" s="1723">
        <f>SUMPRODUCT(('Data Base hauling'!$H$2:$H$2000="RT")*(ISNUMBER(SEARCH(TEXT('September TCM'!$B23,"00")&amp;"/09/2026",'Data Base hauling'!$E$2:$E$2000)))*'Data Base hauling'!$N$2:$N$2000)</f>
        <v>0</v>
      </c>
      <c r="GV23" s="5">
        <f>SUMPRODUCT(('Data Base hauling'!$H$2:$H$2000="MPE")*(ISNUMBER(SEARCH(TEXT('September TCM'!$B23,"00")&amp;"/09/2026",'Data Base hauling'!$E$2:$E$2000)))*'Data Base hauling'!$N$2:$N$2000)</f>
        <v>0</v>
      </c>
      <c r="GW23" s="1723">
        <f>SUMPRODUCT(('Data Base hauling'!$H$2:$H$2000="RP")*(ISNUMBER(SEARCH(TEXT('September TCM'!$B23,"00")&amp;"/09/2026",'Data Base hauling'!$E$2:$E$2000)))*'Data Base hauling'!$N$2:$N$2000)</f>
        <v>0</v>
      </c>
      <c r="GX23" s="61">
        <f t="shared" si="115"/>
        <v>0</v>
      </c>
      <c r="GY23" s="2667"/>
      <c r="GZ23" s="35">
        <f>SUMPRODUCT(('Data Base hauling'!$C$2:$C$2000="TCM-ROM NB-ROM 1")*(ISNUMBER(SEARCH(TEXT('September TCM'!$B23,"00")&amp;"/09/2026",'Data Base hauling'!$E$2:$E$2000)))*'Data Base hauling'!$N$2:$N$2000)</f>
        <v>0</v>
      </c>
      <c r="HA23" s="36"/>
      <c r="HB23" s="27"/>
      <c r="HC23" s="27"/>
      <c r="HD23" s="27"/>
      <c r="HE23" s="27"/>
      <c r="HF23" s="24">
        <f>SUMPRODUCT(('Data Base hauling'!$C$2:$C$2000="TCM-ROM NB-ROM 4")*(ISNUMBER(SEARCH(TEXT('September TCM'!$B23,"00")&amp;"/09/2026",'Data Base hauling'!$E$2:$E$2000)))*'Data Base hauling'!$N$2:$N$2000)</f>
        <v>0</v>
      </c>
      <c r="HG23" s="24"/>
      <c r="HH23" s="24">
        <f>SUMPRODUCT(('Data Base hauling'!$C$2:$C$2000="TCM-ROM NB-ROM 5")*(ISNUMBER(SEARCH(TEXT('September TCM'!$B23,"00")&amp;"/09/2026",'Data Base hauling'!$E$2:$E$2000)))*'Data Base hauling'!$N$2:$N$2000)</f>
        <v>0</v>
      </c>
      <c r="HI23" s="24"/>
      <c r="HJ23" s="24">
        <f>SUMPRODUCT(('Data Base hauling'!$C$2:$C$2000="TCM-ROM NB-ROM 6")*(ISNUMBER(SEARCH(TEXT('September TCM'!$B23,"00")&amp;"/09/2026",'Data Base hauling'!$E$2:$E$2000)))*'Data Base hauling'!$N$2:$N$2000)</f>
        <v>0</v>
      </c>
      <c r="HK23" s="24"/>
      <c r="HL23" s="24">
        <f>SUMPRODUCT(('Data Base hauling'!$C$2:$C$2000="TCM-WASH-CR3")*(ISNUMBER(SEARCH(TEXT('September TCM'!$B23,"00")&amp;"/09/2026",'Data Base hauling'!$E$2:$E$2000)))*'Data Base hauling'!$N$2:$N$2000)</f>
        <v>0</v>
      </c>
      <c r="HM23" s="27"/>
      <c r="HN23" s="28">
        <f t="shared" si="131"/>
        <v>0</v>
      </c>
      <c r="HO23" s="36"/>
      <c r="HP23" s="27"/>
      <c r="HQ23" s="27"/>
      <c r="HR23" s="27"/>
      <c r="HS23" s="27"/>
      <c r="HT23" s="27"/>
      <c r="HU23" s="27">
        <f t="array" ref="HU23">SUMPRODUCT(('Data Base hauling'!$C$2:$C$2000="TCM-ROM SB1 BK05-ROM 4")*(ISNUMBER(SEARCH(TEXT('September TCM'!$B23,"00")&amp;"/03/2026",'Data Base hauling'!$E$2:$E$2000)))*'Data Base hauling'!$N$2:$N$2000)</f>
        <v>0</v>
      </c>
      <c r="HV23" s="27"/>
      <c r="HW23" s="27">
        <f t="array" ref="HW23">SUMPRODUCT(('Data Base hauling'!$C$2:$C$2000="TCM-ROM SB1 BK05-ROM 5")*(ISNUMBER(SEARCH(TEXT('September TCM'!$B23,"00")&amp;"/03/2026",'Data Base hauling'!$E$2:$E$2000)))*'Data Base hauling'!$N$2:$N$2000)</f>
        <v>0</v>
      </c>
      <c r="HX23" s="27"/>
      <c r="HY23" s="27"/>
      <c r="HZ23" s="27"/>
      <c r="IA23" s="27"/>
      <c r="IB23" s="27"/>
      <c r="IC23" s="33">
        <f t="shared" si="48"/>
        <v>0</v>
      </c>
      <c r="ID23" s="52"/>
      <c r="IE23" s="152"/>
      <c r="IF23" s="53"/>
      <c r="IG23" s="53"/>
      <c r="IH23" s="53"/>
      <c r="II23" s="53"/>
      <c r="IJ23" s="1926">
        <f>SUMPRODUCT(('Data Base hauling'!$C$2:$C$2000="TCM-ROM SB1 BK05-ROM 4")*(ISNUMBER(SEARCH(TEXT('September TCM'!$B23,"00")&amp;"/09/2026",'Data Base hauling'!$E$2:$E$2000)))*'Data Base hauling'!$N$2:$N$2000)</f>
        <v>0</v>
      </c>
      <c r="IK23" s="1926"/>
      <c r="IL23" s="1926">
        <f>SUMPRODUCT(('Data Base hauling'!$C$2:$C$2000="TCM-ROM SB1 BK05-ROM 5")*(ISNUMBER(SEARCH(TEXT('September TCM'!$B23,"00")&amp;"/09/2026",'Data Base hauling'!$E$2:$E$2000)))*'Data Base hauling'!$N$2:$N$2000)</f>
        <v>0</v>
      </c>
      <c r="IM23" s="49"/>
      <c r="IN23" s="49">
        <f>SUMPRODUCT(('Data Base hauling'!$C$2:$C$2000="TCM-ROM SB1 BK05-ROM 6")*(ISNUMBER(SEARCH(TEXT('September TCM'!$B23,"00")&amp;"/09/2026",'Data Base hauling'!$E$2:$E$2000)))*'Data Base hauling'!$N$2:$N$2000)</f>
        <v>0</v>
      </c>
      <c r="IO23" s="49"/>
      <c r="IP23" s="49"/>
      <c r="IQ23" s="49">
        <f>SUMPRODUCT(('Data Base hauling'!$C$2:$C$2000="TCM-HAC1 (Production)-ROM 2(HAC)")*(ISNUMBER(SEARCH(TEXT('September TCM'!$B23,"00")&amp;"/09/2026",'Data Base hauling'!$E$2:$E$2000)))*'Data Base hauling'!$N$2:$N$2000)</f>
        <v>0</v>
      </c>
      <c r="IR23" s="2195">
        <f t="shared" si="132"/>
        <v>0</v>
      </c>
      <c r="IS23" s="36"/>
      <c r="IT23" s="36"/>
      <c r="IU23" s="27"/>
      <c r="IV23" s="27"/>
      <c r="IW23" s="53"/>
      <c r="IX23" s="27"/>
      <c r="IY23" s="24">
        <f>SUMPRODUCT(('Data Base hauling'!$C$2:$C$2000="TCM-ROM SB2 BK24-ROM 4")*(ISNUMBER(SEARCH(TEXT('September TCM'!$B23,"00")&amp;"/09/2026",'Data Base hauling'!$E$2:$E$2000)))*'Data Base hauling'!$N$2:$N$2000)</f>
        <v>0</v>
      </c>
      <c r="IZ23" s="24"/>
      <c r="JA23" s="24">
        <f>SUMPRODUCT(('Data Base hauling'!$C$2:$C$2000="TCM-ROM SB2 BK24-ROM 5")*(ISNUMBER(SEARCH(TEXT('September TCM'!$B23,"00")&amp;"/09/2026",'Data Base hauling'!$E$2:$E$2000)))*'Data Base hauling'!$N$2:$N$2000)</f>
        <v>0</v>
      </c>
      <c r="JB23" s="24"/>
      <c r="JC23" s="24">
        <f>SUMPRODUCT(('Data Base hauling'!$C$2:$C$2000="TCM-ROM SB2 BK24-ROM 6")*(ISNUMBER(SEARCH(TEXT('September TCM'!$B23,"00")&amp;"/09/2026",'Data Base hauling'!$E$2:$E$2000)))*'Data Base hauling'!$N$2:$N$2000)</f>
        <v>0</v>
      </c>
      <c r="JD23" s="27"/>
      <c r="JE23" s="27"/>
      <c r="JF23" s="27"/>
      <c r="JG23" s="33">
        <f t="shared" si="133"/>
        <v>0</v>
      </c>
      <c r="JH23" s="2667"/>
      <c r="JJ23" s="2014">
        <f>SUMPRODUCT(('Data Base hauling'!$O$2:$O$2000="TCM.HCV.LS")*(ISNUMBER(SEARCH(TEXT('September TCM'!$B23,"00")&amp;"/09/2026",'Data Base hauling'!$E$2:$E$2000)))*'Data Base hauling'!$N$2:$N$2000)</f>
        <v>0</v>
      </c>
      <c r="JK23" s="2015">
        <f>SUMPRODUCT(('Data Base hauling'!$O$2:$O$2000="TCM.HCV.HS")*(ISNUMBER(SEARCH(TEXT('September TCM'!$B23,"00")&amp;"/09/2026",'Data Base hauling'!$E$2:$E$2000)))*'Data Base hauling'!$N$2:$N$2000)</f>
        <v>0</v>
      </c>
      <c r="JL23" s="53"/>
      <c r="JM23" s="1736">
        <f t="shared" si="51"/>
        <v>0</v>
      </c>
      <c r="JN23" s="33"/>
      <c r="JO23" s="2669"/>
      <c r="JP23" s="66" t="str">
        <f>IFERROR(SUMPRODUCT(('Data Base hauling'!$O$2:$O$2000="TCM.HCV.LS")*('Data Base hauling'!$C$2:$C$2000="TCM-ROM NB-ROM 1")*(ISNUMBER(SEARCH(TEXT('September TCM'!$B23,"00")&amp;"/09/2026",'Data Base hauling'!$E$2:$E$2000)))*'Data Base hauling'!$N$2:$N$2000)/'September TCM'!$JJ23,"")</f>
        <v/>
      </c>
      <c r="JQ23" s="67" t="str">
        <f>IFERROR(SUMPRODUCT(('Data Base hauling'!$O$2:$O$2000="TCM.HCV.LS")*('Data Base hauling'!$C$2:$C$2000="TCM-ROM NB-ROM 2")*(ISNUMBER(SEARCH(TEXT('September TCM'!$B23,"00")&amp;"/09/2026",'Data Base hauling'!$E$2:$E$2000)))*'Data Base hauling'!$N$2:$N$2000)/'September TCM'!$JJ23,"")</f>
        <v/>
      </c>
      <c r="JR23" s="67" t="str">
        <f>IFERROR(SUMPRODUCT(('Data Base hauling'!$O$2:$O$2000="TCM.HCV.LS")*('Data Base hauling'!$C$2:$C$2000="TCM-ROM NB-ROM 3")*(ISNUMBER(SEARCH(TEXT('September TCM'!$B23,"00")&amp;"/09/2026",'Data Base hauling'!$E$2:$E$2000)))*'Data Base hauling'!$N$2:$N$2000)/'September TCM'!$JJ23,"")</f>
        <v/>
      </c>
      <c r="JS23" s="67" t="str">
        <f>IFERROR(SUMPRODUCT(('Data Base hauling'!$O$2:$O$2000="TCM.HCV.LS")*('Data Base hauling'!$C$2:$C$2000="TCM-ROM SB1 BK05-ROM 4")*(ISNUMBER(SEARCH(TEXT('September TCM'!$B23,"00")&amp;"/09/2026",'Data Base hauling'!$E$2:$E$2000)))*'Data Base hauling'!$N$2:$N$2000)/'September TCM'!$JJ23,"")</f>
        <v/>
      </c>
      <c r="JT23" s="67" t="str">
        <f>IFERROR(SUMPRODUCT(('Data Base hauling'!$O$2:$O$2000="TCM.HCV.LS")*SIGN(('Data Base hauling'!$C$2:$C$2000="TCM-ROM NB-ROM 5")+('Data Base hauling'!$C$2:$C$2000="TCM-ROM SB1 BK05-ROM 5")+('Data Base hauling'!$C$2:$C$2000="TCM-ROM SB2 BK24-ROM 5"))*(ISNUMBER(SEARCH(TEXT('September TCM'!$B23,"00")&amp;"/09/2026",'Data Base hauling'!$E$2:$E$2000)))*'Data Base hauling'!$N$2:$N$2000)/'September TCM'!$JJ23,"")</f>
        <v/>
      </c>
      <c r="JU23" s="67" t="str">
        <f>IFERROR(SUMPRODUCT(('Data Base hauling'!$O$2:$O$2000="TCM.HCV.LS")*SIGN(('Data Base hauling'!$C$2:$C$2000="TCM-ROM NB-ROM 6")+('Data Base hauling'!$C$2:$C$2000="TCM-ROM SB1 BK05-ROM 6")+('Data Base hauling'!$C$2:$C$2000="TCM-ROM SB2 BK24-ROM 6"))*(ISNUMBER(SEARCH(TEXT('September TCM'!$B23,"00")&amp;"/09/2026",'Data Base hauling'!$E$2:$E$2000)))*'Data Base hauling'!$N$2:$N$2000)/'September TCM'!$JJ23,"")</f>
        <v/>
      </c>
      <c r="JV23" s="67" t="str">
        <f>IFERROR(SUMPRODUCT(('Data Base hauling'!$O$2:$O$2000="TCM.HCV.LS")*('Data Base hauling'!$C$2:$C$2000="TCM-WASH-CR3")*(ISNUMBER(SEARCH(TEXT('September TCM'!$B23,"00")&amp;"/09/2026",'Data Base hauling'!$E$2:$E$2000)))*'Data Base hauling'!$N$2:$N$2000)/'September TCM'!$JJ23,"")</f>
        <v/>
      </c>
      <c r="JW23" s="1921">
        <f>SUMPRODUCT(('Data Base hauling'!$O$2:$O$2000="TCM.HCV.LS")*('Data Base hauling'!$C$2:$C$2000="TCM-HAC-CR3")*(ISNUMBER(SEARCH(TEXT('September TCM'!$B23,"00")&amp;"/089/2026",'Data Base hauling'!$E$2:$E$2000)))*'Data Base hauling'!$N$2:$N$2000)</f>
        <v>0</v>
      </c>
      <c r="JX23" s="66" t="str">
        <f>IFERROR(SUMPRODUCT(('Data Base hauling'!$O$2:$O$2000="TCM.HCV.HS")*('Data Base hauling'!$C$2:$C$2000="TCM-ROM NB-ROM 1")*(ISNUMBER(SEARCH(TEXT('September TCM'!$B23,"00")&amp;"/09/2026",'Data Base hauling'!$E$2:$E$2000)))*'Data Base hauling'!$N$2:$N$2000)/'September TCM'!$JK23,"")</f>
        <v/>
      </c>
      <c r="JY23" s="67" t="str">
        <f>IFERROR(SUMPRODUCT(('Data Base hauling'!$O$2:$O$2000="TCM.HCV.HS")*('Data Base hauling'!$C$2:$C$2000="TCM-ROM NB-ROM 2")*(ISNUMBER(SEARCH(TEXT('September TCM'!$B23,"00")&amp;"/09/2026",'Data Base hauling'!$E$2:$E$2000)))*'Data Base hauling'!$N$2:$N$2000)/'September TCM'!$JK23,"")</f>
        <v/>
      </c>
      <c r="JZ23" s="67" t="str">
        <f>IFERROR(SUMPRODUCT(('Data Base hauling'!$O$2:$O$2000="TCM.HCV.HS")*('Data Base hauling'!$C$2:$C$2000="TCM-ROM NB-ROM 3")*(ISNUMBER(SEARCH(TEXT('September TCM'!$B23,"00")&amp;"/09/2026",'Data Base hauling'!$E$2:$E$2000)))*'Data Base hauling'!$N$2:$N$2000)/'September TCM'!$JK23,"")</f>
        <v/>
      </c>
      <c r="KA23" s="67" t="str">
        <f>IFERROR(SUMPRODUCT(('Data Base hauling'!$O$2:$O$2000="TCM.HCV.HS")*('Data Base hauling'!$C$2:$C$2000="TCM-ROM SB1 BK05-ROM 4")*(ISNUMBER(SEARCH(TEXT('September TCM'!$B23,"00")&amp;"/09/2026",'Data Base hauling'!$E$2:$E$2000)))*'Data Base hauling'!$N$2:$N$2000)/'September TCM'!$JK23,"")</f>
        <v/>
      </c>
      <c r="KB23" s="67" t="str">
        <f>IFERROR(SUMPRODUCT(('Data Base hauling'!$O$2:$O$2000="TCM.HCV.HS")*SIGN(('Data Base hauling'!$C$2:$C$2000="TCM-ROM NB-ROM 5")+('Data Base hauling'!$C$2:$C$2000="TCM-ROM SB1 BK05-ROM 5")+('Data Base hauling'!$C$2:$C$2000="TCM-ROM SB2 BK24-ROM 5"))*(ISNUMBER(SEARCH(TEXT('September TCM'!$B23,"00")&amp;"/09/2026",'Data Base hauling'!$E$2:$E$2000)))*'Data Base hauling'!$N$2:$N$2000)/'September TCM'!$JK23,"")</f>
        <v/>
      </c>
      <c r="KC23" s="67" t="str">
        <f>IFERROR(SUMPRODUCT(('Data Base hauling'!$O$2:$O$2000="TCM.HCV.HS")*SIGN(('Data Base hauling'!$C$2:$C$2000="TCM-ROM NB-ROM 6")+('Data Base hauling'!$C$2:$C$2000="TCM-ROM SB1 BK05-ROM 6")+('Data Base hauling'!$C$2:$C$2000="TCM-ROM SB2 BK24-ROM 6"))*(ISNUMBER(SEARCH(TEXT('September TCM'!$B23,"00")&amp;"/09/2026",'Data Base hauling'!$E$2:$E$2000)))*'Data Base hauling'!$N$2:$N$2000)/'September TCM'!$JK23,"")</f>
        <v/>
      </c>
      <c r="KD23" s="67" t="str">
        <f>IFERROR(SUMPRODUCT(('Data Base hauling'!$O$2:$O$2000="TCM.HCV.HS")*('Data Base hauling'!$C$2:$C$2000="TCM-WASH-CR3")*(ISNUMBER(SEARCH(TEXT('September TCM'!$B23,"00")&amp;"/09/2026",'Data Base hauling'!$E$2:$E$2000)))*'Data Base hauling'!$N$2:$N$2000)/'September TCM'!$JK23,"")</f>
        <v/>
      </c>
      <c r="KE23" s="68" t="str">
        <f>IFERROR(SUMPRODUCT(('Data Base hauling'!$O$2:$O$2000="TCM.HCV.HS")*('Data Base hauling'!$C$2:$C$2000="TCM-HAC-CR3")*(ISNUMBER(SEARCH(TEXT('September TCM'!$B23,"00")&amp;"/09/2026",'Data Base hauling'!$E$2:$E$2000)))*'Data Base hauling'!$N$2:$N$2000)/'September TCM'!$JK23,"")</f>
        <v/>
      </c>
      <c r="KF23" s="69"/>
      <c r="KG23" s="70"/>
      <c r="KH23" s="70"/>
      <c r="KI23" s="70"/>
      <c r="KJ23" s="70"/>
      <c r="KK23" s="70"/>
      <c r="KL23" s="70"/>
      <c r="KM23" s="70"/>
      <c r="KN23" s="33"/>
      <c r="KO23" s="2669"/>
      <c r="KP23" s="2203">
        <f>IFERROR(SUMPRODUCT((TCM.HCV.LS!$A$3:$A$58=DATE(2026,9,$B23))*(TCM.HCV.LS!$O$3:$O$58&gt;0)*TCM.HCV.LS!$C$3:$C$58*TCM.HCV.LS!$O$3:$O$58)/SUMPRODUCT((TCM.HCV.LS!$A$3:$A$58=DATE(2026,9,$B23))*(TCM.HCV.LS!$O$3:$O$58&gt;0)*TCM.HCV.LS!$C$3:$C$58),0)</f>
        <v>0</v>
      </c>
      <c r="KQ23" s="1721">
        <f>IFERROR(SUMPRODUCT((TCM.HCV.LS!$A$3:$A$58=DATE(2026,9,$B23))*(TCM.HCV.LS!$M$3:$M$58&gt;0)*TCM.HCV.LS!$C$3:$C$58*TCM.HCV.LS!$M$3:$M$58)/SUMPRODUCT((TCM.HCV.LS!$A$3:$A$58=DATE(2026,9,$B23))*(TCM.HCV.LS!$M$3:$M$58&gt;0)*TCM.HCV.LS!$C$3:$C$58),0)</f>
        <v>0</v>
      </c>
      <c r="KR23" s="1721">
        <f>IFERROR(SUMPRODUCT((TCM.HCV.LS!$A$3:$A$58=DATE(2026,9,$B23))*(TCM.HCV.LS!$G$3:$G$58&gt;0)*TCM.HCV.LS!$C$3:$C$58*TCM.HCV.LS!$G$3:$G$58)/SUMPRODUCT((TCM.HCV.LS!$A$3:$A$58=DATE(2026,9,$B23))*(TCM.HCV.LS!$G$3:$G$58&gt;0)*TCM.HCV.LS!$C$3:$C$58),0)</f>
        <v>0</v>
      </c>
      <c r="KS23" s="1721">
        <f>IFERROR(SUMPRODUCT((TCM.HCV.LS!$A$3:$A$58=DATE(2026,9,$B23))*(TCM.HCV.LS!$F$3:$F$58&gt;0)*TCM.HCV.LS!$C$3:$C$58*TCM.HCV.LS!$F$3:$F$58)/SUMPRODUCT((TCM.HCV.LS!$A$3:$A$58=DATE(2026,9,$B23))*(TCM.HCV.LS!$F$3:$F$58&gt;0)*TCM.HCV.LS!$C$3:$C$58),0)</f>
        <v>0</v>
      </c>
      <c r="KT23" s="1722">
        <f>IFERROR(SUMPRODUCT((TCM.HCV.LS!$A$3:$A$58=DATE(2026,9,$B23))*(TCM.HCV.LS!$E$3:$E$58&gt;0)*TCM.HCV.LS!$C$3:$C$58*TCM.HCV.LS!$E$3:$E$58)/SUMPRODUCT((TCM.HCV.LS!$A$3:$A$58=DATE(2026,9,$B23))*(TCM.HCV.LS!$E$3:$E$58&gt;0)*TCM.HCV.LS!$C$3:$C$58),0)</f>
        <v>0</v>
      </c>
      <c r="KU23" s="1958">
        <f>IFERROR(SUMPRODUCT((TCM.HCV.HS!$A$3:$A$84=DATE(2026,9,$B23))*(TCM.HCV.HS!$O$3:$O$84&gt;0)*TCM.HCV.HS!$C$3:$C$84*TCM.HCV.HS!$O$3:$O$84)/SUMPRODUCT((TCM.HCV.HS!$A$3:$A$84=DATE(2026,9,$B23))*(TCM.HCV.HS!$O$3:$O$84&gt;0)*TCM.HCV.HS!$C$3:$C$84),0)</f>
        <v>0</v>
      </c>
      <c r="KV23" s="1961">
        <f>IFERROR(SUMPRODUCT((TCM.HCV.HS!$A$3:$A$84=DATE(2026,9,$B23))*(TCM.HCV.HS!$M$3:$M$84&gt;0)*TCM.HCV.HS!$C$3:$C$84*TCM.HCV.HS!$M$3:$M$84)/SUMPRODUCT((TCM.HCV.HS!$A$3:$A$84=DATE(2026,9,$B23))*(TCM.HCV.HS!$M$3:$M$84&gt;0)*TCM.HCV.HS!$C$3:$C$84),0)</f>
        <v>0</v>
      </c>
      <c r="KW23" s="1961">
        <f>IFERROR(SUMPRODUCT((TCM.HCV.HS!$A$3:$A$84=DATE(2026,9,$B23))*(TCM.HCV.HS!$G$3:$G$84&gt;0)*TCM.HCV.HS!$C$3:$C$84*TCM.HCV.HS!$G$3:$G$84)/SUMPRODUCT((TCM.HCV.HS!$A$3:$A$84=DATE(2026,9,$B23))*(TCM.HCV.HS!$G$3:$G$84&gt;0)*TCM.HCV.HS!$C$3:$C$84),0)</f>
        <v>0</v>
      </c>
      <c r="KX23" s="1961">
        <f>IFERROR(SUMPRODUCT((TCM.HCV.HS!$A$3:$A$84=DATE(2026,9,$B23))*(TCM.HCV.HS!$F$3:$F$84&gt;0)*TCM.HCV.HS!$C$3:$C$84*TCM.HCV.HS!$F$3:$F$84)/SUMPRODUCT((TCM.HCV.HS!$A$3:$A$84=DATE(2026,9,$B23))*(TCM.HCV.HS!$F$3:$F$84&gt;0)*TCM.HCV.HS!$C$3:$C$84),0)</f>
        <v>0</v>
      </c>
      <c r="KY23" s="1962">
        <f>IFERROR(SUMPRODUCT((TCM.HCV.HS!$A$3:$A$84=DATE(2026,9,$B23))*(TCM.HCV.HS!$E$3:$E$84&gt;0)*TCM.HCV.HS!$C$3:$C$84*TCM.HCV.HS!$E$3:$E$84)/SUMPRODUCT((TCM.HCV.HS!$A$3:$A$84=DATE(2026,9,$B23))*(TCM.HCV.HS!$E$3:$E$84&gt;0)*TCM.HCV.HS!$C$3:$C$84),0)</f>
        <v>0</v>
      </c>
      <c r="KZ23" s="36"/>
      <c r="LA23" s="53"/>
      <c r="LB23" s="53"/>
      <c r="LC23" s="53"/>
      <c r="LD23" s="53"/>
      <c r="LE23" s="33"/>
      <c r="LF23" s="2669"/>
      <c r="LH23" s="4">
        <f t="shared" si="52"/>
        <v>0</v>
      </c>
      <c r="LI23" s="27">
        <f t="shared" si="52"/>
        <v>0</v>
      </c>
      <c r="LJ23" s="27">
        <f t="shared" si="52"/>
        <v>0</v>
      </c>
      <c r="LK23" s="28">
        <f t="shared" si="53"/>
        <v>0</v>
      </c>
      <c r="LL23" s="36"/>
      <c r="LM23" s="27"/>
      <c r="LN23" s="27"/>
      <c r="LO23" s="33"/>
      <c r="LP23" s="1957"/>
      <c r="LQ23" s="486"/>
      <c r="LR23" s="2688"/>
      <c r="LS23" s="2269"/>
      <c r="LT23" s="36"/>
      <c r="LU23" s="27"/>
      <c r="LV23" s="27"/>
      <c r="LW23" s="27"/>
      <c r="LX23" s="2505">
        <f t="shared" si="129"/>
        <v>0</v>
      </c>
      <c r="LY23" s="36"/>
      <c r="LZ23" s="2269"/>
      <c r="MA23" s="27"/>
      <c r="MB23" s="27"/>
      <c r="MC23" s="33"/>
      <c r="MD23" s="1906">
        <f>SUM(LY23:MC23)</f>
        <v>0</v>
      </c>
      <c r="ME23" s="26"/>
      <c r="MF23" s="36"/>
      <c r="MG23" s="27"/>
      <c r="MH23" s="27"/>
      <c r="MI23" s="27"/>
      <c r="MJ23" s="28"/>
      <c r="MK23" s="36"/>
      <c r="ML23" s="36"/>
      <c r="MM23" s="27"/>
      <c r="MN23" s="27"/>
      <c r="MO23" s="27"/>
      <c r="MP23" s="28"/>
      <c r="MQ23" s="36"/>
      <c r="MR23" s="36"/>
      <c r="MS23" s="27"/>
      <c r="MT23" s="27"/>
      <c r="MU23" s="27"/>
      <c r="MV23" s="33">
        <f t="shared" si="56"/>
        <v>0</v>
      </c>
      <c r="MW23" s="2688"/>
      <c r="MY23" s="26">
        <f t="shared" si="57"/>
        <v>377341.84766611259</v>
      </c>
      <c r="MZ23" s="27">
        <f t="shared" si="58"/>
        <v>191281.80302645115</v>
      </c>
      <c r="NA23" s="27">
        <f t="shared" si="59"/>
        <v>27294.683787707359</v>
      </c>
      <c r="NB23" s="28">
        <f t="shared" si="60"/>
        <v>318297.33035698003</v>
      </c>
      <c r="NC23" s="2621"/>
      <c r="ND23" s="23">
        <f t="shared" si="116"/>
        <v>207724.34280113198</v>
      </c>
      <c r="NE23" s="1655">
        <f t="shared" si="117"/>
        <v>169617.50486498058</v>
      </c>
      <c r="NF23" s="60">
        <f t="shared" si="63"/>
        <v>0</v>
      </c>
      <c r="NG23" s="275">
        <f t="shared" si="4"/>
        <v>377341.84766611259</v>
      </c>
      <c r="NH23" s="26">
        <f t="shared" si="64"/>
        <v>-313.35000000000002</v>
      </c>
      <c r="NI23" s="27">
        <f t="shared" si="64"/>
        <v>0</v>
      </c>
      <c r="NJ23" s="27">
        <f t="shared" si="64"/>
        <v>0</v>
      </c>
      <c r="NK23" s="27">
        <f t="shared" si="64"/>
        <v>0</v>
      </c>
      <c r="NL23" s="27">
        <f t="shared" si="64"/>
        <v>0</v>
      </c>
      <c r="NM23" s="33">
        <f t="shared" si="64"/>
        <v>0</v>
      </c>
      <c r="NN23" s="27">
        <f t="shared" si="64"/>
        <v>0</v>
      </c>
      <c r="NO23" s="36">
        <f t="shared" si="64"/>
        <v>0</v>
      </c>
      <c r="NP23" s="24">
        <f t="shared" si="64"/>
        <v>21665.870136227244</v>
      </c>
      <c r="NQ23" s="27">
        <f t="shared" si="64"/>
        <v>22358.939343794715</v>
      </c>
      <c r="NR23" s="24">
        <f t="shared" si="118"/>
        <v>8443.1982322711574</v>
      </c>
      <c r="NS23" s="24">
        <f t="shared" si="119"/>
        <v>9895.3380410535083</v>
      </c>
      <c r="NT23" s="27">
        <f t="shared" si="0"/>
        <v>62049.995753346629</v>
      </c>
      <c r="NU23" s="27">
        <f t="shared" si="65"/>
        <v>0</v>
      </c>
      <c r="NV23" s="27">
        <f t="shared" si="65"/>
        <v>0</v>
      </c>
      <c r="NW23" s="27">
        <f t="shared" si="65"/>
        <v>0</v>
      </c>
      <c r="NX23" s="27">
        <f t="shared" si="65"/>
        <v>0</v>
      </c>
      <c r="NY23" s="27">
        <f t="shared" si="65"/>
        <v>0</v>
      </c>
      <c r="NZ23" s="5">
        <f t="shared" si="65"/>
        <v>0</v>
      </c>
      <c r="OA23" s="27">
        <f t="shared" si="65"/>
        <v>35558.705564997217</v>
      </c>
      <c r="OB23" s="27">
        <f t="shared" si="65"/>
        <v>0</v>
      </c>
      <c r="OC23" s="27">
        <f t="shared" si="66"/>
        <v>12611.886475620366</v>
      </c>
      <c r="OD23" s="280"/>
      <c r="OE23" s="27">
        <f t="shared" si="120"/>
        <v>13429.316718063665</v>
      </c>
      <c r="OF23" s="27">
        <f t="shared" si="67"/>
        <v>0</v>
      </c>
      <c r="OG23" s="28">
        <f t="shared" si="1"/>
        <v>61599.908758681253</v>
      </c>
      <c r="OH23" s="27">
        <f t="shared" si="68"/>
        <v>0</v>
      </c>
      <c r="OI23" s="27">
        <f t="shared" si="68"/>
        <v>0</v>
      </c>
      <c r="OJ23" s="27">
        <v>0</v>
      </c>
      <c r="OK23" s="27">
        <f t="shared" si="68"/>
        <v>0</v>
      </c>
      <c r="OL23" s="27">
        <f t="shared" si="68"/>
        <v>0</v>
      </c>
      <c r="OM23" s="27">
        <f t="shared" si="68"/>
        <v>0</v>
      </c>
      <c r="ON23" s="24">
        <f t="shared" si="68"/>
        <v>0</v>
      </c>
      <c r="OO23" s="27">
        <f t="shared" si="68"/>
        <v>0</v>
      </c>
      <c r="OP23" s="24">
        <f t="shared" si="69"/>
        <v>54054.217649249818</v>
      </c>
      <c r="OQ23" s="27">
        <f t="shared" si="70"/>
        <v>0</v>
      </c>
      <c r="OR23" s="24">
        <f t="shared" si="70"/>
        <v>13577.680865173457</v>
      </c>
      <c r="OS23" s="27">
        <f t="shared" si="70"/>
        <v>0</v>
      </c>
      <c r="OT23" s="28">
        <f t="shared" si="2"/>
        <v>67631.898514423272</v>
      </c>
      <c r="OU23" s="36"/>
      <c r="OV23" s="27"/>
      <c r="OW23" s="27"/>
      <c r="OX23" s="27"/>
      <c r="OY23" s="27"/>
      <c r="OZ23" s="27"/>
      <c r="PA23" s="28">
        <f t="shared" si="71"/>
        <v>0</v>
      </c>
      <c r="PB23" s="36">
        <f t="shared" si="72"/>
        <v>0</v>
      </c>
      <c r="PC23" s="27">
        <f t="shared" si="73"/>
        <v>0</v>
      </c>
      <c r="PD23" s="27">
        <f t="shared" si="74"/>
        <v>0</v>
      </c>
      <c r="PE23" s="27">
        <f t="shared" si="75"/>
        <v>0</v>
      </c>
      <c r="PF23" s="24"/>
      <c r="PG23" s="27">
        <f t="shared" si="76"/>
        <v>0</v>
      </c>
      <c r="PH23" s="33">
        <f t="shared" si="3"/>
        <v>0</v>
      </c>
      <c r="PI23" s="2621"/>
      <c r="PK23" s="1907">
        <f>SUMPRODUCT(('Data Base Coal Wining'!$D$2:$D$2000="WASHING PLANT")*ISNUMBER(SEARCH(TEXT('September TCM'!$B23,"00")&amp;"/09/2026",'Data Base Coal Wining'!$E$2:$E$2000))*'Data Base Coal Wining'!$N$2:$N$2000)</f>
        <v>0</v>
      </c>
      <c r="PL23" s="1101"/>
      <c r="PM23" s="1101"/>
      <c r="PN23" s="488">
        <f t="shared" si="77"/>
        <v>0</v>
      </c>
      <c r="PO23" s="3">
        <f t="shared" si="78"/>
        <v>38895.633435124721</v>
      </c>
      <c r="PP23" s="11">
        <f t="shared" si="79"/>
        <v>27294.683787707359</v>
      </c>
      <c r="PQ23" s="15"/>
      <c r="PR23" s="2615"/>
      <c r="PT23" s="4"/>
      <c r="PU23" s="9"/>
      <c r="PV23" s="9"/>
      <c r="PW23" s="9"/>
      <c r="PX23" s="8">
        <f>SUMPRODUCT(('Data Base Coal Wining'!$D$2:$D$2000="TCM-ROM SB1 BK05-ROM 2 (HAC)")*('Data Base Coal Wining'!$G$2:$G$2000="Coal Winning")*ISNUMBER(SEARCH(TEXT('September TCM'!$B23,"00")&amp;"/09/2026",'Data Base Coal Wining'!$E$2:$E$2000))*'Data Base Coal Wining'!$N$2:$N$2000)</f>
        <v>0</v>
      </c>
      <c r="PY23" s="9"/>
      <c r="PZ23" s="8">
        <f t="shared" si="80"/>
        <v>0</v>
      </c>
      <c r="QA23" s="5">
        <f t="shared" si="81"/>
        <v>0</v>
      </c>
      <c r="QB23" s="5"/>
      <c r="QC23" s="5"/>
      <c r="QD23" s="5"/>
      <c r="QE23" s="5"/>
      <c r="QF23" s="5"/>
      <c r="QG23" s="12"/>
      <c r="QH23" s="12">
        <f t="shared" si="82"/>
        <v>29562.488999999998</v>
      </c>
      <c r="QI23" s="420">
        <f t="shared" si="83"/>
        <v>283762.59090898006</v>
      </c>
      <c r="QJ23" s="1106">
        <f t="shared" si="121"/>
        <v>4972.2504480000007</v>
      </c>
      <c r="QK23" s="484">
        <f t="shared" si="84"/>
        <v>5505.3678056099998</v>
      </c>
      <c r="QL23" s="12"/>
      <c r="QM23" s="2615"/>
      <c r="QO23" s="139" t="str">
        <f t="shared" si="85"/>
        <v/>
      </c>
      <c r="QP23" s="139" t="str">
        <f t="shared" si="86"/>
        <v/>
      </c>
      <c r="QR23" s="139" t="str">
        <f t="shared" si="87"/>
        <v/>
      </c>
      <c r="QS23" s="139" t="str">
        <f t="shared" si="88"/>
        <v/>
      </c>
      <c r="QU23" s="1">
        <f t="shared" si="89"/>
        <v>0</v>
      </c>
      <c r="QV23" s="1">
        <f t="shared" si="90"/>
        <v>0</v>
      </c>
      <c r="QW23" s="1">
        <f t="shared" si="91"/>
        <v>0</v>
      </c>
      <c r="QX23" s="1">
        <f t="shared" si="92"/>
        <v>0</v>
      </c>
      <c r="QY23" s="1">
        <f t="shared" si="93"/>
        <v>0</v>
      </c>
      <c r="QZ23" s="1">
        <f t="shared" si="94"/>
        <v>0</v>
      </c>
      <c r="RB23" s="1">
        <f t="shared" si="95"/>
        <v>0</v>
      </c>
      <c r="RC23" s="1">
        <f t="shared" si="96"/>
        <v>0</v>
      </c>
      <c r="RD23" s="1">
        <f t="shared" si="97"/>
        <v>0</v>
      </c>
      <c r="RE23" s="1">
        <f t="shared" si="98"/>
        <v>0</v>
      </c>
      <c r="RF23" s="1">
        <f t="shared" si="99"/>
        <v>0</v>
      </c>
      <c r="RG23" s="1">
        <f t="shared" si="100"/>
        <v>0</v>
      </c>
      <c r="RJ23" s="1">
        <v>14</v>
      </c>
      <c r="RK23" s="1">
        <f t="shared" si="135"/>
        <v>5984.4452097170979</v>
      </c>
      <c r="RL23" s="1">
        <f t="shared" si="135"/>
        <v>5074.1017804837184</v>
      </c>
      <c r="RM23" s="1">
        <f t="shared" si="135"/>
        <v>13404.263703387322</v>
      </c>
      <c r="RN23" s="89">
        <f t="shared" si="5"/>
        <v>24462.810693588137</v>
      </c>
      <c r="RO23" s="1033">
        <v>14</v>
      </c>
      <c r="RP23" s="1098">
        <v>0</v>
      </c>
      <c r="RQ23" s="1098">
        <f t="shared" si="102"/>
        <v>0</v>
      </c>
      <c r="RR23" s="1097">
        <f t="shared" si="102"/>
        <v>0</v>
      </c>
      <c r="RS23" s="1097">
        <f t="shared" si="103"/>
        <v>0</v>
      </c>
      <c r="RT23" s="1050"/>
      <c r="RU23" s="1109"/>
      <c r="RV23" s="1048"/>
      <c r="RX23" s="421">
        <v>14</v>
      </c>
      <c r="RY23" s="1095">
        <f t="shared" si="104"/>
        <v>0</v>
      </c>
      <c r="RZ23" s="2512"/>
      <c r="SA23" s="1114"/>
      <c r="SB23" s="1090"/>
      <c r="SC23" s="1090">
        <f t="shared" si="105"/>
        <v>0</v>
      </c>
      <c r="SD23" s="1090"/>
      <c r="SE23" s="1090">
        <f t="shared" si="136"/>
        <v>0</v>
      </c>
      <c r="SG23" s="1">
        <v>14</v>
      </c>
      <c r="SH23" s="1">
        <f t="shared" si="107"/>
        <v>0</v>
      </c>
      <c r="SI23" s="2420"/>
    </row>
    <row r="24" spans="1:503" s="1" customFormat="1" ht="15" customHeight="1">
      <c r="B24" s="471">
        <v>15</v>
      </c>
      <c r="C24" s="1959">
        <f t="shared" si="108"/>
        <v>0</v>
      </c>
      <c r="D24" s="1590">
        <f t="shared" si="128"/>
        <v>0</v>
      </c>
      <c r="E24" s="1895">
        <f t="shared" si="6"/>
        <v>0</v>
      </c>
      <c r="F24" s="870"/>
      <c r="G24" s="870"/>
      <c r="H24" s="52"/>
      <c r="I24" s="61"/>
      <c r="J24" s="52"/>
      <c r="K24" s="54"/>
      <c r="L24" s="52"/>
      <c r="M24" s="61"/>
      <c r="N24" s="2629"/>
      <c r="O24" s="4">
        <f t="shared" si="125"/>
        <v>0</v>
      </c>
      <c r="P24" s="1225">
        <f t="shared" si="7"/>
        <v>0</v>
      </c>
      <c r="Q24" s="1913">
        <f t="shared" si="8"/>
        <v>0</v>
      </c>
      <c r="R24" s="33"/>
      <c r="S24" s="26">
        <f t="shared" si="9"/>
        <v>0</v>
      </c>
      <c r="T24" s="27">
        <f t="shared" si="110"/>
        <v>0</v>
      </c>
      <c r="U24" s="1909">
        <f t="shared" si="10"/>
        <v>0</v>
      </c>
      <c r="V24" s="28"/>
      <c r="W24" s="26">
        <f t="shared" si="11"/>
        <v>0</v>
      </c>
      <c r="X24" s="5">
        <f t="shared" si="11"/>
        <v>0</v>
      </c>
      <c r="Y24" s="1909">
        <f t="shared" si="12"/>
        <v>0</v>
      </c>
      <c r="Z24" s="33"/>
      <c r="AA24" s="26">
        <f t="shared" si="13"/>
        <v>0</v>
      </c>
      <c r="AB24" s="27">
        <f t="shared" si="126"/>
        <v>0</v>
      </c>
      <c r="AC24" s="1909">
        <f t="shared" si="15"/>
        <v>0</v>
      </c>
      <c r="AD24" s="28"/>
      <c r="AE24" s="36"/>
      <c r="AF24" s="36"/>
      <c r="AG24" s="53">
        <f t="shared" si="16"/>
        <v>0</v>
      </c>
      <c r="AH24" s="28"/>
      <c r="AI24" s="23"/>
      <c r="AJ24" s="27"/>
      <c r="AK24" s="53">
        <f t="shared" si="17"/>
        <v>0</v>
      </c>
      <c r="AL24" s="28"/>
      <c r="AM24" s="2629"/>
      <c r="AN24" s="9"/>
      <c r="AO24" s="5"/>
      <c r="AP24" s="61">
        <f t="shared" si="18"/>
        <v>0</v>
      </c>
      <c r="AQ24" s="36"/>
      <c r="AR24" s="53"/>
      <c r="AS24" s="61">
        <f t="shared" si="19"/>
        <v>0</v>
      </c>
      <c r="AT24" s="36">
        <v>0</v>
      </c>
      <c r="AU24" s="27"/>
      <c r="AV24" s="54">
        <f t="shared" si="20"/>
        <v>0</v>
      </c>
      <c r="AW24" s="26"/>
      <c r="AX24" s="280">
        <f>SUMPRODUCT(ISNUMBER(SEARCH("BK20",'Data Base Coal Wining'!$C$2:$C$2000))*ISNUMBER(SEARCH("P3000",'Data Base Coal Wining'!$C$2:$C$2000))*('Data Base Coal Wining'!$H$2:$H$2000="PAMA")*('Data Base Coal Wining'!$G$2:$G$2000="Coal Winning")*ISNUMBER(SEARCH(TEXT('September TCM'!$B24,"00")&amp;"/09/2026",'Data Base Coal Wining'!$E$2:$E$2000))*'Data Base Coal Wining'!$N$2:$N$2000)</f>
        <v>0</v>
      </c>
      <c r="AY24" s="1895">
        <f t="shared" si="134"/>
        <v>0</v>
      </c>
      <c r="AZ24" s="1908"/>
      <c r="BA24" s="1909"/>
      <c r="BB24" s="1895">
        <f t="shared" si="21"/>
        <v>0</v>
      </c>
      <c r="BC24" s="1740"/>
      <c r="BD24" s="2154">
        <f>SUMPRODUCT(ISNUMBER(SEARCH("BK30",'Data Base Coal Wining'!$C$2:$C$2000))*ISNUMBER(SEARCH("P3000",'Data Base Coal Wining'!$C$2:$C$2000))*('Data Base Coal Wining'!$H$2:$H$2000="PAMA")*('Data Base Coal Wining'!$G$2:$G$2000="Coal Winning")*ISNUMBER(SEARCH(TEXT('September TCM'!$B24,"00")&amp;"/09/2026",'Data Base Coal Wining'!$E$2:$E$2000))*'Data Base Coal Wining'!$N$2:$N$2000)</f>
        <v>0</v>
      </c>
      <c r="BE24" s="1895">
        <f t="shared" si="22"/>
        <v>0</v>
      </c>
      <c r="BF24" s="1908"/>
      <c r="BG24" s="1909"/>
      <c r="BH24" s="1895">
        <f t="shared" si="23"/>
        <v>0</v>
      </c>
      <c r="BI24" s="1908">
        <v>0</v>
      </c>
      <c r="BJ24" s="1909">
        <v>0</v>
      </c>
      <c r="BK24" s="1895">
        <f t="shared" si="24"/>
        <v>0</v>
      </c>
      <c r="BL24" s="1742"/>
      <c r="BM24" s="2154">
        <f>SUMPRODUCT(ISNUMBER(SEARCH("BK26",'Data Base Coal Wining'!$C$2:$C$2000))*ISNUMBER(SEARCH("P4400",'Data Base Coal Wining'!$C$2:$C$2000))*('Data Base Coal Wining'!$H$2:$H$2000="MAP")*('Data Base Coal Wining'!$G$2:$G$2000="Coal Winning")*ISNUMBER(SEARCH(TEXT('September TCM'!$B24,"00")&amp;"/09/2026",'Data Base Coal Wining'!$E$2:$E$2000))*'Data Base Coal Wining'!$N$2:$N$2000)</f>
        <v>0</v>
      </c>
      <c r="BN24" s="1941"/>
      <c r="BO24" s="1911">
        <f t="shared" si="25"/>
        <v>0</v>
      </c>
      <c r="BP24" s="9"/>
      <c r="BQ24" s="2514">
        <f>SUMPRODUCT(ISNUMBER(SEARCH("BK34",'Data Base Coal Wining'!$C$2:$C$2000))*ISNUMBER(SEARCH("P4000",'Data Base Coal Wining'!$C$2:$C$2000))*('Data Base Coal Wining'!$H$2:$H$2000="PJPN")*('Data Base Coal Wining'!$G$2:$G$2000="Coal Winning")*ISNUMBER(SEARCH(TEXT('September TCM'!$B24,"00")&amp;"/09/2026",'Data Base Coal Wining'!$E$2:$E$2000))*'Data Base Coal Wining'!$N$2:$N$2000)</f>
        <v>0</v>
      </c>
      <c r="BR24" s="1920">
        <f t="shared" si="26"/>
        <v>0</v>
      </c>
      <c r="BS24" s="9"/>
      <c r="BT24" s="64"/>
      <c r="BU24" s="482">
        <f t="shared" si="27"/>
        <v>0</v>
      </c>
      <c r="BV24" s="9"/>
      <c r="BW24" s="27"/>
      <c r="BX24" s="1051">
        <f t="shared" si="130"/>
        <v>0</v>
      </c>
      <c r="BY24" s="26"/>
      <c r="BZ24" s="27"/>
      <c r="CA24" s="482">
        <f t="shared" si="29"/>
        <v>0</v>
      </c>
      <c r="CB24" s="9"/>
      <c r="CC24" s="481"/>
      <c r="CD24" s="482">
        <f t="shared" si="30"/>
        <v>0</v>
      </c>
      <c r="CE24" s="4"/>
      <c r="CF24" s="5"/>
      <c r="CG24" s="28">
        <f t="shared" si="31"/>
        <v>0</v>
      </c>
      <c r="CH24" s="150"/>
      <c r="CI24" s="1108"/>
      <c r="CJ24" s="5"/>
      <c r="CK24" s="5"/>
      <c r="CL24" s="5"/>
      <c r="CM24" s="5"/>
      <c r="CN24" s="3">
        <f t="shared" si="111"/>
        <v>0</v>
      </c>
      <c r="CO24" s="33"/>
      <c r="CP24" s="366"/>
      <c r="CR24" s="4">
        <f t="shared" si="32"/>
        <v>0</v>
      </c>
      <c r="CS24" s="9">
        <f t="shared" si="32"/>
        <v>0</v>
      </c>
      <c r="CT24" s="5">
        <f t="shared" si="32"/>
        <v>0</v>
      </c>
      <c r="CU24" s="5">
        <f t="shared" si="32"/>
        <v>0</v>
      </c>
      <c r="CV24" s="5">
        <f t="shared" si="32"/>
        <v>0</v>
      </c>
      <c r="CW24" s="5">
        <f t="shared" si="32"/>
        <v>0</v>
      </c>
      <c r="CX24" s="5">
        <f t="shared" si="32"/>
        <v>0</v>
      </c>
      <c r="CY24" s="5">
        <f t="shared" si="32"/>
        <v>0</v>
      </c>
      <c r="CZ24" s="5">
        <f t="shared" si="32"/>
        <v>0</v>
      </c>
      <c r="DA24" s="5">
        <f t="shared" si="32"/>
        <v>0</v>
      </c>
      <c r="DB24" s="5">
        <f t="shared" si="32"/>
        <v>0</v>
      </c>
      <c r="DC24" s="12">
        <f t="shared" si="33"/>
        <v>0</v>
      </c>
      <c r="DD24" s="2168">
        <f t="shared" si="34"/>
        <v>0</v>
      </c>
      <c r="DE24" s="2695"/>
      <c r="DF24" s="8"/>
      <c r="DG24" s="9"/>
      <c r="DH24" s="5"/>
      <c r="DI24" s="5"/>
      <c r="DJ24" s="5"/>
      <c r="DK24" s="5"/>
      <c r="DL24" s="3">
        <f>SUMPRODUCT(('Data Base Coal Wining'!$D$2:$D$2000="TCM-ROM SB1 BK05-ROM 4")*('Data Base Coal Wining'!$G$2:$G$2000="Coal Winning")*ISNUMBER(SEARCH(TEXT('September TCM'!$B24,"00")&amp;"/09/2026",'Data Base Coal Wining'!$E$2:$E$2000))*'Data Base Coal Wining'!$N$2:$N$2000)</f>
        <v>0</v>
      </c>
      <c r="DM24" s="5"/>
      <c r="DN24" s="3">
        <f>SUMPRODUCT(('Data Base Coal Wining'!$D$2:$D$2000="TCM-ROM SB1 BK05-ROM 5")*('Data Base Coal Wining'!$G$2:$G$2000="Coal Winning")*ISNUMBER(SEARCH(TEXT('September TCM'!$B24,"00")&amp;"/09/2026",'Data Base Coal Wining'!$E$2:$E$2000))*'Data Base Coal Wining'!$N$2:$N$2000)</f>
        <v>0</v>
      </c>
      <c r="DO24" s="5"/>
      <c r="DP24" s="3">
        <f>SUMPRODUCT(('Data Base Coal Wining'!$D$2:$D$2000="TCM-ROM SB1 BK05-ROM 6")*('Data Base Coal Wining'!$G$2:$G$2000="Coal Winning")*ISNUMBER(SEARCH(TEXT('September TCM'!$B24,"00")&amp;"/09/2026",'Data Base Coal Wining'!$E$2:$E$2000))*'Data Base Coal Wining'!$N$2:$N$2000)</f>
        <v>0</v>
      </c>
      <c r="DQ24" s="11">
        <f>SUMPRODUCT(('Data Base Coal Wining'!$D$2:$D$2000="TCM-ROM SB1 BK05-ROM 6.1")*('Data Base Coal Wining'!$G$2:$G$2000="Coal Winning")*ISNUMBER(SEARCH(TEXT('September TCM'!$B24,"00")&amp;"/09/2026",'Data Base Coal Wining'!$E$2:$E$2000))*'Data Base Coal Wining'!$N$2:$N$2000)</f>
        <v>0</v>
      </c>
      <c r="DR24" s="12"/>
      <c r="DS24" s="28">
        <f t="shared" si="35"/>
        <v>0</v>
      </c>
      <c r="DT24" s="36"/>
      <c r="DU24" s="9"/>
      <c r="DV24" s="5"/>
      <c r="DW24" s="5"/>
      <c r="DX24" s="5"/>
      <c r="DY24" s="5"/>
      <c r="DZ24" s="5"/>
      <c r="EA24" s="5"/>
      <c r="EB24" s="3">
        <f>SUMPRODUCT(('Data Base Coal Wining'!$D$2:$D$2000="TCM-ROM SB2 BK24-ROM 5")*('Data Base Coal Wining'!$G$2:$G$2000="Coal Winning")*ISNUMBER(SEARCH(TEXT('September TCM'!$B24,"00")&amp;"/09/2026",'Data Base Coal Wining'!$E$2:$E$2000))*'Data Base Coal Wining'!$N$2:$N$2000)</f>
        <v>0</v>
      </c>
      <c r="EC24" s="27"/>
      <c r="ED24" s="24">
        <f>SUMPRODUCT(('Data Base Coal Wining'!$D$2:$D$2000="TCM-ROM SB2 BK24-ROM 6")*('Data Base Coal Wining'!$G$2:$G$2000="Coal Winning")*ISNUMBER(SEARCH(TEXT('September TCM'!$B24,"00")&amp;"/09/2026",'Data Base Coal Wining'!$E$2:$E$2000))*'Data Base Coal Wining'!$N$2:$N$2000)</f>
        <v>0</v>
      </c>
      <c r="EE24" s="33"/>
      <c r="EF24" s="28">
        <f t="shared" si="36"/>
        <v>0</v>
      </c>
      <c r="EG24" s="9"/>
      <c r="EH24" s="36"/>
      <c r="EI24" s="5"/>
      <c r="EJ24" s="27"/>
      <c r="EK24" s="27"/>
      <c r="EL24" s="27"/>
      <c r="EM24" s="27"/>
      <c r="EN24" s="27"/>
      <c r="EO24" s="5"/>
      <c r="EP24" s="5"/>
      <c r="EQ24" s="5"/>
      <c r="ER24" s="33"/>
      <c r="ES24" s="28">
        <f t="shared" si="127"/>
        <v>0</v>
      </c>
      <c r="ET24" s="36"/>
      <c r="EU24" s="27"/>
      <c r="EV24" s="27"/>
      <c r="EW24" s="27"/>
      <c r="EX24" s="27"/>
      <c r="EY24" s="27"/>
      <c r="EZ24" s="33">
        <f t="shared" si="38"/>
        <v>0</v>
      </c>
      <c r="FA24" s="2685"/>
      <c r="FC24" s="4">
        <f t="shared" si="39"/>
        <v>0</v>
      </c>
      <c r="FD24" s="5">
        <f t="shared" si="40"/>
        <v>0</v>
      </c>
      <c r="FE24" s="5">
        <f t="shared" si="41"/>
        <v>0</v>
      </c>
      <c r="FF24" s="12">
        <f t="shared" si="42"/>
        <v>0</v>
      </c>
      <c r="FG24" s="33"/>
      <c r="FH24" s="2674"/>
      <c r="FI24" s="9"/>
      <c r="FJ24" s="5"/>
      <c r="FK24" s="5"/>
      <c r="FL24" s="5"/>
      <c r="FM24" s="5"/>
      <c r="FN24" s="27"/>
      <c r="FO24" s="28">
        <f t="shared" si="43"/>
        <v>0</v>
      </c>
      <c r="FP24" s="36"/>
      <c r="FQ24" s="27"/>
      <c r="FR24" s="27"/>
      <c r="FS24" s="27"/>
      <c r="FT24" s="27"/>
      <c r="FU24" s="27"/>
      <c r="FV24" s="28">
        <f t="shared" si="44"/>
        <v>0</v>
      </c>
      <c r="FW24" s="36"/>
      <c r="FX24" s="36"/>
      <c r="FY24" s="27"/>
      <c r="FZ24" s="27"/>
      <c r="GA24" s="27"/>
      <c r="GB24" s="27"/>
      <c r="GC24" s="27"/>
      <c r="GD24" s="27"/>
      <c r="GE24" s="24" cm="1">
        <f t="array" ref="GE24">SUMPRODUCT(('Data Base Coal Wining'!$C$2:$C$2000="TCM-ROM TEMPORARY SB2 KM 76-ROM HAC (S4700 Hard Ban)")*(ISNUMBER(SEARCH(TEXT('September TCM'!$B24,"00")&amp;"/08/2026",'Data Base Coal Wining'!$E$2:$E$2000)))*'Data Base Coal Wining'!$N$2:$N$2000)</f>
        <v>0</v>
      </c>
      <c r="GF24" s="27"/>
      <c r="GG24" s="27"/>
      <c r="GH24" s="33"/>
      <c r="GI24" s="33">
        <f t="shared" si="45"/>
        <v>0</v>
      </c>
      <c r="GJ24" s="2674"/>
      <c r="GL24" s="2">
        <f t="shared" si="112"/>
        <v>0</v>
      </c>
      <c r="GM24" s="1942">
        <f t="shared" si="113"/>
        <v>0</v>
      </c>
      <c r="GN24" s="1943">
        <f t="shared" si="114"/>
        <v>0</v>
      </c>
      <c r="GO24" s="1736">
        <f t="shared" si="46"/>
        <v>0</v>
      </c>
      <c r="GP24" s="141"/>
      <c r="GQ24" s="141"/>
      <c r="GR24" s="33"/>
      <c r="GS24" s="2667"/>
      <c r="GT24" s="1723">
        <f>SUMPRODUCT(('Data Base hauling'!$H$2:$H$2000="Trust")*(ISNUMBER(SEARCH(TEXT('September TCM'!$B24,"00")&amp;"/09/2026",'Data Base hauling'!$E$2:$E$2000)))*'Data Base hauling'!$N$2:$N$2000)</f>
        <v>0</v>
      </c>
      <c r="GU24" s="1723">
        <f>SUMPRODUCT(('Data Base hauling'!$H$2:$H$2000="RT")*(ISNUMBER(SEARCH(TEXT('September TCM'!$B24,"00")&amp;"/09/2026",'Data Base hauling'!$E$2:$E$2000)))*'Data Base hauling'!$N$2:$N$2000)</f>
        <v>0</v>
      </c>
      <c r="GV24" s="5">
        <f>SUMPRODUCT(('Data Base hauling'!$H$2:$H$2000="MPE")*(ISNUMBER(SEARCH(TEXT('September TCM'!$B24,"00")&amp;"/09/2026",'Data Base hauling'!$E$2:$E$2000)))*'Data Base hauling'!$N$2:$N$2000)</f>
        <v>0</v>
      </c>
      <c r="GW24" s="1723">
        <f>SUMPRODUCT(('Data Base hauling'!$H$2:$H$2000="RP")*(ISNUMBER(SEARCH(TEXT('September TCM'!$B24,"00")&amp;"/09/2026",'Data Base hauling'!$E$2:$E$2000)))*'Data Base hauling'!$N$2:$N$2000)</f>
        <v>0</v>
      </c>
      <c r="GX24" s="1906">
        <f t="shared" si="115"/>
        <v>0</v>
      </c>
      <c r="GY24" s="2667"/>
      <c r="GZ24" s="35">
        <f>SUMPRODUCT(('Data Base hauling'!$C$2:$C$2000="TCM-ROM NB-ROM 1")*(ISNUMBER(SEARCH(TEXT('September TCM'!$B24,"00")&amp;"/09/2026",'Data Base hauling'!$E$2:$E$2000)))*'Data Base hauling'!$N$2:$N$2000)</f>
        <v>0</v>
      </c>
      <c r="HA24" s="36"/>
      <c r="HB24" s="27"/>
      <c r="HC24" s="27"/>
      <c r="HD24" s="27"/>
      <c r="HE24" s="27"/>
      <c r="HF24" s="24">
        <f>SUMPRODUCT(('Data Base hauling'!$C$2:$C$2000="TCM-ROM NB-ROM 4")*(ISNUMBER(SEARCH(TEXT('September TCM'!$B24,"00")&amp;"/09/2026",'Data Base hauling'!$E$2:$E$2000)))*'Data Base hauling'!$N$2:$N$2000)</f>
        <v>0</v>
      </c>
      <c r="HG24" s="24"/>
      <c r="HH24" s="24">
        <f>SUMPRODUCT(('Data Base hauling'!$C$2:$C$2000="TCM-ROM NB-ROM 5")*(ISNUMBER(SEARCH(TEXT('September TCM'!$B24,"00")&amp;"/09/2026",'Data Base hauling'!$E$2:$E$2000)))*'Data Base hauling'!$N$2:$N$2000)</f>
        <v>0</v>
      </c>
      <c r="HI24" s="24"/>
      <c r="HJ24" s="24">
        <f>SUMPRODUCT(('Data Base hauling'!$C$2:$C$2000="TCM-ROM NB-ROM 6")*(ISNUMBER(SEARCH(TEXT('September TCM'!$B24,"00")&amp;"/09/2026",'Data Base hauling'!$E$2:$E$2000)))*'Data Base hauling'!$N$2:$N$2000)</f>
        <v>0</v>
      </c>
      <c r="HK24" s="24"/>
      <c r="HL24" s="24">
        <f>SUMPRODUCT(('Data Base hauling'!$C$2:$C$2000="TCM-WASH-CR3")*(ISNUMBER(SEARCH(TEXT('September TCM'!$B24,"00")&amp;"/09/2026",'Data Base hauling'!$E$2:$E$2000)))*'Data Base hauling'!$N$2:$N$2000)</f>
        <v>0</v>
      </c>
      <c r="HM24" s="27"/>
      <c r="HN24" s="1906">
        <f t="shared" si="131"/>
        <v>0</v>
      </c>
      <c r="HO24" s="36"/>
      <c r="HP24" s="27"/>
      <c r="HQ24" s="27"/>
      <c r="HR24" s="27"/>
      <c r="HS24" s="27"/>
      <c r="HT24" s="27"/>
      <c r="HU24" s="27">
        <f t="array" ref="HU24">SUMPRODUCT(('Data Base hauling'!$C$2:$C$2000="TCM-ROM SB1 BK05-ROM 4")*(ISNUMBER(SEARCH(TEXT('September TCM'!$B24,"00")&amp;"/03/2026",'Data Base hauling'!$E$2:$E$2000)))*'Data Base hauling'!$N$2:$N$2000)</f>
        <v>0</v>
      </c>
      <c r="HV24" s="27"/>
      <c r="HW24" s="27">
        <f t="array" ref="HW24">SUMPRODUCT(('Data Base hauling'!$C$2:$C$2000="TCM-ROM SB1 BK05-ROM 5")*(ISNUMBER(SEARCH(TEXT('September TCM'!$B24,"00")&amp;"/03/2026",'Data Base hauling'!$E$2:$E$2000)))*'Data Base hauling'!$N$2:$N$2000)</f>
        <v>0</v>
      </c>
      <c r="HX24" s="27"/>
      <c r="HY24" s="27"/>
      <c r="HZ24" s="27"/>
      <c r="IA24" s="27"/>
      <c r="IB24" s="27"/>
      <c r="IC24" s="33">
        <f t="shared" si="48"/>
        <v>0</v>
      </c>
      <c r="ID24" s="52"/>
      <c r="IE24" s="152"/>
      <c r="IF24" s="53"/>
      <c r="IG24" s="53"/>
      <c r="IH24" s="53"/>
      <c r="II24" s="53"/>
      <c r="IJ24" s="1926">
        <f>SUMPRODUCT(('Data Base hauling'!$C$2:$C$2000="TCM-ROM SB1 BK05-ROM 4")*(ISNUMBER(SEARCH(TEXT('September TCM'!$B24,"00")&amp;"/09/2026",'Data Base hauling'!$E$2:$E$2000)))*'Data Base hauling'!$N$2:$N$2000)</f>
        <v>0</v>
      </c>
      <c r="IK24" s="1926"/>
      <c r="IL24" s="1926">
        <f>SUMPRODUCT(('Data Base hauling'!$C$2:$C$2000="TCM-ROM SB1 BK05-ROM 5")*(ISNUMBER(SEARCH(TEXT('September TCM'!$B24,"00")&amp;"/09/2026",'Data Base hauling'!$E$2:$E$2000)))*'Data Base hauling'!$N$2:$N$2000)</f>
        <v>0</v>
      </c>
      <c r="IM24" s="49"/>
      <c r="IN24" s="49">
        <f>SUMPRODUCT(('Data Base hauling'!$C$2:$C$2000="TCM-ROM SB1 BK05-ROM 6")*(ISNUMBER(SEARCH(TEXT('September TCM'!$B24,"00")&amp;"/09/2026",'Data Base hauling'!$E$2:$E$2000)))*'Data Base hauling'!$N$2:$N$2000)</f>
        <v>0</v>
      </c>
      <c r="IO24" s="49"/>
      <c r="IP24" s="49"/>
      <c r="IQ24" s="49">
        <f>SUMPRODUCT(('Data Base hauling'!$C$2:$C$2000="TCM-HAC1 (Production)-ROM 2(HAC)")*(ISNUMBER(SEARCH(TEXT('September TCM'!$B24,"00")&amp;"/09/2026",'Data Base hauling'!$E$2:$E$2000)))*'Data Base hauling'!$N$2:$N$2000)</f>
        <v>0</v>
      </c>
      <c r="IR24" s="2195">
        <f t="shared" si="132"/>
        <v>0</v>
      </c>
      <c r="IS24" s="36"/>
      <c r="IT24" s="36"/>
      <c r="IU24" s="53"/>
      <c r="IV24" s="27"/>
      <c r="IW24" s="53"/>
      <c r="IX24" s="27"/>
      <c r="IY24" s="24">
        <f>SUMPRODUCT(('Data Base hauling'!$C$2:$C$2000="TCM-ROM SB2 BK24-ROM 4")*(ISNUMBER(SEARCH(TEXT('September TCM'!$B24,"00")&amp;"/09/2026",'Data Base hauling'!$E$2:$E$2000)))*'Data Base hauling'!$N$2:$N$2000)</f>
        <v>0</v>
      </c>
      <c r="IZ24" s="24"/>
      <c r="JA24" s="24">
        <f>SUMPRODUCT(('Data Base hauling'!$C$2:$C$2000="TCM-ROM SB2 BK24-ROM 5")*(ISNUMBER(SEARCH(TEXT('September TCM'!$B24,"00")&amp;"/09/2026",'Data Base hauling'!$E$2:$E$2000)))*'Data Base hauling'!$N$2:$N$2000)</f>
        <v>0</v>
      </c>
      <c r="JB24" s="24"/>
      <c r="JC24" s="24">
        <f>SUMPRODUCT(('Data Base hauling'!$C$2:$C$2000="TCM-ROM SB2 BK24-ROM 6")*(ISNUMBER(SEARCH(TEXT('September TCM'!$B24,"00")&amp;"/09/2026",'Data Base hauling'!$E$2:$E$2000)))*'Data Base hauling'!$N$2:$N$2000)</f>
        <v>0</v>
      </c>
      <c r="JD24" s="27"/>
      <c r="JE24" s="27"/>
      <c r="JF24" s="27"/>
      <c r="JG24" s="1941">
        <f t="shared" si="133"/>
        <v>0</v>
      </c>
      <c r="JH24" s="2667"/>
      <c r="JJ24" s="2014">
        <f>SUMPRODUCT(('Data Base hauling'!$O$2:$O$2000="TCM.HCV.LS")*(ISNUMBER(SEARCH(TEXT('September TCM'!$B24,"00")&amp;"/09/2026",'Data Base hauling'!$E$2:$E$2000)))*'Data Base hauling'!$N$2:$N$2000)</f>
        <v>0</v>
      </c>
      <c r="JK24" s="2015">
        <f>SUMPRODUCT(('Data Base hauling'!$O$2:$O$2000="TCM.HCV.HS")*(ISNUMBER(SEARCH(TEXT('September TCM'!$B24,"00")&amp;"/09/2026",'Data Base hauling'!$E$2:$E$2000)))*'Data Base hauling'!$N$2:$N$2000)</f>
        <v>0</v>
      </c>
      <c r="JL24" s="53"/>
      <c r="JM24" s="1736">
        <f t="shared" si="51"/>
        <v>0</v>
      </c>
      <c r="JN24" s="33"/>
      <c r="JO24" s="2669"/>
      <c r="JP24" s="66" t="str">
        <f>IFERROR(SUMPRODUCT(('Data Base hauling'!$O$2:$O$2000="TCM.HCV.LS")*('Data Base hauling'!$C$2:$C$2000="TCM-ROM NB-ROM 1")*(ISNUMBER(SEARCH(TEXT('September TCM'!$B24,"00")&amp;"/09/2026",'Data Base hauling'!$E$2:$E$2000)))*'Data Base hauling'!$N$2:$N$2000)/'September TCM'!$JJ24,"")</f>
        <v/>
      </c>
      <c r="JQ24" s="67" t="str">
        <f>IFERROR(SUMPRODUCT(('Data Base hauling'!$O$2:$O$2000="TCM.HCV.LS")*('Data Base hauling'!$C$2:$C$2000="TCM-ROM NB-ROM 2")*(ISNUMBER(SEARCH(TEXT('September TCM'!$B24,"00")&amp;"/09/2026",'Data Base hauling'!$E$2:$E$2000)))*'Data Base hauling'!$N$2:$N$2000)/'September TCM'!$JJ24,"")</f>
        <v/>
      </c>
      <c r="JR24" s="67" t="str">
        <f>IFERROR(SUMPRODUCT(('Data Base hauling'!$O$2:$O$2000="TCM.HCV.LS")*('Data Base hauling'!$C$2:$C$2000="TCM-ROM NB-ROM 3")*(ISNUMBER(SEARCH(TEXT('September TCM'!$B24,"00")&amp;"/09/2026",'Data Base hauling'!$E$2:$E$2000)))*'Data Base hauling'!$N$2:$N$2000)/'September TCM'!$JJ24,"")</f>
        <v/>
      </c>
      <c r="JS24" s="67" t="str">
        <f>IFERROR(SUMPRODUCT(('Data Base hauling'!$O$2:$O$2000="TCM.HCV.LS")*('Data Base hauling'!$C$2:$C$2000="TCM-ROM SB1 BK05-ROM 4")*(ISNUMBER(SEARCH(TEXT('September TCM'!$B24,"00")&amp;"/09/2026",'Data Base hauling'!$E$2:$E$2000)))*'Data Base hauling'!$N$2:$N$2000)/'September TCM'!$JJ24,"")</f>
        <v/>
      </c>
      <c r="JT24" s="67" t="str">
        <f>IFERROR(SUMPRODUCT(('Data Base hauling'!$O$2:$O$2000="TCM.HCV.LS")*SIGN(('Data Base hauling'!$C$2:$C$2000="TCM-ROM NB-ROM 5")+('Data Base hauling'!$C$2:$C$2000="TCM-ROM SB1 BK05-ROM 5")+('Data Base hauling'!$C$2:$C$2000="TCM-ROM SB2 BK24-ROM 5"))*(ISNUMBER(SEARCH(TEXT('September TCM'!$B24,"00")&amp;"/09/2026",'Data Base hauling'!$E$2:$E$2000)))*'Data Base hauling'!$N$2:$N$2000)/'September TCM'!$JJ24,"")</f>
        <v/>
      </c>
      <c r="JU24" s="67" t="str">
        <f>IFERROR(SUMPRODUCT(('Data Base hauling'!$O$2:$O$2000="TCM.HCV.LS")*SIGN(('Data Base hauling'!$C$2:$C$2000="TCM-ROM NB-ROM 6")+('Data Base hauling'!$C$2:$C$2000="TCM-ROM SB1 BK05-ROM 6")+('Data Base hauling'!$C$2:$C$2000="TCM-ROM SB2 BK24-ROM 6"))*(ISNUMBER(SEARCH(TEXT('September TCM'!$B24,"00")&amp;"/09/2026",'Data Base hauling'!$E$2:$E$2000)))*'Data Base hauling'!$N$2:$N$2000)/'September TCM'!$JJ24,"")</f>
        <v/>
      </c>
      <c r="JV24" s="67" t="str">
        <f>IFERROR(SUMPRODUCT(('Data Base hauling'!$O$2:$O$2000="TCM.HCV.LS")*('Data Base hauling'!$C$2:$C$2000="TCM-WASH-CR3")*(ISNUMBER(SEARCH(TEXT('September TCM'!$B24,"00")&amp;"/09/2026",'Data Base hauling'!$E$2:$E$2000)))*'Data Base hauling'!$N$2:$N$2000)/'September TCM'!$JJ24,"")</f>
        <v/>
      </c>
      <c r="JW24" s="1921">
        <f>SUMPRODUCT(('Data Base hauling'!$O$2:$O$2000="TCM.HCV.LS")*('Data Base hauling'!$C$2:$C$2000="TCM-HAC-CR3")*(ISNUMBER(SEARCH(TEXT('September TCM'!$B24,"00")&amp;"/089/2026",'Data Base hauling'!$E$2:$E$2000)))*'Data Base hauling'!$N$2:$N$2000)</f>
        <v>0</v>
      </c>
      <c r="JX24" s="66" t="str">
        <f>IFERROR(SUMPRODUCT(('Data Base hauling'!$O$2:$O$2000="TCM.HCV.HS")*('Data Base hauling'!$C$2:$C$2000="TCM-ROM NB-ROM 1")*(ISNUMBER(SEARCH(TEXT('September TCM'!$B24,"00")&amp;"/09/2026",'Data Base hauling'!$E$2:$E$2000)))*'Data Base hauling'!$N$2:$N$2000)/'September TCM'!$JK24,"")</f>
        <v/>
      </c>
      <c r="JY24" s="67" t="str">
        <f>IFERROR(SUMPRODUCT(('Data Base hauling'!$O$2:$O$2000="TCM.HCV.HS")*('Data Base hauling'!$C$2:$C$2000="TCM-ROM NB-ROM 2")*(ISNUMBER(SEARCH(TEXT('September TCM'!$B24,"00")&amp;"/09/2026",'Data Base hauling'!$E$2:$E$2000)))*'Data Base hauling'!$N$2:$N$2000)/'September TCM'!$JK24,"")</f>
        <v/>
      </c>
      <c r="JZ24" s="67" t="str">
        <f>IFERROR(SUMPRODUCT(('Data Base hauling'!$O$2:$O$2000="TCM.HCV.HS")*('Data Base hauling'!$C$2:$C$2000="TCM-ROM NB-ROM 3")*(ISNUMBER(SEARCH(TEXT('September TCM'!$B24,"00")&amp;"/09/2026",'Data Base hauling'!$E$2:$E$2000)))*'Data Base hauling'!$N$2:$N$2000)/'September TCM'!$JK24,"")</f>
        <v/>
      </c>
      <c r="KA24" s="67" t="str">
        <f>IFERROR(SUMPRODUCT(('Data Base hauling'!$O$2:$O$2000="TCM.HCV.HS")*('Data Base hauling'!$C$2:$C$2000="TCM-ROM SB1 BK05-ROM 4")*(ISNUMBER(SEARCH(TEXT('September TCM'!$B24,"00")&amp;"/09/2026",'Data Base hauling'!$E$2:$E$2000)))*'Data Base hauling'!$N$2:$N$2000)/'September TCM'!$JK24,"")</f>
        <v/>
      </c>
      <c r="KB24" s="67" t="str">
        <f>IFERROR(SUMPRODUCT(('Data Base hauling'!$O$2:$O$2000="TCM.HCV.HS")*SIGN(('Data Base hauling'!$C$2:$C$2000="TCM-ROM NB-ROM 5")+('Data Base hauling'!$C$2:$C$2000="TCM-ROM SB1 BK05-ROM 5")+('Data Base hauling'!$C$2:$C$2000="TCM-ROM SB2 BK24-ROM 5"))*(ISNUMBER(SEARCH(TEXT('September TCM'!$B24,"00")&amp;"/09/2026",'Data Base hauling'!$E$2:$E$2000)))*'Data Base hauling'!$N$2:$N$2000)/'September TCM'!$JK24,"")</f>
        <v/>
      </c>
      <c r="KC24" s="67" t="str">
        <f>IFERROR(SUMPRODUCT(('Data Base hauling'!$O$2:$O$2000="TCM.HCV.HS")*SIGN(('Data Base hauling'!$C$2:$C$2000="TCM-ROM NB-ROM 6")+('Data Base hauling'!$C$2:$C$2000="TCM-ROM SB1 BK05-ROM 6")+('Data Base hauling'!$C$2:$C$2000="TCM-ROM SB2 BK24-ROM 6"))*(ISNUMBER(SEARCH(TEXT('September TCM'!$B24,"00")&amp;"/09/2026",'Data Base hauling'!$E$2:$E$2000)))*'Data Base hauling'!$N$2:$N$2000)/'September TCM'!$JK24,"")</f>
        <v/>
      </c>
      <c r="KD24" s="67" t="str">
        <f>IFERROR(SUMPRODUCT(('Data Base hauling'!$O$2:$O$2000="TCM.HCV.HS")*('Data Base hauling'!$C$2:$C$2000="TCM-WASH-CR3")*(ISNUMBER(SEARCH(TEXT('September TCM'!$B24,"00")&amp;"/09/2026",'Data Base hauling'!$E$2:$E$2000)))*'Data Base hauling'!$N$2:$N$2000)/'September TCM'!$JK24,"")</f>
        <v/>
      </c>
      <c r="KE24" s="68" t="str">
        <f>IFERROR(SUMPRODUCT(('Data Base hauling'!$O$2:$O$2000="TCM.HCV.HS")*('Data Base hauling'!$C$2:$C$2000="TCM-HAC-CR3")*(ISNUMBER(SEARCH(TEXT('September TCM'!$B24,"00")&amp;"/09/2026",'Data Base hauling'!$E$2:$E$2000)))*'Data Base hauling'!$N$2:$N$2000)/'September TCM'!$JK24,"")</f>
        <v/>
      </c>
      <c r="KF24" s="69"/>
      <c r="KG24" s="70"/>
      <c r="KH24" s="70"/>
      <c r="KI24" s="70"/>
      <c r="KJ24" s="70"/>
      <c r="KK24" s="70"/>
      <c r="KL24" s="70"/>
      <c r="KM24" s="70"/>
      <c r="KN24" s="33"/>
      <c r="KO24" s="2669"/>
      <c r="KP24" s="2203">
        <f>IFERROR(SUMPRODUCT((TCM.HCV.LS!$A$3:$A$58=DATE(2026,9,$B24))*(TCM.HCV.LS!$O$3:$O$58&gt;0)*TCM.HCV.LS!$C$3:$C$58*TCM.HCV.LS!$O$3:$O$58)/SUMPRODUCT((TCM.HCV.LS!$A$3:$A$58=DATE(2026,9,$B24))*(TCM.HCV.LS!$O$3:$O$58&gt;0)*TCM.HCV.LS!$C$3:$C$58),0)</f>
        <v>0</v>
      </c>
      <c r="KQ24" s="1721">
        <f>IFERROR(SUMPRODUCT((TCM.HCV.LS!$A$3:$A$58=DATE(2026,9,$B24))*(TCM.HCV.LS!$M$3:$M$58&gt;0)*TCM.HCV.LS!$C$3:$C$58*TCM.HCV.LS!$M$3:$M$58)/SUMPRODUCT((TCM.HCV.LS!$A$3:$A$58=DATE(2026,9,$B24))*(TCM.HCV.LS!$M$3:$M$58&gt;0)*TCM.HCV.LS!$C$3:$C$58),0)</f>
        <v>0</v>
      </c>
      <c r="KR24" s="1721">
        <f>IFERROR(SUMPRODUCT((TCM.HCV.LS!$A$3:$A$58=DATE(2026,9,$B24))*(TCM.HCV.LS!$G$3:$G$58&gt;0)*TCM.HCV.LS!$C$3:$C$58*TCM.HCV.LS!$G$3:$G$58)/SUMPRODUCT((TCM.HCV.LS!$A$3:$A$58=DATE(2026,9,$B24))*(TCM.HCV.LS!$G$3:$G$58&gt;0)*TCM.HCV.LS!$C$3:$C$58),0)</f>
        <v>0</v>
      </c>
      <c r="KS24" s="1721">
        <f>IFERROR(SUMPRODUCT((TCM.HCV.LS!$A$3:$A$58=DATE(2026,9,$B24))*(TCM.HCV.LS!$F$3:$F$58&gt;0)*TCM.HCV.LS!$C$3:$C$58*TCM.HCV.LS!$F$3:$F$58)/SUMPRODUCT((TCM.HCV.LS!$A$3:$A$58=DATE(2026,9,$B24))*(TCM.HCV.LS!$F$3:$F$58&gt;0)*TCM.HCV.LS!$C$3:$C$58),0)</f>
        <v>0</v>
      </c>
      <c r="KT24" s="1722">
        <f>IFERROR(SUMPRODUCT((TCM.HCV.LS!$A$3:$A$58=DATE(2026,9,$B24))*(TCM.HCV.LS!$E$3:$E$58&gt;0)*TCM.HCV.LS!$C$3:$C$58*TCM.HCV.LS!$E$3:$E$58)/SUMPRODUCT((TCM.HCV.LS!$A$3:$A$58=DATE(2026,9,$B24))*(TCM.HCV.LS!$E$3:$E$58&gt;0)*TCM.HCV.LS!$C$3:$C$58),0)</f>
        <v>0</v>
      </c>
      <c r="KU24" s="1958">
        <f>IFERROR(SUMPRODUCT((TCM.HCV.HS!$A$3:$A$84=DATE(2026,9,$B24))*(TCM.HCV.HS!$O$3:$O$84&gt;0)*TCM.HCV.HS!$C$3:$C$84*TCM.HCV.HS!$O$3:$O$84)/SUMPRODUCT((TCM.HCV.HS!$A$3:$A$84=DATE(2026,9,$B24))*(TCM.HCV.HS!$O$3:$O$84&gt;0)*TCM.HCV.HS!$C$3:$C$84),0)</f>
        <v>0</v>
      </c>
      <c r="KV24" s="1961">
        <f>IFERROR(SUMPRODUCT((TCM.HCV.HS!$A$3:$A$84=DATE(2026,9,$B24))*(TCM.HCV.HS!$M$3:$M$84&gt;0)*TCM.HCV.HS!$C$3:$C$84*TCM.HCV.HS!$M$3:$M$84)/SUMPRODUCT((TCM.HCV.HS!$A$3:$A$84=DATE(2026,9,$B24))*(TCM.HCV.HS!$M$3:$M$84&gt;0)*TCM.HCV.HS!$C$3:$C$84),0)</f>
        <v>0</v>
      </c>
      <c r="KW24" s="1961">
        <f>IFERROR(SUMPRODUCT((TCM.HCV.HS!$A$3:$A$84=DATE(2026,9,$B24))*(TCM.HCV.HS!$G$3:$G$84&gt;0)*TCM.HCV.HS!$C$3:$C$84*TCM.HCV.HS!$G$3:$G$84)/SUMPRODUCT((TCM.HCV.HS!$A$3:$A$84=DATE(2026,9,$B24))*(TCM.HCV.HS!$G$3:$G$84&gt;0)*TCM.HCV.HS!$C$3:$C$84),0)</f>
        <v>0</v>
      </c>
      <c r="KX24" s="1961">
        <f>IFERROR(SUMPRODUCT((TCM.HCV.HS!$A$3:$A$84=DATE(2026,9,$B24))*(TCM.HCV.HS!$F$3:$F$84&gt;0)*TCM.HCV.HS!$C$3:$C$84*TCM.HCV.HS!$F$3:$F$84)/SUMPRODUCT((TCM.HCV.HS!$A$3:$A$84=DATE(2026,9,$B24))*(TCM.HCV.HS!$F$3:$F$84&gt;0)*TCM.HCV.HS!$C$3:$C$84),0)</f>
        <v>0</v>
      </c>
      <c r="KY24" s="1962">
        <f>IFERROR(SUMPRODUCT((TCM.HCV.HS!$A$3:$A$84=DATE(2026,9,$B24))*(TCM.HCV.HS!$E$3:$E$84&gt;0)*TCM.HCV.HS!$C$3:$C$84*TCM.HCV.HS!$E$3:$E$84)/SUMPRODUCT((TCM.HCV.HS!$A$3:$A$84=DATE(2026,9,$B24))*(TCM.HCV.HS!$E$3:$E$84&gt;0)*TCM.HCV.HS!$C$3:$C$84),0)</f>
        <v>0</v>
      </c>
      <c r="KZ24" s="36"/>
      <c r="LA24" s="53"/>
      <c r="LB24" s="53"/>
      <c r="LC24" s="53"/>
      <c r="LD24" s="53"/>
      <c r="LE24" s="33"/>
      <c r="LF24" s="2669"/>
      <c r="LH24" s="4">
        <f>SUM(LS24,LY24,MK24,MQ24+ME24)</f>
        <v>0</v>
      </c>
      <c r="LI24" s="2167">
        <f t="shared" si="52"/>
        <v>0</v>
      </c>
      <c r="LJ24" s="27">
        <f t="shared" si="52"/>
        <v>0</v>
      </c>
      <c r="LK24" s="1906">
        <f t="shared" si="53"/>
        <v>0</v>
      </c>
      <c r="LL24" s="36"/>
      <c r="LM24" s="27"/>
      <c r="LN24" s="27"/>
      <c r="LO24" s="33"/>
      <c r="LP24" s="1957"/>
      <c r="LQ24" s="486"/>
      <c r="LR24" s="2688"/>
      <c r="LS24" s="36"/>
      <c r="LT24" s="36"/>
      <c r="LU24" s="27"/>
      <c r="LV24" s="27"/>
      <c r="LW24" s="27"/>
      <c r="LX24" s="1107">
        <f t="shared" si="129"/>
        <v>0</v>
      </c>
      <c r="LY24" s="36"/>
      <c r="LZ24" s="2269"/>
      <c r="MA24" s="27"/>
      <c r="MB24" s="27"/>
      <c r="MC24" s="33"/>
      <c r="MD24" s="1906">
        <f t="shared" ref="MD24:MD40" si="137">SUM(LY24:MC24)</f>
        <v>0</v>
      </c>
      <c r="ME24" s="26"/>
      <c r="MF24" s="36"/>
      <c r="MG24" s="27"/>
      <c r="MH24" s="27"/>
      <c r="MI24" s="27"/>
      <c r="MJ24" s="28"/>
      <c r="MK24" s="36"/>
      <c r="ML24" s="36"/>
      <c r="MM24" s="27"/>
      <c r="MN24" s="27"/>
      <c r="MO24" s="27"/>
      <c r="MP24" s="28"/>
      <c r="MQ24" s="36"/>
      <c r="MR24" s="36"/>
      <c r="MS24" s="27"/>
      <c r="MT24" s="27"/>
      <c r="MU24" s="27"/>
      <c r="MV24" s="33">
        <f t="shared" si="56"/>
        <v>0</v>
      </c>
      <c r="MW24" s="2688"/>
      <c r="MY24" s="26">
        <f t="shared" si="57"/>
        <v>377341.84766611259</v>
      </c>
      <c r="MZ24" s="27">
        <f t="shared" si="58"/>
        <v>191281.80302645115</v>
      </c>
      <c r="NA24" s="27">
        <f t="shared" si="59"/>
        <v>27294.683787707359</v>
      </c>
      <c r="NB24" s="28">
        <f t="shared" si="60"/>
        <v>318297.33035698003</v>
      </c>
      <c r="NC24" s="2621"/>
      <c r="ND24" s="23">
        <f t="shared" si="116"/>
        <v>207724.34280113198</v>
      </c>
      <c r="NE24" s="1655">
        <f t="shared" si="117"/>
        <v>169617.50486498058</v>
      </c>
      <c r="NF24" s="60">
        <f t="shared" si="63"/>
        <v>0</v>
      </c>
      <c r="NG24" s="275">
        <f t="shared" si="4"/>
        <v>377341.84766611259</v>
      </c>
      <c r="NH24" s="26">
        <f t="shared" si="64"/>
        <v>-313.35000000000002</v>
      </c>
      <c r="NI24" s="27">
        <f t="shared" si="64"/>
        <v>0</v>
      </c>
      <c r="NJ24" s="27">
        <f t="shared" si="64"/>
        <v>0</v>
      </c>
      <c r="NK24" s="27">
        <f t="shared" si="64"/>
        <v>0</v>
      </c>
      <c r="NL24" s="27">
        <f t="shared" si="64"/>
        <v>0</v>
      </c>
      <c r="NM24" s="33">
        <f t="shared" si="64"/>
        <v>0</v>
      </c>
      <c r="NN24" s="27">
        <f t="shared" si="64"/>
        <v>0</v>
      </c>
      <c r="NO24" s="36">
        <f t="shared" si="64"/>
        <v>0</v>
      </c>
      <c r="NP24" s="24">
        <f t="shared" si="64"/>
        <v>21665.870136227244</v>
      </c>
      <c r="NQ24" s="27">
        <f t="shared" si="64"/>
        <v>22358.939343794715</v>
      </c>
      <c r="NR24" s="24">
        <f t="shared" si="118"/>
        <v>8443.1982322711574</v>
      </c>
      <c r="NS24" s="24">
        <f t="shared" si="119"/>
        <v>9895.3380410535083</v>
      </c>
      <c r="NT24" s="27">
        <f t="shared" si="0"/>
        <v>62049.995753346629</v>
      </c>
      <c r="NU24" s="27">
        <f t="shared" si="65"/>
        <v>0</v>
      </c>
      <c r="NV24" s="27">
        <f t="shared" si="65"/>
        <v>0</v>
      </c>
      <c r="NW24" s="27">
        <f t="shared" si="65"/>
        <v>0</v>
      </c>
      <c r="NX24" s="27">
        <f t="shared" si="65"/>
        <v>0</v>
      </c>
      <c r="NY24" s="27">
        <f t="shared" si="65"/>
        <v>0</v>
      </c>
      <c r="NZ24" s="5">
        <f t="shared" si="65"/>
        <v>0</v>
      </c>
      <c r="OA24" s="27">
        <f t="shared" si="65"/>
        <v>35558.705564997217</v>
      </c>
      <c r="OB24" s="27">
        <f t="shared" si="65"/>
        <v>0</v>
      </c>
      <c r="OC24" s="27">
        <f t="shared" si="66"/>
        <v>12611.886475620366</v>
      </c>
      <c r="OD24" s="280"/>
      <c r="OE24" s="27">
        <f t="shared" si="120"/>
        <v>13429.316718063665</v>
      </c>
      <c r="OF24" s="27">
        <f t="shared" si="67"/>
        <v>0</v>
      </c>
      <c r="OG24" s="28">
        <f t="shared" si="1"/>
        <v>61599.908758681253</v>
      </c>
      <c r="OH24" s="27">
        <f t="shared" si="68"/>
        <v>0</v>
      </c>
      <c r="OI24" s="27">
        <f t="shared" si="68"/>
        <v>0</v>
      </c>
      <c r="OJ24" s="27">
        <f t="shared" si="68"/>
        <v>0</v>
      </c>
      <c r="OK24" s="27">
        <f t="shared" si="68"/>
        <v>0</v>
      </c>
      <c r="OL24" s="27">
        <f t="shared" si="68"/>
        <v>0</v>
      </c>
      <c r="OM24" s="27">
        <f t="shared" si="68"/>
        <v>0</v>
      </c>
      <c r="ON24" s="24">
        <f t="shared" si="68"/>
        <v>0</v>
      </c>
      <c r="OO24" s="27">
        <f t="shared" si="68"/>
        <v>0</v>
      </c>
      <c r="OP24" s="24">
        <f t="shared" si="69"/>
        <v>54054.217649249818</v>
      </c>
      <c r="OQ24" s="27">
        <f t="shared" si="70"/>
        <v>0</v>
      </c>
      <c r="OR24" s="24">
        <f t="shared" si="70"/>
        <v>13577.680865173457</v>
      </c>
      <c r="OS24" s="27">
        <f t="shared" si="70"/>
        <v>0</v>
      </c>
      <c r="OT24" s="28">
        <f t="shared" si="2"/>
        <v>67631.898514423272</v>
      </c>
      <c r="OU24" s="36"/>
      <c r="OV24" s="27"/>
      <c r="OW24" s="27"/>
      <c r="OX24" s="27"/>
      <c r="OY24" s="27"/>
      <c r="OZ24" s="27"/>
      <c r="PA24" s="28">
        <f t="shared" si="71"/>
        <v>0</v>
      </c>
      <c r="PB24" s="36">
        <f t="shared" si="72"/>
        <v>0</v>
      </c>
      <c r="PC24" s="27">
        <f t="shared" si="73"/>
        <v>0</v>
      </c>
      <c r="PD24" s="27">
        <f t="shared" si="74"/>
        <v>0</v>
      </c>
      <c r="PE24" s="27">
        <f t="shared" si="75"/>
        <v>0</v>
      </c>
      <c r="PF24" s="24"/>
      <c r="PG24" s="27">
        <f t="shared" si="76"/>
        <v>0</v>
      </c>
      <c r="PH24" s="33">
        <f t="shared" si="3"/>
        <v>0</v>
      </c>
      <c r="PI24" s="2621"/>
      <c r="PK24" s="1907">
        <f>SUMPRODUCT(('Data Base Coal Wining'!$D$2:$D$2000="WASHING PLANT")*ISNUMBER(SEARCH(TEXT('September TCM'!$B24,"00")&amp;"/09/2026",'Data Base Coal Wining'!$E$2:$E$2000))*'Data Base Coal Wining'!$N$2:$N$2000)</f>
        <v>0</v>
      </c>
      <c r="PL24" s="488"/>
      <c r="PM24" s="488"/>
      <c r="PN24" s="3">
        <f t="shared" si="77"/>
        <v>0</v>
      </c>
      <c r="PO24" s="3">
        <f t="shared" si="78"/>
        <v>38895.633435124721</v>
      </c>
      <c r="PP24" s="11">
        <f>PP23+PM24-PN24</f>
        <v>27294.683787707359</v>
      </c>
      <c r="PQ24" s="15"/>
      <c r="PR24" s="2615"/>
      <c r="PT24" s="4"/>
      <c r="PU24" s="9"/>
      <c r="PV24" s="9"/>
      <c r="PW24" s="9"/>
      <c r="PX24" s="8">
        <f>SUMPRODUCT(('Data Base Coal Wining'!$D$2:$D$2000="TCM-ROM SB1 BK05-ROM 2 (HAC)")*('Data Base Coal Wining'!$G$2:$G$2000="Coal Winning")*ISNUMBER(SEARCH(TEXT('September TCM'!$B24,"00")&amp;"/09/2026",'Data Base Coal Wining'!$E$2:$E$2000))*'Data Base Coal Wining'!$N$2:$N$2000)</f>
        <v>0</v>
      </c>
      <c r="PY24" s="9"/>
      <c r="PZ24" s="8">
        <f t="shared" si="80"/>
        <v>0</v>
      </c>
      <c r="QA24" s="5">
        <f t="shared" si="81"/>
        <v>0</v>
      </c>
      <c r="QB24" s="5"/>
      <c r="QC24" s="5"/>
      <c r="QD24" s="5"/>
      <c r="QE24" s="5"/>
      <c r="QF24" s="5"/>
      <c r="QG24" s="12"/>
      <c r="QH24" s="12">
        <f t="shared" si="82"/>
        <v>29562.488999999998</v>
      </c>
      <c r="QI24" s="420">
        <f t="shared" si="83"/>
        <v>283762.59090898006</v>
      </c>
      <c r="QJ24" s="1106">
        <f t="shared" si="121"/>
        <v>4972.2504480000007</v>
      </c>
      <c r="QK24" s="484">
        <f t="shared" si="84"/>
        <v>5505.3678056099998</v>
      </c>
      <c r="QL24" s="12"/>
      <c r="QM24" s="2615"/>
      <c r="QO24" s="139" t="str">
        <f t="shared" si="85"/>
        <v/>
      </c>
      <c r="QP24" s="139" t="str">
        <f t="shared" si="86"/>
        <v/>
      </c>
      <c r="QR24" s="139" t="str">
        <f t="shared" si="87"/>
        <v/>
      </c>
      <c r="QS24" s="139" t="str">
        <f t="shared" si="88"/>
        <v/>
      </c>
      <c r="QU24" s="1">
        <f t="shared" si="89"/>
        <v>0</v>
      </c>
      <c r="QV24" s="1">
        <f t="shared" si="90"/>
        <v>0</v>
      </c>
      <c r="QW24" s="1">
        <f t="shared" si="91"/>
        <v>0</v>
      </c>
      <c r="QX24" s="1">
        <f t="shared" si="92"/>
        <v>0</v>
      </c>
      <c r="QY24" s="1">
        <f t="shared" si="93"/>
        <v>0</v>
      </c>
      <c r="QZ24" s="1">
        <f t="shared" si="94"/>
        <v>0</v>
      </c>
      <c r="RB24" s="1">
        <f t="shared" si="95"/>
        <v>0</v>
      </c>
      <c r="RC24" s="1">
        <f t="shared" si="96"/>
        <v>0</v>
      </c>
      <c r="RD24" s="1">
        <f t="shared" si="97"/>
        <v>0</v>
      </c>
      <c r="RE24" s="1">
        <f t="shared" si="98"/>
        <v>0</v>
      </c>
      <c r="RF24" s="1">
        <f t="shared" si="99"/>
        <v>0</v>
      </c>
      <c r="RG24" s="1">
        <f t="shared" si="100"/>
        <v>0</v>
      </c>
      <c r="RJ24" s="1">
        <v>15</v>
      </c>
      <c r="RK24" s="1">
        <f t="shared" si="135"/>
        <v>5984.4452097170979</v>
      </c>
      <c r="RL24" s="1">
        <f t="shared" si="135"/>
        <v>5074.1017804837184</v>
      </c>
      <c r="RM24" s="1">
        <f t="shared" si="135"/>
        <v>13404.263703387322</v>
      </c>
      <c r="RN24" s="89">
        <f t="shared" si="5"/>
        <v>24462.810693588137</v>
      </c>
      <c r="RO24" s="1033">
        <v>15</v>
      </c>
      <c r="RP24" s="1098">
        <v>0</v>
      </c>
      <c r="RQ24" s="1098">
        <f t="shared" si="102"/>
        <v>0</v>
      </c>
      <c r="RR24" s="1097">
        <f t="shared" si="102"/>
        <v>0</v>
      </c>
      <c r="RS24" s="1097">
        <f t="shared" si="103"/>
        <v>0</v>
      </c>
      <c r="RT24" s="1050"/>
      <c r="RU24" s="1109"/>
      <c r="RV24" s="1048"/>
      <c r="RX24" s="421">
        <v>15</v>
      </c>
      <c r="RY24" s="1095">
        <f t="shared" si="104"/>
        <v>0</v>
      </c>
      <c r="RZ24" s="1928"/>
      <c r="SB24" s="1090"/>
      <c r="SC24" s="1090">
        <f t="shared" si="105"/>
        <v>0</v>
      </c>
      <c r="SD24" s="1090"/>
      <c r="SE24" s="1090">
        <f t="shared" si="136"/>
        <v>0</v>
      </c>
      <c r="SG24" s="1">
        <v>15</v>
      </c>
      <c r="SH24" s="1">
        <f t="shared" si="107"/>
        <v>0</v>
      </c>
      <c r="SI24" s="2420"/>
    </row>
    <row r="25" spans="1:503" s="1" customFormat="1">
      <c r="B25" s="471">
        <v>16</v>
      </c>
      <c r="C25" s="4">
        <f t="shared" si="108"/>
        <v>0</v>
      </c>
      <c r="D25" s="1590">
        <f t="shared" si="128"/>
        <v>0</v>
      </c>
      <c r="E25" s="1895">
        <f t="shared" si="6"/>
        <v>0</v>
      </c>
      <c r="F25" s="870"/>
      <c r="G25" s="870"/>
      <c r="H25" s="52"/>
      <c r="I25" s="61"/>
      <c r="J25" s="52"/>
      <c r="K25" s="54"/>
      <c r="L25" s="52"/>
      <c r="M25" s="61"/>
      <c r="N25" s="2629"/>
      <c r="O25" s="4">
        <f t="shared" si="125"/>
        <v>0</v>
      </c>
      <c r="P25" s="1225">
        <f t="shared" si="7"/>
        <v>0</v>
      </c>
      <c r="Q25" s="1913">
        <f t="shared" si="8"/>
        <v>0</v>
      </c>
      <c r="R25" s="33"/>
      <c r="S25" s="26">
        <f t="shared" si="9"/>
        <v>0</v>
      </c>
      <c r="T25" s="27">
        <f t="shared" si="110"/>
        <v>0</v>
      </c>
      <c r="U25" s="1909">
        <f t="shared" si="10"/>
        <v>0</v>
      </c>
      <c r="V25" s="28"/>
      <c r="W25" s="26">
        <f t="shared" si="11"/>
        <v>0</v>
      </c>
      <c r="X25" s="5">
        <f t="shared" si="11"/>
        <v>0</v>
      </c>
      <c r="Y25" s="1909">
        <f t="shared" si="12"/>
        <v>0</v>
      </c>
      <c r="Z25" s="33"/>
      <c r="AA25" s="26">
        <f t="shared" si="13"/>
        <v>0</v>
      </c>
      <c r="AB25" s="27">
        <f t="shared" si="126"/>
        <v>0</v>
      </c>
      <c r="AC25" s="1909">
        <f t="shared" si="15"/>
        <v>0</v>
      </c>
      <c r="AD25" s="28"/>
      <c r="AE25" s="36"/>
      <c r="AF25" s="36"/>
      <c r="AG25" s="53">
        <f t="shared" si="16"/>
        <v>0</v>
      </c>
      <c r="AH25" s="28"/>
      <c r="AI25" s="26"/>
      <c r="AJ25" s="27"/>
      <c r="AK25" s="53">
        <f t="shared" si="17"/>
        <v>0</v>
      </c>
      <c r="AL25" s="28"/>
      <c r="AM25" s="2629"/>
      <c r="AN25" s="9"/>
      <c r="AO25" s="5"/>
      <c r="AP25" s="61">
        <f t="shared" si="18"/>
        <v>0</v>
      </c>
      <c r="AQ25" s="36"/>
      <c r="AR25" s="53"/>
      <c r="AS25" s="61">
        <f t="shared" si="19"/>
        <v>0</v>
      </c>
      <c r="AT25" s="36">
        <v>0</v>
      </c>
      <c r="AU25" s="27"/>
      <c r="AV25" s="54">
        <f t="shared" si="20"/>
        <v>0</v>
      </c>
      <c r="AW25" s="26"/>
      <c r="AX25" s="280">
        <f>SUMPRODUCT(ISNUMBER(SEARCH("BK20",'Data Base Coal Wining'!$C$2:$C$2000))*ISNUMBER(SEARCH("P3000",'Data Base Coal Wining'!$C$2:$C$2000))*('Data Base Coal Wining'!$H$2:$H$2000="PAMA")*('Data Base Coal Wining'!$G$2:$G$2000="Coal Winning")*ISNUMBER(SEARCH(TEXT('September TCM'!$B25,"00")&amp;"/09/2026",'Data Base Coal Wining'!$E$2:$E$2000))*'Data Base Coal Wining'!$N$2:$N$2000)</f>
        <v>0</v>
      </c>
      <c r="AY25" s="1895">
        <f t="shared" si="134"/>
        <v>0</v>
      </c>
      <c r="AZ25" s="1908"/>
      <c r="BA25" s="1909"/>
      <c r="BB25" s="1895">
        <f t="shared" si="21"/>
        <v>0</v>
      </c>
      <c r="BC25" s="1740"/>
      <c r="BD25" s="2154">
        <f>SUMPRODUCT(ISNUMBER(SEARCH("BK30",'Data Base Coal Wining'!$C$2:$C$2000))*ISNUMBER(SEARCH("P3000",'Data Base Coal Wining'!$C$2:$C$2000))*('Data Base Coal Wining'!$H$2:$H$2000="PAMA")*('Data Base Coal Wining'!$G$2:$G$2000="Coal Winning")*ISNUMBER(SEARCH(TEXT('September TCM'!$B25,"00")&amp;"/09/2026",'Data Base Coal Wining'!$E$2:$E$2000))*'Data Base Coal Wining'!$N$2:$N$2000)</f>
        <v>0</v>
      </c>
      <c r="BE25" s="1895">
        <f t="shared" si="22"/>
        <v>0</v>
      </c>
      <c r="BF25" s="1908"/>
      <c r="BG25" s="1909"/>
      <c r="BH25" s="1895">
        <f t="shared" si="23"/>
        <v>0</v>
      </c>
      <c r="BI25" s="1908">
        <v>0</v>
      </c>
      <c r="BJ25" s="1909">
        <v>0</v>
      </c>
      <c r="BK25" s="1895">
        <f t="shared" si="24"/>
        <v>0</v>
      </c>
      <c r="BL25" s="1742"/>
      <c r="BM25" s="2154">
        <f>SUMPRODUCT(ISNUMBER(SEARCH("BK26",'Data Base Coal Wining'!$C$2:$C$2000))*ISNUMBER(SEARCH("P4400",'Data Base Coal Wining'!$C$2:$C$2000))*('Data Base Coal Wining'!$H$2:$H$2000="MAP")*('Data Base Coal Wining'!$G$2:$G$2000="Coal Winning")*ISNUMBER(SEARCH(TEXT('September TCM'!$B25,"00")&amp;"/09/2026",'Data Base Coal Wining'!$E$2:$E$2000))*'Data Base Coal Wining'!$N$2:$N$2000)</f>
        <v>0</v>
      </c>
      <c r="BN25" s="2170"/>
      <c r="BO25" s="1911">
        <f t="shared" si="25"/>
        <v>0</v>
      </c>
      <c r="BP25" s="9"/>
      <c r="BQ25" s="2514">
        <f>SUMPRODUCT(ISNUMBER(SEARCH("BK34",'Data Base Coal Wining'!$C$2:$C$2000))*ISNUMBER(SEARCH("P4000",'Data Base Coal Wining'!$C$2:$C$2000))*('Data Base Coal Wining'!$H$2:$H$2000="PJPN")*('Data Base Coal Wining'!$G$2:$G$2000="Coal Winning")*ISNUMBER(SEARCH(TEXT('September TCM'!$B25,"00")&amp;"/09/2026",'Data Base Coal Wining'!$E$2:$E$2000))*'Data Base Coal Wining'!$N$2:$N$2000)</f>
        <v>0</v>
      </c>
      <c r="BR25" s="1920">
        <f t="shared" si="26"/>
        <v>0</v>
      </c>
      <c r="BS25" s="9"/>
      <c r="BT25" s="64"/>
      <c r="BU25" s="482">
        <f t="shared" si="27"/>
        <v>0</v>
      </c>
      <c r="BV25" s="9"/>
      <c r="BW25" s="27"/>
      <c r="BX25" s="1051">
        <f>IFERROR(BV25/BW25,0)</f>
        <v>0</v>
      </c>
      <c r="BY25" s="26"/>
      <c r="BZ25" s="5"/>
      <c r="CA25" s="482">
        <f t="shared" si="29"/>
        <v>0</v>
      </c>
      <c r="CB25" s="9"/>
      <c r="CC25" s="481"/>
      <c r="CD25" s="482">
        <f t="shared" si="30"/>
        <v>0</v>
      </c>
      <c r="CE25" s="4"/>
      <c r="CF25" s="5"/>
      <c r="CG25" s="28">
        <f t="shared" si="31"/>
        <v>0</v>
      </c>
      <c r="CH25" s="150"/>
      <c r="CI25" s="1108"/>
      <c r="CJ25" s="5"/>
      <c r="CK25" s="5"/>
      <c r="CL25" s="5"/>
      <c r="CM25" s="5"/>
      <c r="CN25" s="3">
        <f t="shared" si="111"/>
        <v>0</v>
      </c>
      <c r="CO25" s="33"/>
      <c r="CP25" s="366"/>
      <c r="CR25" s="4">
        <f t="shared" si="32"/>
        <v>0</v>
      </c>
      <c r="CS25" s="9">
        <f t="shared" si="32"/>
        <v>0</v>
      </c>
      <c r="CT25" s="5">
        <f t="shared" si="32"/>
        <v>0</v>
      </c>
      <c r="CU25" s="5">
        <f t="shared" si="32"/>
        <v>0</v>
      </c>
      <c r="CV25" s="5">
        <f t="shared" si="32"/>
        <v>0</v>
      </c>
      <c r="CW25" s="5">
        <f t="shared" si="32"/>
        <v>0</v>
      </c>
      <c r="CX25" s="5">
        <f t="shared" si="32"/>
        <v>0</v>
      </c>
      <c r="CY25" s="5">
        <f t="shared" si="32"/>
        <v>0</v>
      </c>
      <c r="CZ25" s="5">
        <f t="shared" si="32"/>
        <v>0</v>
      </c>
      <c r="DA25" s="5">
        <f t="shared" si="32"/>
        <v>0</v>
      </c>
      <c r="DB25" s="5">
        <f t="shared" si="32"/>
        <v>0</v>
      </c>
      <c r="DC25" s="12">
        <f t="shared" si="33"/>
        <v>0</v>
      </c>
      <c r="DD25" s="310">
        <f t="shared" si="34"/>
        <v>0</v>
      </c>
      <c r="DE25" s="2695"/>
      <c r="DF25" s="8"/>
      <c r="DG25" s="9"/>
      <c r="DH25" s="5"/>
      <c r="DI25" s="5"/>
      <c r="DJ25" s="5"/>
      <c r="DK25" s="5"/>
      <c r="DL25" s="3">
        <f>SUMPRODUCT(('Data Base Coal Wining'!$D$2:$D$2000="TCM-ROM SB1 BK05-ROM 4")*('Data Base Coal Wining'!$G$2:$G$2000="Coal Winning")*ISNUMBER(SEARCH(TEXT('September TCM'!$B25,"00")&amp;"/09/2026",'Data Base Coal Wining'!$E$2:$E$2000))*'Data Base Coal Wining'!$N$2:$N$2000)</f>
        <v>0</v>
      </c>
      <c r="DM25" s="5"/>
      <c r="DN25" s="3">
        <f>SUMPRODUCT(('Data Base Coal Wining'!$D$2:$D$2000="TCM-ROM SB1 BK05-ROM 5")*('Data Base Coal Wining'!$G$2:$G$2000="Coal Winning")*ISNUMBER(SEARCH(TEXT('September TCM'!$B25,"00")&amp;"/09/2026",'Data Base Coal Wining'!$E$2:$E$2000))*'Data Base Coal Wining'!$N$2:$N$2000)</f>
        <v>0</v>
      </c>
      <c r="DO25" s="5"/>
      <c r="DP25" s="3">
        <f>SUMPRODUCT(('Data Base Coal Wining'!$D$2:$D$2000="TCM-ROM SB1 BK05-ROM 6")*('Data Base Coal Wining'!$G$2:$G$2000="Coal Winning")*ISNUMBER(SEARCH(TEXT('September TCM'!$B25,"00")&amp;"/09/2026",'Data Base Coal Wining'!$E$2:$E$2000))*'Data Base Coal Wining'!$N$2:$N$2000)</f>
        <v>0</v>
      </c>
      <c r="DQ25" s="11">
        <f>SUMPRODUCT(('Data Base Coal Wining'!$D$2:$D$2000="TCM-ROM SB1 BK05-ROM 6.1")*('Data Base Coal Wining'!$G$2:$G$2000="Coal Winning")*ISNUMBER(SEARCH(TEXT('September TCM'!$B25,"00")&amp;"/09/2026",'Data Base Coal Wining'!$E$2:$E$2000))*'Data Base Coal Wining'!$N$2:$N$2000)</f>
        <v>0</v>
      </c>
      <c r="DR25" s="12"/>
      <c r="DS25" s="28">
        <f t="shared" si="35"/>
        <v>0</v>
      </c>
      <c r="DT25" s="36"/>
      <c r="DU25" s="9"/>
      <c r="DV25" s="5"/>
      <c r="DW25" s="5"/>
      <c r="DX25" s="5"/>
      <c r="DY25" s="5"/>
      <c r="DZ25" s="5"/>
      <c r="EA25" s="5"/>
      <c r="EB25" s="3">
        <f>SUMPRODUCT(('Data Base Coal Wining'!$D$2:$D$2000="TCM-ROM SB2 BK24-ROM 5")*('Data Base Coal Wining'!$G$2:$G$2000="Coal Winning")*ISNUMBER(SEARCH(TEXT('September TCM'!$B25,"00")&amp;"/09/2026",'Data Base Coal Wining'!$E$2:$E$2000))*'Data Base Coal Wining'!$N$2:$N$2000)</f>
        <v>0</v>
      </c>
      <c r="EC25" s="27"/>
      <c r="ED25" s="24">
        <f>SUMPRODUCT(('Data Base Coal Wining'!$D$2:$D$2000="TCM-ROM SB2 BK24-ROM 6")*('Data Base Coal Wining'!$G$2:$G$2000="Coal Winning")*ISNUMBER(SEARCH(TEXT('September TCM'!$B25,"00")&amp;"/09/2026",'Data Base Coal Wining'!$E$2:$E$2000))*'Data Base Coal Wining'!$N$2:$N$2000)</f>
        <v>0</v>
      </c>
      <c r="EE25" s="33"/>
      <c r="EF25" s="28">
        <f t="shared" si="36"/>
        <v>0</v>
      </c>
      <c r="EG25" s="9"/>
      <c r="EH25" s="36"/>
      <c r="EI25" s="5"/>
      <c r="EJ25" s="27"/>
      <c r="EK25" s="27"/>
      <c r="EL25" s="27"/>
      <c r="EM25" s="27"/>
      <c r="EN25" s="27"/>
      <c r="EO25" s="5"/>
      <c r="EP25" s="5"/>
      <c r="EQ25" s="5"/>
      <c r="ER25" s="33"/>
      <c r="ES25" s="28">
        <f t="shared" si="127"/>
        <v>0</v>
      </c>
      <c r="ET25" s="36"/>
      <c r="EU25" s="27"/>
      <c r="EV25" s="27"/>
      <c r="EW25" s="27"/>
      <c r="EX25" s="27"/>
      <c r="EY25" s="27"/>
      <c r="EZ25" s="33">
        <f t="shared" si="38"/>
        <v>0</v>
      </c>
      <c r="FA25" s="2685"/>
      <c r="FC25" s="4">
        <f t="shared" si="39"/>
        <v>0</v>
      </c>
      <c r="FD25" s="5">
        <f t="shared" si="40"/>
        <v>0</v>
      </c>
      <c r="FE25" s="5">
        <f t="shared" si="41"/>
        <v>0</v>
      </c>
      <c r="FF25" s="12">
        <f t="shared" si="42"/>
        <v>0</v>
      </c>
      <c r="FG25" s="33"/>
      <c r="FH25" s="2674"/>
      <c r="FI25" s="9"/>
      <c r="FJ25" s="5"/>
      <c r="FK25" s="5"/>
      <c r="FL25" s="5"/>
      <c r="FM25" s="5"/>
      <c r="FN25" s="27"/>
      <c r="FO25" s="28">
        <f t="shared" si="43"/>
        <v>0</v>
      </c>
      <c r="FP25" s="36"/>
      <c r="FQ25" s="27"/>
      <c r="FR25" s="27"/>
      <c r="FS25" s="27"/>
      <c r="FT25" s="27"/>
      <c r="FU25" s="27"/>
      <c r="FV25" s="28">
        <f t="shared" si="44"/>
        <v>0</v>
      </c>
      <c r="FW25" s="36"/>
      <c r="FX25" s="36"/>
      <c r="FY25" s="27"/>
      <c r="FZ25" s="27"/>
      <c r="GA25" s="27"/>
      <c r="GB25" s="27"/>
      <c r="GC25" s="27"/>
      <c r="GD25" s="27"/>
      <c r="GE25" s="24" cm="1">
        <f t="array" ref="GE25">SUMPRODUCT(('Data Base Coal Wining'!$C$2:$C$2000="TCM-ROM TEMPORARY SB2 KM 76-ROM HAC (S4700 Hard Ban)")*(ISNUMBER(SEARCH(TEXT('September TCM'!$B25,"00")&amp;"/08/2026",'Data Base Coal Wining'!$E$2:$E$2000)))*'Data Base Coal Wining'!$N$2:$N$2000)</f>
        <v>0</v>
      </c>
      <c r="GF25" s="27"/>
      <c r="GG25" s="27"/>
      <c r="GH25" s="33"/>
      <c r="GI25" s="33">
        <f t="shared" si="45"/>
        <v>0</v>
      </c>
      <c r="GJ25" s="2674"/>
      <c r="GL25" s="2">
        <f t="shared" si="112"/>
        <v>0</v>
      </c>
      <c r="GM25" s="63">
        <f t="shared" si="113"/>
        <v>0</v>
      </c>
      <c r="GN25" s="24">
        <f t="shared" si="114"/>
        <v>0</v>
      </c>
      <c r="GO25" s="1736">
        <f t="shared" si="46"/>
        <v>0</v>
      </c>
      <c r="GP25" s="141"/>
      <c r="GQ25" s="141"/>
      <c r="GR25" s="33"/>
      <c r="GS25" s="2667"/>
      <c r="GT25" s="1723">
        <f>SUMPRODUCT(('Data Base hauling'!$H$2:$H$2000="Trust")*(ISNUMBER(SEARCH(TEXT('September TCM'!$B25,"00")&amp;"/09/2026",'Data Base hauling'!$E$2:$E$2000)))*'Data Base hauling'!$N$2:$N$2000)</f>
        <v>0</v>
      </c>
      <c r="GU25" s="1723">
        <f>SUMPRODUCT(('Data Base hauling'!$H$2:$H$2000="RT")*(ISNUMBER(SEARCH(TEXT('September TCM'!$B25,"00")&amp;"/09/2026",'Data Base hauling'!$E$2:$E$2000)))*'Data Base hauling'!$N$2:$N$2000)</f>
        <v>0</v>
      </c>
      <c r="GV25" s="5">
        <f>SUMPRODUCT(('Data Base hauling'!$H$2:$H$2000="MPE")*(ISNUMBER(SEARCH(TEXT('September TCM'!$B25,"00")&amp;"/09/2026",'Data Base hauling'!$E$2:$E$2000)))*'Data Base hauling'!$N$2:$N$2000)</f>
        <v>0</v>
      </c>
      <c r="GW25" s="1723">
        <f>SUMPRODUCT(('Data Base hauling'!$H$2:$H$2000="RP")*(ISNUMBER(SEARCH(TEXT('September TCM'!$B25,"00")&amp;"/09/2026",'Data Base hauling'!$E$2:$E$2000)))*'Data Base hauling'!$N$2:$N$2000)</f>
        <v>0</v>
      </c>
      <c r="GX25" s="28">
        <f t="shared" si="115"/>
        <v>0</v>
      </c>
      <c r="GY25" s="2667"/>
      <c r="GZ25" s="35">
        <f>SUMPRODUCT(('Data Base hauling'!$C$2:$C$2000="TCM-ROM NB-ROM 1")*(ISNUMBER(SEARCH(TEXT('September TCM'!$B25,"00")&amp;"/09/2026",'Data Base hauling'!$E$2:$E$2000)))*'Data Base hauling'!$N$2:$N$2000)</f>
        <v>0</v>
      </c>
      <c r="HA25" s="27"/>
      <c r="HB25" s="64"/>
      <c r="HC25" s="27"/>
      <c r="HD25" s="27"/>
      <c r="HE25" s="27"/>
      <c r="HF25" s="24">
        <f>SUMPRODUCT(('Data Base hauling'!$C$2:$C$2000="TCM-ROM NB-ROM 4")*(ISNUMBER(SEARCH(TEXT('September TCM'!$B25,"00")&amp;"/09/2026",'Data Base hauling'!$E$2:$E$2000)))*'Data Base hauling'!$N$2:$N$2000)</f>
        <v>0</v>
      </c>
      <c r="HG25" s="24"/>
      <c r="HH25" s="24">
        <f>SUMPRODUCT(('Data Base hauling'!$C$2:$C$2000="TCM-ROM NB-ROM 5")*(ISNUMBER(SEARCH(TEXT('September TCM'!$B25,"00")&amp;"/09/2026",'Data Base hauling'!$E$2:$E$2000)))*'Data Base hauling'!$N$2:$N$2000)</f>
        <v>0</v>
      </c>
      <c r="HI25" s="24"/>
      <c r="HJ25" s="24">
        <f>SUMPRODUCT(('Data Base hauling'!$C$2:$C$2000="TCM-ROM NB-ROM 6")*(ISNUMBER(SEARCH(TEXT('September TCM'!$B25,"00")&amp;"/09/2026",'Data Base hauling'!$E$2:$E$2000)))*'Data Base hauling'!$N$2:$N$2000)</f>
        <v>0</v>
      </c>
      <c r="HK25" s="24"/>
      <c r="HL25" s="24">
        <f>SUMPRODUCT(('Data Base hauling'!$C$2:$C$2000="TCM-WASH-CR3")*(ISNUMBER(SEARCH(TEXT('September TCM'!$B25,"00")&amp;"/09/2026",'Data Base hauling'!$E$2:$E$2000)))*'Data Base hauling'!$N$2:$N$2000)</f>
        <v>0</v>
      </c>
      <c r="HM25" s="27"/>
      <c r="HN25" s="28">
        <f t="shared" si="131"/>
        <v>0</v>
      </c>
      <c r="HO25" s="36"/>
      <c r="HP25" s="27"/>
      <c r="HQ25" s="27"/>
      <c r="HR25" s="27"/>
      <c r="HS25" s="27"/>
      <c r="HT25" s="27"/>
      <c r="HU25" s="27">
        <f t="array" ref="HU25">SUMPRODUCT(('Data Base hauling'!$C$2:$C$2000="TCM-ROM SB1 BK05-ROM 4")*(ISNUMBER(SEARCH(TEXT('September TCM'!$B25,"00")&amp;"/03/2026",'Data Base hauling'!$E$2:$E$2000)))*'Data Base hauling'!$N$2:$N$2000)</f>
        <v>0</v>
      </c>
      <c r="HV25" s="27"/>
      <c r="HW25" s="27">
        <f t="array" ref="HW25">SUMPRODUCT(('Data Base hauling'!$C$2:$C$2000="TCM-ROM SB1 BK05-ROM 5")*(ISNUMBER(SEARCH(TEXT('September TCM'!$B25,"00")&amp;"/03/2026",'Data Base hauling'!$E$2:$E$2000)))*'Data Base hauling'!$N$2:$N$2000)</f>
        <v>0</v>
      </c>
      <c r="HX25" s="27"/>
      <c r="HY25" s="27"/>
      <c r="HZ25" s="27"/>
      <c r="IA25" s="27"/>
      <c r="IB25" s="27"/>
      <c r="IC25" s="33">
        <f t="shared" si="48"/>
        <v>0</v>
      </c>
      <c r="ID25" s="52"/>
      <c r="IE25" s="152"/>
      <c r="IF25" s="53"/>
      <c r="IG25" s="53"/>
      <c r="IH25" s="53"/>
      <c r="II25" s="53"/>
      <c r="IJ25" s="1926">
        <f>SUMPRODUCT(('Data Base hauling'!$C$2:$C$2000="TCM-ROM SB1 BK05-ROM 4")*(ISNUMBER(SEARCH(TEXT('September TCM'!$B25,"00")&amp;"/09/2026",'Data Base hauling'!$E$2:$E$2000)))*'Data Base hauling'!$N$2:$N$2000)</f>
        <v>0</v>
      </c>
      <c r="IK25" s="1926"/>
      <c r="IL25" s="1926">
        <f>SUMPRODUCT(('Data Base hauling'!$C$2:$C$2000="TCM-ROM SB1 BK05-ROM 5")*(ISNUMBER(SEARCH(TEXT('September TCM'!$B25,"00")&amp;"/09/2026",'Data Base hauling'!$E$2:$E$2000)))*'Data Base hauling'!$N$2:$N$2000)</f>
        <v>0</v>
      </c>
      <c r="IM25" s="49"/>
      <c r="IN25" s="49">
        <f>SUMPRODUCT(('Data Base hauling'!$C$2:$C$2000="TCM-ROM SB1 BK05-ROM 6")*(ISNUMBER(SEARCH(TEXT('September TCM'!$B25,"00")&amp;"/09/2026",'Data Base hauling'!$E$2:$E$2000)))*'Data Base hauling'!$N$2:$N$2000)</f>
        <v>0</v>
      </c>
      <c r="IO25" s="49"/>
      <c r="IP25" s="49"/>
      <c r="IQ25" s="49">
        <f>SUMPRODUCT(('Data Base hauling'!$C$2:$C$2000="TCM-HAC1 (Production)-ROM 2(HAC)")*(ISNUMBER(SEARCH(TEXT('September TCM'!$B25,"00")&amp;"/09/2026",'Data Base hauling'!$E$2:$E$2000)))*'Data Base hauling'!$N$2:$N$2000)</f>
        <v>0</v>
      </c>
      <c r="IR25" s="2195">
        <f t="shared" si="132"/>
        <v>0</v>
      </c>
      <c r="IS25" s="36"/>
      <c r="IT25" s="36"/>
      <c r="IU25" s="27"/>
      <c r="IV25" s="27"/>
      <c r="IW25" s="53"/>
      <c r="IX25" s="27"/>
      <c r="IY25" s="24">
        <f>SUMPRODUCT(('Data Base hauling'!$C$2:$C$2000="TCM-ROM SB2 BK24-ROM 4")*(ISNUMBER(SEARCH(TEXT('September TCM'!$B25,"00")&amp;"/09/2026",'Data Base hauling'!$E$2:$E$2000)))*'Data Base hauling'!$N$2:$N$2000)</f>
        <v>0</v>
      </c>
      <c r="IZ25" s="24"/>
      <c r="JA25" s="24">
        <f>SUMPRODUCT(('Data Base hauling'!$C$2:$C$2000="TCM-ROM SB2 BK24-ROM 5")*(ISNUMBER(SEARCH(TEXT('September TCM'!$B25,"00")&amp;"/09/2026",'Data Base hauling'!$E$2:$E$2000)))*'Data Base hauling'!$N$2:$N$2000)</f>
        <v>0</v>
      </c>
      <c r="JB25" s="24"/>
      <c r="JC25" s="24">
        <f>SUMPRODUCT(('Data Base hauling'!$C$2:$C$2000="TCM-ROM SB2 BK24-ROM 6")*(ISNUMBER(SEARCH(TEXT('September TCM'!$B25,"00")&amp;"/09/2026",'Data Base hauling'!$E$2:$E$2000)))*'Data Base hauling'!$N$2:$N$2000)</f>
        <v>0</v>
      </c>
      <c r="JD25" s="27"/>
      <c r="JE25" s="27"/>
      <c r="JF25" s="27"/>
      <c r="JG25" s="33">
        <f t="shared" si="133"/>
        <v>0</v>
      </c>
      <c r="JH25" s="2667"/>
      <c r="JJ25" s="2014">
        <f>SUMPRODUCT(('Data Base hauling'!$O$2:$O$2000="TCM.HCV.LS")*(ISNUMBER(SEARCH(TEXT('September TCM'!$B25,"00")&amp;"/09/2026",'Data Base hauling'!$E$2:$E$2000)))*'Data Base hauling'!$N$2:$N$2000)</f>
        <v>0</v>
      </c>
      <c r="JK25" s="2015">
        <f>SUMPRODUCT(('Data Base hauling'!$O$2:$O$2000="TCM.HCV.HS")*(ISNUMBER(SEARCH(TEXT('September TCM'!$B25,"00")&amp;"/09/2026",'Data Base hauling'!$E$2:$E$2000)))*'Data Base hauling'!$N$2:$N$2000)</f>
        <v>0</v>
      </c>
      <c r="JL25" s="53"/>
      <c r="JM25" s="1736">
        <f t="shared" si="51"/>
        <v>0</v>
      </c>
      <c r="JN25" s="33"/>
      <c r="JO25" s="2669"/>
      <c r="JP25" s="66" t="str">
        <f>IFERROR(SUMPRODUCT(('Data Base hauling'!$O$2:$O$2000="TCM.HCV.LS")*('Data Base hauling'!$C$2:$C$2000="TCM-ROM NB-ROM 1")*(ISNUMBER(SEARCH(TEXT('September TCM'!$B25,"00")&amp;"/09/2026",'Data Base hauling'!$E$2:$E$2000)))*'Data Base hauling'!$N$2:$N$2000)/'September TCM'!$JJ25,"")</f>
        <v/>
      </c>
      <c r="JQ25" s="67" t="str">
        <f>IFERROR(SUMPRODUCT(('Data Base hauling'!$O$2:$O$2000="TCM.HCV.LS")*('Data Base hauling'!$C$2:$C$2000="TCM-ROM NB-ROM 2")*(ISNUMBER(SEARCH(TEXT('September TCM'!$B25,"00")&amp;"/09/2026",'Data Base hauling'!$E$2:$E$2000)))*'Data Base hauling'!$N$2:$N$2000)/'September TCM'!$JJ25,"")</f>
        <v/>
      </c>
      <c r="JR25" s="67" t="str">
        <f>IFERROR(SUMPRODUCT(('Data Base hauling'!$O$2:$O$2000="TCM.HCV.LS")*('Data Base hauling'!$C$2:$C$2000="TCM-ROM NB-ROM 3")*(ISNUMBER(SEARCH(TEXT('September TCM'!$B25,"00")&amp;"/09/2026",'Data Base hauling'!$E$2:$E$2000)))*'Data Base hauling'!$N$2:$N$2000)/'September TCM'!$JJ25,"")</f>
        <v/>
      </c>
      <c r="JS25" s="67" t="str">
        <f>IFERROR(SUMPRODUCT(('Data Base hauling'!$O$2:$O$2000="TCM.HCV.LS")*('Data Base hauling'!$C$2:$C$2000="TCM-ROM SB1 BK05-ROM 4")*(ISNUMBER(SEARCH(TEXT('September TCM'!$B25,"00")&amp;"/09/2026",'Data Base hauling'!$E$2:$E$2000)))*'Data Base hauling'!$N$2:$N$2000)/'September TCM'!$JJ25,"")</f>
        <v/>
      </c>
      <c r="JT25" s="67" t="str">
        <f>IFERROR(SUMPRODUCT(('Data Base hauling'!$O$2:$O$2000="TCM.HCV.LS")*SIGN(('Data Base hauling'!$C$2:$C$2000="TCM-ROM NB-ROM 5")+('Data Base hauling'!$C$2:$C$2000="TCM-ROM SB1 BK05-ROM 5")+('Data Base hauling'!$C$2:$C$2000="TCM-ROM SB2 BK24-ROM 5"))*(ISNUMBER(SEARCH(TEXT('September TCM'!$B25,"00")&amp;"/09/2026",'Data Base hauling'!$E$2:$E$2000)))*'Data Base hauling'!$N$2:$N$2000)/'September TCM'!$JJ25,"")</f>
        <v/>
      </c>
      <c r="JU25" s="67" t="str">
        <f>IFERROR(SUMPRODUCT(('Data Base hauling'!$O$2:$O$2000="TCM.HCV.LS")*SIGN(('Data Base hauling'!$C$2:$C$2000="TCM-ROM NB-ROM 6")+('Data Base hauling'!$C$2:$C$2000="TCM-ROM SB1 BK05-ROM 6")+('Data Base hauling'!$C$2:$C$2000="TCM-ROM SB2 BK24-ROM 6"))*(ISNUMBER(SEARCH(TEXT('September TCM'!$B25,"00")&amp;"/09/2026",'Data Base hauling'!$E$2:$E$2000)))*'Data Base hauling'!$N$2:$N$2000)/'September TCM'!$JJ25,"")</f>
        <v/>
      </c>
      <c r="JV25" s="67" t="str">
        <f>IFERROR(SUMPRODUCT(('Data Base hauling'!$O$2:$O$2000="TCM.HCV.LS")*('Data Base hauling'!$C$2:$C$2000="TCM-WASH-CR3")*(ISNUMBER(SEARCH(TEXT('September TCM'!$B25,"00")&amp;"/09/2026",'Data Base hauling'!$E$2:$E$2000)))*'Data Base hauling'!$N$2:$N$2000)/'September TCM'!$JJ25,"")</f>
        <v/>
      </c>
      <c r="JW25" s="1921">
        <f>SUMPRODUCT(('Data Base hauling'!$O$2:$O$2000="TCM.HCV.LS")*('Data Base hauling'!$C$2:$C$2000="TCM-HAC-CR3")*(ISNUMBER(SEARCH(TEXT('September TCM'!$B25,"00")&amp;"/089/2026",'Data Base hauling'!$E$2:$E$2000)))*'Data Base hauling'!$N$2:$N$2000)</f>
        <v>0</v>
      </c>
      <c r="JX25" s="66" t="str">
        <f>IFERROR(SUMPRODUCT(('Data Base hauling'!$O$2:$O$2000="TCM.HCV.HS")*('Data Base hauling'!$C$2:$C$2000="TCM-ROM NB-ROM 1")*(ISNUMBER(SEARCH(TEXT('September TCM'!$B25,"00")&amp;"/09/2026",'Data Base hauling'!$E$2:$E$2000)))*'Data Base hauling'!$N$2:$N$2000)/'September TCM'!$JK25,"")</f>
        <v/>
      </c>
      <c r="JY25" s="67" t="str">
        <f>IFERROR(SUMPRODUCT(('Data Base hauling'!$O$2:$O$2000="TCM.HCV.HS")*('Data Base hauling'!$C$2:$C$2000="TCM-ROM NB-ROM 2")*(ISNUMBER(SEARCH(TEXT('September TCM'!$B25,"00")&amp;"/09/2026",'Data Base hauling'!$E$2:$E$2000)))*'Data Base hauling'!$N$2:$N$2000)/'September TCM'!$JK25,"")</f>
        <v/>
      </c>
      <c r="JZ25" s="67" t="str">
        <f>IFERROR(SUMPRODUCT(('Data Base hauling'!$O$2:$O$2000="TCM.HCV.HS")*('Data Base hauling'!$C$2:$C$2000="TCM-ROM NB-ROM 3")*(ISNUMBER(SEARCH(TEXT('September TCM'!$B25,"00")&amp;"/09/2026",'Data Base hauling'!$E$2:$E$2000)))*'Data Base hauling'!$N$2:$N$2000)/'September TCM'!$JK25,"")</f>
        <v/>
      </c>
      <c r="KA25" s="67" t="str">
        <f>IFERROR(SUMPRODUCT(('Data Base hauling'!$O$2:$O$2000="TCM.HCV.HS")*('Data Base hauling'!$C$2:$C$2000="TCM-ROM SB1 BK05-ROM 4")*(ISNUMBER(SEARCH(TEXT('September TCM'!$B25,"00")&amp;"/09/2026",'Data Base hauling'!$E$2:$E$2000)))*'Data Base hauling'!$N$2:$N$2000)/'September TCM'!$JK25,"")</f>
        <v/>
      </c>
      <c r="KB25" s="67" t="str">
        <f>IFERROR(SUMPRODUCT(('Data Base hauling'!$O$2:$O$2000="TCM.HCV.HS")*SIGN(('Data Base hauling'!$C$2:$C$2000="TCM-ROM NB-ROM 5")+('Data Base hauling'!$C$2:$C$2000="TCM-ROM SB1 BK05-ROM 5")+('Data Base hauling'!$C$2:$C$2000="TCM-ROM SB2 BK24-ROM 5"))*(ISNUMBER(SEARCH(TEXT('September TCM'!$B25,"00")&amp;"/09/2026",'Data Base hauling'!$E$2:$E$2000)))*'Data Base hauling'!$N$2:$N$2000)/'September TCM'!$JK25,"")</f>
        <v/>
      </c>
      <c r="KC25" s="67" t="str">
        <f>IFERROR(SUMPRODUCT(('Data Base hauling'!$O$2:$O$2000="TCM.HCV.HS")*SIGN(('Data Base hauling'!$C$2:$C$2000="TCM-ROM NB-ROM 6")+('Data Base hauling'!$C$2:$C$2000="TCM-ROM SB1 BK05-ROM 6")+('Data Base hauling'!$C$2:$C$2000="TCM-ROM SB2 BK24-ROM 6"))*(ISNUMBER(SEARCH(TEXT('September TCM'!$B25,"00")&amp;"/09/2026",'Data Base hauling'!$E$2:$E$2000)))*'Data Base hauling'!$N$2:$N$2000)/'September TCM'!$JK25,"")</f>
        <v/>
      </c>
      <c r="KD25" s="67" t="str">
        <f>IFERROR(SUMPRODUCT(('Data Base hauling'!$O$2:$O$2000="TCM.HCV.HS")*('Data Base hauling'!$C$2:$C$2000="TCM-WASH-CR3")*(ISNUMBER(SEARCH(TEXT('September TCM'!$B25,"00")&amp;"/09/2026",'Data Base hauling'!$E$2:$E$2000)))*'Data Base hauling'!$N$2:$N$2000)/'September TCM'!$JK25,"")</f>
        <v/>
      </c>
      <c r="KE25" s="68" t="str">
        <f>IFERROR(SUMPRODUCT(('Data Base hauling'!$O$2:$O$2000="TCM.HCV.HS")*('Data Base hauling'!$C$2:$C$2000="TCM-HAC-CR3")*(ISNUMBER(SEARCH(TEXT('September TCM'!$B25,"00")&amp;"/09/2026",'Data Base hauling'!$E$2:$E$2000)))*'Data Base hauling'!$N$2:$N$2000)/'September TCM'!$JK25,"")</f>
        <v/>
      </c>
      <c r="KF25" s="69"/>
      <c r="KG25" s="70"/>
      <c r="KH25" s="70"/>
      <c r="KI25" s="70"/>
      <c r="KJ25" s="70"/>
      <c r="KK25" s="70"/>
      <c r="KL25" s="70"/>
      <c r="KM25" s="70"/>
      <c r="KN25" s="33"/>
      <c r="KO25" s="2669"/>
      <c r="KP25" s="2203">
        <f>IFERROR(SUMPRODUCT((TCM.HCV.LS!$A$3:$A$58=DATE(2026,9,$B25))*(TCM.HCV.LS!$O$3:$O$58&gt;0)*TCM.HCV.LS!$C$3:$C$58*TCM.HCV.LS!$O$3:$O$58)/SUMPRODUCT((TCM.HCV.LS!$A$3:$A$58=DATE(2026,9,$B25))*(TCM.HCV.LS!$O$3:$O$58&gt;0)*TCM.HCV.LS!$C$3:$C$58),0)</f>
        <v>0</v>
      </c>
      <c r="KQ25" s="1721">
        <f>IFERROR(SUMPRODUCT((TCM.HCV.LS!$A$3:$A$58=DATE(2026,9,$B25))*(TCM.HCV.LS!$M$3:$M$58&gt;0)*TCM.HCV.LS!$C$3:$C$58*TCM.HCV.LS!$M$3:$M$58)/SUMPRODUCT((TCM.HCV.LS!$A$3:$A$58=DATE(2026,9,$B25))*(TCM.HCV.LS!$M$3:$M$58&gt;0)*TCM.HCV.LS!$C$3:$C$58),0)</f>
        <v>0</v>
      </c>
      <c r="KR25" s="1721">
        <f>IFERROR(SUMPRODUCT((TCM.HCV.LS!$A$3:$A$58=DATE(2026,9,$B25))*(TCM.HCV.LS!$G$3:$G$58&gt;0)*TCM.HCV.LS!$C$3:$C$58*TCM.HCV.LS!$G$3:$G$58)/SUMPRODUCT((TCM.HCV.LS!$A$3:$A$58=DATE(2026,9,$B25))*(TCM.HCV.LS!$G$3:$G$58&gt;0)*TCM.HCV.LS!$C$3:$C$58),0)</f>
        <v>0</v>
      </c>
      <c r="KS25" s="1721">
        <f>IFERROR(SUMPRODUCT((TCM.HCV.LS!$A$3:$A$58=DATE(2026,9,$B25))*(TCM.HCV.LS!$F$3:$F$58&gt;0)*TCM.HCV.LS!$C$3:$C$58*TCM.HCV.LS!$F$3:$F$58)/SUMPRODUCT((TCM.HCV.LS!$A$3:$A$58=DATE(2026,9,$B25))*(TCM.HCV.LS!$F$3:$F$58&gt;0)*TCM.HCV.LS!$C$3:$C$58),0)</f>
        <v>0</v>
      </c>
      <c r="KT25" s="1722">
        <f>IFERROR(SUMPRODUCT((TCM.HCV.LS!$A$3:$A$58=DATE(2026,9,$B25))*(TCM.HCV.LS!$E$3:$E$58&gt;0)*TCM.HCV.LS!$C$3:$C$58*TCM.HCV.LS!$E$3:$E$58)/SUMPRODUCT((TCM.HCV.LS!$A$3:$A$58=DATE(2026,9,$B25))*(TCM.HCV.LS!$E$3:$E$58&gt;0)*TCM.HCV.LS!$C$3:$C$58),0)</f>
        <v>0</v>
      </c>
      <c r="KU25" s="1958">
        <f>IFERROR(SUMPRODUCT((TCM.HCV.HS!$A$3:$A$84=DATE(2026,9,$B25))*(TCM.HCV.HS!$O$3:$O$84&gt;0)*TCM.HCV.HS!$C$3:$C$84*TCM.HCV.HS!$O$3:$O$84)/SUMPRODUCT((TCM.HCV.HS!$A$3:$A$84=DATE(2026,9,$B25))*(TCM.HCV.HS!$O$3:$O$84&gt;0)*TCM.HCV.HS!$C$3:$C$84),0)</f>
        <v>0</v>
      </c>
      <c r="KV25" s="1961">
        <f>IFERROR(SUMPRODUCT((TCM.HCV.HS!$A$3:$A$84=DATE(2026,9,$B25))*(TCM.HCV.HS!$M$3:$M$84&gt;0)*TCM.HCV.HS!$C$3:$C$84*TCM.HCV.HS!$M$3:$M$84)/SUMPRODUCT((TCM.HCV.HS!$A$3:$A$84=DATE(2026,9,$B25))*(TCM.HCV.HS!$M$3:$M$84&gt;0)*TCM.HCV.HS!$C$3:$C$84),0)</f>
        <v>0</v>
      </c>
      <c r="KW25" s="1961">
        <f>IFERROR(SUMPRODUCT((TCM.HCV.HS!$A$3:$A$84=DATE(2026,9,$B25))*(TCM.HCV.HS!$G$3:$G$84&gt;0)*TCM.HCV.HS!$C$3:$C$84*TCM.HCV.HS!$G$3:$G$84)/SUMPRODUCT((TCM.HCV.HS!$A$3:$A$84=DATE(2026,9,$B25))*(TCM.HCV.HS!$G$3:$G$84&gt;0)*TCM.HCV.HS!$C$3:$C$84),0)</f>
        <v>0</v>
      </c>
      <c r="KX25" s="1961">
        <f>IFERROR(SUMPRODUCT((TCM.HCV.HS!$A$3:$A$84=DATE(2026,9,$B25))*(TCM.HCV.HS!$F$3:$F$84&gt;0)*TCM.HCV.HS!$C$3:$C$84*TCM.HCV.HS!$F$3:$F$84)/SUMPRODUCT((TCM.HCV.HS!$A$3:$A$84=DATE(2026,9,$B25))*(TCM.HCV.HS!$F$3:$F$84&gt;0)*TCM.HCV.HS!$C$3:$C$84),0)</f>
        <v>0</v>
      </c>
      <c r="KY25" s="1962">
        <f>IFERROR(SUMPRODUCT((TCM.HCV.HS!$A$3:$A$84=DATE(2026,9,$B25))*(TCM.HCV.HS!$E$3:$E$84&gt;0)*TCM.HCV.HS!$C$3:$C$84*TCM.HCV.HS!$E$3:$E$84)/SUMPRODUCT((TCM.HCV.HS!$A$3:$A$84=DATE(2026,9,$B25))*(TCM.HCV.HS!$E$3:$E$84&gt;0)*TCM.HCV.HS!$C$3:$C$84),0)</f>
        <v>0</v>
      </c>
      <c r="KZ25" s="36"/>
      <c r="LA25" s="53"/>
      <c r="LB25" s="53"/>
      <c r="LC25" s="53"/>
      <c r="LD25" s="53"/>
      <c r="LE25" s="33"/>
      <c r="LF25" s="2669"/>
      <c r="LH25" s="4">
        <f t="shared" ref="LH25:LJ40" si="138">SUM(LS25,LY25,MK25,MQ25+ME25)</f>
        <v>0</v>
      </c>
      <c r="LI25" s="27">
        <f t="shared" si="138"/>
        <v>0</v>
      </c>
      <c r="LJ25" s="27">
        <f t="shared" si="138"/>
        <v>0</v>
      </c>
      <c r="LK25" s="28">
        <f t="shared" si="53"/>
        <v>0</v>
      </c>
      <c r="LL25" s="36"/>
      <c r="LM25" s="27"/>
      <c r="LN25" s="27"/>
      <c r="LO25" s="33"/>
      <c r="LP25" s="1957"/>
      <c r="LQ25" s="486"/>
      <c r="LR25" s="2688"/>
      <c r="LS25" s="36"/>
      <c r="LT25" s="36"/>
      <c r="LU25" s="27"/>
      <c r="LV25" s="27"/>
      <c r="LW25" s="27"/>
      <c r="LX25" s="1107">
        <f t="shared" si="129"/>
        <v>0</v>
      </c>
      <c r="LY25" s="36"/>
      <c r="LZ25" s="36"/>
      <c r="MA25" s="27"/>
      <c r="MB25" s="27"/>
      <c r="MC25" s="33"/>
      <c r="MD25" s="28">
        <f t="shared" si="137"/>
        <v>0</v>
      </c>
      <c r="ME25" s="26"/>
      <c r="MF25" s="36"/>
      <c r="MG25" s="27"/>
      <c r="MH25" s="27"/>
      <c r="MI25" s="27"/>
      <c r="MJ25" s="28"/>
      <c r="MK25" s="36"/>
      <c r="ML25" s="36"/>
      <c r="MM25" s="27"/>
      <c r="MN25" s="27"/>
      <c r="MO25" s="27"/>
      <c r="MP25" s="28"/>
      <c r="MQ25" s="36"/>
      <c r="MR25" s="36"/>
      <c r="MS25" s="27"/>
      <c r="MT25" s="27"/>
      <c r="MU25" s="27"/>
      <c r="MV25" s="33">
        <f t="shared" si="56"/>
        <v>0</v>
      </c>
      <c r="MW25" s="2688"/>
      <c r="MY25" s="26">
        <f t="shared" si="57"/>
        <v>377341.84766611259</v>
      </c>
      <c r="MZ25" s="27">
        <f t="shared" si="58"/>
        <v>191281.80302645115</v>
      </c>
      <c r="NA25" s="27">
        <f t="shared" si="59"/>
        <v>27294.683787707359</v>
      </c>
      <c r="NB25" s="28">
        <f t="shared" si="60"/>
        <v>318297.33035698003</v>
      </c>
      <c r="NC25" s="2621"/>
      <c r="ND25" s="23">
        <f t="shared" si="116"/>
        <v>207724.34280113198</v>
      </c>
      <c r="NE25" s="1655">
        <f t="shared" si="117"/>
        <v>169617.50486498058</v>
      </c>
      <c r="NF25" s="60">
        <f t="shared" si="63"/>
        <v>0</v>
      </c>
      <c r="NG25" s="275">
        <f t="shared" si="4"/>
        <v>377341.84766611259</v>
      </c>
      <c r="NH25" s="26">
        <f t="shared" si="64"/>
        <v>-313.35000000000002</v>
      </c>
      <c r="NI25" s="27">
        <f t="shared" si="64"/>
        <v>0</v>
      </c>
      <c r="NJ25" s="27">
        <f t="shared" si="64"/>
        <v>0</v>
      </c>
      <c r="NK25" s="27">
        <f t="shared" si="64"/>
        <v>0</v>
      </c>
      <c r="NL25" s="27">
        <f t="shared" si="64"/>
        <v>0</v>
      </c>
      <c r="NM25" s="33">
        <f t="shared" si="64"/>
        <v>0</v>
      </c>
      <c r="NN25" s="27">
        <f t="shared" si="64"/>
        <v>0</v>
      </c>
      <c r="NO25" s="36">
        <f t="shared" si="64"/>
        <v>0</v>
      </c>
      <c r="NP25" s="24">
        <f t="shared" si="64"/>
        <v>21665.870136227244</v>
      </c>
      <c r="NQ25" s="27">
        <f t="shared" si="64"/>
        <v>22358.939343794715</v>
      </c>
      <c r="NR25" s="24">
        <f t="shared" si="118"/>
        <v>8443.1982322711574</v>
      </c>
      <c r="NS25" s="24">
        <f t="shared" si="119"/>
        <v>9895.3380410535083</v>
      </c>
      <c r="NT25" s="27">
        <f t="shared" si="0"/>
        <v>62049.995753346629</v>
      </c>
      <c r="NU25" s="27">
        <f t="shared" si="65"/>
        <v>0</v>
      </c>
      <c r="NV25" s="27">
        <f t="shared" si="65"/>
        <v>0</v>
      </c>
      <c r="NW25" s="27">
        <f t="shared" si="65"/>
        <v>0</v>
      </c>
      <c r="NX25" s="27">
        <f t="shared" si="65"/>
        <v>0</v>
      </c>
      <c r="NY25" s="27">
        <f t="shared" si="65"/>
        <v>0</v>
      </c>
      <c r="NZ25" s="5">
        <f t="shared" si="65"/>
        <v>0</v>
      </c>
      <c r="OA25" s="27">
        <f t="shared" si="65"/>
        <v>35558.705564997217</v>
      </c>
      <c r="OB25" s="27">
        <f t="shared" si="65"/>
        <v>0</v>
      </c>
      <c r="OC25" s="27">
        <f t="shared" si="66"/>
        <v>12611.886475620366</v>
      </c>
      <c r="OD25" s="280"/>
      <c r="OE25" s="27">
        <f t="shared" si="120"/>
        <v>13429.316718063665</v>
      </c>
      <c r="OF25" s="27">
        <f t="shared" si="67"/>
        <v>0</v>
      </c>
      <c r="OG25" s="28">
        <f t="shared" si="1"/>
        <v>61599.908758681253</v>
      </c>
      <c r="OH25" s="27">
        <f t="shared" si="68"/>
        <v>0</v>
      </c>
      <c r="OI25" s="27">
        <f t="shared" si="68"/>
        <v>0</v>
      </c>
      <c r="OJ25" s="27">
        <f t="shared" si="68"/>
        <v>0</v>
      </c>
      <c r="OK25" s="27">
        <f t="shared" si="68"/>
        <v>0</v>
      </c>
      <c r="OL25" s="27">
        <f t="shared" si="68"/>
        <v>0</v>
      </c>
      <c r="OM25" s="27">
        <f t="shared" si="68"/>
        <v>0</v>
      </c>
      <c r="ON25" s="24">
        <f t="shared" si="68"/>
        <v>0</v>
      </c>
      <c r="OO25" s="27">
        <f t="shared" si="68"/>
        <v>0</v>
      </c>
      <c r="OP25" s="24">
        <f t="shared" si="69"/>
        <v>54054.217649249818</v>
      </c>
      <c r="OQ25" s="27">
        <f t="shared" si="70"/>
        <v>0</v>
      </c>
      <c r="OR25" s="24">
        <f t="shared" si="70"/>
        <v>13577.680865173457</v>
      </c>
      <c r="OS25" s="27">
        <f t="shared" si="70"/>
        <v>0</v>
      </c>
      <c r="OT25" s="28">
        <f t="shared" si="2"/>
        <v>67631.898514423272</v>
      </c>
      <c r="OU25" s="36"/>
      <c r="OV25" s="27"/>
      <c r="OW25" s="27"/>
      <c r="OX25" s="27"/>
      <c r="OY25" s="27"/>
      <c r="OZ25" s="27"/>
      <c r="PA25" s="28">
        <f t="shared" si="71"/>
        <v>0</v>
      </c>
      <c r="PB25" s="36">
        <f t="shared" si="72"/>
        <v>0</v>
      </c>
      <c r="PC25" s="27">
        <f t="shared" si="73"/>
        <v>0</v>
      </c>
      <c r="PD25" s="27">
        <f t="shared" si="74"/>
        <v>0</v>
      </c>
      <c r="PE25" s="27">
        <f t="shared" si="75"/>
        <v>0</v>
      </c>
      <c r="PF25" s="24"/>
      <c r="PG25" s="27">
        <f t="shared" si="76"/>
        <v>0</v>
      </c>
      <c r="PH25" s="33">
        <f t="shared" si="3"/>
        <v>0</v>
      </c>
      <c r="PI25" s="2621"/>
      <c r="PK25" s="1907">
        <f>SUMPRODUCT(('Data Base Coal Wining'!$D$2:$D$2000="WASHING PLANT")*ISNUMBER(SEARCH(TEXT('September TCM'!$B25,"00")&amp;"/09/2026",'Data Base Coal Wining'!$E$2:$E$2000))*'Data Base Coal Wining'!$N$2:$N$2000)</f>
        <v>0</v>
      </c>
      <c r="PL25" s="3"/>
      <c r="PM25" s="3"/>
      <c r="PN25" s="3">
        <f t="shared" si="77"/>
        <v>0</v>
      </c>
      <c r="PO25" s="3">
        <f t="shared" si="78"/>
        <v>38895.633435124721</v>
      </c>
      <c r="PP25" s="11">
        <f t="shared" ref="PP25:PP40" si="139">PP24+PM25-PN25</f>
        <v>27294.683787707359</v>
      </c>
      <c r="PQ25" s="15"/>
      <c r="PR25" s="2615"/>
      <c r="PT25" s="4"/>
      <c r="PU25" s="9"/>
      <c r="PV25" s="9"/>
      <c r="PW25" s="486"/>
      <c r="PX25" s="8">
        <f>SUMPRODUCT(('Data Base Coal Wining'!$D$2:$D$2000="TCM-ROM SB1 BK05-ROM 2 (HAC)")*('Data Base Coal Wining'!$G$2:$G$2000="Coal Winning")*ISNUMBER(SEARCH(TEXT('September TCM'!$B25,"00")&amp;"/09/2026",'Data Base Coal Wining'!$E$2:$E$2000))*'Data Base Coal Wining'!$N$2:$N$2000)</f>
        <v>0</v>
      </c>
      <c r="PY25" s="9"/>
      <c r="PZ25" s="8">
        <f t="shared" si="80"/>
        <v>0</v>
      </c>
      <c r="QA25" s="5">
        <f t="shared" si="81"/>
        <v>0</v>
      </c>
      <c r="QB25" s="5"/>
      <c r="QC25" s="5"/>
      <c r="QD25" s="5"/>
      <c r="QE25" s="5"/>
      <c r="QF25" s="5"/>
      <c r="QG25" s="12"/>
      <c r="QH25" s="12">
        <f t="shared" si="82"/>
        <v>29562.488999999998</v>
      </c>
      <c r="QI25" s="420">
        <f t="shared" si="83"/>
        <v>283762.59090898006</v>
      </c>
      <c r="QJ25" s="1106">
        <f t="shared" si="121"/>
        <v>4972.2504480000007</v>
      </c>
      <c r="QK25" s="484">
        <f t="shared" si="84"/>
        <v>5505.3678056099998</v>
      </c>
      <c r="QL25" s="12"/>
      <c r="QM25" s="2615"/>
      <c r="QO25" s="139" t="str">
        <f t="shared" si="85"/>
        <v/>
      </c>
      <c r="QP25" s="139" t="str">
        <f t="shared" si="86"/>
        <v/>
      </c>
      <c r="QR25" s="139" t="str">
        <f t="shared" si="87"/>
        <v/>
      </c>
      <c r="QS25" s="139" t="str">
        <f t="shared" si="88"/>
        <v/>
      </c>
      <c r="QU25" s="1">
        <f t="shared" si="89"/>
        <v>0</v>
      </c>
      <c r="QV25" s="1">
        <f t="shared" si="90"/>
        <v>0</v>
      </c>
      <c r="QW25" s="1">
        <f t="shared" si="91"/>
        <v>0</v>
      </c>
      <c r="QX25" s="1">
        <f t="shared" si="92"/>
        <v>0</v>
      </c>
      <c r="QY25" s="1">
        <f t="shared" si="93"/>
        <v>0</v>
      </c>
      <c r="QZ25" s="1">
        <f t="shared" si="94"/>
        <v>0</v>
      </c>
      <c r="RB25" s="1">
        <f t="shared" si="95"/>
        <v>0</v>
      </c>
      <c r="RC25" s="1">
        <f t="shared" si="96"/>
        <v>0</v>
      </c>
      <c r="RD25" s="1">
        <f t="shared" si="97"/>
        <v>0</v>
      </c>
      <c r="RE25" s="1">
        <f t="shared" si="98"/>
        <v>0</v>
      </c>
      <c r="RF25" s="1">
        <f t="shared" si="99"/>
        <v>0</v>
      </c>
      <c r="RG25" s="1">
        <f t="shared" si="100"/>
        <v>0</v>
      </c>
      <c r="RJ25" s="1">
        <v>16</v>
      </c>
      <c r="RK25" s="1">
        <f t="shared" si="135"/>
        <v>5984.4452097170979</v>
      </c>
      <c r="RL25" s="1">
        <f t="shared" si="135"/>
        <v>5074.1017804837184</v>
      </c>
      <c r="RM25" s="1">
        <f t="shared" si="135"/>
        <v>13404.263703387322</v>
      </c>
      <c r="RN25" s="89">
        <f t="shared" si="5"/>
        <v>24462.810693588137</v>
      </c>
      <c r="RO25" s="1033">
        <v>16</v>
      </c>
      <c r="RP25" s="1098">
        <v>0</v>
      </c>
      <c r="RQ25" s="1098">
        <f t="shared" si="102"/>
        <v>0</v>
      </c>
      <c r="RR25" s="1097">
        <f t="shared" si="102"/>
        <v>0</v>
      </c>
      <c r="RS25" s="1097">
        <f t="shared" si="103"/>
        <v>0</v>
      </c>
      <c r="RT25" s="1046"/>
      <c r="RU25" s="1928"/>
      <c r="RV25" s="1048"/>
      <c r="RX25" s="421">
        <v>16</v>
      </c>
      <c r="RY25" s="1095">
        <f t="shared" si="104"/>
        <v>0</v>
      </c>
      <c r="RZ25" s="1109"/>
      <c r="SA25" s="1048"/>
      <c r="SB25" s="1090"/>
      <c r="SC25" s="1090">
        <f t="shared" si="105"/>
        <v>0</v>
      </c>
      <c r="SD25" s="1090"/>
      <c r="SE25" s="1090">
        <f t="shared" si="136"/>
        <v>0</v>
      </c>
      <c r="SG25" s="1">
        <v>16</v>
      </c>
      <c r="SH25" s="1">
        <f t="shared" si="107"/>
        <v>0</v>
      </c>
      <c r="SI25" s="2420"/>
    </row>
    <row r="26" spans="1:503" s="1" customFormat="1" ht="13.95" customHeight="1">
      <c r="B26" s="471">
        <v>17</v>
      </c>
      <c r="C26" s="4">
        <f t="shared" si="108"/>
        <v>0</v>
      </c>
      <c r="D26" s="1590">
        <f t="shared" si="128"/>
        <v>0</v>
      </c>
      <c r="E26" s="1895">
        <f t="shared" si="6"/>
        <v>0</v>
      </c>
      <c r="F26" s="870"/>
      <c r="G26" s="870"/>
      <c r="H26" s="52"/>
      <c r="I26" s="61"/>
      <c r="J26" s="52"/>
      <c r="K26" s="54"/>
      <c r="L26" s="52"/>
      <c r="M26" s="61"/>
      <c r="N26" s="2629"/>
      <c r="O26" s="4">
        <f t="shared" si="125"/>
        <v>0</v>
      </c>
      <c r="P26" s="1225">
        <f t="shared" si="7"/>
        <v>0</v>
      </c>
      <c r="Q26" s="1913">
        <f t="shared" si="8"/>
        <v>0</v>
      </c>
      <c r="R26" s="33"/>
      <c r="S26" s="26">
        <f t="shared" si="9"/>
        <v>0</v>
      </c>
      <c r="T26" s="27">
        <f t="shared" si="110"/>
        <v>0</v>
      </c>
      <c r="U26" s="1909">
        <f t="shared" si="10"/>
        <v>0</v>
      </c>
      <c r="V26" s="28"/>
      <c r="W26" s="26">
        <f t="shared" si="11"/>
        <v>0</v>
      </c>
      <c r="X26" s="5">
        <f t="shared" si="11"/>
        <v>0</v>
      </c>
      <c r="Y26" s="1909">
        <f t="shared" si="12"/>
        <v>0</v>
      </c>
      <c r="Z26" s="33"/>
      <c r="AA26" s="26">
        <f t="shared" si="13"/>
        <v>0</v>
      </c>
      <c r="AB26" s="27">
        <f t="shared" si="126"/>
        <v>0</v>
      </c>
      <c r="AC26" s="1909">
        <f t="shared" si="15"/>
        <v>0</v>
      </c>
      <c r="AD26" s="28"/>
      <c r="AE26" s="36"/>
      <c r="AF26" s="36"/>
      <c r="AG26" s="53">
        <f t="shared" si="16"/>
        <v>0</v>
      </c>
      <c r="AH26" s="28"/>
      <c r="AI26" s="23"/>
      <c r="AJ26" s="27"/>
      <c r="AK26" s="53">
        <f t="shared" si="17"/>
        <v>0</v>
      </c>
      <c r="AL26" s="28"/>
      <c r="AM26" s="2629"/>
      <c r="AN26" s="9"/>
      <c r="AO26" s="5"/>
      <c r="AP26" s="61">
        <f t="shared" si="18"/>
        <v>0</v>
      </c>
      <c r="AQ26" s="36"/>
      <c r="AR26" s="53"/>
      <c r="AS26" s="61">
        <f t="shared" si="19"/>
        <v>0</v>
      </c>
      <c r="AT26" s="36">
        <v>0</v>
      </c>
      <c r="AU26" s="27"/>
      <c r="AV26" s="54">
        <f t="shared" si="20"/>
        <v>0</v>
      </c>
      <c r="AW26" s="26"/>
      <c r="AX26" s="280">
        <f>SUMPRODUCT(ISNUMBER(SEARCH("BK20",'Data Base Coal Wining'!$C$2:$C$2000))*ISNUMBER(SEARCH("P3000",'Data Base Coal Wining'!$C$2:$C$2000))*('Data Base Coal Wining'!$H$2:$H$2000="PAMA")*('Data Base Coal Wining'!$G$2:$G$2000="Coal Winning")*ISNUMBER(SEARCH(TEXT('September TCM'!$B26,"00")&amp;"/09/2026",'Data Base Coal Wining'!$E$2:$E$2000))*'Data Base Coal Wining'!$N$2:$N$2000)</f>
        <v>0</v>
      </c>
      <c r="AY26" s="1895">
        <f t="shared" si="134"/>
        <v>0</v>
      </c>
      <c r="AZ26" s="1908"/>
      <c r="BA26" s="1909"/>
      <c r="BB26" s="1895">
        <f t="shared" si="21"/>
        <v>0</v>
      </c>
      <c r="BC26" s="1740"/>
      <c r="BD26" s="2154">
        <f>SUMPRODUCT(ISNUMBER(SEARCH("BK30",'Data Base Coal Wining'!$C$2:$C$2000))*ISNUMBER(SEARCH("P3000",'Data Base Coal Wining'!$C$2:$C$2000))*('Data Base Coal Wining'!$H$2:$H$2000="PAMA")*('Data Base Coal Wining'!$G$2:$G$2000="Coal Winning")*ISNUMBER(SEARCH(TEXT('September TCM'!$B26,"00")&amp;"/09/2026",'Data Base Coal Wining'!$E$2:$E$2000))*'Data Base Coal Wining'!$N$2:$N$2000)</f>
        <v>0</v>
      </c>
      <c r="BE26" s="1895">
        <f t="shared" si="22"/>
        <v>0</v>
      </c>
      <c r="BF26" s="1908"/>
      <c r="BG26" s="1909"/>
      <c r="BH26" s="1895">
        <f t="shared" si="23"/>
        <v>0</v>
      </c>
      <c r="BI26" s="1908">
        <v>0</v>
      </c>
      <c r="BJ26" s="1909">
        <v>0</v>
      </c>
      <c r="BK26" s="1895">
        <f t="shared" si="24"/>
        <v>0</v>
      </c>
      <c r="BL26" s="1742"/>
      <c r="BM26" s="2154">
        <f>SUMPRODUCT(ISNUMBER(SEARCH("BK26",'Data Base Coal Wining'!$C$2:$C$2000))*ISNUMBER(SEARCH("P4400",'Data Base Coal Wining'!$C$2:$C$2000))*('Data Base Coal Wining'!$H$2:$H$2000="MAP")*('Data Base Coal Wining'!$G$2:$G$2000="Coal Winning")*ISNUMBER(SEARCH(TEXT('September TCM'!$B26,"00")&amp;"/09/2026",'Data Base Coal Wining'!$E$2:$E$2000))*'Data Base Coal Wining'!$N$2:$N$2000)</f>
        <v>0</v>
      </c>
      <c r="BN26" s="2170"/>
      <c r="BO26" s="1911">
        <f t="shared" si="25"/>
        <v>0</v>
      </c>
      <c r="BP26" s="9"/>
      <c r="BQ26" s="2514">
        <f>SUMPRODUCT(ISNUMBER(SEARCH("BK34",'Data Base Coal Wining'!$C$2:$C$2000))*ISNUMBER(SEARCH("P4000",'Data Base Coal Wining'!$C$2:$C$2000))*('Data Base Coal Wining'!$H$2:$H$2000="PJPN")*('Data Base Coal Wining'!$G$2:$G$2000="Coal Winning")*ISNUMBER(SEARCH(TEXT('September TCM'!$B26,"00")&amp;"/09/2026",'Data Base Coal Wining'!$E$2:$E$2000))*'Data Base Coal Wining'!$N$2:$N$2000)</f>
        <v>0</v>
      </c>
      <c r="BR26" s="1920">
        <f t="shared" si="26"/>
        <v>0</v>
      </c>
      <c r="BS26" s="9"/>
      <c r="BT26" s="64"/>
      <c r="BU26" s="482">
        <f t="shared" si="27"/>
        <v>0</v>
      </c>
      <c r="BV26" s="9"/>
      <c r="BW26" s="27"/>
      <c r="BX26" s="1051">
        <f t="shared" ref="BX26:BX30" si="140">IFERROR(BV26/BW26,0)</f>
        <v>0</v>
      </c>
      <c r="BY26" s="26"/>
      <c r="BZ26" s="5"/>
      <c r="CA26" s="482">
        <f t="shared" si="29"/>
        <v>0</v>
      </c>
      <c r="CB26" s="9"/>
      <c r="CC26" s="5"/>
      <c r="CD26" s="483">
        <f t="shared" si="30"/>
        <v>0</v>
      </c>
      <c r="CE26" s="4"/>
      <c r="CF26" s="5"/>
      <c r="CG26" s="28">
        <f t="shared" si="31"/>
        <v>0</v>
      </c>
      <c r="CH26" s="150"/>
      <c r="CI26" s="1108"/>
      <c r="CJ26" s="5"/>
      <c r="CK26" s="5"/>
      <c r="CL26" s="5"/>
      <c r="CM26" s="5"/>
      <c r="CN26" s="3">
        <f t="shared" si="111"/>
        <v>0</v>
      </c>
      <c r="CO26" s="33"/>
      <c r="CP26" s="366"/>
      <c r="CR26" s="4">
        <f t="shared" si="32"/>
        <v>0</v>
      </c>
      <c r="CS26" s="9">
        <f t="shared" si="32"/>
        <v>0</v>
      </c>
      <c r="CT26" s="5">
        <f t="shared" si="32"/>
        <v>0</v>
      </c>
      <c r="CU26" s="5">
        <f t="shared" si="32"/>
        <v>0</v>
      </c>
      <c r="CV26" s="5">
        <f t="shared" si="32"/>
        <v>0</v>
      </c>
      <c r="CW26" s="5">
        <f t="shared" si="32"/>
        <v>0</v>
      </c>
      <c r="CX26" s="5">
        <f t="shared" si="32"/>
        <v>0</v>
      </c>
      <c r="CY26" s="5">
        <f t="shared" si="32"/>
        <v>0</v>
      </c>
      <c r="CZ26" s="5">
        <f t="shared" si="32"/>
        <v>0</v>
      </c>
      <c r="DA26" s="5">
        <f t="shared" si="32"/>
        <v>0</v>
      </c>
      <c r="DB26" s="5">
        <f t="shared" si="32"/>
        <v>0</v>
      </c>
      <c r="DC26" s="12">
        <f t="shared" si="33"/>
        <v>0</v>
      </c>
      <c r="DD26" s="310">
        <f t="shared" si="34"/>
        <v>0</v>
      </c>
      <c r="DE26" s="2695"/>
      <c r="DF26" s="8"/>
      <c r="DG26" s="9"/>
      <c r="DH26" s="5"/>
      <c r="DI26" s="5"/>
      <c r="DJ26" s="5"/>
      <c r="DK26" s="5"/>
      <c r="DL26" s="3">
        <f>SUMPRODUCT(('Data Base Coal Wining'!$D$2:$D$2000="TCM-ROM SB1 BK05-ROM 4")*('Data Base Coal Wining'!$G$2:$G$2000="Coal Winning")*ISNUMBER(SEARCH(TEXT('September TCM'!$B26,"00")&amp;"/09/2026",'Data Base Coal Wining'!$E$2:$E$2000))*'Data Base Coal Wining'!$N$2:$N$2000)</f>
        <v>0</v>
      </c>
      <c r="DM26" s="5"/>
      <c r="DN26" s="3">
        <f>SUMPRODUCT(('Data Base Coal Wining'!$D$2:$D$2000="TCM-ROM SB1 BK05-ROM 5")*('Data Base Coal Wining'!$G$2:$G$2000="Coal Winning")*ISNUMBER(SEARCH(TEXT('September TCM'!$B26,"00")&amp;"/09/2026",'Data Base Coal Wining'!$E$2:$E$2000))*'Data Base Coal Wining'!$N$2:$N$2000)</f>
        <v>0</v>
      </c>
      <c r="DO26" s="5"/>
      <c r="DP26" s="3">
        <f>SUMPRODUCT(('Data Base Coal Wining'!$D$2:$D$2000="TCM-ROM SB1 BK05-ROM 6")*('Data Base Coal Wining'!$G$2:$G$2000="Coal Winning")*ISNUMBER(SEARCH(TEXT('September TCM'!$B26,"00")&amp;"/09/2026",'Data Base Coal Wining'!$E$2:$E$2000))*'Data Base Coal Wining'!$N$2:$N$2000)</f>
        <v>0</v>
      </c>
      <c r="DQ26" s="11">
        <f>SUMPRODUCT(('Data Base Coal Wining'!$D$2:$D$2000="TCM-ROM SB1 BK05-ROM 6.1")*('Data Base Coal Wining'!$G$2:$G$2000="Coal Winning")*ISNUMBER(SEARCH(TEXT('September TCM'!$B26,"00")&amp;"/09/2026",'Data Base Coal Wining'!$E$2:$E$2000))*'Data Base Coal Wining'!$N$2:$N$2000)</f>
        <v>0</v>
      </c>
      <c r="DR26" s="12"/>
      <c r="DS26" s="28">
        <f t="shared" si="35"/>
        <v>0</v>
      </c>
      <c r="DT26" s="36"/>
      <c r="DU26" s="9"/>
      <c r="DV26" s="5"/>
      <c r="DW26" s="5"/>
      <c r="DX26" s="5"/>
      <c r="DY26" s="5"/>
      <c r="DZ26" s="5"/>
      <c r="EA26" s="5"/>
      <c r="EB26" s="3">
        <f>SUMPRODUCT(('Data Base Coal Wining'!$D$2:$D$2000="TCM-ROM SB2 BK24-ROM 5")*('Data Base Coal Wining'!$G$2:$G$2000="Coal Winning")*ISNUMBER(SEARCH(TEXT('September TCM'!$B26,"00")&amp;"/09/2026",'Data Base Coal Wining'!$E$2:$E$2000))*'Data Base Coal Wining'!$N$2:$N$2000)</f>
        <v>0</v>
      </c>
      <c r="EC26" s="27"/>
      <c r="ED26" s="24">
        <f>SUMPRODUCT(('Data Base Coal Wining'!$D$2:$D$2000="TCM-ROM SB2 BK24-ROM 6")*('Data Base Coal Wining'!$G$2:$G$2000="Coal Winning")*ISNUMBER(SEARCH(TEXT('September TCM'!$B26,"00")&amp;"/09/2026",'Data Base Coal Wining'!$E$2:$E$2000))*'Data Base Coal Wining'!$N$2:$N$2000)</f>
        <v>0</v>
      </c>
      <c r="EE26" s="33"/>
      <c r="EF26" s="28">
        <f t="shared" si="36"/>
        <v>0</v>
      </c>
      <c r="EG26" s="9"/>
      <c r="EH26" s="36"/>
      <c r="EI26" s="5"/>
      <c r="EJ26" s="27"/>
      <c r="EK26" s="27"/>
      <c r="EL26" s="27"/>
      <c r="EM26" s="27"/>
      <c r="EN26" s="27"/>
      <c r="EO26" s="5"/>
      <c r="EP26" s="5"/>
      <c r="EQ26" s="5"/>
      <c r="ER26" s="33"/>
      <c r="ES26" s="28">
        <f t="shared" si="127"/>
        <v>0</v>
      </c>
      <c r="ET26" s="36"/>
      <c r="EU26" s="27"/>
      <c r="EV26" s="27"/>
      <c r="EW26" s="27"/>
      <c r="EX26" s="27"/>
      <c r="EY26" s="27"/>
      <c r="EZ26" s="33">
        <f t="shared" si="38"/>
        <v>0</v>
      </c>
      <c r="FA26" s="2685"/>
      <c r="FC26" s="4">
        <f t="shared" si="39"/>
        <v>0</v>
      </c>
      <c r="FD26" s="5">
        <f t="shared" si="40"/>
        <v>0</v>
      </c>
      <c r="FE26" s="5">
        <f t="shared" si="41"/>
        <v>0</v>
      </c>
      <c r="FF26" s="12">
        <f t="shared" si="42"/>
        <v>0</v>
      </c>
      <c r="FG26" s="33"/>
      <c r="FH26" s="2674"/>
      <c r="FI26" s="9"/>
      <c r="FJ26" s="5"/>
      <c r="FK26" s="5"/>
      <c r="FL26" s="5"/>
      <c r="FM26" s="5"/>
      <c r="FN26" s="27"/>
      <c r="FO26" s="28">
        <f t="shared" si="43"/>
        <v>0</v>
      </c>
      <c r="FP26" s="36"/>
      <c r="FQ26" s="27"/>
      <c r="FR26" s="27"/>
      <c r="FS26" s="27"/>
      <c r="FT26" s="27"/>
      <c r="FU26" s="27"/>
      <c r="FV26" s="28">
        <f t="shared" si="44"/>
        <v>0</v>
      </c>
      <c r="FW26" s="36"/>
      <c r="FX26" s="36"/>
      <c r="FY26" s="27"/>
      <c r="FZ26" s="27"/>
      <c r="GA26" s="27"/>
      <c r="GB26" s="27"/>
      <c r="GC26" s="27"/>
      <c r="GD26" s="27"/>
      <c r="GE26" s="24" cm="1">
        <f t="array" ref="GE26">SUMPRODUCT(('Data Base Coal Wining'!$C$2:$C$2000="TCM-ROM TEMPORARY SB2 KM 76-ROM HAC (S4700 Hard Ban)")*(ISNUMBER(SEARCH(TEXT('September TCM'!$B26,"00")&amp;"/08/2026",'Data Base Coal Wining'!$E$2:$E$2000)))*'Data Base Coal Wining'!$N$2:$N$2000)</f>
        <v>0</v>
      </c>
      <c r="GF26" s="27"/>
      <c r="GG26" s="27"/>
      <c r="GH26" s="33"/>
      <c r="GI26" s="33">
        <f t="shared" si="45"/>
        <v>0</v>
      </c>
      <c r="GJ26" s="2674"/>
      <c r="GL26" s="2">
        <f t="shared" si="112"/>
        <v>0</v>
      </c>
      <c r="GM26" s="63">
        <f t="shared" si="113"/>
        <v>0</v>
      </c>
      <c r="GN26" s="24">
        <f t="shared" si="114"/>
        <v>0</v>
      </c>
      <c r="GO26" s="1736">
        <f t="shared" si="46"/>
        <v>0</v>
      </c>
      <c r="GP26" s="141"/>
      <c r="GQ26" s="141"/>
      <c r="GR26" s="33"/>
      <c r="GS26" s="2667"/>
      <c r="GT26" s="1723">
        <f>SUMPRODUCT(('Data Base hauling'!$H$2:$H$2000="Trust")*(ISNUMBER(SEARCH(TEXT('September TCM'!$B26,"00")&amp;"/09/2026",'Data Base hauling'!$E$2:$E$2000)))*'Data Base hauling'!$N$2:$N$2000)</f>
        <v>0</v>
      </c>
      <c r="GU26" s="1723">
        <f>SUMPRODUCT(('Data Base hauling'!$H$2:$H$2000="RT")*(ISNUMBER(SEARCH(TEXT('September TCM'!$B26,"00")&amp;"/09/2026",'Data Base hauling'!$E$2:$E$2000)))*'Data Base hauling'!$N$2:$N$2000)</f>
        <v>0</v>
      </c>
      <c r="GV26" s="5">
        <f>SUMPRODUCT(('Data Base hauling'!$H$2:$H$2000="MPE")*(ISNUMBER(SEARCH(TEXT('September TCM'!$B26,"00")&amp;"/09/2026",'Data Base hauling'!$E$2:$E$2000)))*'Data Base hauling'!$N$2:$N$2000)</f>
        <v>0</v>
      </c>
      <c r="GW26" s="1723">
        <f>SUMPRODUCT(('Data Base hauling'!$H$2:$H$2000="RP")*(ISNUMBER(SEARCH(TEXT('September TCM'!$B26,"00")&amp;"/09/2026",'Data Base hauling'!$E$2:$E$2000)))*'Data Base hauling'!$N$2:$N$2000)</f>
        <v>0</v>
      </c>
      <c r="GX26" s="28">
        <f t="shared" si="115"/>
        <v>0</v>
      </c>
      <c r="GY26" s="2667"/>
      <c r="GZ26" s="35">
        <f>SUMPRODUCT(('Data Base hauling'!$C$2:$C$2000="TCM-ROM NB-ROM 1")*(ISNUMBER(SEARCH(TEXT('September TCM'!$B26,"00")&amp;"/09/2026",'Data Base hauling'!$E$2:$E$2000)))*'Data Base hauling'!$N$2:$N$2000)</f>
        <v>0</v>
      </c>
      <c r="HA26" s="36"/>
      <c r="HB26" s="27"/>
      <c r="HC26" s="27"/>
      <c r="HD26" s="27"/>
      <c r="HE26" s="27"/>
      <c r="HF26" s="24">
        <f>SUMPRODUCT(('Data Base hauling'!$C$2:$C$2000="TCM-ROM NB-ROM 4")*(ISNUMBER(SEARCH(TEXT('September TCM'!$B26,"00")&amp;"/09/2026",'Data Base hauling'!$E$2:$E$2000)))*'Data Base hauling'!$N$2:$N$2000)</f>
        <v>0</v>
      </c>
      <c r="HG26" s="24"/>
      <c r="HH26" s="24">
        <f>SUMPRODUCT(('Data Base hauling'!$C$2:$C$2000="TCM-ROM NB-ROM 5")*(ISNUMBER(SEARCH(TEXT('September TCM'!$B26,"00")&amp;"/09/2026",'Data Base hauling'!$E$2:$E$2000)))*'Data Base hauling'!$N$2:$N$2000)</f>
        <v>0</v>
      </c>
      <c r="HI26" s="24"/>
      <c r="HJ26" s="24">
        <f>SUMPRODUCT(('Data Base hauling'!$C$2:$C$2000="TCM-ROM NB-ROM 6")*(ISNUMBER(SEARCH(TEXT('September TCM'!$B26,"00")&amp;"/09/2026",'Data Base hauling'!$E$2:$E$2000)))*'Data Base hauling'!$N$2:$N$2000)</f>
        <v>0</v>
      </c>
      <c r="HK26" s="24"/>
      <c r="HL26" s="24">
        <f>SUMPRODUCT(('Data Base hauling'!$C$2:$C$2000="TCM-WASH-CR3")*(ISNUMBER(SEARCH(TEXT('September TCM'!$B26,"00")&amp;"/09/2026",'Data Base hauling'!$E$2:$E$2000)))*'Data Base hauling'!$N$2:$N$2000)</f>
        <v>0</v>
      </c>
      <c r="HM26" s="27"/>
      <c r="HN26" s="28">
        <f t="shared" si="131"/>
        <v>0</v>
      </c>
      <c r="HO26" s="36"/>
      <c r="HP26" s="27"/>
      <c r="HQ26" s="27"/>
      <c r="HR26" s="27"/>
      <c r="HS26" s="27"/>
      <c r="HT26" s="27"/>
      <c r="HU26" s="27">
        <f t="array" ref="HU26">SUMPRODUCT(('Data Base hauling'!$C$2:$C$2000="TCM-ROM SB1 BK05-ROM 4")*(ISNUMBER(SEARCH(TEXT('September TCM'!$B26,"00")&amp;"/03/2026",'Data Base hauling'!$E$2:$E$2000)))*'Data Base hauling'!$N$2:$N$2000)</f>
        <v>0</v>
      </c>
      <c r="HV26" s="27"/>
      <c r="HW26" s="27">
        <f t="array" ref="HW26">SUMPRODUCT(('Data Base hauling'!$C$2:$C$2000="TCM-ROM SB1 BK05-ROM 5")*(ISNUMBER(SEARCH(TEXT('September TCM'!$B26,"00")&amp;"/03/2026",'Data Base hauling'!$E$2:$E$2000)))*'Data Base hauling'!$N$2:$N$2000)</f>
        <v>0</v>
      </c>
      <c r="HX26" s="27"/>
      <c r="HY26" s="27"/>
      <c r="HZ26" s="27"/>
      <c r="IA26" s="27"/>
      <c r="IB26" s="27"/>
      <c r="IC26" s="33">
        <f t="shared" si="48"/>
        <v>0</v>
      </c>
      <c r="ID26" s="52"/>
      <c r="IE26" s="152"/>
      <c r="IF26" s="53"/>
      <c r="IG26" s="53"/>
      <c r="IH26" s="53"/>
      <c r="II26" s="53"/>
      <c r="IJ26" s="1926">
        <f>SUMPRODUCT(('Data Base hauling'!$C$2:$C$2000="TCM-ROM SB1 BK05-ROM 4")*(ISNUMBER(SEARCH(TEXT('September TCM'!$B26,"00")&amp;"/09/2026",'Data Base hauling'!$E$2:$E$2000)))*'Data Base hauling'!$N$2:$N$2000)</f>
        <v>0</v>
      </c>
      <c r="IK26" s="1926"/>
      <c r="IL26" s="1926">
        <f>SUMPRODUCT(('Data Base hauling'!$C$2:$C$2000="TCM-ROM SB1 BK05-ROM 5")*(ISNUMBER(SEARCH(TEXT('September TCM'!$B26,"00")&amp;"/09/2026",'Data Base hauling'!$E$2:$E$2000)))*'Data Base hauling'!$N$2:$N$2000)</f>
        <v>0</v>
      </c>
      <c r="IM26" s="49"/>
      <c r="IN26" s="49">
        <f>SUMPRODUCT(('Data Base hauling'!$C$2:$C$2000="TCM-ROM SB1 BK05-ROM 6")*(ISNUMBER(SEARCH(TEXT('September TCM'!$B26,"00")&amp;"/09/2026",'Data Base hauling'!$E$2:$E$2000)))*'Data Base hauling'!$N$2:$N$2000)</f>
        <v>0</v>
      </c>
      <c r="IO26" s="49"/>
      <c r="IP26" s="49"/>
      <c r="IQ26" s="49">
        <f>SUMPRODUCT(('Data Base hauling'!$C$2:$C$2000="TCM-HAC1 (Production)-ROM 2(HAC)")*(ISNUMBER(SEARCH(TEXT('September TCM'!$B26,"00")&amp;"/09/2026",'Data Base hauling'!$E$2:$E$2000)))*'Data Base hauling'!$N$2:$N$2000)</f>
        <v>0</v>
      </c>
      <c r="IR26" s="2195">
        <f t="shared" si="132"/>
        <v>0</v>
      </c>
      <c r="IS26" s="36"/>
      <c r="IT26" s="36"/>
      <c r="IU26" s="53"/>
      <c r="IV26" s="27"/>
      <c r="IW26" s="53"/>
      <c r="IX26" s="27"/>
      <c r="IY26" s="24">
        <f>SUMPRODUCT(('Data Base hauling'!$C$2:$C$2000="TCM-ROM SB2 BK24-ROM 4")*(ISNUMBER(SEARCH(TEXT('September TCM'!$B26,"00")&amp;"/09/2026",'Data Base hauling'!$E$2:$E$2000)))*'Data Base hauling'!$N$2:$N$2000)</f>
        <v>0</v>
      </c>
      <c r="IZ26" s="24"/>
      <c r="JA26" s="24">
        <f>SUMPRODUCT(('Data Base hauling'!$C$2:$C$2000="TCM-ROM SB2 BK24-ROM 5")*(ISNUMBER(SEARCH(TEXT('September TCM'!$B26,"00")&amp;"/09/2026",'Data Base hauling'!$E$2:$E$2000)))*'Data Base hauling'!$N$2:$N$2000)</f>
        <v>0</v>
      </c>
      <c r="JB26" s="24"/>
      <c r="JC26" s="24">
        <f>SUMPRODUCT(('Data Base hauling'!$C$2:$C$2000="TCM-ROM SB2 BK24-ROM 6")*(ISNUMBER(SEARCH(TEXT('September TCM'!$B26,"00")&amp;"/09/2026",'Data Base hauling'!$E$2:$E$2000)))*'Data Base hauling'!$N$2:$N$2000)</f>
        <v>0</v>
      </c>
      <c r="JD26" s="27"/>
      <c r="JE26" s="27"/>
      <c r="JF26" s="27"/>
      <c r="JG26" s="33">
        <f t="shared" si="133"/>
        <v>0</v>
      </c>
      <c r="JH26" s="2667"/>
      <c r="JJ26" s="2014">
        <f>SUMPRODUCT(('Data Base hauling'!$O$2:$O$2000="TCM.HCV.LS")*(ISNUMBER(SEARCH(TEXT('September TCM'!$B26,"00")&amp;"/09/2026",'Data Base hauling'!$E$2:$E$2000)))*'Data Base hauling'!$N$2:$N$2000)</f>
        <v>0</v>
      </c>
      <c r="JK26" s="2015">
        <f>SUMPRODUCT(('Data Base hauling'!$O$2:$O$2000="TCM.HCV.HS")*(ISNUMBER(SEARCH(TEXT('September TCM'!$B26,"00")&amp;"/09/2026",'Data Base hauling'!$E$2:$E$2000)))*'Data Base hauling'!$N$2:$N$2000)</f>
        <v>0</v>
      </c>
      <c r="JL26" s="53"/>
      <c r="JM26" s="1736">
        <f t="shared" si="51"/>
        <v>0</v>
      </c>
      <c r="JN26" s="33"/>
      <c r="JO26" s="2669"/>
      <c r="JP26" s="66" t="str">
        <f>IFERROR(SUMPRODUCT(('Data Base hauling'!$O$2:$O$2000="TCM.HCV.LS")*('Data Base hauling'!$C$2:$C$2000="TCM-ROM NB-ROM 1")*(ISNUMBER(SEARCH(TEXT('September TCM'!$B26,"00")&amp;"/09/2026",'Data Base hauling'!$E$2:$E$2000)))*'Data Base hauling'!$N$2:$N$2000)/'September TCM'!$JJ26,"")</f>
        <v/>
      </c>
      <c r="JQ26" s="67" t="str">
        <f>IFERROR(SUMPRODUCT(('Data Base hauling'!$O$2:$O$2000="TCM.HCV.LS")*('Data Base hauling'!$C$2:$C$2000="TCM-ROM NB-ROM 2")*(ISNUMBER(SEARCH(TEXT('September TCM'!$B26,"00")&amp;"/09/2026",'Data Base hauling'!$E$2:$E$2000)))*'Data Base hauling'!$N$2:$N$2000)/'September TCM'!$JJ26,"")</f>
        <v/>
      </c>
      <c r="JR26" s="67" t="str">
        <f>IFERROR(SUMPRODUCT(('Data Base hauling'!$O$2:$O$2000="TCM.HCV.LS")*('Data Base hauling'!$C$2:$C$2000="TCM-ROM NB-ROM 3")*(ISNUMBER(SEARCH(TEXT('September TCM'!$B26,"00")&amp;"/09/2026",'Data Base hauling'!$E$2:$E$2000)))*'Data Base hauling'!$N$2:$N$2000)/'September TCM'!$JJ26,"")</f>
        <v/>
      </c>
      <c r="JS26" s="67" t="str">
        <f>IFERROR(SUMPRODUCT(('Data Base hauling'!$O$2:$O$2000="TCM.HCV.LS")*('Data Base hauling'!$C$2:$C$2000="TCM-ROM SB1 BK05-ROM 4")*(ISNUMBER(SEARCH(TEXT('September TCM'!$B26,"00")&amp;"/09/2026",'Data Base hauling'!$E$2:$E$2000)))*'Data Base hauling'!$N$2:$N$2000)/'September TCM'!$JJ26,"")</f>
        <v/>
      </c>
      <c r="JT26" s="67" t="str">
        <f>IFERROR(SUMPRODUCT(('Data Base hauling'!$O$2:$O$2000="TCM.HCV.LS")*SIGN(('Data Base hauling'!$C$2:$C$2000="TCM-ROM NB-ROM 5")+('Data Base hauling'!$C$2:$C$2000="TCM-ROM SB1 BK05-ROM 5")+('Data Base hauling'!$C$2:$C$2000="TCM-ROM SB2 BK24-ROM 5"))*(ISNUMBER(SEARCH(TEXT('September TCM'!$B26,"00")&amp;"/09/2026",'Data Base hauling'!$E$2:$E$2000)))*'Data Base hauling'!$N$2:$N$2000)/'September TCM'!$JJ26,"")</f>
        <v/>
      </c>
      <c r="JU26" s="67" t="str">
        <f>IFERROR(SUMPRODUCT(('Data Base hauling'!$O$2:$O$2000="TCM.HCV.LS")*SIGN(('Data Base hauling'!$C$2:$C$2000="TCM-ROM NB-ROM 6")+('Data Base hauling'!$C$2:$C$2000="TCM-ROM SB1 BK05-ROM 6")+('Data Base hauling'!$C$2:$C$2000="TCM-ROM SB2 BK24-ROM 6"))*(ISNUMBER(SEARCH(TEXT('September TCM'!$B26,"00")&amp;"/09/2026",'Data Base hauling'!$E$2:$E$2000)))*'Data Base hauling'!$N$2:$N$2000)/'September TCM'!$JJ26,"")</f>
        <v/>
      </c>
      <c r="JV26" s="67" t="str">
        <f>IFERROR(SUMPRODUCT(('Data Base hauling'!$O$2:$O$2000="TCM.HCV.LS")*('Data Base hauling'!$C$2:$C$2000="TCM-WASH-CR3")*(ISNUMBER(SEARCH(TEXT('September TCM'!$B26,"00")&amp;"/09/2026",'Data Base hauling'!$E$2:$E$2000)))*'Data Base hauling'!$N$2:$N$2000)/'September TCM'!$JJ26,"")</f>
        <v/>
      </c>
      <c r="JW26" s="1921">
        <f>SUMPRODUCT(('Data Base hauling'!$O$2:$O$2000="TCM.HCV.LS")*('Data Base hauling'!$C$2:$C$2000="TCM-HAC-CR3")*(ISNUMBER(SEARCH(TEXT('September TCM'!$B26,"00")&amp;"/089/2026",'Data Base hauling'!$E$2:$E$2000)))*'Data Base hauling'!$N$2:$N$2000)</f>
        <v>0</v>
      </c>
      <c r="JX26" s="66" t="str">
        <f>IFERROR(SUMPRODUCT(('Data Base hauling'!$O$2:$O$2000="TCM.HCV.HS")*('Data Base hauling'!$C$2:$C$2000="TCM-ROM NB-ROM 1")*(ISNUMBER(SEARCH(TEXT('September TCM'!$B26,"00")&amp;"/09/2026",'Data Base hauling'!$E$2:$E$2000)))*'Data Base hauling'!$N$2:$N$2000)/'September TCM'!$JK26,"")</f>
        <v/>
      </c>
      <c r="JY26" s="67" t="str">
        <f>IFERROR(SUMPRODUCT(('Data Base hauling'!$O$2:$O$2000="TCM.HCV.HS")*('Data Base hauling'!$C$2:$C$2000="TCM-ROM NB-ROM 2")*(ISNUMBER(SEARCH(TEXT('September TCM'!$B26,"00")&amp;"/09/2026",'Data Base hauling'!$E$2:$E$2000)))*'Data Base hauling'!$N$2:$N$2000)/'September TCM'!$JK26,"")</f>
        <v/>
      </c>
      <c r="JZ26" s="67" t="str">
        <f>IFERROR(SUMPRODUCT(('Data Base hauling'!$O$2:$O$2000="TCM.HCV.HS")*('Data Base hauling'!$C$2:$C$2000="TCM-ROM NB-ROM 3")*(ISNUMBER(SEARCH(TEXT('September TCM'!$B26,"00")&amp;"/09/2026",'Data Base hauling'!$E$2:$E$2000)))*'Data Base hauling'!$N$2:$N$2000)/'September TCM'!$JK26,"")</f>
        <v/>
      </c>
      <c r="KA26" s="67" t="str">
        <f>IFERROR(SUMPRODUCT(('Data Base hauling'!$O$2:$O$2000="TCM.HCV.HS")*('Data Base hauling'!$C$2:$C$2000="TCM-ROM SB1 BK05-ROM 4")*(ISNUMBER(SEARCH(TEXT('September TCM'!$B26,"00")&amp;"/09/2026",'Data Base hauling'!$E$2:$E$2000)))*'Data Base hauling'!$N$2:$N$2000)/'September TCM'!$JK26,"")</f>
        <v/>
      </c>
      <c r="KB26" s="67" t="str">
        <f>IFERROR(SUMPRODUCT(('Data Base hauling'!$O$2:$O$2000="TCM.HCV.HS")*SIGN(('Data Base hauling'!$C$2:$C$2000="TCM-ROM NB-ROM 5")+('Data Base hauling'!$C$2:$C$2000="TCM-ROM SB1 BK05-ROM 5")+('Data Base hauling'!$C$2:$C$2000="TCM-ROM SB2 BK24-ROM 5"))*(ISNUMBER(SEARCH(TEXT('September TCM'!$B26,"00")&amp;"/09/2026",'Data Base hauling'!$E$2:$E$2000)))*'Data Base hauling'!$N$2:$N$2000)/'September TCM'!$JK26,"")</f>
        <v/>
      </c>
      <c r="KC26" s="67" t="str">
        <f>IFERROR(SUMPRODUCT(('Data Base hauling'!$O$2:$O$2000="TCM.HCV.HS")*SIGN(('Data Base hauling'!$C$2:$C$2000="TCM-ROM NB-ROM 6")+('Data Base hauling'!$C$2:$C$2000="TCM-ROM SB1 BK05-ROM 6")+('Data Base hauling'!$C$2:$C$2000="TCM-ROM SB2 BK24-ROM 6"))*(ISNUMBER(SEARCH(TEXT('September TCM'!$B26,"00")&amp;"/09/2026",'Data Base hauling'!$E$2:$E$2000)))*'Data Base hauling'!$N$2:$N$2000)/'September TCM'!$JK26,"")</f>
        <v/>
      </c>
      <c r="KD26" s="67" t="str">
        <f>IFERROR(SUMPRODUCT(('Data Base hauling'!$O$2:$O$2000="TCM.HCV.HS")*('Data Base hauling'!$C$2:$C$2000="TCM-WASH-CR3")*(ISNUMBER(SEARCH(TEXT('September TCM'!$B26,"00")&amp;"/09/2026",'Data Base hauling'!$E$2:$E$2000)))*'Data Base hauling'!$N$2:$N$2000)/'September TCM'!$JK26,"")</f>
        <v/>
      </c>
      <c r="KE26" s="68" t="str">
        <f>IFERROR(SUMPRODUCT(('Data Base hauling'!$O$2:$O$2000="TCM.HCV.HS")*('Data Base hauling'!$C$2:$C$2000="TCM-HAC-CR3")*(ISNUMBER(SEARCH(TEXT('September TCM'!$B26,"00")&amp;"/09/2026",'Data Base hauling'!$E$2:$E$2000)))*'Data Base hauling'!$N$2:$N$2000)/'September TCM'!$JK26,"")</f>
        <v/>
      </c>
      <c r="KF26" s="69"/>
      <c r="KG26" s="70"/>
      <c r="KH26" s="70"/>
      <c r="KI26" s="70"/>
      <c r="KJ26" s="70"/>
      <c r="KK26" s="70"/>
      <c r="KL26" s="70"/>
      <c r="KM26" s="70"/>
      <c r="KN26" s="33"/>
      <c r="KO26" s="2669"/>
      <c r="KP26" s="2203">
        <f>IFERROR(SUMPRODUCT((TCM.HCV.LS!$A$3:$A$58=DATE(2026,9,$B26))*(TCM.HCV.LS!$O$3:$O$58&gt;0)*TCM.HCV.LS!$C$3:$C$58*TCM.HCV.LS!$O$3:$O$58)/SUMPRODUCT((TCM.HCV.LS!$A$3:$A$58=DATE(2026,9,$B26))*(TCM.HCV.LS!$O$3:$O$58&gt;0)*TCM.HCV.LS!$C$3:$C$58),0)</f>
        <v>0</v>
      </c>
      <c r="KQ26" s="1721">
        <f>IFERROR(SUMPRODUCT((TCM.HCV.LS!$A$3:$A$58=DATE(2026,9,$B26))*(TCM.HCV.LS!$M$3:$M$58&gt;0)*TCM.HCV.LS!$C$3:$C$58*TCM.HCV.LS!$M$3:$M$58)/SUMPRODUCT((TCM.HCV.LS!$A$3:$A$58=DATE(2026,9,$B26))*(TCM.HCV.LS!$M$3:$M$58&gt;0)*TCM.HCV.LS!$C$3:$C$58),0)</f>
        <v>0</v>
      </c>
      <c r="KR26" s="1721">
        <f>IFERROR(SUMPRODUCT((TCM.HCV.LS!$A$3:$A$58=DATE(2026,9,$B26))*(TCM.HCV.LS!$G$3:$G$58&gt;0)*TCM.HCV.LS!$C$3:$C$58*TCM.HCV.LS!$G$3:$G$58)/SUMPRODUCT((TCM.HCV.LS!$A$3:$A$58=DATE(2026,9,$B26))*(TCM.HCV.LS!$G$3:$G$58&gt;0)*TCM.HCV.LS!$C$3:$C$58),0)</f>
        <v>0</v>
      </c>
      <c r="KS26" s="1721">
        <f>IFERROR(SUMPRODUCT((TCM.HCV.LS!$A$3:$A$58=DATE(2026,9,$B26))*(TCM.HCV.LS!$F$3:$F$58&gt;0)*TCM.HCV.LS!$C$3:$C$58*TCM.HCV.LS!$F$3:$F$58)/SUMPRODUCT((TCM.HCV.LS!$A$3:$A$58=DATE(2026,9,$B26))*(TCM.HCV.LS!$F$3:$F$58&gt;0)*TCM.HCV.LS!$C$3:$C$58),0)</f>
        <v>0</v>
      </c>
      <c r="KT26" s="1722">
        <f>IFERROR(SUMPRODUCT((TCM.HCV.LS!$A$3:$A$58=DATE(2026,9,$B26))*(TCM.HCV.LS!$E$3:$E$58&gt;0)*TCM.HCV.LS!$C$3:$C$58*TCM.HCV.LS!$E$3:$E$58)/SUMPRODUCT((TCM.HCV.LS!$A$3:$A$58=DATE(2026,9,$B26))*(TCM.HCV.LS!$E$3:$E$58&gt;0)*TCM.HCV.LS!$C$3:$C$58),0)</f>
        <v>0</v>
      </c>
      <c r="KU26" s="1958">
        <f>IFERROR(SUMPRODUCT((TCM.HCV.HS!$A$3:$A$84=DATE(2026,9,$B26))*(TCM.HCV.HS!$O$3:$O$84&gt;0)*TCM.HCV.HS!$C$3:$C$84*TCM.HCV.HS!$O$3:$O$84)/SUMPRODUCT((TCM.HCV.HS!$A$3:$A$84=DATE(2026,9,$B26))*(TCM.HCV.HS!$O$3:$O$84&gt;0)*TCM.HCV.HS!$C$3:$C$84),0)</f>
        <v>0</v>
      </c>
      <c r="KV26" s="1961">
        <f>IFERROR(SUMPRODUCT((TCM.HCV.HS!$A$3:$A$84=DATE(2026,9,$B26))*(TCM.HCV.HS!$M$3:$M$84&gt;0)*TCM.HCV.HS!$C$3:$C$84*TCM.HCV.HS!$M$3:$M$84)/SUMPRODUCT((TCM.HCV.HS!$A$3:$A$84=DATE(2026,9,$B26))*(TCM.HCV.HS!$M$3:$M$84&gt;0)*TCM.HCV.HS!$C$3:$C$84),0)</f>
        <v>0</v>
      </c>
      <c r="KW26" s="1961">
        <f>IFERROR(SUMPRODUCT((TCM.HCV.HS!$A$3:$A$84=DATE(2026,9,$B26))*(TCM.HCV.HS!$G$3:$G$84&gt;0)*TCM.HCV.HS!$C$3:$C$84*TCM.HCV.HS!$G$3:$G$84)/SUMPRODUCT((TCM.HCV.HS!$A$3:$A$84=DATE(2026,9,$B26))*(TCM.HCV.HS!$G$3:$G$84&gt;0)*TCM.HCV.HS!$C$3:$C$84),0)</f>
        <v>0</v>
      </c>
      <c r="KX26" s="1961">
        <f>IFERROR(SUMPRODUCT((TCM.HCV.HS!$A$3:$A$84=DATE(2026,9,$B26))*(TCM.HCV.HS!$F$3:$F$84&gt;0)*TCM.HCV.HS!$C$3:$C$84*TCM.HCV.HS!$F$3:$F$84)/SUMPRODUCT((TCM.HCV.HS!$A$3:$A$84=DATE(2026,9,$B26))*(TCM.HCV.HS!$F$3:$F$84&gt;0)*TCM.HCV.HS!$C$3:$C$84),0)</f>
        <v>0</v>
      </c>
      <c r="KY26" s="1962">
        <f>IFERROR(SUMPRODUCT((TCM.HCV.HS!$A$3:$A$84=DATE(2026,9,$B26))*(TCM.HCV.HS!$E$3:$E$84&gt;0)*TCM.HCV.HS!$C$3:$C$84*TCM.HCV.HS!$E$3:$E$84)/SUMPRODUCT((TCM.HCV.HS!$A$3:$A$84=DATE(2026,9,$B26))*(TCM.HCV.HS!$E$3:$E$84&gt;0)*TCM.HCV.HS!$C$3:$C$84),0)</f>
        <v>0</v>
      </c>
      <c r="KZ26" s="36"/>
      <c r="LA26" s="53"/>
      <c r="LB26" s="53"/>
      <c r="LC26" s="53"/>
      <c r="LD26" s="53"/>
      <c r="LE26" s="33"/>
      <c r="LF26" s="2669"/>
      <c r="LH26" s="853">
        <f t="shared" si="138"/>
        <v>0</v>
      </c>
      <c r="LI26" s="27">
        <f t="shared" si="138"/>
        <v>0</v>
      </c>
      <c r="LJ26" s="27">
        <f t="shared" si="138"/>
        <v>0</v>
      </c>
      <c r="LK26" s="28">
        <f t="shared" si="53"/>
        <v>0</v>
      </c>
      <c r="LL26" s="36"/>
      <c r="LM26" s="27"/>
      <c r="LN26" s="27"/>
      <c r="LO26" s="33"/>
      <c r="LP26" s="1957"/>
      <c r="LQ26" s="486"/>
      <c r="LR26" s="2688"/>
      <c r="LS26" s="36"/>
      <c r="LT26" s="36"/>
      <c r="LU26" s="27"/>
      <c r="LV26" s="27"/>
      <c r="LW26" s="27"/>
      <c r="LX26" s="1107">
        <f t="shared" si="129"/>
        <v>0</v>
      </c>
      <c r="LY26" s="36"/>
      <c r="LZ26" s="36"/>
      <c r="MA26" s="27"/>
      <c r="MB26" s="27"/>
      <c r="MC26" s="33"/>
      <c r="MD26" s="28">
        <f t="shared" si="137"/>
        <v>0</v>
      </c>
      <c r="ME26" s="26"/>
      <c r="MF26" s="36"/>
      <c r="MG26" s="27"/>
      <c r="MH26" s="27"/>
      <c r="MI26" s="27"/>
      <c r="MJ26" s="28"/>
      <c r="MK26" s="36"/>
      <c r="ML26" s="36"/>
      <c r="MM26" s="27"/>
      <c r="MN26" s="27"/>
      <c r="MO26" s="27"/>
      <c r="MP26" s="28"/>
      <c r="MQ26" s="36"/>
      <c r="MR26" s="36"/>
      <c r="MS26" s="27"/>
      <c r="MT26" s="27"/>
      <c r="MU26" s="27"/>
      <c r="MV26" s="33">
        <f t="shared" si="56"/>
        <v>0</v>
      </c>
      <c r="MW26" s="2688"/>
      <c r="MY26" s="26">
        <f t="shared" si="57"/>
        <v>377341.84766611259</v>
      </c>
      <c r="MZ26" s="27">
        <f t="shared" si="58"/>
        <v>191281.80302645115</v>
      </c>
      <c r="NA26" s="27">
        <f t="shared" si="59"/>
        <v>27294.683787707359</v>
      </c>
      <c r="NB26" s="28">
        <f t="shared" si="60"/>
        <v>318297.33035698003</v>
      </c>
      <c r="NC26" s="2621"/>
      <c r="ND26" s="23">
        <f t="shared" si="116"/>
        <v>207724.34280113198</v>
      </c>
      <c r="NE26" s="1655">
        <f t="shared" si="117"/>
        <v>169617.50486498058</v>
      </c>
      <c r="NF26" s="60">
        <f t="shared" si="63"/>
        <v>0</v>
      </c>
      <c r="NG26" s="275">
        <f t="shared" si="4"/>
        <v>377341.84766611259</v>
      </c>
      <c r="NH26" s="26">
        <f t="shared" ref="NH26:NQ40" si="141">+NH25+EG26-GZ26</f>
        <v>-313.35000000000002</v>
      </c>
      <c r="NI26" s="27">
        <f t="shared" si="141"/>
        <v>0</v>
      </c>
      <c r="NJ26" s="27">
        <f t="shared" si="141"/>
        <v>0</v>
      </c>
      <c r="NK26" s="27">
        <f t="shared" si="141"/>
        <v>0</v>
      </c>
      <c r="NL26" s="27">
        <f t="shared" si="141"/>
        <v>0</v>
      </c>
      <c r="NM26" s="33">
        <f t="shared" si="141"/>
        <v>0</v>
      </c>
      <c r="NN26" s="27">
        <f t="shared" si="141"/>
        <v>0</v>
      </c>
      <c r="NO26" s="36">
        <f t="shared" si="141"/>
        <v>0</v>
      </c>
      <c r="NP26" s="24">
        <f t="shared" si="141"/>
        <v>21665.870136227244</v>
      </c>
      <c r="NQ26" s="27">
        <f t="shared" si="141"/>
        <v>22358.939343794715</v>
      </c>
      <c r="NR26" s="24">
        <f t="shared" si="118"/>
        <v>8443.1982322711574</v>
      </c>
      <c r="NS26" s="24">
        <f t="shared" si="119"/>
        <v>9895.3380410535083</v>
      </c>
      <c r="NT26" s="27">
        <f t="shared" si="0"/>
        <v>62049.995753346629</v>
      </c>
      <c r="NU26" s="27">
        <f t="shared" ref="NU26:OB40" si="142">+NU25+DF26-ID26</f>
        <v>0</v>
      </c>
      <c r="NV26" s="27">
        <f t="shared" si="142"/>
        <v>0</v>
      </c>
      <c r="NW26" s="27">
        <f t="shared" si="142"/>
        <v>0</v>
      </c>
      <c r="NX26" s="27">
        <f t="shared" si="142"/>
        <v>0</v>
      </c>
      <c r="NY26" s="27">
        <f t="shared" si="142"/>
        <v>0</v>
      </c>
      <c r="NZ26" s="5">
        <f t="shared" si="142"/>
        <v>0</v>
      </c>
      <c r="OA26" s="27">
        <f t="shared" si="142"/>
        <v>35558.705564997217</v>
      </c>
      <c r="OB26" s="27">
        <f t="shared" si="142"/>
        <v>0</v>
      </c>
      <c r="OC26" s="27">
        <f t="shared" si="66"/>
        <v>12611.886475620366</v>
      </c>
      <c r="OD26" s="280"/>
      <c r="OE26" s="27">
        <f t="shared" si="120"/>
        <v>13429.316718063665</v>
      </c>
      <c r="OF26" s="27">
        <f t="shared" si="67"/>
        <v>0</v>
      </c>
      <c r="OG26" s="28">
        <f t="shared" si="1"/>
        <v>61599.908758681253</v>
      </c>
      <c r="OH26" s="27">
        <f t="shared" ref="OH26:OO40" si="143">+OH25+DT26+FW26-IS26</f>
        <v>0</v>
      </c>
      <c r="OI26" s="27">
        <f t="shared" si="143"/>
        <v>0</v>
      </c>
      <c r="OJ26" s="27">
        <f t="shared" si="143"/>
        <v>0</v>
      </c>
      <c r="OK26" s="27">
        <f t="shared" si="143"/>
        <v>0</v>
      </c>
      <c r="OL26" s="27">
        <f t="shared" si="143"/>
        <v>0</v>
      </c>
      <c r="OM26" s="27">
        <f t="shared" si="143"/>
        <v>0</v>
      </c>
      <c r="ON26" s="24">
        <f t="shared" si="143"/>
        <v>0</v>
      </c>
      <c r="OO26" s="27">
        <f t="shared" si="143"/>
        <v>0</v>
      </c>
      <c r="OP26" s="24">
        <f t="shared" si="69"/>
        <v>54054.217649249818</v>
      </c>
      <c r="OQ26" s="27">
        <f t="shared" ref="OQ26:OS40" si="144">+OQ25+EC26+GF26-JB26</f>
        <v>0</v>
      </c>
      <c r="OR26" s="24">
        <f t="shared" si="144"/>
        <v>13577.680865173457</v>
      </c>
      <c r="OS26" s="27">
        <f t="shared" si="144"/>
        <v>0</v>
      </c>
      <c r="OT26" s="28">
        <f t="shared" si="2"/>
        <v>67631.898514423272</v>
      </c>
      <c r="OU26" s="36"/>
      <c r="OV26" s="27"/>
      <c r="OW26" s="27"/>
      <c r="OX26" s="27"/>
      <c r="OY26" s="27"/>
      <c r="OZ26" s="27"/>
      <c r="PA26" s="28">
        <f t="shared" si="71"/>
        <v>0</v>
      </c>
      <c r="PB26" s="36">
        <f t="shared" si="72"/>
        <v>0</v>
      </c>
      <c r="PC26" s="27">
        <f t="shared" si="73"/>
        <v>0</v>
      </c>
      <c r="PD26" s="27">
        <f t="shared" si="74"/>
        <v>0</v>
      </c>
      <c r="PE26" s="27">
        <f t="shared" si="75"/>
        <v>0</v>
      </c>
      <c r="PF26" s="24"/>
      <c r="PG26" s="27">
        <f t="shared" si="76"/>
        <v>0</v>
      </c>
      <c r="PH26" s="33">
        <f t="shared" si="3"/>
        <v>0</v>
      </c>
      <c r="PI26" s="2621"/>
      <c r="PK26" s="1907">
        <f>SUMPRODUCT(('Data Base Coal Wining'!$D$2:$D$2000="WASHING PLANT")*ISNUMBER(SEARCH(TEXT('September TCM'!$B26,"00")&amp;"/09/2026",'Data Base Coal Wining'!$E$2:$E$2000))*'Data Base Coal Wining'!$N$2:$N$2000)</f>
        <v>0</v>
      </c>
      <c r="PL26" s="3"/>
      <c r="PM26" s="3"/>
      <c r="PN26" s="3">
        <f t="shared" si="77"/>
        <v>0</v>
      </c>
      <c r="PO26" s="3">
        <f t="shared" si="78"/>
        <v>38895.633435124721</v>
      </c>
      <c r="PP26" s="11">
        <f t="shared" si="139"/>
        <v>27294.683787707359</v>
      </c>
      <c r="PQ26" s="15"/>
      <c r="PR26" s="2615"/>
      <c r="PT26" s="4"/>
      <c r="PU26" s="9"/>
      <c r="PV26" s="9"/>
      <c r="PW26" s="9"/>
      <c r="PX26" s="8">
        <f>SUMPRODUCT(('Data Base Coal Wining'!$D$2:$D$2000="TCM-ROM SB1 BK05-ROM 2 (HAC)")*('Data Base Coal Wining'!$G$2:$G$2000="Coal Winning")*ISNUMBER(SEARCH(TEXT('September TCM'!$B26,"00")&amp;"/09/2026",'Data Base Coal Wining'!$E$2:$E$2000))*'Data Base Coal Wining'!$N$2:$N$2000)</f>
        <v>0</v>
      </c>
      <c r="PY26" s="9"/>
      <c r="PZ26" s="8">
        <f t="shared" si="80"/>
        <v>0</v>
      </c>
      <c r="QA26" s="5">
        <f t="shared" si="81"/>
        <v>0</v>
      </c>
      <c r="QB26" s="5"/>
      <c r="QC26" s="5"/>
      <c r="QD26" s="5"/>
      <c r="QE26" s="5"/>
      <c r="QF26" s="5"/>
      <c r="QG26" s="12"/>
      <c r="QH26" s="12">
        <f t="shared" si="82"/>
        <v>29562.488999999998</v>
      </c>
      <c r="QI26" s="420">
        <f t="shared" si="83"/>
        <v>283762.59090898006</v>
      </c>
      <c r="QJ26" s="1106">
        <f t="shared" si="121"/>
        <v>4972.2504480000007</v>
      </c>
      <c r="QK26" s="484">
        <f t="shared" si="84"/>
        <v>5505.3678056099998</v>
      </c>
      <c r="QL26" s="12"/>
      <c r="QM26" s="2615"/>
      <c r="QO26" s="139" t="str">
        <f t="shared" si="85"/>
        <v/>
      </c>
      <c r="QP26" s="139" t="str">
        <f t="shared" si="86"/>
        <v/>
      </c>
      <c r="QR26" s="139" t="str">
        <f t="shared" si="87"/>
        <v/>
      </c>
      <c r="QS26" s="139" t="str">
        <f t="shared" si="88"/>
        <v/>
      </c>
      <c r="QU26" s="1">
        <f t="shared" si="89"/>
        <v>0</v>
      </c>
      <c r="QV26" s="1">
        <f t="shared" si="90"/>
        <v>0</v>
      </c>
      <c r="QW26" s="1">
        <f t="shared" si="91"/>
        <v>0</v>
      </c>
      <c r="QX26" s="1">
        <f t="shared" si="92"/>
        <v>0</v>
      </c>
      <c r="QY26" s="1">
        <f t="shared" si="93"/>
        <v>0</v>
      </c>
      <c r="QZ26" s="1">
        <f t="shared" si="94"/>
        <v>0</v>
      </c>
      <c r="RB26" s="1">
        <f t="shared" si="95"/>
        <v>0</v>
      </c>
      <c r="RC26" s="1">
        <f t="shared" si="96"/>
        <v>0</v>
      </c>
      <c r="RD26" s="1">
        <f t="shared" si="97"/>
        <v>0</v>
      </c>
      <c r="RE26" s="1">
        <f t="shared" si="98"/>
        <v>0</v>
      </c>
      <c r="RF26" s="1">
        <f t="shared" si="99"/>
        <v>0</v>
      </c>
      <c r="RG26" s="1">
        <f t="shared" si="100"/>
        <v>0</v>
      </c>
      <c r="RJ26" s="1">
        <v>17</v>
      </c>
      <c r="RK26" s="1">
        <f t="shared" si="135"/>
        <v>5984.4452097170979</v>
      </c>
      <c r="RL26" s="1">
        <f t="shared" si="135"/>
        <v>5074.1017804837184</v>
      </c>
      <c r="RM26" s="1">
        <f t="shared" si="135"/>
        <v>13404.263703387322</v>
      </c>
      <c r="RN26" s="89">
        <f t="shared" si="5"/>
        <v>24462.810693588137</v>
      </c>
      <c r="RO26" s="1033">
        <v>17</v>
      </c>
      <c r="RP26" s="1098">
        <v>0</v>
      </c>
      <c r="RQ26" s="1098">
        <f t="shared" si="102"/>
        <v>0</v>
      </c>
      <c r="RR26" s="1097">
        <f t="shared" si="102"/>
        <v>0</v>
      </c>
      <c r="RS26" s="1097">
        <f t="shared" si="103"/>
        <v>0</v>
      </c>
      <c r="RT26" s="1050"/>
      <c r="RU26" s="1928"/>
      <c r="RV26" s="1048"/>
      <c r="RX26" s="421">
        <v>17</v>
      </c>
      <c r="RY26" s="1095">
        <f t="shared" si="104"/>
        <v>0</v>
      </c>
      <c r="RZ26" s="1928"/>
      <c r="SB26" s="1090"/>
      <c r="SC26" s="1090">
        <f t="shared" si="105"/>
        <v>0</v>
      </c>
      <c r="SD26" s="1090"/>
      <c r="SE26" s="1090">
        <f t="shared" si="136"/>
        <v>0</v>
      </c>
      <c r="SG26" s="1">
        <v>17</v>
      </c>
      <c r="SH26" s="1">
        <f t="shared" si="107"/>
        <v>0</v>
      </c>
      <c r="SI26" s="2420"/>
    </row>
    <row r="27" spans="1:503" s="1" customFormat="1" ht="15.6" customHeight="1">
      <c r="B27" s="471">
        <v>18</v>
      </c>
      <c r="C27" s="4">
        <f t="shared" si="108"/>
        <v>0</v>
      </c>
      <c r="D27" s="1590">
        <f t="shared" si="128"/>
        <v>0</v>
      </c>
      <c r="E27" s="1911">
        <f t="shared" si="6"/>
        <v>0</v>
      </c>
      <c r="F27" s="1113"/>
      <c r="G27" s="1113"/>
      <c r="H27" s="845"/>
      <c r="I27" s="482"/>
      <c r="J27" s="845"/>
      <c r="K27" s="846"/>
      <c r="L27" s="845"/>
      <c r="M27" s="482"/>
      <c r="N27" s="2629"/>
      <c r="O27" s="4">
        <f t="shared" si="125"/>
        <v>0</v>
      </c>
      <c r="P27" s="1225">
        <f t="shared" si="7"/>
        <v>0</v>
      </c>
      <c r="Q27" s="1913">
        <f t="shared" si="8"/>
        <v>0</v>
      </c>
      <c r="R27" s="12"/>
      <c r="S27" s="4">
        <f t="shared" si="9"/>
        <v>0</v>
      </c>
      <c r="T27" s="27">
        <f t="shared" si="110"/>
        <v>0</v>
      </c>
      <c r="U27" s="1913">
        <f t="shared" si="10"/>
        <v>0</v>
      </c>
      <c r="V27" s="15"/>
      <c r="W27" s="26">
        <f t="shared" si="11"/>
        <v>0</v>
      </c>
      <c r="X27" s="5">
        <f t="shared" si="11"/>
        <v>0</v>
      </c>
      <c r="Y27" s="1913">
        <f t="shared" si="12"/>
        <v>0</v>
      </c>
      <c r="Z27" s="12"/>
      <c r="AA27" s="26">
        <f t="shared" si="13"/>
        <v>0</v>
      </c>
      <c r="AB27" s="27">
        <f t="shared" si="126"/>
        <v>0</v>
      </c>
      <c r="AC27" s="1913">
        <f t="shared" si="15"/>
        <v>0</v>
      </c>
      <c r="AD27" s="15"/>
      <c r="AE27" s="9"/>
      <c r="AF27" s="9"/>
      <c r="AG27" s="64">
        <f t="shared" si="16"/>
        <v>0</v>
      </c>
      <c r="AH27" s="15"/>
      <c r="AI27" s="4"/>
      <c r="AJ27" s="5"/>
      <c r="AK27" s="64">
        <f t="shared" si="17"/>
        <v>0</v>
      </c>
      <c r="AL27" s="15"/>
      <c r="AM27" s="2629"/>
      <c r="AN27" s="9"/>
      <c r="AO27" s="5"/>
      <c r="AP27" s="482">
        <f t="shared" si="18"/>
        <v>0</v>
      </c>
      <c r="AQ27" s="9"/>
      <c r="AR27" s="64"/>
      <c r="AS27" s="482">
        <f t="shared" si="19"/>
        <v>0</v>
      </c>
      <c r="AT27" s="9">
        <v>0</v>
      </c>
      <c r="AU27" s="5"/>
      <c r="AV27" s="846">
        <f t="shared" si="20"/>
        <v>0</v>
      </c>
      <c r="AW27" s="26"/>
      <c r="AX27" s="280">
        <f>SUMPRODUCT(ISNUMBER(SEARCH("BK20",'Data Base Coal Wining'!$C$2:$C$2000))*ISNUMBER(SEARCH("P3000",'Data Base Coal Wining'!$C$2:$C$2000))*('Data Base Coal Wining'!$H$2:$H$2000="PAMA")*('Data Base Coal Wining'!$G$2:$G$2000="Coal Winning")*ISNUMBER(SEARCH(TEXT('September TCM'!$B27,"00")&amp;"/09/2026",'Data Base Coal Wining'!$E$2:$E$2000))*'Data Base Coal Wining'!$N$2:$N$2000)</f>
        <v>0</v>
      </c>
      <c r="AY27" s="1911">
        <f t="shared" si="134"/>
        <v>0</v>
      </c>
      <c r="AZ27" s="1912"/>
      <c r="BA27" s="1913"/>
      <c r="BB27" s="1911">
        <f t="shared" si="21"/>
        <v>0</v>
      </c>
      <c r="BC27" s="1940"/>
      <c r="BD27" s="2154">
        <f>SUMPRODUCT(ISNUMBER(SEARCH("BK30",'Data Base Coal Wining'!$C$2:$C$2000))*ISNUMBER(SEARCH("P3000",'Data Base Coal Wining'!$C$2:$C$2000))*('Data Base Coal Wining'!$H$2:$H$2000="PAMA")*('Data Base Coal Wining'!$G$2:$G$2000="Coal Winning")*ISNUMBER(SEARCH(TEXT('September TCM'!$B27,"00")&amp;"/09/2026",'Data Base Coal Wining'!$E$2:$E$2000))*'Data Base Coal Wining'!$N$2:$N$2000)</f>
        <v>0</v>
      </c>
      <c r="BE27" s="1911">
        <f t="shared" si="22"/>
        <v>0</v>
      </c>
      <c r="BF27" s="1908"/>
      <c r="BG27" s="1909"/>
      <c r="BH27" s="1911">
        <f t="shared" si="23"/>
        <v>0</v>
      </c>
      <c r="BI27" s="1908">
        <v>0</v>
      </c>
      <c r="BJ27" s="1909">
        <v>0</v>
      </c>
      <c r="BK27" s="1911">
        <f t="shared" si="24"/>
        <v>0</v>
      </c>
      <c r="BL27" s="1741"/>
      <c r="BM27" s="2154">
        <f>SUMPRODUCT(ISNUMBER(SEARCH("BK26",'Data Base Coal Wining'!$C$2:$C$2000))*ISNUMBER(SEARCH("P4400",'Data Base Coal Wining'!$C$2:$C$2000))*('Data Base Coal Wining'!$H$2:$H$2000="MAP")*('Data Base Coal Wining'!$G$2:$G$2000="Coal Winning")*ISNUMBER(SEARCH(TEXT('September TCM'!$B27,"00")&amp;"/09/2026",'Data Base Coal Wining'!$E$2:$E$2000))*'Data Base Coal Wining'!$N$2:$N$2000)</f>
        <v>0</v>
      </c>
      <c r="BN27" s="2172"/>
      <c r="BO27" s="1911">
        <f t="shared" si="25"/>
        <v>0</v>
      </c>
      <c r="BP27" s="9"/>
      <c r="BQ27" s="2514">
        <f>SUMPRODUCT(ISNUMBER(SEARCH("BK34",'Data Base Coal Wining'!$C$2:$C$2000))*ISNUMBER(SEARCH("P4000",'Data Base Coal Wining'!$C$2:$C$2000))*('Data Base Coal Wining'!$H$2:$H$2000="PJPN")*('Data Base Coal Wining'!$G$2:$G$2000="Coal Winning")*ISNUMBER(SEARCH(TEXT('September TCM'!$B27,"00")&amp;"/09/2026",'Data Base Coal Wining'!$E$2:$E$2000))*'Data Base Coal Wining'!$N$2:$N$2000)</f>
        <v>0</v>
      </c>
      <c r="BR27" s="1920">
        <f t="shared" si="26"/>
        <v>0</v>
      </c>
      <c r="BS27" s="9"/>
      <c r="BT27" s="64"/>
      <c r="BU27" s="482">
        <f t="shared" si="27"/>
        <v>0</v>
      </c>
      <c r="BV27" s="9"/>
      <c r="BW27" s="27"/>
      <c r="BX27" s="1051">
        <f t="shared" si="140"/>
        <v>0</v>
      </c>
      <c r="BY27" s="26"/>
      <c r="BZ27" s="5"/>
      <c r="CA27" s="482">
        <f t="shared" si="29"/>
        <v>0</v>
      </c>
      <c r="CB27" s="9"/>
      <c r="CC27" s="5"/>
      <c r="CD27" s="482">
        <f t="shared" si="30"/>
        <v>0</v>
      </c>
      <c r="CE27" s="4"/>
      <c r="CF27" s="5"/>
      <c r="CG27" s="15">
        <f t="shared" si="31"/>
        <v>0</v>
      </c>
      <c r="CH27" s="150"/>
      <c r="CI27" s="1108"/>
      <c r="CJ27" s="5"/>
      <c r="CK27" s="5"/>
      <c r="CL27" s="5"/>
      <c r="CM27" s="5"/>
      <c r="CN27" s="3">
        <f t="shared" si="111"/>
        <v>0</v>
      </c>
      <c r="CO27" s="12"/>
      <c r="CP27" s="366"/>
      <c r="CR27" s="4">
        <f t="shared" si="32"/>
        <v>0</v>
      </c>
      <c r="CS27" s="9">
        <f t="shared" si="32"/>
        <v>0</v>
      </c>
      <c r="CT27" s="5">
        <f t="shared" si="32"/>
        <v>0</v>
      </c>
      <c r="CU27" s="5">
        <f t="shared" si="32"/>
        <v>0</v>
      </c>
      <c r="CV27" s="5">
        <f t="shared" si="32"/>
        <v>0</v>
      </c>
      <c r="CW27" s="5">
        <f t="shared" si="32"/>
        <v>0</v>
      </c>
      <c r="CX27" s="5">
        <f t="shared" si="32"/>
        <v>0</v>
      </c>
      <c r="CY27" s="5">
        <f t="shared" si="32"/>
        <v>0</v>
      </c>
      <c r="CZ27" s="5">
        <f t="shared" si="32"/>
        <v>0</v>
      </c>
      <c r="DA27" s="5">
        <f t="shared" si="32"/>
        <v>0</v>
      </c>
      <c r="DB27" s="5">
        <f t="shared" si="32"/>
        <v>0</v>
      </c>
      <c r="DC27" s="12">
        <f t="shared" si="33"/>
        <v>0</v>
      </c>
      <c r="DD27" s="847">
        <f t="shared" si="34"/>
        <v>0</v>
      </c>
      <c r="DE27" s="2695"/>
      <c r="DF27" s="8"/>
      <c r="DG27" s="9"/>
      <c r="DH27" s="5"/>
      <c r="DI27" s="5"/>
      <c r="DJ27" s="5"/>
      <c r="DK27" s="5"/>
      <c r="DL27" s="3">
        <f>SUMPRODUCT(('Data Base Coal Wining'!$D$2:$D$2000="TCM-ROM SB1 BK05-ROM 4")*('Data Base Coal Wining'!$G$2:$G$2000="Coal Winning")*ISNUMBER(SEARCH(TEXT('September TCM'!$B27,"00")&amp;"/09/2026",'Data Base Coal Wining'!$E$2:$E$2000))*'Data Base Coal Wining'!$N$2:$N$2000)</f>
        <v>0</v>
      </c>
      <c r="DM27" s="5"/>
      <c r="DN27" s="3">
        <f>SUMPRODUCT(('Data Base Coal Wining'!$D$2:$D$2000="TCM-ROM SB1 BK05-ROM 5")*('Data Base Coal Wining'!$G$2:$G$2000="Coal Winning")*ISNUMBER(SEARCH(TEXT('September TCM'!$B27,"00")&amp;"/09/2026",'Data Base Coal Wining'!$E$2:$E$2000))*'Data Base Coal Wining'!$N$2:$N$2000)</f>
        <v>0</v>
      </c>
      <c r="DO27" s="12"/>
      <c r="DP27" s="3">
        <f>SUMPRODUCT(('Data Base Coal Wining'!$D$2:$D$2000="TCM-ROM SB1 BK05-ROM 6")*('Data Base Coal Wining'!$G$2:$G$2000="Coal Winning")*ISNUMBER(SEARCH(TEXT('September TCM'!$B27,"00")&amp;"/09/2026",'Data Base Coal Wining'!$E$2:$E$2000))*'Data Base Coal Wining'!$N$2:$N$2000)</f>
        <v>0</v>
      </c>
      <c r="DQ27" s="11">
        <f>SUMPRODUCT(('Data Base Coal Wining'!$D$2:$D$2000="TCM-ROM SB1 BK05-ROM 6.1")*('Data Base Coal Wining'!$G$2:$G$2000="Coal Winning")*ISNUMBER(SEARCH(TEXT('September TCM'!$B27,"00")&amp;"/09/2026",'Data Base Coal Wining'!$E$2:$E$2000))*'Data Base Coal Wining'!$N$2:$N$2000)</f>
        <v>0</v>
      </c>
      <c r="DR27" s="486"/>
      <c r="DS27" s="15">
        <f t="shared" si="35"/>
        <v>0</v>
      </c>
      <c r="DT27" s="9"/>
      <c r="DU27" s="9"/>
      <c r="DV27" s="5"/>
      <c r="DW27" s="5"/>
      <c r="DX27" s="5"/>
      <c r="DY27" s="5"/>
      <c r="DZ27" s="5"/>
      <c r="EA27" s="5"/>
      <c r="EB27" s="3">
        <f>SUMPRODUCT(('Data Base Coal Wining'!$D$2:$D$2000="TCM-ROM SB2 BK24-ROM 5")*('Data Base Coal Wining'!$G$2:$G$2000="Coal Winning")*ISNUMBER(SEARCH(TEXT('September TCM'!$B27,"00")&amp;"/09/2026",'Data Base Coal Wining'!$E$2:$E$2000))*'Data Base Coal Wining'!$N$2:$N$2000)</f>
        <v>0</v>
      </c>
      <c r="EC27" s="5"/>
      <c r="ED27" s="24">
        <f>SUMPRODUCT(('Data Base Coal Wining'!$D$2:$D$2000="TCM-ROM SB2 BK24-ROM 6")*('Data Base Coal Wining'!$G$2:$G$2000="Coal Winning")*ISNUMBER(SEARCH(TEXT('September TCM'!$B27,"00")&amp;"/09/2026",'Data Base Coal Wining'!$E$2:$E$2000))*'Data Base Coal Wining'!$N$2:$N$2000)</f>
        <v>0</v>
      </c>
      <c r="EE27" s="12"/>
      <c r="EF27" s="15">
        <f t="shared" si="36"/>
        <v>0</v>
      </c>
      <c r="EG27" s="9"/>
      <c r="EH27" s="9"/>
      <c r="EI27" s="5"/>
      <c r="EJ27" s="5"/>
      <c r="EK27" s="5"/>
      <c r="EL27" s="5"/>
      <c r="EM27" s="5"/>
      <c r="EN27" s="5"/>
      <c r="EO27" s="5"/>
      <c r="EP27" s="5"/>
      <c r="EQ27" s="5"/>
      <c r="ER27" s="12"/>
      <c r="ES27" s="15">
        <f t="shared" si="127"/>
        <v>0</v>
      </c>
      <c r="ET27" s="9"/>
      <c r="EU27" s="5"/>
      <c r="EV27" s="5"/>
      <c r="EW27" s="5"/>
      <c r="EX27" s="5"/>
      <c r="EY27" s="5"/>
      <c r="EZ27" s="12">
        <f t="shared" si="38"/>
        <v>0</v>
      </c>
      <c r="FA27" s="2685"/>
      <c r="FC27" s="4">
        <f t="shared" si="39"/>
        <v>0</v>
      </c>
      <c r="FD27" s="5">
        <f t="shared" si="40"/>
        <v>0</v>
      </c>
      <c r="FE27" s="5">
        <f t="shared" si="41"/>
        <v>0</v>
      </c>
      <c r="FF27" s="12">
        <f t="shared" si="42"/>
        <v>0</v>
      </c>
      <c r="FG27" s="12"/>
      <c r="FH27" s="2674"/>
      <c r="FI27" s="9"/>
      <c r="FJ27" s="5"/>
      <c r="FK27" s="5"/>
      <c r="FL27" s="5"/>
      <c r="FM27" s="5"/>
      <c r="FN27" s="5"/>
      <c r="FO27" s="15">
        <f t="shared" si="43"/>
        <v>0</v>
      </c>
      <c r="FP27" s="9"/>
      <c r="FQ27" s="5"/>
      <c r="FR27" s="5"/>
      <c r="FS27" s="5"/>
      <c r="FT27" s="5"/>
      <c r="FU27" s="5"/>
      <c r="FV27" s="15">
        <f t="shared" si="44"/>
        <v>0</v>
      </c>
      <c r="FW27" s="9"/>
      <c r="FX27" s="9"/>
      <c r="FY27" s="5"/>
      <c r="FZ27" s="5"/>
      <c r="GA27" s="5"/>
      <c r="GB27" s="5"/>
      <c r="GC27" s="5"/>
      <c r="GD27" s="5"/>
      <c r="GE27" s="24" cm="1">
        <f t="array" ref="GE27">SUMPRODUCT(('Data Base Coal Wining'!$C$2:$C$2000="TCM-ROM TEMPORARY SB2 KM 76-ROM HAC (S4700 Hard Ban)")*(ISNUMBER(SEARCH(TEXT('September TCM'!$B27,"00")&amp;"/08/2026",'Data Base Coal Wining'!$E$2:$E$2000)))*'Data Base Coal Wining'!$N$2:$N$2000)</f>
        <v>0</v>
      </c>
      <c r="GF27" s="5"/>
      <c r="GG27" s="5"/>
      <c r="GH27" s="12"/>
      <c r="GI27" s="12">
        <f t="shared" si="45"/>
        <v>0</v>
      </c>
      <c r="GJ27" s="2674"/>
      <c r="GL27" s="2">
        <f t="shared" si="112"/>
        <v>0</v>
      </c>
      <c r="GM27" s="63">
        <f t="shared" si="113"/>
        <v>0</v>
      </c>
      <c r="GN27" s="24">
        <f t="shared" si="114"/>
        <v>0</v>
      </c>
      <c r="GO27" s="1590">
        <f t="shared" si="46"/>
        <v>0</v>
      </c>
      <c r="GP27" s="848"/>
      <c r="GQ27" s="848"/>
      <c r="GR27" s="12"/>
      <c r="GS27" s="2667"/>
      <c r="GT27" s="1723">
        <f>SUMPRODUCT(('Data Base hauling'!$H$2:$H$2000="Trust")*(ISNUMBER(SEARCH(TEXT('September TCM'!$B27,"00")&amp;"/09/2026",'Data Base hauling'!$E$2:$E$2000)))*'Data Base hauling'!$N$2:$N$2000)</f>
        <v>0</v>
      </c>
      <c r="GU27" s="1723">
        <f>SUMPRODUCT(('Data Base hauling'!$H$2:$H$2000="RT")*(ISNUMBER(SEARCH(TEXT('September TCM'!$B27,"00")&amp;"/09/2026",'Data Base hauling'!$E$2:$E$2000)))*'Data Base hauling'!$N$2:$N$2000)</f>
        <v>0</v>
      </c>
      <c r="GV27" s="5">
        <f>SUMPRODUCT(('Data Base hauling'!$H$2:$H$2000="MPE")*(ISNUMBER(SEARCH(TEXT('September TCM'!$B27,"00")&amp;"/09/2026",'Data Base hauling'!$E$2:$E$2000)))*'Data Base hauling'!$N$2:$N$2000)</f>
        <v>0</v>
      </c>
      <c r="GW27" s="1723">
        <f>SUMPRODUCT(('Data Base hauling'!$H$2:$H$2000="RP")*(ISNUMBER(SEARCH(TEXT('September TCM'!$B27,"00")&amp;"/09/2026",'Data Base hauling'!$E$2:$E$2000)))*'Data Base hauling'!$N$2:$N$2000)</f>
        <v>0</v>
      </c>
      <c r="GX27" s="15">
        <f t="shared" si="115"/>
        <v>0</v>
      </c>
      <c r="GY27" s="2667"/>
      <c r="GZ27" s="35">
        <f>SUMPRODUCT(('Data Base hauling'!$C$2:$C$2000="TCM-ROM NB-ROM 1")*(ISNUMBER(SEARCH(TEXT('September TCM'!$B27,"00")&amp;"/09/2026",'Data Base hauling'!$E$2:$E$2000)))*'Data Base hauling'!$N$2:$N$2000)</f>
        <v>0</v>
      </c>
      <c r="HA27" s="9"/>
      <c r="HB27" s="5"/>
      <c r="HC27" s="5"/>
      <c r="HD27" s="5"/>
      <c r="HE27" s="5"/>
      <c r="HF27" s="24">
        <f>SUMPRODUCT(('Data Base hauling'!$C$2:$C$2000="TCM-ROM NB-ROM 4")*(ISNUMBER(SEARCH(TEXT('September TCM'!$B27,"00")&amp;"/09/2026",'Data Base hauling'!$E$2:$E$2000)))*'Data Base hauling'!$N$2:$N$2000)</f>
        <v>0</v>
      </c>
      <c r="HG27" s="24"/>
      <c r="HH27" s="24">
        <f>SUMPRODUCT(('Data Base hauling'!$C$2:$C$2000="TCM-ROM NB-ROM 5")*(ISNUMBER(SEARCH(TEXT('September TCM'!$B27,"00")&amp;"/09/2026",'Data Base hauling'!$E$2:$E$2000)))*'Data Base hauling'!$N$2:$N$2000)</f>
        <v>0</v>
      </c>
      <c r="HI27" s="24"/>
      <c r="HJ27" s="24">
        <f>SUMPRODUCT(('Data Base hauling'!$C$2:$C$2000="TCM-ROM NB-ROM 6")*(ISNUMBER(SEARCH(TEXT('September TCM'!$B27,"00")&amp;"/09/2026",'Data Base hauling'!$E$2:$E$2000)))*'Data Base hauling'!$N$2:$N$2000)</f>
        <v>0</v>
      </c>
      <c r="HK27" s="24"/>
      <c r="HL27" s="24">
        <f>SUMPRODUCT(('Data Base hauling'!$C$2:$C$2000="TCM-WASH-CR3")*(ISNUMBER(SEARCH(TEXT('September TCM'!$B27,"00")&amp;"/09/2026",'Data Base hauling'!$E$2:$E$2000)))*'Data Base hauling'!$N$2:$N$2000)</f>
        <v>0</v>
      </c>
      <c r="HM27" s="5"/>
      <c r="HN27" s="15">
        <f t="shared" si="131"/>
        <v>0</v>
      </c>
      <c r="HO27" s="9"/>
      <c r="HP27" s="5"/>
      <c r="HQ27" s="5"/>
      <c r="HR27" s="5"/>
      <c r="HS27" s="5"/>
      <c r="HT27" s="5"/>
      <c r="HU27" s="5">
        <f t="array" ref="HU27">SUMPRODUCT(('Data Base hauling'!$C$2:$C$2000="TCM-ROM SB1 BK05-ROM 4")*(ISNUMBER(SEARCH(TEXT('September TCM'!$B27,"00")&amp;"/03/2026",'Data Base hauling'!$E$2:$E$2000)))*'Data Base hauling'!$N$2:$N$2000)</f>
        <v>0</v>
      </c>
      <c r="HV27" s="5"/>
      <c r="HW27" s="5">
        <f t="array" ref="HW27">SUMPRODUCT(('Data Base hauling'!$C$2:$C$2000="TCM-ROM SB1 BK05-ROM 5")*(ISNUMBER(SEARCH(TEXT('September TCM'!$B27,"00")&amp;"/03/2026",'Data Base hauling'!$E$2:$E$2000)))*'Data Base hauling'!$N$2:$N$2000)</f>
        <v>0</v>
      </c>
      <c r="HX27" s="5"/>
      <c r="HY27" s="5"/>
      <c r="HZ27" s="5"/>
      <c r="IA27" s="5"/>
      <c r="IB27" s="5"/>
      <c r="IC27" s="12">
        <f t="shared" si="48"/>
        <v>0</v>
      </c>
      <c r="ID27" s="845"/>
      <c r="IE27" s="363"/>
      <c r="IF27" s="64"/>
      <c r="IG27" s="64"/>
      <c r="IH27" s="64"/>
      <c r="II27" s="64"/>
      <c r="IJ27" s="1926">
        <f>SUMPRODUCT(('Data Base hauling'!$C$2:$C$2000="TCM-ROM SB1 BK05-ROM 4")*(ISNUMBER(SEARCH(TEXT('September TCM'!$B27,"00")&amp;"/09/2026",'Data Base hauling'!$E$2:$E$2000)))*'Data Base hauling'!$N$2:$N$2000)</f>
        <v>0</v>
      </c>
      <c r="IK27" s="1926"/>
      <c r="IL27" s="1926">
        <f>SUMPRODUCT(('Data Base hauling'!$C$2:$C$2000="TCM-ROM SB1 BK05-ROM 5")*(ISNUMBER(SEARCH(TEXT('September TCM'!$B27,"00")&amp;"/09/2026",'Data Base hauling'!$E$2:$E$2000)))*'Data Base hauling'!$N$2:$N$2000)</f>
        <v>0</v>
      </c>
      <c r="IM27" s="49"/>
      <c r="IN27" s="49">
        <f>SUMPRODUCT(('Data Base hauling'!$C$2:$C$2000="TCM-ROM SB1 BK05-ROM 6")*(ISNUMBER(SEARCH(TEXT('September TCM'!$B27,"00")&amp;"/09/2026",'Data Base hauling'!$E$2:$E$2000)))*'Data Base hauling'!$N$2:$N$2000)</f>
        <v>0</v>
      </c>
      <c r="IO27" s="49"/>
      <c r="IP27" s="49"/>
      <c r="IQ27" s="49">
        <f>SUMPRODUCT(('Data Base hauling'!$C$2:$C$2000="TCM-HAC1 (Production)-ROM 2(HAC)")*(ISNUMBER(SEARCH(TEXT('September TCM'!$B27,"00")&amp;"/09/2026",'Data Base hauling'!$E$2:$E$2000)))*'Data Base hauling'!$N$2:$N$2000)</f>
        <v>0</v>
      </c>
      <c r="IR27" s="2195">
        <f t="shared" si="132"/>
        <v>0</v>
      </c>
      <c r="IS27" s="9"/>
      <c r="IT27" s="9"/>
      <c r="IU27" s="64"/>
      <c r="IV27" s="5"/>
      <c r="IW27" s="64"/>
      <c r="IX27" s="5"/>
      <c r="IY27" s="24">
        <f>SUMPRODUCT(('Data Base hauling'!$C$2:$C$2000="TCM-ROM SB2 BK24-ROM 4")*(ISNUMBER(SEARCH(TEXT('September TCM'!$B27,"00")&amp;"/09/2026",'Data Base hauling'!$E$2:$E$2000)))*'Data Base hauling'!$N$2:$N$2000)</f>
        <v>0</v>
      </c>
      <c r="IZ27" s="24"/>
      <c r="JA27" s="24">
        <f>SUMPRODUCT(('Data Base hauling'!$C$2:$C$2000="TCM-ROM SB2 BK24-ROM 5")*(ISNUMBER(SEARCH(TEXT('September TCM'!$B27,"00")&amp;"/09/2026",'Data Base hauling'!$E$2:$E$2000)))*'Data Base hauling'!$N$2:$N$2000)</f>
        <v>0</v>
      </c>
      <c r="JB27" s="24"/>
      <c r="JC27" s="24">
        <f>SUMPRODUCT(('Data Base hauling'!$C$2:$C$2000="TCM-ROM SB2 BK24-ROM 6")*(ISNUMBER(SEARCH(TEXT('September TCM'!$B27,"00")&amp;"/09/2026",'Data Base hauling'!$E$2:$E$2000)))*'Data Base hauling'!$N$2:$N$2000)</f>
        <v>0</v>
      </c>
      <c r="JD27" s="5"/>
      <c r="JE27" s="5"/>
      <c r="JF27" s="5"/>
      <c r="JG27" s="12">
        <f t="shared" si="133"/>
        <v>0</v>
      </c>
      <c r="JH27" s="2667"/>
      <c r="JJ27" s="2014">
        <f>SUMPRODUCT(('Data Base hauling'!$O$2:$O$2000="TCM.HCV.LS")*(ISNUMBER(SEARCH(TEXT('September TCM'!$B27,"00")&amp;"/09/2026",'Data Base hauling'!$E$2:$E$2000)))*'Data Base hauling'!$N$2:$N$2000)</f>
        <v>0</v>
      </c>
      <c r="JK27" s="2015">
        <f>SUMPRODUCT(('Data Base hauling'!$O$2:$O$2000="TCM.HCV.HS")*(ISNUMBER(SEARCH(TEXT('September TCM'!$B27,"00")&amp;"/09/2026",'Data Base hauling'!$E$2:$E$2000)))*'Data Base hauling'!$N$2:$N$2000)</f>
        <v>0</v>
      </c>
      <c r="JL27" s="64"/>
      <c r="JM27" s="1736">
        <f t="shared" si="51"/>
        <v>0</v>
      </c>
      <c r="JN27" s="12"/>
      <c r="JO27" s="2669"/>
      <c r="JP27" s="66" t="str">
        <f>IFERROR(SUMPRODUCT(('Data Base hauling'!$O$2:$O$2000="TCM.HCV.LS")*('Data Base hauling'!$C$2:$C$2000="TCM-ROM NB-ROM 1")*(ISNUMBER(SEARCH(TEXT('September TCM'!$B27,"00")&amp;"/09/2026",'Data Base hauling'!$E$2:$E$2000)))*'Data Base hauling'!$N$2:$N$2000)/'September TCM'!$JJ27,"")</f>
        <v/>
      </c>
      <c r="JQ27" s="67" t="str">
        <f>IFERROR(SUMPRODUCT(('Data Base hauling'!$O$2:$O$2000="TCM.HCV.LS")*('Data Base hauling'!$C$2:$C$2000="TCM-ROM NB-ROM 2")*(ISNUMBER(SEARCH(TEXT('September TCM'!$B27,"00")&amp;"/09/2026",'Data Base hauling'!$E$2:$E$2000)))*'Data Base hauling'!$N$2:$N$2000)/'September TCM'!$JJ27,"")</f>
        <v/>
      </c>
      <c r="JR27" s="67" t="str">
        <f>IFERROR(SUMPRODUCT(('Data Base hauling'!$O$2:$O$2000="TCM.HCV.LS")*('Data Base hauling'!$C$2:$C$2000="TCM-ROM NB-ROM 3")*(ISNUMBER(SEARCH(TEXT('September TCM'!$B27,"00")&amp;"/09/2026",'Data Base hauling'!$E$2:$E$2000)))*'Data Base hauling'!$N$2:$N$2000)/'September TCM'!$JJ27,"")</f>
        <v/>
      </c>
      <c r="JS27" s="67" t="str">
        <f>IFERROR(SUMPRODUCT(('Data Base hauling'!$O$2:$O$2000="TCM.HCV.LS")*('Data Base hauling'!$C$2:$C$2000="TCM-ROM SB1 BK05-ROM 4")*(ISNUMBER(SEARCH(TEXT('September TCM'!$B27,"00")&amp;"/09/2026",'Data Base hauling'!$E$2:$E$2000)))*'Data Base hauling'!$N$2:$N$2000)/'September TCM'!$JJ27,"")</f>
        <v/>
      </c>
      <c r="JT27" s="67" t="str">
        <f>IFERROR(SUMPRODUCT(('Data Base hauling'!$O$2:$O$2000="TCM.HCV.LS")*SIGN(('Data Base hauling'!$C$2:$C$2000="TCM-ROM NB-ROM 5")+('Data Base hauling'!$C$2:$C$2000="TCM-ROM SB1 BK05-ROM 5")+('Data Base hauling'!$C$2:$C$2000="TCM-ROM SB2 BK24-ROM 5"))*(ISNUMBER(SEARCH(TEXT('September TCM'!$B27,"00")&amp;"/09/2026",'Data Base hauling'!$E$2:$E$2000)))*'Data Base hauling'!$N$2:$N$2000)/'September TCM'!$JJ27,"")</f>
        <v/>
      </c>
      <c r="JU27" s="67" t="str">
        <f>IFERROR(SUMPRODUCT(('Data Base hauling'!$O$2:$O$2000="TCM.HCV.LS")*SIGN(('Data Base hauling'!$C$2:$C$2000="TCM-ROM NB-ROM 6")+('Data Base hauling'!$C$2:$C$2000="TCM-ROM SB1 BK05-ROM 6")+('Data Base hauling'!$C$2:$C$2000="TCM-ROM SB2 BK24-ROM 6"))*(ISNUMBER(SEARCH(TEXT('September TCM'!$B27,"00")&amp;"/09/2026",'Data Base hauling'!$E$2:$E$2000)))*'Data Base hauling'!$N$2:$N$2000)/'September TCM'!$JJ27,"")</f>
        <v/>
      </c>
      <c r="JV27" s="67" t="str">
        <f>IFERROR(SUMPRODUCT(('Data Base hauling'!$O$2:$O$2000="TCM.HCV.LS")*('Data Base hauling'!$C$2:$C$2000="TCM-WASH-CR3")*(ISNUMBER(SEARCH(TEXT('September TCM'!$B27,"00")&amp;"/09/2026",'Data Base hauling'!$E$2:$E$2000)))*'Data Base hauling'!$N$2:$N$2000)/'September TCM'!$JJ27,"")</f>
        <v/>
      </c>
      <c r="JW27" s="1921">
        <f>SUMPRODUCT(('Data Base hauling'!$O$2:$O$2000="TCM.HCV.LS")*('Data Base hauling'!$C$2:$C$2000="TCM-HAC-CR3")*(ISNUMBER(SEARCH(TEXT('September TCM'!$B27,"00")&amp;"/089/2026",'Data Base hauling'!$E$2:$E$2000)))*'Data Base hauling'!$N$2:$N$2000)</f>
        <v>0</v>
      </c>
      <c r="JX27" s="66" t="str">
        <f>IFERROR(SUMPRODUCT(('Data Base hauling'!$O$2:$O$2000="TCM.HCV.HS")*('Data Base hauling'!$C$2:$C$2000="TCM-ROM NB-ROM 1")*(ISNUMBER(SEARCH(TEXT('September TCM'!$B27,"00")&amp;"/09/2026",'Data Base hauling'!$E$2:$E$2000)))*'Data Base hauling'!$N$2:$N$2000)/'September TCM'!$JK27,"")</f>
        <v/>
      </c>
      <c r="JY27" s="67" t="str">
        <f>IFERROR(SUMPRODUCT(('Data Base hauling'!$O$2:$O$2000="TCM.HCV.HS")*('Data Base hauling'!$C$2:$C$2000="TCM-ROM NB-ROM 2")*(ISNUMBER(SEARCH(TEXT('September TCM'!$B27,"00")&amp;"/09/2026",'Data Base hauling'!$E$2:$E$2000)))*'Data Base hauling'!$N$2:$N$2000)/'September TCM'!$JK27,"")</f>
        <v/>
      </c>
      <c r="JZ27" s="67" t="str">
        <f>IFERROR(SUMPRODUCT(('Data Base hauling'!$O$2:$O$2000="TCM.HCV.HS")*('Data Base hauling'!$C$2:$C$2000="TCM-ROM NB-ROM 3")*(ISNUMBER(SEARCH(TEXT('September TCM'!$B27,"00")&amp;"/09/2026",'Data Base hauling'!$E$2:$E$2000)))*'Data Base hauling'!$N$2:$N$2000)/'September TCM'!$JK27,"")</f>
        <v/>
      </c>
      <c r="KA27" s="67" t="str">
        <f>IFERROR(SUMPRODUCT(('Data Base hauling'!$O$2:$O$2000="TCM.HCV.HS")*('Data Base hauling'!$C$2:$C$2000="TCM-ROM SB1 BK05-ROM 4")*(ISNUMBER(SEARCH(TEXT('September TCM'!$B27,"00")&amp;"/09/2026",'Data Base hauling'!$E$2:$E$2000)))*'Data Base hauling'!$N$2:$N$2000)/'September TCM'!$JK27,"")</f>
        <v/>
      </c>
      <c r="KB27" s="67" t="str">
        <f>IFERROR(SUMPRODUCT(('Data Base hauling'!$O$2:$O$2000="TCM.HCV.HS")*SIGN(('Data Base hauling'!$C$2:$C$2000="TCM-ROM NB-ROM 5")+('Data Base hauling'!$C$2:$C$2000="TCM-ROM SB1 BK05-ROM 5")+('Data Base hauling'!$C$2:$C$2000="TCM-ROM SB2 BK24-ROM 5"))*(ISNUMBER(SEARCH(TEXT('September TCM'!$B27,"00")&amp;"/09/2026",'Data Base hauling'!$E$2:$E$2000)))*'Data Base hauling'!$N$2:$N$2000)/'September TCM'!$JK27,"")</f>
        <v/>
      </c>
      <c r="KC27" s="67" t="str">
        <f>IFERROR(SUMPRODUCT(('Data Base hauling'!$O$2:$O$2000="TCM.HCV.HS")*SIGN(('Data Base hauling'!$C$2:$C$2000="TCM-ROM NB-ROM 6")+('Data Base hauling'!$C$2:$C$2000="TCM-ROM SB1 BK05-ROM 6")+('Data Base hauling'!$C$2:$C$2000="TCM-ROM SB2 BK24-ROM 6"))*(ISNUMBER(SEARCH(TEXT('September TCM'!$B27,"00")&amp;"/09/2026",'Data Base hauling'!$E$2:$E$2000)))*'Data Base hauling'!$N$2:$N$2000)/'September TCM'!$JK27,"")</f>
        <v/>
      </c>
      <c r="KD27" s="67" t="str">
        <f>IFERROR(SUMPRODUCT(('Data Base hauling'!$O$2:$O$2000="TCM.HCV.HS")*('Data Base hauling'!$C$2:$C$2000="TCM-WASH-CR3")*(ISNUMBER(SEARCH(TEXT('September TCM'!$B27,"00")&amp;"/09/2026",'Data Base hauling'!$E$2:$E$2000)))*'Data Base hauling'!$N$2:$N$2000)/'September TCM'!$JK27,"")</f>
        <v/>
      </c>
      <c r="KE27" s="68" t="str">
        <f>IFERROR(SUMPRODUCT(('Data Base hauling'!$O$2:$O$2000="TCM.HCV.HS")*('Data Base hauling'!$C$2:$C$2000="TCM-HAC-CR3")*(ISNUMBER(SEARCH(TEXT('September TCM'!$B27,"00")&amp;"/09/2026",'Data Base hauling'!$E$2:$E$2000)))*'Data Base hauling'!$N$2:$N$2000)/'September TCM'!$JK27,"")</f>
        <v/>
      </c>
      <c r="KF27" s="849"/>
      <c r="KG27" s="850"/>
      <c r="KH27" s="850"/>
      <c r="KI27" s="850"/>
      <c r="KJ27" s="850"/>
      <c r="KK27" s="850"/>
      <c r="KL27" s="850"/>
      <c r="KM27" s="850"/>
      <c r="KN27" s="12"/>
      <c r="KO27" s="2669"/>
      <c r="KP27" s="2203">
        <f>IFERROR(SUMPRODUCT((TCM.HCV.LS!$A$3:$A$58=DATE(2026,9,$B27))*(TCM.HCV.LS!$O$3:$O$58&gt;0)*TCM.HCV.LS!$C$3:$C$58*TCM.HCV.LS!$O$3:$O$58)/SUMPRODUCT((TCM.HCV.LS!$A$3:$A$58=DATE(2026,9,$B27))*(TCM.HCV.LS!$O$3:$O$58&gt;0)*TCM.HCV.LS!$C$3:$C$58),0)</f>
        <v>0</v>
      </c>
      <c r="KQ27" s="1721">
        <f>IFERROR(SUMPRODUCT((TCM.HCV.LS!$A$3:$A$58=DATE(2026,9,$B27))*(TCM.HCV.LS!$M$3:$M$58&gt;0)*TCM.HCV.LS!$C$3:$C$58*TCM.HCV.LS!$M$3:$M$58)/SUMPRODUCT((TCM.HCV.LS!$A$3:$A$58=DATE(2026,9,$B27))*(TCM.HCV.LS!$M$3:$M$58&gt;0)*TCM.HCV.LS!$C$3:$C$58),0)</f>
        <v>0</v>
      </c>
      <c r="KR27" s="1721">
        <f>IFERROR(SUMPRODUCT((TCM.HCV.LS!$A$3:$A$58=DATE(2026,9,$B27))*(TCM.HCV.LS!$G$3:$G$58&gt;0)*TCM.HCV.LS!$C$3:$C$58*TCM.HCV.LS!$G$3:$G$58)/SUMPRODUCT((TCM.HCV.LS!$A$3:$A$58=DATE(2026,9,$B27))*(TCM.HCV.LS!$G$3:$G$58&gt;0)*TCM.HCV.LS!$C$3:$C$58),0)</f>
        <v>0</v>
      </c>
      <c r="KS27" s="1721">
        <f>IFERROR(SUMPRODUCT((TCM.HCV.LS!$A$3:$A$58=DATE(2026,9,$B27))*(TCM.HCV.LS!$F$3:$F$58&gt;0)*TCM.HCV.LS!$C$3:$C$58*TCM.HCV.LS!$F$3:$F$58)/SUMPRODUCT((TCM.HCV.LS!$A$3:$A$58=DATE(2026,9,$B27))*(TCM.HCV.LS!$F$3:$F$58&gt;0)*TCM.HCV.LS!$C$3:$C$58),0)</f>
        <v>0</v>
      </c>
      <c r="KT27" s="1722">
        <f>IFERROR(SUMPRODUCT((TCM.HCV.LS!$A$3:$A$58=DATE(2026,9,$B27))*(TCM.HCV.LS!$E$3:$E$58&gt;0)*TCM.HCV.LS!$C$3:$C$58*TCM.HCV.LS!$E$3:$E$58)/SUMPRODUCT((TCM.HCV.LS!$A$3:$A$58=DATE(2026,9,$B27))*(TCM.HCV.LS!$E$3:$E$58&gt;0)*TCM.HCV.LS!$C$3:$C$58),0)</f>
        <v>0</v>
      </c>
      <c r="KU27" s="1958">
        <f>IFERROR(SUMPRODUCT((TCM.HCV.HS!$A$3:$A$84=DATE(2026,9,$B27))*(TCM.HCV.HS!$O$3:$O$84&gt;0)*TCM.HCV.HS!$C$3:$C$84*TCM.HCV.HS!$O$3:$O$84)/SUMPRODUCT((TCM.HCV.HS!$A$3:$A$84=DATE(2026,9,$B27))*(TCM.HCV.HS!$O$3:$O$84&gt;0)*TCM.HCV.HS!$C$3:$C$84),0)</f>
        <v>0</v>
      </c>
      <c r="KV27" s="1961">
        <f>IFERROR(SUMPRODUCT((TCM.HCV.HS!$A$3:$A$84=DATE(2026,9,$B27))*(TCM.HCV.HS!$M$3:$M$84&gt;0)*TCM.HCV.HS!$C$3:$C$84*TCM.HCV.HS!$M$3:$M$84)/SUMPRODUCT((TCM.HCV.HS!$A$3:$A$84=DATE(2026,9,$B27))*(TCM.HCV.HS!$M$3:$M$84&gt;0)*TCM.HCV.HS!$C$3:$C$84),0)</f>
        <v>0</v>
      </c>
      <c r="KW27" s="1961">
        <f>IFERROR(SUMPRODUCT((TCM.HCV.HS!$A$3:$A$84=DATE(2026,9,$B27))*(TCM.HCV.HS!$G$3:$G$84&gt;0)*TCM.HCV.HS!$C$3:$C$84*TCM.HCV.HS!$G$3:$G$84)/SUMPRODUCT((TCM.HCV.HS!$A$3:$A$84=DATE(2026,9,$B27))*(TCM.HCV.HS!$G$3:$G$84&gt;0)*TCM.HCV.HS!$C$3:$C$84),0)</f>
        <v>0</v>
      </c>
      <c r="KX27" s="1961">
        <f>IFERROR(SUMPRODUCT((TCM.HCV.HS!$A$3:$A$84=DATE(2026,9,$B27))*(TCM.HCV.HS!$F$3:$F$84&gt;0)*TCM.HCV.HS!$C$3:$C$84*TCM.HCV.HS!$F$3:$F$84)/SUMPRODUCT((TCM.HCV.HS!$A$3:$A$84=DATE(2026,9,$B27))*(TCM.HCV.HS!$F$3:$F$84&gt;0)*TCM.HCV.HS!$C$3:$C$84),0)</f>
        <v>0</v>
      </c>
      <c r="KY27" s="1962">
        <f>IFERROR(SUMPRODUCT((TCM.HCV.HS!$A$3:$A$84=DATE(2026,9,$B27))*(TCM.HCV.HS!$E$3:$E$84&gt;0)*TCM.HCV.HS!$C$3:$C$84*TCM.HCV.HS!$E$3:$E$84)/SUMPRODUCT((TCM.HCV.HS!$A$3:$A$84=DATE(2026,9,$B27))*(TCM.HCV.HS!$E$3:$E$84&gt;0)*TCM.HCV.HS!$C$3:$C$84),0)</f>
        <v>0</v>
      </c>
      <c r="KZ27" s="9"/>
      <c r="LA27" s="64"/>
      <c r="LB27" s="64"/>
      <c r="LC27" s="64"/>
      <c r="LD27" s="64"/>
      <c r="LE27" s="12"/>
      <c r="LF27" s="2669"/>
      <c r="LH27" s="4">
        <f t="shared" si="138"/>
        <v>0</v>
      </c>
      <c r="LI27" s="5">
        <f t="shared" si="138"/>
        <v>0</v>
      </c>
      <c r="LJ27" s="5">
        <f t="shared" si="138"/>
        <v>0</v>
      </c>
      <c r="LK27" s="15">
        <f t="shared" si="53"/>
        <v>0</v>
      </c>
      <c r="LL27" s="9"/>
      <c r="LM27" s="5"/>
      <c r="LN27" s="5"/>
      <c r="LO27" s="12"/>
      <c r="LP27" s="1956"/>
      <c r="LQ27" s="1128"/>
      <c r="LR27" s="2688"/>
      <c r="LS27" s="9"/>
      <c r="LT27" s="9"/>
      <c r="LU27" s="5"/>
      <c r="LV27" s="5"/>
      <c r="LW27" s="5"/>
      <c r="LX27" s="1107">
        <f t="shared" si="129"/>
        <v>0</v>
      </c>
      <c r="LY27" s="9"/>
      <c r="LZ27" s="9"/>
      <c r="MA27" s="5"/>
      <c r="MB27" s="5"/>
      <c r="MC27" s="12"/>
      <c r="MD27" s="28">
        <f t="shared" si="137"/>
        <v>0</v>
      </c>
      <c r="ME27" s="4"/>
      <c r="MF27" s="9"/>
      <c r="MG27" s="5"/>
      <c r="MH27" s="5"/>
      <c r="MI27" s="5"/>
      <c r="MJ27" s="15"/>
      <c r="MK27" s="9"/>
      <c r="ML27" s="9"/>
      <c r="MM27" s="5"/>
      <c r="MN27" s="5"/>
      <c r="MO27" s="5"/>
      <c r="MP27" s="15"/>
      <c r="MQ27" s="9"/>
      <c r="MR27" s="9"/>
      <c r="MS27" s="5"/>
      <c r="MT27" s="5"/>
      <c r="MU27" s="5"/>
      <c r="MV27" s="12">
        <f t="shared" si="56"/>
        <v>0</v>
      </c>
      <c r="MW27" s="2688"/>
      <c r="MY27" s="4">
        <f t="shared" si="57"/>
        <v>377341.84766611259</v>
      </c>
      <c r="MZ27" s="5">
        <f t="shared" si="58"/>
        <v>191281.80302645115</v>
      </c>
      <c r="NA27" s="5">
        <f t="shared" si="59"/>
        <v>27294.683787707359</v>
      </c>
      <c r="NB27" s="15">
        <f t="shared" si="60"/>
        <v>318297.33035698003</v>
      </c>
      <c r="NC27" s="2621"/>
      <c r="ND27" s="23">
        <f t="shared" si="116"/>
        <v>207724.34280113198</v>
      </c>
      <c r="NE27" s="1655">
        <f t="shared" si="117"/>
        <v>169617.50486498058</v>
      </c>
      <c r="NF27" s="60">
        <f t="shared" si="63"/>
        <v>0</v>
      </c>
      <c r="NG27" s="1042">
        <f t="shared" si="4"/>
        <v>377341.84766611259</v>
      </c>
      <c r="NH27" s="4">
        <f t="shared" si="141"/>
        <v>-313.35000000000002</v>
      </c>
      <c r="NI27" s="5">
        <f t="shared" si="141"/>
        <v>0</v>
      </c>
      <c r="NJ27" s="5">
        <f t="shared" si="141"/>
        <v>0</v>
      </c>
      <c r="NK27" s="5">
        <f t="shared" si="141"/>
        <v>0</v>
      </c>
      <c r="NL27" s="5">
        <f t="shared" si="141"/>
        <v>0</v>
      </c>
      <c r="NM27" s="12">
        <f t="shared" si="141"/>
        <v>0</v>
      </c>
      <c r="NN27" s="27">
        <f t="shared" si="141"/>
        <v>0</v>
      </c>
      <c r="NO27" s="9">
        <f t="shared" si="141"/>
        <v>0</v>
      </c>
      <c r="NP27" s="24">
        <f t="shared" si="141"/>
        <v>21665.870136227244</v>
      </c>
      <c r="NQ27" s="5">
        <f t="shared" si="141"/>
        <v>22358.939343794715</v>
      </c>
      <c r="NR27" s="24">
        <f t="shared" si="118"/>
        <v>8443.1982322711574</v>
      </c>
      <c r="NS27" s="24">
        <f t="shared" si="119"/>
        <v>9895.3380410535083</v>
      </c>
      <c r="NT27" s="5">
        <f t="shared" si="0"/>
        <v>62049.995753346629</v>
      </c>
      <c r="NU27" s="27">
        <f t="shared" si="142"/>
        <v>0</v>
      </c>
      <c r="NV27" s="5">
        <f t="shared" si="142"/>
        <v>0</v>
      </c>
      <c r="NW27" s="5">
        <f t="shared" si="142"/>
        <v>0</v>
      </c>
      <c r="NX27" s="5">
        <f t="shared" si="142"/>
        <v>0</v>
      </c>
      <c r="NY27" s="5">
        <f t="shared" si="142"/>
        <v>0</v>
      </c>
      <c r="NZ27" s="5">
        <f t="shared" si="142"/>
        <v>0</v>
      </c>
      <c r="OA27" s="27">
        <f t="shared" si="142"/>
        <v>35558.705564997217</v>
      </c>
      <c r="OB27" s="5">
        <f t="shared" si="142"/>
        <v>0</v>
      </c>
      <c r="OC27" s="27">
        <f t="shared" si="66"/>
        <v>12611.886475620366</v>
      </c>
      <c r="OD27" s="5"/>
      <c r="OE27" s="27">
        <f t="shared" si="120"/>
        <v>13429.316718063665</v>
      </c>
      <c r="OF27" s="5">
        <f t="shared" si="67"/>
        <v>0</v>
      </c>
      <c r="OG27" s="5">
        <f t="shared" si="1"/>
        <v>61599.908758681253</v>
      </c>
      <c r="OH27" s="5">
        <f t="shared" si="143"/>
        <v>0</v>
      </c>
      <c r="OI27" s="5">
        <f t="shared" si="143"/>
        <v>0</v>
      </c>
      <c r="OJ27" s="5">
        <f t="shared" si="143"/>
        <v>0</v>
      </c>
      <c r="OK27" s="5">
        <f t="shared" si="143"/>
        <v>0</v>
      </c>
      <c r="OL27" s="27">
        <f t="shared" si="143"/>
        <v>0</v>
      </c>
      <c r="OM27" s="5">
        <f t="shared" si="143"/>
        <v>0</v>
      </c>
      <c r="ON27" s="24">
        <f t="shared" si="143"/>
        <v>0</v>
      </c>
      <c r="OO27" s="5">
        <f t="shared" si="143"/>
        <v>0</v>
      </c>
      <c r="OP27" s="24">
        <f t="shared" si="69"/>
        <v>54054.217649249818</v>
      </c>
      <c r="OQ27" s="5">
        <f t="shared" si="144"/>
        <v>0</v>
      </c>
      <c r="OR27" s="24">
        <f t="shared" si="144"/>
        <v>13577.680865173457</v>
      </c>
      <c r="OS27" s="5">
        <f t="shared" si="144"/>
        <v>0</v>
      </c>
      <c r="OT27" s="15">
        <f t="shared" si="2"/>
        <v>67631.898514423272</v>
      </c>
      <c r="OU27" s="9"/>
      <c r="OV27" s="5"/>
      <c r="OW27" s="5"/>
      <c r="OX27" s="5"/>
      <c r="OY27" s="5"/>
      <c r="OZ27" s="5"/>
      <c r="PA27" s="15">
        <f t="shared" si="71"/>
        <v>0</v>
      </c>
      <c r="PB27" s="9">
        <f t="shared" si="72"/>
        <v>0</v>
      </c>
      <c r="PC27" s="5">
        <f t="shared" si="73"/>
        <v>0</v>
      </c>
      <c r="PD27" s="5">
        <f t="shared" si="74"/>
        <v>0</v>
      </c>
      <c r="PE27" s="5">
        <f t="shared" si="75"/>
        <v>0</v>
      </c>
      <c r="PF27" s="24"/>
      <c r="PG27" s="5">
        <f t="shared" si="76"/>
        <v>0</v>
      </c>
      <c r="PH27" s="12">
        <f t="shared" si="3"/>
        <v>0</v>
      </c>
      <c r="PI27" s="2621"/>
      <c r="PK27" s="1907">
        <f>SUMPRODUCT(('Data Base Coal Wining'!$D$2:$D$2000="WASHING PLANT")*ISNUMBER(SEARCH(TEXT('September TCM'!$B27,"00")&amp;"/09/2026",'Data Base Coal Wining'!$E$2:$E$2000))*'Data Base Coal Wining'!$N$2:$N$2000)</f>
        <v>0</v>
      </c>
      <c r="PL27" s="3"/>
      <c r="PM27" s="3"/>
      <c r="PN27" s="3">
        <f t="shared" si="77"/>
        <v>0</v>
      </c>
      <c r="PO27" s="3">
        <f t="shared" si="78"/>
        <v>38895.633435124721</v>
      </c>
      <c r="PP27" s="11">
        <f t="shared" si="139"/>
        <v>27294.683787707359</v>
      </c>
      <c r="PQ27" s="15"/>
      <c r="PR27" s="2615"/>
      <c r="PT27" s="4"/>
      <c r="PU27" s="9"/>
      <c r="PV27" s="9"/>
      <c r="PW27" s="9"/>
      <c r="PX27" s="8">
        <f>SUMPRODUCT(('Data Base Coal Wining'!$D$2:$D$2000="TCM-ROM SB1 BK05-ROM 2 (HAC)")*('Data Base Coal Wining'!$G$2:$G$2000="Coal Winning")*ISNUMBER(SEARCH(TEXT('September TCM'!$B27,"00")&amp;"/09/2026",'Data Base Coal Wining'!$E$2:$E$2000))*'Data Base Coal Wining'!$N$2:$N$2000)</f>
        <v>0</v>
      </c>
      <c r="PY27" s="9"/>
      <c r="PZ27" s="8">
        <f t="shared" si="80"/>
        <v>0</v>
      </c>
      <c r="QA27" s="5">
        <f t="shared" si="81"/>
        <v>0</v>
      </c>
      <c r="QB27" s="5"/>
      <c r="QC27" s="5"/>
      <c r="QD27" s="5"/>
      <c r="QE27" s="5"/>
      <c r="QF27" s="5"/>
      <c r="QG27" s="12"/>
      <c r="QH27" s="12">
        <f t="shared" si="82"/>
        <v>29562.488999999998</v>
      </c>
      <c r="QI27" s="420">
        <f t="shared" si="83"/>
        <v>283762.59090898006</v>
      </c>
      <c r="QJ27" s="1106">
        <f t="shared" si="121"/>
        <v>4972.2504480000007</v>
      </c>
      <c r="QK27" s="484">
        <f t="shared" si="84"/>
        <v>5505.3678056099998</v>
      </c>
      <c r="QL27" s="12"/>
      <c r="QM27" s="2615"/>
      <c r="QO27" s="139" t="str">
        <f t="shared" si="85"/>
        <v/>
      </c>
      <c r="QP27" s="139" t="str">
        <f t="shared" si="86"/>
        <v/>
      </c>
      <c r="QR27" s="139" t="str">
        <f t="shared" si="87"/>
        <v/>
      </c>
      <c r="QS27" s="139" t="str">
        <f t="shared" si="88"/>
        <v/>
      </c>
      <c r="QU27" s="1">
        <f t="shared" si="89"/>
        <v>0</v>
      </c>
      <c r="QV27" s="1">
        <f t="shared" si="90"/>
        <v>0</v>
      </c>
      <c r="QW27" s="1">
        <f t="shared" si="91"/>
        <v>0</v>
      </c>
      <c r="QX27" s="1">
        <f t="shared" si="92"/>
        <v>0</v>
      </c>
      <c r="QY27" s="1">
        <f t="shared" si="93"/>
        <v>0</v>
      </c>
      <c r="QZ27" s="1">
        <f t="shared" si="94"/>
        <v>0</v>
      </c>
      <c r="RB27" s="1">
        <f t="shared" si="95"/>
        <v>0</v>
      </c>
      <c r="RC27" s="1">
        <f t="shared" si="96"/>
        <v>0</v>
      </c>
      <c r="RD27" s="1">
        <f t="shared" si="97"/>
        <v>0</v>
      </c>
      <c r="RE27" s="1">
        <f t="shared" si="98"/>
        <v>0</v>
      </c>
      <c r="RF27" s="1">
        <f t="shared" si="99"/>
        <v>0</v>
      </c>
      <c r="RG27" s="1">
        <f t="shared" si="100"/>
        <v>0</v>
      </c>
      <c r="RJ27" s="1">
        <v>18</v>
      </c>
      <c r="RK27" s="1">
        <f t="shared" si="135"/>
        <v>5984.4452097170979</v>
      </c>
      <c r="RL27" s="1">
        <f t="shared" si="135"/>
        <v>5074.1017804837184</v>
      </c>
      <c r="RM27" s="1">
        <f t="shared" si="135"/>
        <v>13404.263703387322</v>
      </c>
      <c r="RN27" s="89">
        <f t="shared" si="5"/>
        <v>24462.810693588137</v>
      </c>
      <c r="RO27" s="1033">
        <v>18</v>
      </c>
      <c r="RP27" s="1098">
        <v>0</v>
      </c>
      <c r="RQ27" s="1098">
        <f t="shared" si="102"/>
        <v>0</v>
      </c>
      <c r="RR27" s="1097">
        <f t="shared" si="102"/>
        <v>0</v>
      </c>
      <c r="RS27" s="1097">
        <f t="shared" si="103"/>
        <v>0</v>
      </c>
      <c r="RT27" s="1050"/>
      <c r="RU27" s="1109"/>
      <c r="RV27" s="1048"/>
      <c r="RX27" s="421">
        <v>18</v>
      </c>
      <c r="RY27" s="1095">
        <f t="shared" si="104"/>
        <v>0</v>
      </c>
      <c r="RZ27" s="1928"/>
      <c r="SA27" s="1048"/>
      <c r="SB27" s="1090"/>
      <c r="SC27" s="1090">
        <f t="shared" si="105"/>
        <v>0</v>
      </c>
      <c r="SD27" s="1090"/>
      <c r="SE27" s="1090">
        <f t="shared" si="136"/>
        <v>0</v>
      </c>
      <c r="SG27" s="1">
        <v>18</v>
      </c>
      <c r="SH27" s="1">
        <f t="shared" si="107"/>
        <v>0</v>
      </c>
      <c r="SI27" s="2420"/>
    </row>
    <row r="28" spans="1:503" s="1" customFormat="1">
      <c r="B28" s="471">
        <v>19</v>
      </c>
      <c r="C28" s="4">
        <f t="shared" si="108"/>
        <v>0</v>
      </c>
      <c r="D28" s="1590">
        <f t="shared" si="128"/>
        <v>0</v>
      </c>
      <c r="E28" s="1895">
        <f t="shared" si="6"/>
        <v>0</v>
      </c>
      <c r="F28" s="870"/>
      <c r="G28" s="870"/>
      <c r="H28" s="52"/>
      <c r="I28" s="61"/>
      <c r="J28" s="52"/>
      <c r="K28" s="54"/>
      <c r="L28" s="52"/>
      <c r="M28" s="61"/>
      <c r="N28" s="2629"/>
      <c r="O28" s="4">
        <f t="shared" si="125"/>
        <v>0</v>
      </c>
      <c r="P28" s="1225">
        <f t="shared" si="7"/>
        <v>0</v>
      </c>
      <c r="Q28" s="1913">
        <f t="shared" si="8"/>
        <v>0</v>
      </c>
      <c r="R28" s="33"/>
      <c r="S28" s="26">
        <f t="shared" si="9"/>
        <v>0</v>
      </c>
      <c r="T28" s="27">
        <f t="shared" si="110"/>
        <v>0</v>
      </c>
      <c r="U28" s="1909">
        <f t="shared" si="10"/>
        <v>0</v>
      </c>
      <c r="V28" s="28"/>
      <c r="W28" s="26">
        <f t="shared" si="11"/>
        <v>0</v>
      </c>
      <c r="X28" s="5">
        <f t="shared" si="11"/>
        <v>0</v>
      </c>
      <c r="Y28" s="1909">
        <f t="shared" si="12"/>
        <v>0</v>
      </c>
      <c r="Z28" s="33"/>
      <c r="AA28" s="26">
        <f t="shared" si="13"/>
        <v>0</v>
      </c>
      <c r="AB28" s="27">
        <f t="shared" si="126"/>
        <v>0</v>
      </c>
      <c r="AC28" s="1909">
        <f t="shared" si="15"/>
        <v>0</v>
      </c>
      <c r="AD28" s="28"/>
      <c r="AE28" s="36"/>
      <c r="AF28" s="36"/>
      <c r="AG28" s="53">
        <f t="shared" si="16"/>
        <v>0</v>
      </c>
      <c r="AH28" s="28"/>
      <c r="AI28" s="23"/>
      <c r="AJ28" s="27"/>
      <c r="AK28" s="53">
        <f t="shared" si="17"/>
        <v>0</v>
      </c>
      <c r="AL28" s="28"/>
      <c r="AM28" s="2629"/>
      <c r="AN28" s="9"/>
      <c r="AO28" s="5"/>
      <c r="AP28" s="61">
        <f t="shared" si="18"/>
        <v>0</v>
      </c>
      <c r="AQ28" s="36"/>
      <c r="AR28" s="53"/>
      <c r="AS28" s="61">
        <f t="shared" si="19"/>
        <v>0</v>
      </c>
      <c r="AT28" s="36">
        <v>0</v>
      </c>
      <c r="AU28" s="27"/>
      <c r="AV28" s="54">
        <f t="shared" si="20"/>
        <v>0</v>
      </c>
      <c r="AW28" s="26"/>
      <c r="AX28" s="280">
        <f>SUMPRODUCT(ISNUMBER(SEARCH("BK20",'Data Base Coal Wining'!$C$2:$C$2000))*ISNUMBER(SEARCH("P3000",'Data Base Coal Wining'!$C$2:$C$2000))*('Data Base Coal Wining'!$H$2:$H$2000="PAMA")*('Data Base Coal Wining'!$G$2:$G$2000="Coal Winning")*ISNUMBER(SEARCH(TEXT('September TCM'!$B28,"00")&amp;"/09/2026",'Data Base Coal Wining'!$E$2:$E$2000))*'Data Base Coal Wining'!$N$2:$N$2000)</f>
        <v>0</v>
      </c>
      <c r="AY28" s="1895">
        <f t="shared" si="134"/>
        <v>0</v>
      </c>
      <c r="AZ28" s="1908"/>
      <c r="BA28" s="1909"/>
      <c r="BB28" s="1895">
        <f t="shared" si="21"/>
        <v>0</v>
      </c>
      <c r="BC28" s="1740"/>
      <c r="BD28" s="2154">
        <f>SUMPRODUCT(ISNUMBER(SEARCH("BK30",'Data Base Coal Wining'!$C$2:$C$2000))*ISNUMBER(SEARCH("P3000",'Data Base Coal Wining'!$C$2:$C$2000))*('Data Base Coal Wining'!$H$2:$H$2000="PAMA")*('Data Base Coal Wining'!$G$2:$G$2000="Coal Winning")*ISNUMBER(SEARCH(TEXT('September TCM'!$B28,"00")&amp;"/09/2026",'Data Base Coal Wining'!$E$2:$E$2000))*'Data Base Coal Wining'!$N$2:$N$2000)</f>
        <v>0</v>
      </c>
      <c r="BE28" s="1895">
        <f t="shared" si="22"/>
        <v>0</v>
      </c>
      <c r="BF28" s="1908"/>
      <c r="BG28" s="1909"/>
      <c r="BH28" s="1895">
        <f t="shared" si="23"/>
        <v>0</v>
      </c>
      <c r="BI28" s="1908">
        <v>0</v>
      </c>
      <c r="BJ28" s="1909">
        <v>0</v>
      </c>
      <c r="BK28" s="1895">
        <f t="shared" si="24"/>
        <v>0</v>
      </c>
      <c r="BL28" s="1742"/>
      <c r="BM28" s="2154">
        <f>SUMPRODUCT(ISNUMBER(SEARCH("BK26",'Data Base Coal Wining'!$C$2:$C$2000))*ISNUMBER(SEARCH("P4400",'Data Base Coal Wining'!$C$2:$C$2000))*('Data Base Coal Wining'!$H$2:$H$2000="MAP")*('Data Base Coal Wining'!$G$2:$G$2000="Coal Winning")*ISNUMBER(SEARCH(TEXT('September TCM'!$B28,"00")&amp;"/09/2026",'Data Base Coal Wining'!$E$2:$E$2000))*'Data Base Coal Wining'!$N$2:$N$2000)</f>
        <v>0</v>
      </c>
      <c r="BN28" s="2170"/>
      <c r="BO28" s="1911">
        <f t="shared" si="25"/>
        <v>0</v>
      </c>
      <c r="BP28" s="9"/>
      <c r="BQ28" s="2514">
        <f>SUMPRODUCT(ISNUMBER(SEARCH("BK34",'Data Base Coal Wining'!$C$2:$C$2000))*ISNUMBER(SEARCH("P4000",'Data Base Coal Wining'!$C$2:$C$2000))*('Data Base Coal Wining'!$H$2:$H$2000="PJPN")*('Data Base Coal Wining'!$G$2:$G$2000="Coal Winning")*ISNUMBER(SEARCH(TEXT('September TCM'!$B28,"00")&amp;"/09/2026",'Data Base Coal Wining'!$E$2:$E$2000))*'Data Base Coal Wining'!$N$2:$N$2000)</f>
        <v>0</v>
      </c>
      <c r="BR28" s="1920">
        <f t="shared" si="26"/>
        <v>0</v>
      </c>
      <c r="BS28" s="9"/>
      <c r="BT28" s="64"/>
      <c r="BU28" s="482">
        <f t="shared" si="27"/>
        <v>0</v>
      </c>
      <c r="BV28" s="9"/>
      <c r="BW28" s="27"/>
      <c r="BX28" s="1051">
        <f t="shared" si="140"/>
        <v>0</v>
      </c>
      <c r="BY28" s="26"/>
      <c r="BZ28" s="5"/>
      <c r="CA28" s="482">
        <f t="shared" si="29"/>
        <v>0</v>
      </c>
      <c r="CB28" s="9"/>
      <c r="CC28" s="5"/>
      <c r="CD28" s="482">
        <f t="shared" si="30"/>
        <v>0</v>
      </c>
      <c r="CE28" s="4"/>
      <c r="CF28" s="5"/>
      <c r="CG28" s="28">
        <f t="shared" si="31"/>
        <v>0</v>
      </c>
      <c r="CH28" s="150"/>
      <c r="CI28" s="1108"/>
      <c r="CJ28" s="5"/>
      <c r="CK28" s="5"/>
      <c r="CL28" s="5"/>
      <c r="CM28" s="5"/>
      <c r="CN28" s="3">
        <f t="shared" si="111"/>
        <v>0</v>
      </c>
      <c r="CO28" s="33"/>
      <c r="CP28" s="366"/>
      <c r="CR28" s="4">
        <f t="shared" si="32"/>
        <v>0</v>
      </c>
      <c r="CS28" s="9">
        <f t="shared" si="32"/>
        <v>0</v>
      </c>
      <c r="CT28" s="5">
        <f t="shared" si="32"/>
        <v>0</v>
      </c>
      <c r="CU28" s="5">
        <f t="shared" si="32"/>
        <v>0</v>
      </c>
      <c r="CV28" s="5">
        <f t="shared" si="32"/>
        <v>0</v>
      </c>
      <c r="CW28" s="5">
        <f t="shared" si="32"/>
        <v>0</v>
      </c>
      <c r="CX28" s="5">
        <f t="shared" si="32"/>
        <v>0</v>
      </c>
      <c r="CY28" s="5">
        <f t="shared" si="32"/>
        <v>0</v>
      </c>
      <c r="CZ28" s="5">
        <f t="shared" si="32"/>
        <v>0</v>
      </c>
      <c r="DA28" s="5">
        <f t="shared" si="32"/>
        <v>0</v>
      </c>
      <c r="DB28" s="5">
        <f t="shared" si="32"/>
        <v>0</v>
      </c>
      <c r="DC28" s="12">
        <f t="shared" si="33"/>
        <v>0</v>
      </c>
      <c r="DD28" s="310">
        <f t="shared" si="34"/>
        <v>0</v>
      </c>
      <c r="DE28" s="2695"/>
      <c r="DF28" s="8"/>
      <c r="DG28" s="9"/>
      <c r="DH28" s="5"/>
      <c r="DI28" s="5"/>
      <c r="DJ28" s="5"/>
      <c r="DK28" s="5"/>
      <c r="DL28" s="3">
        <f>SUMPRODUCT(('Data Base Coal Wining'!$D$2:$D$2000="TCM-ROM SB1 BK05-ROM 4")*('Data Base Coal Wining'!$G$2:$G$2000="Coal Winning")*ISNUMBER(SEARCH(TEXT('September TCM'!$B28,"00")&amp;"/09/2026",'Data Base Coal Wining'!$E$2:$E$2000))*'Data Base Coal Wining'!$N$2:$N$2000)</f>
        <v>0</v>
      </c>
      <c r="DM28" s="5"/>
      <c r="DN28" s="3">
        <f>SUMPRODUCT(('Data Base Coal Wining'!$D$2:$D$2000="TCM-ROM SB1 BK05-ROM 5")*('Data Base Coal Wining'!$G$2:$G$2000="Coal Winning")*ISNUMBER(SEARCH(TEXT('September TCM'!$B28,"00")&amp;"/09/2026",'Data Base Coal Wining'!$E$2:$E$2000))*'Data Base Coal Wining'!$N$2:$N$2000)</f>
        <v>0</v>
      </c>
      <c r="DO28" s="5"/>
      <c r="DP28" s="3">
        <f>SUMPRODUCT(('Data Base Coal Wining'!$D$2:$D$2000="TCM-ROM SB1 BK05-ROM 6")*('Data Base Coal Wining'!$G$2:$G$2000="Coal Winning")*ISNUMBER(SEARCH(TEXT('September TCM'!$B28,"00")&amp;"/09/2026",'Data Base Coal Wining'!$E$2:$E$2000))*'Data Base Coal Wining'!$N$2:$N$2000)</f>
        <v>0</v>
      </c>
      <c r="DQ28" s="11">
        <f>SUMPRODUCT(('Data Base Coal Wining'!$D$2:$D$2000="TCM-ROM SB1 BK05-ROM 6.1")*('Data Base Coal Wining'!$G$2:$G$2000="Coal Winning")*ISNUMBER(SEARCH(TEXT('September TCM'!$B28,"00")&amp;"/09/2026",'Data Base Coal Wining'!$E$2:$E$2000))*'Data Base Coal Wining'!$N$2:$N$2000)</f>
        <v>0</v>
      </c>
      <c r="DR28" s="324"/>
      <c r="DS28" s="28">
        <f t="shared" si="35"/>
        <v>0</v>
      </c>
      <c r="DT28" s="36"/>
      <c r="DU28" s="9"/>
      <c r="DV28" s="5"/>
      <c r="DW28" s="5"/>
      <c r="DX28" s="5"/>
      <c r="DY28" s="5"/>
      <c r="DZ28" s="27"/>
      <c r="EA28" s="27"/>
      <c r="EB28" s="3">
        <f>SUMPRODUCT(('Data Base Coal Wining'!$D$2:$D$2000="TCM-ROM SB2 BK24-ROM 5")*('Data Base Coal Wining'!$G$2:$G$2000="Coal Winning")*ISNUMBER(SEARCH(TEXT('September TCM'!$B28,"00")&amp;"/09/2026",'Data Base Coal Wining'!$E$2:$E$2000))*'Data Base Coal Wining'!$N$2:$N$2000)</f>
        <v>0</v>
      </c>
      <c r="EC28" s="27"/>
      <c r="ED28" s="24">
        <f>SUMPRODUCT(('Data Base Coal Wining'!$D$2:$D$2000="TCM-ROM SB2 BK24-ROM 6")*('Data Base Coal Wining'!$G$2:$G$2000="Coal Winning")*ISNUMBER(SEARCH(TEXT('September TCM'!$B28,"00")&amp;"/09/2026",'Data Base Coal Wining'!$E$2:$E$2000))*'Data Base Coal Wining'!$N$2:$N$2000)</f>
        <v>0</v>
      </c>
      <c r="EE28" s="33"/>
      <c r="EF28" s="28">
        <f t="shared" si="36"/>
        <v>0</v>
      </c>
      <c r="EG28" s="856"/>
      <c r="EH28" s="36"/>
      <c r="EI28" s="27"/>
      <c r="EJ28" s="27"/>
      <c r="EK28" s="27"/>
      <c r="EL28" s="27"/>
      <c r="EM28" s="27"/>
      <c r="EN28" s="27"/>
      <c r="EO28" s="5"/>
      <c r="EP28" s="5"/>
      <c r="EQ28" s="5"/>
      <c r="ER28" s="33"/>
      <c r="ES28" s="28">
        <f t="shared" si="127"/>
        <v>0</v>
      </c>
      <c r="ET28" s="36"/>
      <c r="EU28" s="27"/>
      <c r="EV28" s="27"/>
      <c r="EW28" s="27"/>
      <c r="EX28" s="27"/>
      <c r="EY28" s="27"/>
      <c r="EZ28" s="33">
        <f t="shared" si="38"/>
        <v>0</v>
      </c>
      <c r="FA28" s="2685"/>
      <c r="FC28" s="4">
        <f t="shared" si="39"/>
        <v>0</v>
      </c>
      <c r="FD28" s="5">
        <f t="shared" si="40"/>
        <v>0</v>
      </c>
      <c r="FE28" s="5">
        <f t="shared" si="41"/>
        <v>0</v>
      </c>
      <c r="FF28" s="12">
        <f t="shared" si="42"/>
        <v>0</v>
      </c>
      <c r="FG28" s="33"/>
      <c r="FH28" s="2674"/>
      <c r="FI28" s="9"/>
      <c r="FJ28" s="5"/>
      <c r="FK28" s="5"/>
      <c r="FL28" s="5"/>
      <c r="FM28" s="5"/>
      <c r="FN28" s="27"/>
      <c r="FO28" s="28">
        <f t="shared" si="43"/>
        <v>0</v>
      </c>
      <c r="FP28" s="36"/>
      <c r="FQ28" s="27"/>
      <c r="FR28" s="27"/>
      <c r="FS28" s="27"/>
      <c r="FT28" s="27"/>
      <c r="FU28" s="27"/>
      <c r="FV28" s="28">
        <f t="shared" si="44"/>
        <v>0</v>
      </c>
      <c r="FW28" s="36"/>
      <c r="FX28" s="36"/>
      <c r="FY28" s="27"/>
      <c r="FZ28" s="27"/>
      <c r="GA28" s="27"/>
      <c r="GB28" s="27"/>
      <c r="GC28" s="27"/>
      <c r="GD28" s="27"/>
      <c r="GE28" s="24" cm="1">
        <f t="array" ref="GE28">SUMPRODUCT(('Data Base Coal Wining'!$C$2:$C$2000="TCM-ROM TEMPORARY SB2 KM 76-ROM HAC (S4700 Hard Ban)")*(ISNUMBER(SEARCH(TEXT('September TCM'!$B28,"00")&amp;"/08/2026",'Data Base Coal Wining'!$E$2:$E$2000)))*'Data Base Coal Wining'!$N$2:$N$2000)</f>
        <v>0</v>
      </c>
      <c r="GF28" s="27"/>
      <c r="GG28" s="27"/>
      <c r="GH28" s="33"/>
      <c r="GI28" s="33">
        <f t="shared" si="45"/>
        <v>0</v>
      </c>
      <c r="GJ28" s="2674"/>
      <c r="GL28" s="2">
        <f t="shared" si="112"/>
        <v>0</v>
      </c>
      <c r="GM28" s="63">
        <f t="shared" si="113"/>
        <v>0</v>
      </c>
      <c r="GN28" s="24">
        <f t="shared" si="114"/>
        <v>0</v>
      </c>
      <c r="GO28" s="1736">
        <f t="shared" si="46"/>
        <v>0</v>
      </c>
      <c r="GP28" s="141"/>
      <c r="GQ28" s="141"/>
      <c r="GR28" s="33"/>
      <c r="GS28" s="2667"/>
      <c r="GT28" s="1723">
        <f>SUMPRODUCT(('Data Base hauling'!$H$2:$H$2000="Trust")*(ISNUMBER(SEARCH(TEXT('September TCM'!$B28,"00")&amp;"/09/2026",'Data Base hauling'!$E$2:$E$2000)))*'Data Base hauling'!$N$2:$N$2000)</f>
        <v>0</v>
      </c>
      <c r="GU28" s="1723">
        <f>SUMPRODUCT(('Data Base hauling'!$H$2:$H$2000="RT")*(ISNUMBER(SEARCH(TEXT('September TCM'!$B28,"00")&amp;"/09/2026",'Data Base hauling'!$E$2:$E$2000)))*'Data Base hauling'!$N$2:$N$2000)</f>
        <v>0</v>
      </c>
      <c r="GV28" s="5">
        <f>SUMPRODUCT(('Data Base hauling'!$H$2:$H$2000="MPE")*(ISNUMBER(SEARCH(TEXT('September TCM'!$B28,"00")&amp;"/09/2026",'Data Base hauling'!$E$2:$E$2000)))*'Data Base hauling'!$N$2:$N$2000)</f>
        <v>0</v>
      </c>
      <c r="GW28" s="1723">
        <f>SUMPRODUCT(('Data Base hauling'!$H$2:$H$2000="RP")*(ISNUMBER(SEARCH(TEXT('September TCM'!$B28,"00")&amp;"/09/2026",'Data Base hauling'!$E$2:$E$2000)))*'Data Base hauling'!$N$2:$N$2000)</f>
        <v>0</v>
      </c>
      <c r="GX28" s="28">
        <f t="shared" si="115"/>
        <v>0</v>
      </c>
      <c r="GY28" s="2667"/>
      <c r="GZ28" s="35">
        <f>SUMPRODUCT(('Data Base hauling'!$C$2:$C$2000="TCM-ROM NB-ROM 1")*(ISNUMBER(SEARCH(TEXT('September TCM'!$B28,"00")&amp;"/09/2026",'Data Base hauling'!$E$2:$E$2000)))*'Data Base hauling'!$N$2:$N$2000)</f>
        <v>0</v>
      </c>
      <c r="HA28" s="36"/>
      <c r="HB28" s="27"/>
      <c r="HC28" s="27"/>
      <c r="HD28" s="27"/>
      <c r="HE28" s="27"/>
      <c r="HF28" s="24">
        <f>SUMPRODUCT(('Data Base hauling'!$C$2:$C$2000="TCM-ROM NB-ROM 4")*(ISNUMBER(SEARCH(TEXT('September TCM'!$B28,"00")&amp;"/09/2026",'Data Base hauling'!$E$2:$E$2000)))*'Data Base hauling'!$N$2:$N$2000)</f>
        <v>0</v>
      </c>
      <c r="HG28" s="24"/>
      <c r="HH28" s="24">
        <f>SUMPRODUCT(('Data Base hauling'!$C$2:$C$2000="TCM-ROM NB-ROM 5")*(ISNUMBER(SEARCH(TEXT('September TCM'!$B28,"00")&amp;"/09/2026",'Data Base hauling'!$E$2:$E$2000)))*'Data Base hauling'!$N$2:$N$2000)</f>
        <v>0</v>
      </c>
      <c r="HI28" s="24"/>
      <c r="HJ28" s="24">
        <f>SUMPRODUCT(('Data Base hauling'!$C$2:$C$2000="TCM-ROM NB-ROM 6")*(ISNUMBER(SEARCH(TEXT('September TCM'!$B28,"00")&amp;"/09/2026",'Data Base hauling'!$E$2:$E$2000)))*'Data Base hauling'!$N$2:$N$2000)</f>
        <v>0</v>
      </c>
      <c r="HK28" s="24"/>
      <c r="HL28" s="24">
        <f>SUMPRODUCT(('Data Base hauling'!$C$2:$C$2000="TCM-WASH-CR3")*(ISNUMBER(SEARCH(TEXT('September TCM'!$B28,"00")&amp;"/09/2026",'Data Base hauling'!$E$2:$E$2000)))*'Data Base hauling'!$N$2:$N$2000)</f>
        <v>0</v>
      </c>
      <c r="HM28" s="27"/>
      <c r="HN28" s="28">
        <f t="shared" si="131"/>
        <v>0</v>
      </c>
      <c r="HO28" s="36"/>
      <c r="HP28" s="27"/>
      <c r="HQ28" s="27"/>
      <c r="HR28" s="27"/>
      <c r="HS28" s="27"/>
      <c r="HT28" s="27"/>
      <c r="HU28" s="27">
        <f t="array" ref="HU28">SUMPRODUCT(('Data Base hauling'!$C$2:$C$2000="TCM-ROM SB1 BK05-ROM 4")*(ISNUMBER(SEARCH(TEXT('September TCM'!$B28,"00")&amp;"/03/2026",'Data Base hauling'!$E$2:$E$2000)))*'Data Base hauling'!$N$2:$N$2000)</f>
        <v>0</v>
      </c>
      <c r="HV28" s="27"/>
      <c r="HW28" s="27">
        <f t="array" ref="HW28">SUMPRODUCT(('Data Base hauling'!$C$2:$C$2000="TCM-ROM SB1 BK05-ROM 5")*(ISNUMBER(SEARCH(TEXT('September TCM'!$B28,"00")&amp;"/03/2026",'Data Base hauling'!$E$2:$E$2000)))*'Data Base hauling'!$N$2:$N$2000)</f>
        <v>0</v>
      </c>
      <c r="HX28" s="27"/>
      <c r="HY28" s="27"/>
      <c r="HZ28" s="27"/>
      <c r="IA28" s="27"/>
      <c r="IB28" s="27"/>
      <c r="IC28" s="33">
        <f t="shared" si="48"/>
        <v>0</v>
      </c>
      <c r="ID28" s="52"/>
      <c r="IE28" s="152"/>
      <c r="IF28" s="53"/>
      <c r="IG28" s="53"/>
      <c r="IH28" s="53"/>
      <c r="II28" s="53"/>
      <c r="IJ28" s="1926">
        <f>SUMPRODUCT(('Data Base hauling'!$C$2:$C$2000="TCM-ROM SB1 BK05-ROM 4")*(ISNUMBER(SEARCH(TEXT('September TCM'!$B28,"00")&amp;"/09/2026",'Data Base hauling'!$E$2:$E$2000)))*'Data Base hauling'!$N$2:$N$2000)</f>
        <v>0</v>
      </c>
      <c r="IK28" s="1926"/>
      <c r="IL28" s="1926">
        <f>SUMPRODUCT(('Data Base hauling'!$C$2:$C$2000="TCM-ROM SB1 BK05-ROM 5")*(ISNUMBER(SEARCH(TEXT('September TCM'!$B28,"00")&amp;"/09/2026",'Data Base hauling'!$E$2:$E$2000)))*'Data Base hauling'!$N$2:$N$2000)</f>
        <v>0</v>
      </c>
      <c r="IM28" s="49"/>
      <c r="IN28" s="49">
        <f>SUMPRODUCT(('Data Base hauling'!$C$2:$C$2000="TCM-ROM SB1 BK05-ROM 6")*(ISNUMBER(SEARCH(TEXT('September TCM'!$B28,"00")&amp;"/09/2026",'Data Base hauling'!$E$2:$E$2000)))*'Data Base hauling'!$N$2:$N$2000)</f>
        <v>0</v>
      </c>
      <c r="IO28" s="49"/>
      <c r="IP28" s="49"/>
      <c r="IQ28" s="49">
        <f>SUMPRODUCT(('Data Base hauling'!$C$2:$C$2000="TCM-HAC1 (Production)-ROM 2(HAC)")*(ISNUMBER(SEARCH(TEXT('September TCM'!$B28,"00")&amp;"/09/2026",'Data Base hauling'!$E$2:$E$2000)))*'Data Base hauling'!$N$2:$N$2000)</f>
        <v>0</v>
      </c>
      <c r="IR28" s="2195">
        <f t="shared" si="132"/>
        <v>0</v>
      </c>
      <c r="IS28" s="36"/>
      <c r="IT28" s="36"/>
      <c r="IU28" s="27"/>
      <c r="IV28" s="27"/>
      <c r="IW28" s="53"/>
      <c r="IX28" s="27"/>
      <c r="IY28" s="24">
        <f>SUMPRODUCT(('Data Base hauling'!$C$2:$C$2000="TCM-ROM SB2 BK24-ROM 4")*(ISNUMBER(SEARCH(TEXT('September TCM'!$B28,"00")&amp;"/09/2026",'Data Base hauling'!$E$2:$E$2000)))*'Data Base hauling'!$N$2:$N$2000)</f>
        <v>0</v>
      </c>
      <c r="IZ28" s="24"/>
      <c r="JA28" s="24">
        <f>SUMPRODUCT(('Data Base hauling'!$C$2:$C$2000="TCM-ROM SB2 BK24-ROM 5")*(ISNUMBER(SEARCH(TEXT('September TCM'!$B28,"00")&amp;"/09/2026",'Data Base hauling'!$E$2:$E$2000)))*'Data Base hauling'!$N$2:$N$2000)</f>
        <v>0</v>
      </c>
      <c r="JB28" s="24"/>
      <c r="JC28" s="24">
        <f>SUMPRODUCT(('Data Base hauling'!$C$2:$C$2000="TCM-ROM SB2 BK24-ROM 6")*(ISNUMBER(SEARCH(TEXT('September TCM'!$B28,"00")&amp;"/09/2026",'Data Base hauling'!$E$2:$E$2000)))*'Data Base hauling'!$N$2:$N$2000)</f>
        <v>0</v>
      </c>
      <c r="JD28" s="27"/>
      <c r="JE28" s="27"/>
      <c r="JF28" s="27"/>
      <c r="JG28" s="33">
        <f t="shared" si="133"/>
        <v>0</v>
      </c>
      <c r="JH28" s="2667"/>
      <c r="JJ28" s="2014">
        <f>SUMPRODUCT(('Data Base hauling'!$O$2:$O$2000="TCM.HCV.LS")*(ISNUMBER(SEARCH(TEXT('September TCM'!$B28,"00")&amp;"/09/2026",'Data Base hauling'!$E$2:$E$2000)))*'Data Base hauling'!$N$2:$N$2000)</f>
        <v>0</v>
      </c>
      <c r="JK28" s="2015">
        <f>SUMPRODUCT(('Data Base hauling'!$O$2:$O$2000="TCM.HCV.HS")*(ISNUMBER(SEARCH(TEXT('September TCM'!$B28,"00")&amp;"/09/2026",'Data Base hauling'!$E$2:$E$2000)))*'Data Base hauling'!$N$2:$N$2000)</f>
        <v>0</v>
      </c>
      <c r="JL28" s="53"/>
      <c r="JM28" s="1736">
        <f t="shared" si="51"/>
        <v>0</v>
      </c>
      <c r="JN28" s="33"/>
      <c r="JO28" s="2669"/>
      <c r="JP28" s="66" t="str">
        <f>IFERROR(SUMPRODUCT(('Data Base hauling'!$O$2:$O$2000="TCM.HCV.LS")*('Data Base hauling'!$C$2:$C$2000="TCM-ROM NB-ROM 1")*(ISNUMBER(SEARCH(TEXT('September TCM'!$B28,"00")&amp;"/09/2026",'Data Base hauling'!$E$2:$E$2000)))*'Data Base hauling'!$N$2:$N$2000)/'September TCM'!$JJ28,"")</f>
        <v/>
      </c>
      <c r="JQ28" s="67" t="str">
        <f>IFERROR(SUMPRODUCT(('Data Base hauling'!$O$2:$O$2000="TCM.HCV.LS")*('Data Base hauling'!$C$2:$C$2000="TCM-ROM NB-ROM 2")*(ISNUMBER(SEARCH(TEXT('September TCM'!$B28,"00")&amp;"/09/2026",'Data Base hauling'!$E$2:$E$2000)))*'Data Base hauling'!$N$2:$N$2000)/'September TCM'!$JJ28,"")</f>
        <v/>
      </c>
      <c r="JR28" s="67" t="str">
        <f>IFERROR(SUMPRODUCT(('Data Base hauling'!$O$2:$O$2000="TCM.HCV.LS")*('Data Base hauling'!$C$2:$C$2000="TCM-ROM NB-ROM 3")*(ISNUMBER(SEARCH(TEXT('September TCM'!$B28,"00")&amp;"/09/2026",'Data Base hauling'!$E$2:$E$2000)))*'Data Base hauling'!$N$2:$N$2000)/'September TCM'!$JJ28,"")</f>
        <v/>
      </c>
      <c r="JS28" s="67" t="str">
        <f>IFERROR(SUMPRODUCT(('Data Base hauling'!$O$2:$O$2000="TCM.HCV.LS")*('Data Base hauling'!$C$2:$C$2000="TCM-ROM SB1 BK05-ROM 4")*(ISNUMBER(SEARCH(TEXT('September TCM'!$B28,"00")&amp;"/09/2026",'Data Base hauling'!$E$2:$E$2000)))*'Data Base hauling'!$N$2:$N$2000)/'September TCM'!$JJ28,"")</f>
        <v/>
      </c>
      <c r="JT28" s="67" t="str">
        <f>IFERROR(SUMPRODUCT(('Data Base hauling'!$O$2:$O$2000="TCM.HCV.LS")*SIGN(('Data Base hauling'!$C$2:$C$2000="TCM-ROM NB-ROM 5")+('Data Base hauling'!$C$2:$C$2000="TCM-ROM SB1 BK05-ROM 5")+('Data Base hauling'!$C$2:$C$2000="TCM-ROM SB2 BK24-ROM 5"))*(ISNUMBER(SEARCH(TEXT('September TCM'!$B28,"00")&amp;"/09/2026",'Data Base hauling'!$E$2:$E$2000)))*'Data Base hauling'!$N$2:$N$2000)/'September TCM'!$JJ28,"")</f>
        <v/>
      </c>
      <c r="JU28" s="67" t="str">
        <f>IFERROR(SUMPRODUCT(('Data Base hauling'!$O$2:$O$2000="TCM.HCV.LS")*SIGN(('Data Base hauling'!$C$2:$C$2000="TCM-ROM NB-ROM 6")+('Data Base hauling'!$C$2:$C$2000="TCM-ROM SB1 BK05-ROM 6")+('Data Base hauling'!$C$2:$C$2000="TCM-ROM SB2 BK24-ROM 6"))*(ISNUMBER(SEARCH(TEXT('September TCM'!$B28,"00")&amp;"/09/2026",'Data Base hauling'!$E$2:$E$2000)))*'Data Base hauling'!$N$2:$N$2000)/'September TCM'!$JJ28,"")</f>
        <v/>
      </c>
      <c r="JV28" s="67" t="str">
        <f>IFERROR(SUMPRODUCT(('Data Base hauling'!$O$2:$O$2000="TCM.HCV.LS")*('Data Base hauling'!$C$2:$C$2000="TCM-WASH-CR3")*(ISNUMBER(SEARCH(TEXT('September TCM'!$B28,"00")&amp;"/09/2026",'Data Base hauling'!$E$2:$E$2000)))*'Data Base hauling'!$N$2:$N$2000)/'September TCM'!$JJ28,"")</f>
        <v/>
      </c>
      <c r="JW28" s="1921">
        <f>SUMPRODUCT(('Data Base hauling'!$O$2:$O$2000="TCM.HCV.LS")*('Data Base hauling'!$C$2:$C$2000="TCM-HAC-CR3")*(ISNUMBER(SEARCH(TEXT('September TCM'!$B28,"00")&amp;"/089/2026",'Data Base hauling'!$E$2:$E$2000)))*'Data Base hauling'!$N$2:$N$2000)</f>
        <v>0</v>
      </c>
      <c r="JX28" s="66" t="str">
        <f>IFERROR(SUMPRODUCT(('Data Base hauling'!$O$2:$O$2000="TCM.HCV.HS")*('Data Base hauling'!$C$2:$C$2000="TCM-ROM NB-ROM 1")*(ISNUMBER(SEARCH(TEXT('September TCM'!$B28,"00")&amp;"/09/2026",'Data Base hauling'!$E$2:$E$2000)))*'Data Base hauling'!$N$2:$N$2000)/'September TCM'!$JK28,"")</f>
        <v/>
      </c>
      <c r="JY28" s="67" t="str">
        <f>IFERROR(SUMPRODUCT(('Data Base hauling'!$O$2:$O$2000="TCM.HCV.HS")*('Data Base hauling'!$C$2:$C$2000="TCM-ROM NB-ROM 2")*(ISNUMBER(SEARCH(TEXT('September TCM'!$B28,"00")&amp;"/09/2026",'Data Base hauling'!$E$2:$E$2000)))*'Data Base hauling'!$N$2:$N$2000)/'September TCM'!$JK28,"")</f>
        <v/>
      </c>
      <c r="JZ28" s="67" t="str">
        <f>IFERROR(SUMPRODUCT(('Data Base hauling'!$O$2:$O$2000="TCM.HCV.HS")*('Data Base hauling'!$C$2:$C$2000="TCM-ROM NB-ROM 3")*(ISNUMBER(SEARCH(TEXT('September TCM'!$B28,"00")&amp;"/09/2026",'Data Base hauling'!$E$2:$E$2000)))*'Data Base hauling'!$N$2:$N$2000)/'September TCM'!$JK28,"")</f>
        <v/>
      </c>
      <c r="KA28" s="67" t="str">
        <f>IFERROR(SUMPRODUCT(('Data Base hauling'!$O$2:$O$2000="TCM.HCV.HS")*('Data Base hauling'!$C$2:$C$2000="TCM-ROM SB1 BK05-ROM 4")*(ISNUMBER(SEARCH(TEXT('September TCM'!$B28,"00")&amp;"/09/2026",'Data Base hauling'!$E$2:$E$2000)))*'Data Base hauling'!$N$2:$N$2000)/'September TCM'!$JK28,"")</f>
        <v/>
      </c>
      <c r="KB28" s="67" t="str">
        <f>IFERROR(SUMPRODUCT(('Data Base hauling'!$O$2:$O$2000="TCM.HCV.HS")*SIGN(('Data Base hauling'!$C$2:$C$2000="TCM-ROM NB-ROM 5")+('Data Base hauling'!$C$2:$C$2000="TCM-ROM SB1 BK05-ROM 5")+('Data Base hauling'!$C$2:$C$2000="TCM-ROM SB2 BK24-ROM 5"))*(ISNUMBER(SEARCH(TEXT('September TCM'!$B28,"00")&amp;"/09/2026",'Data Base hauling'!$E$2:$E$2000)))*'Data Base hauling'!$N$2:$N$2000)/'September TCM'!$JK28,"")</f>
        <v/>
      </c>
      <c r="KC28" s="67" t="str">
        <f>IFERROR(SUMPRODUCT(('Data Base hauling'!$O$2:$O$2000="TCM.HCV.HS")*SIGN(('Data Base hauling'!$C$2:$C$2000="TCM-ROM NB-ROM 6")+('Data Base hauling'!$C$2:$C$2000="TCM-ROM SB1 BK05-ROM 6")+('Data Base hauling'!$C$2:$C$2000="TCM-ROM SB2 BK24-ROM 6"))*(ISNUMBER(SEARCH(TEXT('September TCM'!$B28,"00")&amp;"/09/2026",'Data Base hauling'!$E$2:$E$2000)))*'Data Base hauling'!$N$2:$N$2000)/'September TCM'!$JK28,"")</f>
        <v/>
      </c>
      <c r="KD28" s="67" t="str">
        <f>IFERROR(SUMPRODUCT(('Data Base hauling'!$O$2:$O$2000="TCM.HCV.HS")*('Data Base hauling'!$C$2:$C$2000="TCM-WASH-CR3")*(ISNUMBER(SEARCH(TEXT('September TCM'!$B28,"00")&amp;"/09/2026",'Data Base hauling'!$E$2:$E$2000)))*'Data Base hauling'!$N$2:$N$2000)/'September TCM'!$JK28,"")</f>
        <v/>
      </c>
      <c r="KE28" s="68" t="str">
        <f>IFERROR(SUMPRODUCT(('Data Base hauling'!$O$2:$O$2000="TCM.HCV.HS")*('Data Base hauling'!$C$2:$C$2000="TCM-HAC-CR3")*(ISNUMBER(SEARCH(TEXT('September TCM'!$B28,"00")&amp;"/09/2026",'Data Base hauling'!$E$2:$E$2000)))*'Data Base hauling'!$N$2:$N$2000)/'September TCM'!$JK28,"")</f>
        <v/>
      </c>
      <c r="KF28" s="69"/>
      <c r="KG28" s="70"/>
      <c r="KH28" s="70"/>
      <c r="KI28" s="70"/>
      <c r="KJ28" s="70"/>
      <c r="KK28" s="70"/>
      <c r="KL28" s="70"/>
      <c r="KM28" s="70"/>
      <c r="KN28" s="33"/>
      <c r="KO28" s="2669"/>
      <c r="KP28" s="2203">
        <f>IFERROR(SUMPRODUCT((TCM.HCV.LS!$A$3:$A$58=DATE(2026,9,$B28))*(TCM.HCV.LS!$O$3:$O$58&gt;0)*TCM.HCV.LS!$C$3:$C$58*TCM.HCV.LS!$O$3:$O$58)/SUMPRODUCT((TCM.HCV.LS!$A$3:$A$58=DATE(2026,9,$B28))*(TCM.HCV.LS!$O$3:$O$58&gt;0)*TCM.HCV.LS!$C$3:$C$58),0)</f>
        <v>0</v>
      </c>
      <c r="KQ28" s="1721">
        <f>IFERROR(SUMPRODUCT((TCM.HCV.LS!$A$3:$A$58=DATE(2026,9,$B28))*(TCM.HCV.LS!$M$3:$M$58&gt;0)*TCM.HCV.LS!$C$3:$C$58*TCM.HCV.LS!$M$3:$M$58)/SUMPRODUCT((TCM.HCV.LS!$A$3:$A$58=DATE(2026,9,$B28))*(TCM.HCV.LS!$M$3:$M$58&gt;0)*TCM.HCV.LS!$C$3:$C$58),0)</f>
        <v>0</v>
      </c>
      <c r="KR28" s="1721">
        <f>IFERROR(SUMPRODUCT((TCM.HCV.LS!$A$3:$A$58=DATE(2026,9,$B28))*(TCM.HCV.LS!$G$3:$G$58&gt;0)*TCM.HCV.LS!$C$3:$C$58*TCM.HCV.LS!$G$3:$G$58)/SUMPRODUCT((TCM.HCV.LS!$A$3:$A$58=DATE(2026,9,$B28))*(TCM.HCV.LS!$G$3:$G$58&gt;0)*TCM.HCV.LS!$C$3:$C$58),0)</f>
        <v>0</v>
      </c>
      <c r="KS28" s="1721">
        <f>IFERROR(SUMPRODUCT((TCM.HCV.LS!$A$3:$A$58=DATE(2026,9,$B28))*(TCM.HCV.LS!$F$3:$F$58&gt;0)*TCM.HCV.LS!$C$3:$C$58*TCM.HCV.LS!$F$3:$F$58)/SUMPRODUCT((TCM.HCV.LS!$A$3:$A$58=DATE(2026,9,$B28))*(TCM.HCV.LS!$F$3:$F$58&gt;0)*TCM.HCV.LS!$C$3:$C$58),0)</f>
        <v>0</v>
      </c>
      <c r="KT28" s="1722">
        <f>IFERROR(SUMPRODUCT((TCM.HCV.LS!$A$3:$A$58=DATE(2026,9,$B28))*(TCM.HCV.LS!$E$3:$E$58&gt;0)*TCM.HCV.LS!$C$3:$C$58*TCM.HCV.LS!$E$3:$E$58)/SUMPRODUCT((TCM.HCV.LS!$A$3:$A$58=DATE(2026,9,$B28))*(TCM.HCV.LS!$E$3:$E$58&gt;0)*TCM.HCV.LS!$C$3:$C$58),0)</f>
        <v>0</v>
      </c>
      <c r="KU28" s="1958">
        <f>IFERROR(SUMPRODUCT((TCM.HCV.HS!$A$3:$A$84=DATE(2026,9,$B28))*(TCM.HCV.HS!$O$3:$O$84&gt;0)*TCM.HCV.HS!$C$3:$C$84*TCM.HCV.HS!$O$3:$O$84)/SUMPRODUCT((TCM.HCV.HS!$A$3:$A$84=DATE(2026,9,$B28))*(TCM.HCV.HS!$O$3:$O$84&gt;0)*TCM.HCV.HS!$C$3:$C$84),0)</f>
        <v>0</v>
      </c>
      <c r="KV28" s="1961">
        <f>IFERROR(SUMPRODUCT((TCM.HCV.HS!$A$3:$A$84=DATE(2026,9,$B28))*(TCM.HCV.HS!$M$3:$M$84&gt;0)*TCM.HCV.HS!$C$3:$C$84*TCM.HCV.HS!$M$3:$M$84)/SUMPRODUCT((TCM.HCV.HS!$A$3:$A$84=DATE(2026,9,$B28))*(TCM.HCV.HS!$M$3:$M$84&gt;0)*TCM.HCV.HS!$C$3:$C$84),0)</f>
        <v>0</v>
      </c>
      <c r="KW28" s="1961">
        <f>IFERROR(SUMPRODUCT((TCM.HCV.HS!$A$3:$A$84=DATE(2026,9,$B28))*(TCM.HCV.HS!$G$3:$G$84&gt;0)*TCM.HCV.HS!$C$3:$C$84*TCM.HCV.HS!$G$3:$G$84)/SUMPRODUCT((TCM.HCV.HS!$A$3:$A$84=DATE(2026,9,$B28))*(TCM.HCV.HS!$G$3:$G$84&gt;0)*TCM.HCV.HS!$C$3:$C$84),0)</f>
        <v>0</v>
      </c>
      <c r="KX28" s="1961">
        <f>IFERROR(SUMPRODUCT((TCM.HCV.HS!$A$3:$A$84=DATE(2026,9,$B28))*(TCM.HCV.HS!$F$3:$F$84&gt;0)*TCM.HCV.HS!$C$3:$C$84*TCM.HCV.HS!$F$3:$F$84)/SUMPRODUCT((TCM.HCV.HS!$A$3:$A$84=DATE(2026,9,$B28))*(TCM.HCV.HS!$F$3:$F$84&gt;0)*TCM.HCV.HS!$C$3:$C$84),0)</f>
        <v>0</v>
      </c>
      <c r="KY28" s="1962">
        <f>IFERROR(SUMPRODUCT((TCM.HCV.HS!$A$3:$A$84=DATE(2026,9,$B28))*(TCM.HCV.HS!$E$3:$E$84&gt;0)*TCM.HCV.HS!$C$3:$C$84*TCM.HCV.HS!$E$3:$E$84)/SUMPRODUCT((TCM.HCV.HS!$A$3:$A$84=DATE(2026,9,$B28))*(TCM.HCV.HS!$E$3:$E$84&gt;0)*TCM.HCV.HS!$C$3:$C$84),0)</f>
        <v>0</v>
      </c>
      <c r="KZ28" s="36"/>
      <c r="LA28" s="53"/>
      <c r="LB28" s="53"/>
      <c r="LC28" s="53"/>
      <c r="LD28" s="53"/>
      <c r="LE28" s="33"/>
      <c r="LF28" s="2669"/>
      <c r="LH28" s="4">
        <f t="shared" si="138"/>
        <v>0</v>
      </c>
      <c r="LI28" s="27">
        <f t="shared" si="138"/>
        <v>0</v>
      </c>
      <c r="LJ28" s="27">
        <f t="shared" si="138"/>
        <v>0</v>
      </c>
      <c r="LK28" s="28">
        <f t="shared" si="53"/>
        <v>0</v>
      </c>
      <c r="LL28" s="36"/>
      <c r="LM28" s="27"/>
      <c r="LN28" s="27"/>
      <c r="LO28" s="33"/>
      <c r="LP28" s="1957"/>
      <c r="LQ28" s="486"/>
      <c r="LR28" s="2688"/>
      <c r="LS28" s="1036"/>
      <c r="LT28" s="36"/>
      <c r="LU28" s="27"/>
      <c r="LV28" s="27"/>
      <c r="LW28" s="27"/>
      <c r="LX28" s="1107">
        <f t="shared" si="129"/>
        <v>0</v>
      </c>
      <c r="LY28" s="36"/>
      <c r="LZ28" s="36"/>
      <c r="MA28" s="27"/>
      <c r="MB28" s="27"/>
      <c r="MC28" s="33"/>
      <c r="MD28" s="28">
        <f t="shared" si="137"/>
        <v>0</v>
      </c>
      <c r="ME28" s="26"/>
      <c r="MF28" s="36"/>
      <c r="MG28" s="27"/>
      <c r="MH28" s="27"/>
      <c r="MI28" s="27"/>
      <c r="MJ28" s="28"/>
      <c r="MK28" s="36"/>
      <c r="ML28" s="36"/>
      <c r="MM28" s="27"/>
      <c r="MN28" s="27"/>
      <c r="MO28" s="27"/>
      <c r="MP28" s="28"/>
      <c r="MQ28" s="36"/>
      <c r="MR28" s="36"/>
      <c r="MS28" s="27"/>
      <c r="MT28" s="27"/>
      <c r="MU28" s="27"/>
      <c r="MV28" s="33">
        <f t="shared" si="56"/>
        <v>0</v>
      </c>
      <c r="MW28" s="2688"/>
      <c r="MY28" s="26">
        <f t="shared" si="57"/>
        <v>377341.84766611259</v>
      </c>
      <c r="MZ28" s="27">
        <f t="shared" si="58"/>
        <v>191281.80302645115</v>
      </c>
      <c r="NA28" s="27">
        <f t="shared" si="59"/>
        <v>27294.683787707359</v>
      </c>
      <c r="NB28" s="28">
        <f t="shared" si="60"/>
        <v>318297.33035698003</v>
      </c>
      <c r="NC28" s="2621"/>
      <c r="ND28" s="23">
        <f t="shared" si="116"/>
        <v>207724.34280113198</v>
      </c>
      <c r="NE28" s="1655">
        <f t="shared" si="117"/>
        <v>169617.50486498058</v>
      </c>
      <c r="NF28" s="60">
        <f t="shared" si="63"/>
        <v>0</v>
      </c>
      <c r="NG28" s="1110">
        <f t="shared" si="4"/>
        <v>377341.84766611259</v>
      </c>
      <c r="NH28" s="26">
        <f t="shared" si="141"/>
        <v>-313.35000000000002</v>
      </c>
      <c r="NI28" s="27">
        <f t="shared" si="141"/>
        <v>0</v>
      </c>
      <c r="NJ28" s="27">
        <f t="shared" si="141"/>
        <v>0</v>
      </c>
      <c r="NK28" s="27">
        <f t="shared" si="141"/>
        <v>0</v>
      </c>
      <c r="NL28" s="27">
        <f t="shared" si="141"/>
        <v>0</v>
      </c>
      <c r="NM28" s="33">
        <f t="shared" si="141"/>
        <v>0</v>
      </c>
      <c r="NN28" s="27">
        <f t="shared" si="141"/>
        <v>0</v>
      </c>
      <c r="NO28" s="36">
        <f t="shared" si="141"/>
        <v>0</v>
      </c>
      <c r="NP28" s="24">
        <f t="shared" si="141"/>
        <v>21665.870136227244</v>
      </c>
      <c r="NQ28" s="27">
        <f t="shared" si="141"/>
        <v>22358.939343794715</v>
      </c>
      <c r="NR28" s="24">
        <f t="shared" si="118"/>
        <v>8443.1982322711574</v>
      </c>
      <c r="NS28" s="24">
        <f t="shared" si="119"/>
        <v>9895.3380410535083</v>
      </c>
      <c r="NT28" s="27">
        <f t="shared" si="0"/>
        <v>62049.995753346629</v>
      </c>
      <c r="NU28" s="27">
        <f t="shared" si="142"/>
        <v>0</v>
      </c>
      <c r="NV28" s="27">
        <f t="shared" si="142"/>
        <v>0</v>
      </c>
      <c r="NW28" s="27">
        <f t="shared" si="142"/>
        <v>0</v>
      </c>
      <c r="NX28" s="27">
        <f t="shared" si="142"/>
        <v>0</v>
      </c>
      <c r="NY28" s="27">
        <f t="shared" si="142"/>
        <v>0</v>
      </c>
      <c r="NZ28" s="5">
        <f t="shared" si="142"/>
        <v>0</v>
      </c>
      <c r="OA28" s="27">
        <f t="shared" si="142"/>
        <v>35558.705564997217</v>
      </c>
      <c r="OB28" s="27">
        <f t="shared" si="142"/>
        <v>0</v>
      </c>
      <c r="OC28" s="27">
        <f t="shared" si="66"/>
        <v>12611.886475620366</v>
      </c>
      <c r="OD28" s="27"/>
      <c r="OE28" s="27">
        <f t="shared" si="120"/>
        <v>13429.316718063665</v>
      </c>
      <c r="OF28" s="27">
        <f t="shared" si="67"/>
        <v>0</v>
      </c>
      <c r="OG28" s="28">
        <f t="shared" si="1"/>
        <v>61599.908758681253</v>
      </c>
      <c r="OH28" s="27">
        <f t="shared" si="143"/>
        <v>0</v>
      </c>
      <c r="OI28" s="27">
        <f t="shared" si="143"/>
        <v>0</v>
      </c>
      <c r="OJ28" s="27">
        <f t="shared" si="143"/>
        <v>0</v>
      </c>
      <c r="OK28" s="27">
        <f t="shared" si="143"/>
        <v>0</v>
      </c>
      <c r="OL28" s="27">
        <f t="shared" si="143"/>
        <v>0</v>
      </c>
      <c r="OM28" s="27">
        <f t="shared" si="143"/>
        <v>0</v>
      </c>
      <c r="ON28" s="24">
        <f t="shared" si="143"/>
        <v>0</v>
      </c>
      <c r="OO28" s="27">
        <f t="shared" si="143"/>
        <v>0</v>
      </c>
      <c r="OP28" s="24">
        <f t="shared" si="69"/>
        <v>54054.217649249818</v>
      </c>
      <c r="OQ28" s="27">
        <f t="shared" si="144"/>
        <v>0</v>
      </c>
      <c r="OR28" s="24">
        <f t="shared" si="144"/>
        <v>13577.680865173457</v>
      </c>
      <c r="OS28" s="27">
        <f t="shared" si="144"/>
        <v>0</v>
      </c>
      <c r="OT28" s="28">
        <f t="shared" si="2"/>
        <v>67631.898514423272</v>
      </c>
      <c r="OU28" s="36"/>
      <c r="OV28" s="27"/>
      <c r="OW28" s="27"/>
      <c r="OX28" s="27"/>
      <c r="OY28" s="27"/>
      <c r="OZ28" s="27"/>
      <c r="PA28" s="28">
        <f t="shared" si="71"/>
        <v>0</v>
      </c>
      <c r="PB28" s="36">
        <f t="shared" si="72"/>
        <v>0</v>
      </c>
      <c r="PC28" s="27">
        <f t="shared" si="73"/>
        <v>0</v>
      </c>
      <c r="PD28" s="27">
        <f t="shared" si="74"/>
        <v>0</v>
      </c>
      <c r="PE28" s="27">
        <f t="shared" si="75"/>
        <v>0</v>
      </c>
      <c r="PF28" s="24"/>
      <c r="PG28" s="27">
        <f t="shared" si="76"/>
        <v>0</v>
      </c>
      <c r="PH28" s="33">
        <f t="shared" si="3"/>
        <v>0</v>
      </c>
      <c r="PI28" s="2621"/>
      <c r="PK28" s="1907">
        <f>SUMPRODUCT(('Data Base Coal Wining'!$D$2:$D$2000="WASHING PLANT")*ISNUMBER(SEARCH(TEXT('September TCM'!$B28,"00")&amp;"/09/2026",'Data Base Coal Wining'!$E$2:$E$2000))*'Data Base Coal Wining'!$N$2:$N$2000)</f>
        <v>0</v>
      </c>
      <c r="PL28" s="3"/>
      <c r="PM28" s="3"/>
      <c r="PN28" s="3">
        <f t="shared" si="77"/>
        <v>0</v>
      </c>
      <c r="PO28" s="3">
        <f t="shared" si="78"/>
        <v>38895.633435124721</v>
      </c>
      <c r="PP28" s="11">
        <f t="shared" si="139"/>
        <v>27294.683787707359</v>
      </c>
      <c r="PQ28" s="15"/>
      <c r="PR28" s="2615"/>
      <c r="PT28" s="4"/>
      <c r="PU28" s="9"/>
      <c r="PV28" s="9"/>
      <c r="PW28" s="9"/>
      <c r="PX28" s="8">
        <f>SUMPRODUCT(('Data Base Coal Wining'!$D$2:$D$2000="TCM-ROM SB1 BK05-ROM 2 (HAC)")*('Data Base Coal Wining'!$G$2:$G$2000="Coal Winning")*ISNUMBER(SEARCH(TEXT('September TCM'!$B28,"00")&amp;"/09/2026",'Data Base Coal Wining'!$E$2:$E$2000))*'Data Base Coal Wining'!$N$2:$N$2000)</f>
        <v>0</v>
      </c>
      <c r="PY28" s="9"/>
      <c r="PZ28" s="8">
        <f t="shared" si="80"/>
        <v>0</v>
      </c>
      <c r="QA28" s="5">
        <f t="shared" si="81"/>
        <v>0</v>
      </c>
      <c r="QB28" s="5"/>
      <c r="QC28" s="5"/>
      <c r="QD28" s="5"/>
      <c r="QE28" s="5"/>
      <c r="QF28" s="5"/>
      <c r="QG28" s="12"/>
      <c r="QH28" s="12">
        <f t="shared" si="82"/>
        <v>29562.488999999998</v>
      </c>
      <c r="QI28" s="420">
        <f t="shared" si="83"/>
        <v>283762.59090898006</v>
      </c>
      <c r="QJ28" s="1106">
        <f t="shared" si="121"/>
        <v>4972.2504480000007</v>
      </c>
      <c r="QK28" s="484">
        <f t="shared" si="84"/>
        <v>5505.3678056099998</v>
      </c>
      <c r="QL28" s="12"/>
      <c r="QM28" s="2615"/>
      <c r="QO28" s="139" t="str">
        <f t="shared" si="85"/>
        <v/>
      </c>
      <c r="QP28" s="139" t="str">
        <f t="shared" si="86"/>
        <v/>
      </c>
      <c r="QR28" s="139" t="str">
        <f t="shared" si="87"/>
        <v/>
      </c>
      <c r="QS28" s="139" t="str">
        <f t="shared" si="88"/>
        <v/>
      </c>
      <c r="QU28" s="1">
        <f t="shared" si="89"/>
        <v>0</v>
      </c>
      <c r="QV28" s="1">
        <f t="shared" si="90"/>
        <v>0</v>
      </c>
      <c r="QW28" s="1">
        <f t="shared" si="91"/>
        <v>0</v>
      </c>
      <c r="QX28" s="1">
        <f t="shared" si="92"/>
        <v>0</v>
      </c>
      <c r="QY28" s="1">
        <f t="shared" si="93"/>
        <v>0</v>
      </c>
      <c r="QZ28" s="1">
        <f t="shared" si="94"/>
        <v>0</v>
      </c>
      <c r="RB28" s="1">
        <f t="shared" si="95"/>
        <v>0</v>
      </c>
      <c r="RC28" s="1">
        <f t="shared" si="96"/>
        <v>0</v>
      </c>
      <c r="RD28" s="1">
        <f t="shared" si="97"/>
        <v>0</v>
      </c>
      <c r="RE28" s="1">
        <f t="shared" si="98"/>
        <v>0</v>
      </c>
      <c r="RF28" s="1">
        <f t="shared" si="99"/>
        <v>0</v>
      </c>
      <c r="RG28" s="1">
        <f t="shared" si="100"/>
        <v>0</v>
      </c>
      <c r="RJ28" s="1">
        <v>19</v>
      </c>
      <c r="RK28" s="1">
        <f t="shared" si="135"/>
        <v>5984.4452097170979</v>
      </c>
      <c r="RL28" s="1">
        <f t="shared" si="135"/>
        <v>5074.1017804837184</v>
      </c>
      <c r="RM28" s="1">
        <f t="shared" si="135"/>
        <v>13404.263703387322</v>
      </c>
      <c r="RN28" s="89">
        <f t="shared" si="5"/>
        <v>24462.810693588137</v>
      </c>
      <c r="RO28" s="1033">
        <v>19</v>
      </c>
      <c r="RP28" s="1098">
        <v>0</v>
      </c>
      <c r="RQ28" s="1098">
        <f t="shared" si="102"/>
        <v>0</v>
      </c>
      <c r="RR28" s="1097">
        <f t="shared" si="102"/>
        <v>0</v>
      </c>
      <c r="RS28" s="1097">
        <f t="shared" si="103"/>
        <v>0</v>
      </c>
      <c r="RT28" s="1050"/>
      <c r="RU28" s="1928"/>
      <c r="RV28" s="1048"/>
      <c r="RX28" s="421">
        <v>19</v>
      </c>
      <c r="RY28" s="1095">
        <f t="shared" si="104"/>
        <v>0</v>
      </c>
      <c r="RZ28" s="1928"/>
      <c r="SA28" s="1048"/>
      <c r="SB28" s="1090"/>
      <c r="SC28" s="1090">
        <f t="shared" si="105"/>
        <v>0</v>
      </c>
      <c r="SD28" s="1090"/>
      <c r="SE28" s="1090">
        <f t="shared" si="136"/>
        <v>0</v>
      </c>
      <c r="SG28" s="1">
        <v>19</v>
      </c>
      <c r="SH28" s="1">
        <f t="shared" si="107"/>
        <v>0</v>
      </c>
      <c r="SI28" s="2441"/>
    </row>
    <row r="29" spans="1:503" s="1" customFormat="1" ht="17.399999999999999" customHeight="1">
      <c r="B29" s="471">
        <v>20</v>
      </c>
      <c r="C29" s="4">
        <f t="shared" si="108"/>
        <v>0</v>
      </c>
      <c r="D29" s="1590">
        <f t="shared" si="128"/>
        <v>0</v>
      </c>
      <c r="E29" s="1911">
        <f t="shared" si="6"/>
        <v>0</v>
      </c>
      <c r="F29" s="870"/>
      <c r="G29" s="870"/>
      <c r="H29" s="845"/>
      <c r="I29" s="482"/>
      <c r="J29" s="845"/>
      <c r="K29" s="846"/>
      <c r="L29" s="845"/>
      <c r="M29" s="482"/>
      <c r="N29" s="2629"/>
      <c r="O29" s="4">
        <f t="shared" si="125"/>
        <v>0</v>
      </c>
      <c r="P29" s="1225">
        <f t="shared" si="7"/>
        <v>0</v>
      </c>
      <c r="Q29" s="1913">
        <f t="shared" si="8"/>
        <v>0</v>
      </c>
      <c r="R29" s="12"/>
      <c r="S29" s="26">
        <f t="shared" si="9"/>
        <v>0</v>
      </c>
      <c r="T29" s="27">
        <f t="shared" si="110"/>
        <v>0</v>
      </c>
      <c r="U29" s="1913">
        <f t="shared" si="10"/>
        <v>0</v>
      </c>
      <c r="V29" s="15"/>
      <c r="W29" s="26">
        <f t="shared" si="11"/>
        <v>0</v>
      </c>
      <c r="X29" s="5">
        <f t="shared" si="11"/>
        <v>0</v>
      </c>
      <c r="Y29" s="1913">
        <f t="shared" si="12"/>
        <v>0</v>
      </c>
      <c r="Z29" s="12"/>
      <c r="AA29" s="26">
        <f t="shared" si="13"/>
        <v>0</v>
      </c>
      <c r="AB29" s="27">
        <f t="shared" si="126"/>
        <v>0</v>
      </c>
      <c r="AC29" s="1913">
        <f t="shared" si="15"/>
        <v>0</v>
      </c>
      <c r="AD29" s="15"/>
      <c r="AE29" s="9"/>
      <c r="AF29" s="9"/>
      <c r="AG29" s="64">
        <f t="shared" si="16"/>
        <v>0</v>
      </c>
      <c r="AH29" s="15"/>
      <c r="AI29" s="4"/>
      <c r="AJ29" s="5"/>
      <c r="AK29" s="64">
        <f t="shared" si="17"/>
        <v>0</v>
      </c>
      <c r="AL29" s="15"/>
      <c r="AM29" s="2629"/>
      <c r="AN29" s="9"/>
      <c r="AO29" s="5"/>
      <c r="AP29" s="482">
        <f t="shared" si="18"/>
        <v>0</v>
      </c>
      <c r="AQ29" s="9"/>
      <c r="AR29" s="64"/>
      <c r="AS29" s="482">
        <f t="shared" si="19"/>
        <v>0</v>
      </c>
      <c r="AT29" s="9">
        <v>0</v>
      </c>
      <c r="AU29" s="5"/>
      <c r="AV29" s="846">
        <f t="shared" si="20"/>
        <v>0</v>
      </c>
      <c r="AW29" s="26"/>
      <c r="AX29" s="280">
        <f>SUMPRODUCT(ISNUMBER(SEARCH("BK20",'Data Base Coal Wining'!$C$2:$C$2000))*ISNUMBER(SEARCH("P3000",'Data Base Coal Wining'!$C$2:$C$2000))*('Data Base Coal Wining'!$H$2:$H$2000="PAMA")*('Data Base Coal Wining'!$G$2:$G$2000="Coal Winning")*ISNUMBER(SEARCH(TEXT('September TCM'!$B29,"00")&amp;"/09/2026",'Data Base Coal Wining'!$E$2:$E$2000))*'Data Base Coal Wining'!$N$2:$N$2000)</f>
        <v>0</v>
      </c>
      <c r="AY29" s="1911">
        <f t="shared" si="134"/>
        <v>0</v>
      </c>
      <c r="AZ29" s="1912"/>
      <c r="BA29" s="1913"/>
      <c r="BB29" s="1911">
        <f t="shared" si="21"/>
        <v>0</v>
      </c>
      <c r="BC29" s="1940"/>
      <c r="BD29" s="2154">
        <f>SUMPRODUCT(ISNUMBER(SEARCH("BK30",'Data Base Coal Wining'!$C$2:$C$2000))*ISNUMBER(SEARCH("P3000",'Data Base Coal Wining'!$C$2:$C$2000))*('Data Base Coal Wining'!$H$2:$H$2000="PAMA")*('Data Base Coal Wining'!$G$2:$G$2000="Coal Winning")*ISNUMBER(SEARCH(TEXT('September TCM'!$B29,"00")&amp;"/09/2026",'Data Base Coal Wining'!$E$2:$E$2000))*'Data Base Coal Wining'!$N$2:$N$2000)</f>
        <v>0</v>
      </c>
      <c r="BE29" s="1911">
        <f t="shared" si="22"/>
        <v>0</v>
      </c>
      <c r="BF29" s="1908"/>
      <c r="BG29" s="1909"/>
      <c r="BH29" s="1911">
        <f t="shared" si="23"/>
        <v>0</v>
      </c>
      <c r="BI29" s="1912">
        <v>0</v>
      </c>
      <c r="BJ29" s="1909">
        <v>0</v>
      </c>
      <c r="BK29" s="1911">
        <f t="shared" si="24"/>
        <v>0</v>
      </c>
      <c r="BL29" s="1742"/>
      <c r="BM29" s="2154">
        <f>SUMPRODUCT(ISNUMBER(SEARCH("BK26",'Data Base Coal Wining'!$C$2:$C$2000))*ISNUMBER(SEARCH("P4400",'Data Base Coal Wining'!$C$2:$C$2000))*('Data Base Coal Wining'!$H$2:$H$2000="MAP")*('Data Base Coal Wining'!$G$2:$G$2000="Coal Winning")*ISNUMBER(SEARCH(TEXT('September TCM'!$B29,"00")&amp;"/09/2026",'Data Base Coal Wining'!$E$2:$E$2000))*'Data Base Coal Wining'!$N$2:$N$2000)</f>
        <v>0</v>
      </c>
      <c r="BN29" s="2170"/>
      <c r="BO29" s="1911">
        <f t="shared" si="25"/>
        <v>0</v>
      </c>
      <c r="BP29" s="9"/>
      <c r="BQ29" s="2514">
        <f>SUMPRODUCT(ISNUMBER(SEARCH("BK34",'Data Base Coal Wining'!$C$2:$C$2000))*ISNUMBER(SEARCH("P4000",'Data Base Coal Wining'!$C$2:$C$2000))*('Data Base Coal Wining'!$H$2:$H$2000="PJPN")*('Data Base Coal Wining'!$G$2:$G$2000="Coal Winning")*ISNUMBER(SEARCH(TEXT('September TCM'!$B29,"00")&amp;"/09/2026",'Data Base Coal Wining'!$E$2:$E$2000))*'Data Base Coal Wining'!$N$2:$N$2000)</f>
        <v>0</v>
      </c>
      <c r="BR29" s="1920">
        <f t="shared" si="26"/>
        <v>0</v>
      </c>
      <c r="BS29" s="9"/>
      <c r="BT29" s="64"/>
      <c r="BU29" s="482">
        <f t="shared" si="27"/>
        <v>0</v>
      </c>
      <c r="BV29" s="9"/>
      <c r="BW29" s="27"/>
      <c r="BX29" s="1051">
        <f t="shared" si="140"/>
        <v>0</v>
      </c>
      <c r="BY29" s="26"/>
      <c r="BZ29" s="5"/>
      <c r="CA29" s="482">
        <f t="shared" si="29"/>
        <v>0</v>
      </c>
      <c r="CB29" s="9"/>
      <c r="CC29" s="5"/>
      <c r="CD29" s="482">
        <f t="shared" si="30"/>
        <v>0</v>
      </c>
      <c r="CE29" s="4"/>
      <c r="CF29" s="494"/>
      <c r="CG29" s="15">
        <f t="shared" si="31"/>
        <v>0</v>
      </c>
      <c r="CH29" s="150"/>
      <c r="CI29" s="1108"/>
      <c r="CJ29" s="5"/>
      <c r="CK29" s="5"/>
      <c r="CL29" s="5"/>
      <c r="CM29" s="5"/>
      <c r="CN29" s="3">
        <f t="shared" si="111"/>
        <v>0</v>
      </c>
      <c r="CO29" s="12"/>
      <c r="CP29" s="366"/>
      <c r="CR29" s="4">
        <f t="shared" si="32"/>
        <v>0</v>
      </c>
      <c r="CS29" s="9">
        <f t="shared" si="32"/>
        <v>0</v>
      </c>
      <c r="CT29" s="5">
        <f t="shared" si="32"/>
        <v>0</v>
      </c>
      <c r="CU29" s="5">
        <f t="shared" si="32"/>
        <v>0</v>
      </c>
      <c r="CV29" s="5">
        <f t="shared" si="32"/>
        <v>0</v>
      </c>
      <c r="CW29" s="5">
        <f t="shared" si="32"/>
        <v>0</v>
      </c>
      <c r="CX29" s="5">
        <f t="shared" si="32"/>
        <v>0</v>
      </c>
      <c r="CY29" s="5">
        <f t="shared" si="32"/>
        <v>0</v>
      </c>
      <c r="CZ29" s="5">
        <f t="shared" si="32"/>
        <v>0</v>
      </c>
      <c r="DA29" s="5">
        <f t="shared" si="32"/>
        <v>0</v>
      </c>
      <c r="DB29" s="5">
        <f t="shared" si="32"/>
        <v>0</v>
      </c>
      <c r="DC29" s="12">
        <f t="shared" si="33"/>
        <v>0</v>
      </c>
      <c r="DD29" s="847">
        <f t="shared" si="34"/>
        <v>0</v>
      </c>
      <c r="DE29" s="2695"/>
      <c r="DF29" s="8"/>
      <c r="DG29" s="9"/>
      <c r="DH29" s="5"/>
      <c r="DI29" s="5"/>
      <c r="DJ29" s="5"/>
      <c r="DK29" s="5"/>
      <c r="DL29" s="3">
        <f>SUMPRODUCT(('Data Base Coal Wining'!$D$2:$D$2000="TCM-ROM SB1 BK05-ROM 4")*('Data Base Coal Wining'!$G$2:$G$2000="Coal Winning")*ISNUMBER(SEARCH(TEXT('September TCM'!$B29,"00")&amp;"/09/2026",'Data Base Coal Wining'!$E$2:$E$2000))*'Data Base Coal Wining'!$N$2:$N$2000)</f>
        <v>0</v>
      </c>
      <c r="DM29" s="5"/>
      <c r="DN29" s="3">
        <f>SUMPRODUCT(('Data Base Coal Wining'!$D$2:$D$2000="TCM-ROM SB1 BK05-ROM 5")*('Data Base Coal Wining'!$G$2:$G$2000="Coal Winning")*ISNUMBER(SEARCH(TEXT('September TCM'!$B29,"00")&amp;"/09/2026",'Data Base Coal Wining'!$E$2:$E$2000))*'Data Base Coal Wining'!$N$2:$N$2000)</f>
        <v>0</v>
      </c>
      <c r="DO29" s="5"/>
      <c r="DP29" s="3">
        <f>SUMPRODUCT(('Data Base Coal Wining'!$D$2:$D$2000="TCM-ROM SB1 BK05-ROM 6")*('Data Base Coal Wining'!$G$2:$G$2000="Coal Winning")*ISNUMBER(SEARCH(TEXT('September TCM'!$B29,"00")&amp;"/09/2026",'Data Base Coal Wining'!$E$2:$E$2000))*'Data Base Coal Wining'!$N$2:$N$2000)</f>
        <v>0</v>
      </c>
      <c r="DQ29" s="11">
        <f>SUMPRODUCT(('Data Base Coal Wining'!$D$2:$D$2000="TCM-ROM SB1 BK05-ROM 6.1")*('Data Base Coal Wining'!$G$2:$G$2000="Coal Winning")*ISNUMBER(SEARCH(TEXT('September TCM'!$B29,"00")&amp;"/09/2026",'Data Base Coal Wining'!$E$2:$E$2000))*'Data Base Coal Wining'!$N$2:$N$2000)</f>
        <v>0</v>
      </c>
      <c r="DR29" s="12"/>
      <c r="DS29" s="15">
        <f t="shared" si="35"/>
        <v>0</v>
      </c>
      <c r="DT29" s="9"/>
      <c r="DU29" s="9"/>
      <c r="DV29" s="5"/>
      <c r="DW29" s="5"/>
      <c r="DX29" s="5"/>
      <c r="DY29" s="5"/>
      <c r="DZ29" s="5"/>
      <c r="EA29" s="5"/>
      <c r="EB29" s="3">
        <f>SUMPRODUCT(('Data Base Coal Wining'!$D$2:$D$2000="TCM-ROM SB2 BK24-ROM 5")*('Data Base Coal Wining'!$G$2:$G$2000="Coal Winning")*ISNUMBER(SEARCH(TEXT('September TCM'!$B29,"00")&amp;"/09/2026",'Data Base Coal Wining'!$E$2:$E$2000))*'Data Base Coal Wining'!$N$2:$N$2000)</f>
        <v>0</v>
      </c>
      <c r="EC29" s="5"/>
      <c r="ED29" s="24">
        <f>SUMPRODUCT(('Data Base Coal Wining'!$D$2:$D$2000="TCM-ROM SB2 BK24-ROM 6")*('Data Base Coal Wining'!$G$2:$G$2000="Coal Winning")*ISNUMBER(SEARCH(TEXT('September TCM'!$B29,"00")&amp;"/09/2026",'Data Base Coal Wining'!$E$2:$E$2000))*'Data Base Coal Wining'!$N$2:$N$2000)</f>
        <v>0</v>
      </c>
      <c r="EE29" s="12"/>
      <c r="EF29" s="15">
        <f t="shared" si="36"/>
        <v>0</v>
      </c>
      <c r="EG29" s="9"/>
      <c r="EH29" s="9"/>
      <c r="EI29" s="5"/>
      <c r="EJ29" s="5"/>
      <c r="EK29" s="5"/>
      <c r="EL29" s="5"/>
      <c r="EM29" s="5"/>
      <c r="EN29" s="5"/>
      <c r="EO29" s="5"/>
      <c r="EP29" s="5"/>
      <c r="EQ29" s="5"/>
      <c r="ER29" s="12"/>
      <c r="ES29" s="15">
        <f t="shared" si="127"/>
        <v>0</v>
      </c>
      <c r="ET29" s="9"/>
      <c r="EU29" s="5"/>
      <c r="EV29" s="5"/>
      <c r="EW29" s="5"/>
      <c r="EX29" s="5"/>
      <c r="EY29" s="5"/>
      <c r="EZ29" s="12">
        <f t="shared" si="38"/>
        <v>0</v>
      </c>
      <c r="FA29" s="2685"/>
      <c r="FC29" s="4">
        <f t="shared" si="39"/>
        <v>0</v>
      </c>
      <c r="FD29" s="5">
        <f t="shared" si="40"/>
        <v>0</v>
      </c>
      <c r="FE29" s="5">
        <f t="shared" si="41"/>
        <v>0</v>
      </c>
      <c r="FF29" s="12">
        <f t="shared" si="42"/>
        <v>0</v>
      </c>
      <c r="FG29" s="12"/>
      <c r="FH29" s="2674"/>
      <c r="FI29" s="9"/>
      <c r="FJ29" s="5"/>
      <c r="FK29" s="5"/>
      <c r="FL29" s="5"/>
      <c r="FM29" s="5"/>
      <c r="FN29" s="5"/>
      <c r="FO29" s="15">
        <f t="shared" si="43"/>
        <v>0</v>
      </c>
      <c r="FP29" s="9"/>
      <c r="FQ29" s="5"/>
      <c r="FR29" s="5"/>
      <c r="FS29" s="5"/>
      <c r="FT29" s="5"/>
      <c r="FU29" s="5"/>
      <c r="FV29" s="15">
        <f t="shared" si="44"/>
        <v>0</v>
      </c>
      <c r="FW29" s="9"/>
      <c r="FX29" s="9"/>
      <c r="FY29" s="5"/>
      <c r="FZ29" s="5"/>
      <c r="GA29" s="5"/>
      <c r="GB29" s="5"/>
      <c r="GC29" s="5"/>
      <c r="GD29" s="5"/>
      <c r="GE29" s="24" cm="1">
        <f t="array" ref="GE29">SUMPRODUCT(('Data Base Coal Wining'!$C$2:$C$2000="TCM-ROM TEMPORARY SB2 KM 76-ROM HAC (S4700 Hard Ban)")*(ISNUMBER(SEARCH(TEXT('September TCM'!$B29,"00")&amp;"/08/2026",'Data Base Coal Wining'!$E$2:$E$2000)))*'Data Base Coal Wining'!$N$2:$N$2000)</f>
        <v>0</v>
      </c>
      <c r="GF29" s="5"/>
      <c r="GG29" s="5"/>
      <c r="GH29" s="12"/>
      <c r="GI29" s="12">
        <f t="shared" si="45"/>
        <v>0</v>
      </c>
      <c r="GJ29" s="2674"/>
      <c r="GL29" s="2">
        <f t="shared" si="112"/>
        <v>0</v>
      </c>
      <c r="GM29" s="63">
        <f t="shared" si="113"/>
        <v>0</v>
      </c>
      <c r="GN29" s="24">
        <f t="shared" si="114"/>
        <v>0</v>
      </c>
      <c r="GO29" s="1590">
        <f t="shared" si="46"/>
        <v>0</v>
      </c>
      <c r="GP29" s="848"/>
      <c r="GQ29" s="848"/>
      <c r="GR29" s="12"/>
      <c r="GS29" s="2667"/>
      <c r="GT29" s="1723">
        <f>SUMPRODUCT(('Data Base hauling'!$H$2:$H$2000="Trust")*(ISNUMBER(SEARCH(TEXT('September TCM'!$B29,"00")&amp;"/09/2026",'Data Base hauling'!$E$2:$E$2000)))*'Data Base hauling'!$N$2:$N$2000)</f>
        <v>0</v>
      </c>
      <c r="GU29" s="1723">
        <f>SUMPRODUCT(('Data Base hauling'!$H$2:$H$2000="RT")*(ISNUMBER(SEARCH(TEXT('September TCM'!$B29,"00")&amp;"/09/2026",'Data Base hauling'!$E$2:$E$2000)))*'Data Base hauling'!$N$2:$N$2000)</f>
        <v>0</v>
      </c>
      <c r="GV29" s="5">
        <f>SUMPRODUCT(('Data Base hauling'!$H$2:$H$2000="MPE")*(ISNUMBER(SEARCH(TEXT('September TCM'!$B29,"00")&amp;"/09/2026",'Data Base hauling'!$E$2:$E$2000)))*'Data Base hauling'!$N$2:$N$2000)</f>
        <v>0</v>
      </c>
      <c r="GW29" s="1723">
        <f>SUMPRODUCT(('Data Base hauling'!$H$2:$H$2000="RP")*(ISNUMBER(SEARCH(TEXT('September TCM'!$B29,"00")&amp;"/09/2026",'Data Base hauling'!$E$2:$E$2000)))*'Data Base hauling'!$N$2:$N$2000)</f>
        <v>0</v>
      </c>
      <c r="GX29" s="15">
        <f t="shared" si="115"/>
        <v>0</v>
      </c>
      <c r="GY29" s="2667"/>
      <c r="GZ29" s="35">
        <f>SUMPRODUCT(('Data Base hauling'!$C$2:$C$2000="TCM-ROM NB-ROM 1")*(ISNUMBER(SEARCH(TEXT('September TCM'!$B29,"00")&amp;"/09/2026",'Data Base hauling'!$E$2:$E$2000)))*'Data Base hauling'!$N$2:$N$2000)</f>
        <v>0</v>
      </c>
      <c r="HA29" s="9"/>
      <c r="HB29" s="5"/>
      <c r="HC29" s="5"/>
      <c r="HD29" s="5"/>
      <c r="HE29" s="5"/>
      <c r="HF29" s="24">
        <f>SUMPRODUCT(('Data Base hauling'!$C$2:$C$2000="TCM-ROM NB-ROM 4")*(ISNUMBER(SEARCH(TEXT('September TCM'!$B29,"00")&amp;"/09/2026",'Data Base hauling'!$E$2:$E$2000)))*'Data Base hauling'!$N$2:$N$2000)</f>
        <v>0</v>
      </c>
      <c r="HG29" s="24"/>
      <c r="HH29" s="24">
        <f>SUMPRODUCT(('Data Base hauling'!$C$2:$C$2000="TCM-ROM NB-ROM 5")*(ISNUMBER(SEARCH(TEXT('September TCM'!$B29,"00")&amp;"/09/2026",'Data Base hauling'!$E$2:$E$2000)))*'Data Base hauling'!$N$2:$N$2000)</f>
        <v>0</v>
      </c>
      <c r="HI29" s="24"/>
      <c r="HJ29" s="24">
        <f>SUMPRODUCT(('Data Base hauling'!$C$2:$C$2000="TCM-ROM NB-ROM 6")*(ISNUMBER(SEARCH(TEXT('September TCM'!$B29,"00")&amp;"/09/2026",'Data Base hauling'!$E$2:$E$2000)))*'Data Base hauling'!$N$2:$N$2000)</f>
        <v>0</v>
      </c>
      <c r="HK29" s="24"/>
      <c r="HL29" s="24">
        <f>SUMPRODUCT(('Data Base hauling'!$C$2:$C$2000="TCM-WASH-CR3")*(ISNUMBER(SEARCH(TEXT('September TCM'!$B29,"00")&amp;"/09/2026",'Data Base hauling'!$E$2:$E$2000)))*'Data Base hauling'!$N$2:$N$2000)</f>
        <v>0</v>
      </c>
      <c r="HM29" s="5"/>
      <c r="HN29" s="15">
        <f t="shared" si="131"/>
        <v>0</v>
      </c>
      <c r="HO29" s="9"/>
      <c r="HP29" s="5"/>
      <c r="HQ29" s="5"/>
      <c r="HR29" s="5"/>
      <c r="HS29" s="5"/>
      <c r="HT29" s="5"/>
      <c r="HU29" s="5">
        <f t="array" ref="HU29">SUMPRODUCT(('Data Base hauling'!$C$2:$C$2000="TCM-ROM SB1 BK05-ROM 4")*(ISNUMBER(SEARCH(TEXT('September TCM'!$B29,"00")&amp;"/03/2026",'Data Base hauling'!$E$2:$E$2000)))*'Data Base hauling'!$N$2:$N$2000)</f>
        <v>0</v>
      </c>
      <c r="HV29" s="5"/>
      <c r="HW29" s="5">
        <f t="array" ref="HW29">SUMPRODUCT(('Data Base hauling'!$C$2:$C$2000="TCM-ROM SB1 BK05-ROM 5")*(ISNUMBER(SEARCH(TEXT('September TCM'!$B29,"00")&amp;"/03/2026",'Data Base hauling'!$E$2:$E$2000)))*'Data Base hauling'!$N$2:$N$2000)</f>
        <v>0</v>
      </c>
      <c r="HX29" s="5"/>
      <c r="HY29" s="5"/>
      <c r="HZ29" s="5"/>
      <c r="IA29" s="5"/>
      <c r="IB29" s="5"/>
      <c r="IC29" s="12">
        <f t="shared" si="48"/>
        <v>0</v>
      </c>
      <c r="ID29" s="845"/>
      <c r="IE29" s="363"/>
      <c r="IF29" s="64"/>
      <c r="IG29" s="64"/>
      <c r="IH29" s="64"/>
      <c r="II29" s="64"/>
      <c r="IJ29" s="1926">
        <f>SUMPRODUCT(('Data Base hauling'!$C$2:$C$2000="TCM-ROM SB1 BK05-ROM 4")*(ISNUMBER(SEARCH(TEXT('September TCM'!$B29,"00")&amp;"/09/2026",'Data Base hauling'!$E$2:$E$2000)))*'Data Base hauling'!$N$2:$N$2000)</f>
        <v>0</v>
      </c>
      <c r="IK29" s="1926"/>
      <c r="IL29" s="1926">
        <f>SUMPRODUCT(('Data Base hauling'!$C$2:$C$2000="TCM-ROM SB1 BK05-ROM 5")*(ISNUMBER(SEARCH(TEXT('September TCM'!$B29,"00")&amp;"/09/2026",'Data Base hauling'!$E$2:$E$2000)))*'Data Base hauling'!$N$2:$N$2000)</f>
        <v>0</v>
      </c>
      <c r="IM29" s="49"/>
      <c r="IN29" s="49">
        <f>SUMPRODUCT(('Data Base hauling'!$C$2:$C$2000="TCM-ROM SB1 BK05-ROM 6")*(ISNUMBER(SEARCH(TEXT('September TCM'!$B29,"00")&amp;"/09/2026",'Data Base hauling'!$E$2:$E$2000)))*'Data Base hauling'!$N$2:$N$2000)</f>
        <v>0</v>
      </c>
      <c r="IO29" s="49"/>
      <c r="IP29" s="49"/>
      <c r="IQ29" s="49">
        <f>SUMPRODUCT(('Data Base hauling'!$C$2:$C$2000="TCM-HAC1 (Production)-ROM 2(HAC)")*(ISNUMBER(SEARCH(TEXT('September TCM'!$B29,"00")&amp;"/09/2026",'Data Base hauling'!$E$2:$E$2000)))*'Data Base hauling'!$N$2:$N$2000)</f>
        <v>0</v>
      </c>
      <c r="IR29" s="2195">
        <f t="shared" si="132"/>
        <v>0</v>
      </c>
      <c r="IS29" s="9"/>
      <c r="IT29" s="9"/>
      <c r="IU29" s="5"/>
      <c r="IV29" s="5"/>
      <c r="IW29" s="64"/>
      <c r="IX29" s="5"/>
      <c r="IY29" s="24">
        <f>SUMPRODUCT(('Data Base hauling'!$C$2:$C$2000="TCM-ROM SB2 BK24-ROM 4")*(ISNUMBER(SEARCH(TEXT('September TCM'!$B29,"00")&amp;"/09/2026",'Data Base hauling'!$E$2:$E$2000)))*'Data Base hauling'!$N$2:$N$2000)</f>
        <v>0</v>
      </c>
      <c r="IZ29" s="24"/>
      <c r="JA29" s="24">
        <f>SUMPRODUCT(('Data Base hauling'!$C$2:$C$2000="TCM-ROM SB2 BK24-ROM 5")*(ISNUMBER(SEARCH(TEXT('September TCM'!$B29,"00")&amp;"/09/2026",'Data Base hauling'!$E$2:$E$2000)))*'Data Base hauling'!$N$2:$N$2000)</f>
        <v>0</v>
      </c>
      <c r="JB29" s="24"/>
      <c r="JC29" s="24">
        <f>SUMPRODUCT(('Data Base hauling'!$C$2:$C$2000="TCM-ROM SB2 BK24-ROM 6")*(ISNUMBER(SEARCH(TEXT('September TCM'!$B29,"00")&amp;"/09/2026",'Data Base hauling'!$E$2:$E$2000)))*'Data Base hauling'!$N$2:$N$2000)</f>
        <v>0</v>
      </c>
      <c r="JD29" s="5"/>
      <c r="JE29" s="5"/>
      <c r="JF29" s="5"/>
      <c r="JG29" s="12">
        <f t="shared" si="133"/>
        <v>0</v>
      </c>
      <c r="JH29" s="2667"/>
      <c r="JJ29" s="2014">
        <f>SUMPRODUCT(('Data Base hauling'!$O$2:$O$2000="TCM.HCV.LS")*(ISNUMBER(SEARCH(TEXT('September TCM'!$B29,"00")&amp;"/09/2026",'Data Base hauling'!$E$2:$E$2000)))*'Data Base hauling'!$N$2:$N$2000)</f>
        <v>0</v>
      </c>
      <c r="JK29" s="2015">
        <f>SUMPRODUCT(('Data Base hauling'!$O$2:$O$2000="TCM.HCV.HS")*(ISNUMBER(SEARCH(TEXT('September TCM'!$B29,"00")&amp;"/09/2026",'Data Base hauling'!$E$2:$E$2000)))*'Data Base hauling'!$N$2:$N$2000)</f>
        <v>0</v>
      </c>
      <c r="JL29" s="64"/>
      <c r="JM29" s="1736">
        <f t="shared" si="51"/>
        <v>0</v>
      </c>
      <c r="JN29" s="12"/>
      <c r="JO29" s="2669"/>
      <c r="JP29" s="66" t="str">
        <f>IFERROR(SUMPRODUCT(('Data Base hauling'!$O$2:$O$2000="TCM.HCV.LS")*('Data Base hauling'!$C$2:$C$2000="TCM-ROM NB-ROM 1")*(ISNUMBER(SEARCH(TEXT('September TCM'!$B29,"00")&amp;"/09/2026",'Data Base hauling'!$E$2:$E$2000)))*'Data Base hauling'!$N$2:$N$2000)/'September TCM'!$JJ29,"")</f>
        <v/>
      </c>
      <c r="JQ29" s="67" t="str">
        <f>IFERROR(SUMPRODUCT(('Data Base hauling'!$O$2:$O$2000="TCM.HCV.LS")*('Data Base hauling'!$C$2:$C$2000="TCM-ROM NB-ROM 2")*(ISNUMBER(SEARCH(TEXT('September TCM'!$B29,"00")&amp;"/09/2026",'Data Base hauling'!$E$2:$E$2000)))*'Data Base hauling'!$N$2:$N$2000)/'September TCM'!$JJ29,"")</f>
        <v/>
      </c>
      <c r="JR29" s="67" t="str">
        <f>IFERROR(SUMPRODUCT(('Data Base hauling'!$O$2:$O$2000="TCM.HCV.LS")*('Data Base hauling'!$C$2:$C$2000="TCM-ROM NB-ROM 3")*(ISNUMBER(SEARCH(TEXT('September TCM'!$B29,"00")&amp;"/09/2026",'Data Base hauling'!$E$2:$E$2000)))*'Data Base hauling'!$N$2:$N$2000)/'September TCM'!$JJ29,"")</f>
        <v/>
      </c>
      <c r="JS29" s="67" t="str">
        <f>IFERROR(SUMPRODUCT(('Data Base hauling'!$O$2:$O$2000="TCM.HCV.LS")*('Data Base hauling'!$C$2:$C$2000="TCM-ROM SB1 BK05-ROM 4")*(ISNUMBER(SEARCH(TEXT('September TCM'!$B29,"00")&amp;"/09/2026",'Data Base hauling'!$E$2:$E$2000)))*'Data Base hauling'!$N$2:$N$2000)/'September TCM'!$JJ29,"")</f>
        <v/>
      </c>
      <c r="JT29" s="67" t="str">
        <f>IFERROR(SUMPRODUCT(('Data Base hauling'!$O$2:$O$2000="TCM.HCV.LS")*SIGN(('Data Base hauling'!$C$2:$C$2000="TCM-ROM NB-ROM 5")+('Data Base hauling'!$C$2:$C$2000="TCM-ROM SB1 BK05-ROM 5")+('Data Base hauling'!$C$2:$C$2000="TCM-ROM SB2 BK24-ROM 5"))*(ISNUMBER(SEARCH(TEXT('September TCM'!$B29,"00")&amp;"/09/2026",'Data Base hauling'!$E$2:$E$2000)))*'Data Base hauling'!$N$2:$N$2000)/'September TCM'!$JJ29,"")</f>
        <v/>
      </c>
      <c r="JU29" s="67" t="str">
        <f>IFERROR(SUMPRODUCT(('Data Base hauling'!$O$2:$O$2000="TCM.HCV.LS")*SIGN(('Data Base hauling'!$C$2:$C$2000="TCM-ROM NB-ROM 6")+('Data Base hauling'!$C$2:$C$2000="TCM-ROM SB1 BK05-ROM 6")+('Data Base hauling'!$C$2:$C$2000="TCM-ROM SB2 BK24-ROM 6"))*(ISNUMBER(SEARCH(TEXT('September TCM'!$B29,"00")&amp;"/09/2026",'Data Base hauling'!$E$2:$E$2000)))*'Data Base hauling'!$N$2:$N$2000)/'September TCM'!$JJ29,"")</f>
        <v/>
      </c>
      <c r="JV29" s="67" t="str">
        <f>IFERROR(SUMPRODUCT(('Data Base hauling'!$O$2:$O$2000="TCM.HCV.LS")*('Data Base hauling'!$C$2:$C$2000="TCM-WASH-CR3")*(ISNUMBER(SEARCH(TEXT('September TCM'!$B29,"00")&amp;"/09/2026",'Data Base hauling'!$E$2:$E$2000)))*'Data Base hauling'!$N$2:$N$2000)/'September TCM'!$JJ29,"")</f>
        <v/>
      </c>
      <c r="JW29" s="1921">
        <f>SUMPRODUCT(('Data Base hauling'!$O$2:$O$2000="TCM.HCV.LS")*('Data Base hauling'!$C$2:$C$2000="TCM-HAC-CR3")*(ISNUMBER(SEARCH(TEXT('September TCM'!$B29,"00")&amp;"/089/2026",'Data Base hauling'!$E$2:$E$2000)))*'Data Base hauling'!$N$2:$N$2000)</f>
        <v>0</v>
      </c>
      <c r="JX29" s="66" t="str">
        <f>IFERROR(SUMPRODUCT(('Data Base hauling'!$O$2:$O$2000="TCM.HCV.HS")*('Data Base hauling'!$C$2:$C$2000="TCM-ROM NB-ROM 1")*(ISNUMBER(SEARCH(TEXT('September TCM'!$B29,"00")&amp;"/09/2026",'Data Base hauling'!$E$2:$E$2000)))*'Data Base hauling'!$N$2:$N$2000)/'September TCM'!$JK29,"")</f>
        <v/>
      </c>
      <c r="JY29" s="67" t="str">
        <f>IFERROR(SUMPRODUCT(('Data Base hauling'!$O$2:$O$2000="TCM.HCV.HS")*('Data Base hauling'!$C$2:$C$2000="TCM-ROM NB-ROM 2")*(ISNUMBER(SEARCH(TEXT('September TCM'!$B29,"00")&amp;"/09/2026",'Data Base hauling'!$E$2:$E$2000)))*'Data Base hauling'!$N$2:$N$2000)/'September TCM'!$JK29,"")</f>
        <v/>
      </c>
      <c r="JZ29" s="67" t="str">
        <f>IFERROR(SUMPRODUCT(('Data Base hauling'!$O$2:$O$2000="TCM.HCV.HS")*('Data Base hauling'!$C$2:$C$2000="TCM-ROM NB-ROM 3")*(ISNUMBER(SEARCH(TEXT('September TCM'!$B29,"00")&amp;"/09/2026",'Data Base hauling'!$E$2:$E$2000)))*'Data Base hauling'!$N$2:$N$2000)/'September TCM'!$JK29,"")</f>
        <v/>
      </c>
      <c r="KA29" s="67" t="str">
        <f>IFERROR(SUMPRODUCT(('Data Base hauling'!$O$2:$O$2000="TCM.HCV.HS")*('Data Base hauling'!$C$2:$C$2000="TCM-ROM SB1 BK05-ROM 4")*(ISNUMBER(SEARCH(TEXT('September TCM'!$B29,"00")&amp;"/09/2026",'Data Base hauling'!$E$2:$E$2000)))*'Data Base hauling'!$N$2:$N$2000)/'September TCM'!$JK29,"")</f>
        <v/>
      </c>
      <c r="KB29" s="67" t="str">
        <f>IFERROR(SUMPRODUCT(('Data Base hauling'!$O$2:$O$2000="TCM.HCV.HS")*SIGN(('Data Base hauling'!$C$2:$C$2000="TCM-ROM NB-ROM 5")+('Data Base hauling'!$C$2:$C$2000="TCM-ROM SB1 BK05-ROM 5")+('Data Base hauling'!$C$2:$C$2000="TCM-ROM SB2 BK24-ROM 5"))*(ISNUMBER(SEARCH(TEXT('September TCM'!$B29,"00")&amp;"/09/2026",'Data Base hauling'!$E$2:$E$2000)))*'Data Base hauling'!$N$2:$N$2000)/'September TCM'!$JK29,"")</f>
        <v/>
      </c>
      <c r="KC29" s="67" t="str">
        <f>IFERROR(SUMPRODUCT(('Data Base hauling'!$O$2:$O$2000="TCM.HCV.HS")*SIGN(('Data Base hauling'!$C$2:$C$2000="TCM-ROM NB-ROM 6")+('Data Base hauling'!$C$2:$C$2000="TCM-ROM SB1 BK05-ROM 6")+('Data Base hauling'!$C$2:$C$2000="TCM-ROM SB2 BK24-ROM 6"))*(ISNUMBER(SEARCH(TEXT('September TCM'!$B29,"00")&amp;"/09/2026",'Data Base hauling'!$E$2:$E$2000)))*'Data Base hauling'!$N$2:$N$2000)/'September TCM'!$JK29,"")</f>
        <v/>
      </c>
      <c r="KD29" s="67" t="str">
        <f>IFERROR(SUMPRODUCT(('Data Base hauling'!$O$2:$O$2000="TCM.HCV.HS")*('Data Base hauling'!$C$2:$C$2000="TCM-WASH-CR3")*(ISNUMBER(SEARCH(TEXT('September TCM'!$B29,"00")&amp;"/09/2026",'Data Base hauling'!$E$2:$E$2000)))*'Data Base hauling'!$N$2:$N$2000)/'September TCM'!$JK29,"")</f>
        <v/>
      </c>
      <c r="KE29" s="68" t="str">
        <f>IFERROR(SUMPRODUCT(('Data Base hauling'!$O$2:$O$2000="TCM.HCV.HS")*('Data Base hauling'!$C$2:$C$2000="TCM-HAC-CR3")*(ISNUMBER(SEARCH(TEXT('September TCM'!$B29,"00")&amp;"/09/2026",'Data Base hauling'!$E$2:$E$2000)))*'Data Base hauling'!$N$2:$N$2000)/'September TCM'!$JK29,"")</f>
        <v/>
      </c>
      <c r="KF29" s="849"/>
      <c r="KG29" s="850"/>
      <c r="KH29" s="850"/>
      <c r="KI29" s="850"/>
      <c r="KJ29" s="850"/>
      <c r="KK29" s="850"/>
      <c r="KL29" s="850"/>
      <c r="KM29" s="850"/>
      <c r="KN29" s="12"/>
      <c r="KO29" s="2669"/>
      <c r="KP29" s="2203">
        <f>IFERROR(SUMPRODUCT((TCM.HCV.LS!$A$3:$A$58=DATE(2026,9,$B29))*(TCM.HCV.LS!$O$3:$O$58&gt;0)*TCM.HCV.LS!$C$3:$C$58*TCM.HCV.LS!$O$3:$O$58)/SUMPRODUCT((TCM.HCV.LS!$A$3:$A$58=DATE(2026,9,$B29))*(TCM.HCV.LS!$O$3:$O$58&gt;0)*TCM.HCV.LS!$C$3:$C$58),0)</f>
        <v>0</v>
      </c>
      <c r="KQ29" s="1721">
        <f>IFERROR(SUMPRODUCT((TCM.HCV.LS!$A$3:$A$58=DATE(2026,9,$B29))*(TCM.HCV.LS!$M$3:$M$58&gt;0)*TCM.HCV.LS!$C$3:$C$58*TCM.HCV.LS!$M$3:$M$58)/SUMPRODUCT((TCM.HCV.LS!$A$3:$A$58=DATE(2026,9,$B29))*(TCM.HCV.LS!$M$3:$M$58&gt;0)*TCM.HCV.LS!$C$3:$C$58),0)</f>
        <v>0</v>
      </c>
      <c r="KR29" s="1721">
        <f>IFERROR(SUMPRODUCT((TCM.HCV.LS!$A$3:$A$58=DATE(2026,9,$B29))*(TCM.HCV.LS!$G$3:$G$58&gt;0)*TCM.HCV.LS!$C$3:$C$58*TCM.HCV.LS!$G$3:$G$58)/SUMPRODUCT((TCM.HCV.LS!$A$3:$A$58=DATE(2026,9,$B29))*(TCM.HCV.LS!$G$3:$G$58&gt;0)*TCM.HCV.LS!$C$3:$C$58),0)</f>
        <v>0</v>
      </c>
      <c r="KS29" s="1721">
        <f>IFERROR(SUMPRODUCT((TCM.HCV.LS!$A$3:$A$58=DATE(2026,9,$B29))*(TCM.HCV.LS!$F$3:$F$58&gt;0)*TCM.HCV.LS!$C$3:$C$58*TCM.HCV.LS!$F$3:$F$58)/SUMPRODUCT((TCM.HCV.LS!$A$3:$A$58=DATE(2026,9,$B29))*(TCM.HCV.LS!$F$3:$F$58&gt;0)*TCM.HCV.LS!$C$3:$C$58),0)</f>
        <v>0</v>
      </c>
      <c r="KT29" s="1722">
        <f>IFERROR(SUMPRODUCT((TCM.HCV.LS!$A$3:$A$58=DATE(2026,9,$B29))*(TCM.HCV.LS!$E$3:$E$58&gt;0)*TCM.HCV.LS!$C$3:$C$58*TCM.HCV.LS!$E$3:$E$58)/SUMPRODUCT((TCM.HCV.LS!$A$3:$A$58=DATE(2026,9,$B29))*(TCM.HCV.LS!$E$3:$E$58&gt;0)*TCM.HCV.LS!$C$3:$C$58),0)</f>
        <v>0</v>
      </c>
      <c r="KU29" s="1958">
        <f>IFERROR(SUMPRODUCT((TCM.HCV.HS!$A$3:$A$84=DATE(2026,9,$B29))*(TCM.HCV.HS!$O$3:$O$84&gt;0)*TCM.HCV.HS!$C$3:$C$84*TCM.HCV.HS!$O$3:$O$84)/SUMPRODUCT((TCM.HCV.HS!$A$3:$A$84=DATE(2026,9,$B29))*(TCM.HCV.HS!$O$3:$O$84&gt;0)*TCM.HCV.HS!$C$3:$C$84),0)</f>
        <v>0</v>
      </c>
      <c r="KV29" s="1961">
        <f>IFERROR(SUMPRODUCT((TCM.HCV.HS!$A$3:$A$84=DATE(2026,9,$B29))*(TCM.HCV.HS!$M$3:$M$84&gt;0)*TCM.HCV.HS!$C$3:$C$84*TCM.HCV.HS!$M$3:$M$84)/SUMPRODUCT((TCM.HCV.HS!$A$3:$A$84=DATE(2026,9,$B29))*(TCM.HCV.HS!$M$3:$M$84&gt;0)*TCM.HCV.HS!$C$3:$C$84),0)</f>
        <v>0</v>
      </c>
      <c r="KW29" s="1961">
        <f>IFERROR(SUMPRODUCT((TCM.HCV.HS!$A$3:$A$84=DATE(2026,9,$B29))*(TCM.HCV.HS!$G$3:$G$84&gt;0)*TCM.HCV.HS!$C$3:$C$84*TCM.HCV.HS!$G$3:$G$84)/SUMPRODUCT((TCM.HCV.HS!$A$3:$A$84=DATE(2026,9,$B29))*(TCM.HCV.HS!$G$3:$G$84&gt;0)*TCM.HCV.HS!$C$3:$C$84),0)</f>
        <v>0</v>
      </c>
      <c r="KX29" s="1961">
        <f>IFERROR(SUMPRODUCT((TCM.HCV.HS!$A$3:$A$84=DATE(2026,9,$B29))*(TCM.HCV.HS!$F$3:$F$84&gt;0)*TCM.HCV.HS!$C$3:$C$84*TCM.HCV.HS!$F$3:$F$84)/SUMPRODUCT((TCM.HCV.HS!$A$3:$A$84=DATE(2026,9,$B29))*(TCM.HCV.HS!$F$3:$F$84&gt;0)*TCM.HCV.HS!$C$3:$C$84),0)</f>
        <v>0</v>
      </c>
      <c r="KY29" s="1962">
        <f>IFERROR(SUMPRODUCT((TCM.HCV.HS!$A$3:$A$84=DATE(2026,9,$B29))*(TCM.HCV.HS!$E$3:$E$84&gt;0)*TCM.HCV.HS!$C$3:$C$84*TCM.HCV.HS!$E$3:$E$84)/SUMPRODUCT((TCM.HCV.HS!$A$3:$A$84=DATE(2026,9,$B29))*(TCM.HCV.HS!$E$3:$E$84&gt;0)*TCM.HCV.HS!$C$3:$C$84),0)</f>
        <v>0</v>
      </c>
      <c r="KZ29" s="9"/>
      <c r="LA29" s="64"/>
      <c r="LB29" s="64"/>
      <c r="LC29" s="64"/>
      <c r="LD29" s="64"/>
      <c r="LE29" s="12"/>
      <c r="LF29" s="2669"/>
      <c r="LH29" s="4">
        <f t="shared" si="138"/>
        <v>0</v>
      </c>
      <c r="LI29" s="5">
        <f t="shared" si="138"/>
        <v>0</v>
      </c>
      <c r="LJ29" s="5">
        <f t="shared" si="138"/>
        <v>0</v>
      </c>
      <c r="LK29" s="15">
        <f t="shared" si="53"/>
        <v>0</v>
      </c>
      <c r="LL29" s="9"/>
      <c r="LM29" s="5"/>
      <c r="LN29" s="5"/>
      <c r="LO29" s="12"/>
      <c r="LP29" s="1956"/>
      <c r="LQ29" s="1128"/>
      <c r="LR29" s="2688"/>
      <c r="LS29" s="9"/>
      <c r="LT29" s="9"/>
      <c r="LU29" s="5"/>
      <c r="LV29" s="5"/>
      <c r="LW29" s="5"/>
      <c r="LX29" s="1107">
        <f t="shared" si="129"/>
        <v>0</v>
      </c>
      <c r="LY29" s="9"/>
      <c r="LZ29" s="9"/>
      <c r="MA29" s="5"/>
      <c r="MB29" s="5"/>
      <c r="MC29" s="12"/>
      <c r="MD29" s="28">
        <f t="shared" si="137"/>
        <v>0</v>
      </c>
      <c r="ME29" s="4"/>
      <c r="MF29" s="9"/>
      <c r="MG29" s="5"/>
      <c r="MH29" s="5"/>
      <c r="MI29" s="5"/>
      <c r="MJ29" s="15"/>
      <c r="MK29" s="9"/>
      <c r="ML29" s="9"/>
      <c r="MM29" s="5"/>
      <c r="MN29" s="5"/>
      <c r="MO29" s="5"/>
      <c r="MP29" s="15"/>
      <c r="MQ29" s="9"/>
      <c r="MR29" s="9"/>
      <c r="MS29" s="5"/>
      <c r="MT29" s="5"/>
      <c r="MU29" s="5"/>
      <c r="MV29" s="12">
        <f t="shared" si="56"/>
        <v>0</v>
      </c>
      <c r="MW29" s="2688"/>
      <c r="MY29" s="4">
        <f t="shared" si="57"/>
        <v>377341.84766611259</v>
      </c>
      <c r="MZ29" s="5">
        <f t="shared" si="58"/>
        <v>191281.80302645115</v>
      </c>
      <c r="NA29" s="5">
        <f t="shared" si="59"/>
        <v>27294.683787707359</v>
      </c>
      <c r="NB29" s="15">
        <f t="shared" si="60"/>
        <v>318297.33035698003</v>
      </c>
      <c r="NC29" s="2621"/>
      <c r="ND29" s="23">
        <f t="shared" si="116"/>
        <v>207724.34280113198</v>
      </c>
      <c r="NE29" s="1655">
        <f t="shared" si="117"/>
        <v>169617.50486498058</v>
      </c>
      <c r="NF29" s="60">
        <f t="shared" si="63"/>
        <v>0</v>
      </c>
      <c r="NG29" s="1042">
        <f t="shared" si="4"/>
        <v>377341.84766611259</v>
      </c>
      <c r="NH29" s="4">
        <f t="shared" si="141"/>
        <v>-313.35000000000002</v>
      </c>
      <c r="NI29" s="5">
        <f t="shared" si="141"/>
        <v>0</v>
      </c>
      <c r="NJ29" s="27">
        <f t="shared" si="141"/>
        <v>0</v>
      </c>
      <c r="NK29" s="5">
        <f t="shared" si="141"/>
        <v>0</v>
      </c>
      <c r="NL29" s="5">
        <f t="shared" si="141"/>
        <v>0</v>
      </c>
      <c r="NM29" s="12">
        <f t="shared" si="141"/>
        <v>0</v>
      </c>
      <c r="NN29" s="27">
        <f t="shared" si="141"/>
        <v>0</v>
      </c>
      <c r="NO29" s="9">
        <f t="shared" si="141"/>
        <v>0</v>
      </c>
      <c r="NP29" s="24">
        <f t="shared" si="141"/>
        <v>21665.870136227244</v>
      </c>
      <c r="NQ29" s="5">
        <f t="shared" si="141"/>
        <v>22358.939343794715</v>
      </c>
      <c r="NR29" s="24">
        <f t="shared" si="118"/>
        <v>8443.1982322711574</v>
      </c>
      <c r="NS29" s="24">
        <f t="shared" si="119"/>
        <v>9895.3380410535083</v>
      </c>
      <c r="NT29" s="5">
        <f t="shared" si="0"/>
        <v>62049.995753346629</v>
      </c>
      <c r="NU29" s="27">
        <f t="shared" si="142"/>
        <v>0</v>
      </c>
      <c r="NV29" s="5">
        <f t="shared" si="142"/>
        <v>0</v>
      </c>
      <c r="NW29" s="27">
        <f t="shared" si="142"/>
        <v>0</v>
      </c>
      <c r="NX29" s="5">
        <f t="shared" si="142"/>
        <v>0</v>
      </c>
      <c r="NY29" s="5">
        <f t="shared" si="142"/>
        <v>0</v>
      </c>
      <c r="NZ29" s="5">
        <f t="shared" si="142"/>
        <v>0</v>
      </c>
      <c r="OA29" s="27">
        <f t="shared" si="142"/>
        <v>35558.705564997217</v>
      </c>
      <c r="OB29" s="5">
        <f t="shared" si="142"/>
        <v>0</v>
      </c>
      <c r="OC29" s="27">
        <f t="shared" si="66"/>
        <v>12611.886475620366</v>
      </c>
      <c r="OD29" s="27"/>
      <c r="OE29" s="27">
        <f t="shared" si="120"/>
        <v>13429.316718063665</v>
      </c>
      <c r="OF29" s="5">
        <f t="shared" si="67"/>
        <v>0</v>
      </c>
      <c r="OG29" s="15">
        <f t="shared" si="1"/>
        <v>61599.908758681253</v>
      </c>
      <c r="OH29" s="27">
        <f t="shared" si="143"/>
        <v>0</v>
      </c>
      <c r="OI29" s="5">
        <f t="shared" si="143"/>
        <v>0</v>
      </c>
      <c r="OJ29" s="5">
        <f t="shared" si="143"/>
        <v>0</v>
      </c>
      <c r="OK29" s="5">
        <f t="shared" si="143"/>
        <v>0</v>
      </c>
      <c r="OL29" s="27">
        <f t="shared" si="143"/>
        <v>0</v>
      </c>
      <c r="OM29" s="5">
        <f t="shared" si="143"/>
        <v>0</v>
      </c>
      <c r="ON29" s="24">
        <f t="shared" si="143"/>
        <v>0</v>
      </c>
      <c r="OO29" s="5">
        <f t="shared" si="143"/>
        <v>0</v>
      </c>
      <c r="OP29" s="24">
        <f t="shared" si="69"/>
        <v>54054.217649249818</v>
      </c>
      <c r="OQ29" s="5">
        <f t="shared" si="144"/>
        <v>0</v>
      </c>
      <c r="OR29" s="24">
        <f t="shared" si="144"/>
        <v>13577.680865173457</v>
      </c>
      <c r="OS29" s="5">
        <f t="shared" si="144"/>
        <v>0</v>
      </c>
      <c r="OT29" s="15">
        <f t="shared" si="2"/>
        <v>67631.898514423272</v>
      </c>
      <c r="OU29" s="9"/>
      <c r="OV29" s="5"/>
      <c r="OW29" s="5"/>
      <c r="OX29" s="5"/>
      <c r="OY29" s="5"/>
      <c r="OZ29" s="5"/>
      <c r="PA29" s="15">
        <f t="shared" si="71"/>
        <v>0</v>
      </c>
      <c r="PB29" s="9">
        <f t="shared" si="72"/>
        <v>0</v>
      </c>
      <c r="PC29" s="5">
        <f t="shared" si="73"/>
        <v>0</v>
      </c>
      <c r="PD29" s="5">
        <f t="shared" si="74"/>
        <v>0</v>
      </c>
      <c r="PE29" s="5">
        <f t="shared" si="75"/>
        <v>0</v>
      </c>
      <c r="PF29" s="24"/>
      <c r="PG29" s="5">
        <f t="shared" si="76"/>
        <v>0</v>
      </c>
      <c r="PH29" s="12">
        <f t="shared" si="3"/>
        <v>0</v>
      </c>
      <c r="PI29" s="2621"/>
      <c r="PK29" s="1907">
        <f>SUMPRODUCT(('Data Base Coal Wining'!$D$2:$D$2000="WASHING PLANT")*ISNUMBER(SEARCH(TEXT('September TCM'!$B29,"00")&amp;"/09/2026",'Data Base Coal Wining'!$E$2:$E$2000))*'Data Base Coal Wining'!$N$2:$N$2000)</f>
        <v>0</v>
      </c>
      <c r="PL29" s="3"/>
      <c r="PM29" s="3"/>
      <c r="PN29" s="3">
        <f>HL29</f>
        <v>0</v>
      </c>
      <c r="PO29" s="3">
        <f t="shared" si="78"/>
        <v>38895.633435124721</v>
      </c>
      <c r="PP29" s="11">
        <f t="shared" si="139"/>
        <v>27294.683787707359</v>
      </c>
      <c r="PQ29" s="15"/>
      <c r="PR29" s="2615"/>
      <c r="PT29" s="4"/>
      <c r="PU29" s="9"/>
      <c r="PV29" s="9"/>
      <c r="PW29" s="9"/>
      <c r="PX29" s="8">
        <f>SUMPRODUCT(('Data Base Coal Wining'!$D$2:$D$2000="TCM-ROM SB1 BK05-ROM 2 (HAC)")*('Data Base Coal Wining'!$G$2:$G$2000="Coal Winning")*ISNUMBER(SEARCH(TEXT('September TCM'!$B29,"00")&amp;"/09/2026",'Data Base Coal Wining'!$E$2:$E$2000))*'Data Base Coal Wining'!$N$2:$N$2000)</f>
        <v>0</v>
      </c>
      <c r="PY29" s="9"/>
      <c r="PZ29" s="8">
        <f t="shared" si="80"/>
        <v>0</v>
      </c>
      <c r="QA29" s="5">
        <f t="shared" si="81"/>
        <v>0</v>
      </c>
      <c r="QB29" s="5"/>
      <c r="QC29" s="5"/>
      <c r="QD29" s="5"/>
      <c r="QE29" s="5"/>
      <c r="QF29" s="5"/>
      <c r="QG29" s="12"/>
      <c r="QH29" s="12">
        <f t="shared" si="82"/>
        <v>29562.488999999998</v>
      </c>
      <c r="QI29" s="420">
        <f t="shared" si="83"/>
        <v>283762.59090898006</v>
      </c>
      <c r="QJ29" s="1106">
        <f t="shared" si="121"/>
        <v>4972.2504480000007</v>
      </c>
      <c r="QK29" s="484">
        <f t="shared" si="84"/>
        <v>5505.3678056099998</v>
      </c>
      <c r="QL29" s="12"/>
      <c r="QM29" s="2615"/>
      <c r="QO29" s="139" t="str">
        <f t="shared" si="85"/>
        <v/>
      </c>
      <c r="QP29" s="139" t="str">
        <f t="shared" si="86"/>
        <v/>
      </c>
      <c r="QR29" s="139" t="str">
        <f t="shared" si="87"/>
        <v/>
      </c>
      <c r="QS29" s="139" t="str">
        <f t="shared" si="88"/>
        <v/>
      </c>
      <c r="QU29" s="1">
        <f t="shared" si="89"/>
        <v>0</v>
      </c>
      <c r="QV29" s="1">
        <f t="shared" si="90"/>
        <v>0</v>
      </c>
      <c r="QW29" s="1">
        <f t="shared" si="91"/>
        <v>0</v>
      </c>
      <c r="QX29" s="1">
        <f t="shared" si="92"/>
        <v>0</v>
      </c>
      <c r="QY29" s="1">
        <f t="shared" si="93"/>
        <v>0</v>
      </c>
      <c r="QZ29" s="1">
        <f t="shared" si="94"/>
        <v>0</v>
      </c>
      <c r="RB29" s="1">
        <f t="shared" si="95"/>
        <v>0</v>
      </c>
      <c r="RC29" s="1">
        <f t="shared" si="96"/>
        <v>0</v>
      </c>
      <c r="RD29" s="1">
        <f t="shared" si="97"/>
        <v>0</v>
      </c>
      <c r="RE29" s="1">
        <f t="shared" si="98"/>
        <v>0</v>
      </c>
      <c r="RF29" s="1">
        <f t="shared" si="99"/>
        <v>0</v>
      </c>
      <c r="RG29" s="1">
        <f t="shared" si="100"/>
        <v>0</v>
      </c>
      <c r="RJ29" s="1">
        <v>20</v>
      </c>
      <c r="RK29" s="1">
        <f t="shared" si="135"/>
        <v>5984.4452097170979</v>
      </c>
      <c r="RL29" s="1">
        <f t="shared" si="135"/>
        <v>5074.1017804837184</v>
      </c>
      <c r="RM29" s="1">
        <f t="shared" si="135"/>
        <v>13404.263703387322</v>
      </c>
      <c r="RN29" s="89">
        <f t="shared" si="5"/>
        <v>24462.810693588137</v>
      </c>
      <c r="RO29" s="1033">
        <v>20</v>
      </c>
      <c r="RP29" s="1098">
        <v>0</v>
      </c>
      <c r="RQ29" s="1098">
        <f t="shared" si="102"/>
        <v>0</v>
      </c>
      <c r="RR29" s="1097">
        <f t="shared" si="102"/>
        <v>0</v>
      </c>
      <c r="RS29" s="1097">
        <f t="shared" si="103"/>
        <v>0</v>
      </c>
      <c r="RT29" s="1109"/>
      <c r="RU29" s="1928"/>
      <c r="RX29" s="421">
        <v>20</v>
      </c>
      <c r="RY29" s="1095">
        <f t="shared" si="104"/>
        <v>0</v>
      </c>
      <c r="RZ29" s="1109"/>
      <c r="SA29" s="1048"/>
      <c r="SB29" s="1090"/>
      <c r="SC29" s="1090">
        <f t="shared" si="105"/>
        <v>0</v>
      </c>
      <c r="SD29" s="1090"/>
      <c r="SE29" s="1090">
        <f t="shared" si="136"/>
        <v>0</v>
      </c>
      <c r="SG29" s="1">
        <v>20</v>
      </c>
      <c r="SH29" s="1">
        <f t="shared" si="107"/>
        <v>0</v>
      </c>
      <c r="SI29" s="2420"/>
    </row>
    <row r="30" spans="1:503" s="1" customFormat="1">
      <c r="B30" s="471">
        <v>21</v>
      </c>
      <c r="C30" s="4">
        <f>+O30+S30+W30+AE30+AI30+AA30</f>
        <v>0</v>
      </c>
      <c r="D30" s="1590">
        <f t="shared" si="128"/>
        <v>0</v>
      </c>
      <c r="E30" s="1895">
        <f t="shared" si="6"/>
        <v>0</v>
      </c>
      <c r="F30" s="870"/>
      <c r="G30" s="870"/>
      <c r="H30" s="52"/>
      <c r="I30" s="61"/>
      <c r="J30" s="52"/>
      <c r="K30" s="54"/>
      <c r="L30" s="52"/>
      <c r="M30" s="61"/>
      <c r="N30" s="2629"/>
      <c r="O30" s="4">
        <f t="shared" si="125"/>
        <v>0</v>
      </c>
      <c r="P30" s="1225">
        <f t="shared" si="7"/>
        <v>0</v>
      </c>
      <c r="Q30" s="1913">
        <f t="shared" si="8"/>
        <v>0</v>
      </c>
      <c r="R30" s="33"/>
      <c r="S30" s="26">
        <f t="shared" si="9"/>
        <v>0</v>
      </c>
      <c r="T30" s="27">
        <f t="shared" si="110"/>
        <v>0</v>
      </c>
      <c r="U30" s="1909">
        <f t="shared" si="10"/>
        <v>0</v>
      </c>
      <c r="V30" s="28"/>
      <c r="W30" s="26">
        <f t="shared" si="11"/>
        <v>0</v>
      </c>
      <c r="X30" s="5">
        <f t="shared" si="11"/>
        <v>0</v>
      </c>
      <c r="Y30" s="1909">
        <f t="shared" si="12"/>
        <v>0</v>
      </c>
      <c r="Z30" s="33"/>
      <c r="AA30" s="26">
        <f t="shared" si="13"/>
        <v>0</v>
      </c>
      <c r="AB30" s="27">
        <f t="shared" si="126"/>
        <v>0</v>
      </c>
      <c r="AC30" s="1909">
        <f t="shared" si="15"/>
        <v>0</v>
      </c>
      <c r="AD30" s="28"/>
      <c r="AE30" s="36"/>
      <c r="AF30" s="36"/>
      <c r="AG30" s="53">
        <f t="shared" si="16"/>
        <v>0</v>
      </c>
      <c r="AH30" s="28"/>
      <c r="AI30" s="23"/>
      <c r="AJ30" s="27"/>
      <c r="AK30" s="53">
        <f t="shared" si="17"/>
        <v>0</v>
      </c>
      <c r="AL30" s="28"/>
      <c r="AM30" s="2629"/>
      <c r="AN30" s="9"/>
      <c r="AO30" s="5"/>
      <c r="AP30" s="61">
        <f t="shared" si="18"/>
        <v>0</v>
      </c>
      <c r="AQ30" s="36"/>
      <c r="AR30" s="53"/>
      <c r="AS30" s="61">
        <f t="shared" si="19"/>
        <v>0</v>
      </c>
      <c r="AT30" s="36">
        <v>0</v>
      </c>
      <c r="AU30" s="27"/>
      <c r="AV30" s="54">
        <f t="shared" si="20"/>
        <v>0</v>
      </c>
      <c r="AW30" s="26"/>
      <c r="AX30" s="280">
        <f>SUMPRODUCT(ISNUMBER(SEARCH("BK20",'Data Base Coal Wining'!$C$2:$C$2000))*ISNUMBER(SEARCH("P3000",'Data Base Coal Wining'!$C$2:$C$2000))*('Data Base Coal Wining'!$H$2:$H$2000="PAMA")*('Data Base Coal Wining'!$G$2:$G$2000="Coal Winning")*ISNUMBER(SEARCH(TEXT('September TCM'!$B30,"00")&amp;"/09/2026",'Data Base Coal Wining'!$E$2:$E$2000))*'Data Base Coal Wining'!$N$2:$N$2000)</f>
        <v>0</v>
      </c>
      <c r="AY30" s="1895">
        <f t="shared" si="134"/>
        <v>0</v>
      </c>
      <c r="AZ30" s="1908"/>
      <c r="BA30" s="1909"/>
      <c r="BB30" s="1895">
        <f t="shared" si="21"/>
        <v>0</v>
      </c>
      <c r="BC30" s="1740"/>
      <c r="BD30" s="2154">
        <f>SUMPRODUCT(ISNUMBER(SEARCH("BK30",'Data Base Coal Wining'!$C$2:$C$2000))*ISNUMBER(SEARCH("P3000",'Data Base Coal Wining'!$C$2:$C$2000))*('Data Base Coal Wining'!$H$2:$H$2000="PAMA")*('Data Base Coal Wining'!$G$2:$G$2000="Coal Winning")*ISNUMBER(SEARCH(TEXT('September TCM'!$B30,"00")&amp;"/09/2026",'Data Base Coal Wining'!$E$2:$E$2000))*'Data Base Coal Wining'!$N$2:$N$2000)</f>
        <v>0</v>
      </c>
      <c r="BE30" s="1895">
        <f t="shared" si="22"/>
        <v>0</v>
      </c>
      <c r="BF30" s="1908"/>
      <c r="BG30" s="1909"/>
      <c r="BH30" s="1895">
        <f t="shared" si="23"/>
        <v>0</v>
      </c>
      <c r="BI30" s="1908">
        <v>0</v>
      </c>
      <c r="BJ30" s="1909">
        <v>0</v>
      </c>
      <c r="BK30" s="1895">
        <f t="shared" si="24"/>
        <v>0</v>
      </c>
      <c r="BL30" s="1742"/>
      <c r="BM30" s="2154">
        <f>SUMPRODUCT(ISNUMBER(SEARCH("BK26",'Data Base Coal Wining'!$C$2:$C$2000))*ISNUMBER(SEARCH("P4400",'Data Base Coal Wining'!$C$2:$C$2000))*('Data Base Coal Wining'!$H$2:$H$2000="MAP")*('Data Base Coal Wining'!$G$2:$G$2000="Coal Winning")*ISNUMBER(SEARCH(TEXT('September TCM'!$B30,"00")&amp;"/09/2026",'Data Base Coal Wining'!$E$2:$E$2000))*'Data Base Coal Wining'!$N$2:$N$2000)</f>
        <v>0</v>
      </c>
      <c r="BN30" s="2170"/>
      <c r="BO30" s="1911">
        <f t="shared" si="25"/>
        <v>0</v>
      </c>
      <c r="BP30" s="9"/>
      <c r="BQ30" s="2514">
        <f>SUMPRODUCT(ISNUMBER(SEARCH("BK34",'Data Base Coal Wining'!$C$2:$C$2000))*ISNUMBER(SEARCH("P4000",'Data Base Coal Wining'!$C$2:$C$2000))*('Data Base Coal Wining'!$H$2:$H$2000="PJPN")*('Data Base Coal Wining'!$G$2:$G$2000="Coal Winning")*ISNUMBER(SEARCH(TEXT('September TCM'!$B30,"00")&amp;"/09/2026",'Data Base Coal Wining'!$E$2:$E$2000))*'Data Base Coal Wining'!$N$2:$N$2000)</f>
        <v>0</v>
      </c>
      <c r="BR30" s="1920">
        <f t="shared" si="26"/>
        <v>0</v>
      </c>
      <c r="BS30" s="9"/>
      <c r="BT30" s="64"/>
      <c r="BU30" s="482">
        <f t="shared" si="27"/>
        <v>0</v>
      </c>
      <c r="BV30" s="9"/>
      <c r="BW30" s="27"/>
      <c r="BX30" s="1051">
        <f t="shared" si="140"/>
        <v>0</v>
      </c>
      <c r="BY30" s="4"/>
      <c r="BZ30" s="5"/>
      <c r="CA30" s="482">
        <f t="shared" si="29"/>
        <v>0</v>
      </c>
      <c r="CB30" s="9"/>
      <c r="CC30" s="5"/>
      <c r="CD30" s="482">
        <f t="shared" si="30"/>
        <v>0</v>
      </c>
      <c r="CE30" s="4"/>
      <c r="CF30" s="5"/>
      <c r="CG30" s="28">
        <f t="shared" si="31"/>
        <v>0</v>
      </c>
      <c r="CH30" s="150"/>
      <c r="CI30" s="1108"/>
      <c r="CJ30" s="5"/>
      <c r="CK30" s="5"/>
      <c r="CL30" s="5"/>
      <c r="CM30" s="5"/>
      <c r="CN30" s="3">
        <f t="shared" si="111"/>
        <v>0</v>
      </c>
      <c r="CO30" s="33"/>
      <c r="CP30" s="366"/>
      <c r="CR30" s="4">
        <f t="shared" si="32"/>
        <v>0</v>
      </c>
      <c r="CS30" s="9">
        <f t="shared" si="32"/>
        <v>0</v>
      </c>
      <c r="CT30" s="5">
        <f t="shared" si="32"/>
        <v>0</v>
      </c>
      <c r="CU30" s="5">
        <f t="shared" si="32"/>
        <v>0</v>
      </c>
      <c r="CV30" s="5">
        <f t="shared" si="32"/>
        <v>0</v>
      </c>
      <c r="CW30" s="5">
        <f t="shared" si="32"/>
        <v>0</v>
      </c>
      <c r="CX30" s="5">
        <f t="shared" si="32"/>
        <v>0</v>
      </c>
      <c r="CY30" s="5">
        <f t="shared" si="32"/>
        <v>0</v>
      </c>
      <c r="CZ30" s="5">
        <f t="shared" si="32"/>
        <v>0</v>
      </c>
      <c r="DA30" s="5">
        <f t="shared" si="32"/>
        <v>0</v>
      </c>
      <c r="DB30" s="5">
        <f t="shared" si="32"/>
        <v>0</v>
      </c>
      <c r="DC30" s="12">
        <f t="shared" si="33"/>
        <v>0</v>
      </c>
      <c r="DD30" s="310">
        <f t="shared" si="34"/>
        <v>0</v>
      </c>
      <c r="DE30" s="2695"/>
      <c r="DF30" s="8"/>
      <c r="DG30" s="9"/>
      <c r="DH30" s="5"/>
      <c r="DI30" s="5"/>
      <c r="DJ30" s="5"/>
      <c r="DK30" s="5"/>
      <c r="DL30" s="3">
        <f>SUMPRODUCT(('Data Base Coal Wining'!$D$2:$D$2000="TCM-ROM SB1 BK05-ROM 4")*('Data Base Coal Wining'!$G$2:$G$2000="Coal Winning")*ISNUMBER(SEARCH(TEXT('September TCM'!$B30,"00")&amp;"/09/2026",'Data Base Coal Wining'!$E$2:$E$2000))*'Data Base Coal Wining'!$N$2:$N$2000)</f>
        <v>0</v>
      </c>
      <c r="DM30" s="5"/>
      <c r="DN30" s="3">
        <f>SUMPRODUCT(('Data Base Coal Wining'!$D$2:$D$2000="TCM-ROM SB1 BK05-ROM 5")*('Data Base Coal Wining'!$G$2:$G$2000="Coal Winning")*ISNUMBER(SEARCH(TEXT('September TCM'!$B30,"00")&amp;"/09/2026",'Data Base Coal Wining'!$E$2:$E$2000))*'Data Base Coal Wining'!$N$2:$N$2000)</f>
        <v>0</v>
      </c>
      <c r="DO30" s="5"/>
      <c r="DP30" s="3">
        <f>SUMPRODUCT(('Data Base Coal Wining'!$D$2:$D$2000="TCM-ROM SB1 BK05-ROM 6")*('Data Base Coal Wining'!$G$2:$G$2000="Coal Winning")*ISNUMBER(SEARCH(TEXT('September TCM'!$B30,"00")&amp;"/09/2026",'Data Base Coal Wining'!$E$2:$E$2000))*'Data Base Coal Wining'!$N$2:$N$2000)</f>
        <v>0</v>
      </c>
      <c r="DQ30" s="11">
        <f>SUMPRODUCT(('Data Base Coal Wining'!$D$2:$D$2000="TCM-ROM SB1 BK05-ROM 6.1")*('Data Base Coal Wining'!$G$2:$G$2000="Coal Winning")*ISNUMBER(SEARCH(TEXT('September TCM'!$B30,"00")&amp;"/09/2026",'Data Base Coal Wining'!$E$2:$E$2000))*'Data Base Coal Wining'!$N$2:$N$2000)</f>
        <v>0</v>
      </c>
      <c r="DR30" s="12"/>
      <c r="DS30" s="28">
        <f t="shared" si="35"/>
        <v>0</v>
      </c>
      <c r="DT30" s="36"/>
      <c r="DU30" s="9"/>
      <c r="DV30" s="5"/>
      <c r="DW30" s="5"/>
      <c r="DX30" s="5"/>
      <c r="DY30" s="5"/>
      <c r="DZ30" s="27"/>
      <c r="EA30" s="27"/>
      <c r="EB30" s="3">
        <f>SUMPRODUCT(('Data Base Coal Wining'!$D$2:$D$2000="TCM-ROM SB2 BK24-ROM 5")*('Data Base Coal Wining'!$G$2:$G$2000="Coal Winning")*ISNUMBER(SEARCH(TEXT('September TCM'!$B30,"00")&amp;"/09/2026",'Data Base Coal Wining'!$E$2:$E$2000))*'Data Base Coal Wining'!$N$2:$N$2000)</f>
        <v>0</v>
      </c>
      <c r="EC30" s="27"/>
      <c r="ED30" s="24">
        <f>SUMPRODUCT(('Data Base Coal Wining'!$D$2:$D$2000="TCM-ROM SB2 BK24-ROM 6")*('Data Base Coal Wining'!$G$2:$G$2000="Coal Winning")*ISNUMBER(SEARCH(TEXT('September TCM'!$B30,"00")&amp;"/09/2026",'Data Base Coal Wining'!$E$2:$E$2000))*'Data Base Coal Wining'!$N$2:$N$2000)</f>
        <v>0</v>
      </c>
      <c r="EE30" s="33"/>
      <c r="EF30" s="28">
        <f t="shared" si="36"/>
        <v>0</v>
      </c>
      <c r="EG30" s="9"/>
      <c r="EH30" s="36"/>
      <c r="EI30" s="27"/>
      <c r="EJ30" s="27"/>
      <c r="EK30" s="27"/>
      <c r="EL30" s="27"/>
      <c r="EM30" s="27"/>
      <c r="EN30" s="27"/>
      <c r="EO30" s="5"/>
      <c r="EP30" s="5"/>
      <c r="EQ30" s="5"/>
      <c r="ER30" s="33"/>
      <c r="ES30" s="28">
        <f t="shared" si="127"/>
        <v>0</v>
      </c>
      <c r="ET30" s="36"/>
      <c r="EU30" s="27"/>
      <c r="EV30" s="27"/>
      <c r="EW30" s="27"/>
      <c r="EX30" s="27"/>
      <c r="EY30" s="27"/>
      <c r="EZ30" s="33">
        <f t="shared" si="38"/>
        <v>0</v>
      </c>
      <c r="FA30" s="2685"/>
      <c r="FC30" s="4">
        <f t="shared" si="39"/>
        <v>0</v>
      </c>
      <c r="FD30" s="5">
        <f t="shared" si="40"/>
        <v>0</v>
      </c>
      <c r="FE30" s="5">
        <f t="shared" si="41"/>
        <v>0</v>
      </c>
      <c r="FF30" s="12">
        <f t="shared" si="42"/>
        <v>0</v>
      </c>
      <c r="FG30" s="33"/>
      <c r="FH30" s="2674"/>
      <c r="FI30" s="9"/>
      <c r="FJ30" s="5"/>
      <c r="FK30" s="5"/>
      <c r="FL30" s="5"/>
      <c r="FM30" s="5"/>
      <c r="FN30" s="27"/>
      <c r="FO30" s="28">
        <f t="shared" si="43"/>
        <v>0</v>
      </c>
      <c r="FP30" s="36"/>
      <c r="FQ30" s="27"/>
      <c r="FR30" s="27"/>
      <c r="FS30" s="27"/>
      <c r="FT30" s="27"/>
      <c r="FU30" s="27"/>
      <c r="FV30" s="28">
        <f t="shared" si="44"/>
        <v>0</v>
      </c>
      <c r="FW30" s="36"/>
      <c r="FX30" s="36"/>
      <c r="FY30" s="27"/>
      <c r="FZ30" s="27"/>
      <c r="GA30" s="27"/>
      <c r="GB30" s="27"/>
      <c r="GC30" s="27"/>
      <c r="GD30" s="27"/>
      <c r="GE30" s="24" cm="1">
        <f t="array" ref="GE30">SUMPRODUCT(('Data Base Coal Wining'!$C$2:$C$2000="TCM-ROM TEMPORARY SB2 KM 76-ROM HAC (S4700 Hard Ban)")*(ISNUMBER(SEARCH(TEXT('September TCM'!$B30,"00")&amp;"/08/2026",'Data Base Coal Wining'!$E$2:$E$2000)))*'Data Base Coal Wining'!$N$2:$N$2000)</f>
        <v>0</v>
      </c>
      <c r="GF30" s="27"/>
      <c r="GG30" s="27"/>
      <c r="GH30" s="33"/>
      <c r="GI30" s="33">
        <f t="shared" si="45"/>
        <v>0</v>
      </c>
      <c r="GJ30" s="2674"/>
      <c r="GL30" s="2">
        <f t="shared" si="112"/>
        <v>0</v>
      </c>
      <c r="GM30" s="63">
        <f t="shared" si="113"/>
        <v>0</v>
      </c>
      <c r="GN30" s="24">
        <f t="shared" si="114"/>
        <v>0</v>
      </c>
      <c r="GO30" s="1736">
        <f t="shared" si="46"/>
        <v>0</v>
      </c>
      <c r="GP30" s="141"/>
      <c r="GQ30" s="141"/>
      <c r="GR30" s="33"/>
      <c r="GS30" s="2667"/>
      <c r="GT30" s="1723">
        <f>SUMPRODUCT(('Data Base hauling'!$H$2:$H$2000="Trust")*(ISNUMBER(SEARCH(TEXT('September TCM'!$B30,"00")&amp;"/09/2026",'Data Base hauling'!$E$2:$E$2000)))*'Data Base hauling'!$N$2:$N$2000)</f>
        <v>0</v>
      </c>
      <c r="GU30" s="1723">
        <f>SUMPRODUCT(('Data Base hauling'!$H$2:$H$2000="RT")*(ISNUMBER(SEARCH(TEXT('September TCM'!$B30,"00")&amp;"/09/2026",'Data Base hauling'!$E$2:$E$2000)))*'Data Base hauling'!$N$2:$N$2000)</f>
        <v>0</v>
      </c>
      <c r="GV30" s="5">
        <f>SUMPRODUCT(('Data Base hauling'!$H$2:$H$2000="MPE")*(ISNUMBER(SEARCH(TEXT('September TCM'!$B30,"00")&amp;"/09/2026",'Data Base hauling'!$E$2:$E$2000)))*'Data Base hauling'!$N$2:$N$2000)</f>
        <v>0</v>
      </c>
      <c r="GW30" s="1723">
        <f>SUMPRODUCT(('Data Base hauling'!$H$2:$H$2000="RP")*(ISNUMBER(SEARCH(TEXT('September TCM'!$B30,"00")&amp;"/09/2026",'Data Base hauling'!$E$2:$E$2000)))*'Data Base hauling'!$N$2:$N$2000)</f>
        <v>0</v>
      </c>
      <c r="GX30" s="28">
        <f t="shared" si="115"/>
        <v>0</v>
      </c>
      <c r="GY30" s="2667"/>
      <c r="GZ30" s="35">
        <f>SUMPRODUCT(('Data Base hauling'!$C$2:$C$2000="TCM-ROM NB-ROM 1")*(ISNUMBER(SEARCH(TEXT('September TCM'!$B30,"00")&amp;"/09/2026",'Data Base hauling'!$E$2:$E$2000)))*'Data Base hauling'!$N$2:$N$2000)</f>
        <v>0</v>
      </c>
      <c r="HA30" s="36"/>
      <c r="HB30" s="27"/>
      <c r="HC30" s="27"/>
      <c r="HD30" s="27"/>
      <c r="HE30" s="27"/>
      <c r="HF30" s="24">
        <f>SUMPRODUCT(('Data Base hauling'!$C$2:$C$2000="TCM-ROM NB-ROM 4")*(ISNUMBER(SEARCH(TEXT('September TCM'!$B30,"00")&amp;"/09/2026",'Data Base hauling'!$E$2:$E$2000)))*'Data Base hauling'!$N$2:$N$2000)</f>
        <v>0</v>
      </c>
      <c r="HG30" s="24"/>
      <c r="HH30" s="24">
        <f>SUMPRODUCT(('Data Base hauling'!$C$2:$C$2000="TCM-ROM NB-ROM 5")*(ISNUMBER(SEARCH(TEXT('September TCM'!$B30,"00")&amp;"/09/2026",'Data Base hauling'!$E$2:$E$2000)))*'Data Base hauling'!$N$2:$N$2000)</f>
        <v>0</v>
      </c>
      <c r="HI30" s="24"/>
      <c r="HJ30" s="24">
        <f>SUMPRODUCT(('Data Base hauling'!$C$2:$C$2000="TCM-ROM NB-ROM 6")*(ISNUMBER(SEARCH(TEXT('September TCM'!$B30,"00")&amp;"/09/2026",'Data Base hauling'!$E$2:$E$2000)))*'Data Base hauling'!$N$2:$N$2000)</f>
        <v>0</v>
      </c>
      <c r="HK30" s="24"/>
      <c r="HL30" s="24">
        <f>SUMPRODUCT(('Data Base hauling'!$C$2:$C$2000="TCM-WASH-CR3")*(ISNUMBER(SEARCH(TEXT('September TCM'!$B30,"00")&amp;"/09/2026",'Data Base hauling'!$E$2:$E$2000)))*'Data Base hauling'!$N$2:$N$2000)</f>
        <v>0</v>
      </c>
      <c r="HM30" s="27"/>
      <c r="HN30" s="28">
        <f t="shared" si="131"/>
        <v>0</v>
      </c>
      <c r="HO30" s="36"/>
      <c r="HP30" s="27"/>
      <c r="HQ30" s="27"/>
      <c r="HR30" s="27"/>
      <c r="HS30" s="27"/>
      <c r="HT30" s="27"/>
      <c r="HU30" s="27">
        <f t="array" ref="HU30">SUMPRODUCT(('Data Base hauling'!$C$2:$C$2000="TCM-ROM SB1 BK05-ROM 4")*(ISNUMBER(SEARCH(TEXT('September TCM'!$B30,"00")&amp;"/03/2026",'Data Base hauling'!$E$2:$E$2000)))*'Data Base hauling'!$N$2:$N$2000)</f>
        <v>0</v>
      </c>
      <c r="HV30" s="27"/>
      <c r="HW30" s="27">
        <f t="array" ref="HW30">SUMPRODUCT(('Data Base hauling'!$C$2:$C$2000="TCM-ROM SB1 BK05-ROM 5")*(ISNUMBER(SEARCH(TEXT('September TCM'!$B30,"00")&amp;"/03/2026",'Data Base hauling'!$E$2:$E$2000)))*'Data Base hauling'!$N$2:$N$2000)</f>
        <v>0</v>
      </c>
      <c r="HX30" s="27"/>
      <c r="HY30" s="27"/>
      <c r="HZ30" s="27"/>
      <c r="IA30" s="27"/>
      <c r="IB30" s="27"/>
      <c r="IC30" s="33">
        <f t="shared" si="48"/>
        <v>0</v>
      </c>
      <c r="ID30" s="52"/>
      <c r="IE30" s="152"/>
      <c r="IF30" s="53"/>
      <c r="IG30" s="53"/>
      <c r="IH30" s="53"/>
      <c r="II30" s="53"/>
      <c r="IJ30" s="1926">
        <f>SUMPRODUCT(('Data Base hauling'!$C$2:$C$2000="TCM-ROM SB1 BK05-ROM 4")*(ISNUMBER(SEARCH(TEXT('September TCM'!$B30,"00")&amp;"/09/2026",'Data Base hauling'!$E$2:$E$2000)))*'Data Base hauling'!$N$2:$N$2000)</f>
        <v>0</v>
      </c>
      <c r="IK30" s="1926"/>
      <c r="IL30" s="1926">
        <f>SUMPRODUCT(('Data Base hauling'!$C$2:$C$2000="TCM-ROM SB1 BK05-ROM 5")*(ISNUMBER(SEARCH(TEXT('September TCM'!$B30,"00")&amp;"/09/2026",'Data Base hauling'!$E$2:$E$2000)))*'Data Base hauling'!$N$2:$N$2000)</f>
        <v>0</v>
      </c>
      <c r="IM30" s="49"/>
      <c r="IN30" s="49">
        <f>SUMPRODUCT(('Data Base hauling'!$C$2:$C$2000="TCM-ROM SB1 BK05-ROM 6")*(ISNUMBER(SEARCH(TEXT('September TCM'!$B30,"00")&amp;"/09/2026",'Data Base hauling'!$E$2:$E$2000)))*'Data Base hauling'!$N$2:$N$2000)</f>
        <v>0</v>
      </c>
      <c r="IO30" s="49"/>
      <c r="IP30" s="49"/>
      <c r="IQ30" s="49">
        <f>SUMPRODUCT(('Data Base hauling'!$C$2:$C$2000="TCM-HAC1 (Production)-ROM 2(HAC)")*(ISNUMBER(SEARCH(TEXT('September TCM'!$B30,"00")&amp;"/09/2026",'Data Base hauling'!$E$2:$E$2000)))*'Data Base hauling'!$N$2:$N$2000)</f>
        <v>0</v>
      </c>
      <c r="IR30" s="2195">
        <f t="shared" si="132"/>
        <v>0</v>
      </c>
      <c r="IS30" s="36"/>
      <c r="IT30" s="36"/>
      <c r="IU30" s="27"/>
      <c r="IV30" s="27"/>
      <c r="IW30" s="53"/>
      <c r="IX30" s="27"/>
      <c r="IY30" s="24">
        <f>SUMPRODUCT(('Data Base hauling'!$C$2:$C$2000="TCM-ROM SB2 BK24-ROM 4")*(ISNUMBER(SEARCH(TEXT('September TCM'!$B30,"00")&amp;"/09/2026",'Data Base hauling'!$E$2:$E$2000)))*'Data Base hauling'!$N$2:$N$2000)</f>
        <v>0</v>
      </c>
      <c r="IZ30" s="24"/>
      <c r="JA30" s="24">
        <f>SUMPRODUCT(('Data Base hauling'!$C$2:$C$2000="TCM-ROM SB2 BK24-ROM 5")*(ISNUMBER(SEARCH(TEXT('September TCM'!$B30,"00")&amp;"/09/2026",'Data Base hauling'!$E$2:$E$2000)))*'Data Base hauling'!$N$2:$N$2000)</f>
        <v>0</v>
      </c>
      <c r="JB30" s="24"/>
      <c r="JC30" s="24">
        <f>SUMPRODUCT(('Data Base hauling'!$C$2:$C$2000="TCM-ROM SB2 BK24-ROM 6")*(ISNUMBER(SEARCH(TEXT('September TCM'!$B30,"00")&amp;"/09/2026",'Data Base hauling'!$E$2:$E$2000)))*'Data Base hauling'!$N$2:$N$2000)</f>
        <v>0</v>
      </c>
      <c r="JD30" s="27"/>
      <c r="JE30" s="27"/>
      <c r="JF30" s="27"/>
      <c r="JG30" s="33">
        <f t="shared" si="133"/>
        <v>0</v>
      </c>
      <c r="JH30" s="2667"/>
      <c r="JJ30" s="2014">
        <f>SUMPRODUCT(('Data Base hauling'!$O$2:$O$2000="TCM.HCV.LS")*(ISNUMBER(SEARCH(TEXT('September TCM'!$B30,"00")&amp;"/09/2026",'Data Base hauling'!$E$2:$E$2000)))*'Data Base hauling'!$N$2:$N$2000)</f>
        <v>0</v>
      </c>
      <c r="JK30" s="2015">
        <f>SUMPRODUCT(('Data Base hauling'!$O$2:$O$2000="TCM.HCV.HS")*(ISNUMBER(SEARCH(TEXT('September TCM'!$B30,"00")&amp;"/09/2026",'Data Base hauling'!$E$2:$E$2000)))*'Data Base hauling'!$N$2:$N$2000)</f>
        <v>0</v>
      </c>
      <c r="JL30" s="53"/>
      <c r="JM30" s="1736">
        <f t="shared" si="51"/>
        <v>0</v>
      </c>
      <c r="JN30" s="33"/>
      <c r="JO30" s="2669"/>
      <c r="JP30" s="66" t="str">
        <f>IFERROR(SUMPRODUCT(('Data Base hauling'!$O$2:$O$2000="TCM.HCV.LS")*('Data Base hauling'!$C$2:$C$2000="TCM-ROM NB-ROM 1")*(ISNUMBER(SEARCH(TEXT('September TCM'!$B30,"00")&amp;"/09/2026",'Data Base hauling'!$E$2:$E$2000)))*'Data Base hauling'!$N$2:$N$2000)/'September TCM'!$JJ30,"")</f>
        <v/>
      </c>
      <c r="JQ30" s="67" t="str">
        <f>IFERROR(SUMPRODUCT(('Data Base hauling'!$O$2:$O$2000="TCM.HCV.LS")*('Data Base hauling'!$C$2:$C$2000="TCM-ROM NB-ROM 2")*(ISNUMBER(SEARCH(TEXT('September TCM'!$B30,"00")&amp;"/09/2026",'Data Base hauling'!$E$2:$E$2000)))*'Data Base hauling'!$N$2:$N$2000)/'September TCM'!$JJ30,"")</f>
        <v/>
      </c>
      <c r="JR30" s="67" t="str">
        <f>IFERROR(SUMPRODUCT(('Data Base hauling'!$O$2:$O$2000="TCM.HCV.LS")*('Data Base hauling'!$C$2:$C$2000="TCM-ROM NB-ROM 3")*(ISNUMBER(SEARCH(TEXT('September TCM'!$B30,"00")&amp;"/09/2026",'Data Base hauling'!$E$2:$E$2000)))*'Data Base hauling'!$N$2:$N$2000)/'September TCM'!$JJ30,"")</f>
        <v/>
      </c>
      <c r="JS30" s="67" t="str">
        <f>IFERROR(SUMPRODUCT(('Data Base hauling'!$O$2:$O$2000="TCM.HCV.LS")*('Data Base hauling'!$C$2:$C$2000="TCM-ROM SB1 BK05-ROM 4")*(ISNUMBER(SEARCH(TEXT('September TCM'!$B30,"00")&amp;"/09/2026",'Data Base hauling'!$E$2:$E$2000)))*'Data Base hauling'!$N$2:$N$2000)/'September TCM'!$JJ30,"")</f>
        <v/>
      </c>
      <c r="JT30" s="67" t="str">
        <f>IFERROR(SUMPRODUCT(('Data Base hauling'!$O$2:$O$2000="TCM.HCV.LS")*SIGN(('Data Base hauling'!$C$2:$C$2000="TCM-ROM NB-ROM 5")+('Data Base hauling'!$C$2:$C$2000="TCM-ROM SB1 BK05-ROM 5")+('Data Base hauling'!$C$2:$C$2000="TCM-ROM SB2 BK24-ROM 5"))*(ISNUMBER(SEARCH(TEXT('September TCM'!$B30,"00")&amp;"/09/2026",'Data Base hauling'!$E$2:$E$2000)))*'Data Base hauling'!$N$2:$N$2000)/'September TCM'!$JJ30,"")</f>
        <v/>
      </c>
      <c r="JU30" s="67" t="str">
        <f>IFERROR(SUMPRODUCT(('Data Base hauling'!$O$2:$O$2000="TCM.HCV.LS")*SIGN(('Data Base hauling'!$C$2:$C$2000="TCM-ROM NB-ROM 6")+('Data Base hauling'!$C$2:$C$2000="TCM-ROM SB1 BK05-ROM 6")+('Data Base hauling'!$C$2:$C$2000="TCM-ROM SB2 BK24-ROM 6"))*(ISNUMBER(SEARCH(TEXT('September TCM'!$B30,"00")&amp;"/09/2026",'Data Base hauling'!$E$2:$E$2000)))*'Data Base hauling'!$N$2:$N$2000)/'September TCM'!$JJ30,"")</f>
        <v/>
      </c>
      <c r="JV30" s="67" t="str">
        <f>IFERROR(SUMPRODUCT(('Data Base hauling'!$O$2:$O$2000="TCM.HCV.LS")*('Data Base hauling'!$C$2:$C$2000="TCM-WASH-CR3")*(ISNUMBER(SEARCH(TEXT('September TCM'!$B30,"00")&amp;"/09/2026",'Data Base hauling'!$E$2:$E$2000)))*'Data Base hauling'!$N$2:$N$2000)/'September TCM'!$JJ30,"")</f>
        <v/>
      </c>
      <c r="JW30" s="1921">
        <f>SUMPRODUCT(('Data Base hauling'!$O$2:$O$2000="TCM.HCV.LS")*('Data Base hauling'!$C$2:$C$2000="TCM-HAC-CR3")*(ISNUMBER(SEARCH(TEXT('September TCM'!$B30,"00")&amp;"/089/2026",'Data Base hauling'!$E$2:$E$2000)))*'Data Base hauling'!$N$2:$N$2000)</f>
        <v>0</v>
      </c>
      <c r="JX30" s="66" t="str">
        <f>IFERROR(SUMPRODUCT(('Data Base hauling'!$O$2:$O$2000="TCM.HCV.HS")*('Data Base hauling'!$C$2:$C$2000="TCM-ROM NB-ROM 1")*(ISNUMBER(SEARCH(TEXT('September TCM'!$B30,"00")&amp;"/09/2026",'Data Base hauling'!$E$2:$E$2000)))*'Data Base hauling'!$N$2:$N$2000)/'September TCM'!$JK30,"")</f>
        <v/>
      </c>
      <c r="JY30" s="67" t="str">
        <f>IFERROR(SUMPRODUCT(('Data Base hauling'!$O$2:$O$2000="TCM.HCV.HS")*('Data Base hauling'!$C$2:$C$2000="TCM-ROM NB-ROM 2")*(ISNUMBER(SEARCH(TEXT('September TCM'!$B30,"00")&amp;"/09/2026",'Data Base hauling'!$E$2:$E$2000)))*'Data Base hauling'!$N$2:$N$2000)/'September TCM'!$JK30,"")</f>
        <v/>
      </c>
      <c r="JZ30" s="67" t="str">
        <f>IFERROR(SUMPRODUCT(('Data Base hauling'!$O$2:$O$2000="TCM.HCV.HS")*('Data Base hauling'!$C$2:$C$2000="TCM-ROM NB-ROM 3")*(ISNUMBER(SEARCH(TEXT('September TCM'!$B30,"00")&amp;"/09/2026",'Data Base hauling'!$E$2:$E$2000)))*'Data Base hauling'!$N$2:$N$2000)/'September TCM'!$JK30,"")</f>
        <v/>
      </c>
      <c r="KA30" s="67" t="str">
        <f>IFERROR(SUMPRODUCT(('Data Base hauling'!$O$2:$O$2000="TCM.HCV.HS")*('Data Base hauling'!$C$2:$C$2000="TCM-ROM SB1 BK05-ROM 4")*(ISNUMBER(SEARCH(TEXT('September TCM'!$B30,"00")&amp;"/09/2026",'Data Base hauling'!$E$2:$E$2000)))*'Data Base hauling'!$N$2:$N$2000)/'September TCM'!$JK30,"")</f>
        <v/>
      </c>
      <c r="KB30" s="67" t="str">
        <f>IFERROR(SUMPRODUCT(('Data Base hauling'!$O$2:$O$2000="TCM.HCV.HS")*SIGN(('Data Base hauling'!$C$2:$C$2000="TCM-ROM NB-ROM 5")+('Data Base hauling'!$C$2:$C$2000="TCM-ROM SB1 BK05-ROM 5")+('Data Base hauling'!$C$2:$C$2000="TCM-ROM SB2 BK24-ROM 5"))*(ISNUMBER(SEARCH(TEXT('September TCM'!$B30,"00")&amp;"/09/2026",'Data Base hauling'!$E$2:$E$2000)))*'Data Base hauling'!$N$2:$N$2000)/'September TCM'!$JK30,"")</f>
        <v/>
      </c>
      <c r="KC30" s="67" t="str">
        <f>IFERROR(SUMPRODUCT(('Data Base hauling'!$O$2:$O$2000="TCM.HCV.HS")*SIGN(('Data Base hauling'!$C$2:$C$2000="TCM-ROM NB-ROM 6")+('Data Base hauling'!$C$2:$C$2000="TCM-ROM SB1 BK05-ROM 6")+('Data Base hauling'!$C$2:$C$2000="TCM-ROM SB2 BK24-ROM 6"))*(ISNUMBER(SEARCH(TEXT('September TCM'!$B30,"00")&amp;"/09/2026",'Data Base hauling'!$E$2:$E$2000)))*'Data Base hauling'!$N$2:$N$2000)/'September TCM'!$JK30,"")</f>
        <v/>
      </c>
      <c r="KD30" s="67" t="str">
        <f>IFERROR(SUMPRODUCT(('Data Base hauling'!$O$2:$O$2000="TCM.HCV.HS")*('Data Base hauling'!$C$2:$C$2000="TCM-WASH-CR3")*(ISNUMBER(SEARCH(TEXT('September TCM'!$B30,"00")&amp;"/09/2026",'Data Base hauling'!$E$2:$E$2000)))*'Data Base hauling'!$N$2:$N$2000)/'September TCM'!$JK30,"")</f>
        <v/>
      </c>
      <c r="KE30" s="68" t="str">
        <f>IFERROR(SUMPRODUCT(('Data Base hauling'!$O$2:$O$2000="TCM.HCV.HS")*('Data Base hauling'!$C$2:$C$2000="TCM-HAC-CR3")*(ISNUMBER(SEARCH(TEXT('September TCM'!$B30,"00")&amp;"/09/2026",'Data Base hauling'!$E$2:$E$2000)))*'Data Base hauling'!$N$2:$N$2000)/'September TCM'!$JK30,"")</f>
        <v/>
      </c>
      <c r="KF30" s="69"/>
      <c r="KG30" s="70"/>
      <c r="KH30" s="70"/>
      <c r="KI30" s="70"/>
      <c r="KJ30" s="70"/>
      <c r="KK30" s="70"/>
      <c r="KL30" s="70"/>
      <c r="KM30" s="70"/>
      <c r="KN30" s="33"/>
      <c r="KO30" s="2669"/>
      <c r="KP30" s="2203">
        <f>IFERROR(SUMPRODUCT((TCM.HCV.LS!$A$3:$A$58=DATE(2026,9,$B30))*(TCM.HCV.LS!$O$3:$O$58&gt;0)*TCM.HCV.LS!$C$3:$C$58*TCM.HCV.LS!$O$3:$O$58)/SUMPRODUCT((TCM.HCV.LS!$A$3:$A$58=DATE(2026,9,$B30))*(TCM.HCV.LS!$O$3:$O$58&gt;0)*TCM.HCV.LS!$C$3:$C$58),0)</f>
        <v>0</v>
      </c>
      <c r="KQ30" s="1721">
        <f>IFERROR(SUMPRODUCT((TCM.HCV.LS!$A$3:$A$58=DATE(2026,9,$B30))*(TCM.HCV.LS!$M$3:$M$58&gt;0)*TCM.HCV.LS!$C$3:$C$58*TCM.HCV.LS!$M$3:$M$58)/SUMPRODUCT((TCM.HCV.LS!$A$3:$A$58=DATE(2026,9,$B30))*(TCM.HCV.LS!$M$3:$M$58&gt;0)*TCM.HCV.LS!$C$3:$C$58),0)</f>
        <v>0</v>
      </c>
      <c r="KR30" s="1721">
        <f>IFERROR(SUMPRODUCT((TCM.HCV.LS!$A$3:$A$58=DATE(2026,9,$B30))*(TCM.HCV.LS!$G$3:$G$58&gt;0)*TCM.HCV.LS!$C$3:$C$58*TCM.HCV.LS!$G$3:$G$58)/SUMPRODUCT((TCM.HCV.LS!$A$3:$A$58=DATE(2026,9,$B30))*(TCM.HCV.LS!$G$3:$G$58&gt;0)*TCM.HCV.LS!$C$3:$C$58),0)</f>
        <v>0</v>
      </c>
      <c r="KS30" s="1721">
        <f>IFERROR(SUMPRODUCT((TCM.HCV.LS!$A$3:$A$58=DATE(2026,9,$B30))*(TCM.HCV.LS!$F$3:$F$58&gt;0)*TCM.HCV.LS!$C$3:$C$58*TCM.HCV.LS!$F$3:$F$58)/SUMPRODUCT((TCM.HCV.LS!$A$3:$A$58=DATE(2026,9,$B30))*(TCM.HCV.LS!$F$3:$F$58&gt;0)*TCM.HCV.LS!$C$3:$C$58),0)</f>
        <v>0</v>
      </c>
      <c r="KT30" s="1722">
        <f>IFERROR(SUMPRODUCT((TCM.HCV.LS!$A$3:$A$58=DATE(2026,9,$B30))*(TCM.HCV.LS!$E$3:$E$58&gt;0)*TCM.HCV.LS!$C$3:$C$58*TCM.HCV.LS!$E$3:$E$58)/SUMPRODUCT((TCM.HCV.LS!$A$3:$A$58=DATE(2026,9,$B30))*(TCM.HCV.LS!$E$3:$E$58&gt;0)*TCM.HCV.LS!$C$3:$C$58),0)</f>
        <v>0</v>
      </c>
      <c r="KU30" s="1958">
        <f>IFERROR(SUMPRODUCT((TCM.HCV.HS!$A$3:$A$84=DATE(2026,9,$B30))*(TCM.HCV.HS!$O$3:$O$84&gt;0)*TCM.HCV.HS!$C$3:$C$84*TCM.HCV.HS!$O$3:$O$84)/SUMPRODUCT((TCM.HCV.HS!$A$3:$A$84=DATE(2026,9,$B30))*(TCM.HCV.HS!$O$3:$O$84&gt;0)*TCM.HCV.HS!$C$3:$C$84),0)</f>
        <v>0</v>
      </c>
      <c r="KV30" s="1961">
        <f>IFERROR(SUMPRODUCT((TCM.HCV.HS!$A$3:$A$84=DATE(2026,9,$B30))*(TCM.HCV.HS!$M$3:$M$84&gt;0)*TCM.HCV.HS!$C$3:$C$84*TCM.HCV.HS!$M$3:$M$84)/SUMPRODUCT((TCM.HCV.HS!$A$3:$A$84=DATE(2026,9,$B30))*(TCM.HCV.HS!$M$3:$M$84&gt;0)*TCM.HCV.HS!$C$3:$C$84),0)</f>
        <v>0</v>
      </c>
      <c r="KW30" s="1961">
        <f>IFERROR(SUMPRODUCT((TCM.HCV.HS!$A$3:$A$84=DATE(2026,9,$B30))*(TCM.HCV.HS!$G$3:$G$84&gt;0)*TCM.HCV.HS!$C$3:$C$84*TCM.HCV.HS!$G$3:$G$84)/SUMPRODUCT((TCM.HCV.HS!$A$3:$A$84=DATE(2026,9,$B30))*(TCM.HCV.HS!$G$3:$G$84&gt;0)*TCM.HCV.HS!$C$3:$C$84),0)</f>
        <v>0</v>
      </c>
      <c r="KX30" s="1961">
        <f>IFERROR(SUMPRODUCT((TCM.HCV.HS!$A$3:$A$84=DATE(2026,9,$B30))*(TCM.HCV.HS!$F$3:$F$84&gt;0)*TCM.HCV.HS!$C$3:$C$84*TCM.HCV.HS!$F$3:$F$84)/SUMPRODUCT((TCM.HCV.HS!$A$3:$A$84=DATE(2026,9,$B30))*(TCM.HCV.HS!$F$3:$F$84&gt;0)*TCM.HCV.HS!$C$3:$C$84),0)</f>
        <v>0</v>
      </c>
      <c r="KY30" s="1962">
        <f>IFERROR(SUMPRODUCT((TCM.HCV.HS!$A$3:$A$84=DATE(2026,9,$B30))*(TCM.HCV.HS!$E$3:$E$84&gt;0)*TCM.HCV.HS!$C$3:$C$84*TCM.HCV.HS!$E$3:$E$84)/SUMPRODUCT((TCM.HCV.HS!$A$3:$A$84=DATE(2026,9,$B30))*(TCM.HCV.HS!$E$3:$E$84&gt;0)*TCM.HCV.HS!$C$3:$C$84),0)</f>
        <v>0</v>
      </c>
      <c r="KZ30" s="36"/>
      <c r="LA30" s="53"/>
      <c r="LB30" s="53"/>
      <c r="LC30" s="53"/>
      <c r="LD30" s="53"/>
      <c r="LE30" s="33"/>
      <c r="LF30" s="2669"/>
      <c r="LH30" s="4">
        <f t="shared" si="138"/>
        <v>0</v>
      </c>
      <c r="LI30" s="27">
        <f t="shared" si="138"/>
        <v>0</v>
      </c>
      <c r="LJ30" s="27">
        <f t="shared" si="138"/>
        <v>0</v>
      </c>
      <c r="LK30" s="28">
        <f t="shared" si="53"/>
        <v>0</v>
      </c>
      <c r="LL30" s="36"/>
      <c r="LM30" s="27"/>
      <c r="LN30" s="27"/>
      <c r="LO30" s="33"/>
      <c r="LP30" s="1957"/>
      <c r="LQ30" s="486"/>
      <c r="LR30" s="2688"/>
      <c r="LS30" s="36"/>
      <c r="LT30" s="36"/>
      <c r="LU30" s="27"/>
      <c r="LV30" s="27"/>
      <c r="LW30" s="27"/>
      <c r="LX30" s="1107">
        <f t="shared" si="129"/>
        <v>0</v>
      </c>
      <c r="LY30" s="36"/>
      <c r="LZ30" s="36"/>
      <c r="MA30" s="27"/>
      <c r="MB30" s="27"/>
      <c r="MC30" s="33"/>
      <c r="MD30" s="28">
        <f t="shared" si="137"/>
        <v>0</v>
      </c>
      <c r="ME30" s="26"/>
      <c r="MF30" s="36"/>
      <c r="MG30" s="27"/>
      <c r="MH30" s="27"/>
      <c r="MI30" s="27"/>
      <c r="MJ30" s="28"/>
      <c r="MK30" s="36"/>
      <c r="ML30" s="36"/>
      <c r="MM30" s="27"/>
      <c r="MN30" s="27"/>
      <c r="MO30" s="27"/>
      <c r="MP30" s="28"/>
      <c r="MQ30" s="36"/>
      <c r="MR30" s="36"/>
      <c r="MS30" s="27"/>
      <c r="MT30" s="27"/>
      <c r="MU30" s="27"/>
      <c r="MV30" s="33">
        <f t="shared" si="56"/>
        <v>0</v>
      </c>
      <c r="MW30" s="2688"/>
      <c r="MY30" s="26">
        <f t="shared" si="57"/>
        <v>377341.84766611259</v>
      </c>
      <c r="MZ30" s="27">
        <f t="shared" si="58"/>
        <v>191281.80302645115</v>
      </c>
      <c r="NA30" s="27">
        <f t="shared" si="59"/>
        <v>27294.683787707359</v>
      </c>
      <c r="NB30" s="28">
        <f t="shared" si="60"/>
        <v>318297.33035698003</v>
      </c>
      <c r="NC30" s="2621"/>
      <c r="ND30" s="23">
        <f t="shared" si="116"/>
        <v>207724.34280113198</v>
      </c>
      <c r="NE30" s="1655">
        <f t="shared" si="117"/>
        <v>169617.50486498058</v>
      </c>
      <c r="NF30" s="60">
        <f t="shared" si="63"/>
        <v>0</v>
      </c>
      <c r="NG30" s="275">
        <f t="shared" si="4"/>
        <v>377341.84766611259</v>
      </c>
      <c r="NH30" s="26">
        <f t="shared" si="141"/>
        <v>-313.35000000000002</v>
      </c>
      <c r="NI30" s="27">
        <f t="shared" si="141"/>
        <v>0</v>
      </c>
      <c r="NJ30" s="27">
        <f t="shared" si="141"/>
        <v>0</v>
      </c>
      <c r="NK30" s="27">
        <v>0</v>
      </c>
      <c r="NL30" s="27">
        <f t="shared" si="141"/>
        <v>0</v>
      </c>
      <c r="NM30" s="33">
        <f t="shared" si="141"/>
        <v>0</v>
      </c>
      <c r="NN30" s="27">
        <f t="shared" si="141"/>
        <v>0</v>
      </c>
      <c r="NO30" s="36">
        <f t="shared" si="141"/>
        <v>0</v>
      </c>
      <c r="NP30" s="24">
        <f t="shared" si="141"/>
        <v>21665.870136227244</v>
      </c>
      <c r="NQ30" s="27">
        <f t="shared" si="141"/>
        <v>22358.939343794715</v>
      </c>
      <c r="NR30" s="24">
        <f t="shared" si="118"/>
        <v>8443.1982322711574</v>
      </c>
      <c r="NS30" s="24">
        <f t="shared" si="119"/>
        <v>9895.3380410535083</v>
      </c>
      <c r="NT30" s="27">
        <f t="shared" si="0"/>
        <v>62049.995753346629</v>
      </c>
      <c r="NU30" s="27">
        <f t="shared" si="142"/>
        <v>0</v>
      </c>
      <c r="NV30" s="27">
        <f t="shared" si="142"/>
        <v>0</v>
      </c>
      <c r="NW30" s="27">
        <f t="shared" si="142"/>
        <v>0</v>
      </c>
      <c r="NX30" s="27">
        <f t="shared" si="142"/>
        <v>0</v>
      </c>
      <c r="NY30" s="27">
        <f t="shared" si="142"/>
        <v>0</v>
      </c>
      <c r="NZ30" s="5">
        <f t="shared" si="142"/>
        <v>0</v>
      </c>
      <c r="OA30" s="27">
        <f t="shared" si="142"/>
        <v>35558.705564997217</v>
      </c>
      <c r="OB30" s="27">
        <f t="shared" si="142"/>
        <v>0</v>
      </c>
      <c r="OC30" s="27">
        <f t="shared" si="66"/>
        <v>12611.886475620366</v>
      </c>
      <c r="OD30" s="27"/>
      <c r="OE30" s="27">
        <f t="shared" si="120"/>
        <v>13429.316718063665</v>
      </c>
      <c r="OF30" s="27">
        <f t="shared" si="67"/>
        <v>0</v>
      </c>
      <c r="OG30" s="28">
        <f t="shared" si="1"/>
        <v>61599.908758681253</v>
      </c>
      <c r="OH30" s="27">
        <f t="shared" si="143"/>
        <v>0</v>
      </c>
      <c r="OI30" s="27">
        <f t="shared" si="143"/>
        <v>0</v>
      </c>
      <c r="OJ30" s="27">
        <f t="shared" si="143"/>
        <v>0</v>
      </c>
      <c r="OK30" s="27">
        <f t="shared" si="143"/>
        <v>0</v>
      </c>
      <c r="OL30" s="27">
        <f t="shared" si="143"/>
        <v>0</v>
      </c>
      <c r="OM30" s="27">
        <f t="shared" si="143"/>
        <v>0</v>
      </c>
      <c r="ON30" s="24">
        <f t="shared" si="143"/>
        <v>0</v>
      </c>
      <c r="OO30" s="27">
        <f t="shared" si="143"/>
        <v>0</v>
      </c>
      <c r="OP30" s="24">
        <f t="shared" si="69"/>
        <v>54054.217649249818</v>
      </c>
      <c r="OQ30" s="27">
        <f t="shared" si="144"/>
        <v>0</v>
      </c>
      <c r="OR30" s="24">
        <f t="shared" si="144"/>
        <v>13577.680865173457</v>
      </c>
      <c r="OS30" s="27">
        <f t="shared" si="144"/>
        <v>0</v>
      </c>
      <c r="OT30" s="28">
        <f t="shared" si="2"/>
        <v>67631.898514423272</v>
      </c>
      <c r="OU30" s="36"/>
      <c r="OV30" s="27"/>
      <c r="OW30" s="27"/>
      <c r="OX30" s="27"/>
      <c r="OY30" s="27"/>
      <c r="OZ30" s="27"/>
      <c r="PA30" s="28">
        <f t="shared" si="71"/>
        <v>0</v>
      </c>
      <c r="PB30" s="36">
        <f t="shared" si="72"/>
        <v>0</v>
      </c>
      <c r="PC30" s="27">
        <f t="shared" si="73"/>
        <v>0</v>
      </c>
      <c r="PD30" s="27">
        <f t="shared" si="74"/>
        <v>0</v>
      </c>
      <c r="PE30" s="27">
        <f t="shared" si="75"/>
        <v>0</v>
      </c>
      <c r="PF30" s="24"/>
      <c r="PG30" s="27">
        <f t="shared" si="76"/>
        <v>0</v>
      </c>
      <c r="PH30" s="33">
        <f t="shared" si="3"/>
        <v>0</v>
      </c>
      <c r="PI30" s="2621"/>
      <c r="PK30" s="1907">
        <f>SUMPRODUCT(('Data Base Coal Wining'!$D$2:$D$2000="WASHING PLANT")*ISNUMBER(SEARCH(TEXT('September TCM'!$B30,"00")&amp;"/09/2026",'Data Base Coal Wining'!$E$2:$E$2000))*'Data Base Coal Wining'!$N$2:$N$2000)</f>
        <v>0</v>
      </c>
      <c r="PL30" s="3"/>
      <c r="PM30" s="3"/>
      <c r="PN30" s="3">
        <f t="shared" ref="PN30:PN40" si="145">HL30</f>
        <v>0</v>
      </c>
      <c r="PO30" s="3">
        <f t="shared" si="78"/>
        <v>38895.633435124721</v>
      </c>
      <c r="PP30" s="11">
        <f t="shared" si="139"/>
        <v>27294.683787707359</v>
      </c>
      <c r="PQ30" s="15"/>
      <c r="PR30" s="2615"/>
      <c r="PT30" s="4"/>
      <c r="PU30" s="9"/>
      <c r="PV30" s="9"/>
      <c r="PW30" s="9"/>
      <c r="PX30" s="8">
        <f>SUMPRODUCT(('Data Base Coal Wining'!$D$2:$D$2000="TCM-ROM SB1 BK05-ROM 2 (HAC)")*('Data Base Coal Wining'!$G$2:$G$2000="Coal Winning")*ISNUMBER(SEARCH(TEXT('September TCM'!$B30,"00")&amp;"/09/2026",'Data Base Coal Wining'!$E$2:$E$2000))*'Data Base Coal Wining'!$N$2:$N$2000)</f>
        <v>0</v>
      </c>
      <c r="PY30" s="9"/>
      <c r="PZ30" s="8">
        <f t="shared" si="80"/>
        <v>0</v>
      </c>
      <c r="QA30" s="5">
        <f t="shared" si="81"/>
        <v>0</v>
      </c>
      <c r="QB30" s="5"/>
      <c r="QC30" s="5"/>
      <c r="QD30" s="5"/>
      <c r="QE30" s="5"/>
      <c r="QF30" s="5"/>
      <c r="QG30" s="12"/>
      <c r="QH30" s="12">
        <f t="shared" si="82"/>
        <v>29562.488999999998</v>
      </c>
      <c r="QI30" s="420">
        <f t="shared" si="83"/>
        <v>283762.59090898006</v>
      </c>
      <c r="QJ30" s="1106">
        <f t="shared" si="121"/>
        <v>4972.2504480000007</v>
      </c>
      <c r="QK30" s="484">
        <f t="shared" si="84"/>
        <v>5505.3678056099998</v>
      </c>
      <c r="QL30" s="12"/>
      <c r="QM30" s="2615"/>
      <c r="QO30" s="139" t="str">
        <f t="shared" si="85"/>
        <v/>
      </c>
      <c r="QP30" s="139" t="str">
        <f t="shared" si="86"/>
        <v/>
      </c>
      <c r="QR30" s="139" t="str">
        <f t="shared" si="87"/>
        <v/>
      </c>
      <c r="QS30" s="139" t="str">
        <f t="shared" si="88"/>
        <v/>
      </c>
      <c r="QU30" s="1">
        <f t="shared" si="89"/>
        <v>0</v>
      </c>
      <c r="QV30" s="1">
        <f t="shared" si="90"/>
        <v>0</v>
      </c>
      <c r="QW30" s="1">
        <f t="shared" si="91"/>
        <v>0</v>
      </c>
      <c r="QX30" s="1">
        <f t="shared" si="92"/>
        <v>0</v>
      </c>
      <c r="QY30" s="1">
        <f t="shared" si="93"/>
        <v>0</v>
      </c>
      <c r="QZ30" s="1">
        <f t="shared" si="94"/>
        <v>0</v>
      </c>
      <c r="RB30" s="1">
        <f t="shared" si="95"/>
        <v>0</v>
      </c>
      <c r="RC30" s="1">
        <f t="shared" si="96"/>
        <v>0</v>
      </c>
      <c r="RD30" s="1">
        <f t="shared" si="97"/>
        <v>0</v>
      </c>
      <c r="RE30" s="1">
        <f t="shared" si="98"/>
        <v>0</v>
      </c>
      <c r="RF30" s="1">
        <f t="shared" si="99"/>
        <v>0</v>
      </c>
      <c r="RG30" s="1">
        <f t="shared" si="100"/>
        <v>0</v>
      </c>
      <c r="RJ30" s="1">
        <v>21</v>
      </c>
      <c r="RK30" s="1">
        <f t="shared" si="135"/>
        <v>5984.4452097170979</v>
      </c>
      <c r="RL30" s="1">
        <f t="shared" si="135"/>
        <v>5074.1017804837184</v>
      </c>
      <c r="RM30" s="1">
        <f t="shared" si="135"/>
        <v>13404.263703387322</v>
      </c>
      <c r="RN30" s="89">
        <f t="shared" si="5"/>
        <v>24462.810693588137</v>
      </c>
      <c r="RO30" s="1033">
        <v>21</v>
      </c>
      <c r="RP30" s="1098">
        <v>0</v>
      </c>
      <c r="RQ30" s="1098">
        <f t="shared" si="102"/>
        <v>0</v>
      </c>
      <c r="RR30" s="1097">
        <f t="shared" si="102"/>
        <v>0</v>
      </c>
      <c r="RS30" s="1097">
        <f t="shared" si="103"/>
        <v>0</v>
      </c>
      <c r="RT30" s="1109"/>
      <c r="RU30" s="1050"/>
      <c r="RV30" s="1048"/>
      <c r="RX30" s="421">
        <v>21</v>
      </c>
      <c r="RY30" s="1095">
        <f t="shared" si="104"/>
        <v>0</v>
      </c>
      <c r="RZ30" s="1050"/>
      <c r="SB30" s="1090"/>
      <c r="SC30" s="1090">
        <f t="shared" si="105"/>
        <v>0</v>
      </c>
      <c r="SD30" s="1090"/>
      <c r="SE30" s="1090">
        <f t="shared" si="136"/>
        <v>0</v>
      </c>
      <c r="SG30" s="1">
        <v>21</v>
      </c>
      <c r="SH30" s="1">
        <f t="shared" si="107"/>
        <v>0</v>
      </c>
      <c r="SI30" s="1094"/>
    </row>
    <row r="31" spans="1:503" s="1" customFormat="1">
      <c r="B31" s="471">
        <v>22</v>
      </c>
      <c r="C31" s="4">
        <f t="shared" ref="C31:C40" si="146">+O31+S31+W31+AE31+AI31+AA31</f>
        <v>0</v>
      </c>
      <c r="D31" s="1590">
        <f t="shared" si="128"/>
        <v>0</v>
      </c>
      <c r="E31" s="1895">
        <f t="shared" si="6"/>
        <v>0</v>
      </c>
      <c r="F31" s="870"/>
      <c r="G31" s="870"/>
      <c r="H31" s="52"/>
      <c r="I31" s="61"/>
      <c r="J31" s="52"/>
      <c r="K31" s="54"/>
      <c r="L31" s="52"/>
      <c r="M31" s="61"/>
      <c r="N31" s="2629"/>
      <c r="O31" s="4">
        <f t="shared" si="125"/>
        <v>0</v>
      </c>
      <c r="P31" s="1225">
        <f t="shared" si="7"/>
        <v>0</v>
      </c>
      <c r="Q31" s="1913">
        <f t="shared" si="8"/>
        <v>0</v>
      </c>
      <c r="R31" s="33"/>
      <c r="S31" s="26">
        <f t="shared" si="9"/>
        <v>0</v>
      </c>
      <c r="T31" s="27">
        <f t="shared" si="110"/>
        <v>0</v>
      </c>
      <c r="U31" s="1909">
        <f t="shared" si="10"/>
        <v>0</v>
      </c>
      <c r="V31" s="28"/>
      <c r="W31" s="26">
        <f t="shared" si="11"/>
        <v>0</v>
      </c>
      <c r="X31" s="5">
        <f t="shared" si="11"/>
        <v>0</v>
      </c>
      <c r="Y31" s="1909">
        <f t="shared" si="12"/>
        <v>0</v>
      </c>
      <c r="Z31" s="33"/>
      <c r="AA31" s="26">
        <f t="shared" si="13"/>
        <v>0</v>
      </c>
      <c r="AB31" s="27">
        <f t="shared" si="126"/>
        <v>0</v>
      </c>
      <c r="AC31" s="1909">
        <f t="shared" si="15"/>
        <v>0</v>
      </c>
      <c r="AD31" s="28"/>
      <c r="AE31" s="36"/>
      <c r="AF31" s="36"/>
      <c r="AG31" s="53">
        <f t="shared" si="16"/>
        <v>0</v>
      </c>
      <c r="AH31" s="28"/>
      <c r="AI31" s="26"/>
      <c r="AJ31" s="27"/>
      <c r="AK31" s="53">
        <f t="shared" si="17"/>
        <v>0</v>
      </c>
      <c r="AL31" s="28"/>
      <c r="AM31" s="2629"/>
      <c r="AN31" s="9"/>
      <c r="AO31" s="5"/>
      <c r="AP31" s="61">
        <f t="shared" si="18"/>
        <v>0</v>
      </c>
      <c r="AQ31" s="36"/>
      <c r="AR31" s="53"/>
      <c r="AS31" s="61">
        <f t="shared" si="19"/>
        <v>0</v>
      </c>
      <c r="AT31" s="36">
        <v>0</v>
      </c>
      <c r="AU31" s="27"/>
      <c r="AV31" s="54">
        <f t="shared" si="20"/>
        <v>0</v>
      </c>
      <c r="AW31" s="26"/>
      <c r="AX31" s="280">
        <f>SUMPRODUCT(ISNUMBER(SEARCH("BK20",'Data Base Coal Wining'!$C$2:$C$2000))*ISNUMBER(SEARCH("P3000",'Data Base Coal Wining'!$C$2:$C$2000))*('Data Base Coal Wining'!$H$2:$H$2000="PAMA")*('Data Base Coal Wining'!$G$2:$G$2000="Coal Winning")*ISNUMBER(SEARCH(TEXT('September TCM'!$B31,"00")&amp;"/09/2026",'Data Base Coal Wining'!$E$2:$E$2000))*'Data Base Coal Wining'!$N$2:$N$2000)</f>
        <v>0</v>
      </c>
      <c r="AY31" s="1895">
        <f t="shared" si="134"/>
        <v>0</v>
      </c>
      <c r="AZ31" s="1908"/>
      <c r="BA31" s="1909"/>
      <c r="BB31" s="1895">
        <f t="shared" si="21"/>
        <v>0</v>
      </c>
      <c r="BC31" s="1740"/>
      <c r="BD31" s="2154">
        <f>SUMPRODUCT(ISNUMBER(SEARCH("BK30",'Data Base Coal Wining'!$C$2:$C$2000))*ISNUMBER(SEARCH("P3000",'Data Base Coal Wining'!$C$2:$C$2000))*('Data Base Coal Wining'!$H$2:$H$2000="PAMA")*('Data Base Coal Wining'!$G$2:$G$2000="Coal Winning")*ISNUMBER(SEARCH(TEXT('September TCM'!$B31,"00")&amp;"/09/2026",'Data Base Coal Wining'!$E$2:$E$2000))*'Data Base Coal Wining'!$N$2:$N$2000)</f>
        <v>0</v>
      </c>
      <c r="BE31" s="1895">
        <f t="shared" si="22"/>
        <v>0</v>
      </c>
      <c r="BF31" s="1908"/>
      <c r="BG31" s="1909"/>
      <c r="BH31" s="1895">
        <f t="shared" si="23"/>
        <v>0</v>
      </c>
      <c r="BI31" s="1908">
        <v>0</v>
      </c>
      <c r="BJ31" s="1909">
        <v>0</v>
      </c>
      <c r="BK31" s="1895">
        <f t="shared" si="24"/>
        <v>0</v>
      </c>
      <c r="BL31" s="1742"/>
      <c r="BM31" s="2154">
        <f>SUMPRODUCT(ISNUMBER(SEARCH("BK26",'Data Base Coal Wining'!$C$2:$C$2000))*ISNUMBER(SEARCH("P4400",'Data Base Coal Wining'!$C$2:$C$2000))*('Data Base Coal Wining'!$H$2:$H$2000="MAP")*('Data Base Coal Wining'!$G$2:$G$2000="Coal Winning")*ISNUMBER(SEARCH(TEXT('September TCM'!$B31,"00")&amp;"/09/2026",'Data Base Coal Wining'!$E$2:$E$2000))*'Data Base Coal Wining'!$N$2:$N$2000)</f>
        <v>0</v>
      </c>
      <c r="BN31" s="2170"/>
      <c r="BO31" s="1911">
        <f t="shared" si="25"/>
        <v>0</v>
      </c>
      <c r="BP31" s="9"/>
      <c r="BQ31" s="2514">
        <f>SUMPRODUCT(ISNUMBER(SEARCH("BK34",'Data Base Coal Wining'!$C$2:$C$2000))*ISNUMBER(SEARCH("P4000",'Data Base Coal Wining'!$C$2:$C$2000))*('Data Base Coal Wining'!$H$2:$H$2000="PJPN")*('Data Base Coal Wining'!$G$2:$G$2000="Coal Winning")*ISNUMBER(SEARCH(TEXT('September TCM'!$B31,"00")&amp;"/09/2026",'Data Base Coal Wining'!$E$2:$E$2000))*'Data Base Coal Wining'!$N$2:$N$2000)</f>
        <v>0</v>
      </c>
      <c r="BR31" s="1920">
        <f t="shared" si="26"/>
        <v>0</v>
      </c>
      <c r="BS31" s="9"/>
      <c r="BT31" s="64"/>
      <c r="BU31" s="482">
        <f t="shared" si="27"/>
        <v>0</v>
      </c>
      <c r="BV31" s="9"/>
      <c r="BW31" s="27"/>
      <c r="BX31" s="15">
        <f>IFERROR(BV31/BW31,0)</f>
        <v>0</v>
      </c>
      <c r="BY31" s="4"/>
      <c r="BZ31" s="5"/>
      <c r="CA31" s="482">
        <f t="shared" si="29"/>
        <v>0</v>
      </c>
      <c r="CB31" s="9"/>
      <c r="CC31" s="5"/>
      <c r="CD31" s="482">
        <f t="shared" si="30"/>
        <v>0</v>
      </c>
      <c r="CE31" s="4"/>
      <c r="CF31" s="5"/>
      <c r="CG31" s="28">
        <f t="shared" si="31"/>
        <v>0</v>
      </c>
      <c r="CH31" s="150"/>
      <c r="CI31" s="1108"/>
      <c r="CJ31" s="5"/>
      <c r="CK31" s="5"/>
      <c r="CL31" s="5"/>
      <c r="CM31" s="5"/>
      <c r="CN31" s="3">
        <f t="shared" si="111"/>
        <v>0</v>
      </c>
      <c r="CO31" s="33"/>
      <c r="CP31" s="366"/>
      <c r="CR31" s="4">
        <f t="shared" si="32"/>
        <v>0</v>
      </c>
      <c r="CS31" s="9">
        <f t="shared" si="32"/>
        <v>0</v>
      </c>
      <c r="CT31" s="5">
        <f t="shared" si="32"/>
        <v>0</v>
      </c>
      <c r="CU31" s="5">
        <f t="shared" si="32"/>
        <v>0</v>
      </c>
      <c r="CV31" s="5">
        <f t="shared" si="32"/>
        <v>0</v>
      </c>
      <c r="CW31" s="5">
        <f t="shared" si="32"/>
        <v>0</v>
      </c>
      <c r="CX31" s="5">
        <f t="shared" si="32"/>
        <v>0</v>
      </c>
      <c r="CY31" s="5">
        <f t="shared" si="32"/>
        <v>0</v>
      </c>
      <c r="CZ31" s="5">
        <f t="shared" si="32"/>
        <v>0</v>
      </c>
      <c r="DA31" s="5">
        <f t="shared" si="32"/>
        <v>0</v>
      </c>
      <c r="DB31" s="5">
        <f t="shared" si="32"/>
        <v>0</v>
      </c>
      <c r="DC31" s="12">
        <f t="shared" si="33"/>
        <v>0</v>
      </c>
      <c r="DD31" s="310">
        <f t="shared" si="34"/>
        <v>0</v>
      </c>
      <c r="DE31" s="2695"/>
      <c r="DF31" s="8"/>
      <c r="DG31" s="9"/>
      <c r="DH31" s="5"/>
      <c r="DI31" s="5"/>
      <c r="DJ31" s="5"/>
      <c r="DK31" s="5"/>
      <c r="DL31" s="3">
        <f>SUMPRODUCT(('Data Base Coal Wining'!$D$2:$D$2000="TCM-ROM SB1 BK05-ROM 4")*('Data Base Coal Wining'!$G$2:$G$2000="Coal Winning")*ISNUMBER(SEARCH(TEXT('September TCM'!$B31,"00")&amp;"/09/2026",'Data Base Coal Wining'!$E$2:$E$2000))*'Data Base Coal Wining'!$N$2:$N$2000)</f>
        <v>0</v>
      </c>
      <c r="DM31" s="5"/>
      <c r="DN31" s="3">
        <f>SUMPRODUCT(('Data Base Coal Wining'!$D$2:$D$2000="TCM-ROM SB1 BK05-ROM 5")*('Data Base Coal Wining'!$G$2:$G$2000="Coal Winning")*ISNUMBER(SEARCH(TEXT('September TCM'!$B31,"00")&amp;"/09/2026",'Data Base Coal Wining'!$E$2:$E$2000))*'Data Base Coal Wining'!$N$2:$N$2000)</f>
        <v>0</v>
      </c>
      <c r="DO31" s="5"/>
      <c r="DP31" s="3">
        <f>SUMPRODUCT(('Data Base Coal Wining'!$D$2:$D$2000="TCM-ROM SB1 BK05-ROM 6")*('Data Base Coal Wining'!$G$2:$G$2000="Coal Winning")*ISNUMBER(SEARCH(TEXT('September TCM'!$B31,"00")&amp;"/09/2026",'Data Base Coal Wining'!$E$2:$E$2000))*'Data Base Coal Wining'!$N$2:$N$2000)</f>
        <v>0</v>
      </c>
      <c r="DQ31" s="11">
        <f>SUMPRODUCT(('Data Base Coal Wining'!$D$2:$D$2000="TCM-ROM SB1 BK05-ROM 6.1")*('Data Base Coal Wining'!$G$2:$G$2000="Coal Winning")*ISNUMBER(SEARCH(TEXT('September TCM'!$B31,"00")&amp;"/09/2026",'Data Base Coal Wining'!$E$2:$E$2000))*'Data Base Coal Wining'!$N$2:$N$2000)</f>
        <v>0</v>
      </c>
      <c r="DR31" s="12"/>
      <c r="DS31" s="28">
        <f t="shared" si="35"/>
        <v>0</v>
      </c>
      <c r="DT31" s="36"/>
      <c r="DU31" s="9"/>
      <c r="DV31" s="5"/>
      <c r="DW31" s="5"/>
      <c r="DX31" s="5"/>
      <c r="DY31" s="5"/>
      <c r="DZ31" s="27"/>
      <c r="EA31" s="27"/>
      <c r="EB31" s="3">
        <f>SUMPRODUCT(('Data Base Coal Wining'!$D$2:$D$2000="TCM-ROM SB2 BK24-ROM 5")*('Data Base Coal Wining'!$G$2:$G$2000="Coal Winning")*ISNUMBER(SEARCH(TEXT('September TCM'!$B31,"00")&amp;"/09/2026",'Data Base Coal Wining'!$E$2:$E$2000))*'Data Base Coal Wining'!$N$2:$N$2000)</f>
        <v>0</v>
      </c>
      <c r="EC31" s="27"/>
      <c r="ED31" s="24">
        <f>SUMPRODUCT(('Data Base Coal Wining'!$D$2:$D$2000="TCM-ROM SB2 BK24-ROM 6")*('Data Base Coal Wining'!$G$2:$G$2000="Coal Winning")*ISNUMBER(SEARCH(TEXT('September TCM'!$B31,"00")&amp;"/09/2026",'Data Base Coal Wining'!$E$2:$E$2000))*'Data Base Coal Wining'!$N$2:$N$2000)</f>
        <v>0</v>
      </c>
      <c r="EE31" s="33"/>
      <c r="EF31" s="28">
        <f t="shared" si="36"/>
        <v>0</v>
      </c>
      <c r="EG31" s="9"/>
      <c r="EH31" s="36"/>
      <c r="EI31"/>
      <c r="EJ31" s="27"/>
      <c r="EK31" s="27"/>
      <c r="EL31" s="27"/>
      <c r="EM31" s="27"/>
      <c r="EN31" s="27"/>
      <c r="EO31" s="5"/>
      <c r="EP31" s="5"/>
      <c r="EQ31" s="5"/>
      <c r="ER31" s="33"/>
      <c r="ES31" s="28">
        <f t="shared" si="127"/>
        <v>0</v>
      </c>
      <c r="ET31" s="36"/>
      <c r="EU31" s="27"/>
      <c r="EV31" s="27"/>
      <c r="EW31" s="27"/>
      <c r="EX31" s="27"/>
      <c r="EY31" s="27"/>
      <c r="EZ31" s="33">
        <f t="shared" si="38"/>
        <v>0</v>
      </c>
      <c r="FA31" s="2685"/>
      <c r="FC31" s="4">
        <f t="shared" si="39"/>
        <v>0</v>
      </c>
      <c r="FD31" s="5">
        <f t="shared" si="40"/>
        <v>0</v>
      </c>
      <c r="FE31" s="5">
        <f t="shared" si="41"/>
        <v>0</v>
      </c>
      <c r="FF31" s="12">
        <f t="shared" si="42"/>
        <v>0</v>
      </c>
      <c r="FG31" s="33"/>
      <c r="FH31" s="2674"/>
      <c r="FI31" s="9"/>
      <c r="FJ31" s="5"/>
      <c r="FK31" s="5"/>
      <c r="FL31" s="5"/>
      <c r="FM31" s="5"/>
      <c r="FN31" s="27"/>
      <c r="FO31" s="28">
        <f t="shared" si="43"/>
        <v>0</v>
      </c>
      <c r="FP31" s="36"/>
      <c r="FQ31" s="27"/>
      <c r="FR31" s="27"/>
      <c r="FS31" s="27"/>
      <c r="FT31" s="27"/>
      <c r="FU31" s="27"/>
      <c r="FV31" s="28">
        <f t="shared" si="44"/>
        <v>0</v>
      </c>
      <c r="FW31" s="36"/>
      <c r="FX31" s="36"/>
      <c r="FY31" s="27"/>
      <c r="FZ31" s="27"/>
      <c r="GA31" s="27"/>
      <c r="GB31" s="27"/>
      <c r="GC31" s="27"/>
      <c r="GD31" s="27"/>
      <c r="GE31" s="24" cm="1">
        <f t="array" ref="GE31">SUMPRODUCT(('Data Base Coal Wining'!$C$2:$C$2000="TCM-ROM TEMPORARY SB2 KM 76-ROM HAC (S4700 Hard Ban)")*(ISNUMBER(SEARCH(TEXT('September TCM'!$B31,"00")&amp;"/08/2026",'Data Base Coal Wining'!$E$2:$E$2000)))*'Data Base Coal Wining'!$N$2:$N$2000)</f>
        <v>0</v>
      </c>
      <c r="GF31" s="27"/>
      <c r="GG31" s="27"/>
      <c r="GH31" s="33"/>
      <c r="GI31" s="33">
        <f t="shared" si="45"/>
        <v>0</v>
      </c>
      <c r="GJ31" s="2674"/>
      <c r="GL31" s="2">
        <f t="shared" si="112"/>
        <v>0</v>
      </c>
      <c r="GM31" s="63">
        <f t="shared" si="113"/>
        <v>0</v>
      </c>
      <c r="GN31" s="24">
        <f t="shared" si="114"/>
        <v>0</v>
      </c>
      <c r="GO31" s="1736">
        <f t="shared" si="46"/>
        <v>0</v>
      </c>
      <c r="GP31" s="141"/>
      <c r="GQ31" s="141"/>
      <c r="GR31" s="33"/>
      <c r="GS31" s="2667"/>
      <c r="GT31" s="1723">
        <f>SUMPRODUCT(('Data Base hauling'!$H$2:$H$2000="Trust")*(ISNUMBER(SEARCH(TEXT('September TCM'!$B31,"00")&amp;"/09/2026",'Data Base hauling'!$E$2:$E$2000)))*'Data Base hauling'!$N$2:$N$2000)</f>
        <v>0</v>
      </c>
      <c r="GU31" s="1723">
        <f>SUMPRODUCT(('Data Base hauling'!$H$2:$H$2000="RT")*(ISNUMBER(SEARCH(TEXT('September TCM'!$B31,"00")&amp;"/09/2026",'Data Base hauling'!$E$2:$E$2000)))*'Data Base hauling'!$N$2:$N$2000)</f>
        <v>0</v>
      </c>
      <c r="GV31" s="5">
        <f>SUMPRODUCT(('Data Base hauling'!$H$2:$H$2000="MPE")*(ISNUMBER(SEARCH(TEXT('September TCM'!$B31,"00")&amp;"/09/2026",'Data Base hauling'!$E$2:$E$2000)))*'Data Base hauling'!$N$2:$N$2000)</f>
        <v>0</v>
      </c>
      <c r="GW31" s="1723">
        <f>SUMPRODUCT(('Data Base hauling'!$H$2:$H$2000="RP")*(ISNUMBER(SEARCH(TEXT('September TCM'!$B31,"00")&amp;"/09/2026",'Data Base hauling'!$E$2:$E$2000)))*'Data Base hauling'!$N$2:$N$2000)</f>
        <v>0</v>
      </c>
      <c r="GX31" s="28">
        <f t="shared" si="115"/>
        <v>0</v>
      </c>
      <c r="GY31" s="2667"/>
      <c r="GZ31" s="35">
        <f>SUMPRODUCT(('Data Base hauling'!$C$2:$C$2000="TCM-ROM NB-ROM 1")*(ISNUMBER(SEARCH(TEXT('September TCM'!$B31,"00")&amp;"/09/2026",'Data Base hauling'!$E$2:$E$2000)))*'Data Base hauling'!$N$2:$N$2000)</f>
        <v>0</v>
      </c>
      <c r="HA31" s="36"/>
      <c r="HB31" s="27"/>
      <c r="HC31" s="27"/>
      <c r="HD31" s="27"/>
      <c r="HE31" s="27"/>
      <c r="HF31" s="24">
        <f>SUMPRODUCT(('Data Base hauling'!$C$2:$C$2000="TCM-ROM NB-ROM 4")*(ISNUMBER(SEARCH(TEXT('September TCM'!$B31,"00")&amp;"/09/2026",'Data Base hauling'!$E$2:$E$2000)))*'Data Base hauling'!$N$2:$N$2000)</f>
        <v>0</v>
      </c>
      <c r="HG31" s="24"/>
      <c r="HH31" s="24">
        <f>SUMPRODUCT(('Data Base hauling'!$C$2:$C$2000="TCM-ROM NB-ROM 5")*(ISNUMBER(SEARCH(TEXT('September TCM'!$B31,"00")&amp;"/09/2026",'Data Base hauling'!$E$2:$E$2000)))*'Data Base hauling'!$N$2:$N$2000)</f>
        <v>0</v>
      </c>
      <c r="HI31" s="24"/>
      <c r="HJ31" s="24">
        <f>SUMPRODUCT(('Data Base hauling'!$C$2:$C$2000="TCM-ROM NB-ROM 6")*(ISNUMBER(SEARCH(TEXT('September TCM'!$B31,"00")&amp;"/09/2026",'Data Base hauling'!$E$2:$E$2000)))*'Data Base hauling'!$N$2:$N$2000)</f>
        <v>0</v>
      </c>
      <c r="HK31" s="24"/>
      <c r="HL31" s="24">
        <f>SUMPRODUCT(('Data Base hauling'!$C$2:$C$2000="TCM-WASH-CR3")*(ISNUMBER(SEARCH(TEXT('September TCM'!$B31,"00")&amp;"/09/2026",'Data Base hauling'!$E$2:$E$2000)))*'Data Base hauling'!$N$2:$N$2000)</f>
        <v>0</v>
      </c>
      <c r="HM31" s="27"/>
      <c r="HN31" s="28">
        <f t="shared" si="131"/>
        <v>0</v>
      </c>
      <c r="HO31" s="36"/>
      <c r="HP31" s="27"/>
      <c r="HQ31" s="27"/>
      <c r="HR31" s="27"/>
      <c r="HS31" s="27"/>
      <c r="HT31" s="27"/>
      <c r="HU31" s="27">
        <f t="array" ref="HU31">SUMPRODUCT(('Data Base hauling'!$C$2:$C$2000="TCM-ROM SB1 BK05-ROM 4")*(ISNUMBER(SEARCH(TEXT('September TCM'!$B31,"00")&amp;"/03/2026",'Data Base hauling'!$E$2:$E$2000)))*'Data Base hauling'!$N$2:$N$2000)</f>
        <v>0</v>
      </c>
      <c r="HV31" s="27"/>
      <c r="HW31" s="27">
        <f t="array" ref="HW31">SUMPRODUCT(('Data Base hauling'!$C$2:$C$2000="TCM-ROM SB1 BK05-ROM 5")*(ISNUMBER(SEARCH(TEXT('September TCM'!$B31,"00")&amp;"/03/2026",'Data Base hauling'!$E$2:$E$2000)))*'Data Base hauling'!$N$2:$N$2000)</f>
        <v>0</v>
      </c>
      <c r="HX31" s="27"/>
      <c r="HY31" s="27"/>
      <c r="HZ31" s="27"/>
      <c r="IA31" s="27"/>
      <c r="IB31" s="27"/>
      <c r="IC31" s="33">
        <f t="shared" si="48"/>
        <v>0</v>
      </c>
      <c r="ID31" s="52"/>
      <c r="IE31" s="152"/>
      <c r="IF31" s="53"/>
      <c r="IG31" s="53"/>
      <c r="IH31" s="53"/>
      <c r="II31" s="53"/>
      <c r="IJ31" s="1926">
        <f>SUMPRODUCT(('Data Base hauling'!$C$2:$C$2000="TCM-ROM SB1 BK05-ROM 4")*(ISNUMBER(SEARCH(TEXT('September TCM'!$B31,"00")&amp;"/09/2026",'Data Base hauling'!$E$2:$E$2000)))*'Data Base hauling'!$N$2:$N$2000)</f>
        <v>0</v>
      </c>
      <c r="IK31" s="1926"/>
      <c r="IL31" s="1926">
        <f>SUMPRODUCT(('Data Base hauling'!$C$2:$C$2000="TCM-ROM SB1 BK05-ROM 5")*(ISNUMBER(SEARCH(TEXT('September TCM'!$B31,"00")&amp;"/09/2026",'Data Base hauling'!$E$2:$E$2000)))*'Data Base hauling'!$N$2:$N$2000)</f>
        <v>0</v>
      </c>
      <c r="IM31" s="49"/>
      <c r="IN31" s="49">
        <f>SUMPRODUCT(('Data Base hauling'!$C$2:$C$2000="TCM-ROM SB1 BK05-ROM 6")*(ISNUMBER(SEARCH(TEXT('September TCM'!$B31,"00")&amp;"/09/2026",'Data Base hauling'!$E$2:$E$2000)))*'Data Base hauling'!$N$2:$N$2000)</f>
        <v>0</v>
      </c>
      <c r="IO31" s="49"/>
      <c r="IP31" s="49"/>
      <c r="IQ31" s="49">
        <f>SUMPRODUCT(('Data Base hauling'!$C$2:$C$2000="TCM-HAC1 (Production)-ROM 2(HAC)")*(ISNUMBER(SEARCH(TEXT('September TCM'!$B31,"00")&amp;"/09/2026",'Data Base hauling'!$E$2:$E$2000)))*'Data Base hauling'!$N$2:$N$2000)</f>
        <v>0</v>
      </c>
      <c r="IR31" s="2195">
        <f t="shared" si="132"/>
        <v>0</v>
      </c>
      <c r="IS31" s="36"/>
      <c r="IT31" s="36"/>
      <c r="IU31" s="27"/>
      <c r="IV31" s="27"/>
      <c r="IW31" s="53"/>
      <c r="IX31" s="27"/>
      <c r="IY31" s="24">
        <f>SUMPRODUCT(('Data Base hauling'!$C$2:$C$2000="TCM-ROM SB2 BK24-ROM 4")*(ISNUMBER(SEARCH(TEXT('September TCM'!$B31,"00")&amp;"/09/2026",'Data Base hauling'!$E$2:$E$2000)))*'Data Base hauling'!$N$2:$N$2000)</f>
        <v>0</v>
      </c>
      <c r="IZ31" s="24"/>
      <c r="JA31" s="24">
        <f>SUMPRODUCT(('Data Base hauling'!$C$2:$C$2000="TCM-ROM SB2 BK24-ROM 5")*(ISNUMBER(SEARCH(TEXT('September TCM'!$B31,"00")&amp;"/09/2026",'Data Base hauling'!$E$2:$E$2000)))*'Data Base hauling'!$N$2:$N$2000)</f>
        <v>0</v>
      </c>
      <c r="JB31" s="24"/>
      <c r="JC31" s="24">
        <f>SUMPRODUCT(('Data Base hauling'!$C$2:$C$2000="TCM-ROM SB2 BK24-ROM 6")*(ISNUMBER(SEARCH(TEXT('September TCM'!$B31,"00")&amp;"/09/2026",'Data Base hauling'!$E$2:$E$2000)))*'Data Base hauling'!$N$2:$N$2000)</f>
        <v>0</v>
      </c>
      <c r="JD31" s="27"/>
      <c r="JE31" s="27"/>
      <c r="JF31" s="27"/>
      <c r="JG31" s="33">
        <f t="shared" si="133"/>
        <v>0</v>
      </c>
      <c r="JH31" s="2667"/>
      <c r="JJ31" s="2014">
        <f>SUMPRODUCT(('Data Base hauling'!$O$2:$O$2000="TCM.HCV.LS")*(ISNUMBER(SEARCH(TEXT('September TCM'!$B31,"00")&amp;"/09/2026",'Data Base hauling'!$E$2:$E$2000)))*'Data Base hauling'!$N$2:$N$2000)</f>
        <v>0</v>
      </c>
      <c r="JK31" s="2015">
        <f>SUMPRODUCT(('Data Base hauling'!$O$2:$O$2000="TCM.HCV.HS")*(ISNUMBER(SEARCH(TEXT('September TCM'!$B31,"00")&amp;"/09/2026",'Data Base hauling'!$E$2:$E$2000)))*'Data Base hauling'!$N$2:$N$2000)</f>
        <v>0</v>
      </c>
      <c r="JL31" s="53"/>
      <c r="JM31" s="1736">
        <f t="shared" si="51"/>
        <v>0</v>
      </c>
      <c r="JN31" s="33"/>
      <c r="JO31" s="2669"/>
      <c r="JP31" s="66" t="str">
        <f>IFERROR(SUMPRODUCT(('Data Base hauling'!$O$2:$O$2000="TCM.HCV.LS")*('Data Base hauling'!$C$2:$C$2000="TCM-ROM NB-ROM 1")*(ISNUMBER(SEARCH(TEXT('September TCM'!$B31,"00")&amp;"/09/2026",'Data Base hauling'!$E$2:$E$2000)))*'Data Base hauling'!$N$2:$N$2000)/'September TCM'!$JJ31,"")</f>
        <v/>
      </c>
      <c r="JQ31" s="67" t="str">
        <f>IFERROR(SUMPRODUCT(('Data Base hauling'!$O$2:$O$2000="TCM.HCV.LS")*('Data Base hauling'!$C$2:$C$2000="TCM-ROM NB-ROM 2")*(ISNUMBER(SEARCH(TEXT('September TCM'!$B31,"00")&amp;"/09/2026",'Data Base hauling'!$E$2:$E$2000)))*'Data Base hauling'!$N$2:$N$2000)/'September TCM'!$JJ31,"")</f>
        <v/>
      </c>
      <c r="JR31" s="67" t="str">
        <f>IFERROR(SUMPRODUCT(('Data Base hauling'!$O$2:$O$2000="TCM.HCV.LS")*('Data Base hauling'!$C$2:$C$2000="TCM-ROM NB-ROM 3")*(ISNUMBER(SEARCH(TEXT('September TCM'!$B31,"00")&amp;"/09/2026",'Data Base hauling'!$E$2:$E$2000)))*'Data Base hauling'!$N$2:$N$2000)/'September TCM'!$JJ31,"")</f>
        <v/>
      </c>
      <c r="JS31" s="67" t="str">
        <f>IFERROR(SUMPRODUCT(('Data Base hauling'!$O$2:$O$2000="TCM.HCV.LS")*('Data Base hauling'!$C$2:$C$2000="TCM-ROM SB1 BK05-ROM 4")*(ISNUMBER(SEARCH(TEXT('September TCM'!$B31,"00")&amp;"/09/2026",'Data Base hauling'!$E$2:$E$2000)))*'Data Base hauling'!$N$2:$N$2000)/'September TCM'!$JJ31,"")</f>
        <v/>
      </c>
      <c r="JT31" s="67" t="str">
        <f>IFERROR(SUMPRODUCT(('Data Base hauling'!$O$2:$O$2000="TCM.HCV.LS")*SIGN(('Data Base hauling'!$C$2:$C$2000="TCM-ROM NB-ROM 5")+('Data Base hauling'!$C$2:$C$2000="TCM-ROM SB1 BK05-ROM 5")+('Data Base hauling'!$C$2:$C$2000="TCM-ROM SB2 BK24-ROM 5"))*(ISNUMBER(SEARCH(TEXT('September TCM'!$B31,"00")&amp;"/09/2026",'Data Base hauling'!$E$2:$E$2000)))*'Data Base hauling'!$N$2:$N$2000)/'September TCM'!$JJ31,"")</f>
        <v/>
      </c>
      <c r="JU31" s="67" t="str">
        <f>IFERROR(SUMPRODUCT(('Data Base hauling'!$O$2:$O$2000="TCM.HCV.LS")*SIGN(('Data Base hauling'!$C$2:$C$2000="TCM-ROM NB-ROM 6")+('Data Base hauling'!$C$2:$C$2000="TCM-ROM SB1 BK05-ROM 6")+('Data Base hauling'!$C$2:$C$2000="TCM-ROM SB2 BK24-ROM 6"))*(ISNUMBER(SEARCH(TEXT('September TCM'!$B31,"00")&amp;"/09/2026",'Data Base hauling'!$E$2:$E$2000)))*'Data Base hauling'!$N$2:$N$2000)/'September TCM'!$JJ31,"")</f>
        <v/>
      </c>
      <c r="JV31" s="67" t="str">
        <f>IFERROR(SUMPRODUCT(('Data Base hauling'!$O$2:$O$2000="TCM.HCV.LS")*('Data Base hauling'!$C$2:$C$2000="TCM-WASH-CR3")*(ISNUMBER(SEARCH(TEXT('September TCM'!$B31,"00")&amp;"/09/2026",'Data Base hauling'!$E$2:$E$2000)))*'Data Base hauling'!$N$2:$N$2000)/'September TCM'!$JJ31,"")</f>
        <v/>
      </c>
      <c r="JW31" s="1921">
        <f>SUMPRODUCT(('Data Base hauling'!$O$2:$O$2000="TCM.HCV.LS")*('Data Base hauling'!$C$2:$C$2000="TCM-HAC-CR3")*(ISNUMBER(SEARCH(TEXT('September TCM'!$B31,"00")&amp;"/089/2026",'Data Base hauling'!$E$2:$E$2000)))*'Data Base hauling'!$N$2:$N$2000)</f>
        <v>0</v>
      </c>
      <c r="JX31" s="66" t="str">
        <f>IFERROR(SUMPRODUCT(('Data Base hauling'!$O$2:$O$2000="TCM.HCV.HS")*('Data Base hauling'!$C$2:$C$2000="TCM-ROM NB-ROM 1")*(ISNUMBER(SEARCH(TEXT('September TCM'!$B31,"00")&amp;"/09/2026",'Data Base hauling'!$E$2:$E$2000)))*'Data Base hauling'!$N$2:$N$2000)/'September TCM'!$JK31,"")</f>
        <v/>
      </c>
      <c r="JY31" s="67" t="str">
        <f>IFERROR(SUMPRODUCT(('Data Base hauling'!$O$2:$O$2000="TCM.HCV.HS")*('Data Base hauling'!$C$2:$C$2000="TCM-ROM NB-ROM 2")*(ISNUMBER(SEARCH(TEXT('September TCM'!$B31,"00")&amp;"/09/2026",'Data Base hauling'!$E$2:$E$2000)))*'Data Base hauling'!$N$2:$N$2000)/'September TCM'!$JK31,"")</f>
        <v/>
      </c>
      <c r="JZ31" s="67" t="str">
        <f>IFERROR(SUMPRODUCT(('Data Base hauling'!$O$2:$O$2000="TCM.HCV.HS")*('Data Base hauling'!$C$2:$C$2000="TCM-ROM NB-ROM 3")*(ISNUMBER(SEARCH(TEXT('September TCM'!$B31,"00")&amp;"/09/2026",'Data Base hauling'!$E$2:$E$2000)))*'Data Base hauling'!$N$2:$N$2000)/'September TCM'!$JK31,"")</f>
        <v/>
      </c>
      <c r="KA31" s="67" t="str">
        <f>IFERROR(SUMPRODUCT(('Data Base hauling'!$O$2:$O$2000="TCM.HCV.HS")*('Data Base hauling'!$C$2:$C$2000="TCM-ROM SB1 BK05-ROM 4")*(ISNUMBER(SEARCH(TEXT('September TCM'!$B31,"00")&amp;"/09/2026",'Data Base hauling'!$E$2:$E$2000)))*'Data Base hauling'!$N$2:$N$2000)/'September TCM'!$JK31,"")</f>
        <v/>
      </c>
      <c r="KB31" s="67" t="str">
        <f>IFERROR(SUMPRODUCT(('Data Base hauling'!$O$2:$O$2000="TCM.HCV.HS")*SIGN(('Data Base hauling'!$C$2:$C$2000="TCM-ROM NB-ROM 5")+('Data Base hauling'!$C$2:$C$2000="TCM-ROM SB1 BK05-ROM 5")+('Data Base hauling'!$C$2:$C$2000="TCM-ROM SB2 BK24-ROM 5"))*(ISNUMBER(SEARCH(TEXT('September TCM'!$B31,"00")&amp;"/09/2026",'Data Base hauling'!$E$2:$E$2000)))*'Data Base hauling'!$N$2:$N$2000)/'September TCM'!$JK31,"")</f>
        <v/>
      </c>
      <c r="KC31" s="67" t="str">
        <f>IFERROR(SUMPRODUCT(('Data Base hauling'!$O$2:$O$2000="TCM.HCV.HS")*SIGN(('Data Base hauling'!$C$2:$C$2000="TCM-ROM NB-ROM 6")+('Data Base hauling'!$C$2:$C$2000="TCM-ROM SB1 BK05-ROM 6")+('Data Base hauling'!$C$2:$C$2000="TCM-ROM SB2 BK24-ROM 6"))*(ISNUMBER(SEARCH(TEXT('September TCM'!$B31,"00")&amp;"/09/2026",'Data Base hauling'!$E$2:$E$2000)))*'Data Base hauling'!$N$2:$N$2000)/'September TCM'!$JK31,"")</f>
        <v/>
      </c>
      <c r="KD31" s="67" t="str">
        <f>IFERROR(SUMPRODUCT(('Data Base hauling'!$O$2:$O$2000="TCM.HCV.HS")*('Data Base hauling'!$C$2:$C$2000="TCM-WASH-CR3")*(ISNUMBER(SEARCH(TEXT('September TCM'!$B31,"00")&amp;"/09/2026",'Data Base hauling'!$E$2:$E$2000)))*'Data Base hauling'!$N$2:$N$2000)/'September TCM'!$JK31,"")</f>
        <v/>
      </c>
      <c r="KE31" s="68" t="str">
        <f>IFERROR(SUMPRODUCT(('Data Base hauling'!$O$2:$O$2000="TCM.HCV.HS")*('Data Base hauling'!$C$2:$C$2000="TCM-HAC-CR3")*(ISNUMBER(SEARCH(TEXT('September TCM'!$B31,"00")&amp;"/09/2026",'Data Base hauling'!$E$2:$E$2000)))*'Data Base hauling'!$N$2:$N$2000)/'September TCM'!$JK31,"")</f>
        <v/>
      </c>
      <c r="KF31" s="69"/>
      <c r="KG31" s="70"/>
      <c r="KH31" s="70"/>
      <c r="KI31" s="70"/>
      <c r="KJ31" s="70"/>
      <c r="KK31" s="70"/>
      <c r="KL31" s="70"/>
      <c r="KM31" s="70"/>
      <c r="KN31" s="33"/>
      <c r="KO31" s="2669"/>
      <c r="KP31" s="2203">
        <f>IFERROR(SUMPRODUCT((TCM.HCV.LS!$A$3:$A$58=DATE(2026,9,$B31))*(TCM.HCV.LS!$O$3:$O$58&gt;0)*TCM.HCV.LS!$C$3:$C$58*TCM.HCV.LS!$O$3:$O$58)/SUMPRODUCT((TCM.HCV.LS!$A$3:$A$58=DATE(2026,9,$B31))*(TCM.HCV.LS!$O$3:$O$58&gt;0)*TCM.HCV.LS!$C$3:$C$58),0)</f>
        <v>0</v>
      </c>
      <c r="KQ31" s="1721">
        <f>IFERROR(SUMPRODUCT((TCM.HCV.LS!$A$3:$A$58=DATE(2026,9,$B31))*(TCM.HCV.LS!$M$3:$M$58&gt;0)*TCM.HCV.LS!$C$3:$C$58*TCM.HCV.LS!$M$3:$M$58)/SUMPRODUCT((TCM.HCV.LS!$A$3:$A$58=DATE(2026,9,$B31))*(TCM.HCV.LS!$M$3:$M$58&gt;0)*TCM.HCV.LS!$C$3:$C$58),0)</f>
        <v>0</v>
      </c>
      <c r="KR31" s="1721">
        <f>IFERROR(SUMPRODUCT((TCM.HCV.LS!$A$3:$A$58=DATE(2026,9,$B31))*(TCM.HCV.LS!$G$3:$G$58&gt;0)*TCM.HCV.LS!$C$3:$C$58*TCM.HCV.LS!$G$3:$G$58)/SUMPRODUCT((TCM.HCV.LS!$A$3:$A$58=DATE(2026,9,$B31))*(TCM.HCV.LS!$G$3:$G$58&gt;0)*TCM.HCV.LS!$C$3:$C$58),0)</f>
        <v>0</v>
      </c>
      <c r="KS31" s="1721">
        <f>IFERROR(SUMPRODUCT((TCM.HCV.LS!$A$3:$A$58=DATE(2026,9,$B31))*(TCM.HCV.LS!$F$3:$F$58&gt;0)*TCM.HCV.LS!$C$3:$C$58*TCM.HCV.LS!$F$3:$F$58)/SUMPRODUCT((TCM.HCV.LS!$A$3:$A$58=DATE(2026,9,$B31))*(TCM.HCV.LS!$F$3:$F$58&gt;0)*TCM.HCV.LS!$C$3:$C$58),0)</f>
        <v>0</v>
      </c>
      <c r="KT31" s="1722">
        <f>IFERROR(SUMPRODUCT((TCM.HCV.LS!$A$3:$A$58=DATE(2026,9,$B31))*(TCM.HCV.LS!$E$3:$E$58&gt;0)*TCM.HCV.LS!$C$3:$C$58*TCM.HCV.LS!$E$3:$E$58)/SUMPRODUCT((TCM.HCV.LS!$A$3:$A$58=DATE(2026,9,$B31))*(TCM.HCV.LS!$E$3:$E$58&gt;0)*TCM.HCV.LS!$C$3:$C$58),0)</f>
        <v>0</v>
      </c>
      <c r="KU31" s="1958">
        <f>IFERROR(SUMPRODUCT((TCM.HCV.HS!$A$3:$A$84=DATE(2026,9,$B31))*(TCM.HCV.HS!$O$3:$O$84&gt;0)*TCM.HCV.HS!$C$3:$C$84*TCM.HCV.HS!$O$3:$O$84)/SUMPRODUCT((TCM.HCV.HS!$A$3:$A$84=DATE(2026,9,$B31))*(TCM.HCV.HS!$O$3:$O$84&gt;0)*TCM.HCV.HS!$C$3:$C$84),0)</f>
        <v>0</v>
      </c>
      <c r="KV31" s="1961">
        <f>IFERROR(SUMPRODUCT((TCM.HCV.HS!$A$3:$A$84=DATE(2026,9,$B31))*(TCM.HCV.HS!$M$3:$M$84&gt;0)*TCM.HCV.HS!$C$3:$C$84*TCM.HCV.HS!$M$3:$M$84)/SUMPRODUCT((TCM.HCV.HS!$A$3:$A$84=DATE(2026,9,$B31))*(TCM.HCV.HS!$M$3:$M$84&gt;0)*TCM.HCV.HS!$C$3:$C$84),0)</f>
        <v>0</v>
      </c>
      <c r="KW31" s="1961">
        <f>IFERROR(SUMPRODUCT((TCM.HCV.HS!$A$3:$A$84=DATE(2026,9,$B31))*(TCM.HCV.HS!$G$3:$G$84&gt;0)*TCM.HCV.HS!$C$3:$C$84*TCM.HCV.HS!$G$3:$G$84)/SUMPRODUCT((TCM.HCV.HS!$A$3:$A$84=DATE(2026,9,$B31))*(TCM.HCV.HS!$G$3:$G$84&gt;0)*TCM.HCV.HS!$C$3:$C$84),0)</f>
        <v>0</v>
      </c>
      <c r="KX31" s="1961">
        <f>IFERROR(SUMPRODUCT((TCM.HCV.HS!$A$3:$A$84=DATE(2026,9,$B31))*(TCM.HCV.HS!$F$3:$F$84&gt;0)*TCM.HCV.HS!$C$3:$C$84*TCM.HCV.HS!$F$3:$F$84)/SUMPRODUCT((TCM.HCV.HS!$A$3:$A$84=DATE(2026,9,$B31))*(TCM.HCV.HS!$F$3:$F$84&gt;0)*TCM.HCV.HS!$C$3:$C$84),0)</f>
        <v>0</v>
      </c>
      <c r="KY31" s="1962">
        <f>IFERROR(SUMPRODUCT((TCM.HCV.HS!$A$3:$A$84=DATE(2026,9,$B31))*(TCM.HCV.HS!$E$3:$E$84&gt;0)*TCM.HCV.HS!$C$3:$C$84*TCM.HCV.HS!$E$3:$E$84)/SUMPRODUCT((TCM.HCV.HS!$A$3:$A$84=DATE(2026,9,$B31))*(TCM.HCV.HS!$E$3:$E$84&gt;0)*TCM.HCV.HS!$C$3:$C$84),0)</f>
        <v>0</v>
      </c>
      <c r="KZ31" s="36"/>
      <c r="LA31" s="53"/>
      <c r="LB31" s="53"/>
      <c r="LC31" s="53"/>
      <c r="LD31" s="53"/>
      <c r="LE31" s="33"/>
      <c r="LF31" s="2669"/>
      <c r="LH31" s="4">
        <f t="shared" si="138"/>
        <v>0</v>
      </c>
      <c r="LI31" s="5">
        <f t="shared" si="138"/>
        <v>0</v>
      </c>
      <c r="LJ31" s="27">
        <f t="shared" si="138"/>
        <v>0</v>
      </c>
      <c r="LK31" s="28">
        <f t="shared" si="53"/>
        <v>0</v>
      </c>
      <c r="LL31" s="36"/>
      <c r="LM31" s="27"/>
      <c r="LN31" s="27"/>
      <c r="LO31" s="33"/>
      <c r="LP31" s="1957"/>
      <c r="LQ31" s="486"/>
      <c r="LR31" s="2688"/>
      <c r="LS31" s="36"/>
      <c r="LT31" s="36"/>
      <c r="LU31" s="27"/>
      <c r="LV31" s="27"/>
      <c r="LW31" s="27"/>
      <c r="LX31" s="1107">
        <f t="shared" si="129"/>
        <v>0</v>
      </c>
      <c r="LY31" s="36"/>
      <c r="LZ31" s="36"/>
      <c r="MA31" s="27"/>
      <c r="MB31" s="27"/>
      <c r="MC31" s="33"/>
      <c r="MD31" s="28">
        <f t="shared" si="137"/>
        <v>0</v>
      </c>
      <c r="ME31" s="26"/>
      <c r="MF31" s="36"/>
      <c r="MG31" s="27"/>
      <c r="MH31" s="27"/>
      <c r="MI31" s="27"/>
      <c r="MJ31" s="28"/>
      <c r="MK31" s="36"/>
      <c r="ML31" s="36"/>
      <c r="MM31" s="27"/>
      <c r="MN31" s="27"/>
      <c r="MO31" s="27"/>
      <c r="MP31" s="28"/>
      <c r="MQ31" s="36"/>
      <c r="MR31" s="36"/>
      <c r="MS31" s="27"/>
      <c r="MT31" s="27"/>
      <c r="MU31" s="27"/>
      <c r="MV31" s="33">
        <f t="shared" si="56"/>
        <v>0</v>
      </c>
      <c r="MW31" s="2688"/>
      <c r="MY31" s="26">
        <f t="shared" si="57"/>
        <v>377341.84766611259</v>
      </c>
      <c r="MZ31" s="27">
        <f t="shared" si="58"/>
        <v>191281.80302645115</v>
      </c>
      <c r="NA31" s="27">
        <f t="shared" si="59"/>
        <v>27294.683787707359</v>
      </c>
      <c r="NB31" s="28">
        <f t="shared" si="60"/>
        <v>318297.33035698003</v>
      </c>
      <c r="NC31" s="2621"/>
      <c r="ND31" s="23">
        <f t="shared" si="116"/>
        <v>207724.34280113198</v>
      </c>
      <c r="NE31" s="1655">
        <f t="shared" si="117"/>
        <v>169617.50486498058</v>
      </c>
      <c r="NF31" s="60">
        <f t="shared" si="63"/>
        <v>0</v>
      </c>
      <c r="NG31" s="1110">
        <f t="shared" si="4"/>
        <v>377341.84766611259</v>
      </c>
      <c r="NH31" s="26">
        <f t="shared" si="141"/>
        <v>-313.35000000000002</v>
      </c>
      <c r="NI31" s="27">
        <f t="shared" si="141"/>
        <v>0</v>
      </c>
      <c r="NJ31" s="27">
        <f t="shared" si="141"/>
        <v>0</v>
      </c>
      <c r="NK31" s="27">
        <f t="shared" si="141"/>
        <v>0</v>
      </c>
      <c r="NL31" s="27">
        <f t="shared" si="141"/>
        <v>0</v>
      </c>
      <c r="NM31" s="33">
        <f t="shared" si="141"/>
        <v>0</v>
      </c>
      <c r="NN31" s="27">
        <f t="shared" si="141"/>
        <v>0</v>
      </c>
      <c r="NO31" s="36">
        <f t="shared" si="141"/>
        <v>0</v>
      </c>
      <c r="NP31" s="24">
        <f t="shared" si="141"/>
        <v>21665.870136227244</v>
      </c>
      <c r="NQ31" s="27">
        <f t="shared" si="141"/>
        <v>22358.939343794715</v>
      </c>
      <c r="NR31" s="24">
        <f t="shared" si="118"/>
        <v>8443.1982322711574</v>
      </c>
      <c r="NS31" s="24">
        <f t="shared" si="119"/>
        <v>9895.3380410535083</v>
      </c>
      <c r="NT31" s="27">
        <f t="shared" si="0"/>
        <v>62049.995753346629</v>
      </c>
      <c r="NU31" s="27">
        <f t="shared" si="142"/>
        <v>0</v>
      </c>
      <c r="NV31" s="27">
        <f t="shared" si="142"/>
        <v>0</v>
      </c>
      <c r="NW31" s="27">
        <f t="shared" si="142"/>
        <v>0</v>
      </c>
      <c r="NX31" s="27">
        <f t="shared" si="142"/>
        <v>0</v>
      </c>
      <c r="NY31" s="27">
        <f t="shared" si="142"/>
        <v>0</v>
      </c>
      <c r="NZ31" s="5">
        <f t="shared" si="142"/>
        <v>0</v>
      </c>
      <c r="OA31" s="27">
        <f t="shared" si="142"/>
        <v>35558.705564997217</v>
      </c>
      <c r="OB31" s="27">
        <f t="shared" si="142"/>
        <v>0</v>
      </c>
      <c r="OC31" s="27">
        <f t="shared" si="66"/>
        <v>12611.886475620366</v>
      </c>
      <c r="OD31" s="27"/>
      <c r="OE31" s="27">
        <f t="shared" si="120"/>
        <v>13429.316718063665</v>
      </c>
      <c r="OF31" s="27">
        <f t="shared" si="67"/>
        <v>0</v>
      </c>
      <c r="OG31" s="28">
        <f t="shared" si="1"/>
        <v>61599.908758681253</v>
      </c>
      <c r="OH31" s="27">
        <f t="shared" si="143"/>
        <v>0</v>
      </c>
      <c r="OI31" s="27">
        <f t="shared" si="143"/>
        <v>0</v>
      </c>
      <c r="OJ31" s="27">
        <f t="shared" si="143"/>
        <v>0</v>
      </c>
      <c r="OK31" s="27">
        <f t="shared" si="143"/>
        <v>0</v>
      </c>
      <c r="OL31" s="27">
        <f t="shared" si="143"/>
        <v>0</v>
      </c>
      <c r="OM31" s="27">
        <f t="shared" si="143"/>
        <v>0</v>
      </c>
      <c r="ON31" s="24">
        <f t="shared" si="143"/>
        <v>0</v>
      </c>
      <c r="OO31" s="27">
        <f t="shared" si="143"/>
        <v>0</v>
      </c>
      <c r="OP31" s="24">
        <f t="shared" si="69"/>
        <v>54054.217649249818</v>
      </c>
      <c r="OQ31" s="27">
        <f t="shared" si="144"/>
        <v>0</v>
      </c>
      <c r="OR31" s="24">
        <f t="shared" si="144"/>
        <v>13577.680865173457</v>
      </c>
      <c r="OS31" s="27">
        <f t="shared" si="144"/>
        <v>0</v>
      </c>
      <c r="OT31" s="28">
        <f t="shared" si="2"/>
        <v>67631.898514423272</v>
      </c>
      <c r="OU31" s="36"/>
      <c r="OV31" s="27"/>
      <c r="OW31" s="27"/>
      <c r="OX31" s="27"/>
      <c r="OY31" s="27"/>
      <c r="OZ31" s="27"/>
      <c r="PA31" s="28">
        <f t="shared" si="71"/>
        <v>0</v>
      </c>
      <c r="PB31" s="36">
        <f t="shared" si="72"/>
        <v>0</v>
      </c>
      <c r="PC31" s="27">
        <f t="shared" si="73"/>
        <v>0</v>
      </c>
      <c r="PD31" s="27">
        <f t="shared" si="74"/>
        <v>0</v>
      </c>
      <c r="PE31" s="27">
        <f t="shared" si="75"/>
        <v>0</v>
      </c>
      <c r="PF31" s="24"/>
      <c r="PG31" s="27">
        <f t="shared" si="76"/>
        <v>0</v>
      </c>
      <c r="PH31" s="33">
        <f t="shared" si="3"/>
        <v>0</v>
      </c>
      <c r="PI31" s="2621"/>
      <c r="PK31" s="1907">
        <f>SUMPRODUCT(('Data Base Coal Wining'!$D$2:$D$2000="WASHING PLANT")*ISNUMBER(SEARCH(TEXT('September TCM'!$B31,"00")&amp;"/09/2026",'Data Base Coal Wining'!$E$2:$E$2000))*'Data Base Coal Wining'!$N$2:$N$2000)</f>
        <v>0</v>
      </c>
      <c r="PL31" s="3"/>
      <c r="PM31" s="3"/>
      <c r="PN31" s="3">
        <f t="shared" si="145"/>
        <v>0</v>
      </c>
      <c r="PO31" s="3">
        <f t="shared" si="78"/>
        <v>38895.633435124721</v>
      </c>
      <c r="PP31" s="11">
        <f t="shared" si="139"/>
        <v>27294.683787707359</v>
      </c>
      <c r="PQ31" s="15"/>
      <c r="PR31" s="2615"/>
      <c r="PT31" s="4"/>
      <c r="PU31" s="9"/>
      <c r="PV31" s="9"/>
      <c r="PW31" s="9"/>
      <c r="PX31" s="8">
        <f>SUMPRODUCT(('Data Base Coal Wining'!$D$2:$D$2000="TCM-ROM SB1 BK05-ROM 2 (HAC)")*('Data Base Coal Wining'!$G$2:$G$2000="Coal Winning")*ISNUMBER(SEARCH(TEXT('September TCM'!$B31,"00")&amp;"/09/2026",'Data Base Coal Wining'!$E$2:$E$2000))*'Data Base Coal Wining'!$N$2:$N$2000)</f>
        <v>0</v>
      </c>
      <c r="PY31" s="9"/>
      <c r="PZ31" s="8">
        <f t="shared" si="80"/>
        <v>0</v>
      </c>
      <c r="QA31" s="5">
        <f t="shared" si="81"/>
        <v>0</v>
      </c>
      <c r="QB31" s="5"/>
      <c r="QC31" s="5"/>
      <c r="QD31" s="5"/>
      <c r="QE31" s="5"/>
      <c r="QF31" s="5"/>
      <c r="QG31" s="12"/>
      <c r="QH31" s="12">
        <f t="shared" si="82"/>
        <v>29562.488999999998</v>
      </c>
      <c r="QI31" s="420">
        <f t="shared" si="83"/>
        <v>283762.59090898006</v>
      </c>
      <c r="QJ31" s="1106">
        <f t="shared" si="121"/>
        <v>4972.2504480000007</v>
      </c>
      <c r="QK31" s="484">
        <f t="shared" si="84"/>
        <v>5505.3678056099998</v>
      </c>
      <c r="QL31" s="12"/>
      <c r="QM31" s="2615"/>
      <c r="QO31" s="139" t="str">
        <f t="shared" si="85"/>
        <v/>
      </c>
      <c r="QP31" s="139" t="str">
        <f t="shared" si="86"/>
        <v/>
      </c>
      <c r="QR31" s="139" t="str">
        <f t="shared" si="87"/>
        <v/>
      </c>
      <c r="QS31" s="139" t="str">
        <f t="shared" si="88"/>
        <v/>
      </c>
      <c r="QU31" s="1">
        <f t="shared" si="89"/>
        <v>0</v>
      </c>
      <c r="QV31" s="1">
        <f t="shared" si="90"/>
        <v>0</v>
      </c>
      <c r="QW31" s="1">
        <f t="shared" si="91"/>
        <v>0</v>
      </c>
      <c r="QX31" s="1">
        <f t="shared" si="92"/>
        <v>0</v>
      </c>
      <c r="QY31" s="1">
        <f t="shared" si="93"/>
        <v>0</v>
      </c>
      <c r="QZ31" s="1">
        <f t="shared" si="94"/>
        <v>0</v>
      </c>
      <c r="RB31" s="1">
        <f t="shared" si="95"/>
        <v>0</v>
      </c>
      <c r="RC31" s="1">
        <f t="shared" si="96"/>
        <v>0</v>
      </c>
      <c r="RD31" s="1">
        <f t="shared" si="97"/>
        <v>0</v>
      </c>
      <c r="RE31" s="1">
        <f t="shared" si="98"/>
        <v>0</v>
      </c>
      <c r="RF31" s="1">
        <f t="shared" si="99"/>
        <v>0</v>
      </c>
      <c r="RG31" s="1">
        <f t="shared" si="100"/>
        <v>0</v>
      </c>
      <c r="RJ31" s="1">
        <v>22</v>
      </c>
      <c r="RK31" s="1">
        <f t="shared" si="135"/>
        <v>5984.4452097170979</v>
      </c>
      <c r="RL31" s="1">
        <f t="shared" si="135"/>
        <v>5074.1017804837184</v>
      </c>
      <c r="RM31" s="1">
        <f t="shared" si="135"/>
        <v>13404.263703387322</v>
      </c>
      <c r="RN31" s="89">
        <f t="shared" si="5"/>
        <v>24462.810693588137</v>
      </c>
      <c r="RO31" s="1033">
        <v>22</v>
      </c>
      <c r="RP31" s="1098">
        <v>0</v>
      </c>
      <c r="RQ31" s="1098">
        <f t="shared" si="102"/>
        <v>0</v>
      </c>
      <c r="RR31" s="1097">
        <f t="shared" si="102"/>
        <v>0</v>
      </c>
      <c r="RS31" s="1097">
        <f t="shared" si="103"/>
        <v>0</v>
      </c>
      <c r="RT31" s="1109"/>
      <c r="RU31" s="1109"/>
      <c r="RV31" s="1048"/>
      <c r="RX31" s="421">
        <v>22</v>
      </c>
      <c r="RY31" s="1095">
        <f t="shared" si="104"/>
        <v>0</v>
      </c>
      <c r="RZ31" s="1046"/>
      <c r="SB31" s="1090"/>
      <c r="SC31" s="1090">
        <f t="shared" si="105"/>
        <v>0</v>
      </c>
      <c r="SD31" s="1090"/>
      <c r="SE31" s="1090">
        <f t="shared" si="136"/>
        <v>0</v>
      </c>
      <c r="SG31" s="1">
        <v>22</v>
      </c>
      <c r="SH31" s="1">
        <f t="shared" si="107"/>
        <v>0</v>
      </c>
      <c r="SI31" s="1094"/>
    </row>
    <row r="32" spans="1:503" s="1" customFormat="1">
      <c r="B32" s="471">
        <v>23</v>
      </c>
      <c r="C32" s="4">
        <f t="shared" si="146"/>
        <v>0</v>
      </c>
      <c r="D32" s="1590">
        <f t="shared" si="128"/>
        <v>0</v>
      </c>
      <c r="E32" s="1895">
        <f t="shared" si="6"/>
        <v>0</v>
      </c>
      <c r="F32" s="870"/>
      <c r="G32" s="870"/>
      <c r="H32" s="52"/>
      <c r="I32" s="61"/>
      <c r="J32" s="52"/>
      <c r="K32" s="54"/>
      <c r="L32" s="52"/>
      <c r="M32" s="61"/>
      <c r="N32" s="2629"/>
      <c r="O32" s="4">
        <f t="shared" si="125"/>
        <v>0</v>
      </c>
      <c r="P32" s="1225">
        <f t="shared" si="7"/>
        <v>0</v>
      </c>
      <c r="Q32" s="1913">
        <f t="shared" si="8"/>
        <v>0</v>
      </c>
      <c r="R32" s="33"/>
      <c r="S32" s="26">
        <f t="shared" si="9"/>
        <v>0</v>
      </c>
      <c r="T32" s="27">
        <f t="shared" si="110"/>
        <v>0</v>
      </c>
      <c r="U32" s="1909">
        <f t="shared" si="10"/>
        <v>0</v>
      </c>
      <c r="V32" s="28"/>
      <c r="W32" s="26">
        <f t="shared" si="11"/>
        <v>0</v>
      </c>
      <c r="X32" s="5">
        <f t="shared" si="11"/>
        <v>0</v>
      </c>
      <c r="Y32" s="1909">
        <f t="shared" si="12"/>
        <v>0</v>
      </c>
      <c r="Z32" s="33"/>
      <c r="AA32" s="26">
        <f t="shared" si="13"/>
        <v>0</v>
      </c>
      <c r="AB32" s="27">
        <f t="shared" si="126"/>
        <v>0</v>
      </c>
      <c r="AC32" s="1909">
        <f t="shared" si="15"/>
        <v>0</v>
      </c>
      <c r="AD32" s="28"/>
      <c r="AE32" s="36"/>
      <c r="AF32" s="36"/>
      <c r="AG32" s="53">
        <f t="shared" si="16"/>
        <v>0</v>
      </c>
      <c r="AH32" s="28"/>
      <c r="AI32" s="23"/>
      <c r="AJ32" s="27"/>
      <c r="AK32" s="53">
        <f t="shared" si="17"/>
        <v>0</v>
      </c>
      <c r="AL32" s="28"/>
      <c r="AM32" s="2629"/>
      <c r="AN32" s="9"/>
      <c r="AO32" s="5"/>
      <c r="AP32" s="61">
        <f t="shared" si="18"/>
        <v>0</v>
      </c>
      <c r="AQ32" s="36"/>
      <c r="AR32" s="53"/>
      <c r="AS32" s="61">
        <f t="shared" si="19"/>
        <v>0</v>
      </c>
      <c r="AT32" s="36">
        <v>0</v>
      </c>
      <c r="AU32" s="27"/>
      <c r="AV32" s="54">
        <f t="shared" si="20"/>
        <v>0</v>
      </c>
      <c r="AW32" s="26"/>
      <c r="AX32" s="280">
        <f>SUMPRODUCT(ISNUMBER(SEARCH("BK20",'Data Base Coal Wining'!$C$2:$C$2000))*ISNUMBER(SEARCH("P3000",'Data Base Coal Wining'!$C$2:$C$2000))*('Data Base Coal Wining'!$H$2:$H$2000="PAMA")*('Data Base Coal Wining'!$G$2:$G$2000="Coal Winning")*ISNUMBER(SEARCH(TEXT('September TCM'!$B32,"00")&amp;"/09/2026",'Data Base Coal Wining'!$E$2:$E$2000))*'Data Base Coal Wining'!$N$2:$N$2000)</f>
        <v>0</v>
      </c>
      <c r="AY32" s="1895">
        <f t="shared" si="134"/>
        <v>0</v>
      </c>
      <c r="AZ32" s="1908"/>
      <c r="BA32" s="1909"/>
      <c r="BB32" s="1895">
        <f t="shared" si="21"/>
        <v>0</v>
      </c>
      <c r="BC32" s="1740"/>
      <c r="BD32" s="2154">
        <f>SUMPRODUCT(ISNUMBER(SEARCH("BK30",'Data Base Coal Wining'!$C$2:$C$2000))*ISNUMBER(SEARCH("P3000",'Data Base Coal Wining'!$C$2:$C$2000))*('Data Base Coal Wining'!$H$2:$H$2000="PAMA")*('Data Base Coal Wining'!$G$2:$G$2000="Coal Winning")*ISNUMBER(SEARCH(TEXT('September TCM'!$B32,"00")&amp;"/09/2026",'Data Base Coal Wining'!$E$2:$E$2000))*'Data Base Coal Wining'!$N$2:$N$2000)</f>
        <v>0</v>
      </c>
      <c r="BE32" s="1895">
        <f t="shared" si="22"/>
        <v>0</v>
      </c>
      <c r="BF32" s="1908"/>
      <c r="BG32" s="1909"/>
      <c r="BH32" s="1895">
        <f t="shared" si="23"/>
        <v>0</v>
      </c>
      <c r="BI32" s="1908">
        <v>0</v>
      </c>
      <c r="BJ32" s="1909">
        <v>0</v>
      </c>
      <c r="BK32" s="1895">
        <f t="shared" si="24"/>
        <v>0</v>
      </c>
      <c r="BL32" s="2491"/>
      <c r="BM32" s="2154">
        <f>SUMPRODUCT(ISNUMBER(SEARCH("BK26",'Data Base Coal Wining'!$C$2:$C$2000))*ISNUMBER(SEARCH("P4400",'Data Base Coal Wining'!$C$2:$C$2000))*('Data Base Coal Wining'!$H$2:$H$2000="MAP")*('Data Base Coal Wining'!$G$2:$G$2000="Coal Winning")*ISNUMBER(SEARCH(TEXT('September TCM'!$B32,"00")&amp;"/09/2026",'Data Base Coal Wining'!$E$2:$E$2000))*'Data Base Coal Wining'!$N$2:$N$2000)</f>
        <v>0</v>
      </c>
      <c r="BN32" s="2170"/>
      <c r="BO32" s="1911">
        <f t="shared" si="25"/>
        <v>0</v>
      </c>
      <c r="BP32" s="9"/>
      <c r="BQ32" s="2514">
        <f>SUMPRODUCT(ISNUMBER(SEARCH("BK34",'Data Base Coal Wining'!$C$2:$C$2000))*ISNUMBER(SEARCH("P4000",'Data Base Coal Wining'!$C$2:$C$2000))*('Data Base Coal Wining'!$H$2:$H$2000="PJPN")*('Data Base Coal Wining'!$G$2:$G$2000="Coal Winning")*ISNUMBER(SEARCH(TEXT('September TCM'!$B32,"00")&amp;"/09/2026",'Data Base Coal Wining'!$E$2:$E$2000))*'Data Base Coal Wining'!$N$2:$N$2000)</f>
        <v>0</v>
      </c>
      <c r="BR32" s="1920">
        <f t="shared" si="26"/>
        <v>0</v>
      </c>
      <c r="BS32" s="9"/>
      <c r="BT32" s="64"/>
      <c r="BU32" s="482">
        <f t="shared" si="27"/>
        <v>0</v>
      </c>
      <c r="BV32" s="9"/>
      <c r="BW32" s="27"/>
      <c r="BX32" s="15">
        <f t="shared" ref="BX32:BX40" si="147">IFERROR(BV32/BW32,0)</f>
        <v>0</v>
      </c>
      <c r="BY32" s="4"/>
      <c r="BZ32" s="5"/>
      <c r="CA32" s="482">
        <f t="shared" si="29"/>
        <v>0</v>
      </c>
      <c r="CB32" s="9"/>
      <c r="CC32" s="5"/>
      <c r="CD32" s="482">
        <f t="shared" si="30"/>
        <v>0</v>
      </c>
      <c r="CE32" s="4"/>
      <c r="CF32" s="5"/>
      <c r="CG32" s="28">
        <f t="shared" si="31"/>
        <v>0</v>
      </c>
      <c r="CH32" s="150"/>
      <c r="CI32" s="1108"/>
      <c r="CJ32" s="5"/>
      <c r="CK32" s="5"/>
      <c r="CL32" s="5"/>
      <c r="CM32" s="5"/>
      <c r="CN32" s="3">
        <f t="shared" si="111"/>
        <v>0</v>
      </c>
      <c r="CO32" s="33"/>
      <c r="CP32" s="368"/>
      <c r="CR32" s="4">
        <f t="shared" si="32"/>
        <v>0</v>
      </c>
      <c r="CS32" s="9">
        <f t="shared" si="32"/>
        <v>0</v>
      </c>
      <c r="CT32" s="5">
        <f t="shared" si="32"/>
        <v>0</v>
      </c>
      <c r="CU32" s="5">
        <f t="shared" si="32"/>
        <v>0</v>
      </c>
      <c r="CV32" s="5">
        <f t="shared" si="32"/>
        <v>0</v>
      </c>
      <c r="CW32" s="5">
        <f t="shared" si="32"/>
        <v>0</v>
      </c>
      <c r="CX32" s="5">
        <f t="shared" si="32"/>
        <v>0</v>
      </c>
      <c r="CY32" s="5">
        <f t="shared" si="32"/>
        <v>0</v>
      </c>
      <c r="CZ32" s="5">
        <f t="shared" si="32"/>
        <v>0</v>
      </c>
      <c r="DA32" s="5">
        <f t="shared" si="32"/>
        <v>0</v>
      </c>
      <c r="DB32" s="5">
        <f t="shared" si="32"/>
        <v>0</v>
      </c>
      <c r="DC32" s="12">
        <f t="shared" si="33"/>
        <v>0</v>
      </c>
      <c r="DD32" s="310">
        <f>SUM(CR32:DC32,PX32,PY32,)</f>
        <v>0</v>
      </c>
      <c r="DE32" s="2695"/>
      <c r="DF32" s="8"/>
      <c r="DG32" s="9"/>
      <c r="DH32" s="5"/>
      <c r="DI32" s="5"/>
      <c r="DJ32" s="5"/>
      <c r="DK32" s="5"/>
      <c r="DL32" s="3">
        <f>SUMPRODUCT(('Data Base Coal Wining'!$D$2:$D$2000="TCM-ROM SB1 BK05-ROM 4")*('Data Base Coal Wining'!$G$2:$G$2000="Coal Winning")*ISNUMBER(SEARCH(TEXT('September TCM'!$B32,"00")&amp;"/09/2026",'Data Base Coal Wining'!$E$2:$E$2000))*'Data Base Coal Wining'!$N$2:$N$2000)</f>
        <v>0</v>
      </c>
      <c r="DM32" s="12"/>
      <c r="DN32" s="3">
        <f>SUMPRODUCT(('Data Base Coal Wining'!$D$2:$D$2000="TCM-ROM SB1 BK05-ROM 5")*('Data Base Coal Wining'!$G$2:$G$2000="Coal Winning")*ISNUMBER(SEARCH(TEXT('September TCM'!$B32,"00")&amp;"/09/2026",'Data Base Coal Wining'!$E$2:$E$2000))*'Data Base Coal Wining'!$N$2:$N$2000)</f>
        <v>0</v>
      </c>
      <c r="DO32" s="9"/>
      <c r="DP32" s="3">
        <f>SUMPRODUCT(('Data Base Coal Wining'!$D$2:$D$2000="TCM-ROM SB1 BK05-ROM 6")*('Data Base Coal Wining'!$G$2:$G$2000="Coal Winning")*ISNUMBER(SEARCH(TEXT('September TCM'!$B32,"00")&amp;"/09/2026",'Data Base Coal Wining'!$E$2:$E$2000))*'Data Base Coal Wining'!$N$2:$N$2000)</f>
        <v>0</v>
      </c>
      <c r="DQ32" s="11">
        <f>SUMPRODUCT(('Data Base Coal Wining'!$D$2:$D$2000="TCM-ROM SB1 BK05-ROM 6.1")*('Data Base Coal Wining'!$G$2:$G$2000="Coal Winning")*ISNUMBER(SEARCH(TEXT('September TCM'!$B32,"00")&amp;"/09/2026",'Data Base Coal Wining'!$E$2:$E$2000))*'Data Base Coal Wining'!$N$2:$N$2000)</f>
        <v>0</v>
      </c>
      <c r="DR32" s="12"/>
      <c r="DS32" s="28">
        <f t="shared" si="35"/>
        <v>0</v>
      </c>
      <c r="DT32" s="36"/>
      <c r="DU32" s="9"/>
      <c r="DV32" s="5"/>
      <c r="DW32" s="5"/>
      <c r="DX32" s="5"/>
      <c r="DY32" s="5"/>
      <c r="DZ32" s="27"/>
      <c r="EA32" s="27"/>
      <c r="EB32" s="3">
        <f>SUMPRODUCT(('Data Base Coal Wining'!$D$2:$D$2000="TCM-ROM SB2 BK24-ROM 5")*('Data Base Coal Wining'!$G$2:$G$2000="Coal Winning")*ISNUMBER(SEARCH(TEXT('September TCM'!$B32,"00")&amp;"/09/2026",'Data Base Coal Wining'!$E$2:$E$2000))*'Data Base Coal Wining'!$N$2:$N$2000)</f>
        <v>0</v>
      </c>
      <c r="EC32" s="27"/>
      <c r="ED32" s="24">
        <f>SUMPRODUCT(('Data Base Coal Wining'!$D$2:$D$2000="TCM-ROM SB2 BK24-ROM 6")*('Data Base Coal Wining'!$G$2:$G$2000="Coal Winning")*ISNUMBER(SEARCH(TEXT('September TCM'!$B32,"00")&amp;"/09/2026",'Data Base Coal Wining'!$E$2:$E$2000))*'Data Base Coal Wining'!$N$2:$N$2000)</f>
        <v>0</v>
      </c>
      <c r="EE32" s="33"/>
      <c r="EF32" s="28">
        <f t="shared" si="36"/>
        <v>0</v>
      </c>
      <c r="EG32" s="9"/>
      <c r="EH32" s="36"/>
      <c r="EI32" s="27"/>
      <c r="EJ32" s="27"/>
      <c r="EK32" s="27"/>
      <c r="EL32" s="27"/>
      <c r="EM32" s="27"/>
      <c r="EN32" s="27"/>
      <c r="EO32" s="5"/>
      <c r="EP32" s="5"/>
      <c r="EQ32" s="5"/>
      <c r="ER32" s="33"/>
      <c r="ES32" s="28">
        <f t="shared" si="127"/>
        <v>0</v>
      </c>
      <c r="ET32" s="36"/>
      <c r="EU32" s="27"/>
      <c r="EV32" s="27"/>
      <c r="EW32" s="27"/>
      <c r="EX32" s="27"/>
      <c r="EY32" s="27"/>
      <c r="EZ32" s="33">
        <f t="shared" si="38"/>
        <v>0</v>
      </c>
      <c r="FA32" s="2685"/>
      <c r="FC32" s="4">
        <f t="shared" si="39"/>
        <v>0</v>
      </c>
      <c r="FD32" s="5">
        <f t="shared" si="40"/>
        <v>0</v>
      </c>
      <c r="FE32" s="5">
        <f t="shared" si="41"/>
        <v>0</v>
      </c>
      <c r="FF32" s="12">
        <f t="shared" si="42"/>
        <v>0</v>
      </c>
      <c r="FG32" s="33"/>
      <c r="FH32" s="2674"/>
      <c r="FI32" s="9"/>
      <c r="FJ32" s="5"/>
      <c r="FK32" s="5"/>
      <c r="FL32" s="5"/>
      <c r="FM32" s="5"/>
      <c r="FN32" s="27"/>
      <c r="FO32" s="28">
        <f t="shared" si="43"/>
        <v>0</v>
      </c>
      <c r="FP32" s="36"/>
      <c r="FQ32" s="27"/>
      <c r="FR32" s="27"/>
      <c r="FS32" s="27"/>
      <c r="FT32" s="27"/>
      <c r="FU32" s="27"/>
      <c r="FV32" s="28">
        <f t="shared" si="44"/>
        <v>0</v>
      </c>
      <c r="FW32" s="36"/>
      <c r="FX32" s="36"/>
      <c r="FY32" s="27"/>
      <c r="FZ32" s="27"/>
      <c r="GA32" s="27"/>
      <c r="GB32" s="27"/>
      <c r="GC32" s="27"/>
      <c r="GD32" s="27"/>
      <c r="GE32" s="24" cm="1">
        <f t="array" ref="GE32">SUMPRODUCT(('Data Base Coal Wining'!$C$2:$C$2000="TCM-ROM TEMPORARY SB2 KM 76-ROM HAC (S4700 Hard Ban)")*(ISNUMBER(SEARCH(TEXT('September TCM'!$B32,"00")&amp;"/08/2026",'Data Base Coal Wining'!$E$2:$E$2000)))*'Data Base Coal Wining'!$N$2:$N$2000)</f>
        <v>0</v>
      </c>
      <c r="GF32" s="27"/>
      <c r="GG32" s="27"/>
      <c r="GH32" s="33"/>
      <c r="GI32" s="33">
        <f t="shared" si="45"/>
        <v>0</v>
      </c>
      <c r="GJ32" s="2674"/>
      <c r="GL32" s="2">
        <f t="shared" si="112"/>
        <v>0</v>
      </c>
      <c r="GM32" s="63">
        <f t="shared" si="113"/>
        <v>0</v>
      </c>
      <c r="GN32" s="24">
        <f t="shared" si="114"/>
        <v>0</v>
      </c>
      <c r="GO32" s="1736">
        <f t="shared" si="46"/>
        <v>0</v>
      </c>
      <c r="GP32" s="141"/>
      <c r="GQ32" s="141"/>
      <c r="GR32" s="33"/>
      <c r="GS32" s="2667"/>
      <c r="GT32" s="1723">
        <f>SUMPRODUCT(('Data Base hauling'!$H$2:$H$2000="Trust")*(ISNUMBER(SEARCH(TEXT('September TCM'!$B32,"00")&amp;"/09/2026",'Data Base hauling'!$E$2:$E$2000)))*'Data Base hauling'!$N$2:$N$2000)</f>
        <v>0</v>
      </c>
      <c r="GU32" s="1723">
        <f>SUMPRODUCT(('Data Base hauling'!$H$2:$H$2000="RT")*(ISNUMBER(SEARCH(TEXT('September TCM'!$B32,"00")&amp;"/09/2026",'Data Base hauling'!$E$2:$E$2000)))*'Data Base hauling'!$N$2:$N$2000)</f>
        <v>0</v>
      </c>
      <c r="GV32" s="5">
        <f>SUMPRODUCT(('Data Base hauling'!$H$2:$H$2000="MPE")*(ISNUMBER(SEARCH(TEXT('September TCM'!$B32,"00")&amp;"/09/2026",'Data Base hauling'!$E$2:$E$2000)))*'Data Base hauling'!$N$2:$N$2000)</f>
        <v>0</v>
      </c>
      <c r="GW32" s="1723">
        <f>SUMPRODUCT(('Data Base hauling'!$H$2:$H$2000="RP")*(ISNUMBER(SEARCH(TEXT('September TCM'!$B32,"00")&amp;"/09/2026",'Data Base hauling'!$E$2:$E$2000)))*'Data Base hauling'!$N$2:$N$2000)</f>
        <v>0</v>
      </c>
      <c r="GX32" s="28">
        <f t="shared" si="115"/>
        <v>0</v>
      </c>
      <c r="GY32" s="2667"/>
      <c r="GZ32" s="35">
        <f>SUMPRODUCT(('Data Base hauling'!$C$2:$C$2000="TCM-ROM NB-ROM 1")*(ISNUMBER(SEARCH(TEXT('September TCM'!$B32,"00")&amp;"/09/2026",'Data Base hauling'!$E$2:$E$2000)))*'Data Base hauling'!$N$2:$N$2000)</f>
        <v>0</v>
      </c>
      <c r="HA32" s="36"/>
      <c r="HB32" s="27"/>
      <c r="HC32" s="27"/>
      <c r="HD32" s="27"/>
      <c r="HE32" s="27"/>
      <c r="HF32" s="24">
        <f>SUMPRODUCT(('Data Base hauling'!$C$2:$C$2000="TCM-ROM NB-ROM 4")*(ISNUMBER(SEARCH(TEXT('September TCM'!$B32,"00")&amp;"/09/2026",'Data Base hauling'!$E$2:$E$2000)))*'Data Base hauling'!$N$2:$N$2000)</f>
        <v>0</v>
      </c>
      <c r="HG32" s="24"/>
      <c r="HH32" s="24">
        <f>SUMPRODUCT(('Data Base hauling'!$C$2:$C$2000="TCM-ROM NB-ROM 5")*(ISNUMBER(SEARCH(TEXT('September TCM'!$B32,"00")&amp;"/09/2026",'Data Base hauling'!$E$2:$E$2000)))*'Data Base hauling'!$N$2:$N$2000)</f>
        <v>0</v>
      </c>
      <c r="HI32" s="24"/>
      <c r="HJ32" s="24">
        <f>SUMPRODUCT(('Data Base hauling'!$C$2:$C$2000="TCM-ROM NB-ROM 6")*(ISNUMBER(SEARCH(TEXT('September TCM'!$B32,"00")&amp;"/09/2026",'Data Base hauling'!$E$2:$E$2000)))*'Data Base hauling'!$N$2:$N$2000)</f>
        <v>0</v>
      </c>
      <c r="HK32" s="24"/>
      <c r="HL32" s="24">
        <f>SUMPRODUCT(('Data Base hauling'!$C$2:$C$2000="TCM-WASH-CR3")*(ISNUMBER(SEARCH(TEXT('September TCM'!$B32,"00")&amp;"/09/2026",'Data Base hauling'!$E$2:$E$2000)))*'Data Base hauling'!$N$2:$N$2000)</f>
        <v>0</v>
      </c>
      <c r="HM32" s="27"/>
      <c r="HN32" s="28">
        <f t="shared" si="131"/>
        <v>0</v>
      </c>
      <c r="HO32" s="36"/>
      <c r="HP32" s="27"/>
      <c r="HQ32" s="27"/>
      <c r="HR32" s="27"/>
      <c r="HS32" s="27"/>
      <c r="HT32" s="27"/>
      <c r="HU32" s="27">
        <f t="array" ref="HU32">SUMPRODUCT(('Data Base hauling'!$C$2:$C$2000="TCM-ROM SB1 BK05-ROM 4")*(ISNUMBER(SEARCH(TEXT('September TCM'!$B32,"00")&amp;"/03/2026",'Data Base hauling'!$E$2:$E$2000)))*'Data Base hauling'!$N$2:$N$2000)</f>
        <v>0</v>
      </c>
      <c r="HV32" s="27"/>
      <c r="HW32" s="27">
        <f t="array" ref="HW32">SUMPRODUCT(('Data Base hauling'!$C$2:$C$2000="TCM-ROM SB1 BK05-ROM 5")*(ISNUMBER(SEARCH(TEXT('September TCM'!$B32,"00")&amp;"/03/2026",'Data Base hauling'!$E$2:$E$2000)))*'Data Base hauling'!$N$2:$N$2000)</f>
        <v>0</v>
      </c>
      <c r="HX32" s="27"/>
      <c r="HY32" s="27"/>
      <c r="HZ32" s="27"/>
      <c r="IA32" s="27"/>
      <c r="IB32" s="27"/>
      <c r="IC32" s="33">
        <f t="shared" si="48"/>
        <v>0</v>
      </c>
      <c r="ID32" s="52"/>
      <c r="IE32" s="152"/>
      <c r="IF32" s="53"/>
      <c r="IG32" s="53"/>
      <c r="IH32" s="53"/>
      <c r="II32" s="53"/>
      <c r="IJ32" s="1926">
        <f>SUMPRODUCT(('Data Base hauling'!$C$2:$C$2000="TCM-ROM SB1 BK05-ROM 4")*(ISNUMBER(SEARCH(TEXT('September TCM'!$B32,"00")&amp;"/09/2026",'Data Base hauling'!$E$2:$E$2000)))*'Data Base hauling'!$N$2:$N$2000)</f>
        <v>0</v>
      </c>
      <c r="IK32" s="1926"/>
      <c r="IL32" s="1926">
        <f>SUMPRODUCT(('Data Base hauling'!$C$2:$C$2000="TCM-ROM SB1 BK05-ROM 5")*(ISNUMBER(SEARCH(TEXT('September TCM'!$B32,"00")&amp;"/09/2026",'Data Base hauling'!$E$2:$E$2000)))*'Data Base hauling'!$N$2:$N$2000)</f>
        <v>0</v>
      </c>
      <c r="IM32" s="49"/>
      <c r="IN32" s="49">
        <f>SUMPRODUCT(('Data Base hauling'!$C$2:$C$2000="TCM-ROM SB1 BK05-ROM 6")*(ISNUMBER(SEARCH(TEXT('September TCM'!$B32,"00")&amp;"/09/2026",'Data Base hauling'!$E$2:$E$2000)))*'Data Base hauling'!$N$2:$N$2000)</f>
        <v>0</v>
      </c>
      <c r="IO32" s="49"/>
      <c r="IP32" s="49"/>
      <c r="IQ32" s="49">
        <f>SUMPRODUCT(('Data Base hauling'!$C$2:$C$2000="TCM-HAC1 (Production)-ROM 2(HAC)")*(ISNUMBER(SEARCH(TEXT('September TCM'!$B32,"00")&amp;"/09/2026",'Data Base hauling'!$E$2:$E$2000)))*'Data Base hauling'!$N$2:$N$2000)</f>
        <v>0</v>
      </c>
      <c r="IR32" s="2195">
        <f t="shared" si="132"/>
        <v>0</v>
      </c>
      <c r="IS32" s="36"/>
      <c r="IT32" s="36"/>
      <c r="IU32" s="27"/>
      <c r="IV32" s="27"/>
      <c r="IW32" s="53"/>
      <c r="IX32" s="27"/>
      <c r="IY32" s="24">
        <f>SUMPRODUCT(('Data Base hauling'!$C$2:$C$2000="TCM-ROM SB2 BK24-ROM 4")*(ISNUMBER(SEARCH(TEXT('September TCM'!$B32,"00")&amp;"/09/2026",'Data Base hauling'!$E$2:$E$2000)))*'Data Base hauling'!$N$2:$N$2000)</f>
        <v>0</v>
      </c>
      <c r="IZ32" s="24"/>
      <c r="JA32" s="24">
        <f>SUMPRODUCT(('Data Base hauling'!$C$2:$C$2000="TCM-ROM SB2 BK24-ROM 5")*(ISNUMBER(SEARCH(TEXT('September TCM'!$B32,"00")&amp;"/09/2026",'Data Base hauling'!$E$2:$E$2000)))*'Data Base hauling'!$N$2:$N$2000)</f>
        <v>0</v>
      </c>
      <c r="JB32" s="24"/>
      <c r="JC32" s="24">
        <f>SUMPRODUCT(('Data Base hauling'!$C$2:$C$2000="TCM-ROM SB2 BK24-ROM 6")*(ISNUMBER(SEARCH(TEXT('September TCM'!$B32,"00")&amp;"/09/2026",'Data Base hauling'!$E$2:$E$2000)))*'Data Base hauling'!$N$2:$N$2000)</f>
        <v>0</v>
      </c>
      <c r="JD32" s="27"/>
      <c r="JE32" s="27"/>
      <c r="JF32" s="27"/>
      <c r="JG32" s="33">
        <f t="shared" si="133"/>
        <v>0</v>
      </c>
      <c r="JH32" s="2667"/>
      <c r="JJ32" s="2014">
        <f>SUMPRODUCT(('Data Base hauling'!$O$2:$O$2000="TCM.HCV.LS")*(ISNUMBER(SEARCH(TEXT('September TCM'!$B32,"00")&amp;"/09/2026",'Data Base hauling'!$E$2:$E$2000)))*'Data Base hauling'!$N$2:$N$2000)</f>
        <v>0</v>
      </c>
      <c r="JK32" s="2015">
        <f>SUMPRODUCT(('Data Base hauling'!$O$2:$O$2000="TCM.HCV.HS")*(ISNUMBER(SEARCH(TEXT('September TCM'!$B32,"00")&amp;"/09/2026",'Data Base hauling'!$E$2:$E$2000)))*'Data Base hauling'!$N$2:$N$2000)</f>
        <v>0</v>
      </c>
      <c r="JL32" s="53"/>
      <c r="JM32" s="1736">
        <f t="shared" si="51"/>
        <v>0</v>
      </c>
      <c r="JN32" s="33"/>
      <c r="JO32" s="2669"/>
      <c r="JP32" s="66" t="str">
        <f>IFERROR(SUMPRODUCT(('Data Base hauling'!$O$2:$O$2000="TCM.HCV.LS")*('Data Base hauling'!$C$2:$C$2000="TCM-ROM NB-ROM 1")*(ISNUMBER(SEARCH(TEXT('September TCM'!$B32,"00")&amp;"/09/2026",'Data Base hauling'!$E$2:$E$2000)))*'Data Base hauling'!$N$2:$N$2000)/'September TCM'!$JJ32,"")</f>
        <v/>
      </c>
      <c r="JQ32" s="67" t="str">
        <f>IFERROR(SUMPRODUCT(('Data Base hauling'!$O$2:$O$2000="TCM.HCV.LS")*('Data Base hauling'!$C$2:$C$2000="TCM-ROM NB-ROM 2")*(ISNUMBER(SEARCH(TEXT('September TCM'!$B32,"00")&amp;"/09/2026",'Data Base hauling'!$E$2:$E$2000)))*'Data Base hauling'!$N$2:$N$2000)/'September TCM'!$JJ32,"")</f>
        <v/>
      </c>
      <c r="JR32" s="67" t="str">
        <f>IFERROR(SUMPRODUCT(('Data Base hauling'!$O$2:$O$2000="TCM.HCV.LS")*('Data Base hauling'!$C$2:$C$2000="TCM-ROM NB-ROM 3")*(ISNUMBER(SEARCH(TEXT('September TCM'!$B32,"00")&amp;"/09/2026",'Data Base hauling'!$E$2:$E$2000)))*'Data Base hauling'!$N$2:$N$2000)/'September TCM'!$JJ32,"")</f>
        <v/>
      </c>
      <c r="JS32" s="67" t="str">
        <f>IFERROR(SUMPRODUCT(('Data Base hauling'!$O$2:$O$2000="TCM.HCV.LS")*('Data Base hauling'!$C$2:$C$2000="TCM-ROM SB1 BK05-ROM 4")*(ISNUMBER(SEARCH(TEXT('September TCM'!$B32,"00")&amp;"/09/2026",'Data Base hauling'!$E$2:$E$2000)))*'Data Base hauling'!$N$2:$N$2000)/'September TCM'!$JJ32,"")</f>
        <v/>
      </c>
      <c r="JT32" s="67" t="str">
        <f>IFERROR(SUMPRODUCT(('Data Base hauling'!$O$2:$O$2000="TCM.HCV.LS")*SIGN(('Data Base hauling'!$C$2:$C$2000="TCM-ROM NB-ROM 5")+('Data Base hauling'!$C$2:$C$2000="TCM-ROM SB1 BK05-ROM 5")+('Data Base hauling'!$C$2:$C$2000="TCM-ROM SB2 BK24-ROM 5"))*(ISNUMBER(SEARCH(TEXT('September TCM'!$B32,"00")&amp;"/09/2026",'Data Base hauling'!$E$2:$E$2000)))*'Data Base hauling'!$N$2:$N$2000)/'September TCM'!$JJ32,"")</f>
        <v/>
      </c>
      <c r="JU32" s="67" t="str">
        <f>IFERROR(SUMPRODUCT(('Data Base hauling'!$O$2:$O$2000="TCM.HCV.LS")*SIGN(('Data Base hauling'!$C$2:$C$2000="TCM-ROM NB-ROM 6")+('Data Base hauling'!$C$2:$C$2000="TCM-ROM SB1 BK05-ROM 6")+('Data Base hauling'!$C$2:$C$2000="TCM-ROM SB2 BK24-ROM 6"))*(ISNUMBER(SEARCH(TEXT('September TCM'!$B32,"00")&amp;"/09/2026",'Data Base hauling'!$E$2:$E$2000)))*'Data Base hauling'!$N$2:$N$2000)/'September TCM'!$JJ32,"")</f>
        <v/>
      </c>
      <c r="JV32" s="67" t="str">
        <f>IFERROR(SUMPRODUCT(('Data Base hauling'!$O$2:$O$2000="TCM.HCV.LS")*('Data Base hauling'!$C$2:$C$2000="TCM-WASH-CR3")*(ISNUMBER(SEARCH(TEXT('September TCM'!$B32,"00")&amp;"/09/2026",'Data Base hauling'!$E$2:$E$2000)))*'Data Base hauling'!$N$2:$N$2000)/'September TCM'!$JJ32,"")</f>
        <v/>
      </c>
      <c r="JW32" s="1921">
        <f>SUMPRODUCT(('Data Base hauling'!$O$2:$O$2000="TCM.HCV.LS")*('Data Base hauling'!$C$2:$C$2000="TCM-HAC-CR3")*(ISNUMBER(SEARCH(TEXT('September TCM'!$B32,"00")&amp;"/089/2026",'Data Base hauling'!$E$2:$E$2000)))*'Data Base hauling'!$N$2:$N$2000)</f>
        <v>0</v>
      </c>
      <c r="JX32" s="66" t="str">
        <f>IFERROR(SUMPRODUCT(('Data Base hauling'!$O$2:$O$2000="TCM.HCV.HS")*('Data Base hauling'!$C$2:$C$2000="TCM-ROM NB-ROM 1")*(ISNUMBER(SEARCH(TEXT('September TCM'!$B32,"00")&amp;"/09/2026",'Data Base hauling'!$E$2:$E$2000)))*'Data Base hauling'!$N$2:$N$2000)/'September TCM'!$JK32,"")</f>
        <v/>
      </c>
      <c r="JY32" s="67" t="str">
        <f>IFERROR(SUMPRODUCT(('Data Base hauling'!$O$2:$O$2000="TCM.HCV.HS")*('Data Base hauling'!$C$2:$C$2000="TCM-ROM NB-ROM 2")*(ISNUMBER(SEARCH(TEXT('September TCM'!$B32,"00")&amp;"/09/2026",'Data Base hauling'!$E$2:$E$2000)))*'Data Base hauling'!$N$2:$N$2000)/'September TCM'!$JK32,"")</f>
        <v/>
      </c>
      <c r="JZ32" s="67" t="str">
        <f>IFERROR(SUMPRODUCT(('Data Base hauling'!$O$2:$O$2000="TCM.HCV.HS")*('Data Base hauling'!$C$2:$C$2000="TCM-ROM NB-ROM 3")*(ISNUMBER(SEARCH(TEXT('September TCM'!$B32,"00")&amp;"/09/2026",'Data Base hauling'!$E$2:$E$2000)))*'Data Base hauling'!$N$2:$N$2000)/'September TCM'!$JK32,"")</f>
        <v/>
      </c>
      <c r="KA32" s="67" t="str">
        <f>IFERROR(SUMPRODUCT(('Data Base hauling'!$O$2:$O$2000="TCM.HCV.HS")*('Data Base hauling'!$C$2:$C$2000="TCM-ROM SB1 BK05-ROM 4")*(ISNUMBER(SEARCH(TEXT('September TCM'!$B32,"00")&amp;"/09/2026",'Data Base hauling'!$E$2:$E$2000)))*'Data Base hauling'!$N$2:$N$2000)/'September TCM'!$JK32,"")</f>
        <v/>
      </c>
      <c r="KB32" s="67" t="str">
        <f>IFERROR(SUMPRODUCT(('Data Base hauling'!$O$2:$O$2000="TCM.HCV.HS")*SIGN(('Data Base hauling'!$C$2:$C$2000="TCM-ROM NB-ROM 5")+('Data Base hauling'!$C$2:$C$2000="TCM-ROM SB1 BK05-ROM 5")+('Data Base hauling'!$C$2:$C$2000="TCM-ROM SB2 BK24-ROM 5"))*(ISNUMBER(SEARCH(TEXT('September TCM'!$B32,"00")&amp;"/09/2026",'Data Base hauling'!$E$2:$E$2000)))*'Data Base hauling'!$N$2:$N$2000)/'September TCM'!$JK32,"")</f>
        <v/>
      </c>
      <c r="KC32" s="67" t="str">
        <f>IFERROR(SUMPRODUCT(('Data Base hauling'!$O$2:$O$2000="TCM.HCV.HS")*SIGN(('Data Base hauling'!$C$2:$C$2000="TCM-ROM NB-ROM 6")+('Data Base hauling'!$C$2:$C$2000="TCM-ROM SB1 BK05-ROM 6")+('Data Base hauling'!$C$2:$C$2000="TCM-ROM SB2 BK24-ROM 6"))*(ISNUMBER(SEARCH(TEXT('September TCM'!$B32,"00")&amp;"/09/2026",'Data Base hauling'!$E$2:$E$2000)))*'Data Base hauling'!$N$2:$N$2000)/'September TCM'!$JK32,"")</f>
        <v/>
      </c>
      <c r="KD32" s="67" t="str">
        <f>IFERROR(SUMPRODUCT(('Data Base hauling'!$O$2:$O$2000="TCM.HCV.HS")*('Data Base hauling'!$C$2:$C$2000="TCM-WASH-CR3")*(ISNUMBER(SEARCH(TEXT('September TCM'!$B32,"00")&amp;"/09/2026",'Data Base hauling'!$E$2:$E$2000)))*'Data Base hauling'!$N$2:$N$2000)/'September TCM'!$JK32,"")</f>
        <v/>
      </c>
      <c r="KE32" s="68" t="str">
        <f>IFERROR(SUMPRODUCT(('Data Base hauling'!$O$2:$O$2000="TCM.HCV.HS")*('Data Base hauling'!$C$2:$C$2000="TCM-HAC-CR3")*(ISNUMBER(SEARCH(TEXT('September TCM'!$B32,"00")&amp;"/09/2026",'Data Base hauling'!$E$2:$E$2000)))*'Data Base hauling'!$N$2:$N$2000)/'September TCM'!$JK32,"")</f>
        <v/>
      </c>
      <c r="KF32" s="69"/>
      <c r="KG32" s="70"/>
      <c r="KH32" s="70"/>
      <c r="KI32" s="70"/>
      <c r="KJ32" s="70"/>
      <c r="KK32" s="70"/>
      <c r="KL32" s="70"/>
      <c r="KM32" s="70"/>
      <c r="KN32" s="33"/>
      <c r="KO32" s="2669"/>
      <c r="KP32" s="2203">
        <f>IFERROR(SUMPRODUCT((TCM.HCV.LS!$A$3:$A$58=DATE(2026,9,$B32))*(TCM.HCV.LS!$O$3:$O$58&gt;0)*TCM.HCV.LS!$C$3:$C$58*TCM.HCV.LS!$O$3:$O$58)/SUMPRODUCT((TCM.HCV.LS!$A$3:$A$58=DATE(2026,9,$B32))*(TCM.HCV.LS!$O$3:$O$58&gt;0)*TCM.HCV.LS!$C$3:$C$58),0)</f>
        <v>0</v>
      </c>
      <c r="KQ32" s="1721">
        <f>IFERROR(SUMPRODUCT((TCM.HCV.LS!$A$3:$A$58=DATE(2026,9,$B32))*(TCM.HCV.LS!$M$3:$M$58&gt;0)*TCM.HCV.LS!$C$3:$C$58*TCM.HCV.LS!$M$3:$M$58)/SUMPRODUCT((TCM.HCV.LS!$A$3:$A$58=DATE(2026,9,$B32))*(TCM.HCV.LS!$M$3:$M$58&gt;0)*TCM.HCV.LS!$C$3:$C$58),0)</f>
        <v>0</v>
      </c>
      <c r="KR32" s="1721">
        <f>IFERROR(SUMPRODUCT((TCM.HCV.LS!$A$3:$A$58=DATE(2026,9,$B32))*(TCM.HCV.LS!$G$3:$G$58&gt;0)*TCM.HCV.LS!$C$3:$C$58*TCM.HCV.LS!$G$3:$G$58)/SUMPRODUCT((TCM.HCV.LS!$A$3:$A$58=DATE(2026,9,$B32))*(TCM.HCV.LS!$G$3:$G$58&gt;0)*TCM.HCV.LS!$C$3:$C$58),0)</f>
        <v>0</v>
      </c>
      <c r="KS32" s="1721">
        <f>IFERROR(SUMPRODUCT((TCM.HCV.LS!$A$3:$A$58=DATE(2026,9,$B32))*(TCM.HCV.LS!$F$3:$F$58&gt;0)*TCM.HCV.LS!$C$3:$C$58*TCM.HCV.LS!$F$3:$F$58)/SUMPRODUCT((TCM.HCV.LS!$A$3:$A$58=DATE(2026,9,$B32))*(TCM.HCV.LS!$F$3:$F$58&gt;0)*TCM.HCV.LS!$C$3:$C$58),0)</f>
        <v>0</v>
      </c>
      <c r="KT32" s="1722">
        <f>IFERROR(SUMPRODUCT((TCM.HCV.LS!$A$3:$A$58=DATE(2026,9,$B32))*(TCM.HCV.LS!$E$3:$E$58&gt;0)*TCM.HCV.LS!$C$3:$C$58*TCM.HCV.LS!$E$3:$E$58)/SUMPRODUCT((TCM.HCV.LS!$A$3:$A$58=DATE(2026,9,$B32))*(TCM.HCV.LS!$E$3:$E$58&gt;0)*TCM.HCV.LS!$C$3:$C$58),0)</f>
        <v>0</v>
      </c>
      <c r="KU32" s="1958">
        <f>IFERROR(SUMPRODUCT((TCM.HCV.HS!$A$3:$A$84=DATE(2026,9,$B32))*(TCM.HCV.HS!$O$3:$O$84&gt;0)*TCM.HCV.HS!$C$3:$C$84*TCM.HCV.HS!$O$3:$O$84)/SUMPRODUCT((TCM.HCV.HS!$A$3:$A$84=DATE(2026,9,$B32))*(TCM.HCV.HS!$O$3:$O$84&gt;0)*TCM.HCV.HS!$C$3:$C$84),0)</f>
        <v>0</v>
      </c>
      <c r="KV32" s="1961">
        <f>IFERROR(SUMPRODUCT((TCM.HCV.HS!$A$3:$A$84=DATE(2026,9,$B32))*(TCM.HCV.HS!$M$3:$M$84&gt;0)*TCM.HCV.HS!$C$3:$C$84*TCM.HCV.HS!$M$3:$M$84)/SUMPRODUCT((TCM.HCV.HS!$A$3:$A$84=DATE(2026,9,$B32))*(TCM.HCV.HS!$M$3:$M$84&gt;0)*TCM.HCV.HS!$C$3:$C$84),0)</f>
        <v>0</v>
      </c>
      <c r="KW32" s="1961">
        <f>IFERROR(SUMPRODUCT((TCM.HCV.HS!$A$3:$A$84=DATE(2026,9,$B32))*(TCM.HCV.HS!$G$3:$G$84&gt;0)*TCM.HCV.HS!$C$3:$C$84*TCM.HCV.HS!$G$3:$G$84)/SUMPRODUCT((TCM.HCV.HS!$A$3:$A$84=DATE(2026,9,$B32))*(TCM.HCV.HS!$G$3:$G$84&gt;0)*TCM.HCV.HS!$C$3:$C$84),0)</f>
        <v>0</v>
      </c>
      <c r="KX32" s="1961">
        <f>IFERROR(SUMPRODUCT((TCM.HCV.HS!$A$3:$A$84=DATE(2026,9,$B32))*(TCM.HCV.HS!$F$3:$F$84&gt;0)*TCM.HCV.HS!$C$3:$C$84*TCM.HCV.HS!$F$3:$F$84)/SUMPRODUCT((TCM.HCV.HS!$A$3:$A$84=DATE(2026,9,$B32))*(TCM.HCV.HS!$F$3:$F$84&gt;0)*TCM.HCV.HS!$C$3:$C$84),0)</f>
        <v>0</v>
      </c>
      <c r="KY32" s="1962">
        <f>IFERROR(SUMPRODUCT((TCM.HCV.HS!$A$3:$A$84=DATE(2026,9,$B32))*(TCM.HCV.HS!$E$3:$E$84&gt;0)*TCM.HCV.HS!$C$3:$C$84*TCM.HCV.HS!$E$3:$E$84)/SUMPRODUCT((TCM.HCV.HS!$A$3:$A$84=DATE(2026,9,$B32))*(TCM.HCV.HS!$E$3:$E$84&gt;0)*TCM.HCV.HS!$C$3:$C$84),0)</f>
        <v>0</v>
      </c>
      <c r="KZ32" s="36"/>
      <c r="LA32" s="53"/>
      <c r="LB32" s="53"/>
      <c r="LC32" s="53"/>
      <c r="LD32" s="53"/>
      <c r="LE32" s="33"/>
      <c r="LF32" s="2669"/>
      <c r="LH32" s="4">
        <f t="shared" si="138"/>
        <v>0</v>
      </c>
      <c r="LI32" s="5">
        <f t="shared" si="138"/>
        <v>0</v>
      </c>
      <c r="LJ32" s="27">
        <f t="shared" si="138"/>
        <v>0</v>
      </c>
      <c r="LK32" s="28">
        <f t="shared" si="53"/>
        <v>0</v>
      </c>
      <c r="LL32" s="36"/>
      <c r="LM32" s="27"/>
      <c r="LN32" s="27"/>
      <c r="LO32" s="33"/>
      <c r="LP32" s="1957"/>
      <c r="LQ32" s="486"/>
      <c r="LR32" s="2688"/>
      <c r="LS32" s="36"/>
      <c r="LT32" s="36"/>
      <c r="LU32" s="27"/>
      <c r="LV32" s="27"/>
      <c r="LW32" s="27"/>
      <c r="LX32" s="1107">
        <f t="shared" si="129"/>
        <v>0</v>
      </c>
      <c r="LY32" s="36"/>
      <c r="LZ32" s="36"/>
      <c r="MA32" s="27"/>
      <c r="MB32" s="27"/>
      <c r="MC32" s="33"/>
      <c r="MD32" s="28">
        <f t="shared" si="137"/>
        <v>0</v>
      </c>
      <c r="ME32" s="26"/>
      <c r="MF32" s="36"/>
      <c r="MG32" s="27"/>
      <c r="MH32" s="27"/>
      <c r="MI32" s="27"/>
      <c r="MJ32" s="28"/>
      <c r="MK32" s="36"/>
      <c r="ML32" s="36"/>
      <c r="MM32" s="27"/>
      <c r="MN32" s="27"/>
      <c r="MO32" s="27"/>
      <c r="MP32" s="28"/>
      <c r="MQ32" s="36"/>
      <c r="MR32" s="36"/>
      <c r="MS32" s="27"/>
      <c r="MT32" s="27"/>
      <c r="MU32" s="27"/>
      <c r="MV32" s="33">
        <f t="shared" si="56"/>
        <v>0</v>
      </c>
      <c r="MW32" s="2688"/>
      <c r="MY32" s="26">
        <f t="shared" si="57"/>
        <v>377341.84766611259</v>
      </c>
      <c r="MZ32" s="27">
        <f t="shared" si="58"/>
        <v>191281.80302645115</v>
      </c>
      <c r="NA32" s="27">
        <f t="shared" si="59"/>
        <v>27294.683787707359</v>
      </c>
      <c r="NB32" s="28">
        <f t="shared" si="60"/>
        <v>318297.33035698003</v>
      </c>
      <c r="NC32" s="2621"/>
      <c r="ND32" s="23">
        <f t="shared" si="116"/>
        <v>207724.34280113198</v>
      </c>
      <c r="NE32" s="1655">
        <f t="shared" si="117"/>
        <v>169617.50486498058</v>
      </c>
      <c r="NF32" s="60">
        <f t="shared" si="63"/>
        <v>0</v>
      </c>
      <c r="NG32" s="275">
        <f t="shared" si="4"/>
        <v>377341.84766611259</v>
      </c>
      <c r="NH32" s="26">
        <f t="shared" si="141"/>
        <v>-313.35000000000002</v>
      </c>
      <c r="NI32" s="27">
        <f t="shared" si="141"/>
        <v>0</v>
      </c>
      <c r="NJ32" s="27">
        <f t="shared" si="141"/>
        <v>0</v>
      </c>
      <c r="NK32" s="27">
        <f t="shared" si="141"/>
        <v>0</v>
      </c>
      <c r="NL32" s="27">
        <f t="shared" si="141"/>
        <v>0</v>
      </c>
      <c r="NM32" s="33">
        <f t="shared" si="141"/>
        <v>0</v>
      </c>
      <c r="NN32" s="27">
        <f t="shared" si="141"/>
        <v>0</v>
      </c>
      <c r="NO32" s="36">
        <f t="shared" si="141"/>
        <v>0</v>
      </c>
      <c r="NP32" s="24">
        <f t="shared" si="141"/>
        <v>21665.870136227244</v>
      </c>
      <c r="NQ32" s="27">
        <f t="shared" si="141"/>
        <v>22358.939343794715</v>
      </c>
      <c r="NR32" s="24">
        <f t="shared" si="118"/>
        <v>8443.1982322711574</v>
      </c>
      <c r="NS32" s="24">
        <f t="shared" si="119"/>
        <v>9895.3380410535083</v>
      </c>
      <c r="NT32" s="27">
        <f t="shared" si="0"/>
        <v>62049.995753346629</v>
      </c>
      <c r="NU32" s="27">
        <f t="shared" si="142"/>
        <v>0</v>
      </c>
      <c r="NV32" s="27">
        <f t="shared" si="142"/>
        <v>0</v>
      </c>
      <c r="NW32" s="27">
        <f t="shared" si="142"/>
        <v>0</v>
      </c>
      <c r="NX32" s="27">
        <f t="shared" si="142"/>
        <v>0</v>
      </c>
      <c r="NY32" s="27">
        <f t="shared" si="142"/>
        <v>0</v>
      </c>
      <c r="NZ32" s="5">
        <f t="shared" si="142"/>
        <v>0</v>
      </c>
      <c r="OA32" s="27">
        <f t="shared" si="142"/>
        <v>35558.705564997217</v>
      </c>
      <c r="OB32" s="27">
        <f t="shared" si="142"/>
        <v>0</v>
      </c>
      <c r="OC32" s="27">
        <f t="shared" si="66"/>
        <v>12611.886475620366</v>
      </c>
      <c r="OD32" s="27"/>
      <c r="OE32" s="27">
        <f t="shared" si="120"/>
        <v>13429.316718063665</v>
      </c>
      <c r="OF32" s="27">
        <f t="shared" si="67"/>
        <v>0</v>
      </c>
      <c r="OG32" s="28">
        <f t="shared" si="1"/>
        <v>61599.908758681253</v>
      </c>
      <c r="OH32" s="27">
        <f t="shared" si="143"/>
        <v>0</v>
      </c>
      <c r="OI32" s="27">
        <f t="shared" si="143"/>
        <v>0</v>
      </c>
      <c r="OJ32" s="27">
        <f t="shared" si="143"/>
        <v>0</v>
      </c>
      <c r="OK32" s="27">
        <f t="shared" si="143"/>
        <v>0</v>
      </c>
      <c r="OL32" s="27">
        <f t="shared" si="143"/>
        <v>0</v>
      </c>
      <c r="OM32" s="27">
        <f t="shared" si="143"/>
        <v>0</v>
      </c>
      <c r="ON32" s="24">
        <f t="shared" si="143"/>
        <v>0</v>
      </c>
      <c r="OO32" s="27">
        <f t="shared" si="143"/>
        <v>0</v>
      </c>
      <c r="OP32" s="24">
        <f t="shared" si="69"/>
        <v>54054.217649249818</v>
      </c>
      <c r="OQ32" s="27">
        <f t="shared" si="144"/>
        <v>0</v>
      </c>
      <c r="OR32" s="24">
        <f t="shared" si="144"/>
        <v>13577.680865173457</v>
      </c>
      <c r="OS32" s="27">
        <f t="shared" si="144"/>
        <v>0</v>
      </c>
      <c r="OT32" s="28">
        <f t="shared" si="2"/>
        <v>67631.898514423272</v>
      </c>
      <c r="OU32" s="36"/>
      <c r="OV32" s="27"/>
      <c r="OW32" s="27"/>
      <c r="OX32" s="27"/>
      <c r="OY32" s="27"/>
      <c r="OZ32" s="27"/>
      <c r="PA32" s="28">
        <f t="shared" si="71"/>
        <v>0</v>
      </c>
      <c r="PB32" s="36">
        <f t="shared" si="72"/>
        <v>0</v>
      </c>
      <c r="PC32" s="27">
        <f t="shared" si="73"/>
        <v>0</v>
      </c>
      <c r="PD32" s="27">
        <f t="shared" si="74"/>
        <v>0</v>
      </c>
      <c r="PE32" s="27">
        <f t="shared" si="75"/>
        <v>0</v>
      </c>
      <c r="PF32" s="24"/>
      <c r="PG32" s="27">
        <f t="shared" si="76"/>
        <v>0</v>
      </c>
      <c r="PH32" s="33">
        <f t="shared" si="3"/>
        <v>0</v>
      </c>
      <c r="PI32" s="2621"/>
      <c r="PK32" s="1907">
        <f>SUMPRODUCT(('Data Base Coal Wining'!$D$2:$D$2000="WASHING PLANT")*ISNUMBER(SEARCH(TEXT('September TCM'!$B32,"00")&amp;"/09/2026",'Data Base Coal Wining'!$E$2:$E$2000))*'Data Base Coal Wining'!$N$2:$N$2000)</f>
        <v>0</v>
      </c>
      <c r="PL32" s="3"/>
      <c r="PM32" s="3"/>
      <c r="PN32" s="3">
        <f t="shared" si="145"/>
        <v>0</v>
      </c>
      <c r="PO32" s="3">
        <f t="shared" si="78"/>
        <v>38895.633435124721</v>
      </c>
      <c r="PP32" s="11">
        <f t="shared" si="139"/>
        <v>27294.683787707359</v>
      </c>
      <c r="PQ32" s="15"/>
      <c r="PR32" s="2615"/>
      <c r="PT32" s="4"/>
      <c r="PU32" s="9"/>
      <c r="PV32" s="9"/>
      <c r="PW32" s="9"/>
      <c r="PX32" s="8">
        <f>SUMPRODUCT(('Data Base Coal Wining'!$D$2:$D$2000="TCM-ROM SB1 BK05-ROM 2 (HAC)")*('Data Base Coal Wining'!$G$2:$G$2000="Coal Winning")*ISNUMBER(SEARCH(TEXT('September TCM'!$B32,"00")&amp;"/09/2026",'Data Base Coal Wining'!$E$2:$E$2000))*'Data Base Coal Wining'!$N$2:$N$2000)</f>
        <v>0</v>
      </c>
      <c r="PY32" s="9"/>
      <c r="PZ32" s="8">
        <f t="shared" si="80"/>
        <v>0</v>
      </c>
      <c r="QA32" s="5">
        <f t="shared" si="81"/>
        <v>0</v>
      </c>
      <c r="QB32" s="5"/>
      <c r="QC32" s="5"/>
      <c r="QD32" s="5"/>
      <c r="QE32" s="5"/>
      <c r="QF32" s="5"/>
      <c r="QG32" s="12"/>
      <c r="QH32" s="12">
        <f t="shared" si="82"/>
        <v>29562.488999999998</v>
      </c>
      <c r="QI32" s="420">
        <f t="shared" si="83"/>
        <v>283762.59090898006</v>
      </c>
      <c r="QJ32" s="1106">
        <f t="shared" si="121"/>
        <v>4972.2504480000007</v>
      </c>
      <c r="QK32" s="484">
        <f t="shared" si="84"/>
        <v>5505.3678056099998</v>
      </c>
      <c r="QL32" s="12"/>
      <c r="QM32" s="2615"/>
      <c r="QO32" s="139" t="str">
        <f t="shared" si="85"/>
        <v/>
      </c>
      <c r="QP32" s="139" t="str">
        <f t="shared" si="86"/>
        <v/>
      </c>
      <c r="QR32" s="139" t="str">
        <f t="shared" si="87"/>
        <v/>
      </c>
      <c r="QS32" s="139" t="str">
        <f t="shared" si="88"/>
        <v/>
      </c>
      <c r="QU32" s="1">
        <f t="shared" si="89"/>
        <v>0</v>
      </c>
      <c r="QV32" s="1">
        <f t="shared" si="90"/>
        <v>0</v>
      </c>
      <c r="QW32" s="1">
        <f t="shared" si="91"/>
        <v>0</v>
      </c>
      <c r="QX32" s="1">
        <f t="shared" si="92"/>
        <v>0</v>
      </c>
      <c r="QY32" s="1">
        <f t="shared" si="93"/>
        <v>0</v>
      </c>
      <c r="QZ32" s="1">
        <f t="shared" si="94"/>
        <v>0</v>
      </c>
      <c r="RB32" s="1">
        <f t="shared" si="95"/>
        <v>0</v>
      </c>
      <c r="RC32" s="1">
        <f t="shared" si="96"/>
        <v>0</v>
      </c>
      <c r="RD32" s="1">
        <f t="shared" si="97"/>
        <v>0</v>
      </c>
      <c r="RE32" s="1">
        <f t="shared" si="98"/>
        <v>0</v>
      </c>
      <c r="RF32" s="1">
        <f t="shared" si="99"/>
        <v>0</v>
      </c>
      <c r="RG32" s="1">
        <f t="shared" si="100"/>
        <v>0</v>
      </c>
      <c r="RJ32" s="1">
        <v>23</v>
      </c>
      <c r="RK32" s="1">
        <f t="shared" si="135"/>
        <v>5984.4452097170979</v>
      </c>
      <c r="RL32" s="1">
        <f t="shared" si="135"/>
        <v>5074.1017804837184</v>
      </c>
      <c r="RM32" s="1">
        <f t="shared" si="135"/>
        <v>13404.263703387322</v>
      </c>
      <c r="RN32" s="89">
        <f t="shared" si="5"/>
        <v>24462.810693588137</v>
      </c>
      <c r="RO32" s="1033">
        <v>23</v>
      </c>
      <c r="RP32" s="1098">
        <v>0</v>
      </c>
      <c r="RQ32" s="1098">
        <f t="shared" si="102"/>
        <v>0</v>
      </c>
      <c r="RR32" s="1097">
        <f t="shared" si="102"/>
        <v>0</v>
      </c>
      <c r="RS32" s="1097">
        <f t="shared" si="103"/>
        <v>0</v>
      </c>
      <c r="RT32" s="1094"/>
      <c r="RU32" s="2420"/>
      <c r="RX32" s="421">
        <v>23</v>
      </c>
      <c r="RY32" s="1095">
        <f t="shared" si="104"/>
        <v>0</v>
      </c>
      <c r="RZ32" s="1094"/>
      <c r="SB32" s="1090"/>
      <c r="SC32" s="1090">
        <f t="shared" si="105"/>
        <v>0</v>
      </c>
      <c r="SD32" s="1090"/>
      <c r="SE32" s="1090">
        <f t="shared" si="136"/>
        <v>0</v>
      </c>
      <c r="SG32" s="1">
        <v>23</v>
      </c>
      <c r="SH32" s="1">
        <f t="shared" si="107"/>
        <v>0</v>
      </c>
      <c r="SI32" s="1094"/>
    </row>
    <row r="33" spans="1:503" s="1" customFormat="1" ht="15" customHeight="1">
      <c r="B33" s="471">
        <v>24</v>
      </c>
      <c r="C33" s="4">
        <f t="shared" si="146"/>
        <v>0</v>
      </c>
      <c r="D33" s="1590">
        <f t="shared" si="128"/>
        <v>0</v>
      </c>
      <c r="E33" s="1895">
        <f t="shared" si="6"/>
        <v>0</v>
      </c>
      <c r="F33" s="870"/>
      <c r="G33" s="870"/>
      <c r="H33" s="52"/>
      <c r="I33" s="61"/>
      <c r="J33" s="52"/>
      <c r="K33" s="54"/>
      <c r="L33" s="52"/>
      <c r="M33" s="61"/>
      <c r="N33" s="2629"/>
      <c r="O33" s="4">
        <f t="shared" si="125"/>
        <v>0</v>
      </c>
      <c r="P33" s="1225">
        <f t="shared" si="7"/>
        <v>0</v>
      </c>
      <c r="Q33" s="1913">
        <f t="shared" si="8"/>
        <v>0</v>
      </c>
      <c r="R33" s="33"/>
      <c r="S33" s="26">
        <f t="shared" si="9"/>
        <v>0</v>
      </c>
      <c r="T33" s="27">
        <f t="shared" si="110"/>
        <v>0</v>
      </c>
      <c r="U33" s="1909">
        <f t="shared" si="10"/>
        <v>0</v>
      </c>
      <c r="V33" s="28"/>
      <c r="W33" s="26">
        <f t="shared" si="11"/>
        <v>0</v>
      </c>
      <c r="X33" s="5">
        <f t="shared" si="11"/>
        <v>0</v>
      </c>
      <c r="Y33" s="1909">
        <f t="shared" si="12"/>
        <v>0</v>
      </c>
      <c r="Z33" s="33"/>
      <c r="AA33" s="26">
        <f t="shared" si="13"/>
        <v>0</v>
      </c>
      <c r="AB33" s="27">
        <f t="shared" si="126"/>
        <v>0</v>
      </c>
      <c r="AC33" s="1909">
        <f t="shared" si="15"/>
        <v>0</v>
      </c>
      <c r="AD33" s="28"/>
      <c r="AE33" s="36"/>
      <c r="AF33" s="36"/>
      <c r="AG33" s="53">
        <f t="shared" si="16"/>
        <v>0</v>
      </c>
      <c r="AH33" s="28"/>
      <c r="AI33" s="26"/>
      <c r="AJ33" s="27"/>
      <c r="AK33" s="53">
        <f t="shared" si="17"/>
        <v>0</v>
      </c>
      <c r="AL33" s="28"/>
      <c r="AM33" s="2629"/>
      <c r="AN33" s="9"/>
      <c r="AO33" s="5"/>
      <c r="AP33" s="61">
        <f t="shared" si="18"/>
        <v>0</v>
      </c>
      <c r="AQ33" s="36"/>
      <c r="AR33" s="53"/>
      <c r="AS33" s="61">
        <f t="shared" si="19"/>
        <v>0</v>
      </c>
      <c r="AT33" s="36">
        <v>0</v>
      </c>
      <c r="AU33" s="27"/>
      <c r="AV33" s="54">
        <f t="shared" si="20"/>
        <v>0</v>
      </c>
      <c r="AW33" s="26"/>
      <c r="AX33" s="280">
        <f>SUMPRODUCT(ISNUMBER(SEARCH("BK20",'Data Base Coal Wining'!$C$2:$C$2000))*ISNUMBER(SEARCH("P3000",'Data Base Coal Wining'!$C$2:$C$2000))*('Data Base Coal Wining'!$H$2:$H$2000="PAMA")*('Data Base Coal Wining'!$G$2:$G$2000="Coal Winning")*ISNUMBER(SEARCH(TEXT('September TCM'!$B33,"00")&amp;"/09/2026",'Data Base Coal Wining'!$E$2:$E$2000))*'Data Base Coal Wining'!$N$2:$N$2000)</f>
        <v>0</v>
      </c>
      <c r="AY33" s="1895">
        <f t="shared" si="134"/>
        <v>0</v>
      </c>
      <c r="AZ33" s="1908"/>
      <c r="BA33" s="1909"/>
      <c r="BB33" s="1895">
        <f t="shared" si="21"/>
        <v>0</v>
      </c>
      <c r="BC33" s="1740"/>
      <c r="BD33" s="2154">
        <f>SUMPRODUCT(ISNUMBER(SEARCH("BK30",'Data Base Coal Wining'!$C$2:$C$2000))*ISNUMBER(SEARCH("P3000",'Data Base Coal Wining'!$C$2:$C$2000))*('Data Base Coal Wining'!$H$2:$H$2000="PAMA")*('Data Base Coal Wining'!$G$2:$G$2000="Coal Winning")*ISNUMBER(SEARCH(TEXT('September TCM'!$B33,"00")&amp;"/09/2026",'Data Base Coal Wining'!$E$2:$E$2000))*'Data Base Coal Wining'!$N$2:$N$2000)</f>
        <v>0</v>
      </c>
      <c r="BE33" s="1895">
        <f t="shared" si="22"/>
        <v>0</v>
      </c>
      <c r="BF33" s="1908"/>
      <c r="BG33" s="1909"/>
      <c r="BH33" s="1895">
        <f t="shared" si="23"/>
        <v>0</v>
      </c>
      <c r="BI33" s="1908">
        <v>0</v>
      </c>
      <c r="BJ33" s="1909">
        <v>0</v>
      </c>
      <c r="BK33" s="1895">
        <f t="shared" si="24"/>
        <v>0</v>
      </c>
      <c r="BL33" s="2491"/>
      <c r="BM33" s="2154">
        <f>SUMPRODUCT(ISNUMBER(SEARCH("BK26",'Data Base Coal Wining'!$C$2:$C$2000))*ISNUMBER(SEARCH("P4400",'Data Base Coal Wining'!$C$2:$C$2000))*('Data Base Coal Wining'!$H$2:$H$2000="MAP")*('Data Base Coal Wining'!$G$2:$G$2000="Coal Winning")*ISNUMBER(SEARCH(TEXT('September TCM'!$B33,"00")&amp;"/09/2026",'Data Base Coal Wining'!$E$2:$E$2000))*'Data Base Coal Wining'!$N$2:$N$2000)</f>
        <v>0</v>
      </c>
      <c r="BN33" s="2170"/>
      <c r="BO33" s="1911">
        <f t="shared" si="25"/>
        <v>0</v>
      </c>
      <c r="BP33" s="9"/>
      <c r="BQ33" s="2514">
        <f>SUMPRODUCT(ISNUMBER(SEARCH("BK34",'Data Base Coal Wining'!$C$2:$C$2000))*ISNUMBER(SEARCH("P4000",'Data Base Coal Wining'!$C$2:$C$2000))*('Data Base Coal Wining'!$H$2:$H$2000="PJPN")*('Data Base Coal Wining'!$G$2:$G$2000="Coal Winning")*ISNUMBER(SEARCH(TEXT('September TCM'!$B33,"00")&amp;"/09/2026",'Data Base Coal Wining'!$E$2:$E$2000))*'Data Base Coal Wining'!$N$2:$N$2000)</f>
        <v>0</v>
      </c>
      <c r="BR33" s="1920">
        <f t="shared" si="26"/>
        <v>0</v>
      </c>
      <c r="BS33" s="9"/>
      <c r="BT33" s="64"/>
      <c r="BU33" s="482">
        <f t="shared" si="27"/>
        <v>0</v>
      </c>
      <c r="BV33" s="9"/>
      <c r="BW33" s="27"/>
      <c r="BX33" s="15">
        <f t="shared" si="147"/>
        <v>0</v>
      </c>
      <c r="BY33" s="4"/>
      <c r="BZ33" s="5"/>
      <c r="CA33" s="482">
        <f t="shared" si="29"/>
        <v>0</v>
      </c>
      <c r="CB33" s="9"/>
      <c r="CC33" s="5"/>
      <c r="CD33" s="482">
        <f t="shared" si="30"/>
        <v>0</v>
      </c>
      <c r="CE33" s="4"/>
      <c r="CF33" s="5"/>
      <c r="CG33" s="28">
        <f t="shared" si="31"/>
        <v>0</v>
      </c>
      <c r="CH33" s="150"/>
      <c r="CI33" s="1108"/>
      <c r="CJ33" s="5"/>
      <c r="CK33" s="5"/>
      <c r="CL33" s="5"/>
      <c r="CM33" s="5"/>
      <c r="CN33" s="3">
        <f t="shared" si="111"/>
        <v>0</v>
      </c>
      <c r="CO33" s="33"/>
      <c r="CP33" s="366"/>
      <c r="CR33" s="4">
        <f t="shared" si="32"/>
        <v>0</v>
      </c>
      <c r="CS33" s="9">
        <f t="shared" si="32"/>
        <v>0</v>
      </c>
      <c r="CT33" s="5">
        <f t="shared" ref="CT33:DB40" si="148">SUM(DH33,DV33,EI33)</f>
        <v>0</v>
      </c>
      <c r="CU33" s="5">
        <f t="shared" si="148"/>
        <v>0</v>
      </c>
      <c r="CV33" s="5">
        <f t="shared" si="148"/>
        <v>0</v>
      </c>
      <c r="CW33" s="5">
        <f t="shared" si="148"/>
        <v>0</v>
      </c>
      <c r="CX33" s="5">
        <f t="shared" si="148"/>
        <v>0</v>
      </c>
      <c r="CY33" s="5">
        <f t="shared" si="148"/>
        <v>0</v>
      </c>
      <c r="CZ33" s="5">
        <f t="shared" si="148"/>
        <v>0</v>
      </c>
      <c r="DA33" s="5">
        <f t="shared" si="148"/>
        <v>0</v>
      </c>
      <c r="DB33" s="5">
        <f t="shared" si="148"/>
        <v>0</v>
      </c>
      <c r="DC33" s="12">
        <f t="shared" si="33"/>
        <v>0</v>
      </c>
      <c r="DD33" s="310">
        <f>SUM(CR33:DC33,PX33)</f>
        <v>0</v>
      </c>
      <c r="DE33" s="2695"/>
      <c r="DF33" s="8"/>
      <c r="DG33" s="9"/>
      <c r="DH33" s="5"/>
      <c r="DI33" s="5"/>
      <c r="DJ33" s="5"/>
      <c r="DK33" s="5"/>
      <c r="DL33" s="3">
        <f>SUMPRODUCT(('Data Base Coal Wining'!$D$2:$D$2000="TCM-ROM SB1 BK05-ROM 4")*('Data Base Coal Wining'!$G$2:$G$2000="Coal Winning")*ISNUMBER(SEARCH(TEXT('September TCM'!$B33,"00")&amp;"/09/2026",'Data Base Coal Wining'!$E$2:$E$2000))*'Data Base Coal Wining'!$N$2:$N$2000)</f>
        <v>0</v>
      </c>
      <c r="DM33" s="5"/>
      <c r="DN33" s="3">
        <f>SUMPRODUCT(('Data Base Coal Wining'!$D$2:$D$2000="TCM-ROM SB1 BK05-ROM 5")*('Data Base Coal Wining'!$G$2:$G$2000="Coal Winning")*ISNUMBER(SEARCH(TEXT('September TCM'!$B33,"00")&amp;"/09/2026",'Data Base Coal Wining'!$E$2:$E$2000))*'Data Base Coal Wining'!$N$2:$N$2000)</f>
        <v>0</v>
      </c>
      <c r="DO33" s="5"/>
      <c r="DP33" s="3">
        <f>SUMPRODUCT(('Data Base Coal Wining'!$D$2:$D$2000="TCM-ROM SB1 BK05-ROM 6")*('Data Base Coal Wining'!$G$2:$G$2000="Coal Winning")*ISNUMBER(SEARCH(TEXT('September TCM'!$B33,"00")&amp;"/09/2026",'Data Base Coal Wining'!$E$2:$E$2000))*'Data Base Coal Wining'!$N$2:$N$2000)</f>
        <v>0</v>
      </c>
      <c r="DQ33" s="11">
        <f>SUMPRODUCT(('Data Base Coal Wining'!$D$2:$D$2000="TCM-ROM SB1 BK05-ROM 6.1")*('Data Base Coal Wining'!$G$2:$G$2000="Coal Winning")*ISNUMBER(SEARCH(TEXT('September TCM'!$B33,"00")&amp;"/09/2026",'Data Base Coal Wining'!$E$2:$E$2000))*'Data Base Coal Wining'!$N$2:$N$2000)</f>
        <v>0</v>
      </c>
      <c r="DR33" s="12"/>
      <c r="DS33" s="28">
        <f t="shared" si="35"/>
        <v>0</v>
      </c>
      <c r="DT33" s="36"/>
      <c r="DU33" s="9"/>
      <c r="DV33" s="5"/>
      <c r="DW33" s="5"/>
      <c r="DX33" s="5"/>
      <c r="DY33" s="5"/>
      <c r="DZ33" s="27"/>
      <c r="EA33" s="27"/>
      <c r="EB33" s="3">
        <f>SUMPRODUCT(('Data Base Coal Wining'!$D$2:$D$2000="TCM-ROM SB2 BK24-ROM 5")*('Data Base Coal Wining'!$G$2:$G$2000="Coal Winning")*ISNUMBER(SEARCH(TEXT('September TCM'!$B33,"00")&amp;"/09/2026",'Data Base Coal Wining'!$E$2:$E$2000))*'Data Base Coal Wining'!$N$2:$N$2000)</f>
        <v>0</v>
      </c>
      <c r="EC33" s="27"/>
      <c r="ED33" s="24">
        <f>SUMPRODUCT(('Data Base Coal Wining'!$D$2:$D$2000="TCM-ROM SB2 BK24-ROM 6")*('Data Base Coal Wining'!$G$2:$G$2000="Coal Winning")*ISNUMBER(SEARCH(TEXT('September TCM'!$B33,"00")&amp;"/09/2026",'Data Base Coal Wining'!$E$2:$E$2000))*'Data Base Coal Wining'!$N$2:$N$2000)</f>
        <v>0</v>
      </c>
      <c r="EE33" s="33"/>
      <c r="EF33" s="28">
        <f t="shared" si="36"/>
        <v>0</v>
      </c>
      <c r="EG33" s="9"/>
      <c r="EH33" s="36"/>
      <c r="EI33" s="27"/>
      <c r="EJ33" s="27"/>
      <c r="EK33" s="27"/>
      <c r="EL33" s="27"/>
      <c r="EM33" s="27"/>
      <c r="EN33" s="27"/>
      <c r="EO33" s="5"/>
      <c r="EP33" s="5"/>
      <c r="EQ33" s="5"/>
      <c r="ER33" s="33"/>
      <c r="ES33" s="28">
        <f t="shared" si="127"/>
        <v>0</v>
      </c>
      <c r="ET33" s="36"/>
      <c r="EU33" s="27"/>
      <c r="EV33" s="27"/>
      <c r="EW33" s="27"/>
      <c r="EX33" s="27"/>
      <c r="EY33" s="27"/>
      <c r="EZ33" s="33">
        <f t="shared" si="38"/>
        <v>0</v>
      </c>
      <c r="FA33" s="2685"/>
      <c r="FC33" s="4">
        <f t="shared" si="39"/>
        <v>0</v>
      </c>
      <c r="FD33" s="5">
        <f t="shared" si="40"/>
        <v>0</v>
      </c>
      <c r="FE33" s="5">
        <f t="shared" si="41"/>
        <v>0</v>
      </c>
      <c r="FF33" s="12">
        <f t="shared" si="42"/>
        <v>0</v>
      </c>
      <c r="FG33" s="33"/>
      <c r="FH33" s="2674"/>
      <c r="FI33" s="9"/>
      <c r="FJ33" s="5"/>
      <c r="FK33" s="5"/>
      <c r="FL33" s="5"/>
      <c r="FM33" s="5"/>
      <c r="FN33" s="27"/>
      <c r="FO33" s="28">
        <f t="shared" si="43"/>
        <v>0</v>
      </c>
      <c r="FP33" s="36"/>
      <c r="FQ33" s="27"/>
      <c r="FR33" s="27"/>
      <c r="FS33" s="27"/>
      <c r="FT33" s="27"/>
      <c r="FU33" s="27"/>
      <c r="FV33" s="28">
        <f t="shared" si="44"/>
        <v>0</v>
      </c>
      <c r="FW33" s="36"/>
      <c r="FX33" s="36"/>
      <c r="FY33" s="27"/>
      <c r="FZ33" s="27"/>
      <c r="GA33" s="27"/>
      <c r="GB33" s="27"/>
      <c r="GC33" s="27"/>
      <c r="GD33" s="27"/>
      <c r="GE33" s="24" cm="1">
        <f t="array" ref="GE33">SUMPRODUCT(('Data Base Coal Wining'!$C$2:$C$2000="TCM-ROM TEMPORARY SB2 KM 76-ROM HAC (S4700 Hard Ban)")*(ISNUMBER(SEARCH(TEXT('September TCM'!$B33,"00")&amp;"/08/2026",'Data Base Coal Wining'!$E$2:$E$2000)))*'Data Base Coal Wining'!$N$2:$N$2000)</f>
        <v>0</v>
      </c>
      <c r="GF33" s="27"/>
      <c r="GG33" s="27"/>
      <c r="GH33" s="33"/>
      <c r="GI33" s="33">
        <f t="shared" si="45"/>
        <v>0</v>
      </c>
      <c r="GJ33" s="2674"/>
      <c r="GL33" s="2">
        <f t="shared" si="112"/>
        <v>0</v>
      </c>
      <c r="GM33" s="63">
        <f t="shared" si="113"/>
        <v>0</v>
      </c>
      <c r="GN33" s="24">
        <f t="shared" si="114"/>
        <v>0</v>
      </c>
      <c r="GO33" s="1736">
        <f t="shared" si="46"/>
        <v>0</v>
      </c>
      <c r="GP33" s="141"/>
      <c r="GQ33" s="141"/>
      <c r="GR33" s="33"/>
      <c r="GS33" s="2667"/>
      <c r="GT33" s="1723">
        <f>SUMPRODUCT(('Data Base hauling'!$H$2:$H$2000="Trust")*(ISNUMBER(SEARCH(TEXT('September TCM'!$B33,"00")&amp;"/09/2026",'Data Base hauling'!$E$2:$E$2000)))*'Data Base hauling'!$N$2:$N$2000)</f>
        <v>0</v>
      </c>
      <c r="GU33" s="1723">
        <f>SUMPRODUCT(('Data Base hauling'!$H$2:$H$2000="RT")*(ISNUMBER(SEARCH(TEXT('September TCM'!$B33,"00")&amp;"/09/2026",'Data Base hauling'!$E$2:$E$2000)))*'Data Base hauling'!$N$2:$N$2000)</f>
        <v>0</v>
      </c>
      <c r="GV33" s="5">
        <f>SUMPRODUCT(('Data Base hauling'!$H$2:$H$2000="MPE")*(ISNUMBER(SEARCH(TEXT('September TCM'!$B33,"00")&amp;"/09/2026",'Data Base hauling'!$E$2:$E$2000)))*'Data Base hauling'!$N$2:$N$2000)</f>
        <v>0</v>
      </c>
      <c r="GW33" s="1723">
        <f>SUMPRODUCT(('Data Base hauling'!$H$2:$H$2000="RP")*(ISNUMBER(SEARCH(TEXT('September TCM'!$B33,"00")&amp;"/09/2026",'Data Base hauling'!$E$2:$E$2000)))*'Data Base hauling'!$N$2:$N$2000)</f>
        <v>0</v>
      </c>
      <c r="GX33" s="28">
        <f t="shared" si="115"/>
        <v>0</v>
      </c>
      <c r="GY33" s="2667"/>
      <c r="GZ33" s="35">
        <f>SUMPRODUCT(('Data Base hauling'!$C$2:$C$2000="TCM-ROM NB-ROM 1")*(ISNUMBER(SEARCH(TEXT('September TCM'!$B33,"00")&amp;"/09/2026",'Data Base hauling'!$E$2:$E$2000)))*'Data Base hauling'!$N$2:$N$2000)</f>
        <v>0</v>
      </c>
      <c r="HA33" s="152"/>
      <c r="HB33" s="27"/>
      <c r="HC33" s="53"/>
      <c r="HD33" s="27"/>
      <c r="HE33" s="27"/>
      <c r="HF33" s="24">
        <f>SUMPRODUCT(('Data Base hauling'!$C$2:$C$2000="TCM-ROM NB-ROM 4")*(ISNUMBER(SEARCH(TEXT('September TCM'!$B33,"00")&amp;"/09/2026",'Data Base hauling'!$E$2:$E$2000)))*'Data Base hauling'!$N$2:$N$2000)</f>
        <v>0</v>
      </c>
      <c r="HG33" s="24"/>
      <c r="HH33" s="24">
        <f>SUMPRODUCT(('Data Base hauling'!$C$2:$C$2000="TCM-ROM NB-ROM 5")*(ISNUMBER(SEARCH(TEXT('September TCM'!$B33,"00")&amp;"/09/2026",'Data Base hauling'!$E$2:$E$2000)))*'Data Base hauling'!$N$2:$N$2000)</f>
        <v>0</v>
      </c>
      <c r="HI33" s="24"/>
      <c r="HJ33" s="24">
        <f>SUMPRODUCT(('Data Base hauling'!$C$2:$C$2000="TCM-ROM NB-ROM 6")*(ISNUMBER(SEARCH(TEXT('September TCM'!$B33,"00")&amp;"/09/2026",'Data Base hauling'!$E$2:$E$2000)))*'Data Base hauling'!$N$2:$N$2000)</f>
        <v>0</v>
      </c>
      <c r="HK33" s="24"/>
      <c r="HL33" s="24">
        <f>SUMPRODUCT(('Data Base hauling'!$C$2:$C$2000="TCM-WASH-CR3")*(ISNUMBER(SEARCH(TEXT('September TCM'!$B33,"00")&amp;"/09/2026",'Data Base hauling'!$E$2:$E$2000)))*'Data Base hauling'!$N$2:$N$2000)</f>
        <v>0</v>
      </c>
      <c r="HM33" s="27"/>
      <c r="HN33" s="28">
        <f t="shared" si="131"/>
        <v>0</v>
      </c>
      <c r="HO33" s="36"/>
      <c r="HP33" s="27"/>
      <c r="HQ33" s="27"/>
      <c r="HR33" s="27"/>
      <c r="HS33" s="27"/>
      <c r="HT33" s="27"/>
      <c r="HU33" s="27">
        <f t="array" ref="HU33">SUMPRODUCT(('Data Base hauling'!$C$2:$C$2000="TCM-ROM SB1 BK05-ROM 4")*(ISNUMBER(SEARCH(TEXT('September TCM'!$B33,"00")&amp;"/03/2026",'Data Base hauling'!$E$2:$E$2000)))*'Data Base hauling'!$N$2:$N$2000)</f>
        <v>0</v>
      </c>
      <c r="HV33" s="27"/>
      <c r="HW33" s="27">
        <f t="array" ref="HW33">SUMPRODUCT(('Data Base hauling'!$C$2:$C$2000="TCM-ROM SB1 BK05-ROM 5")*(ISNUMBER(SEARCH(TEXT('September TCM'!$B33,"00")&amp;"/03/2026",'Data Base hauling'!$E$2:$E$2000)))*'Data Base hauling'!$N$2:$N$2000)</f>
        <v>0</v>
      </c>
      <c r="HX33" s="27"/>
      <c r="HY33" s="27"/>
      <c r="HZ33" s="27"/>
      <c r="IA33" s="27"/>
      <c r="IB33" s="27"/>
      <c r="IC33" s="33">
        <f t="shared" si="48"/>
        <v>0</v>
      </c>
      <c r="ID33" s="52"/>
      <c r="IE33" s="152"/>
      <c r="IF33" s="53"/>
      <c r="IG33" s="53"/>
      <c r="IH33" s="53"/>
      <c r="II33" s="53"/>
      <c r="IJ33" s="1926">
        <f>SUMPRODUCT(('Data Base hauling'!$C$2:$C$2000="TCM-ROM SB1 BK05-ROM 4")*(ISNUMBER(SEARCH(TEXT('September TCM'!$B33,"00")&amp;"/09/2026",'Data Base hauling'!$E$2:$E$2000)))*'Data Base hauling'!$N$2:$N$2000)</f>
        <v>0</v>
      </c>
      <c r="IK33" s="1926"/>
      <c r="IL33" s="1926">
        <f>SUMPRODUCT(('Data Base hauling'!$C$2:$C$2000="TCM-ROM SB1 BK05-ROM 5")*(ISNUMBER(SEARCH(TEXT('September TCM'!$B33,"00")&amp;"/09/2026",'Data Base hauling'!$E$2:$E$2000)))*'Data Base hauling'!$N$2:$N$2000)</f>
        <v>0</v>
      </c>
      <c r="IM33" s="49"/>
      <c r="IN33" s="49">
        <f>SUMPRODUCT(('Data Base hauling'!$C$2:$C$2000="TCM-ROM SB1 BK05-ROM 6")*(ISNUMBER(SEARCH(TEXT('September TCM'!$B33,"00")&amp;"/09/2026",'Data Base hauling'!$E$2:$E$2000)))*'Data Base hauling'!$N$2:$N$2000)</f>
        <v>0</v>
      </c>
      <c r="IO33" s="49"/>
      <c r="IP33" s="49"/>
      <c r="IQ33" s="49">
        <f>SUMPRODUCT(('Data Base hauling'!$C$2:$C$2000="TCM-HAC1 (Production)-ROM 2(HAC)")*(ISNUMBER(SEARCH(TEXT('September TCM'!$B33,"00")&amp;"/09/2026",'Data Base hauling'!$E$2:$E$2000)))*'Data Base hauling'!$N$2:$N$2000)</f>
        <v>0</v>
      </c>
      <c r="IR33" s="2195">
        <f t="shared" si="132"/>
        <v>0</v>
      </c>
      <c r="IS33" s="152"/>
      <c r="IT33" s="152"/>
      <c r="IU33" s="53"/>
      <c r="IV33" s="53"/>
      <c r="IW33" s="53"/>
      <c r="IX33" s="27"/>
      <c r="IY33" s="24">
        <f>SUMPRODUCT(('Data Base hauling'!$C$2:$C$2000="TCM-ROM SB2 BK24-ROM 4")*(ISNUMBER(SEARCH(TEXT('September TCM'!$B33,"00")&amp;"/09/2026",'Data Base hauling'!$E$2:$E$2000)))*'Data Base hauling'!$N$2:$N$2000)</f>
        <v>0</v>
      </c>
      <c r="IZ33" s="24"/>
      <c r="JA33" s="24">
        <f>SUMPRODUCT(('Data Base hauling'!$C$2:$C$2000="TCM-ROM SB2 BK24-ROM 5")*(ISNUMBER(SEARCH(TEXT('September TCM'!$B33,"00")&amp;"/09/2026",'Data Base hauling'!$E$2:$E$2000)))*'Data Base hauling'!$N$2:$N$2000)</f>
        <v>0</v>
      </c>
      <c r="JB33" s="24"/>
      <c r="JC33" s="24">
        <f>SUMPRODUCT(('Data Base hauling'!$C$2:$C$2000="TCM-ROM SB2 BK24-ROM 6")*(ISNUMBER(SEARCH(TEXT('September TCM'!$B33,"00")&amp;"/09/2026",'Data Base hauling'!$E$2:$E$2000)))*'Data Base hauling'!$N$2:$N$2000)</f>
        <v>0</v>
      </c>
      <c r="JD33" s="27"/>
      <c r="JE33" s="27"/>
      <c r="JF33" s="27"/>
      <c r="JG33" s="33">
        <f t="shared" si="133"/>
        <v>0</v>
      </c>
      <c r="JH33" s="2667"/>
      <c r="JJ33" s="2014">
        <f>SUMPRODUCT(('Data Base hauling'!$O$2:$O$2000="TCM.HCV.LS")*(ISNUMBER(SEARCH(TEXT('September TCM'!$B33,"00")&amp;"/09/2026",'Data Base hauling'!$E$2:$E$2000)))*'Data Base hauling'!$N$2:$N$2000)</f>
        <v>0</v>
      </c>
      <c r="JK33" s="2015">
        <f>SUMPRODUCT(('Data Base hauling'!$O$2:$O$2000="TCM.HCV.HS")*(ISNUMBER(SEARCH(TEXT('September TCM'!$B33,"00")&amp;"/09/2026",'Data Base hauling'!$E$2:$E$2000)))*'Data Base hauling'!$N$2:$N$2000)</f>
        <v>0</v>
      </c>
      <c r="JL33" s="53"/>
      <c r="JM33" s="1736">
        <f t="shared" si="51"/>
        <v>0</v>
      </c>
      <c r="JN33" s="33"/>
      <c r="JO33" s="2669"/>
      <c r="JP33" s="66" t="str">
        <f>IFERROR(SUMPRODUCT(('Data Base hauling'!$O$2:$O$2000="TCM.HCV.LS")*('Data Base hauling'!$C$2:$C$2000="TCM-ROM NB-ROM 1")*(ISNUMBER(SEARCH(TEXT('September TCM'!$B33,"00")&amp;"/09/2026",'Data Base hauling'!$E$2:$E$2000)))*'Data Base hauling'!$N$2:$N$2000)/'September TCM'!$JJ33,"")</f>
        <v/>
      </c>
      <c r="JQ33" s="67" t="str">
        <f>IFERROR(SUMPRODUCT(('Data Base hauling'!$O$2:$O$2000="TCM.HCV.LS")*('Data Base hauling'!$C$2:$C$2000="TCM-ROM NB-ROM 2")*(ISNUMBER(SEARCH(TEXT('September TCM'!$B33,"00")&amp;"/09/2026",'Data Base hauling'!$E$2:$E$2000)))*'Data Base hauling'!$N$2:$N$2000)/'September TCM'!$JJ33,"")</f>
        <v/>
      </c>
      <c r="JR33" s="67" t="str">
        <f>IFERROR(SUMPRODUCT(('Data Base hauling'!$O$2:$O$2000="TCM.HCV.LS")*('Data Base hauling'!$C$2:$C$2000="TCM-ROM NB-ROM 3")*(ISNUMBER(SEARCH(TEXT('September TCM'!$B33,"00")&amp;"/09/2026",'Data Base hauling'!$E$2:$E$2000)))*'Data Base hauling'!$N$2:$N$2000)/'September TCM'!$JJ33,"")</f>
        <v/>
      </c>
      <c r="JS33" s="67" t="str">
        <f>IFERROR(SUMPRODUCT(('Data Base hauling'!$O$2:$O$2000="TCM.HCV.LS")*('Data Base hauling'!$C$2:$C$2000="TCM-ROM SB1 BK05-ROM 4")*(ISNUMBER(SEARCH(TEXT('September TCM'!$B33,"00")&amp;"/09/2026",'Data Base hauling'!$E$2:$E$2000)))*'Data Base hauling'!$N$2:$N$2000)/'September TCM'!$JJ33,"")</f>
        <v/>
      </c>
      <c r="JT33" s="67" t="str">
        <f>IFERROR(SUMPRODUCT(('Data Base hauling'!$O$2:$O$2000="TCM.HCV.LS")*SIGN(('Data Base hauling'!$C$2:$C$2000="TCM-ROM NB-ROM 5")+('Data Base hauling'!$C$2:$C$2000="TCM-ROM SB1 BK05-ROM 5")+('Data Base hauling'!$C$2:$C$2000="TCM-ROM SB2 BK24-ROM 5"))*(ISNUMBER(SEARCH(TEXT('September TCM'!$B33,"00")&amp;"/09/2026",'Data Base hauling'!$E$2:$E$2000)))*'Data Base hauling'!$N$2:$N$2000)/'September TCM'!$JJ33,"")</f>
        <v/>
      </c>
      <c r="JU33" s="67" t="str">
        <f>IFERROR(SUMPRODUCT(('Data Base hauling'!$O$2:$O$2000="TCM.HCV.LS")*SIGN(('Data Base hauling'!$C$2:$C$2000="TCM-ROM NB-ROM 6")+('Data Base hauling'!$C$2:$C$2000="TCM-ROM SB1 BK05-ROM 6")+('Data Base hauling'!$C$2:$C$2000="TCM-ROM SB2 BK24-ROM 6"))*(ISNUMBER(SEARCH(TEXT('September TCM'!$B33,"00")&amp;"/09/2026",'Data Base hauling'!$E$2:$E$2000)))*'Data Base hauling'!$N$2:$N$2000)/'September TCM'!$JJ33,"")</f>
        <v/>
      </c>
      <c r="JV33" s="67" t="str">
        <f>IFERROR(SUMPRODUCT(('Data Base hauling'!$O$2:$O$2000="TCM.HCV.LS")*('Data Base hauling'!$C$2:$C$2000="TCM-WASH-CR3")*(ISNUMBER(SEARCH(TEXT('September TCM'!$B33,"00")&amp;"/09/2026",'Data Base hauling'!$E$2:$E$2000)))*'Data Base hauling'!$N$2:$N$2000)/'September TCM'!$JJ33,"")</f>
        <v/>
      </c>
      <c r="JW33" s="1921">
        <f>SUMPRODUCT(('Data Base hauling'!$O$2:$O$2000="TCM.HCV.LS")*('Data Base hauling'!$C$2:$C$2000="TCM-HAC-CR3")*(ISNUMBER(SEARCH(TEXT('September TCM'!$B33,"00")&amp;"/089/2026",'Data Base hauling'!$E$2:$E$2000)))*'Data Base hauling'!$N$2:$N$2000)</f>
        <v>0</v>
      </c>
      <c r="JX33" s="66" t="str">
        <f>IFERROR(SUMPRODUCT(('Data Base hauling'!$O$2:$O$2000="TCM.HCV.HS")*('Data Base hauling'!$C$2:$C$2000="TCM-ROM NB-ROM 1")*(ISNUMBER(SEARCH(TEXT('September TCM'!$B33,"00")&amp;"/09/2026",'Data Base hauling'!$E$2:$E$2000)))*'Data Base hauling'!$N$2:$N$2000)/'September TCM'!$JK33,"")</f>
        <v/>
      </c>
      <c r="JY33" s="67" t="str">
        <f>IFERROR(SUMPRODUCT(('Data Base hauling'!$O$2:$O$2000="TCM.HCV.HS")*('Data Base hauling'!$C$2:$C$2000="TCM-ROM NB-ROM 2")*(ISNUMBER(SEARCH(TEXT('September TCM'!$B33,"00")&amp;"/09/2026",'Data Base hauling'!$E$2:$E$2000)))*'Data Base hauling'!$N$2:$N$2000)/'September TCM'!$JK33,"")</f>
        <v/>
      </c>
      <c r="JZ33" s="67" t="str">
        <f>IFERROR(SUMPRODUCT(('Data Base hauling'!$O$2:$O$2000="TCM.HCV.HS")*('Data Base hauling'!$C$2:$C$2000="TCM-ROM NB-ROM 3")*(ISNUMBER(SEARCH(TEXT('September TCM'!$B33,"00")&amp;"/09/2026",'Data Base hauling'!$E$2:$E$2000)))*'Data Base hauling'!$N$2:$N$2000)/'September TCM'!$JK33,"")</f>
        <v/>
      </c>
      <c r="KA33" s="67" t="str">
        <f>IFERROR(SUMPRODUCT(('Data Base hauling'!$O$2:$O$2000="TCM.HCV.HS")*('Data Base hauling'!$C$2:$C$2000="TCM-ROM SB1 BK05-ROM 4")*(ISNUMBER(SEARCH(TEXT('September TCM'!$B33,"00")&amp;"/09/2026",'Data Base hauling'!$E$2:$E$2000)))*'Data Base hauling'!$N$2:$N$2000)/'September TCM'!$JK33,"")</f>
        <v/>
      </c>
      <c r="KB33" s="67" t="str">
        <f>IFERROR(SUMPRODUCT(('Data Base hauling'!$O$2:$O$2000="TCM.HCV.HS")*SIGN(('Data Base hauling'!$C$2:$C$2000="TCM-ROM NB-ROM 5")+('Data Base hauling'!$C$2:$C$2000="TCM-ROM SB1 BK05-ROM 5")+('Data Base hauling'!$C$2:$C$2000="TCM-ROM SB2 BK24-ROM 5"))*(ISNUMBER(SEARCH(TEXT('September TCM'!$B33,"00")&amp;"/09/2026",'Data Base hauling'!$E$2:$E$2000)))*'Data Base hauling'!$N$2:$N$2000)/'September TCM'!$JK33,"")</f>
        <v/>
      </c>
      <c r="KC33" s="67" t="str">
        <f>IFERROR(SUMPRODUCT(('Data Base hauling'!$O$2:$O$2000="TCM.HCV.HS")*SIGN(('Data Base hauling'!$C$2:$C$2000="TCM-ROM NB-ROM 6")+('Data Base hauling'!$C$2:$C$2000="TCM-ROM SB1 BK05-ROM 6")+('Data Base hauling'!$C$2:$C$2000="TCM-ROM SB2 BK24-ROM 6"))*(ISNUMBER(SEARCH(TEXT('September TCM'!$B33,"00")&amp;"/09/2026",'Data Base hauling'!$E$2:$E$2000)))*'Data Base hauling'!$N$2:$N$2000)/'September TCM'!$JK33,"")</f>
        <v/>
      </c>
      <c r="KD33" s="67" t="str">
        <f>IFERROR(SUMPRODUCT(('Data Base hauling'!$O$2:$O$2000="TCM.HCV.HS")*('Data Base hauling'!$C$2:$C$2000="TCM-WASH-CR3")*(ISNUMBER(SEARCH(TEXT('September TCM'!$B33,"00")&amp;"/09/2026",'Data Base hauling'!$E$2:$E$2000)))*'Data Base hauling'!$N$2:$N$2000)/'September TCM'!$JK33,"")</f>
        <v/>
      </c>
      <c r="KE33" s="68" t="str">
        <f>IFERROR(SUMPRODUCT(('Data Base hauling'!$O$2:$O$2000="TCM.HCV.HS")*('Data Base hauling'!$C$2:$C$2000="TCM-HAC-CR3")*(ISNUMBER(SEARCH(TEXT('September TCM'!$B33,"00")&amp;"/09/2026",'Data Base hauling'!$E$2:$E$2000)))*'Data Base hauling'!$N$2:$N$2000)/'September TCM'!$JK33,"")</f>
        <v/>
      </c>
      <c r="KF33" s="69"/>
      <c r="KG33" s="70"/>
      <c r="KH33" s="70"/>
      <c r="KI33" s="70"/>
      <c r="KJ33" s="70"/>
      <c r="KK33" s="70"/>
      <c r="KL33" s="70"/>
      <c r="KM33" s="70"/>
      <c r="KN33" s="33"/>
      <c r="KO33" s="2669"/>
      <c r="KP33" s="2203">
        <f>IFERROR(SUMPRODUCT((TCM.HCV.LS!$A$3:$A$58=DATE(2026,9,$B33))*(TCM.HCV.LS!$O$3:$O$58&gt;0)*TCM.HCV.LS!$C$3:$C$58*TCM.HCV.LS!$O$3:$O$58)/SUMPRODUCT((TCM.HCV.LS!$A$3:$A$58=DATE(2026,9,$B33))*(TCM.HCV.LS!$O$3:$O$58&gt;0)*TCM.HCV.LS!$C$3:$C$58),0)</f>
        <v>0</v>
      </c>
      <c r="KQ33" s="1721">
        <f>IFERROR(SUMPRODUCT((TCM.HCV.LS!$A$3:$A$58=DATE(2026,9,$B33))*(TCM.HCV.LS!$M$3:$M$58&gt;0)*TCM.HCV.LS!$C$3:$C$58*TCM.HCV.LS!$M$3:$M$58)/SUMPRODUCT((TCM.HCV.LS!$A$3:$A$58=DATE(2026,9,$B33))*(TCM.HCV.LS!$M$3:$M$58&gt;0)*TCM.HCV.LS!$C$3:$C$58),0)</f>
        <v>0</v>
      </c>
      <c r="KR33" s="1721">
        <f>IFERROR(SUMPRODUCT((TCM.HCV.LS!$A$3:$A$58=DATE(2026,9,$B33))*(TCM.HCV.LS!$G$3:$G$58&gt;0)*TCM.HCV.LS!$C$3:$C$58*TCM.HCV.LS!$G$3:$G$58)/SUMPRODUCT((TCM.HCV.LS!$A$3:$A$58=DATE(2026,9,$B33))*(TCM.HCV.LS!$G$3:$G$58&gt;0)*TCM.HCV.LS!$C$3:$C$58),0)</f>
        <v>0</v>
      </c>
      <c r="KS33" s="1721">
        <f>IFERROR(SUMPRODUCT((TCM.HCV.LS!$A$3:$A$58=DATE(2026,9,$B33))*(TCM.HCV.LS!$F$3:$F$58&gt;0)*TCM.HCV.LS!$C$3:$C$58*TCM.HCV.LS!$F$3:$F$58)/SUMPRODUCT((TCM.HCV.LS!$A$3:$A$58=DATE(2026,9,$B33))*(TCM.HCV.LS!$F$3:$F$58&gt;0)*TCM.HCV.LS!$C$3:$C$58),0)</f>
        <v>0</v>
      </c>
      <c r="KT33" s="1722">
        <f>IFERROR(SUMPRODUCT((TCM.HCV.LS!$A$3:$A$58=DATE(2026,9,$B33))*(TCM.HCV.LS!$E$3:$E$58&gt;0)*TCM.HCV.LS!$C$3:$C$58*TCM.HCV.LS!$E$3:$E$58)/SUMPRODUCT((TCM.HCV.LS!$A$3:$A$58=DATE(2026,9,$B33))*(TCM.HCV.LS!$E$3:$E$58&gt;0)*TCM.HCV.LS!$C$3:$C$58),0)</f>
        <v>0</v>
      </c>
      <c r="KU33" s="1958">
        <f>IFERROR(SUMPRODUCT((TCM.HCV.HS!$A$3:$A$84=DATE(2026,9,$B33))*(TCM.HCV.HS!$O$3:$O$84&gt;0)*TCM.HCV.HS!$C$3:$C$84*TCM.HCV.HS!$O$3:$O$84)/SUMPRODUCT((TCM.HCV.HS!$A$3:$A$84=DATE(2026,9,$B33))*(TCM.HCV.HS!$O$3:$O$84&gt;0)*TCM.HCV.HS!$C$3:$C$84),0)</f>
        <v>0</v>
      </c>
      <c r="KV33" s="1961">
        <f>IFERROR(SUMPRODUCT((TCM.HCV.HS!$A$3:$A$84=DATE(2026,9,$B33))*(TCM.HCV.HS!$M$3:$M$84&gt;0)*TCM.HCV.HS!$C$3:$C$84*TCM.HCV.HS!$M$3:$M$84)/SUMPRODUCT((TCM.HCV.HS!$A$3:$A$84=DATE(2026,9,$B33))*(TCM.HCV.HS!$M$3:$M$84&gt;0)*TCM.HCV.HS!$C$3:$C$84),0)</f>
        <v>0</v>
      </c>
      <c r="KW33" s="1961">
        <f>IFERROR(SUMPRODUCT((TCM.HCV.HS!$A$3:$A$84=DATE(2026,9,$B33))*(TCM.HCV.HS!$G$3:$G$84&gt;0)*TCM.HCV.HS!$C$3:$C$84*TCM.HCV.HS!$G$3:$G$84)/SUMPRODUCT((TCM.HCV.HS!$A$3:$A$84=DATE(2026,9,$B33))*(TCM.HCV.HS!$G$3:$G$84&gt;0)*TCM.HCV.HS!$C$3:$C$84),0)</f>
        <v>0</v>
      </c>
      <c r="KX33" s="1961">
        <f>IFERROR(SUMPRODUCT((TCM.HCV.HS!$A$3:$A$84=DATE(2026,9,$B33))*(TCM.HCV.HS!$F$3:$F$84&gt;0)*TCM.HCV.HS!$C$3:$C$84*TCM.HCV.HS!$F$3:$F$84)/SUMPRODUCT((TCM.HCV.HS!$A$3:$A$84=DATE(2026,9,$B33))*(TCM.HCV.HS!$F$3:$F$84&gt;0)*TCM.HCV.HS!$C$3:$C$84),0)</f>
        <v>0</v>
      </c>
      <c r="KY33" s="1962">
        <f>IFERROR(SUMPRODUCT((TCM.HCV.HS!$A$3:$A$84=DATE(2026,9,$B33))*(TCM.HCV.HS!$E$3:$E$84&gt;0)*TCM.HCV.HS!$C$3:$C$84*TCM.HCV.HS!$E$3:$E$84)/SUMPRODUCT((TCM.HCV.HS!$A$3:$A$84=DATE(2026,9,$B33))*(TCM.HCV.HS!$E$3:$E$84&gt;0)*TCM.HCV.HS!$C$3:$C$84),0)</f>
        <v>0</v>
      </c>
      <c r="KZ33" s="36"/>
      <c r="LA33" s="53"/>
      <c r="LB33" s="53"/>
      <c r="LC33" s="53"/>
      <c r="LD33" s="53"/>
      <c r="LE33" s="33"/>
      <c r="LF33" s="2669"/>
      <c r="LH33" s="26">
        <f t="shared" si="138"/>
        <v>0</v>
      </c>
      <c r="LI33" s="27">
        <f t="shared" si="138"/>
        <v>0</v>
      </c>
      <c r="LJ33" s="27">
        <f t="shared" si="138"/>
        <v>0</v>
      </c>
      <c r="LK33" s="28">
        <f t="shared" si="53"/>
        <v>0</v>
      </c>
      <c r="LL33" s="36"/>
      <c r="LM33" s="27"/>
      <c r="LN33" s="27"/>
      <c r="LO33" s="33"/>
      <c r="LP33" s="1957"/>
      <c r="LQ33" s="1128"/>
      <c r="LR33" s="2688"/>
      <c r="LS33" s="36"/>
      <c r="LT33" s="36"/>
      <c r="LU33" s="27"/>
      <c r="LV33" s="27"/>
      <c r="LW33" s="27"/>
      <c r="LX33" s="1107">
        <f t="shared" si="129"/>
        <v>0</v>
      </c>
      <c r="LY33" s="36"/>
      <c r="LZ33" s="36"/>
      <c r="MA33" s="27"/>
      <c r="MB33" s="27"/>
      <c r="MC33" s="33"/>
      <c r="MD33" s="28">
        <f t="shared" si="137"/>
        <v>0</v>
      </c>
      <c r="ME33" s="26"/>
      <c r="MF33" s="36"/>
      <c r="MG33" s="27"/>
      <c r="MH33" s="27"/>
      <c r="MI33" s="27"/>
      <c r="MJ33" s="28"/>
      <c r="MK33" s="36"/>
      <c r="ML33" s="152"/>
      <c r="MM33" s="27"/>
      <c r="MN33" s="27"/>
      <c r="MO33" s="27"/>
      <c r="MP33" s="28"/>
      <c r="MQ33" s="36"/>
      <c r="MR33" s="36"/>
      <c r="MS33" s="27"/>
      <c r="MT33" s="27"/>
      <c r="MU33" s="27"/>
      <c r="MV33" s="33">
        <f t="shared" si="56"/>
        <v>0</v>
      </c>
      <c r="MW33" s="2688"/>
      <c r="MY33" s="26">
        <f t="shared" si="57"/>
        <v>377341.84766611259</v>
      </c>
      <c r="MZ33" s="27">
        <f t="shared" si="58"/>
        <v>191281.80302645115</v>
      </c>
      <c r="NA33" s="27">
        <f t="shared" si="59"/>
        <v>27294.683787707359</v>
      </c>
      <c r="NB33" s="28">
        <f t="shared" si="60"/>
        <v>318297.33035698003</v>
      </c>
      <c r="NC33" s="2621"/>
      <c r="ND33" s="23">
        <f t="shared" si="116"/>
        <v>207724.34280113198</v>
      </c>
      <c r="NE33" s="1655">
        <f t="shared" si="117"/>
        <v>169617.50486498058</v>
      </c>
      <c r="NF33" s="60">
        <f t="shared" si="63"/>
        <v>0</v>
      </c>
      <c r="NG33" s="275">
        <f t="shared" si="4"/>
        <v>377341.84766611259</v>
      </c>
      <c r="NH33" s="26">
        <f t="shared" si="141"/>
        <v>-313.35000000000002</v>
      </c>
      <c r="NI33" s="27">
        <f t="shared" si="141"/>
        <v>0</v>
      </c>
      <c r="NJ33" s="27">
        <f t="shared" si="141"/>
        <v>0</v>
      </c>
      <c r="NK33" s="27">
        <f t="shared" si="141"/>
        <v>0</v>
      </c>
      <c r="NL33" s="27">
        <f t="shared" si="141"/>
        <v>0</v>
      </c>
      <c r="NM33" s="33">
        <f t="shared" si="141"/>
        <v>0</v>
      </c>
      <c r="NN33" s="27">
        <f t="shared" si="141"/>
        <v>0</v>
      </c>
      <c r="NO33" s="36">
        <f t="shared" si="141"/>
        <v>0</v>
      </c>
      <c r="NP33" s="24">
        <f t="shared" si="141"/>
        <v>21665.870136227244</v>
      </c>
      <c r="NQ33" s="27">
        <f t="shared" si="141"/>
        <v>22358.939343794715</v>
      </c>
      <c r="NR33" s="24">
        <f t="shared" si="118"/>
        <v>8443.1982322711574</v>
      </c>
      <c r="NS33" s="24">
        <f t="shared" si="119"/>
        <v>9895.3380410535083</v>
      </c>
      <c r="NT33" s="27">
        <f t="shared" si="0"/>
        <v>62049.995753346629</v>
      </c>
      <c r="NU33" s="27">
        <f t="shared" si="142"/>
        <v>0</v>
      </c>
      <c r="NV33" s="27">
        <f t="shared" si="142"/>
        <v>0</v>
      </c>
      <c r="NW33" s="27">
        <f t="shared" si="142"/>
        <v>0</v>
      </c>
      <c r="NX33" s="27">
        <f t="shared" si="142"/>
        <v>0</v>
      </c>
      <c r="NY33" s="27">
        <f t="shared" si="142"/>
        <v>0</v>
      </c>
      <c r="NZ33" s="5">
        <f t="shared" si="142"/>
        <v>0</v>
      </c>
      <c r="OA33" s="27">
        <f t="shared" si="142"/>
        <v>35558.705564997217</v>
      </c>
      <c r="OB33" s="27">
        <f t="shared" si="142"/>
        <v>0</v>
      </c>
      <c r="OC33" s="27">
        <f t="shared" si="66"/>
        <v>12611.886475620366</v>
      </c>
      <c r="OD33" s="27"/>
      <c r="OE33" s="27">
        <f t="shared" si="120"/>
        <v>13429.316718063665</v>
      </c>
      <c r="OF33" s="27">
        <f t="shared" si="67"/>
        <v>0</v>
      </c>
      <c r="OG33" s="28">
        <f t="shared" si="1"/>
        <v>61599.908758681253</v>
      </c>
      <c r="OH33" s="27">
        <f t="shared" si="143"/>
        <v>0</v>
      </c>
      <c r="OI33" s="27">
        <f t="shared" si="143"/>
        <v>0</v>
      </c>
      <c r="OJ33" s="27">
        <f t="shared" si="143"/>
        <v>0</v>
      </c>
      <c r="OK33" s="27">
        <f t="shared" si="143"/>
        <v>0</v>
      </c>
      <c r="OL33" s="27">
        <f t="shared" si="143"/>
        <v>0</v>
      </c>
      <c r="OM33" s="27">
        <f t="shared" si="143"/>
        <v>0</v>
      </c>
      <c r="ON33" s="24">
        <f t="shared" si="143"/>
        <v>0</v>
      </c>
      <c r="OO33" s="27">
        <f t="shared" si="143"/>
        <v>0</v>
      </c>
      <c r="OP33" s="24">
        <f t="shared" si="69"/>
        <v>54054.217649249818</v>
      </c>
      <c r="OQ33" s="27">
        <f t="shared" si="144"/>
        <v>0</v>
      </c>
      <c r="OR33" s="24">
        <f t="shared" si="144"/>
        <v>13577.680865173457</v>
      </c>
      <c r="OS33" s="27">
        <f t="shared" si="144"/>
        <v>0</v>
      </c>
      <c r="OT33" s="28">
        <f t="shared" si="2"/>
        <v>67631.898514423272</v>
      </c>
      <c r="OU33" s="36"/>
      <c r="OV33" s="27"/>
      <c r="OW33" s="27"/>
      <c r="OX33" s="27"/>
      <c r="OY33" s="27"/>
      <c r="OZ33" s="27"/>
      <c r="PA33" s="28">
        <f t="shared" si="71"/>
        <v>0</v>
      </c>
      <c r="PB33" s="36">
        <f t="shared" si="72"/>
        <v>0</v>
      </c>
      <c r="PC33" s="27">
        <f t="shared" si="73"/>
        <v>0</v>
      </c>
      <c r="PD33" s="27">
        <f t="shared" si="74"/>
        <v>0</v>
      </c>
      <c r="PE33" s="27">
        <f t="shared" si="75"/>
        <v>0</v>
      </c>
      <c r="PF33" s="24"/>
      <c r="PG33" s="27">
        <f t="shared" si="76"/>
        <v>0</v>
      </c>
      <c r="PH33" s="33">
        <f t="shared" si="3"/>
        <v>0</v>
      </c>
      <c r="PI33" s="2621"/>
      <c r="PK33" s="1907">
        <f>SUMPRODUCT(('Data Base Coal Wining'!$D$2:$D$2000="WASHING PLANT")*ISNUMBER(SEARCH(TEXT('September TCM'!$B33,"00")&amp;"/09/2026",'Data Base Coal Wining'!$E$2:$E$2000))*'Data Base Coal Wining'!$N$2:$N$2000)</f>
        <v>0</v>
      </c>
      <c r="PL33" s="3"/>
      <c r="PM33" s="3"/>
      <c r="PN33" s="3">
        <f t="shared" si="145"/>
        <v>0</v>
      </c>
      <c r="PO33" s="3">
        <f t="shared" si="78"/>
        <v>38895.633435124721</v>
      </c>
      <c r="PP33" s="11">
        <f t="shared" si="139"/>
        <v>27294.683787707359</v>
      </c>
      <c r="PQ33" s="15"/>
      <c r="PR33" s="2615"/>
      <c r="PT33" s="4"/>
      <c r="PU33" s="9"/>
      <c r="PV33" s="9"/>
      <c r="PW33" s="9"/>
      <c r="PX33" s="8">
        <f>SUMPRODUCT(('Data Base Coal Wining'!$D$2:$D$2000="TCM-ROM SB1 BK05-ROM 2 (HAC)")*('Data Base Coal Wining'!$G$2:$G$2000="Coal Winning")*ISNUMBER(SEARCH(TEXT('September TCM'!$B33,"00")&amp;"/09/2026",'Data Base Coal Wining'!$E$2:$E$2000))*'Data Base Coal Wining'!$N$2:$N$2000)</f>
        <v>0</v>
      </c>
      <c r="PY33" s="9"/>
      <c r="PZ33" s="8">
        <f t="shared" si="80"/>
        <v>0</v>
      </c>
      <c r="QA33" s="5">
        <f t="shared" si="81"/>
        <v>0</v>
      </c>
      <c r="QB33" s="5"/>
      <c r="QC33" s="5"/>
      <c r="QD33" s="5"/>
      <c r="QE33" s="5"/>
      <c r="QF33" s="5"/>
      <c r="QG33" s="12"/>
      <c r="QH33" s="12">
        <f t="shared" si="82"/>
        <v>29562.488999999998</v>
      </c>
      <c r="QI33" s="420">
        <f t="shared" si="83"/>
        <v>283762.59090898006</v>
      </c>
      <c r="QJ33" s="1106">
        <f t="shared" si="121"/>
        <v>4972.2504480000007</v>
      </c>
      <c r="QK33" s="484">
        <f t="shared" si="84"/>
        <v>5505.3678056099998</v>
      </c>
      <c r="QL33" s="12"/>
      <c r="QM33" s="2615"/>
      <c r="QO33" s="139" t="str">
        <f t="shared" si="85"/>
        <v/>
      </c>
      <c r="QP33" s="139" t="str">
        <f t="shared" si="86"/>
        <v/>
      </c>
      <c r="QR33" s="139" t="str">
        <f t="shared" si="87"/>
        <v/>
      </c>
      <c r="QS33" s="139" t="str">
        <f t="shared" si="88"/>
        <v/>
      </c>
      <c r="QU33" s="1">
        <f t="shared" si="89"/>
        <v>0</v>
      </c>
      <c r="QV33" s="1">
        <f t="shared" si="90"/>
        <v>0</v>
      </c>
      <c r="QW33" s="1">
        <f t="shared" si="91"/>
        <v>0</v>
      </c>
      <c r="QX33" s="1">
        <f t="shared" si="92"/>
        <v>0</v>
      </c>
      <c r="QY33" s="1">
        <f t="shared" si="93"/>
        <v>0</v>
      </c>
      <c r="QZ33" s="1">
        <f t="shared" si="94"/>
        <v>0</v>
      </c>
      <c r="RB33" s="1">
        <f t="shared" si="95"/>
        <v>0</v>
      </c>
      <c r="RC33" s="1">
        <f t="shared" si="96"/>
        <v>0</v>
      </c>
      <c r="RD33" s="1">
        <f t="shared" si="97"/>
        <v>0</v>
      </c>
      <c r="RE33" s="1">
        <f t="shared" si="98"/>
        <v>0</v>
      </c>
      <c r="RF33" s="1">
        <f t="shared" si="99"/>
        <v>0</v>
      </c>
      <c r="RG33" s="1">
        <f t="shared" si="100"/>
        <v>0</v>
      </c>
      <c r="RJ33" s="1">
        <v>24</v>
      </c>
      <c r="RK33" s="1">
        <f t="shared" si="135"/>
        <v>5984.4452097170979</v>
      </c>
      <c r="RL33" s="1">
        <f t="shared" si="135"/>
        <v>5074.1017804837184</v>
      </c>
      <c r="RM33" s="1">
        <f t="shared" si="135"/>
        <v>13404.263703387322</v>
      </c>
      <c r="RN33" s="89">
        <f t="shared" si="5"/>
        <v>24462.810693588137</v>
      </c>
      <c r="RO33" s="1033">
        <v>24</v>
      </c>
      <c r="RP33" s="1098">
        <v>0</v>
      </c>
      <c r="RQ33" s="1098">
        <f t="shared" si="102"/>
        <v>0</v>
      </c>
      <c r="RR33" s="1097">
        <f t="shared" si="102"/>
        <v>0</v>
      </c>
      <c r="RS33" s="1097">
        <f t="shared" si="103"/>
        <v>0</v>
      </c>
      <c r="RT33" s="1046"/>
      <c r="RU33" s="1928"/>
      <c r="RV33" s="1048"/>
      <c r="RX33" s="421">
        <v>24</v>
      </c>
      <c r="RY33" s="1095">
        <f t="shared" si="104"/>
        <v>0</v>
      </c>
      <c r="RZ33" s="1928"/>
      <c r="SA33" s="1048"/>
      <c r="SB33" s="1090"/>
      <c r="SC33" s="1090">
        <f t="shared" si="105"/>
        <v>0</v>
      </c>
      <c r="SD33" s="1090"/>
      <c r="SE33" s="1090">
        <f t="shared" si="136"/>
        <v>0</v>
      </c>
      <c r="SG33" s="1">
        <v>24</v>
      </c>
      <c r="SH33" s="1">
        <f t="shared" si="107"/>
        <v>0</v>
      </c>
      <c r="SI33" s="1096"/>
    </row>
    <row r="34" spans="1:503" s="1" customFormat="1">
      <c r="B34" s="471">
        <v>25</v>
      </c>
      <c r="C34" s="4">
        <f t="shared" si="146"/>
        <v>0</v>
      </c>
      <c r="D34" s="2417">
        <f t="shared" si="128"/>
        <v>0</v>
      </c>
      <c r="E34" s="1895">
        <f t="shared" si="6"/>
        <v>0</v>
      </c>
      <c r="F34" s="870"/>
      <c r="G34" s="870"/>
      <c r="H34" s="52"/>
      <c r="I34" s="61"/>
      <c r="J34" s="52"/>
      <c r="K34" s="54"/>
      <c r="L34" s="52"/>
      <c r="M34" s="61"/>
      <c r="N34" s="2629"/>
      <c r="O34" s="4">
        <f t="shared" si="125"/>
        <v>0</v>
      </c>
      <c r="P34" s="1225">
        <f t="shared" si="7"/>
        <v>0</v>
      </c>
      <c r="Q34" s="1913">
        <f t="shared" si="8"/>
        <v>0</v>
      </c>
      <c r="R34" s="33"/>
      <c r="S34" s="26">
        <f t="shared" si="9"/>
        <v>0</v>
      </c>
      <c r="T34" s="27">
        <f t="shared" si="110"/>
        <v>0</v>
      </c>
      <c r="U34" s="1909">
        <f t="shared" si="10"/>
        <v>0</v>
      </c>
      <c r="V34" s="28"/>
      <c r="W34" s="26">
        <f t="shared" si="11"/>
        <v>0</v>
      </c>
      <c r="X34" s="5">
        <f t="shared" si="11"/>
        <v>0</v>
      </c>
      <c r="Y34" s="1909">
        <f t="shared" si="12"/>
        <v>0</v>
      </c>
      <c r="Z34" s="33"/>
      <c r="AA34" s="26">
        <f t="shared" si="13"/>
        <v>0</v>
      </c>
      <c r="AB34" s="27">
        <f t="shared" si="126"/>
        <v>0</v>
      </c>
      <c r="AC34" s="1909">
        <f t="shared" si="15"/>
        <v>0</v>
      </c>
      <c r="AD34" s="28"/>
      <c r="AE34" s="36"/>
      <c r="AF34" s="36"/>
      <c r="AG34" s="53">
        <f t="shared" si="16"/>
        <v>0</v>
      </c>
      <c r="AH34" s="28"/>
      <c r="AI34" s="23"/>
      <c r="AJ34" s="27"/>
      <c r="AK34" s="53">
        <f t="shared" si="17"/>
        <v>0</v>
      </c>
      <c r="AL34" s="28"/>
      <c r="AM34" s="2629"/>
      <c r="AN34" s="9"/>
      <c r="AO34" s="5"/>
      <c r="AP34" s="61">
        <f t="shared" si="18"/>
        <v>0</v>
      </c>
      <c r="AQ34" s="36"/>
      <c r="AR34" s="53"/>
      <c r="AS34" s="61">
        <f t="shared" si="19"/>
        <v>0</v>
      </c>
      <c r="AT34" s="36">
        <v>0</v>
      </c>
      <c r="AU34" s="27"/>
      <c r="AV34" s="54">
        <f t="shared" si="20"/>
        <v>0</v>
      </c>
      <c r="AW34" s="26"/>
      <c r="AX34" s="280">
        <f>SUMPRODUCT(ISNUMBER(SEARCH("BK20",'Data Base Coal Wining'!$C$2:$C$2000))*ISNUMBER(SEARCH("P3000",'Data Base Coal Wining'!$C$2:$C$2000))*('Data Base Coal Wining'!$H$2:$H$2000="PAMA")*('Data Base Coal Wining'!$G$2:$G$2000="Coal Winning")*ISNUMBER(SEARCH(TEXT('September TCM'!$B34,"00")&amp;"/09/2026",'Data Base Coal Wining'!$E$2:$E$2000))*'Data Base Coal Wining'!$N$2:$N$2000)</f>
        <v>0</v>
      </c>
      <c r="AY34" s="1895">
        <f t="shared" si="134"/>
        <v>0</v>
      </c>
      <c r="AZ34" s="1908"/>
      <c r="BA34" s="1909"/>
      <c r="BB34" s="1895">
        <f t="shared" si="21"/>
        <v>0</v>
      </c>
      <c r="BC34" s="1740"/>
      <c r="BD34" s="2154">
        <f>SUMPRODUCT(ISNUMBER(SEARCH("BK30",'Data Base Coal Wining'!$C$2:$C$2000))*ISNUMBER(SEARCH("P3000",'Data Base Coal Wining'!$C$2:$C$2000))*('Data Base Coal Wining'!$H$2:$H$2000="PAMA")*('Data Base Coal Wining'!$G$2:$G$2000="Coal Winning")*ISNUMBER(SEARCH(TEXT('September TCM'!$B34,"00")&amp;"/09/2026",'Data Base Coal Wining'!$E$2:$E$2000))*'Data Base Coal Wining'!$N$2:$N$2000)</f>
        <v>0</v>
      </c>
      <c r="BE34" s="1895">
        <f t="shared" si="22"/>
        <v>0</v>
      </c>
      <c r="BF34" s="1908"/>
      <c r="BG34" s="1909"/>
      <c r="BH34" s="1895">
        <f t="shared" si="23"/>
        <v>0</v>
      </c>
      <c r="BI34" s="1908">
        <v>0</v>
      </c>
      <c r="BJ34" s="1909">
        <v>0</v>
      </c>
      <c r="BK34" s="1895">
        <f t="shared" si="24"/>
        <v>0</v>
      </c>
      <c r="BL34" s="2491"/>
      <c r="BM34" s="2154">
        <f>SUMPRODUCT(ISNUMBER(SEARCH("BK26",'Data Base Coal Wining'!$C$2:$C$2000))*ISNUMBER(SEARCH("P4400",'Data Base Coal Wining'!$C$2:$C$2000))*('Data Base Coal Wining'!$H$2:$H$2000="MAP")*('Data Base Coal Wining'!$G$2:$G$2000="Coal Winning")*ISNUMBER(SEARCH(TEXT('September TCM'!$B34,"00")&amp;"/09/2026",'Data Base Coal Wining'!$E$2:$E$2000))*'Data Base Coal Wining'!$N$2:$N$2000)</f>
        <v>0</v>
      </c>
      <c r="BN34" s="2170"/>
      <c r="BO34" s="1911">
        <f t="shared" si="25"/>
        <v>0</v>
      </c>
      <c r="BP34" s="9"/>
      <c r="BQ34" s="2514">
        <f>SUMPRODUCT(ISNUMBER(SEARCH("BK34",'Data Base Coal Wining'!$C$2:$C$2000))*ISNUMBER(SEARCH("P4000",'Data Base Coal Wining'!$C$2:$C$2000))*('Data Base Coal Wining'!$H$2:$H$2000="PJPN")*('Data Base Coal Wining'!$G$2:$G$2000="Coal Winning")*ISNUMBER(SEARCH(TEXT('September TCM'!$B34,"00")&amp;"/09/2026",'Data Base Coal Wining'!$E$2:$E$2000))*'Data Base Coal Wining'!$N$2:$N$2000)</f>
        <v>0</v>
      </c>
      <c r="BR34" s="1920">
        <f t="shared" si="26"/>
        <v>0</v>
      </c>
      <c r="BS34" s="9"/>
      <c r="BT34" s="64"/>
      <c r="BU34" s="482">
        <f t="shared" si="27"/>
        <v>0</v>
      </c>
      <c r="BV34" s="9"/>
      <c r="BW34" s="27"/>
      <c r="BX34" s="15">
        <f t="shared" si="147"/>
        <v>0</v>
      </c>
      <c r="BY34" s="4"/>
      <c r="BZ34" s="5"/>
      <c r="CA34" s="482">
        <f t="shared" si="29"/>
        <v>0</v>
      </c>
      <c r="CB34" s="9"/>
      <c r="CC34" s="5"/>
      <c r="CD34" s="482">
        <f t="shared" si="30"/>
        <v>0</v>
      </c>
      <c r="CE34" s="4"/>
      <c r="CF34" s="5"/>
      <c r="CG34" s="28">
        <f t="shared" si="31"/>
        <v>0</v>
      </c>
      <c r="CH34" s="150"/>
      <c r="CI34" s="1108"/>
      <c r="CJ34" s="5"/>
      <c r="CK34" s="5"/>
      <c r="CL34" s="5"/>
      <c r="CM34" s="5"/>
      <c r="CN34" s="3">
        <f t="shared" si="111"/>
        <v>0</v>
      </c>
      <c r="CO34" s="33"/>
      <c r="CP34" s="366"/>
      <c r="CR34" s="4">
        <f t="shared" ref="CR34:CS40" si="149">SUM(DF34,DT34,EG34)</f>
        <v>0</v>
      </c>
      <c r="CS34" s="9">
        <f t="shared" si="149"/>
        <v>0</v>
      </c>
      <c r="CT34" s="5">
        <f t="shared" si="148"/>
        <v>0</v>
      </c>
      <c r="CU34" s="5">
        <f t="shared" si="148"/>
        <v>0</v>
      </c>
      <c r="CV34" s="5">
        <f t="shared" si="148"/>
        <v>0</v>
      </c>
      <c r="CW34" s="5">
        <f t="shared" si="148"/>
        <v>0</v>
      </c>
      <c r="CX34" s="5">
        <f t="shared" si="148"/>
        <v>0</v>
      </c>
      <c r="CY34" s="5">
        <f t="shared" si="148"/>
        <v>0</v>
      </c>
      <c r="CZ34" s="5">
        <f t="shared" si="148"/>
        <v>0</v>
      </c>
      <c r="DA34" s="5">
        <f t="shared" si="148"/>
        <v>0</v>
      </c>
      <c r="DB34" s="5">
        <f t="shared" si="148"/>
        <v>0</v>
      </c>
      <c r="DC34" s="12">
        <f t="shared" si="33"/>
        <v>0</v>
      </c>
      <c r="DD34" s="310">
        <f>SUM(CR34:DC34,PX34)</f>
        <v>0</v>
      </c>
      <c r="DE34" s="2695"/>
      <c r="DF34" s="8"/>
      <c r="DG34" s="9"/>
      <c r="DH34" s="5"/>
      <c r="DI34" s="5"/>
      <c r="DJ34" s="5"/>
      <c r="DK34" s="5"/>
      <c r="DL34" s="3">
        <f>SUMPRODUCT(('Data Base Coal Wining'!$D$2:$D$2000="TCM-ROM SB1 BK05-ROM 4")*('Data Base Coal Wining'!$G$2:$G$2000="Coal Winning")*ISNUMBER(SEARCH(TEXT('September TCM'!$B34,"00")&amp;"/09/2026",'Data Base Coal Wining'!$E$2:$E$2000))*'Data Base Coal Wining'!$N$2:$N$2000)</f>
        <v>0</v>
      </c>
      <c r="DM34" s="5"/>
      <c r="DN34" s="3">
        <f>SUMPRODUCT(('Data Base Coal Wining'!$D$2:$D$2000="TCM-ROM SB1 BK05-ROM 5")*('Data Base Coal Wining'!$G$2:$G$2000="Coal Winning")*ISNUMBER(SEARCH(TEXT('September TCM'!$B34,"00")&amp;"/09/2026",'Data Base Coal Wining'!$E$2:$E$2000))*'Data Base Coal Wining'!$N$2:$N$2000)</f>
        <v>0</v>
      </c>
      <c r="DO34" s="5"/>
      <c r="DP34" s="3">
        <f>SUMPRODUCT(('Data Base Coal Wining'!$D$2:$D$2000="TCM-ROM SB1 BK05-ROM 6")*('Data Base Coal Wining'!$G$2:$G$2000="Coal Winning")*ISNUMBER(SEARCH(TEXT('September TCM'!$B34,"00")&amp;"/09/2026",'Data Base Coal Wining'!$E$2:$E$2000))*'Data Base Coal Wining'!$N$2:$N$2000)</f>
        <v>0</v>
      </c>
      <c r="DQ34" s="11">
        <f>SUMPRODUCT(('Data Base Coal Wining'!$D$2:$D$2000="TCM-ROM SB1 BK05-ROM 6.1")*('Data Base Coal Wining'!$G$2:$G$2000="Coal Winning")*ISNUMBER(SEARCH(TEXT('September TCM'!$B34,"00")&amp;"/09/2026",'Data Base Coal Wining'!$E$2:$E$2000))*'Data Base Coal Wining'!$N$2:$N$2000)</f>
        <v>0</v>
      </c>
      <c r="DR34" s="12"/>
      <c r="DS34" s="28">
        <f t="shared" si="35"/>
        <v>0</v>
      </c>
      <c r="DT34" s="36"/>
      <c r="DU34" s="36"/>
      <c r="DV34" s="27"/>
      <c r="DW34" s="27"/>
      <c r="DX34" s="27"/>
      <c r="DY34" s="27"/>
      <c r="DZ34" s="27"/>
      <c r="EA34" s="27"/>
      <c r="EB34" s="3">
        <f>SUMPRODUCT(('Data Base Coal Wining'!$D$2:$D$2000="TCM-ROM SB2 BK24-ROM 5")*('Data Base Coal Wining'!$G$2:$G$2000="Coal Winning")*ISNUMBER(SEARCH(TEXT('September TCM'!$B34,"00")&amp;"/09/2026",'Data Base Coal Wining'!$E$2:$E$2000))*'Data Base Coal Wining'!$N$2:$N$2000)</f>
        <v>0</v>
      </c>
      <c r="EC34" s="27"/>
      <c r="ED34" s="24">
        <f>SUMPRODUCT(('Data Base Coal Wining'!$D$2:$D$2000="TCM-ROM SB2 BK24-ROM 6")*('Data Base Coal Wining'!$G$2:$G$2000="Coal Winning")*ISNUMBER(SEARCH(TEXT('September TCM'!$B34,"00")&amp;"/09/2026",'Data Base Coal Wining'!$E$2:$E$2000))*'Data Base Coal Wining'!$N$2:$N$2000)</f>
        <v>0</v>
      </c>
      <c r="EE34" s="33"/>
      <c r="EF34" s="28">
        <f t="shared" si="36"/>
        <v>0</v>
      </c>
      <c r="EG34" s="9"/>
      <c r="EH34" s="36"/>
      <c r="EI34" s="27"/>
      <c r="EJ34" s="27"/>
      <c r="EK34" s="27"/>
      <c r="EL34" s="27"/>
      <c r="EM34" s="27"/>
      <c r="EN34" s="27"/>
      <c r="EO34" s="5"/>
      <c r="EP34" s="5"/>
      <c r="EQ34" s="5"/>
      <c r="ER34" s="33"/>
      <c r="ES34" s="28">
        <f t="shared" si="127"/>
        <v>0</v>
      </c>
      <c r="ET34" s="36"/>
      <c r="EU34" s="27"/>
      <c r="EV34" s="27"/>
      <c r="EW34" s="27"/>
      <c r="EX34" s="27"/>
      <c r="EY34" s="27"/>
      <c r="EZ34" s="33">
        <f t="shared" si="38"/>
        <v>0</v>
      </c>
      <c r="FA34" s="2685"/>
      <c r="FC34" s="4">
        <f t="shared" si="39"/>
        <v>0</v>
      </c>
      <c r="FD34" s="5">
        <f t="shared" si="40"/>
        <v>0</v>
      </c>
      <c r="FE34" s="5">
        <f t="shared" si="41"/>
        <v>0</v>
      </c>
      <c r="FF34" s="12">
        <f t="shared" si="42"/>
        <v>0</v>
      </c>
      <c r="FG34" s="33"/>
      <c r="FH34" s="2674"/>
      <c r="FI34" s="9"/>
      <c r="FJ34" s="5"/>
      <c r="FK34" s="5"/>
      <c r="FL34" s="5"/>
      <c r="FM34" s="5"/>
      <c r="FN34" s="27"/>
      <c r="FO34" s="28">
        <f t="shared" si="43"/>
        <v>0</v>
      </c>
      <c r="FP34" s="36"/>
      <c r="FQ34" s="27"/>
      <c r="FR34" s="27"/>
      <c r="FS34" s="27"/>
      <c r="FT34" s="27"/>
      <c r="FU34" s="27"/>
      <c r="FV34" s="28">
        <f t="shared" si="44"/>
        <v>0</v>
      </c>
      <c r="FW34" s="36"/>
      <c r="FX34" s="36"/>
      <c r="FY34" s="27"/>
      <c r="FZ34" s="27"/>
      <c r="GA34" s="27"/>
      <c r="GB34" s="27"/>
      <c r="GC34" s="27"/>
      <c r="GD34" s="27"/>
      <c r="GE34" s="24" cm="1">
        <f t="array" ref="GE34">SUMPRODUCT(('Data Base Coal Wining'!$C$2:$C$2000="TCM-ROM TEMPORARY SB2 KM 76-ROM HAC (S4700 Hard Ban)")*(ISNUMBER(SEARCH(TEXT('September TCM'!$B34,"00")&amp;"/08/2026",'Data Base Coal Wining'!$E$2:$E$2000)))*'Data Base Coal Wining'!$N$2:$N$2000)</f>
        <v>0</v>
      </c>
      <c r="GF34" s="27"/>
      <c r="GG34" s="27"/>
      <c r="GH34" s="33"/>
      <c r="GI34" s="33">
        <f t="shared" si="45"/>
        <v>0</v>
      </c>
      <c r="GJ34" s="2674"/>
      <c r="GL34" s="2">
        <f t="shared" si="112"/>
        <v>0</v>
      </c>
      <c r="GM34" s="63">
        <f t="shared" si="113"/>
        <v>0</v>
      </c>
      <c r="GN34" s="24">
        <f t="shared" si="114"/>
        <v>0</v>
      </c>
      <c r="GO34" s="1736">
        <f t="shared" si="46"/>
        <v>0</v>
      </c>
      <c r="GP34" s="141"/>
      <c r="GQ34" s="141"/>
      <c r="GR34" s="33"/>
      <c r="GS34" s="2667"/>
      <c r="GT34" s="1723">
        <f>SUMPRODUCT(('Data Base hauling'!$H$2:$H$2000="Trust")*(ISNUMBER(SEARCH(TEXT('September TCM'!$B34,"00")&amp;"/09/2026",'Data Base hauling'!$E$2:$E$2000)))*'Data Base hauling'!$N$2:$N$2000)</f>
        <v>0</v>
      </c>
      <c r="GU34" s="1723">
        <f>SUMPRODUCT(('Data Base hauling'!$H$2:$H$2000="RT")*(ISNUMBER(SEARCH(TEXT('September TCM'!$B34,"00")&amp;"/09/2026",'Data Base hauling'!$E$2:$E$2000)))*'Data Base hauling'!$N$2:$N$2000)</f>
        <v>0</v>
      </c>
      <c r="GV34" s="5">
        <f>SUMPRODUCT(('Data Base hauling'!$H$2:$H$2000="MPE")*(ISNUMBER(SEARCH(TEXT('September TCM'!$B34,"00")&amp;"/09/2026",'Data Base hauling'!$E$2:$E$2000)))*'Data Base hauling'!$N$2:$N$2000)</f>
        <v>0</v>
      </c>
      <c r="GW34" s="1723">
        <f>SUMPRODUCT(('Data Base hauling'!$H$2:$H$2000="RP")*(ISNUMBER(SEARCH(TEXT('September TCM'!$B34,"00")&amp;"/09/2026",'Data Base hauling'!$E$2:$E$2000)))*'Data Base hauling'!$N$2:$N$2000)</f>
        <v>0</v>
      </c>
      <c r="GX34" s="28">
        <f t="shared" si="115"/>
        <v>0</v>
      </c>
      <c r="GY34" s="2667"/>
      <c r="GZ34" s="35">
        <f>SUMPRODUCT(('Data Base hauling'!$C$2:$C$2000="TCM-ROM NB-ROM 1")*(ISNUMBER(SEARCH(TEXT('September TCM'!$B34,"00")&amp;"/09/2026",'Data Base hauling'!$E$2:$E$2000)))*'Data Base hauling'!$N$2:$N$2000)</f>
        <v>0</v>
      </c>
      <c r="HA34" s="36"/>
      <c r="HB34" s="27"/>
      <c r="HC34" s="27"/>
      <c r="HD34" s="27"/>
      <c r="HE34" s="27"/>
      <c r="HF34" s="24">
        <f>SUMPRODUCT(('Data Base hauling'!$C$2:$C$2000="TCM-ROM NB-ROM 4")*(ISNUMBER(SEARCH(TEXT('September TCM'!$B34,"00")&amp;"/09/2026",'Data Base hauling'!$E$2:$E$2000)))*'Data Base hauling'!$N$2:$N$2000)</f>
        <v>0</v>
      </c>
      <c r="HG34" s="24"/>
      <c r="HH34" s="24">
        <f>SUMPRODUCT(('Data Base hauling'!$C$2:$C$2000="TCM-ROM NB-ROM 5")*(ISNUMBER(SEARCH(TEXT('September TCM'!$B34,"00")&amp;"/09/2026",'Data Base hauling'!$E$2:$E$2000)))*'Data Base hauling'!$N$2:$N$2000)</f>
        <v>0</v>
      </c>
      <c r="HI34" s="24"/>
      <c r="HJ34" s="24">
        <f>SUMPRODUCT(('Data Base hauling'!$C$2:$C$2000="TCM-ROM NB-ROM 6")*(ISNUMBER(SEARCH(TEXT('September TCM'!$B34,"00")&amp;"/09/2026",'Data Base hauling'!$E$2:$E$2000)))*'Data Base hauling'!$N$2:$N$2000)</f>
        <v>0</v>
      </c>
      <c r="HK34" s="24"/>
      <c r="HL34" s="24">
        <f>SUMPRODUCT(('Data Base hauling'!$C$2:$C$2000="TCM-WASH-CR3")*(ISNUMBER(SEARCH(TEXT('September TCM'!$B34,"00")&amp;"/09/2026",'Data Base hauling'!$E$2:$E$2000)))*'Data Base hauling'!$N$2:$N$2000)</f>
        <v>0</v>
      </c>
      <c r="HM34" s="27"/>
      <c r="HN34" s="28">
        <f t="shared" si="131"/>
        <v>0</v>
      </c>
      <c r="HO34" s="36"/>
      <c r="HP34" s="27"/>
      <c r="HQ34" s="27"/>
      <c r="HR34" s="27"/>
      <c r="HS34" s="27"/>
      <c r="HT34" s="27"/>
      <c r="HU34" s="27">
        <f t="array" ref="HU34">SUMPRODUCT(('Data Base hauling'!$C$2:$C$2000="TCM-ROM SB1 BK05-ROM 4")*(ISNUMBER(SEARCH(TEXT('September TCM'!$B34,"00")&amp;"/03/2026",'Data Base hauling'!$E$2:$E$2000)))*'Data Base hauling'!$N$2:$N$2000)</f>
        <v>0</v>
      </c>
      <c r="HV34" s="27"/>
      <c r="HW34" s="27">
        <f t="array" ref="HW34">SUMPRODUCT(('Data Base hauling'!$C$2:$C$2000="TCM-ROM SB1 BK05-ROM 5")*(ISNUMBER(SEARCH(TEXT('September TCM'!$B34,"00")&amp;"/03/2026",'Data Base hauling'!$E$2:$E$2000)))*'Data Base hauling'!$N$2:$N$2000)</f>
        <v>0</v>
      </c>
      <c r="HX34" s="27"/>
      <c r="HY34" s="27"/>
      <c r="HZ34" s="27"/>
      <c r="IA34" s="27"/>
      <c r="IB34" s="27"/>
      <c r="IC34" s="33">
        <f t="shared" si="48"/>
        <v>0</v>
      </c>
      <c r="ID34" s="52"/>
      <c r="IE34" s="152"/>
      <c r="IF34" s="53"/>
      <c r="IG34" s="53"/>
      <c r="IH34" s="53"/>
      <c r="II34" s="53"/>
      <c r="IJ34" s="1926">
        <f>SUMPRODUCT(('Data Base hauling'!$C$2:$C$2000="TCM-ROM SB1 BK05-ROM 4")*(ISNUMBER(SEARCH(TEXT('September TCM'!$B34,"00")&amp;"/09/2026",'Data Base hauling'!$E$2:$E$2000)))*'Data Base hauling'!$N$2:$N$2000)</f>
        <v>0</v>
      </c>
      <c r="IK34" s="1926"/>
      <c r="IL34" s="1926">
        <f>SUMPRODUCT(('Data Base hauling'!$C$2:$C$2000="TCM-ROM SB1 BK05-ROM 5")*(ISNUMBER(SEARCH(TEXT('September TCM'!$B34,"00")&amp;"/09/2026",'Data Base hauling'!$E$2:$E$2000)))*'Data Base hauling'!$N$2:$N$2000)</f>
        <v>0</v>
      </c>
      <c r="IM34" s="49"/>
      <c r="IN34" s="49">
        <f>SUMPRODUCT(('Data Base hauling'!$C$2:$C$2000="TCM-ROM SB1 BK05-ROM 6")*(ISNUMBER(SEARCH(TEXT('September TCM'!$B34,"00")&amp;"/09/2026",'Data Base hauling'!$E$2:$E$2000)))*'Data Base hauling'!$N$2:$N$2000)</f>
        <v>0</v>
      </c>
      <c r="IO34" s="49"/>
      <c r="IP34" s="49"/>
      <c r="IQ34" s="49">
        <f>SUMPRODUCT(('Data Base hauling'!$C$2:$C$2000="TCM-HAC1 (Production)-ROM 2(HAC)")*(ISNUMBER(SEARCH(TEXT('September TCM'!$B34,"00")&amp;"/09/2026",'Data Base hauling'!$E$2:$E$2000)))*'Data Base hauling'!$N$2:$N$2000)</f>
        <v>0</v>
      </c>
      <c r="IR34" s="2195">
        <f t="shared" si="132"/>
        <v>0</v>
      </c>
      <c r="IS34" s="36"/>
      <c r="IT34" s="36"/>
      <c r="IU34" s="27"/>
      <c r="IV34" s="27"/>
      <c r="IW34" s="53"/>
      <c r="IX34" s="27"/>
      <c r="IY34" s="24">
        <f>SUMPRODUCT(('Data Base hauling'!$C$2:$C$2000="TCM-ROM SB2 BK24-ROM 4")*(ISNUMBER(SEARCH(TEXT('September TCM'!$B34,"00")&amp;"/09/2026",'Data Base hauling'!$E$2:$E$2000)))*'Data Base hauling'!$N$2:$N$2000)</f>
        <v>0</v>
      </c>
      <c r="IZ34" s="24"/>
      <c r="JA34" s="24">
        <f>SUMPRODUCT(('Data Base hauling'!$C$2:$C$2000="TCM-ROM SB2 BK24-ROM 5")*(ISNUMBER(SEARCH(TEXT('September TCM'!$B34,"00")&amp;"/09/2026",'Data Base hauling'!$E$2:$E$2000)))*'Data Base hauling'!$N$2:$N$2000)</f>
        <v>0</v>
      </c>
      <c r="JB34" s="24"/>
      <c r="JC34" s="24">
        <f>SUMPRODUCT(('Data Base hauling'!$C$2:$C$2000="TCM-ROM SB2 BK24-ROM 6")*(ISNUMBER(SEARCH(TEXT('September TCM'!$B34,"00")&amp;"/09/2026",'Data Base hauling'!$E$2:$E$2000)))*'Data Base hauling'!$N$2:$N$2000)</f>
        <v>0</v>
      </c>
      <c r="JD34" s="27"/>
      <c r="JE34" s="27"/>
      <c r="JF34" s="27"/>
      <c r="JG34" s="33">
        <f t="shared" si="133"/>
        <v>0</v>
      </c>
      <c r="JH34" s="2667"/>
      <c r="JJ34" s="2014">
        <f>SUMPRODUCT(('Data Base hauling'!$O$2:$O$2000="TCM.HCV.LS")*(ISNUMBER(SEARCH(TEXT('September TCM'!$B34,"00")&amp;"/09/2026",'Data Base hauling'!$E$2:$E$2000)))*'Data Base hauling'!$N$2:$N$2000)</f>
        <v>0</v>
      </c>
      <c r="JK34" s="2015">
        <f>SUMPRODUCT(('Data Base hauling'!$O$2:$O$2000="TCM.HCV.HS")*(ISNUMBER(SEARCH(TEXT('September TCM'!$B34,"00")&amp;"/09/2026",'Data Base hauling'!$E$2:$E$2000)))*'Data Base hauling'!$N$2:$N$2000)</f>
        <v>0</v>
      </c>
      <c r="JL34" s="53"/>
      <c r="JM34" s="1736">
        <f t="shared" si="51"/>
        <v>0</v>
      </c>
      <c r="JN34" s="33"/>
      <c r="JO34" s="2669"/>
      <c r="JP34" s="66" t="str">
        <f>IFERROR(SUMPRODUCT(('Data Base hauling'!$O$2:$O$2000="TCM.HCV.LS")*('Data Base hauling'!$C$2:$C$2000="TCM-ROM NB-ROM 1")*(ISNUMBER(SEARCH(TEXT('September TCM'!$B34,"00")&amp;"/09/2026",'Data Base hauling'!$E$2:$E$2000)))*'Data Base hauling'!$N$2:$N$2000)/'September TCM'!$JJ34,"")</f>
        <v/>
      </c>
      <c r="JQ34" s="67" t="str">
        <f>IFERROR(SUMPRODUCT(('Data Base hauling'!$O$2:$O$2000="TCM.HCV.LS")*('Data Base hauling'!$C$2:$C$2000="TCM-ROM NB-ROM 2")*(ISNUMBER(SEARCH(TEXT('September TCM'!$B34,"00")&amp;"/09/2026",'Data Base hauling'!$E$2:$E$2000)))*'Data Base hauling'!$N$2:$N$2000)/'September TCM'!$JJ34,"")</f>
        <v/>
      </c>
      <c r="JR34" s="67" t="str">
        <f>IFERROR(SUMPRODUCT(('Data Base hauling'!$O$2:$O$2000="TCM.HCV.LS")*('Data Base hauling'!$C$2:$C$2000="TCM-ROM NB-ROM 3")*(ISNUMBER(SEARCH(TEXT('September TCM'!$B34,"00")&amp;"/09/2026",'Data Base hauling'!$E$2:$E$2000)))*'Data Base hauling'!$N$2:$N$2000)/'September TCM'!$JJ34,"")</f>
        <v/>
      </c>
      <c r="JS34" s="67" t="str">
        <f>IFERROR(SUMPRODUCT(('Data Base hauling'!$O$2:$O$2000="TCM.HCV.LS")*('Data Base hauling'!$C$2:$C$2000="TCM-ROM SB1 BK05-ROM 4")*(ISNUMBER(SEARCH(TEXT('September TCM'!$B34,"00")&amp;"/09/2026",'Data Base hauling'!$E$2:$E$2000)))*'Data Base hauling'!$N$2:$N$2000)/'September TCM'!$JJ34,"")</f>
        <v/>
      </c>
      <c r="JT34" s="67" t="str">
        <f>IFERROR(SUMPRODUCT(('Data Base hauling'!$O$2:$O$2000="TCM.HCV.LS")*SIGN(('Data Base hauling'!$C$2:$C$2000="TCM-ROM NB-ROM 5")+('Data Base hauling'!$C$2:$C$2000="TCM-ROM SB1 BK05-ROM 5")+('Data Base hauling'!$C$2:$C$2000="TCM-ROM SB2 BK24-ROM 5"))*(ISNUMBER(SEARCH(TEXT('September TCM'!$B34,"00")&amp;"/09/2026",'Data Base hauling'!$E$2:$E$2000)))*'Data Base hauling'!$N$2:$N$2000)/'September TCM'!$JJ34,"")</f>
        <v/>
      </c>
      <c r="JU34" s="67" t="str">
        <f>IFERROR(SUMPRODUCT(('Data Base hauling'!$O$2:$O$2000="TCM.HCV.LS")*SIGN(('Data Base hauling'!$C$2:$C$2000="TCM-ROM NB-ROM 6")+('Data Base hauling'!$C$2:$C$2000="TCM-ROM SB1 BK05-ROM 6")+('Data Base hauling'!$C$2:$C$2000="TCM-ROM SB2 BK24-ROM 6"))*(ISNUMBER(SEARCH(TEXT('September TCM'!$B34,"00")&amp;"/09/2026",'Data Base hauling'!$E$2:$E$2000)))*'Data Base hauling'!$N$2:$N$2000)/'September TCM'!$JJ34,"")</f>
        <v/>
      </c>
      <c r="JV34" s="67" t="str">
        <f>IFERROR(SUMPRODUCT(('Data Base hauling'!$O$2:$O$2000="TCM.HCV.LS")*('Data Base hauling'!$C$2:$C$2000="TCM-WASH-CR3")*(ISNUMBER(SEARCH(TEXT('September TCM'!$B34,"00")&amp;"/09/2026",'Data Base hauling'!$E$2:$E$2000)))*'Data Base hauling'!$N$2:$N$2000)/'September TCM'!$JJ34,"")</f>
        <v/>
      </c>
      <c r="JW34" s="1921">
        <f>SUMPRODUCT(('Data Base hauling'!$O$2:$O$2000="TCM.HCV.LS")*('Data Base hauling'!$C$2:$C$2000="TCM-HAC-CR3")*(ISNUMBER(SEARCH(TEXT('September TCM'!$B34,"00")&amp;"/089/2026",'Data Base hauling'!$E$2:$E$2000)))*'Data Base hauling'!$N$2:$N$2000)</f>
        <v>0</v>
      </c>
      <c r="JX34" s="66" t="str">
        <f>IFERROR(SUMPRODUCT(('Data Base hauling'!$O$2:$O$2000="TCM.HCV.HS")*('Data Base hauling'!$C$2:$C$2000="TCM-ROM NB-ROM 1")*(ISNUMBER(SEARCH(TEXT('September TCM'!$B34,"00")&amp;"/09/2026",'Data Base hauling'!$E$2:$E$2000)))*'Data Base hauling'!$N$2:$N$2000)/'September TCM'!$JK34,"")</f>
        <v/>
      </c>
      <c r="JY34" s="67" t="str">
        <f>IFERROR(SUMPRODUCT(('Data Base hauling'!$O$2:$O$2000="TCM.HCV.HS")*('Data Base hauling'!$C$2:$C$2000="TCM-ROM NB-ROM 2")*(ISNUMBER(SEARCH(TEXT('September TCM'!$B34,"00")&amp;"/09/2026",'Data Base hauling'!$E$2:$E$2000)))*'Data Base hauling'!$N$2:$N$2000)/'September TCM'!$JK34,"")</f>
        <v/>
      </c>
      <c r="JZ34" s="67" t="str">
        <f>IFERROR(SUMPRODUCT(('Data Base hauling'!$O$2:$O$2000="TCM.HCV.HS")*('Data Base hauling'!$C$2:$C$2000="TCM-ROM NB-ROM 3")*(ISNUMBER(SEARCH(TEXT('September TCM'!$B34,"00")&amp;"/09/2026",'Data Base hauling'!$E$2:$E$2000)))*'Data Base hauling'!$N$2:$N$2000)/'September TCM'!$JK34,"")</f>
        <v/>
      </c>
      <c r="KA34" s="67" t="str">
        <f>IFERROR(SUMPRODUCT(('Data Base hauling'!$O$2:$O$2000="TCM.HCV.HS")*('Data Base hauling'!$C$2:$C$2000="TCM-ROM SB1 BK05-ROM 4")*(ISNUMBER(SEARCH(TEXT('September TCM'!$B34,"00")&amp;"/09/2026",'Data Base hauling'!$E$2:$E$2000)))*'Data Base hauling'!$N$2:$N$2000)/'September TCM'!$JK34,"")</f>
        <v/>
      </c>
      <c r="KB34" s="67" t="str">
        <f>IFERROR(SUMPRODUCT(('Data Base hauling'!$O$2:$O$2000="TCM.HCV.HS")*SIGN(('Data Base hauling'!$C$2:$C$2000="TCM-ROM NB-ROM 5")+('Data Base hauling'!$C$2:$C$2000="TCM-ROM SB1 BK05-ROM 5")+('Data Base hauling'!$C$2:$C$2000="TCM-ROM SB2 BK24-ROM 5"))*(ISNUMBER(SEARCH(TEXT('September TCM'!$B34,"00")&amp;"/09/2026",'Data Base hauling'!$E$2:$E$2000)))*'Data Base hauling'!$N$2:$N$2000)/'September TCM'!$JK34,"")</f>
        <v/>
      </c>
      <c r="KC34" s="67" t="str">
        <f>IFERROR(SUMPRODUCT(('Data Base hauling'!$O$2:$O$2000="TCM.HCV.HS")*SIGN(('Data Base hauling'!$C$2:$C$2000="TCM-ROM NB-ROM 6")+('Data Base hauling'!$C$2:$C$2000="TCM-ROM SB1 BK05-ROM 6")+('Data Base hauling'!$C$2:$C$2000="TCM-ROM SB2 BK24-ROM 6"))*(ISNUMBER(SEARCH(TEXT('September TCM'!$B34,"00")&amp;"/09/2026",'Data Base hauling'!$E$2:$E$2000)))*'Data Base hauling'!$N$2:$N$2000)/'September TCM'!$JK34,"")</f>
        <v/>
      </c>
      <c r="KD34" s="67" t="str">
        <f>IFERROR(SUMPRODUCT(('Data Base hauling'!$O$2:$O$2000="TCM.HCV.HS")*('Data Base hauling'!$C$2:$C$2000="TCM-WASH-CR3")*(ISNUMBER(SEARCH(TEXT('September TCM'!$B34,"00")&amp;"/09/2026",'Data Base hauling'!$E$2:$E$2000)))*'Data Base hauling'!$N$2:$N$2000)/'September TCM'!$JK34,"")</f>
        <v/>
      </c>
      <c r="KE34" s="68" t="str">
        <f>IFERROR(SUMPRODUCT(('Data Base hauling'!$O$2:$O$2000="TCM.HCV.HS")*('Data Base hauling'!$C$2:$C$2000="TCM-HAC-CR3")*(ISNUMBER(SEARCH(TEXT('September TCM'!$B34,"00")&amp;"/09/2026",'Data Base hauling'!$E$2:$E$2000)))*'Data Base hauling'!$N$2:$N$2000)/'September TCM'!$JK34,"")</f>
        <v/>
      </c>
      <c r="KF34" s="69"/>
      <c r="KG34" s="70"/>
      <c r="KH34" s="70"/>
      <c r="KI34" s="70"/>
      <c r="KJ34" s="70"/>
      <c r="KK34" s="70"/>
      <c r="KL34" s="70"/>
      <c r="KM34" s="70"/>
      <c r="KN34" s="33"/>
      <c r="KO34" s="2669"/>
      <c r="KP34" s="2203">
        <f>IFERROR(SUMPRODUCT((TCM.HCV.LS!$A$3:$A$58=DATE(2026,9,$B34))*(TCM.HCV.LS!$O$3:$O$58&gt;0)*TCM.HCV.LS!$C$3:$C$58*TCM.HCV.LS!$O$3:$O$58)/SUMPRODUCT((TCM.HCV.LS!$A$3:$A$58=DATE(2026,9,$B34))*(TCM.HCV.LS!$O$3:$O$58&gt;0)*TCM.HCV.LS!$C$3:$C$58),0)</f>
        <v>0</v>
      </c>
      <c r="KQ34" s="1721">
        <f>IFERROR(SUMPRODUCT((TCM.HCV.LS!$A$3:$A$58=DATE(2026,9,$B34))*(TCM.HCV.LS!$M$3:$M$58&gt;0)*TCM.HCV.LS!$C$3:$C$58*TCM.HCV.LS!$M$3:$M$58)/SUMPRODUCT((TCM.HCV.LS!$A$3:$A$58=DATE(2026,9,$B34))*(TCM.HCV.LS!$M$3:$M$58&gt;0)*TCM.HCV.LS!$C$3:$C$58),0)</f>
        <v>0</v>
      </c>
      <c r="KR34" s="1721">
        <f>IFERROR(SUMPRODUCT((TCM.HCV.LS!$A$3:$A$58=DATE(2026,9,$B34))*(TCM.HCV.LS!$G$3:$G$58&gt;0)*TCM.HCV.LS!$C$3:$C$58*TCM.HCV.LS!$G$3:$G$58)/SUMPRODUCT((TCM.HCV.LS!$A$3:$A$58=DATE(2026,9,$B34))*(TCM.HCV.LS!$G$3:$G$58&gt;0)*TCM.HCV.LS!$C$3:$C$58),0)</f>
        <v>0</v>
      </c>
      <c r="KS34" s="1721">
        <f>IFERROR(SUMPRODUCT((TCM.HCV.LS!$A$3:$A$58=DATE(2026,9,$B34))*(TCM.HCV.LS!$F$3:$F$58&gt;0)*TCM.HCV.LS!$C$3:$C$58*TCM.HCV.LS!$F$3:$F$58)/SUMPRODUCT((TCM.HCV.LS!$A$3:$A$58=DATE(2026,9,$B34))*(TCM.HCV.LS!$F$3:$F$58&gt;0)*TCM.HCV.LS!$C$3:$C$58),0)</f>
        <v>0</v>
      </c>
      <c r="KT34" s="1722">
        <f>IFERROR(SUMPRODUCT((TCM.HCV.LS!$A$3:$A$58=DATE(2026,9,$B34))*(TCM.HCV.LS!$E$3:$E$58&gt;0)*TCM.HCV.LS!$C$3:$C$58*TCM.HCV.LS!$E$3:$E$58)/SUMPRODUCT((TCM.HCV.LS!$A$3:$A$58=DATE(2026,9,$B34))*(TCM.HCV.LS!$E$3:$E$58&gt;0)*TCM.HCV.LS!$C$3:$C$58),0)</f>
        <v>0</v>
      </c>
      <c r="KU34" s="1958">
        <f>IFERROR(SUMPRODUCT((TCM.HCV.HS!$A$3:$A$84=DATE(2026,9,$B34))*(TCM.HCV.HS!$O$3:$O$84&gt;0)*TCM.HCV.HS!$C$3:$C$84*TCM.HCV.HS!$O$3:$O$84)/SUMPRODUCT((TCM.HCV.HS!$A$3:$A$84=DATE(2026,9,$B34))*(TCM.HCV.HS!$O$3:$O$84&gt;0)*TCM.HCV.HS!$C$3:$C$84),0)</f>
        <v>0</v>
      </c>
      <c r="KV34" s="1961">
        <f>IFERROR(SUMPRODUCT((TCM.HCV.HS!$A$3:$A$84=DATE(2026,9,$B34))*(TCM.HCV.HS!$M$3:$M$84&gt;0)*TCM.HCV.HS!$C$3:$C$84*TCM.HCV.HS!$M$3:$M$84)/SUMPRODUCT((TCM.HCV.HS!$A$3:$A$84=DATE(2026,9,$B34))*(TCM.HCV.HS!$M$3:$M$84&gt;0)*TCM.HCV.HS!$C$3:$C$84),0)</f>
        <v>0</v>
      </c>
      <c r="KW34" s="1961">
        <f>IFERROR(SUMPRODUCT((TCM.HCV.HS!$A$3:$A$84=DATE(2026,9,$B34))*(TCM.HCV.HS!$G$3:$G$84&gt;0)*TCM.HCV.HS!$C$3:$C$84*TCM.HCV.HS!$G$3:$G$84)/SUMPRODUCT((TCM.HCV.HS!$A$3:$A$84=DATE(2026,9,$B34))*(TCM.HCV.HS!$G$3:$G$84&gt;0)*TCM.HCV.HS!$C$3:$C$84),0)</f>
        <v>0</v>
      </c>
      <c r="KX34" s="1961">
        <f>IFERROR(SUMPRODUCT((TCM.HCV.HS!$A$3:$A$84=DATE(2026,9,$B34))*(TCM.HCV.HS!$F$3:$F$84&gt;0)*TCM.HCV.HS!$C$3:$C$84*TCM.HCV.HS!$F$3:$F$84)/SUMPRODUCT((TCM.HCV.HS!$A$3:$A$84=DATE(2026,9,$B34))*(TCM.HCV.HS!$F$3:$F$84&gt;0)*TCM.HCV.HS!$C$3:$C$84),0)</f>
        <v>0</v>
      </c>
      <c r="KY34" s="1962">
        <f>IFERROR(SUMPRODUCT((TCM.HCV.HS!$A$3:$A$84=DATE(2026,9,$B34))*(TCM.HCV.HS!$E$3:$E$84&gt;0)*TCM.HCV.HS!$C$3:$C$84*TCM.HCV.HS!$E$3:$E$84)/SUMPRODUCT((TCM.HCV.HS!$A$3:$A$84=DATE(2026,9,$B34))*(TCM.HCV.HS!$E$3:$E$84&gt;0)*TCM.HCV.HS!$C$3:$C$84),0)</f>
        <v>0</v>
      </c>
      <c r="KZ34" s="36"/>
      <c r="LA34" s="53"/>
      <c r="LB34" s="53"/>
      <c r="LC34" s="53"/>
      <c r="LD34" s="53"/>
      <c r="LE34" s="33"/>
      <c r="LF34" s="2669"/>
      <c r="LH34" s="26">
        <f t="shared" si="138"/>
        <v>0</v>
      </c>
      <c r="LI34" s="27">
        <f t="shared" si="138"/>
        <v>0</v>
      </c>
      <c r="LJ34" s="27">
        <f t="shared" si="138"/>
        <v>0</v>
      </c>
      <c r="LK34" s="28">
        <f t="shared" si="53"/>
        <v>0</v>
      </c>
      <c r="LL34" s="36"/>
      <c r="LM34" s="27"/>
      <c r="LN34" s="27"/>
      <c r="LO34" s="33"/>
      <c r="LP34" s="1957"/>
      <c r="LQ34" s="486"/>
      <c r="LR34" s="2688"/>
      <c r="LS34" s="36"/>
      <c r="LT34" s="36"/>
      <c r="LU34" s="27"/>
      <c r="LV34" s="27"/>
      <c r="LW34" s="27"/>
      <c r="LX34" s="1107">
        <f t="shared" si="129"/>
        <v>0</v>
      </c>
      <c r="LY34" s="36"/>
      <c r="LZ34" s="36"/>
      <c r="MA34" s="27"/>
      <c r="MB34" s="27"/>
      <c r="MC34" s="33"/>
      <c r="MD34" s="28">
        <f t="shared" si="137"/>
        <v>0</v>
      </c>
      <c r="ME34" s="26"/>
      <c r="MF34" s="36"/>
      <c r="MG34" s="27"/>
      <c r="MH34" s="27"/>
      <c r="MI34" s="27"/>
      <c r="MJ34" s="28"/>
      <c r="MK34" s="36"/>
      <c r="ML34" s="36"/>
      <c r="MM34" s="27"/>
      <c r="MN34" s="27"/>
      <c r="MO34" s="27"/>
      <c r="MP34" s="28"/>
      <c r="MQ34" s="36"/>
      <c r="MR34" s="36"/>
      <c r="MS34" s="27"/>
      <c r="MT34" s="27"/>
      <c r="MU34" s="27"/>
      <c r="MV34" s="33">
        <f t="shared" si="56"/>
        <v>0</v>
      </c>
      <c r="MW34" s="2688"/>
      <c r="MY34" s="26">
        <f t="shared" si="57"/>
        <v>377341.84766611259</v>
      </c>
      <c r="MZ34" s="27">
        <f t="shared" si="58"/>
        <v>191281.80302645115</v>
      </c>
      <c r="NA34" s="27">
        <f t="shared" si="59"/>
        <v>27294.683787707359</v>
      </c>
      <c r="NB34" s="28">
        <f t="shared" si="60"/>
        <v>318297.33035698003</v>
      </c>
      <c r="NC34" s="2621"/>
      <c r="ND34" s="23">
        <f t="shared" si="116"/>
        <v>207724.34280113198</v>
      </c>
      <c r="NE34" s="1655">
        <f t="shared" si="117"/>
        <v>169617.50486498058</v>
      </c>
      <c r="NF34" s="60">
        <f t="shared" si="63"/>
        <v>0</v>
      </c>
      <c r="NG34" s="275">
        <f t="shared" si="4"/>
        <v>377341.84766611259</v>
      </c>
      <c r="NH34" s="26">
        <f t="shared" si="141"/>
        <v>-313.35000000000002</v>
      </c>
      <c r="NI34" s="27">
        <f t="shared" si="141"/>
        <v>0</v>
      </c>
      <c r="NJ34" s="27">
        <f t="shared" si="141"/>
        <v>0</v>
      </c>
      <c r="NK34" s="27">
        <f t="shared" si="141"/>
        <v>0</v>
      </c>
      <c r="NL34" s="27">
        <f t="shared" si="141"/>
        <v>0</v>
      </c>
      <c r="NM34" s="33">
        <f t="shared" si="141"/>
        <v>0</v>
      </c>
      <c r="NN34" s="27">
        <f t="shared" si="141"/>
        <v>0</v>
      </c>
      <c r="NO34" s="36">
        <f t="shared" si="141"/>
        <v>0</v>
      </c>
      <c r="NP34" s="24">
        <f t="shared" si="141"/>
        <v>21665.870136227244</v>
      </c>
      <c r="NQ34" s="27">
        <f t="shared" si="141"/>
        <v>22358.939343794715</v>
      </c>
      <c r="NR34" s="24">
        <f t="shared" si="118"/>
        <v>8443.1982322711574</v>
      </c>
      <c r="NS34" s="24">
        <f t="shared" si="119"/>
        <v>9895.3380410535083</v>
      </c>
      <c r="NT34" s="27">
        <f t="shared" si="0"/>
        <v>62049.995753346629</v>
      </c>
      <c r="NU34" s="27">
        <f t="shared" si="142"/>
        <v>0</v>
      </c>
      <c r="NV34" s="27">
        <f t="shared" si="142"/>
        <v>0</v>
      </c>
      <c r="NW34" s="27">
        <f t="shared" si="142"/>
        <v>0</v>
      </c>
      <c r="NX34" s="27">
        <f t="shared" si="142"/>
        <v>0</v>
      </c>
      <c r="NY34" s="27">
        <f t="shared" si="142"/>
        <v>0</v>
      </c>
      <c r="NZ34" s="5">
        <f t="shared" si="142"/>
        <v>0</v>
      </c>
      <c r="OA34" s="27">
        <f t="shared" si="142"/>
        <v>35558.705564997217</v>
      </c>
      <c r="OB34" s="27">
        <f t="shared" si="142"/>
        <v>0</v>
      </c>
      <c r="OC34" s="27">
        <f t="shared" si="66"/>
        <v>12611.886475620366</v>
      </c>
      <c r="OD34" s="27"/>
      <c r="OE34" s="27">
        <f t="shared" si="120"/>
        <v>13429.316718063665</v>
      </c>
      <c r="OF34" s="27">
        <f t="shared" si="67"/>
        <v>0</v>
      </c>
      <c r="OG34" s="28">
        <f t="shared" si="1"/>
        <v>61599.908758681253</v>
      </c>
      <c r="OH34" s="27">
        <f t="shared" si="143"/>
        <v>0</v>
      </c>
      <c r="OI34" s="27">
        <f t="shared" si="143"/>
        <v>0</v>
      </c>
      <c r="OJ34" s="27">
        <f t="shared" si="143"/>
        <v>0</v>
      </c>
      <c r="OK34" s="27">
        <f t="shared" si="143"/>
        <v>0</v>
      </c>
      <c r="OL34" s="27">
        <f t="shared" si="143"/>
        <v>0</v>
      </c>
      <c r="OM34" s="27">
        <f t="shared" si="143"/>
        <v>0</v>
      </c>
      <c r="ON34" s="24">
        <f t="shared" si="143"/>
        <v>0</v>
      </c>
      <c r="OO34" s="27">
        <f t="shared" si="143"/>
        <v>0</v>
      </c>
      <c r="OP34" s="24">
        <f t="shared" si="69"/>
        <v>54054.217649249818</v>
      </c>
      <c r="OQ34" s="27">
        <f t="shared" si="144"/>
        <v>0</v>
      </c>
      <c r="OR34" s="24">
        <f t="shared" si="144"/>
        <v>13577.680865173457</v>
      </c>
      <c r="OS34" s="27">
        <f t="shared" si="144"/>
        <v>0</v>
      </c>
      <c r="OT34" s="28">
        <f t="shared" si="2"/>
        <v>67631.898514423272</v>
      </c>
      <c r="OU34" s="36"/>
      <c r="OV34" s="27"/>
      <c r="OW34" s="27"/>
      <c r="OX34" s="27"/>
      <c r="OY34" s="27"/>
      <c r="OZ34" s="27"/>
      <c r="PA34" s="28">
        <f t="shared" si="71"/>
        <v>0</v>
      </c>
      <c r="PB34" s="36">
        <f t="shared" si="72"/>
        <v>0</v>
      </c>
      <c r="PC34" s="27">
        <f t="shared" si="73"/>
        <v>0</v>
      </c>
      <c r="PD34" s="27">
        <f t="shared" si="74"/>
        <v>0</v>
      </c>
      <c r="PE34" s="27">
        <f t="shared" si="75"/>
        <v>0</v>
      </c>
      <c r="PF34" s="24"/>
      <c r="PG34" s="27">
        <f t="shared" si="76"/>
        <v>0</v>
      </c>
      <c r="PH34" s="33">
        <f t="shared" si="3"/>
        <v>0</v>
      </c>
      <c r="PI34" s="2621"/>
      <c r="PK34" s="1907">
        <f>SUMPRODUCT(('Data Base Coal Wining'!$D$2:$D$2000="WASHING PLANT")*ISNUMBER(SEARCH(TEXT('September TCM'!$B34,"00")&amp;"/09/2026",'Data Base Coal Wining'!$E$2:$E$2000))*'Data Base Coal Wining'!$N$2:$N$2000)</f>
        <v>0</v>
      </c>
      <c r="PL34" s="2192"/>
      <c r="PM34" s="2262"/>
      <c r="PN34" s="8">
        <f t="shared" si="145"/>
        <v>0</v>
      </c>
      <c r="PO34" s="3">
        <f t="shared" si="78"/>
        <v>38895.633435124721</v>
      </c>
      <c r="PP34" s="11">
        <f t="shared" si="139"/>
        <v>27294.683787707359</v>
      </c>
      <c r="PQ34" s="15"/>
      <c r="PR34" s="2615"/>
      <c r="PT34" s="4"/>
      <c r="PU34" s="9"/>
      <c r="PV34" s="9"/>
      <c r="PW34" s="9"/>
      <c r="PX34" s="8">
        <f>SUMPRODUCT(('Data Base Coal Wining'!$D$2:$D$2000="TCM-ROM SB1 BK05-ROM 2 (HAC)")*('Data Base Coal Wining'!$G$2:$G$2000="Coal Winning")*ISNUMBER(SEARCH(TEXT('September TCM'!$B34,"00")&amp;"/09/2026",'Data Base Coal Wining'!$E$2:$E$2000))*'Data Base Coal Wining'!$N$2:$N$2000)</f>
        <v>0</v>
      </c>
      <c r="PY34" s="9"/>
      <c r="PZ34" s="8">
        <f t="shared" si="80"/>
        <v>0</v>
      </c>
      <c r="QA34" s="5">
        <f t="shared" si="81"/>
        <v>0</v>
      </c>
      <c r="QB34" s="5"/>
      <c r="QC34" s="5"/>
      <c r="QD34" s="5"/>
      <c r="QE34" s="5"/>
      <c r="QF34" s="5"/>
      <c r="QG34" s="12"/>
      <c r="QH34" s="12">
        <f t="shared" si="82"/>
        <v>29562.488999999998</v>
      </c>
      <c r="QI34" s="420">
        <f t="shared" si="83"/>
        <v>283762.59090898006</v>
      </c>
      <c r="QJ34" s="1106">
        <f t="shared" si="121"/>
        <v>4972.2504480000007</v>
      </c>
      <c r="QK34" s="484">
        <f t="shared" si="84"/>
        <v>5505.3678056099998</v>
      </c>
      <c r="QL34" s="12"/>
      <c r="QM34" s="2615"/>
      <c r="QO34" s="139" t="str">
        <f t="shared" si="85"/>
        <v/>
      </c>
      <c r="QP34" s="139" t="str">
        <f t="shared" si="86"/>
        <v/>
      </c>
      <c r="QR34" s="139" t="str">
        <f t="shared" si="87"/>
        <v/>
      </c>
      <c r="QS34" s="139" t="str">
        <f t="shared" si="88"/>
        <v/>
      </c>
      <c r="QU34" s="1">
        <f t="shared" si="89"/>
        <v>0</v>
      </c>
      <c r="QV34" s="1">
        <f t="shared" si="90"/>
        <v>0</v>
      </c>
      <c r="QW34" s="1">
        <f t="shared" si="91"/>
        <v>0</v>
      </c>
      <c r="QX34" s="1">
        <f t="shared" si="92"/>
        <v>0</v>
      </c>
      <c r="QY34" s="1">
        <f t="shared" si="93"/>
        <v>0</v>
      </c>
      <c r="QZ34" s="1">
        <f t="shared" si="94"/>
        <v>0</v>
      </c>
      <c r="RB34" s="1">
        <f t="shared" si="95"/>
        <v>0</v>
      </c>
      <c r="RC34" s="1">
        <f t="shared" si="96"/>
        <v>0</v>
      </c>
      <c r="RD34" s="1">
        <f t="shared" si="97"/>
        <v>0</v>
      </c>
      <c r="RE34" s="1">
        <f t="shared" si="98"/>
        <v>0</v>
      </c>
      <c r="RF34" s="1">
        <f t="shared" si="99"/>
        <v>0</v>
      </c>
      <c r="RG34" s="1">
        <f t="shared" si="100"/>
        <v>0</v>
      </c>
      <c r="RJ34" s="1">
        <v>25</v>
      </c>
      <c r="RK34" s="1">
        <f t="shared" si="135"/>
        <v>5984.4452097170979</v>
      </c>
      <c r="RL34" s="1">
        <f t="shared" si="135"/>
        <v>5074.1017804837184</v>
      </c>
      <c r="RM34" s="1">
        <f t="shared" si="135"/>
        <v>13404.263703387322</v>
      </c>
      <c r="RN34" s="89">
        <f t="shared" si="5"/>
        <v>24462.810693588137</v>
      </c>
      <c r="RO34" s="1033">
        <v>25</v>
      </c>
      <c r="RP34" s="1098">
        <v>0</v>
      </c>
      <c r="RQ34" s="1098">
        <f t="shared" si="102"/>
        <v>0</v>
      </c>
      <c r="RR34" s="1097">
        <f t="shared" si="102"/>
        <v>0</v>
      </c>
      <c r="RS34" s="1097">
        <f t="shared" si="103"/>
        <v>0</v>
      </c>
      <c r="RT34" s="1094"/>
      <c r="RU34" s="2420"/>
      <c r="RX34" s="421">
        <v>25</v>
      </c>
      <c r="RY34" s="1095">
        <f t="shared" si="104"/>
        <v>0</v>
      </c>
      <c r="RZ34" s="1928"/>
      <c r="SB34" s="1090"/>
      <c r="SC34" s="1090">
        <f t="shared" si="105"/>
        <v>0</v>
      </c>
      <c r="SD34" s="1090"/>
      <c r="SE34" s="1090">
        <f t="shared" si="136"/>
        <v>0</v>
      </c>
      <c r="SG34" s="1">
        <v>25</v>
      </c>
      <c r="SH34" s="1">
        <f t="shared" si="107"/>
        <v>0</v>
      </c>
      <c r="SI34" s="1094"/>
    </row>
    <row r="35" spans="1:503" s="1" customFormat="1">
      <c r="B35" s="471">
        <v>26</v>
      </c>
      <c r="C35" s="4">
        <f t="shared" si="146"/>
        <v>0</v>
      </c>
      <c r="D35" s="1590">
        <f t="shared" si="128"/>
        <v>0</v>
      </c>
      <c r="E35" s="1895">
        <f t="shared" si="6"/>
        <v>0</v>
      </c>
      <c r="F35" s="870"/>
      <c r="G35" s="870"/>
      <c r="H35" s="52"/>
      <c r="I35" s="61"/>
      <c r="J35" s="52"/>
      <c r="K35" s="54"/>
      <c r="L35" s="52"/>
      <c r="M35" s="61"/>
      <c r="N35" s="2629"/>
      <c r="O35" s="4">
        <f t="shared" si="125"/>
        <v>0</v>
      </c>
      <c r="P35" s="1225">
        <f t="shared" si="7"/>
        <v>0</v>
      </c>
      <c r="Q35" s="1913">
        <f t="shared" si="8"/>
        <v>0</v>
      </c>
      <c r="R35" s="33"/>
      <c r="S35" s="26">
        <f t="shared" si="9"/>
        <v>0</v>
      </c>
      <c r="T35" s="27">
        <f t="shared" si="110"/>
        <v>0</v>
      </c>
      <c r="U35" s="1909">
        <f t="shared" si="10"/>
        <v>0</v>
      </c>
      <c r="V35" s="28"/>
      <c r="W35" s="26">
        <f t="shared" si="11"/>
        <v>0</v>
      </c>
      <c r="X35" s="5">
        <f t="shared" si="11"/>
        <v>0</v>
      </c>
      <c r="Y35" s="1909">
        <f t="shared" si="12"/>
        <v>0</v>
      </c>
      <c r="Z35" s="33"/>
      <c r="AA35" s="26">
        <f t="shared" si="13"/>
        <v>0</v>
      </c>
      <c r="AB35" s="27">
        <f t="shared" si="126"/>
        <v>0</v>
      </c>
      <c r="AC35" s="1909">
        <f t="shared" si="15"/>
        <v>0</v>
      </c>
      <c r="AD35" s="28"/>
      <c r="AE35" s="36"/>
      <c r="AF35" s="36"/>
      <c r="AG35" s="53">
        <f t="shared" si="16"/>
        <v>0</v>
      </c>
      <c r="AH35" s="28"/>
      <c r="AI35" s="26"/>
      <c r="AJ35" s="27"/>
      <c r="AK35" s="53">
        <f t="shared" si="17"/>
        <v>0</v>
      </c>
      <c r="AL35" s="28"/>
      <c r="AM35" s="2629"/>
      <c r="AN35" s="9"/>
      <c r="AO35" s="5"/>
      <c r="AP35" s="61">
        <f t="shared" si="18"/>
        <v>0</v>
      </c>
      <c r="AQ35" s="36"/>
      <c r="AR35" s="53"/>
      <c r="AS35" s="61">
        <f t="shared" si="19"/>
        <v>0</v>
      </c>
      <c r="AT35" s="36">
        <v>0</v>
      </c>
      <c r="AU35" s="27"/>
      <c r="AV35" s="54">
        <f t="shared" si="20"/>
        <v>0</v>
      </c>
      <c r="AW35" s="26"/>
      <c r="AX35" s="280">
        <f>SUMPRODUCT(ISNUMBER(SEARCH("BK20",'Data Base Coal Wining'!$C$2:$C$2000))*ISNUMBER(SEARCH("P3000",'Data Base Coal Wining'!$C$2:$C$2000))*('Data Base Coal Wining'!$H$2:$H$2000="PAMA")*('Data Base Coal Wining'!$G$2:$G$2000="Coal Winning")*ISNUMBER(SEARCH(TEXT('September TCM'!$B35,"00")&amp;"/09/2026",'Data Base Coal Wining'!$E$2:$E$2000))*'Data Base Coal Wining'!$N$2:$N$2000)</f>
        <v>0</v>
      </c>
      <c r="AY35" s="1895">
        <f t="shared" si="134"/>
        <v>0</v>
      </c>
      <c r="AZ35" s="1908"/>
      <c r="BA35" s="1909"/>
      <c r="BB35" s="1895">
        <f t="shared" si="21"/>
        <v>0</v>
      </c>
      <c r="BC35" s="1908"/>
      <c r="BD35" s="2154">
        <f>SUMPRODUCT(ISNUMBER(SEARCH("BK30",'Data Base Coal Wining'!$C$2:$C$2000))*ISNUMBER(SEARCH("P3000",'Data Base Coal Wining'!$C$2:$C$2000))*('Data Base Coal Wining'!$H$2:$H$2000="PAMA")*('Data Base Coal Wining'!$G$2:$G$2000="Coal Winning")*ISNUMBER(SEARCH(TEXT('September TCM'!$B35,"00")&amp;"/09/2026",'Data Base Coal Wining'!$E$2:$E$2000))*'Data Base Coal Wining'!$N$2:$N$2000)</f>
        <v>0</v>
      </c>
      <c r="BE35" s="1895">
        <f t="shared" si="22"/>
        <v>0</v>
      </c>
      <c r="BF35" s="1908"/>
      <c r="BG35" s="1909"/>
      <c r="BH35" s="1895">
        <f t="shared" si="23"/>
        <v>0</v>
      </c>
      <c r="BI35" s="1908">
        <v>0</v>
      </c>
      <c r="BJ35" s="1909">
        <v>0</v>
      </c>
      <c r="BK35" s="1895">
        <f t="shared" si="24"/>
        <v>0</v>
      </c>
      <c r="BL35" s="2491"/>
      <c r="BM35" s="2154">
        <f>SUMPRODUCT(ISNUMBER(SEARCH("BK26",'Data Base Coal Wining'!$C$2:$C$2000))*ISNUMBER(SEARCH("P4400",'Data Base Coal Wining'!$C$2:$C$2000))*('Data Base Coal Wining'!$H$2:$H$2000="MAP")*('Data Base Coal Wining'!$G$2:$G$2000="Coal Winning")*ISNUMBER(SEARCH(TEXT('September TCM'!$B35,"00")&amp;"/09/2026",'Data Base Coal Wining'!$E$2:$E$2000))*'Data Base Coal Wining'!$N$2:$N$2000)</f>
        <v>0</v>
      </c>
      <c r="BN35" s="2170"/>
      <c r="BO35" s="1895">
        <f t="shared" si="25"/>
        <v>0</v>
      </c>
      <c r="BP35" s="9"/>
      <c r="BQ35" s="2514">
        <f>SUMPRODUCT(ISNUMBER(SEARCH("BK34",'Data Base Coal Wining'!$C$2:$C$2000))*ISNUMBER(SEARCH("P4000",'Data Base Coal Wining'!$C$2:$C$2000))*('Data Base Coal Wining'!$H$2:$H$2000="PJPN")*('Data Base Coal Wining'!$G$2:$G$2000="Coal Winning")*ISNUMBER(SEARCH(TEXT('September TCM'!$B35,"00")&amp;"/09/2026",'Data Base Coal Wining'!$E$2:$E$2000))*'Data Base Coal Wining'!$N$2:$N$2000)</f>
        <v>0</v>
      </c>
      <c r="BR35" s="1735">
        <f t="shared" si="26"/>
        <v>0</v>
      </c>
      <c r="BS35" s="36"/>
      <c r="BT35" s="53"/>
      <c r="BU35" s="61">
        <f t="shared" si="27"/>
        <v>0</v>
      </c>
      <c r="BV35" s="36"/>
      <c r="BW35" s="27"/>
      <c r="BX35" s="28">
        <f t="shared" si="147"/>
        <v>0</v>
      </c>
      <c r="BY35" s="4"/>
      <c r="BZ35" s="5"/>
      <c r="CA35" s="61">
        <f t="shared" si="29"/>
        <v>0</v>
      </c>
      <c r="CB35" s="36"/>
      <c r="CC35" s="5"/>
      <c r="CD35" s="61">
        <f t="shared" si="30"/>
        <v>0</v>
      </c>
      <c r="CE35" s="26"/>
      <c r="CF35" s="5"/>
      <c r="CG35" s="28">
        <f t="shared" si="31"/>
        <v>0</v>
      </c>
      <c r="CH35" s="150"/>
      <c r="CI35" s="1108"/>
      <c r="CJ35" s="5"/>
      <c r="CK35" s="5"/>
      <c r="CL35" s="5"/>
      <c r="CM35" s="5"/>
      <c r="CN35" s="3">
        <f t="shared" si="111"/>
        <v>0</v>
      </c>
      <c r="CO35" s="33"/>
      <c r="CP35" s="366"/>
      <c r="CR35" s="4">
        <f t="shared" si="149"/>
        <v>0</v>
      </c>
      <c r="CS35" s="9">
        <f t="shared" si="149"/>
        <v>0</v>
      </c>
      <c r="CT35" s="5">
        <f t="shared" si="148"/>
        <v>0</v>
      </c>
      <c r="CU35" s="5">
        <f t="shared" si="148"/>
        <v>0</v>
      </c>
      <c r="CV35" s="5">
        <f t="shared" si="148"/>
        <v>0</v>
      </c>
      <c r="CW35" s="5">
        <f t="shared" si="148"/>
        <v>0</v>
      </c>
      <c r="CX35" s="5">
        <f t="shared" si="148"/>
        <v>0</v>
      </c>
      <c r="CY35" s="5">
        <f t="shared" si="148"/>
        <v>0</v>
      </c>
      <c r="CZ35" s="5">
        <f t="shared" si="148"/>
        <v>0</v>
      </c>
      <c r="DA35" s="5">
        <f t="shared" si="148"/>
        <v>0</v>
      </c>
      <c r="DB35" s="5">
        <f t="shared" si="148"/>
        <v>0</v>
      </c>
      <c r="DC35" s="12">
        <f t="shared" si="33"/>
        <v>0</v>
      </c>
      <c r="DD35" s="310">
        <f>SUM(CR35:DC35,PX35)</f>
        <v>0</v>
      </c>
      <c r="DE35" s="2695"/>
      <c r="DF35" s="8"/>
      <c r="DG35" s="9"/>
      <c r="DH35" s="5"/>
      <c r="DI35" s="5"/>
      <c r="DJ35" s="5"/>
      <c r="DK35" s="5"/>
      <c r="DL35" s="3">
        <f>SUMPRODUCT(('Data Base Coal Wining'!$D$2:$D$2000="TCM-ROM SB1 BK05-ROM 4")*('Data Base Coal Wining'!$G$2:$G$2000="Coal Winning")*ISNUMBER(SEARCH(TEXT('September TCM'!$B35,"00")&amp;"/09/2026",'Data Base Coal Wining'!$E$2:$E$2000))*'Data Base Coal Wining'!$N$2:$N$2000)</f>
        <v>0</v>
      </c>
      <c r="DM35" s="5"/>
      <c r="DN35" s="3">
        <f>SUMPRODUCT(('Data Base Coal Wining'!$D$2:$D$2000="TCM-ROM SB1 BK05-ROM 5")*('Data Base Coal Wining'!$G$2:$G$2000="Coal Winning")*ISNUMBER(SEARCH(TEXT('September TCM'!$B35,"00")&amp;"/09/2026",'Data Base Coal Wining'!$E$2:$E$2000))*'Data Base Coal Wining'!$N$2:$N$2000)</f>
        <v>0</v>
      </c>
      <c r="DO35" s="5"/>
      <c r="DP35" s="3">
        <f>SUMPRODUCT(('Data Base Coal Wining'!$D$2:$D$2000="TCM-ROM SB1 BK05-ROM 6")*('Data Base Coal Wining'!$G$2:$G$2000="Coal Winning")*ISNUMBER(SEARCH(TEXT('September TCM'!$B35,"00")&amp;"/09/2026",'Data Base Coal Wining'!$E$2:$E$2000))*'Data Base Coal Wining'!$N$2:$N$2000)</f>
        <v>0</v>
      </c>
      <c r="DQ35" s="11">
        <f>SUMPRODUCT(('Data Base Coal Wining'!$D$2:$D$2000="TCM-ROM SB1 BK05-ROM 6.1")*('Data Base Coal Wining'!$G$2:$G$2000="Coal Winning")*ISNUMBER(SEARCH(TEXT('September TCM'!$B35,"00")&amp;"/09/2026",'Data Base Coal Wining'!$E$2:$E$2000))*'Data Base Coal Wining'!$N$2:$N$2000)</f>
        <v>0</v>
      </c>
      <c r="DR35" s="12"/>
      <c r="DS35" s="28">
        <f t="shared" si="35"/>
        <v>0</v>
      </c>
      <c r="DT35" s="36"/>
      <c r="DU35" s="36"/>
      <c r="DV35" s="27"/>
      <c r="DW35" s="27"/>
      <c r="DX35" s="27"/>
      <c r="DY35" s="27"/>
      <c r="DZ35" s="27"/>
      <c r="EA35" s="27"/>
      <c r="EB35" s="3">
        <f>SUMPRODUCT(('Data Base Coal Wining'!$D$2:$D$2000="TCM-ROM SB2 BK24-ROM 5")*('Data Base Coal Wining'!$G$2:$G$2000="Coal Winning")*ISNUMBER(SEARCH(TEXT('September TCM'!$B35,"00")&amp;"/09/2026",'Data Base Coal Wining'!$E$2:$E$2000))*'Data Base Coal Wining'!$N$2:$N$2000)</f>
        <v>0</v>
      </c>
      <c r="EC35" s="27"/>
      <c r="ED35" s="24">
        <f>SUMPRODUCT(('Data Base Coal Wining'!$D$2:$D$2000="TCM-ROM SB2 BK24-ROM 6")*('Data Base Coal Wining'!$G$2:$G$2000="Coal Winning")*ISNUMBER(SEARCH(TEXT('September TCM'!$B35,"00")&amp;"/09/2026",'Data Base Coal Wining'!$E$2:$E$2000))*'Data Base Coal Wining'!$N$2:$N$2000)</f>
        <v>0</v>
      </c>
      <c r="EE35" s="33"/>
      <c r="EF35" s="28">
        <f t="shared" si="36"/>
        <v>0</v>
      </c>
      <c r="EG35" s="9"/>
      <c r="EH35" s="36"/>
      <c r="EI35" s="27"/>
      <c r="EJ35" s="27"/>
      <c r="EK35" s="27"/>
      <c r="EL35" s="27"/>
      <c r="EM35" s="27"/>
      <c r="EN35" s="27"/>
      <c r="EO35" s="5"/>
      <c r="EP35" s="5"/>
      <c r="EQ35" s="5"/>
      <c r="ER35" s="33"/>
      <c r="ES35" s="28">
        <f t="shared" si="127"/>
        <v>0</v>
      </c>
      <c r="ET35" s="36"/>
      <c r="EU35" s="27"/>
      <c r="EV35" s="27"/>
      <c r="EW35" s="27"/>
      <c r="EX35" s="27"/>
      <c r="EY35" s="27"/>
      <c r="EZ35" s="33">
        <f t="shared" si="38"/>
        <v>0</v>
      </c>
      <c r="FA35" s="2685"/>
      <c r="FC35" s="4">
        <f t="shared" si="39"/>
        <v>0</v>
      </c>
      <c r="FD35" s="5">
        <f t="shared" si="40"/>
        <v>0</v>
      </c>
      <c r="FE35" s="5">
        <f>+GI35</f>
        <v>0</v>
      </c>
      <c r="FF35" s="12">
        <f t="shared" si="42"/>
        <v>0</v>
      </c>
      <c r="FG35" s="33"/>
      <c r="FH35" s="2674"/>
      <c r="FI35" s="9"/>
      <c r="FJ35" s="5"/>
      <c r="FK35" s="5"/>
      <c r="FL35" s="5"/>
      <c r="FM35" s="5"/>
      <c r="FN35" s="27"/>
      <c r="FO35" s="28">
        <f t="shared" si="43"/>
        <v>0</v>
      </c>
      <c r="FP35" s="36"/>
      <c r="FQ35" s="27"/>
      <c r="FR35" s="27"/>
      <c r="FS35" s="27"/>
      <c r="FT35" s="27"/>
      <c r="FU35" s="27"/>
      <c r="FV35" s="28">
        <f t="shared" si="44"/>
        <v>0</v>
      </c>
      <c r="FW35" s="36"/>
      <c r="FX35" s="36"/>
      <c r="FY35" s="27"/>
      <c r="FZ35" s="27"/>
      <c r="GA35" s="27"/>
      <c r="GB35" s="27"/>
      <c r="GC35" s="27"/>
      <c r="GD35" s="27"/>
      <c r="GE35" s="24" cm="1">
        <f t="array" ref="GE35">SUMPRODUCT(('Data Base Coal Wining'!$C$2:$C$2000="TCM-ROM TEMPORARY SB2 KM 76-ROM HAC (S4700 Hard Ban)")*(ISNUMBER(SEARCH(TEXT('September TCM'!$B35,"00")&amp;"/08/2026",'Data Base Coal Wining'!$E$2:$E$2000)))*'Data Base Coal Wining'!$N$2:$N$2000)</f>
        <v>0</v>
      </c>
      <c r="GF35" s="27"/>
      <c r="GG35" s="27"/>
      <c r="GH35" s="33"/>
      <c r="GI35" s="33">
        <f t="shared" si="45"/>
        <v>0</v>
      </c>
      <c r="GJ35" s="2674"/>
      <c r="GL35" s="2">
        <f t="shared" si="112"/>
        <v>0</v>
      </c>
      <c r="GM35" s="63">
        <f t="shared" si="113"/>
        <v>0</v>
      </c>
      <c r="GN35" s="24">
        <f t="shared" si="114"/>
        <v>0</v>
      </c>
      <c r="GO35" s="1736">
        <f t="shared" si="46"/>
        <v>0</v>
      </c>
      <c r="GP35" s="141"/>
      <c r="GQ35" s="141"/>
      <c r="GR35" s="33"/>
      <c r="GS35" s="2667"/>
      <c r="GT35" s="1723">
        <f>SUMPRODUCT(('Data Base hauling'!$H$2:$H$2000="Trust")*(ISNUMBER(SEARCH(TEXT('September TCM'!$B35,"00")&amp;"/09/2026",'Data Base hauling'!$E$2:$E$2000)))*'Data Base hauling'!$N$2:$N$2000)</f>
        <v>0</v>
      </c>
      <c r="GU35" s="1723">
        <f>SUMPRODUCT(('Data Base hauling'!$H$2:$H$2000="RT")*(ISNUMBER(SEARCH(TEXT('September TCM'!$B35,"00")&amp;"/09/2026",'Data Base hauling'!$E$2:$E$2000)))*'Data Base hauling'!$N$2:$N$2000)</f>
        <v>0</v>
      </c>
      <c r="GV35" s="5">
        <f>SUMPRODUCT(('Data Base hauling'!$H$2:$H$2000="MPE")*(ISNUMBER(SEARCH(TEXT('September TCM'!$B35,"00")&amp;"/09/2026",'Data Base hauling'!$E$2:$E$2000)))*'Data Base hauling'!$N$2:$N$2000)</f>
        <v>0</v>
      </c>
      <c r="GW35" s="1723">
        <f>SUMPRODUCT(('Data Base hauling'!$H$2:$H$2000="RP")*(ISNUMBER(SEARCH(TEXT('September TCM'!$B35,"00")&amp;"/09/2026",'Data Base hauling'!$E$2:$E$2000)))*'Data Base hauling'!$N$2:$N$2000)</f>
        <v>0</v>
      </c>
      <c r="GX35" s="28">
        <f t="shared" si="115"/>
        <v>0</v>
      </c>
      <c r="GY35" s="2667"/>
      <c r="GZ35" s="35">
        <f>SUMPRODUCT(('Data Base hauling'!$C$2:$C$2000="TCM-ROM NB-ROM 1")*(ISNUMBER(SEARCH(TEXT('September TCM'!$B35,"00")&amp;"/09/2026",'Data Base hauling'!$E$2:$E$2000)))*'Data Base hauling'!$N$2:$N$2000)</f>
        <v>0</v>
      </c>
      <c r="HA35" s="36"/>
      <c r="HB35" s="27"/>
      <c r="HC35" s="27"/>
      <c r="HD35" s="27"/>
      <c r="HE35" s="27"/>
      <c r="HF35" s="24">
        <f>SUMPRODUCT(('Data Base hauling'!$C$2:$C$2000="TCM-ROM NB-ROM 4")*(ISNUMBER(SEARCH(TEXT('September TCM'!$B35,"00")&amp;"/09/2026",'Data Base hauling'!$E$2:$E$2000)))*'Data Base hauling'!$N$2:$N$2000)</f>
        <v>0</v>
      </c>
      <c r="HG35" s="24"/>
      <c r="HH35" s="24">
        <f>SUMPRODUCT(('Data Base hauling'!$C$2:$C$2000="TCM-ROM NB-ROM 5")*(ISNUMBER(SEARCH(TEXT('September TCM'!$B35,"00")&amp;"/09/2026",'Data Base hauling'!$E$2:$E$2000)))*'Data Base hauling'!$N$2:$N$2000)</f>
        <v>0</v>
      </c>
      <c r="HI35" s="24"/>
      <c r="HJ35" s="24">
        <f>SUMPRODUCT(('Data Base hauling'!$C$2:$C$2000="TCM-ROM NB-ROM 6")*(ISNUMBER(SEARCH(TEXT('September TCM'!$B35,"00")&amp;"/09/2026",'Data Base hauling'!$E$2:$E$2000)))*'Data Base hauling'!$N$2:$N$2000)</f>
        <v>0</v>
      </c>
      <c r="HK35" s="24"/>
      <c r="HL35" s="24">
        <f>SUMPRODUCT(('Data Base hauling'!$C$2:$C$2000="TCM-WASH-CR3")*(ISNUMBER(SEARCH(TEXT('September TCM'!$B35,"00")&amp;"/09/2026",'Data Base hauling'!$E$2:$E$2000)))*'Data Base hauling'!$N$2:$N$2000)</f>
        <v>0</v>
      </c>
      <c r="HM35" s="27"/>
      <c r="HN35" s="28">
        <f t="shared" si="131"/>
        <v>0</v>
      </c>
      <c r="HO35" s="36"/>
      <c r="HP35" s="27"/>
      <c r="HQ35" s="27"/>
      <c r="HR35" s="27"/>
      <c r="HS35" s="27"/>
      <c r="HT35" s="27"/>
      <c r="HU35" s="27">
        <f t="array" ref="HU35">SUMPRODUCT(('Data Base hauling'!$C$2:$C$2000="TCM-ROM SB1 BK05-ROM 4")*(ISNUMBER(SEARCH(TEXT('September TCM'!$B35,"00")&amp;"/03/2026",'Data Base hauling'!$E$2:$E$2000)))*'Data Base hauling'!$N$2:$N$2000)</f>
        <v>0</v>
      </c>
      <c r="HV35" s="27"/>
      <c r="HW35" s="27">
        <f t="array" ref="HW35">SUMPRODUCT(('Data Base hauling'!$C$2:$C$2000="TCM-ROM SB1 BK05-ROM 5")*(ISNUMBER(SEARCH(TEXT('September TCM'!$B35,"00")&amp;"/03/2026",'Data Base hauling'!$E$2:$E$2000)))*'Data Base hauling'!$N$2:$N$2000)</f>
        <v>0</v>
      </c>
      <c r="HX35" s="27"/>
      <c r="HY35" s="27"/>
      <c r="HZ35" s="27"/>
      <c r="IA35" s="27"/>
      <c r="IB35" s="27"/>
      <c r="IC35" s="33">
        <f t="shared" si="48"/>
        <v>0</v>
      </c>
      <c r="ID35" s="52"/>
      <c r="IE35" s="152"/>
      <c r="IF35" s="53"/>
      <c r="IG35" s="53"/>
      <c r="IH35" s="53"/>
      <c r="II35" s="53"/>
      <c r="IJ35" s="1926">
        <f>SUMPRODUCT(('Data Base hauling'!$C$2:$C$2000="TCM-ROM SB1 BK05-ROM 4")*(ISNUMBER(SEARCH(TEXT('September TCM'!$B35,"00")&amp;"/09/2026",'Data Base hauling'!$E$2:$E$2000)))*'Data Base hauling'!$N$2:$N$2000)</f>
        <v>0</v>
      </c>
      <c r="IK35" s="1926"/>
      <c r="IL35" s="1926">
        <f>SUMPRODUCT(('Data Base hauling'!$C$2:$C$2000="TCM-ROM SB1 BK05-ROM 5")*(ISNUMBER(SEARCH(TEXT('September TCM'!$B35,"00")&amp;"/09/2026",'Data Base hauling'!$E$2:$E$2000)))*'Data Base hauling'!$N$2:$N$2000)</f>
        <v>0</v>
      </c>
      <c r="IM35" s="49"/>
      <c r="IN35" s="49">
        <f>SUMPRODUCT(('Data Base hauling'!$C$2:$C$2000="TCM-ROM SB1 BK05-ROM 6")*(ISNUMBER(SEARCH(TEXT('September TCM'!$B35,"00")&amp;"/09/2026",'Data Base hauling'!$E$2:$E$2000)))*'Data Base hauling'!$N$2:$N$2000)</f>
        <v>0</v>
      </c>
      <c r="IO35" s="49"/>
      <c r="IP35" s="49"/>
      <c r="IQ35" s="49">
        <f>SUMPRODUCT(('Data Base hauling'!$C$2:$C$2000="TCM-HAC1 (Production)-ROM 2(HAC)")*(ISNUMBER(SEARCH(TEXT('September TCM'!$B35,"00")&amp;"/09/2026",'Data Base hauling'!$E$2:$E$2000)))*'Data Base hauling'!$N$2:$N$2000)</f>
        <v>0</v>
      </c>
      <c r="IR35" s="2195">
        <f t="shared" si="132"/>
        <v>0</v>
      </c>
      <c r="IS35" s="36"/>
      <c r="IT35" s="36"/>
      <c r="IU35" s="27"/>
      <c r="IV35" s="27"/>
      <c r="IW35" s="53"/>
      <c r="IX35" s="27"/>
      <c r="IY35" s="24">
        <f>SUMPRODUCT(('Data Base hauling'!$C$2:$C$2000="TCM-ROM SB2 BK24-ROM 4")*(ISNUMBER(SEARCH(TEXT('September TCM'!$B35,"00")&amp;"/09/2026",'Data Base hauling'!$E$2:$E$2000)))*'Data Base hauling'!$N$2:$N$2000)</f>
        <v>0</v>
      </c>
      <c r="IZ35" s="24"/>
      <c r="JA35" s="24">
        <f>SUMPRODUCT(('Data Base hauling'!$C$2:$C$2000="TCM-ROM SB2 BK24-ROM 5")*(ISNUMBER(SEARCH(TEXT('September TCM'!$B35,"00")&amp;"/09/2026",'Data Base hauling'!$E$2:$E$2000)))*'Data Base hauling'!$N$2:$N$2000)</f>
        <v>0</v>
      </c>
      <c r="JB35" s="24"/>
      <c r="JC35" s="24">
        <f>SUMPRODUCT(('Data Base hauling'!$C$2:$C$2000="TCM-ROM SB2 BK24-ROM 6")*(ISNUMBER(SEARCH(TEXT('September TCM'!$B35,"00")&amp;"/09/2026",'Data Base hauling'!$E$2:$E$2000)))*'Data Base hauling'!$N$2:$N$2000)</f>
        <v>0</v>
      </c>
      <c r="JD35" s="27"/>
      <c r="JE35" s="27"/>
      <c r="JF35" s="27"/>
      <c r="JG35" s="33">
        <f t="shared" si="133"/>
        <v>0</v>
      </c>
      <c r="JH35" s="2667"/>
      <c r="JJ35" s="2014">
        <f>SUMPRODUCT(('Data Base hauling'!$O$2:$O$2000="TCM.HCV.LS")*(ISNUMBER(SEARCH(TEXT('September TCM'!$B35,"00")&amp;"/09/2026",'Data Base hauling'!$E$2:$E$2000)))*'Data Base hauling'!$N$2:$N$2000)</f>
        <v>0</v>
      </c>
      <c r="JK35" s="2015">
        <f>SUMPRODUCT(('Data Base hauling'!$O$2:$O$2000="TCM.HCV.HS")*(ISNUMBER(SEARCH(TEXT('September TCM'!$B35,"00")&amp;"/09/2026",'Data Base hauling'!$E$2:$E$2000)))*'Data Base hauling'!$N$2:$N$2000)</f>
        <v>0</v>
      </c>
      <c r="JL35" s="53"/>
      <c r="JM35" s="1736">
        <f t="shared" si="51"/>
        <v>0</v>
      </c>
      <c r="JN35" s="33"/>
      <c r="JO35" s="2669"/>
      <c r="JP35" s="66" t="str">
        <f>IFERROR(SUMPRODUCT(('Data Base hauling'!$O$2:$O$2000="TCM.HCV.LS")*('Data Base hauling'!$C$2:$C$2000="TCM-ROM NB-ROM 1")*(ISNUMBER(SEARCH(TEXT('September TCM'!$B35,"00")&amp;"/09/2026",'Data Base hauling'!$E$2:$E$2000)))*'Data Base hauling'!$N$2:$N$2000)/'September TCM'!$JJ35,"")</f>
        <v/>
      </c>
      <c r="JQ35" s="67" t="str">
        <f>IFERROR(SUMPRODUCT(('Data Base hauling'!$O$2:$O$2000="TCM.HCV.LS")*('Data Base hauling'!$C$2:$C$2000="TCM-ROM NB-ROM 2")*(ISNUMBER(SEARCH(TEXT('September TCM'!$B35,"00")&amp;"/09/2026",'Data Base hauling'!$E$2:$E$2000)))*'Data Base hauling'!$N$2:$N$2000)/'September TCM'!$JJ35,"")</f>
        <v/>
      </c>
      <c r="JR35" s="67" t="str">
        <f>IFERROR(SUMPRODUCT(('Data Base hauling'!$O$2:$O$2000="TCM.HCV.LS")*('Data Base hauling'!$C$2:$C$2000="TCM-ROM NB-ROM 3")*(ISNUMBER(SEARCH(TEXT('September TCM'!$B35,"00")&amp;"/09/2026",'Data Base hauling'!$E$2:$E$2000)))*'Data Base hauling'!$N$2:$N$2000)/'September TCM'!$JJ35,"")</f>
        <v/>
      </c>
      <c r="JS35" s="67" t="str">
        <f>IFERROR(SUMPRODUCT(('Data Base hauling'!$O$2:$O$2000="TCM.HCV.LS")*('Data Base hauling'!$C$2:$C$2000="TCM-ROM SB1 BK05-ROM 4")*(ISNUMBER(SEARCH(TEXT('September TCM'!$B35,"00")&amp;"/09/2026",'Data Base hauling'!$E$2:$E$2000)))*'Data Base hauling'!$N$2:$N$2000)/'September TCM'!$JJ35,"")</f>
        <v/>
      </c>
      <c r="JT35" s="67" t="str">
        <f>IFERROR(SUMPRODUCT(('Data Base hauling'!$O$2:$O$2000="TCM.HCV.LS")*SIGN(('Data Base hauling'!$C$2:$C$2000="TCM-ROM NB-ROM 5")+('Data Base hauling'!$C$2:$C$2000="TCM-ROM SB1 BK05-ROM 5")+('Data Base hauling'!$C$2:$C$2000="TCM-ROM SB2 BK24-ROM 5"))*(ISNUMBER(SEARCH(TEXT('September TCM'!$B35,"00")&amp;"/09/2026",'Data Base hauling'!$E$2:$E$2000)))*'Data Base hauling'!$N$2:$N$2000)/'September TCM'!$JJ35,"")</f>
        <v/>
      </c>
      <c r="JU35" s="67" t="str">
        <f>IFERROR(SUMPRODUCT(('Data Base hauling'!$O$2:$O$2000="TCM.HCV.LS")*SIGN(('Data Base hauling'!$C$2:$C$2000="TCM-ROM NB-ROM 6")+('Data Base hauling'!$C$2:$C$2000="TCM-ROM SB1 BK05-ROM 6")+('Data Base hauling'!$C$2:$C$2000="TCM-ROM SB2 BK24-ROM 6"))*(ISNUMBER(SEARCH(TEXT('September TCM'!$B35,"00")&amp;"/09/2026",'Data Base hauling'!$E$2:$E$2000)))*'Data Base hauling'!$N$2:$N$2000)/'September TCM'!$JJ35,"")</f>
        <v/>
      </c>
      <c r="JV35" s="67" t="str">
        <f>IFERROR(SUMPRODUCT(('Data Base hauling'!$O$2:$O$2000="TCM.HCV.LS")*('Data Base hauling'!$C$2:$C$2000="TCM-WASH-CR3")*(ISNUMBER(SEARCH(TEXT('September TCM'!$B35,"00")&amp;"/09/2026",'Data Base hauling'!$E$2:$E$2000)))*'Data Base hauling'!$N$2:$N$2000)/'September TCM'!$JJ35,"")</f>
        <v/>
      </c>
      <c r="JW35" s="1921">
        <f>SUMPRODUCT(('Data Base hauling'!$O$2:$O$2000="TCM.HCV.LS")*('Data Base hauling'!$C$2:$C$2000="TCM-HAC-CR3")*(ISNUMBER(SEARCH(TEXT('September TCM'!$B35,"00")&amp;"/089/2026",'Data Base hauling'!$E$2:$E$2000)))*'Data Base hauling'!$N$2:$N$2000)</f>
        <v>0</v>
      </c>
      <c r="JX35" s="66" t="str">
        <f>IFERROR(SUMPRODUCT(('Data Base hauling'!$O$2:$O$2000="TCM.HCV.HS")*('Data Base hauling'!$C$2:$C$2000="TCM-ROM NB-ROM 1")*(ISNUMBER(SEARCH(TEXT('September TCM'!$B35,"00")&amp;"/09/2026",'Data Base hauling'!$E$2:$E$2000)))*'Data Base hauling'!$N$2:$N$2000)/'September TCM'!$JK35,"")</f>
        <v/>
      </c>
      <c r="JY35" s="67" t="str">
        <f>IFERROR(SUMPRODUCT(('Data Base hauling'!$O$2:$O$2000="TCM.HCV.HS")*('Data Base hauling'!$C$2:$C$2000="TCM-ROM NB-ROM 2")*(ISNUMBER(SEARCH(TEXT('September TCM'!$B35,"00")&amp;"/09/2026",'Data Base hauling'!$E$2:$E$2000)))*'Data Base hauling'!$N$2:$N$2000)/'September TCM'!$JK35,"")</f>
        <v/>
      </c>
      <c r="JZ35" s="67" t="str">
        <f>IFERROR(SUMPRODUCT(('Data Base hauling'!$O$2:$O$2000="TCM.HCV.HS")*('Data Base hauling'!$C$2:$C$2000="TCM-ROM NB-ROM 3")*(ISNUMBER(SEARCH(TEXT('September TCM'!$B35,"00")&amp;"/09/2026",'Data Base hauling'!$E$2:$E$2000)))*'Data Base hauling'!$N$2:$N$2000)/'September TCM'!$JK35,"")</f>
        <v/>
      </c>
      <c r="KA35" s="67" t="str">
        <f>IFERROR(SUMPRODUCT(('Data Base hauling'!$O$2:$O$2000="TCM.HCV.HS")*('Data Base hauling'!$C$2:$C$2000="TCM-ROM SB1 BK05-ROM 4")*(ISNUMBER(SEARCH(TEXT('September TCM'!$B35,"00")&amp;"/09/2026",'Data Base hauling'!$E$2:$E$2000)))*'Data Base hauling'!$N$2:$N$2000)/'September TCM'!$JK35,"")</f>
        <v/>
      </c>
      <c r="KB35" s="67" t="str">
        <f>IFERROR(SUMPRODUCT(('Data Base hauling'!$O$2:$O$2000="TCM.HCV.HS")*SIGN(('Data Base hauling'!$C$2:$C$2000="TCM-ROM NB-ROM 5")+('Data Base hauling'!$C$2:$C$2000="TCM-ROM SB1 BK05-ROM 5")+('Data Base hauling'!$C$2:$C$2000="TCM-ROM SB2 BK24-ROM 5"))*(ISNUMBER(SEARCH(TEXT('September TCM'!$B35,"00")&amp;"/09/2026",'Data Base hauling'!$E$2:$E$2000)))*'Data Base hauling'!$N$2:$N$2000)/'September TCM'!$JK35,"")</f>
        <v/>
      </c>
      <c r="KC35" s="67" t="str">
        <f>IFERROR(SUMPRODUCT(('Data Base hauling'!$O$2:$O$2000="TCM.HCV.HS")*SIGN(('Data Base hauling'!$C$2:$C$2000="TCM-ROM NB-ROM 6")+('Data Base hauling'!$C$2:$C$2000="TCM-ROM SB1 BK05-ROM 6")+('Data Base hauling'!$C$2:$C$2000="TCM-ROM SB2 BK24-ROM 6"))*(ISNUMBER(SEARCH(TEXT('September TCM'!$B35,"00")&amp;"/09/2026",'Data Base hauling'!$E$2:$E$2000)))*'Data Base hauling'!$N$2:$N$2000)/'September TCM'!$JK35,"")</f>
        <v/>
      </c>
      <c r="KD35" s="67" t="str">
        <f>IFERROR(SUMPRODUCT(('Data Base hauling'!$O$2:$O$2000="TCM.HCV.HS")*('Data Base hauling'!$C$2:$C$2000="TCM-WASH-CR3")*(ISNUMBER(SEARCH(TEXT('September TCM'!$B35,"00")&amp;"/09/2026",'Data Base hauling'!$E$2:$E$2000)))*'Data Base hauling'!$N$2:$N$2000)/'September TCM'!$JK35,"")</f>
        <v/>
      </c>
      <c r="KE35" s="68" t="str">
        <f>IFERROR(SUMPRODUCT(('Data Base hauling'!$O$2:$O$2000="TCM.HCV.HS")*('Data Base hauling'!$C$2:$C$2000="TCM-HAC-CR3")*(ISNUMBER(SEARCH(TEXT('September TCM'!$B35,"00")&amp;"/09/2026",'Data Base hauling'!$E$2:$E$2000)))*'Data Base hauling'!$N$2:$N$2000)/'September TCM'!$JK35,"")</f>
        <v/>
      </c>
      <c r="KF35" s="69"/>
      <c r="KG35" s="70"/>
      <c r="KH35" s="70"/>
      <c r="KI35" s="70"/>
      <c r="KJ35" s="70"/>
      <c r="KK35" s="70"/>
      <c r="KL35" s="70"/>
      <c r="KM35" s="70"/>
      <c r="KN35" s="33"/>
      <c r="KO35" s="2669"/>
      <c r="KP35" s="2203">
        <f>IFERROR(SUMPRODUCT((TCM.HCV.LS!$A$3:$A$58=DATE(2026,9,$B35))*(TCM.HCV.LS!$O$3:$O$58&gt;0)*TCM.HCV.LS!$C$3:$C$58*TCM.HCV.LS!$O$3:$O$58)/SUMPRODUCT((TCM.HCV.LS!$A$3:$A$58=DATE(2026,9,$B35))*(TCM.HCV.LS!$O$3:$O$58&gt;0)*TCM.HCV.LS!$C$3:$C$58),0)</f>
        <v>0</v>
      </c>
      <c r="KQ35" s="1721">
        <f>IFERROR(SUMPRODUCT((TCM.HCV.LS!$A$3:$A$58=DATE(2026,9,$B35))*(TCM.HCV.LS!$M$3:$M$58&gt;0)*TCM.HCV.LS!$C$3:$C$58*TCM.HCV.LS!$M$3:$M$58)/SUMPRODUCT((TCM.HCV.LS!$A$3:$A$58=DATE(2026,9,$B35))*(TCM.HCV.LS!$M$3:$M$58&gt;0)*TCM.HCV.LS!$C$3:$C$58),0)</f>
        <v>0</v>
      </c>
      <c r="KR35" s="1721">
        <f>IFERROR(SUMPRODUCT((TCM.HCV.LS!$A$3:$A$58=DATE(2026,9,$B35))*(TCM.HCV.LS!$G$3:$G$58&gt;0)*TCM.HCV.LS!$C$3:$C$58*TCM.HCV.LS!$G$3:$G$58)/SUMPRODUCT((TCM.HCV.LS!$A$3:$A$58=DATE(2026,9,$B35))*(TCM.HCV.LS!$G$3:$G$58&gt;0)*TCM.HCV.LS!$C$3:$C$58),0)</f>
        <v>0</v>
      </c>
      <c r="KS35" s="1721">
        <f>IFERROR(SUMPRODUCT((TCM.HCV.LS!$A$3:$A$58=DATE(2026,9,$B35))*(TCM.HCV.LS!$F$3:$F$58&gt;0)*TCM.HCV.LS!$C$3:$C$58*TCM.HCV.LS!$F$3:$F$58)/SUMPRODUCT((TCM.HCV.LS!$A$3:$A$58=DATE(2026,9,$B35))*(TCM.HCV.LS!$F$3:$F$58&gt;0)*TCM.HCV.LS!$C$3:$C$58),0)</f>
        <v>0</v>
      </c>
      <c r="KT35" s="1722">
        <f>IFERROR(SUMPRODUCT((TCM.HCV.LS!$A$3:$A$58=DATE(2026,9,$B35))*(TCM.HCV.LS!$E$3:$E$58&gt;0)*TCM.HCV.LS!$C$3:$C$58*TCM.HCV.LS!$E$3:$E$58)/SUMPRODUCT((TCM.HCV.LS!$A$3:$A$58=DATE(2026,9,$B35))*(TCM.HCV.LS!$E$3:$E$58&gt;0)*TCM.HCV.LS!$C$3:$C$58),0)</f>
        <v>0</v>
      </c>
      <c r="KU35" s="1958">
        <f>IFERROR(SUMPRODUCT((TCM.HCV.HS!$A$3:$A$84=DATE(2026,9,$B35))*(TCM.HCV.HS!$O$3:$O$84&gt;0)*TCM.HCV.HS!$C$3:$C$84*TCM.HCV.HS!$O$3:$O$84)/SUMPRODUCT((TCM.HCV.HS!$A$3:$A$84=DATE(2026,9,$B35))*(TCM.HCV.HS!$O$3:$O$84&gt;0)*TCM.HCV.HS!$C$3:$C$84),0)</f>
        <v>0</v>
      </c>
      <c r="KV35" s="1961">
        <f>IFERROR(SUMPRODUCT((TCM.HCV.HS!$A$3:$A$84=DATE(2026,9,$B35))*(TCM.HCV.HS!$M$3:$M$84&gt;0)*TCM.HCV.HS!$C$3:$C$84*TCM.HCV.HS!$M$3:$M$84)/SUMPRODUCT((TCM.HCV.HS!$A$3:$A$84=DATE(2026,9,$B35))*(TCM.HCV.HS!$M$3:$M$84&gt;0)*TCM.HCV.HS!$C$3:$C$84),0)</f>
        <v>0</v>
      </c>
      <c r="KW35" s="1961">
        <f>IFERROR(SUMPRODUCT((TCM.HCV.HS!$A$3:$A$84=DATE(2026,9,$B35))*(TCM.HCV.HS!$G$3:$G$84&gt;0)*TCM.HCV.HS!$C$3:$C$84*TCM.HCV.HS!$G$3:$G$84)/SUMPRODUCT((TCM.HCV.HS!$A$3:$A$84=DATE(2026,9,$B35))*(TCM.HCV.HS!$G$3:$G$84&gt;0)*TCM.HCV.HS!$C$3:$C$84),0)</f>
        <v>0</v>
      </c>
      <c r="KX35" s="1961">
        <f>IFERROR(SUMPRODUCT((TCM.HCV.HS!$A$3:$A$84=DATE(2026,9,$B35))*(TCM.HCV.HS!$F$3:$F$84&gt;0)*TCM.HCV.HS!$C$3:$C$84*TCM.HCV.HS!$F$3:$F$84)/SUMPRODUCT((TCM.HCV.HS!$A$3:$A$84=DATE(2026,9,$B35))*(TCM.HCV.HS!$F$3:$F$84&gt;0)*TCM.HCV.HS!$C$3:$C$84),0)</f>
        <v>0</v>
      </c>
      <c r="KY35" s="1962">
        <f>IFERROR(SUMPRODUCT((TCM.HCV.HS!$A$3:$A$84=DATE(2026,9,$B35))*(TCM.HCV.HS!$E$3:$E$84&gt;0)*TCM.HCV.HS!$C$3:$C$84*TCM.HCV.HS!$E$3:$E$84)/SUMPRODUCT((TCM.HCV.HS!$A$3:$A$84=DATE(2026,9,$B35))*(TCM.HCV.HS!$E$3:$E$84&gt;0)*TCM.HCV.HS!$C$3:$C$84),0)</f>
        <v>0</v>
      </c>
      <c r="KZ35" s="36"/>
      <c r="LA35" s="53"/>
      <c r="LB35" s="53"/>
      <c r="LC35" s="53"/>
      <c r="LD35" s="53"/>
      <c r="LE35" s="33"/>
      <c r="LF35" s="2669"/>
      <c r="LH35" s="26">
        <f t="shared" si="138"/>
        <v>0</v>
      </c>
      <c r="LI35" s="27">
        <f t="shared" si="138"/>
        <v>0</v>
      </c>
      <c r="LJ35" s="27">
        <f t="shared" si="138"/>
        <v>0</v>
      </c>
      <c r="LK35" s="28">
        <f t="shared" si="53"/>
        <v>0</v>
      </c>
      <c r="LL35" s="36"/>
      <c r="LM35" s="27"/>
      <c r="LN35" s="27"/>
      <c r="LO35" s="33"/>
      <c r="LP35" s="1957"/>
      <c r="LQ35" s="486"/>
      <c r="LR35" s="2688"/>
      <c r="LS35" s="36"/>
      <c r="LT35" s="36"/>
      <c r="LU35" s="27"/>
      <c r="LV35" s="27"/>
      <c r="LW35" s="27"/>
      <c r="LX35" s="1107">
        <f t="shared" si="129"/>
        <v>0</v>
      </c>
      <c r="LY35" s="36"/>
      <c r="LZ35" s="36"/>
      <c r="MA35" s="27"/>
      <c r="MB35" s="27"/>
      <c r="MC35" s="33"/>
      <c r="MD35" s="28">
        <f t="shared" si="137"/>
        <v>0</v>
      </c>
      <c r="ME35" s="26"/>
      <c r="MF35" s="36"/>
      <c r="MG35" s="27"/>
      <c r="MH35" s="27"/>
      <c r="MI35" s="27"/>
      <c r="MJ35" s="28"/>
      <c r="MK35" s="36"/>
      <c r="ML35" s="36"/>
      <c r="MM35" s="27"/>
      <c r="MN35" s="27"/>
      <c r="MO35" s="27"/>
      <c r="MP35" s="28"/>
      <c r="MQ35" s="36"/>
      <c r="MR35" s="36"/>
      <c r="MS35" s="27"/>
      <c r="MT35" s="27"/>
      <c r="MU35" s="27"/>
      <c r="MV35" s="33">
        <f t="shared" si="56"/>
        <v>0</v>
      </c>
      <c r="MW35" s="2688"/>
      <c r="MY35" s="26">
        <f t="shared" si="57"/>
        <v>377341.84766611259</v>
      </c>
      <c r="MZ35" s="27">
        <f t="shared" si="58"/>
        <v>191281.80302645115</v>
      </c>
      <c r="NA35" s="27">
        <f t="shared" si="59"/>
        <v>27294.683787707359</v>
      </c>
      <c r="NB35" s="28">
        <f t="shared" si="60"/>
        <v>318297.33035698003</v>
      </c>
      <c r="NC35" s="2621"/>
      <c r="ND35" s="23">
        <f t="shared" si="116"/>
        <v>207724.34280113198</v>
      </c>
      <c r="NE35" s="1655">
        <f t="shared" si="117"/>
        <v>169617.50486498058</v>
      </c>
      <c r="NF35" s="60">
        <f t="shared" si="63"/>
        <v>0</v>
      </c>
      <c r="NG35" s="275">
        <f t="shared" si="4"/>
        <v>377341.84766611259</v>
      </c>
      <c r="NH35" s="26">
        <f t="shared" si="141"/>
        <v>-313.35000000000002</v>
      </c>
      <c r="NI35" s="27">
        <f t="shared" si="141"/>
        <v>0</v>
      </c>
      <c r="NJ35" s="27">
        <f t="shared" si="141"/>
        <v>0</v>
      </c>
      <c r="NK35" s="27">
        <f t="shared" si="141"/>
        <v>0</v>
      </c>
      <c r="NL35" s="27">
        <f t="shared" si="141"/>
        <v>0</v>
      </c>
      <c r="NM35" s="33">
        <f t="shared" si="141"/>
        <v>0</v>
      </c>
      <c r="NN35" s="27">
        <f t="shared" si="141"/>
        <v>0</v>
      </c>
      <c r="NO35" s="36">
        <f t="shared" si="141"/>
        <v>0</v>
      </c>
      <c r="NP35" s="24">
        <f t="shared" si="141"/>
        <v>21665.870136227244</v>
      </c>
      <c r="NQ35" s="27">
        <f t="shared" si="141"/>
        <v>22358.939343794715</v>
      </c>
      <c r="NR35" s="24">
        <f t="shared" si="118"/>
        <v>8443.1982322711574</v>
      </c>
      <c r="NS35" s="24">
        <f t="shared" si="119"/>
        <v>9895.3380410535083</v>
      </c>
      <c r="NT35" s="27">
        <f t="shared" si="0"/>
        <v>62049.995753346629</v>
      </c>
      <c r="NU35" s="27">
        <f t="shared" si="142"/>
        <v>0</v>
      </c>
      <c r="NV35" s="27">
        <f t="shared" si="142"/>
        <v>0</v>
      </c>
      <c r="NW35" s="27">
        <f t="shared" si="142"/>
        <v>0</v>
      </c>
      <c r="NX35" s="27">
        <f t="shared" si="142"/>
        <v>0</v>
      </c>
      <c r="NY35" s="27">
        <f t="shared" si="142"/>
        <v>0</v>
      </c>
      <c r="NZ35" s="5">
        <f t="shared" si="142"/>
        <v>0</v>
      </c>
      <c r="OA35" s="27">
        <f t="shared" si="142"/>
        <v>35558.705564997217</v>
      </c>
      <c r="OB35" s="27">
        <f t="shared" si="142"/>
        <v>0</v>
      </c>
      <c r="OC35" s="27">
        <f t="shared" si="66"/>
        <v>12611.886475620366</v>
      </c>
      <c r="OD35" s="27"/>
      <c r="OE35" s="27">
        <f t="shared" si="120"/>
        <v>13429.316718063665</v>
      </c>
      <c r="OF35" s="27">
        <f t="shared" si="67"/>
        <v>0</v>
      </c>
      <c r="OG35" s="28">
        <f t="shared" si="1"/>
        <v>61599.908758681253</v>
      </c>
      <c r="OH35" s="27">
        <f t="shared" si="143"/>
        <v>0</v>
      </c>
      <c r="OI35" s="27">
        <f t="shared" si="143"/>
        <v>0</v>
      </c>
      <c r="OJ35" s="27">
        <f t="shared" si="143"/>
        <v>0</v>
      </c>
      <c r="OK35" s="27">
        <f t="shared" si="143"/>
        <v>0</v>
      </c>
      <c r="OL35" s="27">
        <f t="shared" si="143"/>
        <v>0</v>
      </c>
      <c r="OM35" s="27">
        <f t="shared" si="143"/>
        <v>0</v>
      </c>
      <c r="ON35" s="24">
        <f t="shared" si="143"/>
        <v>0</v>
      </c>
      <c r="OO35" s="27">
        <f t="shared" si="143"/>
        <v>0</v>
      </c>
      <c r="OP35" s="24">
        <f t="shared" si="69"/>
        <v>54054.217649249818</v>
      </c>
      <c r="OQ35" s="27">
        <f t="shared" si="144"/>
        <v>0</v>
      </c>
      <c r="OR35" s="24">
        <f t="shared" si="144"/>
        <v>13577.680865173457</v>
      </c>
      <c r="OS35" s="27">
        <f t="shared" si="144"/>
        <v>0</v>
      </c>
      <c r="OT35" s="28">
        <f t="shared" si="2"/>
        <v>67631.898514423272</v>
      </c>
      <c r="OU35" s="36"/>
      <c r="OV35" s="27"/>
      <c r="OW35" s="27"/>
      <c r="OX35" s="27"/>
      <c r="OY35" s="27"/>
      <c r="OZ35" s="27"/>
      <c r="PA35" s="28">
        <f t="shared" si="71"/>
        <v>0</v>
      </c>
      <c r="PB35" s="36">
        <f t="shared" si="72"/>
        <v>0</v>
      </c>
      <c r="PC35" s="27">
        <f t="shared" si="73"/>
        <v>0</v>
      </c>
      <c r="PD35" s="27">
        <f t="shared" si="74"/>
        <v>0</v>
      </c>
      <c r="PE35" s="27">
        <f t="shared" si="75"/>
        <v>0</v>
      </c>
      <c r="PF35" s="24"/>
      <c r="PG35" s="27">
        <f t="shared" si="76"/>
        <v>0</v>
      </c>
      <c r="PH35" s="33">
        <f t="shared" si="3"/>
        <v>0</v>
      </c>
      <c r="PI35" s="2621"/>
      <c r="PK35" s="1907">
        <f>SUMPRODUCT(('Data Base Coal Wining'!$D$2:$D$2000="WASHING PLANT")*ISNUMBER(SEARCH(TEXT('September TCM'!$B35,"00")&amp;"/09/2026",'Data Base Coal Wining'!$E$2:$E$2000))*'Data Base Coal Wining'!$N$2:$N$2000)</f>
        <v>0</v>
      </c>
      <c r="PL35" s="488"/>
      <c r="PM35" s="488"/>
      <c r="PN35" s="3">
        <f t="shared" si="145"/>
        <v>0</v>
      </c>
      <c r="PO35" s="3">
        <f t="shared" si="78"/>
        <v>38895.633435124721</v>
      </c>
      <c r="PP35" s="11">
        <f t="shared" si="139"/>
        <v>27294.683787707359</v>
      </c>
      <c r="PQ35" s="15"/>
      <c r="PR35" s="2615"/>
      <c r="PT35" s="4"/>
      <c r="PU35" s="9"/>
      <c r="PV35" s="9"/>
      <c r="PW35" s="9"/>
      <c r="PX35" s="8">
        <f>SUMPRODUCT(('Data Base Coal Wining'!$D$2:$D$2000="TCM-ROM SB1 BK05-ROM 2 (HAC)")*('Data Base Coal Wining'!$G$2:$G$2000="Coal Winning")*ISNUMBER(SEARCH(TEXT('September TCM'!$B35,"00")&amp;"/09/2026",'Data Base Coal Wining'!$E$2:$E$2000))*'Data Base Coal Wining'!$N$2:$N$2000)</f>
        <v>0</v>
      </c>
      <c r="PY35" s="9"/>
      <c r="PZ35" s="8">
        <f t="shared" si="80"/>
        <v>0</v>
      </c>
      <c r="QA35" s="5">
        <f t="shared" si="81"/>
        <v>0</v>
      </c>
      <c r="QB35" s="5"/>
      <c r="QC35" s="5"/>
      <c r="QD35" s="5"/>
      <c r="QE35" s="5"/>
      <c r="QF35" s="5"/>
      <c r="QG35" s="12"/>
      <c r="QH35" s="12">
        <f t="shared" si="82"/>
        <v>29562.488999999998</v>
      </c>
      <c r="QI35" s="420">
        <f t="shared" si="83"/>
        <v>283762.59090898006</v>
      </c>
      <c r="QJ35" s="1106">
        <f t="shared" si="121"/>
        <v>4972.2504480000007</v>
      </c>
      <c r="QK35" s="484">
        <f t="shared" si="84"/>
        <v>5505.3678056099998</v>
      </c>
      <c r="QL35" s="12"/>
      <c r="QM35" s="2615"/>
      <c r="QO35" s="139" t="str">
        <f t="shared" si="85"/>
        <v/>
      </c>
      <c r="QP35" s="139" t="str">
        <f t="shared" si="86"/>
        <v/>
      </c>
      <c r="QR35" s="139" t="str">
        <f t="shared" si="87"/>
        <v/>
      </c>
      <c r="QS35" s="139" t="str">
        <f t="shared" si="88"/>
        <v/>
      </c>
      <c r="QU35" s="1">
        <f t="shared" si="89"/>
        <v>0</v>
      </c>
      <c r="QV35" s="1">
        <f t="shared" si="90"/>
        <v>0</v>
      </c>
      <c r="QW35" s="1">
        <f t="shared" si="91"/>
        <v>0</v>
      </c>
      <c r="QX35" s="1">
        <f t="shared" si="92"/>
        <v>0</v>
      </c>
      <c r="QY35" s="1">
        <f t="shared" si="93"/>
        <v>0</v>
      </c>
      <c r="QZ35" s="1">
        <f t="shared" si="94"/>
        <v>0</v>
      </c>
      <c r="RB35" s="1">
        <f t="shared" si="95"/>
        <v>0</v>
      </c>
      <c r="RC35" s="1">
        <f t="shared" si="96"/>
        <v>0</v>
      </c>
      <c r="RD35" s="1">
        <f t="shared" si="97"/>
        <v>0</v>
      </c>
      <c r="RE35" s="1">
        <f t="shared" si="98"/>
        <v>0</v>
      </c>
      <c r="RF35" s="1">
        <f t="shared" si="99"/>
        <v>0</v>
      </c>
      <c r="RG35" s="1">
        <f t="shared" si="100"/>
        <v>0</v>
      </c>
      <c r="RJ35" s="1">
        <v>26</v>
      </c>
      <c r="RK35" s="1">
        <f t="shared" ref="RK35:RM40" si="150">+RK34+JJ35-LH35</f>
        <v>5984.4452097170979</v>
      </c>
      <c r="RL35" s="1">
        <f t="shared" si="150"/>
        <v>5074.1017804837184</v>
      </c>
      <c r="RM35" s="1">
        <f t="shared" si="150"/>
        <v>13404.263703387322</v>
      </c>
      <c r="RN35" s="89">
        <f t="shared" si="5"/>
        <v>24462.810693588137</v>
      </c>
      <c r="RO35" s="1033">
        <v>26</v>
      </c>
      <c r="RP35" s="1098">
        <v>0</v>
      </c>
      <c r="RQ35" s="1098">
        <f t="shared" si="102"/>
        <v>0</v>
      </c>
      <c r="RR35" s="1097">
        <f t="shared" si="102"/>
        <v>0</v>
      </c>
      <c r="RS35" s="1097">
        <f t="shared" si="103"/>
        <v>0</v>
      </c>
      <c r="RT35" s="1050"/>
      <c r="RU35" s="1050"/>
      <c r="RV35" s="1048"/>
      <c r="RX35" s="421">
        <v>26</v>
      </c>
      <c r="RY35" s="1095">
        <f t="shared" si="104"/>
        <v>0</v>
      </c>
      <c r="RZ35" s="1050"/>
      <c r="SA35" s="1048"/>
      <c r="SB35" s="1090"/>
      <c r="SC35" s="1090">
        <f t="shared" si="105"/>
        <v>0</v>
      </c>
      <c r="SD35" s="1090"/>
      <c r="SE35" s="1090">
        <f t="shared" si="136"/>
        <v>0</v>
      </c>
      <c r="SG35" s="1">
        <v>26</v>
      </c>
      <c r="SH35" s="1">
        <f t="shared" si="107"/>
        <v>0</v>
      </c>
      <c r="SI35" s="1094"/>
    </row>
    <row r="36" spans="1:503" s="1" customFormat="1" ht="15">
      <c r="B36" s="471">
        <v>27</v>
      </c>
      <c r="C36" s="4">
        <f t="shared" si="146"/>
        <v>0</v>
      </c>
      <c r="D36" s="1590">
        <f t="shared" si="128"/>
        <v>0</v>
      </c>
      <c r="E36" s="1895">
        <f t="shared" si="6"/>
        <v>0</v>
      </c>
      <c r="F36" s="870"/>
      <c r="G36" s="870"/>
      <c r="H36" s="52"/>
      <c r="I36" s="61"/>
      <c r="J36" s="52"/>
      <c r="K36" s="54"/>
      <c r="L36" s="52"/>
      <c r="M36" s="61"/>
      <c r="N36" s="2629"/>
      <c r="O36" s="4">
        <f t="shared" si="125"/>
        <v>0</v>
      </c>
      <c r="P36" s="5">
        <f t="shared" si="7"/>
        <v>0</v>
      </c>
      <c r="Q36" s="1913">
        <f t="shared" si="8"/>
        <v>0</v>
      </c>
      <c r="R36" s="33"/>
      <c r="S36" s="26">
        <f t="shared" si="9"/>
        <v>0</v>
      </c>
      <c r="T36" s="27">
        <f t="shared" si="110"/>
        <v>0</v>
      </c>
      <c r="U36" s="1909">
        <f t="shared" si="10"/>
        <v>0</v>
      </c>
      <c r="V36" s="28"/>
      <c r="W36" s="26">
        <f t="shared" si="11"/>
        <v>0</v>
      </c>
      <c r="X36" s="5">
        <f t="shared" si="11"/>
        <v>0</v>
      </c>
      <c r="Y36" s="1909">
        <f t="shared" si="12"/>
        <v>0</v>
      </c>
      <c r="Z36" s="33"/>
      <c r="AA36" s="26">
        <f t="shared" si="13"/>
        <v>0</v>
      </c>
      <c r="AB36" s="27">
        <f t="shared" si="126"/>
        <v>0</v>
      </c>
      <c r="AC36" s="1909">
        <f t="shared" si="15"/>
        <v>0</v>
      </c>
      <c r="AD36" s="28"/>
      <c r="AE36" s="36"/>
      <c r="AF36" s="36"/>
      <c r="AG36" s="53">
        <f t="shared" si="16"/>
        <v>0</v>
      </c>
      <c r="AH36" s="28"/>
      <c r="AI36" s="23"/>
      <c r="AJ36" s="27"/>
      <c r="AK36" s="53">
        <f t="shared" si="17"/>
        <v>0</v>
      </c>
      <c r="AL36" s="28"/>
      <c r="AM36" s="2629"/>
      <c r="AN36" s="9"/>
      <c r="AO36" s="5"/>
      <c r="AP36" s="61">
        <f t="shared" si="18"/>
        <v>0</v>
      </c>
      <c r="AQ36" s="36"/>
      <c r="AR36" s="53"/>
      <c r="AS36" s="61">
        <f t="shared" si="19"/>
        <v>0</v>
      </c>
      <c r="AT36" s="36"/>
      <c r="AU36" s="27"/>
      <c r="AV36" s="54">
        <f t="shared" si="20"/>
        <v>0</v>
      </c>
      <c r="AW36" s="26"/>
      <c r="AX36" s="280">
        <f>SUMPRODUCT(ISNUMBER(SEARCH("BK20",'Data Base Coal Wining'!$C$2:$C$2000))*ISNUMBER(SEARCH("P3000",'Data Base Coal Wining'!$C$2:$C$2000))*('Data Base Coal Wining'!$H$2:$H$2000="PAMA")*('Data Base Coal Wining'!$G$2:$G$2000="Coal Winning")*ISNUMBER(SEARCH(TEXT('September TCM'!$B36,"00")&amp;"/09/2026",'Data Base Coal Wining'!$E$2:$E$2000))*'Data Base Coal Wining'!$N$2:$N$2000)</f>
        <v>0</v>
      </c>
      <c r="AY36" s="1895">
        <f t="shared" si="134"/>
        <v>0</v>
      </c>
      <c r="AZ36" s="1908"/>
      <c r="BA36" s="1909"/>
      <c r="BB36" s="1895">
        <f t="shared" si="21"/>
        <v>0</v>
      </c>
      <c r="BC36" s="1908"/>
      <c r="BD36" s="2154">
        <f>SUMPRODUCT(ISNUMBER(SEARCH("BK30",'Data Base Coal Wining'!$C$2:$C$2000))*ISNUMBER(SEARCH("P3000",'Data Base Coal Wining'!$C$2:$C$2000))*('Data Base Coal Wining'!$H$2:$H$2000="PAMA")*('Data Base Coal Wining'!$G$2:$G$2000="Coal Winning")*ISNUMBER(SEARCH(TEXT('September TCM'!$B36,"00")&amp;"/09/2026",'Data Base Coal Wining'!$E$2:$E$2000))*'Data Base Coal Wining'!$N$2:$N$2000)</f>
        <v>0</v>
      </c>
      <c r="BE36" s="1895">
        <f t="shared" si="22"/>
        <v>0</v>
      </c>
      <c r="BF36" s="1908"/>
      <c r="BG36" s="1909"/>
      <c r="BH36" s="1895">
        <f t="shared" si="23"/>
        <v>0</v>
      </c>
      <c r="BI36" s="1908">
        <v>0</v>
      </c>
      <c r="BJ36" s="1909">
        <v>0</v>
      </c>
      <c r="BK36" s="1895">
        <f t="shared" si="24"/>
        <v>0</v>
      </c>
      <c r="BL36" s="2491"/>
      <c r="BM36" s="2154">
        <f>SUMPRODUCT(ISNUMBER(SEARCH("BK26",'Data Base Coal Wining'!$C$2:$C$2000))*ISNUMBER(SEARCH("P4400",'Data Base Coal Wining'!$C$2:$C$2000))*('Data Base Coal Wining'!$H$2:$H$2000="MAP")*('Data Base Coal Wining'!$G$2:$G$2000="Coal Winning")*ISNUMBER(SEARCH(TEXT('September TCM'!$B36,"00")&amp;"/09/2026",'Data Base Coal Wining'!$E$2:$E$2000))*'Data Base Coal Wining'!$N$2:$N$2000)</f>
        <v>0</v>
      </c>
      <c r="BN36" s="2170"/>
      <c r="BO36" s="1895">
        <f t="shared" si="25"/>
        <v>0</v>
      </c>
      <c r="BP36" s="9"/>
      <c r="BQ36" s="2514">
        <f>SUMPRODUCT(ISNUMBER(SEARCH("BK34",'Data Base Coal Wining'!$C$2:$C$2000))*ISNUMBER(SEARCH("P4000",'Data Base Coal Wining'!$C$2:$C$2000))*('Data Base Coal Wining'!$H$2:$H$2000="PJPN")*('Data Base Coal Wining'!$G$2:$G$2000="Coal Winning")*ISNUMBER(SEARCH(TEXT('September TCM'!$B36,"00")&amp;"/09/2026",'Data Base Coal Wining'!$E$2:$E$2000))*'Data Base Coal Wining'!$N$2:$N$2000)</f>
        <v>0</v>
      </c>
      <c r="BR36" s="1735">
        <f t="shared" si="26"/>
        <v>0</v>
      </c>
      <c r="BS36" s="36"/>
      <c r="BT36" s="53"/>
      <c r="BU36" s="61">
        <f t="shared" si="27"/>
        <v>0</v>
      </c>
      <c r="BV36" s="9"/>
      <c r="BW36" s="27"/>
      <c r="BX36" s="28">
        <f t="shared" si="147"/>
        <v>0</v>
      </c>
      <c r="BY36" s="4"/>
      <c r="BZ36" s="5"/>
      <c r="CA36" s="61">
        <f t="shared" si="29"/>
        <v>0</v>
      </c>
      <c r="CB36" s="36"/>
      <c r="CC36" s="5"/>
      <c r="CD36" s="61">
        <f t="shared" si="30"/>
        <v>0</v>
      </c>
      <c r="CE36" s="26"/>
      <c r="CF36" s="5"/>
      <c r="CG36" s="28">
        <f t="shared" si="31"/>
        <v>0</v>
      </c>
      <c r="CH36" s="150"/>
      <c r="CI36" s="1108"/>
      <c r="CJ36" s="5"/>
      <c r="CK36" s="5"/>
      <c r="CL36" s="5"/>
      <c r="CM36" s="5"/>
      <c r="CN36" s="3">
        <f t="shared" si="111"/>
        <v>0</v>
      </c>
      <c r="CO36" s="33"/>
      <c r="CP36" s="366"/>
      <c r="CR36" s="4">
        <f t="shared" si="149"/>
        <v>0</v>
      </c>
      <c r="CS36" s="9">
        <f t="shared" si="149"/>
        <v>0</v>
      </c>
      <c r="CT36" s="5">
        <f t="shared" si="148"/>
        <v>0</v>
      </c>
      <c r="CU36" s="5">
        <f t="shared" si="148"/>
        <v>0</v>
      </c>
      <c r="CV36" s="5">
        <f t="shared" si="148"/>
        <v>0</v>
      </c>
      <c r="CW36" s="5">
        <f t="shared" si="148"/>
        <v>0</v>
      </c>
      <c r="CX36" s="5">
        <f t="shared" si="148"/>
        <v>0</v>
      </c>
      <c r="CY36" s="5">
        <f t="shared" si="148"/>
        <v>0</v>
      </c>
      <c r="CZ36" s="5">
        <f t="shared" si="148"/>
        <v>0</v>
      </c>
      <c r="DA36" s="5">
        <f t="shared" si="148"/>
        <v>0</v>
      </c>
      <c r="DB36" s="5">
        <f t="shared" si="148"/>
        <v>0</v>
      </c>
      <c r="DC36" s="12">
        <f t="shared" si="33"/>
        <v>0</v>
      </c>
      <c r="DD36" s="310">
        <f>SUM(CR36:DC36,PX36)</f>
        <v>0</v>
      </c>
      <c r="DE36" s="2695"/>
      <c r="DF36" s="8"/>
      <c r="DG36" s="9"/>
      <c r="DH36" s="5"/>
      <c r="DI36" s="5"/>
      <c r="DJ36" s="5"/>
      <c r="DK36" s="5"/>
      <c r="DL36" s="3">
        <f>SUMPRODUCT(('Data Base Coal Wining'!$D$2:$D$2000="TCM-ROM SB1 BK05-ROM 4")*('Data Base Coal Wining'!$G$2:$G$2000="Coal Winning")*ISNUMBER(SEARCH(TEXT('September TCM'!$B36,"00")&amp;"/09/2026",'Data Base Coal Wining'!$E$2:$E$2000))*'Data Base Coal Wining'!$N$2:$N$2000)</f>
        <v>0</v>
      </c>
      <c r="DM36" s="5"/>
      <c r="DN36" s="3">
        <f>SUMPRODUCT(('Data Base Coal Wining'!$D$2:$D$2000="TCM-ROM SB1 BK05-ROM 5")*('Data Base Coal Wining'!$G$2:$G$2000="Coal Winning")*ISNUMBER(SEARCH(TEXT('September TCM'!$B36,"00")&amp;"/09/2026",'Data Base Coal Wining'!$E$2:$E$2000))*'Data Base Coal Wining'!$N$2:$N$2000)</f>
        <v>0</v>
      </c>
      <c r="DO36" s="5"/>
      <c r="DP36" s="3">
        <f>SUMPRODUCT(('Data Base Coal Wining'!$D$2:$D$2000="TCM-ROM SB1 BK05-ROM 6")*('Data Base Coal Wining'!$G$2:$G$2000="Coal Winning")*ISNUMBER(SEARCH(TEXT('September TCM'!$B36,"00")&amp;"/09/2026",'Data Base Coal Wining'!$E$2:$E$2000))*'Data Base Coal Wining'!$N$2:$N$2000)</f>
        <v>0</v>
      </c>
      <c r="DQ36" s="11">
        <f>SUMPRODUCT(('Data Base Coal Wining'!$D$2:$D$2000="TCM-ROM SB1 BK05-ROM 6.1")*('Data Base Coal Wining'!$G$2:$G$2000="Coal Winning")*ISNUMBER(SEARCH(TEXT('September TCM'!$B36,"00")&amp;"/09/2026",'Data Base Coal Wining'!$E$2:$E$2000))*'Data Base Coal Wining'!$N$2:$N$2000)</f>
        <v>0</v>
      </c>
      <c r="DR36" s="12"/>
      <c r="DS36" s="28">
        <f t="shared" si="35"/>
        <v>0</v>
      </c>
      <c r="DT36" s="36"/>
      <c r="DU36" s="36"/>
      <c r="DV36" s="27"/>
      <c r="DW36" s="27"/>
      <c r="DX36" s="27"/>
      <c r="DY36" s="27"/>
      <c r="DZ36" s="27"/>
      <c r="EA36" s="27"/>
      <c r="EB36" s="3">
        <f>SUMPRODUCT(('Data Base Coal Wining'!$D$2:$D$2000="TCM-ROM SB2 BK24-ROM 5")*('Data Base Coal Wining'!$G$2:$G$2000="Coal Winning")*ISNUMBER(SEARCH(TEXT('September TCM'!$B36,"00")&amp;"/09/2026",'Data Base Coal Wining'!$E$2:$E$2000))*'Data Base Coal Wining'!$N$2:$N$2000)</f>
        <v>0</v>
      </c>
      <c r="EC36" s="27"/>
      <c r="ED36" s="24">
        <f>SUMPRODUCT(('Data Base Coal Wining'!$D$2:$D$2000="TCM-ROM SB2 BK24-ROM 6")*('Data Base Coal Wining'!$G$2:$G$2000="Coal Winning")*ISNUMBER(SEARCH(TEXT('September TCM'!$B36,"00")&amp;"/09/2026",'Data Base Coal Wining'!$E$2:$E$2000))*'Data Base Coal Wining'!$N$2:$N$2000)</f>
        <v>0</v>
      </c>
      <c r="EE36" s="33"/>
      <c r="EF36" s="28">
        <f t="shared" si="36"/>
        <v>0</v>
      </c>
      <c r="EG36" s="9"/>
      <c r="EH36" s="36"/>
      <c r="EI36" s="27"/>
      <c r="EJ36" s="27"/>
      <c r="EK36" s="27"/>
      <c r="EL36" s="27"/>
      <c r="EM36" s="27"/>
      <c r="EN36" s="27"/>
      <c r="EO36" s="5"/>
      <c r="EP36" s="5"/>
      <c r="EQ36" s="5"/>
      <c r="ER36" s="33"/>
      <c r="ES36" s="28">
        <f t="shared" si="127"/>
        <v>0</v>
      </c>
      <c r="ET36" s="36"/>
      <c r="EU36" s="27"/>
      <c r="EV36" s="27"/>
      <c r="EW36" s="27"/>
      <c r="EX36" s="27"/>
      <c r="EY36" s="27"/>
      <c r="EZ36" s="33">
        <f t="shared" si="38"/>
        <v>0</v>
      </c>
      <c r="FA36" s="2685"/>
      <c r="FC36" s="4">
        <f t="shared" si="39"/>
        <v>0</v>
      </c>
      <c r="FD36" s="5">
        <f t="shared" si="40"/>
        <v>0</v>
      </c>
      <c r="FE36" s="5">
        <f t="shared" ref="FE36:FE40" si="151">+GI36</f>
        <v>0</v>
      </c>
      <c r="FF36" s="12">
        <f t="shared" si="42"/>
        <v>0</v>
      </c>
      <c r="FG36" s="33"/>
      <c r="FH36" s="2674"/>
      <c r="FI36" s="9"/>
      <c r="FJ36" s="5"/>
      <c r="FK36" s="5"/>
      <c r="FL36" s="5"/>
      <c r="FM36" s="5"/>
      <c r="FN36" s="27"/>
      <c r="FO36" s="28">
        <f t="shared" si="43"/>
        <v>0</v>
      </c>
      <c r="FP36" s="36"/>
      <c r="FQ36" s="27"/>
      <c r="FR36" s="27"/>
      <c r="FS36" s="27"/>
      <c r="FT36" s="27"/>
      <c r="FU36" s="27"/>
      <c r="FV36" s="28">
        <f t="shared" si="44"/>
        <v>0</v>
      </c>
      <c r="FW36" s="36"/>
      <c r="FX36" s="36"/>
      <c r="FY36" s="27"/>
      <c r="FZ36" s="27"/>
      <c r="GA36" s="27"/>
      <c r="GB36" s="27"/>
      <c r="GC36" s="27"/>
      <c r="GD36" s="27"/>
      <c r="GE36" s="24" cm="1">
        <f t="array" ref="GE36">SUMPRODUCT(('Data Base Coal Wining'!$C$2:$C$2000="TCM-ROM TEMPORARY SB2 KM 76-ROM HAC (S4700 Hard Ban)")*(ISNUMBER(SEARCH(TEXT('September TCM'!$B36,"00")&amp;"/08/2026",'Data Base Coal Wining'!$E$2:$E$2000)))*'Data Base Coal Wining'!$N$2:$N$2000)</f>
        <v>0</v>
      </c>
      <c r="GF36" s="27"/>
      <c r="GG36" s="27"/>
      <c r="GH36" s="33"/>
      <c r="GI36" s="33">
        <f t="shared" si="45"/>
        <v>0</v>
      </c>
      <c r="GJ36" s="2674"/>
      <c r="GL36" s="2">
        <f t="shared" si="112"/>
        <v>0</v>
      </c>
      <c r="GM36" s="63">
        <f t="shared" si="113"/>
        <v>0</v>
      </c>
      <c r="GN36" s="24">
        <f t="shared" si="114"/>
        <v>0</v>
      </c>
      <c r="GO36" s="1736">
        <f t="shared" si="46"/>
        <v>0</v>
      </c>
      <c r="GP36" s="141"/>
      <c r="GQ36" s="141"/>
      <c r="GR36" s="33"/>
      <c r="GS36" s="2667"/>
      <c r="GT36" s="1723">
        <f>SUMPRODUCT(('Data Base hauling'!$H$2:$H$2000="Trust")*(ISNUMBER(SEARCH(TEXT('September TCM'!$B36,"00")&amp;"/09/2026",'Data Base hauling'!$E$2:$E$2000)))*'Data Base hauling'!$N$2:$N$2000)</f>
        <v>0</v>
      </c>
      <c r="GU36" s="1723">
        <f>SUMPRODUCT(('Data Base hauling'!$H$2:$H$2000="RT")*(ISNUMBER(SEARCH(TEXT('September TCM'!$B36,"00")&amp;"/09/2026",'Data Base hauling'!$E$2:$E$2000)))*'Data Base hauling'!$N$2:$N$2000)</f>
        <v>0</v>
      </c>
      <c r="GV36" s="5">
        <f>SUMPRODUCT(('Data Base hauling'!$H$2:$H$2000="MPE")*(ISNUMBER(SEARCH(TEXT('September TCM'!$B36,"00")&amp;"/09/2026",'Data Base hauling'!$E$2:$E$2000)))*'Data Base hauling'!$N$2:$N$2000)</f>
        <v>0</v>
      </c>
      <c r="GW36" s="1723">
        <f>SUMPRODUCT(('Data Base hauling'!$H$2:$H$2000="RP")*(ISNUMBER(SEARCH(TEXT('September TCM'!$B36,"00")&amp;"/09/2026",'Data Base hauling'!$E$2:$E$2000)))*'Data Base hauling'!$N$2:$N$2000)</f>
        <v>0</v>
      </c>
      <c r="GX36" s="28">
        <f t="shared" si="115"/>
        <v>0</v>
      </c>
      <c r="GY36" s="2667"/>
      <c r="GZ36" s="35">
        <f>SUMPRODUCT(('Data Base hauling'!$C$2:$C$2000="TCM-ROM NB-ROM 1")*(ISNUMBER(SEARCH(TEXT('September TCM'!$B36,"00")&amp;"/09/2026",'Data Base hauling'!$E$2:$E$2000)))*'Data Base hauling'!$N$2:$N$2000)</f>
        <v>0</v>
      </c>
      <c r="HA36" s="36"/>
      <c r="HB36" s="27"/>
      <c r="HC36" s="27"/>
      <c r="HD36" s="27"/>
      <c r="HE36" s="27"/>
      <c r="HF36" s="24">
        <f>SUMPRODUCT(('Data Base hauling'!$C$2:$C$2000="TCM-ROM NB-ROM 4")*(ISNUMBER(SEARCH(TEXT('September TCM'!$B36,"00")&amp;"/09/2026",'Data Base hauling'!$E$2:$E$2000)))*'Data Base hauling'!$N$2:$N$2000)</f>
        <v>0</v>
      </c>
      <c r="HG36" s="24"/>
      <c r="HH36" s="24">
        <f>SUMPRODUCT(('Data Base hauling'!$C$2:$C$2000="TCM-ROM NB-ROM 5")*(ISNUMBER(SEARCH(TEXT('September TCM'!$B36,"00")&amp;"/09/2026",'Data Base hauling'!$E$2:$E$2000)))*'Data Base hauling'!$N$2:$N$2000)</f>
        <v>0</v>
      </c>
      <c r="HI36" s="24"/>
      <c r="HJ36" s="24">
        <f>SUMPRODUCT(('Data Base hauling'!$C$2:$C$2000="TCM-ROM NB-ROM 6")*(ISNUMBER(SEARCH(TEXT('September TCM'!$B36,"00")&amp;"/09/2026",'Data Base hauling'!$E$2:$E$2000)))*'Data Base hauling'!$N$2:$N$2000)</f>
        <v>0</v>
      </c>
      <c r="HK36" s="24"/>
      <c r="HL36" s="24">
        <f>SUMPRODUCT(('Data Base hauling'!$C$2:$C$2000="TCM-WASH-CR3")*(ISNUMBER(SEARCH(TEXT('September TCM'!$B36,"00")&amp;"/09/2026",'Data Base hauling'!$E$2:$E$2000)))*'Data Base hauling'!$N$2:$N$2000)</f>
        <v>0</v>
      </c>
      <c r="HM36" s="27"/>
      <c r="HN36" s="28">
        <f t="shared" si="131"/>
        <v>0</v>
      </c>
      <c r="HO36" s="36"/>
      <c r="HP36" s="27"/>
      <c r="HQ36" s="27"/>
      <c r="HR36" s="27"/>
      <c r="HS36" s="27"/>
      <c r="HT36" s="27"/>
      <c r="HU36" s="27">
        <f t="array" ref="HU36">SUMPRODUCT(('Data Base hauling'!$C$2:$C$2000="TCM-ROM SB1 BK05-ROM 4")*(ISNUMBER(SEARCH(TEXT('September TCM'!$B36,"00")&amp;"/03/2026",'Data Base hauling'!$E$2:$E$2000)))*'Data Base hauling'!$N$2:$N$2000)</f>
        <v>0</v>
      </c>
      <c r="HV36" s="27"/>
      <c r="HW36" s="27">
        <f t="array" ref="HW36">SUMPRODUCT(('Data Base hauling'!$C$2:$C$2000="TCM-ROM SB1 BK05-ROM 5")*(ISNUMBER(SEARCH(TEXT('September TCM'!$B36,"00")&amp;"/03/2026",'Data Base hauling'!$E$2:$E$2000)))*'Data Base hauling'!$N$2:$N$2000)</f>
        <v>0</v>
      </c>
      <c r="HX36" s="27"/>
      <c r="HY36" s="27"/>
      <c r="HZ36" s="27"/>
      <c r="IA36" s="27"/>
      <c r="IB36" s="27"/>
      <c r="IC36" s="33">
        <f t="shared" si="48"/>
        <v>0</v>
      </c>
      <c r="ID36" s="52"/>
      <c r="IE36" s="152"/>
      <c r="IF36" s="53"/>
      <c r="IG36" s="53"/>
      <c r="IH36" s="53"/>
      <c r="II36" s="53"/>
      <c r="IJ36" s="1926">
        <f>SUMPRODUCT(('Data Base hauling'!$C$2:$C$2000="TCM-ROM SB1 BK05-ROM 4")*(ISNUMBER(SEARCH(TEXT('September TCM'!$B36,"00")&amp;"/09/2026",'Data Base hauling'!$E$2:$E$2000)))*'Data Base hauling'!$N$2:$N$2000)</f>
        <v>0</v>
      </c>
      <c r="IK36" s="1926"/>
      <c r="IL36" s="1926">
        <f>SUMPRODUCT(('Data Base hauling'!$C$2:$C$2000="TCM-ROM SB1 BK05-ROM 5")*(ISNUMBER(SEARCH(TEXT('September TCM'!$B36,"00")&amp;"/09/2026",'Data Base hauling'!$E$2:$E$2000)))*'Data Base hauling'!$N$2:$N$2000)</f>
        <v>0</v>
      </c>
      <c r="IM36" s="49"/>
      <c r="IN36" s="49">
        <f>SUMPRODUCT(('Data Base hauling'!$C$2:$C$2000="TCM-ROM SB1 BK05-ROM 6")*(ISNUMBER(SEARCH(TEXT('September TCM'!$B36,"00")&amp;"/09/2026",'Data Base hauling'!$E$2:$E$2000)))*'Data Base hauling'!$N$2:$N$2000)</f>
        <v>0</v>
      </c>
      <c r="IO36" s="49"/>
      <c r="IP36" s="49"/>
      <c r="IQ36" s="49">
        <f>SUMPRODUCT(('Data Base hauling'!$C$2:$C$2000="TCM-HAC1 (Production)-ROM 2(HAC)")*(ISNUMBER(SEARCH(TEXT('September TCM'!$B36,"00")&amp;"/09/2026",'Data Base hauling'!$E$2:$E$2000)))*'Data Base hauling'!$N$2:$N$2000)</f>
        <v>0</v>
      </c>
      <c r="IR36" s="2195">
        <f t="shared" si="132"/>
        <v>0</v>
      </c>
      <c r="IS36" s="36"/>
      <c r="IT36" s="36"/>
      <c r="IU36" s="27"/>
      <c r="IV36" s="27"/>
      <c r="IW36" s="53"/>
      <c r="IX36" s="27"/>
      <c r="IY36" s="24">
        <f>SUMPRODUCT(('Data Base hauling'!$C$2:$C$2000="TCM-ROM SB2 BK24-ROM 4")*(ISNUMBER(SEARCH(TEXT('September TCM'!$B36,"00")&amp;"/09/2026",'Data Base hauling'!$E$2:$E$2000)))*'Data Base hauling'!$N$2:$N$2000)</f>
        <v>0</v>
      </c>
      <c r="IZ36" s="24"/>
      <c r="JA36" s="24">
        <f>SUMPRODUCT(('Data Base hauling'!$C$2:$C$2000="TCM-ROM SB2 BK24-ROM 5")*(ISNUMBER(SEARCH(TEXT('September TCM'!$B36,"00")&amp;"/09/2026",'Data Base hauling'!$E$2:$E$2000)))*'Data Base hauling'!$N$2:$N$2000)</f>
        <v>0</v>
      </c>
      <c r="JB36" s="24"/>
      <c r="JC36" s="24">
        <f>SUMPRODUCT(('Data Base hauling'!$C$2:$C$2000="TCM-ROM SB2 BK24-ROM 6")*(ISNUMBER(SEARCH(TEXT('September TCM'!$B36,"00")&amp;"/09/2026",'Data Base hauling'!$E$2:$E$2000)))*'Data Base hauling'!$N$2:$N$2000)</f>
        <v>0</v>
      </c>
      <c r="JD36" s="27"/>
      <c r="JE36" s="27"/>
      <c r="JF36" s="27"/>
      <c r="JG36" s="33">
        <f t="shared" si="133"/>
        <v>0</v>
      </c>
      <c r="JH36" s="2667"/>
      <c r="JJ36" s="2014">
        <f>SUMPRODUCT(('Data Base hauling'!$O$2:$O$2000="TCM.HCV.LS")*(ISNUMBER(SEARCH(TEXT('September TCM'!$B36,"00")&amp;"/09/2026",'Data Base hauling'!$E$2:$E$2000)))*'Data Base hauling'!$N$2:$N$2000)</f>
        <v>0</v>
      </c>
      <c r="JK36" s="2015">
        <f>SUMPRODUCT(('Data Base hauling'!$O$2:$O$2000="TCM.HCV.HS")*(ISNUMBER(SEARCH(TEXT('September TCM'!$B36,"00")&amp;"/09/2026",'Data Base hauling'!$E$2:$E$2000)))*'Data Base hauling'!$N$2:$N$2000)</f>
        <v>0</v>
      </c>
      <c r="JL36" s="53"/>
      <c r="JM36" s="1736">
        <f t="shared" si="51"/>
        <v>0</v>
      </c>
      <c r="JN36" s="33"/>
      <c r="JO36" s="2669"/>
      <c r="JP36" s="66" t="str">
        <f>IFERROR(SUMPRODUCT(('Data Base hauling'!$O$2:$O$2000="TCM.HCV.LS")*('Data Base hauling'!$C$2:$C$2000="TCM-ROM NB-ROM 1")*(ISNUMBER(SEARCH(TEXT('September TCM'!$B36,"00")&amp;"/09/2026",'Data Base hauling'!$E$2:$E$2000)))*'Data Base hauling'!$N$2:$N$2000)/'September TCM'!$JJ36,"")</f>
        <v/>
      </c>
      <c r="JQ36" s="67" t="str">
        <f>IFERROR(SUMPRODUCT(('Data Base hauling'!$O$2:$O$2000="TCM.HCV.LS")*('Data Base hauling'!$C$2:$C$2000="TCM-ROM NB-ROM 2")*(ISNUMBER(SEARCH(TEXT('September TCM'!$B36,"00")&amp;"/09/2026",'Data Base hauling'!$E$2:$E$2000)))*'Data Base hauling'!$N$2:$N$2000)/'September TCM'!$JJ36,"")</f>
        <v/>
      </c>
      <c r="JR36" s="67" t="str">
        <f>IFERROR(SUMPRODUCT(('Data Base hauling'!$O$2:$O$2000="TCM.HCV.LS")*('Data Base hauling'!$C$2:$C$2000="TCM-ROM NB-ROM 3")*(ISNUMBER(SEARCH(TEXT('September TCM'!$B36,"00")&amp;"/09/2026",'Data Base hauling'!$E$2:$E$2000)))*'Data Base hauling'!$N$2:$N$2000)/'September TCM'!$JJ36,"")</f>
        <v/>
      </c>
      <c r="JS36" s="67" t="str">
        <f>IFERROR(SUMPRODUCT(('Data Base hauling'!$O$2:$O$2000="TCM.HCV.LS")*('Data Base hauling'!$C$2:$C$2000="TCM-ROM SB1 BK05-ROM 4")*(ISNUMBER(SEARCH(TEXT('September TCM'!$B36,"00")&amp;"/09/2026",'Data Base hauling'!$E$2:$E$2000)))*'Data Base hauling'!$N$2:$N$2000)/'September TCM'!$JJ36,"")</f>
        <v/>
      </c>
      <c r="JT36" s="67" t="str">
        <f>IFERROR(SUMPRODUCT(('Data Base hauling'!$O$2:$O$2000="TCM.HCV.LS")*SIGN(('Data Base hauling'!$C$2:$C$2000="TCM-ROM NB-ROM 5")+('Data Base hauling'!$C$2:$C$2000="TCM-ROM SB1 BK05-ROM 5")+('Data Base hauling'!$C$2:$C$2000="TCM-ROM SB2 BK24-ROM 5"))*(ISNUMBER(SEARCH(TEXT('September TCM'!$B36,"00")&amp;"/09/2026",'Data Base hauling'!$E$2:$E$2000)))*'Data Base hauling'!$N$2:$N$2000)/'September TCM'!$JJ36,"")</f>
        <v/>
      </c>
      <c r="JU36" s="67" t="str">
        <f>IFERROR(SUMPRODUCT(('Data Base hauling'!$O$2:$O$2000="TCM.HCV.LS")*SIGN(('Data Base hauling'!$C$2:$C$2000="TCM-ROM NB-ROM 6")+('Data Base hauling'!$C$2:$C$2000="TCM-ROM SB1 BK05-ROM 6")+('Data Base hauling'!$C$2:$C$2000="TCM-ROM SB2 BK24-ROM 6"))*(ISNUMBER(SEARCH(TEXT('September TCM'!$B36,"00")&amp;"/09/2026",'Data Base hauling'!$E$2:$E$2000)))*'Data Base hauling'!$N$2:$N$2000)/'September TCM'!$JJ36,"")</f>
        <v/>
      </c>
      <c r="JV36" s="67" t="str">
        <f>IFERROR(SUMPRODUCT(('Data Base hauling'!$O$2:$O$2000="TCM.HCV.LS")*('Data Base hauling'!$C$2:$C$2000="TCM-WASH-CR3")*(ISNUMBER(SEARCH(TEXT('September TCM'!$B36,"00")&amp;"/09/2026",'Data Base hauling'!$E$2:$E$2000)))*'Data Base hauling'!$N$2:$N$2000)/'September TCM'!$JJ36,"")</f>
        <v/>
      </c>
      <c r="JW36" s="1921">
        <f>SUMPRODUCT(('Data Base hauling'!$O$2:$O$2000="TCM.HCV.LS")*('Data Base hauling'!$C$2:$C$2000="TCM-HAC-CR3")*(ISNUMBER(SEARCH(TEXT('September TCM'!$B36,"00")&amp;"/089/2026",'Data Base hauling'!$E$2:$E$2000)))*'Data Base hauling'!$N$2:$N$2000)</f>
        <v>0</v>
      </c>
      <c r="JX36" s="66" t="str">
        <f>IFERROR(SUMPRODUCT(('Data Base hauling'!$O$2:$O$2000="TCM.HCV.HS")*('Data Base hauling'!$C$2:$C$2000="TCM-ROM NB-ROM 1")*(ISNUMBER(SEARCH(TEXT('September TCM'!$B36,"00")&amp;"/09/2026",'Data Base hauling'!$E$2:$E$2000)))*'Data Base hauling'!$N$2:$N$2000)/'September TCM'!$JK36,"")</f>
        <v/>
      </c>
      <c r="JY36" s="67" t="str">
        <f>IFERROR(SUMPRODUCT(('Data Base hauling'!$O$2:$O$2000="TCM.HCV.HS")*('Data Base hauling'!$C$2:$C$2000="TCM-ROM NB-ROM 2")*(ISNUMBER(SEARCH(TEXT('September TCM'!$B36,"00")&amp;"/09/2026",'Data Base hauling'!$E$2:$E$2000)))*'Data Base hauling'!$N$2:$N$2000)/'September TCM'!$JK36,"")</f>
        <v/>
      </c>
      <c r="JZ36" s="67" t="str">
        <f>IFERROR(SUMPRODUCT(('Data Base hauling'!$O$2:$O$2000="TCM.HCV.HS")*('Data Base hauling'!$C$2:$C$2000="TCM-ROM NB-ROM 3")*(ISNUMBER(SEARCH(TEXT('September TCM'!$B36,"00")&amp;"/09/2026",'Data Base hauling'!$E$2:$E$2000)))*'Data Base hauling'!$N$2:$N$2000)/'September TCM'!$JK36,"")</f>
        <v/>
      </c>
      <c r="KA36" s="67" t="str">
        <f>IFERROR(SUMPRODUCT(('Data Base hauling'!$O$2:$O$2000="TCM.HCV.HS")*('Data Base hauling'!$C$2:$C$2000="TCM-ROM SB1 BK05-ROM 4")*(ISNUMBER(SEARCH(TEXT('September TCM'!$B36,"00")&amp;"/09/2026",'Data Base hauling'!$E$2:$E$2000)))*'Data Base hauling'!$N$2:$N$2000)/'September TCM'!$JK36,"")</f>
        <v/>
      </c>
      <c r="KB36" s="67" t="str">
        <f>IFERROR(SUMPRODUCT(('Data Base hauling'!$O$2:$O$2000="TCM.HCV.HS")*SIGN(('Data Base hauling'!$C$2:$C$2000="TCM-ROM NB-ROM 5")+('Data Base hauling'!$C$2:$C$2000="TCM-ROM SB1 BK05-ROM 5")+('Data Base hauling'!$C$2:$C$2000="TCM-ROM SB2 BK24-ROM 5"))*(ISNUMBER(SEARCH(TEXT('September TCM'!$B36,"00")&amp;"/09/2026",'Data Base hauling'!$E$2:$E$2000)))*'Data Base hauling'!$N$2:$N$2000)/'September TCM'!$JK36,"")</f>
        <v/>
      </c>
      <c r="KC36" s="67" t="str">
        <f>IFERROR(SUMPRODUCT(('Data Base hauling'!$O$2:$O$2000="TCM.HCV.HS")*SIGN(('Data Base hauling'!$C$2:$C$2000="TCM-ROM NB-ROM 6")+('Data Base hauling'!$C$2:$C$2000="TCM-ROM SB1 BK05-ROM 6")+('Data Base hauling'!$C$2:$C$2000="TCM-ROM SB2 BK24-ROM 6"))*(ISNUMBER(SEARCH(TEXT('September TCM'!$B36,"00")&amp;"/09/2026",'Data Base hauling'!$E$2:$E$2000)))*'Data Base hauling'!$N$2:$N$2000)/'September TCM'!$JK36,"")</f>
        <v/>
      </c>
      <c r="KD36" s="67" t="str">
        <f>IFERROR(SUMPRODUCT(('Data Base hauling'!$O$2:$O$2000="TCM.HCV.HS")*('Data Base hauling'!$C$2:$C$2000="TCM-WASH-CR3")*(ISNUMBER(SEARCH(TEXT('September TCM'!$B36,"00")&amp;"/09/2026",'Data Base hauling'!$E$2:$E$2000)))*'Data Base hauling'!$N$2:$N$2000)/'September TCM'!$JK36,"")</f>
        <v/>
      </c>
      <c r="KE36" s="68" t="str">
        <f>IFERROR(SUMPRODUCT(('Data Base hauling'!$O$2:$O$2000="TCM.HCV.HS")*('Data Base hauling'!$C$2:$C$2000="TCM-HAC-CR3")*(ISNUMBER(SEARCH(TEXT('September TCM'!$B36,"00")&amp;"/09/2026",'Data Base hauling'!$E$2:$E$2000)))*'Data Base hauling'!$N$2:$N$2000)/'September TCM'!$JK36,"")</f>
        <v/>
      </c>
      <c r="KF36" s="69"/>
      <c r="KG36" s="70"/>
      <c r="KH36" s="70"/>
      <c r="KI36" s="70"/>
      <c r="KJ36" s="70"/>
      <c r="KK36" s="70"/>
      <c r="KL36" s="70"/>
      <c r="KM36" s="70"/>
      <c r="KN36" s="33"/>
      <c r="KO36" s="2669"/>
      <c r="KP36" s="2203">
        <f>IFERROR(SUMPRODUCT((TCM.HCV.LS!$A$3:$A$58=DATE(2026,9,$B36))*(TCM.HCV.LS!$O$3:$O$58&gt;0)*TCM.HCV.LS!$C$3:$C$58*TCM.HCV.LS!$O$3:$O$58)/SUMPRODUCT((TCM.HCV.LS!$A$3:$A$58=DATE(2026,9,$B36))*(TCM.HCV.LS!$O$3:$O$58&gt;0)*TCM.HCV.LS!$C$3:$C$58),0)</f>
        <v>0</v>
      </c>
      <c r="KQ36" s="1721">
        <f>IFERROR(SUMPRODUCT((TCM.HCV.LS!$A$3:$A$58=DATE(2026,9,$B36))*(TCM.HCV.LS!$M$3:$M$58&gt;0)*TCM.HCV.LS!$C$3:$C$58*TCM.HCV.LS!$M$3:$M$58)/SUMPRODUCT((TCM.HCV.LS!$A$3:$A$58=DATE(2026,9,$B36))*(TCM.HCV.LS!$M$3:$M$58&gt;0)*TCM.HCV.LS!$C$3:$C$58),0)</f>
        <v>0</v>
      </c>
      <c r="KR36" s="1721">
        <f>IFERROR(SUMPRODUCT((TCM.HCV.LS!$A$3:$A$58=DATE(2026,9,$B36))*(TCM.HCV.LS!$G$3:$G$58&gt;0)*TCM.HCV.LS!$C$3:$C$58*TCM.HCV.LS!$G$3:$G$58)/SUMPRODUCT((TCM.HCV.LS!$A$3:$A$58=DATE(2026,9,$B36))*(TCM.HCV.LS!$G$3:$G$58&gt;0)*TCM.HCV.LS!$C$3:$C$58),0)</f>
        <v>0</v>
      </c>
      <c r="KS36" s="1721">
        <f>IFERROR(SUMPRODUCT((TCM.HCV.LS!$A$3:$A$58=DATE(2026,9,$B36))*(TCM.HCV.LS!$F$3:$F$58&gt;0)*TCM.HCV.LS!$C$3:$C$58*TCM.HCV.LS!$F$3:$F$58)/SUMPRODUCT((TCM.HCV.LS!$A$3:$A$58=DATE(2026,9,$B36))*(TCM.HCV.LS!$F$3:$F$58&gt;0)*TCM.HCV.LS!$C$3:$C$58),0)</f>
        <v>0</v>
      </c>
      <c r="KT36" s="1722">
        <f>IFERROR(SUMPRODUCT((TCM.HCV.LS!$A$3:$A$58=DATE(2026,9,$B36))*(TCM.HCV.LS!$E$3:$E$58&gt;0)*TCM.HCV.LS!$C$3:$C$58*TCM.HCV.LS!$E$3:$E$58)/SUMPRODUCT((TCM.HCV.LS!$A$3:$A$58=DATE(2026,9,$B36))*(TCM.HCV.LS!$E$3:$E$58&gt;0)*TCM.HCV.LS!$C$3:$C$58),0)</f>
        <v>0</v>
      </c>
      <c r="KU36" s="1958">
        <f>IFERROR(SUMPRODUCT((TCM.HCV.HS!$A$3:$A$84=DATE(2026,9,$B36))*(TCM.HCV.HS!$O$3:$O$84&gt;0)*TCM.HCV.HS!$C$3:$C$84*TCM.HCV.HS!$O$3:$O$84)/SUMPRODUCT((TCM.HCV.HS!$A$3:$A$84=DATE(2026,9,$B36))*(TCM.HCV.HS!$O$3:$O$84&gt;0)*TCM.HCV.HS!$C$3:$C$84),0)</f>
        <v>0</v>
      </c>
      <c r="KV36" s="1961">
        <f>IFERROR(SUMPRODUCT((TCM.HCV.HS!$A$3:$A$84=DATE(2026,9,$B36))*(TCM.HCV.HS!$M$3:$M$84&gt;0)*TCM.HCV.HS!$C$3:$C$84*TCM.HCV.HS!$M$3:$M$84)/SUMPRODUCT((TCM.HCV.HS!$A$3:$A$84=DATE(2026,9,$B36))*(TCM.HCV.HS!$M$3:$M$84&gt;0)*TCM.HCV.HS!$C$3:$C$84),0)</f>
        <v>0</v>
      </c>
      <c r="KW36" s="1961">
        <f>IFERROR(SUMPRODUCT((TCM.HCV.HS!$A$3:$A$84=DATE(2026,9,$B36))*(TCM.HCV.HS!$G$3:$G$84&gt;0)*TCM.HCV.HS!$C$3:$C$84*TCM.HCV.HS!$G$3:$G$84)/SUMPRODUCT((TCM.HCV.HS!$A$3:$A$84=DATE(2026,9,$B36))*(TCM.HCV.HS!$G$3:$G$84&gt;0)*TCM.HCV.HS!$C$3:$C$84),0)</f>
        <v>0</v>
      </c>
      <c r="KX36" s="1961">
        <f>IFERROR(SUMPRODUCT((TCM.HCV.HS!$A$3:$A$84=DATE(2026,9,$B36))*(TCM.HCV.HS!$F$3:$F$84&gt;0)*TCM.HCV.HS!$C$3:$C$84*TCM.HCV.HS!$F$3:$F$84)/SUMPRODUCT((TCM.HCV.HS!$A$3:$A$84=DATE(2026,9,$B36))*(TCM.HCV.HS!$F$3:$F$84&gt;0)*TCM.HCV.HS!$C$3:$C$84),0)</f>
        <v>0</v>
      </c>
      <c r="KY36" s="1962">
        <f>IFERROR(SUMPRODUCT((TCM.HCV.HS!$A$3:$A$84=DATE(2026,9,$B36))*(TCM.HCV.HS!$E$3:$E$84&gt;0)*TCM.HCV.HS!$C$3:$C$84*TCM.HCV.HS!$E$3:$E$84)/SUMPRODUCT((TCM.HCV.HS!$A$3:$A$84=DATE(2026,9,$B36))*(TCM.HCV.HS!$E$3:$E$84&gt;0)*TCM.HCV.HS!$C$3:$C$84),0)</f>
        <v>0</v>
      </c>
      <c r="KZ36" s="36"/>
      <c r="LA36" s="53"/>
      <c r="LB36" s="53"/>
      <c r="LC36" s="53"/>
      <c r="LD36" s="53"/>
      <c r="LE36" s="33"/>
      <c r="LF36" s="2669"/>
      <c r="LH36" s="26">
        <f t="shared" si="138"/>
        <v>0</v>
      </c>
      <c r="LI36" s="27">
        <f t="shared" si="138"/>
        <v>0</v>
      </c>
      <c r="LJ36" s="27">
        <f t="shared" si="138"/>
        <v>0</v>
      </c>
      <c r="LK36" s="28">
        <f t="shared" si="53"/>
        <v>0</v>
      </c>
      <c r="LL36" s="36"/>
      <c r="LM36" s="27"/>
      <c r="LN36" s="27"/>
      <c r="LO36" s="33"/>
      <c r="LP36" s="1957"/>
      <c r="LQ36" s="2196"/>
      <c r="LR36" s="2688"/>
      <c r="LS36" s="36"/>
      <c r="LT36" s="36"/>
      <c r="LU36" s="27"/>
      <c r="LV36" s="27"/>
      <c r="LW36" s="27"/>
      <c r="LX36" s="1107">
        <f t="shared" si="129"/>
        <v>0</v>
      </c>
      <c r="LY36" s="36"/>
      <c r="LZ36" s="36"/>
      <c r="MA36" s="27"/>
      <c r="MB36" s="27"/>
      <c r="MC36" s="33"/>
      <c r="MD36" s="28">
        <f t="shared" si="137"/>
        <v>0</v>
      </c>
      <c r="ME36" s="26"/>
      <c r="MF36" s="36"/>
      <c r="MG36" s="27"/>
      <c r="MH36" s="27"/>
      <c r="MI36" s="27"/>
      <c r="MJ36" s="28"/>
      <c r="MK36" s="36"/>
      <c r="ML36" s="36"/>
      <c r="MM36" s="27"/>
      <c r="MN36" s="27"/>
      <c r="MO36" s="27"/>
      <c r="MP36" s="28"/>
      <c r="MQ36" s="36"/>
      <c r="MR36" s="36"/>
      <c r="MS36" s="27"/>
      <c r="MT36" s="27"/>
      <c r="MU36" s="27"/>
      <c r="MV36" s="33">
        <f t="shared" si="56"/>
        <v>0</v>
      </c>
      <c r="MW36" s="2688"/>
      <c r="MY36" s="26">
        <f t="shared" si="57"/>
        <v>377341.84766611259</v>
      </c>
      <c r="MZ36" s="27">
        <f t="shared" si="58"/>
        <v>191595.15302645112</v>
      </c>
      <c r="NA36" s="27">
        <f t="shared" si="59"/>
        <v>27294.683787707359</v>
      </c>
      <c r="NB36" s="28">
        <f t="shared" si="60"/>
        <v>318297.33035698003</v>
      </c>
      <c r="NC36" s="2621"/>
      <c r="ND36" s="23">
        <f t="shared" si="116"/>
        <v>207724.34280113198</v>
      </c>
      <c r="NE36" s="1655">
        <f t="shared" si="117"/>
        <v>169617.50486498058</v>
      </c>
      <c r="NF36" s="60">
        <f t="shared" si="63"/>
        <v>0</v>
      </c>
      <c r="NG36" s="275">
        <f t="shared" si="4"/>
        <v>377341.84766611259</v>
      </c>
      <c r="NH36" s="26">
        <v>0</v>
      </c>
      <c r="NI36" s="27">
        <v>0</v>
      </c>
      <c r="NJ36" s="27">
        <v>0</v>
      </c>
      <c r="NK36" s="27">
        <v>0</v>
      </c>
      <c r="NL36" s="27">
        <v>0</v>
      </c>
      <c r="NM36" s="33">
        <v>0</v>
      </c>
      <c r="NN36" s="27">
        <v>0</v>
      </c>
      <c r="NO36" s="36">
        <v>0</v>
      </c>
      <c r="NP36" s="24">
        <f t="shared" si="141"/>
        <v>21665.870136227244</v>
      </c>
      <c r="NQ36" s="27">
        <f t="shared" si="141"/>
        <v>22358.939343794715</v>
      </c>
      <c r="NR36" s="24">
        <f t="shared" si="118"/>
        <v>8443.1982322711574</v>
      </c>
      <c r="NS36" s="24">
        <f t="shared" si="119"/>
        <v>9895.3380410535083</v>
      </c>
      <c r="NT36" s="27">
        <f t="shared" si="0"/>
        <v>62363.345753346621</v>
      </c>
      <c r="NU36" s="27">
        <f t="shared" si="142"/>
        <v>0</v>
      </c>
      <c r="NV36" s="27">
        <f t="shared" si="142"/>
        <v>0</v>
      </c>
      <c r="NW36" s="27">
        <f t="shared" si="142"/>
        <v>0</v>
      </c>
      <c r="NX36" s="27">
        <f t="shared" si="142"/>
        <v>0</v>
      </c>
      <c r="NY36" s="27">
        <f t="shared" si="142"/>
        <v>0</v>
      </c>
      <c r="NZ36" s="5">
        <f t="shared" si="142"/>
        <v>0</v>
      </c>
      <c r="OA36" s="27">
        <f t="shared" si="142"/>
        <v>35558.705564997217</v>
      </c>
      <c r="OB36" s="27">
        <f t="shared" si="142"/>
        <v>0</v>
      </c>
      <c r="OC36" s="27">
        <f t="shared" si="66"/>
        <v>12611.886475620366</v>
      </c>
      <c r="OD36" s="27"/>
      <c r="OE36" s="27">
        <f t="shared" si="120"/>
        <v>13429.316718063665</v>
      </c>
      <c r="OF36" s="27">
        <f t="shared" si="67"/>
        <v>0</v>
      </c>
      <c r="OG36" s="28">
        <f t="shared" si="1"/>
        <v>61599.908758681253</v>
      </c>
      <c r="OH36" s="27">
        <f t="shared" si="143"/>
        <v>0</v>
      </c>
      <c r="OI36" s="27">
        <f t="shared" si="143"/>
        <v>0</v>
      </c>
      <c r="OJ36" s="27">
        <f t="shared" si="143"/>
        <v>0</v>
      </c>
      <c r="OK36" s="27">
        <f t="shared" si="143"/>
        <v>0</v>
      </c>
      <c r="OL36" s="27">
        <f t="shared" si="143"/>
        <v>0</v>
      </c>
      <c r="OM36" s="27">
        <f t="shared" si="143"/>
        <v>0</v>
      </c>
      <c r="ON36" s="24">
        <f t="shared" si="143"/>
        <v>0</v>
      </c>
      <c r="OO36" s="27">
        <f t="shared" si="143"/>
        <v>0</v>
      </c>
      <c r="OP36" s="24">
        <f t="shared" si="69"/>
        <v>54054.217649249818</v>
      </c>
      <c r="OQ36" s="27">
        <f t="shared" si="144"/>
        <v>0</v>
      </c>
      <c r="OR36" s="24">
        <f t="shared" si="144"/>
        <v>13577.680865173457</v>
      </c>
      <c r="OS36" s="27">
        <f t="shared" si="144"/>
        <v>0</v>
      </c>
      <c r="OT36" s="28">
        <f t="shared" si="2"/>
        <v>67631.898514423272</v>
      </c>
      <c r="OU36" s="36"/>
      <c r="OV36" s="27"/>
      <c r="OW36" s="27"/>
      <c r="OX36" s="27"/>
      <c r="OY36" s="27"/>
      <c r="OZ36" s="27"/>
      <c r="PA36" s="28">
        <f t="shared" si="71"/>
        <v>0</v>
      </c>
      <c r="PB36" s="36">
        <f t="shared" si="72"/>
        <v>0</v>
      </c>
      <c r="PC36" s="27">
        <f t="shared" si="73"/>
        <v>0</v>
      </c>
      <c r="PD36" s="27">
        <f t="shared" si="74"/>
        <v>0</v>
      </c>
      <c r="PE36" s="27">
        <f t="shared" si="75"/>
        <v>0</v>
      </c>
      <c r="PF36" s="24"/>
      <c r="PG36" s="27">
        <f t="shared" si="76"/>
        <v>0</v>
      </c>
      <c r="PH36" s="33">
        <f t="shared" si="3"/>
        <v>0</v>
      </c>
      <c r="PI36" s="2621"/>
      <c r="PK36" s="1907">
        <f>SUMPRODUCT(('Data Base Coal Wining'!$D$2:$D$2000="WASHING PLANT")*ISNUMBER(SEARCH(TEXT('September TCM'!$B36,"00")&amp;"/09/2026",'Data Base Coal Wining'!$E$2:$E$2000))*'Data Base Coal Wining'!$N$2:$N$2000)</f>
        <v>0</v>
      </c>
      <c r="PL36" s="3"/>
      <c r="PM36" s="3"/>
      <c r="PN36" s="3">
        <f t="shared" si="145"/>
        <v>0</v>
      </c>
      <c r="PO36" s="3">
        <f t="shared" si="78"/>
        <v>38895.633435124721</v>
      </c>
      <c r="PP36" s="11">
        <f t="shared" si="139"/>
        <v>27294.683787707359</v>
      </c>
      <c r="PQ36" s="15"/>
      <c r="PR36" s="2615"/>
      <c r="PT36" s="4"/>
      <c r="PU36" s="9"/>
      <c r="PV36" s="9"/>
      <c r="PW36" s="9"/>
      <c r="PX36" s="8">
        <f>SUMPRODUCT(('Data Base Coal Wining'!$D$2:$D$2000="TCM-ROM SB1 BK05-ROM 2 (HAC)")*('Data Base Coal Wining'!$G$2:$G$2000="Coal Winning")*ISNUMBER(SEARCH(TEXT('September TCM'!$B36,"00")&amp;"/09/2026",'Data Base Coal Wining'!$E$2:$E$2000))*'Data Base Coal Wining'!$N$2:$N$2000)</f>
        <v>0</v>
      </c>
      <c r="PY36" s="9"/>
      <c r="PZ36" s="8">
        <f t="shared" si="80"/>
        <v>0</v>
      </c>
      <c r="QA36" s="5">
        <f t="shared" si="81"/>
        <v>0</v>
      </c>
      <c r="QB36" s="5"/>
      <c r="QC36" s="5"/>
      <c r="QD36" s="5"/>
      <c r="QE36" s="5"/>
      <c r="QF36" s="5"/>
      <c r="QG36" s="12"/>
      <c r="QH36" s="12">
        <f t="shared" si="82"/>
        <v>29562.488999999998</v>
      </c>
      <c r="QI36" s="420">
        <f t="shared" si="83"/>
        <v>283762.59090898006</v>
      </c>
      <c r="QJ36" s="1106">
        <f t="shared" si="121"/>
        <v>4972.2504480000007</v>
      </c>
      <c r="QK36" s="484">
        <f t="shared" si="84"/>
        <v>5505.3678056099998</v>
      </c>
      <c r="QL36" s="12"/>
      <c r="QM36" s="2615"/>
      <c r="QO36" s="139" t="str">
        <f t="shared" si="85"/>
        <v/>
      </c>
      <c r="QP36" s="139" t="str">
        <f t="shared" si="86"/>
        <v/>
      </c>
      <c r="QR36" s="139" t="str">
        <f t="shared" si="87"/>
        <v/>
      </c>
      <c r="QS36" s="139" t="str">
        <f t="shared" si="88"/>
        <v/>
      </c>
      <c r="QU36" s="1">
        <f t="shared" si="89"/>
        <v>0</v>
      </c>
      <c r="QV36" s="1">
        <f t="shared" si="90"/>
        <v>0</v>
      </c>
      <c r="QW36" s="1">
        <f t="shared" si="91"/>
        <v>0</v>
      </c>
      <c r="QX36" s="1">
        <f t="shared" si="92"/>
        <v>0</v>
      </c>
      <c r="QY36" s="1">
        <f t="shared" si="93"/>
        <v>0</v>
      </c>
      <c r="QZ36" s="1">
        <f t="shared" si="94"/>
        <v>0</v>
      </c>
      <c r="RB36" s="1">
        <f t="shared" si="95"/>
        <v>0</v>
      </c>
      <c r="RC36" s="1">
        <f t="shared" si="96"/>
        <v>0</v>
      </c>
      <c r="RD36" s="1">
        <f t="shared" si="97"/>
        <v>0</v>
      </c>
      <c r="RE36" s="1">
        <f t="shared" si="98"/>
        <v>0</v>
      </c>
      <c r="RF36" s="1">
        <f t="shared" si="99"/>
        <v>0</v>
      </c>
      <c r="RG36" s="1">
        <f t="shared" si="100"/>
        <v>0</v>
      </c>
      <c r="RJ36" s="1">
        <v>27</v>
      </c>
      <c r="RK36" s="1">
        <f t="shared" si="150"/>
        <v>5984.4452097170979</v>
      </c>
      <c r="RL36" s="1">
        <f t="shared" si="150"/>
        <v>5074.1017804837184</v>
      </c>
      <c r="RM36" s="1">
        <f t="shared" si="150"/>
        <v>13404.263703387322</v>
      </c>
      <c r="RN36" s="89">
        <f t="shared" si="5"/>
        <v>24462.810693588137</v>
      </c>
      <c r="RO36" s="1033">
        <v>27</v>
      </c>
      <c r="RP36" s="1098">
        <v>0</v>
      </c>
      <c r="RQ36" s="1098">
        <f t="shared" si="102"/>
        <v>0</v>
      </c>
      <c r="RR36" s="1097">
        <f t="shared" si="102"/>
        <v>0</v>
      </c>
      <c r="RS36" s="1097">
        <f t="shared" si="103"/>
        <v>0</v>
      </c>
      <c r="RT36" s="1050"/>
      <c r="RU36" s="1050"/>
      <c r="RX36" s="421">
        <v>27</v>
      </c>
      <c r="RY36" s="1095">
        <f t="shared" si="104"/>
        <v>0</v>
      </c>
      <c r="RZ36" s="1046"/>
      <c r="SB36" s="1090"/>
      <c r="SC36" s="1090">
        <f t="shared" si="105"/>
        <v>0</v>
      </c>
      <c r="SD36" s="1090"/>
      <c r="SE36" s="1090">
        <f t="shared" si="136"/>
        <v>0</v>
      </c>
      <c r="SG36" s="1">
        <v>27</v>
      </c>
      <c r="SH36" s="1">
        <f t="shared" si="107"/>
        <v>0</v>
      </c>
      <c r="SI36" s="1094"/>
    </row>
    <row r="37" spans="1:503" s="1" customFormat="1">
      <c r="B37" s="471">
        <v>28</v>
      </c>
      <c r="C37" s="4">
        <f t="shared" si="146"/>
        <v>0</v>
      </c>
      <c r="D37" s="1590">
        <f t="shared" si="128"/>
        <v>0</v>
      </c>
      <c r="E37" s="1895">
        <f t="shared" si="6"/>
        <v>0</v>
      </c>
      <c r="F37" s="870"/>
      <c r="G37" s="870"/>
      <c r="H37" s="52"/>
      <c r="I37" s="61"/>
      <c r="J37" s="52"/>
      <c r="K37" s="54"/>
      <c r="L37" s="52"/>
      <c r="M37" s="61"/>
      <c r="N37" s="2629"/>
      <c r="O37" s="4">
        <f t="shared" si="125"/>
        <v>0</v>
      </c>
      <c r="P37" s="5">
        <f t="shared" si="7"/>
        <v>0</v>
      </c>
      <c r="Q37" s="1913">
        <f t="shared" si="8"/>
        <v>0</v>
      </c>
      <c r="R37" s="33"/>
      <c r="S37" s="26">
        <f t="shared" si="9"/>
        <v>0</v>
      </c>
      <c r="T37" s="27">
        <f t="shared" si="110"/>
        <v>0</v>
      </c>
      <c r="U37" s="1909">
        <f t="shared" si="10"/>
        <v>0</v>
      </c>
      <c r="V37" s="28"/>
      <c r="W37" s="26">
        <f t="shared" si="11"/>
        <v>0</v>
      </c>
      <c r="X37" s="5">
        <f t="shared" si="11"/>
        <v>0</v>
      </c>
      <c r="Y37" s="1909">
        <f t="shared" si="12"/>
        <v>0</v>
      </c>
      <c r="Z37" s="33"/>
      <c r="AA37" s="26">
        <f t="shared" si="13"/>
        <v>0</v>
      </c>
      <c r="AB37" s="27">
        <f t="shared" si="126"/>
        <v>0</v>
      </c>
      <c r="AC37" s="1909">
        <f t="shared" si="15"/>
        <v>0</v>
      </c>
      <c r="AD37" s="28"/>
      <c r="AE37" s="36"/>
      <c r="AF37" s="36"/>
      <c r="AG37" s="53">
        <f t="shared" si="16"/>
        <v>0</v>
      </c>
      <c r="AH37" s="28"/>
      <c r="AI37" s="26"/>
      <c r="AJ37" s="27"/>
      <c r="AK37" s="53">
        <f t="shared" si="17"/>
        <v>0</v>
      </c>
      <c r="AL37" s="28"/>
      <c r="AM37" s="2629"/>
      <c r="AN37" s="9"/>
      <c r="AO37" s="5"/>
      <c r="AP37" s="61">
        <f t="shared" si="18"/>
        <v>0</v>
      </c>
      <c r="AQ37" s="36"/>
      <c r="AR37" s="53"/>
      <c r="AS37" s="61">
        <f t="shared" si="19"/>
        <v>0</v>
      </c>
      <c r="AT37" s="36"/>
      <c r="AU37" s="27"/>
      <c r="AV37" s="54">
        <f t="shared" si="20"/>
        <v>0</v>
      </c>
      <c r="AW37" s="26"/>
      <c r="AX37" s="280">
        <f>SUMPRODUCT(ISNUMBER(SEARCH("BK20",'Data Base Coal Wining'!$C$2:$C$2000))*ISNUMBER(SEARCH("P3000",'Data Base Coal Wining'!$C$2:$C$2000))*('Data Base Coal Wining'!$H$2:$H$2000="PAMA")*('Data Base Coal Wining'!$G$2:$G$2000="Coal Winning")*ISNUMBER(SEARCH(TEXT('September TCM'!$B37,"00")&amp;"/09/2026",'Data Base Coal Wining'!$E$2:$E$2000))*'Data Base Coal Wining'!$N$2:$N$2000)</f>
        <v>0</v>
      </c>
      <c r="AY37" s="1895">
        <f t="shared" si="134"/>
        <v>0</v>
      </c>
      <c r="AZ37" s="1908"/>
      <c r="BA37" s="1909"/>
      <c r="BB37" s="1895">
        <f t="shared" si="21"/>
        <v>0</v>
      </c>
      <c r="BC37" s="1740"/>
      <c r="BD37" s="2154">
        <f>SUMPRODUCT(ISNUMBER(SEARCH("BK30",'Data Base Coal Wining'!$C$2:$C$2000))*ISNUMBER(SEARCH("P3000",'Data Base Coal Wining'!$C$2:$C$2000))*('Data Base Coal Wining'!$H$2:$H$2000="PAMA")*('Data Base Coal Wining'!$G$2:$G$2000="Coal Winning")*ISNUMBER(SEARCH(TEXT('September TCM'!$B37,"00")&amp;"/09/2026",'Data Base Coal Wining'!$E$2:$E$2000))*'Data Base Coal Wining'!$N$2:$N$2000)</f>
        <v>0</v>
      </c>
      <c r="BE37" s="1895">
        <f t="shared" si="22"/>
        <v>0</v>
      </c>
      <c r="BF37" s="1908"/>
      <c r="BG37" s="1909"/>
      <c r="BH37" s="1895">
        <f t="shared" si="23"/>
        <v>0</v>
      </c>
      <c r="BI37" s="1908">
        <v>0</v>
      </c>
      <c r="BJ37" s="1909">
        <v>0</v>
      </c>
      <c r="BK37" s="1895">
        <f t="shared" si="24"/>
        <v>0</v>
      </c>
      <c r="BL37" s="2491"/>
      <c r="BM37" s="2154">
        <f>SUMPRODUCT(ISNUMBER(SEARCH("BK26",'Data Base Coal Wining'!$C$2:$C$2000))*ISNUMBER(SEARCH("P4400",'Data Base Coal Wining'!$C$2:$C$2000))*('Data Base Coal Wining'!$H$2:$H$2000="MAP")*('Data Base Coal Wining'!$G$2:$G$2000="Coal Winning")*ISNUMBER(SEARCH(TEXT('September TCM'!$B37,"00")&amp;"/09/2026",'Data Base Coal Wining'!$E$2:$E$2000))*'Data Base Coal Wining'!$N$2:$N$2000)</f>
        <v>0</v>
      </c>
      <c r="BN37" s="2170"/>
      <c r="BO37" s="1895">
        <f t="shared" si="25"/>
        <v>0</v>
      </c>
      <c r="BP37" s="9"/>
      <c r="BQ37" s="2514">
        <f>SUMPRODUCT(ISNUMBER(SEARCH("BK34",'Data Base Coal Wining'!$C$2:$C$2000))*ISNUMBER(SEARCH("P4000",'Data Base Coal Wining'!$C$2:$C$2000))*('Data Base Coal Wining'!$H$2:$H$2000="PJPN")*('Data Base Coal Wining'!$G$2:$G$2000="Coal Winning")*ISNUMBER(SEARCH(TEXT('September TCM'!$B37,"00")&amp;"/09/2026",'Data Base Coal Wining'!$E$2:$E$2000))*'Data Base Coal Wining'!$N$2:$N$2000)</f>
        <v>0</v>
      </c>
      <c r="BR37" s="1735">
        <f t="shared" si="26"/>
        <v>0</v>
      </c>
      <c r="BS37" s="36"/>
      <c r="BT37" s="53"/>
      <c r="BU37" s="61">
        <f t="shared" si="27"/>
        <v>0</v>
      </c>
      <c r="BV37" s="36"/>
      <c r="BW37" s="27"/>
      <c r="BX37" s="28">
        <f t="shared" si="147"/>
        <v>0</v>
      </c>
      <c r="BY37" s="26"/>
      <c r="BZ37" s="5"/>
      <c r="CA37" s="61">
        <f t="shared" si="29"/>
        <v>0</v>
      </c>
      <c r="CB37" s="36"/>
      <c r="CC37" s="5"/>
      <c r="CD37" s="61">
        <f t="shared" si="30"/>
        <v>0</v>
      </c>
      <c r="CE37" s="26"/>
      <c r="CF37" s="5"/>
      <c r="CG37" s="28">
        <f t="shared" si="31"/>
        <v>0</v>
      </c>
      <c r="CH37" s="150"/>
      <c r="CI37" s="1108"/>
      <c r="CJ37" s="5"/>
      <c r="CK37" s="5"/>
      <c r="CL37" s="5"/>
      <c r="CM37" s="5"/>
      <c r="CN37" s="3">
        <f t="shared" si="111"/>
        <v>0</v>
      </c>
      <c r="CO37" s="33"/>
      <c r="CP37" s="366"/>
      <c r="CR37" s="4">
        <f t="shared" si="149"/>
        <v>0</v>
      </c>
      <c r="CS37" s="9">
        <f t="shared" si="149"/>
        <v>0</v>
      </c>
      <c r="CT37" s="5">
        <f t="shared" si="148"/>
        <v>0</v>
      </c>
      <c r="CU37" s="5">
        <f t="shared" si="148"/>
        <v>0</v>
      </c>
      <c r="CV37" s="5">
        <f t="shared" si="148"/>
        <v>0</v>
      </c>
      <c r="CW37" s="5">
        <f t="shared" si="148"/>
        <v>0</v>
      </c>
      <c r="CX37" s="5">
        <f t="shared" si="148"/>
        <v>0</v>
      </c>
      <c r="CY37" s="5">
        <f t="shared" si="148"/>
        <v>0</v>
      </c>
      <c r="CZ37" s="5">
        <f t="shared" si="148"/>
        <v>0</v>
      </c>
      <c r="DA37" s="5">
        <f t="shared" si="148"/>
        <v>0</v>
      </c>
      <c r="DB37" s="5">
        <f t="shared" si="148"/>
        <v>0</v>
      </c>
      <c r="DC37" s="12">
        <f t="shared" si="33"/>
        <v>0</v>
      </c>
      <c r="DD37" s="310">
        <f>SUM(CR37:DC37,PX37,PY37)</f>
        <v>0</v>
      </c>
      <c r="DE37" s="2695"/>
      <c r="DF37" s="8"/>
      <c r="DG37" s="9"/>
      <c r="DH37" s="5"/>
      <c r="DI37" s="5"/>
      <c r="DJ37" s="5"/>
      <c r="DK37" s="5"/>
      <c r="DL37" s="3">
        <f>SUMPRODUCT(('Data Base Coal Wining'!$D$2:$D$2000="TCM-ROM SB1 BK05-ROM 4")*('Data Base Coal Wining'!$G$2:$G$2000="Coal Winning")*ISNUMBER(SEARCH(TEXT('September TCM'!$B37,"00")&amp;"/09/2026",'Data Base Coal Wining'!$E$2:$E$2000))*'Data Base Coal Wining'!$N$2:$N$2000)</f>
        <v>0</v>
      </c>
      <c r="DM37" s="5"/>
      <c r="DN37" s="3">
        <f>SUMPRODUCT(('Data Base Coal Wining'!$D$2:$D$2000="TCM-ROM SB1 BK05-ROM 5")*('Data Base Coal Wining'!$G$2:$G$2000="Coal Winning")*ISNUMBER(SEARCH(TEXT('September TCM'!$B37,"00")&amp;"/09/2026",'Data Base Coal Wining'!$E$2:$E$2000))*'Data Base Coal Wining'!$N$2:$N$2000)</f>
        <v>0</v>
      </c>
      <c r="DO37" s="5"/>
      <c r="DP37" s="3">
        <f>SUMPRODUCT(('Data Base Coal Wining'!$D$2:$D$2000="TCM-ROM SB1 BK05-ROM 6")*('Data Base Coal Wining'!$G$2:$G$2000="Coal Winning")*ISNUMBER(SEARCH(TEXT('September TCM'!$B37,"00")&amp;"/09/2026",'Data Base Coal Wining'!$E$2:$E$2000))*'Data Base Coal Wining'!$N$2:$N$2000)</f>
        <v>0</v>
      </c>
      <c r="DQ37" s="11">
        <f>SUMPRODUCT(('Data Base Coal Wining'!$D$2:$D$2000="TCM-ROM SB1 BK05-ROM 6.1")*('Data Base Coal Wining'!$G$2:$G$2000="Coal Winning")*ISNUMBER(SEARCH(TEXT('September TCM'!$B37,"00")&amp;"/09/2026",'Data Base Coal Wining'!$E$2:$E$2000))*'Data Base Coal Wining'!$N$2:$N$2000)</f>
        <v>0</v>
      </c>
      <c r="DR37" s="12"/>
      <c r="DS37" s="28">
        <f t="shared" si="35"/>
        <v>0</v>
      </c>
      <c r="DT37" s="36"/>
      <c r="DU37" s="36"/>
      <c r="DV37" s="27"/>
      <c r="DW37" s="27"/>
      <c r="DX37" s="27"/>
      <c r="DY37" s="27"/>
      <c r="DZ37" s="27"/>
      <c r="EA37" s="27"/>
      <c r="EB37" s="3">
        <f>SUMPRODUCT(('Data Base Coal Wining'!$D$2:$D$2000="TCM-ROM SB2 BK24-ROM 5")*('Data Base Coal Wining'!$G$2:$G$2000="Coal Winning")*ISNUMBER(SEARCH(TEXT('September TCM'!$B37,"00")&amp;"/09/2026",'Data Base Coal Wining'!$E$2:$E$2000))*'Data Base Coal Wining'!$N$2:$N$2000)</f>
        <v>0</v>
      </c>
      <c r="EC37" s="27"/>
      <c r="ED37" s="24">
        <f>SUMPRODUCT(('Data Base Coal Wining'!$D$2:$D$2000="TCM-ROM SB2 BK24-ROM 6")*('Data Base Coal Wining'!$G$2:$G$2000="Coal Winning")*ISNUMBER(SEARCH(TEXT('September TCM'!$B37,"00")&amp;"/09/2026",'Data Base Coal Wining'!$E$2:$E$2000))*'Data Base Coal Wining'!$N$2:$N$2000)</f>
        <v>0</v>
      </c>
      <c r="EE37" s="33"/>
      <c r="EF37" s="28">
        <f t="shared" si="36"/>
        <v>0</v>
      </c>
      <c r="EG37" s="9"/>
      <c r="EH37" s="36"/>
      <c r="EI37" s="27"/>
      <c r="EJ37" s="27"/>
      <c r="EK37" s="27"/>
      <c r="EL37" s="27"/>
      <c r="EM37" s="27"/>
      <c r="EN37" s="27"/>
      <c r="EO37" s="5"/>
      <c r="EP37" s="5"/>
      <c r="EQ37" s="5"/>
      <c r="ER37" s="33"/>
      <c r="ES37" s="28">
        <f t="shared" si="127"/>
        <v>0</v>
      </c>
      <c r="ET37" s="36"/>
      <c r="EU37" s="27"/>
      <c r="EV37" s="27"/>
      <c r="EW37" s="27"/>
      <c r="EX37" s="27"/>
      <c r="EY37" s="27"/>
      <c r="EZ37" s="33">
        <f t="shared" si="38"/>
        <v>0</v>
      </c>
      <c r="FA37" s="2685"/>
      <c r="FC37" s="4">
        <f t="shared" si="39"/>
        <v>0</v>
      </c>
      <c r="FD37" s="5">
        <f t="shared" si="40"/>
        <v>0</v>
      </c>
      <c r="FE37" s="5">
        <f t="shared" si="151"/>
        <v>0</v>
      </c>
      <c r="FF37" s="12">
        <f t="shared" si="42"/>
        <v>0</v>
      </c>
      <c r="FG37" s="33"/>
      <c r="FH37" s="2674"/>
      <c r="FI37" s="9"/>
      <c r="FJ37" s="5"/>
      <c r="FK37" s="5"/>
      <c r="FL37" s="5"/>
      <c r="FM37" s="5"/>
      <c r="FN37" s="27"/>
      <c r="FO37" s="28">
        <f t="shared" si="43"/>
        <v>0</v>
      </c>
      <c r="FP37" s="36"/>
      <c r="FQ37" s="27"/>
      <c r="FR37" s="27"/>
      <c r="FS37" s="27"/>
      <c r="FT37" s="27"/>
      <c r="FU37" s="27"/>
      <c r="FV37" s="28">
        <f t="shared" si="44"/>
        <v>0</v>
      </c>
      <c r="FW37" s="36"/>
      <c r="FX37" s="36"/>
      <c r="FY37" s="27"/>
      <c r="FZ37" s="27"/>
      <c r="GA37" s="27"/>
      <c r="GB37" s="27"/>
      <c r="GC37" s="27"/>
      <c r="GD37" s="27"/>
      <c r="GE37" s="24" cm="1">
        <f t="array" ref="GE37">SUMPRODUCT(('Data Base Coal Wining'!$C$2:$C$2000="TCM-ROM TEMPORARY SB2 KM 76-ROM HAC (S4700 Hard Ban)")*(ISNUMBER(SEARCH(TEXT('September TCM'!$B37,"00")&amp;"/08/2026",'Data Base Coal Wining'!$E$2:$E$2000)))*'Data Base Coal Wining'!$N$2:$N$2000)</f>
        <v>0</v>
      </c>
      <c r="GF37" s="27"/>
      <c r="GG37" s="27"/>
      <c r="GH37" s="33"/>
      <c r="GI37" s="33">
        <f t="shared" si="45"/>
        <v>0</v>
      </c>
      <c r="GJ37" s="2674"/>
      <c r="GL37" s="2">
        <f t="shared" si="112"/>
        <v>0</v>
      </c>
      <c r="GM37" s="63">
        <f t="shared" si="113"/>
        <v>0</v>
      </c>
      <c r="GN37" s="24">
        <f t="shared" si="114"/>
        <v>0</v>
      </c>
      <c r="GO37" s="1736">
        <f t="shared" si="46"/>
        <v>0</v>
      </c>
      <c r="GP37" s="141"/>
      <c r="GQ37" s="141"/>
      <c r="GR37" s="33"/>
      <c r="GS37" s="2667"/>
      <c r="GT37" s="1723">
        <f>SUMPRODUCT(('Data Base hauling'!$H$2:$H$2000="Trust")*(ISNUMBER(SEARCH(TEXT('September TCM'!$B37,"00")&amp;"/09/2026",'Data Base hauling'!$E$2:$E$2000)))*'Data Base hauling'!$N$2:$N$2000)</f>
        <v>0</v>
      </c>
      <c r="GU37" s="1723">
        <f>SUMPRODUCT(('Data Base hauling'!$H$2:$H$2000="RT")*(ISNUMBER(SEARCH(TEXT('September TCM'!$B37,"00")&amp;"/09/2026",'Data Base hauling'!$E$2:$E$2000)))*'Data Base hauling'!$N$2:$N$2000)</f>
        <v>0</v>
      </c>
      <c r="GV37" s="5">
        <f>SUMPRODUCT(('Data Base hauling'!$H$2:$H$2000="MPE")*(ISNUMBER(SEARCH(TEXT('September TCM'!$B37,"00")&amp;"/09/2026",'Data Base hauling'!$E$2:$E$2000)))*'Data Base hauling'!$N$2:$N$2000)</f>
        <v>0</v>
      </c>
      <c r="GW37" s="1723">
        <f>SUMPRODUCT(('Data Base hauling'!$H$2:$H$2000="RP")*(ISNUMBER(SEARCH(TEXT('September TCM'!$B37,"00")&amp;"/09/2026",'Data Base hauling'!$E$2:$E$2000)))*'Data Base hauling'!$N$2:$N$2000)</f>
        <v>0</v>
      </c>
      <c r="GX37" s="28">
        <f t="shared" si="115"/>
        <v>0</v>
      </c>
      <c r="GY37" s="2667"/>
      <c r="GZ37" s="35">
        <f>SUMPRODUCT(('Data Base hauling'!$C$2:$C$2000="TCM-ROM NB-ROM 1")*(ISNUMBER(SEARCH(TEXT('September TCM'!$B37,"00")&amp;"/09/2026",'Data Base hauling'!$E$2:$E$2000)))*'Data Base hauling'!$N$2:$N$2000)</f>
        <v>0</v>
      </c>
      <c r="HA37" s="36"/>
      <c r="HB37" s="27"/>
      <c r="HC37" s="27"/>
      <c r="HD37" s="27"/>
      <c r="HE37" s="27"/>
      <c r="HF37" s="24">
        <f>SUMPRODUCT(('Data Base hauling'!$C$2:$C$2000="TCM-ROM NB-ROM 4")*(ISNUMBER(SEARCH(TEXT('September TCM'!$B37,"00")&amp;"/09/2026",'Data Base hauling'!$E$2:$E$2000)))*'Data Base hauling'!$N$2:$N$2000)</f>
        <v>0</v>
      </c>
      <c r="HG37" s="24"/>
      <c r="HH37" s="24">
        <f>SUMPRODUCT(('Data Base hauling'!$C$2:$C$2000="TCM-ROM NB-ROM 5")*(ISNUMBER(SEARCH(TEXT('September TCM'!$B37,"00")&amp;"/09/2026",'Data Base hauling'!$E$2:$E$2000)))*'Data Base hauling'!$N$2:$N$2000)</f>
        <v>0</v>
      </c>
      <c r="HI37" s="24"/>
      <c r="HJ37" s="24">
        <f>SUMPRODUCT(('Data Base hauling'!$C$2:$C$2000="TCM-ROM NB-ROM 6")*(ISNUMBER(SEARCH(TEXT('September TCM'!$B37,"00")&amp;"/09/2026",'Data Base hauling'!$E$2:$E$2000)))*'Data Base hauling'!$N$2:$N$2000)</f>
        <v>0</v>
      </c>
      <c r="HK37" s="24"/>
      <c r="HL37" s="24">
        <f>SUMPRODUCT(('Data Base hauling'!$C$2:$C$2000="TCM-WASH-CR3")*(ISNUMBER(SEARCH(TEXT('September TCM'!$B37,"00")&amp;"/09/2026",'Data Base hauling'!$E$2:$E$2000)))*'Data Base hauling'!$N$2:$N$2000)</f>
        <v>0</v>
      </c>
      <c r="HM37" s="27"/>
      <c r="HN37" s="28">
        <f t="shared" si="131"/>
        <v>0</v>
      </c>
      <c r="HO37" s="36"/>
      <c r="HP37" s="27"/>
      <c r="HQ37" s="27"/>
      <c r="HR37" s="27"/>
      <c r="HS37" s="27"/>
      <c r="HT37" s="27"/>
      <c r="HU37" s="27">
        <f t="array" ref="HU37">SUMPRODUCT(('Data Base hauling'!$C$2:$C$2000="TCM-ROM SB1 BK05-ROM 4")*(ISNUMBER(SEARCH(TEXT('September TCM'!$B37,"00")&amp;"/03/2026",'Data Base hauling'!$E$2:$E$2000)))*'Data Base hauling'!$N$2:$N$2000)</f>
        <v>0</v>
      </c>
      <c r="HV37" s="27"/>
      <c r="HW37" s="27">
        <f t="array" ref="HW37">SUMPRODUCT(('Data Base hauling'!$C$2:$C$2000="TCM-ROM SB1 BK05-ROM 5")*(ISNUMBER(SEARCH(TEXT('September TCM'!$B37,"00")&amp;"/03/2026",'Data Base hauling'!$E$2:$E$2000)))*'Data Base hauling'!$N$2:$N$2000)</f>
        <v>0</v>
      </c>
      <c r="HX37" s="27"/>
      <c r="HY37" s="27"/>
      <c r="HZ37" s="27"/>
      <c r="IA37" s="27"/>
      <c r="IB37" s="27"/>
      <c r="IC37" s="33">
        <f t="shared" si="48"/>
        <v>0</v>
      </c>
      <c r="ID37" s="52"/>
      <c r="IE37" s="152"/>
      <c r="IF37" s="53"/>
      <c r="IG37" s="53"/>
      <c r="IH37" s="53"/>
      <c r="II37" s="53"/>
      <c r="IJ37" s="1926">
        <f>SUMPRODUCT(('Data Base hauling'!$C$2:$C$2000="TCM-ROM SB1 BK05-ROM 4")*(ISNUMBER(SEARCH(TEXT('September TCM'!$B37,"00")&amp;"/09/2026",'Data Base hauling'!$E$2:$E$2000)))*'Data Base hauling'!$N$2:$N$2000)</f>
        <v>0</v>
      </c>
      <c r="IK37" s="1926"/>
      <c r="IL37" s="1926">
        <f>SUMPRODUCT(('Data Base hauling'!$C$2:$C$2000="TCM-ROM SB1 BK05-ROM 5")*(ISNUMBER(SEARCH(TEXT('September TCM'!$B37,"00")&amp;"/09/2026",'Data Base hauling'!$E$2:$E$2000)))*'Data Base hauling'!$N$2:$N$2000)</f>
        <v>0</v>
      </c>
      <c r="IM37" s="49"/>
      <c r="IN37" s="49">
        <f>SUMPRODUCT(('Data Base hauling'!$C$2:$C$2000="TCM-ROM SB1 BK05-ROM 6")*(ISNUMBER(SEARCH(TEXT('September TCM'!$B37,"00")&amp;"/09/2026",'Data Base hauling'!$E$2:$E$2000)))*'Data Base hauling'!$N$2:$N$2000)</f>
        <v>0</v>
      </c>
      <c r="IO37" s="49"/>
      <c r="IP37" s="49"/>
      <c r="IQ37" s="49">
        <f>SUMPRODUCT(('Data Base hauling'!$C$2:$C$2000="TCM-HAC1 (Production)-ROM 2(HAC)")*(ISNUMBER(SEARCH(TEXT('September TCM'!$B37,"00")&amp;"/09/2026",'Data Base hauling'!$E$2:$E$2000)))*'Data Base hauling'!$N$2:$N$2000)</f>
        <v>0</v>
      </c>
      <c r="IR37" s="61">
        <f t="shared" si="132"/>
        <v>0</v>
      </c>
      <c r="IS37" s="36"/>
      <c r="IT37" s="36"/>
      <c r="IU37" s="27"/>
      <c r="IV37" s="27"/>
      <c r="IW37" s="53"/>
      <c r="IX37" s="27"/>
      <c r="IY37" s="24">
        <f>SUMPRODUCT(('Data Base hauling'!$C$2:$C$2000="TCM-ROM SB2 BK24-ROM 4")*(ISNUMBER(SEARCH(TEXT('September TCM'!$B37,"00")&amp;"/09/2026",'Data Base hauling'!$E$2:$E$2000)))*'Data Base hauling'!$N$2:$N$2000)</f>
        <v>0</v>
      </c>
      <c r="IZ37" s="24"/>
      <c r="JA37" s="24">
        <f>SUMPRODUCT(('Data Base hauling'!$C$2:$C$2000="TCM-ROM SB2 BK24-ROM 5")*(ISNUMBER(SEARCH(TEXT('September TCM'!$B37,"00")&amp;"/09/2026",'Data Base hauling'!$E$2:$E$2000)))*'Data Base hauling'!$N$2:$N$2000)</f>
        <v>0</v>
      </c>
      <c r="JB37" s="24"/>
      <c r="JC37" s="24">
        <f>SUMPRODUCT(('Data Base hauling'!$C$2:$C$2000="TCM-ROM SB2 BK24-ROM 6")*(ISNUMBER(SEARCH(TEXT('September TCM'!$B37,"00")&amp;"/09/2026",'Data Base hauling'!$E$2:$E$2000)))*'Data Base hauling'!$N$2:$N$2000)</f>
        <v>0</v>
      </c>
      <c r="JD37" s="27"/>
      <c r="JE37" s="27"/>
      <c r="JF37" s="27"/>
      <c r="JG37" s="33">
        <f t="shared" si="133"/>
        <v>0</v>
      </c>
      <c r="JH37" s="2667"/>
      <c r="JJ37" s="2014">
        <f>SUMPRODUCT(('Data Base hauling'!$O$2:$O$2000="TCM.HCV.LS")*(ISNUMBER(SEARCH(TEXT('September TCM'!$B37,"00")&amp;"/09/2026",'Data Base hauling'!$E$2:$E$2000)))*'Data Base hauling'!$N$2:$N$2000)</f>
        <v>0</v>
      </c>
      <c r="JK37" s="2015">
        <f>SUMPRODUCT(('Data Base hauling'!$O$2:$O$2000="TCM.HCV.HS")*(ISNUMBER(SEARCH(TEXT('September TCM'!$B37,"00")&amp;"/09/2026",'Data Base hauling'!$E$2:$E$2000)))*'Data Base hauling'!$N$2:$N$2000)</f>
        <v>0</v>
      </c>
      <c r="JL37" s="53"/>
      <c r="JM37" s="1736">
        <f t="shared" si="51"/>
        <v>0</v>
      </c>
      <c r="JN37" s="33"/>
      <c r="JO37" s="2669"/>
      <c r="JP37" s="66" t="str">
        <f>IFERROR(SUMPRODUCT(('Data Base hauling'!$O$2:$O$2000="TCM.HCV.LS")*('Data Base hauling'!$C$2:$C$2000="TCM-ROM NB-ROM 1")*(ISNUMBER(SEARCH(TEXT('September TCM'!$B37,"00")&amp;"/09/2026",'Data Base hauling'!$E$2:$E$2000)))*'Data Base hauling'!$N$2:$N$2000)/'September TCM'!$JJ37,"")</f>
        <v/>
      </c>
      <c r="JQ37" s="67" t="str">
        <f>IFERROR(SUMPRODUCT(('Data Base hauling'!$O$2:$O$2000="TCM.HCV.LS")*('Data Base hauling'!$C$2:$C$2000="TCM-ROM NB-ROM 2")*(ISNUMBER(SEARCH(TEXT('September TCM'!$B37,"00")&amp;"/09/2026",'Data Base hauling'!$E$2:$E$2000)))*'Data Base hauling'!$N$2:$N$2000)/'September TCM'!$JJ37,"")</f>
        <v/>
      </c>
      <c r="JR37" s="67" t="str">
        <f>IFERROR(SUMPRODUCT(('Data Base hauling'!$O$2:$O$2000="TCM.HCV.LS")*('Data Base hauling'!$C$2:$C$2000="TCM-ROM NB-ROM 3")*(ISNUMBER(SEARCH(TEXT('September TCM'!$B37,"00")&amp;"/09/2026",'Data Base hauling'!$E$2:$E$2000)))*'Data Base hauling'!$N$2:$N$2000)/'September TCM'!$JJ37,"")</f>
        <v/>
      </c>
      <c r="JS37" s="67" t="str">
        <f>IFERROR(SUMPRODUCT(('Data Base hauling'!$O$2:$O$2000="TCM.HCV.LS")*('Data Base hauling'!$C$2:$C$2000="TCM-ROM SB1 BK05-ROM 4")*(ISNUMBER(SEARCH(TEXT('September TCM'!$B37,"00")&amp;"/09/2026",'Data Base hauling'!$E$2:$E$2000)))*'Data Base hauling'!$N$2:$N$2000)/'September TCM'!$JJ37,"")</f>
        <v/>
      </c>
      <c r="JT37" s="67" t="str">
        <f>IFERROR(SUMPRODUCT(('Data Base hauling'!$O$2:$O$2000="TCM.HCV.LS")*SIGN(('Data Base hauling'!$C$2:$C$2000="TCM-ROM NB-ROM 5")+('Data Base hauling'!$C$2:$C$2000="TCM-ROM SB1 BK05-ROM 5")+('Data Base hauling'!$C$2:$C$2000="TCM-ROM SB2 BK24-ROM 5"))*(ISNUMBER(SEARCH(TEXT('September TCM'!$B37,"00")&amp;"/09/2026",'Data Base hauling'!$E$2:$E$2000)))*'Data Base hauling'!$N$2:$N$2000)/'September TCM'!$JJ37,"")</f>
        <v/>
      </c>
      <c r="JU37" s="67" t="str">
        <f>IFERROR(SUMPRODUCT(('Data Base hauling'!$O$2:$O$2000="TCM.HCV.LS")*SIGN(('Data Base hauling'!$C$2:$C$2000="TCM-ROM NB-ROM 6")+('Data Base hauling'!$C$2:$C$2000="TCM-ROM SB1 BK05-ROM 6")+('Data Base hauling'!$C$2:$C$2000="TCM-ROM SB2 BK24-ROM 6"))*(ISNUMBER(SEARCH(TEXT('September TCM'!$B37,"00")&amp;"/09/2026",'Data Base hauling'!$E$2:$E$2000)))*'Data Base hauling'!$N$2:$N$2000)/'September TCM'!$JJ37,"")</f>
        <v/>
      </c>
      <c r="JV37" s="67" t="str">
        <f>IFERROR(SUMPRODUCT(('Data Base hauling'!$O$2:$O$2000="TCM.HCV.LS")*('Data Base hauling'!$C$2:$C$2000="TCM-WASH-CR3")*(ISNUMBER(SEARCH(TEXT('September TCM'!$B37,"00")&amp;"/09/2026",'Data Base hauling'!$E$2:$E$2000)))*'Data Base hauling'!$N$2:$N$2000)/'September TCM'!$JJ37,"")</f>
        <v/>
      </c>
      <c r="JW37" s="1921">
        <f>SUMPRODUCT(('Data Base hauling'!$O$2:$O$2000="TCM.HCV.LS")*('Data Base hauling'!$C$2:$C$2000="TCM-HAC-CR3")*(ISNUMBER(SEARCH(TEXT('September TCM'!$B37,"00")&amp;"/089/2026",'Data Base hauling'!$E$2:$E$2000)))*'Data Base hauling'!$N$2:$N$2000)</f>
        <v>0</v>
      </c>
      <c r="JX37" s="66" t="str">
        <f>IFERROR(SUMPRODUCT(('Data Base hauling'!$O$2:$O$2000="TCM.HCV.HS")*('Data Base hauling'!$C$2:$C$2000="TCM-ROM NB-ROM 1")*(ISNUMBER(SEARCH(TEXT('September TCM'!$B37,"00")&amp;"/09/2026",'Data Base hauling'!$E$2:$E$2000)))*'Data Base hauling'!$N$2:$N$2000)/'September TCM'!$JK37,"")</f>
        <v/>
      </c>
      <c r="JY37" s="67" t="str">
        <f>IFERROR(SUMPRODUCT(('Data Base hauling'!$O$2:$O$2000="TCM.HCV.HS")*('Data Base hauling'!$C$2:$C$2000="TCM-ROM NB-ROM 2")*(ISNUMBER(SEARCH(TEXT('September TCM'!$B37,"00")&amp;"/09/2026",'Data Base hauling'!$E$2:$E$2000)))*'Data Base hauling'!$N$2:$N$2000)/'September TCM'!$JK37,"")</f>
        <v/>
      </c>
      <c r="JZ37" s="67" t="str">
        <f>IFERROR(SUMPRODUCT(('Data Base hauling'!$O$2:$O$2000="TCM.HCV.HS")*('Data Base hauling'!$C$2:$C$2000="TCM-ROM NB-ROM 3")*(ISNUMBER(SEARCH(TEXT('September TCM'!$B37,"00")&amp;"/09/2026",'Data Base hauling'!$E$2:$E$2000)))*'Data Base hauling'!$N$2:$N$2000)/'September TCM'!$JK37,"")</f>
        <v/>
      </c>
      <c r="KA37" s="67" t="str">
        <f>IFERROR(SUMPRODUCT(('Data Base hauling'!$O$2:$O$2000="TCM.HCV.HS")*('Data Base hauling'!$C$2:$C$2000="TCM-ROM SB1 BK05-ROM 4")*(ISNUMBER(SEARCH(TEXT('September TCM'!$B37,"00")&amp;"/09/2026",'Data Base hauling'!$E$2:$E$2000)))*'Data Base hauling'!$N$2:$N$2000)/'September TCM'!$JK37,"")</f>
        <v/>
      </c>
      <c r="KB37" s="67" t="str">
        <f>IFERROR(SUMPRODUCT(('Data Base hauling'!$O$2:$O$2000="TCM.HCV.HS")*SIGN(('Data Base hauling'!$C$2:$C$2000="TCM-ROM NB-ROM 5")+('Data Base hauling'!$C$2:$C$2000="TCM-ROM SB1 BK05-ROM 5")+('Data Base hauling'!$C$2:$C$2000="TCM-ROM SB2 BK24-ROM 5"))*(ISNUMBER(SEARCH(TEXT('September TCM'!$B37,"00")&amp;"/09/2026",'Data Base hauling'!$E$2:$E$2000)))*'Data Base hauling'!$N$2:$N$2000)/'September TCM'!$JK37,"")</f>
        <v/>
      </c>
      <c r="KC37" s="67" t="str">
        <f>IFERROR(SUMPRODUCT(('Data Base hauling'!$O$2:$O$2000="TCM.HCV.HS")*SIGN(('Data Base hauling'!$C$2:$C$2000="TCM-ROM NB-ROM 6")+('Data Base hauling'!$C$2:$C$2000="TCM-ROM SB1 BK05-ROM 6")+('Data Base hauling'!$C$2:$C$2000="TCM-ROM SB2 BK24-ROM 6"))*(ISNUMBER(SEARCH(TEXT('September TCM'!$B37,"00")&amp;"/09/2026",'Data Base hauling'!$E$2:$E$2000)))*'Data Base hauling'!$N$2:$N$2000)/'September TCM'!$JK37,"")</f>
        <v/>
      </c>
      <c r="KD37" s="67" t="str">
        <f>IFERROR(SUMPRODUCT(('Data Base hauling'!$O$2:$O$2000="TCM.HCV.HS")*('Data Base hauling'!$C$2:$C$2000="TCM-WASH-CR3")*(ISNUMBER(SEARCH(TEXT('September TCM'!$B37,"00")&amp;"/09/2026",'Data Base hauling'!$E$2:$E$2000)))*'Data Base hauling'!$N$2:$N$2000)/'September TCM'!$JK37,"")</f>
        <v/>
      </c>
      <c r="KE37" s="68" t="str">
        <f>IFERROR(SUMPRODUCT(('Data Base hauling'!$O$2:$O$2000="TCM.HCV.HS")*('Data Base hauling'!$C$2:$C$2000="TCM-HAC-CR3")*(ISNUMBER(SEARCH(TEXT('September TCM'!$B37,"00")&amp;"/09/2026",'Data Base hauling'!$E$2:$E$2000)))*'Data Base hauling'!$N$2:$N$2000)/'September TCM'!$JK37,"")</f>
        <v/>
      </c>
      <c r="KF37" s="69"/>
      <c r="KG37" s="70"/>
      <c r="KH37" s="70"/>
      <c r="KI37" s="70"/>
      <c r="KJ37" s="70"/>
      <c r="KK37" s="70"/>
      <c r="KL37" s="70"/>
      <c r="KM37" s="70"/>
      <c r="KN37" s="33"/>
      <c r="KO37" s="2669"/>
      <c r="KP37" s="2203">
        <f>IFERROR(SUMPRODUCT((TCM.HCV.LS!$A$3:$A$58=DATE(2026,9,$B37))*(TCM.HCV.LS!$O$3:$O$58&gt;0)*TCM.HCV.LS!$C$3:$C$58*TCM.HCV.LS!$O$3:$O$58)/SUMPRODUCT((TCM.HCV.LS!$A$3:$A$58=DATE(2026,9,$B37))*(TCM.HCV.LS!$O$3:$O$58&gt;0)*TCM.HCV.LS!$C$3:$C$58),0)</f>
        <v>0</v>
      </c>
      <c r="KQ37" s="1721">
        <f>IFERROR(SUMPRODUCT((TCM.HCV.LS!$A$3:$A$58=DATE(2026,9,$B37))*(TCM.HCV.LS!$M$3:$M$58&gt;0)*TCM.HCV.LS!$C$3:$C$58*TCM.HCV.LS!$M$3:$M$58)/SUMPRODUCT((TCM.HCV.LS!$A$3:$A$58=DATE(2026,9,$B37))*(TCM.HCV.LS!$M$3:$M$58&gt;0)*TCM.HCV.LS!$C$3:$C$58),0)</f>
        <v>0</v>
      </c>
      <c r="KR37" s="1721">
        <f>IFERROR(SUMPRODUCT((TCM.HCV.LS!$A$3:$A$58=DATE(2026,9,$B37))*(TCM.HCV.LS!$G$3:$G$58&gt;0)*TCM.HCV.LS!$C$3:$C$58*TCM.HCV.LS!$G$3:$G$58)/SUMPRODUCT((TCM.HCV.LS!$A$3:$A$58=DATE(2026,9,$B37))*(TCM.HCV.LS!$G$3:$G$58&gt;0)*TCM.HCV.LS!$C$3:$C$58),0)</f>
        <v>0</v>
      </c>
      <c r="KS37" s="1721">
        <f>IFERROR(SUMPRODUCT((TCM.HCV.LS!$A$3:$A$58=DATE(2026,9,$B37))*(TCM.HCV.LS!$F$3:$F$58&gt;0)*TCM.HCV.LS!$C$3:$C$58*TCM.HCV.LS!$F$3:$F$58)/SUMPRODUCT((TCM.HCV.LS!$A$3:$A$58=DATE(2026,9,$B37))*(TCM.HCV.LS!$F$3:$F$58&gt;0)*TCM.HCV.LS!$C$3:$C$58),0)</f>
        <v>0</v>
      </c>
      <c r="KT37" s="1722">
        <f>IFERROR(SUMPRODUCT((TCM.HCV.LS!$A$3:$A$58=DATE(2026,9,$B37))*(TCM.HCV.LS!$E$3:$E$58&gt;0)*TCM.HCV.LS!$C$3:$C$58*TCM.HCV.LS!$E$3:$E$58)/SUMPRODUCT((TCM.HCV.LS!$A$3:$A$58=DATE(2026,9,$B37))*(TCM.HCV.LS!$E$3:$E$58&gt;0)*TCM.HCV.LS!$C$3:$C$58),0)</f>
        <v>0</v>
      </c>
      <c r="KU37" s="1958">
        <f>IFERROR(SUMPRODUCT((TCM.HCV.HS!$A$3:$A$84=DATE(2026,9,$B37))*(TCM.HCV.HS!$O$3:$O$84&gt;0)*TCM.HCV.HS!$C$3:$C$84*TCM.HCV.HS!$O$3:$O$84)/SUMPRODUCT((TCM.HCV.HS!$A$3:$A$84=DATE(2026,9,$B37))*(TCM.HCV.HS!$O$3:$O$84&gt;0)*TCM.HCV.HS!$C$3:$C$84),0)</f>
        <v>0</v>
      </c>
      <c r="KV37" s="1961">
        <f>IFERROR(SUMPRODUCT((TCM.HCV.HS!$A$3:$A$84=DATE(2026,9,$B37))*(TCM.HCV.HS!$M$3:$M$84&gt;0)*TCM.HCV.HS!$C$3:$C$84*TCM.HCV.HS!$M$3:$M$84)/SUMPRODUCT((TCM.HCV.HS!$A$3:$A$84=DATE(2026,9,$B37))*(TCM.HCV.HS!$M$3:$M$84&gt;0)*TCM.HCV.HS!$C$3:$C$84),0)</f>
        <v>0</v>
      </c>
      <c r="KW37" s="1961">
        <f>IFERROR(SUMPRODUCT((TCM.HCV.HS!$A$3:$A$84=DATE(2026,9,$B37))*(TCM.HCV.HS!$G$3:$G$84&gt;0)*TCM.HCV.HS!$C$3:$C$84*TCM.HCV.HS!$G$3:$G$84)/SUMPRODUCT((TCM.HCV.HS!$A$3:$A$84=DATE(2026,9,$B37))*(TCM.HCV.HS!$G$3:$G$84&gt;0)*TCM.HCV.HS!$C$3:$C$84),0)</f>
        <v>0</v>
      </c>
      <c r="KX37" s="1961">
        <f>IFERROR(SUMPRODUCT((TCM.HCV.HS!$A$3:$A$84=DATE(2026,9,$B37))*(TCM.HCV.HS!$F$3:$F$84&gt;0)*TCM.HCV.HS!$C$3:$C$84*TCM.HCV.HS!$F$3:$F$84)/SUMPRODUCT((TCM.HCV.HS!$A$3:$A$84=DATE(2026,9,$B37))*(TCM.HCV.HS!$F$3:$F$84&gt;0)*TCM.HCV.HS!$C$3:$C$84),0)</f>
        <v>0</v>
      </c>
      <c r="KY37" s="1962">
        <f>IFERROR(SUMPRODUCT((TCM.HCV.HS!$A$3:$A$84=DATE(2026,9,$B37))*(TCM.HCV.HS!$E$3:$E$84&gt;0)*TCM.HCV.HS!$C$3:$C$84*TCM.HCV.HS!$E$3:$E$84)/SUMPRODUCT((TCM.HCV.HS!$A$3:$A$84=DATE(2026,9,$B37))*(TCM.HCV.HS!$E$3:$E$84&gt;0)*TCM.HCV.HS!$C$3:$C$84),0)</f>
        <v>0</v>
      </c>
      <c r="KZ37" s="36"/>
      <c r="LA37" s="53"/>
      <c r="LB37" s="53"/>
      <c r="LC37" s="53"/>
      <c r="LD37" s="53"/>
      <c r="LE37" s="33"/>
      <c r="LF37" s="2669"/>
      <c r="LH37" s="26">
        <f t="shared" si="138"/>
        <v>0</v>
      </c>
      <c r="LI37" s="27">
        <f t="shared" si="138"/>
        <v>0</v>
      </c>
      <c r="LJ37" s="27">
        <f t="shared" si="138"/>
        <v>0</v>
      </c>
      <c r="LK37" s="28">
        <f t="shared" si="53"/>
        <v>0</v>
      </c>
      <c r="LL37" s="36"/>
      <c r="LM37" s="27"/>
      <c r="LN37" s="27"/>
      <c r="LO37" s="33"/>
      <c r="LP37" s="1957"/>
      <c r="LQ37" s="486"/>
      <c r="LR37" s="2688"/>
      <c r="LS37" s="26"/>
      <c r="LT37" s="36"/>
      <c r="LU37" s="27"/>
      <c r="LV37" s="27"/>
      <c r="LW37" s="27"/>
      <c r="LX37" s="1107">
        <f t="shared" si="129"/>
        <v>0</v>
      </c>
      <c r="LY37" s="36"/>
      <c r="LZ37" s="36"/>
      <c r="MA37" s="27"/>
      <c r="MB37" s="27"/>
      <c r="MC37" s="33"/>
      <c r="MD37" s="28">
        <f t="shared" si="137"/>
        <v>0</v>
      </c>
      <c r="ME37" s="26"/>
      <c r="MF37" s="36"/>
      <c r="MG37" s="27"/>
      <c r="MH37" s="27"/>
      <c r="MI37" s="27"/>
      <c r="MJ37" s="28"/>
      <c r="MK37" s="36"/>
      <c r="ML37" s="36"/>
      <c r="MM37" s="27"/>
      <c r="MN37" s="27"/>
      <c r="MO37" s="27"/>
      <c r="MP37" s="28"/>
      <c r="MQ37" s="36"/>
      <c r="MR37" s="36"/>
      <c r="MS37" s="27"/>
      <c r="MT37" s="27"/>
      <c r="MU37" s="27"/>
      <c r="MV37" s="33">
        <f t="shared" si="56"/>
        <v>0</v>
      </c>
      <c r="MW37" s="2688"/>
      <c r="MY37" s="26">
        <f t="shared" si="57"/>
        <v>377341.84766611259</v>
      </c>
      <c r="MZ37" s="27">
        <f t="shared" si="58"/>
        <v>191595.15302645112</v>
      </c>
      <c r="NA37" s="27">
        <f t="shared" si="59"/>
        <v>27294.683787707359</v>
      </c>
      <c r="NB37" s="28">
        <f t="shared" si="60"/>
        <v>318297.33035698003</v>
      </c>
      <c r="NC37" s="2621"/>
      <c r="ND37" s="23">
        <f t="shared" si="116"/>
        <v>207724.34280113198</v>
      </c>
      <c r="NE37" s="1655">
        <f t="shared" si="117"/>
        <v>169617.50486498058</v>
      </c>
      <c r="NF37" s="60">
        <f t="shared" si="63"/>
        <v>0</v>
      </c>
      <c r="NG37" s="275">
        <f t="shared" si="4"/>
        <v>377341.84766611259</v>
      </c>
      <c r="NH37" s="26">
        <f t="shared" ref="NH37:NQ40" si="152">+NH36+EG37-GZ37</f>
        <v>0</v>
      </c>
      <c r="NI37" s="27">
        <f t="shared" si="152"/>
        <v>0</v>
      </c>
      <c r="NJ37" s="27">
        <f t="shared" si="152"/>
        <v>0</v>
      </c>
      <c r="NK37" s="27">
        <f t="shared" si="152"/>
        <v>0</v>
      </c>
      <c r="NL37" s="27">
        <f t="shared" si="152"/>
        <v>0</v>
      </c>
      <c r="NM37" s="33">
        <f t="shared" si="152"/>
        <v>0</v>
      </c>
      <c r="NN37" s="27">
        <f t="shared" si="152"/>
        <v>0</v>
      </c>
      <c r="NO37" s="152">
        <f t="shared" si="152"/>
        <v>0</v>
      </c>
      <c r="NP37" s="24">
        <f t="shared" si="141"/>
        <v>21665.870136227244</v>
      </c>
      <c r="NQ37" s="27">
        <f t="shared" si="152"/>
        <v>22358.939343794715</v>
      </c>
      <c r="NR37" s="24">
        <f t="shared" si="118"/>
        <v>8443.1982322711574</v>
      </c>
      <c r="NS37" s="24">
        <f t="shared" si="119"/>
        <v>9895.3380410535083</v>
      </c>
      <c r="NT37" s="27">
        <f t="shared" si="0"/>
        <v>62363.345753346621</v>
      </c>
      <c r="NU37" s="27">
        <f t="shared" si="142"/>
        <v>0</v>
      </c>
      <c r="NV37" s="27">
        <f t="shared" si="142"/>
        <v>0</v>
      </c>
      <c r="NW37" s="27">
        <f t="shared" si="142"/>
        <v>0</v>
      </c>
      <c r="NX37" s="27">
        <f t="shared" si="142"/>
        <v>0</v>
      </c>
      <c r="NY37" s="27">
        <f t="shared" si="142"/>
        <v>0</v>
      </c>
      <c r="NZ37" s="5">
        <f t="shared" si="142"/>
        <v>0</v>
      </c>
      <c r="OA37" s="27">
        <f t="shared" si="142"/>
        <v>35558.705564997217</v>
      </c>
      <c r="OB37" s="27">
        <f t="shared" si="142"/>
        <v>0</v>
      </c>
      <c r="OC37" s="27">
        <f t="shared" si="66"/>
        <v>12611.886475620366</v>
      </c>
      <c r="OD37" s="27"/>
      <c r="OE37" s="27">
        <f t="shared" si="120"/>
        <v>13429.316718063665</v>
      </c>
      <c r="OF37" s="27">
        <f t="shared" si="67"/>
        <v>0</v>
      </c>
      <c r="OG37" s="28">
        <f t="shared" si="1"/>
        <v>61599.908758681253</v>
      </c>
      <c r="OH37" s="27">
        <f t="shared" si="143"/>
        <v>0</v>
      </c>
      <c r="OI37" s="27">
        <f t="shared" si="143"/>
        <v>0</v>
      </c>
      <c r="OJ37" s="27">
        <f t="shared" si="143"/>
        <v>0</v>
      </c>
      <c r="OK37" s="27">
        <f t="shared" si="143"/>
        <v>0</v>
      </c>
      <c r="OL37" s="27">
        <f t="shared" si="143"/>
        <v>0</v>
      </c>
      <c r="OM37" s="27">
        <f t="shared" si="143"/>
        <v>0</v>
      </c>
      <c r="ON37" s="24">
        <f t="shared" si="143"/>
        <v>0</v>
      </c>
      <c r="OO37" s="27">
        <f t="shared" si="143"/>
        <v>0</v>
      </c>
      <c r="OP37" s="24">
        <f t="shared" si="69"/>
        <v>54054.217649249818</v>
      </c>
      <c r="OQ37" s="27">
        <f t="shared" si="144"/>
        <v>0</v>
      </c>
      <c r="OR37" s="24">
        <f t="shared" si="144"/>
        <v>13577.680865173457</v>
      </c>
      <c r="OS37" s="27">
        <f t="shared" si="144"/>
        <v>0</v>
      </c>
      <c r="OT37" s="28">
        <f t="shared" si="2"/>
        <v>67631.898514423272</v>
      </c>
      <c r="OU37" s="36"/>
      <c r="OV37" s="27"/>
      <c r="OW37" s="27"/>
      <c r="OX37" s="27"/>
      <c r="OY37" s="27"/>
      <c r="OZ37" s="27"/>
      <c r="PA37" s="28">
        <f t="shared" si="71"/>
        <v>0</v>
      </c>
      <c r="PB37" s="36">
        <f t="shared" si="72"/>
        <v>0</v>
      </c>
      <c r="PC37" s="27">
        <f t="shared" si="73"/>
        <v>0</v>
      </c>
      <c r="PD37" s="27">
        <f t="shared" si="74"/>
        <v>0</v>
      </c>
      <c r="PE37" s="27">
        <f t="shared" si="75"/>
        <v>0</v>
      </c>
      <c r="PF37" s="24"/>
      <c r="PG37" s="27">
        <f t="shared" si="76"/>
        <v>0</v>
      </c>
      <c r="PH37" s="33">
        <f t="shared" si="3"/>
        <v>0</v>
      </c>
      <c r="PI37" s="2621"/>
      <c r="PK37" s="1907">
        <f>SUMPRODUCT(('Data Base Coal Wining'!$D$2:$D$2000="WASHING PLANT")*ISNUMBER(SEARCH(TEXT('September TCM'!$B37,"00")&amp;"/09/2026",'Data Base Coal Wining'!$E$2:$E$2000))*'Data Base Coal Wining'!$N$2:$N$2000)</f>
        <v>0</v>
      </c>
      <c r="PL37" s="3"/>
      <c r="PM37" s="3"/>
      <c r="PN37" s="3">
        <f t="shared" si="145"/>
        <v>0</v>
      </c>
      <c r="PO37" s="3">
        <f t="shared" si="78"/>
        <v>38895.633435124721</v>
      </c>
      <c r="PP37" s="11">
        <f t="shared" si="139"/>
        <v>27294.683787707359</v>
      </c>
      <c r="PQ37" s="15"/>
      <c r="PR37" s="2615"/>
      <c r="PT37" s="4"/>
      <c r="PU37" s="9"/>
      <c r="PV37" s="9"/>
      <c r="PW37" s="9"/>
      <c r="PX37" s="8">
        <f>SUMPRODUCT(('Data Base Coal Wining'!$D$2:$D$2000="TCM-ROM SB1 BK05-ROM 2 (HAC)")*('Data Base Coal Wining'!$G$2:$G$2000="Coal Winning")*ISNUMBER(SEARCH(TEXT('September TCM'!$B37,"00")&amp;"/09/2026",'Data Base Coal Wining'!$E$2:$E$2000))*'Data Base Coal Wining'!$N$2:$N$2000)</f>
        <v>0</v>
      </c>
      <c r="PY37" s="9"/>
      <c r="PZ37" s="8">
        <f t="shared" si="80"/>
        <v>0</v>
      </c>
      <c r="QA37" s="5">
        <f t="shared" si="81"/>
        <v>0</v>
      </c>
      <c r="QB37" s="5"/>
      <c r="QC37" s="5"/>
      <c r="QD37" s="5"/>
      <c r="QE37" s="5"/>
      <c r="QF37" s="5"/>
      <c r="QG37" s="12"/>
      <c r="QH37" s="12">
        <f t="shared" si="82"/>
        <v>29562.488999999998</v>
      </c>
      <c r="QI37" s="420">
        <f t="shared" si="83"/>
        <v>283762.59090898006</v>
      </c>
      <c r="QJ37" s="1106">
        <f t="shared" si="121"/>
        <v>4972.2504480000007</v>
      </c>
      <c r="QK37" s="484">
        <f t="shared" si="84"/>
        <v>5505.3678056099998</v>
      </c>
      <c r="QL37" s="12"/>
      <c r="QM37" s="2615"/>
      <c r="QO37" s="139" t="str">
        <f t="shared" si="85"/>
        <v/>
      </c>
      <c r="QP37" s="139" t="str">
        <f t="shared" si="86"/>
        <v/>
      </c>
      <c r="QR37" s="139" t="str">
        <f t="shared" si="87"/>
        <v/>
      </c>
      <c r="QS37" s="139" t="str">
        <f t="shared" si="88"/>
        <v/>
      </c>
      <c r="QU37" s="1">
        <f t="shared" si="89"/>
        <v>0</v>
      </c>
      <c r="QV37" s="1">
        <f t="shared" si="90"/>
        <v>0</v>
      </c>
      <c r="QW37" s="1">
        <f t="shared" si="91"/>
        <v>0</v>
      </c>
      <c r="QX37" s="1">
        <f t="shared" si="92"/>
        <v>0</v>
      </c>
      <c r="QY37" s="1">
        <f t="shared" si="93"/>
        <v>0</v>
      </c>
      <c r="QZ37" s="1">
        <f t="shared" si="94"/>
        <v>0</v>
      </c>
      <c r="RB37" s="1">
        <f t="shared" si="95"/>
        <v>0</v>
      </c>
      <c r="RC37" s="1">
        <f t="shared" si="96"/>
        <v>0</v>
      </c>
      <c r="RD37" s="1">
        <f t="shared" si="97"/>
        <v>0</v>
      </c>
      <c r="RE37" s="1">
        <f t="shared" si="98"/>
        <v>0</v>
      </c>
      <c r="RF37" s="1">
        <f t="shared" si="99"/>
        <v>0</v>
      </c>
      <c r="RG37" s="1">
        <f t="shared" si="100"/>
        <v>0</v>
      </c>
      <c r="RJ37" s="1">
        <v>28</v>
      </c>
      <c r="RK37" s="1">
        <f t="shared" si="150"/>
        <v>5984.4452097170979</v>
      </c>
      <c r="RL37" s="1">
        <f t="shared" si="150"/>
        <v>5074.1017804837184</v>
      </c>
      <c r="RM37" s="1">
        <f t="shared" si="150"/>
        <v>13404.263703387322</v>
      </c>
      <c r="RN37" s="89">
        <f t="shared" si="5"/>
        <v>24462.810693588137</v>
      </c>
      <c r="RO37" s="1033">
        <v>28</v>
      </c>
      <c r="RP37" s="1098">
        <v>0</v>
      </c>
      <c r="RQ37" s="1098">
        <f t="shared" si="102"/>
        <v>0</v>
      </c>
      <c r="RR37" s="1097">
        <f t="shared" si="102"/>
        <v>0</v>
      </c>
      <c r="RS37" s="1097">
        <f t="shared" si="103"/>
        <v>0</v>
      </c>
      <c r="RT37" s="1046"/>
      <c r="RU37" s="1928"/>
      <c r="RX37" s="421">
        <v>28</v>
      </c>
      <c r="RY37" s="1095">
        <f t="shared" si="104"/>
        <v>0</v>
      </c>
      <c r="RZ37" s="1109"/>
      <c r="SA37" s="1048"/>
      <c r="SB37" s="1090"/>
      <c r="SC37" s="1090">
        <f t="shared" si="105"/>
        <v>0</v>
      </c>
      <c r="SD37" s="1090"/>
      <c r="SE37" s="1090">
        <f t="shared" si="136"/>
        <v>0</v>
      </c>
      <c r="SG37" s="1">
        <v>28</v>
      </c>
      <c r="SH37" s="1">
        <f t="shared" si="107"/>
        <v>0</v>
      </c>
      <c r="SI37" s="1094"/>
    </row>
    <row r="38" spans="1:503" s="1" customFormat="1">
      <c r="B38" s="471">
        <v>29</v>
      </c>
      <c r="C38" s="4">
        <f t="shared" si="146"/>
        <v>0</v>
      </c>
      <c r="D38" s="1590">
        <f t="shared" si="128"/>
        <v>0</v>
      </c>
      <c r="E38" s="1895">
        <f t="shared" si="6"/>
        <v>0</v>
      </c>
      <c r="F38" s="870"/>
      <c r="G38" s="870"/>
      <c r="H38" s="52"/>
      <c r="I38" s="61"/>
      <c r="J38" s="52"/>
      <c r="K38" s="54"/>
      <c r="L38" s="52"/>
      <c r="M38" s="61"/>
      <c r="N38" s="2629"/>
      <c r="O38" s="4">
        <f t="shared" si="125"/>
        <v>0</v>
      </c>
      <c r="P38" s="5">
        <f t="shared" si="7"/>
        <v>0</v>
      </c>
      <c r="Q38" s="1913">
        <f t="shared" si="8"/>
        <v>0</v>
      </c>
      <c r="R38" s="33"/>
      <c r="S38" s="26">
        <f t="shared" si="9"/>
        <v>0</v>
      </c>
      <c r="T38" s="27">
        <f t="shared" si="110"/>
        <v>0</v>
      </c>
      <c r="U38" s="1909">
        <f t="shared" si="10"/>
        <v>0</v>
      </c>
      <c r="V38" s="28"/>
      <c r="W38" s="26">
        <f t="shared" si="11"/>
        <v>0</v>
      </c>
      <c r="X38" s="5">
        <f t="shared" si="11"/>
        <v>0</v>
      </c>
      <c r="Y38" s="1909">
        <f t="shared" si="12"/>
        <v>0</v>
      </c>
      <c r="Z38" s="33"/>
      <c r="AA38" s="26">
        <f t="shared" si="13"/>
        <v>0</v>
      </c>
      <c r="AB38" s="27">
        <f t="shared" si="126"/>
        <v>0</v>
      </c>
      <c r="AC38" s="1909">
        <f t="shared" si="15"/>
        <v>0</v>
      </c>
      <c r="AD38" s="28"/>
      <c r="AE38" s="36"/>
      <c r="AF38" s="36"/>
      <c r="AG38" s="53">
        <f t="shared" si="16"/>
        <v>0</v>
      </c>
      <c r="AH38" s="28"/>
      <c r="AI38" s="23"/>
      <c r="AJ38" s="27"/>
      <c r="AK38" s="53">
        <f t="shared" si="17"/>
        <v>0</v>
      </c>
      <c r="AL38" s="28"/>
      <c r="AM38" s="2629"/>
      <c r="AN38" s="9"/>
      <c r="AO38" s="5"/>
      <c r="AP38" s="61">
        <f t="shared" si="18"/>
        <v>0</v>
      </c>
      <c r="AQ38" s="36"/>
      <c r="AR38" s="53"/>
      <c r="AS38" s="61">
        <f t="shared" si="19"/>
        <v>0</v>
      </c>
      <c r="AT38" s="36"/>
      <c r="AU38" s="27"/>
      <c r="AV38" s="54">
        <f t="shared" si="20"/>
        <v>0</v>
      </c>
      <c r="AW38" s="26"/>
      <c r="AX38" s="280">
        <f>SUMPRODUCT(ISNUMBER(SEARCH("BK20",'Data Base Coal Wining'!$C$2:$C$2000))*ISNUMBER(SEARCH("P3000",'Data Base Coal Wining'!$C$2:$C$2000))*('Data Base Coal Wining'!$H$2:$H$2000="PAMA")*('Data Base Coal Wining'!$G$2:$G$2000="Coal Winning")*ISNUMBER(SEARCH(TEXT('September TCM'!$B38,"00")&amp;"/09/2026",'Data Base Coal Wining'!$E$2:$E$2000))*'Data Base Coal Wining'!$N$2:$N$2000)</f>
        <v>0</v>
      </c>
      <c r="AY38" s="1895">
        <f t="shared" si="134"/>
        <v>0</v>
      </c>
      <c r="AZ38" s="1908"/>
      <c r="BA38" s="1909"/>
      <c r="BB38" s="1895">
        <f t="shared" si="21"/>
        <v>0</v>
      </c>
      <c r="BC38" s="1740"/>
      <c r="BD38" s="2154">
        <f>SUMPRODUCT(ISNUMBER(SEARCH("BK30",'Data Base Coal Wining'!$C$2:$C$2000))*ISNUMBER(SEARCH("P3000",'Data Base Coal Wining'!$C$2:$C$2000))*('Data Base Coal Wining'!$H$2:$H$2000="PAMA")*('Data Base Coal Wining'!$G$2:$G$2000="Coal Winning")*ISNUMBER(SEARCH(TEXT('September TCM'!$B38,"00")&amp;"/09/2026",'Data Base Coal Wining'!$E$2:$E$2000))*'Data Base Coal Wining'!$N$2:$N$2000)</f>
        <v>0</v>
      </c>
      <c r="BE38" s="1895">
        <f t="shared" si="22"/>
        <v>0</v>
      </c>
      <c r="BF38" s="1908"/>
      <c r="BG38" s="1909"/>
      <c r="BH38" s="1895">
        <f t="shared" si="23"/>
        <v>0</v>
      </c>
      <c r="BI38" s="1908">
        <v>0</v>
      </c>
      <c r="BJ38" s="1909">
        <v>0</v>
      </c>
      <c r="BK38" s="1895">
        <f t="shared" si="24"/>
        <v>0</v>
      </c>
      <c r="BL38" s="2491"/>
      <c r="BM38" s="2154">
        <f>SUMPRODUCT(ISNUMBER(SEARCH("BK26",'Data Base Coal Wining'!$C$2:$C$2000))*ISNUMBER(SEARCH("P4400",'Data Base Coal Wining'!$C$2:$C$2000))*('Data Base Coal Wining'!$H$2:$H$2000="MAP")*('Data Base Coal Wining'!$G$2:$G$2000="Coal Winning")*ISNUMBER(SEARCH(TEXT('September TCM'!$B38,"00")&amp;"/09/2026",'Data Base Coal Wining'!$E$2:$E$2000))*'Data Base Coal Wining'!$N$2:$N$2000)</f>
        <v>0</v>
      </c>
      <c r="BN38" s="2170"/>
      <c r="BO38" s="1895">
        <f t="shared" si="25"/>
        <v>0</v>
      </c>
      <c r="BP38" s="9"/>
      <c r="BQ38" s="2514">
        <f>SUMPRODUCT(ISNUMBER(SEARCH("BK34",'Data Base Coal Wining'!$C$2:$C$2000))*ISNUMBER(SEARCH("P4000",'Data Base Coal Wining'!$C$2:$C$2000))*('Data Base Coal Wining'!$H$2:$H$2000="PJPN")*('Data Base Coal Wining'!$G$2:$G$2000="Coal Winning")*ISNUMBER(SEARCH(TEXT('September TCM'!$B38,"00")&amp;"/09/2026",'Data Base Coal Wining'!$E$2:$E$2000))*'Data Base Coal Wining'!$N$2:$N$2000)</f>
        <v>0</v>
      </c>
      <c r="BR38" s="1735">
        <f t="shared" si="26"/>
        <v>0</v>
      </c>
      <c r="BS38" s="36"/>
      <c r="BT38" s="27"/>
      <c r="BU38" s="61">
        <f t="shared" si="27"/>
        <v>0</v>
      </c>
      <c r="BV38" s="36"/>
      <c r="BW38" s="27"/>
      <c r="BX38" s="28">
        <f t="shared" si="147"/>
        <v>0</v>
      </c>
      <c r="BY38" s="26"/>
      <c r="BZ38" s="5"/>
      <c r="CA38" s="61">
        <f t="shared" si="29"/>
        <v>0</v>
      </c>
      <c r="CB38" s="36"/>
      <c r="CC38" s="5"/>
      <c r="CD38" s="61">
        <f t="shared" si="30"/>
        <v>0</v>
      </c>
      <c r="CE38" s="26"/>
      <c r="CF38" s="5"/>
      <c r="CG38" s="28">
        <f t="shared" si="31"/>
        <v>0</v>
      </c>
      <c r="CH38" s="150"/>
      <c r="CI38" s="9"/>
      <c r="CJ38" s="5"/>
      <c r="CK38" s="5"/>
      <c r="CL38" s="5"/>
      <c r="CM38" s="5"/>
      <c r="CN38" s="3">
        <f t="shared" si="111"/>
        <v>0</v>
      </c>
      <c r="CO38" s="33"/>
      <c r="CP38" s="366"/>
      <c r="CR38" s="4">
        <f t="shared" si="149"/>
        <v>0</v>
      </c>
      <c r="CS38" s="9">
        <f t="shared" si="149"/>
        <v>0</v>
      </c>
      <c r="CT38" s="5">
        <f t="shared" si="148"/>
        <v>0</v>
      </c>
      <c r="CU38" s="5">
        <f t="shared" si="148"/>
        <v>0</v>
      </c>
      <c r="CV38" s="5">
        <f t="shared" si="148"/>
        <v>0</v>
      </c>
      <c r="CW38" s="5">
        <f t="shared" si="148"/>
        <v>0</v>
      </c>
      <c r="CX38" s="5">
        <f t="shared" si="148"/>
        <v>0</v>
      </c>
      <c r="CY38" s="5">
        <f t="shared" si="148"/>
        <v>0</v>
      </c>
      <c r="CZ38" s="5">
        <f t="shared" si="148"/>
        <v>0</v>
      </c>
      <c r="DA38" s="5">
        <f t="shared" si="148"/>
        <v>0</v>
      </c>
      <c r="DB38" s="5">
        <f t="shared" si="148"/>
        <v>0</v>
      </c>
      <c r="DC38" s="12">
        <f t="shared" si="33"/>
        <v>0</v>
      </c>
      <c r="DD38" s="310">
        <f>SUM(CR38:DC38,PX38)</f>
        <v>0</v>
      </c>
      <c r="DE38" s="2695"/>
      <c r="DF38" s="8"/>
      <c r="DG38" s="9"/>
      <c r="DH38" s="5"/>
      <c r="DI38" s="5"/>
      <c r="DJ38" s="5"/>
      <c r="DK38" s="5"/>
      <c r="DL38" s="3">
        <f>SUMPRODUCT(('Data Base Coal Wining'!$D$2:$D$2000="TCM-ROM SB1 BK05-ROM 4")*('Data Base Coal Wining'!$G$2:$G$2000="Coal Winning")*ISNUMBER(SEARCH(TEXT('September TCM'!$B38,"00")&amp;"/09/2026",'Data Base Coal Wining'!$E$2:$E$2000))*'Data Base Coal Wining'!$N$2:$N$2000)</f>
        <v>0</v>
      </c>
      <c r="DM38" s="5"/>
      <c r="DN38" s="3">
        <f>SUMPRODUCT(('Data Base Coal Wining'!$D$2:$D$2000="TCM-ROM SB1 BK05-ROM 5")*('Data Base Coal Wining'!$G$2:$G$2000="Coal Winning")*ISNUMBER(SEARCH(TEXT('September TCM'!$B38,"00")&amp;"/09/2026",'Data Base Coal Wining'!$E$2:$E$2000))*'Data Base Coal Wining'!$N$2:$N$2000)</f>
        <v>0</v>
      </c>
      <c r="DO38" s="5"/>
      <c r="DP38" s="3">
        <f>SUMPRODUCT(('Data Base Coal Wining'!$D$2:$D$2000="TCM-ROM SB1 BK05-ROM 6")*('Data Base Coal Wining'!$G$2:$G$2000="Coal Winning")*ISNUMBER(SEARCH(TEXT('September TCM'!$B38,"00")&amp;"/09/2026",'Data Base Coal Wining'!$E$2:$E$2000))*'Data Base Coal Wining'!$N$2:$N$2000)</f>
        <v>0</v>
      </c>
      <c r="DQ38" s="11">
        <f>SUMPRODUCT(('Data Base Coal Wining'!$D$2:$D$2000="TCM-ROM SB1 BK05-ROM 6.1")*('Data Base Coal Wining'!$G$2:$G$2000="Coal Winning")*ISNUMBER(SEARCH(TEXT('September TCM'!$B38,"00")&amp;"/09/2026",'Data Base Coal Wining'!$E$2:$E$2000))*'Data Base Coal Wining'!$N$2:$N$2000)</f>
        <v>0</v>
      </c>
      <c r="DR38" s="12"/>
      <c r="DS38" s="28">
        <f t="shared" si="35"/>
        <v>0</v>
      </c>
      <c r="DT38" s="36"/>
      <c r="DU38" s="36"/>
      <c r="DV38" s="27"/>
      <c r="DW38" s="27"/>
      <c r="DX38" s="27"/>
      <c r="DY38" s="27"/>
      <c r="DZ38" s="27"/>
      <c r="EA38" s="27"/>
      <c r="EB38" s="3">
        <f>SUMPRODUCT(('Data Base Coal Wining'!$D$2:$D$2000="TCM-ROM SB2 BK24-ROM 5")*('Data Base Coal Wining'!$G$2:$G$2000="Coal Winning")*ISNUMBER(SEARCH(TEXT('September TCM'!$B38,"00")&amp;"/09/2026",'Data Base Coal Wining'!$E$2:$E$2000))*'Data Base Coal Wining'!$N$2:$N$2000)</f>
        <v>0</v>
      </c>
      <c r="EC38" s="27"/>
      <c r="ED38" s="24">
        <f>SUMPRODUCT(('Data Base Coal Wining'!$D$2:$D$2000="TCM-ROM SB2 BK24-ROM 6")*('Data Base Coal Wining'!$G$2:$G$2000="Coal Winning")*ISNUMBER(SEARCH(TEXT('September TCM'!$B38,"00")&amp;"/09/2026",'Data Base Coal Wining'!$E$2:$E$2000))*'Data Base Coal Wining'!$N$2:$N$2000)</f>
        <v>0</v>
      </c>
      <c r="EE38" s="33"/>
      <c r="EF38" s="28">
        <f t="shared" si="36"/>
        <v>0</v>
      </c>
      <c r="EG38" s="36"/>
      <c r="EH38" s="36"/>
      <c r="EI38" s="27"/>
      <c r="EJ38" s="27"/>
      <c r="EK38" s="27"/>
      <c r="EL38" s="27"/>
      <c r="EM38" s="27"/>
      <c r="EN38" s="27"/>
      <c r="EO38" s="5"/>
      <c r="EP38" s="5"/>
      <c r="EQ38" s="5"/>
      <c r="ER38" s="33"/>
      <c r="ES38" s="28">
        <f t="shared" si="127"/>
        <v>0</v>
      </c>
      <c r="ET38" s="36"/>
      <c r="EU38" s="27"/>
      <c r="EV38" s="27"/>
      <c r="EW38" s="27"/>
      <c r="EX38" s="27"/>
      <c r="EY38" s="27"/>
      <c r="EZ38" s="33">
        <f t="shared" si="38"/>
        <v>0</v>
      </c>
      <c r="FA38" s="2685"/>
      <c r="FC38" s="4">
        <f t="shared" si="39"/>
        <v>0</v>
      </c>
      <c r="FD38" s="5">
        <f t="shared" si="40"/>
        <v>0</v>
      </c>
      <c r="FE38" s="5">
        <f t="shared" si="151"/>
        <v>0</v>
      </c>
      <c r="FF38" s="12">
        <f t="shared" si="42"/>
        <v>0</v>
      </c>
      <c r="FG38" s="33"/>
      <c r="FH38" s="2674"/>
      <c r="FI38" s="9"/>
      <c r="FJ38" s="5"/>
      <c r="FK38" s="5"/>
      <c r="FL38" s="5"/>
      <c r="FM38" s="5"/>
      <c r="FN38" s="27"/>
      <c r="FO38" s="28">
        <f t="shared" si="43"/>
        <v>0</v>
      </c>
      <c r="FP38" s="36"/>
      <c r="FQ38" s="27"/>
      <c r="FR38" s="27"/>
      <c r="FS38" s="27"/>
      <c r="FT38" s="27"/>
      <c r="FU38" s="27"/>
      <c r="FV38" s="28">
        <f t="shared" si="44"/>
        <v>0</v>
      </c>
      <c r="FW38" s="36"/>
      <c r="FX38" s="36"/>
      <c r="FY38" s="27"/>
      <c r="FZ38" s="27"/>
      <c r="GA38" s="27"/>
      <c r="GB38" s="27"/>
      <c r="GC38" s="27"/>
      <c r="GD38" s="27"/>
      <c r="GE38" s="24" cm="1">
        <f t="array" ref="GE38">SUMPRODUCT(('Data Base Coal Wining'!$C$2:$C$2000="TCM-ROM TEMPORARY SB2 KM 76-ROM HAC (S4700 Hard Ban)")*(ISNUMBER(SEARCH(TEXT('September TCM'!$B38,"00")&amp;"/08/2026",'Data Base Coal Wining'!$E$2:$E$2000)))*'Data Base Coal Wining'!$N$2:$N$2000)</f>
        <v>0</v>
      </c>
      <c r="GF38" s="27"/>
      <c r="GG38" s="27"/>
      <c r="GH38" s="33"/>
      <c r="GI38" s="33">
        <f t="shared" si="45"/>
        <v>0</v>
      </c>
      <c r="GJ38" s="2674"/>
      <c r="GL38" s="2">
        <f t="shared" si="112"/>
        <v>0</v>
      </c>
      <c r="GM38" s="63">
        <f t="shared" si="113"/>
        <v>0</v>
      </c>
      <c r="GN38" s="24">
        <f t="shared" si="114"/>
        <v>0</v>
      </c>
      <c r="GO38" s="1736">
        <f t="shared" si="46"/>
        <v>0</v>
      </c>
      <c r="GP38" s="141"/>
      <c r="GQ38" s="141"/>
      <c r="GR38" s="33"/>
      <c r="GS38" s="2667"/>
      <c r="GT38" s="1723">
        <f>SUMPRODUCT(('Data Base hauling'!$H$2:$H$2000="Trust")*(ISNUMBER(SEARCH(TEXT('September TCM'!$B38,"00")&amp;"/09/2026",'Data Base hauling'!$E$2:$E$2000)))*'Data Base hauling'!$N$2:$N$2000)</f>
        <v>0</v>
      </c>
      <c r="GU38" s="1723">
        <f>SUMPRODUCT(('Data Base hauling'!$H$2:$H$2000="RT")*(ISNUMBER(SEARCH(TEXT('September TCM'!$B38,"00")&amp;"/09/2026",'Data Base hauling'!$E$2:$E$2000)))*'Data Base hauling'!$N$2:$N$2000)</f>
        <v>0</v>
      </c>
      <c r="GV38" s="5">
        <f>SUMPRODUCT(('Data Base hauling'!$H$2:$H$2000="MPE")*(ISNUMBER(SEARCH(TEXT('September TCM'!$B38,"00")&amp;"/09/2026",'Data Base hauling'!$E$2:$E$2000)))*'Data Base hauling'!$N$2:$N$2000)</f>
        <v>0</v>
      </c>
      <c r="GW38" s="1723">
        <f>SUMPRODUCT(('Data Base hauling'!$H$2:$H$2000="RP")*(ISNUMBER(SEARCH(TEXT('September TCM'!$B38,"00")&amp;"/09/2026",'Data Base hauling'!$E$2:$E$2000)))*'Data Base hauling'!$N$2:$N$2000)</f>
        <v>0</v>
      </c>
      <c r="GX38" s="28">
        <f t="shared" si="115"/>
        <v>0</v>
      </c>
      <c r="GY38" s="2667"/>
      <c r="GZ38" s="35">
        <f>SUMPRODUCT(('Data Base hauling'!$C$2:$C$2000="TCM-ROM NB-ROM 1")*(ISNUMBER(SEARCH(TEXT('September TCM'!$B38,"00")&amp;"/09/2026",'Data Base hauling'!$E$2:$E$2000)))*'Data Base hauling'!$N$2:$N$2000)</f>
        <v>0</v>
      </c>
      <c r="HA38" s="36"/>
      <c r="HB38" s="27"/>
      <c r="HC38" s="27"/>
      <c r="HD38" s="27"/>
      <c r="HE38" s="27"/>
      <c r="HF38" s="24">
        <f>SUMPRODUCT(('Data Base hauling'!$C$2:$C$2000="TCM-ROM NB-ROM 4")*(ISNUMBER(SEARCH(TEXT('September TCM'!$B38,"00")&amp;"/09/2026",'Data Base hauling'!$E$2:$E$2000)))*'Data Base hauling'!$N$2:$N$2000)</f>
        <v>0</v>
      </c>
      <c r="HG38" s="24"/>
      <c r="HH38" s="24">
        <f>SUMPRODUCT(('Data Base hauling'!$C$2:$C$2000="TCM-ROM NB-ROM 5")*(ISNUMBER(SEARCH(TEXT('September TCM'!$B38,"00")&amp;"/09/2026",'Data Base hauling'!$E$2:$E$2000)))*'Data Base hauling'!$N$2:$N$2000)</f>
        <v>0</v>
      </c>
      <c r="HI38" s="24"/>
      <c r="HJ38" s="24">
        <f>SUMPRODUCT(('Data Base hauling'!$C$2:$C$2000="TCM-ROM NB-ROM 6")*(ISNUMBER(SEARCH(TEXT('September TCM'!$B38,"00")&amp;"/09/2026",'Data Base hauling'!$E$2:$E$2000)))*'Data Base hauling'!$N$2:$N$2000)</f>
        <v>0</v>
      </c>
      <c r="HK38" s="24"/>
      <c r="HL38" s="24">
        <f>SUMPRODUCT(('Data Base hauling'!$C$2:$C$2000="TCM-WASH-CR3")*(ISNUMBER(SEARCH(TEXT('September TCM'!$B38,"00")&amp;"/09/2026",'Data Base hauling'!$E$2:$E$2000)))*'Data Base hauling'!$N$2:$N$2000)</f>
        <v>0</v>
      </c>
      <c r="HM38" s="27"/>
      <c r="HN38" s="28">
        <f t="shared" si="131"/>
        <v>0</v>
      </c>
      <c r="HO38" s="36"/>
      <c r="HP38" s="27"/>
      <c r="HQ38" s="27"/>
      <c r="HR38" s="27"/>
      <c r="HS38" s="27"/>
      <c r="HT38" s="27"/>
      <c r="HU38" s="27">
        <f t="array" ref="HU38">SUMPRODUCT(('Data Base hauling'!$C$2:$C$2000="TCM-ROM SB1 BK05-ROM 4")*(ISNUMBER(SEARCH(TEXT('September TCM'!$B38,"00")&amp;"/03/2026",'Data Base hauling'!$E$2:$E$2000)))*'Data Base hauling'!$N$2:$N$2000)</f>
        <v>0</v>
      </c>
      <c r="HV38" s="27"/>
      <c r="HW38" s="27">
        <f t="array" ref="HW38">SUMPRODUCT(('Data Base hauling'!$C$2:$C$2000="TCM-ROM SB1 BK05-ROM 5")*(ISNUMBER(SEARCH(TEXT('September TCM'!$B38,"00")&amp;"/03/2026",'Data Base hauling'!$E$2:$E$2000)))*'Data Base hauling'!$N$2:$N$2000)</f>
        <v>0</v>
      </c>
      <c r="HX38" s="27"/>
      <c r="HY38" s="27"/>
      <c r="HZ38" s="27"/>
      <c r="IA38" s="27"/>
      <c r="IB38" s="27"/>
      <c r="IC38" s="33">
        <f t="shared" si="48"/>
        <v>0</v>
      </c>
      <c r="ID38" s="52"/>
      <c r="IE38" s="152"/>
      <c r="IF38" s="53"/>
      <c r="IG38" s="53"/>
      <c r="IH38" s="53"/>
      <c r="II38" s="53"/>
      <c r="IJ38" s="1926">
        <f>SUMPRODUCT(('Data Base hauling'!$C$2:$C$2000="TCM-ROM SB1 BK05-ROM 4")*(ISNUMBER(SEARCH(TEXT('September TCM'!$B38,"00")&amp;"/09/2026",'Data Base hauling'!$E$2:$E$2000)))*'Data Base hauling'!$N$2:$N$2000)</f>
        <v>0</v>
      </c>
      <c r="IK38" s="1926"/>
      <c r="IL38" s="1926">
        <f>SUMPRODUCT(('Data Base hauling'!$C$2:$C$2000="TCM-ROM SB1 BK05-ROM 5")*(ISNUMBER(SEARCH(TEXT('September TCM'!$B38,"00")&amp;"/09/2026",'Data Base hauling'!$E$2:$E$2000)))*'Data Base hauling'!$N$2:$N$2000)</f>
        <v>0</v>
      </c>
      <c r="IM38" s="49"/>
      <c r="IN38" s="49">
        <f>SUMPRODUCT(('Data Base hauling'!$C$2:$C$2000="TCM-ROM SB1 BK05-ROM 6")*(ISNUMBER(SEARCH(TEXT('September TCM'!$B38,"00")&amp;"/09/2026",'Data Base hauling'!$E$2:$E$2000)))*'Data Base hauling'!$N$2:$N$2000)</f>
        <v>0</v>
      </c>
      <c r="IO38" s="49"/>
      <c r="IP38" s="49"/>
      <c r="IQ38" s="49">
        <f>SUMPRODUCT(('Data Base hauling'!$C$2:$C$2000="TCM-HAC1 (Production)-ROM 2(HAC)")*(ISNUMBER(SEARCH(TEXT('September TCM'!$B38,"00")&amp;"/09/2026",'Data Base hauling'!$E$2:$E$2000)))*'Data Base hauling'!$N$2:$N$2000)</f>
        <v>0</v>
      </c>
      <c r="IR38" s="61">
        <f t="shared" si="132"/>
        <v>0</v>
      </c>
      <c r="IS38" s="36"/>
      <c r="IT38" s="36"/>
      <c r="IU38" s="27"/>
      <c r="IV38" s="27"/>
      <c r="IW38" s="53"/>
      <c r="IX38" s="53"/>
      <c r="IY38" s="24">
        <f>SUMPRODUCT(('Data Base hauling'!$C$2:$C$2000="TCM-ROM SB2 BK24-ROM 4")*(ISNUMBER(SEARCH(TEXT('September TCM'!$B38,"00")&amp;"/09/2026",'Data Base hauling'!$E$2:$E$2000)))*'Data Base hauling'!$N$2:$N$2000)</f>
        <v>0</v>
      </c>
      <c r="IZ38" s="24"/>
      <c r="JA38" s="24">
        <f>SUMPRODUCT(('Data Base hauling'!$C$2:$C$2000="TCM-ROM SB2 BK24-ROM 5")*(ISNUMBER(SEARCH(TEXT('September TCM'!$B38,"00")&amp;"/09/2026",'Data Base hauling'!$E$2:$E$2000)))*'Data Base hauling'!$N$2:$N$2000)</f>
        <v>0</v>
      </c>
      <c r="JB38" s="24"/>
      <c r="JC38" s="24">
        <f>SUMPRODUCT(('Data Base hauling'!$C$2:$C$2000="TCM-ROM SB2 BK24-ROM 6")*(ISNUMBER(SEARCH(TEXT('September TCM'!$B38,"00")&amp;"/09/2026",'Data Base hauling'!$E$2:$E$2000)))*'Data Base hauling'!$N$2:$N$2000)</f>
        <v>0</v>
      </c>
      <c r="JD38" s="27"/>
      <c r="JE38" s="27"/>
      <c r="JF38" s="27"/>
      <c r="JG38" s="33">
        <f t="shared" si="133"/>
        <v>0</v>
      </c>
      <c r="JH38" s="2667"/>
      <c r="JJ38" s="2014">
        <f>SUMPRODUCT(('Data Base hauling'!$O$2:$O$2000="TCM.HCV.LS")*(ISNUMBER(SEARCH(TEXT('September TCM'!$B38,"00")&amp;"/09/2026",'Data Base hauling'!$E$2:$E$2000)))*'Data Base hauling'!$N$2:$N$2000)</f>
        <v>0</v>
      </c>
      <c r="JK38" s="2015">
        <f>SUMPRODUCT(('Data Base hauling'!$O$2:$O$2000="TCM.HCV.HS")*(ISNUMBER(SEARCH(TEXT('September TCM'!$B38,"00")&amp;"/09/2026",'Data Base hauling'!$E$2:$E$2000)))*'Data Base hauling'!$N$2:$N$2000)</f>
        <v>0</v>
      </c>
      <c r="JL38" s="27"/>
      <c r="JM38" s="1736">
        <f t="shared" si="51"/>
        <v>0</v>
      </c>
      <c r="JN38" s="33"/>
      <c r="JO38" s="2669"/>
      <c r="JP38" s="66" t="str">
        <f>IFERROR(SUMPRODUCT(('Data Base hauling'!$O$2:$O$2000="TCM.HCV.LS")*('Data Base hauling'!$C$2:$C$2000="TCM-ROM NB-ROM 1")*(ISNUMBER(SEARCH(TEXT('September TCM'!$B38,"00")&amp;"/09/2026",'Data Base hauling'!$E$2:$E$2000)))*'Data Base hauling'!$N$2:$N$2000)/'September TCM'!$JJ38,"")</f>
        <v/>
      </c>
      <c r="JQ38" s="67" t="str">
        <f>IFERROR(SUMPRODUCT(('Data Base hauling'!$O$2:$O$2000="TCM.HCV.LS")*('Data Base hauling'!$C$2:$C$2000="TCM-ROM NB-ROM 2")*(ISNUMBER(SEARCH(TEXT('September TCM'!$B38,"00")&amp;"/09/2026",'Data Base hauling'!$E$2:$E$2000)))*'Data Base hauling'!$N$2:$N$2000)/'September TCM'!$JJ38,"")</f>
        <v/>
      </c>
      <c r="JR38" s="67" t="str">
        <f>IFERROR(SUMPRODUCT(('Data Base hauling'!$O$2:$O$2000="TCM.HCV.LS")*('Data Base hauling'!$C$2:$C$2000="TCM-ROM NB-ROM 3")*(ISNUMBER(SEARCH(TEXT('September TCM'!$B38,"00")&amp;"/09/2026",'Data Base hauling'!$E$2:$E$2000)))*'Data Base hauling'!$N$2:$N$2000)/'September TCM'!$JJ38,"")</f>
        <v/>
      </c>
      <c r="JS38" s="67" t="str">
        <f>IFERROR(SUMPRODUCT(('Data Base hauling'!$O$2:$O$2000="TCM.HCV.LS")*('Data Base hauling'!$C$2:$C$2000="TCM-ROM SB1 BK05-ROM 4")*(ISNUMBER(SEARCH(TEXT('September TCM'!$B38,"00")&amp;"/09/2026",'Data Base hauling'!$E$2:$E$2000)))*'Data Base hauling'!$N$2:$N$2000)/'September TCM'!$JJ38,"")</f>
        <v/>
      </c>
      <c r="JT38" s="67" t="str">
        <f>IFERROR(SUMPRODUCT(('Data Base hauling'!$O$2:$O$2000="TCM.HCV.LS")*SIGN(('Data Base hauling'!$C$2:$C$2000="TCM-ROM NB-ROM 5")+('Data Base hauling'!$C$2:$C$2000="TCM-ROM SB1 BK05-ROM 5")+('Data Base hauling'!$C$2:$C$2000="TCM-ROM SB2 BK24-ROM 5"))*(ISNUMBER(SEARCH(TEXT('September TCM'!$B38,"00")&amp;"/09/2026",'Data Base hauling'!$E$2:$E$2000)))*'Data Base hauling'!$N$2:$N$2000)/'September TCM'!$JJ38,"")</f>
        <v/>
      </c>
      <c r="JU38" s="67" t="str">
        <f>IFERROR(SUMPRODUCT(('Data Base hauling'!$O$2:$O$2000="TCM.HCV.LS")*SIGN(('Data Base hauling'!$C$2:$C$2000="TCM-ROM NB-ROM 6")+('Data Base hauling'!$C$2:$C$2000="TCM-ROM SB1 BK05-ROM 6")+('Data Base hauling'!$C$2:$C$2000="TCM-ROM SB2 BK24-ROM 6"))*(ISNUMBER(SEARCH(TEXT('September TCM'!$B38,"00")&amp;"/09/2026",'Data Base hauling'!$E$2:$E$2000)))*'Data Base hauling'!$N$2:$N$2000)/'September TCM'!$JJ38,"")</f>
        <v/>
      </c>
      <c r="JV38" s="67" t="str">
        <f>IFERROR(SUMPRODUCT(('Data Base hauling'!$O$2:$O$2000="TCM.HCV.LS")*('Data Base hauling'!$C$2:$C$2000="TCM-WASH-CR3")*(ISNUMBER(SEARCH(TEXT('September TCM'!$B38,"00")&amp;"/09/2026",'Data Base hauling'!$E$2:$E$2000)))*'Data Base hauling'!$N$2:$N$2000)/'September TCM'!$JJ38,"")</f>
        <v/>
      </c>
      <c r="JW38" s="1921">
        <f>SUMPRODUCT(('Data Base hauling'!$O$2:$O$2000="TCM.HCV.LS")*('Data Base hauling'!$C$2:$C$2000="TCM-HAC-CR3")*(ISNUMBER(SEARCH(TEXT('September TCM'!$B38,"00")&amp;"/089/2026",'Data Base hauling'!$E$2:$E$2000)))*'Data Base hauling'!$N$2:$N$2000)</f>
        <v>0</v>
      </c>
      <c r="JX38" s="66" t="str">
        <f>IFERROR(SUMPRODUCT(('Data Base hauling'!$O$2:$O$2000="TCM.HCV.HS")*('Data Base hauling'!$C$2:$C$2000="TCM-ROM NB-ROM 1")*(ISNUMBER(SEARCH(TEXT('September TCM'!$B38,"00")&amp;"/09/2026",'Data Base hauling'!$E$2:$E$2000)))*'Data Base hauling'!$N$2:$N$2000)/'September TCM'!$JK38,"")</f>
        <v/>
      </c>
      <c r="JY38" s="67" t="str">
        <f>IFERROR(SUMPRODUCT(('Data Base hauling'!$O$2:$O$2000="TCM.HCV.HS")*('Data Base hauling'!$C$2:$C$2000="TCM-ROM NB-ROM 2")*(ISNUMBER(SEARCH(TEXT('September TCM'!$B38,"00")&amp;"/09/2026",'Data Base hauling'!$E$2:$E$2000)))*'Data Base hauling'!$N$2:$N$2000)/'September TCM'!$JK38,"")</f>
        <v/>
      </c>
      <c r="JZ38" s="67" t="str">
        <f>IFERROR(SUMPRODUCT(('Data Base hauling'!$O$2:$O$2000="TCM.HCV.HS")*('Data Base hauling'!$C$2:$C$2000="TCM-ROM NB-ROM 3")*(ISNUMBER(SEARCH(TEXT('September TCM'!$B38,"00")&amp;"/09/2026",'Data Base hauling'!$E$2:$E$2000)))*'Data Base hauling'!$N$2:$N$2000)/'September TCM'!$JK38,"")</f>
        <v/>
      </c>
      <c r="KA38" s="67" t="str">
        <f>IFERROR(SUMPRODUCT(('Data Base hauling'!$O$2:$O$2000="TCM.HCV.HS")*('Data Base hauling'!$C$2:$C$2000="TCM-ROM SB1 BK05-ROM 4")*(ISNUMBER(SEARCH(TEXT('September TCM'!$B38,"00")&amp;"/09/2026",'Data Base hauling'!$E$2:$E$2000)))*'Data Base hauling'!$N$2:$N$2000)/'September TCM'!$JK38,"")</f>
        <v/>
      </c>
      <c r="KB38" s="67" t="str">
        <f>IFERROR(SUMPRODUCT(('Data Base hauling'!$O$2:$O$2000="TCM.HCV.HS")*SIGN(('Data Base hauling'!$C$2:$C$2000="TCM-ROM NB-ROM 5")+('Data Base hauling'!$C$2:$C$2000="TCM-ROM SB1 BK05-ROM 5")+('Data Base hauling'!$C$2:$C$2000="TCM-ROM SB2 BK24-ROM 5"))*(ISNUMBER(SEARCH(TEXT('September TCM'!$B38,"00")&amp;"/09/2026",'Data Base hauling'!$E$2:$E$2000)))*'Data Base hauling'!$N$2:$N$2000)/'September TCM'!$JK38,"")</f>
        <v/>
      </c>
      <c r="KC38" s="67" t="str">
        <f>IFERROR(SUMPRODUCT(('Data Base hauling'!$O$2:$O$2000="TCM.HCV.HS")*SIGN(('Data Base hauling'!$C$2:$C$2000="TCM-ROM NB-ROM 6")+('Data Base hauling'!$C$2:$C$2000="TCM-ROM SB1 BK05-ROM 6")+('Data Base hauling'!$C$2:$C$2000="TCM-ROM SB2 BK24-ROM 6"))*(ISNUMBER(SEARCH(TEXT('September TCM'!$B38,"00")&amp;"/09/2026",'Data Base hauling'!$E$2:$E$2000)))*'Data Base hauling'!$N$2:$N$2000)/'September TCM'!$JK38,"")</f>
        <v/>
      </c>
      <c r="KD38" s="67" t="str">
        <f>IFERROR(SUMPRODUCT(('Data Base hauling'!$O$2:$O$2000="TCM.HCV.HS")*('Data Base hauling'!$C$2:$C$2000="TCM-WASH-CR3")*(ISNUMBER(SEARCH(TEXT('September TCM'!$B38,"00")&amp;"/09/2026",'Data Base hauling'!$E$2:$E$2000)))*'Data Base hauling'!$N$2:$N$2000)/'September TCM'!$JK38,"")</f>
        <v/>
      </c>
      <c r="KE38" s="68" t="str">
        <f>IFERROR(SUMPRODUCT(('Data Base hauling'!$O$2:$O$2000="TCM.HCV.HS")*('Data Base hauling'!$C$2:$C$2000="TCM-HAC-CR3")*(ISNUMBER(SEARCH(TEXT('September TCM'!$B38,"00")&amp;"/09/2026",'Data Base hauling'!$E$2:$E$2000)))*'Data Base hauling'!$N$2:$N$2000)/'September TCM'!$JK38,"")</f>
        <v/>
      </c>
      <c r="KF38" s="69"/>
      <c r="KG38" s="70"/>
      <c r="KH38" s="70"/>
      <c r="KI38" s="70"/>
      <c r="KJ38" s="70"/>
      <c r="KK38" s="70"/>
      <c r="KL38" s="70"/>
      <c r="KM38" s="70"/>
      <c r="KN38" s="33"/>
      <c r="KO38" s="2669"/>
      <c r="KP38" s="2203">
        <f>IFERROR(SUMPRODUCT((TCM.HCV.LS!$A$3:$A$58=DATE(2026,9,$B38))*(TCM.HCV.LS!$O$3:$O$58&gt;0)*TCM.HCV.LS!$C$3:$C$58*TCM.HCV.LS!$O$3:$O$58)/SUMPRODUCT((TCM.HCV.LS!$A$3:$A$58=DATE(2026,9,$B38))*(TCM.HCV.LS!$O$3:$O$58&gt;0)*TCM.HCV.LS!$C$3:$C$58),0)</f>
        <v>0</v>
      </c>
      <c r="KQ38" s="1721">
        <f>IFERROR(SUMPRODUCT((TCM.HCV.LS!$A$3:$A$58=DATE(2026,9,$B38))*(TCM.HCV.LS!$M$3:$M$58&gt;0)*TCM.HCV.LS!$C$3:$C$58*TCM.HCV.LS!$M$3:$M$58)/SUMPRODUCT((TCM.HCV.LS!$A$3:$A$58=DATE(2026,9,$B38))*(TCM.HCV.LS!$M$3:$M$58&gt;0)*TCM.HCV.LS!$C$3:$C$58),0)</f>
        <v>0</v>
      </c>
      <c r="KR38" s="1721">
        <f>IFERROR(SUMPRODUCT((TCM.HCV.LS!$A$3:$A$58=DATE(2026,9,$B38))*(TCM.HCV.LS!$G$3:$G$58&gt;0)*TCM.HCV.LS!$C$3:$C$58*TCM.HCV.LS!$G$3:$G$58)/SUMPRODUCT((TCM.HCV.LS!$A$3:$A$58=DATE(2026,9,$B38))*(TCM.HCV.LS!$G$3:$G$58&gt;0)*TCM.HCV.LS!$C$3:$C$58),0)</f>
        <v>0</v>
      </c>
      <c r="KS38" s="1721">
        <f>IFERROR(SUMPRODUCT((TCM.HCV.LS!$A$3:$A$58=DATE(2026,9,$B38))*(TCM.HCV.LS!$F$3:$F$58&gt;0)*TCM.HCV.LS!$C$3:$C$58*TCM.HCV.LS!$F$3:$F$58)/SUMPRODUCT((TCM.HCV.LS!$A$3:$A$58=DATE(2026,9,$B38))*(TCM.HCV.LS!$F$3:$F$58&gt;0)*TCM.HCV.LS!$C$3:$C$58),0)</f>
        <v>0</v>
      </c>
      <c r="KT38" s="1722">
        <f>IFERROR(SUMPRODUCT((TCM.HCV.LS!$A$3:$A$58=DATE(2026,9,$B38))*(TCM.HCV.LS!$E$3:$E$58&gt;0)*TCM.HCV.LS!$C$3:$C$58*TCM.HCV.LS!$E$3:$E$58)/SUMPRODUCT((TCM.HCV.LS!$A$3:$A$58=DATE(2026,9,$B38))*(TCM.HCV.LS!$E$3:$E$58&gt;0)*TCM.HCV.LS!$C$3:$C$58),0)</f>
        <v>0</v>
      </c>
      <c r="KU38" s="1958">
        <f>IFERROR(SUMPRODUCT((TCM.HCV.HS!$A$3:$A$84=DATE(2026,9,$B38))*(TCM.HCV.HS!$O$3:$O$84&gt;0)*TCM.HCV.HS!$C$3:$C$84*TCM.HCV.HS!$O$3:$O$84)/SUMPRODUCT((TCM.HCV.HS!$A$3:$A$84=DATE(2026,9,$B38))*(TCM.HCV.HS!$O$3:$O$84&gt;0)*TCM.HCV.HS!$C$3:$C$84),0)</f>
        <v>0</v>
      </c>
      <c r="KV38" s="1961">
        <f>IFERROR(SUMPRODUCT((TCM.HCV.HS!$A$3:$A$84=DATE(2026,9,$B38))*(TCM.HCV.HS!$M$3:$M$84&gt;0)*TCM.HCV.HS!$C$3:$C$84*TCM.HCV.HS!$M$3:$M$84)/SUMPRODUCT((TCM.HCV.HS!$A$3:$A$84=DATE(2026,9,$B38))*(TCM.HCV.HS!$M$3:$M$84&gt;0)*TCM.HCV.HS!$C$3:$C$84),0)</f>
        <v>0</v>
      </c>
      <c r="KW38" s="1961">
        <f>IFERROR(SUMPRODUCT((TCM.HCV.HS!$A$3:$A$84=DATE(2026,9,$B38))*(TCM.HCV.HS!$G$3:$G$84&gt;0)*TCM.HCV.HS!$C$3:$C$84*TCM.HCV.HS!$G$3:$G$84)/SUMPRODUCT((TCM.HCV.HS!$A$3:$A$84=DATE(2026,9,$B38))*(TCM.HCV.HS!$G$3:$G$84&gt;0)*TCM.HCV.HS!$C$3:$C$84),0)</f>
        <v>0</v>
      </c>
      <c r="KX38" s="1961">
        <f>IFERROR(SUMPRODUCT((TCM.HCV.HS!$A$3:$A$84=DATE(2026,9,$B38))*(TCM.HCV.HS!$F$3:$F$84&gt;0)*TCM.HCV.HS!$C$3:$C$84*TCM.HCV.HS!$F$3:$F$84)/SUMPRODUCT((TCM.HCV.HS!$A$3:$A$84=DATE(2026,9,$B38))*(TCM.HCV.HS!$F$3:$F$84&gt;0)*TCM.HCV.HS!$C$3:$C$84),0)</f>
        <v>0</v>
      </c>
      <c r="KY38" s="1962">
        <f>IFERROR(SUMPRODUCT((TCM.HCV.HS!$A$3:$A$84=DATE(2026,9,$B38))*(TCM.HCV.HS!$E$3:$E$84&gt;0)*TCM.HCV.HS!$C$3:$C$84*TCM.HCV.HS!$E$3:$E$84)/SUMPRODUCT((TCM.HCV.HS!$A$3:$A$84=DATE(2026,9,$B38))*(TCM.HCV.HS!$E$3:$E$84&gt;0)*TCM.HCV.HS!$C$3:$C$84),0)</f>
        <v>0</v>
      </c>
      <c r="KZ38" s="36"/>
      <c r="LA38" s="53"/>
      <c r="LB38" s="53"/>
      <c r="LC38" s="53"/>
      <c r="LD38" s="53"/>
      <c r="LE38" s="33"/>
      <c r="LF38" s="2669"/>
      <c r="LH38" s="26">
        <f t="shared" si="138"/>
        <v>0</v>
      </c>
      <c r="LI38" s="27">
        <f t="shared" si="138"/>
        <v>0</v>
      </c>
      <c r="LJ38" s="27">
        <f t="shared" si="138"/>
        <v>0</v>
      </c>
      <c r="LK38" s="28">
        <f t="shared" si="53"/>
        <v>0</v>
      </c>
      <c r="LL38" s="36"/>
      <c r="LM38" s="27"/>
      <c r="LN38" s="27"/>
      <c r="LO38" s="33"/>
      <c r="LP38" s="1957"/>
      <c r="LQ38" s="486"/>
      <c r="LR38" s="2688"/>
      <c r="LS38" s="26"/>
      <c r="LT38" s="36"/>
      <c r="LU38" s="27"/>
      <c r="LV38" s="27"/>
      <c r="LW38" s="27"/>
      <c r="LX38" s="1107">
        <f t="shared" si="129"/>
        <v>0</v>
      </c>
      <c r="LY38" s="36"/>
      <c r="LZ38" s="36"/>
      <c r="MA38" s="27"/>
      <c r="MB38" s="27"/>
      <c r="MC38" s="33"/>
      <c r="MD38" s="28">
        <f t="shared" si="137"/>
        <v>0</v>
      </c>
      <c r="ME38" s="26"/>
      <c r="MF38" s="36"/>
      <c r="MG38" s="27"/>
      <c r="MH38" s="27"/>
      <c r="MI38" s="27"/>
      <c r="MJ38" s="28"/>
      <c r="MK38" s="36"/>
      <c r="ML38" s="36"/>
      <c r="MM38" s="27"/>
      <c r="MN38" s="27"/>
      <c r="MO38" s="27"/>
      <c r="MP38" s="28"/>
      <c r="MQ38" s="36"/>
      <c r="MR38" s="36"/>
      <c r="MS38" s="27"/>
      <c r="MT38" s="27"/>
      <c r="MU38" s="27"/>
      <c r="MV38" s="33">
        <f t="shared" si="56"/>
        <v>0</v>
      </c>
      <c r="MW38" s="2688"/>
      <c r="MY38" s="26">
        <f t="shared" si="57"/>
        <v>377341.84766611259</v>
      </c>
      <c r="MZ38" s="27">
        <f t="shared" si="58"/>
        <v>191595.15302645112</v>
      </c>
      <c r="NA38" s="27">
        <f t="shared" si="59"/>
        <v>27294.683787707359</v>
      </c>
      <c r="NB38" s="28">
        <f t="shared" si="60"/>
        <v>318297.33035698003</v>
      </c>
      <c r="NC38" s="2621"/>
      <c r="ND38" s="23">
        <f t="shared" si="116"/>
        <v>207724.34280113198</v>
      </c>
      <c r="NE38" s="1655">
        <f t="shared" si="117"/>
        <v>169617.50486498058</v>
      </c>
      <c r="NF38" s="60">
        <f t="shared" si="63"/>
        <v>0</v>
      </c>
      <c r="NG38" s="275">
        <f t="shared" si="4"/>
        <v>377341.84766611259</v>
      </c>
      <c r="NH38" s="26">
        <f t="shared" si="152"/>
        <v>0</v>
      </c>
      <c r="NI38" s="27">
        <f t="shared" si="152"/>
        <v>0</v>
      </c>
      <c r="NJ38" s="27">
        <f t="shared" si="152"/>
        <v>0</v>
      </c>
      <c r="NK38" s="27">
        <f t="shared" si="152"/>
        <v>0</v>
      </c>
      <c r="NL38" s="27">
        <f t="shared" si="152"/>
        <v>0</v>
      </c>
      <c r="NM38" s="33">
        <f t="shared" si="152"/>
        <v>0</v>
      </c>
      <c r="NN38" s="27">
        <f t="shared" si="152"/>
        <v>0</v>
      </c>
      <c r="NO38" s="152">
        <f t="shared" si="152"/>
        <v>0</v>
      </c>
      <c r="NP38" s="24">
        <f t="shared" si="141"/>
        <v>21665.870136227244</v>
      </c>
      <c r="NQ38" s="27">
        <f t="shared" si="152"/>
        <v>22358.939343794715</v>
      </c>
      <c r="NR38" s="24">
        <f t="shared" si="118"/>
        <v>8443.1982322711574</v>
      </c>
      <c r="NS38" s="24">
        <f t="shared" si="119"/>
        <v>9895.3380410535083</v>
      </c>
      <c r="NT38" s="27">
        <f t="shared" si="0"/>
        <v>62363.345753346621</v>
      </c>
      <c r="NU38" s="27">
        <f t="shared" si="142"/>
        <v>0</v>
      </c>
      <c r="NV38" s="27">
        <f t="shared" si="142"/>
        <v>0</v>
      </c>
      <c r="NW38" s="27">
        <f t="shared" si="142"/>
        <v>0</v>
      </c>
      <c r="NX38" s="27">
        <f t="shared" si="142"/>
        <v>0</v>
      </c>
      <c r="NY38" s="5">
        <f t="shared" si="142"/>
        <v>0</v>
      </c>
      <c r="NZ38" s="5">
        <f t="shared" si="142"/>
        <v>0</v>
      </c>
      <c r="OA38" s="27">
        <f t="shared" si="142"/>
        <v>35558.705564997217</v>
      </c>
      <c r="OB38" s="27">
        <f t="shared" si="142"/>
        <v>0</v>
      </c>
      <c r="OC38" s="27">
        <f t="shared" si="66"/>
        <v>12611.886475620366</v>
      </c>
      <c r="OD38" s="27"/>
      <c r="OE38" s="27">
        <f t="shared" si="120"/>
        <v>13429.316718063665</v>
      </c>
      <c r="OF38" s="27">
        <f t="shared" si="67"/>
        <v>0</v>
      </c>
      <c r="OG38" s="28">
        <f t="shared" si="1"/>
        <v>61599.908758681253</v>
      </c>
      <c r="OH38" s="27">
        <f t="shared" si="143"/>
        <v>0</v>
      </c>
      <c r="OI38" s="27">
        <f t="shared" si="143"/>
        <v>0</v>
      </c>
      <c r="OJ38" s="27">
        <f t="shared" si="143"/>
        <v>0</v>
      </c>
      <c r="OK38" s="27">
        <f t="shared" si="143"/>
        <v>0</v>
      </c>
      <c r="OL38" s="27">
        <f t="shared" si="143"/>
        <v>0</v>
      </c>
      <c r="OM38" s="27">
        <f t="shared" si="143"/>
        <v>0</v>
      </c>
      <c r="ON38" s="24">
        <f t="shared" si="143"/>
        <v>0</v>
      </c>
      <c r="OO38" s="27">
        <f t="shared" si="143"/>
        <v>0</v>
      </c>
      <c r="OP38" s="24">
        <f t="shared" si="69"/>
        <v>54054.217649249818</v>
      </c>
      <c r="OQ38" s="27">
        <f t="shared" si="144"/>
        <v>0</v>
      </c>
      <c r="OR38" s="24">
        <f t="shared" si="144"/>
        <v>13577.680865173457</v>
      </c>
      <c r="OS38" s="27">
        <f t="shared" si="144"/>
        <v>0</v>
      </c>
      <c r="OT38" s="28">
        <f t="shared" si="2"/>
        <v>67631.898514423272</v>
      </c>
      <c r="OU38" s="36"/>
      <c r="OV38" s="27"/>
      <c r="OW38" s="27"/>
      <c r="OX38" s="27"/>
      <c r="OY38" s="27"/>
      <c r="OZ38" s="27"/>
      <c r="PA38" s="28">
        <f t="shared" si="71"/>
        <v>0</v>
      </c>
      <c r="PB38" s="36">
        <f t="shared" si="72"/>
        <v>0</v>
      </c>
      <c r="PC38" s="27">
        <f t="shared" si="73"/>
        <v>0</v>
      </c>
      <c r="PD38" s="27">
        <f t="shared" si="74"/>
        <v>0</v>
      </c>
      <c r="PE38" s="27">
        <f t="shared" si="75"/>
        <v>0</v>
      </c>
      <c r="PF38" s="24"/>
      <c r="PG38" s="27">
        <f t="shared" si="76"/>
        <v>0</v>
      </c>
      <c r="PH38" s="33">
        <f t="shared" si="3"/>
        <v>0</v>
      </c>
      <c r="PI38" s="2621"/>
      <c r="PK38" s="1907">
        <f>SUMPRODUCT(('Data Base Coal Wining'!$D$2:$D$2000="WASHING PLANT")*ISNUMBER(SEARCH(TEXT('September TCM'!$B38,"00")&amp;"/09/2026",'Data Base Coal Wining'!$E$2:$E$2000))*'Data Base Coal Wining'!$N$2:$N$2000)</f>
        <v>0</v>
      </c>
      <c r="PL38" s="3"/>
      <c r="PM38" s="3"/>
      <c r="PN38" s="3">
        <f t="shared" si="145"/>
        <v>0</v>
      </c>
      <c r="PO38" s="3">
        <f t="shared" si="78"/>
        <v>38895.633435124721</v>
      </c>
      <c r="PP38" s="11">
        <f t="shared" si="139"/>
        <v>27294.683787707359</v>
      </c>
      <c r="PQ38" s="15"/>
      <c r="PR38" s="2615"/>
      <c r="PT38" s="4"/>
      <c r="PU38" s="9"/>
      <c r="PV38" s="9"/>
      <c r="PW38" s="9"/>
      <c r="PX38" s="8">
        <f>SUMPRODUCT(('Data Base Coal Wining'!$D$2:$D$2000="TCM-ROM SB1 BK05-ROM 2 (HAC)")*('Data Base Coal Wining'!$G$2:$G$2000="Coal Winning")*ISNUMBER(SEARCH(TEXT('September TCM'!$B38,"00")&amp;"/09/2026",'Data Base Coal Wining'!$E$2:$E$2000))*'Data Base Coal Wining'!$N$2:$N$2000)</f>
        <v>0</v>
      </c>
      <c r="PY38" s="9"/>
      <c r="PZ38" s="8">
        <f t="shared" si="80"/>
        <v>0</v>
      </c>
      <c r="QA38" s="5">
        <f t="shared" si="81"/>
        <v>0</v>
      </c>
      <c r="QB38" s="5"/>
      <c r="QC38" s="5"/>
      <c r="QD38" s="5"/>
      <c r="QE38" s="5"/>
      <c r="QF38" s="5"/>
      <c r="QG38" s="12"/>
      <c r="QH38" s="12">
        <f t="shared" si="82"/>
        <v>29562.488999999998</v>
      </c>
      <c r="QI38" s="420">
        <f t="shared" si="83"/>
        <v>283762.59090898006</v>
      </c>
      <c r="QJ38" s="1106">
        <f t="shared" si="121"/>
        <v>4972.2504480000007</v>
      </c>
      <c r="QK38" s="484">
        <f t="shared" si="84"/>
        <v>5505.3678056099998</v>
      </c>
      <c r="QL38" s="12"/>
      <c r="QM38" s="2615"/>
      <c r="QO38" s="139" t="str">
        <f t="shared" si="85"/>
        <v/>
      </c>
      <c r="QP38" s="139" t="str">
        <f t="shared" si="86"/>
        <v/>
      </c>
      <c r="QR38" s="139" t="str">
        <f t="shared" si="87"/>
        <v/>
      </c>
      <c r="QS38" s="139" t="str">
        <f t="shared" si="88"/>
        <v/>
      </c>
      <c r="QU38" s="1">
        <f t="shared" si="89"/>
        <v>0</v>
      </c>
      <c r="QV38" s="1">
        <f t="shared" si="90"/>
        <v>0</v>
      </c>
      <c r="QW38" s="1">
        <f t="shared" si="91"/>
        <v>0</v>
      </c>
      <c r="QX38" s="1">
        <f t="shared" si="92"/>
        <v>0</v>
      </c>
      <c r="QY38" s="1">
        <f t="shared" si="93"/>
        <v>0</v>
      </c>
      <c r="QZ38" s="1">
        <f t="shared" si="94"/>
        <v>0</v>
      </c>
      <c r="RB38" s="1">
        <f t="shared" si="95"/>
        <v>0</v>
      </c>
      <c r="RC38" s="1">
        <f t="shared" si="96"/>
        <v>0</v>
      </c>
      <c r="RD38" s="1">
        <f t="shared" si="97"/>
        <v>0</v>
      </c>
      <c r="RE38" s="1">
        <f t="shared" si="98"/>
        <v>0</v>
      </c>
      <c r="RF38" s="1">
        <f t="shared" si="99"/>
        <v>0</v>
      </c>
      <c r="RG38" s="1">
        <f t="shared" si="100"/>
        <v>0</v>
      </c>
      <c r="RJ38" s="1">
        <v>29</v>
      </c>
      <c r="RK38" s="1">
        <f t="shared" si="150"/>
        <v>5984.4452097170979</v>
      </c>
      <c r="RL38" s="1">
        <f t="shared" si="150"/>
        <v>5074.1017804837184</v>
      </c>
      <c r="RM38" s="1">
        <f t="shared" si="150"/>
        <v>13404.263703387322</v>
      </c>
      <c r="RN38" s="89">
        <f t="shared" si="5"/>
        <v>24462.810693588137</v>
      </c>
      <c r="RO38" s="1033">
        <v>29</v>
      </c>
      <c r="RP38" s="1098">
        <v>0</v>
      </c>
      <c r="RQ38" s="1098">
        <f t="shared" si="102"/>
        <v>0</v>
      </c>
      <c r="RR38" s="1097">
        <f t="shared" si="102"/>
        <v>0</v>
      </c>
      <c r="RS38" s="1097">
        <f t="shared" si="103"/>
        <v>0</v>
      </c>
      <c r="RT38" s="1094"/>
      <c r="RU38" s="2420"/>
      <c r="RX38" s="421">
        <v>29</v>
      </c>
      <c r="RY38" s="1095">
        <f t="shared" si="104"/>
        <v>0</v>
      </c>
      <c r="RZ38" s="2441"/>
      <c r="SB38" s="1090"/>
      <c r="SC38" s="1090">
        <f t="shared" si="105"/>
        <v>0</v>
      </c>
      <c r="SD38" s="1090"/>
      <c r="SE38" s="1090">
        <f t="shared" si="136"/>
        <v>0</v>
      </c>
      <c r="SG38" s="1">
        <v>29</v>
      </c>
      <c r="SH38" s="1">
        <f t="shared" si="107"/>
        <v>0</v>
      </c>
      <c r="SI38" s="2420"/>
    </row>
    <row r="39" spans="1:503" s="1" customFormat="1">
      <c r="B39" s="471">
        <v>30</v>
      </c>
      <c r="C39" s="4">
        <f t="shared" si="146"/>
        <v>0</v>
      </c>
      <c r="D39" s="1590">
        <f t="shared" si="128"/>
        <v>0</v>
      </c>
      <c r="E39" s="1895">
        <f t="shared" si="6"/>
        <v>0</v>
      </c>
      <c r="F39" s="870"/>
      <c r="G39" s="870"/>
      <c r="H39" s="52"/>
      <c r="I39" s="61"/>
      <c r="J39" s="52"/>
      <c r="K39" s="54"/>
      <c r="L39" s="52"/>
      <c r="M39" s="61"/>
      <c r="N39" s="2629"/>
      <c r="O39" s="4">
        <f t="shared" si="125"/>
        <v>0</v>
      </c>
      <c r="P39" s="5">
        <f t="shared" si="7"/>
        <v>0</v>
      </c>
      <c r="Q39" s="1913">
        <f t="shared" si="8"/>
        <v>0</v>
      </c>
      <c r="R39" s="33"/>
      <c r="S39" s="26">
        <f t="shared" si="9"/>
        <v>0</v>
      </c>
      <c r="T39" s="27">
        <f t="shared" si="110"/>
        <v>0</v>
      </c>
      <c r="U39" s="1909">
        <f t="shared" si="10"/>
        <v>0</v>
      </c>
      <c r="V39" s="28"/>
      <c r="W39" s="26">
        <f t="shared" si="11"/>
        <v>0</v>
      </c>
      <c r="X39" s="5">
        <f t="shared" si="11"/>
        <v>0</v>
      </c>
      <c r="Y39" s="1909">
        <f t="shared" si="12"/>
        <v>0</v>
      </c>
      <c r="Z39" s="33"/>
      <c r="AA39" s="26">
        <f t="shared" si="13"/>
        <v>0</v>
      </c>
      <c r="AB39" s="27">
        <f t="shared" si="126"/>
        <v>0</v>
      </c>
      <c r="AC39" s="1909">
        <f t="shared" si="15"/>
        <v>0</v>
      </c>
      <c r="AD39" s="28"/>
      <c r="AE39" s="36"/>
      <c r="AF39" s="36"/>
      <c r="AG39" s="53">
        <f t="shared" si="16"/>
        <v>0</v>
      </c>
      <c r="AH39" s="28"/>
      <c r="AI39" s="26"/>
      <c r="AJ39" s="27"/>
      <c r="AK39" s="53">
        <f t="shared" si="17"/>
        <v>0</v>
      </c>
      <c r="AL39" s="28"/>
      <c r="AM39" s="2629"/>
      <c r="AN39" s="9"/>
      <c r="AO39" s="5"/>
      <c r="AP39" s="61">
        <f t="shared" si="18"/>
        <v>0</v>
      </c>
      <c r="AQ39" s="36"/>
      <c r="AR39" s="53"/>
      <c r="AS39" s="61">
        <f t="shared" si="19"/>
        <v>0</v>
      </c>
      <c r="AT39" s="36"/>
      <c r="AU39" s="27"/>
      <c r="AV39" s="54">
        <f t="shared" si="20"/>
        <v>0</v>
      </c>
      <c r="AW39" s="26"/>
      <c r="AX39" s="280">
        <f>SUMPRODUCT(ISNUMBER(SEARCH("BK20",'Data Base Coal Wining'!$C$2:$C$2000))*ISNUMBER(SEARCH("P3000",'Data Base Coal Wining'!$C$2:$C$2000))*('Data Base Coal Wining'!$H$2:$H$2000="PAMA")*('Data Base Coal Wining'!$G$2:$G$2000="Coal Winning")*ISNUMBER(SEARCH(TEXT('September TCM'!$B39,"00")&amp;"/09/2026",'Data Base Coal Wining'!$E$2:$E$2000))*'Data Base Coal Wining'!$N$2:$N$2000)</f>
        <v>0</v>
      </c>
      <c r="AY39" s="1895">
        <f t="shared" si="134"/>
        <v>0</v>
      </c>
      <c r="AZ39" s="1908"/>
      <c r="BA39" s="1909"/>
      <c r="BB39" s="1895">
        <f t="shared" si="21"/>
        <v>0</v>
      </c>
      <c r="BC39" s="1740"/>
      <c r="BD39" s="2154">
        <f>SUMPRODUCT(ISNUMBER(SEARCH("BK30",'Data Base Coal Wining'!$C$2:$C$2000))*ISNUMBER(SEARCH("P3000",'Data Base Coal Wining'!$C$2:$C$2000))*('Data Base Coal Wining'!$H$2:$H$2000="PAMA")*('Data Base Coal Wining'!$G$2:$G$2000="Coal Winning")*ISNUMBER(SEARCH(TEXT('September TCM'!$B39,"00")&amp;"/09/2026",'Data Base Coal Wining'!$E$2:$E$2000))*'Data Base Coal Wining'!$N$2:$N$2000)</f>
        <v>0</v>
      </c>
      <c r="BE39" s="1895">
        <f t="shared" si="22"/>
        <v>0</v>
      </c>
      <c r="BF39" s="1908"/>
      <c r="BG39" s="1909"/>
      <c r="BH39" s="1895">
        <f t="shared" si="23"/>
        <v>0</v>
      </c>
      <c r="BI39" s="1908"/>
      <c r="BJ39" s="1909"/>
      <c r="BK39" s="1895">
        <f t="shared" si="24"/>
        <v>0</v>
      </c>
      <c r="BL39" s="2491"/>
      <c r="BM39" s="2154">
        <f>SUMPRODUCT(ISNUMBER(SEARCH("BK26",'Data Base Coal Wining'!$C$2:$C$2000))*ISNUMBER(SEARCH("P4400",'Data Base Coal Wining'!$C$2:$C$2000))*('Data Base Coal Wining'!$H$2:$H$2000="MAP")*('Data Base Coal Wining'!$G$2:$G$2000="Coal Winning")*ISNUMBER(SEARCH(TEXT('September TCM'!$B39,"00")&amp;"/09/2026",'Data Base Coal Wining'!$E$2:$E$2000))*'Data Base Coal Wining'!$N$2:$N$2000)</f>
        <v>0</v>
      </c>
      <c r="BN39" s="2170"/>
      <c r="BO39" s="1895">
        <f t="shared" si="25"/>
        <v>0</v>
      </c>
      <c r="BP39" s="36"/>
      <c r="BQ39" s="2514">
        <f>SUMPRODUCT(ISNUMBER(SEARCH("BK34",'Data Base Coal Wining'!$C$2:$C$2000))*ISNUMBER(SEARCH("P4000",'Data Base Coal Wining'!$C$2:$C$2000))*('Data Base Coal Wining'!$H$2:$H$2000="PJPN")*('Data Base Coal Wining'!$G$2:$G$2000="Coal Winning")*ISNUMBER(SEARCH(TEXT('September TCM'!$B39,"00")&amp;"/09/2026",'Data Base Coal Wining'!$E$2:$E$2000))*'Data Base Coal Wining'!$N$2:$N$2000)</f>
        <v>0</v>
      </c>
      <c r="BR39" s="1735">
        <f t="shared" si="26"/>
        <v>0</v>
      </c>
      <c r="BS39" s="36"/>
      <c r="BT39" s="27"/>
      <c r="BU39" s="61">
        <f t="shared" si="27"/>
        <v>0</v>
      </c>
      <c r="BV39" s="36"/>
      <c r="BW39" s="27"/>
      <c r="BX39" s="28">
        <f t="shared" si="147"/>
        <v>0</v>
      </c>
      <c r="BY39" s="26"/>
      <c r="BZ39" s="5"/>
      <c r="CA39" s="61">
        <f t="shared" si="29"/>
        <v>0</v>
      </c>
      <c r="CB39" s="36"/>
      <c r="CC39" s="5"/>
      <c r="CD39" s="61">
        <f t="shared" si="30"/>
        <v>0</v>
      </c>
      <c r="CE39" s="26"/>
      <c r="CF39" s="27"/>
      <c r="CG39" s="28">
        <f t="shared" si="31"/>
        <v>0</v>
      </c>
      <c r="CH39" s="150"/>
      <c r="CI39" s="9"/>
      <c r="CJ39" s="5"/>
      <c r="CK39" s="5"/>
      <c r="CL39" s="5"/>
      <c r="CM39" s="5"/>
      <c r="CN39" s="3">
        <f t="shared" si="111"/>
        <v>0</v>
      </c>
      <c r="CO39" s="33"/>
      <c r="CP39" s="366"/>
      <c r="CR39" s="4">
        <f t="shared" si="149"/>
        <v>0</v>
      </c>
      <c r="CS39" s="9">
        <f t="shared" si="149"/>
        <v>0</v>
      </c>
      <c r="CT39" s="5">
        <f t="shared" si="148"/>
        <v>0</v>
      </c>
      <c r="CU39" s="5">
        <f t="shared" si="148"/>
        <v>0</v>
      </c>
      <c r="CV39" s="5">
        <f t="shared" si="148"/>
        <v>0</v>
      </c>
      <c r="CW39" s="5">
        <f t="shared" si="148"/>
        <v>0</v>
      </c>
      <c r="CX39" s="5">
        <f t="shared" si="148"/>
        <v>0</v>
      </c>
      <c r="CY39" s="5">
        <f t="shared" si="148"/>
        <v>0</v>
      </c>
      <c r="CZ39" s="5">
        <f t="shared" si="148"/>
        <v>0</v>
      </c>
      <c r="DA39" s="5">
        <f t="shared" si="148"/>
        <v>0</v>
      </c>
      <c r="DB39" s="5">
        <f t="shared" si="148"/>
        <v>0</v>
      </c>
      <c r="DC39" s="12">
        <f t="shared" si="33"/>
        <v>0</v>
      </c>
      <c r="DD39" s="310">
        <f>SUM(CR39:DC39,PX39)</f>
        <v>0</v>
      </c>
      <c r="DE39" s="2695"/>
      <c r="DF39" s="8"/>
      <c r="DG39" s="9"/>
      <c r="DH39" s="5"/>
      <c r="DI39" s="5"/>
      <c r="DJ39" s="5"/>
      <c r="DK39" s="5"/>
      <c r="DL39" s="3">
        <f>SUMPRODUCT(('Data Base Coal Wining'!$D$2:$D$2000="TCM-ROM SB1 BK05-ROM 4")*('Data Base Coal Wining'!$G$2:$G$2000="Coal Winning")*ISNUMBER(SEARCH(TEXT('September TCM'!$B39,"00")&amp;"/09/2026",'Data Base Coal Wining'!$E$2:$E$2000))*'Data Base Coal Wining'!$N$2:$N$2000)</f>
        <v>0</v>
      </c>
      <c r="DM39" s="5"/>
      <c r="DN39" s="3">
        <f>SUMPRODUCT(('Data Base Coal Wining'!$D$2:$D$2000="TCM-ROM SB1 BK05-ROM 5")*('Data Base Coal Wining'!$G$2:$G$2000="Coal Winning")*ISNUMBER(SEARCH(TEXT('September TCM'!$B39,"00")&amp;"/09/2026",'Data Base Coal Wining'!$E$2:$E$2000))*'Data Base Coal Wining'!$N$2:$N$2000)</f>
        <v>0</v>
      </c>
      <c r="DO39" s="5"/>
      <c r="DP39" s="3">
        <f>SUMPRODUCT(('Data Base Coal Wining'!$D$2:$D$2000="TCM-ROM SB1 BK05-ROM 6")*('Data Base Coal Wining'!$G$2:$G$2000="Coal Winning")*ISNUMBER(SEARCH(TEXT('September TCM'!$B39,"00")&amp;"/09/2026",'Data Base Coal Wining'!$E$2:$E$2000))*'Data Base Coal Wining'!$N$2:$N$2000)</f>
        <v>0</v>
      </c>
      <c r="DQ39" s="11">
        <f>SUMPRODUCT(('Data Base Coal Wining'!$D$2:$D$2000="TCM-ROM SB1 BK05-ROM 6.1")*('Data Base Coal Wining'!$G$2:$G$2000="Coal Winning")*ISNUMBER(SEARCH(TEXT('September TCM'!$B39,"00")&amp;"/09/2026",'Data Base Coal Wining'!$E$2:$E$2000))*'Data Base Coal Wining'!$N$2:$N$2000)</f>
        <v>0</v>
      </c>
      <c r="DR39" s="12"/>
      <c r="DS39" s="28">
        <f t="shared" si="35"/>
        <v>0</v>
      </c>
      <c r="DT39" s="36"/>
      <c r="DU39" s="36"/>
      <c r="DV39" s="27"/>
      <c r="DW39" s="27"/>
      <c r="DX39" s="27"/>
      <c r="DY39" s="27"/>
      <c r="DZ39" s="27"/>
      <c r="EA39" s="27"/>
      <c r="EB39" s="3">
        <f>SUMPRODUCT(('Data Base Coal Wining'!$D$2:$D$2000="TCM-ROM SB2 BK24-ROM 5")*('Data Base Coal Wining'!$G$2:$G$2000="Coal Winning")*ISNUMBER(SEARCH(TEXT('September TCM'!$B39,"00")&amp;"/09/2026",'Data Base Coal Wining'!$E$2:$E$2000))*'Data Base Coal Wining'!$N$2:$N$2000)</f>
        <v>0</v>
      </c>
      <c r="EC39" s="27"/>
      <c r="ED39" s="24">
        <f>SUMPRODUCT(('Data Base Coal Wining'!$D$2:$D$2000="TCM-ROM SB2 BK24-ROM 6")*('Data Base Coal Wining'!$G$2:$G$2000="Coal Winning")*ISNUMBER(SEARCH(TEXT('September TCM'!$B39,"00")&amp;"/09/2026",'Data Base Coal Wining'!$E$2:$E$2000))*'Data Base Coal Wining'!$N$2:$N$2000)</f>
        <v>0</v>
      </c>
      <c r="EE39" s="33"/>
      <c r="EF39" s="28">
        <f t="shared" si="36"/>
        <v>0</v>
      </c>
      <c r="EG39" s="36"/>
      <c r="EH39" s="36"/>
      <c r="EI39" s="27"/>
      <c r="EJ39" s="27"/>
      <c r="EK39" s="27"/>
      <c r="EL39" s="27"/>
      <c r="EM39" s="27"/>
      <c r="EN39" s="27"/>
      <c r="EO39" s="5"/>
      <c r="EP39" s="5"/>
      <c r="EQ39" s="5"/>
      <c r="ER39" s="33"/>
      <c r="ES39" s="28">
        <f t="shared" si="127"/>
        <v>0</v>
      </c>
      <c r="ET39" s="36"/>
      <c r="EU39" s="27"/>
      <c r="EV39" s="27"/>
      <c r="EW39" s="27"/>
      <c r="EX39" s="27"/>
      <c r="EY39" s="27"/>
      <c r="EZ39" s="33">
        <f t="shared" si="38"/>
        <v>0</v>
      </c>
      <c r="FA39" s="2685"/>
      <c r="FC39" s="4">
        <f t="shared" si="39"/>
        <v>0</v>
      </c>
      <c r="FD39" s="5">
        <f t="shared" si="40"/>
        <v>0</v>
      </c>
      <c r="FE39" s="5">
        <f t="shared" si="151"/>
        <v>0</v>
      </c>
      <c r="FF39" s="12">
        <f t="shared" si="42"/>
        <v>0</v>
      </c>
      <c r="FG39" s="33"/>
      <c r="FH39" s="2674"/>
      <c r="FI39" s="9"/>
      <c r="FJ39" s="5"/>
      <c r="FK39" s="5"/>
      <c r="FL39" s="5"/>
      <c r="FM39" s="5"/>
      <c r="FN39" s="27"/>
      <c r="FO39" s="28">
        <f t="shared" si="43"/>
        <v>0</v>
      </c>
      <c r="FP39" s="36"/>
      <c r="FQ39" s="27"/>
      <c r="FR39" s="27"/>
      <c r="FS39" s="27"/>
      <c r="FT39" s="27"/>
      <c r="FU39" s="27"/>
      <c r="FV39" s="28">
        <f t="shared" si="44"/>
        <v>0</v>
      </c>
      <c r="FW39" s="36"/>
      <c r="FX39" s="36"/>
      <c r="FY39" s="27"/>
      <c r="FZ39" s="27"/>
      <c r="GA39" s="27"/>
      <c r="GB39" s="27"/>
      <c r="GC39" s="27"/>
      <c r="GD39" s="27"/>
      <c r="GE39" s="24" cm="1">
        <f t="array" ref="GE39">SUMPRODUCT(('Data Base Coal Wining'!$C$2:$C$2000="TCM-ROM TEMPORARY SB2 KM 76-ROM HAC (S4700 Hard Ban)")*(ISNUMBER(SEARCH(TEXT('September TCM'!$B39,"00")&amp;"/08/2026",'Data Base Coal Wining'!$E$2:$E$2000)))*'Data Base Coal Wining'!$N$2:$N$2000)</f>
        <v>0</v>
      </c>
      <c r="GF39" s="27"/>
      <c r="GG39" s="27"/>
      <c r="GH39" s="33"/>
      <c r="GI39" s="33">
        <f t="shared" si="45"/>
        <v>0</v>
      </c>
      <c r="GJ39" s="2674"/>
      <c r="GL39" s="2">
        <f t="shared" si="112"/>
        <v>0</v>
      </c>
      <c r="GM39" s="63">
        <f t="shared" si="113"/>
        <v>0</v>
      </c>
      <c r="GN39" s="24">
        <f t="shared" si="114"/>
        <v>0</v>
      </c>
      <c r="GO39" s="1736">
        <f t="shared" si="46"/>
        <v>0</v>
      </c>
      <c r="GP39" s="141"/>
      <c r="GQ39" s="141"/>
      <c r="GR39" s="33"/>
      <c r="GS39" s="2667"/>
      <c r="GT39" s="1723">
        <f>SUMPRODUCT(('Data Base hauling'!$H$2:$H$2000="Trust")*(ISNUMBER(SEARCH(TEXT('September TCM'!$B39,"00")&amp;"/09/2026",'Data Base hauling'!$E$2:$E$2000)))*'Data Base hauling'!$N$2:$N$2000)</f>
        <v>0</v>
      </c>
      <c r="GU39" s="1723">
        <f>SUMPRODUCT(('Data Base hauling'!$H$2:$H$2000="RT")*(ISNUMBER(SEARCH(TEXT('September TCM'!$B39,"00")&amp;"/09/2026",'Data Base hauling'!$E$2:$E$2000)))*'Data Base hauling'!$N$2:$N$2000)</f>
        <v>0</v>
      </c>
      <c r="GV39" s="5">
        <f>SUMPRODUCT(('Data Base hauling'!$H$2:$H$2000="MPE")*(ISNUMBER(SEARCH(TEXT('September TCM'!$B39,"00")&amp;"/09/2026",'Data Base hauling'!$E$2:$E$2000)))*'Data Base hauling'!$N$2:$N$2000)</f>
        <v>0</v>
      </c>
      <c r="GW39" s="1723">
        <f>SUMPRODUCT(('Data Base hauling'!$H$2:$H$2000="RP")*(ISNUMBER(SEARCH(TEXT('September TCM'!$B39,"00")&amp;"/09/2026",'Data Base hauling'!$E$2:$E$2000)))*'Data Base hauling'!$N$2:$N$2000)</f>
        <v>0</v>
      </c>
      <c r="GX39" s="28">
        <f t="shared" si="115"/>
        <v>0</v>
      </c>
      <c r="GY39" s="2667"/>
      <c r="GZ39" s="35">
        <f>SUMPRODUCT(('Data Base hauling'!$C$2:$C$2000="TCM-ROM NB-ROM 1")*(ISNUMBER(SEARCH(TEXT('September TCM'!$B39,"00")&amp;"/09/2026",'Data Base hauling'!$E$2:$E$2000)))*'Data Base hauling'!$N$2:$N$2000)</f>
        <v>0</v>
      </c>
      <c r="HA39" s="36"/>
      <c r="HB39" s="27"/>
      <c r="HC39" s="27"/>
      <c r="HD39" s="27"/>
      <c r="HE39" s="27"/>
      <c r="HF39" s="24">
        <f>SUMPRODUCT(('Data Base hauling'!$C$2:$C$2000="TCM-ROM NB-ROM 4")*(ISNUMBER(SEARCH(TEXT('September TCM'!$B39,"00")&amp;"/09/2026",'Data Base hauling'!$E$2:$E$2000)))*'Data Base hauling'!$N$2:$N$2000)</f>
        <v>0</v>
      </c>
      <c r="HG39" s="24"/>
      <c r="HH39" s="24">
        <f>SUMPRODUCT(('Data Base hauling'!$C$2:$C$2000="TCM-ROM NB-ROM 5")*(ISNUMBER(SEARCH(TEXT('September TCM'!$B39,"00")&amp;"/09/2026",'Data Base hauling'!$E$2:$E$2000)))*'Data Base hauling'!$N$2:$N$2000)</f>
        <v>0</v>
      </c>
      <c r="HI39" s="24"/>
      <c r="HJ39" s="24">
        <f>SUMPRODUCT(('Data Base hauling'!$C$2:$C$2000="TCM-ROM NB-ROM 6")*(ISNUMBER(SEARCH(TEXT('September TCM'!$B39,"00")&amp;"/09/2026",'Data Base hauling'!$E$2:$E$2000)))*'Data Base hauling'!$N$2:$N$2000)</f>
        <v>0</v>
      </c>
      <c r="HK39" s="24"/>
      <c r="HL39" s="24">
        <f>SUMPRODUCT(('Data Base hauling'!$C$2:$C$2000="TCM-WASH-CR3")*(ISNUMBER(SEARCH(TEXT('September TCM'!$B39,"00")&amp;"/09/2026",'Data Base hauling'!$E$2:$E$2000)))*'Data Base hauling'!$N$2:$N$2000)</f>
        <v>0</v>
      </c>
      <c r="HM39" s="27"/>
      <c r="HN39" s="28">
        <f t="shared" si="131"/>
        <v>0</v>
      </c>
      <c r="HO39" s="36"/>
      <c r="HP39" s="27"/>
      <c r="HQ39" s="27"/>
      <c r="HR39" s="27"/>
      <c r="HS39" s="27"/>
      <c r="HT39" s="27"/>
      <c r="HU39" s="27">
        <f t="array" ref="HU39">SUMPRODUCT(('Data Base hauling'!$C$2:$C$2000="TCM-ROM SB1 BK05-ROM 4")*(ISNUMBER(SEARCH(TEXT('September TCM'!$B39,"00")&amp;"/03/2026",'Data Base hauling'!$E$2:$E$2000)))*'Data Base hauling'!$N$2:$N$2000)</f>
        <v>0</v>
      </c>
      <c r="HV39" s="27"/>
      <c r="HW39" s="27">
        <f t="array" ref="HW39">SUMPRODUCT(('Data Base hauling'!$C$2:$C$2000="TCM-ROM SB1 BK05-ROM 5")*(ISNUMBER(SEARCH(TEXT('September TCM'!$B39,"00")&amp;"/03/2026",'Data Base hauling'!$E$2:$E$2000)))*'Data Base hauling'!$N$2:$N$2000)</f>
        <v>0</v>
      </c>
      <c r="HX39" s="27"/>
      <c r="HY39" s="27"/>
      <c r="HZ39" s="27"/>
      <c r="IA39" s="27"/>
      <c r="IB39" s="27"/>
      <c r="IC39" s="33">
        <f t="shared" si="48"/>
        <v>0</v>
      </c>
      <c r="ID39" s="52"/>
      <c r="IE39" s="152"/>
      <c r="IF39" s="53"/>
      <c r="IG39" s="53"/>
      <c r="IH39" s="53"/>
      <c r="II39" s="53"/>
      <c r="IJ39" s="1926">
        <f>SUMPRODUCT(('Data Base hauling'!$C$2:$C$2000="TCM-ROM SB1 BK05-ROM 4")*(ISNUMBER(SEARCH(TEXT('September TCM'!$B39,"00")&amp;"/09/2026",'Data Base hauling'!$E$2:$E$2000)))*'Data Base hauling'!$N$2:$N$2000)</f>
        <v>0</v>
      </c>
      <c r="IK39" s="1926"/>
      <c r="IL39" s="1926">
        <f>SUMPRODUCT(('Data Base hauling'!$C$2:$C$2000="TCM-ROM SB1 BK05-ROM 5")*(ISNUMBER(SEARCH(TEXT('September TCM'!$B39,"00")&amp;"/09/2026",'Data Base hauling'!$E$2:$E$2000)))*'Data Base hauling'!$N$2:$N$2000)</f>
        <v>0</v>
      </c>
      <c r="IM39" s="49"/>
      <c r="IN39" s="49">
        <f>SUMPRODUCT(('Data Base hauling'!$C$2:$C$2000="TCM-ROM SB1 BK05-ROM 6")*(ISNUMBER(SEARCH(TEXT('September TCM'!$B39,"00")&amp;"/09/2026",'Data Base hauling'!$E$2:$E$2000)))*'Data Base hauling'!$N$2:$N$2000)</f>
        <v>0</v>
      </c>
      <c r="IO39" s="49"/>
      <c r="IP39" s="49"/>
      <c r="IQ39" s="49">
        <f>SUMPRODUCT(('Data Base hauling'!$C$2:$C$2000="TCM-HAC1 (Production)-ROM 2(HAC)")*(ISNUMBER(SEARCH(TEXT('September TCM'!$B39,"00")&amp;"/09/2026",'Data Base hauling'!$E$2:$E$2000)))*'Data Base hauling'!$N$2:$N$2000)</f>
        <v>0</v>
      </c>
      <c r="IR39" s="61">
        <f t="shared" si="132"/>
        <v>0</v>
      </c>
      <c r="IS39" s="36"/>
      <c r="IT39" s="36"/>
      <c r="IU39" s="27"/>
      <c r="IV39" s="27"/>
      <c r="IW39" s="53"/>
      <c r="IX39" s="27"/>
      <c r="IY39" s="24">
        <f>SUMPRODUCT(('Data Base hauling'!$C$2:$C$2000="TCM-ROM SB2 BK24-ROM 4")*(ISNUMBER(SEARCH(TEXT('September TCM'!$B39,"00")&amp;"/09/2026",'Data Base hauling'!$E$2:$E$2000)))*'Data Base hauling'!$N$2:$N$2000)</f>
        <v>0</v>
      </c>
      <c r="IZ39" s="24"/>
      <c r="JA39" s="24">
        <f>SUMPRODUCT(('Data Base hauling'!$C$2:$C$2000="TCM-ROM SB2 BK24-ROM 5")*(ISNUMBER(SEARCH(TEXT('September TCM'!$B39,"00")&amp;"/09/2026",'Data Base hauling'!$E$2:$E$2000)))*'Data Base hauling'!$N$2:$N$2000)</f>
        <v>0</v>
      </c>
      <c r="JB39" s="24"/>
      <c r="JC39" s="24">
        <f>SUMPRODUCT(('Data Base hauling'!$C$2:$C$2000="TCM-ROM SB2 BK24-ROM 6")*(ISNUMBER(SEARCH(TEXT('September TCM'!$B39,"00")&amp;"/09/2026",'Data Base hauling'!$E$2:$E$2000)))*'Data Base hauling'!$N$2:$N$2000)</f>
        <v>0</v>
      </c>
      <c r="JD39" s="27"/>
      <c r="JE39" s="27"/>
      <c r="JF39" s="27"/>
      <c r="JG39" s="33">
        <f t="shared" si="133"/>
        <v>0</v>
      </c>
      <c r="JH39" s="2667"/>
      <c r="JJ39" s="2014">
        <f>SUMPRODUCT(('Data Base hauling'!$O$2:$O$2000="TCM.HCV.LS")*(ISNUMBER(SEARCH(TEXT('September TCM'!$B39,"00")&amp;"/09/2026",'Data Base hauling'!$E$2:$E$2000)))*'Data Base hauling'!$N$2:$N$2000)</f>
        <v>0</v>
      </c>
      <c r="JK39" s="2015">
        <f>SUMPRODUCT(('Data Base hauling'!$O$2:$O$2000="TCM.HCV.HS")*(ISNUMBER(SEARCH(TEXT('September TCM'!$B39,"00")&amp;"/09/2026",'Data Base hauling'!$E$2:$E$2000)))*'Data Base hauling'!$N$2:$N$2000)</f>
        <v>0</v>
      </c>
      <c r="JL39" s="27"/>
      <c r="JM39" s="1736">
        <f t="shared" si="51"/>
        <v>0</v>
      </c>
      <c r="JN39" s="33"/>
      <c r="JO39" s="2669"/>
      <c r="JP39" s="66" t="str">
        <f>IFERROR(SUMPRODUCT(('Data Base hauling'!$O$2:$O$2000="TCM.HCV.LS")*('Data Base hauling'!$C$2:$C$2000="TCM-ROM NB-ROM 1")*(ISNUMBER(SEARCH(TEXT('September TCM'!$B39,"00")&amp;"/09/2026",'Data Base hauling'!$E$2:$E$2000)))*'Data Base hauling'!$N$2:$N$2000)/'September TCM'!$JJ39,"")</f>
        <v/>
      </c>
      <c r="JQ39" s="67" t="str">
        <f>IFERROR(SUMPRODUCT(('Data Base hauling'!$O$2:$O$2000="TCM.HCV.LS")*('Data Base hauling'!$C$2:$C$2000="TCM-ROM NB-ROM 2")*(ISNUMBER(SEARCH(TEXT('September TCM'!$B39,"00")&amp;"/09/2026",'Data Base hauling'!$E$2:$E$2000)))*'Data Base hauling'!$N$2:$N$2000)/'September TCM'!$JJ39,"")</f>
        <v/>
      </c>
      <c r="JR39" s="67" t="str">
        <f>IFERROR(SUMPRODUCT(('Data Base hauling'!$O$2:$O$2000="TCM.HCV.LS")*('Data Base hauling'!$C$2:$C$2000="TCM-ROM NB-ROM 3")*(ISNUMBER(SEARCH(TEXT('September TCM'!$B39,"00")&amp;"/09/2026",'Data Base hauling'!$E$2:$E$2000)))*'Data Base hauling'!$N$2:$N$2000)/'September TCM'!$JJ39,"")</f>
        <v/>
      </c>
      <c r="JS39" s="67" t="str">
        <f>IFERROR(SUMPRODUCT(('Data Base hauling'!$O$2:$O$2000="TCM.HCV.LS")*('Data Base hauling'!$C$2:$C$2000="TCM-ROM SB1 BK05-ROM 4")*(ISNUMBER(SEARCH(TEXT('September TCM'!$B39,"00")&amp;"/09/2026",'Data Base hauling'!$E$2:$E$2000)))*'Data Base hauling'!$N$2:$N$2000)/'September TCM'!$JJ39,"")</f>
        <v/>
      </c>
      <c r="JT39" s="67" t="str">
        <f>IFERROR(SUMPRODUCT(('Data Base hauling'!$O$2:$O$2000="TCM.HCV.LS")*SIGN(('Data Base hauling'!$C$2:$C$2000="TCM-ROM NB-ROM 5")+('Data Base hauling'!$C$2:$C$2000="TCM-ROM SB1 BK05-ROM 5")+('Data Base hauling'!$C$2:$C$2000="TCM-ROM SB2 BK24-ROM 5"))*(ISNUMBER(SEARCH(TEXT('September TCM'!$B39,"00")&amp;"/09/2026",'Data Base hauling'!$E$2:$E$2000)))*'Data Base hauling'!$N$2:$N$2000)/'September TCM'!$JJ39,"")</f>
        <v/>
      </c>
      <c r="JU39" s="67" t="str">
        <f>IFERROR(SUMPRODUCT(('Data Base hauling'!$O$2:$O$2000="TCM.HCV.LS")*SIGN(('Data Base hauling'!$C$2:$C$2000="TCM-ROM NB-ROM 6")+('Data Base hauling'!$C$2:$C$2000="TCM-ROM SB1 BK05-ROM 6")+('Data Base hauling'!$C$2:$C$2000="TCM-ROM SB2 BK24-ROM 6"))*(ISNUMBER(SEARCH(TEXT('September TCM'!$B39,"00")&amp;"/09/2026",'Data Base hauling'!$E$2:$E$2000)))*'Data Base hauling'!$N$2:$N$2000)/'September TCM'!$JJ39,"")</f>
        <v/>
      </c>
      <c r="JV39" s="67" t="str">
        <f>IFERROR(SUMPRODUCT(('Data Base hauling'!$O$2:$O$2000="TCM.HCV.LS")*('Data Base hauling'!$C$2:$C$2000="TCM-WASH-CR3")*(ISNUMBER(SEARCH(TEXT('September TCM'!$B39,"00")&amp;"/09/2026",'Data Base hauling'!$E$2:$E$2000)))*'Data Base hauling'!$N$2:$N$2000)/'September TCM'!$JJ39,"")</f>
        <v/>
      </c>
      <c r="JW39" s="1921">
        <f>SUMPRODUCT(('Data Base hauling'!$O$2:$O$2000="TCM.HCV.LS")*('Data Base hauling'!$C$2:$C$2000="TCM-HAC-CR3")*(ISNUMBER(SEARCH(TEXT('September TCM'!$B39,"00")&amp;"/089/2026",'Data Base hauling'!$E$2:$E$2000)))*'Data Base hauling'!$N$2:$N$2000)</f>
        <v>0</v>
      </c>
      <c r="JX39" s="66" t="str">
        <f>IFERROR(SUMPRODUCT(('Data Base hauling'!$O$2:$O$2000="TCM.HCV.HS")*('Data Base hauling'!$C$2:$C$2000="TCM-ROM NB-ROM 1")*(ISNUMBER(SEARCH(TEXT('September TCM'!$B39,"00")&amp;"/09/2026",'Data Base hauling'!$E$2:$E$2000)))*'Data Base hauling'!$N$2:$N$2000)/'September TCM'!$JK39,"")</f>
        <v/>
      </c>
      <c r="JY39" s="67" t="str">
        <f>IFERROR(SUMPRODUCT(('Data Base hauling'!$O$2:$O$2000="TCM.HCV.HS")*('Data Base hauling'!$C$2:$C$2000="TCM-ROM NB-ROM 2")*(ISNUMBER(SEARCH(TEXT('September TCM'!$B39,"00")&amp;"/09/2026",'Data Base hauling'!$E$2:$E$2000)))*'Data Base hauling'!$N$2:$N$2000)/'September TCM'!$JK39,"")</f>
        <v/>
      </c>
      <c r="JZ39" s="67" t="str">
        <f>IFERROR(SUMPRODUCT(('Data Base hauling'!$O$2:$O$2000="TCM.HCV.HS")*('Data Base hauling'!$C$2:$C$2000="TCM-ROM NB-ROM 3")*(ISNUMBER(SEARCH(TEXT('September TCM'!$B39,"00")&amp;"/09/2026",'Data Base hauling'!$E$2:$E$2000)))*'Data Base hauling'!$N$2:$N$2000)/'September TCM'!$JK39,"")</f>
        <v/>
      </c>
      <c r="KA39" s="67" t="str">
        <f>IFERROR(SUMPRODUCT(('Data Base hauling'!$O$2:$O$2000="TCM.HCV.HS")*('Data Base hauling'!$C$2:$C$2000="TCM-ROM SB1 BK05-ROM 4")*(ISNUMBER(SEARCH(TEXT('September TCM'!$B39,"00")&amp;"/09/2026",'Data Base hauling'!$E$2:$E$2000)))*'Data Base hauling'!$N$2:$N$2000)/'September TCM'!$JK39,"")</f>
        <v/>
      </c>
      <c r="KB39" s="67" t="str">
        <f>IFERROR(SUMPRODUCT(('Data Base hauling'!$O$2:$O$2000="TCM.HCV.HS")*SIGN(('Data Base hauling'!$C$2:$C$2000="TCM-ROM NB-ROM 5")+('Data Base hauling'!$C$2:$C$2000="TCM-ROM SB1 BK05-ROM 5")+('Data Base hauling'!$C$2:$C$2000="TCM-ROM SB2 BK24-ROM 5"))*(ISNUMBER(SEARCH(TEXT('September TCM'!$B39,"00")&amp;"/09/2026",'Data Base hauling'!$E$2:$E$2000)))*'Data Base hauling'!$N$2:$N$2000)/'September TCM'!$JK39,"")</f>
        <v/>
      </c>
      <c r="KC39" s="67" t="str">
        <f>IFERROR(SUMPRODUCT(('Data Base hauling'!$O$2:$O$2000="TCM.HCV.HS")*SIGN(('Data Base hauling'!$C$2:$C$2000="TCM-ROM NB-ROM 6")+('Data Base hauling'!$C$2:$C$2000="TCM-ROM SB1 BK05-ROM 6")+('Data Base hauling'!$C$2:$C$2000="TCM-ROM SB2 BK24-ROM 6"))*(ISNUMBER(SEARCH(TEXT('September TCM'!$B39,"00")&amp;"/09/2026",'Data Base hauling'!$E$2:$E$2000)))*'Data Base hauling'!$N$2:$N$2000)/'September TCM'!$JK39,"")</f>
        <v/>
      </c>
      <c r="KD39" s="67" t="str">
        <f>IFERROR(SUMPRODUCT(('Data Base hauling'!$O$2:$O$2000="TCM.HCV.HS")*('Data Base hauling'!$C$2:$C$2000="TCM-WASH-CR3")*(ISNUMBER(SEARCH(TEXT('September TCM'!$B39,"00")&amp;"/09/2026",'Data Base hauling'!$E$2:$E$2000)))*'Data Base hauling'!$N$2:$N$2000)/'September TCM'!$JK39,"")</f>
        <v/>
      </c>
      <c r="KE39" s="68" t="str">
        <f>IFERROR(SUMPRODUCT(('Data Base hauling'!$O$2:$O$2000="TCM.HCV.HS")*('Data Base hauling'!$C$2:$C$2000="TCM-HAC-CR3")*(ISNUMBER(SEARCH(TEXT('September TCM'!$B39,"00")&amp;"/09/2026",'Data Base hauling'!$E$2:$E$2000)))*'Data Base hauling'!$N$2:$N$2000)/'September TCM'!$JK39,"")</f>
        <v/>
      </c>
      <c r="KF39" s="69"/>
      <c r="KG39" s="70"/>
      <c r="KH39" s="70"/>
      <c r="KI39" s="70"/>
      <c r="KJ39" s="70"/>
      <c r="KK39" s="70"/>
      <c r="KL39" s="70"/>
      <c r="KM39" s="70"/>
      <c r="KN39" s="33"/>
      <c r="KO39" s="2669"/>
      <c r="KP39" s="2203">
        <f>IFERROR(SUMPRODUCT((TCM.HCV.LS!$A$3:$A$58=DATE(2026,9,$B39))*(TCM.HCV.LS!$O$3:$O$58&gt;0)*TCM.HCV.LS!$C$3:$C$58*TCM.HCV.LS!$O$3:$O$58)/SUMPRODUCT((TCM.HCV.LS!$A$3:$A$58=DATE(2026,9,$B39))*(TCM.HCV.LS!$O$3:$O$58&gt;0)*TCM.HCV.LS!$C$3:$C$58),0)</f>
        <v>0</v>
      </c>
      <c r="KQ39" s="1721">
        <f>IFERROR(SUMPRODUCT((TCM.HCV.LS!$A$3:$A$58=DATE(2026,9,$B39))*(TCM.HCV.LS!$M$3:$M$58&gt;0)*TCM.HCV.LS!$C$3:$C$58*TCM.HCV.LS!$M$3:$M$58)/SUMPRODUCT((TCM.HCV.LS!$A$3:$A$58=DATE(2026,9,$B39))*(TCM.HCV.LS!$M$3:$M$58&gt;0)*TCM.HCV.LS!$C$3:$C$58),0)</f>
        <v>0</v>
      </c>
      <c r="KR39" s="1721">
        <f>IFERROR(SUMPRODUCT((TCM.HCV.LS!$A$3:$A$58=DATE(2026,9,$B39))*(TCM.HCV.LS!$G$3:$G$58&gt;0)*TCM.HCV.LS!$C$3:$C$58*TCM.HCV.LS!$G$3:$G$58)/SUMPRODUCT((TCM.HCV.LS!$A$3:$A$58=DATE(2026,9,$B39))*(TCM.HCV.LS!$G$3:$G$58&gt;0)*TCM.HCV.LS!$C$3:$C$58),0)</f>
        <v>0</v>
      </c>
      <c r="KS39" s="1721">
        <f>IFERROR(SUMPRODUCT((TCM.HCV.LS!$A$3:$A$58=DATE(2026,9,$B39))*(TCM.HCV.LS!$F$3:$F$58&gt;0)*TCM.HCV.LS!$C$3:$C$58*TCM.HCV.LS!$F$3:$F$58)/SUMPRODUCT((TCM.HCV.LS!$A$3:$A$58=DATE(2026,9,$B39))*(TCM.HCV.LS!$F$3:$F$58&gt;0)*TCM.HCV.LS!$C$3:$C$58),0)</f>
        <v>0</v>
      </c>
      <c r="KT39" s="1722">
        <f>IFERROR(SUMPRODUCT((TCM.HCV.LS!$A$3:$A$58=DATE(2026,9,$B39))*(TCM.HCV.LS!$E$3:$E$58&gt;0)*TCM.HCV.LS!$C$3:$C$58*TCM.HCV.LS!$E$3:$E$58)/SUMPRODUCT((TCM.HCV.LS!$A$3:$A$58=DATE(2026,9,$B39))*(TCM.HCV.LS!$E$3:$E$58&gt;0)*TCM.HCV.LS!$C$3:$C$58),0)</f>
        <v>0</v>
      </c>
      <c r="KU39" s="1958">
        <f>IFERROR(SUMPRODUCT((TCM.HCV.HS!$A$3:$A$84=DATE(2026,9,$B39))*(TCM.HCV.HS!$O$3:$O$84&gt;0)*TCM.HCV.HS!$C$3:$C$84*TCM.HCV.HS!$O$3:$O$84)/SUMPRODUCT((TCM.HCV.HS!$A$3:$A$84=DATE(2026,9,$B39))*(TCM.HCV.HS!$O$3:$O$84&gt;0)*TCM.HCV.HS!$C$3:$C$84),0)</f>
        <v>0</v>
      </c>
      <c r="KV39" s="1961">
        <f>IFERROR(SUMPRODUCT((TCM.HCV.HS!$A$3:$A$84=DATE(2026,9,$B39))*(TCM.HCV.HS!$M$3:$M$84&gt;0)*TCM.HCV.HS!$C$3:$C$84*TCM.HCV.HS!$M$3:$M$84)/SUMPRODUCT((TCM.HCV.HS!$A$3:$A$84=DATE(2026,9,$B39))*(TCM.HCV.HS!$M$3:$M$84&gt;0)*TCM.HCV.HS!$C$3:$C$84),0)</f>
        <v>0</v>
      </c>
      <c r="KW39" s="1961">
        <f>IFERROR(SUMPRODUCT((TCM.HCV.HS!$A$3:$A$84=DATE(2026,9,$B39))*(TCM.HCV.HS!$G$3:$G$84&gt;0)*TCM.HCV.HS!$C$3:$C$84*TCM.HCV.HS!$G$3:$G$84)/SUMPRODUCT((TCM.HCV.HS!$A$3:$A$84=DATE(2026,9,$B39))*(TCM.HCV.HS!$G$3:$G$84&gt;0)*TCM.HCV.HS!$C$3:$C$84),0)</f>
        <v>0</v>
      </c>
      <c r="KX39" s="1961">
        <f>IFERROR(SUMPRODUCT((TCM.HCV.HS!$A$3:$A$84=DATE(2026,9,$B39))*(TCM.HCV.HS!$F$3:$F$84&gt;0)*TCM.HCV.HS!$C$3:$C$84*TCM.HCV.HS!$F$3:$F$84)/SUMPRODUCT((TCM.HCV.HS!$A$3:$A$84=DATE(2026,9,$B39))*(TCM.HCV.HS!$F$3:$F$84&gt;0)*TCM.HCV.HS!$C$3:$C$84),0)</f>
        <v>0</v>
      </c>
      <c r="KY39" s="1962">
        <f>IFERROR(SUMPRODUCT((TCM.HCV.HS!$A$3:$A$84=DATE(2026,9,$B39))*(TCM.HCV.HS!$E$3:$E$84&gt;0)*TCM.HCV.HS!$C$3:$C$84*TCM.HCV.HS!$E$3:$E$84)/SUMPRODUCT((TCM.HCV.HS!$A$3:$A$84=DATE(2026,9,$B39))*(TCM.HCV.HS!$E$3:$E$84&gt;0)*TCM.HCV.HS!$C$3:$C$84),0)</f>
        <v>0</v>
      </c>
      <c r="KZ39" s="36"/>
      <c r="LA39" s="53"/>
      <c r="LB39" s="53"/>
      <c r="LC39" s="53"/>
      <c r="LD39" s="53"/>
      <c r="LE39" s="33"/>
      <c r="LF39" s="2669"/>
      <c r="LH39" s="26">
        <f t="shared" si="138"/>
        <v>0</v>
      </c>
      <c r="LI39" s="27">
        <f t="shared" si="138"/>
        <v>0</v>
      </c>
      <c r="LJ39" s="27">
        <f t="shared" si="138"/>
        <v>0</v>
      </c>
      <c r="LK39" s="28">
        <f t="shared" si="53"/>
        <v>0</v>
      </c>
      <c r="LL39" s="36"/>
      <c r="LM39" s="27"/>
      <c r="LN39" s="27"/>
      <c r="LO39" s="33"/>
      <c r="LP39" s="1957"/>
      <c r="LQ39" s="21"/>
      <c r="LR39" s="2688"/>
      <c r="LS39" s="26"/>
      <c r="LT39" s="36"/>
      <c r="LU39" s="27"/>
      <c r="LV39" s="27"/>
      <c r="LW39" s="27"/>
      <c r="LX39" s="1107">
        <f t="shared" si="129"/>
        <v>0</v>
      </c>
      <c r="LY39" s="36"/>
      <c r="LZ39" s="36"/>
      <c r="MA39" s="27"/>
      <c r="MB39" s="27"/>
      <c r="MC39" s="33"/>
      <c r="MD39" s="28">
        <f t="shared" si="137"/>
        <v>0</v>
      </c>
      <c r="ME39" s="26"/>
      <c r="MF39" s="36"/>
      <c r="MG39" s="27"/>
      <c r="MH39" s="27"/>
      <c r="MI39" s="27"/>
      <c r="MJ39" s="28"/>
      <c r="MK39" s="36"/>
      <c r="ML39" s="36"/>
      <c r="MM39" s="27"/>
      <c r="MN39" s="27"/>
      <c r="MO39" s="27"/>
      <c r="MP39" s="28"/>
      <c r="MQ39" s="36"/>
      <c r="MR39" s="36"/>
      <c r="MS39" s="27"/>
      <c r="MT39" s="27"/>
      <c r="MU39" s="27"/>
      <c r="MV39" s="33">
        <f t="shared" si="56"/>
        <v>0</v>
      </c>
      <c r="MW39" s="2688"/>
      <c r="MY39" s="26">
        <f t="shared" si="57"/>
        <v>377341.84766611259</v>
      </c>
      <c r="MZ39" s="27">
        <f t="shared" si="58"/>
        <v>191595.15302645112</v>
      </c>
      <c r="NA39" s="27">
        <f t="shared" si="59"/>
        <v>27294.683787707359</v>
      </c>
      <c r="NB39" s="28">
        <f t="shared" si="60"/>
        <v>318297.33035698003</v>
      </c>
      <c r="NC39" s="2621"/>
      <c r="ND39" s="23">
        <f t="shared" si="116"/>
        <v>207724.34280113198</v>
      </c>
      <c r="NE39" s="1655">
        <f t="shared" si="117"/>
        <v>169617.50486498058</v>
      </c>
      <c r="NF39" s="60">
        <f t="shared" si="63"/>
        <v>0</v>
      </c>
      <c r="NG39" s="275">
        <f t="shared" si="4"/>
        <v>377341.84766611259</v>
      </c>
      <c r="NH39" s="26">
        <f t="shared" si="152"/>
        <v>0</v>
      </c>
      <c r="NI39" s="27">
        <f t="shared" si="152"/>
        <v>0</v>
      </c>
      <c r="NJ39" s="27">
        <f t="shared" si="152"/>
        <v>0</v>
      </c>
      <c r="NK39" s="27">
        <f t="shared" si="152"/>
        <v>0</v>
      </c>
      <c r="NL39" s="27">
        <f t="shared" si="152"/>
        <v>0</v>
      </c>
      <c r="NM39" s="33">
        <f t="shared" si="152"/>
        <v>0</v>
      </c>
      <c r="NN39" s="27">
        <f t="shared" si="152"/>
        <v>0</v>
      </c>
      <c r="NO39" s="152">
        <f t="shared" si="152"/>
        <v>0</v>
      </c>
      <c r="NP39" s="24">
        <f t="shared" si="141"/>
        <v>21665.870136227244</v>
      </c>
      <c r="NQ39" s="27">
        <f t="shared" si="152"/>
        <v>22358.939343794715</v>
      </c>
      <c r="NR39" s="24">
        <f t="shared" si="118"/>
        <v>8443.1982322711574</v>
      </c>
      <c r="NS39" s="24">
        <f t="shared" si="119"/>
        <v>9895.3380410535083</v>
      </c>
      <c r="NT39" s="27">
        <f t="shared" si="0"/>
        <v>62363.345753346621</v>
      </c>
      <c r="NU39" s="27">
        <f t="shared" si="142"/>
        <v>0</v>
      </c>
      <c r="NV39" s="27">
        <f t="shared" si="142"/>
        <v>0</v>
      </c>
      <c r="NW39" s="27">
        <f t="shared" si="142"/>
        <v>0</v>
      </c>
      <c r="NX39" s="27">
        <f t="shared" si="142"/>
        <v>0</v>
      </c>
      <c r="NY39" s="5">
        <f t="shared" si="142"/>
        <v>0</v>
      </c>
      <c r="NZ39" s="5">
        <f t="shared" si="142"/>
        <v>0</v>
      </c>
      <c r="OA39" s="27">
        <f t="shared" si="142"/>
        <v>35558.705564997217</v>
      </c>
      <c r="OB39" s="27">
        <f t="shared" si="142"/>
        <v>0</v>
      </c>
      <c r="OC39" s="27">
        <f t="shared" si="66"/>
        <v>12611.886475620366</v>
      </c>
      <c r="OD39" s="27"/>
      <c r="OE39" s="27">
        <f t="shared" si="120"/>
        <v>13429.316718063665</v>
      </c>
      <c r="OF39" s="27">
        <f t="shared" si="67"/>
        <v>0</v>
      </c>
      <c r="OG39" s="28">
        <f t="shared" si="1"/>
        <v>61599.908758681253</v>
      </c>
      <c r="OH39" s="27">
        <f t="shared" si="143"/>
        <v>0</v>
      </c>
      <c r="OI39" s="27">
        <f t="shared" si="143"/>
        <v>0</v>
      </c>
      <c r="OJ39" s="27">
        <f t="shared" si="143"/>
        <v>0</v>
      </c>
      <c r="OK39" s="27">
        <f t="shared" si="143"/>
        <v>0</v>
      </c>
      <c r="OL39" s="27">
        <f t="shared" si="143"/>
        <v>0</v>
      </c>
      <c r="OM39" s="27">
        <f t="shared" si="143"/>
        <v>0</v>
      </c>
      <c r="ON39" s="24">
        <f t="shared" si="143"/>
        <v>0</v>
      </c>
      <c r="OO39" s="27">
        <f t="shared" si="143"/>
        <v>0</v>
      </c>
      <c r="OP39" s="24">
        <f t="shared" si="69"/>
        <v>54054.217649249818</v>
      </c>
      <c r="OQ39" s="27">
        <f t="shared" si="144"/>
        <v>0</v>
      </c>
      <c r="OR39" s="24">
        <f t="shared" si="144"/>
        <v>13577.680865173457</v>
      </c>
      <c r="OS39" s="27">
        <f t="shared" si="144"/>
        <v>0</v>
      </c>
      <c r="OT39" s="28">
        <f t="shared" si="2"/>
        <v>67631.898514423272</v>
      </c>
      <c r="OU39" s="36"/>
      <c r="OV39" s="27"/>
      <c r="OW39" s="27"/>
      <c r="OX39" s="27"/>
      <c r="OY39" s="27"/>
      <c r="OZ39" s="27"/>
      <c r="PA39" s="28">
        <f t="shared" si="71"/>
        <v>0</v>
      </c>
      <c r="PB39" s="36">
        <f t="shared" si="72"/>
        <v>0</v>
      </c>
      <c r="PC39" s="27">
        <f t="shared" si="73"/>
        <v>0</v>
      </c>
      <c r="PD39" s="27">
        <f t="shared" si="74"/>
        <v>0</v>
      </c>
      <c r="PE39" s="27">
        <f t="shared" si="75"/>
        <v>0</v>
      </c>
      <c r="PF39" s="24"/>
      <c r="PG39" s="27">
        <f t="shared" si="76"/>
        <v>0</v>
      </c>
      <c r="PH39" s="33">
        <f t="shared" si="3"/>
        <v>0</v>
      </c>
      <c r="PI39" s="2621"/>
      <c r="PJ39" s="2263"/>
      <c r="PK39" s="1907">
        <f>SUMPRODUCT(('Data Base Coal Wining'!$D$2:$D$2000="WASHING PLANT")*ISNUMBER(SEARCH(TEXT('September TCM'!$B39,"00")&amp;"/09/2026",'Data Base Coal Wining'!$E$2:$E$2000))*'Data Base Coal Wining'!$N$2:$N$2000)</f>
        <v>0</v>
      </c>
      <c r="PL39" s="3"/>
      <c r="PM39" s="3"/>
      <c r="PN39" s="3">
        <f t="shared" si="145"/>
        <v>0</v>
      </c>
      <c r="PO39" s="3">
        <f t="shared" si="78"/>
        <v>38895.633435124721</v>
      </c>
      <c r="PP39" s="11">
        <f t="shared" si="139"/>
        <v>27294.683787707359</v>
      </c>
      <c r="PQ39" s="15"/>
      <c r="PR39" s="2615"/>
      <c r="PT39" s="4"/>
      <c r="PU39" s="9"/>
      <c r="PV39" s="9"/>
      <c r="PW39" s="9"/>
      <c r="PX39" s="8">
        <f>SUMPRODUCT(('Data Base Coal Wining'!$D$2:$D$2000="TCM-ROM SB1 BK05-ROM 2 (HAC)")*('Data Base Coal Wining'!$G$2:$G$2000="Coal Winning")*ISNUMBER(SEARCH(TEXT('September TCM'!$B39,"00")&amp;"/09/2026",'Data Base Coal Wining'!$E$2:$E$2000))*'Data Base Coal Wining'!$N$2:$N$2000)</f>
        <v>0</v>
      </c>
      <c r="PY39" s="9"/>
      <c r="PZ39" s="8">
        <f t="shared" si="80"/>
        <v>0</v>
      </c>
      <c r="QA39" s="5">
        <f t="shared" si="81"/>
        <v>0</v>
      </c>
      <c r="QB39" s="5"/>
      <c r="QC39" s="5"/>
      <c r="QD39" s="5"/>
      <c r="QE39" s="5"/>
      <c r="QF39" s="5"/>
      <c r="QG39" s="12"/>
      <c r="QH39" s="12">
        <f t="shared" si="82"/>
        <v>29562.488999999998</v>
      </c>
      <c r="QI39" s="420">
        <f t="shared" si="83"/>
        <v>283762.59090898006</v>
      </c>
      <c r="QJ39" s="1106">
        <f t="shared" si="121"/>
        <v>4972.2504480000007</v>
      </c>
      <c r="QK39" s="484">
        <f t="shared" si="84"/>
        <v>5505.3678056099998</v>
      </c>
      <c r="QL39" s="12"/>
      <c r="QM39" s="2615"/>
      <c r="QO39" s="139" t="str">
        <f t="shared" si="85"/>
        <v/>
      </c>
      <c r="QP39" s="139" t="str">
        <f t="shared" si="86"/>
        <v/>
      </c>
      <c r="QR39" s="139" t="str">
        <f t="shared" si="87"/>
        <v/>
      </c>
      <c r="QS39" s="139" t="str">
        <f t="shared" si="88"/>
        <v/>
      </c>
      <c r="QU39" s="1">
        <f t="shared" si="89"/>
        <v>0</v>
      </c>
      <c r="QV39" s="1">
        <f t="shared" si="90"/>
        <v>0</v>
      </c>
      <c r="QW39" s="1">
        <f t="shared" si="91"/>
        <v>0</v>
      </c>
      <c r="QX39" s="1">
        <f t="shared" si="92"/>
        <v>0</v>
      </c>
      <c r="QY39" s="1">
        <f t="shared" si="93"/>
        <v>0</v>
      </c>
      <c r="QZ39" s="1">
        <f t="shared" si="94"/>
        <v>0</v>
      </c>
      <c r="RB39" s="1">
        <f t="shared" si="95"/>
        <v>0</v>
      </c>
      <c r="RC39" s="1">
        <f t="shared" si="96"/>
        <v>0</v>
      </c>
      <c r="RD39" s="1">
        <f t="shared" si="97"/>
        <v>0</v>
      </c>
      <c r="RE39" s="1">
        <f t="shared" si="98"/>
        <v>0</v>
      </c>
      <c r="RF39" s="1">
        <f t="shared" si="99"/>
        <v>0</v>
      </c>
      <c r="RG39" s="1">
        <f t="shared" si="100"/>
        <v>0</v>
      </c>
      <c r="RJ39" s="1">
        <v>30</v>
      </c>
      <c r="RK39" s="1">
        <f t="shared" si="150"/>
        <v>5984.4452097170979</v>
      </c>
      <c r="RL39" s="1">
        <f t="shared" si="150"/>
        <v>5074.1017804837184</v>
      </c>
      <c r="RM39" s="1">
        <f t="shared" si="150"/>
        <v>13404.263703387322</v>
      </c>
      <c r="RN39" s="89">
        <f t="shared" si="5"/>
        <v>24462.810693588137</v>
      </c>
      <c r="RO39" s="1033">
        <v>30</v>
      </c>
      <c r="RP39" s="1098">
        <v>0</v>
      </c>
      <c r="RQ39" s="1098">
        <f t="shared" si="102"/>
        <v>0</v>
      </c>
      <c r="RR39" s="1097">
        <f t="shared" si="102"/>
        <v>0</v>
      </c>
      <c r="RS39" s="1097">
        <f t="shared" si="103"/>
        <v>0</v>
      </c>
      <c r="RT39" s="1094"/>
      <c r="RU39" s="2420"/>
      <c r="RX39" s="421">
        <v>30</v>
      </c>
      <c r="RY39" s="1095">
        <f t="shared" si="104"/>
        <v>0</v>
      </c>
      <c r="RZ39" s="2441"/>
      <c r="SB39" s="1090"/>
      <c r="SC39" s="1090">
        <f t="shared" si="105"/>
        <v>0</v>
      </c>
      <c r="SD39" s="1090"/>
      <c r="SE39" s="1090">
        <f t="shared" si="136"/>
        <v>0</v>
      </c>
      <c r="SG39" s="1">
        <v>30</v>
      </c>
      <c r="SH39" s="1">
        <f t="shared" si="107"/>
        <v>0</v>
      </c>
      <c r="SI39" s="2420"/>
    </row>
    <row r="40" spans="1:503" s="1" customFormat="1">
      <c r="B40" s="1105">
        <v>31</v>
      </c>
      <c r="C40" s="6">
        <f t="shared" si="146"/>
        <v>0</v>
      </c>
      <c r="D40" s="2418">
        <f>P40+T40+X40+AB40</f>
        <v>0</v>
      </c>
      <c r="E40" s="1915">
        <f t="shared" si="6"/>
        <v>0</v>
      </c>
      <c r="F40" s="1444"/>
      <c r="G40" s="1445"/>
      <c r="H40" s="56"/>
      <c r="I40" s="62"/>
      <c r="J40" s="56"/>
      <c r="K40" s="58"/>
      <c r="L40" s="56"/>
      <c r="M40" s="62"/>
      <c r="N40" s="2630"/>
      <c r="O40" s="4">
        <f t="shared" si="125"/>
        <v>0</v>
      </c>
      <c r="P40" s="5">
        <f t="shared" si="7"/>
        <v>0</v>
      </c>
      <c r="Q40" s="1955">
        <f t="shared" si="8"/>
        <v>0</v>
      </c>
      <c r="R40" s="34"/>
      <c r="S40" s="29">
        <f t="shared" si="9"/>
        <v>0</v>
      </c>
      <c r="T40" s="27">
        <f t="shared" si="110"/>
        <v>0</v>
      </c>
      <c r="U40" s="1917">
        <f t="shared" si="10"/>
        <v>0</v>
      </c>
      <c r="V40" s="31"/>
      <c r="W40" s="29">
        <f t="shared" si="11"/>
        <v>0</v>
      </c>
      <c r="X40" s="7">
        <f t="shared" si="11"/>
        <v>0</v>
      </c>
      <c r="Y40" s="1917">
        <f t="shared" si="12"/>
        <v>0</v>
      </c>
      <c r="Z40" s="34"/>
      <c r="AA40" s="29">
        <f>SUM(BP40,BS40)</f>
        <v>0</v>
      </c>
      <c r="AB40" s="30">
        <f t="shared" si="126"/>
        <v>0</v>
      </c>
      <c r="AC40" s="1917">
        <f t="shared" si="15"/>
        <v>0</v>
      </c>
      <c r="AD40" s="31"/>
      <c r="AE40" s="36"/>
      <c r="AF40" s="36"/>
      <c r="AG40" s="57">
        <f t="shared" si="16"/>
        <v>0</v>
      </c>
      <c r="AH40" s="31"/>
      <c r="AI40" s="23"/>
      <c r="AJ40" s="30"/>
      <c r="AK40" s="57">
        <f t="shared" si="17"/>
        <v>0</v>
      </c>
      <c r="AL40" s="31"/>
      <c r="AM40" s="2630"/>
      <c r="AN40" s="10"/>
      <c r="AO40" s="7"/>
      <c r="AP40" s="62">
        <f t="shared" si="18"/>
        <v>0</v>
      </c>
      <c r="AQ40" s="37"/>
      <c r="AR40" s="57"/>
      <c r="AS40" s="62">
        <f t="shared" si="19"/>
        <v>0</v>
      </c>
      <c r="AT40" s="37"/>
      <c r="AU40" s="30"/>
      <c r="AV40" s="58">
        <f t="shared" si="20"/>
        <v>0</v>
      </c>
      <c r="AW40" s="26"/>
      <c r="AX40" s="280">
        <f>SUMPRODUCT(ISNUMBER(SEARCH("BK20",'Data Base Coal Wining'!$C$2:$C$2000))*ISNUMBER(SEARCH("P3000",'Data Base Coal Wining'!$C$2:$C$2000))*('Data Base Coal Wining'!$H$2:$H$2000="PAMA")*('Data Base Coal Wining'!$G$2:$G$2000="Coal Winning")*ISNUMBER(SEARCH(TEXT('September TCM'!$B40,"00")&amp;"/09/2026",'Data Base Coal Wining'!$E$2:$E$2000))*'Data Base Coal Wining'!$N$2:$N$2000)</f>
        <v>0</v>
      </c>
      <c r="AY40" s="1915">
        <f t="shared" si="134"/>
        <v>0</v>
      </c>
      <c r="AZ40" s="1916"/>
      <c r="BA40" s="1917"/>
      <c r="BB40" s="1915">
        <f t="shared" si="21"/>
        <v>0</v>
      </c>
      <c r="BC40" s="1740"/>
      <c r="BD40" s="2154">
        <f>SUMPRODUCT(ISNUMBER(SEARCH("BK30",'Data Base Coal Wining'!$C$2:$C$2000))*ISNUMBER(SEARCH("P3000",'Data Base Coal Wining'!$C$2:$C$2000))*('Data Base Coal Wining'!$H$2:$H$2000="PAMA")*('Data Base Coal Wining'!$G$2:$G$2000="Coal Winning")*ISNUMBER(SEARCH(TEXT('September TCM'!$B40,"00")&amp;"/09/2026",'Data Base Coal Wining'!$E$2:$E$2000))*'Data Base Coal Wining'!$N$2:$N$2000)</f>
        <v>0</v>
      </c>
      <c r="BE40" s="1915">
        <f t="shared" si="22"/>
        <v>0</v>
      </c>
      <c r="BF40" s="1916"/>
      <c r="BG40" s="1917"/>
      <c r="BH40" s="1915">
        <f t="shared" si="23"/>
        <v>0</v>
      </c>
      <c r="BI40" s="1916"/>
      <c r="BJ40" s="1917"/>
      <c r="BK40" s="1915">
        <f t="shared" si="24"/>
        <v>0</v>
      </c>
      <c r="BL40" s="2491"/>
      <c r="BM40" s="2154">
        <f>SUMPRODUCT(ISNUMBER(SEARCH("BK26",'Data Base Coal Wining'!$C$2:$C$2000))*ISNUMBER(SEARCH("P4400",'Data Base Coal Wining'!$C$2:$C$2000))*('Data Base Coal Wining'!$H$2:$H$2000="MAP")*('Data Base Coal Wining'!$G$2:$G$2000="Coal Winning")*ISNUMBER(SEARCH(TEXT('September TCM'!$B40,"00")&amp;"/09/2026",'Data Base Coal Wining'!$E$2:$E$2000))*'Data Base Coal Wining'!$N$2:$N$2000)</f>
        <v>0</v>
      </c>
      <c r="BN40" s="2173"/>
      <c r="BO40" s="1915">
        <f t="shared" si="25"/>
        <v>0</v>
      </c>
      <c r="BP40" s="37"/>
      <c r="BQ40" s="2514">
        <f>SUMPRODUCT(ISNUMBER(SEARCH("BK34",'Data Base Coal Wining'!$C$2:$C$2000))*ISNUMBER(SEARCH("P4000",'Data Base Coal Wining'!$C$2:$C$2000))*('Data Base Coal Wining'!$H$2:$H$2000="PJPN")*('Data Base Coal Wining'!$G$2:$G$2000="Coal Winning")*ISNUMBER(SEARCH(TEXT('September TCM'!$B40,"00")&amp;"/09/2026",'Data Base Coal Wining'!$E$2:$E$2000))*'Data Base Coal Wining'!$N$2:$N$2000)</f>
        <v>0</v>
      </c>
      <c r="BR40" s="2479">
        <f t="shared" si="26"/>
        <v>0</v>
      </c>
      <c r="BS40" s="37"/>
      <c r="BT40" s="30"/>
      <c r="BU40" s="62">
        <f t="shared" si="27"/>
        <v>0</v>
      </c>
      <c r="BV40" s="37"/>
      <c r="BW40" s="30"/>
      <c r="BX40" s="31">
        <f t="shared" si="147"/>
        <v>0</v>
      </c>
      <c r="BY40" s="29"/>
      <c r="BZ40" s="7"/>
      <c r="CA40" s="62">
        <f t="shared" si="29"/>
        <v>0</v>
      </c>
      <c r="CB40" s="37"/>
      <c r="CC40" s="30"/>
      <c r="CD40" s="62">
        <f t="shared" si="30"/>
        <v>0</v>
      </c>
      <c r="CE40" s="29"/>
      <c r="CF40" s="30"/>
      <c r="CG40" s="31">
        <f t="shared" si="31"/>
        <v>0</v>
      </c>
      <c r="CH40" s="151"/>
      <c r="CI40" s="10"/>
      <c r="CJ40" s="7"/>
      <c r="CK40" s="7"/>
      <c r="CL40" s="7"/>
      <c r="CM40" s="7"/>
      <c r="CN40" s="3">
        <f t="shared" si="111"/>
        <v>0</v>
      </c>
      <c r="CO40" s="34"/>
      <c r="CP40" s="367"/>
      <c r="CR40" s="6">
        <f t="shared" si="149"/>
        <v>0</v>
      </c>
      <c r="CS40" s="10">
        <f t="shared" si="149"/>
        <v>0</v>
      </c>
      <c r="CT40" s="7">
        <f t="shared" si="148"/>
        <v>0</v>
      </c>
      <c r="CU40" s="7">
        <f t="shared" si="148"/>
        <v>0</v>
      </c>
      <c r="CV40" s="7">
        <f t="shared" si="148"/>
        <v>0</v>
      </c>
      <c r="CW40" s="7">
        <f t="shared" si="148"/>
        <v>0</v>
      </c>
      <c r="CX40" s="7">
        <f t="shared" si="148"/>
        <v>0</v>
      </c>
      <c r="CY40" s="7">
        <f t="shared" si="148"/>
        <v>0</v>
      </c>
      <c r="CZ40" s="7">
        <f t="shared" si="148"/>
        <v>0</v>
      </c>
      <c r="DA40" s="7">
        <f t="shared" si="148"/>
        <v>0</v>
      </c>
      <c r="DB40" s="7">
        <f t="shared" si="148"/>
        <v>0</v>
      </c>
      <c r="DC40" s="13">
        <f t="shared" si="33"/>
        <v>0</v>
      </c>
      <c r="DD40" s="310">
        <f>SUM(CR40:DC40,PX40)</f>
        <v>0</v>
      </c>
      <c r="DE40" s="2696"/>
      <c r="DF40" s="8"/>
      <c r="DG40" s="10"/>
      <c r="DH40" s="7"/>
      <c r="DI40" s="7"/>
      <c r="DJ40" s="7"/>
      <c r="DK40" s="7"/>
      <c r="DL40" s="1101">
        <f>SUMPRODUCT(('Data Base Coal Wining'!$D$2:$D$2000="TCM-ROM SB1 BK05-ROM 4")*('Data Base Coal Wining'!$G$2:$G$2000="Coal Winning")*ISNUMBER(SEARCH(TEXT('September TCM'!$B40,"00")&amp;"/09/2026",'Data Base Coal Wining'!$E$2:$E$2000))*'Data Base Coal Wining'!$N$2:$N$2000)</f>
        <v>0</v>
      </c>
      <c r="DM40" s="7"/>
      <c r="DN40" s="1101">
        <f>SUMPRODUCT(('Data Base Coal Wining'!$D$2:$D$2000="TCM-ROM SB1 BK05-ROM 5")*('Data Base Coal Wining'!$G$2:$G$2000="Coal Winning")*ISNUMBER(SEARCH(TEXT('September TCM'!$B40,"00")&amp;"/09/2026",'Data Base Coal Wining'!$E$2:$E$2000))*'Data Base Coal Wining'!$N$2:$N$2000)</f>
        <v>0</v>
      </c>
      <c r="DO40" s="7"/>
      <c r="DP40" s="1101">
        <f>SUMPRODUCT(('Data Base Coal Wining'!$D$2:$D$2000="TCM-ROM SB1 BK05-ROM 6")*('Data Base Coal Wining'!$G$2:$G$2000="Coal Winning")*ISNUMBER(SEARCH(TEXT('September TCM'!$B40,"00")&amp;"/09/2026",'Data Base Coal Wining'!$E$2:$E$2000))*'Data Base Coal Wining'!$N$2:$N$2000)</f>
        <v>0</v>
      </c>
      <c r="DQ40" s="1101">
        <f>SUMPRODUCT(('Data Base Coal Wining'!$D$2:$D$2000="TCM-ROM SB1 BK05-ROM 6.1")*('Data Base Coal Wining'!$G$2:$G$2000="Coal Winning")*ISNUMBER(SEARCH(TEXT('September TCM'!$B40,"00")&amp;"/09/2026",'Data Base Coal Wining'!$E$2:$E$2000))*'Data Base Coal Wining'!$N$2:$N$2000)</f>
        <v>0</v>
      </c>
      <c r="DR40" s="13"/>
      <c r="DS40" s="31">
        <f t="shared" si="35"/>
        <v>0</v>
      </c>
      <c r="DT40" s="37"/>
      <c r="DU40" s="37"/>
      <c r="DV40" s="30"/>
      <c r="DW40" s="30"/>
      <c r="DX40" s="30"/>
      <c r="DY40" s="30"/>
      <c r="DZ40" s="30"/>
      <c r="EA40" s="30"/>
      <c r="EB40" s="3">
        <f>SUMPRODUCT(('Data Base Coal Wining'!$D$2:$D$2000="TCM-ROM SB2 BK24-ROM 5")*('Data Base Coal Wining'!$G$2:$G$2000="Coal Winning")*ISNUMBER(SEARCH(TEXT('September TCM'!$B40,"00")&amp;"/09/2026",'Data Base Coal Wining'!$E$2:$E$2000))*'Data Base Coal Wining'!$N$2:$N$2000)</f>
        <v>0</v>
      </c>
      <c r="EC40" s="30"/>
      <c r="ED40" s="24">
        <f>SUMPRODUCT(('Data Base Coal Wining'!$D$2:$D$2000="TCM-ROM SB2 BK24-ROM 6")*('Data Base Coal Wining'!$G$2:$G$2000="Coal Winning")*ISNUMBER(SEARCH(TEXT('September TCM'!$B40,"00")&amp;"/09/2026",'Data Base Coal Wining'!$E$2:$E$2000))*'Data Base Coal Wining'!$N$2:$N$2000)</f>
        <v>0</v>
      </c>
      <c r="EE40" s="34"/>
      <c r="EF40" s="31">
        <f t="shared" si="36"/>
        <v>0</v>
      </c>
      <c r="EG40" s="37"/>
      <c r="EH40" s="37"/>
      <c r="EI40" s="30"/>
      <c r="EJ40" s="30"/>
      <c r="EK40" s="30"/>
      <c r="EL40" s="30"/>
      <c r="EM40" s="30"/>
      <c r="EN40" s="30"/>
      <c r="EO40" s="30"/>
      <c r="EP40" s="30"/>
      <c r="EQ40" s="30"/>
      <c r="ER40" s="34"/>
      <c r="ES40" s="31">
        <f t="shared" si="127"/>
        <v>0</v>
      </c>
      <c r="ET40" s="37"/>
      <c r="EU40" s="30"/>
      <c r="EV40" s="30"/>
      <c r="EW40" s="30"/>
      <c r="EX40" s="30"/>
      <c r="EY40" s="30"/>
      <c r="EZ40" s="34">
        <f t="shared" si="38"/>
        <v>0</v>
      </c>
      <c r="FA40" s="2686"/>
      <c r="FC40" s="6">
        <f t="shared" si="39"/>
        <v>0</v>
      </c>
      <c r="FD40" s="7">
        <f t="shared" si="40"/>
        <v>0</v>
      </c>
      <c r="FE40" s="7">
        <f t="shared" si="151"/>
        <v>0</v>
      </c>
      <c r="FF40" s="13">
        <f t="shared" si="42"/>
        <v>0</v>
      </c>
      <c r="FG40" s="34"/>
      <c r="FH40" s="2675"/>
      <c r="FI40" s="10"/>
      <c r="FJ40" s="7"/>
      <c r="FK40" s="7"/>
      <c r="FL40" s="7"/>
      <c r="FM40" s="7"/>
      <c r="FN40" s="30"/>
      <c r="FO40" s="31">
        <f t="shared" si="43"/>
        <v>0</v>
      </c>
      <c r="FP40" s="37"/>
      <c r="FQ40" s="30"/>
      <c r="FR40" s="30"/>
      <c r="FS40" s="30"/>
      <c r="FT40" s="30"/>
      <c r="FU40" s="30"/>
      <c r="FV40" s="31">
        <f t="shared" si="44"/>
        <v>0</v>
      </c>
      <c r="FW40" s="37"/>
      <c r="FX40" s="37"/>
      <c r="FY40" s="30"/>
      <c r="FZ40" s="30"/>
      <c r="GA40" s="30"/>
      <c r="GB40" s="30"/>
      <c r="GC40" s="30"/>
      <c r="GD40" s="30"/>
      <c r="GE40" s="24" cm="1">
        <f t="array" ref="GE40">SUMPRODUCT(('Data Base Coal Wining'!$C$2:$C$2000="TCM-ROM TEMPORARY SB2 KM 76-ROM HAC (S4700 Hard Ban)")*(ISNUMBER(SEARCH(TEXT('September TCM'!$B40,"00")&amp;"/08/2026",'Data Base Coal Wining'!$E$2:$E$2000)))*'Data Base Coal Wining'!$N$2:$N$2000)</f>
        <v>0</v>
      </c>
      <c r="GF40" s="30"/>
      <c r="GG40" s="30"/>
      <c r="GH40" s="34"/>
      <c r="GI40" s="34">
        <f t="shared" si="45"/>
        <v>0</v>
      </c>
      <c r="GJ40" s="2675"/>
      <c r="GL40" s="2192">
        <f t="shared" si="112"/>
        <v>0</v>
      </c>
      <c r="GM40" s="2521">
        <f t="shared" si="113"/>
        <v>0</v>
      </c>
      <c r="GN40" s="2234">
        <f t="shared" si="114"/>
        <v>0</v>
      </c>
      <c r="GO40" s="30">
        <f t="shared" si="46"/>
        <v>0</v>
      </c>
      <c r="GP40" s="279"/>
      <c r="GQ40" s="279"/>
      <c r="GR40" s="34"/>
      <c r="GS40" s="2668"/>
      <c r="GT40" s="2545">
        <f>SUMPRODUCT(('Data Base hauling'!$H$2:$H$2000="Trust")*(ISNUMBER(SEARCH(TEXT('September TCM'!$B40,"00")&amp;"/09/2026",'Data Base hauling'!$E$2:$E$2000)))*'Data Base hauling'!$N$2:$N$2000)</f>
        <v>0</v>
      </c>
      <c r="GU40" s="2545">
        <f>SUMPRODUCT(('Data Base hauling'!$H$2:$H$2000="RT")*(ISNUMBER(SEARCH(TEXT('September TCM'!$B40,"00")&amp;"/09/2026",'Data Base hauling'!$E$2:$E$2000)))*'Data Base hauling'!$N$2:$N$2000)</f>
        <v>0</v>
      </c>
      <c r="GV40" s="7">
        <f>SUMPRODUCT(('Data Base hauling'!$H$2:$H$2000="MPE")*(ISNUMBER(SEARCH(TEXT('September TCM'!$B40,"00")&amp;"/09/2026",'Data Base hauling'!$E$2:$E$2000)))*'Data Base hauling'!$N$2:$N$2000)</f>
        <v>0</v>
      </c>
      <c r="GW40" s="2545">
        <f>SUMPRODUCT(('Data Base hauling'!$H$2:$H$2000="RP")*(ISNUMBER(SEARCH(TEXT('September TCM'!$B40,"00")&amp;"/09/2026",'Data Base hauling'!$E$2:$E$2000)))*'Data Base hauling'!$N$2:$N$2000)</f>
        <v>0</v>
      </c>
      <c r="GX40" s="31">
        <f t="shared" si="115"/>
        <v>0</v>
      </c>
      <c r="GY40" s="2668"/>
      <c r="GZ40" s="35">
        <f>SUMPRODUCT(('Data Base hauling'!$C$2:$C$2000="TCM-ROM NB-ROM 1")*(ISNUMBER(SEARCH(TEXT('September TCM'!$B40,"00")&amp;"/09/2026",'Data Base hauling'!$E$2:$E$2000)))*'Data Base hauling'!$N$2:$N$2000)</f>
        <v>0</v>
      </c>
      <c r="HA40" s="37"/>
      <c r="HB40" s="30"/>
      <c r="HC40" s="30"/>
      <c r="HD40" s="30"/>
      <c r="HE40" s="30"/>
      <c r="HF40" s="24">
        <f>SUMPRODUCT(('Data Base hauling'!$C$2:$C$2000="TCM-ROM NB-ROM 4")*(ISNUMBER(SEARCH(TEXT('September TCM'!$B40,"00")&amp;"/09/2026",'Data Base hauling'!$E$2:$E$2000)))*'Data Base hauling'!$N$2:$N$2000)</f>
        <v>0</v>
      </c>
      <c r="HG40" s="24"/>
      <c r="HH40" s="24">
        <f>SUMPRODUCT(('Data Base hauling'!$C$2:$C$2000="TCM-ROM NB-ROM 5")*(ISNUMBER(SEARCH(TEXT('September TCM'!$B40,"00")&amp;"/09/2026",'Data Base hauling'!$E$2:$E$2000)))*'Data Base hauling'!$N$2:$N$2000)</f>
        <v>0</v>
      </c>
      <c r="HI40" s="24"/>
      <c r="HJ40" s="24">
        <f>SUMPRODUCT(('Data Base hauling'!$C$2:$C$2000="TCM-ROM NB-ROM 6")*(ISNUMBER(SEARCH(TEXT('September TCM'!$B40,"00")&amp;"/09/2026",'Data Base hauling'!$E$2:$E$2000)))*'Data Base hauling'!$N$2:$N$2000)</f>
        <v>0</v>
      </c>
      <c r="HK40" s="24"/>
      <c r="HL40" s="24">
        <f>SUMPRODUCT(('Data Base hauling'!$C$2:$C$2000="TCM-WASH-CR3")*(ISNUMBER(SEARCH(TEXT('September TCM'!$B40,"00")&amp;"/09/2026",'Data Base hauling'!$E$2:$E$2000)))*'Data Base hauling'!$N$2:$N$2000)</f>
        <v>0</v>
      </c>
      <c r="HM40" s="30"/>
      <c r="HN40" s="31">
        <f t="shared" si="131"/>
        <v>0</v>
      </c>
      <c r="HO40" s="37"/>
      <c r="HP40" s="30"/>
      <c r="HQ40" s="30"/>
      <c r="HR40" s="30"/>
      <c r="HS40" s="30"/>
      <c r="HT40" s="30"/>
      <c r="HU40" s="30">
        <f t="array" ref="HU40">SUMPRODUCT(('Data Base hauling'!$C$2:$C$2000="TCM-ROM SB1 BK05-ROM 4")*(ISNUMBER(SEARCH(TEXT('September TCM'!$B40,"00")&amp;"/03/2026",'Data Base hauling'!$E$2:$E$2000)))*'Data Base hauling'!$N$2:$N$2000)</f>
        <v>0</v>
      </c>
      <c r="HV40" s="30"/>
      <c r="HW40" s="30">
        <f t="array" ref="HW40">SUMPRODUCT(('Data Base hauling'!$C$2:$C$2000="TCM-ROM SB1 BK05-ROM 5")*(ISNUMBER(SEARCH(TEXT('September TCM'!$B40,"00")&amp;"/03/2026",'Data Base hauling'!$E$2:$E$2000)))*'Data Base hauling'!$N$2:$N$2000)</f>
        <v>0</v>
      </c>
      <c r="HX40" s="30"/>
      <c r="HY40" s="30"/>
      <c r="HZ40" s="30"/>
      <c r="IA40" s="30"/>
      <c r="IB40" s="30"/>
      <c r="IC40" s="34">
        <f t="shared" si="48"/>
        <v>0</v>
      </c>
      <c r="ID40" s="56"/>
      <c r="IE40" s="1104"/>
      <c r="IF40" s="57"/>
      <c r="IG40" s="57"/>
      <c r="IH40" s="57"/>
      <c r="II40" s="57"/>
      <c r="IJ40" s="1926">
        <f>SUMPRODUCT(('Data Base hauling'!$C$2:$C$2000="TCM-ROM SB1 BK05-ROM 4")*(ISNUMBER(SEARCH(TEXT('September TCM'!$B40,"00")&amp;"/09/2026",'Data Base hauling'!$E$2:$E$2000)))*'Data Base hauling'!$N$2:$N$2000)</f>
        <v>0</v>
      </c>
      <c r="IK40" s="1926"/>
      <c r="IL40" s="1926">
        <f>SUMPRODUCT(('Data Base hauling'!$C$2:$C$2000="TCM-ROM SB1 BK05-ROM 5")*(ISNUMBER(SEARCH(TEXT('September TCM'!$B40,"00")&amp;"/09/2026",'Data Base hauling'!$E$2:$E$2000)))*'Data Base hauling'!$N$2:$N$2000)</f>
        <v>0</v>
      </c>
      <c r="IM40" s="49"/>
      <c r="IN40" s="49">
        <f>SUMPRODUCT(('Data Base hauling'!$C$2:$C$2000="TCM-ROM SB1 BK05-ROM 6")*(ISNUMBER(SEARCH(TEXT('September TCM'!$B40,"00")&amp;"/09/2026",'Data Base hauling'!$E$2:$E$2000)))*'Data Base hauling'!$N$2:$N$2000)</f>
        <v>0</v>
      </c>
      <c r="IO40" s="49"/>
      <c r="IP40" s="49"/>
      <c r="IQ40" s="49">
        <f>SUMPRODUCT(('Data Base hauling'!$C$2:$C$2000="TCM-HAC1 (Production)-ROM 2(HAC)")*(ISNUMBER(SEARCH(TEXT('September TCM'!$B40,"00")&amp;"/09/2026",'Data Base hauling'!$E$2:$E$2000)))*'Data Base hauling'!$N$2:$N$2000)</f>
        <v>0</v>
      </c>
      <c r="IR40" s="62">
        <f t="shared" si="132"/>
        <v>0</v>
      </c>
      <c r="IS40" s="37"/>
      <c r="IT40" s="37"/>
      <c r="IU40" s="30"/>
      <c r="IV40" s="30"/>
      <c r="IW40" s="57"/>
      <c r="IX40" s="30"/>
      <c r="IY40" s="24">
        <f>SUMPRODUCT(('Data Base hauling'!$C$2:$C$2000="TCM-ROM SB2 BK24-ROM 4")*(ISNUMBER(SEARCH(TEXT('September TCM'!$B40,"00")&amp;"/09/2026",'Data Base hauling'!$E$2:$E$2000)))*'Data Base hauling'!$N$2:$N$2000)</f>
        <v>0</v>
      </c>
      <c r="IZ40" s="24"/>
      <c r="JA40" s="24">
        <f>SUMPRODUCT(('Data Base hauling'!$C$2:$C$2000="TCM-ROM SB2 BK24-ROM 5")*(ISNUMBER(SEARCH(TEXT('September TCM'!$B40,"00")&amp;"/09/2026",'Data Base hauling'!$E$2:$E$2000)))*'Data Base hauling'!$N$2:$N$2000)</f>
        <v>0</v>
      </c>
      <c r="JB40" s="24"/>
      <c r="JC40" s="24">
        <f>SUMPRODUCT(('Data Base hauling'!$C$2:$C$2000="TCM-ROM SB2 BK24-ROM 6")*(ISNUMBER(SEARCH(TEXT('September TCM'!$B40,"00")&amp;"/09/2026",'Data Base hauling'!$E$2:$E$2000)))*'Data Base hauling'!$N$2:$N$2000)</f>
        <v>0</v>
      </c>
      <c r="JD40" s="30"/>
      <c r="JE40" s="30"/>
      <c r="JF40" s="30"/>
      <c r="JG40" s="854">
        <f t="shared" si="133"/>
        <v>0</v>
      </c>
      <c r="JH40" s="2668"/>
      <c r="JJ40" s="2014">
        <f>SUMPRODUCT(('Data Base hauling'!$O$2:$O$2000="TCM.HCV.LS")*(ISNUMBER(SEARCH(TEXT('September TCM'!$B40,"00")&amp;"/09/2026",'Data Base hauling'!$E$2:$E$2000)))*'Data Base hauling'!$N$2:$N$2000)</f>
        <v>0</v>
      </c>
      <c r="JK40" s="2015">
        <f>SUMPRODUCT(('Data Base hauling'!$O$2:$O$2000="TCM.HCV.HS")*(ISNUMBER(SEARCH(TEXT('September TCM'!$B40,"00")&amp;"/09/2026",'Data Base hauling'!$E$2:$E$2000)))*'Data Base hauling'!$N$2:$N$2000)</f>
        <v>0</v>
      </c>
      <c r="JL40" s="30"/>
      <c r="JM40" s="1736">
        <f t="shared" si="51"/>
        <v>0</v>
      </c>
      <c r="JN40" s="31"/>
      <c r="JO40" s="2670"/>
      <c r="JP40" s="66" t="str">
        <f>IFERROR(SUMPRODUCT(('Data Base hauling'!$O$2:$O$2000="TCM.HCV.LS")*('Data Base hauling'!$C$2:$C$2000="TCM-ROM NB-ROM 1")*(ISNUMBER(SEARCH(TEXT('September TCM'!$B40,"00")&amp;"/09/2026",'Data Base hauling'!$E$2:$E$2000)))*'Data Base hauling'!$N$2:$N$2000)/'September TCM'!$JJ40,"")</f>
        <v/>
      </c>
      <c r="JQ40" s="67" t="str">
        <f>IFERROR(SUMPRODUCT(('Data Base hauling'!$O$2:$O$2000="TCM.HCV.LS")*('Data Base hauling'!$C$2:$C$2000="TCM-ROM NB-ROM 2")*(ISNUMBER(SEARCH(TEXT('September TCM'!$B40,"00")&amp;"/09/2026",'Data Base hauling'!$E$2:$E$2000)))*'Data Base hauling'!$N$2:$N$2000)/'September TCM'!$JJ40,"")</f>
        <v/>
      </c>
      <c r="JR40" s="67" t="str">
        <f>IFERROR(SUMPRODUCT(('Data Base hauling'!$O$2:$O$2000="TCM.HCV.LS")*('Data Base hauling'!$C$2:$C$2000="TCM-ROM NB-ROM 3")*(ISNUMBER(SEARCH(TEXT('September TCM'!$B40,"00")&amp;"/09/2026",'Data Base hauling'!$E$2:$E$2000)))*'Data Base hauling'!$N$2:$N$2000)/'September TCM'!$JJ40,"")</f>
        <v/>
      </c>
      <c r="JS40" s="67" t="str">
        <f>IFERROR(SUMPRODUCT(('Data Base hauling'!$O$2:$O$2000="TCM.HCV.LS")*('Data Base hauling'!$C$2:$C$2000="TCM-ROM SB1 BK05-ROM 4")*(ISNUMBER(SEARCH(TEXT('September TCM'!$B40,"00")&amp;"/09/2026",'Data Base hauling'!$E$2:$E$2000)))*'Data Base hauling'!$N$2:$N$2000)/'September TCM'!$JJ40,"")</f>
        <v/>
      </c>
      <c r="JT40" s="67" t="str">
        <f>IFERROR(SUMPRODUCT(('Data Base hauling'!$O$2:$O$2000="TCM.HCV.LS")*SIGN(('Data Base hauling'!$C$2:$C$2000="TCM-ROM NB-ROM 5")+('Data Base hauling'!$C$2:$C$2000="TCM-ROM SB1 BK05-ROM 5")+('Data Base hauling'!$C$2:$C$2000="TCM-ROM SB2 BK24-ROM 5"))*(ISNUMBER(SEARCH(TEXT('September TCM'!$B40,"00")&amp;"/09/2026",'Data Base hauling'!$E$2:$E$2000)))*'Data Base hauling'!$N$2:$N$2000)/'September TCM'!$JJ40,"")</f>
        <v/>
      </c>
      <c r="JU40" s="67" t="str">
        <f>IFERROR(SUMPRODUCT(('Data Base hauling'!$O$2:$O$2000="TCM.HCV.LS")*SIGN(('Data Base hauling'!$C$2:$C$2000="TCM-ROM NB-ROM 6")+('Data Base hauling'!$C$2:$C$2000="TCM-ROM SB1 BK05-ROM 6")+('Data Base hauling'!$C$2:$C$2000="TCM-ROM SB2 BK24-ROM 6"))*(ISNUMBER(SEARCH(TEXT('September TCM'!$B40,"00")&amp;"/09/2026",'Data Base hauling'!$E$2:$E$2000)))*'Data Base hauling'!$N$2:$N$2000)/'September TCM'!$JJ40,"")</f>
        <v/>
      </c>
      <c r="JV40" s="67" t="str">
        <f>IFERROR(SUMPRODUCT(('Data Base hauling'!$O$2:$O$2000="TCM.HCV.LS")*('Data Base hauling'!$C$2:$C$2000="TCM-WASH-CR3")*(ISNUMBER(SEARCH(TEXT('September TCM'!$B40,"00")&amp;"/09/2026",'Data Base hauling'!$E$2:$E$2000)))*'Data Base hauling'!$N$2:$N$2000)/'September TCM'!$JJ40,"")</f>
        <v/>
      </c>
      <c r="JW40" s="1921">
        <f>SUMPRODUCT(('Data Base hauling'!$O$2:$O$2000="TCM.HCV.LS")*('Data Base hauling'!$C$2:$C$2000="TCM-HAC-CR3")*(ISNUMBER(SEARCH(TEXT('September TCM'!$B40,"00")&amp;"/089/2026",'Data Base hauling'!$E$2:$E$2000)))*'Data Base hauling'!$N$2:$N$2000)</f>
        <v>0</v>
      </c>
      <c r="JX40" s="66" t="str">
        <f>IFERROR(SUMPRODUCT(('Data Base hauling'!$O$2:$O$2000="TCM.HCV.HS")*('Data Base hauling'!$C$2:$C$2000="TCM-ROM NB-ROM 1")*(ISNUMBER(SEARCH(TEXT('September TCM'!$B40,"00")&amp;"/09/2026",'Data Base hauling'!$E$2:$E$2000)))*'Data Base hauling'!$N$2:$N$2000)/'September TCM'!$JK40,"")</f>
        <v/>
      </c>
      <c r="JY40" s="67" t="str">
        <f>IFERROR(SUMPRODUCT(('Data Base hauling'!$O$2:$O$2000="TCM.HCV.HS")*('Data Base hauling'!$C$2:$C$2000="TCM-ROM NB-ROM 2")*(ISNUMBER(SEARCH(TEXT('September TCM'!$B40,"00")&amp;"/09/2026",'Data Base hauling'!$E$2:$E$2000)))*'Data Base hauling'!$N$2:$N$2000)/'September TCM'!$JK40,"")</f>
        <v/>
      </c>
      <c r="JZ40" s="67" t="str">
        <f>IFERROR(SUMPRODUCT(('Data Base hauling'!$O$2:$O$2000="TCM.HCV.HS")*('Data Base hauling'!$C$2:$C$2000="TCM-ROM NB-ROM 3")*(ISNUMBER(SEARCH(TEXT('September TCM'!$B40,"00")&amp;"/09/2026",'Data Base hauling'!$E$2:$E$2000)))*'Data Base hauling'!$N$2:$N$2000)/'September TCM'!$JK40,"")</f>
        <v/>
      </c>
      <c r="KA40" s="67" t="str">
        <f>IFERROR(SUMPRODUCT(('Data Base hauling'!$O$2:$O$2000="TCM.HCV.HS")*('Data Base hauling'!$C$2:$C$2000="TCM-ROM SB1 BK05-ROM 4")*(ISNUMBER(SEARCH(TEXT('September TCM'!$B40,"00")&amp;"/09/2026",'Data Base hauling'!$E$2:$E$2000)))*'Data Base hauling'!$N$2:$N$2000)/'September TCM'!$JK40,"")</f>
        <v/>
      </c>
      <c r="KB40" s="67" t="str">
        <f>IFERROR(SUMPRODUCT(('Data Base hauling'!$O$2:$O$2000="TCM.HCV.HS")*SIGN(('Data Base hauling'!$C$2:$C$2000="TCM-ROM NB-ROM 5")+('Data Base hauling'!$C$2:$C$2000="TCM-ROM SB1 BK05-ROM 5")+('Data Base hauling'!$C$2:$C$2000="TCM-ROM SB2 BK24-ROM 5"))*(ISNUMBER(SEARCH(TEXT('September TCM'!$B40,"00")&amp;"/09/2026",'Data Base hauling'!$E$2:$E$2000)))*'Data Base hauling'!$N$2:$N$2000)/'September TCM'!$JK40,"")</f>
        <v/>
      </c>
      <c r="KC40" s="67" t="str">
        <f>IFERROR(SUMPRODUCT(('Data Base hauling'!$O$2:$O$2000="TCM.HCV.HS")*SIGN(('Data Base hauling'!$C$2:$C$2000="TCM-ROM NB-ROM 6")+('Data Base hauling'!$C$2:$C$2000="TCM-ROM SB1 BK05-ROM 6")+('Data Base hauling'!$C$2:$C$2000="TCM-ROM SB2 BK24-ROM 6"))*(ISNUMBER(SEARCH(TEXT('September TCM'!$B40,"00")&amp;"/09/2026",'Data Base hauling'!$E$2:$E$2000)))*'Data Base hauling'!$N$2:$N$2000)/'September TCM'!$JK40,"")</f>
        <v/>
      </c>
      <c r="KD40" s="67" t="str">
        <f>IFERROR(SUMPRODUCT(('Data Base hauling'!$O$2:$O$2000="TCM.HCV.HS")*('Data Base hauling'!$C$2:$C$2000="TCM-WASH-CR3")*(ISNUMBER(SEARCH(TEXT('September TCM'!$B40,"00")&amp;"/09/2026",'Data Base hauling'!$E$2:$E$2000)))*'Data Base hauling'!$N$2:$N$2000)/'September TCM'!$JK40,"")</f>
        <v/>
      </c>
      <c r="KE40" s="68" t="str">
        <f>IFERROR(SUMPRODUCT(('Data Base hauling'!$O$2:$O$2000="TCM.HCV.HS")*('Data Base hauling'!$C$2:$C$2000="TCM-HAC-CR3")*(ISNUMBER(SEARCH(TEXT('September TCM'!$B40,"00")&amp;"/09/2026",'Data Base hauling'!$E$2:$E$2000)))*'Data Base hauling'!$N$2:$N$2000)/'September TCM'!$JK40,"")</f>
        <v/>
      </c>
      <c r="KF40" s="77"/>
      <c r="KG40" s="75"/>
      <c r="KH40" s="75"/>
      <c r="KI40" s="75"/>
      <c r="KJ40" s="75"/>
      <c r="KK40" s="75"/>
      <c r="KL40" s="75"/>
      <c r="KM40" s="75"/>
      <c r="KN40" s="31"/>
      <c r="KO40" s="2670"/>
      <c r="KP40" s="2204">
        <f>IFERROR(SUMPRODUCT((TCM.HCV.LS!$A$3:$A$58=DATE(2026,9,$B40))*(TCM.HCV.LS!$O$3:$O$58&gt;0)*TCM.HCV.LS!$C$3:$C$58*TCM.HCV.LS!$O$3:$O$58)/SUMPRODUCT((TCM.HCV.LS!$A$3:$A$58=DATE(2026,9,$B40))*(TCM.HCV.LS!$O$3:$O$58&gt;0)*TCM.HCV.LS!$C$3:$C$58),0)</f>
        <v>0</v>
      </c>
      <c r="KQ40" s="2205">
        <f>IFERROR(SUMPRODUCT((TCM.HCV.LS!$A$3:$A$58=DATE(2026,9,$B40))*(TCM.HCV.LS!$M$3:$M$58&gt;0)*TCM.HCV.LS!$C$3:$C$58*TCM.HCV.LS!$M$3:$M$58)/SUMPRODUCT((TCM.HCV.LS!$A$3:$A$58=DATE(2026,9,$B40))*(TCM.HCV.LS!$M$3:$M$58&gt;0)*TCM.HCV.LS!$C$3:$C$58),0)</f>
        <v>0</v>
      </c>
      <c r="KR40" s="2205">
        <f>IFERROR(SUMPRODUCT((TCM.HCV.LS!$A$3:$A$58=DATE(2026,9,$B40))*(TCM.HCV.LS!$G$3:$G$58&gt;0)*TCM.HCV.LS!$C$3:$C$58*TCM.HCV.LS!$G$3:$G$58)/SUMPRODUCT((TCM.HCV.LS!$A$3:$A$58=DATE(2026,9,$B40))*(TCM.HCV.LS!$G$3:$G$58&gt;0)*TCM.HCV.LS!$C$3:$C$58),0)</f>
        <v>0</v>
      </c>
      <c r="KS40" s="2205">
        <f>IFERROR(SUMPRODUCT((TCM.HCV.LS!$A$3:$A$58=DATE(2026,9,$B40))*(TCM.HCV.LS!$F$3:$F$58&gt;0)*TCM.HCV.LS!$C$3:$C$58*TCM.HCV.LS!$F$3:$F$58)/SUMPRODUCT((TCM.HCV.LS!$A$3:$A$58=DATE(2026,9,$B40))*(TCM.HCV.LS!$F$3:$F$58&gt;0)*TCM.HCV.LS!$C$3:$C$58),0)</f>
        <v>0</v>
      </c>
      <c r="KT40" s="2206">
        <f>IFERROR(SUMPRODUCT((TCM.HCV.LS!$A$3:$A$58=DATE(2026,9,$B40))*(TCM.HCV.LS!$E$3:$E$58&gt;0)*TCM.HCV.LS!$C$3:$C$58*TCM.HCV.LS!$E$3:$E$58)/SUMPRODUCT((TCM.HCV.LS!$A$3:$A$58=DATE(2026,9,$B40))*(TCM.HCV.LS!$E$3:$E$58&gt;0)*TCM.HCV.LS!$C$3:$C$58),0)</f>
        <v>0</v>
      </c>
      <c r="KU40" s="2207">
        <f>IFERROR(SUMPRODUCT((TCM.HCV.HS!$A$3:$A$84=DATE(2026,9,$B40))*(TCM.HCV.HS!$O$3:$O$84&gt;0)*TCM.HCV.HS!$C$3:$C$84*TCM.HCV.HS!$O$3:$O$84)/SUMPRODUCT((TCM.HCV.HS!$A$3:$A$84=DATE(2026,9,$B40))*(TCM.HCV.HS!$O$3:$O$84&gt;0)*TCM.HCV.HS!$C$3:$C$84),0)</f>
        <v>0</v>
      </c>
      <c r="KV40" s="2208">
        <f>IFERROR(SUMPRODUCT((TCM.HCV.HS!$A$3:$A$84=DATE(2026,9,$B40))*(TCM.HCV.HS!$M$3:$M$84&gt;0)*TCM.HCV.HS!$C$3:$C$84*TCM.HCV.HS!$M$3:$M$84)/SUMPRODUCT((TCM.HCV.HS!$A$3:$A$84=DATE(2026,9,$B40))*(TCM.HCV.HS!$M$3:$M$84&gt;0)*TCM.HCV.HS!$C$3:$C$84),0)</f>
        <v>0</v>
      </c>
      <c r="KW40" s="2208">
        <f>IFERROR(SUMPRODUCT((TCM.HCV.HS!$A$3:$A$84=DATE(2026,9,$B40))*(TCM.HCV.HS!$G$3:$G$84&gt;0)*TCM.HCV.HS!$C$3:$C$84*TCM.HCV.HS!$G$3:$G$84)/SUMPRODUCT((TCM.HCV.HS!$A$3:$A$84=DATE(2026,9,$B40))*(TCM.HCV.HS!$G$3:$G$84&gt;0)*TCM.HCV.HS!$C$3:$C$84),0)</f>
        <v>0</v>
      </c>
      <c r="KX40" s="2208">
        <f>IFERROR(SUMPRODUCT((TCM.HCV.HS!$A$3:$A$84=DATE(2026,9,$B40))*(TCM.HCV.HS!$F$3:$F$84&gt;0)*TCM.HCV.HS!$C$3:$C$84*TCM.HCV.HS!$F$3:$F$84)/SUMPRODUCT((TCM.HCV.HS!$A$3:$A$84=DATE(2026,9,$B40))*(TCM.HCV.HS!$F$3:$F$84&gt;0)*TCM.HCV.HS!$C$3:$C$84),0)</f>
        <v>0</v>
      </c>
      <c r="KY40" s="2209">
        <f>IFERROR(SUMPRODUCT((TCM.HCV.HS!$A$3:$A$84=DATE(2026,9,$B40))*(TCM.HCV.HS!$E$3:$E$84&gt;0)*TCM.HCV.HS!$C$3:$C$84*TCM.HCV.HS!$E$3:$E$84)/SUMPRODUCT((TCM.HCV.HS!$A$3:$A$84=DATE(2026,9,$B40))*(TCM.HCV.HS!$E$3:$E$84&gt;0)*TCM.HCV.HS!$C$3:$C$84),0)</f>
        <v>0</v>
      </c>
      <c r="KZ40" s="37"/>
      <c r="LA40" s="57"/>
      <c r="LB40" s="57"/>
      <c r="LC40" s="57"/>
      <c r="LD40" s="57"/>
      <c r="LE40" s="31"/>
      <c r="LF40" s="2670"/>
      <c r="LH40" s="29">
        <f t="shared" si="138"/>
        <v>0</v>
      </c>
      <c r="LI40" s="30">
        <f t="shared" si="138"/>
        <v>0</v>
      </c>
      <c r="LJ40" s="30">
        <f t="shared" si="138"/>
        <v>0</v>
      </c>
      <c r="LK40" s="31">
        <f t="shared" si="53"/>
        <v>0</v>
      </c>
      <c r="LL40" s="37"/>
      <c r="LM40" s="30"/>
      <c r="LN40" s="30"/>
      <c r="LO40" s="34"/>
      <c r="LP40" s="2495"/>
      <c r="LQ40" s="332"/>
      <c r="LR40" s="2689"/>
      <c r="LS40" s="29"/>
      <c r="LT40" s="37"/>
      <c r="LU40" s="30"/>
      <c r="LV40" s="30"/>
      <c r="LW40" s="30"/>
      <c r="LX40" s="1102">
        <f t="shared" si="129"/>
        <v>0</v>
      </c>
      <c r="LY40" s="37"/>
      <c r="LZ40" s="37"/>
      <c r="MA40" s="30"/>
      <c r="MB40" s="30"/>
      <c r="MC40" s="34"/>
      <c r="MD40" s="31">
        <f t="shared" si="137"/>
        <v>0</v>
      </c>
      <c r="ME40" s="29"/>
      <c r="MF40" s="37"/>
      <c r="MG40" s="30"/>
      <c r="MH40" s="30"/>
      <c r="MI40" s="30"/>
      <c r="MJ40" s="31"/>
      <c r="MK40" s="37"/>
      <c r="ML40" s="37"/>
      <c r="MM40" s="30"/>
      <c r="MN40" s="30"/>
      <c r="MO40" s="30"/>
      <c r="MP40" s="31"/>
      <c r="MQ40" s="37"/>
      <c r="MR40" s="37"/>
      <c r="MS40" s="30"/>
      <c r="MT40" s="30"/>
      <c r="MU40" s="30"/>
      <c r="MV40" s="34">
        <f t="shared" si="56"/>
        <v>0</v>
      </c>
      <c r="MW40" s="2689"/>
      <c r="MY40" s="29">
        <f t="shared" si="57"/>
        <v>377341.84766611259</v>
      </c>
      <c r="MZ40" s="30">
        <f t="shared" si="58"/>
        <v>191595.15302645112</v>
      </c>
      <c r="NA40" s="30">
        <f t="shared" si="59"/>
        <v>27294.683787707359</v>
      </c>
      <c r="NB40" s="31">
        <f t="shared" si="60"/>
        <v>318297.33035698003</v>
      </c>
      <c r="NC40" s="2622"/>
      <c r="ND40" s="23">
        <f t="shared" si="116"/>
        <v>207724.34280113198</v>
      </c>
      <c r="NE40" s="1655">
        <f t="shared" si="117"/>
        <v>169617.50486498058</v>
      </c>
      <c r="NF40" s="2233">
        <f t="shared" si="63"/>
        <v>0</v>
      </c>
      <c r="NG40" s="276">
        <f t="shared" si="4"/>
        <v>377341.84766611259</v>
      </c>
      <c r="NH40" s="29">
        <f t="shared" si="152"/>
        <v>0</v>
      </c>
      <c r="NI40" s="30">
        <f t="shared" si="152"/>
        <v>0</v>
      </c>
      <c r="NJ40" s="30">
        <f t="shared" si="152"/>
        <v>0</v>
      </c>
      <c r="NK40" s="30">
        <f t="shared" si="152"/>
        <v>0</v>
      </c>
      <c r="NL40" s="30">
        <f t="shared" si="152"/>
        <v>0</v>
      </c>
      <c r="NM40" s="34">
        <f t="shared" si="152"/>
        <v>0</v>
      </c>
      <c r="NN40" s="1233">
        <f t="shared" si="152"/>
        <v>0</v>
      </c>
      <c r="NO40" s="57">
        <f t="shared" si="152"/>
        <v>0</v>
      </c>
      <c r="NP40" s="2234">
        <f t="shared" si="141"/>
        <v>21665.870136227244</v>
      </c>
      <c r="NQ40" s="30">
        <f t="shared" si="152"/>
        <v>22358.939343794715</v>
      </c>
      <c r="NR40" s="2234">
        <f t="shared" si="118"/>
        <v>8443.1982322711574</v>
      </c>
      <c r="NS40" s="2234">
        <f t="shared" si="119"/>
        <v>9895.3380410535083</v>
      </c>
      <c r="NT40" s="30">
        <f t="shared" si="0"/>
        <v>62363.345753346621</v>
      </c>
      <c r="NU40" s="30">
        <f t="shared" si="142"/>
        <v>0</v>
      </c>
      <c r="NV40" s="30">
        <f t="shared" si="142"/>
        <v>0</v>
      </c>
      <c r="NW40" s="30">
        <f t="shared" si="142"/>
        <v>0</v>
      </c>
      <c r="NX40" s="30">
        <f t="shared" si="142"/>
        <v>0</v>
      </c>
      <c r="NY40" s="7">
        <f t="shared" si="142"/>
        <v>0</v>
      </c>
      <c r="NZ40" s="7">
        <f t="shared" si="142"/>
        <v>0</v>
      </c>
      <c r="OA40" s="30">
        <f t="shared" si="142"/>
        <v>35558.705564997217</v>
      </c>
      <c r="OB40" s="30">
        <f t="shared" si="142"/>
        <v>0</v>
      </c>
      <c r="OC40" s="27">
        <f t="shared" si="66"/>
        <v>12611.886475620366</v>
      </c>
      <c r="OD40" s="30"/>
      <c r="OE40" s="30">
        <f t="shared" si="120"/>
        <v>13429.316718063665</v>
      </c>
      <c r="OF40" s="30">
        <f t="shared" si="67"/>
        <v>0</v>
      </c>
      <c r="OG40" s="30">
        <f t="shared" si="1"/>
        <v>61599.908758681253</v>
      </c>
      <c r="OH40" s="30">
        <f t="shared" si="143"/>
        <v>0</v>
      </c>
      <c r="OI40" s="30">
        <f t="shared" si="143"/>
        <v>0</v>
      </c>
      <c r="OJ40" s="30">
        <f t="shared" si="143"/>
        <v>0</v>
      </c>
      <c r="OK40" s="30">
        <f t="shared" si="143"/>
        <v>0</v>
      </c>
      <c r="OL40" s="30">
        <f t="shared" si="143"/>
        <v>0</v>
      </c>
      <c r="OM40" s="30">
        <f t="shared" si="143"/>
        <v>0</v>
      </c>
      <c r="ON40" s="2234">
        <f t="shared" si="143"/>
        <v>0</v>
      </c>
      <c r="OO40" s="30">
        <f t="shared" si="143"/>
        <v>0</v>
      </c>
      <c r="OP40" s="2234">
        <f t="shared" si="69"/>
        <v>54054.217649249818</v>
      </c>
      <c r="OQ40" s="30">
        <f t="shared" si="144"/>
        <v>0</v>
      </c>
      <c r="OR40" s="2234">
        <f t="shared" si="144"/>
        <v>13577.680865173457</v>
      </c>
      <c r="OS40" s="30">
        <f t="shared" si="144"/>
        <v>0</v>
      </c>
      <c r="OT40" s="31">
        <f t="shared" si="2"/>
        <v>67631.898514423272</v>
      </c>
      <c r="OU40" s="37"/>
      <c r="OV40" s="30"/>
      <c r="OW40" s="30"/>
      <c r="OX40" s="30"/>
      <c r="OY40" s="30"/>
      <c r="OZ40" s="30"/>
      <c r="PA40" s="31">
        <f t="shared" si="71"/>
        <v>0</v>
      </c>
      <c r="PB40" s="37">
        <f t="shared" si="72"/>
        <v>0</v>
      </c>
      <c r="PC40" s="30">
        <f t="shared" si="73"/>
        <v>0</v>
      </c>
      <c r="PD40" s="30">
        <f t="shared" si="74"/>
        <v>0</v>
      </c>
      <c r="PE40" s="30">
        <f t="shared" si="75"/>
        <v>0</v>
      </c>
      <c r="PF40" s="24"/>
      <c r="PG40" s="30">
        <f t="shared" si="76"/>
        <v>0</v>
      </c>
      <c r="PH40" s="34">
        <f t="shared" si="3"/>
        <v>0</v>
      </c>
      <c r="PI40" s="2622"/>
      <c r="PJ40" s="2263"/>
      <c r="PK40" s="1907">
        <f>SUMPRODUCT(('Data Base Coal Wining'!$D$2:$D$2000="WASHING PLANT")*ISNUMBER(SEARCH(TEXT('September TCM'!$B40,"00")&amp;"/09/2026",'Data Base Coal Wining'!$E$2:$E$2000))*'Data Base Coal Wining'!$N$2:$N$2000)</f>
        <v>0</v>
      </c>
      <c r="PL40" s="3"/>
      <c r="PM40" s="3"/>
      <c r="PN40" s="3">
        <f t="shared" si="145"/>
        <v>0</v>
      </c>
      <c r="PO40" s="3">
        <f t="shared" si="78"/>
        <v>38895.633435124721</v>
      </c>
      <c r="PP40" s="11">
        <f t="shared" si="139"/>
        <v>27294.683787707359</v>
      </c>
      <c r="PQ40" s="16"/>
      <c r="PR40" s="2616"/>
      <c r="PT40" s="6"/>
      <c r="PU40" s="10"/>
      <c r="PV40" s="10"/>
      <c r="PW40" s="10"/>
      <c r="PX40" s="8">
        <f>SUMPRODUCT(('Data Base Coal Wining'!$D$2:$D$2000="TCM-ROM SB1 BK05-ROM 2 (HAC)")*('Data Base Coal Wining'!$G$2:$G$2000="Coal Winning")*ISNUMBER(SEARCH(TEXT('September TCM'!$B40,"00")&amp;"/09/2026",'Data Base Coal Wining'!$E$2:$E$2000))*'Data Base Coal Wining'!$N$2:$N$2000)</f>
        <v>0</v>
      </c>
      <c r="PY40" s="10"/>
      <c r="PZ40" s="1101">
        <f t="shared" si="80"/>
        <v>0</v>
      </c>
      <c r="QA40" s="7">
        <f t="shared" si="81"/>
        <v>0</v>
      </c>
      <c r="QB40" s="7"/>
      <c r="QC40" s="7"/>
      <c r="QD40" s="7"/>
      <c r="QE40" s="7"/>
      <c r="QF40" s="7"/>
      <c r="QG40" s="13"/>
      <c r="QH40" s="13">
        <f t="shared" si="82"/>
        <v>29562.488999999998</v>
      </c>
      <c r="QI40" s="1100">
        <f t="shared" si="83"/>
        <v>283762.59090898006</v>
      </c>
      <c r="QJ40" s="1106">
        <f>+QJ39+PY40-QF40</f>
        <v>4972.2504480000007</v>
      </c>
      <c r="QK40" s="484">
        <f t="shared" si="84"/>
        <v>5505.3678056099998</v>
      </c>
      <c r="QL40" s="13"/>
      <c r="QM40" s="2616"/>
      <c r="QO40" s="139" t="str">
        <f t="shared" si="85"/>
        <v/>
      </c>
      <c r="QP40" s="139" t="str">
        <f t="shared" si="86"/>
        <v/>
      </c>
      <c r="QR40" s="139" t="str">
        <f t="shared" si="87"/>
        <v/>
      </c>
      <c r="QS40" s="139" t="str">
        <f t="shared" si="88"/>
        <v/>
      </c>
      <c r="QU40" s="1">
        <f t="shared" si="89"/>
        <v>0</v>
      </c>
      <c r="QV40" s="1">
        <f t="shared" si="90"/>
        <v>0</v>
      </c>
      <c r="QW40" s="1">
        <f t="shared" si="91"/>
        <v>0</v>
      </c>
      <c r="QX40" s="1">
        <f t="shared" si="92"/>
        <v>0</v>
      </c>
      <c r="QY40" s="1">
        <f t="shared" si="93"/>
        <v>0</v>
      </c>
      <c r="QZ40" s="1">
        <f t="shared" si="94"/>
        <v>0</v>
      </c>
      <c r="RB40" s="1">
        <f t="shared" si="95"/>
        <v>0</v>
      </c>
      <c r="RC40" s="1">
        <f t="shared" si="96"/>
        <v>0</v>
      </c>
      <c r="RD40" s="1">
        <f t="shared" si="97"/>
        <v>0</v>
      </c>
      <c r="RE40" s="1">
        <f t="shared" si="98"/>
        <v>0</v>
      </c>
      <c r="RF40" s="1">
        <f t="shared" si="99"/>
        <v>0</v>
      </c>
      <c r="RG40" s="1">
        <f t="shared" si="100"/>
        <v>0</v>
      </c>
      <c r="RJ40" s="1">
        <v>31</v>
      </c>
      <c r="RK40" s="1">
        <f t="shared" si="150"/>
        <v>5984.4452097170979</v>
      </c>
      <c r="RL40" s="1">
        <f t="shared" si="150"/>
        <v>5074.1017804837184</v>
      </c>
      <c r="RM40" s="1">
        <f t="shared" si="150"/>
        <v>13404.263703387322</v>
      </c>
      <c r="RN40" s="89">
        <f t="shared" si="5"/>
        <v>24462.810693588137</v>
      </c>
      <c r="RO40" s="1033">
        <v>31</v>
      </c>
      <c r="RP40" s="1098">
        <v>0</v>
      </c>
      <c r="RQ40" s="1098">
        <f t="shared" si="102"/>
        <v>0</v>
      </c>
      <c r="RR40" s="1097">
        <f t="shared" si="102"/>
        <v>0</v>
      </c>
      <c r="RS40" s="1097">
        <f t="shared" si="103"/>
        <v>0</v>
      </c>
      <c r="RT40" s="1094"/>
      <c r="RU40" s="2441"/>
      <c r="RX40" s="421">
        <v>31</v>
      </c>
      <c r="RY40" s="1095">
        <f t="shared" si="104"/>
        <v>0</v>
      </c>
      <c r="RZ40" s="2420"/>
      <c r="SB40" s="1090"/>
      <c r="SC40" s="1090">
        <f t="shared" si="105"/>
        <v>0</v>
      </c>
      <c r="SD40" s="1090"/>
      <c r="SE40" s="1090">
        <f t="shared" si="136"/>
        <v>0</v>
      </c>
      <c r="SG40" s="1">
        <v>31</v>
      </c>
      <c r="SH40" s="1">
        <f t="shared" si="107"/>
        <v>0</v>
      </c>
      <c r="SI40" s="2420"/>
    </row>
    <row r="41" spans="1:503" s="38" customFormat="1" ht="13.95" customHeight="1">
      <c r="A41" s="307" t="s">
        <v>206</v>
      </c>
      <c r="B41" s="307"/>
      <c r="C41" s="72">
        <f>SUM(C10:C40)</f>
        <v>1092502</v>
      </c>
      <c r="D41" s="72">
        <f>SUM(D10:D40)</f>
        <v>58487.26</v>
      </c>
      <c r="E41" s="2266">
        <f t="shared" si="6"/>
        <v>18.679315803133878</v>
      </c>
      <c r="H41" s="38">
        <f t="shared" ref="H41:P41" si="153">SUM(H10:H40)</f>
        <v>10</v>
      </c>
      <c r="I41" s="38">
        <f t="shared" si="153"/>
        <v>4.67</v>
      </c>
      <c r="J41" s="38">
        <f t="shared" si="153"/>
        <v>0</v>
      </c>
      <c r="K41" s="38">
        <f t="shared" si="153"/>
        <v>0</v>
      </c>
      <c r="L41" s="38">
        <f t="shared" si="153"/>
        <v>73</v>
      </c>
      <c r="M41" s="38">
        <f t="shared" si="153"/>
        <v>9.75</v>
      </c>
      <c r="N41" s="72">
        <f t="shared" si="153"/>
        <v>0</v>
      </c>
      <c r="O41" s="72">
        <f t="shared" si="153"/>
        <v>648396</v>
      </c>
      <c r="P41" s="38">
        <f t="shared" si="153"/>
        <v>28083.880000000005</v>
      </c>
      <c r="Q41" s="38">
        <f t="shared" si="8"/>
        <v>23.08783544154155</v>
      </c>
      <c r="R41" s="72">
        <f>SUM(R10:R40)</f>
        <v>0</v>
      </c>
      <c r="S41" s="1409">
        <f t="shared" si="9"/>
        <v>239715</v>
      </c>
      <c r="T41" s="1410">
        <f>SUM(T10:T40)</f>
        <v>15151.42</v>
      </c>
      <c r="U41" s="1410">
        <f t="shared" si="10"/>
        <v>15.821289357697166</v>
      </c>
      <c r="V41" s="72">
        <f>SUM(V10:V40)</f>
        <v>0</v>
      </c>
      <c r="W41" s="72">
        <f>SUM(W10:W40)</f>
        <v>157691</v>
      </c>
      <c r="X41" s="72">
        <f>SUM(X10:X40)</f>
        <v>14294</v>
      </c>
      <c r="Y41" s="38">
        <f t="shared" si="12"/>
        <v>11.031971456555198</v>
      </c>
      <c r="Z41" s="72">
        <f>SUM(Z10:Z40)</f>
        <v>0</v>
      </c>
      <c r="AA41" s="72">
        <f>SUM(AA10:AA40)</f>
        <v>46700</v>
      </c>
      <c r="AB41" s="72">
        <f t="shared" si="126"/>
        <v>957.96</v>
      </c>
      <c r="AC41" s="38">
        <f t="shared" si="15"/>
        <v>48.749425863292828</v>
      </c>
      <c r="AD41" s="72"/>
      <c r="AE41" s="72">
        <f>SUM(AE10:AE40)</f>
        <v>0</v>
      </c>
      <c r="AF41" s="38">
        <f>SUM(AF10:AF40)</f>
        <v>0</v>
      </c>
      <c r="AG41" s="38">
        <f t="shared" si="16"/>
        <v>0</v>
      </c>
      <c r="AH41" s="72">
        <f>SUM(AH10:AH40)</f>
        <v>0</v>
      </c>
      <c r="AI41" s="72">
        <f>SUM(AI10:AI40)</f>
        <v>0</v>
      </c>
      <c r="AJ41" s="72">
        <f>SUM(AJ10:AJ40)</f>
        <v>0</v>
      </c>
      <c r="AK41" s="38">
        <f t="shared" si="17"/>
        <v>0</v>
      </c>
      <c r="AL41" s="72">
        <f>SUM(AL10:AL40)</f>
        <v>0</v>
      </c>
      <c r="AM41" s="72">
        <f>SUM(AM10:AM40)</f>
        <v>0</v>
      </c>
      <c r="AN41" s="72">
        <f>SUM(AN10:AN40)</f>
        <v>0</v>
      </c>
      <c r="AO41" s="72">
        <f>SUM(AO10:AO40)</f>
        <v>0</v>
      </c>
      <c r="AP41" s="38">
        <f t="shared" si="18"/>
        <v>0</v>
      </c>
      <c r="AQ41" s="72">
        <f>SUM(AQ10:AQ40)</f>
        <v>0</v>
      </c>
      <c r="AR41" s="38">
        <f>SUM(AR10:AR40)</f>
        <v>0</v>
      </c>
      <c r="AS41" s="38">
        <f t="shared" si="19"/>
        <v>0</v>
      </c>
      <c r="AT41" s="72">
        <f>SUM(AT10:AT40)</f>
        <v>0</v>
      </c>
      <c r="AU41" s="72">
        <f>SUM(AU10:AU40)</f>
        <v>0</v>
      </c>
      <c r="AV41" s="38">
        <f t="shared" si="20"/>
        <v>0</v>
      </c>
      <c r="AW41" s="72">
        <f>SUM(AW10:AW40)</f>
        <v>343098</v>
      </c>
      <c r="AX41" s="38">
        <f>SUM(AX10:AX40)</f>
        <v>26308.460000000006</v>
      </c>
      <c r="AY41" s="1904">
        <f>IFERROR(SUM(AW10:AW40)/SUM(AX10:AX40),0)</f>
        <v>13.041356278550699</v>
      </c>
      <c r="AZ41" s="72">
        <f>SUM(AZ10:AZ40)</f>
        <v>0</v>
      </c>
      <c r="BA41" s="72">
        <f>SUM(BA10:BA40)</f>
        <v>0</v>
      </c>
      <c r="BB41" s="38">
        <f>IFERROR(SUM(AZ10:AZ40)/SUM(BA10:BA40),0)</f>
        <v>0</v>
      </c>
      <c r="BC41" s="72">
        <f>SUM(BC10:BC40)</f>
        <v>305298</v>
      </c>
      <c r="BD41" s="865">
        <f>SUM(BD10:BD40)</f>
        <v>1775.42</v>
      </c>
      <c r="BE41" s="1904">
        <f>IFERROR(SUM(BC10:BC40)/SUM(BD10:BD40),0)</f>
        <v>171.95818454224914</v>
      </c>
      <c r="BF41" s="72">
        <f>SUM(BF10:BF40)</f>
        <v>0</v>
      </c>
      <c r="BG41" s="38">
        <f>SUM(BG10:BG40)</f>
        <v>0</v>
      </c>
      <c r="BH41" s="38">
        <f>IFERROR(SUM(BF10:BF40)/SUM(BG10:BG40),0)</f>
        <v>0</v>
      </c>
      <c r="BI41" s="72">
        <f>SUM(BI10:BI40)</f>
        <v>0</v>
      </c>
      <c r="BJ41" s="38">
        <f>SUM(BJ10:BJ40)</f>
        <v>0</v>
      </c>
      <c r="BK41" s="38">
        <f>IFERROR(SUM(BI10:BI40)/SUM(BJ10:BJ40),0)</f>
        <v>0</v>
      </c>
      <c r="BL41" s="72">
        <f>SUM(BL10:BL40)</f>
        <v>239715</v>
      </c>
      <c r="BM41" s="1743">
        <f>SUM(BM10:BM40)</f>
        <v>15151.42</v>
      </c>
      <c r="BN41" s="72">
        <f>SUM(BN10:BN40)</f>
        <v>0</v>
      </c>
      <c r="BO41" s="1904">
        <f>IFERROR(SUM(BL10:BL40)/SUM(BM10:BM40),0)</f>
        <v>15.821289357697166</v>
      </c>
      <c r="BP41" s="72">
        <f>SUM(BP10:BP40)</f>
        <v>46700</v>
      </c>
      <c r="BQ41" s="38">
        <f>SUM(BQ10:BQ40)</f>
        <v>957.96</v>
      </c>
      <c r="BR41" s="38">
        <f>IFERROR(SUM(BP10:BP40)/SUM(BQ10:BQ40),0)</f>
        <v>48.749425863292828</v>
      </c>
      <c r="BS41" s="72">
        <f>SUM(BS10:BS40)</f>
        <v>0</v>
      </c>
      <c r="BT41" s="38">
        <f>SUM(BT10:BT40)</f>
        <v>0</v>
      </c>
      <c r="BU41" s="38">
        <f>IFERROR(SUM(BS10:BS40)/SUM(BT10:BT40),0)</f>
        <v>0</v>
      </c>
      <c r="BV41" s="72">
        <f>SUM(BV10:BV40)</f>
        <v>157691</v>
      </c>
      <c r="BW41" s="72">
        <f>SUM(BW10:BW40)</f>
        <v>14294</v>
      </c>
      <c r="BX41" s="1904">
        <f>IFERROR(SUM(BV10:BV40)/SUM(BW10:BW40),0)</f>
        <v>11.031971456555198</v>
      </c>
      <c r="BY41" s="72">
        <f>SUM(BY10:BY40)</f>
        <v>0</v>
      </c>
      <c r="BZ41" s="72">
        <f>SUM(BZ10:BZ40)</f>
        <v>0</v>
      </c>
      <c r="CA41" s="38">
        <f t="shared" si="29"/>
        <v>0</v>
      </c>
      <c r="CB41" s="72">
        <f>SUM(CB10:CB40)</f>
        <v>0</v>
      </c>
      <c r="CC41" s="72">
        <f>SUM(CC10:CC40)</f>
        <v>0</v>
      </c>
      <c r="CD41" s="38">
        <f t="shared" si="30"/>
        <v>0</v>
      </c>
      <c r="CE41" s="72">
        <f>SUM(CE10:CE40)</f>
        <v>0</v>
      </c>
      <c r="CF41" s="278">
        <f>SUM(CF10:CF40)</f>
        <v>0</v>
      </c>
      <c r="CG41" s="38">
        <f t="shared" si="31"/>
        <v>0</v>
      </c>
      <c r="CH41" s="72">
        <f t="shared" ref="CH41:CR41" si="154">SUM(CH10:CH40)</f>
        <v>0</v>
      </c>
      <c r="CI41" s="72">
        <f t="shared" si="154"/>
        <v>0</v>
      </c>
      <c r="CJ41" s="72">
        <f t="shared" si="154"/>
        <v>16790</v>
      </c>
      <c r="CK41" s="72">
        <f t="shared" si="154"/>
        <v>57057</v>
      </c>
      <c r="CL41" s="72">
        <f t="shared" si="154"/>
        <v>0</v>
      </c>
      <c r="CM41" s="72">
        <f t="shared" si="154"/>
        <v>0</v>
      </c>
      <c r="CN41" s="72">
        <f t="shared" si="154"/>
        <v>73847</v>
      </c>
      <c r="CO41" s="72">
        <f t="shared" si="154"/>
        <v>0</v>
      </c>
      <c r="CP41" s="72">
        <f t="shared" si="154"/>
        <v>0</v>
      </c>
      <c r="CQ41" s="72">
        <f t="shared" si="154"/>
        <v>0</v>
      </c>
      <c r="CR41" s="72">
        <f t="shared" si="154"/>
        <v>0</v>
      </c>
      <c r="CS41" s="72"/>
      <c r="CT41" s="72">
        <f>SUM(CT10:CT40)</f>
        <v>0</v>
      </c>
      <c r="CU41" s="72"/>
      <c r="CV41" s="72">
        <f>SUM(CV10:CV40)</f>
        <v>0</v>
      </c>
      <c r="CW41" s="72"/>
      <c r="CX41" s="72">
        <f>SUM(CX10:CX40)</f>
        <v>26308.460000000006</v>
      </c>
      <c r="CY41" s="72"/>
      <c r="CZ41" s="72">
        <f>SUM(CZ10:CZ40)</f>
        <v>18647.38</v>
      </c>
      <c r="DA41" s="72"/>
      <c r="DB41" s="72">
        <f>SUM(DB10:DB40)</f>
        <v>13531.42</v>
      </c>
      <c r="DC41" s="72"/>
      <c r="DD41" s="72">
        <f>SUM(DD10:DD40)</f>
        <v>58487.260000000009</v>
      </c>
      <c r="DE41" s="72">
        <f>SUM(DE10:DE40)</f>
        <v>0</v>
      </c>
      <c r="DF41" s="72">
        <f>SUM(DF10:DF40)</f>
        <v>0</v>
      </c>
      <c r="DG41" s="72"/>
      <c r="DH41" s="72">
        <f>SUM(DH10:DH40)</f>
        <v>0</v>
      </c>
      <c r="DI41" s="72"/>
      <c r="DJ41" s="72">
        <f>SUM(DJ10:DJ40)</f>
        <v>0</v>
      </c>
      <c r="DK41" s="72"/>
      <c r="DL41" s="72">
        <f>SUM(DL10:DL40)</f>
        <v>26308.460000000006</v>
      </c>
      <c r="DM41" s="72"/>
      <c r="DN41" s="72">
        <f t="shared" ref="DN41:DT41" si="155">SUM(DN10:DN40)</f>
        <v>0</v>
      </c>
      <c r="DO41" s="72">
        <f t="shared" si="155"/>
        <v>0</v>
      </c>
      <c r="DP41" s="72">
        <f t="shared" si="155"/>
        <v>0</v>
      </c>
      <c r="DQ41" s="72"/>
      <c r="DR41" s="72">
        <f t="shared" si="155"/>
        <v>0</v>
      </c>
      <c r="DS41" s="72">
        <f t="shared" si="155"/>
        <v>26308.460000000006</v>
      </c>
      <c r="DT41" s="72">
        <f t="shared" si="155"/>
        <v>0</v>
      </c>
      <c r="DU41" s="72"/>
      <c r="DV41" s="72">
        <f>SUM(DV10:DV40)</f>
        <v>0</v>
      </c>
      <c r="DW41" s="72"/>
      <c r="DX41" s="72">
        <f>SUM(DX10:DX40)</f>
        <v>0</v>
      </c>
      <c r="DY41" s="72"/>
      <c r="DZ41" s="72">
        <f>SUM(DZ10:DZ40)</f>
        <v>0</v>
      </c>
      <c r="EA41" s="72"/>
      <c r="EB41" s="72">
        <f>SUM(EB10:EB40)</f>
        <v>16109.38</v>
      </c>
      <c r="ED41" s="72">
        <f>SUM(ED10:ED40)</f>
        <v>1775.42</v>
      </c>
      <c r="EE41" s="72"/>
      <c r="EF41" s="72">
        <f t="shared" ref="EF41:EK41" si="156">SUM(EF10:EF40)</f>
        <v>17884.8</v>
      </c>
      <c r="EG41" s="72">
        <f t="shared" si="156"/>
        <v>0</v>
      </c>
      <c r="EH41" s="72">
        <f t="shared" si="156"/>
        <v>0</v>
      </c>
      <c r="EI41" s="72">
        <f t="shared" si="156"/>
        <v>0</v>
      </c>
      <c r="EJ41" s="72">
        <f t="shared" si="156"/>
        <v>0</v>
      </c>
      <c r="EK41" s="72">
        <f t="shared" si="156"/>
        <v>0</v>
      </c>
      <c r="EL41" s="72"/>
      <c r="EM41" s="72">
        <f>SUM(EM10:EM40)</f>
        <v>0</v>
      </c>
      <c r="EN41" s="278">
        <f>SUM(EN10:EN40)</f>
        <v>0</v>
      </c>
      <c r="EO41" s="72">
        <f>SUM(EO10:EO40)</f>
        <v>2538</v>
      </c>
      <c r="EP41" s="72"/>
      <c r="EQ41" s="72">
        <f>SUM(EQ10:EQ40)</f>
        <v>11756</v>
      </c>
      <c r="ER41" s="72"/>
      <c r="ES41" s="72">
        <f>SUM(ES10:ES40)</f>
        <v>14294</v>
      </c>
      <c r="ET41" s="72">
        <f>SUM(ET10:ET40)</f>
        <v>0</v>
      </c>
      <c r="EU41" s="72">
        <f>SUM(EU10:EU40)</f>
        <v>0</v>
      </c>
      <c r="EV41" s="72">
        <f>SUM(EV10:EV40)</f>
        <v>0</v>
      </c>
      <c r="EW41" s="72">
        <f t="shared" ref="EW41:FW41" si="157">SUM(EW10:EW40)</f>
        <v>0</v>
      </c>
      <c r="EX41" s="72">
        <f t="shared" si="157"/>
        <v>0</v>
      </c>
      <c r="EY41" s="72">
        <f t="shared" si="157"/>
        <v>0</v>
      </c>
      <c r="EZ41" s="72">
        <f t="shared" si="157"/>
        <v>0</v>
      </c>
      <c r="FA41" s="72">
        <f t="shared" si="157"/>
        <v>0</v>
      </c>
      <c r="FB41" s="72">
        <f t="shared" si="157"/>
        <v>0</v>
      </c>
      <c r="FC41" s="72">
        <f t="shared" si="157"/>
        <v>0</v>
      </c>
      <c r="FD41" s="72">
        <f t="shared" si="157"/>
        <v>0</v>
      </c>
      <c r="FE41" s="72">
        <f t="shared" si="157"/>
        <v>0</v>
      </c>
      <c r="FF41" s="72">
        <f t="shared" si="157"/>
        <v>0</v>
      </c>
      <c r="FG41" s="72">
        <f t="shared" si="157"/>
        <v>0</v>
      </c>
      <c r="FH41" s="72">
        <f t="shared" si="157"/>
        <v>0</v>
      </c>
      <c r="FI41" s="72">
        <f t="shared" si="157"/>
        <v>0</v>
      </c>
      <c r="FJ41" s="72">
        <f t="shared" si="157"/>
        <v>0</v>
      </c>
      <c r="FK41" s="72">
        <f t="shared" si="157"/>
        <v>0</v>
      </c>
      <c r="FL41" s="72">
        <f t="shared" si="157"/>
        <v>0</v>
      </c>
      <c r="FM41" s="72">
        <f t="shared" si="157"/>
        <v>0</v>
      </c>
      <c r="FN41" s="72">
        <f t="shared" si="157"/>
        <v>0</v>
      </c>
      <c r="FO41" s="72">
        <f t="shared" si="157"/>
        <v>0</v>
      </c>
      <c r="FP41" s="72">
        <f t="shared" si="157"/>
        <v>0</v>
      </c>
      <c r="FQ41" s="72">
        <f t="shared" si="157"/>
        <v>0</v>
      </c>
      <c r="FR41" s="72">
        <f t="shared" si="157"/>
        <v>0</v>
      </c>
      <c r="FS41" s="72">
        <f t="shared" si="157"/>
        <v>0</v>
      </c>
      <c r="FT41" s="72">
        <f t="shared" si="157"/>
        <v>0</v>
      </c>
      <c r="FU41" s="72">
        <f t="shared" si="157"/>
        <v>0</v>
      </c>
      <c r="FV41" s="72">
        <f t="shared" si="157"/>
        <v>0</v>
      </c>
      <c r="FW41" s="72">
        <f t="shared" si="157"/>
        <v>0</v>
      </c>
      <c r="FX41" s="72"/>
      <c r="FY41" s="72">
        <f>SUM(FY10:FY40)</f>
        <v>0</v>
      </c>
      <c r="FZ41" s="72"/>
      <c r="GA41" s="72">
        <f>SUM(GA10:GA40)</f>
        <v>0</v>
      </c>
      <c r="GB41" s="72"/>
      <c r="GC41" s="72">
        <f>SUM(GC10:GC40)</f>
        <v>0</v>
      </c>
      <c r="GD41" s="72"/>
      <c r="GE41" s="72">
        <f>SUM(GE10:GE40)</f>
        <v>0</v>
      </c>
      <c r="GG41" s="72">
        <f>SUM(GG10:GG40)</f>
        <v>0</v>
      </c>
      <c r="GH41" s="72"/>
      <c r="GI41" s="72">
        <f t="shared" ref="GI41:HM41" si="158">SUM(GI10:GI40)</f>
        <v>0</v>
      </c>
      <c r="GJ41" s="72">
        <f t="shared" si="158"/>
        <v>0</v>
      </c>
      <c r="GK41" s="72">
        <f t="shared" si="158"/>
        <v>0</v>
      </c>
      <c r="GL41" s="38">
        <f t="shared" si="158"/>
        <v>13615.77</v>
      </c>
      <c r="GM41" s="494">
        <f t="shared" si="113"/>
        <v>21774.67</v>
      </c>
      <c r="GN41" s="38">
        <f t="shared" si="158"/>
        <v>14175.32</v>
      </c>
      <c r="GO41" s="2104">
        <f t="shared" si="158"/>
        <v>49565.759999999995</v>
      </c>
      <c r="GP41" s="72">
        <f t="shared" si="158"/>
        <v>0</v>
      </c>
      <c r="GQ41" s="72">
        <f t="shared" si="158"/>
        <v>0</v>
      </c>
      <c r="GR41" s="72">
        <f t="shared" si="158"/>
        <v>0</v>
      </c>
      <c r="GS41" s="72">
        <f t="shared" si="158"/>
        <v>0</v>
      </c>
      <c r="GT41" s="38">
        <f>SUM(GT10:GT40)</f>
        <v>0</v>
      </c>
      <c r="GU41" s="38">
        <f t="shared" si="158"/>
        <v>2262.5</v>
      </c>
      <c r="GV41" s="38">
        <f t="shared" si="158"/>
        <v>18036.129999999997</v>
      </c>
      <c r="GW41" s="72">
        <f t="shared" si="158"/>
        <v>29267.129999999997</v>
      </c>
      <c r="GX41" s="38">
        <f t="shared" si="158"/>
        <v>49565.759999999995</v>
      </c>
      <c r="GY41" s="72">
        <f t="shared" si="158"/>
        <v>0</v>
      </c>
      <c r="GZ41" s="38">
        <f t="shared" si="158"/>
        <v>313.35000000000002</v>
      </c>
      <c r="HA41" s="72">
        <f t="shared" si="158"/>
        <v>0</v>
      </c>
      <c r="HB41" s="72">
        <f t="shared" si="158"/>
        <v>0</v>
      </c>
      <c r="HC41" s="72">
        <f t="shared" si="158"/>
        <v>0</v>
      </c>
      <c r="HD41" s="72">
        <f t="shared" si="158"/>
        <v>0</v>
      </c>
      <c r="HE41" s="72">
        <f t="shared" si="158"/>
        <v>0</v>
      </c>
      <c r="HF41" s="72">
        <f t="shared" si="158"/>
        <v>0</v>
      </c>
      <c r="HG41" s="72">
        <f t="shared" si="158"/>
        <v>0</v>
      </c>
      <c r="HH41" s="38">
        <f t="shared" si="158"/>
        <v>6854.6399999999994</v>
      </c>
      <c r="HI41" s="72">
        <f t="shared" si="158"/>
        <v>0</v>
      </c>
      <c r="HJ41" s="38">
        <f t="shared" si="158"/>
        <v>4498.63</v>
      </c>
      <c r="HK41" s="72">
        <f t="shared" si="158"/>
        <v>0</v>
      </c>
      <c r="HL41" s="38">
        <f t="shared" si="158"/>
        <v>1949.15</v>
      </c>
      <c r="HM41" s="72">
        <f t="shared" si="158"/>
        <v>0</v>
      </c>
      <c r="HN41" s="38">
        <f t="shared" si="131"/>
        <v>13615.769999999999</v>
      </c>
      <c r="HO41" s="38">
        <f t="shared" ref="HO41:IB41" si="159">SUM(HO10:HO40)</f>
        <v>0</v>
      </c>
      <c r="HP41" s="38">
        <f t="shared" si="159"/>
        <v>0</v>
      </c>
      <c r="HQ41" s="38">
        <f t="shared" si="159"/>
        <v>0</v>
      </c>
      <c r="HR41" s="38">
        <f t="shared" si="159"/>
        <v>0</v>
      </c>
      <c r="HS41" s="38">
        <f t="shared" si="159"/>
        <v>0</v>
      </c>
      <c r="HT41" s="38">
        <f t="shared" si="159"/>
        <v>0</v>
      </c>
      <c r="HU41" s="38">
        <f t="shared" si="159"/>
        <v>0</v>
      </c>
      <c r="HV41" s="38">
        <f t="shared" si="159"/>
        <v>0</v>
      </c>
      <c r="HW41" s="38">
        <f t="shared" si="159"/>
        <v>0</v>
      </c>
      <c r="HX41" s="38">
        <f t="shared" si="159"/>
        <v>0</v>
      </c>
      <c r="HY41" s="38">
        <f t="shared" si="159"/>
        <v>0</v>
      </c>
      <c r="HZ41" s="38">
        <f t="shared" si="159"/>
        <v>0</v>
      </c>
      <c r="IA41" s="38">
        <f t="shared" si="159"/>
        <v>0</v>
      </c>
      <c r="IB41" s="38">
        <f t="shared" si="159"/>
        <v>0</v>
      </c>
      <c r="IC41" s="38">
        <f t="shared" si="48"/>
        <v>0</v>
      </c>
      <c r="ID41" s="38">
        <f t="shared" ref="ID41:JO41" si="160">SUM(ID10:ID40)</f>
        <v>0</v>
      </c>
      <c r="IE41" s="38">
        <f t="shared" si="160"/>
        <v>0</v>
      </c>
      <c r="IF41" s="38">
        <f t="shared" si="160"/>
        <v>0</v>
      </c>
      <c r="IG41" s="38">
        <f t="shared" si="160"/>
        <v>0</v>
      </c>
      <c r="IH41" s="38">
        <f t="shared" si="160"/>
        <v>0</v>
      </c>
      <c r="II41" s="38">
        <f t="shared" si="160"/>
        <v>0</v>
      </c>
      <c r="IJ41" s="38">
        <f t="shared" si="160"/>
        <v>5669.49</v>
      </c>
      <c r="IK41" s="38">
        <f t="shared" si="160"/>
        <v>0</v>
      </c>
      <c r="IL41" s="38">
        <f t="shared" si="160"/>
        <v>0</v>
      </c>
      <c r="IM41" s="38">
        <f t="shared" si="160"/>
        <v>0</v>
      </c>
      <c r="IN41" s="38">
        <f t="shared" si="160"/>
        <v>16105.18</v>
      </c>
      <c r="IO41" s="72">
        <f t="shared" si="160"/>
        <v>0</v>
      </c>
      <c r="IP41" s="72">
        <f t="shared" si="160"/>
        <v>0</v>
      </c>
      <c r="IQ41" s="72">
        <f t="shared" si="160"/>
        <v>0</v>
      </c>
      <c r="IR41" s="38">
        <f t="shared" si="160"/>
        <v>21774.67</v>
      </c>
      <c r="IS41" s="72">
        <f t="shared" si="160"/>
        <v>0</v>
      </c>
      <c r="IT41" s="72">
        <f t="shared" si="160"/>
        <v>0</v>
      </c>
      <c r="IU41" s="72">
        <f t="shared" si="160"/>
        <v>0</v>
      </c>
      <c r="IV41" s="72">
        <f t="shared" si="160"/>
        <v>0</v>
      </c>
      <c r="IW41" s="38">
        <f t="shared" si="160"/>
        <v>0</v>
      </c>
      <c r="IX41" s="72">
        <f t="shared" si="160"/>
        <v>0</v>
      </c>
      <c r="IY41" s="72">
        <f t="shared" si="160"/>
        <v>0</v>
      </c>
      <c r="IZ41" s="72">
        <f t="shared" si="160"/>
        <v>0</v>
      </c>
      <c r="JA41" s="38">
        <f t="shared" si="160"/>
        <v>9736.619999999999</v>
      </c>
      <c r="JB41" s="72">
        <f t="shared" si="160"/>
        <v>0</v>
      </c>
      <c r="JC41" s="38">
        <f t="shared" si="160"/>
        <v>4438.7</v>
      </c>
      <c r="JD41" s="72">
        <f t="shared" si="160"/>
        <v>0</v>
      </c>
      <c r="JE41" s="72">
        <f t="shared" si="160"/>
        <v>0</v>
      </c>
      <c r="JF41" s="72">
        <f t="shared" si="160"/>
        <v>0</v>
      </c>
      <c r="JG41" s="38">
        <f t="shared" si="160"/>
        <v>14175.32</v>
      </c>
      <c r="JH41" s="72">
        <f t="shared" si="160"/>
        <v>0</v>
      </c>
      <c r="JI41" s="72">
        <f t="shared" si="160"/>
        <v>0</v>
      </c>
      <c r="JJ41" s="2104">
        <f>SUM(JJ10:JJ40)</f>
        <v>24471.679999999997</v>
      </c>
      <c r="JK41" s="2104">
        <f t="shared" si="160"/>
        <v>25094.080000000002</v>
      </c>
      <c r="JL41" s="72">
        <f t="shared" si="160"/>
        <v>0</v>
      </c>
      <c r="JM41" s="2445">
        <f t="shared" si="160"/>
        <v>49565.759999999995</v>
      </c>
      <c r="JN41" s="72">
        <f t="shared" si="160"/>
        <v>0</v>
      </c>
      <c r="JO41" s="72">
        <f t="shared" si="160"/>
        <v>0</v>
      </c>
      <c r="JP41" s="305">
        <f t="shared" ref="JP41:JW41" si="161">IFERROR(SUM(JP10:JP40)/SUM($JP$10:$JW$40),"")</f>
        <v>0</v>
      </c>
      <c r="JQ41" s="305">
        <f t="shared" si="161"/>
        <v>0</v>
      </c>
      <c r="JR41" s="305">
        <f t="shared" si="161"/>
        <v>0</v>
      </c>
      <c r="JS41" s="305">
        <f t="shared" si="161"/>
        <v>6.1132477805484848E-3</v>
      </c>
      <c r="JT41" s="305">
        <f t="shared" si="161"/>
        <v>0.67417355613827523</v>
      </c>
      <c r="JU41" s="305">
        <f t="shared" si="161"/>
        <v>0.31782023736457415</v>
      </c>
      <c r="JV41" s="305">
        <f t="shared" si="161"/>
        <v>1.8929587166021534E-3</v>
      </c>
      <c r="JW41" s="305">
        <f t="shared" si="161"/>
        <v>0</v>
      </c>
      <c r="JX41" s="305">
        <f t="shared" ref="JX41:KM41" si="162">IFERROR(SUM(JX10:JX40)/SUM($JX$10:$KE$40),"")</f>
        <v>1.2266329073489936E-2</v>
      </c>
      <c r="JY41" s="305">
        <f t="shared" si="162"/>
        <v>0</v>
      </c>
      <c r="JZ41" s="305">
        <f t="shared" si="162"/>
        <v>0</v>
      </c>
      <c r="KA41" s="305">
        <f t="shared" si="162"/>
        <v>0.22023674107995503</v>
      </c>
      <c r="KB41" s="305">
        <f t="shared" si="162"/>
        <v>3.2280793814628622E-3</v>
      </c>
      <c r="KC41" s="305">
        <f t="shared" si="162"/>
        <v>0.68833396959125626</v>
      </c>
      <c r="KD41" s="305">
        <f t="shared" si="162"/>
        <v>7.5934880873835986E-2</v>
      </c>
      <c r="KE41" s="305">
        <f t="shared" si="162"/>
        <v>0</v>
      </c>
      <c r="KF41" s="38">
        <f t="shared" si="162"/>
        <v>0</v>
      </c>
      <c r="KG41" s="38">
        <f t="shared" si="162"/>
        <v>0</v>
      </c>
      <c r="KH41" s="38">
        <f t="shared" si="162"/>
        <v>0</v>
      </c>
      <c r="KI41" s="38">
        <f t="shared" si="162"/>
        <v>0</v>
      </c>
      <c r="KJ41" s="38">
        <f t="shared" si="162"/>
        <v>0</v>
      </c>
      <c r="KK41" s="38">
        <f t="shared" si="162"/>
        <v>0</v>
      </c>
      <c r="KL41" s="38">
        <f t="shared" si="162"/>
        <v>0</v>
      </c>
      <c r="KM41" s="38">
        <f t="shared" si="162"/>
        <v>0</v>
      </c>
      <c r="KN41" s="72">
        <f>SUM(KN10:KN40)</f>
        <v>0</v>
      </c>
      <c r="KO41" s="72">
        <f>SUM(KO10:KO40)</f>
        <v>0</v>
      </c>
      <c r="KP41" s="72">
        <f>IFERROR(SUMPRODUCT((KP10:KP40&lt;&gt;"")*KP10:KP40,$JJ$10:$JJ$40)/SUMIFS($JJ$10:$JJ$40,KP10:KP40,"&gt;"&amp;0),0)</f>
        <v>7087.9052106067675</v>
      </c>
      <c r="KQ41" s="1904">
        <f>IFERROR(SUMPRODUCT((KQ10:KQ40&lt;&gt;"")*KQ10:KQ40,$JJ$10:$JJ$40)/SUMIFS($JJ$10:$JJ$40,KQ10:KQ40,"&gt;"&amp;0),0)</f>
        <v>0.75617110183147862</v>
      </c>
      <c r="KR41" s="1904">
        <f>IFERROR(SUMPRODUCT((KR10:KR40&lt;&gt;"")*KR10:KR40,$JJ$10:$JJ$40)/SUMIFS($JJ$10:$JJ$40,KR10:KR40,"&gt;"&amp;0),0)</f>
        <v>3.0149167165196133</v>
      </c>
      <c r="KS41" s="1904">
        <f>IFERROR(SUMPRODUCT((KS10:KS40&lt;&gt;"")*KS10:KS40,$JJ$10:$JJ$40)/SUMIFS($JJ$10:$JJ$40,KS10:KS40,"&gt;"&amp;0),0)</f>
        <v>6.0145053668022213</v>
      </c>
      <c r="KT41" s="1904">
        <f>IFERROR(SUMPRODUCT((KT10:KT40&lt;&gt;"")*KT10:KT40,$JJ$10:$JJ$40)/SUMIFS($JJ$10:$JJ$40,KT10:KT40,"&gt;"&amp;0),0)</f>
        <v>9.3295940153943242</v>
      </c>
      <c r="KU41" s="2151">
        <f>IFERROR(SUMPRODUCT((KU10:KU40&lt;&gt;"")*KU10:KU40,$JK$10:$JK$40)/SUMIFS($JK$10:$JK$40,KU10:KU40,"&gt;"&amp;0),0)</f>
        <v>6894.0083787306812</v>
      </c>
      <c r="KV41" s="1904">
        <f>IFERROR(SUMPRODUCT((KV10:KV40&lt;&gt;"")*KV10:KV40,$JK$10:$JK$40)/SUMIFS($JK$10:$JK$40,KV10:KV40,"&gt;"&amp;0),0)</f>
        <v>1.6717713268510157</v>
      </c>
      <c r="KW41" s="1904">
        <f>IFERROR(SUMPRODUCT((KW10:KW40&lt;&gt;"")*KW10:KW40,$JK$10:$JK$40)/SUMIFS($JK$10:$JK$40,KW10:KW40,"&gt;"&amp;0),0)</f>
        <v>6.0949045511420978</v>
      </c>
      <c r="KX41" s="1904">
        <f>IFERROR(SUMPRODUCT((KX10:KX40&lt;&gt;"")*KX10:KX40,$JK$10:$JK$40)/SUMIFS($JK$10:$JK$40,KX10:KX40,"&gt;"&amp;0),0)</f>
        <v>6.1106419544702764</v>
      </c>
      <c r="KY41" s="1904">
        <f>IFERROR(SUMPRODUCT((KY10:KY40&lt;&gt;"")*KY10:KY40,$JK$10:$JK$40)/SUMIFS($JK$10:$JK$40,KY10:KY40,"&gt;"&amp;0),0)</f>
        <v>9.7813643062446634</v>
      </c>
      <c r="KZ41" s="72">
        <f>IFERROR(SUMPRODUCT((KZ10:KZ40&lt;&gt;"")*KZ10:KZ40,$JL$10:$JL$40)/SUMIFS($JL$10:$JL$40,KZ10:KZ40,"&gt;"&amp;0),0)</f>
        <v>0</v>
      </c>
      <c r="LA41" s="38">
        <f>IFERROR(SUMPRODUCT((LA10:LA40&lt;&gt;"")*LA10:LA40,$JL$10:$JL$40)/SUMIFS($JL$10:$JL$40,LA10:LA40,"&gt;"&amp;0),0)</f>
        <v>0</v>
      </c>
      <c r="LB41" s="38">
        <f>IFERROR(SUMPRODUCT((LB10:LB40&lt;&gt;"")*LB10:LB40,$JL$10:$JL$40)/SUMIFS($JL$10:$JL$40,LB10:LB40,"&gt;"&amp;0),0)</f>
        <v>0</v>
      </c>
      <c r="LC41" s="38">
        <f>IFERROR(SUMPRODUCT((LC10:LC40&lt;&gt;"")*LC10:LC40,$JL$10:$JL$40)/SUMIFS($JL$10:$JL$40,LC10:LC40,"&gt;"&amp;0),0)</f>
        <v>0</v>
      </c>
      <c r="LD41" s="38">
        <f>IFERROR(SUMPRODUCT((LD10:LD40&lt;&gt;"")*LD10:LD40,$JL$10:$JL$40)/SUMIFS($JL$10:$JL$40,LD10:LD40,"&gt;"&amp;0),0)</f>
        <v>0</v>
      </c>
      <c r="LE41" s="72"/>
      <c r="LF41" s="72">
        <f t="shared" ref="LF41:LO41" si="163">SUM(LF10:LF40)</f>
        <v>0</v>
      </c>
      <c r="LG41" s="72">
        <f t="shared" si="163"/>
        <v>0</v>
      </c>
      <c r="LH41" s="2104">
        <f t="shared" si="163"/>
        <v>11864.444</v>
      </c>
      <c r="LI41" s="970">
        <f t="shared" si="163"/>
        <v>16116.986000000001</v>
      </c>
      <c r="LJ41" s="865">
        <f t="shared" si="163"/>
        <v>0</v>
      </c>
      <c r="LK41" s="865">
        <f t="shared" si="163"/>
        <v>27981.43</v>
      </c>
      <c r="LL41" s="72">
        <f t="shared" si="163"/>
        <v>6</v>
      </c>
      <c r="LM41" s="72">
        <f t="shared" si="163"/>
        <v>2</v>
      </c>
      <c r="LN41" s="72">
        <f t="shared" si="163"/>
        <v>39</v>
      </c>
      <c r="LO41" s="72">
        <f t="shared" si="163"/>
        <v>0</v>
      </c>
      <c r="LP41" s="72">
        <f>AVERAGE(LP10:LP40)</f>
        <v>0.14874999999999999</v>
      </c>
      <c r="LQ41" s="72">
        <f t="shared" ref="LQ41:MK41" si="164">SUM(LQ10:LQ40)</f>
        <v>0</v>
      </c>
      <c r="LR41" s="72">
        <f t="shared" si="164"/>
        <v>0</v>
      </c>
      <c r="LS41" s="38">
        <f t="shared" si="164"/>
        <v>0</v>
      </c>
      <c r="LT41" s="72">
        <f t="shared" si="164"/>
        <v>0</v>
      </c>
      <c r="LU41" s="72">
        <f t="shared" si="164"/>
        <v>0</v>
      </c>
      <c r="LV41" s="72">
        <f t="shared" si="164"/>
        <v>0</v>
      </c>
      <c r="LW41" s="72">
        <f t="shared" si="164"/>
        <v>0</v>
      </c>
      <c r="LX41" s="72">
        <f t="shared" si="164"/>
        <v>0</v>
      </c>
      <c r="LY41" s="72">
        <f t="shared" si="164"/>
        <v>11864.444</v>
      </c>
      <c r="LZ41" s="72">
        <f t="shared" si="164"/>
        <v>16116.986000000001</v>
      </c>
      <c r="MA41" s="72">
        <f t="shared" si="164"/>
        <v>0</v>
      </c>
      <c r="MB41" s="72">
        <f t="shared" si="164"/>
        <v>0</v>
      </c>
      <c r="MC41" s="72">
        <f t="shared" si="164"/>
        <v>0</v>
      </c>
      <c r="MD41" s="72">
        <f t="shared" si="164"/>
        <v>27981.43</v>
      </c>
      <c r="ME41" s="72">
        <f t="shared" si="164"/>
        <v>0</v>
      </c>
      <c r="MF41" s="72">
        <f t="shared" si="164"/>
        <v>0</v>
      </c>
      <c r="MG41" s="72">
        <f t="shared" si="164"/>
        <v>0</v>
      </c>
      <c r="MH41" s="72">
        <f t="shared" si="164"/>
        <v>0</v>
      </c>
      <c r="MI41" s="72">
        <f t="shared" si="164"/>
        <v>0</v>
      </c>
      <c r="MJ41" s="72">
        <f t="shared" si="164"/>
        <v>0</v>
      </c>
      <c r="MK41" s="72">
        <f t="shared" si="164"/>
        <v>0</v>
      </c>
      <c r="ML41" s="72"/>
      <c r="MM41" s="72">
        <f>SUM(MM10:MM40)</f>
        <v>0</v>
      </c>
      <c r="MN41" s="72">
        <f>SUM(MN10:MN40)</f>
        <v>0</v>
      </c>
      <c r="MO41" s="72">
        <f>SUM(MO10:MO40)</f>
        <v>0</v>
      </c>
      <c r="MP41" s="72">
        <f>SUM(MP10:MP40)</f>
        <v>0</v>
      </c>
      <c r="MQ41" s="72">
        <f>SUM(MQ10:MQ40)</f>
        <v>0</v>
      </c>
      <c r="MR41" s="72"/>
      <c r="MS41" s="72">
        <f t="shared" ref="MS41:MX41" si="165">SUM(MS10:MS40)</f>
        <v>0</v>
      </c>
      <c r="MT41" s="72">
        <f t="shared" si="165"/>
        <v>0</v>
      </c>
      <c r="MU41" s="72">
        <f t="shared" si="165"/>
        <v>0</v>
      </c>
      <c r="MV41" s="72">
        <f t="shared" si="165"/>
        <v>0</v>
      </c>
      <c r="MW41" s="72">
        <f t="shared" si="165"/>
        <v>0</v>
      </c>
      <c r="MX41" s="72">
        <f t="shared" si="165"/>
        <v>0</v>
      </c>
      <c r="MY41" s="72">
        <f>+MY40</f>
        <v>377341.84766611259</v>
      </c>
      <c r="MZ41" s="72">
        <f>+MZ40</f>
        <v>191595.15302645112</v>
      </c>
      <c r="NA41" s="72">
        <f>+NA40</f>
        <v>27294.683787707359</v>
      </c>
      <c r="NB41" s="72">
        <f>+NB40</f>
        <v>318297.33035698003</v>
      </c>
      <c r="NC41" s="72">
        <f>+NC40</f>
        <v>0</v>
      </c>
      <c r="ND41" s="23">
        <f>ND40</f>
        <v>207724.34280113198</v>
      </c>
      <c r="NE41" s="1656">
        <f t="shared" ref="NE41:NF42" si="166">NE40</f>
        <v>169617.50486498058</v>
      </c>
      <c r="NF41" s="72">
        <f t="shared" si="166"/>
        <v>0</v>
      </c>
      <c r="NG41" s="72">
        <f t="shared" ref="NG41:PH42" si="167">+NG40</f>
        <v>377341.84766611259</v>
      </c>
      <c r="NH41" s="72">
        <f t="shared" si="167"/>
        <v>0</v>
      </c>
      <c r="NI41" s="72">
        <f t="shared" si="167"/>
        <v>0</v>
      </c>
      <c r="NJ41" s="72">
        <f t="shared" si="167"/>
        <v>0</v>
      </c>
      <c r="NK41" s="72">
        <f t="shared" si="167"/>
        <v>0</v>
      </c>
      <c r="NL41" s="72">
        <f t="shared" si="167"/>
        <v>0</v>
      </c>
      <c r="NM41" s="72">
        <f t="shared" si="167"/>
        <v>0</v>
      </c>
      <c r="NN41" s="72">
        <f t="shared" si="167"/>
        <v>0</v>
      </c>
      <c r="NO41" s="278">
        <f t="shared" si="167"/>
        <v>0</v>
      </c>
      <c r="NP41" s="2437">
        <f t="shared" si="167"/>
        <v>21665.870136227244</v>
      </c>
      <c r="NQ41" s="72">
        <f t="shared" si="167"/>
        <v>22358.939343794715</v>
      </c>
      <c r="NR41" s="72">
        <f t="shared" si="167"/>
        <v>8443.1982322711574</v>
      </c>
      <c r="NS41" s="72">
        <f t="shared" si="167"/>
        <v>9895.3380410535083</v>
      </c>
      <c r="NT41" s="72">
        <f t="shared" si="167"/>
        <v>62363.345753346621</v>
      </c>
      <c r="NU41" s="72">
        <f t="shared" si="167"/>
        <v>0</v>
      </c>
      <c r="NV41" s="72">
        <f t="shared" si="167"/>
        <v>0</v>
      </c>
      <c r="NW41" s="72">
        <f t="shared" si="167"/>
        <v>0</v>
      </c>
      <c r="NX41" s="72">
        <f t="shared" si="167"/>
        <v>0</v>
      </c>
      <c r="NY41" s="72">
        <f t="shared" si="167"/>
        <v>0</v>
      </c>
      <c r="NZ41" s="72">
        <f t="shared" si="167"/>
        <v>0</v>
      </c>
      <c r="OA41" s="72">
        <f t="shared" si="167"/>
        <v>35558.705564997217</v>
      </c>
      <c r="OB41" s="72">
        <f t="shared" si="167"/>
        <v>0</v>
      </c>
      <c r="OC41" s="27">
        <f>OC39</f>
        <v>12611.886475620366</v>
      </c>
      <c r="OD41" s="72">
        <f t="shared" si="167"/>
        <v>0</v>
      </c>
      <c r="OE41" s="72">
        <f t="shared" si="167"/>
        <v>13429.316718063665</v>
      </c>
      <c r="OF41" s="72">
        <f t="shared" si="167"/>
        <v>0</v>
      </c>
      <c r="OG41" s="72">
        <f t="shared" si="167"/>
        <v>61599.908758681253</v>
      </c>
      <c r="OH41" s="72">
        <f t="shared" si="167"/>
        <v>0</v>
      </c>
      <c r="OI41" s="72">
        <f t="shared" si="167"/>
        <v>0</v>
      </c>
      <c r="OJ41" s="72">
        <f t="shared" si="167"/>
        <v>0</v>
      </c>
      <c r="OK41" s="72">
        <f t="shared" si="167"/>
        <v>0</v>
      </c>
      <c r="OL41" s="72">
        <f t="shared" si="167"/>
        <v>0</v>
      </c>
      <c r="OM41" s="72">
        <f t="shared" si="167"/>
        <v>0</v>
      </c>
      <c r="ON41" s="72">
        <f t="shared" si="167"/>
        <v>0</v>
      </c>
      <c r="OO41" s="72">
        <f t="shared" si="167"/>
        <v>0</v>
      </c>
      <c r="OP41" s="72">
        <f t="shared" si="167"/>
        <v>54054.217649249818</v>
      </c>
      <c r="OQ41" s="72">
        <f t="shared" si="167"/>
        <v>0</v>
      </c>
      <c r="OR41" s="72">
        <f t="shared" si="167"/>
        <v>13577.680865173457</v>
      </c>
      <c r="OS41" s="72">
        <f t="shared" si="167"/>
        <v>0</v>
      </c>
      <c r="OT41" s="72">
        <f t="shared" si="167"/>
        <v>67631.898514423272</v>
      </c>
      <c r="OU41" s="72">
        <f t="shared" si="167"/>
        <v>0</v>
      </c>
      <c r="OV41" s="72">
        <f t="shared" si="167"/>
        <v>0</v>
      </c>
      <c r="OW41" s="72">
        <f t="shared" si="167"/>
        <v>0</v>
      </c>
      <c r="OX41" s="72">
        <f t="shared" si="167"/>
        <v>0</v>
      </c>
      <c r="OY41" s="72">
        <f t="shared" si="167"/>
        <v>0</v>
      </c>
      <c r="OZ41" s="72">
        <f t="shared" si="167"/>
        <v>0</v>
      </c>
      <c r="PA41" s="72">
        <f t="shared" si="167"/>
        <v>0</v>
      </c>
      <c r="PB41" s="72">
        <f t="shared" si="167"/>
        <v>0</v>
      </c>
      <c r="PC41" s="72">
        <f t="shared" si="167"/>
        <v>0</v>
      </c>
      <c r="PD41" s="72">
        <f t="shared" si="167"/>
        <v>0</v>
      </c>
      <c r="PE41" s="72">
        <f t="shared" si="167"/>
        <v>0</v>
      </c>
      <c r="PF41" s="72">
        <f t="shared" si="167"/>
        <v>0</v>
      </c>
      <c r="PG41" s="72">
        <f t="shared" si="167"/>
        <v>0</v>
      </c>
      <c r="PH41" s="72">
        <f t="shared" si="167"/>
        <v>0</v>
      </c>
      <c r="PI41" s="72">
        <f t="shared" ref="PI41:PN41" si="168">SUM(PI10:PI40)</f>
        <v>0</v>
      </c>
      <c r="PJ41" s="72">
        <f t="shared" si="168"/>
        <v>0</v>
      </c>
      <c r="PK41" s="341">
        <f t="shared" si="168"/>
        <v>13745.12</v>
      </c>
      <c r="PL41" s="72">
        <f t="shared" si="168"/>
        <v>6093</v>
      </c>
      <c r="PM41" s="72">
        <f t="shared" si="168"/>
        <v>1692.5</v>
      </c>
      <c r="PN41" s="72">
        <f t="shared" si="168"/>
        <v>1949.15</v>
      </c>
      <c r="PO41" s="72">
        <f>PO40</f>
        <v>38895.633435124721</v>
      </c>
      <c r="PP41" s="72">
        <f>+PP40</f>
        <v>27294.683787707359</v>
      </c>
      <c r="PQ41" s="72">
        <f>SUM(PQ10:PQ40)</f>
        <v>0</v>
      </c>
      <c r="PR41" s="72">
        <f>SUM(PR10:PR40)</f>
        <v>0</v>
      </c>
      <c r="PS41" s="72">
        <f>SUM(PS10:PS40)</f>
        <v>0</v>
      </c>
      <c r="PT41" s="72">
        <f>SUM(PT10:PT40)</f>
        <v>0</v>
      </c>
      <c r="PU41" s="72">
        <f>SUM(PU10:PU40)</f>
        <v>0</v>
      </c>
      <c r="PV41" s="72"/>
      <c r="PW41" s="72">
        <f>SUM(PW10:PW40)</f>
        <v>0</v>
      </c>
      <c r="PX41" s="341">
        <f>SUM(PX10:PX40)</f>
        <v>0</v>
      </c>
      <c r="PY41" s="72">
        <f>SUM(PY10:PY40)</f>
        <v>0</v>
      </c>
      <c r="PZ41" s="72">
        <f>SUM(PZ10:PZ40)</f>
        <v>0</v>
      </c>
      <c r="QA41" s="72">
        <f>SUM(QA10:QA40)</f>
        <v>13745.12</v>
      </c>
      <c r="QB41" s="72">
        <f>+QB40</f>
        <v>0</v>
      </c>
      <c r="QC41" s="72"/>
      <c r="QD41" s="72"/>
      <c r="QE41" s="72"/>
      <c r="QF41" s="72"/>
      <c r="QG41" s="72"/>
      <c r="QH41" s="72">
        <f>+QH40</f>
        <v>29562.488999999998</v>
      </c>
      <c r="QI41" s="72">
        <f>+QI40</f>
        <v>283762.59090898006</v>
      </c>
      <c r="QJ41" s="72">
        <f>+QJ40</f>
        <v>4972.2504480000007</v>
      </c>
      <c r="QK41" s="72">
        <f>+QK40</f>
        <v>5505.3678056099998</v>
      </c>
      <c r="RS41" s="1091"/>
      <c r="RZ41" s="72"/>
      <c r="SB41" s="1089"/>
      <c r="SC41" s="1090"/>
      <c r="SD41" s="1089"/>
      <c r="SE41" s="1089"/>
    </row>
    <row r="42" spans="1:503" s="38" customFormat="1">
      <c r="A42" s="307" t="s">
        <v>207</v>
      </c>
      <c r="B42" s="307"/>
      <c r="C42" s="1068">
        <f>SUM(O42,S42,W42,AA42)</f>
        <v>1092502</v>
      </c>
      <c r="D42" s="1068">
        <f>SUM(P42,T42,X42,AB42)</f>
        <v>58487.26</v>
      </c>
      <c r="E42" s="2266">
        <f t="shared" si="6"/>
        <v>18.679315803133878</v>
      </c>
      <c r="F42" s="72"/>
      <c r="G42" s="72"/>
      <c r="H42" s="307">
        <f t="shared" ref="H42:P42" si="169">H41</f>
        <v>10</v>
      </c>
      <c r="I42" s="364">
        <f t="shared" si="169"/>
        <v>4.67</v>
      </c>
      <c r="J42" s="307">
        <f t="shared" si="169"/>
        <v>0</v>
      </c>
      <c r="K42" s="364">
        <f t="shared" si="169"/>
        <v>0</v>
      </c>
      <c r="L42" s="307">
        <f t="shared" si="169"/>
        <v>73</v>
      </c>
      <c r="M42" s="364">
        <f t="shared" si="169"/>
        <v>9.75</v>
      </c>
      <c r="N42" s="72">
        <f t="shared" si="169"/>
        <v>0</v>
      </c>
      <c r="O42" s="364">
        <f>AW42+BC42</f>
        <v>648396</v>
      </c>
      <c r="P42" s="364">
        <f t="shared" si="169"/>
        <v>28083.880000000005</v>
      </c>
      <c r="Q42" s="307">
        <f t="shared" si="8"/>
        <v>23.08783544154155</v>
      </c>
      <c r="R42" s="72">
        <f>R41</f>
        <v>0</v>
      </c>
      <c r="S42" s="364">
        <f t="shared" si="9"/>
        <v>239715</v>
      </c>
      <c r="T42" s="364">
        <f>T41</f>
        <v>15151.42</v>
      </c>
      <c r="U42" s="38">
        <f t="shared" si="10"/>
        <v>15.821289357697166</v>
      </c>
      <c r="V42" s="72">
        <f>V41</f>
        <v>0</v>
      </c>
      <c r="W42" s="412">
        <f>W41</f>
        <v>157691</v>
      </c>
      <c r="X42" s="479">
        <f>X41</f>
        <v>14294</v>
      </c>
      <c r="Y42" s="38">
        <f t="shared" si="12"/>
        <v>11.031971456555198</v>
      </c>
      <c r="Z42" s="72">
        <f>Z41</f>
        <v>0</v>
      </c>
      <c r="AA42" s="364">
        <f>AA41</f>
        <v>46700</v>
      </c>
      <c r="AB42" s="364">
        <f>AB41</f>
        <v>957.96</v>
      </c>
      <c r="AC42" s="38">
        <f>AC41</f>
        <v>48.749425863292828</v>
      </c>
      <c r="AD42" s="72"/>
      <c r="AE42" s="412">
        <f>AE41</f>
        <v>0</v>
      </c>
      <c r="AF42" s="412">
        <f>AF41</f>
        <v>0</v>
      </c>
      <c r="AG42" s="38">
        <f t="shared" si="16"/>
        <v>0</v>
      </c>
      <c r="AH42" s="72">
        <f>AH41</f>
        <v>0</v>
      </c>
      <c r="AI42" s="412"/>
      <c r="AJ42" s="412"/>
      <c r="AK42" s="38">
        <f t="shared" si="17"/>
        <v>0</v>
      </c>
      <c r="AL42" s="72">
        <f t="shared" ref="AL42:AR42" si="170">AL41</f>
        <v>0</v>
      </c>
      <c r="AM42" s="72">
        <f t="shared" si="170"/>
        <v>0</v>
      </c>
      <c r="AN42" s="72">
        <f t="shared" si="170"/>
        <v>0</v>
      </c>
      <c r="AO42" s="72">
        <f t="shared" si="170"/>
        <v>0</v>
      </c>
      <c r="AP42" s="72">
        <f t="shared" si="170"/>
        <v>0</v>
      </c>
      <c r="AQ42" s="364">
        <f t="shared" si="170"/>
        <v>0</v>
      </c>
      <c r="AR42" s="1088">
        <f t="shared" si="170"/>
        <v>0</v>
      </c>
      <c r="AS42" s="38">
        <f t="shared" si="19"/>
        <v>0</v>
      </c>
      <c r="AT42" s="364">
        <f t="shared" ref="AT42:BZ42" si="171">AT41</f>
        <v>0</v>
      </c>
      <c r="AU42" s="364">
        <f t="shared" si="171"/>
        <v>0</v>
      </c>
      <c r="AV42" s="72">
        <f t="shared" si="171"/>
        <v>0</v>
      </c>
      <c r="AW42" s="364">
        <f t="shared" si="171"/>
        <v>343098</v>
      </c>
      <c r="AX42" s="1088">
        <f t="shared" si="171"/>
        <v>26308.460000000006</v>
      </c>
      <c r="AY42" s="1743">
        <f t="shared" si="171"/>
        <v>13.041356278550699</v>
      </c>
      <c r="AZ42" s="72">
        <f t="shared" si="171"/>
        <v>0</v>
      </c>
      <c r="BA42" s="72">
        <f t="shared" si="171"/>
        <v>0</v>
      </c>
      <c r="BB42" s="72">
        <f t="shared" si="171"/>
        <v>0</v>
      </c>
      <c r="BC42" s="364">
        <f t="shared" si="171"/>
        <v>305298</v>
      </c>
      <c r="BD42" s="364">
        <f t="shared" si="171"/>
        <v>1775.42</v>
      </c>
      <c r="BE42" s="72">
        <f t="shared" si="171"/>
        <v>171.95818454224914</v>
      </c>
      <c r="BF42" s="364">
        <f t="shared" si="171"/>
        <v>0</v>
      </c>
      <c r="BG42" s="364">
        <f t="shared" si="171"/>
        <v>0</v>
      </c>
      <c r="BH42" s="307">
        <f t="shared" si="171"/>
        <v>0</v>
      </c>
      <c r="BI42" s="364">
        <f t="shared" si="171"/>
        <v>0</v>
      </c>
      <c r="BJ42" s="38">
        <f t="shared" si="171"/>
        <v>0</v>
      </c>
      <c r="BK42" s="38">
        <f t="shared" si="171"/>
        <v>0</v>
      </c>
      <c r="BL42" s="364">
        <f t="shared" si="171"/>
        <v>239715</v>
      </c>
      <c r="BM42" s="364">
        <f t="shared" si="171"/>
        <v>15151.42</v>
      </c>
      <c r="BN42" s="364">
        <f>SUM(BN10:BN40)</f>
        <v>0</v>
      </c>
      <c r="BO42" s="72">
        <f t="shared" si="171"/>
        <v>15.821289357697166</v>
      </c>
      <c r="BP42" s="364">
        <f t="shared" si="171"/>
        <v>46700</v>
      </c>
      <c r="BQ42" s="307">
        <f t="shared" si="171"/>
        <v>957.96</v>
      </c>
      <c r="BR42" s="38">
        <f t="shared" si="171"/>
        <v>48.749425863292828</v>
      </c>
      <c r="BS42" s="364">
        <f t="shared" si="171"/>
        <v>0</v>
      </c>
      <c r="BT42" s="307">
        <f t="shared" si="171"/>
        <v>0</v>
      </c>
      <c r="BU42" s="38">
        <f t="shared" si="171"/>
        <v>0</v>
      </c>
      <c r="BV42" s="364">
        <f t="shared" si="171"/>
        <v>157691</v>
      </c>
      <c r="BW42" s="364">
        <f t="shared" si="171"/>
        <v>14294</v>
      </c>
      <c r="BX42" s="38">
        <f t="shared" si="171"/>
        <v>11.031971456555198</v>
      </c>
      <c r="BY42" s="364">
        <f t="shared" si="171"/>
        <v>0</v>
      </c>
      <c r="BZ42" s="72">
        <f t="shared" si="171"/>
        <v>0</v>
      </c>
      <c r="CA42" s="38">
        <f t="shared" si="29"/>
        <v>0</v>
      </c>
      <c r="CB42" s="364"/>
      <c r="CC42" s="364">
        <f>CC41</f>
        <v>0</v>
      </c>
      <c r="CD42" s="38">
        <f t="shared" si="30"/>
        <v>0</v>
      </c>
      <c r="CE42" s="364">
        <f>CE41</f>
        <v>0</v>
      </c>
      <c r="CF42" s="364">
        <f>CF41</f>
        <v>0</v>
      </c>
      <c r="CG42" s="38">
        <f>CG41</f>
        <v>0</v>
      </c>
      <c r="CH42" s="72">
        <f>+CH41</f>
        <v>0</v>
      </c>
      <c r="CI42" s="364">
        <f>CI41</f>
        <v>0</v>
      </c>
      <c r="CJ42" s="72">
        <f t="shared" ref="CJ42:CO42" si="172">+CJ41</f>
        <v>16790</v>
      </c>
      <c r="CK42" s="72">
        <f t="shared" si="172"/>
        <v>57057</v>
      </c>
      <c r="CL42" s="72">
        <f t="shared" si="172"/>
        <v>0</v>
      </c>
      <c r="CM42" s="72">
        <f t="shared" si="172"/>
        <v>0</v>
      </c>
      <c r="CN42" s="72">
        <f t="shared" si="172"/>
        <v>73847</v>
      </c>
      <c r="CO42" s="72">
        <f t="shared" si="172"/>
        <v>0</v>
      </c>
      <c r="CP42" s="364"/>
      <c r="CQ42" s="72">
        <f>+CQ41</f>
        <v>0</v>
      </c>
      <c r="CR42" s="72">
        <f>+CR41</f>
        <v>0</v>
      </c>
      <c r="CS42" s="72"/>
      <c r="CT42" s="72">
        <f>+CT41</f>
        <v>0</v>
      </c>
      <c r="CU42" s="72"/>
      <c r="CV42" s="72">
        <f>+CV41</f>
        <v>0</v>
      </c>
      <c r="CW42" s="72"/>
      <c r="CX42" s="72">
        <f>+CX41</f>
        <v>26308.460000000006</v>
      </c>
      <c r="CY42" s="72"/>
      <c r="CZ42" s="72">
        <f>+CZ41</f>
        <v>18647.38</v>
      </c>
      <c r="DA42" s="72"/>
      <c r="DB42" s="72">
        <f>+DB41</f>
        <v>13531.42</v>
      </c>
      <c r="DC42" s="72"/>
      <c r="DD42" s="72">
        <f>+DD41</f>
        <v>58487.260000000009</v>
      </c>
      <c r="DE42" s="72">
        <f>+DE41</f>
        <v>0</v>
      </c>
      <c r="DF42" s="72">
        <f>+DF41</f>
        <v>0</v>
      </c>
      <c r="DG42" s="72"/>
      <c r="DH42" s="72">
        <f>DH41</f>
        <v>0</v>
      </c>
      <c r="DI42" s="72"/>
      <c r="DJ42" s="72">
        <f>+DJ41</f>
        <v>0</v>
      </c>
      <c r="DK42" s="72"/>
      <c r="DL42" s="72">
        <f>DL41</f>
        <v>26308.460000000006</v>
      </c>
      <c r="DM42" s="72"/>
      <c r="DN42" s="72">
        <f>DN41</f>
        <v>0</v>
      </c>
      <c r="DO42" s="72">
        <f>+DO41</f>
        <v>0</v>
      </c>
      <c r="DP42" s="72">
        <f>+DP41</f>
        <v>0</v>
      </c>
      <c r="DQ42" s="72"/>
      <c r="DR42" s="72">
        <f>+DR41</f>
        <v>0</v>
      </c>
      <c r="DS42" s="1904">
        <f>DS41</f>
        <v>26308.460000000006</v>
      </c>
      <c r="DT42" s="72">
        <f>+DT41</f>
        <v>0</v>
      </c>
      <c r="DU42" s="72"/>
      <c r="DV42" s="72">
        <f>+DV41</f>
        <v>0</v>
      </c>
      <c r="DW42" s="72"/>
      <c r="DX42" s="72">
        <f>+DX41</f>
        <v>0</v>
      </c>
      <c r="DY42" s="72"/>
      <c r="DZ42" s="72">
        <f>+DZ41</f>
        <v>0</v>
      </c>
      <c r="EA42" s="72"/>
      <c r="EB42" s="72">
        <f>EB41</f>
        <v>16109.38</v>
      </c>
      <c r="EC42" s="72"/>
      <c r="ED42" s="72">
        <f>ED41</f>
        <v>1775.42</v>
      </c>
      <c r="EE42" s="72"/>
      <c r="EF42" s="72">
        <f>EF41</f>
        <v>17884.8</v>
      </c>
      <c r="EG42" s="72">
        <f>+EG41</f>
        <v>0</v>
      </c>
      <c r="EH42" s="72">
        <f>+EH41</f>
        <v>0</v>
      </c>
      <c r="EI42" s="72">
        <f>+EI41</f>
        <v>0</v>
      </c>
      <c r="EJ42" s="72"/>
      <c r="EK42" s="72">
        <f>+EK41</f>
        <v>0</v>
      </c>
      <c r="EL42" s="72"/>
      <c r="EM42" s="72">
        <f>+EM41</f>
        <v>0</v>
      </c>
      <c r="EN42" s="72">
        <f>+EN41</f>
        <v>0</v>
      </c>
      <c r="EO42" s="72">
        <f>+EO41</f>
        <v>2538</v>
      </c>
      <c r="EP42" s="72"/>
      <c r="EQ42" s="72">
        <f>+EQ41</f>
        <v>11756</v>
      </c>
      <c r="ER42" s="72"/>
      <c r="ES42" s="72">
        <f>+ES41</f>
        <v>14294</v>
      </c>
      <c r="ET42" s="72">
        <f>+ET41</f>
        <v>0</v>
      </c>
      <c r="EU42" s="72">
        <f>+EU41</f>
        <v>0</v>
      </c>
      <c r="EV42" s="72">
        <f>+EV41</f>
        <v>0</v>
      </c>
      <c r="EW42" s="72">
        <f t="shared" ref="EW42:FW42" si="173">+EW41</f>
        <v>0</v>
      </c>
      <c r="EX42" s="72">
        <f t="shared" si="173"/>
        <v>0</v>
      </c>
      <c r="EY42" s="72">
        <f t="shared" si="173"/>
        <v>0</v>
      </c>
      <c r="EZ42" s="72">
        <f t="shared" si="173"/>
        <v>0</v>
      </c>
      <c r="FA42" s="72">
        <f t="shared" si="173"/>
        <v>0</v>
      </c>
      <c r="FB42" s="72">
        <f t="shared" si="173"/>
        <v>0</v>
      </c>
      <c r="FC42" s="72">
        <f t="shared" si="173"/>
        <v>0</v>
      </c>
      <c r="FD42" s="72">
        <f t="shared" si="173"/>
        <v>0</v>
      </c>
      <c r="FE42" s="72">
        <f t="shared" si="173"/>
        <v>0</v>
      </c>
      <c r="FF42" s="72">
        <f t="shared" si="173"/>
        <v>0</v>
      </c>
      <c r="FG42" s="72">
        <f t="shared" si="173"/>
        <v>0</v>
      </c>
      <c r="FH42" s="72">
        <f t="shared" si="173"/>
        <v>0</v>
      </c>
      <c r="FI42" s="72">
        <f t="shared" si="173"/>
        <v>0</v>
      </c>
      <c r="FJ42" s="72">
        <f t="shared" si="173"/>
        <v>0</v>
      </c>
      <c r="FK42" s="72">
        <f t="shared" si="173"/>
        <v>0</v>
      </c>
      <c r="FL42" s="72">
        <f t="shared" si="173"/>
        <v>0</v>
      </c>
      <c r="FM42" s="72">
        <f t="shared" si="173"/>
        <v>0</v>
      </c>
      <c r="FN42" s="72">
        <f t="shared" si="173"/>
        <v>0</v>
      </c>
      <c r="FO42" s="72">
        <f t="shared" si="173"/>
        <v>0</v>
      </c>
      <c r="FP42" s="72">
        <f t="shared" si="173"/>
        <v>0</v>
      </c>
      <c r="FQ42" s="72">
        <f t="shared" si="173"/>
        <v>0</v>
      </c>
      <c r="FR42" s="72">
        <f t="shared" si="173"/>
        <v>0</v>
      </c>
      <c r="FS42" s="72">
        <f t="shared" si="173"/>
        <v>0</v>
      </c>
      <c r="FT42" s="72">
        <f t="shared" si="173"/>
        <v>0</v>
      </c>
      <c r="FU42" s="72">
        <f t="shared" si="173"/>
        <v>0</v>
      </c>
      <c r="FV42" s="72">
        <f t="shared" si="173"/>
        <v>0</v>
      </c>
      <c r="FW42" s="72">
        <f t="shared" si="173"/>
        <v>0</v>
      </c>
      <c r="FX42" s="72"/>
      <c r="FY42" s="72">
        <f>+FY41</f>
        <v>0</v>
      </c>
      <c r="FZ42" s="72"/>
      <c r="GA42" s="72">
        <f>+GA41</f>
        <v>0</v>
      </c>
      <c r="GB42" s="72"/>
      <c r="GC42" s="72">
        <f>+GC41</f>
        <v>0</v>
      </c>
      <c r="GD42" s="72"/>
      <c r="GE42" s="72">
        <f>+GE41</f>
        <v>0</v>
      </c>
      <c r="GF42" s="72"/>
      <c r="GG42" s="72">
        <f>+GG41</f>
        <v>0</v>
      </c>
      <c r="GH42" s="72"/>
      <c r="GI42" s="72">
        <f t="shared" ref="GI42:HM42" si="174">+GI41</f>
        <v>0</v>
      </c>
      <c r="GJ42" s="72">
        <f t="shared" si="174"/>
        <v>0</v>
      </c>
      <c r="GK42" s="72">
        <f t="shared" si="174"/>
        <v>0</v>
      </c>
      <c r="GL42" s="72">
        <f t="shared" si="174"/>
        <v>13615.77</v>
      </c>
      <c r="GM42" s="72">
        <f t="shared" si="174"/>
        <v>21774.67</v>
      </c>
      <c r="GN42" s="72">
        <f t="shared" si="174"/>
        <v>14175.32</v>
      </c>
      <c r="GO42" s="2104">
        <f t="shared" si="174"/>
        <v>49565.759999999995</v>
      </c>
      <c r="GP42" s="72">
        <f t="shared" si="174"/>
        <v>0</v>
      </c>
      <c r="GQ42" s="72">
        <f t="shared" si="174"/>
        <v>0</v>
      </c>
      <c r="GR42" s="72">
        <f t="shared" si="174"/>
        <v>0</v>
      </c>
      <c r="GS42" s="72">
        <f t="shared" si="174"/>
        <v>0</v>
      </c>
      <c r="GT42" s="72">
        <f t="shared" si="174"/>
        <v>0</v>
      </c>
      <c r="GU42" s="72">
        <f t="shared" si="174"/>
        <v>2262.5</v>
      </c>
      <c r="GV42" s="72">
        <f t="shared" si="174"/>
        <v>18036.129999999997</v>
      </c>
      <c r="GW42" s="72">
        <f t="shared" si="174"/>
        <v>29267.129999999997</v>
      </c>
      <c r="GX42" s="72">
        <f t="shared" si="174"/>
        <v>49565.759999999995</v>
      </c>
      <c r="GY42" s="72">
        <f t="shared" si="174"/>
        <v>0</v>
      </c>
      <c r="GZ42" s="2526">
        <f t="shared" si="174"/>
        <v>313.35000000000002</v>
      </c>
      <c r="HA42" s="72">
        <f t="shared" si="174"/>
        <v>0</v>
      </c>
      <c r="HB42" s="72">
        <f t="shared" si="174"/>
        <v>0</v>
      </c>
      <c r="HC42" s="72">
        <f t="shared" si="174"/>
        <v>0</v>
      </c>
      <c r="HD42" s="72">
        <f t="shared" si="174"/>
        <v>0</v>
      </c>
      <c r="HE42" s="72">
        <f t="shared" si="174"/>
        <v>0</v>
      </c>
      <c r="HF42" s="72">
        <f t="shared" si="174"/>
        <v>0</v>
      </c>
      <c r="HG42" s="72">
        <f t="shared" si="174"/>
        <v>0</v>
      </c>
      <c r="HH42" s="2526">
        <f t="shared" si="174"/>
        <v>6854.6399999999994</v>
      </c>
      <c r="HI42" s="72">
        <f t="shared" si="174"/>
        <v>0</v>
      </c>
      <c r="HJ42" s="2526">
        <f t="shared" si="174"/>
        <v>4498.63</v>
      </c>
      <c r="HK42" s="72">
        <f t="shared" si="174"/>
        <v>0</v>
      </c>
      <c r="HL42" s="2526">
        <f t="shared" si="174"/>
        <v>1949.15</v>
      </c>
      <c r="HM42" s="72">
        <f t="shared" si="174"/>
        <v>0</v>
      </c>
      <c r="HN42" s="72">
        <f t="shared" si="131"/>
        <v>13615.769999999999</v>
      </c>
      <c r="HO42" s="72">
        <f t="shared" ref="HO42:IB42" si="175">+HO41</f>
        <v>0</v>
      </c>
      <c r="HP42" s="72">
        <f t="shared" si="175"/>
        <v>0</v>
      </c>
      <c r="HQ42" s="72">
        <f t="shared" si="175"/>
        <v>0</v>
      </c>
      <c r="HR42" s="72">
        <f t="shared" si="175"/>
        <v>0</v>
      </c>
      <c r="HS42" s="72">
        <f t="shared" si="175"/>
        <v>0</v>
      </c>
      <c r="HT42" s="72">
        <f t="shared" si="175"/>
        <v>0</v>
      </c>
      <c r="HU42" s="72">
        <f t="shared" si="175"/>
        <v>0</v>
      </c>
      <c r="HV42" s="72">
        <f t="shared" si="175"/>
        <v>0</v>
      </c>
      <c r="HW42" s="72">
        <f t="shared" si="175"/>
        <v>0</v>
      </c>
      <c r="HX42" s="72">
        <f t="shared" si="175"/>
        <v>0</v>
      </c>
      <c r="HY42" s="72">
        <f t="shared" si="175"/>
        <v>0</v>
      </c>
      <c r="HZ42" s="72">
        <f t="shared" si="175"/>
        <v>0</v>
      </c>
      <c r="IA42" s="72">
        <f t="shared" si="175"/>
        <v>0</v>
      </c>
      <c r="IB42" s="72">
        <f t="shared" si="175"/>
        <v>0</v>
      </c>
      <c r="IC42" s="72">
        <f t="shared" si="48"/>
        <v>0</v>
      </c>
      <c r="ID42" s="72">
        <f t="shared" ref="ID42:IQ42" si="176">+ID41</f>
        <v>0</v>
      </c>
      <c r="IE42" s="72">
        <f t="shared" si="176"/>
        <v>0</v>
      </c>
      <c r="IF42" s="72">
        <f t="shared" si="176"/>
        <v>0</v>
      </c>
      <c r="IG42" s="72">
        <f t="shared" si="176"/>
        <v>0</v>
      </c>
      <c r="IH42" s="72">
        <f t="shared" si="176"/>
        <v>0</v>
      </c>
      <c r="II42" s="72">
        <f t="shared" si="176"/>
        <v>0</v>
      </c>
      <c r="IJ42" s="2526">
        <f t="shared" si="176"/>
        <v>5669.49</v>
      </c>
      <c r="IK42" s="72">
        <f t="shared" si="176"/>
        <v>0</v>
      </c>
      <c r="IL42" s="38">
        <f t="shared" si="176"/>
        <v>0</v>
      </c>
      <c r="IM42" s="72">
        <f t="shared" si="176"/>
        <v>0</v>
      </c>
      <c r="IN42" s="2526">
        <f t="shared" si="176"/>
        <v>16105.18</v>
      </c>
      <c r="IO42" s="38">
        <f t="shared" si="176"/>
        <v>0</v>
      </c>
      <c r="IP42" s="72">
        <f t="shared" si="176"/>
        <v>0</v>
      </c>
      <c r="IQ42" s="2526">
        <f t="shared" si="176"/>
        <v>0</v>
      </c>
      <c r="IR42" s="421">
        <f>SUM(ID42:IQ42)</f>
        <v>21774.67</v>
      </c>
      <c r="IS42" s="72">
        <f t="shared" ref="IS42:JF42" si="177">+IS41</f>
        <v>0</v>
      </c>
      <c r="IT42" s="72">
        <f t="shared" si="177"/>
        <v>0</v>
      </c>
      <c r="IU42" s="38">
        <f t="shared" si="177"/>
        <v>0</v>
      </c>
      <c r="IV42" s="72">
        <f t="shared" si="177"/>
        <v>0</v>
      </c>
      <c r="IW42" s="38">
        <f t="shared" si="177"/>
        <v>0</v>
      </c>
      <c r="IX42" s="72">
        <f t="shared" si="177"/>
        <v>0</v>
      </c>
      <c r="IY42" s="72">
        <f t="shared" si="177"/>
        <v>0</v>
      </c>
      <c r="IZ42" s="72">
        <f t="shared" si="177"/>
        <v>0</v>
      </c>
      <c r="JA42" s="2526">
        <f t="shared" si="177"/>
        <v>9736.619999999999</v>
      </c>
      <c r="JB42" s="72">
        <f t="shared" si="177"/>
        <v>0</v>
      </c>
      <c r="JC42" s="2526">
        <f t="shared" si="177"/>
        <v>4438.7</v>
      </c>
      <c r="JD42" s="72">
        <f t="shared" si="177"/>
        <v>0</v>
      </c>
      <c r="JE42" s="72">
        <f t="shared" si="177"/>
        <v>0</v>
      </c>
      <c r="JF42" s="72">
        <f t="shared" si="177"/>
        <v>0</v>
      </c>
      <c r="JG42" s="421">
        <f>SUM(IS42:JF42)</f>
        <v>14175.32</v>
      </c>
      <c r="JH42" s="72">
        <f t="shared" ref="JH42:KO42" si="178">+JH41</f>
        <v>0</v>
      </c>
      <c r="JI42" s="72">
        <f t="shared" si="178"/>
        <v>0</v>
      </c>
      <c r="JJ42" s="2526">
        <f t="shared" si="178"/>
        <v>24471.679999999997</v>
      </c>
      <c r="JK42" s="2526">
        <f t="shared" si="178"/>
        <v>25094.080000000002</v>
      </c>
      <c r="JL42" s="38">
        <f t="shared" si="178"/>
        <v>0</v>
      </c>
      <c r="JM42" s="72">
        <f t="shared" si="178"/>
        <v>49565.759999999995</v>
      </c>
      <c r="JN42" s="72">
        <f t="shared" si="178"/>
        <v>0</v>
      </c>
      <c r="JO42" s="72">
        <f t="shared" si="178"/>
        <v>0</v>
      </c>
      <c r="JP42" s="305">
        <f t="shared" si="178"/>
        <v>0</v>
      </c>
      <c r="JQ42" s="305">
        <f t="shared" si="178"/>
        <v>0</v>
      </c>
      <c r="JR42" s="305">
        <f t="shared" si="178"/>
        <v>0</v>
      </c>
      <c r="JS42" s="305">
        <f t="shared" si="178"/>
        <v>6.1132477805484848E-3</v>
      </c>
      <c r="JT42" s="305">
        <f t="shared" si="178"/>
        <v>0.67417355613827523</v>
      </c>
      <c r="JU42" s="305">
        <f t="shared" si="178"/>
        <v>0.31782023736457415</v>
      </c>
      <c r="JV42" s="305">
        <f t="shared" si="178"/>
        <v>1.8929587166021534E-3</v>
      </c>
      <c r="JW42" s="305">
        <f t="shared" si="178"/>
        <v>0</v>
      </c>
      <c r="JX42" s="305">
        <f t="shared" si="178"/>
        <v>1.2266329073489936E-2</v>
      </c>
      <c r="JY42" s="305">
        <f t="shared" si="178"/>
        <v>0</v>
      </c>
      <c r="JZ42" s="305">
        <f t="shared" si="178"/>
        <v>0</v>
      </c>
      <c r="KA42" s="305">
        <f t="shared" si="178"/>
        <v>0.22023674107995503</v>
      </c>
      <c r="KB42" s="305">
        <f t="shared" si="178"/>
        <v>3.2280793814628622E-3</v>
      </c>
      <c r="KC42" s="305">
        <f t="shared" si="178"/>
        <v>0.68833396959125626</v>
      </c>
      <c r="KD42" s="305">
        <f t="shared" si="178"/>
        <v>7.5934880873835986E-2</v>
      </c>
      <c r="KE42" s="305">
        <f t="shared" si="178"/>
        <v>0</v>
      </c>
      <c r="KF42" s="38">
        <f t="shared" si="178"/>
        <v>0</v>
      </c>
      <c r="KG42" s="38">
        <f t="shared" si="178"/>
        <v>0</v>
      </c>
      <c r="KH42" s="38">
        <f t="shared" si="178"/>
        <v>0</v>
      </c>
      <c r="KI42" s="38">
        <f t="shared" si="178"/>
        <v>0</v>
      </c>
      <c r="KJ42" s="38">
        <f t="shared" si="178"/>
        <v>0</v>
      </c>
      <c r="KK42" s="38">
        <f t="shared" si="178"/>
        <v>0</v>
      </c>
      <c r="KL42" s="38">
        <f t="shared" si="178"/>
        <v>0</v>
      </c>
      <c r="KM42" s="38">
        <f t="shared" si="178"/>
        <v>0</v>
      </c>
      <c r="KN42" s="72">
        <f t="shared" si="178"/>
        <v>0</v>
      </c>
      <c r="KO42" s="72">
        <f t="shared" si="178"/>
        <v>0</v>
      </c>
      <c r="KP42" s="72">
        <f t="shared" ref="KP42:LD42" si="179">KP41</f>
        <v>7087.9052106067675</v>
      </c>
      <c r="KQ42" s="1904">
        <f t="shared" si="179"/>
        <v>0.75617110183147862</v>
      </c>
      <c r="KR42" s="1904">
        <f t="shared" si="179"/>
        <v>3.0149167165196133</v>
      </c>
      <c r="KS42" s="1904">
        <f t="shared" si="179"/>
        <v>6.0145053668022213</v>
      </c>
      <c r="KT42" s="1904">
        <f t="shared" si="179"/>
        <v>9.3295940153943242</v>
      </c>
      <c r="KU42" s="2151">
        <f t="shared" si="179"/>
        <v>6894.0083787306812</v>
      </c>
      <c r="KV42" s="1904">
        <f t="shared" si="179"/>
        <v>1.6717713268510157</v>
      </c>
      <c r="KW42" s="1904">
        <f t="shared" si="179"/>
        <v>6.0949045511420978</v>
      </c>
      <c r="KX42" s="1904">
        <f t="shared" si="179"/>
        <v>6.1106419544702764</v>
      </c>
      <c r="KY42" s="1904">
        <f t="shared" si="179"/>
        <v>9.7813643062446634</v>
      </c>
      <c r="KZ42" s="72">
        <f t="shared" si="179"/>
        <v>0</v>
      </c>
      <c r="LA42" s="38">
        <f t="shared" si="179"/>
        <v>0</v>
      </c>
      <c r="LB42" s="38">
        <f t="shared" si="179"/>
        <v>0</v>
      </c>
      <c r="LC42" s="38">
        <f t="shared" si="179"/>
        <v>0</v>
      </c>
      <c r="LD42" s="38">
        <f t="shared" si="179"/>
        <v>0</v>
      </c>
      <c r="LE42" s="72"/>
      <c r="LF42" s="72">
        <f t="shared" ref="LF42:MK42" si="180">+LF41</f>
        <v>0</v>
      </c>
      <c r="LG42" s="72">
        <f t="shared" si="180"/>
        <v>0</v>
      </c>
      <c r="LH42" s="865">
        <f t="shared" si="180"/>
        <v>11864.444</v>
      </c>
      <c r="LI42" s="865">
        <f t="shared" si="180"/>
        <v>16116.986000000001</v>
      </c>
      <c r="LJ42" s="865">
        <f t="shared" si="180"/>
        <v>0</v>
      </c>
      <c r="LK42" s="865">
        <f t="shared" si="180"/>
        <v>27981.43</v>
      </c>
      <c r="LL42" s="72">
        <f t="shared" si="180"/>
        <v>6</v>
      </c>
      <c r="LM42" s="72">
        <f t="shared" si="180"/>
        <v>2</v>
      </c>
      <c r="LN42" s="72">
        <f t="shared" si="180"/>
        <v>39</v>
      </c>
      <c r="LO42" s="72">
        <f t="shared" si="180"/>
        <v>0</v>
      </c>
      <c r="LP42" s="72">
        <f t="shared" si="180"/>
        <v>0.14874999999999999</v>
      </c>
      <c r="LQ42" s="72">
        <f t="shared" si="180"/>
        <v>0</v>
      </c>
      <c r="LR42" s="72">
        <f t="shared" si="180"/>
        <v>0</v>
      </c>
      <c r="LS42" s="72">
        <f t="shared" si="180"/>
        <v>0</v>
      </c>
      <c r="LT42" s="72">
        <f t="shared" si="180"/>
        <v>0</v>
      </c>
      <c r="LU42" s="72">
        <f t="shared" si="180"/>
        <v>0</v>
      </c>
      <c r="LV42" s="72">
        <f t="shared" si="180"/>
        <v>0</v>
      </c>
      <c r="LW42" s="72">
        <f t="shared" si="180"/>
        <v>0</v>
      </c>
      <c r="LX42" s="72">
        <f t="shared" si="180"/>
        <v>0</v>
      </c>
      <c r="LY42" s="72">
        <f t="shared" si="180"/>
        <v>11864.444</v>
      </c>
      <c r="LZ42" s="72">
        <f t="shared" si="180"/>
        <v>16116.986000000001</v>
      </c>
      <c r="MA42" s="72">
        <f t="shared" si="180"/>
        <v>0</v>
      </c>
      <c r="MB42" s="72">
        <f t="shared" si="180"/>
        <v>0</v>
      </c>
      <c r="MC42" s="72">
        <f t="shared" si="180"/>
        <v>0</v>
      </c>
      <c r="MD42" s="72">
        <f t="shared" si="180"/>
        <v>27981.43</v>
      </c>
      <c r="ME42" s="72">
        <f t="shared" si="180"/>
        <v>0</v>
      </c>
      <c r="MF42" s="72">
        <f t="shared" si="180"/>
        <v>0</v>
      </c>
      <c r="MG42" s="72">
        <f t="shared" si="180"/>
        <v>0</v>
      </c>
      <c r="MH42" s="72">
        <f t="shared" si="180"/>
        <v>0</v>
      </c>
      <c r="MI42" s="72">
        <f t="shared" si="180"/>
        <v>0</v>
      </c>
      <c r="MJ42" s="72">
        <f t="shared" si="180"/>
        <v>0</v>
      </c>
      <c r="MK42" s="72">
        <f t="shared" si="180"/>
        <v>0</v>
      </c>
      <c r="ML42" s="72"/>
      <c r="MM42" s="72">
        <f>+MM41</f>
        <v>0</v>
      </c>
      <c r="MN42" s="72">
        <f>+MN41</f>
        <v>0</v>
      </c>
      <c r="MO42" s="72">
        <f>+MO41</f>
        <v>0</v>
      </c>
      <c r="MP42" s="72">
        <f>+MP41</f>
        <v>0</v>
      </c>
      <c r="MQ42" s="72">
        <f>+MQ41</f>
        <v>0</v>
      </c>
      <c r="MR42" s="72"/>
      <c r="MS42" s="72">
        <f t="shared" ref="MS42:MX42" si="181">+MS41</f>
        <v>0</v>
      </c>
      <c r="MT42" s="72">
        <f t="shared" si="181"/>
        <v>0</v>
      </c>
      <c r="MU42" s="72">
        <f t="shared" si="181"/>
        <v>0</v>
      </c>
      <c r="MV42" s="72">
        <f t="shared" si="181"/>
        <v>0</v>
      </c>
      <c r="MW42" s="72">
        <f t="shared" si="181"/>
        <v>0</v>
      </c>
      <c r="MX42" s="72">
        <f t="shared" si="181"/>
        <v>0</v>
      </c>
      <c r="MY42" s="364">
        <f>MY41</f>
        <v>377341.84766611259</v>
      </c>
      <c r="MZ42" s="364">
        <f>MZ41</f>
        <v>191595.15302645112</v>
      </c>
      <c r="NA42" s="364">
        <f>+NA41</f>
        <v>27294.683787707359</v>
      </c>
      <c r="NB42" s="364">
        <f>NB41</f>
        <v>318297.33035698003</v>
      </c>
      <c r="NC42" s="72">
        <f>+NC41</f>
        <v>0</v>
      </c>
      <c r="ND42" s="23">
        <f>ND41</f>
        <v>207724.34280113198</v>
      </c>
      <c r="NE42" s="1086">
        <f>NE41</f>
        <v>169617.50486498058</v>
      </c>
      <c r="NF42" s="364">
        <f t="shared" si="166"/>
        <v>0</v>
      </c>
      <c r="NG42" s="364">
        <f>NG41</f>
        <v>377341.84766611259</v>
      </c>
      <c r="NH42" s="412">
        <f>NH41</f>
        <v>0</v>
      </c>
      <c r="NI42" s="364">
        <f t="shared" ref="NI42:NS42" si="182">NI41</f>
        <v>0</v>
      </c>
      <c r="NJ42" s="364">
        <f t="shared" si="182"/>
        <v>0</v>
      </c>
      <c r="NK42" s="364">
        <f t="shared" si="182"/>
        <v>0</v>
      </c>
      <c r="NL42" s="364">
        <f>NL41</f>
        <v>0</v>
      </c>
      <c r="NM42" s="72">
        <f t="shared" si="182"/>
        <v>0</v>
      </c>
      <c r="NN42" s="364">
        <f>NN41</f>
        <v>0</v>
      </c>
      <c r="NO42" s="364">
        <f t="shared" si="182"/>
        <v>0</v>
      </c>
      <c r="NP42" s="364">
        <f t="shared" si="182"/>
        <v>21665.870136227244</v>
      </c>
      <c r="NQ42" s="364">
        <f t="shared" si="182"/>
        <v>22358.939343794715</v>
      </c>
      <c r="NR42" s="364">
        <f>NR41</f>
        <v>8443.1982322711574</v>
      </c>
      <c r="NS42" s="72">
        <f t="shared" si="182"/>
        <v>9895.3380410535083</v>
      </c>
      <c r="NT42" s="364">
        <f>SUM(NH42:NS42)</f>
        <v>62363.345753346621</v>
      </c>
      <c r="NU42" s="364">
        <f t="shared" ref="NU42:OK42" si="183">NU41</f>
        <v>0</v>
      </c>
      <c r="NV42" s="364">
        <f t="shared" si="183"/>
        <v>0</v>
      </c>
      <c r="NW42" s="364">
        <f t="shared" si="183"/>
        <v>0</v>
      </c>
      <c r="NX42" s="364">
        <f t="shared" si="183"/>
        <v>0</v>
      </c>
      <c r="NY42" s="364">
        <f>NY41</f>
        <v>0</v>
      </c>
      <c r="NZ42" s="364">
        <f t="shared" si="183"/>
        <v>0</v>
      </c>
      <c r="OA42" s="364">
        <f>OA41</f>
        <v>35558.705564997217</v>
      </c>
      <c r="OB42" s="364">
        <f t="shared" si="183"/>
        <v>0</v>
      </c>
      <c r="OC42" s="27">
        <f>OC41</f>
        <v>12611.886475620366</v>
      </c>
      <c r="OD42" s="364">
        <f t="shared" si="183"/>
        <v>0</v>
      </c>
      <c r="OE42" s="364">
        <f>OE41</f>
        <v>13429.316718063665</v>
      </c>
      <c r="OF42" s="364">
        <f t="shared" si="183"/>
        <v>0</v>
      </c>
      <c r="OG42" s="364">
        <f>OG41</f>
        <v>61599.908758681253</v>
      </c>
      <c r="OH42" s="364">
        <v>0</v>
      </c>
      <c r="OI42" s="364">
        <f t="shared" si="183"/>
        <v>0</v>
      </c>
      <c r="OJ42" s="364">
        <f t="shared" si="183"/>
        <v>0</v>
      </c>
      <c r="OK42" s="364">
        <f t="shared" si="183"/>
        <v>0</v>
      </c>
      <c r="OL42" s="364">
        <v>0</v>
      </c>
      <c r="OM42" s="364">
        <f>OM41</f>
        <v>0</v>
      </c>
      <c r="ON42" s="364">
        <v>0</v>
      </c>
      <c r="OO42" s="364">
        <f t="shared" ref="OO42:OT42" si="184">OO41</f>
        <v>0</v>
      </c>
      <c r="OP42" s="364">
        <f t="shared" si="184"/>
        <v>54054.217649249818</v>
      </c>
      <c r="OQ42" s="364">
        <f t="shared" si="184"/>
        <v>0</v>
      </c>
      <c r="OR42" s="364">
        <f t="shared" si="184"/>
        <v>13577.680865173457</v>
      </c>
      <c r="OS42" s="364">
        <f t="shared" si="184"/>
        <v>0</v>
      </c>
      <c r="OT42" s="364">
        <f t="shared" si="184"/>
        <v>67631.898514423272</v>
      </c>
      <c r="OU42" s="72">
        <f t="shared" si="167"/>
        <v>0</v>
      </c>
      <c r="OV42" s="72">
        <f t="shared" si="167"/>
        <v>0</v>
      </c>
      <c r="OW42" s="72">
        <f t="shared" si="167"/>
        <v>0</v>
      </c>
      <c r="OX42" s="72">
        <f t="shared" si="167"/>
        <v>0</v>
      </c>
      <c r="OY42" s="72">
        <f t="shared" si="167"/>
        <v>0</v>
      </c>
      <c r="OZ42" s="72">
        <f t="shared" si="167"/>
        <v>0</v>
      </c>
      <c r="PA42" s="72">
        <f t="shared" si="167"/>
        <v>0</v>
      </c>
      <c r="PB42" s="72">
        <f t="shared" si="167"/>
        <v>0</v>
      </c>
      <c r="PC42" s="72">
        <f t="shared" si="167"/>
        <v>0</v>
      </c>
      <c r="PD42" s="72">
        <f t="shared" si="167"/>
        <v>0</v>
      </c>
      <c r="PE42" s="72">
        <f t="shared" si="167"/>
        <v>0</v>
      </c>
      <c r="PF42" s="72">
        <f t="shared" si="167"/>
        <v>0</v>
      </c>
      <c r="PG42" s="72">
        <f t="shared" si="167"/>
        <v>0</v>
      </c>
      <c r="PH42" s="72">
        <f t="shared" si="167"/>
        <v>0</v>
      </c>
      <c r="PI42" s="72">
        <f t="shared" ref="PI42:PN42" si="185">+PI41</f>
        <v>0</v>
      </c>
      <c r="PJ42" s="72">
        <f t="shared" si="185"/>
        <v>0</v>
      </c>
      <c r="PK42" s="72">
        <f t="shared" si="185"/>
        <v>13745.12</v>
      </c>
      <c r="PL42" s="72">
        <f t="shared" si="185"/>
        <v>6093</v>
      </c>
      <c r="PM42" s="72">
        <f t="shared" si="185"/>
        <v>1692.5</v>
      </c>
      <c r="PN42" s="72">
        <f t="shared" si="185"/>
        <v>1949.15</v>
      </c>
      <c r="PO42" s="72">
        <f>PO41</f>
        <v>38895.633435124721</v>
      </c>
      <c r="PP42" s="72">
        <f>PP41</f>
        <v>27294.683787707359</v>
      </c>
      <c r="PQ42" s="72">
        <f>+PQ41</f>
        <v>0</v>
      </c>
      <c r="PR42" s="72">
        <f>+PR41</f>
        <v>0</v>
      </c>
      <c r="PS42" s="72">
        <f>+PS41</f>
        <v>0</v>
      </c>
      <c r="PT42" s="72">
        <f>+PT41</f>
        <v>0</v>
      </c>
      <c r="PU42" s="72"/>
      <c r="PV42" s="72"/>
      <c r="PW42" s="72">
        <f>+PW41</f>
        <v>0</v>
      </c>
      <c r="PX42" s="72">
        <f>PX41</f>
        <v>0</v>
      </c>
      <c r="PY42" s="72">
        <f>+PY41</f>
        <v>0</v>
      </c>
      <c r="PZ42" s="72"/>
      <c r="QA42" s="72">
        <f>+QA41</f>
        <v>13745.12</v>
      </c>
      <c r="QB42" s="72"/>
      <c r="QC42" s="72"/>
      <c r="QD42" s="72"/>
      <c r="QE42" s="72"/>
      <c r="QF42" s="72"/>
      <c r="QG42" s="72"/>
      <c r="QH42" s="364">
        <f>QH41</f>
        <v>29562.488999999998</v>
      </c>
      <c r="QI42" s="364">
        <f>QI41</f>
        <v>283762.59090898006</v>
      </c>
      <c r="QJ42" s="876">
        <f>QJ41</f>
        <v>4972.2504480000007</v>
      </c>
      <c r="QK42" s="876">
        <f>QK41</f>
        <v>5505.3678056099998</v>
      </c>
      <c r="RZ42" s="72"/>
    </row>
    <row r="43" spans="1:503" s="311" customFormat="1">
      <c r="A43" s="312" t="s">
        <v>12</v>
      </c>
      <c r="B43" s="312"/>
      <c r="C43" s="337">
        <f>SUM(O43,S43,W43,AA43)</f>
        <v>4030000</v>
      </c>
      <c r="D43" s="337">
        <f>SUM(P43,T43,X43,AB43)</f>
        <v>325000</v>
      </c>
      <c r="E43" s="1744">
        <f>IFERROR(C43/D43,0)</f>
        <v>12.4</v>
      </c>
      <c r="F43" s="309"/>
      <c r="G43" s="309"/>
      <c r="H43" s="308"/>
      <c r="I43" s="308"/>
      <c r="J43" s="308"/>
      <c r="K43" s="308"/>
      <c r="L43" s="308"/>
      <c r="M43" s="308"/>
      <c r="N43" s="308"/>
      <c r="O43" s="337">
        <f>SUM(AW43,BC43)</f>
        <v>2450000</v>
      </c>
      <c r="P43" s="337">
        <f>SUM(AX43,BD43)</f>
        <v>205000</v>
      </c>
      <c r="Q43" s="1084">
        <f t="shared" si="8"/>
        <v>11.951219512195122</v>
      </c>
      <c r="R43" s="308"/>
      <c r="S43" s="1085">
        <f>BL43</f>
        <v>900000</v>
      </c>
      <c r="T43" s="1085">
        <f>BM43</f>
        <v>55000</v>
      </c>
      <c r="U43" s="1083">
        <f t="shared" si="10"/>
        <v>16.363636363636363</v>
      </c>
      <c r="V43" s="308"/>
      <c r="W43" s="337">
        <f>SUM(BV43)</f>
        <v>500000</v>
      </c>
      <c r="X43" s="337">
        <f>SUM(BW43)</f>
        <v>35000</v>
      </c>
      <c r="Y43" s="1084">
        <f t="shared" si="12"/>
        <v>14.285714285714286</v>
      </c>
      <c r="Z43" s="308"/>
      <c r="AA43" s="337">
        <f>BP43</f>
        <v>180000</v>
      </c>
      <c r="AB43" s="337">
        <f>BQ43</f>
        <v>30000</v>
      </c>
      <c r="AC43" s="1084">
        <f>AC42</f>
        <v>48.749425863292828</v>
      </c>
      <c r="AD43" s="337"/>
      <c r="AE43" s="308"/>
      <c r="AF43" s="308"/>
      <c r="AG43" s="309"/>
      <c r="AH43" s="308"/>
      <c r="AI43" s="308">
        <f>BS43</f>
        <v>0</v>
      </c>
      <c r="AJ43" s="308">
        <f>BT43</f>
        <v>0</v>
      </c>
      <c r="AK43" s="309">
        <f t="shared" si="17"/>
        <v>0</v>
      </c>
      <c r="AL43" s="308"/>
      <c r="AM43" s="308"/>
      <c r="AN43" s="308"/>
      <c r="AO43" s="308"/>
      <c r="AP43" s="308">
        <f>IFERROR(AN43/AO43,0)</f>
        <v>0</v>
      </c>
      <c r="AQ43" s="337"/>
      <c r="AR43" s="337"/>
      <c r="AS43" s="309"/>
      <c r="AT43" s="337"/>
      <c r="AU43" s="337"/>
      <c r="AV43" s="309"/>
      <c r="AW43" s="337">
        <v>1350000</v>
      </c>
      <c r="AX43" s="337">
        <v>140000</v>
      </c>
      <c r="AY43" s="2105">
        <f>IFERROR(AW43/AX43,0)</f>
        <v>9.6428571428571423</v>
      </c>
      <c r="AZ43" s="337"/>
      <c r="BA43" s="337"/>
      <c r="BB43" s="1084"/>
      <c r="BC43" s="337">
        <v>1100000</v>
      </c>
      <c r="BD43" s="337">
        <v>65000</v>
      </c>
      <c r="BE43" s="1084">
        <f>IFERROR(BC43/BD43,0)</f>
        <v>16.923076923076923</v>
      </c>
      <c r="BF43" s="337"/>
      <c r="BG43" s="337"/>
      <c r="BH43" s="309"/>
      <c r="BI43" s="337"/>
      <c r="BJ43" s="308">
        <v>0</v>
      </c>
      <c r="BK43" s="309">
        <f>IFERROR(BI43/BJ43,0)</f>
        <v>0</v>
      </c>
      <c r="BL43" s="337">
        <v>900000</v>
      </c>
      <c r="BM43" s="337">
        <v>55000</v>
      </c>
      <c r="BN43" s="337"/>
      <c r="BO43" s="2105">
        <f>IFERROR(BL43/BM43,0)</f>
        <v>16.363636363636363</v>
      </c>
      <c r="BP43" s="1084">
        <v>180000</v>
      </c>
      <c r="BQ43" s="337">
        <v>30000</v>
      </c>
      <c r="BR43" s="309">
        <f>IFERROR(BQ43/#REF!,0)</f>
        <v>0</v>
      </c>
      <c r="BS43" s="337"/>
      <c r="BT43" s="337"/>
      <c r="BU43" s="309">
        <f>IFERROR(BS43/BT43,0)</f>
        <v>0</v>
      </c>
      <c r="BV43" s="337">
        <v>500000</v>
      </c>
      <c r="BW43" s="337">
        <v>35000</v>
      </c>
      <c r="BX43" s="2105">
        <f>IFERROR(BV43/BW43,0)</f>
        <v>14.285714285714286</v>
      </c>
      <c r="BY43" s="337"/>
      <c r="BZ43" s="337"/>
      <c r="CA43" s="1083">
        <f t="shared" si="29"/>
        <v>0</v>
      </c>
      <c r="CB43" s="337"/>
      <c r="CC43" s="337"/>
      <c r="CD43" s="78">
        <f t="shared" si="30"/>
        <v>0</v>
      </c>
      <c r="CE43" s="337"/>
      <c r="CF43" s="308"/>
      <c r="CG43" s="309">
        <f>IFERROR(CE43/CF43,0)</f>
        <v>0</v>
      </c>
      <c r="CH43" s="308"/>
      <c r="CI43" s="337">
        <v>172000</v>
      </c>
      <c r="CJ43" s="337">
        <v>50000</v>
      </c>
      <c r="CK43" s="337">
        <v>432000</v>
      </c>
      <c r="CL43" s="337">
        <v>0</v>
      </c>
      <c r="CM43" s="337"/>
      <c r="CN43" s="337">
        <f>SUM(CI43:CL43)</f>
        <v>654000</v>
      </c>
      <c r="CO43" s="308"/>
      <c r="CP43" s="308"/>
      <c r="CQ43" s="308"/>
      <c r="CR43" s="308"/>
      <c r="CS43" s="308"/>
      <c r="CT43" s="308"/>
      <c r="CU43" s="308"/>
      <c r="CV43" s="308"/>
      <c r="CW43" s="308"/>
      <c r="CX43" s="308"/>
      <c r="CY43" s="308"/>
      <c r="CZ43" s="308"/>
      <c r="DA43" s="308"/>
      <c r="DB43" s="308"/>
      <c r="DC43" s="308"/>
      <c r="DD43" s="308"/>
      <c r="DE43" s="308"/>
      <c r="DF43" s="308"/>
      <c r="DG43" s="308"/>
      <c r="DH43" s="308"/>
      <c r="DI43" s="308"/>
      <c r="DJ43" s="308"/>
      <c r="DK43" s="308"/>
      <c r="DL43" s="308"/>
      <c r="DM43" s="308"/>
      <c r="DN43" s="308"/>
      <c r="DO43" s="308"/>
      <c r="DP43" s="308"/>
      <c r="DQ43" s="308"/>
      <c r="DR43" s="308"/>
      <c r="DS43" s="308"/>
      <c r="DT43" s="308"/>
      <c r="DU43" s="308"/>
      <c r="DV43" s="308"/>
      <c r="DW43" s="308"/>
      <c r="DX43" s="308"/>
      <c r="DY43" s="308"/>
      <c r="DZ43" s="308"/>
      <c r="EA43" s="308"/>
      <c r="EB43" s="308"/>
      <c r="EC43" s="308"/>
      <c r="ED43" s="308"/>
      <c r="EE43" s="308"/>
      <c r="EF43" s="308"/>
      <c r="EG43" s="308"/>
      <c r="EH43" s="308"/>
      <c r="EI43" s="308"/>
      <c r="EJ43" s="308"/>
      <c r="EK43" s="308"/>
      <c r="EL43" s="308"/>
      <c r="EM43" s="308"/>
      <c r="EN43" s="308"/>
      <c r="EO43" s="308"/>
      <c r="EP43" s="308"/>
      <c r="EQ43" s="308"/>
      <c r="ER43" s="308"/>
      <c r="ES43" s="308"/>
      <c r="ET43" s="308"/>
      <c r="EU43" s="308"/>
      <c r="EV43" s="308"/>
      <c r="EW43" s="308"/>
      <c r="EX43" s="308"/>
      <c r="EY43" s="308"/>
      <c r="EZ43" s="308"/>
      <c r="FA43" s="308"/>
      <c r="FB43" s="308"/>
      <c r="FC43" s="308"/>
      <c r="FD43" s="308"/>
      <c r="FE43" s="308"/>
      <c r="FF43" s="308"/>
      <c r="FG43" s="308"/>
      <c r="FH43" s="308"/>
      <c r="FI43" s="308"/>
      <c r="FJ43" s="308"/>
      <c r="FK43" s="308"/>
      <c r="FL43" s="308"/>
      <c r="FM43" s="308"/>
      <c r="FN43" s="308"/>
      <c r="FO43" s="308"/>
      <c r="FP43" s="308"/>
      <c r="FQ43" s="308"/>
      <c r="FR43" s="308"/>
      <c r="FS43" s="308"/>
      <c r="FT43" s="308"/>
      <c r="FU43" s="308"/>
      <c r="FV43" s="308"/>
      <c r="FW43" s="308"/>
      <c r="FX43" s="308"/>
      <c r="FY43" s="308"/>
      <c r="FZ43" s="308"/>
      <c r="GA43" s="308"/>
      <c r="GB43" s="308"/>
      <c r="GC43" s="308"/>
      <c r="GD43" s="308"/>
      <c r="GE43" s="308"/>
      <c r="GF43" s="308"/>
      <c r="GG43" s="308"/>
      <c r="GH43" s="308"/>
      <c r="GI43" s="308"/>
      <c r="GJ43" s="308"/>
      <c r="GK43" s="308"/>
      <c r="GL43" s="337">
        <v>43500.756022346402</v>
      </c>
      <c r="GM43" s="337">
        <v>131953.80551834262</v>
      </c>
      <c r="GN43" s="337">
        <v>94545.438459310913</v>
      </c>
      <c r="GO43" s="337">
        <f>GM43+GN43+GL43</f>
        <v>269999.99999999994</v>
      </c>
      <c r="GP43" s="308">
        <v>0</v>
      </c>
      <c r="GQ43" s="308">
        <v>0</v>
      </c>
      <c r="GR43" s="308"/>
      <c r="GS43" s="308"/>
      <c r="GT43" s="308"/>
      <c r="GU43" s="308"/>
      <c r="GV43" s="308"/>
      <c r="GW43" s="308"/>
      <c r="GX43" s="308">
        <f>SUM(GT43:GV43)</f>
        <v>0</v>
      </c>
      <c r="GY43" s="308"/>
      <c r="GZ43" s="308"/>
      <c r="HA43" s="308"/>
      <c r="HB43" s="308"/>
      <c r="HC43" s="308"/>
      <c r="HD43" s="308"/>
      <c r="HE43" s="308"/>
      <c r="HF43" s="308"/>
      <c r="HG43" s="308"/>
      <c r="HH43" s="308"/>
      <c r="HI43" s="308"/>
      <c r="HJ43" s="308"/>
      <c r="HK43" s="308"/>
      <c r="HL43" s="308"/>
      <c r="HM43" s="308"/>
      <c r="HN43" s="308"/>
      <c r="HO43" s="308"/>
      <c r="HP43" s="308"/>
      <c r="HQ43" s="308"/>
      <c r="HR43" s="308"/>
      <c r="HS43" s="308"/>
      <c r="HT43" s="308"/>
      <c r="HU43" s="308"/>
      <c r="HV43" s="308"/>
      <c r="HW43" s="308"/>
      <c r="HX43" s="308"/>
      <c r="HY43" s="308"/>
      <c r="HZ43" s="308"/>
      <c r="IA43" s="308"/>
      <c r="IB43" s="308"/>
      <c r="IC43" s="308"/>
      <c r="ID43" s="308"/>
      <c r="IE43" s="308"/>
      <c r="IF43" s="308"/>
      <c r="IG43" s="308"/>
      <c r="IH43" s="308"/>
      <c r="II43" s="308"/>
      <c r="IJ43" s="308"/>
      <c r="IK43" s="308"/>
      <c r="IL43" s="308"/>
      <c r="IM43" s="308"/>
      <c r="IN43" s="308"/>
      <c r="IO43" s="308"/>
      <c r="IP43" s="308"/>
      <c r="IQ43" s="308"/>
      <c r="IR43" s="478">
        <f>SUM(ID43:IQ43)</f>
        <v>0</v>
      </c>
      <c r="IS43" s="308"/>
      <c r="IT43" s="308"/>
      <c r="IU43" s="308"/>
      <c r="IV43" s="308"/>
      <c r="IW43" s="308"/>
      <c r="IX43" s="308"/>
      <c r="IY43" s="308"/>
      <c r="IZ43" s="308"/>
      <c r="JA43" s="308"/>
      <c r="JB43" s="308"/>
      <c r="JC43" s="308"/>
      <c r="JD43" s="308"/>
      <c r="JE43" s="308"/>
      <c r="JF43" s="308"/>
      <c r="JG43" s="308">
        <f>SUM(IS43:JF43)</f>
        <v>0</v>
      </c>
      <c r="JH43" s="308"/>
      <c r="JI43" s="308"/>
      <c r="JJ43" s="337">
        <v>150000</v>
      </c>
      <c r="JK43" s="337">
        <v>120000</v>
      </c>
      <c r="JL43" s="337"/>
      <c r="JM43" s="337">
        <f>SUM(JJ43:JL43)</f>
        <v>270000</v>
      </c>
      <c r="JN43" s="308"/>
      <c r="JO43" s="308"/>
      <c r="JP43" s="309"/>
      <c r="JQ43" s="309"/>
      <c r="JR43" s="309"/>
      <c r="JS43" s="309"/>
      <c r="JT43" s="309"/>
      <c r="JU43" s="309"/>
      <c r="JV43" s="309"/>
      <c r="JW43" s="309"/>
      <c r="JX43" s="309"/>
      <c r="JY43" s="309"/>
      <c r="JZ43" s="309"/>
      <c r="KA43" s="309"/>
      <c r="KB43" s="309"/>
      <c r="KC43" s="309"/>
      <c r="KD43" s="309"/>
      <c r="KE43" s="309"/>
      <c r="KF43" s="309">
        <v>0</v>
      </c>
      <c r="KG43" s="309">
        <v>0</v>
      </c>
      <c r="KH43" s="309">
        <v>0</v>
      </c>
      <c r="KI43" s="309">
        <v>0</v>
      </c>
      <c r="KJ43" s="309">
        <v>0</v>
      </c>
      <c r="KK43" s="309">
        <v>0</v>
      </c>
      <c r="KL43" s="309">
        <v>0</v>
      </c>
      <c r="KM43" s="309">
        <v>0</v>
      </c>
      <c r="KN43" s="308"/>
      <c r="KO43" s="308"/>
      <c r="KP43" s="337">
        <v>6949</v>
      </c>
      <c r="KQ43" s="2105">
        <v>0.81</v>
      </c>
      <c r="KR43" s="2105">
        <v>4.1100000000000003</v>
      </c>
      <c r="KS43" s="2105">
        <v>6.27</v>
      </c>
      <c r="KT43" s="2105">
        <v>10.24</v>
      </c>
      <c r="KU43" s="337">
        <v>6915</v>
      </c>
      <c r="KV43" s="2105">
        <v>1.75</v>
      </c>
      <c r="KW43" s="2105">
        <v>4.5599999999999996</v>
      </c>
      <c r="KX43" s="2105">
        <v>6.27</v>
      </c>
      <c r="KY43" s="2105">
        <v>10.73</v>
      </c>
      <c r="KZ43" s="308"/>
      <c r="LA43" s="309"/>
      <c r="LB43" s="309"/>
      <c r="LC43" s="309"/>
      <c r="LD43" s="309"/>
      <c r="LE43" s="308">
        <v>13.25</v>
      </c>
      <c r="LF43" s="308"/>
      <c r="LG43" s="308"/>
      <c r="LH43" s="337">
        <v>230000</v>
      </c>
      <c r="LI43" s="337">
        <v>140000</v>
      </c>
      <c r="LJ43" s="337"/>
      <c r="LK43" s="337">
        <f>SUM(LH43:LJ43)</f>
        <v>370000</v>
      </c>
      <c r="LL43" s="308"/>
      <c r="LM43" s="308"/>
      <c r="LN43" s="308"/>
      <c r="LO43" s="308"/>
      <c r="LP43" s="308"/>
      <c r="LQ43" s="308"/>
      <c r="LR43" s="308"/>
      <c r="LS43" s="308"/>
      <c r="LT43" s="308"/>
      <c r="LU43" s="308"/>
      <c r="LV43" s="308"/>
      <c r="LW43" s="308"/>
      <c r="LX43" s="308"/>
      <c r="LY43" s="308"/>
      <c r="LZ43" s="308"/>
      <c r="MA43" s="308"/>
      <c r="MB43" s="308"/>
      <c r="MC43" s="308"/>
      <c r="MD43" s="308"/>
      <c r="ME43" s="308"/>
      <c r="MF43" s="308"/>
      <c r="MH43" s="308"/>
      <c r="MI43" s="308"/>
      <c r="MJ43" s="308"/>
      <c r="MK43" s="308"/>
      <c r="ML43" s="308"/>
      <c r="MM43" s="308"/>
      <c r="MN43" s="308"/>
      <c r="MO43" s="308"/>
      <c r="MP43" s="308"/>
      <c r="MQ43" s="308"/>
      <c r="MR43" s="308"/>
      <c r="MS43" s="308"/>
      <c r="MT43" s="308"/>
      <c r="MU43" s="308"/>
      <c r="MV43" s="308"/>
      <c r="MW43" s="308"/>
      <c r="MX43" s="308"/>
      <c r="MY43" s="308"/>
      <c r="MZ43" s="308"/>
      <c r="NA43" s="308"/>
      <c r="NB43" s="308"/>
      <c r="NC43" s="308"/>
      <c r="ND43" s="308"/>
      <c r="NE43" s="308"/>
      <c r="NF43" s="308"/>
      <c r="NG43" s="308"/>
      <c r="NH43" s="308"/>
      <c r="NI43" s="308"/>
      <c r="NJ43" s="308"/>
      <c r="NK43" s="308"/>
      <c r="NL43" s="308"/>
      <c r="NM43" s="308"/>
      <c r="NN43" s="308"/>
      <c r="NO43" s="308"/>
      <c r="NP43" s="308"/>
      <c r="NQ43" s="308"/>
      <c r="NR43" s="308"/>
      <c r="NS43" s="308"/>
      <c r="NT43" s="308"/>
      <c r="NU43" s="308"/>
      <c r="NV43" s="308"/>
      <c r="NW43" s="308"/>
      <c r="NX43" s="308"/>
      <c r="NY43" s="308"/>
      <c r="NZ43" s="308"/>
      <c r="OA43" s="308"/>
      <c r="OB43" s="308"/>
      <c r="OC43" s="308"/>
      <c r="OD43" s="308"/>
      <c r="OE43" s="308"/>
      <c r="OF43" s="308"/>
      <c r="OG43" s="308"/>
      <c r="OH43" s="308"/>
      <c r="OI43" s="308"/>
      <c r="OJ43" s="308"/>
      <c r="OK43" s="308"/>
      <c r="OL43" s="308"/>
      <c r="OM43" s="308"/>
      <c r="ON43" s="308"/>
      <c r="OO43" s="308"/>
      <c r="OP43" s="308"/>
      <c r="OQ43" s="308"/>
      <c r="OR43" s="308"/>
      <c r="OS43" s="308"/>
      <c r="OT43" s="308"/>
      <c r="OU43" s="308"/>
      <c r="OV43" s="308"/>
      <c r="OW43" s="308"/>
      <c r="OX43" s="308"/>
      <c r="OY43" s="308"/>
      <c r="OZ43" s="308"/>
      <c r="PA43" s="308"/>
      <c r="PB43" s="308"/>
      <c r="PC43" s="308"/>
      <c r="PD43" s="308"/>
      <c r="PE43" s="308"/>
      <c r="PF43" s="308"/>
      <c r="PG43" s="308"/>
      <c r="PH43" s="308"/>
      <c r="PI43" s="308"/>
      <c r="PJ43" s="308"/>
      <c r="PK43" s="308"/>
      <c r="PL43" s="308"/>
      <c r="PM43" s="308"/>
      <c r="PN43" s="308"/>
      <c r="PO43" s="308"/>
      <c r="PP43" s="308"/>
      <c r="PQ43" s="308"/>
      <c r="PR43" s="308"/>
      <c r="PS43" s="308"/>
      <c r="PT43" s="308"/>
      <c r="PU43" s="308"/>
      <c r="PV43" s="308"/>
      <c r="PW43" s="308"/>
      <c r="PX43" s="308"/>
      <c r="PY43" s="308"/>
      <c r="PZ43" s="308"/>
      <c r="QA43" s="308"/>
      <c r="QB43" s="308"/>
      <c r="QC43" s="308"/>
      <c r="QD43" s="308"/>
      <c r="QE43" s="308"/>
      <c r="QF43" s="308"/>
      <c r="QG43" s="308"/>
      <c r="QH43" s="308"/>
      <c r="RZ43" s="1073"/>
    </row>
    <row r="44" spans="1:503">
      <c r="A44" t="s">
        <v>208</v>
      </c>
      <c r="C44" s="38">
        <f>IFERROR(C42/C43,"")</f>
        <v>0.27109230769230769</v>
      </c>
      <c r="D44" s="38">
        <f>IFERROR(D42/D43,"")</f>
        <v>0.1799608</v>
      </c>
      <c r="E44" s="38">
        <f>IFERROR(E42/E43,"")</f>
        <v>1.5063964357366031</v>
      </c>
      <c r="F44" s="38"/>
      <c r="G44" s="38"/>
      <c r="H44" s="38"/>
      <c r="I44" s="38"/>
      <c r="J44" s="38" t="str">
        <f t="shared" ref="J44:T44" si="186">IFERROR(J42/J43,"")</f>
        <v/>
      </c>
      <c r="K44" s="38" t="str">
        <f t="shared" si="186"/>
        <v/>
      </c>
      <c r="L44" s="38" t="str">
        <f t="shared" si="186"/>
        <v/>
      </c>
      <c r="M44" s="38" t="str">
        <f t="shared" si="186"/>
        <v/>
      </c>
      <c r="N44" s="38" t="str">
        <f t="shared" si="186"/>
        <v/>
      </c>
      <c r="O44" s="38">
        <f t="shared" si="186"/>
        <v>0.26465142857142859</v>
      </c>
      <c r="P44" s="38">
        <f t="shared" si="186"/>
        <v>0.13699453658536587</v>
      </c>
      <c r="Q44" s="38">
        <f t="shared" si="186"/>
        <v>1.9318392920473542</v>
      </c>
      <c r="R44" s="38" t="str">
        <f t="shared" si="186"/>
        <v/>
      </c>
      <c r="S44" s="1082">
        <f t="shared" si="186"/>
        <v>0.26634999999999998</v>
      </c>
      <c r="T44" s="38">
        <f t="shared" si="186"/>
        <v>0.27548036363636363</v>
      </c>
      <c r="U44" s="1081">
        <f t="shared" si="10"/>
        <v>0.96685657185927121</v>
      </c>
      <c r="V44" s="38" t="str">
        <f t="shared" ref="V44:AA44" si="187">IFERROR(V42/V43,"")</f>
        <v/>
      </c>
      <c r="W44" s="38">
        <f t="shared" si="187"/>
        <v>0.315382</v>
      </c>
      <c r="X44" s="38">
        <f t="shared" si="187"/>
        <v>0.40839999999999999</v>
      </c>
      <c r="Y44" s="38">
        <f t="shared" si="187"/>
        <v>0.77223800195886383</v>
      </c>
      <c r="Z44" s="38" t="str">
        <f t="shared" si="187"/>
        <v/>
      </c>
      <c r="AA44" s="38">
        <f t="shared" si="187"/>
        <v>0.25944444444444442</v>
      </c>
      <c r="AB44" s="72" t="str">
        <f>BQ44</f>
        <v/>
      </c>
      <c r="AC44" s="38">
        <f>IFERROR(AC42/AC43,"")</f>
        <v>1</v>
      </c>
      <c r="AD44" s="38"/>
      <c r="AE44" s="38" t="str">
        <f t="shared" ref="AE44:BO44" si="188">IFERROR(AE42/AE43,"")</f>
        <v/>
      </c>
      <c r="AF44" s="38" t="str">
        <f t="shared" si="188"/>
        <v/>
      </c>
      <c r="AG44" s="38" t="str">
        <f t="shared" si="188"/>
        <v/>
      </c>
      <c r="AH44" s="38" t="str">
        <f t="shared" si="188"/>
        <v/>
      </c>
      <c r="AI44" s="38" t="str">
        <f t="shared" si="188"/>
        <v/>
      </c>
      <c r="AJ44" s="38" t="str">
        <f t="shared" si="188"/>
        <v/>
      </c>
      <c r="AK44" s="38" t="str">
        <f t="shared" si="188"/>
        <v/>
      </c>
      <c r="AL44" s="38" t="str">
        <f t="shared" si="188"/>
        <v/>
      </c>
      <c r="AM44" s="38" t="str">
        <f t="shared" si="188"/>
        <v/>
      </c>
      <c r="AN44" s="38" t="str">
        <f t="shared" si="188"/>
        <v/>
      </c>
      <c r="AO44" s="38" t="str">
        <f t="shared" si="188"/>
        <v/>
      </c>
      <c r="AP44" s="38" t="str">
        <f t="shared" si="188"/>
        <v/>
      </c>
      <c r="AQ44" s="38" t="str">
        <f t="shared" si="188"/>
        <v/>
      </c>
      <c r="AR44" s="38" t="str">
        <f t="shared" si="188"/>
        <v/>
      </c>
      <c r="AS44" s="38" t="str">
        <f t="shared" si="188"/>
        <v/>
      </c>
      <c r="AT44" s="38" t="str">
        <f t="shared" si="188"/>
        <v/>
      </c>
      <c r="AU44" s="38" t="str">
        <f t="shared" si="188"/>
        <v/>
      </c>
      <c r="AV44" s="38" t="str">
        <f t="shared" si="188"/>
        <v/>
      </c>
      <c r="AW44" s="38">
        <f t="shared" si="188"/>
        <v>0.25414666666666669</v>
      </c>
      <c r="AX44" s="38">
        <f t="shared" si="188"/>
        <v>0.18791757142857146</v>
      </c>
      <c r="AY44" s="38">
        <f t="shared" si="188"/>
        <v>1.3524369474052578</v>
      </c>
      <c r="AZ44" s="38" t="str">
        <f t="shared" si="188"/>
        <v/>
      </c>
      <c r="BA44" s="38" t="str">
        <f t="shared" si="188"/>
        <v/>
      </c>
      <c r="BB44" s="38" t="str">
        <f t="shared" si="188"/>
        <v/>
      </c>
      <c r="BC44" s="38">
        <f t="shared" si="188"/>
        <v>0.27754363636363638</v>
      </c>
      <c r="BD44" s="38">
        <f t="shared" si="188"/>
        <v>2.7314153846153846E-2</v>
      </c>
      <c r="BE44" s="38">
        <f t="shared" si="188"/>
        <v>10.161165450223812</v>
      </c>
      <c r="BF44" s="38" t="str">
        <f t="shared" si="188"/>
        <v/>
      </c>
      <c r="BG44" s="38" t="str">
        <f t="shared" si="188"/>
        <v/>
      </c>
      <c r="BH44" s="38" t="str">
        <f t="shared" si="188"/>
        <v/>
      </c>
      <c r="BI44" s="38" t="str">
        <f t="shared" si="188"/>
        <v/>
      </c>
      <c r="BJ44" s="38" t="str">
        <f t="shared" si="188"/>
        <v/>
      </c>
      <c r="BK44" s="38" t="str">
        <f t="shared" si="188"/>
        <v/>
      </c>
      <c r="BL44" s="38">
        <f t="shared" si="188"/>
        <v>0.26634999999999998</v>
      </c>
      <c r="BM44" s="38">
        <f t="shared" si="188"/>
        <v>0.27548036363636363</v>
      </c>
      <c r="BN44" s="38"/>
      <c r="BO44" s="1904">
        <f t="shared" si="188"/>
        <v>0.96685657185927132</v>
      </c>
      <c r="BP44" s="38">
        <f>IFERROR(BP42/BQ43,"")</f>
        <v>1.5566666666666666</v>
      </c>
      <c r="BQ44" s="38" t="str">
        <f>IFERROR(BQ42/#REF!,"")</f>
        <v/>
      </c>
      <c r="BR44" s="38" t="str">
        <f t="shared" ref="BR44:CR44" si="189">IFERROR(BR42/BR43,"")</f>
        <v/>
      </c>
      <c r="BS44" s="38" t="str">
        <f t="shared" si="189"/>
        <v/>
      </c>
      <c r="BT44" s="38" t="str">
        <f t="shared" si="189"/>
        <v/>
      </c>
      <c r="BU44" s="38" t="str">
        <f t="shared" si="189"/>
        <v/>
      </c>
      <c r="BV44" s="38">
        <f t="shared" si="189"/>
        <v>0.315382</v>
      </c>
      <c r="BW44" s="38">
        <v>30000</v>
      </c>
      <c r="BX44" s="38">
        <f t="shared" si="189"/>
        <v>0.77223800195886383</v>
      </c>
      <c r="BY44" s="38" t="str">
        <f t="shared" si="189"/>
        <v/>
      </c>
      <c r="BZ44" s="38" t="str">
        <f t="shared" si="189"/>
        <v/>
      </c>
      <c r="CA44" s="38" t="str">
        <f t="shared" si="189"/>
        <v/>
      </c>
      <c r="CB44" s="38" t="str">
        <f t="shared" si="189"/>
        <v/>
      </c>
      <c r="CC44" s="38" t="str">
        <f t="shared" si="189"/>
        <v/>
      </c>
      <c r="CD44" s="38" t="str">
        <f t="shared" si="189"/>
        <v/>
      </c>
      <c r="CE44" s="38" t="str">
        <f t="shared" si="189"/>
        <v/>
      </c>
      <c r="CF44" s="38" t="str">
        <f t="shared" si="189"/>
        <v/>
      </c>
      <c r="CG44" s="38" t="str">
        <f t="shared" si="189"/>
        <v/>
      </c>
      <c r="CH44" s="38" t="str">
        <f t="shared" si="189"/>
        <v/>
      </c>
      <c r="CI44" s="38">
        <f t="shared" si="189"/>
        <v>0</v>
      </c>
      <c r="CJ44" s="38">
        <f t="shared" si="189"/>
        <v>0.33579999999999999</v>
      </c>
      <c r="CK44" s="38">
        <f t="shared" si="189"/>
        <v>0.1320763888888889</v>
      </c>
      <c r="CL44" s="38" t="str">
        <f t="shared" si="189"/>
        <v/>
      </c>
      <c r="CM44" s="38" t="str">
        <f t="shared" si="189"/>
        <v/>
      </c>
      <c r="CN44" s="38">
        <f t="shared" si="189"/>
        <v>0.11291590214067278</v>
      </c>
      <c r="CO44" s="38" t="str">
        <f t="shared" si="189"/>
        <v/>
      </c>
      <c r="CP44" s="38" t="str">
        <f t="shared" si="189"/>
        <v/>
      </c>
      <c r="CQ44" s="38" t="str">
        <f t="shared" si="189"/>
        <v/>
      </c>
      <c r="CR44" s="38" t="str">
        <f t="shared" si="189"/>
        <v/>
      </c>
      <c r="CS44" s="38"/>
      <c r="CT44" s="38" t="str">
        <f>IFERROR(CT42/CT43,"")</f>
        <v/>
      </c>
      <c r="CU44" s="38"/>
      <c r="CV44" s="38" t="str">
        <f>IFERROR(CV42/CV43,"")</f>
        <v/>
      </c>
      <c r="CW44" s="38"/>
      <c r="CX44" s="38" t="str">
        <f>IFERROR(CX42/CX43,"")</f>
        <v/>
      </c>
      <c r="CY44" s="38"/>
      <c r="CZ44" s="38" t="str">
        <f>IFERROR(CZ42/CZ43,"")</f>
        <v/>
      </c>
      <c r="DA44" s="38"/>
      <c r="DB44" s="38" t="str">
        <f>IFERROR(DB42/DB43,"")</f>
        <v/>
      </c>
      <c r="DC44" s="38"/>
      <c r="DD44" s="38" t="str">
        <f>IFERROR(DD42/DD43,"")</f>
        <v/>
      </c>
      <c r="DE44" s="38" t="str">
        <f>IFERROR(DE42/DE43,"")</f>
        <v/>
      </c>
      <c r="DF44" s="38" t="str">
        <f>IFERROR(DF42/DF43,"")</f>
        <v/>
      </c>
      <c r="DG44" s="38"/>
      <c r="DH44" s="38" t="str">
        <f>IFERROR(DH42/DH43,"")</f>
        <v/>
      </c>
      <c r="DI44" s="38"/>
      <c r="DJ44" s="38" t="str">
        <f>IFERROR(DJ42/DJ43,"")</f>
        <v/>
      </c>
      <c r="DK44" s="38"/>
      <c r="DL44" s="38" t="str">
        <f>IFERROR(DL42/DL43,"")</f>
        <v/>
      </c>
      <c r="DM44" s="38"/>
      <c r="DN44" s="38" t="str">
        <f>IFERROR(DN42/DN43,"")</f>
        <v/>
      </c>
      <c r="DO44" s="38"/>
      <c r="DP44" s="38" t="str">
        <f>IFERROR(DP42/DP43,"")</f>
        <v/>
      </c>
      <c r="DQ44" s="38"/>
      <c r="DR44" s="38"/>
      <c r="DS44" s="38" t="str">
        <f>IFERROR(DS42/DS43,"")</f>
        <v/>
      </c>
      <c r="DT44" s="38" t="str">
        <f>IFERROR(DT42/DT43,"")</f>
        <v/>
      </c>
      <c r="DU44" s="38"/>
      <c r="DV44" s="38" t="str">
        <f>IFERROR(DV42/DV43,"")</f>
        <v/>
      </c>
      <c r="DW44" s="38"/>
      <c r="DX44" s="38" t="str">
        <f>IFERROR(DX42/DX43,"")</f>
        <v/>
      </c>
      <c r="DY44" s="38"/>
      <c r="DZ44" s="38" t="str">
        <f>IFERROR(DZ42/DZ43,"")</f>
        <v/>
      </c>
      <c r="EA44" s="38"/>
      <c r="EB44" s="38" t="str">
        <f>IFERROR(EB42/EB43,"")</f>
        <v/>
      </c>
      <c r="EC44" s="38"/>
      <c r="ED44" s="38" t="str">
        <f>IFERROR(ED42/ED43,"")</f>
        <v/>
      </c>
      <c r="EE44" s="38"/>
      <c r="EF44" s="38" t="str">
        <f>IFERROR(EF42/EF43,"")</f>
        <v/>
      </c>
      <c r="EG44" s="38" t="str">
        <f>IFERROR(EG42/EG43,"")</f>
        <v/>
      </c>
      <c r="EH44" s="38"/>
      <c r="EI44" s="38"/>
      <c r="EJ44" s="38"/>
      <c r="EK44" s="38" t="str">
        <f>IFERROR(EK42/EK43,"")</f>
        <v/>
      </c>
      <c r="EL44" s="38"/>
      <c r="EM44" s="38" t="str">
        <f>IFERROR(EM42/EM43,"")</f>
        <v/>
      </c>
      <c r="EN44" s="38"/>
      <c r="EO44" s="38" t="str">
        <f>IFERROR(EO42/EO43,"")</f>
        <v/>
      </c>
      <c r="EP44" s="38"/>
      <c r="EQ44" s="38" t="str">
        <f>IFERROR(EQ42/EQ43,"")</f>
        <v/>
      </c>
      <c r="ER44" s="38"/>
      <c r="ES44" s="38" t="str">
        <f>IFERROR(ES42/ES43,"")</f>
        <v/>
      </c>
      <c r="ET44" s="38" t="str">
        <f>IFERROR(ET42/ET43,"")</f>
        <v/>
      </c>
      <c r="EU44" s="38" t="str">
        <f>IFERROR(EU42/EU43,"")</f>
        <v/>
      </c>
      <c r="EV44" s="38" t="str">
        <f>IFERROR(EV42/EV43,"")</f>
        <v/>
      </c>
      <c r="EW44" s="38" t="str">
        <f t="shared" ref="EW44:FW44" si="190">IFERROR(EW42/EW43,"")</f>
        <v/>
      </c>
      <c r="EX44" s="38" t="str">
        <f t="shared" si="190"/>
        <v/>
      </c>
      <c r="EY44" s="38" t="str">
        <f t="shared" si="190"/>
        <v/>
      </c>
      <c r="EZ44" s="38" t="str">
        <f t="shared" si="190"/>
        <v/>
      </c>
      <c r="FA44" s="38" t="str">
        <f t="shared" si="190"/>
        <v/>
      </c>
      <c r="FB44" s="38" t="str">
        <f t="shared" si="190"/>
        <v/>
      </c>
      <c r="FC44" s="38" t="str">
        <f t="shared" si="190"/>
        <v/>
      </c>
      <c r="FD44" s="38" t="str">
        <f t="shared" si="190"/>
        <v/>
      </c>
      <c r="FE44" s="38" t="str">
        <f t="shared" si="190"/>
        <v/>
      </c>
      <c r="FF44" s="38" t="str">
        <f t="shared" si="190"/>
        <v/>
      </c>
      <c r="FG44" s="38" t="str">
        <f t="shared" si="190"/>
        <v/>
      </c>
      <c r="FH44" s="38" t="str">
        <f t="shared" si="190"/>
        <v/>
      </c>
      <c r="FI44" s="38" t="str">
        <f t="shared" si="190"/>
        <v/>
      </c>
      <c r="FJ44" s="38" t="str">
        <f t="shared" si="190"/>
        <v/>
      </c>
      <c r="FK44" s="38" t="str">
        <f t="shared" si="190"/>
        <v/>
      </c>
      <c r="FL44" s="38" t="str">
        <f t="shared" si="190"/>
        <v/>
      </c>
      <c r="FM44" s="38" t="str">
        <f t="shared" si="190"/>
        <v/>
      </c>
      <c r="FN44" s="38" t="str">
        <f t="shared" si="190"/>
        <v/>
      </c>
      <c r="FO44" s="38" t="str">
        <f t="shared" si="190"/>
        <v/>
      </c>
      <c r="FP44" s="38" t="str">
        <f t="shared" si="190"/>
        <v/>
      </c>
      <c r="FQ44" s="38" t="str">
        <f t="shared" si="190"/>
        <v/>
      </c>
      <c r="FR44" s="38" t="str">
        <f t="shared" si="190"/>
        <v/>
      </c>
      <c r="FS44" s="38" t="str">
        <f t="shared" si="190"/>
        <v/>
      </c>
      <c r="FT44" s="38" t="str">
        <f t="shared" si="190"/>
        <v/>
      </c>
      <c r="FU44" s="38" t="str">
        <f t="shared" si="190"/>
        <v/>
      </c>
      <c r="FV44" s="38" t="str">
        <f t="shared" si="190"/>
        <v/>
      </c>
      <c r="FW44" s="38" t="str">
        <f t="shared" si="190"/>
        <v/>
      </c>
      <c r="FX44" s="38"/>
      <c r="FY44" s="38" t="str">
        <f>IFERROR(FY42/FY43,"")</f>
        <v/>
      </c>
      <c r="FZ44" s="38"/>
      <c r="GA44" s="38" t="str">
        <f>IFERROR(GA42/GA43,"")</f>
        <v/>
      </c>
      <c r="GB44" s="38"/>
      <c r="GC44" s="38" t="str">
        <f>IFERROR(GC42/GC43,"")</f>
        <v/>
      </c>
      <c r="GD44" s="38"/>
      <c r="GE44" s="38" t="str">
        <f>IFERROR(GE42/GE43,"")</f>
        <v/>
      </c>
      <c r="GF44" s="38"/>
      <c r="GG44" s="38" t="str">
        <f>IFERROR(GG42/GG43,"")</f>
        <v/>
      </c>
      <c r="GH44" s="38"/>
      <c r="GI44" s="38" t="str">
        <f t="shared" ref="GI44:GY44" si="191">IFERROR(GI42/GI43,"")</f>
        <v/>
      </c>
      <c r="GJ44" s="38" t="str">
        <f t="shared" si="191"/>
        <v/>
      </c>
      <c r="GK44" s="38" t="str">
        <f t="shared" si="191"/>
        <v/>
      </c>
      <c r="GL44" s="38">
        <f t="shared" si="191"/>
        <v>0.31300076699829216</v>
      </c>
      <c r="GM44" s="38">
        <f t="shared" si="191"/>
        <v>0.16501737039310432</v>
      </c>
      <c r="GN44" s="38">
        <f t="shared" si="191"/>
        <v>0.14993129474036515</v>
      </c>
      <c r="GO44" s="38">
        <f t="shared" si="191"/>
        <v>0.1835768888888889</v>
      </c>
      <c r="GP44" s="38" t="str">
        <f t="shared" si="191"/>
        <v/>
      </c>
      <c r="GQ44" s="38" t="str">
        <f t="shared" si="191"/>
        <v/>
      </c>
      <c r="GR44" s="38" t="str">
        <f t="shared" si="191"/>
        <v/>
      </c>
      <c r="GS44" s="38" t="str">
        <f t="shared" si="191"/>
        <v/>
      </c>
      <c r="GT44" s="38" t="str">
        <f t="shared" si="191"/>
        <v/>
      </c>
      <c r="GU44" s="38" t="str">
        <f t="shared" si="191"/>
        <v/>
      </c>
      <c r="GV44" s="38" t="str">
        <f t="shared" si="191"/>
        <v/>
      </c>
      <c r="GW44" s="38" t="str">
        <f t="shared" si="191"/>
        <v/>
      </c>
      <c r="GX44" s="38" t="str">
        <f t="shared" si="191"/>
        <v/>
      </c>
      <c r="GY44" s="38" t="str">
        <f t="shared" si="191"/>
        <v/>
      </c>
      <c r="GZ44" s="72"/>
      <c r="HA44" s="38"/>
      <c r="HB44" s="38" t="str">
        <f>IFERROR(HB42/HB43,"")</f>
        <v/>
      </c>
      <c r="HC44" s="38"/>
      <c r="HD44" s="38" t="str">
        <f>IFERROR(HD42/HD43,"")</f>
        <v/>
      </c>
      <c r="HE44" s="38"/>
      <c r="HF44" s="38" t="str">
        <f>IFERROR(HF42/HF43,"")</f>
        <v/>
      </c>
      <c r="HG44" s="38"/>
      <c r="HH44" s="38" t="str">
        <f>IFERROR(HH42/HH43,"")</f>
        <v/>
      </c>
      <c r="HI44" s="38"/>
      <c r="HJ44" s="38" t="str">
        <f>IFERROR(HJ42/HJ43,"")</f>
        <v/>
      </c>
      <c r="HK44" s="38"/>
      <c r="HL44" s="38" t="str">
        <f>IFERROR(HL42/HL43,"")</f>
        <v/>
      </c>
      <c r="HM44" s="38" t="str">
        <f>IFERROR(HM42/HM43,"")</f>
        <v/>
      </c>
      <c r="HN44" s="38" t="str">
        <f>IFERROR(HN42/HN43,"")</f>
        <v/>
      </c>
      <c r="HO44" s="38"/>
      <c r="HP44" s="38"/>
      <c r="HQ44" s="38"/>
      <c r="HR44" s="38"/>
      <c r="HS44" s="38"/>
      <c r="HT44" s="38"/>
      <c r="HU44" s="38"/>
      <c r="HV44" s="38"/>
      <c r="HW44" s="38"/>
      <c r="HX44" s="38"/>
      <c r="HY44" s="38"/>
      <c r="HZ44" s="38"/>
      <c r="IA44" s="38"/>
      <c r="IB44" s="38"/>
      <c r="IC44" s="38"/>
      <c r="ID44" s="38" t="str">
        <f>IFERROR(ID42/ID43,"")</f>
        <v/>
      </c>
      <c r="IE44" s="38"/>
      <c r="IF44" s="38" t="str">
        <f>IFERROR(IF42/IF43,"")</f>
        <v/>
      </c>
      <c r="IG44" s="38"/>
      <c r="IH44" s="38" t="str">
        <f>IFERROR(IH42/IH43,"")</f>
        <v/>
      </c>
      <c r="II44" s="38"/>
      <c r="IJ44" s="38" t="str">
        <f>IFERROR(IJ42/IJ43,"")</f>
        <v/>
      </c>
      <c r="IK44" s="38"/>
      <c r="IL44" s="38" t="str">
        <f>IFERROR(IL42/IL43,"")</f>
        <v/>
      </c>
      <c r="IM44" s="38"/>
      <c r="IN44" s="38" t="str">
        <f>IFERROR(IN42/IN43,"")</f>
        <v/>
      </c>
      <c r="IO44" s="38"/>
      <c r="IP44" s="38" t="str">
        <f>IFERROR(IP42/IP43,"")</f>
        <v/>
      </c>
      <c r="IQ44" s="38" t="str">
        <f>IFERROR(IQ42/IQ43,"")</f>
        <v/>
      </c>
      <c r="IR44" s="38" t="str">
        <f>IFERROR(IR42/IR43,"")</f>
        <v/>
      </c>
      <c r="IS44" s="38"/>
      <c r="IT44" s="38"/>
      <c r="IU44" s="38" t="str">
        <f>IFERROR(IU42/IU43,"")</f>
        <v/>
      </c>
      <c r="IV44" s="38"/>
      <c r="IW44" s="38" t="str">
        <f>IFERROR(IW42/IW43,"")</f>
        <v/>
      </c>
      <c r="IX44" s="38"/>
      <c r="IY44" s="38" t="str">
        <f>IFERROR(IY42/IY43,"")</f>
        <v/>
      </c>
      <c r="IZ44" s="38"/>
      <c r="JA44" s="38" t="str">
        <f>IFERROR(JA42/JA43,"")</f>
        <v/>
      </c>
      <c r="JB44" s="38"/>
      <c r="JC44" s="38" t="str">
        <f>IFERROR(JC42/JC43,"")</f>
        <v/>
      </c>
      <c r="JD44" s="38"/>
      <c r="JE44" s="38" t="str">
        <f t="shared" ref="JE44:JO44" si="192">IFERROR(JE42/JE43,"")</f>
        <v/>
      </c>
      <c r="JF44" s="38" t="str">
        <f t="shared" si="192"/>
        <v/>
      </c>
      <c r="JG44" s="38" t="str">
        <f t="shared" si="192"/>
        <v/>
      </c>
      <c r="JH44" s="38" t="str">
        <f t="shared" si="192"/>
        <v/>
      </c>
      <c r="JI44" s="38" t="str">
        <f t="shared" si="192"/>
        <v/>
      </c>
      <c r="JJ44" s="1973">
        <f t="shared" si="192"/>
        <v>0.16314453333333331</v>
      </c>
      <c r="JK44" s="1973">
        <f t="shared" si="192"/>
        <v>0.20911733333333335</v>
      </c>
      <c r="JL44" s="1973" t="str">
        <f t="shared" si="192"/>
        <v/>
      </c>
      <c r="JM44" s="1973">
        <f t="shared" si="192"/>
        <v>0.18357688888888887</v>
      </c>
      <c r="JN44" s="38" t="str">
        <f t="shared" si="192"/>
        <v/>
      </c>
      <c r="JO44" s="38" t="str">
        <f t="shared" si="192"/>
        <v/>
      </c>
      <c r="JP44" s="38">
        <f t="shared" ref="JP44:KM44" si="193">IFERROR(IF(1-ABS(1-(JP42/JP43))&lt;0,0,1-ABS(1-(JP42/JP43))),0)</f>
        <v>0</v>
      </c>
      <c r="JQ44" s="38">
        <f t="shared" si="193"/>
        <v>0</v>
      </c>
      <c r="JR44" s="38">
        <f t="shared" si="193"/>
        <v>0</v>
      </c>
      <c r="JS44" s="38">
        <f t="shared" si="193"/>
        <v>0</v>
      </c>
      <c r="JT44" s="38">
        <f t="shared" si="193"/>
        <v>0</v>
      </c>
      <c r="JU44" s="38">
        <f t="shared" si="193"/>
        <v>0</v>
      </c>
      <c r="JV44" s="38">
        <f t="shared" si="193"/>
        <v>0</v>
      </c>
      <c r="JW44" s="38">
        <f t="shared" si="193"/>
        <v>0</v>
      </c>
      <c r="JX44" s="38">
        <f t="shared" si="193"/>
        <v>0</v>
      </c>
      <c r="JY44" s="38">
        <f t="shared" si="193"/>
        <v>0</v>
      </c>
      <c r="JZ44" s="38">
        <f t="shared" si="193"/>
        <v>0</v>
      </c>
      <c r="KA44" s="38">
        <f t="shared" si="193"/>
        <v>0</v>
      </c>
      <c r="KB44" s="38">
        <f t="shared" si="193"/>
        <v>0</v>
      </c>
      <c r="KC44" s="38">
        <f t="shared" si="193"/>
        <v>0</v>
      </c>
      <c r="KD44" s="38">
        <f t="shared" si="193"/>
        <v>0</v>
      </c>
      <c r="KE44" s="38">
        <f t="shared" si="193"/>
        <v>0</v>
      </c>
      <c r="KF44" s="38">
        <f t="shared" si="193"/>
        <v>0</v>
      </c>
      <c r="KG44" s="38">
        <f t="shared" si="193"/>
        <v>0</v>
      </c>
      <c r="KH44" s="38">
        <f t="shared" si="193"/>
        <v>0</v>
      </c>
      <c r="KI44" s="38">
        <f t="shared" si="193"/>
        <v>0</v>
      </c>
      <c r="KJ44" s="38">
        <f t="shared" si="193"/>
        <v>0</v>
      </c>
      <c r="KK44" s="38">
        <f t="shared" si="193"/>
        <v>0</v>
      </c>
      <c r="KL44" s="38">
        <f t="shared" si="193"/>
        <v>0</v>
      </c>
      <c r="KM44" s="38">
        <f t="shared" si="193"/>
        <v>0</v>
      </c>
      <c r="KN44" s="38" t="str">
        <f t="shared" ref="KN44:LG44" si="194">IFERROR(KN42/KN43,"")</f>
        <v/>
      </c>
      <c r="KO44" s="38" t="str">
        <f t="shared" si="194"/>
        <v/>
      </c>
      <c r="KP44" s="38">
        <f t="shared" si="194"/>
        <v>1.0199892373876482</v>
      </c>
      <c r="KQ44" s="38">
        <f t="shared" si="194"/>
        <v>0.93354457016231918</v>
      </c>
      <c r="KR44" s="38">
        <f t="shared" si="194"/>
        <v>0.73355637871523438</v>
      </c>
      <c r="KS44" s="38">
        <f t="shared" si="194"/>
        <v>0.95925125467340056</v>
      </c>
      <c r="KT44" s="38">
        <f t="shared" si="194"/>
        <v>0.91109316556585196</v>
      </c>
      <c r="KU44" s="38">
        <f t="shared" si="194"/>
        <v>0.99696433531897055</v>
      </c>
      <c r="KV44" s="38">
        <f t="shared" si="194"/>
        <v>0.95529790105772328</v>
      </c>
      <c r="KW44" s="38">
        <f t="shared" si="194"/>
        <v>1.3366018752504603</v>
      </c>
      <c r="KX44" s="38">
        <f t="shared" si="194"/>
        <v>0.97458404377516372</v>
      </c>
      <c r="KY44" s="38">
        <f t="shared" si="194"/>
        <v>0.91159033608990336</v>
      </c>
      <c r="KZ44" s="38" t="str">
        <f t="shared" si="194"/>
        <v/>
      </c>
      <c r="LA44" s="38" t="str">
        <f t="shared" si="194"/>
        <v/>
      </c>
      <c r="LB44" s="38" t="str">
        <f t="shared" si="194"/>
        <v/>
      </c>
      <c r="LC44" s="38" t="str">
        <f t="shared" si="194"/>
        <v/>
      </c>
      <c r="LD44" s="38" t="str">
        <f t="shared" si="194"/>
        <v/>
      </c>
      <c r="LE44" s="38">
        <f t="shared" si="194"/>
        <v>0</v>
      </c>
      <c r="LF44" s="38" t="str">
        <f t="shared" si="194"/>
        <v/>
      </c>
      <c r="LG44" s="38" t="str">
        <f t="shared" si="194"/>
        <v/>
      </c>
      <c r="LH44" s="38"/>
      <c r="LI44" s="38"/>
      <c r="LJ44" s="38"/>
      <c r="LK44" s="38"/>
      <c r="LL44" s="38"/>
      <c r="LM44" s="38"/>
      <c r="LN44" s="38" t="str">
        <f t="shared" ref="LN44:LS44" si="195">IFERROR(LN42/LN43,"")</f>
        <v/>
      </c>
      <c r="LO44" s="38" t="str">
        <f t="shared" si="195"/>
        <v/>
      </c>
      <c r="LP44" s="38" t="str">
        <f t="shared" si="195"/>
        <v/>
      </c>
      <c r="LQ44" s="38" t="str">
        <f t="shared" si="195"/>
        <v/>
      </c>
      <c r="LR44" s="38" t="str">
        <f t="shared" si="195"/>
        <v/>
      </c>
      <c r="LS44" s="38" t="str">
        <f t="shared" si="195"/>
        <v/>
      </c>
      <c r="LT44" s="38"/>
      <c r="LU44" s="38" t="str">
        <f>IFERROR(LU42/LU43,"")</f>
        <v/>
      </c>
      <c r="LV44" s="38" t="str">
        <f>IFERROR(LV42/LV43,"")</f>
        <v/>
      </c>
      <c r="LW44" s="38" t="str">
        <f>IFERROR(LW42/LW43,"")</f>
        <v/>
      </c>
      <c r="LX44" s="38" t="str">
        <f>IFERROR(LX42/LX43,"")</f>
        <v/>
      </c>
      <c r="LY44" s="38" t="str">
        <f>IFERROR(LY42/LY43,"")</f>
        <v/>
      </c>
      <c r="LZ44" s="38"/>
      <c r="MA44" s="38" t="str">
        <f>IFERROR(MA42/MA43,"")</f>
        <v/>
      </c>
      <c r="MB44" s="38" t="str">
        <f>IFERROR(MB42/MB43,"")</f>
        <v/>
      </c>
      <c r="MC44" s="38"/>
      <c r="MD44" s="38" t="str">
        <f>IFERROR(MD42/MD43,"")</f>
        <v/>
      </c>
      <c r="ME44" s="38" t="str">
        <f>IFERROR(ME42/ME43,"")</f>
        <v/>
      </c>
      <c r="MF44" s="38"/>
      <c r="MG44" s="38"/>
      <c r="MH44" s="38" t="str">
        <f>IFERROR(MH42/MH43,"")</f>
        <v/>
      </c>
      <c r="MI44" s="38" t="str">
        <f>IFERROR(MI42/MI43,"")</f>
        <v/>
      </c>
      <c r="MJ44" s="38" t="str">
        <f>IFERROR(MJ42/MJ43,"")</f>
        <v/>
      </c>
      <c r="MK44" s="38" t="str">
        <f>IFERROR(MK42/MK43,"")</f>
        <v/>
      </c>
      <c r="ML44" s="38"/>
      <c r="MM44" s="38" t="str">
        <f>IFERROR(MM42/MM43,"")</f>
        <v/>
      </c>
      <c r="MN44" s="38" t="str">
        <f>IFERROR(MN42/MN43,"")</f>
        <v/>
      </c>
      <c r="MO44" s="38" t="str">
        <f>IFERROR(MO42/MO43,"")</f>
        <v/>
      </c>
      <c r="MP44" s="38" t="str">
        <f>IFERROR(MP42/MP43,"")</f>
        <v/>
      </c>
      <c r="MQ44" s="38" t="str">
        <f>IFERROR(MQ42/MQ43,"")</f>
        <v/>
      </c>
      <c r="MR44" s="38"/>
      <c r="MS44" s="38" t="str">
        <f t="shared" ref="MS44:ND44" si="196">IFERROR(MS42/MS43,"")</f>
        <v/>
      </c>
      <c r="MT44" s="38" t="str">
        <f t="shared" si="196"/>
        <v/>
      </c>
      <c r="MU44" s="38" t="str">
        <f t="shared" si="196"/>
        <v/>
      </c>
      <c r="MV44" s="38" t="str">
        <f t="shared" si="196"/>
        <v/>
      </c>
      <c r="MW44" s="38" t="str">
        <f t="shared" si="196"/>
        <v/>
      </c>
      <c r="MX44" s="38" t="str">
        <f t="shared" si="196"/>
        <v/>
      </c>
      <c r="MY44" s="38" t="str">
        <f t="shared" si="196"/>
        <v/>
      </c>
      <c r="MZ44" s="38" t="str">
        <f t="shared" si="196"/>
        <v/>
      </c>
      <c r="NA44" s="38" t="str">
        <f t="shared" si="196"/>
        <v/>
      </c>
      <c r="NB44" s="38" t="str">
        <f t="shared" si="196"/>
        <v/>
      </c>
      <c r="NC44" s="38" t="str">
        <f t="shared" si="196"/>
        <v/>
      </c>
      <c r="ND44" s="38" t="str">
        <f t="shared" si="196"/>
        <v/>
      </c>
      <c r="NE44" s="38"/>
      <c r="NF44" s="38" t="str">
        <f>IFERROR(NF42/NF43,"")</f>
        <v/>
      </c>
      <c r="NG44" s="38" t="str">
        <f>IFERROR(NG42/NG43,"")</f>
        <v/>
      </c>
      <c r="NH44" s="38" t="str">
        <f>IFERROR(NH42/NH43,"")</f>
        <v/>
      </c>
      <c r="NI44" s="38"/>
      <c r="NJ44" s="38" t="str">
        <f>IFERROR(NJ42/NJ43,"")</f>
        <v/>
      </c>
      <c r="NK44" s="38"/>
      <c r="NL44" s="38" t="str">
        <f>IFERROR(NL42/NL43,"")</f>
        <v/>
      </c>
      <c r="NM44" s="38"/>
      <c r="NN44" s="38" t="str">
        <f>IFERROR(NN42/NN43,"")</f>
        <v/>
      </c>
      <c r="NO44" s="38"/>
      <c r="NP44" s="38" t="str">
        <f>IFERROR(NP42/NP43,"")</f>
        <v/>
      </c>
      <c r="NQ44" s="38"/>
      <c r="NR44" s="38" t="str">
        <f>IFERROR(NR42/NR43,"")</f>
        <v/>
      </c>
      <c r="NS44" s="38"/>
      <c r="NT44" s="38" t="str">
        <f>IFERROR(NT42/NT43,"")</f>
        <v/>
      </c>
      <c r="NU44" s="38" t="str">
        <f>IFERROR(NU42/NU43,"")</f>
        <v/>
      </c>
      <c r="NV44" s="38"/>
      <c r="NW44" s="38" t="str">
        <f>IFERROR(NW42/NW43,"")</f>
        <v/>
      </c>
      <c r="NX44" s="38"/>
      <c r="NY44" s="38" t="str">
        <f>IFERROR(NY42/NY43,"")</f>
        <v/>
      </c>
      <c r="NZ44" s="38"/>
      <c r="OA44" s="38" t="str">
        <f>IFERROR(OA42/OA43,"")</f>
        <v/>
      </c>
      <c r="OB44" s="38"/>
      <c r="OC44" s="38" t="str">
        <f>IFERROR(OC42/OC43,"")</f>
        <v/>
      </c>
      <c r="OD44" s="38"/>
      <c r="OE44" s="38" t="str">
        <f>IFERROR(OE42/OE43,"")</f>
        <v/>
      </c>
      <c r="OF44" s="38"/>
      <c r="OG44" s="38" t="str">
        <f>IFERROR(OG42/OG43,"")</f>
        <v/>
      </c>
      <c r="OH44" s="38" t="str">
        <f>IFERROR(OH42/OH43,"")</f>
        <v/>
      </c>
      <c r="OI44" s="38"/>
      <c r="OJ44" s="38" t="str">
        <f>IFERROR(OJ42/OJ43,"")</f>
        <v/>
      </c>
      <c r="OK44" s="38"/>
      <c r="OL44" s="38" t="str">
        <f>IFERROR(OL42/OL43,"")</f>
        <v/>
      </c>
      <c r="OM44" s="38"/>
      <c r="ON44" s="38" t="str">
        <f>IFERROR(ON42/ON43,"")</f>
        <v/>
      </c>
      <c r="OO44" s="38"/>
      <c r="OP44" s="38" t="str">
        <f>IFERROR(OP42/OP43,"")</f>
        <v/>
      </c>
      <c r="OQ44" s="38"/>
      <c r="OR44" s="38" t="str">
        <f>IFERROR(OR42/OR43,"")</f>
        <v/>
      </c>
      <c r="OS44" s="38"/>
      <c r="OT44" s="38" t="str">
        <f t="shared" ref="OT44:PL44" si="197">IFERROR(OT42/OT43,"")</f>
        <v/>
      </c>
      <c r="OU44" s="38" t="str">
        <f t="shared" si="197"/>
        <v/>
      </c>
      <c r="OV44" s="38" t="str">
        <f t="shared" si="197"/>
        <v/>
      </c>
      <c r="OW44" s="38" t="str">
        <f t="shared" si="197"/>
        <v/>
      </c>
      <c r="OX44" s="38" t="str">
        <f t="shared" si="197"/>
        <v/>
      </c>
      <c r="OY44" s="38" t="str">
        <f t="shared" si="197"/>
        <v/>
      </c>
      <c r="OZ44" s="38" t="str">
        <f t="shared" si="197"/>
        <v/>
      </c>
      <c r="PA44" s="38" t="str">
        <f t="shared" si="197"/>
        <v/>
      </c>
      <c r="PB44" s="38" t="str">
        <f t="shared" si="197"/>
        <v/>
      </c>
      <c r="PC44" s="38" t="str">
        <f t="shared" si="197"/>
        <v/>
      </c>
      <c r="PD44" s="38" t="str">
        <f t="shared" si="197"/>
        <v/>
      </c>
      <c r="PE44" s="38" t="str">
        <f t="shared" si="197"/>
        <v/>
      </c>
      <c r="PF44" s="38" t="str">
        <f t="shared" si="197"/>
        <v/>
      </c>
      <c r="PG44" s="38" t="str">
        <f t="shared" si="197"/>
        <v/>
      </c>
      <c r="PH44" s="38" t="str">
        <f t="shared" si="197"/>
        <v/>
      </c>
      <c r="PI44" s="38" t="str">
        <f t="shared" si="197"/>
        <v/>
      </c>
      <c r="PJ44" s="38" t="str">
        <f t="shared" si="197"/>
        <v/>
      </c>
      <c r="PK44" s="38" t="str">
        <f t="shared" si="197"/>
        <v/>
      </c>
      <c r="PL44" s="38" t="str">
        <f t="shared" si="197"/>
        <v/>
      </c>
      <c r="PM44" s="38"/>
      <c r="PN44" s="38"/>
      <c r="PO44" s="38" t="str">
        <f t="shared" ref="PO44:PT44" si="198">IFERROR(PO42/PO43,"")</f>
        <v/>
      </c>
      <c r="PP44" s="38" t="str">
        <f t="shared" si="198"/>
        <v/>
      </c>
      <c r="PQ44" s="38" t="str">
        <f t="shared" si="198"/>
        <v/>
      </c>
      <c r="PR44" s="38" t="str">
        <f t="shared" si="198"/>
        <v/>
      </c>
      <c r="PS44" s="38" t="str">
        <f t="shared" si="198"/>
        <v/>
      </c>
      <c r="PT44" s="38" t="str">
        <f t="shared" si="198"/>
        <v/>
      </c>
      <c r="PU44" s="38"/>
      <c r="PV44" s="38"/>
      <c r="PW44" s="38" t="str">
        <f>IFERROR(PW42/PW43,"")</f>
        <v/>
      </c>
      <c r="PX44" s="38"/>
      <c r="PY44" s="38" t="str">
        <f>IFERROR(PY42/PY43,"")</f>
        <v/>
      </c>
      <c r="PZ44" s="38"/>
      <c r="QA44" s="38" t="str">
        <f>IFERROR(QA42/QA43,"")</f>
        <v/>
      </c>
      <c r="QB44" s="38" t="str">
        <f>IFERROR(QB42/QB43,"")</f>
        <v/>
      </c>
      <c r="QC44" s="38"/>
      <c r="QD44" s="38"/>
      <c r="QE44" s="38"/>
      <c r="QF44" s="38"/>
      <c r="QG44" s="38"/>
      <c r="QH44" s="38" t="str">
        <f>IFERROR(QH42/QH43,"")</f>
        <v/>
      </c>
      <c r="RZ44" s="1"/>
    </row>
    <row r="45" spans="1:503">
      <c r="D45" s="1"/>
      <c r="O45" t="e">
        <f ca="1">IF(VALUE(MONTH(DATEVALUE(MID(CELL("filename",A1),FIND("]",CELL("filename",A1))+1,255)&amp;"1")))&lt;&gt;MONTH(TODAY()),O43/(DAY(EOMONTH(DATE(YEAR(TODAY()),VALUE(MONTH(DATEVALUE(MID(CELL("filename",A1),FIND("]",CELL("filename",A1))+1,255)&amp;"1"))),1),0))),(O43-O42)/('[1]Summary TCM'!$AB$140-DAY(TODAY()-1)))</f>
        <v>#VALUE!</v>
      </c>
      <c r="P45" t="e">
        <f ca="1">IF(VALUE(MONTH(DATEVALUE(MID(CELL("filename",B1),FIND("]",CELL("filename",B1))+1,255)&amp;"1")))&lt;&gt;MONTH(TODAY()),P43/(DAY(EOMONTH(DATE(YEAR(TODAY()),VALUE(MONTH(DATEVALUE(MID(CELL("filename",B1),FIND("]",CELL("filename",B1))+1,255)&amp;"1"))),1),0))),(P43-P42)/('[1]Summary TCM'!$AB$140-DAY(TODAY()-1)))</f>
        <v>#VALUE!</v>
      </c>
      <c r="Q45" t="e">
        <f ca="1">IF(VALUE(MONTH(DATEVALUE(MID(CELL("filename",C1),FIND("]",CELL("filename",C1))+1,255)&amp;"1")))&lt;&gt;MONTH(TODAY()),Q43/(DAY(EOMONTH(DATE(YEAR(TODAY()),VALUE(MONTH(DATEVALUE(MID(CELL("filename",C1),FIND("]",CELL("filename",C1))+1,255)&amp;"1"))),1),0))),(Q43-Q42)/('[1]Summary TCM'!$AB$140-DAY(TODAY()-1)))</f>
        <v>#VALUE!</v>
      </c>
      <c r="R45" t="e">
        <f ca="1">IF(VALUE(MONTH(DATEVALUE(MID(CELL("filename",D1),FIND("]",CELL("filename",D1))+1,255)&amp;"1")))&lt;&gt;MONTH(TODAY()),R43/(DAY(EOMONTH(DATE(YEAR(TODAY()),VALUE(MONTH(DATEVALUE(MID(CELL("filename",D1),FIND("]",CELL("filename",D1))+1,255)&amp;"1"))),1),0))),(R43-R42)/('[1]Summary TCM'!$AB$140-DAY(TODAY()-1)))</f>
        <v>#VALUE!</v>
      </c>
      <c r="S45" s="72" t="e">
        <f ca="1">SUM(BF45,BI45,BL45,BY45)</f>
        <v>#VALUE!</v>
      </c>
      <c r="T45" t="e">
        <f ca="1">IF(VALUE(MONTH(DATEVALUE(MID(CELL("filename",H1),FIND("]",CELL("filename",H1))+1,255)&amp;"1")))&lt;&gt;MONTH(TODAY()),T43/(DAY(EOMONTH(DATE(YEAR(TODAY()),VALUE(MONTH(DATEVALUE(MID(CELL("filename",H1),FIND("]",CELL("filename",H1))+1,255)&amp;"1"))),1),0))),(T43-T42)/('[1]Summary TCM'!$AB$140-DAY(TODAY()-1)))</f>
        <v>#VALUE!</v>
      </c>
      <c r="U45" t="e">
        <f ca="1">IF(VALUE(MONTH(DATEVALUE(MID(CELL("filename",I1),FIND("]",CELL("filename",I1))+1,255)&amp;"1")))&lt;&gt;MONTH(TODAY()),U43/(DAY(EOMONTH(DATE(YEAR(TODAY()),VALUE(MONTH(DATEVALUE(MID(CELL("filename",I1),FIND("]",CELL("filename",I1))+1,255)&amp;"1"))),1),0))),(U43-U42)/('[1]Summary TCM'!$AB$140-DAY(TODAY()-1)))</f>
        <v>#VALUE!</v>
      </c>
      <c r="V45" t="e">
        <f ca="1">IF(VALUE(MONTH(DATEVALUE(MID(CELL("filename",L1),FIND("]",CELL("filename",L1))+1,255)&amp;"1")))&lt;&gt;MONTH(TODAY()),V43/(DAY(EOMONTH(DATE(YEAR(TODAY()),VALUE(MONTH(DATEVALUE(MID(CELL("filename",L1),FIND("]",CELL("filename",L1))+1,255)&amp;"1"))),1),0))),(V43-V42)/('[1]Summary TCM'!$AB$140-DAY(TODAY()-1)))</f>
        <v>#VALUE!</v>
      </c>
      <c r="W45" t="e">
        <f ca="1">IF(VALUE(MONTH(DATEVALUE(MID(CELL("filename",M1),FIND("]",CELL("filename",M1))+1,255)&amp;"1")))&lt;&gt;MONTH(TODAY()),W43/(DAY(EOMONTH(DATE(YEAR(TODAY()),VALUE(MONTH(DATEVALUE(MID(CELL("filename",M1),FIND("]",CELL("filename",M1))+1,255)&amp;"1"))),1),0))),(W43-W42)/('[1]Summary TCM'!$AB$140-DAY(TODAY()-1)))</f>
        <v>#VALUE!</v>
      </c>
      <c r="X45" t="e">
        <f ca="1">IF(VALUE(MONTH(DATEVALUE(MID(CELL("filename",N1),FIND("]",CELL("filename",N1))+1,255)&amp;"1")))&lt;&gt;MONTH(TODAY()),X43/(DAY(EOMONTH(DATE(YEAR(TODAY()),VALUE(MONTH(DATEVALUE(MID(CELL("filename",N1),FIND("]",CELL("filename",N1))+1,255)&amp;"1"))),1),0))),(X43-X42)/('[1]Summary TCM'!$AB$140-DAY(TODAY()-1)))</f>
        <v>#VALUE!</v>
      </c>
      <c r="Y45" t="e">
        <f ca="1">IF(VALUE(MONTH(DATEVALUE(MID(CELL("filename",O1),FIND("]",CELL("filename",O1))+1,255)&amp;"1")))&lt;&gt;MONTH(TODAY()),Y43/(DAY(EOMONTH(DATE(YEAR(TODAY()),VALUE(MONTH(DATEVALUE(MID(CELL("filename",O1),FIND("]",CELL("filename",O1))+1,255)&amp;"1"))),1),0))),(Y43-Y42)/('[1]Summary TCM'!$AB$140-DAY(TODAY()-1)))</f>
        <v>#VALUE!</v>
      </c>
      <c r="Z45" t="e">
        <f ca="1">IF(VALUE(MONTH(DATEVALUE(MID(CELL("filename",P1),FIND("]",CELL("filename",P1))+1,255)&amp;"1")))&lt;&gt;MONTH(TODAY()),Z43/(DAY(EOMONTH(DATE(YEAR(TODAY()),VALUE(MONTH(DATEVALUE(MID(CELL("filename",P1),FIND("]",CELL("filename",P1))+1,255)&amp;"1"))),1),0))),(Z43-Z42)/('[1]Summary TCM'!$AB$140-DAY(TODAY()-1)))</f>
        <v>#VALUE!</v>
      </c>
      <c r="AE45" t="e">
        <f ca="1">IF(VALUE(MONTH(DATEVALUE(MID(CELL("filename",Q1),FIND("]",CELL("filename",Q1))+1,255)&amp;"1")))&lt;&gt;MONTH(TODAY()),AE43/(DAY(EOMONTH(DATE(YEAR(TODAY()),VALUE(MONTH(DATEVALUE(MID(CELL("filename",Q1),FIND("]",CELL("filename",Q1))+1,255)&amp;"1"))),1),0))),(AE43-AE42)/('[1]Summary TCM'!$AB$140-DAY(TODAY()-1)))</f>
        <v>#VALUE!</v>
      </c>
      <c r="AF45" t="e">
        <f ca="1">IF(VALUE(MONTH(DATEVALUE(MID(CELL("filename",R1),FIND("]",CELL("filename",R1))+1,255)&amp;"1")))&lt;&gt;MONTH(TODAY()),AF43/(DAY(EOMONTH(DATE(YEAR(TODAY()),VALUE(MONTH(DATEVALUE(MID(CELL("filename",R1),FIND("]",CELL("filename",R1))+1,255)&amp;"1"))),1),0))),(AF43-AF42)/('[1]Summary TCM'!$AB$140-DAY(TODAY()-1)))</f>
        <v>#VALUE!</v>
      </c>
      <c r="AG45" t="e">
        <f ca="1">IF(VALUE(MONTH(DATEVALUE(MID(CELL("filename",S1),FIND("]",CELL("filename",S1))+1,255)&amp;"1")))&lt;&gt;MONTH(TODAY()),AG43/(DAY(EOMONTH(DATE(YEAR(TODAY()),VALUE(MONTH(DATEVALUE(MID(CELL("filename",S1),FIND("]",CELL("filename",S1))+1,255)&amp;"1"))),1),0))),(AG43-AG42)/('[1]Summary TCM'!$AB$140-DAY(TODAY()-1)))</f>
        <v>#VALUE!</v>
      </c>
      <c r="AH45" t="e">
        <f ca="1">IF(VALUE(MONTH(DATEVALUE(MID(CELL("filename",T1),FIND("]",CELL("filename",T1))+1,255)&amp;"1")))&lt;&gt;MONTH(TODAY()),AH43/(DAY(EOMONTH(DATE(YEAR(TODAY()),VALUE(MONTH(DATEVALUE(MID(CELL("filename",T1),FIND("]",CELL("filename",T1))+1,255)&amp;"1"))),1),0))),(AH43-AH42)/('[1]Summary TCM'!$AB$140-DAY(TODAY()-1)))</f>
        <v>#VALUE!</v>
      </c>
      <c r="AI45" t="e">
        <f ca="1">IF(VALUE(MONTH(DATEVALUE(MID(CELL("filename",U1),FIND("]",CELL("filename",U1))+1,255)&amp;"1")))&lt;&gt;MONTH(TODAY()),AI43/(DAY(EOMONTH(DATE(YEAR(TODAY()),VALUE(MONTH(DATEVALUE(MID(CELL("filename",U1),FIND("]",CELL("filename",U1))+1,255)&amp;"1"))),1),0))),(AI43-AI42)/('[1]Summary TCM'!$AB$140-DAY(TODAY()-1)))</f>
        <v>#VALUE!</v>
      </c>
      <c r="AJ45" t="e">
        <f ca="1">IF(VALUE(MONTH(DATEVALUE(MID(CELL("filename",V1),FIND("]",CELL("filename",V1))+1,255)&amp;"1")))&lt;&gt;MONTH(TODAY()),AJ43/(DAY(EOMONTH(DATE(YEAR(TODAY()),VALUE(MONTH(DATEVALUE(MID(CELL("filename",V1),FIND("]",CELL("filename",V1))+1,255)&amp;"1"))),1),0))),(AJ43-AJ42)/('[1]Summary TCM'!$AB$140-DAY(TODAY()-1)))</f>
        <v>#VALUE!</v>
      </c>
      <c r="AK45" t="e">
        <f ca="1">IF(VALUE(MONTH(DATEVALUE(MID(CELL("filename",W1),FIND("]",CELL("filename",W1))+1,255)&amp;"1")))&lt;&gt;MONTH(TODAY()),AK43/(DAY(EOMONTH(DATE(YEAR(TODAY()),VALUE(MONTH(DATEVALUE(MID(CELL("filename",W1),FIND("]",CELL("filename",W1))+1,255)&amp;"1"))),1),0))),(AK43-AK42)/('[1]Summary TCM'!$AB$140-DAY(TODAY()-1)))</f>
        <v>#VALUE!</v>
      </c>
      <c r="AL45" t="e">
        <f ca="1">IF(VALUE(MONTH(DATEVALUE(MID(CELL("filename",X1),FIND("]",CELL("filename",X1))+1,255)&amp;"1")))&lt;&gt;MONTH(TODAY()),AL43/(DAY(EOMONTH(DATE(YEAR(TODAY()),VALUE(MONTH(DATEVALUE(MID(CELL("filename",X1),FIND("]",CELL("filename",X1))+1,255)&amp;"1"))),1),0))),(AL43-AL42)/('[1]Summary TCM'!$AB$140-DAY(TODAY()-1)))</f>
        <v>#VALUE!</v>
      </c>
      <c r="AN45" t="e">
        <f ca="1">IF(VALUE(MONTH(DATEVALUE(MID(CELL("filename",Z1),FIND("]",CELL("filename",Z1))+1,255)&amp;"1")))&lt;&gt;MONTH(TODAY()),AN43/(DAY(EOMONTH(DATE(YEAR(TODAY()),VALUE(MONTH(DATEVALUE(MID(CELL("filename",Z1),FIND("]",CELL("filename",Z1))+1,255)&amp;"1"))),1),0))),(AN43-AN42)/('[1]Summary TCM'!$AB$140-DAY(TODAY()-1)))</f>
        <v>#VALUE!</v>
      </c>
      <c r="AO45" t="e">
        <f ca="1">IF(VALUE(MONTH(DATEVALUE(MID(CELL("filename",AE1),FIND("]",CELL("filename",AE1))+1,255)&amp;"1")))&lt;&gt;MONTH(TODAY()),AO43/(DAY(EOMONTH(DATE(YEAR(TODAY()),VALUE(MONTH(DATEVALUE(MID(CELL("filename",AE1),FIND("]",CELL("filename",AE1))+1,255)&amp;"1"))),1),0))),(AO43-AO42)/('[1]Summary TCM'!$AB$140-DAY(TODAY()-1)))</f>
        <v>#VALUE!</v>
      </c>
      <c r="AP45" t="e">
        <f ca="1">IF(VALUE(MONTH(DATEVALUE(MID(CELL("filename",AF1),FIND("]",CELL("filename",AF1))+1,255)&amp;"1")))&lt;&gt;MONTH(TODAY()),AP43/(DAY(EOMONTH(DATE(YEAR(TODAY()),VALUE(MONTH(DATEVALUE(MID(CELL("filename",AF1),FIND("]",CELL("filename",AF1))+1,255)&amp;"1"))),1),0))),(AP43-AP42)/('[1]Summary TCM'!$AB$140-DAY(TODAY()-1)))</f>
        <v>#VALUE!</v>
      </c>
      <c r="AQ45" t="e">
        <f ca="1">IF(VALUE(MONTH(DATEVALUE(MID(CELL("filename",AG1),FIND("]",CELL("filename",AG1))+1,255)&amp;"1")))&lt;&gt;MONTH(TODAY()),AQ43/(DAY(EOMONTH(DATE(YEAR(TODAY()),VALUE(MONTH(DATEVALUE(MID(CELL("filename",AG1),FIND("]",CELL("filename",AG1))+1,255)&amp;"1"))),1),0))),(AQ43-AQ42)/('[1]Summary TCM'!$AB$140-DAY(TODAY()-1)))</f>
        <v>#VALUE!</v>
      </c>
      <c r="AR45" t="e">
        <f ca="1">IF(VALUE(MONTH(DATEVALUE(MID(CELL("filename",AH1),FIND("]",CELL("filename",AH1))+1,255)&amp;"1")))&lt;&gt;MONTH(TODAY()),AR43/(DAY(EOMONTH(DATE(YEAR(TODAY()),VALUE(MONTH(DATEVALUE(MID(CELL("filename",AH1),FIND("]",CELL("filename",AH1))+1,255)&amp;"1"))),1),0))),(AR43-AR42)/('[1]Summary TCM'!$AB$140-DAY(TODAY()-1)))</f>
        <v>#VALUE!</v>
      </c>
      <c r="AS45" t="e">
        <f ca="1">IF(VALUE(MONTH(DATEVALUE(MID(CELL("filename",AI1),FIND("]",CELL("filename",AI1))+1,255)&amp;"1")))&lt;&gt;MONTH(TODAY()),AS43/(DAY(EOMONTH(DATE(YEAR(TODAY()),VALUE(MONTH(DATEVALUE(MID(CELL("filename",AI1),FIND("]",CELL("filename",AI1))+1,255)&amp;"1"))),1),0))),(AS43-AS42)/('[1]Summary TCM'!$AB$140-DAY(TODAY()-1)))</f>
        <v>#VALUE!</v>
      </c>
      <c r="AT45" t="e">
        <f ca="1">IF(VALUE(MONTH(DATEVALUE(MID(CELL("filename",AJ1),FIND("]",CELL("filename",AJ1))+1,255)&amp;"1")))&lt;&gt;MONTH(TODAY()),AT43/(DAY(EOMONTH(DATE(YEAR(TODAY()),VALUE(MONTH(DATEVALUE(MID(CELL("filename",AJ1),FIND("]",CELL("filename",AJ1))+1,255)&amp;"1"))),1),0))),(AT43-AT42)/('[1]Summary TCM'!$AB$140-DAY(TODAY()-1)))</f>
        <v>#VALUE!</v>
      </c>
      <c r="AU45" t="e">
        <f ca="1">IF(VALUE(MONTH(DATEVALUE(MID(CELL("filename",AK1),FIND("]",CELL("filename",AK1))+1,255)&amp;"1")))&lt;&gt;MONTH(TODAY()),AU43/(DAY(EOMONTH(DATE(YEAR(TODAY()),VALUE(MONTH(DATEVALUE(MID(CELL("filename",AK1),FIND("]",CELL("filename",AK1))+1,255)&amp;"1"))),1),0))),(AU43-AU42)/('[1]Summary TCM'!$AB$140-DAY(TODAY()-1)))</f>
        <v>#VALUE!</v>
      </c>
      <c r="AV45" t="e">
        <f ca="1">IF(VALUE(MONTH(DATEVALUE(MID(CELL("filename",AL1),FIND("]",CELL("filename",AL1))+1,255)&amp;"1")))&lt;&gt;MONTH(TODAY()),AV43/(DAY(EOMONTH(DATE(YEAR(TODAY()),VALUE(MONTH(DATEVALUE(MID(CELL("filename",AL1),FIND("]",CELL("filename",AL1))+1,255)&amp;"1"))),1),0))),(AV43-AV42)/('[1]Summary TCM'!$AB$140-DAY(TODAY()-1)))</f>
        <v>#VALUE!</v>
      </c>
      <c r="AW45" t="e">
        <f ca="1">IF(VALUE(MONTH(DATEVALUE(MID(CELL("filename",AM1),FIND("]",CELL("filename",AM1))+1,255)&amp;"1")))&lt;&gt;MONTH(TODAY()),AW43/(DAY(EOMONTH(DATE(YEAR(TODAY()),VALUE(MONTH(DATEVALUE(MID(CELL("filename",AM1),FIND("]",CELL("filename",AM1))+1,255)&amp;"1"))),1),0))),(AW43-AW42)/('[1]Summary TCM'!$AB$140-DAY(TODAY()-1)))</f>
        <v>#VALUE!</v>
      </c>
      <c r="AX45" t="e">
        <f ca="1">IF(VALUE(MONTH(DATEVALUE(MID(CELL("filename",AN1),FIND("]",CELL("filename",AN1))+1,255)&amp;"1")))&lt;&gt;MONTH(TODAY()),AX43/(DAY(EOMONTH(DATE(YEAR(TODAY()),VALUE(MONTH(DATEVALUE(MID(CELL("filename",AN1),FIND("]",CELL("filename",AN1))+1,255)&amp;"1"))),1),0))),(AX43-AX42)/('[1]Summary TCM'!$AB$140-DAY(TODAY()-1)))</f>
        <v>#VALUE!</v>
      </c>
      <c r="AY45" t="e">
        <f ca="1">IF(VALUE(MONTH(DATEVALUE(MID(CELL("filename",AO1),FIND("]",CELL("filename",AO1))+1,255)&amp;"1")))&lt;&gt;MONTH(TODAY()),AY43/(DAY(EOMONTH(DATE(YEAR(TODAY()),VALUE(MONTH(DATEVALUE(MID(CELL("filename",AO1),FIND("]",CELL("filename",AO1))+1,255)&amp;"1"))),1),0))),(AY43-AY42)/('[1]Summary TCM'!$AB$140-DAY(TODAY()-1)))</f>
        <v>#VALUE!</v>
      </c>
      <c r="AZ45" t="e">
        <f ca="1">IF(VALUE(MONTH(DATEVALUE(MID(CELL("filename",AP1),FIND("]",CELL("filename",AP1))+1,255)&amp;"1")))&lt;&gt;MONTH(TODAY()),AZ43/(DAY(EOMONTH(DATE(YEAR(TODAY()),VALUE(MONTH(DATEVALUE(MID(CELL("filename",AP1),FIND("]",CELL("filename",AP1))+1,255)&amp;"1"))),1),0))),(AZ43-AZ42)/('[1]Summary TCM'!$AB$140-DAY(TODAY()-1)))</f>
        <v>#VALUE!</v>
      </c>
      <c r="BA45" t="e">
        <f ca="1">IF(VALUE(MONTH(DATEVALUE(MID(CELL("filename",AQ1),FIND("]",CELL("filename",AQ1))+1,255)&amp;"1")))&lt;&gt;MONTH(TODAY()),BA43/(DAY(EOMONTH(DATE(YEAR(TODAY()),VALUE(MONTH(DATEVALUE(MID(CELL("filename",AQ1),FIND("]",CELL("filename",AQ1))+1,255)&amp;"1"))),1),0))),(BA43-BA42)/('[1]Summary TCM'!$AB$140-DAY(TODAY()-1)))</f>
        <v>#VALUE!</v>
      </c>
      <c r="BB45" t="e">
        <f ca="1">IF(VALUE(MONTH(DATEVALUE(MID(CELL("filename",AR1),FIND("]",CELL("filename",AR1))+1,255)&amp;"1")))&lt;&gt;MONTH(TODAY()),BB43/(DAY(EOMONTH(DATE(YEAR(TODAY()),VALUE(MONTH(DATEVALUE(MID(CELL("filename",AR1),FIND("]",CELL("filename",AR1))+1,255)&amp;"1"))),1),0))),(BB43-BB42)/('[1]Summary TCM'!$AB$140-DAY(TODAY()-1)))</f>
        <v>#VALUE!</v>
      </c>
      <c r="BC45" t="e">
        <f ca="1">IF(VALUE(MONTH(DATEVALUE(MID(CELL("filename",AS1),FIND("]",CELL("filename",AS1))+1,255)&amp;"1")))&lt;&gt;MONTH(TODAY()),BC43/(DAY(EOMONTH(DATE(YEAR(TODAY()),VALUE(MONTH(DATEVALUE(MID(CELL("filename",AS1),FIND("]",CELL("filename",AS1))+1,255)&amp;"1"))),1),0))),(BC43-BC42)/('[1]Summary TCM'!$AB$140-DAY(TODAY()-1)))</f>
        <v>#VALUE!</v>
      </c>
      <c r="BD45" t="e">
        <f ca="1">IF(VALUE(MONTH(DATEVALUE(MID(CELL("filename",AT1),FIND("]",CELL("filename",AT1))+1,255)&amp;"1")))&lt;&gt;MONTH(TODAY()),BD43/(DAY(EOMONTH(DATE(YEAR(TODAY()),VALUE(MONTH(DATEVALUE(MID(CELL("filename",AT1),FIND("]",CELL("filename",AT1))+1,255)&amp;"1"))),1),0))),(BD43-BD42)/('[1]Summary TCM'!$AB$140-DAY(TODAY()-1)))</f>
        <v>#VALUE!</v>
      </c>
      <c r="BE45" t="e">
        <f ca="1">IF(VALUE(MONTH(DATEVALUE(MID(CELL("filename",AU1),FIND("]",CELL("filename",AU1))+1,255)&amp;"1")))&lt;&gt;MONTH(TODAY()),BE43/(DAY(EOMONTH(DATE(YEAR(TODAY()),VALUE(MONTH(DATEVALUE(MID(CELL("filename",AU1),FIND("]",CELL("filename",AU1))+1,255)&amp;"1"))),1),0))),(BE43-BE42)/('[1]Summary TCM'!$AB$140-DAY(TODAY()-1)))</f>
        <v>#VALUE!</v>
      </c>
      <c r="BF45" t="e">
        <f ca="1">IF(VALUE(MONTH(DATEVALUE(MID(CELL("filename",AV1),FIND("]",CELL("filename",AV1))+1,255)&amp;"1")))&lt;&gt;MONTH(TODAY()),BF43/(DAY(EOMONTH(DATE(YEAR(TODAY()),VALUE(MONTH(DATEVALUE(MID(CELL("filename",AV1),FIND("]",CELL("filename",AV1))+1,255)&amp;"1"))),1),0))),(BF43-BF42)/('[1]Summary TCM'!$AB$140-DAY(TODAY()-1)))</f>
        <v>#VALUE!</v>
      </c>
      <c r="BG45" t="e">
        <f ca="1">IF(VALUE(MONTH(DATEVALUE(MID(CELL("filename",AW1),FIND("]",CELL("filename",AW1))+1,255)&amp;"1")))&lt;&gt;MONTH(TODAY()),BG43/(DAY(EOMONTH(DATE(YEAR(TODAY()),VALUE(MONTH(DATEVALUE(MID(CELL("filename",AW1),FIND("]",CELL("filename",AW1))+1,255)&amp;"1"))),1),0))),(BG43-BG42)/('[1]Summary TCM'!$AB$140-DAY(TODAY()-1)))</f>
        <v>#VALUE!</v>
      </c>
      <c r="BH45" t="e">
        <f ca="1">IF(VALUE(MONTH(DATEVALUE(MID(CELL("filename",AX1),FIND("]",CELL("filename",AX1))+1,255)&amp;"1")))&lt;&gt;MONTH(TODAY()),BH43/(DAY(EOMONTH(DATE(YEAR(TODAY()),VALUE(MONTH(DATEVALUE(MID(CELL("filename",AX1),FIND("]",CELL("filename",AX1))+1,255)&amp;"1"))),1),0))),(BH43-BH42)/('[1]Summary TCM'!$AB$140-DAY(TODAY()-1)))</f>
        <v>#VALUE!</v>
      </c>
      <c r="BI45" t="e">
        <f ca="1">IF(VALUE(MONTH(DATEVALUE(MID(CELL("filename",AY1),FIND("]",CELL("filename",AY1))+1,255)&amp;"1")))&lt;&gt;MONTH(TODAY()),BI43/(DAY(EOMONTH(DATE(YEAR(TODAY()),VALUE(MONTH(DATEVALUE(MID(CELL("filename",AY1),FIND("]",CELL("filename",AY1))+1,255)&amp;"1"))),1),0))),(BI43-BI42)/('[1]Summary TCM'!$AB$140-DAY(TODAY()-1)))</f>
        <v>#VALUE!</v>
      </c>
      <c r="BJ45" t="e">
        <f ca="1">IF(VALUE(MONTH(DATEVALUE(MID(CELL("filename",AZ1),FIND("]",CELL("filename",AZ1))+1,255)&amp;"1")))&lt;&gt;MONTH(TODAY()),BJ43/(DAY(EOMONTH(DATE(YEAR(TODAY()),VALUE(MONTH(DATEVALUE(MID(CELL("filename",AZ1),FIND("]",CELL("filename",AZ1))+1,255)&amp;"1"))),1),0))),(BJ43-BJ42)/('[1]Summary TCM'!$AB$140-DAY(TODAY()-1)))</f>
        <v>#VALUE!</v>
      </c>
      <c r="BK45" t="e">
        <f ca="1">IF(VALUE(MONTH(DATEVALUE(MID(CELL("filename",BA1),FIND("]",CELL("filename",BA1))+1,255)&amp;"1")))&lt;&gt;MONTH(TODAY()),BK43/(DAY(EOMONTH(DATE(YEAR(TODAY()),VALUE(MONTH(DATEVALUE(MID(CELL("filename",BA1),FIND("]",CELL("filename",BA1))+1,255)&amp;"1"))),1),0))),(BK43-BK42)/('[1]Summary TCM'!$AB$140-DAY(TODAY()-1)))</f>
        <v>#VALUE!</v>
      </c>
      <c r="BL45" t="e">
        <f ca="1">IF(VALUE(MONTH(DATEVALUE(MID(CELL("filename",BB1),FIND("]",CELL("filename",BB1))+1,255)&amp;"1")))&lt;&gt;MONTH(TODAY()),BL43/(DAY(EOMONTH(DATE(YEAR(TODAY()),VALUE(MONTH(DATEVALUE(MID(CELL("filename",BB1),FIND("]",CELL("filename",BB1))+1,255)&amp;"1"))),1),0))),(BL43-BL42)/('[1]Summary TCM'!$AB$140-DAY(TODAY()-1)))</f>
        <v>#VALUE!</v>
      </c>
      <c r="BM45" t="e">
        <f ca="1">IF(VALUE(MONTH(DATEVALUE(MID(CELL("filename",BC1),FIND("]",CELL("filename",BC1))+1,255)&amp;"1")))&lt;&gt;MONTH(TODAY()),BM43/(DAY(EOMONTH(DATE(YEAR(TODAY()),VALUE(MONTH(DATEVALUE(MID(CELL("filename",BC1),FIND("]",CELL("filename",BC1))+1,255)&amp;"1"))),1),0))),(BM43-BM42)/('[1]Summary TCM'!$AB$140-DAY(TODAY()-1)))</f>
        <v>#VALUE!</v>
      </c>
      <c r="BO45" t="e">
        <f ca="1">IF(VALUE(MONTH(DATEVALUE(MID(CELL("filename",BD1),FIND("]",CELL("filename",BD1))+1,255)&amp;"1")))&lt;&gt;MONTH(TODAY()),BO43/(DAY(EOMONTH(DATE(YEAR(TODAY()),VALUE(MONTH(DATEVALUE(MID(CELL("filename",BD1),FIND("]",CELL("filename",BD1))+1,255)&amp;"1"))),1),0))),(BO43-BO42)/('[1]Summary TCM'!$AB$140-DAY(TODAY()-1)))</f>
        <v>#VALUE!</v>
      </c>
      <c r="BP45" t="e">
        <f ca="1">IF(VALUE(MONTH(DATEVALUE(MID(CELL("filename",BE1),FIND("]",CELL("filename",BE1))+1,255)&amp;"1")))&lt;&gt;MONTH(TODAY()),BQ43/(DAY(EOMONTH(DATE(YEAR(TODAY()),VALUE(MONTH(DATEVALUE(MID(CELL("filename",BE1),FIND("]",CELL("filename",BE1))+1,255)&amp;"1"))),1),0))),(BQ43-BP42)/('[1]Summary TCM'!$AB$140-DAY(TODAY()-1)))</f>
        <v>#VALUE!</v>
      </c>
      <c r="BQ45" t="e">
        <f ca="1">IF(VALUE(MONTH(DATEVALUE(MID(CELL("filename",BF1),FIND("]",CELL("filename",BF1))+1,255)&amp;"1")))&lt;&gt;MONTH(TODAY()),#REF!/(DAY(EOMONTH(DATE(YEAR(TODAY()),VALUE(MONTH(DATEVALUE(MID(CELL("filename",BF1),FIND("]",CELL("filename",BF1))+1,255)&amp;"1"))),1),0))),(#REF!-BQ42)/('[1]Summary TCM'!$AB$140-DAY(TODAY()-1)))</f>
        <v>#VALUE!</v>
      </c>
      <c r="BR45" t="e">
        <f ca="1">IF(VALUE(MONTH(DATEVALUE(MID(CELL("filename",BG1),FIND("]",CELL("filename",BG1))+1,255)&amp;"1")))&lt;&gt;MONTH(TODAY()),BR43/(DAY(EOMONTH(DATE(YEAR(TODAY()),VALUE(MONTH(DATEVALUE(MID(CELL("filename",BG1),FIND("]",CELL("filename",BG1))+1,255)&amp;"1"))),1),0))),(BR43-BR42)/('[1]Summary TCM'!$AB$140-DAY(TODAY()-1)))</f>
        <v>#VALUE!</v>
      </c>
      <c r="BS45" t="e">
        <f ca="1">IF(VALUE(MONTH(DATEVALUE(MID(CELL("filename",BE1),FIND("]",CELL("filename",BE1))+1,255)&amp;"1")))&lt;&gt;MONTH(TODAY()),BS43/(DAY(EOMONTH(DATE(YEAR(TODAY()),VALUE(MONTH(DATEVALUE(MID(CELL("filename",BE1),FIND("]",CELL("filename",BE1))+1,255)&amp;"1"))),1),0))),(BS43-BS42)/('[1]Summary TCM'!$AB$140-DAY(TODAY()-1)))</f>
        <v>#VALUE!</v>
      </c>
      <c r="BT45" t="e">
        <f ca="1">IF(VALUE(MONTH(DATEVALUE(MID(CELL("filename",BF1),FIND("]",CELL("filename",BF1))+1,255)&amp;"1")))&lt;&gt;MONTH(TODAY()),BT43/(DAY(EOMONTH(DATE(YEAR(TODAY()),VALUE(MONTH(DATEVALUE(MID(CELL("filename",BF1),FIND("]",CELL("filename",BF1))+1,255)&amp;"1"))),1),0))),(BT43-BT42)/('[1]Summary TCM'!$AB$140-DAY(TODAY()-1)))</f>
        <v>#VALUE!</v>
      </c>
      <c r="BU45" t="e">
        <f ca="1">IF(VALUE(MONTH(DATEVALUE(MID(CELL("filename",BG1),FIND("]",CELL("filename",BG1))+1,255)&amp;"1")))&lt;&gt;MONTH(TODAY()),BU43/(DAY(EOMONTH(DATE(YEAR(TODAY()),VALUE(MONTH(DATEVALUE(MID(CELL("filename",BG1),FIND("]",CELL("filename",BG1))+1,255)&amp;"1"))),1),0))),(BU43-BU42)/('[1]Summary TCM'!$AB$140-DAY(TODAY()-1)))</f>
        <v>#VALUE!</v>
      </c>
      <c r="BV45" t="e">
        <f ca="1">IF(VALUE(MONTH(DATEVALUE(MID(CELL("filename",BH1),FIND("]",CELL("filename",BH1))+1,255)&amp;"1")))&lt;&gt;MONTH(TODAY()),BV43/(DAY(EOMONTH(DATE(YEAR(TODAY()),VALUE(MONTH(DATEVALUE(MID(CELL("filename",BH1),FIND("]",CELL("filename",BH1))+1,255)&amp;"1"))),1),0))),(BV43-BV42)/('[1]Summary TCM'!$AB$140-DAY(TODAY()-1)))</f>
        <v>#VALUE!</v>
      </c>
      <c r="BW45" t="e">
        <f ca="1">IF(VALUE(MONTH(DATEVALUE(MID(CELL("filename",BI1),FIND("]",CELL("filename",BI1))+1,255)&amp;"1")))&lt;&gt;MONTH(TODAY()),BW43/(DAY(EOMONTH(DATE(YEAR(TODAY()),VALUE(MONTH(DATEVALUE(MID(CELL("filename",BI1),FIND("]",CELL("filename",BI1))+1,255)&amp;"1"))),1),0))),(BW43-BW42)/('[1]Summary TCM'!$AB$140-DAY(TODAY()-1)))</f>
        <v>#VALUE!</v>
      </c>
      <c r="BX45" t="e">
        <f ca="1">IF(VALUE(MONTH(DATEVALUE(MID(CELL("filename",BJ1),FIND("]",CELL("filename",BJ1))+1,255)&amp;"1")))&lt;&gt;MONTH(TODAY()),BX43/(DAY(EOMONTH(DATE(YEAR(TODAY()),VALUE(MONTH(DATEVALUE(MID(CELL("filename",BJ1),FIND("]",CELL("filename",BJ1))+1,255)&amp;"1"))),1),0))),(BX43-BX42)/('[1]Summary TCM'!$AB$140-DAY(TODAY()-1)))</f>
        <v>#VALUE!</v>
      </c>
      <c r="CE45" t="e">
        <f ca="1">IF(VALUE(MONTH(DATEVALUE(MID(CELL("filename",BK1),FIND("]",CELL("filename",BK1))+1,255)&amp;"1")))&lt;&gt;MONTH(TODAY()),CE43/(DAY(EOMONTH(DATE(YEAR(TODAY()),VALUE(MONTH(DATEVALUE(MID(CELL("filename",BK1),FIND("]",CELL("filename",BK1))+1,255)&amp;"1"))),1),0))),(CE43-CE42)/('[1]Summary TCM'!$AB$140-DAY(TODAY()-1)))</f>
        <v>#VALUE!</v>
      </c>
      <c r="CF45" t="e">
        <f ca="1">IF(VALUE(MONTH(DATEVALUE(MID(CELL("filename",BL1),FIND("]",CELL("filename",BL1))+1,255)&amp;"1")))&lt;&gt;MONTH(TODAY()),CF43/(DAY(EOMONTH(DATE(YEAR(TODAY()),VALUE(MONTH(DATEVALUE(MID(CELL("filename",BL1),FIND("]",CELL("filename",BL1))+1,255)&amp;"1"))),1),0))),(CF43-CF42)/('[1]Summary TCM'!$AB$140-DAY(TODAY()-1)))</f>
        <v>#VALUE!</v>
      </c>
      <c r="CG45" t="e">
        <f ca="1">IF(VALUE(MONTH(DATEVALUE(MID(CELL("filename",BM1),FIND("]",CELL("filename",BM1))+1,255)&amp;"1")))&lt;&gt;MONTH(TODAY()),CG43/(DAY(EOMONTH(DATE(YEAR(TODAY()),VALUE(MONTH(DATEVALUE(MID(CELL("filename",BM1),FIND("]",CELL("filename",BM1))+1,255)&amp;"1"))),1),0))),(CG43-CG42)/('[1]Summary TCM'!$AB$140-DAY(TODAY()-1)))</f>
        <v>#VALUE!</v>
      </c>
      <c r="DL45" s="281"/>
      <c r="JP45">
        <f>SUMPRODUCT(JP43:JW43,JP44:JW44)</f>
        <v>0</v>
      </c>
      <c r="JX45">
        <f>SUMPRODUCT(JX43:KE43,JX44:KE44)</f>
        <v>0</v>
      </c>
      <c r="KF45">
        <f>SUMPRODUCT(KF43:KM43,KF44:KM44)</f>
        <v>0</v>
      </c>
      <c r="LY45" s="314"/>
      <c r="MA45" s="314"/>
      <c r="MC45" s="1"/>
      <c r="OE45" s="95"/>
      <c r="QO45" s="1"/>
      <c r="QP45" s="1"/>
      <c r="QR45" s="1"/>
      <c r="QS45" s="1"/>
      <c r="RZ45" s="1"/>
    </row>
    <row r="46" spans="1:503">
      <c r="D46" s="1"/>
      <c r="E46" s="1"/>
      <c r="F46" s="1"/>
      <c r="G46" s="1"/>
      <c r="H46" s="95"/>
      <c r="I46" s="1"/>
      <c r="AB46" s="887"/>
      <c r="DL46" s="1"/>
      <c r="GR46" s="887">
        <f>GM41+GN41</f>
        <v>35949.99</v>
      </c>
      <c r="JM46" s="95"/>
      <c r="JN46" s="1"/>
      <c r="LL46" s="330"/>
      <c r="LT46" s="314"/>
      <c r="NP46" s="1"/>
      <c r="NY46" s="1"/>
      <c r="NZ46" s="1"/>
      <c r="OE46" s="95"/>
      <c r="RZ46" s="1"/>
    </row>
    <row r="47" spans="1:503">
      <c r="C47" s="1"/>
      <c r="D47" s="887"/>
      <c r="E47" s="1"/>
      <c r="F47" s="1"/>
      <c r="G47" s="1"/>
      <c r="H47" s="887"/>
      <c r="I47" s="1"/>
      <c r="P47" s="887"/>
      <c r="T47" s="887"/>
      <c r="AB47" s="887"/>
      <c r="AQ47" s="95"/>
      <c r="AR47" s="95"/>
      <c r="AS47" s="95"/>
      <c r="AT47" s="95"/>
      <c r="AU47" s="95"/>
      <c r="AV47" s="95"/>
      <c r="AW47" s="95"/>
      <c r="AX47" s="95"/>
      <c r="AY47" s="95"/>
      <c r="AZ47" s="95"/>
      <c r="BA47" s="95"/>
      <c r="BB47" s="95"/>
      <c r="BC47" s="95"/>
      <c r="BD47" s="95"/>
      <c r="BE47" s="95"/>
      <c r="BF47" s="95"/>
      <c r="BG47" s="95"/>
      <c r="BH47" s="95"/>
      <c r="BI47" s="95"/>
      <c r="BJ47" s="95"/>
      <c r="BK47" s="95"/>
      <c r="BL47" s="95"/>
      <c r="BM47" s="95"/>
      <c r="BN47" s="95"/>
      <c r="BO47" s="95"/>
      <c r="BP47" s="95">
        <f ca="1">BP47</f>
        <v>0</v>
      </c>
      <c r="BQ47" s="95"/>
      <c r="BR47" s="95"/>
      <c r="BS47" s="95"/>
      <c r="BT47" s="95"/>
      <c r="BU47" s="95"/>
      <c r="BV47" s="95"/>
      <c r="BW47" s="95"/>
      <c r="BX47" s="95"/>
      <c r="BY47" s="95"/>
      <c r="BZ47" s="95"/>
      <c r="CA47" s="95"/>
      <c r="CB47" s="95"/>
      <c r="CC47" s="95"/>
      <c r="CD47" s="95"/>
      <c r="DY47" s="1">
        <f>DX28+DT28</f>
        <v>0</v>
      </c>
      <c r="GO47" s="887"/>
      <c r="GR47" s="887"/>
      <c r="JJ47" s="887"/>
      <c r="JK47" s="887"/>
      <c r="JM47" s="887">
        <f>300000-JM41</f>
        <v>250434.24</v>
      </c>
      <c r="JN47" s="887"/>
      <c r="KV47" s="347"/>
      <c r="LJ47" s="329"/>
      <c r="LL47" s="1447"/>
      <c r="LM47" s="314"/>
      <c r="LN47" s="314"/>
      <c r="LQ47" s="314"/>
      <c r="LR47" s="314">
        <v>5222.3980000000001</v>
      </c>
      <c r="LT47" s="314"/>
      <c r="NP47" s="1"/>
      <c r="RZ47" s="1"/>
    </row>
    <row r="48" spans="1:503" hidden="1">
      <c r="D48" s="887"/>
      <c r="E48" s="1"/>
      <c r="F48" s="1"/>
      <c r="G48" s="1"/>
      <c r="I48" s="95"/>
      <c r="O48" s="887"/>
      <c r="P48" s="887"/>
      <c r="S48" s="887"/>
      <c r="T48" s="887"/>
      <c r="AB48" s="887"/>
      <c r="AC48" s="1"/>
      <c r="AD48" s="1"/>
      <c r="AE48" s="1"/>
      <c r="AQ48" s="887"/>
      <c r="AR48" s="887"/>
      <c r="AW48" s="1">
        <f>AW43-AW42</f>
        <v>1006902</v>
      </c>
      <c r="BC48" s="1">
        <f>BC43-BC42</f>
        <v>794702</v>
      </c>
      <c r="BG48" s="887"/>
      <c r="BL48" s="1">
        <f>BL43-BL42</f>
        <v>660285</v>
      </c>
      <c r="BM48" s="887">
        <f>BM43/31</f>
        <v>1774.1935483870968</v>
      </c>
      <c r="BN48" s="887"/>
      <c r="BP48" s="887"/>
      <c r="BQ48" s="887"/>
      <c r="BS48" s="421">
        <f>BS43-BS42</f>
        <v>0</v>
      </c>
      <c r="BT48" s="95"/>
      <c r="BV48" s="1">
        <f>BV43-BV42</f>
        <v>342309</v>
      </c>
      <c r="BW48" s="1">
        <f>BW43-BW41</f>
        <v>20706</v>
      </c>
      <c r="BY48" s="1">
        <f>BY43-BY42</f>
        <v>0</v>
      </c>
      <c r="CE48" s="421">
        <f>CE43-CE42</f>
        <v>0</v>
      </c>
      <c r="CH48" s="887"/>
      <c r="IN48" s="1"/>
      <c r="JJ48" s="887">
        <f>JJ43-JJ41</f>
        <v>125528.32000000001</v>
      </c>
      <c r="JK48" s="887">
        <f>JK43-JK41</f>
        <v>94905.919999999998</v>
      </c>
      <c r="JL48" s="887"/>
      <c r="JM48" s="887">
        <f>JM47/13</f>
        <v>19264.172307692308</v>
      </c>
      <c r="JN48" s="887"/>
      <c r="JP48" s="2715"/>
      <c r="JQ48" s="2715"/>
      <c r="LH48" s="328"/>
      <c r="LI48" s="328"/>
      <c r="LJ48" s="331"/>
      <c r="LM48" s="328"/>
      <c r="LN48" s="314"/>
      <c r="LR48" s="314">
        <v>7444.732</v>
      </c>
      <c r="LT48" s="314"/>
      <c r="NP48" s="1"/>
      <c r="PK48" t="s">
        <v>79</v>
      </c>
      <c r="RZ48" s="1"/>
    </row>
    <row r="49" spans="2:494" ht="25.2" hidden="1" customHeight="1">
      <c r="D49" s="887"/>
      <c r="O49" s="1">
        <f>O43-O42</f>
        <v>1801604</v>
      </c>
      <c r="P49" s="887">
        <f>P43-P41</f>
        <v>176916.12</v>
      </c>
      <c r="S49" s="887">
        <f>S43-S42</f>
        <v>660285</v>
      </c>
      <c r="T49" s="887">
        <f>T43-T41</f>
        <v>39848.58</v>
      </c>
      <c r="X49" s="887">
        <f>X43-X42</f>
        <v>20706</v>
      </c>
      <c r="Y49" s="887"/>
      <c r="Z49" s="1"/>
      <c r="AA49" s="887">
        <f>P41+T41+AB41</f>
        <v>44193.26</v>
      </c>
      <c r="AB49" s="887"/>
      <c r="AD49" s="1"/>
      <c r="AE49" s="1"/>
      <c r="BG49" s="887"/>
      <c r="BW49" s="887">
        <f>BW43/31</f>
        <v>1129.0322580645161</v>
      </c>
      <c r="BZ49" s="887"/>
      <c r="DU49" s="1"/>
      <c r="EN49" s="1"/>
      <c r="GZ49" s="887">
        <f>GX38-GO38</f>
        <v>0</v>
      </c>
      <c r="JJ49" s="887"/>
      <c r="JM49" s="887"/>
      <c r="JN49" s="887"/>
      <c r="LH49" s="306"/>
      <c r="LI49" s="887"/>
      <c r="LJ49" s="887"/>
      <c r="LK49" s="327"/>
      <c r="LN49" s="314"/>
      <c r="LR49" s="314">
        <v>7339.2969999999996</v>
      </c>
      <c r="NP49" s="1"/>
      <c r="OC49" s="1"/>
      <c r="RZ49" s="1"/>
    </row>
    <row r="50" spans="2:494" hidden="1">
      <c r="M50" s="92"/>
      <c r="O50">
        <f>'Summary TCM'!BB21</f>
        <v>3600000</v>
      </c>
      <c r="P50" s="1692">
        <f>'Summary TCM'!BB38</f>
        <v>235000</v>
      </c>
      <c r="S50">
        <f>'Summary TCM'!BB25/31</f>
        <v>33870.967741935485</v>
      </c>
      <c r="T50" s="887">
        <f>'Summary TCM'!BB42/31</f>
        <v>1774.1935483870968</v>
      </c>
      <c r="U50" s="887"/>
      <c r="W50">
        <f>'Summary TCM'!BB29+'Summary TCM'!BB99</f>
        <v>720000</v>
      </c>
      <c r="X50" s="887">
        <f>'Summary TCM'!BB46+'Summary TCM'!BB113</f>
        <v>70000</v>
      </c>
      <c r="AB50" s="887"/>
      <c r="AD50" s="887"/>
      <c r="AX50" s="887"/>
      <c r="BD50" s="887"/>
      <c r="BM50" s="887"/>
      <c r="BN50" s="887"/>
      <c r="BQ50" s="887"/>
      <c r="BW50" s="887"/>
      <c r="GO50" s="1079"/>
      <c r="GT50" s="887">
        <f>GT43/31</f>
        <v>0</v>
      </c>
      <c r="JJ50" s="887"/>
      <c r="JM50" s="95"/>
      <c r="JN50" s="887"/>
      <c r="JP50" s="95"/>
      <c r="JR50" s="887"/>
      <c r="LI50" s="887"/>
      <c r="LJ50" s="95"/>
      <c r="LM50" s="314"/>
      <c r="LN50" s="314"/>
      <c r="LZ50" s="1078"/>
      <c r="NP50" s="1"/>
      <c r="RZ50" s="1"/>
    </row>
    <row r="51" spans="2:494" ht="22.95" hidden="1" customHeight="1">
      <c r="M51" s="39"/>
      <c r="O51" s="1">
        <f>O50/31</f>
        <v>116129.03225806452</v>
      </c>
      <c r="P51" s="887">
        <f>P50/31</f>
        <v>7580.6451612903229</v>
      </c>
      <c r="W51">
        <f>W50/31</f>
        <v>23225.806451612902</v>
      </c>
      <c r="X51" s="887">
        <f>X50/31</f>
        <v>2258.0645161290322</v>
      </c>
      <c r="Y51" s="887"/>
      <c r="AB51" s="887"/>
      <c r="JM51" s="485"/>
      <c r="LL51" s="95"/>
      <c r="NP51" s="1"/>
      <c r="RZ51" s="1"/>
    </row>
    <row r="52" spans="2:494" s="145" customFormat="1" hidden="1">
      <c r="M52" s="982"/>
      <c r="O52" s="1717">
        <v>116129.03225806452</v>
      </c>
      <c r="P52" s="1717">
        <v>7580.6451612903229</v>
      </c>
      <c r="S52" s="2222">
        <f>S50</f>
        <v>33870.967741935485</v>
      </c>
      <c r="T52" s="2222">
        <f>T50</f>
        <v>1774.1935483870968</v>
      </c>
      <c r="W52" s="2222">
        <v>23225.806451612902</v>
      </c>
      <c r="X52" s="2222">
        <v>2258.0645161290322</v>
      </c>
      <c r="AB52" s="489">
        <f>P43-P41</f>
        <v>176916.12</v>
      </c>
      <c r="AW52" s="145">
        <f>114433+880303+87096</f>
        <v>1081832</v>
      </c>
      <c r="AX52" s="145">
        <f>14516+24194+16935</f>
        <v>55645</v>
      </c>
      <c r="BC52" s="145">
        <f>10391+32968</f>
        <v>43359</v>
      </c>
      <c r="JN52" s="432"/>
      <c r="NP52" s="1"/>
      <c r="RZ52" s="459"/>
    </row>
    <row r="53" spans="2:494" s="145" customFormat="1" hidden="1">
      <c r="B53" s="145">
        <v>1</v>
      </c>
      <c r="C53" s="459"/>
      <c r="D53" s="459"/>
      <c r="M53" s="982"/>
      <c r="N53" s="145">
        <v>1</v>
      </c>
      <c r="O53" s="459">
        <f>O52</f>
        <v>116129.03225806452</v>
      </c>
      <c r="P53" s="986">
        <f>P52</f>
        <v>7580.6451612903229</v>
      </c>
      <c r="R53" s="145">
        <v>1</v>
      </c>
      <c r="S53" s="459">
        <f>S52</f>
        <v>33870.967741935485</v>
      </c>
      <c r="T53" s="459">
        <f>T52</f>
        <v>1774.1935483870968</v>
      </c>
      <c r="V53" s="145">
        <v>1</v>
      </c>
      <c r="W53" s="459">
        <f>W52</f>
        <v>23225.806451612902</v>
      </c>
      <c r="X53" s="145">
        <f>X52</f>
        <v>2258.0645161290322</v>
      </c>
      <c r="Z53" s="145">
        <v>1</v>
      </c>
      <c r="AB53" s="145">
        <v>30</v>
      </c>
      <c r="BF53" s="145">
        <v>121506</v>
      </c>
      <c r="NP53" s="1"/>
      <c r="RZ53" s="459"/>
    </row>
    <row r="54" spans="2:494" s="145" customFormat="1" hidden="1">
      <c r="B54" s="145">
        <v>2</v>
      </c>
      <c r="C54" s="459"/>
      <c r="D54" s="459"/>
      <c r="M54" s="982"/>
      <c r="N54" s="145">
        <v>2</v>
      </c>
      <c r="O54" s="459">
        <f t="shared" ref="O54:O83" si="199">O53+($O$52)</f>
        <v>232258.06451612903</v>
      </c>
      <c r="P54" s="986">
        <f t="shared" ref="P54:P83" si="200">P53+($P$52)</f>
        <v>15161.290322580646</v>
      </c>
      <c r="R54" s="145">
        <v>2</v>
      </c>
      <c r="S54" s="459">
        <f t="shared" ref="S54:S83" si="201">S53+($S$52)</f>
        <v>67741.93548387097</v>
      </c>
      <c r="T54" s="459">
        <f t="shared" ref="T54:T83" si="202">T53+$T$52</f>
        <v>3548.3870967741937</v>
      </c>
      <c r="V54" s="145">
        <v>2</v>
      </c>
      <c r="W54" s="459">
        <f t="shared" ref="W54:W83" si="203">W53+($W$52)</f>
        <v>46451.612903225803</v>
      </c>
      <c r="X54" s="459">
        <f t="shared" ref="X54:X83" si="204">X53+$X$52</f>
        <v>4516.1290322580644</v>
      </c>
      <c r="Z54" s="145">
        <v>2</v>
      </c>
      <c r="AB54" s="489">
        <f>AB52/AB53</f>
        <v>5897.2039999999997</v>
      </c>
      <c r="BF54" s="145">
        <v>896260</v>
      </c>
      <c r="NP54" s="1"/>
      <c r="RZ54" s="459"/>
    </row>
    <row r="55" spans="2:494" s="145" customFormat="1" hidden="1">
      <c r="B55" s="145">
        <v>3</v>
      </c>
      <c r="C55" s="459"/>
      <c r="D55" s="459"/>
      <c r="M55" s="982"/>
      <c r="N55" s="145">
        <v>3</v>
      </c>
      <c r="O55" s="459">
        <f t="shared" si="199"/>
        <v>348387.09677419357</v>
      </c>
      <c r="P55" s="986">
        <f t="shared" si="200"/>
        <v>22741.93548387097</v>
      </c>
      <c r="R55" s="145">
        <v>3</v>
      </c>
      <c r="S55" s="459">
        <f t="shared" si="201"/>
        <v>101612.90322580645</v>
      </c>
      <c r="T55" s="459">
        <f t="shared" si="202"/>
        <v>5322.5806451612907</v>
      </c>
      <c r="V55" s="145">
        <v>3</v>
      </c>
      <c r="W55" s="459">
        <f t="shared" si="203"/>
        <v>69677.419354838697</v>
      </c>
      <c r="X55" s="459">
        <f t="shared" si="204"/>
        <v>6774.1935483870966</v>
      </c>
      <c r="Z55" s="145">
        <v>3</v>
      </c>
      <c r="BF55" s="145">
        <v>24906</v>
      </c>
      <c r="NP55" s="1"/>
      <c r="RZ55" s="459"/>
    </row>
    <row r="56" spans="2:494" s="145" customFormat="1" hidden="1">
      <c r="B56" s="145">
        <v>4</v>
      </c>
      <c r="C56" s="459"/>
      <c r="D56" s="459"/>
      <c r="M56" s="982"/>
      <c r="N56" s="145">
        <v>4</v>
      </c>
      <c r="O56" s="459">
        <f t="shared" si="199"/>
        <v>464516.12903225806</v>
      </c>
      <c r="P56" s="986">
        <f t="shared" si="200"/>
        <v>30322.580645161292</v>
      </c>
      <c r="R56" s="145">
        <v>4</v>
      </c>
      <c r="S56" s="459">
        <f t="shared" si="201"/>
        <v>135483.87096774194</v>
      </c>
      <c r="T56" s="459">
        <f t="shared" si="202"/>
        <v>7096.7741935483873</v>
      </c>
      <c r="V56" s="145">
        <v>4</v>
      </c>
      <c r="W56" s="459">
        <f t="shared" si="203"/>
        <v>92903.225806451606</v>
      </c>
      <c r="X56" s="459">
        <f t="shared" si="204"/>
        <v>9032.2580645161288</v>
      </c>
      <c r="Z56" s="145">
        <v>4</v>
      </c>
      <c r="NP56" s="1"/>
      <c r="RZ56" s="459"/>
    </row>
    <row r="57" spans="2:494" s="145" customFormat="1" hidden="1">
      <c r="B57" s="145">
        <v>5</v>
      </c>
      <c r="C57" s="459"/>
      <c r="D57" s="459"/>
      <c r="M57" s="982"/>
      <c r="N57" s="145">
        <v>5</v>
      </c>
      <c r="O57" s="459">
        <f t="shared" si="199"/>
        <v>580645.16129032255</v>
      </c>
      <c r="P57" s="986">
        <f t="shared" si="200"/>
        <v>37903.225806451614</v>
      </c>
      <c r="R57" s="145">
        <v>5</v>
      </c>
      <c r="S57" s="459">
        <f t="shared" si="201"/>
        <v>169354.83870967742</v>
      </c>
      <c r="T57" s="459">
        <f t="shared" si="202"/>
        <v>8870.9677419354848</v>
      </c>
      <c r="V57" s="145">
        <v>5</v>
      </c>
      <c r="W57" s="459">
        <f t="shared" si="203"/>
        <v>116129.03225806452</v>
      </c>
      <c r="X57" s="459">
        <f t="shared" si="204"/>
        <v>11290.322580645161</v>
      </c>
      <c r="Z57" s="145">
        <v>5</v>
      </c>
      <c r="BF57" s="1005">
        <f>SUM(BF53:BF56)</f>
        <v>1042672</v>
      </c>
      <c r="NP57" s="1"/>
      <c r="RZ57" s="459"/>
    </row>
    <row r="58" spans="2:494" s="145" customFormat="1" hidden="1">
      <c r="B58" s="145">
        <v>6</v>
      </c>
      <c r="C58" s="459"/>
      <c r="D58" s="459"/>
      <c r="M58" s="982"/>
      <c r="N58" s="145">
        <v>6</v>
      </c>
      <c r="O58" s="459">
        <f t="shared" si="199"/>
        <v>696774.19354838703</v>
      </c>
      <c r="P58" s="986">
        <f t="shared" si="200"/>
        <v>45483.870967741939</v>
      </c>
      <c r="R58" s="145">
        <v>6</v>
      </c>
      <c r="S58" s="459">
        <f t="shared" si="201"/>
        <v>203225.80645161291</v>
      </c>
      <c r="T58" s="459">
        <f t="shared" si="202"/>
        <v>10645.161290322581</v>
      </c>
      <c r="V58" s="145">
        <v>6</v>
      </c>
      <c r="W58" s="459">
        <f t="shared" si="203"/>
        <v>139354.83870967742</v>
      </c>
      <c r="X58" s="459">
        <f t="shared" si="204"/>
        <v>13548.387096774193</v>
      </c>
      <c r="Z58" s="145">
        <v>6</v>
      </c>
      <c r="BF58" s="145">
        <f>1038834-1017766</f>
        <v>21068</v>
      </c>
      <c r="NP58" s="1"/>
      <c r="RZ58" s="459"/>
    </row>
    <row r="59" spans="2:494" s="145" customFormat="1" hidden="1">
      <c r="B59" s="145">
        <v>7</v>
      </c>
      <c r="C59" s="459"/>
      <c r="D59" s="459"/>
      <c r="M59" s="982"/>
      <c r="N59" s="145">
        <v>7</v>
      </c>
      <c r="O59" s="459">
        <f t="shared" si="199"/>
        <v>812903.22580645152</v>
      </c>
      <c r="P59" s="986">
        <f t="shared" si="200"/>
        <v>53064.516129032265</v>
      </c>
      <c r="R59" s="145">
        <v>7</v>
      </c>
      <c r="S59" s="459">
        <f t="shared" si="201"/>
        <v>237096.77419354839</v>
      </c>
      <c r="T59" s="459">
        <f t="shared" si="202"/>
        <v>12419.354838709678</v>
      </c>
      <c r="V59" s="145">
        <v>7</v>
      </c>
      <c r="W59" s="459">
        <f t="shared" si="203"/>
        <v>162580.64516129033</v>
      </c>
      <c r="X59" s="459">
        <f t="shared" si="204"/>
        <v>15806.451612903225</v>
      </c>
      <c r="Z59" s="145">
        <v>7</v>
      </c>
      <c r="BF59" s="145">
        <f>BF57-1038834</f>
        <v>3838</v>
      </c>
      <c r="NP59" s="1"/>
      <c r="RZ59" s="459"/>
    </row>
    <row r="60" spans="2:494" s="145" customFormat="1" hidden="1">
      <c r="B60" s="145">
        <v>8</v>
      </c>
      <c r="C60" s="459"/>
      <c r="D60" s="459"/>
      <c r="M60" s="982"/>
      <c r="N60" s="145">
        <v>8</v>
      </c>
      <c r="O60" s="459">
        <f t="shared" si="199"/>
        <v>929032.25806451601</v>
      </c>
      <c r="P60" s="986">
        <f t="shared" si="200"/>
        <v>60645.161290322591</v>
      </c>
      <c r="R60" s="145">
        <v>8</v>
      </c>
      <c r="S60" s="459">
        <f t="shared" si="201"/>
        <v>270967.74193548388</v>
      </c>
      <c r="T60" s="459">
        <f t="shared" si="202"/>
        <v>14193.548387096775</v>
      </c>
      <c r="V60" s="145">
        <v>8</v>
      </c>
      <c r="W60" s="459">
        <f t="shared" si="203"/>
        <v>185806.45161290324</v>
      </c>
      <c r="X60" s="459">
        <f t="shared" si="204"/>
        <v>18064.516129032258</v>
      </c>
      <c r="Z60" s="145">
        <v>8</v>
      </c>
      <c r="AP60" s="145">
        <v>37911.700000000004</v>
      </c>
      <c r="NP60" s="1"/>
      <c r="RZ60" s="459"/>
    </row>
    <row r="61" spans="2:494" s="145" customFormat="1" hidden="1">
      <c r="B61" s="145">
        <v>9</v>
      </c>
      <c r="C61" s="459"/>
      <c r="D61" s="459"/>
      <c r="M61" s="982"/>
      <c r="N61" s="145">
        <v>9</v>
      </c>
      <c r="O61" s="459">
        <f t="shared" si="199"/>
        <v>1045161.2903225805</v>
      </c>
      <c r="P61" s="986">
        <f t="shared" si="200"/>
        <v>68225.806451612909</v>
      </c>
      <c r="R61" s="145">
        <v>9</v>
      </c>
      <c r="S61" s="459">
        <f t="shared" si="201"/>
        <v>304838.70967741939</v>
      </c>
      <c r="T61" s="459">
        <f t="shared" si="202"/>
        <v>15967.741935483871</v>
      </c>
      <c r="V61" s="145">
        <v>9</v>
      </c>
      <c r="W61" s="459">
        <f t="shared" si="203"/>
        <v>209032.25806451615</v>
      </c>
      <c r="X61" s="459">
        <f t="shared" si="204"/>
        <v>20322.580645161288</v>
      </c>
      <c r="Z61" s="145">
        <v>9</v>
      </c>
      <c r="NP61" s="1"/>
      <c r="RZ61" s="459"/>
    </row>
    <row r="62" spans="2:494" s="145" customFormat="1" hidden="1">
      <c r="B62" s="145">
        <v>10</v>
      </c>
      <c r="C62" s="459"/>
      <c r="D62" s="459"/>
      <c r="M62" s="982"/>
      <c r="N62" s="145">
        <v>10</v>
      </c>
      <c r="O62" s="459">
        <f t="shared" si="199"/>
        <v>1161290.3225806451</v>
      </c>
      <c r="P62" s="986">
        <f t="shared" si="200"/>
        <v>75806.451612903227</v>
      </c>
      <c r="R62" s="145">
        <v>10</v>
      </c>
      <c r="S62" s="459">
        <f t="shared" si="201"/>
        <v>338709.67741935491</v>
      </c>
      <c r="T62" s="459">
        <f t="shared" si="202"/>
        <v>17741.93548387097</v>
      </c>
      <c r="V62" s="145">
        <v>10</v>
      </c>
      <c r="W62" s="459">
        <f t="shared" si="203"/>
        <v>232258.06451612906</v>
      </c>
      <c r="X62" s="459">
        <f t="shared" si="204"/>
        <v>22580.645161290318</v>
      </c>
      <c r="Z62" s="145">
        <v>10</v>
      </c>
      <c r="NP62" s="1"/>
      <c r="RZ62" s="459"/>
    </row>
    <row r="63" spans="2:494" s="145" customFormat="1" hidden="1">
      <c r="B63" s="145">
        <v>11</v>
      </c>
      <c r="C63" s="459"/>
      <c r="D63" s="459"/>
      <c r="M63" s="982"/>
      <c r="N63" s="145">
        <v>11</v>
      </c>
      <c r="O63" s="459">
        <f t="shared" si="199"/>
        <v>1277419.3548387096</v>
      </c>
      <c r="P63" s="986">
        <f t="shared" si="200"/>
        <v>83387.096774193546</v>
      </c>
      <c r="R63" s="145">
        <v>11</v>
      </c>
      <c r="S63" s="459">
        <f t="shared" si="201"/>
        <v>372580.64516129042</v>
      </c>
      <c r="T63" s="459">
        <f t="shared" si="202"/>
        <v>19516.129032258068</v>
      </c>
      <c r="V63" s="145">
        <v>11</v>
      </c>
      <c r="W63" s="459">
        <f t="shared" si="203"/>
        <v>255483.87096774197</v>
      </c>
      <c r="X63" s="459">
        <f t="shared" si="204"/>
        <v>24838.709677419349</v>
      </c>
      <c r="Z63" s="145">
        <v>11</v>
      </c>
      <c r="NP63" s="1"/>
      <c r="RZ63" s="459"/>
    </row>
    <row r="64" spans="2:494" s="145" customFormat="1" hidden="1">
      <c r="B64" s="145">
        <v>12</v>
      </c>
      <c r="C64" s="459"/>
      <c r="D64" s="459"/>
      <c r="M64" s="982"/>
      <c r="N64" s="145">
        <v>12</v>
      </c>
      <c r="O64" s="459">
        <f t="shared" si="199"/>
        <v>1393548.3870967741</v>
      </c>
      <c r="P64" s="986">
        <f t="shared" si="200"/>
        <v>90967.741935483864</v>
      </c>
      <c r="R64" s="145">
        <v>12</v>
      </c>
      <c r="S64" s="459">
        <f t="shared" si="201"/>
        <v>406451.61290322593</v>
      </c>
      <c r="T64" s="459">
        <f t="shared" si="202"/>
        <v>21290.322580645166</v>
      </c>
      <c r="V64" s="145">
        <v>12</v>
      </c>
      <c r="W64" s="459">
        <f t="shared" si="203"/>
        <v>278709.67741935485</v>
      </c>
      <c r="X64" s="459">
        <f t="shared" si="204"/>
        <v>27096.774193548379</v>
      </c>
      <c r="Z64" s="145">
        <v>12</v>
      </c>
      <c r="NP64" s="1"/>
      <c r="RZ64" s="459"/>
    </row>
    <row r="65" spans="2:494" s="145" customFormat="1" hidden="1">
      <c r="B65" s="145">
        <v>13</v>
      </c>
      <c r="C65" s="459"/>
      <c r="D65" s="459"/>
      <c r="M65" s="982"/>
      <c r="N65" s="145">
        <v>13</v>
      </c>
      <c r="O65" s="459">
        <f t="shared" si="199"/>
        <v>1509677.4193548386</v>
      </c>
      <c r="P65" s="986">
        <f t="shared" si="200"/>
        <v>98548.387096774182</v>
      </c>
      <c r="R65" s="145">
        <v>13</v>
      </c>
      <c r="S65" s="459">
        <f t="shared" si="201"/>
        <v>440322.58064516145</v>
      </c>
      <c r="T65" s="459">
        <f t="shared" si="202"/>
        <v>23064.516129032265</v>
      </c>
      <c r="V65" s="145">
        <v>13</v>
      </c>
      <c r="W65" s="459">
        <f t="shared" si="203"/>
        <v>301935.48387096776</v>
      </c>
      <c r="X65" s="459">
        <f t="shared" si="204"/>
        <v>29354.838709677409</v>
      </c>
      <c r="Z65" s="145">
        <v>13</v>
      </c>
      <c r="NP65" s="1"/>
      <c r="RZ65" s="459"/>
    </row>
    <row r="66" spans="2:494" s="145" customFormat="1" hidden="1">
      <c r="B66" s="145">
        <v>14</v>
      </c>
      <c r="C66" s="459"/>
      <c r="D66" s="459"/>
      <c r="M66" s="982"/>
      <c r="N66" s="145">
        <v>14</v>
      </c>
      <c r="O66" s="459">
        <f t="shared" si="199"/>
        <v>1625806.451612903</v>
      </c>
      <c r="P66" s="986">
        <f t="shared" si="200"/>
        <v>106129.0322580645</v>
      </c>
      <c r="R66" s="145">
        <v>14</v>
      </c>
      <c r="S66" s="459">
        <f t="shared" si="201"/>
        <v>474193.54838709696</v>
      </c>
      <c r="T66" s="459">
        <f t="shared" si="202"/>
        <v>24838.709677419363</v>
      </c>
      <c r="V66" s="145">
        <v>14</v>
      </c>
      <c r="W66" s="459">
        <f t="shared" si="203"/>
        <v>325161.29032258067</v>
      </c>
      <c r="X66" s="459">
        <f t="shared" si="204"/>
        <v>31612.90322580644</v>
      </c>
      <c r="Z66" s="145">
        <v>14</v>
      </c>
      <c r="NP66" s="1"/>
      <c r="RZ66" s="459"/>
    </row>
    <row r="67" spans="2:494" s="145" customFormat="1" hidden="1">
      <c r="B67" s="145">
        <v>15</v>
      </c>
      <c r="C67" s="459"/>
      <c r="D67" s="459"/>
      <c r="M67" s="982"/>
      <c r="N67" s="145">
        <v>15</v>
      </c>
      <c r="O67" s="459">
        <f t="shared" si="199"/>
        <v>1741935.4838709675</v>
      </c>
      <c r="P67" s="986">
        <f t="shared" si="200"/>
        <v>113709.67741935482</v>
      </c>
      <c r="R67" s="145">
        <v>15</v>
      </c>
      <c r="S67" s="459">
        <f t="shared" si="201"/>
        <v>508064.51612903248</v>
      </c>
      <c r="T67" s="459">
        <f t="shared" si="202"/>
        <v>26612.903225806462</v>
      </c>
      <c r="V67" s="145">
        <v>15</v>
      </c>
      <c r="W67" s="459">
        <f t="shared" si="203"/>
        <v>348387.09677419357</v>
      </c>
      <c r="X67" s="459">
        <f t="shared" si="204"/>
        <v>33870.96774193547</v>
      </c>
      <c r="Z67" s="145">
        <v>15</v>
      </c>
      <c r="NP67" s="1"/>
      <c r="RZ67" s="459"/>
    </row>
    <row r="68" spans="2:494" s="145" customFormat="1" hidden="1">
      <c r="B68" s="145">
        <v>16</v>
      </c>
      <c r="C68" s="459"/>
      <c r="D68" s="459"/>
      <c r="M68" s="982"/>
      <c r="N68" s="145">
        <v>16</v>
      </c>
      <c r="O68" s="459">
        <f t="shared" si="199"/>
        <v>1858064.516129032</v>
      </c>
      <c r="P68" s="986">
        <f t="shared" si="200"/>
        <v>121290.32258064514</v>
      </c>
      <c r="R68" s="145">
        <v>16</v>
      </c>
      <c r="S68" s="459">
        <f t="shared" si="201"/>
        <v>541935.48387096799</v>
      </c>
      <c r="T68" s="459">
        <f t="shared" si="202"/>
        <v>28387.09677419356</v>
      </c>
      <c r="V68" s="145">
        <v>16</v>
      </c>
      <c r="W68" s="459">
        <f t="shared" si="203"/>
        <v>371612.90322580648</v>
      </c>
      <c r="X68" s="459">
        <f t="shared" si="204"/>
        <v>36129.032258064501</v>
      </c>
      <c r="Z68" s="145">
        <v>16</v>
      </c>
      <c r="NP68" s="1"/>
      <c r="RZ68" s="459"/>
    </row>
    <row r="69" spans="2:494" s="145" customFormat="1" hidden="1">
      <c r="B69" s="145">
        <v>17</v>
      </c>
      <c r="C69" s="459"/>
      <c r="D69" s="459"/>
      <c r="N69" s="145">
        <v>17</v>
      </c>
      <c r="O69" s="459">
        <f t="shared" si="199"/>
        <v>1974193.5483870965</v>
      </c>
      <c r="P69" s="986">
        <f t="shared" si="200"/>
        <v>128870.96774193546</v>
      </c>
      <c r="R69" s="145">
        <v>17</v>
      </c>
      <c r="S69" s="459">
        <f t="shared" si="201"/>
        <v>575806.4516129035</v>
      </c>
      <c r="T69" s="459">
        <f t="shared" si="202"/>
        <v>30161.290322580659</v>
      </c>
      <c r="V69" s="145">
        <v>17</v>
      </c>
      <c r="W69" s="459">
        <f t="shared" si="203"/>
        <v>394838.70967741939</v>
      </c>
      <c r="X69" s="459">
        <f t="shared" si="204"/>
        <v>38387.096774193531</v>
      </c>
      <c r="Z69" s="145">
        <v>17</v>
      </c>
      <c r="NP69" s="1"/>
      <c r="RZ69" s="459"/>
    </row>
    <row r="70" spans="2:494" s="145" customFormat="1" hidden="1">
      <c r="B70" s="145">
        <v>18</v>
      </c>
      <c r="C70" s="459"/>
      <c r="D70" s="459"/>
      <c r="N70" s="145">
        <v>18</v>
      </c>
      <c r="O70" s="459">
        <f t="shared" si="199"/>
        <v>2090322.580645161</v>
      </c>
      <c r="P70" s="986">
        <f t="shared" si="200"/>
        <v>136451.61290322579</v>
      </c>
      <c r="R70" s="145">
        <v>18</v>
      </c>
      <c r="S70" s="459">
        <f t="shared" si="201"/>
        <v>609677.41935483902</v>
      </c>
      <c r="T70" s="459">
        <f t="shared" si="202"/>
        <v>31935.483870967757</v>
      </c>
      <c r="V70" s="145">
        <v>18</v>
      </c>
      <c r="W70" s="459">
        <f t="shared" si="203"/>
        <v>418064.5161290323</v>
      </c>
      <c r="X70" s="459">
        <f t="shared" si="204"/>
        <v>40645.161290322561</v>
      </c>
      <c r="Z70" s="145">
        <v>18</v>
      </c>
      <c r="NP70" s="1"/>
      <c r="RZ70" s="459"/>
    </row>
    <row r="71" spans="2:494" s="145" customFormat="1" hidden="1">
      <c r="B71" s="145">
        <v>19</v>
      </c>
      <c r="C71" s="459"/>
      <c r="D71" s="459"/>
      <c r="N71" s="145">
        <v>19</v>
      </c>
      <c r="O71" s="459">
        <f t="shared" si="199"/>
        <v>2206451.6129032257</v>
      </c>
      <c r="P71" s="986">
        <f t="shared" si="200"/>
        <v>144032.25806451612</v>
      </c>
      <c r="R71" s="145">
        <v>19</v>
      </c>
      <c r="S71" s="459">
        <f t="shared" si="201"/>
        <v>643548.38709677453</v>
      </c>
      <c r="T71" s="459">
        <f t="shared" si="202"/>
        <v>33709.677419354855</v>
      </c>
      <c r="V71" s="145">
        <v>19</v>
      </c>
      <c r="W71" s="459">
        <f t="shared" si="203"/>
        <v>441290.32258064521</v>
      </c>
      <c r="X71" s="459">
        <f t="shared" si="204"/>
        <v>42903.225806451592</v>
      </c>
      <c r="Z71" s="145">
        <v>19</v>
      </c>
      <c r="NP71" s="1"/>
      <c r="RZ71" s="459"/>
    </row>
    <row r="72" spans="2:494" s="145" customFormat="1" hidden="1">
      <c r="B72" s="145">
        <v>20</v>
      </c>
      <c r="C72" s="459"/>
      <c r="D72" s="459"/>
      <c r="N72" s="145">
        <v>20</v>
      </c>
      <c r="O72" s="459">
        <f t="shared" si="199"/>
        <v>2322580.6451612902</v>
      </c>
      <c r="P72" s="986">
        <f t="shared" si="200"/>
        <v>151612.90322580645</v>
      </c>
      <c r="R72" s="145">
        <v>20</v>
      </c>
      <c r="S72" s="459">
        <f t="shared" si="201"/>
        <v>677419.35483871005</v>
      </c>
      <c r="T72" s="459">
        <f t="shared" si="202"/>
        <v>35483.870967741954</v>
      </c>
      <c r="V72" s="145">
        <v>20</v>
      </c>
      <c r="W72" s="459">
        <f t="shared" si="203"/>
        <v>464516.12903225812</v>
      </c>
      <c r="X72" s="459">
        <f t="shared" si="204"/>
        <v>45161.290322580622</v>
      </c>
      <c r="Z72" s="145">
        <v>20</v>
      </c>
      <c r="NP72" s="1"/>
      <c r="RZ72" s="459"/>
    </row>
    <row r="73" spans="2:494" s="145" customFormat="1" hidden="1">
      <c r="B73" s="145">
        <v>21</v>
      </c>
      <c r="C73" s="459"/>
      <c r="D73" s="459"/>
      <c r="N73" s="145">
        <v>21</v>
      </c>
      <c r="O73" s="459">
        <f t="shared" si="199"/>
        <v>2438709.6774193547</v>
      </c>
      <c r="P73" s="986">
        <f t="shared" si="200"/>
        <v>159193.54838709679</v>
      </c>
      <c r="R73" s="145">
        <v>21</v>
      </c>
      <c r="S73" s="459">
        <f t="shared" si="201"/>
        <v>711290.32258064556</v>
      </c>
      <c r="T73" s="459">
        <f t="shared" si="202"/>
        <v>37258.064516129052</v>
      </c>
      <c r="V73" s="145">
        <v>21</v>
      </c>
      <c r="W73" s="459">
        <f t="shared" si="203"/>
        <v>487741.93548387103</v>
      </c>
      <c r="X73" s="459">
        <f t="shared" si="204"/>
        <v>47419.354838709653</v>
      </c>
      <c r="Z73" s="145">
        <v>21</v>
      </c>
      <c r="NP73" s="1"/>
      <c r="RZ73" s="459"/>
    </row>
    <row r="74" spans="2:494" s="145" customFormat="1" hidden="1">
      <c r="B74" s="145">
        <v>22</v>
      </c>
      <c r="C74" s="459"/>
      <c r="D74" s="459"/>
      <c r="N74" s="145">
        <v>22</v>
      </c>
      <c r="O74" s="459">
        <f t="shared" si="199"/>
        <v>2554838.7096774192</v>
      </c>
      <c r="P74" s="986">
        <f t="shared" si="200"/>
        <v>166774.19354838712</v>
      </c>
      <c r="R74" s="145">
        <v>22</v>
      </c>
      <c r="S74" s="459">
        <f t="shared" si="201"/>
        <v>745161.29032258107</v>
      </c>
      <c r="T74" s="459">
        <f t="shared" si="202"/>
        <v>39032.258064516151</v>
      </c>
      <c r="V74" s="145">
        <v>22</v>
      </c>
      <c r="W74" s="459">
        <f t="shared" si="203"/>
        <v>510967.74193548394</v>
      </c>
      <c r="X74" s="459">
        <f t="shared" si="204"/>
        <v>49677.419354838683</v>
      </c>
      <c r="Z74" s="145">
        <v>22</v>
      </c>
      <c r="NP74" s="1"/>
      <c r="RZ74" s="459"/>
    </row>
    <row r="75" spans="2:494" s="145" customFormat="1" hidden="1">
      <c r="B75" s="145">
        <v>23</v>
      </c>
      <c r="C75" s="459"/>
      <c r="D75" s="459"/>
      <c r="N75" s="145">
        <v>23</v>
      </c>
      <c r="O75" s="459">
        <f t="shared" si="199"/>
        <v>2670967.7419354836</v>
      </c>
      <c r="P75" s="986">
        <f t="shared" si="200"/>
        <v>174354.83870967745</v>
      </c>
      <c r="R75" s="145">
        <v>23</v>
      </c>
      <c r="S75" s="459">
        <f t="shared" si="201"/>
        <v>779032.25806451659</v>
      </c>
      <c r="T75" s="459">
        <f t="shared" si="202"/>
        <v>40806.451612903249</v>
      </c>
      <c r="V75" s="145">
        <v>23</v>
      </c>
      <c r="W75" s="459">
        <f t="shared" si="203"/>
        <v>534193.54838709685</v>
      </c>
      <c r="X75" s="459">
        <f t="shared" si="204"/>
        <v>51935.483870967713</v>
      </c>
      <c r="Y75" s="459"/>
      <c r="Z75" s="145">
        <v>23</v>
      </c>
      <c r="NP75" s="1"/>
      <c r="RZ75" s="459"/>
    </row>
    <row r="76" spans="2:494" s="145" customFormat="1" hidden="1">
      <c r="B76" s="145">
        <v>24</v>
      </c>
      <c r="C76" s="459"/>
      <c r="D76" s="459"/>
      <c r="N76" s="145">
        <v>24</v>
      </c>
      <c r="O76" s="459">
        <f t="shared" si="199"/>
        <v>2787096.7741935481</v>
      </c>
      <c r="P76" s="986">
        <f t="shared" si="200"/>
        <v>181935.48387096779</v>
      </c>
      <c r="R76" s="145">
        <v>24</v>
      </c>
      <c r="S76" s="459">
        <f t="shared" si="201"/>
        <v>812903.2258064521</v>
      </c>
      <c r="T76" s="459">
        <f t="shared" si="202"/>
        <v>42580.645161290347</v>
      </c>
      <c r="V76" s="145">
        <v>24</v>
      </c>
      <c r="W76" s="459">
        <f t="shared" si="203"/>
        <v>557419.3548387097</v>
      </c>
      <c r="X76" s="459">
        <f t="shared" si="204"/>
        <v>54193.548387096744</v>
      </c>
      <c r="Z76" s="145">
        <v>24</v>
      </c>
      <c r="NP76" s="1"/>
      <c r="RZ76" s="459"/>
    </row>
    <row r="77" spans="2:494" s="145" customFormat="1" hidden="1">
      <c r="B77" s="145">
        <v>25</v>
      </c>
      <c r="C77" s="459"/>
      <c r="D77" s="459"/>
      <c r="N77" s="145">
        <v>25</v>
      </c>
      <c r="O77" s="459">
        <f t="shared" si="199"/>
        <v>2903225.8064516126</v>
      </c>
      <c r="P77" s="986">
        <f t="shared" si="200"/>
        <v>189516.12903225812</v>
      </c>
      <c r="R77" s="145">
        <v>25</v>
      </c>
      <c r="S77" s="459">
        <f t="shared" si="201"/>
        <v>846774.19354838762</v>
      </c>
      <c r="T77" s="459">
        <f t="shared" si="202"/>
        <v>44354.838709677446</v>
      </c>
      <c r="V77" s="145">
        <v>25</v>
      </c>
      <c r="W77" s="459">
        <f t="shared" si="203"/>
        <v>580645.16129032255</v>
      </c>
      <c r="X77" s="459">
        <f t="shared" si="204"/>
        <v>56451.612903225774</v>
      </c>
      <c r="Z77" s="145">
        <v>25</v>
      </c>
      <c r="NP77" s="1"/>
      <c r="RZ77" s="459"/>
    </row>
    <row r="78" spans="2:494" s="145" customFormat="1" hidden="1">
      <c r="B78" s="145">
        <v>26</v>
      </c>
      <c r="C78" s="459"/>
      <c r="D78" s="459"/>
      <c r="N78" s="145">
        <v>26</v>
      </c>
      <c r="O78" s="459">
        <f t="shared" si="199"/>
        <v>3019354.8387096771</v>
      </c>
      <c r="P78" s="986">
        <f t="shared" si="200"/>
        <v>197096.77419354845</v>
      </c>
      <c r="R78" s="145">
        <v>26</v>
      </c>
      <c r="S78" s="459">
        <f t="shared" si="201"/>
        <v>880645.16129032313</v>
      </c>
      <c r="T78" s="459">
        <f t="shared" si="202"/>
        <v>46129.032258064544</v>
      </c>
      <c r="V78" s="145">
        <v>26</v>
      </c>
      <c r="W78" s="459">
        <f t="shared" si="203"/>
        <v>603870.9677419354</v>
      </c>
      <c r="X78" s="459">
        <f t="shared" si="204"/>
        <v>58709.677419354804</v>
      </c>
      <c r="Z78" s="145">
        <v>26</v>
      </c>
      <c r="NP78" s="1"/>
      <c r="RZ78" s="459"/>
    </row>
    <row r="79" spans="2:494" s="145" customFormat="1" hidden="1">
      <c r="B79" s="145">
        <v>27</v>
      </c>
      <c r="C79" s="459"/>
      <c r="D79" s="459"/>
      <c r="N79" s="145">
        <v>27</v>
      </c>
      <c r="O79" s="459">
        <f t="shared" si="199"/>
        <v>3135483.8709677416</v>
      </c>
      <c r="P79" s="986">
        <f t="shared" si="200"/>
        <v>204677.41935483878</v>
      </c>
      <c r="R79" s="145">
        <v>27</v>
      </c>
      <c r="S79" s="459">
        <f t="shared" si="201"/>
        <v>914516.12903225864</v>
      </c>
      <c r="T79" s="459">
        <f t="shared" si="202"/>
        <v>47903.225806451643</v>
      </c>
      <c r="V79" s="145">
        <v>27</v>
      </c>
      <c r="W79" s="459">
        <f t="shared" si="203"/>
        <v>627096.77419354825</v>
      </c>
      <c r="X79" s="459">
        <f t="shared" si="204"/>
        <v>60967.741935483835</v>
      </c>
      <c r="Z79" s="145">
        <v>27</v>
      </c>
      <c r="NP79" s="1"/>
      <c r="RZ79" s="459"/>
    </row>
    <row r="80" spans="2:494" s="145" customFormat="1" hidden="1">
      <c r="B80" s="145">
        <v>28</v>
      </c>
      <c r="C80" s="459"/>
      <c r="D80" s="459"/>
      <c r="N80" s="145">
        <v>28</v>
      </c>
      <c r="O80" s="459">
        <f t="shared" si="199"/>
        <v>3251612.9032258061</v>
      </c>
      <c r="P80" s="986">
        <f t="shared" si="200"/>
        <v>212258.06451612912</v>
      </c>
      <c r="R80" s="145">
        <v>28</v>
      </c>
      <c r="S80" s="459">
        <f t="shared" si="201"/>
        <v>948387.09677419416</v>
      </c>
      <c r="T80" s="459">
        <f t="shared" si="202"/>
        <v>49677.419354838741</v>
      </c>
      <c r="V80" s="145">
        <v>28</v>
      </c>
      <c r="W80" s="459">
        <f t="shared" si="203"/>
        <v>650322.5806451611</v>
      </c>
      <c r="X80" s="459">
        <f t="shared" si="204"/>
        <v>63225.806451612865</v>
      </c>
      <c r="Z80" s="145">
        <v>28</v>
      </c>
      <c r="NP80" s="1"/>
      <c r="RZ80" s="459"/>
    </row>
    <row r="81" spans="2:494" s="145" customFormat="1" hidden="1">
      <c r="B81" s="145">
        <v>29</v>
      </c>
      <c r="C81" s="459"/>
      <c r="D81" s="459"/>
      <c r="N81" s="145">
        <v>29</v>
      </c>
      <c r="O81" s="459">
        <f t="shared" si="199"/>
        <v>3367741.9354838706</v>
      </c>
      <c r="P81" s="986">
        <f t="shared" si="200"/>
        <v>219838.70967741945</v>
      </c>
      <c r="R81" s="145">
        <v>29</v>
      </c>
      <c r="S81" s="459">
        <f t="shared" si="201"/>
        <v>982258.06451612967</v>
      </c>
      <c r="T81" s="459">
        <f t="shared" si="202"/>
        <v>51451.61290322584</v>
      </c>
      <c r="V81" s="145">
        <v>29</v>
      </c>
      <c r="W81" s="459">
        <f t="shared" si="203"/>
        <v>673548.38709677395</v>
      </c>
      <c r="X81" s="459">
        <f t="shared" si="204"/>
        <v>65483.870967741896</v>
      </c>
      <c r="Z81" s="145">
        <v>29</v>
      </c>
      <c r="NP81" s="1"/>
      <c r="RZ81" s="459"/>
    </row>
    <row r="82" spans="2:494" s="145" customFormat="1" hidden="1">
      <c r="B82" s="145">
        <v>30</v>
      </c>
      <c r="C82" s="459"/>
      <c r="D82" s="459"/>
      <c r="N82" s="145">
        <v>30</v>
      </c>
      <c r="O82" s="459">
        <f t="shared" si="199"/>
        <v>3483870.967741935</v>
      </c>
      <c r="P82" s="986">
        <f t="shared" si="200"/>
        <v>227419.35483870978</v>
      </c>
      <c r="R82" s="145">
        <v>30</v>
      </c>
      <c r="S82" s="459">
        <f t="shared" si="201"/>
        <v>1016129.0322580652</v>
      </c>
      <c r="T82" s="459">
        <f t="shared" si="202"/>
        <v>53225.806451612938</v>
      </c>
      <c r="V82" s="145">
        <v>30</v>
      </c>
      <c r="W82" s="459">
        <f t="shared" si="203"/>
        <v>696774.1935483868</v>
      </c>
      <c r="X82" s="459">
        <f t="shared" si="204"/>
        <v>67741.935483870926</v>
      </c>
      <c r="NP82" s="1"/>
      <c r="RZ82" s="459"/>
    </row>
    <row r="83" spans="2:494" s="145" customFormat="1" hidden="1">
      <c r="B83" s="145">
        <v>31</v>
      </c>
      <c r="C83" s="459"/>
      <c r="D83" s="459"/>
      <c r="N83" s="145">
        <v>31</v>
      </c>
      <c r="O83" s="459">
        <f t="shared" si="199"/>
        <v>3599999.9999999995</v>
      </c>
      <c r="P83" s="986">
        <f t="shared" si="200"/>
        <v>235000.00000000012</v>
      </c>
      <c r="Q83" s="982"/>
      <c r="R83" s="145">
        <v>31</v>
      </c>
      <c r="S83" s="459">
        <f t="shared" si="201"/>
        <v>1050000.0000000007</v>
      </c>
      <c r="T83" s="459">
        <f t="shared" si="202"/>
        <v>55000.000000000036</v>
      </c>
      <c r="U83" s="982"/>
      <c r="V83" s="145">
        <v>31</v>
      </c>
      <c r="W83" s="459">
        <f t="shared" si="203"/>
        <v>719999.99999999965</v>
      </c>
      <c r="X83" s="459">
        <f t="shared" si="204"/>
        <v>69999.999999999956</v>
      </c>
      <c r="NP83" s="1"/>
      <c r="RZ83" s="459"/>
    </row>
    <row r="84" spans="2:494" s="145" customFormat="1" hidden="1">
      <c r="NP84" s="1"/>
      <c r="RZ84" s="459"/>
    </row>
    <row r="85" spans="2:494" s="145" customFormat="1" hidden="1">
      <c r="NP85" s="1"/>
      <c r="RZ85" s="459"/>
    </row>
    <row r="86" spans="2:494" s="145" customFormat="1" hidden="1">
      <c r="NP86" s="1"/>
      <c r="RZ86" s="459"/>
    </row>
    <row r="87" spans="2:494" s="145" customFormat="1" hidden="1">
      <c r="NP87" s="1"/>
      <c r="RZ87" s="459"/>
    </row>
    <row r="88" spans="2:494" s="145" customFormat="1" hidden="1">
      <c r="W88" s="459"/>
      <c r="X88" s="459"/>
      <c r="NP88" s="1"/>
      <c r="RZ88" s="459"/>
    </row>
    <row r="89" spans="2:494" s="145" customFormat="1" hidden="1">
      <c r="O89" s="489"/>
      <c r="P89" s="489"/>
      <c r="S89" s="489"/>
      <c r="T89" s="489"/>
      <c r="W89" s="489"/>
      <c r="X89" s="489"/>
      <c r="NP89" s="1"/>
      <c r="RZ89" s="459"/>
    </row>
    <row r="90" spans="2:494" s="145" customFormat="1" hidden="1">
      <c r="O90" s="489">
        <f>O43/31</f>
        <v>79032.258064516136</v>
      </c>
      <c r="P90" s="489">
        <f>P43/31</f>
        <v>6612.9032258064517</v>
      </c>
      <c r="S90" s="489">
        <f>S43/31</f>
        <v>29032.258064516129</v>
      </c>
      <c r="T90" s="489">
        <f>T43/31</f>
        <v>1774.1935483870968</v>
      </c>
      <c r="W90" s="489">
        <f>SUM(W43+AA43)/31</f>
        <v>21935.483870967742</v>
      </c>
      <c r="X90" s="489">
        <f>SUM(X43+AB43)/31</f>
        <v>2096.7741935483873</v>
      </c>
      <c r="NP90" s="1"/>
      <c r="RZ90" s="459"/>
    </row>
    <row r="91" spans="2:494" s="145" customFormat="1" hidden="1">
      <c r="NP91" s="1"/>
      <c r="RZ91" s="459"/>
    </row>
    <row r="92" spans="2:494" s="145" customFormat="1" hidden="1">
      <c r="NP92" s="1"/>
      <c r="RZ92" s="459"/>
    </row>
    <row r="93" spans="2:494" s="145" customFormat="1" hidden="1">
      <c r="NP93" s="1"/>
      <c r="RZ93" s="459"/>
    </row>
    <row r="94" spans="2:494" s="145" customFormat="1" hidden="1">
      <c r="M94" s="982"/>
      <c r="O94" s="1076">
        <v>85322.580645161288</v>
      </c>
      <c r="P94" s="1076">
        <v>5483.8709677419356</v>
      </c>
      <c r="Q94" s="459"/>
      <c r="R94" s="459"/>
      <c r="S94" s="983">
        <v>27419.354838709678</v>
      </c>
      <c r="T94" s="983">
        <v>1225.8064516129032</v>
      </c>
      <c r="U94" s="984"/>
      <c r="V94" s="984"/>
      <c r="W94" s="1076">
        <v>29354.83870967742</v>
      </c>
      <c r="X94" s="983">
        <v>2161.2903225806454</v>
      </c>
      <c r="Y94" s="985"/>
      <c r="Z94" s="985"/>
      <c r="AB94" s="459">
        <f>P94*31</f>
        <v>170000</v>
      </c>
      <c r="JN94" s="432"/>
      <c r="NP94" s="1"/>
      <c r="RZ94" s="459"/>
    </row>
    <row r="95" spans="2:494" s="145" customFormat="1" hidden="1">
      <c r="B95" s="145">
        <v>1</v>
      </c>
      <c r="C95" s="459"/>
      <c r="D95" s="459"/>
      <c r="M95" s="982"/>
      <c r="N95" s="145">
        <v>1</v>
      </c>
      <c r="O95" s="459">
        <f>O94</f>
        <v>85322.580645161288</v>
      </c>
      <c r="P95" s="459">
        <f>P94</f>
        <v>5483.8709677419356</v>
      </c>
      <c r="R95" s="145">
        <v>1</v>
      </c>
      <c r="S95" s="459">
        <f>S94</f>
        <v>27419.354838709678</v>
      </c>
      <c r="T95" s="145">
        <f>T94</f>
        <v>1225.8064516129032</v>
      </c>
      <c r="V95" s="145">
        <v>1</v>
      </c>
      <c r="W95" s="459">
        <f>W94</f>
        <v>29354.83870967742</v>
      </c>
      <c r="X95" s="459">
        <f>X94</f>
        <v>2161.2903225806454</v>
      </c>
      <c r="Z95" s="145">
        <v>1</v>
      </c>
      <c r="NP95" s="1"/>
      <c r="RZ95" s="459"/>
    </row>
    <row r="96" spans="2:494" s="145" customFormat="1" hidden="1">
      <c r="B96" s="145">
        <v>2</v>
      </c>
      <c r="C96" s="459"/>
      <c r="D96" s="459"/>
      <c r="M96" s="982"/>
      <c r="N96" s="145">
        <v>2</v>
      </c>
      <c r="O96" s="459">
        <f t="shared" ref="O96:O125" si="205">O95+($O$94)</f>
        <v>170645.16129032258</v>
      </c>
      <c r="P96" s="459">
        <f t="shared" ref="P96:P125" si="206">P95+($P$94)</f>
        <v>10967.741935483871</v>
      </c>
      <c r="R96" s="145">
        <v>2</v>
      </c>
      <c r="S96" s="459">
        <f t="shared" ref="S96:S125" si="207">S95+($S$94)</f>
        <v>54838.709677419356</v>
      </c>
      <c r="T96" s="489">
        <f t="shared" ref="T96:T125" si="208">T95+($T$94)</f>
        <v>2451.6129032258063</v>
      </c>
      <c r="V96" s="145">
        <v>2</v>
      </c>
      <c r="W96" s="459">
        <f t="shared" ref="W96:W125" si="209">W95+($W$94)</f>
        <v>58709.677419354841</v>
      </c>
      <c r="X96" s="459">
        <f t="shared" ref="X96:X125" si="210">X95+$X$94</f>
        <v>4322.5806451612907</v>
      </c>
      <c r="Z96" s="145">
        <v>2</v>
      </c>
      <c r="NP96" s="1"/>
      <c r="RZ96" s="459"/>
    </row>
    <row r="97" spans="2:494" s="145" customFormat="1" hidden="1">
      <c r="B97" s="145">
        <v>3</v>
      </c>
      <c r="C97" s="459"/>
      <c r="D97" s="459"/>
      <c r="M97" s="982"/>
      <c r="N97" s="145">
        <v>3</v>
      </c>
      <c r="O97" s="459">
        <f t="shared" si="205"/>
        <v>255967.74193548388</v>
      </c>
      <c r="P97" s="459">
        <f t="shared" si="206"/>
        <v>16451.612903225807</v>
      </c>
      <c r="R97" s="145">
        <v>3</v>
      </c>
      <c r="S97" s="459">
        <f t="shared" si="207"/>
        <v>82258.06451612903</v>
      </c>
      <c r="T97" s="489">
        <f t="shared" si="208"/>
        <v>3677.4193548387093</v>
      </c>
      <c r="V97" s="145">
        <v>3</v>
      </c>
      <c r="W97" s="459">
        <f t="shared" si="209"/>
        <v>88064.516129032258</v>
      </c>
      <c r="X97" s="459">
        <f t="shared" si="210"/>
        <v>6483.8709677419356</v>
      </c>
      <c r="Z97" s="145">
        <v>3</v>
      </c>
      <c r="NP97" s="1"/>
      <c r="RZ97" s="459"/>
    </row>
    <row r="98" spans="2:494" s="145" customFormat="1" hidden="1">
      <c r="B98" s="145">
        <v>4</v>
      </c>
      <c r="C98" s="459"/>
      <c r="D98" s="459"/>
      <c r="M98" s="982"/>
      <c r="N98" s="145">
        <v>4</v>
      </c>
      <c r="O98" s="459">
        <f t="shared" si="205"/>
        <v>341290.32258064515</v>
      </c>
      <c r="P98" s="459">
        <f t="shared" si="206"/>
        <v>21935.483870967742</v>
      </c>
      <c r="R98" s="145">
        <v>4</v>
      </c>
      <c r="S98" s="459">
        <f t="shared" si="207"/>
        <v>109677.41935483871</v>
      </c>
      <c r="T98" s="489">
        <f t="shared" si="208"/>
        <v>4903.2258064516127</v>
      </c>
      <c r="V98" s="145">
        <v>4</v>
      </c>
      <c r="W98" s="459">
        <f t="shared" si="209"/>
        <v>117419.35483870968</v>
      </c>
      <c r="X98" s="459">
        <f t="shared" si="210"/>
        <v>8645.1612903225814</v>
      </c>
      <c r="Z98" s="145">
        <v>4</v>
      </c>
      <c r="NP98" s="1"/>
      <c r="RZ98" s="459"/>
    </row>
    <row r="99" spans="2:494" s="145" customFormat="1" hidden="1">
      <c r="B99" s="145">
        <v>5</v>
      </c>
      <c r="C99" s="459"/>
      <c r="D99" s="459"/>
      <c r="M99" s="982"/>
      <c r="N99" s="145">
        <v>5</v>
      </c>
      <c r="O99" s="459">
        <f t="shared" si="205"/>
        <v>426612.90322580643</v>
      </c>
      <c r="P99" s="459">
        <f t="shared" si="206"/>
        <v>27419.354838709678</v>
      </c>
      <c r="R99" s="145">
        <v>5</v>
      </c>
      <c r="S99" s="459">
        <f t="shared" si="207"/>
        <v>137096.77419354839</v>
      </c>
      <c r="T99" s="489">
        <f t="shared" si="208"/>
        <v>6129.0322580645161</v>
      </c>
      <c r="V99" s="145">
        <v>5</v>
      </c>
      <c r="W99" s="459">
        <f t="shared" si="209"/>
        <v>146774.19354838709</v>
      </c>
      <c r="X99" s="459">
        <f t="shared" si="210"/>
        <v>10806.451612903227</v>
      </c>
      <c r="Z99" s="145">
        <v>5</v>
      </c>
      <c r="NP99" s="1"/>
      <c r="RZ99" s="459"/>
    </row>
    <row r="100" spans="2:494" s="145" customFormat="1" hidden="1">
      <c r="B100" s="145">
        <v>6</v>
      </c>
      <c r="C100" s="459"/>
      <c r="D100" s="459"/>
      <c r="M100" s="982"/>
      <c r="N100" s="145">
        <v>6</v>
      </c>
      <c r="O100" s="459">
        <f t="shared" si="205"/>
        <v>511935.4838709677</v>
      </c>
      <c r="P100" s="459">
        <f t="shared" si="206"/>
        <v>32903.225806451614</v>
      </c>
      <c r="R100" s="145">
        <v>6</v>
      </c>
      <c r="S100" s="459">
        <f t="shared" si="207"/>
        <v>164516.12903225806</v>
      </c>
      <c r="T100" s="489">
        <f t="shared" si="208"/>
        <v>7354.8387096774195</v>
      </c>
      <c r="V100" s="145">
        <v>6</v>
      </c>
      <c r="W100" s="459">
        <f t="shared" si="209"/>
        <v>176129.03225806452</v>
      </c>
      <c r="X100" s="459">
        <f t="shared" si="210"/>
        <v>12967.741935483873</v>
      </c>
      <c r="Z100" s="145">
        <v>6</v>
      </c>
      <c r="NP100" s="1"/>
      <c r="RZ100" s="459"/>
    </row>
    <row r="101" spans="2:494" s="145" customFormat="1" hidden="1">
      <c r="B101" s="145">
        <v>7</v>
      </c>
      <c r="C101" s="459"/>
      <c r="D101" s="459"/>
      <c r="M101" s="982"/>
      <c r="N101" s="145">
        <v>7</v>
      </c>
      <c r="O101" s="459">
        <f t="shared" si="205"/>
        <v>597258.06451612897</v>
      </c>
      <c r="P101" s="459">
        <f t="shared" si="206"/>
        <v>38387.096774193546</v>
      </c>
      <c r="R101" s="145">
        <v>7</v>
      </c>
      <c r="S101" s="459">
        <f t="shared" si="207"/>
        <v>191935.48387096773</v>
      </c>
      <c r="T101" s="489">
        <f t="shared" si="208"/>
        <v>8580.645161290322</v>
      </c>
      <c r="V101" s="145">
        <v>7</v>
      </c>
      <c r="W101" s="459">
        <f t="shared" si="209"/>
        <v>205483.87096774194</v>
      </c>
      <c r="X101" s="459">
        <f t="shared" si="210"/>
        <v>15129.032258064519</v>
      </c>
      <c r="Z101" s="145">
        <v>7</v>
      </c>
      <c r="NP101" s="1"/>
      <c r="RZ101" s="459"/>
    </row>
    <row r="102" spans="2:494" s="145" customFormat="1" hidden="1">
      <c r="B102" s="145">
        <v>8</v>
      </c>
      <c r="C102" s="459"/>
      <c r="D102" s="459"/>
      <c r="M102" s="982"/>
      <c r="N102" s="145">
        <v>8</v>
      </c>
      <c r="O102" s="459">
        <f t="shared" si="205"/>
        <v>682580.6451612903</v>
      </c>
      <c r="P102" s="459">
        <f t="shared" si="206"/>
        <v>43870.967741935485</v>
      </c>
      <c r="R102" s="145">
        <v>8</v>
      </c>
      <c r="S102" s="459">
        <f t="shared" si="207"/>
        <v>219354.83870967739</v>
      </c>
      <c r="T102" s="489">
        <f t="shared" si="208"/>
        <v>9806.4516129032254</v>
      </c>
      <c r="V102" s="145">
        <v>8</v>
      </c>
      <c r="W102" s="459">
        <f t="shared" si="209"/>
        <v>234838.70967741936</v>
      </c>
      <c r="X102" s="459">
        <f t="shared" si="210"/>
        <v>17290.322580645163</v>
      </c>
      <c r="Z102" s="145">
        <v>8</v>
      </c>
      <c r="AP102" s="145">
        <v>37911.700000000004</v>
      </c>
      <c r="NP102" s="1"/>
      <c r="RZ102" s="459"/>
    </row>
    <row r="103" spans="2:494" s="145" customFormat="1" hidden="1">
      <c r="B103" s="145">
        <v>9</v>
      </c>
      <c r="C103" s="459"/>
      <c r="D103" s="459"/>
      <c r="M103" s="982"/>
      <c r="N103" s="145">
        <v>9</v>
      </c>
      <c r="O103" s="459">
        <f t="shared" si="205"/>
        <v>767903.22580645164</v>
      </c>
      <c r="P103" s="459">
        <f t="shared" si="206"/>
        <v>49354.838709677424</v>
      </c>
      <c r="R103" s="145">
        <v>9</v>
      </c>
      <c r="S103" s="459">
        <f t="shared" si="207"/>
        <v>246774.19354838706</v>
      </c>
      <c r="T103" s="489">
        <f t="shared" si="208"/>
        <v>11032.258064516129</v>
      </c>
      <c r="V103" s="145">
        <v>9</v>
      </c>
      <c r="W103" s="459">
        <f t="shared" si="209"/>
        <v>264193.54838709679</v>
      </c>
      <c r="X103" s="459">
        <f t="shared" si="210"/>
        <v>19451.612903225807</v>
      </c>
      <c r="Z103" s="145">
        <v>9</v>
      </c>
      <c r="NP103" s="1"/>
      <c r="RZ103" s="459"/>
    </row>
    <row r="104" spans="2:494" s="145" customFormat="1" hidden="1">
      <c r="B104" s="145">
        <v>10</v>
      </c>
      <c r="C104" s="459"/>
      <c r="D104" s="459"/>
      <c r="M104" s="982"/>
      <c r="N104" s="145">
        <v>10</v>
      </c>
      <c r="O104" s="459">
        <f t="shared" si="205"/>
        <v>853225.80645161297</v>
      </c>
      <c r="P104" s="459">
        <f t="shared" si="206"/>
        <v>54838.709677419363</v>
      </c>
      <c r="R104" s="145">
        <v>10</v>
      </c>
      <c r="S104" s="459">
        <f t="shared" si="207"/>
        <v>274193.54838709673</v>
      </c>
      <c r="T104" s="489">
        <f t="shared" si="208"/>
        <v>12258.064516129032</v>
      </c>
      <c r="V104" s="145">
        <v>10</v>
      </c>
      <c r="W104" s="459">
        <f t="shared" si="209"/>
        <v>293548.38709677418</v>
      </c>
      <c r="X104" s="459">
        <f t="shared" si="210"/>
        <v>21612.903225806451</v>
      </c>
      <c r="Z104" s="145">
        <v>10</v>
      </c>
      <c r="NP104" s="1"/>
      <c r="RZ104" s="459"/>
    </row>
    <row r="105" spans="2:494" s="145" customFormat="1" hidden="1">
      <c r="B105" s="145">
        <v>11</v>
      </c>
      <c r="C105" s="459"/>
      <c r="D105" s="459"/>
      <c r="M105" s="982"/>
      <c r="N105" s="145">
        <v>11</v>
      </c>
      <c r="O105" s="459">
        <f t="shared" si="205"/>
        <v>938548.3870967743</v>
      </c>
      <c r="P105" s="459">
        <f t="shared" si="206"/>
        <v>60322.580645161303</v>
      </c>
      <c r="R105" s="145">
        <v>11</v>
      </c>
      <c r="S105" s="459">
        <f t="shared" si="207"/>
        <v>301612.90322580643</v>
      </c>
      <c r="T105" s="489">
        <f t="shared" si="208"/>
        <v>13483.870967741936</v>
      </c>
      <c r="V105" s="145">
        <v>11</v>
      </c>
      <c r="W105" s="459">
        <f t="shared" si="209"/>
        <v>322903.22580645158</v>
      </c>
      <c r="X105" s="459">
        <f t="shared" si="210"/>
        <v>23774.193548387095</v>
      </c>
      <c r="Z105" s="145">
        <v>11</v>
      </c>
      <c r="NP105" s="1"/>
      <c r="RZ105" s="459"/>
    </row>
    <row r="106" spans="2:494" s="145" customFormat="1" hidden="1">
      <c r="B106" s="145">
        <v>12</v>
      </c>
      <c r="C106" s="459"/>
      <c r="D106" s="459"/>
      <c r="M106" s="982"/>
      <c r="N106" s="145">
        <v>12</v>
      </c>
      <c r="O106" s="459">
        <f t="shared" si="205"/>
        <v>1023870.9677419356</v>
      </c>
      <c r="P106" s="459">
        <f t="shared" si="206"/>
        <v>65806.451612903242</v>
      </c>
      <c r="R106" s="145">
        <v>12</v>
      </c>
      <c r="S106" s="459">
        <f t="shared" si="207"/>
        <v>329032.25806451612</v>
      </c>
      <c r="T106" s="489">
        <f t="shared" si="208"/>
        <v>14709.677419354839</v>
      </c>
      <c r="V106" s="145">
        <v>12</v>
      </c>
      <c r="W106" s="459">
        <f t="shared" si="209"/>
        <v>352258.06451612897</v>
      </c>
      <c r="X106" s="459">
        <f t="shared" si="210"/>
        <v>25935.483870967739</v>
      </c>
      <c r="Z106" s="145">
        <v>12</v>
      </c>
      <c r="NP106" s="1"/>
      <c r="RZ106" s="459"/>
    </row>
    <row r="107" spans="2:494" s="145" customFormat="1" hidden="1">
      <c r="B107" s="145">
        <v>13</v>
      </c>
      <c r="C107" s="459"/>
      <c r="D107" s="459"/>
      <c r="M107" s="982"/>
      <c r="N107" s="145">
        <v>13</v>
      </c>
      <c r="O107" s="459">
        <f t="shared" si="205"/>
        <v>1109193.548387097</v>
      </c>
      <c r="P107" s="459">
        <f t="shared" si="206"/>
        <v>71290.322580645181</v>
      </c>
      <c r="R107" s="145">
        <v>13</v>
      </c>
      <c r="S107" s="459">
        <f t="shared" si="207"/>
        <v>356451.61290322582</v>
      </c>
      <c r="T107" s="489">
        <f t="shared" si="208"/>
        <v>15935.483870967742</v>
      </c>
      <c r="V107" s="145">
        <v>13</v>
      </c>
      <c r="W107" s="459">
        <f t="shared" si="209"/>
        <v>381612.90322580637</v>
      </c>
      <c r="X107" s="459">
        <f t="shared" si="210"/>
        <v>28096.774193548383</v>
      </c>
      <c r="Z107" s="145">
        <v>13</v>
      </c>
      <c r="NP107" s="1"/>
      <c r="RZ107" s="459"/>
    </row>
    <row r="108" spans="2:494" s="145" customFormat="1" hidden="1">
      <c r="B108" s="145">
        <v>14</v>
      </c>
      <c r="C108" s="459"/>
      <c r="D108" s="459"/>
      <c r="M108" s="982"/>
      <c r="N108" s="145">
        <v>14</v>
      </c>
      <c r="O108" s="459">
        <f t="shared" si="205"/>
        <v>1194516.1290322582</v>
      </c>
      <c r="P108" s="459">
        <f t="shared" si="206"/>
        <v>76774.19354838712</v>
      </c>
      <c r="R108" s="145">
        <v>14</v>
      </c>
      <c r="S108" s="459">
        <f t="shared" si="207"/>
        <v>383870.96774193551</v>
      </c>
      <c r="T108" s="489">
        <f t="shared" si="208"/>
        <v>17161.290322580644</v>
      </c>
      <c r="V108" s="145">
        <v>14</v>
      </c>
      <c r="W108" s="459">
        <f t="shared" si="209"/>
        <v>410967.74193548376</v>
      </c>
      <c r="X108" s="459">
        <f t="shared" si="210"/>
        <v>30258.064516129027</v>
      </c>
      <c r="Z108" s="145">
        <v>14</v>
      </c>
      <c r="NP108" s="1"/>
      <c r="RZ108" s="459"/>
    </row>
    <row r="109" spans="2:494" s="145" customFormat="1" hidden="1">
      <c r="B109" s="145">
        <v>15</v>
      </c>
      <c r="C109" s="459"/>
      <c r="D109" s="459"/>
      <c r="M109" s="982"/>
      <c r="N109" s="145">
        <v>15</v>
      </c>
      <c r="O109" s="459">
        <f t="shared" si="205"/>
        <v>1279838.7096774194</v>
      </c>
      <c r="P109" s="459">
        <f t="shared" si="206"/>
        <v>82258.064516129059</v>
      </c>
      <c r="R109" s="145">
        <v>15</v>
      </c>
      <c r="S109" s="459">
        <f t="shared" si="207"/>
        <v>411290.32258064521</v>
      </c>
      <c r="T109" s="489">
        <f t="shared" si="208"/>
        <v>18387.096774193546</v>
      </c>
      <c r="V109" s="145">
        <v>15</v>
      </c>
      <c r="W109" s="459">
        <f t="shared" si="209"/>
        <v>440322.58064516116</v>
      </c>
      <c r="X109" s="459">
        <f t="shared" si="210"/>
        <v>32419.354838709671</v>
      </c>
      <c r="Z109" s="145">
        <v>15</v>
      </c>
      <c r="NP109" s="1"/>
      <c r="RZ109" s="459"/>
    </row>
    <row r="110" spans="2:494" s="145" customFormat="1" hidden="1">
      <c r="B110" s="145">
        <v>16</v>
      </c>
      <c r="C110" s="459"/>
      <c r="D110" s="459"/>
      <c r="M110" s="982"/>
      <c r="N110" s="145">
        <v>16</v>
      </c>
      <c r="O110" s="459">
        <f t="shared" si="205"/>
        <v>1365161.2903225806</v>
      </c>
      <c r="P110" s="459">
        <f t="shared" si="206"/>
        <v>87741.935483870999</v>
      </c>
      <c r="R110" s="145">
        <v>16</v>
      </c>
      <c r="S110" s="459">
        <f t="shared" si="207"/>
        <v>438709.67741935491</v>
      </c>
      <c r="T110" s="489">
        <f t="shared" si="208"/>
        <v>19612.903225806447</v>
      </c>
      <c r="V110" s="145">
        <v>16</v>
      </c>
      <c r="W110" s="459">
        <f t="shared" si="209"/>
        <v>469677.41935483855</v>
      </c>
      <c r="X110" s="459">
        <f t="shared" si="210"/>
        <v>34580.645161290318</v>
      </c>
      <c r="Z110" s="145">
        <v>16</v>
      </c>
      <c r="NP110" s="1"/>
      <c r="RZ110" s="459"/>
    </row>
    <row r="111" spans="2:494" s="145" customFormat="1" hidden="1">
      <c r="B111" s="145">
        <v>17</v>
      </c>
      <c r="C111" s="459"/>
      <c r="D111" s="459"/>
      <c r="N111" s="145">
        <v>17</v>
      </c>
      <c r="O111" s="459">
        <f t="shared" si="205"/>
        <v>1450483.8709677418</v>
      </c>
      <c r="P111" s="459">
        <f t="shared" si="206"/>
        <v>93225.806451612938</v>
      </c>
      <c r="R111" s="145">
        <v>17</v>
      </c>
      <c r="S111" s="459">
        <f t="shared" si="207"/>
        <v>466129.0322580646</v>
      </c>
      <c r="T111" s="489">
        <f t="shared" si="208"/>
        <v>20838.709677419349</v>
      </c>
      <c r="V111" s="145">
        <v>17</v>
      </c>
      <c r="W111" s="459">
        <f t="shared" si="209"/>
        <v>499032.25806451595</v>
      </c>
      <c r="X111" s="459">
        <f t="shared" si="210"/>
        <v>36741.935483870962</v>
      </c>
      <c r="Z111" s="145">
        <v>17</v>
      </c>
      <c r="NP111" s="1"/>
      <c r="RZ111" s="459"/>
    </row>
    <row r="112" spans="2:494" s="145" customFormat="1" hidden="1">
      <c r="B112" s="145">
        <v>18</v>
      </c>
      <c r="C112" s="459"/>
      <c r="D112" s="459"/>
      <c r="N112" s="145">
        <v>18</v>
      </c>
      <c r="O112" s="459">
        <f t="shared" si="205"/>
        <v>1535806.451612903</v>
      </c>
      <c r="P112" s="459">
        <f t="shared" si="206"/>
        <v>98709.677419354877</v>
      </c>
      <c r="R112" s="145">
        <v>18</v>
      </c>
      <c r="S112" s="459">
        <f t="shared" si="207"/>
        <v>493548.3870967743</v>
      </c>
      <c r="T112" s="489">
        <f t="shared" si="208"/>
        <v>22064.51612903225</v>
      </c>
      <c r="V112" s="145">
        <v>18</v>
      </c>
      <c r="W112" s="459">
        <f t="shared" si="209"/>
        <v>528387.09677419334</v>
      </c>
      <c r="X112" s="459">
        <f t="shared" si="210"/>
        <v>38903.225806451606</v>
      </c>
      <c r="Z112" s="145">
        <v>18</v>
      </c>
      <c r="NP112" s="1"/>
      <c r="RZ112" s="459"/>
    </row>
    <row r="113" spans="2:494" s="145" customFormat="1" hidden="1">
      <c r="B113" s="145">
        <v>19</v>
      </c>
      <c r="C113" s="459"/>
      <c r="D113" s="459"/>
      <c r="N113" s="145">
        <v>19</v>
      </c>
      <c r="O113" s="459">
        <f t="shared" si="205"/>
        <v>1621129.0322580643</v>
      </c>
      <c r="P113" s="459">
        <f t="shared" si="206"/>
        <v>104193.54838709682</v>
      </c>
      <c r="R113" s="145">
        <v>19</v>
      </c>
      <c r="S113" s="459">
        <f t="shared" si="207"/>
        <v>520967.74193548399</v>
      </c>
      <c r="T113" s="489">
        <f t="shared" si="208"/>
        <v>23290.322580645152</v>
      </c>
      <c r="V113" s="145">
        <v>19</v>
      </c>
      <c r="W113" s="459">
        <f t="shared" si="209"/>
        <v>557741.93548387079</v>
      </c>
      <c r="X113" s="459">
        <f t="shared" si="210"/>
        <v>41064.51612903225</v>
      </c>
      <c r="Z113" s="145">
        <v>19</v>
      </c>
      <c r="NP113" s="1"/>
      <c r="RZ113" s="459"/>
    </row>
    <row r="114" spans="2:494" s="145" customFormat="1" hidden="1">
      <c r="B114" s="145">
        <v>20</v>
      </c>
      <c r="C114" s="459"/>
      <c r="D114" s="459"/>
      <c r="N114" s="145">
        <v>20</v>
      </c>
      <c r="O114" s="459">
        <f t="shared" si="205"/>
        <v>1706451.6129032255</v>
      </c>
      <c r="P114" s="459">
        <f t="shared" si="206"/>
        <v>109677.41935483876</v>
      </c>
      <c r="R114" s="145">
        <v>20</v>
      </c>
      <c r="S114" s="459">
        <f t="shared" si="207"/>
        <v>548387.09677419369</v>
      </c>
      <c r="T114" s="489">
        <f t="shared" si="208"/>
        <v>24516.129032258053</v>
      </c>
      <c r="V114" s="145">
        <v>20</v>
      </c>
      <c r="W114" s="459">
        <f t="shared" si="209"/>
        <v>587096.77419354825</v>
      </c>
      <c r="X114" s="459">
        <f t="shared" si="210"/>
        <v>43225.806451612894</v>
      </c>
      <c r="Z114" s="145">
        <v>20</v>
      </c>
      <c r="NP114" s="1"/>
      <c r="RZ114" s="459"/>
    </row>
    <row r="115" spans="2:494" s="145" customFormat="1" hidden="1">
      <c r="B115" s="145">
        <v>21</v>
      </c>
      <c r="C115" s="459"/>
      <c r="D115" s="459"/>
      <c r="N115" s="145">
        <v>21</v>
      </c>
      <c r="O115" s="459">
        <f t="shared" si="205"/>
        <v>1791774.1935483867</v>
      </c>
      <c r="P115" s="459">
        <f t="shared" si="206"/>
        <v>115161.29032258069</v>
      </c>
      <c r="R115" s="145">
        <v>21</v>
      </c>
      <c r="S115" s="459">
        <f t="shared" si="207"/>
        <v>575806.45161290339</v>
      </c>
      <c r="T115" s="489">
        <f t="shared" si="208"/>
        <v>25741.935483870955</v>
      </c>
      <c r="V115" s="145">
        <v>21</v>
      </c>
      <c r="W115" s="459">
        <f t="shared" si="209"/>
        <v>616451.6129032257</v>
      </c>
      <c r="X115" s="459">
        <f t="shared" si="210"/>
        <v>45387.096774193538</v>
      </c>
      <c r="Z115" s="145">
        <v>21</v>
      </c>
      <c r="NP115" s="1"/>
      <c r="RZ115" s="459"/>
    </row>
    <row r="116" spans="2:494" s="145" customFormat="1" hidden="1">
      <c r="B116" s="145">
        <v>22</v>
      </c>
      <c r="C116" s="459"/>
      <c r="D116" s="459"/>
      <c r="N116" s="145">
        <v>22</v>
      </c>
      <c r="O116" s="459">
        <f t="shared" si="205"/>
        <v>1877096.7741935479</v>
      </c>
      <c r="P116" s="459">
        <f t="shared" si="206"/>
        <v>120645.16129032263</v>
      </c>
      <c r="R116" s="145">
        <v>22</v>
      </c>
      <c r="S116" s="459">
        <f t="shared" si="207"/>
        <v>603225.80645161308</v>
      </c>
      <c r="T116" s="489">
        <f t="shared" si="208"/>
        <v>26967.741935483857</v>
      </c>
      <c r="V116" s="145">
        <v>22</v>
      </c>
      <c r="W116" s="459">
        <f t="shared" si="209"/>
        <v>645806.45161290315</v>
      </c>
      <c r="X116" s="459">
        <f t="shared" si="210"/>
        <v>47548.387096774182</v>
      </c>
      <c r="Z116" s="145">
        <v>22</v>
      </c>
      <c r="NP116" s="1"/>
      <c r="RZ116" s="459"/>
    </row>
    <row r="117" spans="2:494" s="145" customFormat="1" hidden="1">
      <c r="B117" s="145">
        <v>23</v>
      </c>
      <c r="C117" s="459"/>
      <c r="D117" s="459"/>
      <c r="N117" s="145">
        <v>23</v>
      </c>
      <c r="O117" s="459">
        <f t="shared" si="205"/>
        <v>1962419.3548387091</v>
      </c>
      <c r="P117" s="459">
        <f t="shared" si="206"/>
        <v>126129.03225806457</v>
      </c>
      <c r="R117" s="145">
        <v>23</v>
      </c>
      <c r="S117" s="459">
        <f t="shared" si="207"/>
        <v>630645.16129032278</v>
      </c>
      <c r="T117" s="489">
        <f t="shared" si="208"/>
        <v>28193.548387096758</v>
      </c>
      <c r="V117" s="145">
        <v>23</v>
      </c>
      <c r="W117" s="459">
        <f t="shared" si="209"/>
        <v>675161.29032258061</v>
      </c>
      <c r="X117" s="459">
        <f t="shared" si="210"/>
        <v>49709.677419354826</v>
      </c>
      <c r="Y117" s="459"/>
      <c r="Z117" s="145">
        <v>23</v>
      </c>
      <c r="NP117" s="1"/>
      <c r="RZ117" s="459"/>
    </row>
    <row r="118" spans="2:494" s="145" customFormat="1" hidden="1">
      <c r="B118" s="145">
        <v>24</v>
      </c>
      <c r="C118" s="459"/>
      <c r="D118" s="459"/>
      <c r="N118" s="145">
        <v>24</v>
      </c>
      <c r="O118" s="459">
        <f t="shared" si="205"/>
        <v>2047741.9354838703</v>
      </c>
      <c r="P118" s="459">
        <f t="shared" si="206"/>
        <v>131612.90322580651</v>
      </c>
      <c r="R118" s="145">
        <v>24</v>
      </c>
      <c r="S118" s="459">
        <f t="shared" si="207"/>
        <v>658064.51612903248</v>
      </c>
      <c r="T118" s="489">
        <f t="shared" si="208"/>
        <v>29419.35483870966</v>
      </c>
      <c r="V118" s="145">
        <v>24</v>
      </c>
      <c r="W118" s="459">
        <f t="shared" si="209"/>
        <v>704516.12903225806</v>
      </c>
      <c r="X118" s="459">
        <f t="shared" si="210"/>
        <v>51870.96774193547</v>
      </c>
      <c r="Z118" s="145">
        <v>24</v>
      </c>
      <c r="NP118" s="1"/>
      <c r="RZ118" s="459"/>
    </row>
    <row r="119" spans="2:494" s="145" customFormat="1" hidden="1">
      <c r="B119" s="145">
        <v>25</v>
      </c>
      <c r="C119" s="459"/>
      <c r="D119" s="459"/>
      <c r="N119" s="145">
        <v>25</v>
      </c>
      <c r="O119" s="459">
        <f t="shared" si="205"/>
        <v>2133064.5161290318</v>
      </c>
      <c r="P119" s="459">
        <f t="shared" si="206"/>
        <v>137096.77419354845</v>
      </c>
      <c r="R119" s="145">
        <v>25</v>
      </c>
      <c r="S119" s="459">
        <f t="shared" si="207"/>
        <v>685483.87096774217</v>
      </c>
      <c r="T119" s="489">
        <f t="shared" si="208"/>
        <v>30645.161290322561</v>
      </c>
      <c r="V119" s="145">
        <v>25</v>
      </c>
      <c r="W119" s="459">
        <f t="shared" si="209"/>
        <v>733870.96774193551</v>
      </c>
      <c r="X119" s="459">
        <f t="shared" si="210"/>
        <v>54032.258064516114</v>
      </c>
      <c r="Z119" s="145">
        <v>25</v>
      </c>
      <c r="NP119" s="1"/>
      <c r="RZ119" s="459"/>
    </row>
    <row r="120" spans="2:494" s="145" customFormat="1" hidden="1">
      <c r="B120" s="145">
        <v>26</v>
      </c>
      <c r="C120" s="459"/>
      <c r="D120" s="459"/>
      <c r="N120" s="145">
        <v>26</v>
      </c>
      <c r="O120" s="459">
        <f t="shared" si="205"/>
        <v>2218387.096774193</v>
      </c>
      <c r="P120" s="459">
        <f t="shared" si="206"/>
        <v>142580.64516129039</v>
      </c>
      <c r="R120" s="145">
        <v>26</v>
      </c>
      <c r="S120" s="459">
        <f t="shared" si="207"/>
        <v>712903.22580645187</v>
      </c>
      <c r="T120" s="489">
        <f t="shared" si="208"/>
        <v>31870.967741935463</v>
      </c>
      <c r="V120" s="145">
        <v>26</v>
      </c>
      <c r="W120" s="459">
        <f t="shared" si="209"/>
        <v>763225.80645161297</v>
      </c>
      <c r="X120" s="459">
        <f t="shared" si="210"/>
        <v>56193.548387096758</v>
      </c>
      <c r="Z120" s="145">
        <v>26</v>
      </c>
      <c r="NP120" s="1"/>
      <c r="RZ120" s="459"/>
    </row>
    <row r="121" spans="2:494" s="145" customFormat="1" hidden="1">
      <c r="B121" s="145">
        <v>27</v>
      </c>
      <c r="C121" s="459"/>
      <c r="D121" s="459"/>
      <c r="N121" s="145">
        <v>27</v>
      </c>
      <c r="O121" s="459">
        <f t="shared" si="205"/>
        <v>2303709.6774193542</v>
      </c>
      <c r="P121" s="459">
        <f t="shared" si="206"/>
        <v>148064.51612903233</v>
      </c>
      <c r="R121" s="145">
        <v>27</v>
      </c>
      <c r="S121" s="459">
        <f t="shared" si="207"/>
        <v>740322.58064516156</v>
      </c>
      <c r="T121" s="489">
        <f t="shared" si="208"/>
        <v>33096.774193548365</v>
      </c>
      <c r="V121" s="145">
        <v>27</v>
      </c>
      <c r="W121" s="459">
        <f t="shared" si="209"/>
        <v>792580.64516129042</v>
      </c>
      <c r="X121" s="459">
        <f t="shared" si="210"/>
        <v>58354.838709677402</v>
      </c>
      <c r="Z121" s="145">
        <v>27</v>
      </c>
      <c r="NP121" s="1"/>
      <c r="RZ121" s="459"/>
    </row>
    <row r="122" spans="2:494" s="145" customFormat="1" hidden="1">
      <c r="B122" s="145">
        <v>28</v>
      </c>
      <c r="C122" s="459"/>
      <c r="D122" s="459"/>
      <c r="N122" s="145">
        <v>28</v>
      </c>
      <c r="O122" s="459">
        <f t="shared" si="205"/>
        <v>2389032.2580645154</v>
      </c>
      <c r="P122" s="459">
        <f t="shared" si="206"/>
        <v>153548.38709677427</v>
      </c>
      <c r="R122" s="145">
        <v>28</v>
      </c>
      <c r="S122" s="459">
        <f t="shared" si="207"/>
        <v>767741.93548387126</v>
      </c>
      <c r="T122" s="489">
        <f t="shared" si="208"/>
        <v>34322.580645161266</v>
      </c>
      <c r="V122" s="145">
        <v>28</v>
      </c>
      <c r="W122" s="459">
        <f t="shared" si="209"/>
        <v>821935.48387096787</v>
      </c>
      <c r="X122" s="459">
        <f t="shared" si="210"/>
        <v>60516.129032258046</v>
      </c>
      <c r="Z122" s="145">
        <v>28</v>
      </c>
      <c r="NP122" s="1"/>
      <c r="RZ122" s="459"/>
    </row>
    <row r="123" spans="2:494" s="145" customFormat="1" hidden="1">
      <c r="B123" s="145">
        <v>29</v>
      </c>
      <c r="C123" s="459"/>
      <c r="D123" s="459"/>
      <c r="N123" s="145">
        <v>29</v>
      </c>
      <c r="O123" s="459">
        <f t="shared" si="205"/>
        <v>2474354.8387096766</v>
      </c>
      <c r="P123" s="459">
        <f t="shared" si="206"/>
        <v>159032.25806451621</v>
      </c>
      <c r="R123" s="145">
        <v>29</v>
      </c>
      <c r="S123" s="459">
        <f t="shared" si="207"/>
        <v>795161.29032258096</v>
      </c>
      <c r="T123" s="489">
        <f t="shared" si="208"/>
        <v>35548.387096774168</v>
      </c>
      <c r="V123" s="145">
        <v>29</v>
      </c>
      <c r="W123" s="459">
        <f t="shared" si="209"/>
        <v>851290.32258064533</v>
      </c>
      <c r="X123" s="459">
        <f t="shared" si="210"/>
        <v>62677.41935483869</v>
      </c>
      <c r="Z123" s="145">
        <v>29</v>
      </c>
      <c r="NP123" s="1"/>
      <c r="RZ123" s="459"/>
    </row>
    <row r="124" spans="2:494" s="145" customFormat="1" hidden="1">
      <c r="B124" s="145">
        <v>30</v>
      </c>
      <c r="C124" s="459"/>
      <c r="D124" s="459"/>
      <c r="N124" s="145">
        <v>30</v>
      </c>
      <c r="O124" s="459">
        <f t="shared" si="205"/>
        <v>2559677.4193548379</v>
      </c>
      <c r="P124" s="459">
        <f t="shared" si="206"/>
        <v>164516.12903225815</v>
      </c>
      <c r="R124" s="145">
        <v>30</v>
      </c>
      <c r="S124" s="459">
        <f t="shared" si="207"/>
        <v>822580.64516129065</v>
      </c>
      <c r="T124" s="489">
        <f t="shared" si="208"/>
        <v>36774.193548387069</v>
      </c>
      <c r="V124" s="145">
        <v>30</v>
      </c>
      <c r="W124" s="459">
        <f t="shared" si="209"/>
        <v>880645.16129032278</v>
      </c>
      <c r="X124" s="459">
        <f t="shared" si="210"/>
        <v>64838.709677419334</v>
      </c>
      <c r="Z124" s="145">
        <v>29</v>
      </c>
      <c r="NP124" s="1"/>
      <c r="RZ124" s="459"/>
    </row>
    <row r="125" spans="2:494" hidden="1">
      <c r="B125" s="145">
        <v>31</v>
      </c>
      <c r="C125" s="459"/>
      <c r="D125" s="459"/>
      <c r="N125" s="145">
        <v>31</v>
      </c>
      <c r="O125" s="459">
        <f t="shared" si="205"/>
        <v>2644999.9999999991</v>
      </c>
      <c r="P125" s="459">
        <f t="shared" si="206"/>
        <v>170000.00000000009</v>
      </c>
      <c r="Q125" s="985"/>
      <c r="R125" s="145">
        <v>31</v>
      </c>
      <c r="S125" s="459">
        <f t="shared" si="207"/>
        <v>850000.00000000035</v>
      </c>
      <c r="T125" s="489">
        <f t="shared" si="208"/>
        <v>37999.999999999971</v>
      </c>
      <c r="U125" s="985"/>
      <c r="V125" s="145">
        <v>31</v>
      </c>
      <c r="W125" s="459">
        <f t="shared" si="209"/>
        <v>910000.00000000023</v>
      </c>
      <c r="X125" s="459">
        <f t="shared" si="210"/>
        <v>66999.999999999985</v>
      </c>
      <c r="Y125" s="145"/>
      <c r="Z125" s="145">
        <v>29</v>
      </c>
      <c r="NP125" s="1"/>
      <c r="RZ125" s="1"/>
    </row>
    <row r="126" spans="2:494" hidden="1">
      <c r="NP126" s="1"/>
      <c r="RZ126" s="1"/>
    </row>
    <row r="127" spans="2:494" hidden="1">
      <c r="NP127" s="1"/>
      <c r="RZ127" s="1"/>
    </row>
    <row r="128" spans="2:494" hidden="1">
      <c r="NP128" s="1"/>
      <c r="RZ128" s="1"/>
    </row>
    <row r="129" spans="2:494" hidden="1">
      <c r="NP129" s="1"/>
      <c r="RZ129" s="1"/>
    </row>
    <row r="130" spans="2:494" hidden="1">
      <c r="NP130" s="1"/>
      <c r="RZ130" s="1"/>
    </row>
    <row r="131" spans="2:494" hidden="1">
      <c r="P131" s="887"/>
      <c r="NP131" s="1"/>
      <c r="RZ131" s="1"/>
    </row>
    <row r="132" spans="2:494" hidden="1">
      <c r="O132" s="347">
        <f>'Summary TIS'!AE3/31</f>
        <v>32385.788599704119</v>
      </c>
      <c r="P132" s="347">
        <f>'Summary TIS'!AE8/31</f>
        <v>2129.0322580645161</v>
      </c>
      <c r="NP132" s="1"/>
      <c r="RZ132" s="1"/>
    </row>
    <row r="133" spans="2:494" hidden="1">
      <c r="O133" s="347"/>
      <c r="P133" s="347"/>
      <c r="NP133" s="1"/>
      <c r="RZ133" s="1"/>
    </row>
    <row r="134" spans="2:494" ht="23.4" hidden="1">
      <c r="C134" s="1075"/>
      <c r="O134" s="347"/>
      <c r="P134" s="347"/>
      <c r="NP134" s="1"/>
      <c r="RZ134" s="1"/>
    </row>
    <row r="135" spans="2:494" hidden="1">
      <c r="O135" s="2161">
        <v>32385.788599704119</v>
      </c>
      <c r="P135" s="2161">
        <v>2129.0322580645161</v>
      </c>
      <c r="NP135" s="1"/>
      <c r="RZ135" s="1"/>
    </row>
    <row r="136" spans="2:494" hidden="1">
      <c r="B136">
        <v>1</v>
      </c>
      <c r="N136">
        <v>1</v>
      </c>
      <c r="O136" s="1067">
        <f>O135</f>
        <v>32385.788599704119</v>
      </c>
      <c r="P136" s="1067">
        <f>P135</f>
        <v>2129.0322580645161</v>
      </c>
      <c r="NP136" s="1"/>
      <c r="RZ136" s="1"/>
    </row>
    <row r="137" spans="2:494" hidden="1">
      <c r="B137">
        <v>2</v>
      </c>
      <c r="N137">
        <v>2</v>
      </c>
      <c r="O137" s="1067">
        <f t="shared" ref="O137:O166" si="211">O136+($O$135)</f>
        <v>64771.577199408239</v>
      </c>
      <c r="P137" s="1067">
        <f t="shared" ref="P137:P166" si="212">P136+($P$135)</f>
        <v>4258.0645161290322</v>
      </c>
      <c r="T137">
        <f>74000/31</f>
        <v>2387.0967741935483</v>
      </c>
      <c r="NP137" s="1"/>
      <c r="RZ137" s="1"/>
    </row>
    <row r="138" spans="2:494" hidden="1">
      <c r="B138">
        <v>3</v>
      </c>
      <c r="N138">
        <v>3</v>
      </c>
      <c r="O138" s="1067">
        <f t="shared" si="211"/>
        <v>97157.365799112362</v>
      </c>
      <c r="P138" s="1067">
        <f t="shared" si="212"/>
        <v>6387.0967741935483</v>
      </c>
      <c r="NP138" s="1"/>
      <c r="RZ138" s="1"/>
    </row>
    <row r="139" spans="2:494" hidden="1">
      <c r="B139">
        <v>4</v>
      </c>
      <c r="N139">
        <v>4</v>
      </c>
      <c r="O139" s="1067">
        <f t="shared" si="211"/>
        <v>129543.15439881648</v>
      </c>
      <c r="P139" s="1067">
        <f t="shared" si="212"/>
        <v>8516.1290322580644</v>
      </c>
      <c r="NP139" s="1"/>
      <c r="RZ139" s="1"/>
    </row>
    <row r="140" spans="2:494" hidden="1">
      <c r="B140">
        <v>5</v>
      </c>
      <c r="N140">
        <v>5</v>
      </c>
      <c r="O140" s="1067">
        <f t="shared" si="211"/>
        <v>161928.94299852059</v>
      </c>
      <c r="P140" s="1067">
        <f t="shared" si="212"/>
        <v>10645.16129032258</v>
      </c>
      <c r="NP140" s="1"/>
      <c r="RZ140" s="1"/>
    </row>
    <row r="141" spans="2:494" hidden="1">
      <c r="B141">
        <v>6</v>
      </c>
      <c r="N141">
        <v>6</v>
      </c>
      <c r="O141" s="1067">
        <f t="shared" si="211"/>
        <v>194314.73159822472</v>
      </c>
      <c r="P141" s="1067">
        <f t="shared" si="212"/>
        <v>12774.193548387095</v>
      </c>
      <c r="NP141" s="1"/>
      <c r="RZ141" s="1"/>
    </row>
    <row r="142" spans="2:494" hidden="1">
      <c r="B142">
        <v>7</v>
      </c>
      <c r="N142">
        <v>7</v>
      </c>
      <c r="O142" s="1067">
        <f t="shared" si="211"/>
        <v>226700.52019792885</v>
      </c>
      <c r="P142" s="1067">
        <f t="shared" si="212"/>
        <v>14903.22580645161</v>
      </c>
      <c r="NP142" s="1"/>
      <c r="RZ142" s="1"/>
    </row>
    <row r="143" spans="2:494" hidden="1">
      <c r="B143">
        <v>8</v>
      </c>
      <c r="N143">
        <v>8</v>
      </c>
      <c r="O143" s="1067">
        <f t="shared" si="211"/>
        <v>259086.30879763298</v>
      </c>
      <c r="P143" s="1067">
        <f t="shared" si="212"/>
        <v>17032.258064516125</v>
      </c>
      <c r="NP143" s="1"/>
      <c r="RZ143" s="1"/>
    </row>
    <row r="144" spans="2:494" hidden="1">
      <c r="B144">
        <v>9</v>
      </c>
      <c r="N144">
        <v>9</v>
      </c>
      <c r="O144" s="1067">
        <f t="shared" si="211"/>
        <v>291472.09739733709</v>
      </c>
      <c r="P144" s="1067">
        <f t="shared" si="212"/>
        <v>19161.29032258064</v>
      </c>
      <c r="NP144" s="1"/>
      <c r="RZ144" s="1"/>
    </row>
    <row r="145" spans="2:494" hidden="1">
      <c r="B145">
        <v>10</v>
      </c>
      <c r="N145">
        <v>10</v>
      </c>
      <c r="O145" s="1067">
        <f t="shared" si="211"/>
        <v>323857.88599704119</v>
      </c>
      <c r="P145" s="1067">
        <f t="shared" si="212"/>
        <v>21290.322580645156</v>
      </c>
      <c r="NP145" s="1"/>
      <c r="RZ145" s="1"/>
    </row>
    <row r="146" spans="2:494" hidden="1">
      <c r="B146">
        <v>11</v>
      </c>
      <c r="N146">
        <v>11</v>
      </c>
      <c r="O146" s="1067">
        <f t="shared" si="211"/>
        <v>356243.67459674529</v>
      </c>
      <c r="P146" s="1067">
        <f t="shared" si="212"/>
        <v>23419.354838709671</v>
      </c>
      <c r="NP146" s="1"/>
      <c r="RZ146" s="1"/>
    </row>
    <row r="147" spans="2:494" hidden="1">
      <c r="B147">
        <v>12</v>
      </c>
      <c r="N147">
        <v>12</v>
      </c>
      <c r="O147" s="1067">
        <f t="shared" si="211"/>
        <v>388629.46319644939</v>
      </c>
      <c r="P147" s="1067">
        <f t="shared" si="212"/>
        <v>25548.387096774186</v>
      </c>
      <c r="NP147" s="1"/>
      <c r="RZ147" s="1"/>
    </row>
    <row r="148" spans="2:494" hidden="1">
      <c r="B148">
        <v>13</v>
      </c>
      <c r="N148">
        <v>13</v>
      </c>
      <c r="O148" s="1067">
        <f t="shared" si="211"/>
        <v>421015.25179615349</v>
      </c>
      <c r="P148" s="1067">
        <f t="shared" si="212"/>
        <v>27677.419354838701</v>
      </c>
      <c r="NP148" s="1"/>
      <c r="RZ148" s="1"/>
    </row>
    <row r="149" spans="2:494" hidden="1">
      <c r="B149">
        <v>14</v>
      </c>
      <c r="N149">
        <v>14</v>
      </c>
      <c r="O149" s="1067">
        <f t="shared" si="211"/>
        <v>453401.04039585759</v>
      </c>
      <c r="P149" s="1067">
        <f t="shared" si="212"/>
        <v>29806.451612903216</v>
      </c>
      <c r="NP149" s="1"/>
      <c r="RZ149" s="1"/>
    </row>
    <row r="150" spans="2:494" hidden="1">
      <c r="B150">
        <v>15</v>
      </c>
      <c r="N150">
        <v>15</v>
      </c>
      <c r="O150" s="1067">
        <f t="shared" si="211"/>
        <v>485786.82899556169</v>
      </c>
      <c r="P150" s="1067">
        <f t="shared" si="212"/>
        <v>31935.483870967731</v>
      </c>
      <c r="NP150" s="1"/>
      <c r="RZ150" s="1"/>
    </row>
    <row r="151" spans="2:494" hidden="1">
      <c r="B151">
        <v>16</v>
      </c>
      <c r="N151">
        <v>16</v>
      </c>
      <c r="O151" s="1067">
        <f t="shared" si="211"/>
        <v>518172.61759526579</v>
      </c>
      <c r="P151" s="1067">
        <f t="shared" si="212"/>
        <v>34064.51612903225</v>
      </c>
      <c r="NP151" s="1"/>
      <c r="RZ151" s="1"/>
    </row>
    <row r="152" spans="2:494" hidden="1">
      <c r="B152">
        <v>17</v>
      </c>
      <c r="N152">
        <v>17</v>
      </c>
      <c r="O152" s="1067">
        <f t="shared" si="211"/>
        <v>550558.4061949699</v>
      </c>
      <c r="P152" s="1067">
        <f t="shared" si="212"/>
        <v>36193.548387096766</v>
      </c>
      <c r="NP152" s="1"/>
      <c r="RZ152" s="1"/>
    </row>
    <row r="153" spans="2:494" hidden="1">
      <c r="B153">
        <v>18</v>
      </c>
      <c r="N153">
        <v>18</v>
      </c>
      <c r="O153" s="1067">
        <f t="shared" si="211"/>
        <v>582944.19479467405</v>
      </c>
      <c r="P153" s="1067">
        <f t="shared" si="212"/>
        <v>38322.580645161281</v>
      </c>
      <c r="NP153" s="1"/>
      <c r="RZ153" s="1"/>
    </row>
    <row r="154" spans="2:494" hidden="1">
      <c r="B154">
        <v>19</v>
      </c>
      <c r="N154">
        <v>19</v>
      </c>
      <c r="O154" s="1067">
        <f t="shared" si="211"/>
        <v>615329.98339437821</v>
      </c>
      <c r="P154" s="1067">
        <f t="shared" si="212"/>
        <v>40451.612903225796</v>
      </c>
      <c r="NP154" s="1"/>
      <c r="RZ154" s="1"/>
    </row>
    <row r="155" spans="2:494" hidden="1">
      <c r="B155">
        <v>20</v>
      </c>
      <c r="N155">
        <v>20</v>
      </c>
      <c r="O155" s="1067">
        <f t="shared" si="211"/>
        <v>647715.77199408237</v>
      </c>
      <c r="P155" s="1067">
        <f t="shared" si="212"/>
        <v>42580.645161290311</v>
      </c>
      <c r="NP155" s="1"/>
      <c r="RZ155" s="1"/>
    </row>
    <row r="156" spans="2:494" hidden="1">
      <c r="B156">
        <v>21</v>
      </c>
      <c r="N156">
        <v>21</v>
      </c>
      <c r="O156" s="1067">
        <f t="shared" si="211"/>
        <v>680101.56059378653</v>
      </c>
      <c r="P156" s="1067">
        <f t="shared" si="212"/>
        <v>44709.677419354826</v>
      </c>
      <c r="NP156" s="1"/>
      <c r="RZ156" s="1"/>
    </row>
    <row r="157" spans="2:494" hidden="1">
      <c r="B157">
        <v>22</v>
      </c>
      <c r="N157">
        <v>22</v>
      </c>
      <c r="O157" s="1067">
        <f t="shared" si="211"/>
        <v>712487.34919349069</v>
      </c>
      <c r="P157" s="1067">
        <f t="shared" si="212"/>
        <v>46838.709677419341</v>
      </c>
      <c r="NP157" s="1"/>
      <c r="RZ157" s="1"/>
    </row>
    <row r="158" spans="2:494" hidden="1">
      <c r="B158">
        <v>23</v>
      </c>
      <c r="N158">
        <v>23</v>
      </c>
      <c r="O158" s="1067">
        <f t="shared" si="211"/>
        <v>744873.13779319485</v>
      </c>
      <c r="P158" s="1067">
        <f t="shared" si="212"/>
        <v>48967.741935483857</v>
      </c>
      <c r="NP158" s="1"/>
      <c r="RZ158" s="1"/>
    </row>
    <row r="159" spans="2:494" hidden="1">
      <c r="B159">
        <v>24</v>
      </c>
      <c r="N159">
        <v>24</v>
      </c>
      <c r="O159" s="1067">
        <f t="shared" si="211"/>
        <v>777258.92639289901</v>
      </c>
      <c r="P159" s="1067">
        <f t="shared" si="212"/>
        <v>51096.774193548372</v>
      </c>
      <c r="NP159" s="1"/>
      <c r="RZ159" s="1"/>
    </row>
    <row r="160" spans="2:494" hidden="1">
      <c r="B160">
        <v>25</v>
      </c>
      <c r="N160">
        <v>25</v>
      </c>
      <c r="O160" s="1067">
        <f t="shared" si="211"/>
        <v>809644.71499260317</v>
      </c>
      <c r="P160" s="1067">
        <f t="shared" si="212"/>
        <v>53225.806451612887</v>
      </c>
      <c r="NP160" s="1"/>
      <c r="RZ160" s="1"/>
    </row>
    <row r="161" spans="2:494" hidden="1">
      <c r="B161">
        <v>26</v>
      </c>
      <c r="N161">
        <v>26</v>
      </c>
      <c r="O161" s="1067">
        <f t="shared" si="211"/>
        <v>842030.50359230733</v>
      </c>
      <c r="P161" s="1067">
        <f t="shared" si="212"/>
        <v>55354.838709677402</v>
      </c>
      <c r="NP161" s="1"/>
      <c r="RZ161" s="1"/>
    </row>
    <row r="162" spans="2:494" hidden="1">
      <c r="B162">
        <v>27</v>
      </c>
      <c r="N162">
        <v>27</v>
      </c>
      <c r="O162" s="1067">
        <f t="shared" si="211"/>
        <v>874416.29219201149</v>
      </c>
      <c r="P162" s="1067">
        <f t="shared" si="212"/>
        <v>57483.870967741917</v>
      </c>
      <c r="NP162" s="1"/>
      <c r="RZ162" s="1"/>
    </row>
    <row r="163" spans="2:494" hidden="1">
      <c r="B163">
        <v>28</v>
      </c>
      <c r="N163">
        <v>28</v>
      </c>
      <c r="O163" s="1067">
        <f t="shared" si="211"/>
        <v>906802.08079171565</v>
      </c>
      <c r="P163" s="1067">
        <f t="shared" si="212"/>
        <v>59612.903225806433</v>
      </c>
      <c r="NP163" s="1"/>
      <c r="RZ163" s="1"/>
    </row>
    <row r="164" spans="2:494" hidden="1">
      <c r="B164">
        <v>29</v>
      </c>
      <c r="N164">
        <v>29</v>
      </c>
      <c r="O164" s="1067">
        <f t="shared" si="211"/>
        <v>939187.86939141981</v>
      </c>
      <c r="P164" s="1067">
        <f t="shared" si="212"/>
        <v>61741.935483870948</v>
      </c>
      <c r="NP164" s="1"/>
      <c r="RZ164" s="1"/>
    </row>
    <row r="165" spans="2:494" hidden="1">
      <c r="B165">
        <v>30</v>
      </c>
      <c r="N165">
        <v>30</v>
      </c>
      <c r="O165" s="1067">
        <f t="shared" si="211"/>
        <v>971573.65799112397</v>
      </c>
      <c r="P165" s="1067">
        <f t="shared" si="212"/>
        <v>63870.967741935463</v>
      </c>
      <c r="NP165" s="1"/>
      <c r="RZ165" s="1"/>
    </row>
    <row r="166" spans="2:494" hidden="1">
      <c r="B166">
        <v>31</v>
      </c>
      <c r="N166">
        <v>31</v>
      </c>
      <c r="O166" s="1067">
        <f t="shared" si="211"/>
        <v>1003959.4465908281</v>
      </c>
      <c r="P166" s="1067">
        <f t="shared" si="212"/>
        <v>65999.999999999985</v>
      </c>
      <c r="NP166" s="1"/>
      <c r="RZ166" s="1"/>
    </row>
    <row r="167" spans="2:494" hidden="1">
      <c r="O167" s="1067"/>
      <c r="P167" s="1067"/>
      <c r="NP167" s="1"/>
      <c r="RZ167" s="1"/>
    </row>
    <row r="168" spans="2:494" hidden="1">
      <c r="O168" s="1067"/>
      <c r="P168" s="1067"/>
      <c r="NP168" s="1"/>
    </row>
    <row r="169" spans="2:494" hidden="1">
      <c r="O169" s="1067"/>
      <c r="P169" s="1067"/>
      <c r="NP169" s="1"/>
    </row>
    <row r="170" spans="2:494" hidden="1">
      <c r="O170" s="1067"/>
      <c r="P170" s="1067"/>
      <c r="NP170" s="1"/>
    </row>
    <row r="171" spans="2:494" hidden="1">
      <c r="O171" s="1067"/>
      <c r="P171" s="1067"/>
      <c r="NP171" s="1"/>
    </row>
    <row r="172" spans="2:494" hidden="1">
      <c r="O172" s="1067"/>
      <c r="P172" s="1067"/>
      <c r="NP172" s="1"/>
    </row>
    <row r="173" spans="2:494" hidden="1">
      <c r="O173" s="1067">
        <f>'August TIS'!C45/31</f>
        <v>38225.806451612996</v>
      </c>
      <c r="P173" s="1067">
        <f>'August TIS'!D45/31</f>
        <v>2096.7741935483873</v>
      </c>
      <c r="NP173" s="1"/>
    </row>
    <row r="174" spans="2:494" hidden="1">
      <c r="O174" s="1067"/>
      <c r="P174" s="1067"/>
      <c r="NP174" s="1"/>
    </row>
    <row r="175" spans="2:494" hidden="1">
      <c r="O175" s="1067"/>
      <c r="P175" s="1067"/>
      <c r="NP175" s="1"/>
    </row>
    <row r="176" spans="2:494" hidden="1">
      <c r="O176" s="1067"/>
      <c r="P176" s="1067"/>
      <c r="NP176" s="1"/>
    </row>
    <row r="177" spans="2:494" hidden="1">
      <c r="O177" s="2161">
        <v>38225.806451612996</v>
      </c>
      <c r="P177" s="2161">
        <v>2096.7741935483873</v>
      </c>
      <c r="Q177" s="887">
        <f>P177/31</f>
        <v>67.637877211238305</v>
      </c>
      <c r="NP177" s="1"/>
      <c r="RZ177" s="1"/>
    </row>
    <row r="178" spans="2:494" hidden="1">
      <c r="B178">
        <v>1</v>
      </c>
      <c r="N178">
        <v>1</v>
      </c>
      <c r="O178" s="1067">
        <f>O177</f>
        <v>38225.806451612996</v>
      </c>
      <c r="P178" s="1067">
        <f>P177</f>
        <v>2096.7741935483873</v>
      </c>
      <c r="NP178" s="1"/>
      <c r="RZ178" s="1"/>
    </row>
    <row r="179" spans="2:494" hidden="1">
      <c r="B179">
        <v>2</v>
      </c>
      <c r="N179">
        <v>2</v>
      </c>
      <c r="O179" s="1067">
        <f t="shared" ref="O179:O208" si="213">O178+($O$177)</f>
        <v>76451.612903225992</v>
      </c>
      <c r="P179" s="1067">
        <f t="shared" ref="P179:P208" si="214">P178+($P$177)</f>
        <v>4193.5483870967746</v>
      </c>
      <c r="NP179" s="1"/>
      <c r="RZ179" s="1"/>
    </row>
    <row r="180" spans="2:494" hidden="1">
      <c r="B180">
        <v>3</v>
      </c>
      <c r="N180">
        <v>3</v>
      </c>
      <c r="O180" s="1067">
        <f t="shared" si="213"/>
        <v>114677.41935483899</v>
      </c>
      <c r="P180" s="1067">
        <f t="shared" si="214"/>
        <v>6290.3225806451619</v>
      </c>
      <c r="NP180" s="1"/>
      <c r="RZ180" s="1"/>
    </row>
    <row r="181" spans="2:494" hidden="1">
      <c r="B181">
        <v>4</v>
      </c>
      <c r="N181">
        <v>4</v>
      </c>
      <c r="O181" s="1067">
        <f t="shared" si="213"/>
        <v>152903.22580645198</v>
      </c>
      <c r="P181" s="1067">
        <f t="shared" si="214"/>
        <v>8387.0967741935492</v>
      </c>
      <c r="NP181" s="1"/>
      <c r="RZ181" s="1"/>
    </row>
    <row r="182" spans="2:494" hidden="1">
      <c r="B182">
        <v>5</v>
      </c>
      <c r="N182">
        <v>5</v>
      </c>
      <c r="O182" s="1067">
        <f t="shared" si="213"/>
        <v>191129.03225806498</v>
      </c>
      <c r="P182" s="1067">
        <f t="shared" si="214"/>
        <v>10483.870967741936</v>
      </c>
      <c r="NP182" s="1"/>
      <c r="RZ182" s="1"/>
    </row>
    <row r="183" spans="2:494" hidden="1">
      <c r="B183">
        <v>6</v>
      </c>
      <c r="N183">
        <v>6</v>
      </c>
      <c r="O183" s="1067">
        <f t="shared" si="213"/>
        <v>229354.83870967798</v>
      </c>
      <c r="P183" s="1067">
        <f t="shared" si="214"/>
        <v>12580.645161290322</v>
      </c>
      <c r="NP183" s="1"/>
      <c r="RZ183" s="1"/>
    </row>
    <row r="184" spans="2:494" hidden="1">
      <c r="B184">
        <v>7</v>
      </c>
      <c r="N184">
        <v>7</v>
      </c>
      <c r="O184" s="1067">
        <f t="shared" si="213"/>
        <v>267580.645161291</v>
      </c>
      <c r="P184" s="1067">
        <f t="shared" si="214"/>
        <v>14677.419354838708</v>
      </c>
      <c r="NP184" s="1"/>
      <c r="RZ184" s="1"/>
    </row>
    <row r="185" spans="2:494" hidden="1">
      <c r="B185">
        <v>8</v>
      </c>
      <c r="N185">
        <v>8</v>
      </c>
      <c r="O185" s="1067">
        <f t="shared" si="213"/>
        <v>305806.45161290397</v>
      </c>
      <c r="P185" s="1067">
        <f t="shared" si="214"/>
        <v>16774.193548387095</v>
      </c>
      <c r="NP185" s="1"/>
      <c r="RZ185" s="1"/>
    </row>
    <row r="186" spans="2:494" hidden="1">
      <c r="B186">
        <v>9</v>
      </c>
      <c r="N186">
        <v>9</v>
      </c>
      <c r="O186" s="1067">
        <f t="shared" si="213"/>
        <v>344032.25806451694</v>
      </c>
      <c r="P186" s="1067">
        <f t="shared" si="214"/>
        <v>18870.967741935481</v>
      </c>
      <c r="NP186" s="1"/>
      <c r="RZ186" s="1"/>
    </row>
    <row r="187" spans="2:494" hidden="1">
      <c r="B187">
        <v>10</v>
      </c>
      <c r="N187">
        <v>10</v>
      </c>
      <c r="O187" s="1067">
        <f t="shared" si="213"/>
        <v>382258.0645161299</v>
      </c>
      <c r="P187" s="1067">
        <f t="shared" si="214"/>
        <v>20967.741935483868</v>
      </c>
      <c r="NP187" s="1"/>
      <c r="RZ187" s="1"/>
    </row>
    <row r="188" spans="2:494" hidden="1">
      <c r="B188">
        <v>11</v>
      </c>
      <c r="N188">
        <v>11</v>
      </c>
      <c r="O188" s="1067">
        <f t="shared" si="213"/>
        <v>420483.87096774287</v>
      </c>
      <c r="P188" s="1067">
        <f t="shared" si="214"/>
        <v>23064.516129032254</v>
      </c>
      <c r="NP188" s="1"/>
      <c r="RZ188" s="1"/>
    </row>
    <row r="189" spans="2:494" hidden="1">
      <c r="B189">
        <v>12</v>
      </c>
      <c r="N189">
        <v>12</v>
      </c>
      <c r="O189" s="1067">
        <f t="shared" si="213"/>
        <v>458709.67741935584</v>
      </c>
      <c r="P189" s="1067">
        <f t="shared" si="214"/>
        <v>25161.29032258064</v>
      </c>
      <c r="NP189" s="1"/>
      <c r="RZ189" s="1"/>
    </row>
    <row r="190" spans="2:494" hidden="1">
      <c r="B190">
        <v>13</v>
      </c>
      <c r="N190">
        <v>13</v>
      </c>
      <c r="O190" s="1067">
        <f t="shared" si="213"/>
        <v>496935.4838709688</v>
      </c>
      <c r="P190" s="1067">
        <f t="shared" si="214"/>
        <v>27258.064516129027</v>
      </c>
      <c r="NP190" s="1"/>
      <c r="RZ190" s="1"/>
    </row>
    <row r="191" spans="2:494" hidden="1">
      <c r="B191">
        <v>14</v>
      </c>
      <c r="N191">
        <v>14</v>
      </c>
      <c r="O191" s="1067">
        <f t="shared" si="213"/>
        <v>535161.29032258177</v>
      </c>
      <c r="P191" s="1067">
        <f t="shared" si="214"/>
        <v>29354.838709677413</v>
      </c>
      <c r="NP191" s="1"/>
      <c r="RZ191" s="1"/>
    </row>
    <row r="192" spans="2:494" hidden="1">
      <c r="B192">
        <v>15</v>
      </c>
      <c r="N192">
        <v>15</v>
      </c>
      <c r="O192" s="1067">
        <f t="shared" si="213"/>
        <v>573387.09677419474</v>
      </c>
      <c r="P192" s="1067">
        <f t="shared" si="214"/>
        <v>31451.6129032258</v>
      </c>
      <c r="NP192" s="1"/>
      <c r="RZ192" s="1"/>
    </row>
    <row r="193" spans="2:494" hidden="1">
      <c r="B193">
        <v>16</v>
      </c>
      <c r="N193">
        <v>16</v>
      </c>
      <c r="O193" s="1067">
        <f t="shared" si="213"/>
        <v>611612.90322580771</v>
      </c>
      <c r="P193" s="1067">
        <f t="shared" si="214"/>
        <v>33548.38709677419</v>
      </c>
      <c r="NP193" s="1"/>
      <c r="RZ193" s="1"/>
    </row>
    <row r="194" spans="2:494" hidden="1">
      <c r="B194">
        <v>17</v>
      </c>
      <c r="N194">
        <v>17</v>
      </c>
      <c r="O194" s="1067">
        <f t="shared" si="213"/>
        <v>649838.70967742067</v>
      </c>
      <c r="P194" s="1067">
        <f t="shared" si="214"/>
        <v>35645.161290322576</v>
      </c>
      <c r="NP194" s="1"/>
      <c r="RZ194" s="1"/>
    </row>
    <row r="195" spans="2:494" hidden="1">
      <c r="B195">
        <v>18</v>
      </c>
      <c r="N195">
        <v>18</v>
      </c>
      <c r="O195" s="1067">
        <f t="shared" si="213"/>
        <v>688064.51612903364</v>
      </c>
      <c r="P195" s="1067">
        <f t="shared" si="214"/>
        <v>37741.935483870962</v>
      </c>
      <c r="NP195" s="1"/>
      <c r="RZ195" s="1"/>
    </row>
    <row r="196" spans="2:494" hidden="1">
      <c r="B196">
        <v>19</v>
      </c>
      <c r="N196">
        <v>19</v>
      </c>
      <c r="O196" s="1067">
        <f t="shared" si="213"/>
        <v>726290.32258064661</v>
      </c>
      <c r="P196" s="1067">
        <f t="shared" si="214"/>
        <v>39838.709677419349</v>
      </c>
      <c r="NP196" s="1"/>
      <c r="RZ196" s="1"/>
    </row>
    <row r="197" spans="2:494" hidden="1">
      <c r="B197">
        <v>20</v>
      </c>
      <c r="N197">
        <v>20</v>
      </c>
      <c r="O197" s="1067">
        <f t="shared" si="213"/>
        <v>764516.12903225957</v>
      </c>
      <c r="P197" s="1067">
        <f t="shared" si="214"/>
        <v>41935.483870967735</v>
      </c>
      <c r="NP197" s="1"/>
      <c r="RZ197" s="1"/>
    </row>
    <row r="198" spans="2:494" hidden="1">
      <c r="B198">
        <v>21</v>
      </c>
      <c r="N198">
        <v>21</v>
      </c>
      <c r="O198" s="1067">
        <f t="shared" si="213"/>
        <v>802741.93548387254</v>
      </c>
      <c r="P198" s="1067">
        <f t="shared" si="214"/>
        <v>44032.258064516122</v>
      </c>
      <c r="NP198" s="1"/>
      <c r="RZ198" s="1"/>
    </row>
    <row r="199" spans="2:494" hidden="1">
      <c r="B199">
        <v>22</v>
      </c>
      <c r="N199">
        <v>22</v>
      </c>
      <c r="O199" s="1067">
        <f t="shared" si="213"/>
        <v>840967.74193548551</v>
      </c>
      <c r="P199" s="1067">
        <f t="shared" si="214"/>
        <v>46129.032258064508</v>
      </c>
      <c r="NP199" s="1"/>
      <c r="RZ199" s="1"/>
    </row>
    <row r="200" spans="2:494" hidden="1">
      <c r="B200">
        <v>23</v>
      </c>
      <c r="N200">
        <v>23</v>
      </c>
      <c r="O200" s="1067">
        <f t="shared" si="213"/>
        <v>879193.54838709848</v>
      </c>
      <c r="P200" s="1067">
        <f t="shared" si="214"/>
        <v>48225.806451612894</v>
      </c>
      <c r="NP200" s="1"/>
      <c r="RZ200" s="1"/>
    </row>
    <row r="201" spans="2:494" hidden="1">
      <c r="B201">
        <v>24</v>
      </c>
      <c r="N201">
        <v>24</v>
      </c>
      <c r="O201" s="1067">
        <f t="shared" si="213"/>
        <v>917419.35483871144</v>
      </c>
      <c r="P201" s="1067">
        <f t="shared" si="214"/>
        <v>50322.580645161281</v>
      </c>
      <c r="NP201" s="1"/>
      <c r="RZ201" s="1"/>
    </row>
    <row r="202" spans="2:494" hidden="1">
      <c r="B202">
        <v>25</v>
      </c>
      <c r="N202">
        <v>25</v>
      </c>
      <c r="O202" s="1067">
        <f t="shared" si="213"/>
        <v>955645.16129032441</v>
      </c>
      <c r="P202" s="1067">
        <f t="shared" si="214"/>
        <v>52419.354838709667</v>
      </c>
      <c r="NP202" s="1"/>
      <c r="RZ202" s="1"/>
    </row>
    <row r="203" spans="2:494" hidden="1">
      <c r="B203">
        <v>26</v>
      </c>
      <c r="N203">
        <v>26</v>
      </c>
      <c r="O203" s="1067">
        <f t="shared" si="213"/>
        <v>993870.96774193738</v>
      </c>
      <c r="P203" s="1067">
        <f t="shared" si="214"/>
        <v>54516.129032258053</v>
      </c>
      <c r="NP203" s="1"/>
      <c r="RZ203" s="1"/>
    </row>
    <row r="204" spans="2:494" hidden="1">
      <c r="B204">
        <v>27</v>
      </c>
      <c r="N204">
        <v>27</v>
      </c>
      <c r="O204" s="1067">
        <f t="shared" si="213"/>
        <v>1032096.7741935503</v>
      </c>
      <c r="P204" s="1067">
        <f t="shared" si="214"/>
        <v>56612.90322580644</v>
      </c>
      <c r="NP204" s="1"/>
      <c r="RZ204" s="1"/>
    </row>
    <row r="205" spans="2:494" hidden="1">
      <c r="B205">
        <v>28</v>
      </c>
      <c r="N205">
        <v>28</v>
      </c>
      <c r="O205" s="1067">
        <f t="shared" si="213"/>
        <v>1070322.5806451633</v>
      </c>
      <c r="P205" s="1067">
        <f t="shared" si="214"/>
        <v>58709.677419354826</v>
      </c>
      <c r="NP205" s="1"/>
      <c r="RZ205" s="1"/>
    </row>
    <row r="206" spans="2:494" hidden="1">
      <c r="B206">
        <v>29</v>
      </c>
      <c r="N206">
        <v>29</v>
      </c>
      <c r="O206" s="1067">
        <f t="shared" si="213"/>
        <v>1108548.3870967764</v>
      </c>
      <c r="P206" s="1067">
        <f t="shared" si="214"/>
        <v>60806.451612903213</v>
      </c>
      <c r="NP206" s="1"/>
      <c r="RZ206" s="1"/>
    </row>
    <row r="207" spans="2:494" hidden="1">
      <c r="B207">
        <v>30</v>
      </c>
      <c r="N207">
        <v>30</v>
      </c>
      <c r="O207" s="1067">
        <f t="shared" si="213"/>
        <v>1146774.1935483895</v>
      </c>
      <c r="P207" s="1067">
        <f t="shared" si="214"/>
        <v>62903.225806451599</v>
      </c>
      <c r="NP207" s="1"/>
      <c r="RZ207" s="1"/>
    </row>
    <row r="208" spans="2:494" hidden="1">
      <c r="B208">
        <v>31</v>
      </c>
      <c r="N208">
        <v>31</v>
      </c>
      <c r="O208" s="1067">
        <f t="shared" si="213"/>
        <v>1185000.0000000026</v>
      </c>
      <c r="P208" s="1067">
        <f t="shared" si="214"/>
        <v>64999.999999999985</v>
      </c>
      <c r="NP208" s="1"/>
      <c r="RZ208" s="1"/>
    </row>
    <row r="209" spans="4:494">
      <c r="D209" s="887"/>
      <c r="O209" s="1067"/>
      <c r="P209" s="1067"/>
      <c r="DL209" s="1"/>
      <c r="DM209" s="1"/>
      <c r="JJ209" s="887">
        <f>JJ48/13</f>
        <v>9656.0246153846165</v>
      </c>
      <c r="JK209" s="887">
        <f>JK48/13</f>
        <v>7300.4553846153849</v>
      </c>
      <c r="NP209" s="1"/>
      <c r="RZ209" s="1"/>
    </row>
    <row r="210" spans="4:494">
      <c r="O210" s="1067"/>
      <c r="P210" s="1067"/>
      <c r="AA210" s="1"/>
      <c r="AB210" s="887">
        <f>(AB43+X43)/30</f>
        <v>2166.6666666666665</v>
      </c>
      <c r="BM210" s="887">
        <f>BM43/30</f>
        <v>1833.3333333333333</v>
      </c>
      <c r="BN210" s="887"/>
      <c r="BQ210" s="887" t="e">
        <f>#REF!/30</f>
        <v>#REF!</v>
      </c>
      <c r="BW210" s="887">
        <f>BW43/30</f>
        <v>1166.6666666666667</v>
      </c>
      <c r="DL210" s="1"/>
      <c r="DM210" s="1"/>
      <c r="NP210" s="1"/>
      <c r="RZ210" s="1"/>
    </row>
    <row r="211" spans="4:494">
      <c r="O211" s="1067"/>
      <c r="P211" s="1067"/>
      <c r="BZ211" s="887">
        <f>BZ43/30</f>
        <v>0</v>
      </c>
      <c r="DL211" s="1"/>
      <c r="DM211" s="1"/>
      <c r="JM211" s="887"/>
      <c r="JN211" s="1"/>
      <c r="LZ211" s="1074"/>
      <c r="NP211" s="1"/>
      <c r="RZ211" s="1"/>
    </row>
    <row r="212" spans="4:494">
      <c r="O212" s="1067"/>
      <c r="P212" s="1067"/>
      <c r="AB212" s="887">
        <f>X41+AB41</f>
        <v>15251.96</v>
      </c>
      <c r="DL212" s="1"/>
      <c r="DM212" s="1"/>
      <c r="JM212" s="281"/>
      <c r="JN212" s="887"/>
      <c r="NP212" s="1"/>
      <c r="RZ212" s="1"/>
    </row>
    <row r="213" spans="4:494">
      <c r="O213" s="1067"/>
      <c r="P213" s="1067"/>
      <c r="DL213" s="1"/>
      <c r="DM213" s="1"/>
      <c r="GT213" s="887"/>
      <c r="JN213" s="887"/>
      <c r="NP213" s="1"/>
      <c r="RZ213" s="1"/>
    </row>
    <row r="214" spans="4:494">
      <c r="O214" s="1067"/>
      <c r="P214" s="1067"/>
      <c r="DL214" s="1"/>
      <c r="DM214" s="1"/>
      <c r="NP214" s="1"/>
    </row>
    <row r="215" spans="4:494">
      <c r="O215" s="1067"/>
      <c r="P215" s="1067"/>
      <c r="DL215" s="1"/>
      <c r="DM215" s="1"/>
      <c r="NP215" s="1"/>
    </row>
    <row r="216" spans="4:494">
      <c r="O216" s="1067"/>
      <c r="P216" s="1067"/>
      <c r="DL216" s="1"/>
      <c r="DM216" s="1"/>
      <c r="NP216" s="1"/>
    </row>
    <row r="217" spans="4:494">
      <c r="O217" s="1067"/>
      <c r="P217" s="1067"/>
      <c r="BW217">
        <v>2378</v>
      </c>
      <c r="DL217" s="1"/>
      <c r="DM217" s="1"/>
      <c r="NP217" s="1"/>
    </row>
    <row r="218" spans="4:494">
      <c r="O218" s="1067"/>
      <c r="P218" s="1067"/>
      <c r="DL218" s="1"/>
      <c r="DM218" s="1"/>
      <c r="NP218" s="1"/>
    </row>
    <row r="219" spans="4:494">
      <c r="O219" s="1067"/>
      <c r="P219" s="1067"/>
      <c r="DL219" s="1"/>
      <c r="DM219" s="1"/>
      <c r="NP219" s="1"/>
    </row>
    <row r="220" spans="4:494">
      <c r="O220" s="1067"/>
      <c r="P220" s="1067"/>
      <c r="DL220" s="1"/>
      <c r="DM220" s="1"/>
      <c r="NP220" s="1"/>
    </row>
    <row r="221" spans="4:494">
      <c r="O221" s="1067"/>
      <c r="P221" s="1067"/>
      <c r="DL221" s="1"/>
      <c r="DM221" s="1"/>
      <c r="NP221" s="1"/>
    </row>
    <row r="222" spans="4:494">
      <c r="O222" s="1067"/>
      <c r="P222" s="1067"/>
      <c r="DL222" s="1"/>
      <c r="DM222" s="1"/>
      <c r="NP222" s="1"/>
    </row>
    <row r="223" spans="4:494">
      <c r="O223" s="1067"/>
      <c r="P223" s="1067"/>
      <c r="DL223" s="1"/>
      <c r="DM223" s="1"/>
      <c r="NP223" s="1"/>
    </row>
    <row r="224" spans="4:494">
      <c r="O224" s="1067"/>
      <c r="P224" s="1067"/>
      <c r="DL224" s="1"/>
      <c r="DM224" s="1"/>
      <c r="JJ224" s="887">
        <f>JJ43/31</f>
        <v>4838.7096774193551</v>
      </c>
      <c r="NP224" s="1"/>
    </row>
    <row r="225" spans="15:380">
      <c r="O225" s="1067"/>
      <c r="P225" s="1067"/>
      <c r="DL225" s="1"/>
      <c r="DM225" s="1"/>
      <c r="NP225" s="1"/>
    </row>
    <row r="226" spans="15:380">
      <c r="O226" s="1067"/>
      <c r="P226" s="1067"/>
      <c r="DL226" s="1"/>
      <c r="DM226" s="1"/>
      <c r="NP226" s="1"/>
    </row>
    <row r="227" spans="15:380">
      <c r="O227" s="1067"/>
      <c r="P227" s="1067"/>
      <c r="DL227" s="1"/>
      <c r="DM227" s="1"/>
      <c r="NP227" s="1"/>
    </row>
    <row r="228" spans="15:380">
      <c r="O228" s="1067"/>
      <c r="P228" s="1067"/>
      <c r="T228" s="887">
        <f>P41+T41+AB41</f>
        <v>44193.26</v>
      </c>
      <c r="DL228" s="1"/>
      <c r="DM228" s="1"/>
      <c r="NP228" s="1"/>
    </row>
    <row r="229" spans="15:380">
      <c r="O229" s="1067"/>
      <c r="P229" s="1067"/>
      <c r="DL229" s="1"/>
      <c r="DM229" s="1"/>
      <c r="NP229" s="1"/>
    </row>
    <row r="230" spans="15:380">
      <c r="O230" s="1067"/>
      <c r="P230" s="1067"/>
      <c r="DL230" s="1"/>
      <c r="DM230" s="1"/>
      <c r="NP230" s="1"/>
    </row>
    <row r="231" spans="15:380">
      <c r="O231" s="1067"/>
      <c r="P231" s="1067"/>
      <c r="DL231" s="1"/>
      <c r="DM231" s="1"/>
      <c r="NP231" s="1"/>
    </row>
    <row r="232" spans="15:380">
      <c r="O232" s="1067"/>
      <c r="P232" s="1067"/>
      <c r="DL232" s="1"/>
      <c r="DM232" s="1"/>
      <c r="NP232" s="1"/>
    </row>
    <row r="233" spans="15:380">
      <c r="O233" s="1067"/>
      <c r="P233" s="1067"/>
      <c r="DL233" s="1"/>
      <c r="DM233" s="1"/>
      <c r="NP233" s="1"/>
    </row>
    <row r="234" spans="15:380">
      <c r="O234" s="1067"/>
      <c r="P234" s="1067"/>
      <c r="DL234" s="1"/>
      <c r="DM234" s="1"/>
      <c r="NP234" s="1"/>
    </row>
    <row r="235" spans="15:380">
      <c r="O235" s="1067"/>
      <c r="P235" s="1067"/>
      <c r="NP235" s="1"/>
    </row>
    <row r="236" spans="15:380">
      <c r="O236" s="1067"/>
      <c r="P236" s="1067"/>
      <c r="NP236" s="1"/>
    </row>
    <row r="237" spans="15:380">
      <c r="O237" s="1067"/>
      <c r="P237" s="1067"/>
    </row>
    <row r="238" spans="15:380">
      <c r="O238" s="1067"/>
      <c r="P238" s="1067"/>
    </row>
    <row r="239" spans="15:380">
      <c r="O239" s="1067"/>
      <c r="P239" s="1067"/>
    </row>
    <row r="240" spans="15:380">
      <c r="O240" s="1067"/>
      <c r="P240" s="1067"/>
    </row>
    <row r="241" spans="15:16">
      <c r="O241" s="1067"/>
      <c r="P241" s="1067"/>
    </row>
    <row r="242" spans="15:16">
      <c r="O242" s="1067"/>
      <c r="P242" s="1067"/>
    </row>
    <row r="243" spans="15:16">
      <c r="O243" s="1067"/>
      <c r="P243" s="1067"/>
    </row>
    <row r="244" spans="15:16">
      <c r="O244" s="1067"/>
      <c r="P244" s="1067"/>
    </row>
    <row r="245" spans="15:16">
      <c r="O245" s="1067"/>
      <c r="P245" s="1067"/>
    </row>
    <row r="246" spans="15:16">
      <c r="O246" s="1067"/>
      <c r="P246" s="1067"/>
    </row>
    <row r="247" spans="15:16">
      <c r="O247" s="1067"/>
      <c r="P247" s="1067"/>
    </row>
    <row r="248" spans="15:16">
      <c r="O248" s="1067"/>
      <c r="P248" s="1067"/>
    </row>
    <row r="249" spans="15:16">
      <c r="O249" s="1067"/>
      <c r="P249" s="1067"/>
    </row>
    <row r="250" spans="15:16">
      <c r="O250" s="1067"/>
      <c r="P250" s="1067"/>
    </row>
    <row r="251" spans="15:16">
      <c r="O251" s="1067"/>
      <c r="P251" s="1067"/>
    </row>
    <row r="252" spans="15:16">
      <c r="O252" s="1067"/>
      <c r="P252" s="1067"/>
    </row>
    <row r="253" spans="15:16">
      <c r="O253" s="1067"/>
      <c r="P253" s="1067"/>
    </row>
    <row r="254" spans="15:16">
      <c r="O254" s="1067"/>
      <c r="P254" s="1067"/>
    </row>
    <row r="255" spans="15:16">
      <c r="O255" s="1067"/>
      <c r="P255" s="1067"/>
    </row>
    <row r="256" spans="15:16">
      <c r="O256" s="1067"/>
      <c r="P256" s="1067"/>
    </row>
    <row r="257" spans="15:16">
      <c r="O257" s="1067"/>
      <c r="P257" s="1067"/>
    </row>
    <row r="258" spans="15:16">
      <c r="O258" s="1067"/>
      <c r="P258" s="1067"/>
    </row>
    <row r="259" spans="15:16">
      <c r="O259" s="1067"/>
      <c r="P259" s="1067"/>
    </row>
    <row r="260" spans="15:16">
      <c r="O260" s="1067"/>
      <c r="P260" s="1067"/>
    </row>
    <row r="261" spans="15:16">
      <c r="O261" s="1067"/>
      <c r="P261" s="1067"/>
    </row>
    <row r="262" spans="15:16">
      <c r="O262" s="1067"/>
      <c r="P262" s="1067"/>
    </row>
    <row r="263" spans="15:16">
      <c r="O263" s="1067"/>
      <c r="P263" s="1067"/>
    </row>
    <row r="264" spans="15:16">
      <c r="O264" s="1067"/>
      <c r="P264" s="1067"/>
    </row>
    <row r="265" spans="15:16">
      <c r="O265" s="1067"/>
      <c r="P265" s="1067"/>
    </row>
    <row r="266" spans="15:16">
      <c r="O266" s="1067"/>
      <c r="P266" s="1067"/>
    </row>
    <row r="267" spans="15:16">
      <c r="O267" s="1067"/>
      <c r="P267" s="1067"/>
    </row>
    <row r="268" spans="15:16">
      <c r="O268" s="1067"/>
      <c r="P268" s="1067"/>
    </row>
    <row r="290" spans="4:273">
      <c r="D290" s="887">
        <f>D47/15</f>
        <v>0</v>
      </c>
      <c r="JM290" s="887">
        <f>JM47/9</f>
        <v>27826.026666666665</v>
      </c>
    </row>
    <row r="292" spans="4:273">
      <c r="JM292" s="314">
        <f>JM41+15000</f>
        <v>64565.759999999995</v>
      </c>
    </row>
    <row r="293" spans="4:273">
      <c r="JM293" s="1">
        <f>JM42+24000</f>
        <v>73565.759999999995</v>
      </c>
    </row>
    <row r="300" spans="4:273">
      <c r="AB300" s="1">
        <f>AB43-AB41</f>
        <v>29042.04</v>
      </c>
      <c r="JM300" s="887"/>
    </row>
    <row r="301" spans="4:273">
      <c r="JK301" s="1">
        <f>JJ41+JK41</f>
        <v>49565.759999999995</v>
      </c>
    </row>
  </sheetData>
  <mergeCells count="203">
    <mergeCell ref="RX8:SA8"/>
    <mergeCell ref="SB8:SE8"/>
    <mergeCell ref="JP48:JQ48"/>
    <mergeCell ref="QH6:QJ6"/>
    <mergeCell ref="QL6:QL7"/>
    <mergeCell ref="RK6:RM6"/>
    <mergeCell ref="RN6:RN7"/>
    <mergeCell ref="AA8:AD9"/>
    <mergeCell ref="RP8:RU8"/>
    <mergeCell ref="QB6:QB7"/>
    <mergeCell ref="QC6:QC7"/>
    <mergeCell ref="QD6:QD7"/>
    <mergeCell ref="QE6:QE7"/>
    <mergeCell ref="QF6:QF7"/>
    <mergeCell ref="QG6:QG7"/>
    <mergeCell ref="PO6:PO7"/>
    <mergeCell ref="PP6:PP7"/>
    <mergeCell ref="PQ6:PQ7"/>
    <mergeCell ref="PT6:PU6"/>
    <mergeCell ref="PV6:PZ6"/>
    <mergeCell ref="QA6:QA7"/>
    <mergeCell ref="OH6:OR6"/>
    <mergeCell ref="OT6:OT7"/>
    <mergeCell ref="OU6:OZ6"/>
    <mergeCell ref="LL6:LO6"/>
    <mergeCell ref="LP6:LP7"/>
    <mergeCell ref="LQ6:LQ7"/>
    <mergeCell ref="LS6:LW6"/>
    <mergeCell ref="LX6:LX7"/>
    <mergeCell ref="LY6:MD6"/>
    <mergeCell ref="PA6:PA7"/>
    <mergeCell ref="PB6:PG6"/>
    <mergeCell ref="PH6:PH7"/>
    <mergeCell ref="ND6:NF6"/>
    <mergeCell ref="NG6:NG7"/>
    <mergeCell ref="NH6:NS6"/>
    <mergeCell ref="NT6:NT7"/>
    <mergeCell ref="NU6:OE6"/>
    <mergeCell ref="OG6:OG7"/>
    <mergeCell ref="JN6:JN7"/>
    <mergeCell ref="JP6:JW6"/>
    <mergeCell ref="JX6:KE6"/>
    <mergeCell ref="KF6:KM6"/>
    <mergeCell ref="KN6:KN7"/>
    <mergeCell ref="KP6:KT6"/>
    <mergeCell ref="IS6:JF6"/>
    <mergeCell ref="JG6:JG7"/>
    <mergeCell ref="JJ6:JJ7"/>
    <mergeCell ref="JK6:JK7"/>
    <mergeCell ref="JL6:JL7"/>
    <mergeCell ref="JM6:JM7"/>
    <mergeCell ref="GZ6:HM6"/>
    <mergeCell ref="HN6:HN7"/>
    <mergeCell ref="HO6:IB6"/>
    <mergeCell ref="IC6:IC7"/>
    <mergeCell ref="ID6:IQ6"/>
    <mergeCell ref="IR6:IR7"/>
    <mergeCell ref="FW6:GG6"/>
    <mergeCell ref="GI6:GI7"/>
    <mergeCell ref="GL6:GN6"/>
    <mergeCell ref="GO6:GO7"/>
    <mergeCell ref="GR6:GR7"/>
    <mergeCell ref="GT6:GT7"/>
    <mergeCell ref="EZ6:EZ7"/>
    <mergeCell ref="FC6:FC7"/>
    <mergeCell ref="FD6:FD7"/>
    <mergeCell ref="FE6:FE7"/>
    <mergeCell ref="FF6:FF7"/>
    <mergeCell ref="FG6:FG7"/>
    <mergeCell ref="DS6:DS7"/>
    <mergeCell ref="DT6:ED6"/>
    <mergeCell ref="EF6:EF7"/>
    <mergeCell ref="EG6:EQ6"/>
    <mergeCell ref="ES6:ES7"/>
    <mergeCell ref="ET6:EY6"/>
    <mergeCell ref="CZ6:CZ7"/>
    <mergeCell ref="DA6:DA7"/>
    <mergeCell ref="DB6:DB7"/>
    <mergeCell ref="DC6:DC7"/>
    <mergeCell ref="DD6:DD7"/>
    <mergeCell ref="DF6:DP6"/>
    <mergeCell ref="CT6:CT7"/>
    <mergeCell ref="CU6:CU7"/>
    <mergeCell ref="CV6:CV7"/>
    <mergeCell ref="CW6:CW7"/>
    <mergeCell ref="CX6:CX7"/>
    <mergeCell ref="CY6:CY7"/>
    <mergeCell ref="CN6:CN7"/>
    <mergeCell ref="CO6:CO7"/>
    <mergeCell ref="CP6:CP7"/>
    <mergeCell ref="CR6:CR7"/>
    <mergeCell ref="CS6:CS7"/>
    <mergeCell ref="CB6:CD6"/>
    <mergeCell ref="CE6:CG6"/>
    <mergeCell ref="CI6:CI7"/>
    <mergeCell ref="CJ6:CJ7"/>
    <mergeCell ref="CK6:CK7"/>
    <mergeCell ref="CL6:CL7"/>
    <mergeCell ref="BV6:BX6"/>
    <mergeCell ref="BY6:CA6"/>
    <mergeCell ref="AQ6:AS6"/>
    <mergeCell ref="AT6:AV6"/>
    <mergeCell ref="AW6:AY6"/>
    <mergeCell ref="AZ6:BB6"/>
    <mergeCell ref="BC6:BE6"/>
    <mergeCell ref="BF6:BH6"/>
    <mergeCell ref="CM6:CM7"/>
    <mergeCell ref="AI6:AL6"/>
    <mergeCell ref="AN6:AP6"/>
    <mergeCell ref="QU5:QZ5"/>
    <mergeCell ref="RB5:RG5"/>
    <mergeCell ref="C6:C7"/>
    <mergeCell ref="D6:D7"/>
    <mergeCell ref="E6:E7"/>
    <mergeCell ref="F6:G6"/>
    <mergeCell ref="H6:I6"/>
    <mergeCell ref="J6:K6"/>
    <mergeCell ref="L6:M6"/>
    <mergeCell ref="O6:R6"/>
    <mergeCell ref="PK5:PQ5"/>
    <mergeCell ref="PR5:PR40"/>
    <mergeCell ref="PT5:QL5"/>
    <mergeCell ref="QM5:QM40"/>
    <mergeCell ref="QO5:QP5"/>
    <mergeCell ref="QR5:QS5"/>
    <mergeCell ref="PK6:PK7"/>
    <mergeCell ref="PL6:PL7"/>
    <mergeCell ref="BI6:BK6"/>
    <mergeCell ref="BL6:BO6"/>
    <mergeCell ref="BP6:BR6"/>
    <mergeCell ref="BS6:BU6"/>
    <mergeCell ref="LH5:LQ5"/>
    <mergeCell ref="LR5:LR40"/>
    <mergeCell ref="KU6:KY6"/>
    <mergeCell ref="KZ6:LD6"/>
    <mergeCell ref="LE6:LE7"/>
    <mergeCell ref="LH6:LK6"/>
    <mergeCell ref="PM6:PM7"/>
    <mergeCell ref="PN6:PN7"/>
    <mergeCell ref="LS5:MV5"/>
    <mergeCell ref="MW5:MW40"/>
    <mergeCell ref="MY5:NB5"/>
    <mergeCell ref="NC5:NC40"/>
    <mergeCell ref="ND5:PH5"/>
    <mergeCell ref="PI5:PI40"/>
    <mergeCell ref="ME6:MI6"/>
    <mergeCell ref="MJ6:MJ7"/>
    <mergeCell ref="MK6:MO6"/>
    <mergeCell ref="MP6:MP7"/>
    <mergeCell ref="MQ6:MU6"/>
    <mergeCell ref="MV6:MV7"/>
    <mergeCell ref="MY6:MY7"/>
    <mergeCell ref="MZ6:MZ7"/>
    <mergeCell ref="NA6:NA7"/>
    <mergeCell ref="NB6:NB7"/>
    <mergeCell ref="LH4:MW4"/>
    <mergeCell ref="MY4:PI4"/>
    <mergeCell ref="PK4:PR4"/>
    <mergeCell ref="PT4:QM4"/>
    <mergeCell ref="C5:M5"/>
    <mergeCell ref="N5:N40"/>
    <mergeCell ref="O5:AL5"/>
    <mergeCell ref="AM5:AM40"/>
    <mergeCell ref="AN5:CG5"/>
    <mergeCell ref="CI5:CO5"/>
    <mergeCell ref="FC5:FG5"/>
    <mergeCell ref="FH5:FH40"/>
    <mergeCell ref="FI5:GI5"/>
    <mergeCell ref="GJ5:GJ40"/>
    <mergeCell ref="GL5:GR5"/>
    <mergeCell ref="GS5:GS40"/>
    <mergeCell ref="FI6:FN6"/>
    <mergeCell ref="FO6:FO7"/>
    <mergeCell ref="FP6:FU6"/>
    <mergeCell ref="FV6:FV7"/>
    <mergeCell ref="GT5:GX5"/>
    <mergeCell ref="GY5:GY40"/>
    <mergeCell ref="GZ5:JG5"/>
    <mergeCell ref="JH5:JH40"/>
    <mergeCell ref="B4:B7"/>
    <mergeCell ref="C4:CP4"/>
    <mergeCell ref="CR4:FA4"/>
    <mergeCell ref="FC4:GJ4"/>
    <mergeCell ref="GL4:JH4"/>
    <mergeCell ref="JJ4:LF4"/>
    <mergeCell ref="CR5:DD5"/>
    <mergeCell ref="DE5:DE40"/>
    <mergeCell ref="DF5:EZ5"/>
    <mergeCell ref="FA5:FA40"/>
    <mergeCell ref="JJ5:JN5"/>
    <mergeCell ref="JO5:JO40"/>
    <mergeCell ref="GU6:GU7"/>
    <mergeCell ref="GV6:GV7"/>
    <mergeCell ref="GW6:GW7"/>
    <mergeCell ref="GX6:GX7"/>
    <mergeCell ref="JP5:KN5"/>
    <mergeCell ref="KO5:KO40"/>
    <mergeCell ref="KP5:LE5"/>
    <mergeCell ref="LF5:LF40"/>
    <mergeCell ref="S6:V6"/>
    <mergeCell ref="W6:Z6"/>
    <mergeCell ref="AA6:AD6"/>
    <mergeCell ref="AE6:AH6"/>
  </mergeCells>
  <conditionalFormatting sqref="B10:B40">
    <cfRule type="expression" dxfId="52" priority="20" stopIfTrue="1">
      <formula>SUMIFS($AQ10:$CG10,$AQ$7:$CG$7,"ROM")&lt;&gt;SUM($DS10,$EF10,$ES10,$PZ10)</formula>
    </cfRule>
    <cfRule type="expression" dxfId="51" priority="21" stopIfTrue="1">
      <formula>OR(SUM(GT10:GW10)&lt;&gt;SUM(HN10,IR10,JG10),SUM(HN10,IR10,JG10)&lt;&gt;SUM(JJ10:JL10))</formula>
    </cfRule>
    <cfRule type="expression" dxfId="50" priority="22">
      <formula>OR(SUM(#REF!)&lt;&gt;SUM(P1048567,AE1048567,AT1048567),SUM(P1048567,AE1048567,AT1048567)&lt;&gt;SUM(AW1048567:AY1048567))</formula>
    </cfRule>
  </conditionalFormatting>
  <conditionalFormatting sqref="C10:S10 U10:CD10 CF10:GU10 GW10:JL10 JO10:QL10 T10:T40 AC11:AV11 BX11:CD11 CF11:CM11 U11:W15 NG11:NM18 X11:Z23 KZ11:LW34 C11:R40 AA11:AA40 LX11:NC40 NN11:NO40 NQ11:OB40 GM11:GM41 AB11:AB42 NP11:NP42 OC11:OC42 S11:S45 CA12:CD18 CF12:CH18 BZ12:BZ19 BX12:BY29 CI12:CM37 W16:W17 U16:U20 V18:W20 CA19:CH19 NH19:NM20 NG19:NG25 BZ20:CH29 U21:W23 NI21:NM24 NH21:NH25 V24:Z40 U24:U44 NI25:NI31 NJ25:NM33 NG26:NH31 BX30:CH37 NG32:NI33 NG34:NM40 KZ35:LQ35 LR35:LW36 KZ36:LP36 KZ37:LW40 BX38:CM40 T43 AB44 CN11:CN40 DL11:DL40 DN11:DN40 DP11:DQ40 EB11:EB40 IJ11:IQ40 IY11:JC40 GW11:GW40 GZ11:GZ40 HF11:HL40 JJ11:JK40 AX11:BW40 ND11:NF42 ED11:ED40 AC12:AW40 OD11:QL40 GT11:GU40 JO11:KY40">
    <cfRule type="expression" dxfId="49" priority="17">
      <formula>$B10=DAY(TODAY()-1)</formula>
    </cfRule>
  </conditionalFormatting>
  <conditionalFormatting sqref="O10:R40">
    <cfRule type="expression" dxfId="48" priority="15">
      <formula>OR(AND(O10&lt;(O$45-(10%*O$45)),O$7="OB"),AND(O10&lt;(O$45-(10%*O$45)),O$7="ROM"))</formula>
    </cfRule>
  </conditionalFormatting>
  <conditionalFormatting sqref="T10:T40 S10:S45 AK11:AV11 T43 AK12:AW40">
    <cfRule type="expression" dxfId="47" priority="14">
      <formula>OR(AND(S10&lt;(S$45-(10%*S$45)),S$7="OB"),AND(S10&lt;(S$45-(10%*S$45)),S$7="ROM"))</formula>
    </cfRule>
  </conditionalFormatting>
  <conditionalFormatting sqref="V16">
    <cfRule type="expression" dxfId="46" priority="18">
      <formula>$B16=DAY(TODAY()-1)</formula>
    </cfRule>
  </conditionalFormatting>
  <conditionalFormatting sqref="W10:X40">
    <cfRule type="expression" dxfId="45" priority="11">
      <formula>OR(AND(W10&lt;(W$45-(10%*W$45)),W$7="OB"),AND(W10&lt;(W$45-(10%*W$45)),W$7="ROM"))</formula>
    </cfRule>
  </conditionalFormatting>
  <conditionalFormatting sqref="Y10:AD10 U10:V16 BO11:BV12 Y11:AA40 AC11:AD40 AG11:AJ40 AB11:AB42 BO13:BS15 BT13:BV21 BP16:BS16 U17:U20 BO17:BS21 V18:V20 U21:V23 BO22:BV33 V24:V40 U24:U44 BO34:BP35 BR34:BV35 BO36:BV40 O40 AB44">
    <cfRule type="expression" dxfId="44" priority="16">
      <formula>OR(AND(O10&lt;(O$45-(10%*O$45)),O$7="OB"),AND(O10&lt;(O$45-(10%*O$45)),O$7="ROM"))</formula>
    </cfRule>
  </conditionalFormatting>
  <conditionalFormatting sqref="AE10:AF40">
    <cfRule type="expression" dxfId="43" priority="12">
      <formula>OR(AND(AE10&lt;(AE$45-(10%*AE$45)),AE$7="OB"),AND(AE10&lt;(AE$45-(10%*AE$45)),AE$7="ROM"))</formula>
    </cfRule>
  </conditionalFormatting>
  <conditionalFormatting sqref="AG10:CA10 BW11:CA40 AX11:BN40 BQ11:BQ40">
    <cfRule type="expression" dxfId="42" priority="13">
      <formula>OR(AND(AG10&lt;(AG$45-(10%*AG$45)),AG$7="OB"),AND(AG10&lt;(AG$45-(10%*AG$45)),AG$7="ROM"))</formula>
    </cfRule>
  </conditionalFormatting>
  <conditionalFormatting sqref="AW10">
    <cfRule type="expression" dxfId="41" priority="19">
      <formula>$B11=DAY(TODAY()-1)</formula>
    </cfRule>
  </conditionalFormatting>
  <conditionalFormatting sqref="CB10:CG40">
    <cfRule type="expression" dxfId="40" priority="8">
      <formula>OR(AND(CB10&lt;(CB$45-(10%*CB$45)),CB$7="OB"),AND(CB10&lt;(CB$45-(10%*CB$45)),CB$7="ROM"))</formula>
    </cfRule>
  </conditionalFormatting>
  <conditionalFormatting sqref="CE10:CE18">
    <cfRule type="expression" dxfId="39" priority="9">
      <formula>$B10=DAY(TODAY()-1)</formula>
    </cfRule>
  </conditionalFormatting>
  <conditionalFormatting sqref="CO11:DK40 HM11:II40 DM11:DM40 DO11:DO40 DR11:EA40 EC11:EC40 EE11:GL13 IR11:IX40 JD11:JI40 GX11:GY40 HA11:HE40 JL11:JL40 GN11:GS40 EE15:GL40 EE14:EP14 ER14:GL14">
    <cfRule type="expression" dxfId="38" priority="5">
      <formula>$B11=DAY(TODAY()-1)</formula>
    </cfRule>
  </conditionalFormatting>
  <conditionalFormatting sqref="EF1">
    <cfRule type="expression" dxfId="37" priority="4">
      <formula>$B1=DAY(TODAY()-1)</formula>
    </cfRule>
  </conditionalFormatting>
  <conditionalFormatting sqref="EG10">
    <cfRule type="expression" dxfId="36" priority="7">
      <formula>OR(AND(EG10&lt;(EG$45-(10%*EG$45)),EG$7="OB"),AND(EG10&lt;(EG$45-(10%*EG$45)),EG$7="ROM"))</formula>
    </cfRule>
  </conditionalFormatting>
  <conditionalFormatting sqref="EI21">
    <cfRule type="expression" dxfId="35" priority="10">
      <formula>OR(AND(EI21&lt;(EI$45-(10%*EI$45)),EI$7="OB"),AND(EI21&lt;(EI$45-(10%*EI$45)),EI$7="ROM"))</formula>
    </cfRule>
  </conditionalFormatting>
  <conditionalFormatting sqref="JM10:JN40">
    <cfRule type="expression" dxfId="34" priority="6">
      <formula>$B10=DAY(TODAY()-1)</formula>
    </cfRule>
  </conditionalFormatting>
  <conditionalFormatting sqref="OK1">
    <cfRule type="expression" dxfId="33" priority="3">
      <formula>$B1=DAY(TODAY()-1)</formula>
    </cfRule>
  </conditionalFormatting>
  <conditionalFormatting sqref="EQ14">
    <cfRule type="expression" dxfId="32" priority="2">
      <formula>$B14=DAY(TODAY()-1)</formula>
    </cfRule>
  </conditionalFormatting>
  <conditionalFormatting sqref="EQ14">
    <cfRule type="expression" dxfId="31" priority="1">
      <formula>OR(AND(EQ14&lt;(EQ$45-(10%*EQ$45)),EQ$7="OB"),AND(EQ14&lt;(EQ$45-(10%*EQ$45)),EQ$7="ROM"))</formula>
    </cfRule>
  </conditionalFormatting>
  <pageMargins left="0.7" right="0.7" top="0.75" bottom="0.75" header="0.3" footer="0.3"/>
  <pageSetup orientation="portrait" r:id="rId1"/>
  <drawing r:id="rId2"/>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B2:TF141"/>
  <sheetViews>
    <sheetView showGridLines="0" zoomScale="70" zoomScaleNormal="70" workbookViewId="0">
      <pane xSplit="2" ySplit="1" topLeftCell="Y2" activePane="bottomRight" state="frozen"/>
      <selection pane="topRight" activeCell="H17" sqref="H17"/>
      <selection pane="bottomLeft" activeCell="H17" sqref="H17"/>
      <selection pane="bottomRight" activeCell="AS44" sqref="AS44"/>
    </sheetView>
  </sheetViews>
  <sheetFormatPr defaultColWidth="8.6640625" defaultRowHeight="14.4"/>
  <cols>
    <col min="1" max="1" width="2.33203125" customWidth="1"/>
    <col min="2" max="2" width="7.33203125" customWidth="1"/>
    <col min="3" max="3" width="15.33203125" customWidth="1"/>
    <col min="4" max="4" width="13" customWidth="1"/>
    <col min="5" max="7" width="10.44140625" customWidth="1"/>
    <col min="8" max="8" width="13.6640625" customWidth="1"/>
    <col min="9" max="9" width="10.44140625" customWidth="1"/>
    <col min="10" max="10" width="12.33203125" hidden="1" customWidth="1"/>
    <col min="11" max="11" width="8.6640625" hidden="1" customWidth="1"/>
    <col min="12" max="12" width="14.6640625" hidden="1" customWidth="1"/>
    <col min="13" max="13" width="8.6640625" hidden="1" customWidth="1"/>
    <col min="14" max="14" width="5" customWidth="1"/>
    <col min="15" max="15" width="14.6640625" customWidth="1"/>
    <col min="16" max="16" width="12.109375" customWidth="1"/>
    <col min="17" max="17" width="12.6640625" bestFit="1" customWidth="1"/>
    <col min="18" max="18" width="11.5546875" bestFit="1" customWidth="1"/>
    <col min="19" max="19" width="11.6640625" hidden="1" customWidth="1"/>
    <col min="20" max="20" width="22.33203125" hidden="1" customWidth="1"/>
    <col min="21" max="23" width="17.44140625" customWidth="1"/>
    <col min="24" max="24" width="17" customWidth="1"/>
    <col min="25" max="25" width="1.33203125" customWidth="1"/>
    <col min="26" max="26" width="11.33203125" customWidth="1"/>
    <col min="27" max="27" width="14.33203125" customWidth="1"/>
    <col min="28" max="28" width="11.33203125" customWidth="1"/>
    <col min="29" max="29" width="17.6640625" customWidth="1"/>
    <col min="30" max="33" width="11.33203125" customWidth="1"/>
    <col min="34" max="34" width="18.6640625" customWidth="1"/>
    <col min="35" max="37" width="12.33203125" customWidth="1"/>
    <col min="38" max="38" width="12.109375" customWidth="1"/>
    <col min="39" max="40" width="12.109375" hidden="1" customWidth="1"/>
    <col min="41" max="42" width="17.5546875" customWidth="1"/>
    <col min="43" max="43" width="12" customWidth="1"/>
    <col min="44" max="45" width="18.44140625" customWidth="1"/>
    <col min="46" max="46" width="18.44140625" hidden="1" customWidth="1"/>
    <col min="47" max="47" width="18.44140625" customWidth="1"/>
    <col min="48" max="48" width="12.109375" hidden="1" customWidth="1"/>
    <col min="49" max="49" width="1.33203125" customWidth="1"/>
    <col min="50" max="50" width="15" customWidth="1"/>
    <col min="51" max="51" width="15" hidden="1" customWidth="1"/>
    <col min="52" max="52" width="8" customWidth="1"/>
    <col min="53" max="57" width="8.44140625" customWidth="1"/>
    <col min="58" max="58" width="2.44140625" customWidth="1"/>
    <col min="59" max="61" width="17.88671875" hidden="1" customWidth="1"/>
    <col min="62" max="62" width="0.5546875" customWidth="1"/>
    <col min="63" max="63" width="13.88671875" customWidth="1"/>
    <col min="64" max="65" width="6.6640625" customWidth="1"/>
    <col min="66" max="66" width="8.88671875" customWidth="1"/>
    <col min="67" max="67" width="7" customWidth="1"/>
    <col min="68" max="68" width="9.33203125" customWidth="1"/>
    <col min="69" max="69" width="19.44140625" customWidth="1"/>
    <col min="70" max="70" width="2.5546875" customWidth="1"/>
    <col min="71" max="71" width="19" customWidth="1"/>
    <col min="72" max="88" width="30.5546875" hidden="1" customWidth="1"/>
    <col min="89" max="89" width="1.6640625" customWidth="1"/>
    <col min="90" max="90" width="9.33203125" customWidth="1"/>
    <col min="91" max="91" width="8.6640625" customWidth="1"/>
    <col min="92" max="92" width="14.109375" customWidth="1"/>
    <col min="93" max="93" width="19.44140625" customWidth="1"/>
    <col min="94" max="94" width="5.44140625" customWidth="1"/>
    <col min="95" max="95" width="6.6640625" customWidth="1"/>
    <col min="96" max="96" width="12.6640625" customWidth="1"/>
    <col min="97" max="97" width="20" customWidth="1"/>
    <col min="98" max="98" width="8.6640625" customWidth="1"/>
    <col min="99" max="99" width="10.33203125" customWidth="1"/>
    <col min="100" max="100" width="9.33203125" customWidth="1"/>
    <col min="101" max="102" width="8.6640625" customWidth="1"/>
    <col min="103" max="103" width="1.33203125" customWidth="1"/>
    <col min="104" max="104" width="12" customWidth="1"/>
    <col min="105" max="105" width="8.6640625" customWidth="1"/>
    <col min="106" max="106" width="3.33203125" customWidth="1"/>
    <col min="107" max="107" width="14.5546875" bestFit="1" customWidth="1"/>
    <col min="108" max="108" width="16.33203125" customWidth="1"/>
    <col min="109" max="109" width="12.33203125" customWidth="1"/>
    <col min="110" max="110" width="14.6640625" hidden="1" customWidth="1"/>
    <col min="111" max="111" width="11.44140625" hidden="1" customWidth="1"/>
    <col min="112" max="112" width="11.6640625" hidden="1" customWidth="1"/>
    <col min="113" max="113" width="14.5546875" customWidth="1"/>
    <col min="114" max="114" width="16.33203125" customWidth="1"/>
    <col min="115" max="115" width="8.6640625" customWidth="1"/>
    <col min="116" max="116" width="8.5546875" hidden="1" customWidth="1"/>
    <col min="117" max="117" width="8.6640625" hidden="1" customWidth="1"/>
    <col min="118" max="118" width="9.33203125" hidden="1" customWidth="1"/>
    <col min="119" max="120" width="8.6640625" hidden="1" customWidth="1"/>
    <col min="121" max="121" width="8.33203125" hidden="1" customWidth="1"/>
    <col min="122" max="122" width="13.6640625" customWidth="1"/>
    <col min="123" max="123" width="15.33203125" customWidth="1"/>
    <col min="124" max="124" width="9.33203125" customWidth="1"/>
    <col min="125" max="125" width="11.6640625" customWidth="1"/>
    <col min="126" max="126" width="11.33203125" customWidth="1"/>
    <col min="127" max="127" width="8.6640625" customWidth="1"/>
    <col min="128" max="128" width="17.33203125" hidden="1" customWidth="1"/>
    <col min="129" max="129" width="18.33203125" hidden="1" customWidth="1"/>
    <col min="130" max="130" width="8.6640625" hidden="1" customWidth="1"/>
    <col min="131" max="131" width="16.44140625" customWidth="1"/>
    <col min="132" max="132" width="13.5546875" customWidth="1"/>
    <col min="133" max="133" width="10.6640625" customWidth="1"/>
    <col min="134" max="134" width="14.6640625" customWidth="1"/>
    <col min="135" max="135" width="14" customWidth="1"/>
    <col min="136" max="136" width="8.6640625" customWidth="1"/>
    <col min="137" max="137" width="13.33203125" customWidth="1"/>
    <col min="138" max="138" width="12.6640625" customWidth="1"/>
    <col min="139" max="139" width="9.33203125" customWidth="1"/>
    <col min="140" max="140" width="13.5546875" hidden="1" customWidth="1"/>
    <col min="141" max="141" width="12.33203125" hidden="1" customWidth="1"/>
    <col min="142" max="142" width="9.33203125" hidden="1" customWidth="1"/>
    <col min="143" max="143" width="12.6640625" hidden="1" customWidth="1"/>
    <col min="144" max="144" width="11.33203125" hidden="1" customWidth="1"/>
    <col min="145" max="145" width="9.33203125" hidden="1" customWidth="1"/>
    <col min="146" max="146" width="13.44140625" hidden="1" customWidth="1"/>
    <col min="147" max="147" width="13" hidden="1" customWidth="1"/>
    <col min="148" max="148" width="9.33203125" hidden="1" customWidth="1"/>
    <col min="149" max="149" width="7.6640625" customWidth="1"/>
    <col min="150" max="152" width="10.6640625" customWidth="1"/>
    <col min="156" max="156" width="0" hidden="1" customWidth="1"/>
    <col min="157" max="157" width="18.33203125" customWidth="1"/>
    <col min="158" max="158" width="6.6640625" customWidth="1"/>
    <col min="160" max="160" width="11.6640625" bestFit="1" customWidth="1"/>
    <col min="162" max="162" width="11.6640625" bestFit="1" customWidth="1"/>
    <col min="164" max="164" width="11.6640625" bestFit="1" customWidth="1"/>
    <col min="166" max="166" width="11.6640625" bestFit="1" customWidth="1"/>
    <col min="168" max="168" width="11.6640625" bestFit="1" customWidth="1"/>
    <col min="170" max="170" width="11.6640625" bestFit="1" customWidth="1"/>
    <col min="171" max="171" width="13.33203125" bestFit="1" customWidth="1"/>
    <col min="172" max="172" width="7.6640625" customWidth="1"/>
    <col min="174" max="174" width="11.6640625" bestFit="1" customWidth="1"/>
    <col min="175" max="175" width="11.6640625" customWidth="1"/>
    <col min="176" max="176" width="11.6640625" bestFit="1" customWidth="1"/>
    <col min="177" max="177" width="12.5546875" bestFit="1" customWidth="1"/>
    <col min="178" max="178" width="11.6640625" bestFit="1" customWidth="1"/>
    <col min="180" max="180" width="11.6640625" bestFit="1" customWidth="1"/>
    <col min="181" max="181" width="12.6640625" bestFit="1" customWidth="1"/>
    <col min="182" max="182" width="11.6640625" bestFit="1" customWidth="1"/>
    <col min="183" max="183" width="10.6640625" bestFit="1" customWidth="1"/>
    <col min="184" max="184" width="11.6640625" bestFit="1" customWidth="1"/>
    <col min="185" max="185" width="13.6640625" bestFit="1" customWidth="1"/>
    <col min="186" max="186" width="11.33203125" customWidth="1"/>
    <col min="187" max="187" width="16.6640625" customWidth="1"/>
    <col min="188" max="188" width="9.6640625" customWidth="1"/>
    <col min="189" max="189" width="11.6640625" bestFit="1" customWidth="1"/>
    <col min="190" max="190" width="10.33203125" bestFit="1" customWidth="1"/>
    <col min="191" max="191" width="11.6640625" bestFit="1" customWidth="1"/>
    <col min="192" max="192" width="10.33203125" customWidth="1"/>
    <col min="193" max="193" width="11.6640625" bestFit="1" customWidth="1"/>
    <col min="194" max="194" width="12.33203125" customWidth="1"/>
    <col min="195" max="195" width="10.33203125" customWidth="1"/>
    <col min="196" max="196" width="9.33203125" customWidth="1"/>
    <col min="197" max="197" width="11.6640625" bestFit="1" customWidth="1"/>
    <col min="198" max="198" width="14.6640625" customWidth="1"/>
    <col min="199" max="199" width="12.6640625" bestFit="1" customWidth="1"/>
    <col min="200" max="200" width="12.33203125" hidden="1" customWidth="1"/>
    <col min="201" max="201" width="12.6640625" bestFit="1" customWidth="1"/>
    <col min="202" max="202" width="12.33203125" hidden="1" customWidth="1"/>
    <col min="203" max="203" width="12.6640625" bestFit="1" customWidth="1"/>
    <col min="204" max="204" width="12.33203125" hidden="1" customWidth="1"/>
    <col min="205" max="205" width="12.6640625" bestFit="1" customWidth="1"/>
    <col min="206" max="206" width="12.33203125" hidden="1" customWidth="1"/>
    <col min="207" max="207" width="12.6640625" bestFit="1" customWidth="1"/>
    <col min="208" max="208" width="12.33203125" hidden="1" customWidth="1"/>
    <col min="209" max="209" width="12.6640625" bestFit="1" customWidth="1"/>
    <col min="210" max="210" width="11.6640625" hidden="1" customWidth="1"/>
    <col min="211" max="211" width="12.6640625" customWidth="1"/>
    <col min="212" max="218" width="8.6640625" hidden="1" customWidth="1"/>
    <col min="219" max="219" width="1.33203125" customWidth="1"/>
    <col min="220" max="220" width="6.6640625" customWidth="1"/>
    <col min="223" max="223" width="9.33203125" bestFit="1" customWidth="1"/>
    <col min="226" max="226" width="1.33203125" customWidth="1"/>
    <col min="227" max="240" width="8.6640625" hidden="1" customWidth="1"/>
    <col min="241" max="241" width="7.33203125" bestFit="1" customWidth="1"/>
    <col min="242" max="242" width="11.6640625" bestFit="1" customWidth="1"/>
    <col min="243" max="243" width="6.6640625" bestFit="1" customWidth="1"/>
    <col min="244" max="244" width="11.6640625" bestFit="1" customWidth="1"/>
    <col min="245" max="245" width="6.6640625" bestFit="1" customWidth="1"/>
    <col min="246" max="246" width="11.6640625" bestFit="1" customWidth="1"/>
    <col min="247" max="247" width="6.6640625" bestFit="1" customWidth="1"/>
    <col min="248" max="248" width="11.6640625" bestFit="1" customWidth="1"/>
    <col min="249" max="249" width="10.33203125" bestFit="1" customWidth="1"/>
    <col min="250" max="250" width="11.6640625" bestFit="1" customWidth="1"/>
    <col min="251" max="251" width="6.6640625" bestFit="1" customWidth="1"/>
    <col min="252" max="252" width="11.6640625" bestFit="1" customWidth="1"/>
    <col min="254" max="254" width="1.33203125" customWidth="1"/>
    <col min="255" max="255" width="6.6640625" customWidth="1"/>
    <col min="256" max="256" width="13" customWidth="1"/>
    <col min="257" max="257" width="13.44140625" customWidth="1"/>
    <col min="258" max="258" width="12" customWidth="1"/>
    <col min="259" max="259" width="12.6640625" customWidth="1"/>
    <col min="260" max="260" width="10.33203125" hidden="1" customWidth="1"/>
    <col min="261" max="261" width="0" hidden="1" customWidth="1"/>
    <col min="262" max="262" width="37.44140625" customWidth="1"/>
    <col min="263" max="263" width="1.33203125" customWidth="1"/>
    <col min="264" max="264" width="13.33203125" bestFit="1" customWidth="1"/>
    <col min="265" max="265" width="12.33203125" bestFit="1" customWidth="1"/>
    <col min="266" max="266" width="13.33203125" customWidth="1"/>
    <col min="267" max="267" width="12.33203125" hidden="1" customWidth="1"/>
    <col min="268" max="268" width="12.33203125" bestFit="1" customWidth="1"/>
    <col min="269" max="269" width="1.33203125" customWidth="1"/>
    <col min="270" max="270" width="13.5546875" hidden="1" customWidth="1"/>
    <col min="271" max="271" width="12.33203125" hidden="1" customWidth="1"/>
    <col min="272" max="272" width="13.33203125" hidden="1" customWidth="1"/>
    <col min="273" max="273" width="13" hidden="1" customWidth="1"/>
    <col min="274" max="274" width="12.6640625" hidden="1" customWidth="1"/>
    <col min="275" max="275" width="14.44140625" hidden="1" customWidth="1"/>
    <col min="276" max="276" width="12" hidden="1" customWidth="1"/>
    <col min="277" max="278" width="11.6640625" hidden="1" customWidth="1"/>
    <col min="279" max="279" width="13" hidden="1" customWidth="1"/>
    <col min="280" max="280" width="10.33203125" hidden="1" customWidth="1"/>
    <col min="281" max="281" width="11.6640625" hidden="1" customWidth="1"/>
    <col min="282" max="282" width="0" hidden="1" customWidth="1"/>
    <col min="283" max="283" width="10.33203125" hidden="1" customWidth="1"/>
    <col min="284" max="284" width="10.44140625" hidden="1" customWidth="1"/>
    <col min="285" max="285" width="11.33203125" customWidth="1"/>
    <col min="286" max="286" width="11.6640625" bestFit="1" customWidth="1"/>
    <col min="287" max="287" width="10.33203125" bestFit="1" customWidth="1"/>
    <col min="288" max="288" width="11.6640625" bestFit="1" customWidth="1"/>
    <col min="289" max="289" width="12.33203125" bestFit="1" customWidth="1"/>
    <col min="290" max="290" width="11.6640625" bestFit="1" customWidth="1"/>
    <col min="291" max="291" width="10.44140625" bestFit="1" customWidth="1"/>
    <col min="292" max="292" width="11.6640625" bestFit="1" customWidth="1"/>
    <col min="293" max="293" width="12.33203125" bestFit="1" customWidth="1"/>
    <col min="294" max="294" width="11.6640625" bestFit="1" customWidth="1"/>
    <col min="295" max="295" width="12" customWidth="1"/>
    <col min="296" max="296" width="12.33203125" bestFit="1" customWidth="1"/>
    <col min="299" max="299" width="11.6640625" bestFit="1" customWidth="1"/>
    <col min="300" max="300" width="7.33203125" bestFit="1" customWidth="1"/>
    <col min="301" max="301" width="11.6640625" bestFit="1" customWidth="1"/>
    <col min="302" max="302" width="9.44140625" customWidth="1"/>
    <col min="303" max="303" width="11.6640625" bestFit="1" customWidth="1"/>
    <col min="304" max="305" width="12" bestFit="1" customWidth="1"/>
    <col min="306" max="306" width="8.5546875" customWidth="1"/>
    <col min="307" max="307" width="11.6640625" bestFit="1" customWidth="1"/>
    <col min="308" max="308" width="10.44140625" bestFit="1" customWidth="1"/>
    <col min="309" max="309" width="12" bestFit="1" customWidth="1"/>
    <col min="310" max="310" width="9.5546875" customWidth="1"/>
    <col min="311" max="311" width="11.6640625" bestFit="1" customWidth="1"/>
    <col min="314" max="314" width="13" customWidth="1"/>
    <col min="315" max="315" width="1.33203125" customWidth="1"/>
    <col min="316" max="316" width="6.6640625" customWidth="1"/>
    <col min="317" max="317" width="21.33203125" customWidth="1"/>
    <col min="318" max="318" width="16" customWidth="1"/>
    <col min="319" max="319" width="15.5546875" bestFit="1" customWidth="1"/>
    <col min="320" max="320" width="13.33203125" bestFit="1" customWidth="1"/>
    <col min="321" max="321" width="13" bestFit="1" customWidth="1"/>
    <col min="322" max="322" width="3.6640625" customWidth="1"/>
    <col min="323" max="323" width="12.5546875" bestFit="1" customWidth="1"/>
    <col min="327" max="327" width="11.5546875" customWidth="1"/>
    <col min="331" max="338" width="8.6640625" customWidth="1"/>
    <col min="345" max="345" width="8.6640625" customWidth="1"/>
    <col min="346" max="346" width="6.33203125" customWidth="1"/>
    <col min="348" max="348" width="1.33203125" customWidth="1"/>
    <col min="354" max="354" width="12.33203125" customWidth="1"/>
    <col min="355" max="358" width="8.6640625" customWidth="1"/>
    <col min="364" max="364" width="0" hidden="1" customWidth="1"/>
    <col min="365" max="365" width="1.33203125" customWidth="1"/>
    <col min="366" max="366" width="6.6640625" customWidth="1"/>
    <col min="367" max="367" width="16.33203125" customWidth="1"/>
    <col min="368" max="368" width="13.33203125" customWidth="1"/>
    <col min="369" max="369" width="25.33203125" customWidth="1"/>
    <col min="370" max="370" width="14.33203125" bestFit="1" customWidth="1"/>
    <col min="371" max="371" width="14.44140625" customWidth="1"/>
    <col min="372" max="372" width="13.44140625" bestFit="1" customWidth="1"/>
    <col min="374" max="374" width="0" hidden="1" customWidth="1"/>
    <col min="376" max="376" width="49.33203125" customWidth="1"/>
    <col min="377" max="377" width="1.33203125" customWidth="1"/>
    <col min="378" max="378" width="15.33203125" customWidth="1"/>
    <col min="379" max="379" width="10.33203125" bestFit="1" customWidth="1"/>
    <col min="380" max="380" width="13.6640625" bestFit="1" customWidth="1"/>
    <col min="381" max="381" width="9.44140625" customWidth="1"/>
    <col min="382" max="382" width="9.6640625" customWidth="1"/>
    <col min="383" max="383" width="12.33203125" customWidth="1"/>
    <col min="384" max="384" width="10.44140625" bestFit="1" customWidth="1"/>
    <col min="385" max="385" width="9" customWidth="1"/>
    <col min="386" max="386" width="13.6640625" bestFit="1" customWidth="1"/>
    <col min="387" max="387" width="12" bestFit="1" customWidth="1"/>
    <col min="388" max="388" width="13" bestFit="1" customWidth="1"/>
    <col min="389" max="389" width="9.6640625" bestFit="1" customWidth="1"/>
    <col min="390" max="390" width="9.33203125" bestFit="1" customWidth="1"/>
    <col min="391" max="391" width="12.6640625" customWidth="1"/>
    <col min="392" max="392" width="13.6640625" bestFit="1" customWidth="1"/>
    <col min="393" max="393" width="9.44140625" bestFit="1" customWidth="1"/>
    <col min="394" max="394" width="9.6640625" bestFit="1" customWidth="1"/>
    <col min="395" max="395" width="13.5546875" bestFit="1" customWidth="1"/>
    <col min="396" max="396" width="7.6640625" customWidth="1"/>
    <col min="397" max="397" width="9.33203125" customWidth="1"/>
    <col min="398" max="398" width="15.5546875" customWidth="1"/>
    <col min="399" max="399" width="9.44140625" customWidth="1"/>
    <col min="400" max="400" width="9.6640625" customWidth="1"/>
    <col min="401" max="401" width="13.5546875" customWidth="1"/>
    <col min="402" max="403" width="9.33203125" customWidth="1"/>
    <col min="404" max="404" width="15.5546875" customWidth="1"/>
    <col min="405" max="405" width="9.44140625" customWidth="1"/>
    <col min="406" max="406" width="9.6640625" customWidth="1"/>
    <col min="407" max="407" width="8.6640625" customWidth="1"/>
    <col min="408" max="408" width="1.33203125" customWidth="1"/>
    <col min="409" max="409" width="6.6640625" customWidth="1"/>
    <col min="410" max="410" width="13" customWidth="1"/>
    <col min="411" max="411" width="12.33203125" customWidth="1"/>
    <col min="413" max="413" width="12" customWidth="1"/>
    <col min="414" max="414" width="1.33203125" customWidth="1"/>
    <col min="415" max="415" width="17.33203125" customWidth="1"/>
    <col min="416" max="417" width="17.6640625" customWidth="1"/>
    <col min="418" max="418" width="15.33203125" customWidth="1"/>
    <col min="419" max="419" width="13.6640625" customWidth="1"/>
    <col min="420" max="420" width="14.44140625" customWidth="1"/>
    <col min="421" max="421" width="12.33203125" bestFit="1" customWidth="1"/>
    <col min="422" max="422" width="11.6640625" bestFit="1" customWidth="1"/>
    <col min="423" max="423" width="12" bestFit="1" customWidth="1"/>
    <col min="424" max="424" width="11.6640625" bestFit="1" customWidth="1"/>
    <col min="425" max="425" width="13.33203125" customWidth="1"/>
    <col min="426" max="426" width="13.44140625" customWidth="1"/>
    <col min="427" max="427" width="10.33203125" customWidth="1"/>
    <col min="428" max="428" width="11.6640625" bestFit="1" customWidth="1"/>
    <col min="429" max="429" width="6.6640625" bestFit="1" customWidth="1"/>
    <col min="430" max="430" width="11.6640625" bestFit="1" customWidth="1"/>
    <col min="431" max="431" width="11.5546875" bestFit="1" customWidth="1"/>
    <col min="432" max="432" width="12.33203125" customWidth="1"/>
    <col min="433" max="433" width="11.6640625" bestFit="1" customWidth="1"/>
    <col min="434" max="434" width="11.33203125" customWidth="1"/>
    <col min="435" max="435" width="11.6640625" bestFit="1" customWidth="1"/>
    <col min="436" max="436" width="10.33203125" customWidth="1"/>
    <col min="437" max="437" width="11.6640625" bestFit="1" customWidth="1"/>
    <col min="438" max="438" width="12.33203125" customWidth="1"/>
    <col min="439" max="439" width="11.6640625" bestFit="1" customWidth="1"/>
    <col min="440" max="440" width="13.44140625" customWidth="1"/>
    <col min="441" max="441" width="14.6640625" customWidth="1"/>
    <col min="442" max="442" width="11.33203125" bestFit="1" customWidth="1"/>
    <col min="443" max="443" width="12.6640625" bestFit="1" customWidth="1"/>
    <col min="444" max="444" width="12.33203125" customWidth="1"/>
    <col min="445" max="445" width="10" customWidth="1"/>
    <col min="446" max="446" width="11.6640625" bestFit="1" customWidth="1"/>
    <col min="447" max="447" width="9.6640625" customWidth="1"/>
    <col min="448" max="448" width="11.6640625" bestFit="1" customWidth="1"/>
    <col min="449" max="449" width="11" customWidth="1"/>
    <col min="450" max="450" width="11.6640625" bestFit="1" customWidth="1"/>
    <col min="451" max="451" width="9.6640625" customWidth="1"/>
    <col min="452" max="452" width="11.6640625" bestFit="1" customWidth="1"/>
    <col min="453" max="453" width="9.33203125" bestFit="1" customWidth="1"/>
    <col min="454" max="454" width="11.6640625" bestFit="1" customWidth="1"/>
    <col min="455" max="455" width="8.33203125" customWidth="1"/>
    <col min="456" max="456" width="11.6640625" bestFit="1" customWidth="1"/>
    <col min="457" max="457" width="13.6640625" customWidth="1"/>
    <col min="458" max="458" width="9.33203125" hidden="1" customWidth="1"/>
    <col min="459" max="459" width="9.5546875" hidden="1" customWidth="1"/>
    <col min="460" max="463" width="9.33203125" hidden="1" customWidth="1"/>
    <col min="464" max="464" width="9.5546875" hidden="1" customWidth="1"/>
    <col min="465" max="468" width="8.6640625" hidden="1" customWidth="1"/>
    <col min="469" max="469" width="13.44140625" hidden="1" customWidth="1"/>
    <col min="470" max="470" width="8.6640625" hidden="1" customWidth="1"/>
    <col min="471" max="471" width="9.33203125" hidden="1" customWidth="1"/>
    <col min="472" max="472" width="1.33203125" customWidth="1"/>
    <col min="473" max="473" width="6.6640625" customWidth="1"/>
    <col min="479" max="479" width="1.33203125" customWidth="1"/>
    <col min="480" max="480" width="6.6640625" customWidth="1"/>
    <col min="481" max="482" width="14" customWidth="1"/>
    <col min="484" max="485" width="12.33203125" customWidth="1"/>
    <col min="486" max="487" width="14" customWidth="1"/>
    <col min="488" max="488" width="10.6640625" customWidth="1"/>
    <col min="489" max="489" width="12" bestFit="1" customWidth="1"/>
    <col min="490" max="493" width="12" customWidth="1"/>
    <col min="494" max="494" width="12.6640625" customWidth="1"/>
    <col min="495" max="495" width="11.5546875" customWidth="1"/>
    <col min="496" max="497" width="14.33203125" customWidth="1"/>
    <col min="507" max="522" width="0" hidden="1" customWidth="1"/>
    <col min="523" max="523" width="12.33203125" hidden="1" customWidth="1"/>
    <col min="524" max="526" width="8.6640625" hidden="1" customWidth="1"/>
    <col min="527" max="527" width="8.6640625" customWidth="1"/>
  </cols>
  <sheetData>
    <row r="2" spans="2:97">
      <c r="O2" s="887"/>
      <c r="P2" s="887"/>
      <c r="Q2" s="887"/>
      <c r="R2" s="887"/>
    </row>
    <row r="4" spans="2:97">
      <c r="AS4" s="1903"/>
    </row>
    <row r="6" spans="2:97">
      <c r="G6" s="431">
        <f>+ROUND('August TIS'!H43,0)</f>
        <v>0</v>
      </c>
      <c r="AR6" s="987"/>
    </row>
    <row r="7" spans="2:97" ht="27.6" customHeight="1">
      <c r="G7" s="98">
        <f>+ROUND('August TIS'!H44,0)</f>
        <v>0</v>
      </c>
      <c r="AI7" s="1006"/>
      <c r="AJ7" s="1006"/>
      <c r="AK7" s="1006"/>
    </row>
    <row r="8" spans="2:97" ht="14.7" customHeight="1">
      <c r="B8" s="2625" t="s">
        <v>103</v>
      </c>
      <c r="C8" s="993"/>
      <c r="D8" s="993"/>
      <c r="E8" s="993"/>
      <c r="F8" s="993"/>
      <c r="G8" s="993"/>
      <c r="H8" s="993"/>
      <c r="I8" s="993"/>
      <c r="J8" s="993"/>
      <c r="K8" s="993"/>
      <c r="L8" s="993"/>
      <c r="M8" s="993"/>
      <c r="N8" s="993"/>
      <c r="O8" s="2727" t="s">
        <v>18</v>
      </c>
      <c r="P8" s="2727"/>
      <c r="Q8" s="2727"/>
      <c r="R8" s="2727"/>
      <c r="S8" s="2727"/>
      <c r="T8" s="2728"/>
      <c r="U8" s="1221"/>
      <c r="V8" s="1221"/>
      <c r="W8" s="1221"/>
      <c r="X8" s="1222"/>
      <c r="Z8" s="2729"/>
      <c r="AA8" s="2729"/>
      <c r="AB8" s="2730"/>
      <c r="AC8" s="1702"/>
      <c r="AD8" s="1702"/>
      <c r="AE8" s="1702"/>
      <c r="AF8" s="1702"/>
      <c r="AG8" s="1702"/>
      <c r="AH8" s="1702"/>
      <c r="AI8" s="2731" t="s">
        <v>126</v>
      </c>
      <c r="AJ8" s="2732"/>
      <c r="AK8" s="2732"/>
      <c r="AL8" s="2733"/>
      <c r="AM8" s="1269"/>
      <c r="AN8" s="1269"/>
      <c r="AO8" s="1269"/>
      <c r="AP8" s="1269"/>
      <c r="AQ8" s="1269"/>
      <c r="AR8" s="1269"/>
      <c r="AS8" s="1269"/>
      <c r="AT8" s="466"/>
      <c r="AU8" s="1007"/>
      <c r="AV8" s="1269"/>
      <c r="AX8" s="2734" t="s">
        <v>107</v>
      </c>
      <c r="AY8" s="2735"/>
      <c r="AZ8" s="2735"/>
      <c r="BA8" s="2735"/>
      <c r="BB8" s="2735"/>
      <c r="BC8" s="2735"/>
      <c r="BD8" s="2736"/>
      <c r="BE8" s="41"/>
      <c r="BK8" s="2753" t="s">
        <v>108</v>
      </c>
      <c r="BL8" s="2754"/>
      <c r="BM8" s="2754"/>
      <c r="BN8" s="2754"/>
      <c r="BO8" s="2754"/>
      <c r="BP8" s="2754"/>
      <c r="BQ8" s="2755"/>
      <c r="BR8" s="42"/>
      <c r="BS8" s="2671" t="s">
        <v>181</v>
      </c>
      <c r="BT8" s="42"/>
      <c r="BU8" s="42"/>
      <c r="BV8" s="42"/>
      <c r="BW8" s="42"/>
      <c r="BX8" s="42"/>
      <c r="BY8" s="42"/>
      <c r="BZ8" s="42"/>
      <c r="CA8" s="42"/>
      <c r="CB8" s="42"/>
      <c r="CC8" s="42"/>
      <c r="CD8" s="42"/>
      <c r="CE8" s="42"/>
      <c r="CF8" s="42"/>
      <c r="CG8" s="42"/>
      <c r="CH8" s="42"/>
      <c r="CI8" s="42"/>
      <c r="CJ8" s="42"/>
      <c r="CK8" s="42"/>
    </row>
    <row r="9" spans="2:97" ht="14.4" customHeight="1">
      <c r="B9" s="2626"/>
      <c r="C9" s="2624" t="s">
        <v>111</v>
      </c>
      <c r="D9" s="2628"/>
      <c r="E9" s="2628"/>
      <c r="F9" s="2628"/>
      <c r="G9" s="2628"/>
      <c r="H9" s="2628"/>
      <c r="I9" s="2628"/>
      <c r="J9" s="2628"/>
      <c r="K9" s="2628"/>
      <c r="L9" s="2628"/>
      <c r="M9" s="2628"/>
      <c r="N9" s="993"/>
      <c r="O9" s="2740" t="s">
        <v>3</v>
      </c>
      <c r="P9" s="2742"/>
      <c r="Q9" s="2742"/>
      <c r="R9" s="2740"/>
      <c r="S9" s="2671" t="s">
        <v>127</v>
      </c>
      <c r="T9" s="2671" t="s">
        <v>145</v>
      </c>
      <c r="U9" s="42"/>
      <c r="V9" s="42"/>
      <c r="W9" s="42"/>
      <c r="X9" s="2671" t="s">
        <v>375</v>
      </c>
      <c r="Y9" s="42"/>
      <c r="Z9" s="2743" t="s">
        <v>376</v>
      </c>
      <c r="AA9" s="2744"/>
      <c r="AB9" s="2745"/>
      <c r="AC9" s="1704" t="s">
        <v>112</v>
      </c>
      <c r="AD9" s="1703"/>
      <c r="AE9" s="1703"/>
      <c r="AF9" s="1703"/>
      <c r="AG9" s="1703"/>
      <c r="AH9" s="1703"/>
      <c r="AI9" s="2749" t="s">
        <v>377</v>
      </c>
      <c r="AJ9" s="2750"/>
      <c r="AK9" s="2750"/>
      <c r="AL9" s="2751"/>
      <c r="AM9" s="1270"/>
      <c r="AN9" s="1270"/>
      <c r="AO9" s="2752"/>
      <c r="AP9" s="2752"/>
      <c r="AQ9" s="2752"/>
      <c r="AR9" s="2752"/>
      <c r="AS9" s="1270"/>
      <c r="AT9" s="1007"/>
      <c r="AU9" s="1359" t="s">
        <v>378</v>
      </c>
      <c r="AV9" s="1270"/>
      <c r="AW9" s="1007"/>
      <c r="AX9" s="2632" t="s">
        <v>77</v>
      </c>
      <c r="AY9" s="2671" t="s">
        <v>167</v>
      </c>
      <c r="AZ9" s="2624" t="s">
        <v>379</v>
      </c>
      <c r="BA9" s="2628"/>
      <c r="BB9" s="2628"/>
      <c r="BC9" s="2628"/>
      <c r="BD9" s="2631"/>
      <c r="BE9" s="41"/>
      <c r="BF9" s="1007"/>
      <c r="BG9" s="1007"/>
      <c r="BH9" s="1007"/>
      <c r="BI9" s="1007"/>
      <c r="BJ9" s="1007"/>
      <c r="BK9" s="182" t="s">
        <v>170</v>
      </c>
      <c r="BL9" s="2619" t="s">
        <v>171</v>
      </c>
      <c r="BM9" s="2673"/>
      <c r="BN9" s="2673"/>
      <c r="BO9" s="2676"/>
      <c r="BP9" s="2690" t="s">
        <v>172</v>
      </c>
      <c r="BQ9" s="2671" t="s">
        <v>145</v>
      </c>
      <c r="BR9" s="42"/>
      <c r="BS9" s="2672"/>
      <c r="BT9" s="42"/>
      <c r="BU9" s="42"/>
      <c r="BV9" s="42"/>
      <c r="BW9" s="42"/>
      <c r="BX9" s="42"/>
      <c r="BY9" s="42"/>
      <c r="BZ9" s="42"/>
      <c r="CA9" s="42"/>
      <c r="CB9" s="42"/>
      <c r="CC9" s="42"/>
      <c r="CD9" s="42"/>
      <c r="CE9" s="42"/>
      <c r="CF9" s="42"/>
      <c r="CG9" s="42"/>
      <c r="CH9" s="42"/>
      <c r="CI9" s="42"/>
      <c r="CJ9" s="42"/>
      <c r="CK9" s="42"/>
      <c r="CL9" s="1046"/>
    </row>
    <row r="10" spans="2:97" ht="34.200000000000003" customHeight="1">
      <c r="B10" s="2626"/>
      <c r="C10" s="2632" t="s">
        <v>3</v>
      </c>
      <c r="D10" s="2632" t="s">
        <v>126</v>
      </c>
      <c r="E10" s="2632" t="s">
        <v>127</v>
      </c>
      <c r="F10" s="2632" t="s">
        <v>212</v>
      </c>
      <c r="G10" s="2632"/>
      <c r="H10" s="2632" t="s">
        <v>128</v>
      </c>
      <c r="I10" s="2632"/>
      <c r="J10" s="2633"/>
      <c r="K10" s="2634"/>
      <c r="L10" s="2633"/>
      <c r="M10" s="2635"/>
      <c r="N10" s="993"/>
      <c r="O10" s="2741"/>
      <c r="P10" s="2681"/>
      <c r="Q10" s="2681"/>
      <c r="R10" s="2682"/>
      <c r="S10" s="2737"/>
      <c r="T10" s="2737"/>
      <c r="U10" s="2738" t="s">
        <v>380</v>
      </c>
      <c r="V10" s="2739"/>
      <c r="W10" s="2739"/>
      <c r="X10" s="2737"/>
      <c r="Y10" s="42"/>
      <c r="Z10" s="2746"/>
      <c r="AA10" s="2747"/>
      <c r="AB10" s="2748"/>
      <c r="AC10" s="1003" t="s">
        <v>130</v>
      </c>
      <c r="AD10" s="1003" t="s">
        <v>243</v>
      </c>
      <c r="AE10" s="1003" t="s">
        <v>244</v>
      </c>
      <c r="AF10" s="1003" t="s">
        <v>165</v>
      </c>
      <c r="AG10" s="1003" t="s">
        <v>7</v>
      </c>
      <c r="AH10" s="1003" t="s">
        <v>145</v>
      </c>
      <c r="AI10" s="1008" t="s">
        <v>147</v>
      </c>
      <c r="AJ10" s="1008" t="s">
        <v>69</v>
      </c>
      <c r="AK10" s="1008" t="s">
        <v>71</v>
      </c>
      <c r="AL10" s="1009"/>
      <c r="AM10" s="1413"/>
      <c r="AN10" s="1413"/>
      <c r="AO10" s="1308" t="s">
        <v>381</v>
      </c>
      <c r="AP10" s="1308" t="s">
        <v>382</v>
      </c>
      <c r="AQ10" s="1322" t="s">
        <v>7</v>
      </c>
      <c r="AR10" s="1308" t="s">
        <v>383</v>
      </c>
      <c r="AS10" s="1308" t="s">
        <v>384</v>
      </c>
      <c r="AT10" s="1007"/>
      <c r="AU10" s="1360" t="s">
        <v>385</v>
      </c>
      <c r="AV10" s="1413"/>
      <c r="AW10" s="1007"/>
      <c r="AX10" s="2632"/>
      <c r="AY10" s="2737"/>
      <c r="AZ10" s="2632" t="s">
        <v>168</v>
      </c>
      <c r="BA10" s="2632"/>
      <c r="BB10" s="2632"/>
      <c r="BC10" s="2632"/>
      <c r="BD10" s="2632"/>
      <c r="BE10" s="42"/>
      <c r="BF10" s="1007"/>
      <c r="BG10" s="1007"/>
      <c r="BH10" s="1007"/>
      <c r="BI10" s="1007"/>
      <c r="BJ10" s="1007"/>
      <c r="BK10" s="184" t="s">
        <v>168</v>
      </c>
      <c r="BL10" s="43" t="s">
        <v>198</v>
      </c>
      <c r="BM10" s="43" t="s">
        <v>199</v>
      </c>
      <c r="BN10" s="44" t="s">
        <v>200</v>
      </c>
      <c r="BO10" s="45" t="s">
        <v>201</v>
      </c>
      <c r="BP10" s="2691"/>
      <c r="BQ10" s="2672"/>
      <c r="BR10" s="42"/>
      <c r="BS10" s="181" t="s">
        <v>377</v>
      </c>
      <c r="BT10" s="42"/>
      <c r="BU10" s="42"/>
      <c r="BV10" s="42"/>
      <c r="BW10" s="42"/>
      <c r="BX10" s="42"/>
      <c r="BY10" s="42"/>
      <c r="BZ10" s="42"/>
      <c r="CA10" s="42"/>
      <c r="CB10" s="42"/>
      <c r="CC10" s="42"/>
      <c r="CD10" s="42"/>
      <c r="CE10" s="42"/>
      <c r="CF10" s="42"/>
      <c r="CG10" s="42"/>
      <c r="CH10" s="42"/>
      <c r="CI10" s="42"/>
      <c r="CJ10" s="42"/>
      <c r="CK10" s="42"/>
    </row>
    <row r="11" spans="2:97" ht="15" thickBot="1">
      <c r="B11" s="2726"/>
      <c r="C11" s="2632"/>
      <c r="D11" s="2632"/>
      <c r="E11" s="2632"/>
      <c r="F11" s="181"/>
      <c r="G11" s="181"/>
      <c r="H11" s="181" t="s">
        <v>193</v>
      </c>
      <c r="I11" s="181" t="s">
        <v>194</v>
      </c>
      <c r="J11" s="181"/>
      <c r="K11" s="181"/>
      <c r="L11" s="181"/>
      <c r="M11" s="182"/>
      <c r="N11" s="993"/>
      <c r="O11" s="2682"/>
      <c r="P11" s="1002" t="s">
        <v>69</v>
      </c>
      <c r="Q11" s="184" t="s">
        <v>71</v>
      </c>
      <c r="R11" s="184" t="s">
        <v>284</v>
      </c>
      <c r="S11" s="2672"/>
      <c r="T11" s="2672"/>
      <c r="U11" s="1411" t="s">
        <v>386</v>
      </c>
      <c r="V11" s="1010" t="s">
        <v>387</v>
      </c>
      <c r="W11" s="1010" t="s">
        <v>388</v>
      </c>
      <c r="X11" s="2672"/>
      <c r="Y11" s="42"/>
      <c r="Z11" s="888" t="s">
        <v>69</v>
      </c>
      <c r="AA11" s="184" t="s">
        <v>71</v>
      </c>
      <c r="AB11" s="184" t="s">
        <v>284</v>
      </c>
      <c r="AC11" s="184"/>
      <c r="AD11" s="184"/>
      <c r="AE11" s="184"/>
      <c r="AF11" s="184"/>
      <c r="AG11" s="184"/>
      <c r="AH11" s="184"/>
      <c r="AI11" s="1011">
        <f>'March TIS'!AI44</f>
        <v>0</v>
      </c>
      <c r="AJ11" s="1011">
        <f>'July TIS'!AJ44</f>
        <v>0</v>
      </c>
      <c r="AK11" s="1011">
        <f>'July TIS'!AK44</f>
        <v>65017.10948159999</v>
      </c>
      <c r="AL11" s="1932">
        <f t="shared" ref="AL11:AL42" si="0">SUM(AI11:AK11)</f>
        <v>65017.10948159999</v>
      </c>
      <c r="AM11" s="1007"/>
      <c r="AN11" s="1007"/>
      <c r="AO11" s="1309"/>
      <c r="AP11" s="1318"/>
      <c r="AQ11" s="1318"/>
      <c r="AR11" s="1728">
        <f>'July TIS'!AR44</f>
        <v>0</v>
      </c>
      <c r="AS11" s="1728">
        <f>'July TIS'!AS44</f>
        <v>13713</v>
      </c>
      <c r="AT11" s="1007"/>
      <c r="AU11" s="1476"/>
      <c r="AV11" s="1007"/>
      <c r="AW11" s="1013"/>
      <c r="AX11" s="2632"/>
      <c r="AY11" s="2672"/>
      <c r="AZ11" s="181" t="s">
        <v>61</v>
      </c>
      <c r="BA11" s="181" t="s">
        <v>62</v>
      </c>
      <c r="BB11" s="181" t="s">
        <v>63</v>
      </c>
      <c r="BC11" s="181" t="s">
        <v>196</v>
      </c>
      <c r="BD11" s="181" t="s">
        <v>197</v>
      </c>
      <c r="BE11" s="42"/>
      <c r="BF11" s="1013"/>
      <c r="BG11" s="1013"/>
      <c r="BH11" s="1013"/>
      <c r="BI11" s="1013"/>
      <c r="BJ11" s="1013"/>
      <c r="BK11" s="1395"/>
      <c r="BL11" s="17"/>
      <c r="BM11" s="18"/>
      <c r="BN11" s="1397"/>
      <c r="BO11" s="17"/>
      <c r="BP11" s="17"/>
      <c r="BQ11" s="1014"/>
      <c r="BR11" s="89"/>
      <c r="BS11" s="1228">
        <f>'July TIS'!BS44</f>
        <v>14018.778234149999</v>
      </c>
      <c r="BT11" s="89"/>
      <c r="BU11" s="89"/>
      <c r="BV11" s="89"/>
      <c r="BW11" s="89"/>
      <c r="BX11" s="89"/>
      <c r="BY11" s="89"/>
      <c r="BZ11" s="89"/>
      <c r="CA11" s="89"/>
      <c r="CB11" s="89"/>
      <c r="CC11" s="89"/>
      <c r="CD11" s="89"/>
      <c r="CE11" s="89"/>
      <c r="CF11" s="89"/>
      <c r="CG11" s="89"/>
      <c r="CH11" s="89"/>
      <c r="CI11" s="89"/>
      <c r="CJ11" s="89"/>
      <c r="CK11" s="89"/>
      <c r="CM11" s="1006"/>
      <c r="CN11" s="1015" t="s">
        <v>285</v>
      </c>
      <c r="CO11" s="1015" t="s">
        <v>293</v>
      </c>
      <c r="CQ11" s="1006"/>
      <c r="CR11" s="1015" t="s">
        <v>286</v>
      </c>
      <c r="CS11" s="1015" t="s">
        <v>293</v>
      </c>
    </row>
    <row r="12" spans="2:97">
      <c r="B12" s="988">
        <v>1</v>
      </c>
      <c r="C12" s="488">
        <f t="shared" ref="C12:C43" si="1">O12</f>
        <v>37535</v>
      </c>
      <c r="D12" s="488">
        <f>Q12+P12+AU12</f>
        <v>348.64000000000004</v>
      </c>
      <c r="E12" s="1016">
        <f t="shared" ref="E12:E42" si="2">S12</f>
        <v>107.66119779715464</v>
      </c>
      <c r="F12" s="1017"/>
      <c r="G12" s="494"/>
      <c r="H12" s="1018"/>
      <c r="I12" s="2109"/>
      <c r="N12" s="993"/>
      <c r="O12" s="26">
        <v>37535</v>
      </c>
      <c r="P12" s="1020"/>
      <c r="Q12" s="1933">
        <f>W12+V12+U12</f>
        <v>348.64000000000004</v>
      </c>
      <c r="R12" s="1227">
        <f t="shared" ref="R12:R42" si="3">SUM(P12:Q12)</f>
        <v>348.64000000000004</v>
      </c>
      <c r="S12" s="27">
        <f t="shared" ref="S12:S42" si="4">IFERROR(O12/R12,0)</f>
        <v>107.66119779715464</v>
      </c>
      <c r="T12" s="33"/>
      <c r="U12" s="2023">
        <v>0</v>
      </c>
      <c r="V12" s="2225">
        <v>348.64000000000004</v>
      </c>
      <c r="W12" s="2225">
        <v>0</v>
      </c>
      <c r="X12" s="1024"/>
      <c r="Y12" s="1"/>
      <c r="Z12" s="1025">
        <v>0</v>
      </c>
      <c r="AA12" s="2174">
        <v>7406.090000000002</v>
      </c>
      <c r="AB12" s="1025">
        <v>7406.090000000002</v>
      </c>
      <c r="AC12" s="1025">
        <v>0</v>
      </c>
      <c r="AD12" s="1025">
        <v>0</v>
      </c>
      <c r="AE12" s="1025">
        <v>3101.6500000000005</v>
      </c>
      <c r="AF12" s="1025">
        <v>4304.4400000000005</v>
      </c>
      <c r="AG12" s="1025">
        <f t="shared" ref="AG12:AG15" si="5">SUM(AC12:AF12)</f>
        <v>7406.0900000000011</v>
      </c>
      <c r="AH12" s="1025"/>
      <c r="AI12" s="1026"/>
      <c r="AJ12" s="1026">
        <f t="shared" ref="AJ12:AJ42" si="6">AJ11+P12-Z12</f>
        <v>0</v>
      </c>
      <c r="AK12" s="1026">
        <f t="shared" ref="AK12:AK42" si="7">AK11+Q12+AU12-AA12</f>
        <v>57959.659481599985</v>
      </c>
      <c r="AL12" s="1027">
        <f t="shared" si="0"/>
        <v>57959.659481599985</v>
      </c>
      <c r="AM12" s="1414"/>
      <c r="AN12" s="1414"/>
      <c r="AO12" s="1310"/>
      <c r="AP12" s="1310"/>
      <c r="AQ12" s="1934">
        <f>AO12+AP12</f>
        <v>0</v>
      </c>
      <c r="AR12" s="1729">
        <f t="shared" ref="AR12:AS27" si="8">AR11+AO12-AT12</f>
        <v>0</v>
      </c>
      <c r="AS12" s="1729">
        <f t="shared" si="8"/>
        <v>13713</v>
      </c>
      <c r="AT12" s="1007"/>
      <c r="AU12" s="2500">
        <v>0</v>
      </c>
      <c r="AV12" s="1414"/>
      <c r="AW12" s="987"/>
      <c r="AX12" s="1028">
        <f t="shared" ref="AX12:AX42" si="9">AB12</f>
        <v>7406.090000000002</v>
      </c>
      <c r="AY12" s="171"/>
      <c r="AZ12" s="2">
        <v>7305.7948164146865</v>
      </c>
      <c r="BA12" s="2110">
        <v>1.2807451403887689</v>
      </c>
      <c r="BB12" s="2110">
        <v>3.3867494600431969</v>
      </c>
      <c r="BC12" s="2110">
        <v>4.2515118790496764</v>
      </c>
      <c r="BD12" s="2111">
        <v>10.729740194384449</v>
      </c>
      <c r="BF12" s="987"/>
      <c r="BG12" s="987"/>
      <c r="BH12" s="987"/>
      <c r="BI12" s="987"/>
      <c r="BJ12" s="987"/>
      <c r="BK12" s="2537"/>
      <c r="BL12" s="1028"/>
      <c r="BM12" s="1028"/>
      <c r="BN12" s="1028"/>
      <c r="BO12" s="1028"/>
      <c r="BP12" s="1030">
        <f>'August TCM'!LP10</f>
        <v>1.87</v>
      </c>
      <c r="BQ12" s="1031"/>
      <c r="BR12" s="1"/>
      <c r="BS12" s="1032">
        <f t="shared" ref="BS12:BS42" si="10">+BS11+AB12-BK12</f>
        <v>21424.868234150003</v>
      </c>
      <c r="BT12" s="1"/>
      <c r="BU12" s="1"/>
      <c r="BV12" s="1"/>
      <c r="BW12" s="1"/>
      <c r="BX12" s="1"/>
      <c r="BY12" s="1"/>
      <c r="BZ12" s="1"/>
      <c r="CA12" s="1"/>
      <c r="CB12" s="1"/>
      <c r="CC12" s="1"/>
      <c r="CD12" s="1"/>
      <c r="CE12" s="1"/>
      <c r="CF12" s="1"/>
      <c r="CG12" s="1"/>
      <c r="CH12" s="1"/>
      <c r="CI12" s="1"/>
      <c r="CJ12" s="1"/>
      <c r="CK12" s="1"/>
      <c r="CM12" s="1033">
        <v>1</v>
      </c>
      <c r="CN12" s="1">
        <f t="shared" ref="CN12:CN42" si="11">D12</f>
        <v>348.64000000000004</v>
      </c>
      <c r="CO12" s="2490">
        <v>2608010043</v>
      </c>
      <c r="CQ12" s="412">
        <v>1</v>
      </c>
      <c r="CR12" s="1">
        <f t="shared" ref="CR12:CR42" si="12">AB12</f>
        <v>7406.090000000002</v>
      </c>
      <c r="CS12" s="2494">
        <v>2608010092</v>
      </c>
    </row>
    <row r="13" spans="2:97">
      <c r="B13" s="989">
        <v>2</v>
      </c>
      <c r="C13" s="5">
        <f t="shared" si="1"/>
        <v>36940</v>
      </c>
      <c r="D13" s="488">
        <f t="shared" ref="D13:D23" si="13">Q13+P13+AU13</f>
        <v>0</v>
      </c>
      <c r="E13" s="15">
        <f t="shared" si="2"/>
        <v>0</v>
      </c>
      <c r="F13" s="363"/>
      <c r="G13" s="64"/>
      <c r="H13" s="1034"/>
      <c r="I13" s="1035"/>
      <c r="N13" s="993"/>
      <c r="O13" s="26">
        <v>36940</v>
      </c>
      <c r="P13" s="1036"/>
      <c r="Q13" s="277">
        <f t="shared" ref="Q13:Q26" si="14">W13+V13+U13</f>
        <v>0</v>
      </c>
      <c r="R13" s="1227">
        <f t="shared" si="3"/>
        <v>0</v>
      </c>
      <c r="S13" s="27">
        <f t="shared" si="4"/>
        <v>0</v>
      </c>
      <c r="T13" s="33"/>
      <c r="U13" s="2226">
        <v>0</v>
      </c>
      <c r="V13" s="2227">
        <v>0</v>
      </c>
      <c r="W13" s="2227">
        <v>0</v>
      </c>
      <c r="X13" s="1038"/>
      <c r="Y13" s="1"/>
      <c r="Z13" s="1025">
        <v>0</v>
      </c>
      <c r="AA13" s="2174">
        <v>14110</v>
      </c>
      <c r="AB13" s="1025">
        <v>14110</v>
      </c>
      <c r="AC13" s="1025">
        <v>0</v>
      </c>
      <c r="AD13" s="1025">
        <v>0</v>
      </c>
      <c r="AE13" s="1025">
        <v>6292.9</v>
      </c>
      <c r="AF13" s="1025">
        <v>7817.1</v>
      </c>
      <c r="AG13" s="1025">
        <f t="shared" si="5"/>
        <v>14110</v>
      </c>
      <c r="AH13" s="1025"/>
      <c r="AI13" s="1039"/>
      <c r="AJ13" s="1026">
        <f t="shared" si="6"/>
        <v>0</v>
      </c>
      <c r="AK13" s="1026">
        <f t="shared" si="7"/>
        <v>43849.659481599985</v>
      </c>
      <c r="AL13" s="1040">
        <f t="shared" si="0"/>
        <v>43849.659481599985</v>
      </c>
      <c r="AM13" s="1414"/>
      <c r="AN13" s="1414"/>
      <c r="AO13" s="1310"/>
      <c r="AP13" s="1310"/>
      <c r="AQ13" s="1934">
        <f t="shared" ref="AQ13:AQ42" si="15">AO13+AP13</f>
        <v>0</v>
      </c>
      <c r="AR13" s="1729">
        <f t="shared" si="8"/>
        <v>0</v>
      </c>
      <c r="AS13" s="1729">
        <f t="shared" si="8"/>
        <v>13713</v>
      </c>
      <c r="AT13" s="1007"/>
      <c r="AU13" s="2500">
        <v>0</v>
      </c>
      <c r="AV13" s="1414"/>
      <c r="AW13" s="987"/>
      <c r="AX13" s="310">
        <f t="shared" si="9"/>
        <v>14110</v>
      </c>
      <c r="AY13" s="998"/>
      <c r="AZ13" s="2">
        <v>7350.5676733780765</v>
      </c>
      <c r="BA13" s="2110">
        <v>1.2987122483221476</v>
      </c>
      <c r="BB13" s="2110">
        <v>3.3584102348993286</v>
      </c>
      <c r="BC13" s="2110">
        <v>4.8414093959731543</v>
      </c>
      <c r="BD13" s="2111">
        <v>9.5594843459172232</v>
      </c>
      <c r="BF13" s="987"/>
      <c r="BG13" s="987"/>
      <c r="BH13" s="987"/>
      <c r="BI13" s="987"/>
      <c r="BJ13" s="987"/>
      <c r="BK13" s="310">
        <v>7585.53</v>
      </c>
      <c r="BL13" s="310">
        <v>1</v>
      </c>
      <c r="BM13" s="310"/>
      <c r="BN13" s="310">
        <v>3</v>
      </c>
      <c r="BO13" s="310"/>
      <c r="BP13" s="1041">
        <f>'August TCM'!LP11</f>
        <v>1.87</v>
      </c>
      <c r="BQ13" s="1042"/>
      <c r="BR13" s="1"/>
      <c r="BS13" s="1032">
        <f t="shared" si="10"/>
        <v>27949.338234150004</v>
      </c>
      <c r="BT13" s="1"/>
      <c r="BU13" s="1"/>
      <c r="BV13" s="1"/>
      <c r="BW13" s="1"/>
      <c r="BX13" s="1"/>
      <c r="BY13" s="1"/>
      <c r="BZ13" s="1"/>
      <c r="CA13" s="1"/>
      <c r="CB13" s="1"/>
      <c r="CC13" s="1"/>
      <c r="CD13" s="1"/>
      <c r="CE13" s="1"/>
      <c r="CF13" s="1"/>
      <c r="CG13" s="1"/>
      <c r="CH13" s="1"/>
      <c r="CI13" s="1"/>
      <c r="CJ13" s="1"/>
      <c r="CK13" s="1"/>
      <c r="CM13" s="1033">
        <v>2</v>
      </c>
      <c r="CN13" s="1">
        <f t="shared" si="11"/>
        <v>0</v>
      </c>
      <c r="CO13" s="1046"/>
      <c r="CQ13" s="412">
        <v>2</v>
      </c>
      <c r="CR13" s="1">
        <f t="shared" si="12"/>
        <v>14110</v>
      </c>
      <c r="CS13" s="2490">
        <v>2608020312</v>
      </c>
    </row>
    <row r="14" spans="2:97">
      <c r="B14" s="989">
        <v>3</v>
      </c>
      <c r="C14" s="5">
        <f t="shared" si="1"/>
        <v>37703</v>
      </c>
      <c r="D14" s="488">
        <f t="shared" si="13"/>
        <v>0</v>
      </c>
      <c r="E14" s="15">
        <f t="shared" si="2"/>
        <v>0</v>
      </c>
      <c r="F14" s="363"/>
      <c r="G14" s="64"/>
      <c r="H14" s="1034"/>
      <c r="I14" s="1035"/>
      <c r="N14" s="993"/>
      <c r="O14" s="26">
        <v>37703</v>
      </c>
      <c r="P14" s="1036"/>
      <c r="Q14" s="277">
        <f t="shared" si="14"/>
        <v>0</v>
      </c>
      <c r="R14" s="1227">
        <f t="shared" si="3"/>
        <v>0</v>
      </c>
      <c r="S14" s="27">
        <f t="shared" si="4"/>
        <v>0</v>
      </c>
      <c r="T14" s="33"/>
      <c r="U14" s="2226">
        <v>0</v>
      </c>
      <c r="V14" s="2227">
        <v>0</v>
      </c>
      <c r="W14" s="2227">
        <v>0</v>
      </c>
      <c r="X14" s="1038"/>
      <c r="Y14" s="1"/>
      <c r="Z14" s="1025">
        <v>0</v>
      </c>
      <c r="AA14" s="2174">
        <v>7832.08</v>
      </c>
      <c r="AB14" s="1025">
        <v>7832.08</v>
      </c>
      <c r="AC14" s="1025">
        <v>0</v>
      </c>
      <c r="AD14" s="1025">
        <v>0</v>
      </c>
      <c r="AE14" s="1025">
        <v>2933.81</v>
      </c>
      <c r="AF14" s="1025">
        <v>4898.2700000000004</v>
      </c>
      <c r="AG14" s="1025">
        <f t="shared" si="5"/>
        <v>7832.08</v>
      </c>
      <c r="AH14" s="1025"/>
      <c r="AI14" s="1039"/>
      <c r="AJ14" s="1026">
        <f t="shared" si="6"/>
        <v>0</v>
      </c>
      <c r="AK14" s="1026">
        <f t="shared" si="7"/>
        <v>36017.579481599983</v>
      </c>
      <c r="AL14" s="1040">
        <f t="shared" si="0"/>
        <v>36017.579481599983</v>
      </c>
      <c r="AM14" s="1414"/>
      <c r="AN14" s="1414"/>
      <c r="AO14" s="1310"/>
      <c r="AP14" s="1310"/>
      <c r="AQ14" s="1934">
        <f t="shared" si="15"/>
        <v>0</v>
      </c>
      <c r="AR14" s="1729">
        <f t="shared" si="8"/>
        <v>0</v>
      </c>
      <c r="AS14" s="1729">
        <f t="shared" si="8"/>
        <v>13713</v>
      </c>
      <c r="AT14" s="1007"/>
      <c r="AU14" s="2500">
        <v>0</v>
      </c>
      <c r="AV14" s="1414"/>
      <c r="AW14" s="987"/>
      <c r="AX14" s="310">
        <f t="shared" si="9"/>
        <v>7832.08</v>
      </c>
      <c r="AY14" s="1043"/>
      <c r="AZ14" s="2">
        <v>7508.823042647995</v>
      </c>
      <c r="BA14" s="2110">
        <v>1.1463653723742839</v>
      </c>
      <c r="BB14" s="2110">
        <v>2.78</v>
      </c>
      <c r="BC14" s="2110">
        <v>4.5235964353914708</v>
      </c>
      <c r="BD14" s="2111">
        <v>8.039899477402928</v>
      </c>
      <c r="BF14" s="987"/>
      <c r="BG14" s="987"/>
      <c r="BH14" s="987"/>
      <c r="BI14" s="987"/>
      <c r="BJ14" s="987"/>
      <c r="BK14" s="310">
        <v>14945.380000000001</v>
      </c>
      <c r="BL14" s="310">
        <v>2</v>
      </c>
      <c r="BM14" s="310">
        <v>1</v>
      </c>
      <c r="BN14" s="310"/>
      <c r="BO14" s="310"/>
      <c r="BP14" s="1041">
        <f>'August TCM'!LP12</f>
        <v>1.87</v>
      </c>
      <c r="BQ14" s="1042"/>
      <c r="BR14" s="1"/>
      <c r="BS14" s="1032">
        <f t="shared" si="10"/>
        <v>20836.038234150004</v>
      </c>
      <c r="BT14" s="1"/>
      <c r="BU14" s="1"/>
      <c r="BV14" s="1"/>
      <c r="BW14" s="1"/>
      <c r="BX14" s="1"/>
      <c r="BY14" s="1"/>
      <c r="BZ14" s="1"/>
      <c r="CA14" s="1"/>
      <c r="CB14" s="1"/>
      <c r="CC14" s="1"/>
      <c r="CD14" s="1"/>
      <c r="CE14" s="1"/>
      <c r="CF14" s="1"/>
      <c r="CG14" s="1"/>
      <c r="CH14" s="1"/>
      <c r="CI14" s="1"/>
      <c r="CJ14" s="1"/>
      <c r="CK14" s="1"/>
      <c r="CM14" s="1033">
        <v>3</v>
      </c>
      <c r="CN14" s="1">
        <f t="shared" si="11"/>
        <v>0</v>
      </c>
      <c r="CQ14" s="412">
        <v>3</v>
      </c>
      <c r="CR14" s="1">
        <f t="shared" si="12"/>
        <v>7832.08</v>
      </c>
      <c r="CS14" s="2490">
        <v>2608030911</v>
      </c>
    </row>
    <row r="15" spans="2:97">
      <c r="B15" s="989">
        <v>4</v>
      </c>
      <c r="C15" s="5">
        <f t="shared" si="1"/>
        <v>36277</v>
      </c>
      <c r="D15" s="488">
        <f t="shared" si="13"/>
        <v>0</v>
      </c>
      <c r="E15" s="15">
        <f t="shared" si="2"/>
        <v>0</v>
      </c>
      <c r="F15" s="363"/>
      <c r="G15" s="64"/>
      <c r="H15" s="1034"/>
      <c r="I15" s="1035"/>
      <c r="N15" s="993"/>
      <c r="O15" s="26">
        <v>36277</v>
      </c>
      <c r="P15" s="1036"/>
      <c r="Q15" s="277">
        <f t="shared" si="14"/>
        <v>0</v>
      </c>
      <c r="R15" s="1227">
        <f t="shared" si="3"/>
        <v>0</v>
      </c>
      <c r="S15" s="27">
        <f t="shared" si="4"/>
        <v>0</v>
      </c>
      <c r="T15" s="33"/>
      <c r="U15" s="2226">
        <v>0</v>
      </c>
      <c r="V15" s="2227">
        <v>0</v>
      </c>
      <c r="W15" s="2227">
        <v>0</v>
      </c>
      <c r="X15" s="1038"/>
      <c r="Y15" s="1"/>
      <c r="Z15" s="1025">
        <v>0</v>
      </c>
      <c r="AA15" s="2174">
        <v>14776.64</v>
      </c>
      <c r="AB15" s="1025">
        <v>14776.64</v>
      </c>
      <c r="AC15" s="1025">
        <v>0</v>
      </c>
      <c r="AD15" s="1025">
        <v>0</v>
      </c>
      <c r="AE15" s="1025">
        <v>6110.06</v>
      </c>
      <c r="AF15" s="1025">
        <v>8666.58</v>
      </c>
      <c r="AG15" s="1025">
        <f t="shared" si="5"/>
        <v>14776.64</v>
      </c>
      <c r="AH15" s="1025"/>
      <c r="AI15" s="1039"/>
      <c r="AJ15" s="1026">
        <f t="shared" si="6"/>
        <v>0</v>
      </c>
      <c r="AK15" s="1026">
        <f t="shared" si="7"/>
        <v>21240.939481599984</v>
      </c>
      <c r="AL15" s="1040">
        <f t="shared" si="0"/>
        <v>21240.939481599984</v>
      </c>
      <c r="AM15" s="1414"/>
      <c r="AN15" s="1414"/>
      <c r="AO15" s="1310"/>
      <c r="AP15" s="1310">
        <v>428</v>
      </c>
      <c r="AQ15" s="1934">
        <f t="shared" si="15"/>
        <v>428</v>
      </c>
      <c r="AR15" s="1729">
        <f t="shared" si="8"/>
        <v>0</v>
      </c>
      <c r="AS15" s="1729">
        <f>AS14+AP15-AU15</f>
        <v>14141</v>
      </c>
      <c r="AT15" s="1007"/>
      <c r="AU15" s="2500">
        <v>0</v>
      </c>
      <c r="AV15" s="1414"/>
      <c r="AW15" s="987"/>
      <c r="AX15" s="310">
        <f t="shared" si="9"/>
        <v>14776.64</v>
      </c>
      <c r="AY15" s="998"/>
      <c r="AZ15" s="2">
        <v>7191.523519163763</v>
      </c>
      <c r="BA15" s="2110">
        <v>1.1423847493969446</v>
      </c>
      <c r="BB15" s="2110">
        <v>4.5475824175824187</v>
      </c>
      <c r="BC15" s="2110">
        <v>4.8537409541677841</v>
      </c>
      <c r="BD15" s="2111">
        <v>9.3423511214151702</v>
      </c>
      <c r="BF15" s="987"/>
      <c r="BG15" s="987"/>
      <c r="BH15" s="987"/>
      <c r="BI15" s="987"/>
      <c r="BJ15" s="987"/>
      <c r="BK15" s="310">
        <v>7304.87</v>
      </c>
      <c r="BL15" s="310">
        <v>1</v>
      </c>
      <c r="BM15" s="310"/>
      <c r="BN15" s="310">
        <v>2</v>
      </c>
      <c r="BO15" s="310"/>
      <c r="BP15" s="1041">
        <f>'August TCM'!LP13</f>
        <v>1.87</v>
      </c>
      <c r="BQ15" s="1042"/>
      <c r="BR15" s="1"/>
      <c r="BS15" s="1032">
        <f t="shared" si="10"/>
        <v>28307.808234150009</v>
      </c>
      <c r="BT15" s="1"/>
      <c r="BU15" s="1"/>
      <c r="BV15" s="1"/>
      <c r="BW15" s="1"/>
      <c r="BX15" s="1"/>
      <c r="BY15" s="1"/>
      <c r="BZ15" s="1"/>
      <c r="CA15" s="1"/>
      <c r="CB15" s="1"/>
      <c r="CC15" s="1"/>
      <c r="CD15" s="1"/>
      <c r="CE15" s="1"/>
      <c r="CF15" s="1"/>
      <c r="CG15" s="1"/>
      <c r="CH15" s="1"/>
      <c r="CI15" s="1"/>
      <c r="CJ15" s="1"/>
      <c r="CK15" s="1"/>
      <c r="CM15" s="1033">
        <v>4</v>
      </c>
      <c r="CN15" s="1">
        <f t="shared" si="11"/>
        <v>0</v>
      </c>
      <c r="CQ15" s="412">
        <v>4</v>
      </c>
      <c r="CR15" s="1">
        <f t="shared" si="12"/>
        <v>14776.64</v>
      </c>
      <c r="CS15" s="2490">
        <v>2608041135</v>
      </c>
    </row>
    <row r="16" spans="2:97" ht="13.5" customHeight="1">
      <c r="B16" s="989">
        <v>5</v>
      </c>
      <c r="C16" s="5">
        <f t="shared" si="1"/>
        <v>36797</v>
      </c>
      <c r="D16" s="488">
        <f>Q16+P16+AU16</f>
        <v>1293.06</v>
      </c>
      <c r="E16" s="15">
        <f t="shared" si="2"/>
        <v>42.52317008343541</v>
      </c>
      <c r="F16" s="363"/>
      <c r="G16" s="64"/>
      <c r="H16" s="1034"/>
      <c r="I16" s="1035"/>
      <c r="N16" s="993"/>
      <c r="O16" s="26">
        <v>36797</v>
      </c>
      <c r="P16" s="36"/>
      <c r="Q16" s="277">
        <f>W16+V16+U16</f>
        <v>865.34</v>
      </c>
      <c r="R16" s="1227">
        <f t="shared" si="3"/>
        <v>865.34</v>
      </c>
      <c r="S16" s="27">
        <f t="shared" si="4"/>
        <v>42.52317008343541</v>
      </c>
      <c r="T16" s="33"/>
      <c r="U16" s="2226">
        <v>865.34</v>
      </c>
      <c r="V16" s="2227">
        <v>0</v>
      </c>
      <c r="W16" s="2227">
        <v>0</v>
      </c>
      <c r="X16" s="1038"/>
      <c r="Y16" s="1"/>
      <c r="Z16" s="1025">
        <v>0</v>
      </c>
      <c r="AA16" s="2174">
        <v>14557.03</v>
      </c>
      <c r="AB16" s="1025">
        <v>14557.03</v>
      </c>
      <c r="AC16" s="1025">
        <v>0</v>
      </c>
      <c r="AD16" s="1025">
        <v>0</v>
      </c>
      <c r="AE16" s="1025">
        <v>5930.6100000000006</v>
      </c>
      <c r="AF16" s="1025">
        <v>8626.4200000000019</v>
      </c>
      <c r="AG16" s="1025">
        <f>SUM(AC16:AF16)</f>
        <v>14557.030000000002</v>
      </c>
      <c r="AH16" s="1025"/>
      <c r="AI16" s="1039"/>
      <c r="AJ16" s="1026">
        <f t="shared" si="6"/>
        <v>0</v>
      </c>
      <c r="AK16" s="1026">
        <f t="shared" si="7"/>
        <v>7976.9694815999846</v>
      </c>
      <c r="AL16" s="1040">
        <f t="shared" si="0"/>
        <v>7976.9694815999846</v>
      </c>
      <c r="AM16" s="1414"/>
      <c r="AN16" s="1414"/>
      <c r="AO16" s="1310"/>
      <c r="AP16" s="1310">
        <v>1247</v>
      </c>
      <c r="AQ16" s="1934">
        <f t="shared" si="15"/>
        <v>1247</v>
      </c>
      <c r="AR16" s="1729">
        <f t="shared" si="8"/>
        <v>0</v>
      </c>
      <c r="AS16" s="1729">
        <f t="shared" si="8"/>
        <v>14960.28</v>
      </c>
      <c r="AT16" s="1007"/>
      <c r="AU16" s="2500">
        <v>427.72</v>
      </c>
      <c r="AV16" s="1414"/>
      <c r="AW16" s="987"/>
      <c r="AX16" s="310">
        <f t="shared" si="9"/>
        <v>14557.03</v>
      </c>
      <c r="AY16" s="998"/>
      <c r="AZ16" s="2">
        <v>7496.1917154925741</v>
      </c>
      <c r="BA16" s="2110">
        <v>1.0939589862379071</v>
      </c>
      <c r="BB16" s="2110">
        <v>1.5536380978334923</v>
      </c>
      <c r="BC16" s="2110">
        <v>4.5387266657582774</v>
      </c>
      <c r="BD16" s="2111">
        <v>7.5445191902166497</v>
      </c>
      <c r="BF16" s="987"/>
      <c r="BG16" s="987"/>
      <c r="BH16" s="987"/>
      <c r="BI16" s="987"/>
      <c r="BJ16" s="987"/>
      <c r="BK16" s="310"/>
      <c r="BL16" s="310"/>
      <c r="BM16" s="310"/>
      <c r="BN16" s="310">
        <v>2</v>
      </c>
      <c r="BO16" s="310"/>
      <c r="BP16" s="1041">
        <f>'August TCM'!LP14</f>
        <v>1.1000000000000001</v>
      </c>
      <c r="BQ16" s="2214"/>
      <c r="BR16" s="1"/>
      <c r="BS16" s="1032">
        <f t="shared" si="10"/>
        <v>42864.838234150011</v>
      </c>
      <c r="BT16" s="1"/>
      <c r="BU16" s="1"/>
      <c r="BV16" s="1"/>
      <c r="BW16" s="1"/>
      <c r="BX16" s="1"/>
      <c r="BY16" s="1"/>
      <c r="BZ16" s="1"/>
      <c r="CA16" s="1"/>
      <c r="CB16" s="1"/>
      <c r="CC16" s="1"/>
      <c r="CD16" s="1"/>
      <c r="CE16" s="1"/>
      <c r="CF16" s="1"/>
      <c r="CG16" s="1"/>
      <c r="CH16" s="1"/>
      <c r="CI16" s="1"/>
      <c r="CJ16" s="1"/>
      <c r="CK16" s="1"/>
      <c r="CM16" s="1033">
        <v>5</v>
      </c>
      <c r="CN16" s="1">
        <f t="shared" si="11"/>
        <v>1293.06</v>
      </c>
      <c r="CO16" s="1109">
        <v>2608050291</v>
      </c>
      <c r="CQ16" s="412">
        <v>5</v>
      </c>
      <c r="CR16" s="1">
        <f t="shared" si="12"/>
        <v>14557.03</v>
      </c>
      <c r="CS16" s="1928">
        <v>2608051518</v>
      </c>
    </row>
    <row r="17" spans="2:97">
      <c r="B17" s="989">
        <v>6</v>
      </c>
      <c r="C17" s="5">
        <f t="shared" si="1"/>
        <v>35929</v>
      </c>
      <c r="D17" s="488">
        <f t="shared" si="13"/>
        <v>2890.3599999999997</v>
      </c>
      <c r="E17" s="15">
        <f t="shared" si="2"/>
        <v>21.85967559411543</v>
      </c>
      <c r="F17" s="363"/>
      <c r="G17" s="64"/>
      <c r="H17" s="1034"/>
      <c r="I17" s="1035"/>
      <c r="N17" s="993"/>
      <c r="O17" s="26">
        <v>35929</v>
      </c>
      <c r="P17" s="36"/>
      <c r="Q17" s="277">
        <f t="shared" si="14"/>
        <v>1643.62</v>
      </c>
      <c r="R17" s="1227">
        <f t="shared" si="3"/>
        <v>1643.62</v>
      </c>
      <c r="S17" s="27">
        <f t="shared" si="4"/>
        <v>21.85967559411543</v>
      </c>
      <c r="T17" s="33"/>
      <c r="U17" s="2226">
        <v>1643.62</v>
      </c>
      <c r="V17" s="2227">
        <v>0</v>
      </c>
      <c r="W17" s="2227">
        <v>0</v>
      </c>
      <c r="X17" s="1038"/>
      <c r="Y17" s="1"/>
      <c r="Z17" s="1025">
        <v>0</v>
      </c>
      <c r="AA17" s="2174">
        <v>2932.79</v>
      </c>
      <c r="AB17" s="1025">
        <v>2932.79</v>
      </c>
      <c r="AC17" s="1025">
        <v>0</v>
      </c>
      <c r="AD17" s="1025">
        <v>0</v>
      </c>
      <c r="AE17" s="1025">
        <v>2847.49</v>
      </c>
      <c r="AF17" s="1025">
        <v>85.3</v>
      </c>
      <c r="AG17" s="1025">
        <f t="shared" ref="AG17:AG43" si="16">SUM(AC17:AF17)</f>
        <v>2932.79</v>
      </c>
      <c r="AH17" s="1025"/>
      <c r="AI17" s="1039"/>
      <c r="AJ17" s="1026">
        <f t="shared" si="6"/>
        <v>0</v>
      </c>
      <c r="AK17" s="1026">
        <f t="shared" si="7"/>
        <v>7934.5394815999853</v>
      </c>
      <c r="AL17" s="1040">
        <f t="shared" si="0"/>
        <v>7934.5394815999853</v>
      </c>
      <c r="AM17" s="1414"/>
      <c r="AN17" s="1414"/>
      <c r="AO17" s="1310"/>
      <c r="AP17" s="1310">
        <v>1459</v>
      </c>
      <c r="AQ17" s="1934">
        <f t="shared" si="15"/>
        <v>1459</v>
      </c>
      <c r="AR17" s="1729">
        <f t="shared" si="8"/>
        <v>0</v>
      </c>
      <c r="AS17" s="1729">
        <f t="shared" si="8"/>
        <v>15172.539999999999</v>
      </c>
      <c r="AT17" s="1007"/>
      <c r="AU17" s="2500">
        <v>1246.74</v>
      </c>
      <c r="AV17" s="1414"/>
      <c r="AW17" s="987"/>
      <c r="AX17" s="310">
        <f t="shared" si="9"/>
        <v>2932.79</v>
      </c>
      <c r="AY17" s="998"/>
      <c r="AZ17" s="2">
        <v>7165</v>
      </c>
      <c r="BA17" s="2110">
        <v>1.32</v>
      </c>
      <c r="BB17" s="2110">
        <v>3.17</v>
      </c>
      <c r="BC17" s="2110">
        <v>4.83</v>
      </c>
      <c r="BD17" s="2111">
        <v>8.0277119999999993</v>
      </c>
      <c r="BF17" s="987"/>
      <c r="BG17" s="987"/>
      <c r="BH17" s="987"/>
      <c r="BI17" s="987"/>
      <c r="BJ17" s="987"/>
      <c r="BK17" s="310"/>
      <c r="BL17" s="310"/>
      <c r="BM17" s="310"/>
      <c r="BN17" s="310">
        <v>2</v>
      </c>
      <c r="BO17" s="310"/>
      <c r="BP17" s="1041">
        <f>'August TCM'!LP15</f>
        <v>0.8</v>
      </c>
      <c r="BQ17" s="1042"/>
      <c r="BR17" s="1"/>
      <c r="BS17" s="1032">
        <f t="shared" si="10"/>
        <v>45797.628234150012</v>
      </c>
      <c r="BT17" s="1"/>
      <c r="BU17" s="1"/>
      <c r="BV17" s="1"/>
      <c r="BW17" s="1"/>
      <c r="BX17" s="1"/>
      <c r="BY17" s="1"/>
      <c r="BZ17" s="1"/>
      <c r="CA17" s="1"/>
      <c r="CB17" s="1"/>
      <c r="CC17" s="1"/>
      <c r="CD17" s="1"/>
      <c r="CE17" s="1"/>
      <c r="CF17" s="1"/>
      <c r="CG17" s="1"/>
      <c r="CH17" s="1"/>
      <c r="CI17" s="1"/>
      <c r="CJ17" s="1"/>
      <c r="CK17" s="1"/>
      <c r="CM17" s="1033">
        <v>6</v>
      </c>
      <c r="CN17" s="1">
        <f t="shared" si="11"/>
        <v>2890.3599999999997</v>
      </c>
      <c r="CO17" s="2498">
        <v>2608060409</v>
      </c>
      <c r="CQ17" s="412">
        <v>6</v>
      </c>
      <c r="CR17" s="1">
        <f t="shared" si="12"/>
        <v>2932.79</v>
      </c>
      <c r="CS17" s="2490">
        <v>2608061998</v>
      </c>
    </row>
    <row r="18" spans="2:97">
      <c r="B18" s="989">
        <v>7</v>
      </c>
      <c r="C18" s="5">
        <f t="shared" si="1"/>
        <v>38053</v>
      </c>
      <c r="D18" s="488">
        <f>Q18+P18+AU18</f>
        <v>3442.08</v>
      </c>
      <c r="E18" s="15">
        <f t="shared" si="2"/>
        <v>19.1861285898677</v>
      </c>
      <c r="F18" s="363"/>
      <c r="G18" s="64"/>
      <c r="H18" s="1034"/>
      <c r="I18" s="2107"/>
      <c r="N18" s="993"/>
      <c r="O18" s="26">
        <v>38053</v>
      </c>
      <c r="P18" s="36"/>
      <c r="Q18" s="277">
        <f t="shared" si="14"/>
        <v>1983.3600000000001</v>
      </c>
      <c r="R18" s="1227">
        <f t="shared" si="3"/>
        <v>1983.3600000000001</v>
      </c>
      <c r="S18" s="27">
        <f t="shared" si="4"/>
        <v>19.1861285898677</v>
      </c>
      <c r="T18" s="33"/>
      <c r="U18" s="2226">
        <v>1895.68</v>
      </c>
      <c r="V18" s="2227">
        <v>87.68</v>
      </c>
      <c r="W18" s="2227">
        <v>0</v>
      </c>
      <c r="X18" s="1038"/>
      <c r="Y18" s="1"/>
      <c r="Z18" s="1025">
        <v>0</v>
      </c>
      <c r="AA18" s="2174">
        <v>0</v>
      </c>
      <c r="AB18" s="1025">
        <v>0</v>
      </c>
      <c r="AC18" s="1025">
        <v>0</v>
      </c>
      <c r="AD18" s="1025">
        <v>0</v>
      </c>
      <c r="AE18" s="1025">
        <v>0</v>
      </c>
      <c r="AF18" s="1025">
        <v>0</v>
      </c>
      <c r="AG18" s="1025">
        <f t="shared" si="16"/>
        <v>0</v>
      </c>
      <c r="AH18" s="1025"/>
      <c r="AI18" s="1039"/>
      <c r="AJ18" s="1026">
        <f t="shared" si="6"/>
        <v>0</v>
      </c>
      <c r="AK18" s="1026">
        <f t="shared" si="7"/>
        <v>11376.619481599984</v>
      </c>
      <c r="AL18" s="1040">
        <f t="shared" si="0"/>
        <v>11376.619481599984</v>
      </c>
      <c r="AM18" s="1414"/>
      <c r="AN18" s="1414"/>
      <c r="AO18" s="1310"/>
      <c r="AP18" s="1310">
        <v>2560</v>
      </c>
      <c r="AQ18" s="1934">
        <f t="shared" si="15"/>
        <v>2560</v>
      </c>
      <c r="AR18" s="1729">
        <f t="shared" si="8"/>
        <v>0</v>
      </c>
      <c r="AS18" s="1729">
        <f t="shared" si="8"/>
        <v>16273.820000000002</v>
      </c>
      <c r="AT18" s="1007"/>
      <c r="AU18" s="2500">
        <v>1458.72</v>
      </c>
      <c r="AV18" s="1414"/>
      <c r="AW18" s="987"/>
      <c r="AX18" s="310">
        <f t="shared" si="9"/>
        <v>0</v>
      </c>
      <c r="AY18" s="998"/>
      <c r="AZ18" s="2">
        <v>0</v>
      </c>
      <c r="BA18" s="2110">
        <v>0</v>
      </c>
      <c r="BB18" s="2110">
        <v>0</v>
      </c>
      <c r="BC18" s="2110">
        <v>0</v>
      </c>
      <c r="BD18" s="2111">
        <v>0</v>
      </c>
      <c r="BF18" s="987"/>
      <c r="BG18" s="987"/>
      <c r="BH18" s="987"/>
      <c r="BI18" s="987"/>
      <c r="BJ18" s="987"/>
      <c r="BK18" s="1047"/>
      <c r="BL18" s="310"/>
      <c r="BM18" s="310"/>
      <c r="BN18" s="310">
        <v>2</v>
      </c>
      <c r="BO18" s="310"/>
      <c r="BP18" s="1041">
        <f>'August TCM'!LP16</f>
        <v>0.84</v>
      </c>
      <c r="BQ18" s="1042"/>
      <c r="BR18" s="1"/>
      <c r="BS18" s="1032">
        <f t="shared" si="10"/>
        <v>45797.628234150012</v>
      </c>
      <c r="BT18" s="1"/>
      <c r="BU18" s="1"/>
      <c r="BV18" s="1"/>
      <c r="BW18" s="1"/>
      <c r="BX18" s="1"/>
      <c r="BY18" s="1"/>
      <c r="BZ18" s="1"/>
      <c r="CA18" s="1"/>
      <c r="CB18" s="1"/>
      <c r="CC18" s="1"/>
      <c r="CD18" s="1"/>
      <c r="CE18" s="1"/>
      <c r="CF18" s="1"/>
      <c r="CG18" s="1"/>
      <c r="CH18" s="1"/>
      <c r="CI18" s="1"/>
      <c r="CJ18" s="1"/>
      <c r="CK18" s="1"/>
      <c r="CM18" s="1033">
        <v>7</v>
      </c>
      <c r="CN18" s="1">
        <f t="shared" si="11"/>
        <v>3442.08</v>
      </c>
      <c r="CO18" s="2420">
        <v>2608070764</v>
      </c>
      <c r="CQ18" s="412">
        <v>7</v>
      </c>
      <c r="CR18" s="1">
        <f t="shared" si="12"/>
        <v>0</v>
      </c>
      <c r="CS18" s="2490"/>
    </row>
    <row r="19" spans="2:97">
      <c r="B19" s="989">
        <v>8</v>
      </c>
      <c r="C19" s="5">
        <f t="shared" si="1"/>
        <v>33471</v>
      </c>
      <c r="D19" s="488">
        <f>Q19+P19+AU19</f>
        <v>4072.3</v>
      </c>
      <c r="E19" s="15">
        <f t="shared" si="2"/>
        <v>22.139247539422158</v>
      </c>
      <c r="F19" s="363"/>
      <c r="G19" s="64"/>
      <c r="H19" s="2108"/>
      <c r="I19" s="1035"/>
      <c r="N19" s="993"/>
      <c r="O19" s="26">
        <v>33471</v>
      </c>
      <c r="P19" s="36"/>
      <c r="Q19" s="277">
        <f t="shared" si="14"/>
        <v>1511.8400000000001</v>
      </c>
      <c r="R19" s="1227">
        <f t="shared" si="3"/>
        <v>1511.8400000000001</v>
      </c>
      <c r="S19" s="27">
        <f t="shared" si="4"/>
        <v>22.139247539422158</v>
      </c>
      <c r="T19" s="33"/>
      <c r="U19" s="2226">
        <v>1511.8400000000001</v>
      </c>
      <c r="V19" s="2227">
        <v>0</v>
      </c>
      <c r="W19" s="2227">
        <v>0</v>
      </c>
      <c r="X19" s="1038"/>
      <c r="Y19" s="1"/>
      <c r="Z19" s="1025">
        <v>0</v>
      </c>
      <c r="AA19" s="2174">
        <v>0</v>
      </c>
      <c r="AB19" s="1025">
        <v>0</v>
      </c>
      <c r="AC19" s="1025">
        <v>0</v>
      </c>
      <c r="AD19" s="1025">
        <v>0</v>
      </c>
      <c r="AE19" s="1025">
        <v>0</v>
      </c>
      <c r="AF19" s="1025">
        <v>0</v>
      </c>
      <c r="AG19" s="1025">
        <f t="shared" si="16"/>
        <v>0</v>
      </c>
      <c r="AH19" s="1025"/>
      <c r="AI19" s="1039"/>
      <c r="AJ19" s="1026">
        <f t="shared" si="6"/>
        <v>0</v>
      </c>
      <c r="AK19" s="1026">
        <f t="shared" si="7"/>
        <v>15448.919481599984</v>
      </c>
      <c r="AL19" s="1040">
        <f t="shared" si="0"/>
        <v>15448.919481599984</v>
      </c>
      <c r="AM19" s="1414"/>
      <c r="AN19" s="1414"/>
      <c r="AO19" s="1310"/>
      <c r="AP19" s="1310"/>
      <c r="AQ19" s="1934">
        <f t="shared" si="15"/>
        <v>0</v>
      </c>
      <c r="AR19" s="1729">
        <f t="shared" si="8"/>
        <v>0</v>
      </c>
      <c r="AS19" s="1729">
        <f t="shared" si="8"/>
        <v>13713.36</v>
      </c>
      <c r="AT19" s="1007"/>
      <c r="AU19" s="2500">
        <v>2560.46</v>
      </c>
      <c r="AV19" s="1414"/>
      <c r="AW19" s="987"/>
      <c r="AX19" s="310">
        <f t="shared" si="9"/>
        <v>0</v>
      </c>
      <c r="AY19" s="998"/>
      <c r="AZ19" s="2">
        <v>0</v>
      </c>
      <c r="BA19" s="2110">
        <v>0</v>
      </c>
      <c r="BB19" s="2110">
        <v>0</v>
      </c>
      <c r="BC19" s="2110">
        <v>0</v>
      </c>
      <c r="BD19" s="2111">
        <v>0</v>
      </c>
      <c r="BF19" s="987"/>
      <c r="BG19" s="987"/>
      <c r="BH19" s="987"/>
      <c r="BI19" s="987"/>
      <c r="BJ19" s="987"/>
      <c r="BK19" s="310"/>
      <c r="BL19" s="310"/>
      <c r="BM19" s="310"/>
      <c r="BN19" s="310"/>
      <c r="BO19" s="310"/>
      <c r="BP19" s="1041">
        <f>'August TCM'!LP17</f>
        <v>0.87</v>
      </c>
      <c r="BQ19" s="1042"/>
      <c r="BR19" s="1"/>
      <c r="BS19" s="1032">
        <f t="shared" si="10"/>
        <v>45797.628234150012</v>
      </c>
      <c r="BT19" s="1"/>
      <c r="BU19" s="1"/>
      <c r="BV19" s="1"/>
      <c r="BW19" s="1"/>
      <c r="BX19" s="1"/>
      <c r="BY19" s="1"/>
      <c r="BZ19" s="1"/>
      <c r="CA19" s="1"/>
      <c r="CB19" s="1"/>
      <c r="CC19" s="1"/>
      <c r="CD19" s="1"/>
      <c r="CE19" s="1"/>
      <c r="CF19" s="1"/>
      <c r="CG19" s="1"/>
      <c r="CH19" s="1"/>
      <c r="CI19" s="1"/>
      <c r="CJ19" s="1"/>
      <c r="CK19" s="1"/>
      <c r="CM19" s="1033">
        <v>8</v>
      </c>
      <c r="CN19" s="1">
        <f t="shared" si="11"/>
        <v>4072.3</v>
      </c>
      <c r="CO19" s="2490">
        <v>2608081121</v>
      </c>
      <c r="CQ19" s="412">
        <v>8</v>
      </c>
      <c r="CR19" s="1">
        <f t="shared" si="12"/>
        <v>0</v>
      </c>
      <c r="CS19" s="2490"/>
    </row>
    <row r="20" spans="2:97">
      <c r="B20" s="989">
        <v>9</v>
      </c>
      <c r="C20" s="5">
        <f t="shared" si="1"/>
        <v>37481</v>
      </c>
      <c r="D20" s="488">
        <f t="shared" si="13"/>
        <v>4185.95</v>
      </c>
      <c r="E20" s="15">
        <f t="shared" si="2"/>
        <v>8.9540008839092682</v>
      </c>
      <c r="F20" s="363"/>
      <c r="G20" s="64"/>
      <c r="H20" s="1034"/>
      <c r="I20" s="1018"/>
      <c r="N20" s="993"/>
      <c r="O20" s="26">
        <v>37481</v>
      </c>
      <c r="P20" s="36"/>
      <c r="Q20" s="277">
        <f t="shared" si="14"/>
        <v>4185.95</v>
      </c>
      <c r="R20" s="1227">
        <f t="shared" si="3"/>
        <v>4185.95</v>
      </c>
      <c r="S20" s="27">
        <f t="shared" si="4"/>
        <v>8.9540008839092682</v>
      </c>
      <c r="T20" s="33"/>
      <c r="U20" s="2226">
        <v>3423.6099999999997</v>
      </c>
      <c r="V20" s="2227">
        <v>762.34</v>
      </c>
      <c r="W20" s="2227">
        <v>0</v>
      </c>
      <c r="X20" s="1038"/>
      <c r="Y20" s="1"/>
      <c r="Z20" s="1025">
        <v>0</v>
      </c>
      <c r="AA20" s="2174">
        <v>0</v>
      </c>
      <c r="AB20" s="1025">
        <v>0</v>
      </c>
      <c r="AC20" s="1025">
        <v>0</v>
      </c>
      <c r="AD20" s="1025">
        <v>0</v>
      </c>
      <c r="AE20" s="1025">
        <v>0</v>
      </c>
      <c r="AF20" s="1025">
        <v>0</v>
      </c>
      <c r="AG20" s="1025">
        <f t="shared" si="16"/>
        <v>0</v>
      </c>
      <c r="AH20" s="1025"/>
      <c r="AI20" s="1039"/>
      <c r="AJ20" s="1026">
        <f t="shared" si="6"/>
        <v>0</v>
      </c>
      <c r="AK20" s="1026">
        <f t="shared" si="7"/>
        <v>19634.869481599984</v>
      </c>
      <c r="AL20" s="1040">
        <f t="shared" si="0"/>
        <v>19634.869481599984</v>
      </c>
      <c r="AM20" s="1414"/>
      <c r="AN20" s="1414"/>
      <c r="AO20" s="1310"/>
      <c r="AP20" s="1310"/>
      <c r="AQ20" s="1934">
        <f t="shared" si="15"/>
        <v>0</v>
      </c>
      <c r="AR20" s="1729">
        <f t="shared" si="8"/>
        <v>0</v>
      </c>
      <c r="AS20" s="1729">
        <f t="shared" si="8"/>
        <v>13713.36</v>
      </c>
      <c r="AT20" s="1007"/>
      <c r="AU20" s="2500">
        <v>0</v>
      </c>
      <c r="AV20" s="1414"/>
      <c r="AW20" s="987"/>
      <c r="AX20" s="310">
        <f t="shared" si="9"/>
        <v>0</v>
      </c>
      <c r="AY20" s="998"/>
      <c r="AZ20" s="2">
        <v>0</v>
      </c>
      <c r="BA20" s="2110">
        <v>0</v>
      </c>
      <c r="BB20" s="2110">
        <v>0</v>
      </c>
      <c r="BC20" s="2110">
        <v>0</v>
      </c>
      <c r="BD20" s="2111">
        <v>0</v>
      </c>
      <c r="BF20" s="987"/>
      <c r="BG20" s="987"/>
      <c r="BH20" s="987"/>
      <c r="BI20" s="987"/>
      <c r="BJ20" s="987"/>
      <c r="BK20" s="310"/>
      <c r="BL20" s="310"/>
      <c r="BM20" s="310"/>
      <c r="BN20" s="310"/>
      <c r="BO20" s="310"/>
      <c r="BP20" s="1041">
        <f>'August TCM'!LP18</f>
        <v>0.83</v>
      </c>
      <c r="BQ20" s="1042"/>
      <c r="BR20" s="1"/>
      <c r="BS20" s="1032">
        <f t="shared" si="10"/>
        <v>45797.628234150012</v>
      </c>
      <c r="BT20" s="1"/>
      <c r="BU20" s="1"/>
      <c r="BV20" s="1"/>
      <c r="BW20" s="1"/>
      <c r="BX20" s="1"/>
      <c r="BY20" s="1"/>
      <c r="BZ20" s="1"/>
      <c r="CA20" s="1"/>
      <c r="CB20" s="1"/>
      <c r="CC20" s="1"/>
      <c r="CD20" s="1"/>
      <c r="CE20" s="1"/>
      <c r="CF20" s="1"/>
      <c r="CG20" s="1"/>
      <c r="CH20" s="1"/>
      <c r="CI20" s="1"/>
      <c r="CJ20" s="1"/>
      <c r="CK20" s="1"/>
      <c r="CM20" s="1033">
        <v>9</v>
      </c>
      <c r="CN20" s="1">
        <f t="shared" si="11"/>
        <v>4185.95</v>
      </c>
      <c r="CO20" s="1928">
        <v>2608091443</v>
      </c>
      <c r="CQ20" s="412">
        <v>9</v>
      </c>
      <c r="CR20" s="1">
        <f t="shared" si="12"/>
        <v>0</v>
      </c>
      <c r="CS20" s="2490"/>
    </row>
    <row r="21" spans="2:97">
      <c r="B21" s="989">
        <v>10</v>
      </c>
      <c r="C21" s="5">
        <f t="shared" si="1"/>
        <v>35595</v>
      </c>
      <c r="D21" s="488">
        <f t="shared" si="13"/>
        <v>2809.1400000000003</v>
      </c>
      <c r="E21" s="15">
        <f t="shared" si="2"/>
        <v>12.671137785941603</v>
      </c>
      <c r="F21" s="363"/>
      <c r="G21" s="64"/>
      <c r="H21" s="1034"/>
      <c r="I21" s="1034"/>
      <c r="N21" s="993"/>
      <c r="O21" s="26">
        <v>35595</v>
      </c>
      <c r="P21" s="36"/>
      <c r="Q21" s="277">
        <f t="shared" si="14"/>
        <v>2809.1400000000003</v>
      </c>
      <c r="R21" s="1227">
        <f t="shared" si="3"/>
        <v>2809.1400000000003</v>
      </c>
      <c r="S21" s="27">
        <f t="shared" si="4"/>
        <v>12.671137785941603</v>
      </c>
      <c r="T21" s="33"/>
      <c r="U21" s="2226">
        <v>1984.3200000000002</v>
      </c>
      <c r="V21" s="2227">
        <v>824.82</v>
      </c>
      <c r="W21" s="2227">
        <v>0</v>
      </c>
      <c r="X21" s="1038"/>
      <c r="Y21" s="1"/>
      <c r="Z21" s="1025">
        <v>0</v>
      </c>
      <c r="AA21" s="2174">
        <v>0</v>
      </c>
      <c r="AB21" s="1025">
        <v>0</v>
      </c>
      <c r="AC21" s="1025">
        <v>0</v>
      </c>
      <c r="AD21" s="1025">
        <v>0</v>
      </c>
      <c r="AE21" s="1025">
        <v>0</v>
      </c>
      <c r="AF21" s="1025">
        <v>0</v>
      </c>
      <c r="AG21" s="1025">
        <f t="shared" si="16"/>
        <v>0</v>
      </c>
      <c r="AH21" s="1025"/>
      <c r="AI21" s="1039"/>
      <c r="AJ21" s="1026">
        <f t="shared" si="6"/>
        <v>0</v>
      </c>
      <c r="AK21" s="1026">
        <f t="shared" si="7"/>
        <v>22444.009481599984</v>
      </c>
      <c r="AL21" s="1040">
        <f t="shared" si="0"/>
        <v>22444.009481599984</v>
      </c>
      <c r="AM21" s="1414"/>
      <c r="AN21" s="1414"/>
      <c r="AO21" s="1310"/>
      <c r="AP21" s="1310"/>
      <c r="AQ21" s="1934">
        <f t="shared" si="15"/>
        <v>0</v>
      </c>
      <c r="AR21" s="1729">
        <f t="shared" si="8"/>
        <v>0</v>
      </c>
      <c r="AS21" s="1729">
        <f t="shared" si="8"/>
        <v>13713.36</v>
      </c>
      <c r="AT21" s="1007"/>
      <c r="AU21" s="2500">
        <v>0</v>
      </c>
      <c r="AV21" s="1414"/>
      <c r="AW21" s="987"/>
      <c r="AX21" s="310">
        <f t="shared" si="9"/>
        <v>0</v>
      </c>
      <c r="AY21" s="998"/>
      <c r="AZ21" s="2">
        <v>0</v>
      </c>
      <c r="BA21" s="2110">
        <v>0</v>
      </c>
      <c r="BB21" s="2110">
        <v>0</v>
      </c>
      <c r="BC21" s="2110">
        <v>0</v>
      </c>
      <c r="BD21" s="2111">
        <v>0</v>
      </c>
      <c r="BF21" s="987"/>
      <c r="BG21" s="987"/>
      <c r="BH21" s="987"/>
      <c r="BI21" s="987"/>
      <c r="BJ21" s="987"/>
      <c r="BK21" s="310"/>
      <c r="BL21" s="310"/>
      <c r="BM21" s="310"/>
      <c r="BN21" s="310"/>
      <c r="BO21" s="310"/>
      <c r="BP21" s="1041">
        <f>'August TCM'!LP19</f>
        <v>0</v>
      </c>
      <c r="BQ21" s="1042"/>
      <c r="BR21" s="1"/>
      <c r="BS21" s="1032">
        <f t="shared" si="10"/>
        <v>45797.628234150012</v>
      </c>
      <c r="BT21" s="1"/>
      <c r="BU21" s="1"/>
      <c r="BV21" s="1"/>
      <c r="BW21" s="1"/>
      <c r="BX21" s="1"/>
      <c r="BY21" s="1"/>
      <c r="BZ21" s="1"/>
      <c r="CA21" s="1"/>
      <c r="CB21" s="1"/>
      <c r="CC21" s="1"/>
      <c r="CD21" s="1"/>
      <c r="CE21" s="1"/>
      <c r="CF21" s="1"/>
      <c r="CG21" s="1"/>
      <c r="CH21" s="1"/>
      <c r="CI21" s="1"/>
      <c r="CJ21" s="1"/>
      <c r="CK21" s="1"/>
      <c r="CM21" s="1033">
        <v>10</v>
      </c>
      <c r="CN21" s="1">
        <f t="shared" si="11"/>
        <v>2809.1400000000003</v>
      </c>
      <c r="CO21" s="2490">
        <v>2608101788</v>
      </c>
      <c r="CQ21" s="412">
        <v>10</v>
      </c>
      <c r="CR21" s="1">
        <f t="shared" si="12"/>
        <v>0</v>
      </c>
      <c r="CS21" s="2490"/>
    </row>
    <row r="22" spans="2:97">
      <c r="B22" s="989">
        <v>11</v>
      </c>
      <c r="C22" s="5">
        <f t="shared" si="1"/>
        <v>33962</v>
      </c>
      <c r="D22" s="488">
        <f t="shared" si="13"/>
        <v>2894.42</v>
      </c>
      <c r="E22" s="15">
        <f t="shared" si="2"/>
        <v>11.73361156984819</v>
      </c>
      <c r="F22" s="363"/>
      <c r="G22" s="64"/>
      <c r="H22" s="1034"/>
      <c r="I22" s="1034"/>
      <c r="N22" s="993"/>
      <c r="O22" s="26">
        <v>33962</v>
      </c>
      <c r="P22" s="36"/>
      <c r="Q22" s="277">
        <f t="shared" si="14"/>
        <v>2894.42</v>
      </c>
      <c r="R22" s="1227">
        <f t="shared" si="3"/>
        <v>2894.42</v>
      </c>
      <c r="S22" s="27">
        <f t="shared" si="4"/>
        <v>11.73361156984819</v>
      </c>
      <c r="T22" s="33"/>
      <c r="U22" s="2226">
        <v>1983.1999999999998</v>
      </c>
      <c r="V22" s="2227">
        <v>911.22</v>
      </c>
      <c r="W22" s="2227">
        <v>0</v>
      </c>
      <c r="X22" s="1038"/>
      <c r="Y22" s="1"/>
      <c r="Z22" s="1025">
        <v>0</v>
      </c>
      <c r="AA22" s="2174">
        <v>0</v>
      </c>
      <c r="AB22" s="1025">
        <v>0</v>
      </c>
      <c r="AC22" s="1025">
        <v>0</v>
      </c>
      <c r="AD22" s="1025">
        <v>0</v>
      </c>
      <c r="AE22" s="1025">
        <v>0</v>
      </c>
      <c r="AF22" s="1025">
        <v>0</v>
      </c>
      <c r="AG22" s="1025">
        <f t="shared" si="16"/>
        <v>0</v>
      </c>
      <c r="AH22" s="1025"/>
      <c r="AI22" s="1039"/>
      <c r="AJ22" s="1026">
        <f t="shared" si="6"/>
        <v>0</v>
      </c>
      <c r="AK22" s="1026">
        <f t="shared" si="7"/>
        <v>25338.429481599982</v>
      </c>
      <c r="AL22" s="1040">
        <f t="shared" si="0"/>
        <v>25338.429481599982</v>
      </c>
      <c r="AM22" s="1414"/>
      <c r="AN22" s="1414"/>
      <c r="AO22" s="1310"/>
      <c r="AP22" s="1310"/>
      <c r="AQ22" s="1934">
        <f t="shared" si="15"/>
        <v>0</v>
      </c>
      <c r="AR22" s="1729">
        <f t="shared" si="8"/>
        <v>0</v>
      </c>
      <c r="AS22" s="1729">
        <f t="shared" si="8"/>
        <v>13713.36</v>
      </c>
      <c r="AT22" s="1007"/>
      <c r="AU22" s="2500">
        <v>0</v>
      </c>
      <c r="AV22" s="1414"/>
      <c r="AW22" s="987"/>
      <c r="AX22" s="310">
        <f t="shared" si="9"/>
        <v>0</v>
      </c>
      <c r="AY22" s="998"/>
      <c r="AZ22" s="2">
        <v>0</v>
      </c>
      <c r="BA22" s="2110">
        <v>0</v>
      </c>
      <c r="BB22" s="2110">
        <v>0</v>
      </c>
      <c r="BC22" s="2110">
        <v>0</v>
      </c>
      <c r="BD22" s="2111">
        <v>0</v>
      </c>
      <c r="BF22" s="987"/>
      <c r="BG22" s="987"/>
      <c r="BH22" s="987"/>
      <c r="BI22" s="987"/>
      <c r="BJ22" s="987"/>
      <c r="BK22" s="310"/>
      <c r="BL22" s="310"/>
      <c r="BM22" s="310"/>
      <c r="BN22" s="310"/>
      <c r="BO22" s="310"/>
      <c r="BP22" s="1041">
        <f>'August TCM'!LP20</f>
        <v>0</v>
      </c>
      <c r="BQ22" s="1042"/>
      <c r="BR22" s="1"/>
      <c r="BS22" s="1032">
        <f t="shared" si="10"/>
        <v>45797.628234150012</v>
      </c>
      <c r="BT22" s="1"/>
      <c r="BU22" s="1"/>
      <c r="BV22" s="1"/>
      <c r="BW22" s="1"/>
      <c r="BX22" s="1"/>
      <c r="BY22" s="1"/>
      <c r="BZ22" s="1"/>
      <c r="CA22" s="1"/>
      <c r="CB22" s="1"/>
      <c r="CC22" s="1"/>
      <c r="CD22" s="1"/>
      <c r="CE22" s="1"/>
      <c r="CF22" s="1"/>
      <c r="CG22" s="1"/>
      <c r="CH22" s="1"/>
      <c r="CI22" s="1"/>
      <c r="CJ22" s="1"/>
      <c r="CK22" s="1"/>
      <c r="CM22" s="1033">
        <v>11</v>
      </c>
      <c r="CN22" s="1">
        <f t="shared" si="11"/>
        <v>2894.42</v>
      </c>
      <c r="CO22" s="2490">
        <v>2608112116</v>
      </c>
      <c r="CQ22" s="412">
        <v>11</v>
      </c>
      <c r="CR22" s="1">
        <f t="shared" si="12"/>
        <v>0</v>
      </c>
      <c r="CS22" s="2490"/>
    </row>
    <row r="23" spans="2:97">
      <c r="B23" s="989">
        <v>12</v>
      </c>
      <c r="C23" s="5">
        <f t="shared" si="1"/>
        <v>32334</v>
      </c>
      <c r="D23" s="488">
        <f t="shared" si="13"/>
        <v>3382.62</v>
      </c>
      <c r="E23" s="15">
        <f t="shared" si="2"/>
        <v>9.5588626567571886</v>
      </c>
      <c r="F23" s="363"/>
      <c r="G23" s="64"/>
      <c r="H23" s="1034"/>
      <c r="I23" s="1034"/>
      <c r="N23" s="993"/>
      <c r="O23" s="26">
        <v>32334</v>
      </c>
      <c r="P23" s="36"/>
      <c r="Q23" s="277">
        <f t="shared" si="14"/>
        <v>3382.62</v>
      </c>
      <c r="R23" s="1227">
        <f t="shared" si="3"/>
        <v>3382.62</v>
      </c>
      <c r="S23" s="27">
        <f t="shared" si="4"/>
        <v>9.5588626567571886</v>
      </c>
      <c r="U23" s="2226">
        <v>2314.48</v>
      </c>
      <c r="V23" s="2227">
        <v>1068.1399999999999</v>
      </c>
      <c r="W23" s="2227">
        <v>0</v>
      </c>
      <c r="X23" s="1038"/>
      <c r="Y23" s="1"/>
      <c r="Z23" s="1025">
        <v>0</v>
      </c>
      <c r="AA23" s="2174">
        <v>0</v>
      </c>
      <c r="AB23" s="1025">
        <v>0</v>
      </c>
      <c r="AC23" s="1025">
        <v>0</v>
      </c>
      <c r="AD23" s="1025">
        <v>0</v>
      </c>
      <c r="AE23" s="1025">
        <v>0</v>
      </c>
      <c r="AF23" s="1025">
        <v>0</v>
      </c>
      <c r="AG23" s="1025">
        <f t="shared" si="16"/>
        <v>0</v>
      </c>
      <c r="AH23" s="1025"/>
      <c r="AI23" s="1039"/>
      <c r="AJ23" s="1026">
        <f t="shared" si="6"/>
        <v>0</v>
      </c>
      <c r="AK23" s="1026">
        <f t="shared" si="7"/>
        <v>28721.049481599981</v>
      </c>
      <c r="AL23" s="1040">
        <f t="shared" si="0"/>
        <v>28721.049481599981</v>
      </c>
      <c r="AM23" s="1414"/>
      <c r="AN23" s="1414"/>
      <c r="AO23" s="1310"/>
      <c r="AP23" s="1310"/>
      <c r="AQ23" s="1934">
        <f t="shared" si="15"/>
        <v>0</v>
      </c>
      <c r="AR23" s="1729">
        <f t="shared" si="8"/>
        <v>0</v>
      </c>
      <c r="AS23" s="1729">
        <f t="shared" si="8"/>
        <v>13713.36</v>
      </c>
      <c r="AT23" s="1007"/>
      <c r="AU23" s="2500">
        <v>0</v>
      </c>
      <c r="AV23" s="1414"/>
      <c r="AW23" s="987"/>
      <c r="AX23" s="310">
        <f t="shared" si="9"/>
        <v>0</v>
      </c>
      <c r="AY23" s="998"/>
      <c r="AZ23" s="2">
        <v>0</v>
      </c>
      <c r="BA23" s="2110">
        <v>0</v>
      </c>
      <c r="BB23" s="2110">
        <v>0</v>
      </c>
      <c r="BC23" s="2110">
        <v>0</v>
      </c>
      <c r="BD23" s="2111">
        <v>0</v>
      </c>
      <c r="BF23" s="987"/>
      <c r="BG23" s="987"/>
      <c r="BH23" s="987"/>
      <c r="BI23" s="987"/>
      <c r="BJ23" s="987"/>
      <c r="BK23" s="310"/>
      <c r="BL23" s="310"/>
      <c r="BM23" s="310"/>
      <c r="BN23" s="310">
        <v>3</v>
      </c>
      <c r="BO23" s="310"/>
      <c r="BP23" s="1041">
        <f>'August TCM'!LP21</f>
        <v>0</v>
      </c>
      <c r="BQ23" s="1042"/>
      <c r="BR23" s="1"/>
      <c r="BS23" s="1032">
        <f t="shared" si="10"/>
        <v>45797.628234150012</v>
      </c>
      <c r="BT23" s="1"/>
      <c r="BU23" s="1"/>
      <c r="BV23" s="1"/>
      <c r="BW23" s="1"/>
      <c r="BX23" s="1"/>
      <c r="BY23" s="1"/>
      <c r="BZ23" s="1"/>
      <c r="CA23" s="1"/>
      <c r="CB23" s="1"/>
      <c r="CC23" s="1"/>
      <c r="CD23" s="1"/>
      <c r="CE23" s="1"/>
      <c r="CF23" s="1"/>
      <c r="CG23" s="1"/>
      <c r="CH23" s="1"/>
      <c r="CI23" s="1"/>
      <c r="CJ23" s="1"/>
      <c r="CK23" s="1"/>
      <c r="CM23" s="1033">
        <v>12</v>
      </c>
      <c r="CN23" s="1">
        <f t="shared" si="11"/>
        <v>3382.62</v>
      </c>
      <c r="CO23" s="2490">
        <v>2608122440</v>
      </c>
      <c r="CP23" s="1048"/>
      <c r="CQ23" s="412">
        <v>12</v>
      </c>
      <c r="CR23" s="1">
        <f t="shared" si="12"/>
        <v>0</v>
      </c>
      <c r="CS23" s="2490"/>
    </row>
    <row r="24" spans="2:97">
      <c r="B24" s="989">
        <v>13</v>
      </c>
      <c r="C24" s="5">
        <f t="shared" si="1"/>
        <v>36236</v>
      </c>
      <c r="D24" s="488">
        <f>Q24+P24+AU24</f>
        <v>3662.1199999999994</v>
      </c>
      <c r="E24" s="15">
        <f t="shared" si="2"/>
        <v>9.8948150251766744</v>
      </c>
      <c r="F24" s="363"/>
      <c r="G24" s="64"/>
      <c r="H24" s="1034"/>
      <c r="I24" s="1034"/>
      <c r="N24" s="993"/>
      <c r="O24" s="26">
        <v>36236</v>
      </c>
      <c r="P24" s="36"/>
      <c r="Q24" s="277">
        <f>W24+V24+U24</f>
        <v>3662.1199999999994</v>
      </c>
      <c r="R24" s="1227">
        <f t="shared" si="3"/>
        <v>3662.1199999999994</v>
      </c>
      <c r="S24" s="27">
        <f t="shared" si="4"/>
        <v>9.8948150251766744</v>
      </c>
      <c r="T24" s="33"/>
      <c r="U24" s="2226">
        <v>3571.9799999999996</v>
      </c>
      <c r="V24" s="2227">
        <v>90.14</v>
      </c>
      <c r="W24" s="2227">
        <v>0</v>
      </c>
      <c r="X24" s="1038">
        <v>950</v>
      </c>
      <c r="Y24" s="1"/>
      <c r="Z24" s="1025">
        <v>0</v>
      </c>
      <c r="AA24" s="2174">
        <v>0</v>
      </c>
      <c r="AB24" s="1025">
        <v>0</v>
      </c>
      <c r="AC24" s="1025">
        <v>0</v>
      </c>
      <c r="AD24" s="1025">
        <v>0</v>
      </c>
      <c r="AE24" s="1025">
        <v>0</v>
      </c>
      <c r="AF24" s="1025">
        <v>0</v>
      </c>
      <c r="AG24" s="1025">
        <f t="shared" si="16"/>
        <v>0</v>
      </c>
      <c r="AH24" s="1025"/>
      <c r="AI24" s="1039"/>
      <c r="AJ24" s="1026">
        <f t="shared" si="6"/>
        <v>0</v>
      </c>
      <c r="AK24" s="1026">
        <f t="shared" si="7"/>
        <v>32383.16948159998</v>
      </c>
      <c r="AL24" s="1040">
        <f t="shared" si="0"/>
        <v>32383.16948159998</v>
      </c>
      <c r="AM24" s="1414"/>
      <c r="AN24" s="1414"/>
      <c r="AO24" s="1310"/>
      <c r="AP24" s="1310"/>
      <c r="AQ24" s="1934">
        <f t="shared" si="15"/>
        <v>0</v>
      </c>
      <c r="AR24" s="1729">
        <f t="shared" si="8"/>
        <v>0</v>
      </c>
      <c r="AS24" s="1729">
        <f t="shared" si="8"/>
        <v>13713.36</v>
      </c>
      <c r="AT24" s="1007"/>
      <c r="AU24" s="2500">
        <v>0</v>
      </c>
      <c r="AV24" s="1414"/>
      <c r="AW24" s="987"/>
      <c r="AX24" s="310">
        <f t="shared" si="9"/>
        <v>0</v>
      </c>
      <c r="AY24" s="998"/>
      <c r="AZ24" s="2">
        <v>0</v>
      </c>
      <c r="BA24" s="2110">
        <v>0</v>
      </c>
      <c r="BB24" s="2110">
        <v>0</v>
      </c>
      <c r="BC24" s="2110">
        <v>0</v>
      </c>
      <c r="BD24" s="2111">
        <v>0</v>
      </c>
      <c r="BF24" s="987"/>
      <c r="BG24" s="987"/>
      <c r="BH24" s="987"/>
      <c r="BI24" s="987"/>
      <c r="BJ24" s="987"/>
      <c r="BK24" s="847">
        <v>5506.38</v>
      </c>
      <c r="BL24" s="310">
        <v>1</v>
      </c>
      <c r="BM24" s="310"/>
      <c r="BN24" s="310">
        <v>2</v>
      </c>
      <c r="BO24" s="310"/>
      <c r="BP24" s="1041">
        <f>'August TCM'!LP22</f>
        <v>0</v>
      </c>
      <c r="BQ24" s="1042"/>
      <c r="BR24" s="1"/>
      <c r="BS24" s="1032">
        <f t="shared" si="10"/>
        <v>40291.248234150014</v>
      </c>
      <c r="BT24" s="1"/>
      <c r="BU24" s="1"/>
      <c r="BV24" s="1"/>
      <c r="BW24" s="1"/>
      <c r="BX24" s="1"/>
      <c r="BY24" s="1"/>
      <c r="BZ24" s="1"/>
      <c r="CA24" s="1"/>
      <c r="CB24" s="1"/>
      <c r="CC24" s="1"/>
      <c r="CD24" s="1"/>
      <c r="CE24" s="1"/>
      <c r="CF24" s="1"/>
      <c r="CG24" s="1"/>
      <c r="CH24" s="1"/>
      <c r="CI24" s="1"/>
      <c r="CJ24" s="1"/>
      <c r="CK24" s="1"/>
      <c r="CM24" s="1033">
        <v>13</v>
      </c>
      <c r="CN24" s="1">
        <f t="shared" si="11"/>
        <v>3662.1199999999994</v>
      </c>
      <c r="CO24" s="2499">
        <v>2608132789</v>
      </c>
      <c r="CP24" s="1048"/>
      <c r="CQ24" s="412">
        <v>13</v>
      </c>
      <c r="CR24" s="1">
        <f t="shared" si="12"/>
        <v>0</v>
      </c>
      <c r="CS24" s="2490"/>
    </row>
    <row r="25" spans="2:97">
      <c r="B25" s="989">
        <v>14</v>
      </c>
      <c r="C25" s="5">
        <f t="shared" si="1"/>
        <v>35977</v>
      </c>
      <c r="D25" s="488">
        <f>Q25+P25+AU25</f>
        <v>3596.7999999999997</v>
      </c>
      <c r="E25" s="15">
        <f t="shared" si="2"/>
        <v>10.002502224199288</v>
      </c>
      <c r="F25" s="363"/>
      <c r="G25" s="64"/>
      <c r="H25" s="1034"/>
      <c r="I25" s="1034"/>
      <c r="N25" s="993"/>
      <c r="O25" s="26">
        <v>35977</v>
      </c>
      <c r="P25" s="36"/>
      <c r="Q25" s="277">
        <f t="shared" si="14"/>
        <v>3596.7999999999997</v>
      </c>
      <c r="R25" s="1227">
        <f t="shared" si="3"/>
        <v>3596.7999999999997</v>
      </c>
      <c r="S25" s="27">
        <f t="shared" si="4"/>
        <v>10.002502224199288</v>
      </c>
      <c r="T25" s="33"/>
      <c r="U25" s="2226">
        <v>2536.1799999999998</v>
      </c>
      <c r="V25" s="2227">
        <v>1060.6199999999999</v>
      </c>
      <c r="W25" s="2227">
        <v>0</v>
      </c>
      <c r="X25" s="1038">
        <v>1820</v>
      </c>
      <c r="Y25" s="1"/>
      <c r="Z25" s="1025">
        <v>0</v>
      </c>
      <c r="AA25" s="2174">
        <v>0</v>
      </c>
      <c r="AB25" s="1025">
        <v>0</v>
      </c>
      <c r="AC25" s="1025">
        <v>0</v>
      </c>
      <c r="AD25" s="1025">
        <v>0</v>
      </c>
      <c r="AE25" s="1025">
        <v>0</v>
      </c>
      <c r="AF25" s="1025">
        <v>0</v>
      </c>
      <c r="AG25" s="1025">
        <f t="shared" si="16"/>
        <v>0</v>
      </c>
      <c r="AH25" s="1025"/>
      <c r="AI25" s="1039"/>
      <c r="AJ25" s="1026">
        <f t="shared" si="6"/>
        <v>0</v>
      </c>
      <c r="AK25" s="1026">
        <f t="shared" si="7"/>
        <v>35979.969481599983</v>
      </c>
      <c r="AL25" s="1040">
        <f t="shared" si="0"/>
        <v>35979.969481599983</v>
      </c>
      <c r="AM25" s="1414"/>
      <c r="AN25" s="1414"/>
      <c r="AO25" s="1310"/>
      <c r="AP25" s="1310"/>
      <c r="AQ25" s="1934">
        <f t="shared" si="15"/>
        <v>0</v>
      </c>
      <c r="AR25" s="1729">
        <f t="shared" si="8"/>
        <v>0</v>
      </c>
      <c r="AS25" s="1729">
        <f t="shared" si="8"/>
        <v>13713.36</v>
      </c>
      <c r="AT25" s="1007"/>
      <c r="AU25" s="2500">
        <v>0</v>
      </c>
      <c r="AV25" s="1414"/>
      <c r="AW25" s="987"/>
      <c r="AX25" s="310">
        <f t="shared" si="9"/>
        <v>0</v>
      </c>
      <c r="AY25" s="998"/>
      <c r="AZ25" s="2">
        <v>0</v>
      </c>
      <c r="BA25" s="2110">
        <v>0</v>
      </c>
      <c r="BB25" s="2110">
        <v>0</v>
      </c>
      <c r="BC25" s="2110">
        <v>0</v>
      </c>
      <c r="BD25" s="2111">
        <v>0</v>
      </c>
      <c r="BF25" s="987"/>
      <c r="BG25" s="987"/>
      <c r="BH25" s="987"/>
      <c r="BI25" s="987"/>
      <c r="BJ25" s="987"/>
      <c r="BK25" s="847"/>
      <c r="BL25" s="310"/>
      <c r="BM25" s="310"/>
      <c r="BN25" s="310">
        <v>2</v>
      </c>
      <c r="BO25" s="310"/>
      <c r="BP25" s="1041">
        <f>'August TCM'!LP23</f>
        <v>0</v>
      </c>
      <c r="BQ25" s="1042"/>
      <c r="BR25" s="1"/>
      <c r="BS25" s="1032">
        <f t="shared" si="10"/>
        <v>40291.248234150014</v>
      </c>
      <c r="BT25" s="1"/>
      <c r="BU25" s="1"/>
      <c r="BV25" s="1"/>
      <c r="BW25" s="1"/>
      <c r="BX25" s="1"/>
      <c r="BY25" s="1"/>
      <c r="BZ25" s="1"/>
      <c r="CA25" s="1"/>
      <c r="CB25" s="1"/>
      <c r="CC25" s="1"/>
      <c r="CD25" s="1"/>
      <c r="CE25" s="1"/>
      <c r="CF25" s="1"/>
      <c r="CG25" s="1"/>
      <c r="CH25" s="1"/>
      <c r="CI25" s="1"/>
      <c r="CJ25" s="1"/>
      <c r="CK25" s="1"/>
      <c r="CM25" s="1033">
        <v>14</v>
      </c>
      <c r="CN25" s="1">
        <f t="shared" si="11"/>
        <v>3596.7999999999997</v>
      </c>
      <c r="CO25" s="2499">
        <v>2608143088</v>
      </c>
      <c r="CP25" s="1048"/>
      <c r="CQ25" s="412">
        <v>14</v>
      </c>
      <c r="CR25" s="1">
        <f t="shared" si="12"/>
        <v>0</v>
      </c>
      <c r="CS25" s="2490"/>
    </row>
    <row r="26" spans="2:97">
      <c r="B26" s="989">
        <v>15</v>
      </c>
      <c r="C26" s="5">
        <f t="shared" si="1"/>
        <v>38574</v>
      </c>
      <c r="D26" s="488">
        <f t="shared" ref="D26:D42" si="17">Q26+P26+AU26</f>
        <v>4144.42</v>
      </c>
      <c r="E26" s="15">
        <f t="shared" si="2"/>
        <v>9.307454360320623</v>
      </c>
      <c r="F26" s="363"/>
      <c r="G26" s="64"/>
      <c r="H26" s="1034"/>
      <c r="I26" s="1034"/>
      <c r="N26" s="993"/>
      <c r="O26" s="26">
        <v>38574</v>
      </c>
      <c r="P26" s="36"/>
      <c r="Q26" s="277">
        <f t="shared" si="14"/>
        <v>4144.42</v>
      </c>
      <c r="R26" s="1227">
        <f t="shared" si="3"/>
        <v>4144.42</v>
      </c>
      <c r="S26" s="27">
        <f t="shared" si="4"/>
        <v>9.307454360320623</v>
      </c>
      <c r="T26" s="33"/>
      <c r="U26" s="2522">
        <v>3824.3</v>
      </c>
      <c r="V26" s="2227">
        <v>320.12</v>
      </c>
      <c r="W26" s="2227">
        <v>0</v>
      </c>
      <c r="X26" s="1038">
        <v>2025</v>
      </c>
      <c r="Y26" s="1"/>
      <c r="Z26" s="1025">
        <v>0</v>
      </c>
      <c r="AA26" s="2174">
        <v>0</v>
      </c>
      <c r="AB26" s="1025">
        <v>0</v>
      </c>
      <c r="AC26" s="1025">
        <v>0</v>
      </c>
      <c r="AD26" s="1025">
        <v>0</v>
      </c>
      <c r="AE26" s="1025">
        <v>0</v>
      </c>
      <c r="AF26" s="1025">
        <v>0</v>
      </c>
      <c r="AG26" s="1025">
        <f t="shared" si="16"/>
        <v>0</v>
      </c>
      <c r="AH26" s="1025"/>
      <c r="AI26" s="1039"/>
      <c r="AJ26" s="1026">
        <f t="shared" si="6"/>
        <v>0</v>
      </c>
      <c r="AK26" s="1026">
        <f t="shared" si="7"/>
        <v>40124.389481599981</v>
      </c>
      <c r="AL26" s="1040">
        <f t="shared" si="0"/>
        <v>40124.389481599981</v>
      </c>
      <c r="AM26" s="1414"/>
      <c r="AN26" s="1414"/>
      <c r="AO26" s="1310"/>
      <c r="AP26" s="1310"/>
      <c r="AQ26" s="1934">
        <f t="shared" si="15"/>
        <v>0</v>
      </c>
      <c r="AR26" s="1729">
        <f t="shared" si="8"/>
        <v>0</v>
      </c>
      <c r="AS26" s="1729">
        <f t="shared" si="8"/>
        <v>13713.36</v>
      </c>
      <c r="AT26" s="1007"/>
      <c r="AU26" s="2500">
        <v>0</v>
      </c>
      <c r="AV26" s="1414"/>
      <c r="AW26" s="987"/>
      <c r="AX26" s="310">
        <f t="shared" si="9"/>
        <v>0</v>
      </c>
      <c r="AY26" s="998"/>
      <c r="AZ26" s="2">
        <v>0</v>
      </c>
      <c r="BA26" s="2110">
        <v>0</v>
      </c>
      <c r="BB26" s="2110">
        <v>0</v>
      </c>
      <c r="BC26" s="2110">
        <v>0</v>
      </c>
      <c r="BD26" s="2111">
        <v>0</v>
      </c>
      <c r="BF26" s="987"/>
      <c r="BG26" s="987"/>
      <c r="BH26" s="987"/>
      <c r="BI26" s="987"/>
      <c r="BJ26" s="987"/>
      <c r="BK26" s="847">
        <v>10226.880000000001</v>
      </c>
      <c r="BL26" s="310">
        <v>2</v>
      </c>
      <c r="BM26" s="310"/>
      <c r="BN26" s="310"/>
      <c r="BO26" s="310"/>
      <c r="BP26" s="1041">
        <f>'August TCM'!LP24</f>
        <v>0</v>
      </c>
      <c r="BQ26" s="1042"/>
      <c r="BR26" s="1"/>
      <c r="BS26" s="1032">
        <f t="shared" si="10"/>
        <v>30064.368234150013</v>
      </c>
      <c r="BT26" s="1"/>
      <c r="BU26" s="1"/>
      <c r="BV26" s="1"/>
      <c r="BW26" s="1"/>
      <c r="BX26" s="1"/>
      <c r="BY26" s="1"/>
      <c r="BZ26" s="1"/>
      <c r="CA26" s="1"/>
      <c r="CB26" s="1"/>
      <c r="CC26" s="1"/>
      <c r="CD26" s="1"/>
      <c r="CE26" s="1"/>
      <c r="CF26" s="1"/>
      <c r="CG26" s="1"/>
      <c r="CH26" s="1"/>
      <c r="CI26" s="1"/>
      <c r="CJ26" s="1"/>
      <c r="CK26" s="1"/>
      <c r="CM26" s="1033">
        <v>15</v>
      </c>
      <c r="CN26" s="1">
        <f t="shared" si="11"/>
        <v>4144.42</v>
      </c>
      <c r="CO26" s="2490">
        <v>2608153416</v>
      </c>
      <c r="CQ26" s="412">
        <v>15</v>
      </c>
      <c r="CR26" s="1">
        <f t="shared" si="12"/>
        <v>0</v>
      </c>
      <c r="CS26" s="2490"/>
    </row>
    <row r="27" spans="2:97">
      <c r="B27" s="989">
        <v>16</v>
      </c>
      <c r="C27" s="5">
        <f t="shared" si="1"/>
        <v>37567</v>
      </c>
      <c r="D27" s="488">
        <f t="shared" si="17"/>
        <v>4193.3</v>
      </c>
      <c r="E27" s="15">
        <f t="shared" si="2"/>
        <v>8.9588152529034399</v>
      </c>
      <c r="F27" s="363"/>
      <c r="G27" s="64"/>
      <c r="H27" s="1034"/>
      <c r="I27" s="1034"/>
      <c r="N27" s="993"/>
      <c r="O27" s="26">
        <v>37567</v>
      </c>
      <c r="P27" s="36"/>
      <c r="Q27" s="277">
        <f>W27+V27+U27</f>
        <v>4193.3</v>
      </c>
      <c r="R27" s="1227">
        <f t="shared" si="3"/>
        <v>4193.3</v>
      </c>
      <c r="S27" s="27">
        <f t="shared" si="4"/>
        <v>8.9588152529034399</v>
      </c>
      <c r="T27" s="33"/>
      <c r="U27" s="2226">
        <v>4193.3</v>
      </c>
      <c r="V27" s="2227">
        <v>0</v>
      </c>
      <c r="W27" s="2227">
        <v>0</v>
      </c>
      <c r="X27" s="1038">
        <v>1830</v>
      </c>
      <c r="Y27" s="1"/>
      <c r="Z27" s="1025">
        <v>0</v>
      </c>
      <c r="AA27" s="2174">
        <v>0</v>
      </c>
      <c r="AB27" s="1025">
        <v>0</v>
      </c>
      <c r="AC27" s="1025">
        <v>0</v>
      </c>
      <c r="AD27" s="1025">
        <v>0</v>
      </c>
      <c r="AE27" s="1025">
        <v>0</v>
      </c>
      <c r="AF27" s="1025">
        <v>0</v>
      </c>
      <c r="AG27" s="1025">
        <f t="shared" si="16"/>
        <v>0</v>
      </c>
      <c r="AH27" s="1025"/>
      <c r="AI27" s="1039"/>
      <c r="AJ27" s="1026">
        <f t="shared" si="6"/>
        <v>0</v>
      </c>
      <c r="AK27" s="1026">
        <f t="shared" si="7"/>
        <v>44317.689481599984</v>
      </c>
      <c r="AL27" s="1040">
        <f t="shared" si="0"/>
        <v>44317.689481599984</v>
      </c>
      <c r="AM27" s="1414"/>
      <c r="AN27" s="1414"/>
      <c r="AO27" s="1310"/>
      <c r="AP27" s="1310"/>
      <c r="AQ27" s="1934">
        <f t="shared" si="15"/>
        <v>0</v>
      </c>
      <c r="AR27" s="1729">
        <f t="shared" si="8"/>
        <v>0</v>
      </c>
      <c r="AS27" s="1729">
        <f t="shared" si="8"/>
        <v>13713.36</v>
      </c>
      <c r="AT27" s="1007"/>
      <c r="AU27" s="2500">
        <v>0</v>
      </c>
      <c r="AV27" s="1414"/>
      <c r="AW27" s="987"/>
      <c r="AX27" s="310">
        <f t="shared" si="9"/>
        <v>0</v>
      </c>
      <c r="AY27" s="998"/>
      <c r="AZ27" s="2">
        <v>0</v>
      </c>
      <c r="BA27" s="2110">
        <v>0</v>
      </c>
      <c r="BB27" s="2110">
        <v>0</v>
      </c>
      <c r="BC27" s="2110">
        <v>0</v>
      </c>
      <c r="BD27" s="2111">
        <v>0</v>
      </c>
      <c r="BF27" s="987"/>
      <c r="BG27" s="987"/>
      <c r="BH27" s="987"/>
      <c r="BI27" s="987"/>
      <c r="BJ27" s="987"/>
      <c r="BK27" s="847"/>
      <c r="BL27" s="310"/>
      <c r="BM27" s="310"/>
      <c r="BN27" s="310"/>
      <c r="BO27" s="310"/>
      <c r="BP27" s="1041">
        <f>'August TCM'!LP25</f>
        <v>0</v>
      </c>
      <c r="BQ27" s="1042"/>
      <c r="BR27" s="1"/>
      <c r="BS27" s="1032">
        <f t="shared" si="10"/>
        <v>30064.368234150013</v>
      </c>
      <c r="BT27" s="1"/>
      <c r="BU27" s="1"/>
      <c r="BV27" s="1"/>
      <c r="BW27" s="1"/>
      <c r="BX27" s="1"/>
      <c r="BY27" s="1"/>
      <c r="BZ27" s="1"/>
      <c r="CA27" s="1"/>
      <c r="CB27" s="1"/>
      <c r="CC27" s="1"/>
      <c r="CD27" s="1"/>
      <c r="CE27" s="1"/>
      <c r="CF27" s="1"/>
      <c r="CG27" s="1"/>
      <c r="CH27" s="1"/>
      <c r="CI27" s="1"/>
      <c r="CJ27" s="1"/>
      <c r="CK27" s="1"/>
      <c r="CM27" s="1033">
        <v>16</v>
      </c>
      <c r="CN27" s="1">
        <f t="shared" si="11"/>
        <v>4193.3</v>
      </c>
      <c r="CO27" s="2490">
        <v>2608163772</v>
      </c>
      <c r="CP27" s="1048"/>
      <c r="CQ27" s="412">
        <v>16</v>
      </c>
      <c r="CR27" s="1">
        <f t="shared" si="12"/>
        <v>0</v>
      </c>
      <c r="CS27" s="2490"/>
    </row>
    <row r="28" spans="2:97">
      <c r="B28" s="989">
        <v>17</v>
      </c>
      <c r="C28" s="5">
        <f t="shared" si="1"/>
        <v>38803</v>
      </c>
      <c r="D28" s="488">
        <f t="shared" si="17"/>
        <v>3274.56</v>
      </c>
      <c r="E28" s="15">
        <f t="shared" si="2"/>
        <v>11.849836313886446</v>
      </c>
      <c r="F28" s="363"/>
      <c r="G28" s="64"/>
      <c r="H28" s="1034"/>
      <c r="I28" s="1034"/>
      <c r="N28" s="993"/>
      <c r="O28" s="26">
        <v>38803</v>
      </c>
      <c r="P28" s="36"/>
      <c r="Q28" s="277">
        <f t="shared" ref="Q28:Q42" si="18">W28+V28+U28</f>
        <v>3274.56</v>
      </c>
      <c r="R28" s="1227">
        <f t="shared" si="3"/>
        <v>3274.56</v>
      </c>
      <c r="S28" s="27">
        <f t="shared" si="4"/>
        <v>11.849836313886446</v>
      </c>
      <c r="T28" s="33"/>
      <c r="U28" s="2226">
        <v>3189.02</v>
      </c>
      <c r="V28" s="2227">
        <v>85.54</v>
      </c>
      <c r="W28" s="2227">
        <v>0</v>
      </c>
      <c r="X28" s="1038">
        <v>1670</v>
      </c>
      <c r="Y28" s="1"/>
      <c r="Z28" s="1025">
        <v>0</v>
      </c>
      <c r="AA28" s="2174">
        <v>0</v>
      </c>
      <c r="AB28" s="1025">
        <v>0</v>
      </c>
      <c r="AC28" s="1025">
        <v>0</v>
      </c>
      <c r="AD28" s="1025">
        <v>0</v>
      </c>
      <c r="AE28" s="1025">
        <v>0</v>
      </c>
      <c r="AF28" s="1025">
        <v>0</v>
      </c>
      <c r="AG28" s="1025">
        <f t="shared" si="16"/>
        <v>0</v>
      </c>
      <c r="AH28" s="1025"/>
      <c r="AI28" s="1039"/>
      <c r="AJ28" s="1026">
        <f t="shared" si="6"/>
        <v>0</v>
      </c>
      <c r="AK28" s="1026">
        <f t="shared" si="7"/>
        <v>47592.249481599982</v>
      </c>
      <c r="AL28" s="1040">
        <f t="shared" si="0"/>
        <v>47592.249481599982</v>
      </c>
      <c r="AM28" s="1414"/>
      <c r="AN28" s="1414"/>
      <c r="AO28" s="1310"/>
      <c r="AP28" s="1310"/>
      <c r="AQ28" s="1934">
        <f t="shared" si="15"/>
        <v>0</v>
      </c>
      <c r="AR28" s="1729">
        <f t="shared" ref="AR28:AS42" si="19">AR27+AO28-AT28</f>
        <v>0</v>
      </c>
      <c r="AS28" s="1729">
        <f t="shared" si="19"/>
        <v>13713.36</v>
      </c>
      <c r="AT28" s="1007"/>
      <c r="AU28" s="2500">
        <v>0</v>
      </c>
      <c r="AV28" s="1414"/>
      <c r="AW28" s="987"/>
      <c r="AX28" s="310">
        <f t="shared" si="9"/>
        <v>0</v>
      </c>
      <c r="AY28" s="998"/>
      <c r="AZ28" s="2">
        <v>0</v>
      </c>
      <c r="BA28" s="2110">
        <v>0</v>
      </c>
      <c r="BB28" s="2110">
        <v>0</v>
      </c>
      <c r="BC28" s="2110">
        <v>0</v>
      </c>
      <c r="BD28" s="2111">
        <v>0</v>
      </c>
      <c r="BF28" s="987"/>
      <c r="BG28" s="987"/>
      <c r="BH28" s="987"/>
      <c r="BI28" s="987"/>
      <c r="BJ28" s="987"/>
      <c r="BK28" s="1049"/>
      <c r="BL28" s="310"/>
      <c r="BM28" s="310"/>
      <c r="BN28" s="310"/>
      <c r="BO28" s="310"/>
      <c r="BP28" s="1041">
        <f>'August TCM'!LP26</f>
        <v>0</v>
      </c>
      <c r="BQ28" s="1042"/>
      <c r="BR28" s="1"/>
      <c r="BS28" s="1032">
        <f t="shared" si="10"/>
        <v>30064.368234150013</v>
      </c>
      <c r="BT28" s="1"/>
      <c r="BU28" s="1"/>
      <c r="BV28" s="1"/>
      <c r="BW28" s="1"/>
      <c r="BX28" s="1"/>
      <c r="BY28" s="1"/>
      <c r="BZ28" s="1"/>
      <c r="CA28" s="1"/>
      <c r="CB28" s="1"/>
      <c r="CC28" s="1"/>
      <c r="CD28" s="1"/>
      <c r="CE28" s="1"/>
      <c r="CF28" s="1"/>
      <c r="CG28" s="1"/>
      <c r="CH28" s="1"/>
      <c r="CI28" s="1"/>
      <c r="CJ28" s="1"/>
      <c r="CK28" s="1"/>
      <c r="CM28" s="1033">
        <v>17</v>
      </c>
      <c r="CN28" s="1">
        <f t="shared" si="11"/>
        <v>3274.56</v>
      </c>
      <c r="CO28" s="2490">
        <v>2608174145</v>
      </c>
      <c r="CQ28" s="412">
        <v>17</v>
      </c>
      <c r="CR28" s="1">
        <f t="shared" si="12"/>
        <v>0</v>
      </c>
      <c r="CS28" s="2490"/>
    </row>
    <row r="29" spans="2:97">
      <c r="B29" s="989">
        <v>18</v>
      </c>
      <c r="C29" s="5">
        <f t="shared" si="1"/>
        <v>36984</v>
      </c>
      <c r="D29" s="488">
        <f t="shared" si="17"/>
        <v>3593.6800000000003</v>
      </c>
      <c r="E29" s="15">
        <f t="shared" si="2"/>
        <v>10.291400458582844</v>
      </c>
      <c r="F29" s="363"/>
      <c r="G29" s="64"/>
      <c r="H29" s="1034"/>
      <c r="I29" s="1034"/>
      <c r="N29" s="993"/>
      <c r="O29" s="26">
        <v>36984</v>
      </c>
      <c r="P29" s="36"/>
      <c r="Q29" s="277">
        <f t="shared" si="18"/>
        <v>3593.6800000000003</v>
      </c>
      <c r="R29" s="1227">
        <f t="shared" si="3"/>
        <v>3593.6800000000003</v>
      </c>
      <c r="S29" s="27">
        <f t="shared" si="4"/>
        <v>10.291400458582844</v>
      </c>
      <c r="T29" s="33"/>
      <c r="U29" s="2226">
        <v>3593.6800000000003</v>
      </c>
      <c r="V29" s="2227">
        <v>0</v>
      </c>
      <c r="W29" s="2227">
        <v>0</v>
      </c>
      <c r="X29" s="1038">
        <v>1550</v>
      </c>
      <c r="Y29" s="1"/>
      <c r="Z29" s="1025">
        <v>0</v>
      </c>
      <c r="AA29" s="2174">
        <v>0</v>
      </c>
      <c r="AB29" s="1025">
        <v>0</v>
      </c>
      <c r="AC29" s="1025">
        <v>0</v>
      </c>
      <c r="AD29" s="1025">
        <v>0</v>
      </c>
      <c r="AE29" s="1025">
        <v>0</v>
      </c>
      <c r="AF29" s="1025">
        <v>0</v>
      </c>
      <c r="AG29" s="1025">
        <f t="shared" si="16"/>
        <v>0</v>
      </c>
      <c r="AH29" s="1025"/>
      <c r="AI29" s="1039"/>
      <c r="AJ29" s="1026">
        <f t="shared" si="6"/>
        <v>0</v>
      </c>
      <c r="AK29" s="1026">
        <f t="shared" si="7"/>
        <v>51185.929481599982</v>
      </c>
      <c r="AL29" s="1040">
        <f t="shared" si="0"/>
        <v>51185.929481599982</v>
      </c>
      <c r="AM29" s="1414"/>
      <c r="AN29" s="1414"/>
      <c r="AO29" s="1310"/>
      <c r="AP29" s="1310"/>
      <c r="AQ29" s="1934">
        <f t="shared" si="15"/>
        <v>0</v>
      </c>
      <c r="AR29" s="1729">
        <f t="shared" si="19"/>
        <v>0</v>
      </c>
      <c r="AS29" s="1729">
        <f t="shared" si="19"/>
        <v>13713.36</v>
      </c>
      <c r="AT29" s="1007"/>
      <c r="AU29" s="2500">
        <v>0</v>
      </c>
      <c r="AV29" s="1414"/>
      <c r="AW29" s="987"/>
      <c r="AX29" s="310">
        <f t="shared" si="9"/>
        <v>0</v>
      </c>
      <c r="AY29" s="868"/>
      <c r="AZ29" s="2">
        <v>0</v>
      </c>
      <c r="BA29" s="2110">
        <v>0</v>
      </c>
      <c r="BB29" s="2110">
        <v>0</v>
      </c>
      <c r="BC29" s="2110">
        <v>0</v>
      </c>
      <c r="BD29" s="2111">
        <v>0</v>
      </c>
      <c r="BF29" s="987"/>
      <c r="BG29" s="987"/>
      <c r="BH29" s="987"/>
      <c r="BI29" s="987"/>
      <c r="BJ29" s="987"/>
      <c r="BK29" s="847"/>
      <c r="BL29" s="847"/>
      <c r="BM29" s="847"/>
      <c r="BN29" s="847">
        <v>3</v>
      </c>
      <c r="BO29" s="310"/>
      <c r="BP29" s="1041">
        <f>'August TCM'!LP27</f>
        <v>0</v>
      </c>
      <c r="BQ29" s="1042"/>
      <c r="BR29" s="1"/>
      <c r="BS29" s="1032">
        <f t="shared" si="10"/>
        <v>30064.368234150013</v>
      </c>
      <c r="BT29" s="1"/>
      <c r="BU29" s="1"/>
      <c r="BV29" s="1"/>
      <c r="BW29" s="1"/>
      <c r="BX29" s="1"/>
      <c r="BY29" s="1"/>
      <c r="BZ29" s="1"/>
      <c r="CA29" s="1"/>
      <c r="CB29" s="1"/>
      <c r="CC29" s="1"/>
      <c r="CD29" s="1"/>
      <c r="CE29" s="1"/>
      <c r="CF29" s="1"/>
      <c r="CG29" s="1"/>
      <c r="CH29" s="1"/>
      <c r="CI29" s="1"/>
      <c r="CJ29" s="1"/>
      <c r="CK29" s="1"/>
      <c r="CM29" s="1033">
        <v>18</v>
      </c>
      <c r="CN29" s="1">
        <f t="shared" si="11"/>
        <v>3593.6800000000003</v>
      </c>
      <c r="CO29" s="2490">
        <v>2608184454</v>
      </c>
      <c r="CQ29" s="412">
        <v>18</v>
      </c>
      <c r="CR29" s="1">
        <f t="shared" si="12"/>
        <v>0</v>
      </c>
      <c r="CS29" s="2490"/>
    </row>
    <row r="30" spans="2:97">
      <c r="B30" s="989">
        <v>19</v>
      </c>
      <c r="C30" s="5">
        <f t="shared" si="1"/>
        <v>39573</v>
      </c>
      <c r="D30" s="488">
        <f t="shared" si="17"/>
        <v>2288.1000000000004</v>
      </c>
      <c r="E30" s="15">
        <f t="shared" si="2"/>
        <v>17.295135702110919</v>
      </c>
      <c r="F30" s="363"/>
      <c r="G30" s="64"/>
      <c r="H30" s="1034"/>
      <c r="I30" s="1034"/>
      <c r="N30" s="993"/>
      <c r="O30" s="26">
        <v>39573</v>
      </c>
      <c r="P30" s="36"/>
      <c r="Q30" s="277">
        <f t="shared" si="18"/>
        <v>2288.1000000000004</v>
      </c>
      <c r="R30" s="1227">
        <f t="shared" si="3"/>
        <v>2288.1000000000004</v>
      </c>
      <c r="S30" s="27">
        <f t="shared" si="4"/>
        <v>17.295135702110919</v>
      </c>
      <c r="T30" s="33"/>
      <c r="U30" s="2226">
        <v>2288.1000000000004</v>
      </c>
      <c r="V30" s="2227">
        <v>0</v>
      </c>
      <c r="W30" s="2227">
        <v>0</v>
      </c>
      <c r="X30" s="1038">
        <v>1820</v>
      </c>
      <c r="Y30" s="1"/>
      <c r="Z30" s="1025">
        <v>0</v>
      </c>
      <c r="AA30" s="2174">
        <v>0</v>
      </c>
      <c r="AB30" s="1025">
        <v>0</v>
      </c>
      <c r="AC30" s="1025">
        <v>0</v>
      </c>
      <c r="AD30" s="1025">
        <v>0</v>
      </c>
      <c r="AE30" s="1025">
        <v>0</v>
      </c>
      <c r="AF30" s="1025">
        <v>0</v>
      </c>
      <c r="AG30" s="1025">
        <f t="shared" si="16"/>
        <v>0</v>
      </c>
      <c r="AH30" s="1025"/>
      <c r="AI30" s="1039"/>
      <c r="AJ30" s="1026">
        <f t="shared" si="6"/>
        <v>0</v>
      </c>
      <c r="AK30" s="1026">
        <f t="shared" si="7"/>
        <v>53474.02948159998</v>
      </c>
      <c r="AL30" s="1040">
        <f t="shared" si="0"/>
        <v>53474.02948159998</v>
      </c>
      <c r="AM30" s="1414"/>
      <c r="AN30" s="1414"/>
      <c r="AO30" s="1310"/>
      <c r="AP30" s="1310"/>
      <c r="AQ30" s="1934">
        <f t="shared" si="15"/>
        <v>0</v>
      </c>
      <c r="AR30" s="1729">
        <f t="shared" si="19"/>
        <v>0</v>
      </c>
      <c r="AS30" s="1729">
        <f t="shared" si="19"/>
        <v>13713.36</v>
      </c>
      <c r="AT30" s="1007"/>
      <c r="AU30" s="2500">
        <v>0</v>
      </c>
      <c r="AV30" s="1414"/>
      <c r="AW30" s="987"/>
      <c r="AX30" s="310">
        <f t="shared" si="9"/>
        <v>0</v>
      </c>
      <c r="AY30" s="998"/>
      <c r="AZ30" s="2">
        <v>0</v>
      </c>
      <c r="BA30" s="2110">
        <v>0</v>
      </c>
      <c r="BB30" s="2110">
        <v>0</v>
      </c>
      <c r="BC30" s="2110">
        <v>0</v>
      </c>
      <c r="BD30" s="2111">
        <v>0</v>
      </c>
      <c r="BF30" s="987"/>
      <c r="BG30" s="987"/>
      <c r="BH30" s="987"/>
      <c r="BI30" s="987"/>
      <c r="BJ30" s="987"/>
      <c r="BK30" s="847">
        <v>5178.53</v>
      </c>
      <c r="BL30" s="310">
        <v>1</v>
      </c>
      <c r="BM30" s="310">
        <v>1</v>
      </c>
      <c r="BN30" s="310">
        <v>1</v>
      </c>
      <c r="BO30" s="310"/>
      <c r="BP30" s="1041">
        <f>'August TCM'!LP28</f>
        <v>0</v>
      </c>
      <c r="BQ30" s="1042"/>
      <c r="BR30" s="1"/>
      <c r="BS30" s="1032">
        <f t="shared" si="10"/>
        <v>24885.838234150015</v>
      </c>
      <c r="BT30" s="1"/>
      <c r="BU30" s="1"/>
      <c r="BV30" s="1"/>
      <c r="BW30" s="1"/>
      <c r="BX30" s="1"/>
      <c r="BY30" s="1"/>
      <c r="BZ30" s="1"/>
      <c r="CA30" s="1"/>
      <c r="CB30" s="1"/>
      <c r="CC30" s="1"/>
      <c r="CD30" s="1"/>
      <c r="CE30" s="1"/>
      <c r="CF30" s="1"/>
      <c r="CG30" s="1"/>
      <c r="CH30" s="1"/>
      <c r="CI30" s="1"/>
      <c r="CJ30" s="1"/>
      <c r="CK30" s="1"/>
      <c r="CM30" s="1033">
        <v>19</v>
      </c>
      <c r="CN30" s="1">
        <f t="shared" si="11"/>
        <v>2288.1000000000004</v>
      </c>
      <c r="CO30" s="2490">
        <v>2608194770</v>
      </c>
      <c r="CQ30" s="412">
        <v>19</v>
      </c>
      <c r="CR30" s="1">
        <f t="shared" si="12"/>
        <v>0</v>
      </c>
      <c r="CS30" s="2490"/>
    </row>
    <row r="31" spans="2:97">
      <c r="B31" s="989">
        <v>20</v>
      </c>
      <c r="C31" s="5">
        <f t="shared" si="1"/>
        <v>44202</v>
      </c>
      <c r="D31" s="488">
        <f t="shared" si="17"/>
        <v>2427.48</v>
      </c>
      <c r="E31" s="15">
        <f t="shared" si="2"/>
        <v>18.209006871323346</v>
      </c>
      <c r="F31" s="363"/>
      <c r="G31" s="64"/>
      <c r="H31" s="1034"/>
      <c r="I31" s="1034"/>
      <c r="N31" s="993"/>
      <c r="O31" s="26">
        <v>44202</v>
      </c>
      <c r="P31" s="36"/>
      <c r="Q31" s="277">
        <f t="shared" si="18"/>
        <v>2427.48</v>
      </c>
      <c r="R31" s="1227">
        <f t="shared" si="3"/>
        <v>2427.48</v>
      </c>
      <c r="S31" s="5">
        <f t="shared" si="4"/>
        <v>18.209006871323346</v>
      </c>
      <c r="T31" s="12"/>
      <c r="U31" s="2226">
        <v>2427.48</v>
      </c>
      <c r="V31" s="2227">
        <v>0</v>
      </c>
      <c r="W31" s="2227">
        <v>0</v>
      </c>
      <c r="X31" s="1038">
        <v>730</v>
      </c>
      <c r="Y31" s="1"/>
      <c r="Z31" s="1025">
        <v>0</v>
      </c>
      <c r="AA31" s="2174">
        <v>0</v>
      </c>
      <c r="AB31" s="1025">
        <v>0</v>
      </c>
      <c r="AC31" s="1025">
        <v>0</v>
      </c>
      <c r="AD31" s="1025">
        <v>0</v>
      </c>
      <c r="AE31" s="1025">
        <v>0</v>
      </c>
      <c r="AF31" s="1025">
        <v>0</v>
      </c>
      <c r="AG31" s="1025">
        <f t="shared" si="16"/>
        <v>0</v>
      </c>
      <c r="AH31" s="1025"/>
      <c r="AI31" s="1039"/>
      <c r="AJ31" s="1026">
        <f t="shared" si="6"/>
        <v>0</v>
      </c>
      <c r="AK31" s="1026">
        <f t="shared" si="7"/>
        <v>55901.509481599984</v>
      </c>
      <c r="AL31" s="1040">
        <f t="shared" si="0"/>
        <v>55901.509481599984</v>
      </c>
      <c r="AM31" s="1414"/>
      <c r="AN31" s="1414"/>
      <c r="AO31" s="1310"/>
      <c r="AP31" s="1310"/>
      <c r="AQ31" s="1934">
        <f t="shared" si="15"/>
        <v>0</v>
      </c>
      <c r="AR31" s="1729">
        <f t="shared" si="19"/>
        <v>0</v>
      </c>
      <c r="AS31" s="1729">
        <f t="shared" si="19"/>
        <v>13713.36</v>
      </c>
      <c r="AT31" s="1007"/>
      <c r="AU31" s="2500">
        <v>0</v>
      </c>
      <c r="AV31" s="1414"/>
      <c r="AW31" s="987"/>
      <c r="AX31" s="310">
        <f t="shared" si="9"/>
        <v>0</v>
      </c>
      <c r="AY31" s="868"/>
      <c r="AZ31" s="2">
        <v>0</v>
      </c>
      <c r="BA31" s="2110">
        <v>0</v>
      </c>
      <c r="BB31" s="2110">
        <v>0</v>
      </c>
      <c r="BC31" s="2110">
        <v>0</v>
      </c>
      <c r="BD31" s="2111">
        <v>0</v>
      </c>
      <c r="BF31" s="987"/>
      <c r="BG31" s="987"/>
      <c r="BH31" s="987"/>
      <c r="BI31" s="987"/>
      <c r="BJ31" s="987"/>
      <c r="BK31" s="847">
        <v>5181.1400000000003</v>
      </c>
      <c r="BL31" s="847">
        <v>1</v>
      </c>
      <c r="BM31" s="847"/>
      <c r="BN31" s="847">
        <v>1</v>
      </c>
      <c r="BO31" s="310"/>
      <c r="BP31" s="1041">
        <f>'August TCM'!LP29</f>
        <v>0</v>
      </c>
      <c r="BQ31" s="1042"/>
      <c r="BR31" s="1"/>
      <c r="BS31" s="1032">
        <f t="shared" si="10"/>
        <v>19704.698234150015</v>
      </c>
      <c r="BT31" s="1"/>
      <c r="BU31" s="1"/>
      <c r="BV31" s="1"/>
      <c r="BW31" s="1"/>
      <c r="BX31" s="1"/>
      <c r="BY31" s="1"/>
      <c r="BZ31" s="1"/>
      <c r="CA31" s="1"/>
      <c r="CB31" s="1"/>
      <c r="CC31" s="1"/>
      <c r="CD31" s="1"/>
      <c r="CE31" s="1"/>
      <c r="CF31" s="1"/>
      <c r="CG31" s="1"/>
      <c r="CH31" s="1"/>
      <c r="CI31" s="1"/>
      <c r="CJ31" s="1"/>
      <c r="CK31" s="1"/>
      <c r="CM31" s="1033">
        <v>20</v>
      </c>
      <c r="CN31" s="1">
        <f t="shared" si="11"/>
        <v>2427.48</v>
      </c>
      <c r="CO31" s="2490">
        <v>2608205048</v>
      </c>
      <c r="CQ31" s="412">
        <v>20</v>
      </c>
      <c r="CR31" s="1">
        <f t="shared" si="12"/>
        <v>0</v>
      </c>
      <c r="CS31" s="2490"/>
    </row>
    <row r="32" spans="2:97">
      <c r="B32" s="989">
        <v>21</v>
      </c>
      <c r="C32" s="5">
        <f t="shared" si="1"/>
        <v>42617</v>
      </c>
      <c r="D32" s="488">
        <f t="shared" si="17"/>
        <v>2527.1999999999998</v>
      </c>
      <c r="E32" s="15">
        <f t="shared" si="2"/>
        <v>16.863327002215893</v>
      </c>
      <c r="F32" s="363"/>
      <c r="G32" s="64"/>
      <c r="H32" s="1034"/>
      <c r="I32" s="1034"/>
      <c r="N32" s="993"/>
      <c r="O32" s="26">
        <v>42617</v>
      </c>
      <c r="P32" s="36"/>
      <c r="Q32" s="277">
        <f t="shared" si="18"/>
        <v>2527.1999999999998</v>
      </c>
      <c r="R32" s="1227">
        <f t="shared" si="3"/>
        <v>2527.1999999999998</v>
      </c>
      <c r="S32" s="27">
        <f t="shared" si="4"/>
        <v>16.863327002215893</v>
      </c>
      <c r="T32" s="33"/>
      <c r="U32" s="2226">
        <v>1612.6599999999999</v>
      </c>
      <c r="V32" s="2227">
        <v>914.54</v>
      </c>
      <c r="W32" s="2227">
        <v>0</v>
      </c>
      <c r="X32" s="1038">
        <v>820</v>
      </c>
      <c r="Y32" s="1"/>
      <c r="Z32" s="1025">
        <v>0</v>
      </c>
      <c r="AA32" s="2174">
        <v>0</v>
      </c>
      <c r="AB32" s="1025">
        <v>0</v>
      </c>
      <c r="AC32" s="1025">
        <v>0</v>
      </c>
      <c r="AD32" s="1025">
        <v>0</v>
      </c>
      <c r="AE32" s="1025">
        <v>0</v>
      </c>
      <c r="AF32" s="1025">
        <v>0</v>
      </c>
      <c r="AG32" s="1025">
        <f t="shared" si="16"/>
        <v>0</v>
      </c>
      <c r="AH32" s="1025"/>
      <c r="AI32" s="1039"/>
      <c r="AJ32" s="1026">
        <f t="shared" si="6"/>
        <v>0</v>
      </c>
      <c r="AK32" s="1026">
        <f t="shared" si="7"/>
        <v>58428.709481599981</v>
      </c>
      <c r="AL32" s="1040">
        <f t="shared" si="0"/>
        <v>58428.709481599981</v>
      </c>
      <c r="AM32" s="1414"/>
      <c r="AN32" s="1414"/>
      <c r="AO32" s="1310"/>
      <c r="AP32" s="1310"/>
      <c r="AQ32" s="1934">
        <f t="shared" si="15"/>
        <v>0</v>
      </c>
      <c r="AR32" s="1729">
        <f t="shared" si="19"/>
        <v>0</v>
      </c>
      <c r="AS32" s="1729">
        <f t="shared" si="19"/>
        <v>13713.36</v>
      </c>
      <c r="AT32" s="1007"/>
      <c r="AU32" s="2500">
        <v>0</v>
      </c>
      <c r="AV32" s="1414"/>
      <c r="AW32" s="987"/>
      <c r="AX32" s="310">
        <f t="shared" si="9"/>
        <v>0</v>
      </c>
      <c r="AY32" s="998"/>
      <c r="AZ32" s="2">
        <v>0</v>
      </c>
      <c r="BA32" s="2110">
        <v>0</v>
      </c>
      <c r="BB32" s="2110">
        <v>0</v>
      </c>
      <c r="BC32" s="2110">
        <v>0</v>
      </c>
      <c r="BD32" s="2111">
        <v>0</v>
      </c>
      <c r="BF32" s="987"/>
      <c r="BG32" s="987"/>
      <c r="BH32" s="987"/>
      <c r="BI32" s="987"/>
      <c r="BJ32" s="987"/>
      <c r="BK32" s="847"/>
      <c r="BL32" s="310"/>
      <c r="BM32" s="310"/>
      <c r="BN32" s="310">
        <v>1</v>
      </c>
      <c r="BO32" s="310"/>
      <c r="BP32" s="1041">
        <f>'August TCM'!LP30</f>
        <v>0</v>
      </c>
      <c r="BQ32" s="1042"/>
      <c r="BR32" s="1"/>
      <c r="BS32" s="1032">
        <f t="shared" si="10"/>
        <v>19704.698234150015</v>
      </c>
      <c r="BT32" s="1"/>
      <c r="BU32" s="1"/>
      <c r="BV32" s="1"/>
      <c r="BW32" s="1"/>
      <c r="BX32" s="1"/>
      <c r="BY32" s="1"/>
      <c r="BZ32" s="1"/>
      <c r="CA32" s="1"/>
      <c r="CB32" s="1"/>
      <c r="CC32" s="1"/>
      <c r="CD32" s="1"/>
      <c r="CE32" s="1"/>
      <c r="CF32" s="1"/>
      <c r="CG32" s="1"/>
      <c r="CH32" s="1"/>
      <c r="CI32" s="1"/>
      <c r="CJ32" s="1"/>
      <c r="CK32" s="1"/>
      <c r="CM32" s="1033">
        <v>21</v>
      </c>
      <c r="CN32" s="1">
        <f t="shared" si="11"/>
        <v>2527.1999999999998</v>
      </c>
      <c r="CO32" s="2490">
        <v>2608215319</v>
      </c>
      <c r="CQ32" s="412">
        <v>21</v>
      </c>
      <c r="CR32" s="1">
        <f t="shared" si="12"/>
        <v>0</v>
      </c>
      <c r="CS32" s="2490"/>
    </row>
    <row r="33" spans="2:97">
      <c r="B33" s="989">
        <v>22</v>
      </c>
      <c r="C33" s="5">
        <f t="shared" si="1"/>
        <v>41144</v>
      </c>
      <c r="D33" s="488">
        <f t="shared" si="17"/>
        <v>2855.9400000000005</v>
      </c>
      <c r="E33" s="15">
        <f t="shared" si="2"/>
        <v>14.406465121816282</v>
      </c>
      <c r="F33" s="363"/>
      <c r="G33" s="64"/>
      <c r="H33" s="1034"/>
      <c r="I33" s="1034"/>
      <c r="N33" s="993"/>
      <c r="O33" s="26">
        <v>41144</v>
      </c>
      <c r="P33" s="36"/>
      <c r="Q33" s="277">
        <f t="shared" si="18"/>
        <v>2855.9400000000005</v>
      </c>
      <c r="R33" s="1227">
        <f t="shared" si="3"/>
        <v>2855.9400000000005</v>
      </c>
      <c r="S33" s="27">
        <f t="shared" si="4"/>
        <v>14.406465121816282</v>
      </c>
      <c r="T33" s="33"/>
      <c r="U33" s="2226">
        <v>2348.3600000000006</v>
      </c>
      <c r="V33" s="2227">
        <v>507.58</v>
      </c>
      <c r="W33" s="2227">
        <v>0</v>
      </c>
      <c r="X33" s="1038">
        <v>610</v>
      </c>
      <c r="Y33" s="1"/>
      <c r="Z33" s="1025">
        <v>0</v>
      </c>
      <c r="AA33" s="2174">
        <v>0</v>
      </c>
      <c r="AB33" s="1025">
        <v>0</v>
      </c>
      <c r="AC33" s="1025">
        <v>0</v>
      </c>
      <c r="AD33" s="1025">
        <v>0</v>
      </c>
      <c r="AE33" s="1025">
        <v>0</v>
      </c>
      <c r="AF33" s="1025">
        <v>0</v>
      </c>
      <c r="AG33" s="1025">
        <f t="shared" si="16"/>
        <v>0</v>
      </c>
      <c r="AH33" s="1025"/>
      <c r="AI33" s="1039"/>
      <c r="AJ33" s="1026">
        <f t="shared" si="6"/>
        <v>0</v>
      </c>
      <c r="AK33" s="1026">
        <f t="shared" si="7"/>
        <v>61284.649481599983</v>
      </c>
      <c r="AL33" s="1040">
        <f t="shared" si="0"/>
        <v>61284.649481599983</v>
      </c>
      <c r="AM33" s="1414"/>
      <c r="AN33" s="1414"/>
      <c r="AO33" s="1310"/>
      <c r="AP33" s="1310"/>
      <c r="AQ33" s="1934">
        <f t="shared" si="15"/>
        <v>0</v>
      </c>
      <c r="AR33" s="1729">
        <f t="shared" si="19"/>
        <v>0</v>
      </c>
      <c r="AS33" s="1729">
        <f t="shared" si="19"/>
        <v>13713.36</v>
      </c>
      <c r="AT33" s="1007"/>
      <c r="AU33" s="2500">
        <v>0</v>
      </c>
      <c r="AV33" s="1414"/>
      <c r="AW33" s="987"/>
      <c r="AX33" s="310">
        <f t="shared" si="9"/>
        <v>0</v>
      </c>
      <c r="AY33" s="998"/>
      <c r="AZ33" s="2">
        <v>0</v>
      </c>
      <c r="BA33" s="2110">
        <v>0</v>
      </c>
      <c r="BB33" s="2110">
        <v>0</v>
      </c>
      <c r="BC33" s="2110">
        <v>0</v>
      </c>
      <c r="BD33" s="2111">
        <v>0</v>
      </c>
      <c r="BF33" s="987"/>
      <c r="BG33" s="987"/>
      <c r="BH33" s="987"/>
      <c r="BI33" s="987"/>
      <c r="BJ33" s="987"/>
      <c r="BK33" s="847">
        <v>5056.67</v>
      </c>
      <c r="BL33" s="310">
        <v>1</v>
      </c>
      <c r="BM33" s="310"/>
      <c r="BN33" s="310"/>
      <c r="BO33" s="310"/>
      <c r="BP33" s="1041">
        <f>'August TCM'!LP31</f>
        <v>0</v>
      </c>
      <c r="BQ33" s="1042"/>
      <c r="BR33" s="1"/>
      <c r="BS33" s="1032">
        <f t="shared" si="10"/>
        <v>14648.028234150015</v>
      </c>
      <c r="BT33" s="1"/>
      <c r="BU33" s="1"/>
      <c r="BV33" s="1"/>
      <c r="BW33" s="1"/>
      <c r="BX33" s="1"/>
      <c r="BY33" s="1"/>
      <c r="BZ33" s="1"/>
      <c r="CA33" s="1"/>
      <c r="CB33" s="1"/>
      <c r="CC33" s="1"/>
      <c r="CD33" s="1"/>
      <c r="CE33" s="1"/>
      <c r="CF33" s="1"/>
      <c r="CG33" s="1"/>
      <c r="CH33" s="1"/>
      <c r="CI33" s="1"/>
      <c r="CJ33" s="1"/>
      <c r="CK33" s="1"/>
      <c r="CM33" s="1033">
        <v>22</v>
      </c>
      <c r="CN33" s="1">
        <f t="shared" si="11"/>
        <v>2855.9400000000005</v>
      </c>
      <c r="CO33" s="2499">
        <v>2608225590</v>
      </c>
      <c r="CP33" s="1048"/>
      <c r="CQ33" s="412">
        <v>22</v>
      </c>
      <c r="CR33" s="1">
        <f t="shared" si="12"/>
        <v>0</v>
      </c>
      <c r="CS33" s="2490"/>
    </row>
    <row r="34" spans="2:97">
      <c r="B34" s="989">
        <v>23</v>
      </c>
      <c r="C34" s="5">
        <f t="shared" si="1"/>
        <v>38359</v>
      </c>
      <c r="D34" s="488">
        <f t="shared" si="17"/>
        <v>2573.2799999999997</v>
      </c>
      <c r="E34" s="15">
        <f t="shared" si="2"/>
        <v>14.906656096499411</v>
      </c>
      <c r="F34" s="363"/>
      <c r="G34" s="64"/>
      <c r="H34" s="1034"/>
      <c r="I34" s="1034"/>
      <c r="N34" s="993"/>
      <c r="O34" s="26">
        <v>38359</v>
      </c>
      <c r="P34" s="36"/>
      <c r="Q34" s="277">
        <f t="shared" si="18"/>
        <v>2573.2799999999997</v>
      </c>
      <c r="R34" s="1227">
        <f t="shared" si="3"/>
        <v>2573.2799999999997</v>
      </c>
      <c r="S34" s="27">
        <f t="shared" si="4"/>
        <v>14.906656096499411</v>
      </c>
      <c r="T34" s="33"/>
      <c r="U34" s="2226">
        <v>2573.2799999999997</v>
      </c>
      <c r="V34" s="2227">
        <v>0</v>
      </c>
      <c r="W34" s="2227">
        <v>0</v>
      </c>
      <c r="X34" s="1038">
        <v>1250</v>
      </c>
      <c r="Y34" s="1"/>
      <c r="Z34" s="1025">
        <v>0</v>
      </c>
      <c r="AA34" s="2174">
        <v>0</v>
      </c>
      <c r="AB34" s="1025">
        <v>0</v>
      </c>
      <c r="AC34" s="1025">
        <v>0</v>
      </c>
      <c r="AD34" s="1025">
        <v>0</v>
      </c>
      <c r="AE34" s="1025">
        <v>0</v>
      </c>
      <c r="AF34" s="1025">
        <v>0</v>
      </c>
      <c r="AG34" s="1025">
        <f t="shared" si="16"/>
        <v>0</v>
      </c>
      <c r="AH34" s="1025"/>
      <c r="AI34" s="1039"/>
      <c r="AJ34" s="1026">
        <f t="shared" si="6"/>
        <v>0</v>
      </c>
      <c r="AK34" s="1026">
        <f t="shared" si="7"/>
        <v>63857.929481599982</v>
      </c>
      <c r="AL34" s="1040">
        <f t="shared" si="0"/>
        <v>63857.929481599982</v>
      </c>
      <c r="AM34" s="1414"/>
      <c r="AN34" s="1414"/>
      <c r="AO34" s="1310"/>
      <c r="AP34" s="1310"/>
      <c r="AQ34" s="1934">
        <f t="shared" si="15"/>
        <v>0</v>
      </c>
      <c r="AR34" s="1729">
        <f t="shared" si="19"/>
        <v>0</v>
      </c>
      <c r="AS34" s="1729">
        <f t="shared" si="19"/>
        <v>13713.36</v>
      </c>
      <c r="AT34" s="1007"/>
      <c r="AU34" s="2500">
        <v>0</v>
      </c>
      <c r="AV34" s="1414"/>
      <c r="AW34" s="987"/>
      <c r="AX34" s="310">
        <f t="shared" si="9"/>
        <v>0</v>
      </c>
      <c r="AY34" s="998"/>
      <c r="AZ34" s="2">
        <v>0</v>
      </c>
      <c r="BA34" s="2110">
        <v>0</v>
      </c>
      <c r="BB34" s="2110">
        <v>0</v>
      </c>
      <c r="BC34" s="2110">
        <v>0</v>
      </c>
      <c r="BD34" s="2111">
        <v>0</v>
      </c>
      <c r="BF34" s="987"/>
      <c r="BG34" s="987"/>
      <c r="BH34" s="987"/>
      <c r="BI34" s="987"/>
      <c r="BJ34" s="987"/>
      <c r="BK34" s="2510"/>
      <c r="BL34" s="310">
        <v>1</v>
      </c>
      <c r="BM34" s="310"/>
      <c r="BN34" s="310"/>
      <c r="BO34" s="310"/>
      <c r="BP34" s="1041">
        <f>'August TCM'!LP32</f>
        <v>0</v>
      </c>
      <c r="BQ34" s="1042"/>
      <c r="BR34" s="1"/>
      <c r="BS34" s="1032">
        <f t="shared" si="10"/>
        <v>14648.028234150015</v>
      </c>
      <c r="BT34" s="1"/>
      <c r="BU34" s="1"/>
      <c r="BV34" s="1"/>
      <c r="BW34" s="1"/>
      <c r="BX34" s="1"/>
      <c r="BY34" s="1"/>
      <c r="BZ34" s="1"/>
      <c r="CA34" s="1"/>
      <c r="CB34" s="1"/>
      <c r="CC34" s="1"/>
      <c r="CD34" s="1"/>
      <c r="CE34" s="1"/>
      <c r="CF34" s="1"/>
      <c r="CG34" s="1"/>
      <c r="CH34" s="1"/>
      <c r="CI34" s="1"/>
      <c r="CJ34" s="1"/>
      <c r="CK34" s="1"/>
      <c r="CM34" s="1033">
        <v>23</v>
      </c>
      <c r="CN34" s="1">
        <f t="shared" si="11"/>
        <v>2573.2799999999997</v>
      </c>
      <c r="CO34" s="2490">
        <v>2608235930</v>
      </c>
      <c r="CQ34" s="412">
        <v>23</v>
      </c>
      <c r="CR34" s="1">
        <f t="shared" si="12"/>
        <v>0</v>
      </c>
      <c r="CS34" s="2490"/>
    </row>
    <row r="35" spans="2:97">
      <c r="B35" s="989">
        <v>24</v>
      </c>
      <c r="C35" s="5">
        <f t="shared" si="1"/>
        <v>39109</v>
      </c>
      <c r="D35" s="488">
        <f t="shared" si="17"/>
        <v>2519.52</v>
      </c>
      <c r="E35" s="15">
        <f t="shared" si="2"/>
        <v>15.522401092271544</v>
      </c>
      <c r="F35" s="363"/>
      <c r="G35" s="64"/>
      <c r="H35" s="1034"/>
      <c r="I35" s="1034"/>
      <c r="N35" s="993"/>
      <c r="O35" s="26">
        <v>39109</v>
      </c>
      <c r="P35" s="36"/>
      <c r="Q35" s="277">
        <f t="shared" si="18"/>
        <v>2519.52</v>
      </c>
      <c r="R35" s="1227">
        <f t="shared" si="3"/>
        <v>2519.52</v>
      </c>
      <c r="S35" s="27">
        <f t="shared" si="4"/>
        <v>15.522401092271544</v>
      </c>
      <c r="T35" s="33"/>
      <c r="U35" s="2226">
        <v>2519.52</v>
      </c>
      <c r="V35" s="2227">
        <v>0</v>
      </c>
      <c r="W35" s="2227">
        <v>0</v>
      </c>
      <c r="X35" s="1038">
        <v>1040</v>
      </c>
      <c r="Y35" s="1"/>
      <c r="Z35" s="1025">
        <v>0</v>
      </c>
      <c r="AA35" s="2174">
        <v>0</v>
      </c>
      <c r="AB35" s="1025">
        <v>0</v>
      </c>
      <c r="AC35" s="1025">
        <v>0</v>
      </c>
      <c r="AD35" s="1025">
        <v>0</v>
      </c>
      <c r="AE35" s="1025">
        <v>0</v>
      </c>
      <c r="AF35" s="1025">
        <v>0</v>
      </c>
      <c r="AG35" s="1025">
        <f t="shared" si="16"/>
        <v>0</v>
      </c>
      <c r="AH35" s="1025"/>
      <c r="AI35" s="1039"/>
      <c r="AJ35" s="1026">
        <f t="shared" si="6"/>
        <v>0</v>
      </c>
      <c r="AK35" s="1026">
        <f t="shared" si="7"/>
        <v>66377.449481599979</v>
      </c>
      <c r="AL35" s="1040">
        <f t="shared" si="0"/>
        <v>66377.449481599979</v>
      </c>
      <c r="AM35" s="1414"/>
      <c r="AN35" s="1414"/>
      <c r="AO35" s="1310"/>
      <c r="AP35" s="1310"/>
      <c r="AQ35" s="1934">
        <f t="shared" si="15"/>
        <v>0</v>
      </c>
      <c r="AR35" s="1729">
        <f t="shared" si="19"/>
        <v>0</v>
      </c>
      <c r="AS35" s="1729">
        <f t="shared" si="19"/>
        <v>13713.36</v>
      </c>
      <c r="AT35" s="1007"/>
      <c r="AU35" s="2500">
        <v>0</v>
      </c>
      <c r="AV35" s="1414"/>
      <c r="AW35" s="987"/>
      <c r="AX35" s="310">
        <f t="shared" si="9"/>
        <v>0</v>
      </c>
      <c r="AY35" s="998"/>
      <c r="AZ35" s="2">
        <v>0</v>
      </c>
      <c r="BA35" s="2110">
        <v>0</v>
      </c>
      <c r="BB35" s="2110">
        <v>0</v>
      </c>
      <c r="BC35" s="2110">
        <v>0</v>
      </c>
      <c r="BD35" s="2111">
        <v>0</v>
      </c>
      <c r="BF35" s="987"/>
      <c r="BG35" s="987"/>
      <c r="BH35" s="987"/>
      <c r="BI35" s="987"/>
      <c r="BJ35" s="987"/>
      <c r="BK35" s="2056"/>
      <c r="BL35" s="310"/>
      <c r="BM35" s="310"/>
      <c r="BN35" s="310"/>
      <c r="BO35" s="310"/>
      <c r="BP35" s="1041">
        <f>'August TCM'!LP33</f>
        <v>-0.5</v>
      </c>
      <c r="BQ35" s="1042"/>
      <c r="BR35" s="1"/>
      <c r="BS35" s="1032">
        <f t="shared" si="10"/>
        <v>14648.028234150015</v>
      </c>
      <c r="BT35" s="1"/>
      <c r="BU35" s="1"/>
      <c r="BV35" s="1"/>
      <c r="BW35" s="1"/>
      <c r="BX35" s="1"/>
      <c r="BY35" s="1"/>
      <c r="BZ35" s="1"/>
      <c r="CA35" s="1"/>
      <c r="CB35" s="1"/>
      <c r="CC35" s="1"/>
      <c r="CD35" s="1"/>
      <c r="CE35" s="1"/>
      <c r="CF35" s="1"/>
      <c r="CG35" s="1"/>
      <c r="CH35" s="1"/>
      <c r="CI35" s="1"/>
      <c r="CJ35" s="1"/>
      <c r="CK35" s="1"/>
      <c r="CM35" s="1033">
        <v>24</v>
      </c>
      <c r="CN35" s="1">
        <f t="shared" si="11"/>
        <v>2519.52</v>
      </c>
      <c r="CO35" s="1109">
        <v>2608246240</v>
      </c>
      <c r="CP35" s="1048"/>
      <c r="CQ35" s="412">
        <v>24</v>
      </c>
      <c r="CR35" s="1">
        <f t="shared" si="12"/>
        <v>0</v>
      </c>
      <c r="CS35" s="2490"/>
    </row>
    <row r="36" spans="2:97">
      <c r="B36" s="989">
        <v>25</v>
      </c>
      <c r="C36" s="5">
        <f t="shared" si="1"/>
        <v>40331</v>
      </c>
      <c r="D36" s="488">
        <f t="shared" si="17"/>
        <v>2139.4</v>
      </c>
      <c r="E36" s="1051">
        <f t="shared" si="2"/>
        <v>18.851547162755914</v>
      </c>
      <c r="F36" s="363"/>
      <c r="G36" s="64"/>
      <c r="H36" s="1034"/>
      <c r="I36" s="1034"/>
      <c r="N36" s="993"/>
      <c r="O36" s="26">
        <v>40331</v>
      </c>
      <c r="P36" s="36"/>
      <c r="Q36" s="277">
        <f t="shared" si="18"/>
        <v>2139.4</v>
      </c>
      <c r="R36" s="1227">
        <f t="shared" si="3"/>
        <v>2139.4</v>
      </c>
      <c r="S36" s="53">
        <f t="shared" si="4"/>
        <v>18.851547162755914</v>
      </c>
      <c r="T36" s="33"/>
      <c r="U36" s="2226">
        <v>1761.68</v>
      </c>
      <c r="V36" s="2227">
        <v>377.72</v>
      </c>
      <c r="W36" s="2227">
        <v>0</v>
      </c>
      <c r="X36" s="1038">
        <v>870</v>
      </c>
      <c r="Y36" s="1"/>
      <c r="Z36" s="1025">
        <v>0</v>
      </c>
      <c r="AA36" s="2174">
        <v>0</v>
      </c>
      <c r="AB36" s="1025">
        <v>0</v>
      </c>
      <c r="AC36" s="1025">
        <v>0</v>
      </c>
      <c r="AD36" s="1025">
        <v>0</v>
      </c>
      <c r="AE36" s="1025">
        <v>0</v>
      </c>
      <c r="AF36" s="1025">
        <v>0</v>
      </c>
      <c r="AG36" s="1025">
        <f t="shared" si="16"/>
        <v>0</v>
      </c>
      <c r="AH36" s="1025"/>
      <c r="AI36" s="1039"/>
      <c r="AJ36" s="1026">
        <f t="shared" si="6"/>
        <v>0</v>
      </c>
      <c r="AK36" s="1026">
        <f t="shared" si="7"/>
        <v>68516.849481599973</v>
      </c>
      <c r="AL36" s="1040">
        <f t="shared" si="0"/>
        <v>68516.849481599973</v>
      </c>
      <c r="AM36" s="1414"/>
      <c r="AN36" s="1414"/>
      <c r="AO36" s="1310"/>
      <c r="AP36" s="1310"/>
      <c r="AQ36" s="1934">
        <f t="shared" si="15"/>
        <v>0</v>
      </c>
      <c r="AR36" s="1729">
        <f t="shared" si="19"/>
        <v>0</v>
      </c>
      <c r="AS36" s="1729">
        <f t="shared" si="19"/>
        <v>13713.36</v>
      </c>
      <c r="AT36" s="1007"/>
      <c r="AU36" s="2500">
        <v>0</v>
      </c>
      <c r="AV36" s="1414"/>
      <c r="AW36" s="987"/>
      <c r="AX36" s="310">
        <f t="shared" si="9"/>
        <v>0</v>
      </c>
      <c r="AY36" s="998"/>
      <c r="AZ36" s="2">
        <v>0</v>
      </c>
      <c r="BA36" s="2110">
        <v>0</v>
      </c>
      <c r="BB36" s="2110">
        <v>0</v>
      </c>
      <c r="BC36" s="2110">
        <v>0</v>
      </c>
      <c r="BD36" s="2111">
        <v>0</v>
      </c>
      <c r="BF36" s="987"/>
      <c r="BG36" s="987"/>
      <c r="BH36" s="987"/>
      <c r="BI36" s="987"/>
      <c r="BJ36" s="987"/>
      <c r="BK36" s="2056"/>
      <c r="BL36" s="310"/>
      <c r="BM36" s="310"/>
      <c r="BN36" s="310"/>
      <c r="BO36" s="310"/>
      <c r="BP36" s="1041">
        <f>'August TCM'!LP34</f>
        <v>-0.5</v>
      </c>
      <c r="BQ36" s="1042"/>
      <c r="BR36" s="1"/>
      <c r="BS36" s="1032">
        <f t="shared" si="10"/>
        <v>14648.028234150015</v>
      </c>
      <c r="BT36" s="1"/>
      <c r="BU36" s="1"/>
      <c r="BV36" s="1"/>
      <c r="BW36" s="1"/>
      <c r="BX36" s="1"/>
      <c r="BY36" s="1"/>
      <c r="BZ36" s="1"/>
      <c r="CA36" s="1"/>
      <c r="CB36" s="1"/>
      <c r="CC36" s="1"/>
      <c r="CD36" s="1"/>
      <c r="CE36" s="1"/>
      <c r="CF36" s="1"/>
      <c r="CG36" s="1"/>
      <c r="CH36" s="1"/>
      <c r="CI36" s="1"/>
      <c r="CJ36" s="1"/>
      <c r="CK36" s="1"/>
      <c r="CM36" s="1033">
        <v>25</v>
      </c>
      <c r="CN36" s="1">
        <f t="shared" si="11"/>
        <v>2139.4</v>
      </c>
      <c r="CO36" s="2490">
        <v>2608256528</v>
      </c>
      <c r="CQ36" s="412">
        <v>25</v>
      </c>
      <c r="CR36" s="1">
        <f t="shared" si="12"/>
        <v>0</v>
      </c>
      <c r="CS36" s="2490"/>
    </row>
    <row r="37" spans="2:97">
      <c r="B37" s="989">
        <v>26</v>
      </c>
      <c r="C37" s="5">
        <f t="shared" si="1"/>
        <v>39090</v>
      </c>
      <c r="D37" s="488">
        <f t="shared" si="17"/>
        <v>2470.6000000000004</v>
      </c>
      <c r="E37" s="1051">
        <f t="shared" si="2"/>
        <v>15.822067513964218</v>
      </c>
      <c r="F37" s="363"/>
      <c r="G37" s="64"/>
      <c r="H37" s="1034"/>
      <c r="I37" s="1034"/>
      <c r="N37" s="993"/>
      <c r="O37" s="26">
        <v>39090</v>
      </c>
      <c r="P37" s="36"/>
      <c r="Q37" s="277">
        <f t="shared" si="18"/>
        <v>2470.6000000000004</v>
      </c>
      <c r="R37" s="1227">
        <f t="shared" si="3"/>
        <v>2470.6000000000004</v>
      </c>
      <c r="S37" s="53">
        <f t="shared" si="4"/>
        <v>15.822067513964218</v>
      </c>
      <c r="T37" s="33"/>
      <c r="U37" s="2226">
        <v>2112.7400000000002</v>
      </c>
      <c r="V37" s="2227">
        <v>357.86</v>
      </c>
      <c r="W37" s="2227">
        <v>0</v>
      </c>
      <c r="X37" s="1038">
        <v>230</v>
      </c>
      <c r="Y37" s="1"/>
      <c r="Z37" s="1025">
        <v>0</v>
      </c>
      <c r="AA37" s="2174">
        <v>0</v>
      </c>
      <c r="AB37" s="1025">
        <v>0</v>
      </c>
      <c r="AC37" s="1025">
        <v>0</v>
      </c>
      <c r="AD37" s="1025">
        <v>0</v>
      </c>
      <c r="AE37" s="1025">
        <v>0</v>
      </c>
      <c r="AF37" s="1025">
        <v>0</v>
      </c>
      <c r="AG37" s="1025">
        <f t="shared" si="16"/>
        <v>0</v>
      </c>
      <c r="AH37" s="1025"/>
      <c r="AI37" s="1039"/>
      <c r="AJ37" s="1026">
        <f t="shared" si="6"/>
        <v>0</v>
      </c>
      <c r="AK37" s="1026">
        <f t="shared" si="7"/>
        <v>70987.449481599979</v>
      </c>
      <c r="AL37" s="1040">
        <f t="shared" si="0"/>
        <v>70987.449481599979</v>
      </c>
      <c r="AM37" s="1414"/>
      <c r="AN37" s="1414"/>
      <c r="AO37" s="1310"/>
      <c r="AP37" s="1310"/>
      <c r="AQ37" s="1934">
        <f t="shared" si="15"/>
        <v>0</v>
      </c>
      <c r="AR37" s="1729">
        <f t="shared" si="19"/>
        <v>0</v>
      </c>
      <c r="AS37" s="1729">
        <f t="shared" si="19"/>
        <v>13713.36</v>
      </c>
      <c r="AT37" s="1007"/>
      <c r="AU37" s="2500">
        <v>0</v>
      </c>
      <c r="AV37" s="1414"/>
      <c r="AW37" s="987"/>
      <c r="AX37" s="310">
        <f t="shared" si="9"/>
        <v>0</v>
      </c>
      <c r="AY37" s="998"/>
      <c r="AZ37" s="2">
        <v>0</v>
      </c>
      <c r="BA37" s="2110">
        <v>0</v>
      </c>
      <c r="BB37" s="2110">
        <v>0</v>
      </c>
      <c r="BC37" s="2110">
        <v>0</v>
      </c>
      <c r="BD37" s="2111">
        <v>0</v>
      </c>
      <c r="BF37" s="987"/>
      <c r="BG37" s="987"/>
      <c r="BH37" s="987"/>
      <c r="BI37" s="987"/>
      <c r="BJ37" s="987"/>
      <c r="BK37" s="2056"/>
      <c r="BL37" s="310"/>
      <c r="BM37" s="310"/>
      <c r="BN37" s="310"/>
      <c r="BO37" s="310"/>
      <c r="BP37" s="1041">
        <f>'August TCM'!LP35</f>
        <v>-0.5</v>
      </c>
      <c r="BQ37" s="1052"/>
      <c r="BR37" s="857"/>
      <c r="BS37" s="1032">
        <f t="shared" si="10"/>
        <v>14648.028234150015</v>
      </c>
      <c r="BT37" s="857"/>
      <c r="BU37" s="857"/>
      <c r="BV37" s="857"/>
      <c r="BW37" s="857"/>
      <c r="BX37" s="857"/>
      <c r="BY37" s="857"/>
      <c r="BZ37" s="857"/>
      <c r="CA37" s="857"/>
      <c r="CB37" s="857"/>
      <c r="CC37" s="857"/>
      <c r="CD37" s="857"/>
      <c r="CE37" s="857"/>
      <c r="CF37" s="857"/>
      <c r="CG37" s="857"/>
      <c r="CH37" s="857"/>
      <c r="CI37" s="857"/>
      <c r="CJ37" s="857"/>
      <c r="CK37" s="857"/>
      <c r="CM37" s="1033">
        <v>26</v>
      </c>
      <c r="CN37" s="1">
        <f t="shared" si="11"/>
        <v>2470.6000000000004</v>
      </c>
      <c r="CO37" s="2499">
        <v>2608266662</v>
      </c>
      <c r="CP37" s="1048"/>
      <c r="CQ37" s="412">
        <v>26</v>
      </c>
      <c r="CR37" s="1">
        <f t="shared" si="12"/>
        <v>0</v>
      </c>
      <c r="CS37" s="2490"/>
    </row>
    <row r="38" spans="2:97">
      <c r="B38" s="989">
        <v>27</v>
      </c>
      <c r="C38" s="5">
        <f t="shared" si="1"/>
        <v>34989</v>
      </c>
      <c r="D38" s="488">
        <f t="shared" si="17"/>
        <v>2878.6400000000003</v>
      </c>
      <c r="E38" s="1051">
        <f t="shared" si="2"/>
        <v>12.154698051857821</v>
      </c>
      <c r="F38" s="363"/>
      <c r="G38" s="64"/>
      <c r="H38" s="1034"/>
      <c r="I38" s="1034"/>
      <c r="N38" s="993"/>
      <c r="O38" s="26">
        <v>34989</v>
      </c>
      <c r="P38" s="36"/>
      <c r="Q38" s="277">
        <f t="shared" si="18"/>
        <v>2878.6400000000003</v>
      </c>
      <c r="R38" s="1227">
        <f t="shared" si="3"/>
        <v>2878.6400000000003</v>
      </c>
      <c r="S38" s="53">
        <f t="shared" si="4"/>
        <v>12.154698051857821</v>
      </c>
      <c r="T38" s="33"/>
      <c r="U38" s="2226">
        <v>2878.6400000000003</v>
      </c>
      <c r="V38" s="2227">
        <v>0</v>
      </c>
      <c r="W38" s="2227">
        <v>0</v>
      </c>
      <c r="X38" s="1038">
        <v>1790</v>
      </c>
      <c r="Y38" s="1"/>
      <c r="Z38" s="1025">
        <v>0</v>
      </c>
      <c r="AA38" s="2174">
        <v>0</v>
      </c>
      <c r="AB38" s="1025">
        <v>0</v>
      </c>
      <c r="AC38" s="1025">
        <v>0</v>
      </c>
      <c r="AD38" s="1025">
        <v>0</v>
      </c>
      <c r="AE38" s="1025">
        <v>0</v>
      </c>
      <c r="AF38" s="1025">
        <v>0</v>
      </c>
      <c r="AG38" s="1025">
        <f t="shared" si="16"/>
        <v>0</v>
      </c>
      <c r="AH38" s="1025"/>
      <c r="AI38" s="1039"/>
      <c r="AJ38" s="1026">
        <f t="shared" si="6"/>
        <v>0</v>
      </c>
      <c r="AK38" s="1026">
        <f t="shared" si="7"/>
        <v>73866.089481599978</v>
      </c>
      <c r="AL38" s="1040">
        <f t="shared" si="0"/>
        <v>73866.089481599978</v>
      </c>
      <c r="AM38" s="1414"/>
      <c r="AN38" s="1414"/>
      <c r="AO38" s="1310"/>
      <c r="AP38" s="1310"/>
      <c r="AQ38" s="1934">
        <f t="shared" si="15"/>
        <v>0</v>
      </c>
      <c r="AR38" s="1729">
        <f t="shared" si="19"/>
        <v>0</v>
      </c>
      <c r="AS38" s="1729">
        <f t="shared" si="19"/>
        <v>13713.36</v>
      </c>
      <c r="AT38" s="1007"/>
      <c r="AU38" s="2500">
        <v>0</v>
      </c>
      <c r="AV38" s="1414"/>
      <c r="AW38" s="987"/>
      <c r="AX38" s="310">
        <f t="shared" si="9"/>
        <v>0</v>
      </c>
      <c r="AY38" s="998"/>
      <c r="AZ38" s="2">
        <v>0</v>
      </c>
      <c r="BA38" s="2110">
        <v>0</v>
      </c>
      <c r="BB38" s="2110">
        <v>0</v>
      </c>
      <c r="BC38" s="2110">
        <v>0</v>
      </c>
      <c r="BD38" s="2111">
        <v>0</v>
      </c>
      <c r="BF38" s="987"/>
      <c r="BG38" s="987"/>
      <c r="BH38" s="987"/>
      <c r="BI38" s="987"/>
      <c r="BJ38" s="987"/>
      <c r="BK38" s="2056"/>
      <c r="BL38" s="310"/>
      <c r="BM38" s="310"/>
      <c r="BN38" s="310"/>
      <c r="BO38" s="310"/>
      <c r="BP38" s="1041">
        <f>'August TCM'!LP36</f>
        <v>-0.05</v>
      </c>
      <c r="BQ38" s="1053"/>
      <c r="BR38" s="857"/>
      <c r="BS38" s="1032">
        <f t="shared" si="10"/>
        <v>14648.028234150015</v>
      </c>
      <c r="BT38" s="857"/>
      <c r="BU38" s="857"/>
      <c r="BV38" s="857"/>
      <c r="BW38" s="857"/>
      <c r="BX38" s="857"/>
      <c r="BY38" s="857"/>
      <c r="BZ38" s="857"/>
      <c r="CA38" s="857"/>
      <c r="CB38" s="857"/>
      <c r="CC38" s="857"/>
      <c r="CD38" s="857"/>
      <c r="CE38" s="857"/>
      <c r="CF38" s="857"/>
      <c r="CG38" s="857"/>
      <c r="CH38" s="857"/>
      <c r="CI38" s="857"/>
      <c r="CJ38" s="857"/>
      <c r="CK38" s="857"/>
      <c r="CM38" s="1033">
        <v>27</v>
      </c>
      <c r="CN38" s="1">
        <f t="shared" si="11"/>
        <v>2878.6400000000003</v>
      </c>
      <c r="CO38" s="2499">
        <v>2608276806</v>
      </c>
      <c r="CP38" s="1048"/>
      <c r="CQ38" s="412">
        <v>27</v>
      </c>
      <c r="CR38" s="1">
        <f t="shared" si="12"/>
        <v>0</v>
      </c>
      <c r="CS38" s="2490"/>
    </row>
    <row r="39" spans="2:97">
      <c r="B39" s="989">
        <v>28</v>
      </c>
      <c r="C39" s="5">
        <f t="shared" si="1"/>
        <v>34834</v>
      </c>
      <c r="D39" s="488">
        <f t="shared" si="17"/>
        <v>633.17999999999995</v>
      </c>
      <c r="E39" s="1051">
        <f t="shared" si="2"/>
        <v>55.014371900565408</v>
      </c>
      <c r="F39" s="363"/>
      <c r="G39" s="64"/>
      <c r="H39" s="1034"/>
      <c r="I39" s="1034"/>
      <c r="N39" s="993"/>
      <c r="O39" s="26">
        <v>34834</v>
      </c>
      <c r="P39" s="36"/>
      <c r="Q39" s="277">
        <f t="shared" si="18"/>
        <v>633.17999999999995</v>
      </c>
      <c r="R39" s="1227">
        <f t="shared" si="3"/>
        <v>633.17999999999995</v>
      </c>
      <c r="S39" s="53">
        <f t="shared" si="4"/>
        <v>55.014371900565408</v>
      </c>
      <c r="T39" s="33"/>
      <c r="U39" s="2226">
        <v>633.17999999999995</v>
      </c>
      <c r="V39" s="2227">
        <v>0</v>
      </c>
      <c r="W39" s="2419">
        <v>0</v>
      </c>
      <c r="X39" s="1038">
        <v>1940</v>
      </c>
      <c r="Y39" s="1"/>
      <c r="Z39" s="1025">
        <v>0</v>
      </c>
      <c r="AA39" s="2174">
        <v>0</v>
      </c>
      <c r="AB39" s="1025">
        <v>0</v>
      </c>
      <c r="AC39" s="1025">
        <v>0</v>
      </c>
      <c r="AD39" s="1025">
        <v>0</v>
      </c>
      <c r="AE39" s="1025">
        <v>0</v>
      </c>
      <c r="AF39" s="1025">
        <v>0</v>
      </c>
      <c r="AG39" s="1025">
        <f t="shared" si="16"/>
        <v>0</v>
      </c>
      <c r="AH39" s="1025"/>
      <c r="AI39" s="1039"/>
      <c r="AJ39" s="1026">
        <f t="shared" si="6"/>
        <v>0</v>
      </c>
      <c r="AK39" s="1026">
        <f t="shared" si="7"/>
        <v>74499.269481599971</v>
      </c>
      <c r="AL39" s="1040">
        <f t="shared" si="0"/>
        <v>74499.269481599971</v>
      </c>
      <c r="AM39" s="1414"/>
      <c r="AN39" s="1414"/>
      <c r="AO39" s="1310"/>
      <c r="AP39" s="1310"/>
      <c r="AQ39" s="1934">
        <f t="shared" si="15"/>
        <v>0</v>
      </c>
      <c r="AR39" s="1729">
        <f t="shared" si="19"/>
        <v>0</v>
      </c>
      <c r="AS39" s="1729">
        <f t="shared" si="19"/>
        <v>13713.36</v>
      </c>
      <c r="AT39" s="1007"/>
      <c r="AU39" s="2500">
        <v>0</v>
      </c>
      <c r="AV39" s="1414"/>
      <c r="AW39" s="987"/>
      <c r="AX39" s="310">
        <f t="shared" si="9"/>
        <v>0</v>
      </c>
      <c r="AY39" s="998"/>
      <c r="AZ39" s="2">
        <v>0</v>
      </c>
      <c r="BA39" s="2110">
        <v>0</v>
      </c>
      <c r="BB39" s="2110">
        <v>0</v>
      </c>
      <c r="BC39" s="2110">
        <v>0</v>
      </c>
      <c r="BD39" s="2111">
        <v>0</v>
      </c>
      <c r="BF39" s="987"/>
      <c r="BG39" s="987"/>
      <c r="BH39" s="987"/>
      <c r="BI39" s="987"/>
      <c r="BJ39" s="987"/>
      <c r="BK39" s="2056"/>
      <c r="BL39" s="310"/>
      <c r="BM39" s="310"/>
      <c r="BN39" s="310"/>
      <c r="BO39" s="310"/>
      <c r="BP39" s="1041">
        <f>'August TCM'!LP37</f>
        <v>0.2</v>
      </c>
      <c r="BQ39" s="1042"/>
      <c r="BR39" s="1"/>
      <c r="BS39" s="1032">
        <f t="shared" si="10"/>
        <v>14648.028234150015</v>
      </c>
      <c r="BT39" s="1"/>
      <c r="BU39" s="1"/>
      <c r="BV39" s="1"/>
      <c r="BW39" s="1"/>
      <c r="BX39" s="1"/>
      <c r="BY39" s="1"/>
      <c r="BZ39" s="1"/>
      <c r="CA39" s="1"/>
      <c r="CB39" s="1"/>
      <c r="CC39" s="1"/>
      <c r="CD39" s="1"/>
      <c r="CE39" s="1"/>
      <c r="CF39" s="1"/>
      <c r="CG39" s="1"/>
      <c r="CH39" s="1"/>
      <c r="CI39" s="1"/>
      <c r="CJ39" s="1"/>
      <c r="CK39" s="1"/>
      <c r="CM39" s="1033">
        <v>28</v>
      </c>
      <c r="CN39" s="1">
        <f t="shared" si="11"/>
        <v>633.17999999999995</v>
      </c>
      <c r="CO39" s="1109">
        <v>2608286987</v>
      </c>
      <c r="CQ39" s="412">
        <v>28</v>
      </c>
      <c r="CR39" s="1">
        <f t="shared" si="12"/>
        <v>0</v>
      </c>
      <c r="CS39" s="2490"/>
    </row>
    <row r="40" spans="2:97">
      <c r="B40" s="989">
        <v>29</v>
      </c>
      <c r="C40" s="5">
        <f t="shared" si="1"/>
        <v>39080</v>
      </c>
      <c r="D40" s="488">
        <f t="shared" si="17"/>
        <v>0</v>
      </c>
      <c r="E40" s="1051">
        <f t="shared" si="2"/>
        <v>0</v>
      </c>
      <c r="F40" s="363"/>
      <c r="G40" s="64"/>
      <c r="H40" s="1034"/>
      <c r="I40" s="1034"/>
      <c r="N40" s="993"/>
      <c r="O40" s="26">
        <v>39080</v>
      </c>
      <c r="P40" s="36"/>
      <c r="Q40" s="277">
        <f t="shared" si="18"/>
        <v>0</v>
      </c>
      <c r="R40" s="1227">
        <f t="shared" si="3"/>
        <v>0</v>
      </c>
      <c r="S40" s="53">
        <f t="shared" si="4"/>
        <v>0</v>
      </c>
      <c r="T40" s="33"/>
      <c r="U40" s="2226">
        <v>0</v>
      </c>
      <c r="V40" s="2227">
        <v>0</v>
      </c>
      <c r="W40" s="2227">
        <v>0</v>
      </c>
      <c r="X40" s="1038">
        <v>1310</v>
      </c>
      <c r="Y40" s="1"/>
      <c r="Z40" s="1025">
        <v>0</v>
      </c>
      <c r="AA40" s="2174">
        <v>0</v>
      </c>
      <c r="AB40" s="1025">
        <v>0</v>
      </c>
      <c r="AC40" s="1025">
        <v>0</v>
      </c>
      <c r="AD40" s="1025">
        <v>0</v>
      </c>
      <c r="AE40" s="1025">
        <v>0</v>
      </c>
      <c r="AF40" s="1025">
        <v>0</v>
      </c>
      <c r="AG40" s="1025">
        <f t="shared" si="16"/>
        <v>0</v>
      </c>
      <c r="AH40" s="1025"/>
      <c r="AI40" s="1039"/>
      <c r="AJ40" s="1026">
        <f t="shared" si="6"/>
        <v>0</v>
      </c>
      <c r="AK40" s="1026">
        <f t="shared" si="7"/>
        <v>74499.269481599971</v>
      </c>
      <c r="AL40" s="1040">
        <f t="shared" si="0"/>
        <v>74499.269481599971</v>
      </c>
      <c r="AM40" s="1414"/>
      <c r="AN40" s="1414"/>
      <c r="AO40" s="1310"/>
      <c r="AP40" s="1310"/>
      <c r="AQ40" s="1934">
        <f t="shared" si="15"/>
        <v>0</v>
      </c>
      <c r="AR40" s="1729">
        <f t="shared" si="19"/>
        <v>0</v>
      </c>
      <c r="AS40" s="1729">
        <f t="shared" si="19"/>
        <v>13713.36</v>
      </c>
      <c r="AT40" s="1007"/>
      <c r="AU40" s="2500">
        <v>0</v>
      </c>
      <c r="AV40" s="1414"/>
      <c r="AW40" s="987"/>
      <c r="AX40" s="310">
        <f t="shared" si="9"/>
        <v>0</v>
      </c>
      <c r="AY40" s="998"/>
      <c r="AZ40" s="2">
        <v>0</v>
      </c>
      <c r="BA40" s="2110">
        <v>0</v>
      </c>
      <c r="BB40" s="2110">
        <v>0</v>
      </c>
      <c r="BC40" s="2110">
        <v>0</v>
      </c>
      <c r="BD40" s="2111">
        <v>0</v>
      </c>
      <c r="BF40" s="987"/>
      <c r="BG40" s="987"/>
      <c r="BH40" s="987"/>
      <c r="BI40" s="987"/>
      <c r="BJ40" s="987"/>
      <c r="BK40" s="2056"/>
      <c r="BL40" s="310"/>
      <c r="BM40" s="310"/>
      <c r="BN40" s="310"/>
      <c r="BO40" s="310"/>
      <c r="BP40" s="1041">
        <f>'August TCM'!LP38</f>
        <v>0.47</v>
      </c>
      <c r="BQ40" s="1042"/>
      <c r="BR40" s="1"/>
      <c r="BS40" s="1032">
        <f t="shared" si="10"/>
        <v>14648.028234150015</v>
      </c>
      <c r="BT40" s="1"/>
      <c r="BU40" s="1"/>
      <c r="BV40" s="1"/>
      <c r="BW40" s="1"/>
      <c r="BX40" s="1"/>
      <c r="BY40" s="1"/>
      <c r="BZ40" s="1"/>
      <c r="CA40" s="1"/>
      <c r="CB40" s="1"/>
      <c r="CC40" s="1"/>
      <c r="CD40" s="1"/>
      <c r="CE40" s="1"/>
      <c r="CF40" s="1"/>
      <c r="CG40" s="1"/>
      <c r="CH40" s="1"/>
      <c r="CI40" s="1"/>
      <c r="CJ40" s="1"/>
      <c r="CK40" s="1"/>
      <c r="CM40" s="1033">
        <v>29</v>
      </c>
      <c r="CN40" s="1">
        <f t="shared" si="11"/>
        <v>0</v>
      </c>
      <c r="CO40" s="2490"/>
      <c r="CQ40" s="412">
        <v>29</v>
      </c>
      <c r="CR40" s="1">
        <f t="shared" si="12"/>
        <v>0</v>
      </c>
      <c r="CS40" s="2490"/>
    </row>
    <row r="41" spans="2:97">
      <c r="B41" s="990">
        <v>30</v>
      </c>
      <c r="C41" s="5">
        <f t="shared" si="1"/>
        <v>35877</v>
      </c>
      <c r="D41" s="488">
        <f t="shared" si="17"/>
        <v>0</v>
      </c>
      <c r="E41" s="1051">
        <f t="shared" si="2"/>
        <v>0</v>
      </c>
      <c r="F41" s="845"/>
      <c r="G41" s="64"/>
      <c r="H41" s="1034"/>
      <c r="I41" s="1034"/>
      <c r="N41" s="1054"/>
      <c r="O41" s="26">
        <v>35877</v>
      </c>
      <c r="P41" s="36"/>
      <c r="Q41" s="277">
        <f t="shared" si="18"/>
        <v>0</v>
      </c>
      <c r="R41" s="1227">
        <f t="shared" si="3"/>
        <v>0</v>
      </c>
      <c r="S41" s="53">
        <f t="shared" si="4"/>
        <v>0</v>
      </c>
      <c r="T41" s="33"/>
      <c r="U41" s="2226">
        <v>0</v>
      </c>
      <c r="V41" s="2227">
        <v>0</v>
      </c>
      <c r="W41" s="2227">
        <v>0</v>
      </c>
      <c r="X41" s="1038"/>
      <c r="Y41" s="1"/>
      <c r="Z41" s="1025">
        <v>0</v>
      </c>
      <c r="AA41" s="2174">
        <v>0</v>
      </c>
      <c r="AB41" s="1025">
        <v>0</v>
      </c>
      <c r="AC41" s="1025">
        <v>0</v>
      </c>
      <c r="AD41" s="1025">
        <v>0</v>
      </c>
      <c r="AE41" s="1025">
        <v>0</v>
      </c>
      <c r="AF41" s="1025">
        <v>0</v>
      </c>
      <c r="AG41" s="1025">
        <f t="shared" si="16"/>
        <v>0</v>
      </c>
      <c r="AH41" s="1025"/>
      <c r="AI41" s="1039"/>
      <c r="AJ41" s="1026">
        <f t="shared" si="6"/>
        <v>0</v>
      </c>
      <c r="AK41" s="1026">
        <f t="shared" si="7"/>
        <v>74499.269481599971</v>
      </c>
      <c r="AL41" s="1040">
        <f t="shared" si="0"/>
        <v>74499.269481599971</v>
      </c>
      <c r="AM41" s="1414"/>
      <c r="AN41" s="1414"/>
      <c r="AO41" s="1310"/>
      <c r="AP41" s="1310"/>
      <c r="AQ41" s="1934">
        <f t="shared" si="15"/>
        <v>0</v>
      </c>
      <c r="AR41" s="1729">
        <f t="shared" si="19"/>
        <v>0</v>
      </c>
      <c r="AS41" s="1729">
        <f t="shared" si="19"/>
        <v>13713.36</v>
      </c>
      <c r="AT41" s="1007"/>
      <c r="AU41" s="2500">
        <v>0</v>
      </c>
      <c r="AV41" s="1414"/>
      <c r="AW41" s="987"/>
      <c r="AX41" s="310">
        <f t="shared" si="9"/>
        <v>0</v>
      </c>
      <c r="AY41" s="998"/>
      <c r="AZ41" s="2">
        <v>0</v>
      </c>
      <c r="BA41" s="2110">
        <v>0</v>
      </c>
      <c r="BB41" s="2110">
        <v>0</v>
      </c>
      <c r="BC41" s="2110">
        <v>0</v>
      </c>
      <c r="BD41" s="2111">
        <v>0</v>
      </c>
      <c r="BF41" s="987"/>
      <c r="BG41" s="987"/>
      <c r="BH41" s="987"/>
      <c r="BI41" s="987"/>
      <c r="BJ41" s="987"/>
      <c r="BK41" s="2056"/>
      <c r="BL41" s="310"/>
      <c r="BM41" s="310"/>
      <c r="BN41" s="310"/>
      <c r="BO41" s="310"/>
      <c r="BP41" s="1041">
        <f>'August TCM'!LP39</f>
        <v>0.3</v>
      </c>
      <c r="BQ41" s="275"/>
      <c r="BR41" s="1"/>
      <c r="BS41" s="1032">
        <f t="shared" si="10"/>
        <v>14648.028234150015</v>
      </c>
      <c r="BT41" s="1"/>
      <c r="BU41" s="1"/>
      <c r="BV41" s="1"/>
      <c r="BW41" s="1"/>
      <c r="BX41" s="1"/>
      <c r="BY41" s="1"/>
      <c r="BZ41" s="1"/>
      <c r="CA41" s="1"/>
      <c r="CB41" s="1"/>
      <c r="CC41" s="1"/>
      <c r="CD41" s="1"/>
      <c r="CE41" s="1"/>
      <c r="CF41" s="72"/>
      <c r="CG41" s="72"/>
      <c r="CH41" s="72"/>
      <c r="CI41" s="72"/>
      <c r="CJ41" s="72"/>
      <c r="CK41" s="72"/>
      <c r="CM41" s="1033">
        <v>30</v>
      </c>
      <c r="CN41" s="1">
        <f t="shared" si="11"/>
        <v>0</v>
      </c>
      <c r="CO41" s="2441"/>
      <c r="CQ41" s="412">
        <v>30</v>
      </c>
      <c r="CR41" s="1">
        <f t="shared" si="12"/>
        <v>0</v>
      </c>
      <c r="CS41" s="2490"/>
    </row>
    <row r="42" spans="2:97" ht="15" thickBot="1">
      <c r="B42" s="990">
        <v>31</v>
      </c>
      <c r="C42" s="1450">
        <f t="shared" si="1"/>
        <v>22995</v>
      </c>
      <c r="D42" s="1450">
        <f t="shared" si="17"/>
        <v>0</v>
      </c>
      <c r="E42" s="1452">
        <f t="shared" si="2"/>
        <v>0</v>
      </c>
      <c r="F42" s="1453"/>
      <c r="G42" s="1454"/>
      <c r="H42" s="1455"/>
      <c r="I42" s="1455"/>
      <c r="J42" s="1456"/>
      <c r="K42" s="1457"/>
      <c r="L42" s="1457"/>
      <c r="M42" s="1457"/>
      <c r="N42" s="1458"/>
      <c r="O42" s="1459">
        <v>22995</v>
      </c>
      <c r="P42" s="1460"/>
      <c r="Q42" s="1935">
        <f t="shared" si="18"/>
        <v>0</v>
      </c>
      <c r="R42" s="1936">
        <f t="shared" si="3"/>
        <v>0</v>
      </c>
      <c r="S42" s="1056">
        <f t="shared" si="4"/>
        <v>0</v>
      </c>
      <c r="T42" s="1057"/>
      <c r="U42" s="2228">
        <v>0</v>
      </c>
      <c r="V42" s="2229">
        <v>0</v>
      </c>
      <c r="W42" s="2229">
        <v>0</v>
      </c>
      <c r="X42" s="2230"/>
      <c r="Y42" s="1"/>
      <c r="Z42" s="1025">
        <v>0</v>
      </c>
      <c r="AA42" s="2174">
        <v>0</v>
      </c>
      <c r="AB42" s="1059">
        <v>0</v>
      </c>
      <c r="AC42" s="1059">
        <v>0</v>
      </c>
      <c r="AD42" s="1059">
        <v>0</v>
      </c>
      <c r="AE42" s="1025">
        <v>0</v>
      </c>
      <c r="AF42" s="1025">
        <v>0</v>
      </c>
      <c r="AG42" s="1059">
        <f t="shared" si="16"/>
        <v>0</v>
      </c>
      <c r="AH42" s="1059"/>
      <c r="AI42" s="1060"/>
      <c r="AJ42" s="1026">
        <f t="shared" si="6"/>
        <v>0</v>
      </c>
      <c r="AK42" s="1026">
        <f t="shared" si="7"/>
        <v>74499.269481599971</v>
      </c>
      <c r="AL42" s="1061">
        <f t="shared" si="0"/>
        <v>74499.269481599971</v>
      </c>
      <c r="AM42" s="1414"/>
      <c r="AN42" s="1414"/>
      <c r="AO42" s="1311"/>
      <c r="AP42" s="1311"/>
      <c r="AQ42" s="1937">
        <f t="shared" si="15"/>
        <v>0</v>
      </c>
      <c r="AR42" s="1730">
        <f t="shared" si="19"/>
        <v>0</v>
      </c>
      <c r="AS42" s="1729">
        <f t="shared" si="19"/>
        <v>13713.36</v>
      </c>
      <c r="AT42" s="1377"/>
      <c r="AU42" s="2500">
        <v>0</v>
      </c>
      <c r="AV42" s="1414"/>
      <c r="AW42" s="987"/>
      <c r="AX42" s="332">
        <f t="shared" si="9"/>
        <v>0</v>
      </c>
      <c r="AY42" s="1062"/>
      <c r="AZ42" s="2192">
        <v>0</v>
      </c>
      <c r="BA42" s="2193">
        <v>0</v>
      </c>
      <c r="BB42" s="2193">
        <v>0</v>
      </c>
      <c r="BC42" s="2193">
        <v>0</v>
      </c>
      <c r="BD42" s="2194">
        <v>0</v>
      </c>
      <c r="BF42" s="987"/>
      <c r="BG42" s="987"/>
      <c r="BH42" s="987"/>
      <c r="BI42" s="987"/>
      <c r="BJ42" s="987"/>
      <c r="BK42" s="2538"/>
      <c r="BL42" s="332"/>
      <c r="BM42" s="332"/>
      <c r="BN42" s="332"/>
      <c r="BO42" s="332"/>
      <c r="BP42" s="1103">
        <f>'August TCM'!LP40</f>
        <v>0.33</v>
      </c>
      <c r="BQ42" s="332"/>
      <c r="BR42" s="1"/>
      <c r="BS42" s="1032">
        <f t="shared" si="10"/>
        <v>14648.028234150015</v>
      </c>
      <c r="BT42" s="1"/>
      <c r="BU42" s="1"/>
      <c r="BV42" s="1"/>
      <c r="BW42" s="1"/>
      <c r="BX42" s="1"/>
      <c r="BY42" s="1"/>
      <c r="BZ42" s="1"/>
      <c r="CA42" s="1"/>
      <c r="CB42" s="1"/>
      <c r="CC42" s="1"/>
      <c r="CD42" s="1"/>
      <c r="CE42" s="1"/>
      <c r="CF42" s="72"/>
      <c r="CG42" s="72"/>
      <c r="CH42" s="72"/>
      <c r="CI42" s="72"/>
      <c r="CJ42" s="72"/>
      <c r="CK42" s="72"/>
      <c r="CM42" s="1033">
        <v>31</v>
      </c>
      <c r="CN42" s="1">
        <f t="shared" si="11"/>
        <v>0</v>
      </c>
      <c r="CO42" s="2490"/>
      <c r="CQ42" s="412">
        <v>31</v>
      </c>
      <c r="CR42" s="1">
        <f t="shared" si="12"/>
        <v>0</v>
      </c>
      <c r="CS42" s="2490"/>
    </row>
    <row r="43" spans="2:97">
      <c r="B43" s="307" t="s">
        <v>206</v>
      </c>
      <c r="C43" s="72">
        <f t="shared" si="1"/>
        <v>1148418</v>
      </c>
      <c r="D43" s="95">
        <f>SUM(D12:D42)</f>
        <v>71096.789999999994</v>
      </c>
      <c r="E43" s="1065">
        <f>IFERROR(C43/D43,0)</f>
        <v>16.152881163833136</v>
      </c>
      <c r="H43" s="38">
        <f>SUM(H12:H42)</f>
        <v>0</v>
      </c>
      <c r="I43" s="1904">
        <f>SUM(I12:I42)</f>
        <v>0</v>
      </c>
      <c r="O43" s="72">
        <f>SUM(O12:O42)</f>
        <v>1148418</v>
      </c>
      <c r="P43" s="72">
        <f>SUM(P12:P42)</f>
        <v>0</v>
      </c>
      <c r="Q43" s="72">
        <f>SUM(Q12:Q42)</f>
        <v>65403.149999999994</v>
      </c>
      <c r="R43" s="72">
        <f>SUM(R12:R42)</f>
        <v>65403.149999999994</v>
      </c>
      <c r="S43" s="72">
        <f>IFERROR(O43/Q43,0)</f>
        <v>17.559062522217967</v>
      </c>
      <c r="T43" s="72"/>
      <c r="U43" s="2529">
        <f>SUM(U12:U42)</f>
        <v>57686.189999999988</v>
      </c>
      <c r="V43" s="307">
        <f>SUM(V12:V42)</f>
        <v>7716.9599999999991</v>
      </c>
      <c r="W43" s="364">
        <f>SUM(W12:W42)</f>
        <v>0</v>
      </c>
      <c r="X43" s="72">
        <f>SUM(X12:X42)</f>
        <v>22255</v>
      </c>
      <c r="Y43" s="1"/>
      <c r="Z43" s="1068">
        <f t="shared" ref="Z43:AF43" si="20">SUM(Z12:Z42)</f>
        <v>0</v>
      </c>
      <c r="AA43" s="2152">
        <f t="shared" si="20"/>
        <v>61614.630000000005</v>
      </c>
      <c r="AB43" s="1068">
        <f t="shared" si="20"/>
        <v>61614.630000000005</v>
      </c>
      <c r="AC43" s="1068">
        <f t="shared" si="20"/>
        <v>0</v>
      </c>
      <c r="AD43" s="1068">
        <f t="shared" si="20"/>
        <v>0</v>
      </c>
      <c r="AE43" s="1068">
        <f t="shared" si="20"/>
        <v>27216.519999999997</v>
      </c>
      <c r="AF43" s="1068">
        <f t="shared" si="20"/>
        <v>34398.11</v>
      </c>
      <c r="AG43" s="1068">
        <f t="shared" si="16"/>
        <v>61614.63</v>
      </c>
      <c r="AH43" s="39"/>
      <c r="AI43" s="1068">
        <f>+AI42</f>
        <v>0</v>
      </c>
      <c r="AJ43" s="1068">
        <f>+AJ42</f>
        <v>0</v>
      </c>
      <c r="AK43" s="1068">
        <f>+AK42</f>
        <v>74499.269481599971</v>
      </c>
      <c r="AL43" s="1066">
        <f>AL42</f>
        <v>74499.269481599971</v>
      </c>
      <c r="AM43" s="1066"/>
      <c r="AN43" s="1066"/>
      <c r="AO43" s="1066">
        <f>SUM(AO12:AO42)</f>
        <v>0</v>
      </c>
      <c r="AP43" s="1362">
        <f>SUM(AP12:AP42)</f>
        <v>5694</v>
      </c>
      <c r="AQ43" s="1066">
        <f>SUM(AQ12:AQ42)</f>
        <v>5694</v>
      </c>
      <c r="AR43" s="1066">
        <f>+AR42</f>
        <v>0</v>
      </c>
      <c r="AS43" s="1066">
        <f>+AS42</f>
        <v>13713.36</v>
      </c>
      <c r="AT43" s="1066"/>
      <c r="AU43" s="1376">
        <f>SUM(AU11:AU42)</f>
        <v>5693.64</v>
      </c>
      <c r="AV43" s="1066"/>
      <c r="AX43" s="72">
        <f>SUM(AX12:AX42)</f>
        <v>61614.630000000005</v>
      </c>
      <c r="AY43" s="72"/>
      <c r="AZ43" s="72" cm="1">
        <f t="array" ref="AZ43">IFERROR(SUMPRODUCT((AZ12:AZ42&lt;&gt;"")*AZ12:AZ42,$AX$12:$AX$42)/SUMIFS($AX$12:$AX$42,AZ12:AZ42,"&gt;"&amp;0),0)</f>
        <v>7352.7321142968922</v>
      </c>
      <c r="BA43" s="38" cm="1">
        <f t="array" ref="BA43">IFERROR(SUMPRODUCT((BA12:BA42&lt;&gt;"")*BA12:BA42,$AX$12:$AX$42)/SUMIFS($AX$12:$AX$42,BA12:BA42,"&gt;"&amp;0),0)</f>
        <v>1.1923345749383905</v>
      </c>
      <c r="BB43" s="38" cm="1">
        <f t="array" ref="BB43">IFERROR(SUMPRODUCT((BB12:BB42&lt;&gt;"")*BB12:BB42,$AX$12:$AX$42)/SUMIFS($AX$12:$AX$42,BB12:BB42,"&gt;"&amp;0),0)</f>
        <v>3.1381217590239689</v>
      </c>
      <c r="BC43" s="38" cm="1">
        <f t="array" ref="BC43">IFERROR(SUMPRODUCT((BC12:BC42&lt;&gt;"")*BC12:BC42,$AX$12:$AX$42)/SUMIFS($AX$12:$AX$42,BC12:BC42,"&gt;"&amp;0),0)</f>
        <v>4.6610078487435542</v>
      </c>
      <c r="BD43" s="38" cm="1">
        <f t="array" ref="BD43">IFERROR(SUMPRODUCT((BD12:BD42&lt;&gt;"")*BD12:BD42,$AX$12:$AX$42)/SUMIFS($AX$12:$AX$42,BD12:BD42,"&gt;"&amp;0),0)</f>
        <v>8.9059502023283486</v>
      </c>
      <c r="BE43" s="38"/>
      <c r="BK43" s="341">
        <f>SUM(BK12:BK42)</f>
        <v>60985.37999999999</v>
      </c>
      <c r="BL43" s="72">
        <f>SUM(BL12:BL42)</f>
        <v>11</v>
      </c>
      <c r="BM43" s="72">
        <f>SUM(BM12:BM42)</f>
        <v>2</v>
      </c>
      <c r="BN43" s="72">
        <f>SUM(BN12:BN42)</f>
        <v>24</v>
      </c>
      <c r="BO43" s="72">
        <f>SUM(BO12:BO42)</f>
        <v>0</v>
      </c>
      <c r="BP43" s="38">
        <f>AVERAGE(BP12:BP42)</f>
        <v>0.37645161290322582</v>
      </c>
      <c r="BQ43" s="72">
        <f>SUM(BQ12:BQ42)</f>
        <v>0</v>
      </c>
      <c r="BR43" s="1"/>
      <c r="BS43" s="72">
        <f>+BS42</f>
        <v>14648.028234150015</v>
      </c>
      <c r="BT43" s="1"/>
      <c r="BU43" s="1"/>
      <c r="BV43" s="1"/>
      <c r="BW43" s="1"/>
      <c r="BX43" s="1"/>
      <c r="BY43" s="1"/>
      <c r="BZ43" s="1"/>
      <c r="CA43" s="1"/>
      <c r="CB43" s="1"/>
      <c r="CC43" s="1"/>
      <c r="CD43" s="1"/>
      <c r="CE43" s="1"/>
      <c r="CF43" s="72"/>
      <c r="CG43" s="72"/>
      <c r="CH43" s="72"/>
      <c r="CI43" s="72"/>
      <c r="CJ43" s="72"/>
      <c r="CK43" s="72"/>
      <c r="CO43" s="281"/>
    </row>
    <row r="44" spans="2:97">
      <c r="B44" s="307" t="s">
        <v>207</v>
      </c>
      <c r="C44" s="364">
        <f>C43</f>
        <v>1148418</v>
      </c>
      <c r="D44" s="412">
        <f>D43</f>
        <v>71096.789999999994</v>
      </c>
      <c r="E44" s="347">
        <f>IFERROR(C44/D44,0)</f>
        <v>16.152881163833136</v>
      </c>
      <c r="H44" s="307">
        <f>H43</f>
        <v>0</v>
      </c>
      <c r="I44" s="364">
        <f>I43</f>
        <v>0</v>
      </c>
      <c r="O44" s="2539">
        <v>1131250.6459999999</v>
      </c>
      <c r="P44" s="95">
        <f>P43</f>
        <v>0</v>
      </c>
      <c r="Q44" s="95">
        <f>Q43</f>
        <v>65403.149999999994</v>
      </c>
      <c r="R44" s="95">
        <f>R43</f>
        <v>65403.149999999994</v>
      </c>
      <c r="S44" s="1067">
        <f>IFERROR(O44/Q44,0)</f>
        <v>17.296577397266034</v>
      </c>
      <c r="U44" s="1068">
        <f>U43</f>
        <v>57686.189999999988</v>
      </c>
      <c r="V44" s="1068">
        <f>V43</f>
        <v>7716.9599999999991</v>
      </c>
      <c r="W44" s="1068">
        <f>W43</f>
        <v>0</v>
      </c>
      <c r="X44" s="2539">
        <v>19176.8881</v>
      </c>
      <c r="Y44" s="1"/>
      <c r="Z44" s="1068">
        <f t="shared" ref="Z44:AG44" si="21">Z43</f>
        <v>0</v>
      </c>
      <c r="AA44" s="1068">
        <f t="shared" si="21"/>
        <v>61614.630000000005</v>
      </c>
      <c r="AB44" s="1068">
        <f t="shared" si="21"/>
        <v>61614.630000000005</v>
      </c>
      <c r="AC44" s="1068">
        <f t="shared" si="21"/>
        <v>0</v>
      </c>
      <c r="AD44" s="1068">
        <f t="shared" si="21"/>
        <v>0</v>
      </c>
      <c r="AE44" s="1068">
        <f t="shared" si="21"/>
        <v>27216.519999999997</v>
      </c>
      <c r="AF44" s="1068">
        <f t="shared" si="21"/>
        <v>34398.11</v>
      </c>
      <c r="AG44" s="1068">
        <f t="shared" si="21"/>
        <v>61614.63</v>
      </c>
      <c r="AH44" s="1068"/>
      <c r="AI44" s="1068">
        <f>AI43</f>
        <v>0</v>
      </c>
      <c r="AJ44" s="1370">
        <f>AJ43</f>
        <v>0</v>
      </c>
      <c r="AK44" s="1068">
        <v>74066.048019779992</v>
      </c>
      <c r="AL44" s="1066">
        <f>AK44</f>
        <v>74066.048019779992</v>
      </c>
      <c r="AM44" s="1066"/>
      <c r="AN44" s="1066"/>
      <c r="AO44" s="1066">
        <f>AO43</f>
        <v>0</v>
      </c>
      <c r="AP44" s="1066">
        <f>AP43</f>
        <v>5694</v>
      </c>
      <c r="AQ44" s="1066">
        <f>AQ43</f>
        <v>5694</v>
      </c>
      <c r="AR44" s="1066">
        <f>AR43</f>
        <v>0</v>
      </c>
      <c r="AS44" s="1066">
        <v>3655.7888670000002</v>
      </c>
      <c r="AT44" s="1066"/>
      <c r="AU44" s="1362">
        <f>AU43</f>
        <v>5693.64</v>
      </c>
      <c r="AV44" s="1066"/>
      <c r="AX44" s="72">
        <f>+AX43</f>
        <v>61614.630000000005</v>
      </c>
      <c r="AY44" s="72"/>
      <c r="AZ44" s="72">
        <f>AZ43</f>
        <v>7352.7321142968922</v>
      </c>
      <c r="BA44" s="38">
        <f>BA43</f>
        <v>1.1923345749383905</v>
      </c>
      <c r="BB44" s="38">
        <f>BB43</f>
        <v>3.1381217590239689</v>
      </c>
      <c r="BC44" s="38">
        <f>BC43</f>
        <v>4.6610078487435542</v>
      </c>
      <c r="BD44" s="38">
        <f>BD43</f>
        <v>8.9059502023283486</v>
      </c>
      <c r="BE44" s="38"/>
      <c r="BK44" s="72">
        <f t="shared" ref="BK44:BQ44" si="22">+BK43</f>
        <v>60985.37999999999</v>
      </c>
      <c r="BL44" s="72">
        <f t="shared" si="22"/>
        <v>11</v>
      </c>
      <c r="BM44" s="72">
        <f t="shared" si="22"/>
        <v>2</v>
      </c>
      <c r="BN44" s="72">
        <f t="shared" si="22"/>
        <v>24</v>
      </c>
      <c r="BO44" s="72"/>
      <c r="BP44" s="38">
        <f t="shared" si="22"/>
        <v>0.37645161290322582</v>
      </c>
      <c r="BQ44" s="72">
        <f t="shared" si="22"/>
        <v>0</v>
      </c>
      <c r="BR44" s="1"/>
      <c r="BS44" s="364">
        <v>13528.257900129998</v>
      </c>
      <c r="BT44" s="1"/>
      <c r="BU44" s="1"/>
      <c r="BV44" s="1"/>
      <c r="BW44" s="1"/>
      <c r="BX44" s="1"/>
      <c r="BY44" s="1"/>
      <c r="BZ44" s="1"/>
      <c r="CA44" s="1"/>
      <c r="CB44" s="1"/>
      <c r="CC44" s="1"/>
      <c r="CD44" s="1"/>
      <c r="CE44" s="1"/>
      <c r="CF44" s="72"/>
      <c r="CG44" s="72"/>
      <c r="CH44" s="72"/>
      <c r="CI44" s="72"/>
      <c r="CJ44" s="72"/>
      <c r="CK44" s="72"/>
      <c r="CO44" s="281"/>
    </row>
    <row r="45" spans="2:97">
      <c r="B45" s="312" t="s">
        <v>12</v>
      </c>
      <c r="C45" s="991">
        <f>O45</f>
        <v>1185000.0000000028</v>
      </c>
      <c r="D45" s="1069">
        <f>AB45</f>
        <v>65000</v>
      </c>
      <c r="E45" s="1231"/>
      <c r="F45" s="1069"/>
      <c r="G45" s="1069"/>
      <c r="H45" s="1069"/>
      <c r="I45" s="1069"/>
      <c r="J45" s="1069"/>
      <c r="K45" s="1069"/>
      <c r="L45" s="1069"/>
      <c r="M45" s="1069"/>
      <c r="N45" s="1069"/>
      <c r="O45" s="2166">
        <v>1185000.0000000028</v>
      </c>
      <c r="P45" s="2166"/>
      <c r="Q45" s="2166"/>
      <c r="R45" s="2166">
        <v>63000</v>
      </c>
      <c r="S45" s="1070">
        <f>IFERROR(O45/Q45,0)</f>
        <v>0</v>
      </c>
      <c r="T45" s="1069"/>
      <c r="U45" s="1069"/>
      <c r="V45" s="1069"/>
      <c r="W45" s="1069"/>
      <c r="X45" s="1069"/>
      <c r="Y45" s="39"/>
      <c r="Z45" s="1071"/>
      <c r="AA45" s="1071"/>
      <c r="AB45" s="1071">
        <v>65000</v>
      </c>
      <c r="AC45" s="1071"/>
      <c r="AD45" s="1071"/>
      <c r="AE45" s="1071"/>
      <c r="AF45" s="1071"/>
      <c r="AG45" s="1071"/>
      <c r="AH45" s="1071"/>
      <c r="AI45" s="1071"/>
      <c r="AJ45" s="1071"/>
      <c r="AK45" s="1071"/>
      <c r="AL45" s="1072"/>
      <c r="AM45" s="1072"/>
      <c r="AN45" s="1072"/>
      <c r="AO45" s="1072"/>
      <c r="AP45" s="1072"/>
      <c r="AQ45" s="1072"/>
      <c r="AR45" s="1072"/>
      <c r="AS45" s="1072"/>
      <c r="AT45" s="1072"/>
      <c r="AU45" s="1072"/>
      <c r="AV45" s="1072"/>
      <c r="AW45" s="887"/>
      <c r="AX45" s="337">
        <v>65000</v>
      </c>
      <c r="AY45" s="337"/>
      <c r="AZ45" s="72">
        <v>6824.4902225997603</v>
      </c>
      <c r="BA45" s="38">
        <v>1.6046894421393501</v>
      </c>
      <c r="BB45" s="38">
        <v>2.9538162037923099</v>
      </c>
      <c r="BC45" s="38">
        <v>4.4327769749624304</v>
      </c>
      <c r="BD45" s="38">
        <v>9.2954142043572094</v>
      </c>
      <c r="BE45" s="38"/>
      <c r="BF45" s="887"/>
      <c r="BG45" s="887"/>
      <c r="BH45" s="887"/>
      <c r="BI45" s="887"/>
      <c r="BJ45" s="887"/>
      <c r="BK45" s="337">
        <v>75000</v>
      </c>
      <c r="BL45" s="308"/>
      <c r="BM45" s="308"/>
      <c r="BN45" s="308"/>
      <c r="BO45" s="308"/>
      <c r="BP45" s="308"/>
      <c r="BQ45" s="308"/>
      <c r="BR45" s="1073"/>
      <c r="BS45" s="308"/>
      <c r="BT45" s="1073"/>
      <c r="BU45" s="1073"/>
      <c r="BV45" s="1073"/>
      <c r="BW45" s="1073"/>
      <c r="BX45" s="1073"/>
      <c r="BY45" s="1073"/>
      <c r="BZ45" s="1073"/>
      <c r="CA45" s="1073"/>
      <c r="CB45" s="1073"/>
      <c r="CC45" s="1073"/>
      <c r="CD45" s="1073"/>
      <c r="CE45" s="1073"/>
      <c r="CF45" s="308"/>
      <c r="CG45" s="308"/>
      <c r="CH45" s="308"/>
      <c r="CI45" s="308"/>
      <c r="CJ45" s="308"/>
      <c r="CK45" s="308"/>
      <c r="CO45" s="1"/>
    </row>
    <row r="46" spans="2:97">
      <c r="B46" t="s">
        <v>208</v>
      </c>
      <c r="U46" s="39"/>
      <c r="V46" s="39"/>
      <c r="W46" s="39"/>
      <c r="AB46" s="1"/>
      <c r="AX46" s="110">
        <f>IFERROR(AX44/AX45,"")</f>
        <v>0.94791738461538466</v>
      </c>
      <c r="AY46" s="110"/>
      <c r="BK46" s="38">
        <f>IFERROR(BK44/BK45,"")</f>
        <v>0.81313839999999982</v>
      </c>
      <c r="BL46" s="38"/>
      <c r="BM46" s="38"/>
      <c r="BN46" s="38" t="str">
        <f t="shared" ref="BN46:BQ47" si="23">IFERROR(BN44/BN45,"")</f>
        <v/>
      </c>
      <c r="BO46" s="2151"/>
      <c r="BP46" s="38" t="str">
        <f t="shared" si="23"/>
        <v/>
      </c>
      <c r="BQ46" s="38" t="str">
        <f t="shared" si="23"/>
        <v/>
      </c>
      <c r="CF46" s="38"/>
      <c r="CG46" s="38"/>
      <c r="CH46" s="38"/>
      <c r="CI46" s="38"/>
      <c r="CJ46" s="38"/>
      <c r="CK46" s="38"/>
      <c r="CO46" s="887"/>
    </row>
    <row r="47" spans="2:97">
      <c r="R47" s="95">
        <f>R43+AU43</f>
        <v>71096.789999999994</v>
      </c>
      <c r="AX47" s="110">
        <f>IFERROR(AX45/AX46,"")</f>
        <v>68571.376635711349</v>
      </c>
      <c r="AY47" s="110"/>
      <c r="BK47" s="38">
        <f>IFERROR(BK45/BK46,"")</f>
        <v>92235.220966074179</v>
      </c>
      <c r="BL47" s="38"/>
      <c r="BM47" s="38"/>
      <c r="BN47" s="38" t="str">
        <f t="shared" si="23"/>
        <v/>
      </c>
      <c r="BO47" s="2151"/>
      <c r="BP47" s="38" t="str">
        <f t="shared" si="23"/>
        <v/>
      </c>
      <c r="BQ47" s="38" t="str">
        <f t="shared" si="23"/>
        <v/>
      </c>
      <c r="CF47" s="38"/>
      <c r="CG47" s="38"/>
      <c r="CH47" s="38"/>
      <c r="CI47" s="38"/>
      <c r="CJ47" s="38"/>
      <c r="CK47" s="38"/>
      <c r="CO47" s="281"/>
    </row>
    <row r="48" spans="2:97">
      <c r="O48" s="987"/>
      <c r="P48" s="1"/>
      <c r="BO48" s="281"/>
      <c r="CO48" s="281"/>
    </row>
    <row r="49" spans="4:93">
      <c r="D49" s="1"/>
      <c r="BO49" s="281"/>
      <c r="CO49" s="1"/>
    </row>
    <row r="50" spans="4:93">
      <c r="D50" s="1">
        <f>C45/31</f>
        <v>38225.806451612996</v>
      </c>
      <c r="S50" s="1"/>
      <c r="BO50" s="281"/>
      <c r="CO50" s="887"/>
    </row>
    <row r="51" spans="4:93">
      <c r="S51" s="1"/>
      <c r="BO51" s="281"/>
    </row>
    <row r="52" spans="4:93">
      <c r="S52" s="887"/>
      <c r="BO52" s="281"/>
    </row>
    <row r="53" spans="4:93">
      <c r="G53" s="887"/>
      <c r="H53" s="887"/>
      <c r="BO53" s="281"/>
    </row>
    <row r="54" spans="4:93">
      <c r="O54" s="887"/>
      <c r="P54" s="887"/>
      <c r="BO54" s="281"/>
    </row>
    <row r="55" spans="4:93">
      <c r="BO55" s="281"/>
    </row>
    <row r="56" spans="4:93">
      <c r="O56" s="887"/>
      <c r="P56" s="887"/>
      <c r="R56" s="887"/>
      <c r="BO56" s="281"/>
    </row>
    <row r="57" spans="4:93">
      <c r="G57" s="887"/>
      <c r="H57" s="987"/>
      <c r="O57" s="39"/>
      <c r="P57" s="39"/>
      <c r="Q57" s="39"/>
      <c r="R57" s="39"/>
      <c r="X57" s="39"/>
      <c r="Y57" s="39"/>
      <c r="Z57" s="39"/>
      <c r="AA57" s="39"/>
      <c r="AB57" s="39"/>
      <c r="AC57" s="39"/>
      <c r="AD57" s="39"/>
      <c r="AE57" s="39"/>
      <c r="AF57" s="39"/>
      <c r="AG57" s="39"/>
      <c r="AH57" s="39"/>
      <c r="AI57" s="39"/>
      <c r="AJ57" s="39"/>
      <c r="AK57" s="39"/>
      <c r="BO57" s="281"/>
    </row>
    <row r="58" spans="4:93">
      <c r="BN58" s="1"/>
      <c r="BO58" s="281"/>
    </row>
    <row r="59" spans="4:93">
      <c r="O59" s="987"/>
      <c r="P59" s="987"/>
      <c r="X59" s="987"/>
      <c r="Y59" s="987"/>
      <c r="Z59" s="987"/>
      <c r="AA59" s="987"/>
      <c r="AB59" s="987"/>
      <c r="AC59" s="987"/>
      <c r="AD59" s="987"/>
      <c r="AE59" s="987"/>
      <c r="AF59" s="987"/>
      <c r="AG59" s="987"/>
      <c r="AH59" s="987"/>
      <c r="AI59" s="987"/>
      <c r="AJ59" s="987"/>
      <c r="AK59" s="987"/>
      <c r="BO59" s="281"/>
    </row>
    <row r="60" spans="4:93">
      <c r="O60" s="987"/>
      <c r="P60" s="987"/>
      <c r="X60" s="987"/>
      <c r="Y60" s="987"/>
      <c r="Z60" s="987"/>
      <c r="AA60" s="987"/>
      <c r="AB60" s="987"/>
      <c r="AC60" s="987"/>
      <c r="AD60" s="987"/>
      <c r="AE60" s="987"/>
      <c r="AF60" s="987"/>
      <c r="AG60" s="987"/>
      <c r="AH60" s="987"/>
      <c r="AI60" s="987"/>
      <c r="AJ60" s="987"/>
      <c r="AK60" s="987"/>
      <c r="BO60" s="281"/>
    </row>
    <row r="61" spans="4:93">
      <c r="O61" s="987"/>
      <c r="P61" s="987"/>
      <c r="X61" s="987"/>
      <c r="Y61" s="987"/>
      <c r="Z61" s="987"/>
      <c r="AA61" s="987"/>
      <c r="AB61" s="987"/>
      <c r="AC61" s="987"/>
      <c r="AD61" s="987"/>
      <c r="AE61" s="987"/>
      <c r="AF61" s="987"/>
      <c r="AG61" s="987"/>
      <c r="AH61" s="987"/>
      <c r="AI61" s="987"/>
      <c r="AJ61" s="987"/>
      <c r="AK61" s="987"/>
      <c r="BO61" s="281"/>
    </row>
    <row r="62" spans="4:93">
      <c r="O62" s="987"/>
      <c r="P62" s="987"/>
      <c r="X62" s="987"/>
      <c r="Y62" s="987"/>
      <c r="Z62" s="987"/>
      <c r="AA62" s="987"/>
      <c r="AB62" s="987"/>
      <c r="AC62" s="987"/>
      <c r="AD62" s="987"/>
      <c r="AE62" s="987"/>
      <c r="AF62" s="987"/>
      <c r="AG62" s="987"/>
      <c r="AH62" s="987"/>
      <c r="AI62" s="987"/>
      <c r="AJ62" s="987"/>
      <c r="AK62" s="987"/>
      <c r="BO62" s="281"/>
    </row>
    <row r="63" spans="4:93">
      <c r="O63" s="987"/>
      <c r="P63" s="987"/>
      <c r="X63" s="987"/>
      <c r="Y63" s="987"/>
      <c r="Z63" s="987"/>
      <c r="AA63" s="987"/>
      <c r="AB63" s="987"/>
      <c r="AC63" s="987"/>
      <c r="AD63" s="987"/>
      <c r="AE63" s="987"/>
      <c r="AF63" s="987"/>
      <c r="AG63" s="987"/>
      <c r="AH63" s="987"/>
      <c r="AI63" s="987"/>
      <c r="AJ63" s="987"/>
      <c r="AK63" s="987"/>
      <c r="BO63" s="281"/>
    </row>
    <row r="64" spans="4:93">
      <c r="O64" s="987"/>
      <c r="P64" s="987"/>
      <c r="X64" s="987"/>
      <c r="Y64" s="987"/>
      <c r="Z64" s="987"/>
      <c r="AA64" s="987"/>
      <c r="AB64" s="987"/>
      <c r="AC64" s="987"/>
      <c r="AD64" s="987"/>
      <c r="AE64" s="987"/>
      <c r="AF64" s="987"/>
      <c r="AG64" s="987"/>
      <c r="AH64" s="987"/>
      <c r="AI64" s="987"/>
      <c r="AJ64" s="987"/>
      <c r="AK64" s="987"/>
      <c r="BO64" s="281"/>
    </row>
    <row r="65" spans="15:67">
      <c r="O65" s="987"/>
      <c r="P65" s="987"/>
      <c r="X65" s="987"/>
      <c r="Y65" s="987"/>
      <c r="Z65" s="987"/>
      <c r="AA65" s="987"/>
      <c r="AB65" s="987"/>
      <c r="AC65" s="987"/>
      <c r="AD65" s="987"/>
      <c r="AE65" s="987"/>
      <c r="AF65" s="987"/>
      <c r="AG65" s="987"/>
      <c r="AH65" s="987"/>
      <c r="AI65" s="987"/>
      <c r="AJ65" s="987"/>
      <c r="AK65" s="987"/>
      <c r="BO65" s="281"/>
    </row>
    <row r="66" spans="15:67">
      <c r="O66" s="987"/>
      <c r="P66" s="987"/>
      <c r="X66" s="987"/>
      <c r="Y66" s="987"/>
      <c r="Z66" s="987"/>
      <c r="AA66" s="987"/>
      <c r="AB66" s="987"/>
      <c r="AC66" s="987"/>
      <c r="AD66" s="987"/>
      <c r="AE66" s="987"/>
      <c r="AF66" s="987"/>
      <c r="AG66" s="987"/>
      <c r="AH66" s="987"/>
      <c r="AI66" s="987"/>
      <c r="AJ66" s="987"/>
      <c r="AK66" s="987"/>
      <c r="BO66" s="281"/>
    </row>
    <row r="67" spans="15:67">
      <c r="O67" s="987"/>
      <c r="P67" s="987"/>
      <c r="X67" s="987"/>
      <c r="Y67" s="987"/>
      <c r="Z67" s="987"/>
      <c r="AA67" s="987"/>
      <c r="AB67" s="987"/>
      <c r="AC67" s="987"/>
      <c r="AD67" s="987"/>
      <c r="AE67" s="987"/>
      <c r="AF67" s="987"/>
      <c r="AG67" s="987"/>
      <c r="AH67" s="987"/>
      <c r="AI67" s="987"/>
      <c r="AJ67" s="987"/>
      <c r="AK67" s="987"/>
      <c r="BO67" s="281"/>
    </row>
    <row r="68" spans="15:67" ht="14.4" hidden="1" customHeight="1">
      <c r="O68" s="987"/>
      <c r="P68" s="987"/>
      <c r="X68" s="987"/>
      <c r="Y68" s="987"/>
      <c r="Z68" s="987"/>
      <c r="AA68" s="987"/>
      <c r="AB68" s="987"/>
      <c r="AC68" s="987"/>
      <c r="AD68" s="987"/>
      <c r="AE68" s="987"/>
      <c r="AF68" s="987"/>
      <c r="AG68" s="987"/>
      <c r="AH68" s="987"/>
      <c r="AI68" s="987"/>
      <c r="AJ68" s="987"/>
      <c r="AK68" s="987"/>
      <c r="BO68" s="281">
        <v>64344</v>
      </c>
    </row>
    <row r="69" spans="15:67" hidden="1">
      <c r="O69" s="987"/>
      <c r="P69" s="987"/>
      <c r="X69" s="987"/>
      <c r="Y69" s="987"/>
      <c r="Z69" s="987"/>
      <c r="AA69" s="987"/>
      <c r="AB69" s="987"/>
      <c r="AC69" s="987"/>
      <c r="AD69" s="987"/>
      <c r="AE69" s="987"/>
      <c r="AF69" s="987"/>
      <c r="AG69" s="987"/>
      <c r="AH69" s="987"/>
      <c r="AI69" s="987"/>
      <c r="AJ69" s="987"/>
      <c r="AK69" s="987"/>
    </row>
    <row r="70" spans="15:67" hidden="1">
      <c r="O70" s="987"/>
      <c r="P70" s="987"/>
      <c r="X70" s="987"/>
      <c r="Y70" s="987"/>
      <c r="Z70" s="987"/>
      <c r="AA70" s="987"/>
      <c r="AB70" s="987"/>
      <c r="AC70" s="987"/>
      <c r="AD70" s="987"/>
      <c r="AE70" s="987"/>
      <c r="AF70" s="987"/>
      <c r="AG70" s="987"/>
      <c r="AH70" s="987"/>
      <c r="AI70" s="987"/>
      <c r="AJ70" s="987"/>
      <c r="AK70" s="987"/>
    </row>
    <row r="71" spans="15:67" hidden="1">
      <c r="O71" s="987"/>
      <c r="P71" s="987"/>
      <c r="X71" s="987"/>
      <c r="Y71" s="987"/>
      <c r="Z71" s="987"/>
      <c r="AA71" s="987"/>
      <c r="AB71" s="987"/>
      <c r="AC71" s="987"/>
      <c r="AD71" s="987"/>
      <c r="AE71" s="987"/>
      <c r="AF71" s="987"/>
      <c r="AG71" s="987"/>
      <c r="AH71" s="987"/>
      <c r="AI71" s="987"/>
      <c r="AJ71" s="987"/>
      <c r="AK71" s="987"/>
    </row>
    <row r="72" spans="15:67" hidden="1">
      <c r="O72" s="987"/>
      <c r="P72" s="987"/>
      <c r="X72" s="987"/>
      <c r="Y72" s="987"/>
      <c r="Z72" s="987"/>
      <c r="AA72" s="987"/>
      <c r="AB72" s="987"/>
      <c r="AC72" s="987"/>
      <c r="AD72" s="987"/>
      <c r="AE72" s="987"/>
      <c r="AF72" s="987"/>
      <c r="AG72" s="987"/>
      <c r="AH72" s="987"/>
      <c r="AI72" s="987"/>
      <c r="AJ72" s="987"/>
      <c r="AK72" s="987"/>
    </row>
    <row r="73" spans="15:67" hidden="1">
      <c r="O73" s="987"/>
      <c r="P73" s="987"/>
      <c r="X73" s="987"/>
      <c r="Y73" s="987"/>
      <c r="Z73" s="987"/>
      <c r="AA73" s="987"/>
      <c r="AB73" s="987"/>
      <c r="AC73" s="987"/>
      <c r="AD73" s="987"/>
      <c r="AE73" s="987"/>
      <c r="AF73" s="987"/>
      <c r="AG73" s="987"/>
      <c r="AH73" s="987"/>
      <c r="AI73" s="987"/>
      <c r="AJ73" s="987"/>
      <c r="AK73" s="987"/>
    </row>
    <row r="74" spans="15:67" hidden="1">
      <c r="O74" s="987"/>
      <c r="P74" s="987"/>
      <c r="X74" s="987"/>
      <c r="Y74" s="987"/>
      <c r="Z74" s="987"/>
      <c r="AA74" s="987"/>
      <c r="AB74" s="987"/>
      <c r="AC74" s="987"/>
      <c r="AD74" s="987"/>
      <c r="AE74" s="987"/>
      <c r="AF74" s="987"/>
      <c r="AG74" s="987"/>
      <c r="AH74" s="987"/>
      <c r="AI74" s="987"/>
      <c r="AJ74" s="987"/>
      <c r="AK74" s="987"/>
    </row>
    <row r="75" spans="15:67" hidden="1">
      <c r="O75" s="987"/>
      <c r="P75" s="987"/>
      <c r="X75" s="987"/>
      <c r="Y75" s="987"/>
      <c r="Z75" s="987"/>
      <c r="AA75" s="987"/>
      <c r="AB75" s="987"/>
      <c r="AC75" s="987"/>
      <c r="AD75" s="987"/>
      <c r="AE75" s="987"/>
      <c r="AF75" s="987"/>
      <c r="AG75" s="987"/>
      <c r="AH75" s="987"/>
      <c r="AI75" s="987"/>
      <c r="AJ75" s="987"/>
      <c r="AK75" s="987"/>
    </row>
    <row r="76" spans="15:67" hidden="1">
      <c r="O76" s="987"/>
      <c r="P76" s="987"/>
      <c r="X76" s="987"/>
      <c r="Y76" s="987"/>
      <c r="Z76" s="987"/>
      <c r="AA76" s="987"/>
      <c r="AB76" s="987"/>
      <c r="AC76" s="987"/>
      <c r="AD76" s="987"/>
      <c r="AE76" s="987"/>
      <c r="AF76" s="987"/>
      <c r="AG76" s="987"/>
      <c r="AH76" s="987"/>
      <c r="AI76" s="987"/>
      <c r="AJ76" s="987"/>
      <c r="AK76" s="987"/>
    </row>
    <row r="77" spans="15:67" hidden="1">
      <c r="O77" s="987"/>
      <c r="P77" s="987"/>
      <c r="X77" s="987"/>
      <c r="Y77" s="987"/>
      <c r="Z77" s="987"/>
      <c r="AA77" s="987"/>
      <c r="AB77" s="987"/>
      <c r="AC77" s="987"/>
      <c r="AD77" s="987"/>
      <c r="AE77" s="987"/>
      <c r="AF77" s="987"/>
      <c r="AG77" s="987"/>
      <c r="AH77" s="987"/>
      <c r="AI77" s="987"/>
      <c r="AJ77" s="987"/>
      <c r="AK77" s="987"/>
    </row>
    <row r="78" spans="15:67" hidden="1">
      <c r="O78" s="987"/>
      <c r="P78" s="987"/>
      <c r="X78" s="987"/>
      <c r="Y78" s="987"/>
      <c r="Z78" s="987"/>
      <c r="AA78" s="987"/>
      <c r="AB78" s="987"/>
      <c r="AC78" s="987"/>
      <c r="AD78" s="987"/>
      <c r="AE78" s="987"/>
      <c r="AF78" s="987"/>
      <c r="AG78" s="987"/>
      <c r="AH78" s="987"/>
      <c r="AI78" s="987"/>
      <c r="AJ78" s="987"/>
      <c r="AK78" s="987"/>
    </row>
    <row r="79" spans="15:67" hidden="1">
      <c r="O79" s="987"/>
      <c r="P79" s="987"/>
      <c r="X79" s="987"/>
      <c r="Y79" s="987"/>
      <c r="Z79" s="987"/>
      <c r="AA79" s="987"/>
      <c r="AB79" s="987"/>
      <c r="AC79" s="987"/>
      <c r="AD79" s="987"/>
      <c r="AE79" s="987"/>
      <c r="AF79" s="987"/>
      <c r="AG79" s="987"/>
      <c r="AH79" s="987"/>
      <c r="AI79" s="987"/>
      <c r="AJ79" s="987"/>
      <c r="AK79" s="987"/>
    </row>
    <row r="80" spans="15:67" hidden="1">
      <c r="O80" s="987"/>
      <c r="P80" s="987"/>
      <c r="X80" s="987"/>
      <c r="Y80" s="987"/>
      <c r="Z80" s="987"/>
      <c r="AA80" s="987"/>
      <c r="AB80" s="987"/>
      <c r="AC80" s="987"/>
      <c r="AD80" s="987"/>
      <c r="AE80" s="987"/>
      <c r="AF80" s="987"/>
      <c r="AG80" s="987"/>
      <c r="AH80" s="987"/>
      <c r="AI80" s="987"/>
      <c r="AJ80" s="987"/>
      <c r="AK80" s="987"/>
    </row>
    <row r="81" spans="15:37" hidden="1">
      <c r="O81" s="987"/>
      <c r="P81" s="987"/>
      <c r="X81" s="987"/>
      <c r="Y81" s="987"/>
      <c r="Z81" s="987"/>
      <c r="AA81" s="987"/>
      <c r="AB81" s="987"/>
      <c r="AC81" s="987"/>
      <c r="AD81" s="987"/>
      <c r="AE81" s="987"/>
      <c r="AF81" s="987"/>
      <c r="AG81" s="987"/>
      <c r="AH81" s="987"/>
      <c r="AI81" s="987"/>
      <c r="AJ81" s="987"/>
      <c r="AK81" s="987"/>
    </row>
    <row r="82" spans="15:37" hidden="1">
      <c r="O82" s="987"/>
      <c r="P82" s="987"/>
      <c r="X82" s="987"/>
      <c r="Y82" s="987"/>
      <c r="Z82" s="987"/>
      <c r="AA82" s="987"/>
      <c r="AB82" s="987"/>
      <c r="AC82" s="987"/>
      <c r="AD82" s="987"/>
      <c r="AE82" s="987"/>
      <c r="AF82" s="987"/>
      <c r="AG82" s="987"/>
      <c r="AH82" s="987"/>
      <c r="AI82" s="987"/>
      <c r="AJ82" s="987"/>
      <c r="AK82" s="987"/>
    </row>
    <row r="83" spans="15:37" hidden="1">
      <c r="O83" s="987"/>
      <c r="P83" s="987"/>
      <c r="X83" s="987"/>
      <c r="Y83" s="987"/>
      <c r="Z83" s="987"/>
      <c r="AA83" s="987"/>
      <c r="AB83" s="987"/>
      <c r="AC83" s="987"/>
      <c r="AD83" s="987"/>
      <c r="AE83" s="987"/>
      <c r="AF83" s="987"/>
      <c r="AG83" s="987"/>
      <c r="AH83" s="987"/>
      <c r="AI83" s="987"/>
      <c r="AJ83" s="987"/>
      <c r="AK83" s="987"/>
    </row>
    <row r="84" spans="15:37" hidden="1">
      <c r="O84" s="987"/>
      <c r="P84" s="987"/>
      <c r="X84" s="987"/>
      <c r="Y84" s="987"/>
      <c r="Z84" s="987"/>
      <c r="AA84" s="987"/>
      <c r="AB84" s="987"/>
      <c r="AC84" s="987"/>
      <c r="AD84" s="987"/>
      <c r="AE84" s="987"/>
      <c r="AF84" s="987"/>
      <c r="AG84" s="987"/>
      <c r="AH84" s="987"/>
      <c r="AI84" s="987"/>
      <c r="AJ84" s="987"/>
      <c r="AK84" s="987"/>
    </row>
    <row r="85" spans="15:37" hidden="1">
      <c r="O85" s="987"/>
      <c r="P85" s="987"/>
      <c r="X85" s="987"/>
      <c r="Y85" s="987"/>
      <c r="Z85" s="987"/>
      <c r="AA85" s="987"/>
      <c r="AB85" s="987"/>
      <c r="AC85" s="987"/>
      <c r="AD85" s="987"/>
      <c r="AE85" s="987"/>
      <c r="AF85" s="987"/>
      <c r="AG85" s="987"/>
      <c r="AH85" s="987"/>
      <c r="AI85" s="987"/>
      <c r="AJ85" s="987"/>
      <c r="AK85" s="987"/>
    </row>
    <row r="86" spans="15:37" hidden="1">
      <c r="O86" s="987"/>
      <c r="P86" s="987"/>
      <c r="X86" s="987"/>
      <c r="Y86" s="987"/>
      <c r="Z86" s="987"/>
      <c r="AA86" s="987"/>
      <c r="AB86" s="987"/>
      <c r="AC86" s="987"/>
      <c r="AD86" s="987"/>
      <c r="AE86" s="987"/>
      <c r="AF86" s="987"/>
      <c r="AG86" s="987"/>
      <c r="AH86" s="987"/>
      <c r="AI86" s="987"/>
      <c r="AJ86" s="987"/>
      <c r="AK86" s="987"/>
    </row>
    <row r="87" spans="15:37" hidden="1">
      <c r="O87" s="987"/>
      <c r="P87" s="987"/>
      <c r="X87" s="987"/>
      <c r="Y87" s="987"/>
      <c r="Z87" s="987"/>
      <c r="AA87" s="987"/>
      <c r="AB87" s="987"/>
      <c r="AC87" s="987"/>
      <c r="AD87" s="987"/>
      <c r="AE87" s="987"/>
      <c r="AF87" s="987"/>
      <c r="AG87" s="987"/>
      <c r="AH87" s="987"/>
      <c r="AI87" s="987"/>
      <c r="AJ87" s="987"/>
      <c r="AK87" s="987"/>
    </row>
    <row r="88" spans="15:37" hidden="1">
      <c r="O88" s="987"/>
      <c r="P88" s="987"/>
      <c r="X88" s="987"/>
      <c r="Y88" s="987"/>
      <c r="Z88" s="987"/>
      <c r="AA88" s="987"/>
      <c r="AB88" s="987"/>
      <c r="AC88" s="987"/>
      <c r="AD88" s="987"/>
      <c r="AE88" s="987"/>
      <c r="AF88" s="987"/>
      <c r="AG88" s="987"/>
      <c r="AH88" s="987"/>
      <c r="AI88" s="987"/>
      <c r="AJ88" s="987"/>
      <c r="AK88" s="987"/>
    </row>
    <row r="89" spans="15:37" hidden="1"/>
    <row r="90" spans="15:37" hidden="1"/>
    <row r="91" spans="15:37" hidden="1"/>
    <row r="92" spans="15:37" hidden="1"/>
    <row r="93" spans="15:37" hidden="1"/>
    <row r="94" spans="15:37" hidden="1"/>
    <row r="95" spans="15:37" hidden="1"/>
    <row r="96" spans="15:37" hidden="1"/>
    <row r="97" spans="2:37" hidden="1"/>
    <row r="98" spans="2:37" hidden="1"/>
    <row r="99" spans="2:37" hidden="1">
      <c r="O99" s="39">
        <v>9677.4193548387102</v>
      </c>
      <c r="P99" s="39"/>
      <c r="Q99" s="39">
        <v>347.15938203065798</v>
      </c>
      <c r="R99" s="39"/>
      <c r="X99" s="39"/>
      <c r="Y99" s="39"/>
      <c r="Z99" s="39"/>
      <c r="AA99" s="39"/>
      <c r="AB99" s="39"/>
      <c r="AC99" s="39"/>
      <c r="AD99" s="39"/>
      <c r="AE99" s="39"/>
      <c r="AF99" s="39"/>
      <c r="AG99" s="39"/>
      <c r="AH99" s="39"/>
      <c r="AI99" s="39"/>
      <c r="AJ99" s="39"/>
      <c r="AK99" s="39"/>
    </row>
    <row r="100" spans="2:37" hidden="1">
      <c r="B100">
        <v>1</v>
      </c>
      <c r="C100" t="e">
        <f>SUM(O100,#REF!,#REF!)</f>
        <v>#REF!</v>
      </c>
      <c r="D100" t="e">
        <f>SUM(Q100,#REF!,X100)</f>
        <v>#REF!</v>
      </c>
      <c r="N100">
        <v>1</v>
      </c>
      <c r="O100">
        <f>O99</f>
        <v>9677.4193548387102</v>
      </c>
    </row>
    <row r="101" spans="2:37" hidden="1">
      <c r="B101">
        <v>2</v>
      </c>
      <c r="C101" t="e">
        <f>SUM(O101,#REF!,#REF!)</f>
        <v>#REF!</v>
      </c>
      <c r="D101" t="e">
        <f>SUM(Q101,#REF!,X101)</f>
        <v>#REF!</v>
      </c>
      <c r="N101">
        <v>2</v>
      </c>
      <c r="O101">
        <f t="shared" ref="O101:O130" si="24">O100+($O$99)</f>
        <v>19354.83870967742</v>
      </c>
    </row>
    <row r="102" spans="2:37" hidden="1">
      <c r="B102">
        <v>3</v>
      </c>
      <c r="C102" t="e">
        <f>SUM(O102,#REF!,#REF!)</f>
        <v>#REF!</v>
      </c>
      <c r="D102" t="e">
        <f>SUM(Q102,#REF!,X102)</f>
        <v>#REF!</v>
      </c>
      <c r="N102">
        <v>3</v>
      </c>
      <c r="O102">
        <f t="shared" si="24"/>
        <v>29032.258064516129</v>
      </c>
    </row>
    <row r="103" spans="2:37" hidden="1">
      <c r="B103">
        <v>4</v>
      </c>
      <c r="C103" t="e">
        <f>SUM(O103,#REF!,#REF!)</f>
        <v>#REF!</v>
      </c>
      <c r="D103" t="e">
        <f>SUM(Q103,#REF!,X103)</f>
        <v>#REF!</v>
      </c>
      <c r="N103">
        <v>4</v>
      </c>
      <c r="O103">
        <f t="shared" si="24"/>
        <v>38709.677419354841</v>
      </c>
    </row>
    <row r="104" spans="2:37" hidden="1">
      <c r="B104">
        <v>5</v>
      </c>
      <c r="C104" t="e">
        <f>SUM(O104,#REF!,#REF!)</f>
        <v>#REF!</v>
      </c>
      <c r="D104" t="e">
        <f>SUM(Q104,#REF!,X104)</f>
        <v>#REF!</v>
      </c>
      <c r="N104">
        <v>5</v>
      </c>
      <c r="O104">
        <f t="shared" si="24"/>
        <v>48387.096774193553</v>
      </c>
    </row>
    <row r="105" spans="2:37" hidden="1">
      <c r="B105">
        <v>6</v>
      </c>
      <c r="C105" t="e">
        <f>SUM(O105,#REF!,#REF!)</f>
        <v>#REF!</v>
      </c>
      <c r="D105" t="e">
        <f>SUM(Q105,#REF!,X105)</f>
        <v>#REF!</v>
      </c>
      <c r="N105">
        <v>6</v>
      </c>
      <c r="O105">
        <f t="shared" si="24"/>
        <v>58064.516129032265</v>
      </c>
    </row>
    <row r="106" spans="2:37" hidden="1">
      <c r="B106">
        <v>7</v>
      </c>
      <c r="C106" t="e">
        <f>SUM(O106,#REF!,#REF!)</f>
        <v>#REF!</v>
      </c>
      <c r="D106" t="e">
        <f>SUM(Q106,#REF!,X106)</f>
        <v>#REF!</v>
      </c>
      <c r="N106">
        <v>7</v>
      </c>
      <c r="O106">
        <f t="shared" si="24"/>
        <v>67741.93548387097</v>
      </c>
    </row>
    <row r="107" spans="2:37" hidden="1">
      <c r="B107">
        <v>8</v>
      </c>
      <c r="C107" t="e">
        <f>SUM(O107,#REF!,#REF!)</f>
        <v>#REF!</v>
      </c>
      <c r="D107" t="e">
        <f>SUM(Q107,#REF!,X107)</f>
        <v>#REF!</v>
      </c>
      <c r="N107">
        <v>8</v>
      </c>
      <c r="O107">
        <f t="shared" si="24"/>
        <v>77419.354838709682</v>
      </c>
    </row>
    <row r="108" spans="2:37" hidden="1">
      <c r="B108">
        <v>9</v>
      </c>
      <c r="C108" t="e">
        <f>SUM(O108,#REF!,#REF!)</f>
        <v>#REF!</v>
      </c>
      <c r="D108" t="e">
        <f>SUM(Q108,#REF!,X108)</f>
        <v>#REF!</v>
      </c>
      <c r="N108">
        <v>9</v>
      </c>
      <c r="O108">
        <f t="shared" si="24"/>
        <v>87096.774193548394</v>
      </c>
    </row>
    <row r="109" spans="2:37" hidden="1">
      <c r="B109">
        <v>10</v>
      </c>
      <c r="C109" t="e">
        <f>SUM(O109,#REF!,#REF!)</f>
        <v>#REF!</v>
      </c>
      <c r="D109" t="e">
        <f>SUM(Q109,#REF!,X109)</f>
        <v>#REF!</v>
      </c>
      <c r="N109">
        <v>10</v>
      </c>
      <c r="O109">
        <f t="shared" si="24"/>
        <v>96774.193548387106</v>
      </c>
    </row>
    <row r="110" spans="2:37" hidden="1">
      <c r="B110">
        <v>11</v>
      </c>
      <c r="C110" t="e">
        <f>SUM(O110,#REF!,#REF!)</f>
        <v>#REF!</v>
      </c>
      <c r="D110" t="e">
        <f>SUM(Q110,#REF!,X110)</f>
        <v>#REF!</v>
      </c>
      <c r="N110">
        <v>11</v>
      </c>
      <c r="O110">
        <f t="shared" si="24"/>
        <v>106451.61290322582</v>
      </c>
    </row>
    <row r="111" spans="2:37" hidden="1">
      <c r="B111">
        <v>12</v>
      </c>
      <c r="C111" t="e">
        <f>SUM(O111,#REF!,#REF!)</f>
        <v>#REF!</v>
      </c>
      <c r="D111" t="e">
        <f>SUM(Q111,#REF!,X111)</f>
        <v>#REF!</v>
      </c>
      <c r="N111">
        <v>12</v>
      </c>
      <c r="O111">
        <f t="shared" si="24"/>
        <v>116129.03225806453</v>
      </c>
    </row>
    <row r="112" spans="2:37" hidden="1">
      <c r="B112">
        <v>13</v>
      </c>
      <c r="C112" t="e">
        <f>SUM(O112,#REF!,#REF!)</f>
        <v>#REF!</v>
      </c>
      <c r="D112" t="e">
        <f>SUM(Q112,#REF!,X112)</f>
        <v>#REF!</v>
      </c>
      <c r="N112">
        <v>13</v>
      </c>
      <c r="O112">
        <f t="shared" si="24"/>
        <v>125806.45161290324</v>
      </c>
    </row>
    <row r="113" spans="2:15" hidden="1">
      <c r="B113">
        <v>14</v>
      </c>
      <c r="C113" t="e">
        <f>SUM(O113,#REF!,#REF!)</f>
        <v>#REF!</v>
      </c>
      <c r="D113" t="e">
        <f>SUM(Q113,#REF!,X113)</f>
        <v>#REF!</v>
      </c>
      <c r="N113">
        <v>14</v>
      </c>
      <c r="O113">
        <f t="shared" si="24"/>
        <v>135483.87096774194</v>
      </c>
    </row>
    <row r="114" spans="2:15" hidden="1">
      <c r="B114">
        <v>15</v>
      </c>
      <c r="C114" t="e">
        <f>SUM(O114,#REF!,#REF!)</f>
        <v>#REF!</v>
      </c>
      <c r="D114" t="e">
        <f>SUM(Q114,#REF!,X114)</f>
        <v>#REF!</v>
      </c>
      <c r="N114">
        <v>15</v>
      </c>
      <c r="O114">
        <f t="shared" si="24"/>
        <v>145161.29032258064</v>
      </c>
    </row>
    <row r="115" spans="2:15" hidden="1">
      <c r="B115">
        <v>16</v>
      </c>
      <c r="C115" t="e">
        <f>SUM(O115,#REF!,#REF!)</f>
        <v>#REF!</v>
      </c>
      <c r="D115" t="e">
        <f>SUM(Q115,#REF!,X115)</f>
        <v>#REF!</v>
      </c>
      <c r="N115">
        <v>16</v>
      </c>
      <c r="O115">
        <f t="shared" si="24"/>
        <v>154838.70967741933</v>
      </c>
    </row>
    <row r="116" spans="2:15" hidden="1">
      <c r="B116">
        <v>17</v>
      </c>
      <c r="C116" t="e">
        <f>SUM(O116,#REF!,#REF!)</f>
        <v>#REF!</v>
      </c>
      <c r="D116" t="e">
        <f>SUM(Q116,#REF!,X116)</f>
        <v>#REF!</v>
      </c>
      <c r="N116">
        <v>17</v>
      </c>
      <c r="O116">
        <f t="shared" si="24"/>
        <v>164516.12903225803</v>
      </c>
    </row>
    <row r="117" spans="2:15" hidden="1">
      <c r="B117">
        <v>18</v>
      </c>
      <c r="C117" t="e">
        <f>SUM(O117,#REF!,#REF!)</f>
        <v>#REF!</v>
      </c>
      <c r="D117" t="e">
        <f>SUM(Q117,#REF!,X117)</f>
        <v>#REF!</v>
      </c>
      <c r="N117">
        <v>18</v>
      </c>
      <c r="O117">
        <f t="shared" si="24"/>
        <v>174193.54838709673</v>
      </c>
    </row>
    <row r="118" spans="2:15" hidden="1">
      <c r="B118">
        <v>19</v>
      </c>
      <c r="C118" t="e">
        <f>SUM(O118,#REF!,#REF!)</f>
        <v>#REF!</v>
      </c>
      <c r="D118" t="e">
        <f>SUM(Q118,#REF!,X118)</f>
        <v>#REF!</v>
      </c>
      <c r="N118">
        <v>19</v>
      </c>
      <c r="O118">
        <f t="shared" si="24"/>
        <v>183870.96774193543</v>
      </c>
    </row>
    <row r="119" spans="2:15" hidden="1">
      <c r="B119">
        <v>20</v>
      </c>
      <c r="C119" t="e">
        <f>SUM(O119,#REF!,#REF!)</f>
        <v>#REF!</v>
      </c>
      <c r="D119" t="e">
        <f>SUM(Q119,#REF!,X119)</f>
        <v>#REF!</v>
      </c>
      <c r="N119">
        <v>20</v>
      </c>
      <c r="O119">
        <f t="shared" si="24"/>
        <v>193548.38709677412</v>
      </c>
    </row>
    <row r="120" spans="2:15" hidden="1">
      <c r="B120">
        <v>21</v>
      </c>
      <c r="C120" t="e">
        <f>SUM(O120,#REF!,#REF!)</f>
        <v>#REF!</v>
      </c>
      <c r="D120" t="e">
        <f>SUM(Q120,#REF!,X120)</f>
        <v>#REF!</v>
      </c>
      <c r="N120">
        <v>21</v>
      </c>
      <c r="O120">
        <f t="shared" si="24"/>
        <v>203225.80645161282</v>
      </c>
    </row>
    <row r="121" spans="2:15" hidden="1">
      <c r="B121">
        <v>22</v>
      </c>
      <c r="C121" t="e">
        <f>SUM(O121,#REF!,#REF!)</f>
        <v>#REF!</v>
      </c>
      <c r="D121" t="e">
        <f>SUM(Q121,#REF!,X121)</f>
        <v>#REF!</v>
      </c>
      <c r="N121">
        <v>22</v>
      </c>
      <c r="O121">
        <f t="shared" si="24"/>
        <v>212903.22580645152</v>
      </c>
    </row>
    <row r="122" spans="2:15" hidden="1">
      <c r="B122">
        <v>23</v>
      </c>
      <c r="C122" t="e">
        <f>SUM(O122,#REF!,#REF!)</f>
        <v>#REF!</v>
      </c>
      <c r="D122" t="e">
        <f>SUM(Q122,#REF!,X122)</f>
        <v>#REF!</v>
      </c>
      <c r="N122">
        <v>23</v>
      </c>
      <c r="O122">
        <f t="shared" si="24"/>
        <v>222580.64516129022</v>
      </c>
    </row>
    <row r="123" spans="2:15" hidden="1">
      <c r="B123">
        <v>24</v>
      </c>
      <c r="C123" t="e">
        <f>SUM(O123,#REF!,#REF!)</f>
        <v>#REF!</v>
      </c>
      <c r="D123" t="e">
        <f>SUM(Q123,#REF!,X123)</f>
        <v>#REF!</v>
      </c>
      <c r="N123">
        <v>24</v>
      </c>
      <c r="O123">
        <f t="shared" si="24"/>
        <v>232258.06451612891</v>
      </c>
    </row>
    <row r="124" spans="2:15" hidden="1">
      <c r="B124">
        <v>25</v>
      </c>
      <c r="C124" t="e">
        <f>SUM(O124,#REF!,#REF!)</f>
        <v>#REF!</v>
      </c>
      <c r="D124" t="e">
        <f>SUM(Q124,#REF!,X124)</f>
        <v>#REF!</v>
      </c>
      <c r="N124">
        <v>25</v>
      </c>
      <c r="O124">
        <f t="shared" si="24"/>
        <v>241935.48387096761</v>
      </c>
    </row>
    <row r="125" spans="2:15" hidden="1">
      <c r="B125">
        <v>26</v>
      </c>
      <c r="C125" t="e">
        <f>SUM(O125,#REF!,#REF!)</f>
        <v>#REF!</v>
      </c>
      <c r="D125" t="e">
        <f>SUM(Q125,#REF!,X125)</f>
        <v>#REF!</v>
      </c>
      <c r="N125">
        <v>26</v>
      </c>
      <c r="O125">
        <f t="shared" si="24"/>
        <v>251612.90322580631</v>
      </c>
    </row>
    <row r="126" spans="2:15" hidden="1">
      <c r="B126">
        <v>27</v>
      </c>
      <c r="C126" t="e">
        <f>SUM(O126,#REF!,#REF!)</f>
        <v>#REF!</v>
      </c>
      <c r="D126" t="e">
        <f>SUM(Q126,#REF!,X126)</f>
        <v>#REF!</v>
      </c>
      <c r="N126">
        <v>27</v>
      </c>
      <c r="O126">
        <f t="shared" si="24"/>
        <v>261290.32258064501</v>
      </c>
    </row>
    <row r="127" spans="2:15" hidden="1">
      <c r="B127">
        <v>28</v>
      </c>
      <c r="C127" t="e">
        <f>SUM(O127,#REF!,#REF!)</f>
        <v>#REF!</v>
      </c>
      <c r="D127" t="e">
        <f>SUM(Q127,#REF!,X127)</f>
        <v>#REF!</v>
      </c>
      <c r="N127">
        <v>28</v>
      </c>
      <c r="O127">
        <f t="shared" si="24"/>
        <v>270967.7419354837</v>
      </c>
    </row>
    <row r="128" spans="2:15" hidden="1">
      <c r="B128">
        <v>29</v>
      </c>
      <c r="C128" t="e">
        <f>SUM(O128,#REF!,#REF!)</f>
        <v>#REF!</v>
      </c>
      <c r="D128" t="e">
        <f>SUM(Q128,#REF!,X128)</f>
        <v>#REF!</v>
      </c>
      <c r="N128">
        <v>29</v>
      </c>
      <c r="O128">
        <f t="shared" si="24"/>
        <v>280645.16129032243</v>
      </c>
    </row>
    <row r="129" spans="2:15" hidden="1">
      <c r="B129">
        <v>30</v>
      </c>
      <c r="C129" t="e">
        <f>SUM(O129,#REF!,#REF!)</f>
        <v>#REF!</v>
      </c>
      <c r="D129" t="e">
        <f>SUM(Q129,#REF!,X129)</f>
        <v>#REF!</v>
      </c>
      <c r="N129">
        <v>30</v>
      </c>
      <c r="O129">
        <f t="shared" si="24"/>
        <v>290322.58064516116</v>
      </c>
    </row>
    <row r="130" spans="2:15" hidden="1">
      <c r="B130">
        <v>31</v>
      </c>
      <c r="C130" t="e">
        <f>SUM(O130,#REF!,#REF!)</f>
        <v>#REF!</v>
      </c>
      <c r="D130" t="e">
        <f>SUM(Q130,#REF!,X130)</f>
        <v>#REF!</v>
      </c>
      <c r="N130">
        <v>31</v>
      </c>
      <c r="O130">
        <f t="shared" si="24"/>
        <v>299999.99999999988</v>
      </c>
    </row>
    <row r="131" spans="2:15" hidden="1"/>
    <row r="132" spans="2:15" hidden="1"/>
    <row r="133" spans="2:15" hidden="1"/>
    <row r="134" spans="2:15" hidden="1"/>
    <row r="135" spans="2:15" hidden="1"/>
    <row r="136" spans="2:15" hidden="1"/>
    <row r="137" spans="2:15" hidden="1"/>
    <row r="138" spans="2:15" hidden="1"/>
    <row r="139" spans="2:15" hidden="1"/>
    <row r="140" spans="2:15" hidden="1"/>
    <row r="141" spans="2:15" hidden="1"/>
  </sheetData>
  <mergeCells count="31">
    <mergeCell ref="BS8:BS9"/>
    <mergeCell ref="C9:M9"/>
    <mergeCell ref="O9:O11"/>
    <mergeCell ref="P9:R10"/>
    <mergeCell ref="S9:S11"/>
    <mergeCell ref="T9:T11"/>
    <mergeCell ref="X9:X11"/>
    <mergeCell ref="Z9:AB10"/>
    <mergeCell ref="AI9:AL9"/>
    <mergeCell ref="AO9:AR9"/>
    <mergeCell ref="BK8:BQ8"/>
    <mergeCell ref="BL9:BO9"/>
    <mergeCell ref="AZ10:BD10"/>
    <mergeCell ref="BP9:BP10"/>
    <mergeCell ref="BQ9:BQ10"/>
    <mergeCell ref="C10:C11"/>
    <mergeCell ref="B8:B11"/>
    <mergeCell ref="O8:T8"/>
    <mergeCell ref="Z8:AB8"/>
    <mergeCell ref="AI8:AL8"/>
    <mergeCell ref="AX8:BD8"/>
    <mergeCell ref="AX9:AX11"/>
    <mergeCell ref="AY9:AY11"/>
    <mergeCell ref="AZ9:BD9"/>
    <mergeCell ref="D10:D11"/>
    <mergeCell ref="E10:E11"/>
    <mergeCell ref="F10:G10"/>
    <mergeCell ref="H10:I10"/>
    <mergeCell ref="J10:K10"/>
    <mergeCell ref="L10:M10"/>
    <mergeCell ref="U10:W10"/>
  </mergeCells>
  <conditionalFormatting sqref="C43">
    <cfRule type="expression" dxfId="30" priority="12">
      <formula>OR(AND(C43&lt;(#REF!-(10%*#REF!)),#REF!="OB"),AND(C43&lt;(#REF!-(10%*#REF!)),#REF!="ROM"))</formula>
    </cfRule>
    <cfRule type="expression" dxfId="29" priority="13">
      <formula>$B43=DAY(TODAY()-1)</formula>
    </cfRule>
  </conditionalFormatting>
  <conditionalFormatting sqref="O12:U12 S13:T22 O13:R42 U13:U42 S23 O43:W43">
    <cfRule type="expression" dxfId="28" priority="14">
      <formula>OR(AND(O12&lt;(#REF!-(10%*#REF!)),#REF!="OB"),AND(O12&lt;(#REF!-(10%*#REF!)),#REF!="ROM"))</formula>
    </cfRule>
  </conditionalFormatting>
  <conditionalFormatting sqref="O12:U12 AX12:AY12 BQ12:BR37 BT12:CK37 AY13 S13:T22 O13:R42 U13:U42 AX13:AX42 AY15:AY18 S23 BQ39:BR42 BT39:CK43 O43:W43 BK43:BR43">
    <cfRule type="expression" dxfId="27" priority="15">
      <formula>$B12=DAY(TODAY()-1)</formula>
    </cfRule>
  </conditionalFormatting>
  <conditionalFormatting sqref="V12:W42 S24:T42">
    <cfRule type="expression" dxfId="26" priority="4">
      <formula>OR(AND(S12&lt;(#REF!-(10%*#REF!)),#REF!="OB"),AND(S12&lt;(#REF!-(10%*#REF!)),#REF!="ROM"))</formula>
    </cfRule>
    <cfRule type="expression" dxfId="25" priority="5">
      <formula>$B12=DAY(TODAY()-1)</formula>
    </cfRule>
  </conditionalFormatting>
  <conditionalFormatting sqref="X12:AK43">
    <cfRule type="expression" dxfId="24" priority="10">
      <formula>OR(AND(X12&lt;(#REF!-(10%*#REF!)),#REF!="OB"),AND(X12&lt;(#REF!-(10%*#REF!)),#REF!="ROM"))</formula>
    </cfRule>
    <cfRule type="expression" dxfId="23" priority="11">
      <formula>$B12=DAY(TODAY()-1)</formula>
    </cfRule>
  </conditionalFormatting>
  <conditionalFormatting sqref="AO1:AU100">
    <cfRule type="expression" dxfId="22" priority="2">
      <formula>OR(TEXT($A2,"dd/mm/yyyy")=TEXT(DATE(2025,4,18),"dd/mm/yyyy"), TEXT($A2,"dd/mm/yyyy")=TEXT(TODAY()-1,"dd/mm/yyyy"))</formula>
    </cfRule>
  </conditionalFormatting>
  <conditionalFormatting sqref="AO2:AU100">
    <cfRule type="expression" dxfId="21" priority="1">
      <formula>OR($B2=DAY(TODAY()-1))</formula>
    </cfRule>
  </conditionalFormatting>
  <conditionalFormatting sqref="AX43:AY43">
    <cfRule type="expression" dxfId="20" priority="8">
      <formula>$B43=DAY(TODAY()-1)</formula>
    </cfRule>
  </conditionalFormatting>
  <conditionalFormatting sqref="AY19">
    <cfRule type="expression" dxfId="19" priority="16">
      <formula>$B14=DAY(TODAY()-1)</formula>
    </cfRule>
  </conditionalFormatting>
  <conditionalFormatting sqref="AY20:AY42">
    <cfRule type="expression" dxfId="18" priority="7">
      <formula>$B20=DAY(TODAY()-1)</formula>
    </cfRule>
  </conditionalFormatting>
  <conditionalFormatting sqref="AZ12:BE43">
    <cfRule type="expression" dxfId="17" priority="6">
      <formula>$B12=DAY(TODAY()-1)</formula>
    </cfRule>
  </conditionalFormatting>
  <conditionalFormatting sqref="BK12:BP42">
    <cfRule type="expression" dxfId="16" priority="3">
      <formula>$B12=DAY(TODAY()-1)</formula>
    </cfRule>
  </conditionalFormatting>
  <conditionalFormatting sqref="BS12:BS42">
    <cfRule type="expression" dxfId="15" priority="9">
      <formula>$B12=DAY(TODAY()-1)</formula>
    </cfRule>
  </conditionalFormatting>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B2:TF141"/>
  <sheetViews>
    <sheetView showGridLines="0" zoomScale="70" zoomScaleNormal="70" workbookViewId="0">
      <pane xSplit="2" ySplit="1" topLeftCell="C5" activePane="bottomRight" state="frozen"/>
      <selection pane="topRight" activeCell="H17" sqref="H17"/>
      <selection pane="bottomLeft" activeCell="H17" sqref="H17"/>
      <selection pane="bottomRight" activeCell="A18" sqref="A18:XFD18"/>
    </sheetView>
  </sheetViews>
  <sheetFormatPr defaultColWidth="8.6640625" defaultRowHeight="14.4"/>
  <cols>
    <col min="1" max="1" width="2.33203125" customWidth="1"/>
    <col min="2" max="2" width="7.33203125" customWidth="1"/>
    <col min="3" max="3" width="15.33203125" customWidth="1"/>
    <col min="4" max="4" width="13" customWidth="1"/>
    <col min="5" max="7" width="10.44140625" customWidth="1"/>
    <col min="8" max="8" width="13.6640625" customWidth="1"/>
    <col min="9" max="9" width="10.44140625" customWidth="1"/>
    <col min="10" max="10" width="12.33203125" hidden="1" customWidth="1"/>
    <col min="11" max="11" width="8.6640625" hidden="1" customWidth="1"/>
    <col min="12" max="12" width="14.6640625" hidden="1" customWidth="1"/>
    <col min="13" max="13" width="8.6640625" hidden="1" customWidth="1"/>
    <col min="14" max="14" width="5" customWidth="1"/>
    <col min="15" max="15" width="14.6640625" customWidth="1"/>
    <col min="16" max="16" width="12.109375" customWidth="1"/>
    <col min="17" max="17" width="12.6640625" bestFit="1" customWidth="1"/>
    <col min="18" max="18" width="11.5546875" bestFit="1" customWidth="1"/>
    <col min="19" max="19" width="11.6640625" hidden="1" customWidth="1"/>
    <col min="20" max="20" width="22.33203125" hidden="1" customWidth="1"/>
    <col min="21" max="23" width="17.44140625" customWidth="1"/>
    <col min="24" max="24" width="17" customWidth="1"/>
    <col min="25" max="25" width="1.33203125" customWidth="1"/>
    <col min="26" max="26" width="11.33203125" customWidth="1"/>
    <col min="27" max="27" width="14.33203125" customWidth="1"/>
    <col min="28" max="28" width="11.33203125" customWidth="1"/>
    <col min="29" max="29" width="17.6640625" customWidth="1"/>
    <col min="30" max="33" width="11.33203125" customWidth="1"/>
    <col min="34" max="34" width="18.6640625" customWidth="1"/>
    <col min="35" max="37" width="12.33203125" customWidth="1"/>
    <col min="38" max="38" width="12.109375" customWidth="1"/>
    <col min="39" max="40" width="12.109375" hidden="1" customWidth="1"/>
    <col min="41" max="42" width="17.5546875" customWidth="1"/>
    <col min="43" max="43" width="12" customWidth="1"/>
    <col min="44" max="45" width="18.44140625" customWidth="1"/>
    <col min="46" max="46" width="18.44140625" hidden="1" customWidth="1"/>
    <col min="47" max="47" width="18.44140625" customWidth="1"/>
    <col min="48" max="48" width="12.109375" hidden="1" customWidth="1"/>
    <col min="49" max="49" width="1.33203125" customWidth="1"/>
    <col min="50" max="50" width="15" customWidth="1"/>
    <col min="51" max="51" width="15" hidden="1" customWidth="1"/>
    <col min="52" max="52" width="8" customWidth="1"/>
    <col min="53" max="57" width="8.44140625" customWidth="1"/>
    <col min="58" max="58" width="2.44140625" customWidth="1"/>
    <col min="59" max="61" width="17.88671875" hidden="1" customWidth="1"/>
    <col min="62" max="62" width="0.5546875" customWidth="1"/>
    <col min="63" max="63" width="13.88671875" customWidth="1"/>
    <col min="64" max="65" width="6.6640625" customWidth="1"/>
    <col min="66" max="66" width="8.88671875" customWidth="1"/>
    <col min="67" max="67" width="7" customWidth="1"/>
    <col min="68" max="68" width="9.33203125" customWidth="1"/>
    <col min="69" max="69" width="19.44140625" customWidth="1"/>
    <col min="70" max="70" width="2.5546875" customWidth="1"/>
    <col min="71" max="71" width="19" customWidth="1"/>
    <col min="72" max="88" width="30.5546875" hidden="1" customWidth="1"/>
    <col min="89" max="89" width="1.6640625" customWidth="1"/>
    <col min="90" max="90" width="9.33203125" customWidth="1"/>
    <col min="91" max="91" width="8.6640625" customWidth="1"/>
    <col min="92" max="92" width="14.109375" customWidth="1"/>
    <col min="93" max="93" width="19.44140625" customWidth="1"/>
    <col min="94" max="94" width="5.44140625" customWidth="1"/>
    <col min="95" max="95" width="6.6640625" customWidth="1"/>
    <col min="96" max="96" width="12.6640625" customWidth="1"/>
    <col min="97" max="97" width="20" customWidth="1"/>
    <col min="98" max="98" width="8.6640625" customWidth="1"/>
    <col min="99" max="99" width="10.33203125" customWidth="1"/>
    <col min="100" max="100" width="9.33203125" customWidth="1"/>
    <col min="101" max="102" width="8.6640625" customWidth="1"/>
    <col min="103" max="103" width="1.33203125" customWidth="1"/>
    <col min="104" max="104" width="12" customWidth="1"/>
    <col min="105" max="105" width="8.6640625" customWidth="1"/>
    <col min="106" max="106" width="3.33203125" customWidth="1"/>
    <col min="107" max="107" width="14.5546875" bestFit="1" customWidth="1"/>
    <col min="108" max="108" width="16.33203125" customWidth="1"/>
    <col min="109" max="109" width="12.33203125" customWidth="1"/>
    <col min="110" max="110" width="14.6640625" hidden="1" customWidth="1"/>
    <col min="111" max="111" width="11.44140625" hidden="1" customWidth="1"/>
    <col min="112" max="112" width="11.6640625" hidden="1" customWidth="1"/>
    <col min="113" max="113" width="14.5546875" customWidth="1"/>
    <col min="114" max="114" width="16.33203125" customWidth="1"/>
    <col min="115" max="115" width="8.6640625" customWidth="1"/>
    <col min="116" max="116" width="8.5546875" hidden="1" customWidth="1"/>
    <col min="117" max="117" width="8.6640625" hidden="1" customWidth="1"/>
    <col min="118" max="118" width="9.33203125" hidden="1" customWidth="1"/>
    <col min="119" max="120" width="8.6640625" hidden="1" customWidth="1"/>
    <col min="121" max="121" width="8.33203125" hidden="1" customWidth="1"/>
    <col min="122" max="122" width="13.6640625" customWidth="1"/>
    <col min="123" max="123" width="15.33203125" customWidth="1"/>
    <col min="124" max="124" width="9.33203125" customWidth="1"/>
    <col min="125" max="125" width="11.6640625" customWidth="1"/>
    <col min="126" max="126" width="11.33203125" customWidth="1"/>
    <col min="127" max="127" width="8.6640625" customWidth="1"/>
    <col min="128" max="128" width="17.33203125" hidden="1" customWidth="1"/>
    <col min="129" max="129" width="18.33203125" hidden="1" customWidth="1"/>
    <col min="130" max="130" width="8.6640625" hidden="1" customWidth="1"/>
    <col min="131" max="131" width="16.44140625" customWidth="1"/>
    <col min="132" max="132" width="13.5546875" customWidth="1"/>
    <col min="133" max="133" width="10.6640625" customWidth="1"/>
    <col min="134" max="134" width="14.6640625" customWidth="1"/>
    <col min="135" max="135" width="14" customWidth="1"/>
    <col min="136" max="136" width="8.6640625" customWidth="1"/>
    <col min="137" max="137" width="13.33203125" customWidth="1"/>
    <col min="138" max="138" width="12.6640625" customWidth="1"/>
    <col min="139" max="139" width="9.33203125" customWidth="1"/>
    <col min="140" max="140" width="13.5546875" hidden="1" customWidth="1"/>
    <col min="141" max="141" width="12.33203125" hidden="1" customWidth="1"/>
    <col min="142" max="142" width="9.33203125" hidden="1" customWidth="1"/>
    <col min="143" max="143" width="12.6640625" hidden="1" customWidth="1"/>
    <col min="144" max="144" width="11.33203125" hidden="1" customWidth="1"/>
    <col min="145" max="145" width="9.33203125" hidden="1" customWidth="1"/>
    <col min="146" max="146" width="13.44140625" hidden="1" customWidth="1"/>
    <col min="147" max="147" width="13" hidden="1" customWidth="1"/>
    <col min="148" max="148" width="9.33203125" hidden="1" customWidth="1"/>
    <col min="149" max="149" width="7.6640625" customWidth="1"/>
    <col min="150" max="152" width="10.6640625" customWidth="1"/>
    <col min="156" max="156" width="0" hidden="1" customWidth="1"/>
    <col min="157" max="157" width="18.33203125" customWidth="1"/>
    <col min="158" max="158" width="6.6640625" customWidth="1"/>
    <col min="160" max="160" width="11.6640625" bestFit="1" customWidth="1"/>
    <col min="162" max="162" width="11.6640625" bestFit="1" customWidth="1"/>
    <col min="164" max="164" width="11.6640625" bestFit="1" customWidth="1"/>
    <col min="166" max="166" width="11.6640625" bestFit="1" customWidth="1"/>
    <col min="168" max="168" width="11.6640625" bestFit="1" customWidth="1"/>
    <col min="170" max="170" width="11.6640625" bestFit="1" customWidth="1"/>
    <col min="171" max="171" width="13.33203125" bestFit="1" customWidth="1"/>
    <col min="172" max="172" width="7.6640625" customWidth="1"/>
    <col min="174" max="174" width="11.6640625" bestFit="1" customWidth="1"/>
    <col min="175" max="175" width="11.6640625" customWidth="1"/>
    <col min="176" max="176" width="11.6640625" bestFit="1" customWidth="1"/>
    <col min="177" max="177" width="12.5546875" bestFit="1" customWidth="1"/>
    <col min="178" max="178" width="11.6640625" bestFit="1" customWidth="1"/>
    <col min="180" max="180" width="11.6640625" bestFit="1" customWidth="1"/>
    <col min="181" max="181" width="12.6640625" bestFit="1" customWidth="1"/>
    <col min="182" max="182" width="11.6640625" bestFit="1" customWidth="1"/>
    <col min="183" max="183" width="10.6640625" bestFit="1" customWidth="1"/>
    <col min="184" max="184" width="11.6640625" bestFit="1" customWidth="1"/>
    <col min="185" max="185" width="13.6640625" bestFit="1" customWidth="1"/>
    <col min="186" max="186" width="11.33203125" customWidth="1"/>
    <col min="187" max="187" width="16.6640625" customWidth="1"/>
    <col min="188" max="188" width="9.6640625" customWidth="1"/>
    <col min="189" max="189" width="11.6640625" bestFit="1" customWidth="1"/>
    <col min="190" max="190" width="10.33203125" bestFit="1" customWidth="1"/>
    <col min="191" max="191" width="11.6640625" bestFit="1" customWidth="1"/>
    <col min="192" max="192" width="10.33203125" customWidth="1"/>
    <col min="193" max="193" width="11.6640625" bestFit="1" customWidth="1"/>
    <col min="194" max="194" width="12.33203125" customWidth="1"/>
    <col min="195" max="195" width="10.33203125" customWidth="1"/>
    <col min="196" max="196" width="9.33203125" customWidth="1"/>
    <col min="197" max="197" width="11.6640625" bestFit="1" customWidth="1"/>
    <col min="198" max="198" width="14.6640625" customWidth="1"/>
    <col min="199" max="199" width="12.6640625" bestFit="1" customWidth="1"/>
    <col min="200" max="200" width="12.33203125" hidden="1" customWidth="1"/>
    <col min="201" max="201" width="12.6640625" bestFit="1" customWidth="1"/>
    <col min="202" max="202" width="12.33203125" hidden="1" customWidth="1"/>
    <col min="203" max="203" width="12.6640625" bestFit="1" customWidth="1"/>
    <col min="204" max="204" width="12.33203125" hidden="1" customWidth="1"/>
    <col min="205" max="205" width="12.6640625" bestFit="1" customWidth="1"/>
    <col min="206" max="206" width="12.33203125" hidden="1" customWidth="1"/>
    <col min="207" max="207" width="12.6640625" bestFit="1" customWidth="1"/>
    <col min="208" max="208" width="12.33203125" hidden="1" customWidth="1"/>
    <col min="209" max="209" width="12.6640625" bestFit="1" customWidth="1"/>
    <col min="210" max="210" width="11.6640625" hidden="1" customWidth="1"/>
    <col min="211" max="211" width="12.6640625" customWidth="1"/>
    <col min="212" max="218" width="8.6640625" hidden="1" customWidth="1"/>
    <col min="219" max="219" width="1.33203125" customWidth="1"/>
    <col min="220" max="220" width="6.6640625" customWidth="1"/>
    <col min="223" max="223" width="9.33203125" bestFit="1" customWidth="1"/>
    <col min="226" max="226" width="1.33203125" customWidth="1"/>
    <col min="227" max="240" width="8.6640625" hidden="1" customWidth="1"/>
    <col min="241" max="241" width="7.33203125" bestFit="1" customWidth="1"/>
    <col min="242" max="242" width="11.6640625" bestFit="1" customWidth="1"/>
    <col min="243" max="243" width="6.6640625" bestFit="1" customWidth="1"/>
    <col min="244" max="244" width="11.6640625" bestFit="1" customWidth="1"/>
    <col min="245" max="245" width="6.6640625" bestFit="1" customWidth="1"/>
    <col min="246" max="246" width="11.6640625" bestFit="1" customWidth="1"/>
    <col min="247" max="247" width="6.6640625" bestFit="1" customWidth="1"/>
    <col min="248" max="248" width="11.6640625" bestFit="1" customWidth="1"/>
    <col min="249" max="249" width="10.33203125" bestFit="1" customWidth="1"/>
    <col min="250" max="250" width="11.6640625" bestFit="1" customWidth="1"/>
    <col min="251" max="251" width="6.6640625" bestFit="1" customWidth="1"/>
    <col min="252" max="252" width="11.6640625" bestFit="1" customWidth="1"/>
    <col min="254" max="254" width="1.33203125" customWidth="1"/>
    <col min="255" max="255" width="6.6640625" customWidth="1"/>
    <col min="256" max="256" width="13" customWidth="1"/>
    <col min="257" max="257" width="13.44140625" customWidth="1"/>
    <col min="258" max="258" width="12" customWidth="1"/>
    <col min="259" max="259" width="12.6640625" customWidth="1"/>
    <col min="260" max="260" width="10.33203125" hidden="1" customWidth="1"/>
    <col min="261" max="261" width="0" hidden="1" customWidth="1"/>
    <col min="262" max="262" width="37.44140625" customWidth="1"/>
    <col min="263" max="263" width="1.33203125" customWidth="1"/>
    <col min="264" max="264" width="13.33203125" bestFit="1" customWidth="1"/>
    <col min="265" max="265" width="12.33203125" bestFit="1" customWidth="1"/>
    <col min="266" max="266" width="13.33203125" customWidth="1"/>
    <col min="267" max="267" width="12.33203125" hidden="1" customWidth="1"/>
    <col min="268" max="268" width="12.33203125" bestFit="1" customWidth="1"/>
    <col min="269" max="269" width="1.33203125" customWidth="1"/>
    <col min="270" max="270" width="13.5546875" hidden="1" customWidth="1"/>
    <col min="271" max="271" width="12.33203125" hidden="1" customWidth="1"/>
    <col min="272" max="272" width="13.33203125" hidden="1" customWidth="1"/>
    <col min="273" max="273" width="13" hidden="1" customWidth="1"/>
    <col min="274" max="274" width="12.6640625" hidden="1" customWidth="1"/>
    <col min="275" max="275" width="14.44140625" hidden="1" customWidth="1"/>
    <col min="276" max="276" width="12" hidden="1" customWidth="1"/>
    <col min="277" max="278" width="11.6640625" hidden="1" customWidth="1"/>
    <col min="279" max="279" width="13" hidden="1" customWidth="1"/>
    <col min="280" max="280" width="10.33203125" hidden="1" customWidth="1"/>
    <col min="281" max="281" width="11.6640625" hidden="1" customWidth="1"/>
    <col min="282" max="282" width="0" hidden="1" customWidth="1"/>
    <col min="283" max="283" width="10.33203125" hidden="1" customWidth="1"/>
    <col min="284" max="284" width="10.44140625" hidden="1" customWidth="1"/>
    <col min="285" max="285" width="11.33203125" customWidth="1"/>
    <col min="286" max="286" width="11.6640625" bestFit="1" customWidth="1"/>
    <col min="287" max="287" width="10.33203125" bestFit="1" customWidth="1"/>
    <col min="288" max="288" width="11.6640625" bestFit="1" customWidth="1"/>
    <col min="289" max="289" width="12.33203125" bestFit="1" customWidth="1"/>
    <col min="290" max="290" width="11.6640625" bestFit="1" customWidth="1"/>
    <col min="291" max="291" width="10.44140625" bestFit="1" customWidth="1"/>
    <col min="292" max="292" width="11.6640625" bestFit="1" customWidth="1"/>
    <col min="293" max="293" width="12.33203125" bestFit="1" customWidth="1"/>
    <col min="294" max="294" width="11.6640625" bestFit="1" customWidth="1"/>
    <col min="295" max="295" width="12" customWidth="1"/>
    <col min="296" max="296" width="12.33203125" bestFit="1" customWidth="1"/>
    <col min="299" max="299" width="11.6640625" bestFit="1" customWidth="1"/>
    <col min="300" max="300" width="7.33203125" bestFit="1" customWidth="1"/>
    <col min="301" max="301" width="11.6640625" bestFit="1" customWidth="1"/>
    <col min="302" max="302" width="9.44140625" customWidth="1"/>
    <col min="303" max="303" width="11.6640625" bestFit="1" customWidth="1"/>
    <col min="304" max="305" width="12" bestFit="1" customWidth="1"/>
    <col min="306" max="306" width="8.5546875" customWidth="1"/>
    <col min="307" max="307" width="11.6640625" bestFit="1" customWidth="1"/>
    <col min="308" max="308" width="10.44140625" bestFit="1" customWidth="1"/>
    <col min="309" max="309" width="12" bestFit="1" customWidth="1"/>
    <col min="310" max="310" width="9.5546875" customWidth="1"/>
    <col min="311" max="311" width="11.6640625" bestFit="1" customWidth="1"/>
    <col min="314" max="314" width="13" customWidth="1"/>
    <col min="315" max="315" width="1.33203125" customWidth="1"/>
    <col min="316" max="316" width="6.6640625" customWidth="1"/>
    <col min="317" max="317" width="21.33203125" customWidth="1"/>
    <col min="318" max="318" width="16" customWidth="1"/>
    <col min="319" max="319" width="15.5546875" bestFit="1" customWidth="1"/>
    <col min="320" max="320" width="13.33203125" bestFit="1" customWidth="1"/>
    <col min="321" max="321" width="13" bestFit="1" customWidth="1"/>
    <col min="322" max="322" width="3.6640625" customWidth="1"/>
    <col min="323" max="323" width="12.5546875" bestFit="1" customWidth="1"/>
    <col min="327" max="327" width="11.5546875" customWidth="1"/>
    <col min="331" max="338" width="8.6640625" customWidth="1"/>
    <col min="345" max="345" width="8.6640625" customWidth="1"/>
    <col min="346" max="346" width="6.33203125" customWidth="1"/>
    <col min="348" max="348" width="1.33203125" customWidth="1"/>
    <col min="354" max="354" width="12.33203125" customWidth="1"/>
    <col min="355" max="358" width="8.6640625" customWidth="1"/>
    <col min="364" max="364" width="0" hidden="1" customWidth="1"/>
    <col min="365" max="365" width="1.33203125" customWidth="1"/>
    <col min="366" max="366" width="6.6640625" customWidth="1"/>
    <col min="367" max="367" width="16.33203125" customWidth="1"/>
    <col min="368" max="368" width="13.33203125" customWidth="1"/>
    <col min="369" max="369" width="25.33203125" customWidth="1"/>
    <col min="370" max="370" width="14.33203125" bestFit="1" customWidth="1"/>
    <col min="371" max="371" width="14.44140625" customWidth="1"/>
    <col min="372" max="372" width="13.44140625" bestFit="1" customWidth="1"/>
    <col min="374" max="374" width="0" hidden="1" customWidth="1"/>
    <col min="376" max="376" width="49.33203125" customWidth="1"/>
    <col min="377" max="377" width="1.33203125" customWidth="1"/>
    <col min="378" max="378" width="15.33203125" customWidth="1"/>
    <col min="379" max="379" width="10.33203125" bestFit="1" customWidth="1"/>
    <col min="380" max="380" width="13.6640625" bestFit="1" customWidth="1"/>
    <col min="381" max="381" width="9.44140625" customWidth="1"/>
    <col min="382" max="382" width="9.6640625" customWidth="1"/>
    <col min="383" max="383" width="12.33203125" customWidth="1"/>
    <col min="384" max="384" width="10.44140625" bestFit="1" customWidth="1"/>
    <col min="385" max="385" width="9" customWidth="1"/>
    <col min="386" max="386" width="13.6640625" bestFit="1" customWidth="1"/>
    <col min="387" max="387" width="12" bestFit="1" customWidth="1"/>
    <col min="388" max="388" width="13" bestFit="1" customWidth="1"/>
    <col min="389" max="389" width="9.6640625" bestFit="1" customWidth="1"/>
    <col min="390" max="390" width="9.33203125" bestFit="1" customWidth="1"/>
    <col min="391" max="391" width="12.6640625" customWidth="1"/>
    <col min="392" max="392" width="13.6640625" bestFit="1" customWidth="1"/>
    <col min="393" max="393" width="9.44140625" bestFit="1" customWidth="1"/>
    <col min="394" max="394" width="9.6640625" bestFit="1" customWidth="1"/>
    <col min="395" max="395" width="13.5546875" bestFit="1" customWidth="1"/>
    <col min="396" max="396" width="7.6640625" customWidth="1"/>
    <col min="397" max="397" width="9.33203125" customWidth="1"/>
    <col min="398" max="398" width="15.5546875" customWidth="1"/>
    <col min="399" max="399" width="9.44140625" customWidth="1"/>
    <col min="400" max="400" width="9.6640625" customWidth="1"/>
    <col min="401" max="401" width="13.5546875" customWidth="1"/>
    <col min="402" max="403" width="9.33203125" customWidth="1"/>
    <col min="404" max="404" width="15.5546875" customWidth="1"/>
    <col min="405" max="405" width="9.44140625" customWidth="1"/>
    <col min="406" max="406" width="9.6640625" customWidth="1"/>
    <col min="407" max="407" width="8.6640625" customWidth="1"/>
    <col min="408" max="408" width="1.33203125" customWidth="1"/>
    <col min="409" max="409" width="6.6640625" customWidth="1"/>
    <col min="410" max="410" width="13" customWidth="1"/>
    <col min="411" max="411" width="12.33203125" customWidth="1"/>
    <col min="413" max="413" width="12" customWidth="1"/>
    <col min="414" max="414" width="1.33203125" customWidth="1"/>
    <col min="415" max="415" width="17.33203125" customWidth="1"/>
    <col min="416" max="417" width="17.6640625" customWidth="1"/>
    <col min="418" max="418" width="15.33203125" customWidth="1"/>
    <col min="419" max="419" width="13.6640625" customWidth="1"/>
    <col min="420" max="420" width="14.44140625" customWidth="1"/>
    <col min="421" max="421" width="12.33203125" bestFit="1" customWidth="1"/>
    <col min="422" max="422" width="11.6640625" bestFit="1" customWidth="1"/>
    <col min="423" max="423" width="12" bestFit="1" customWidth="1"/>
    <col min="424" max="424" width="11.6640625" bestFit="1" customWidth="1"/>
    <col min="425" max="425" width="13.33203125" customWidth="1"/>
    <col min="426" max="426" width="13.44140625" customWidth="1"/>
    <col min="427" max="427" width="10.33203125" customWidth="1"/>
    <col min="428" max="428" width="11.6640625" bestFit="1" customWidth="1"/>
    <col min="429" max="429" width="6.6640625" bestFit="1" customWidth="1"/>
    <col min="430" max="430" width="11.6640625" bestFit="1" customWidth="1"/>
    <col min="431" max="431" width="11.5546875" bestFit="1" customWidth="1"/>
    <col min="432" max="432" width="12.33203125" customWidth="1"/>
    <col min="433" max="433" width="11.6640625" bestFit="1" customWidth="1"/>
    <col min="434" max="434" width="11.33203125" customWidth="1"/>
    <col min="435" max="435" width="11.6640625" bestFit="1" customWidth="1"/>
    <col min="436" max="436" width="10.33203125" customWidth="1"/>
    <col min="437" max="437" width="11.6640625" bestFit="1" customWidth="1"/>
    <col min="438" max="438" width="12.33203125" customWidth="1"/>
    <col min="439" max="439" width="11.6640625" bestFit="1" customWidth="1"/>
    <col min="440" max="440" width="13.44140625" customWidth="1"/>
    <col min="441" max="441" width="14.6640625" customWidth="1"/>
    <col min="442" max="442" width="11.33203125" bestFit="1" customWidth="1"/>
    <col min="443" max="443" width="12.6640625" bestFit="1" customWidth="1"/>
    <col min="444" max="444" width="12.33203125" customWidth="1"/>
    <col min="445" max="445" width="10" customWidth="1"/>
    <col min="446" max="446" width="11.6640625" bestFit="1" customWidth="1"/>
    <col min="447" max="447" width="9.6640625" customWidth="1"/>
    <col min="448" max="448" width="11.6640625" bestFit="1" customWidth="1"/>
    <col min="449" max="449" width="11" customWidth="1"/>
    <col min="450" max="450" width="11.6640625" bestFit="1" customWidth="1"/>
    <col min="451" max="451" width="9.6640625" customWidth="1"/>
    <col min="452" max="452" width="11.6640625" bestFit="1" customWidth="1"/>
    <col min="453" max="453" width="9.33203125" bestFit="1" customWidth="1"/>
    <col min="454" max="454" width="11.6640625" bestFit="1" customWidth="1"/>
    <col min="455" max="455" width="8.33203125" customWidth="1"/>
    <col min="456" max="456" width="11.6640625" bestFit="1" customWidth="1"/>
    <col min="457" max="457" width="13.6640625" customWidth="1"/>
    <col min="458" max="458" width="9.33203125" hidden="1" customWidth="1"/>
    <col min="459" max="459" width="9.5546875" hidden="1" customWidth="1"/>
    <col min="460" max="463" width="9.33203125" hidden="1" customWidth="1"/>
    <col min="464" max="464" width="9.5546875" hidden="1" customWidth="1"/>
    <col min="465" max="468" width="8.6640625" hidden="1" customWidth="1"/>
    <col min="469" max="469" width="13.44140625" hidden="1" customWidth="1"/>
    <col min="470" max="470" width="8.6640625" hidden="1" customWidth="1"/>
    <col min="471" max="471" width="9.33203125" hidden="1" customWidth="1"/>
    <col min="472" max="472" width="1.33203125" customWidth="1"/>
    <col min="473" max="473" width="6.6640625" customWidth="1"/>
    <col min="479" max="479" width="1.33203125" customWidth="1"/>
    <col min="480" max="480" width="6.6640625" customWidth="1"/>
    <col min="481" max="482" width="14" customWidth="1"/>
    <col min="484" max="485" width="12.33203125" customWidth="1"/>
    <col min="486" max="487" width="14" customWidth="1"/>
    <col min="488" max="488" width="10.6640625" customWidth="1"/>
    <col min="489" max="489" width="12" bestFit="1" customWidth="1"/>
    <col min="490" max="493" width="12" customWidth="1"/>
    <col min="494" max="494" width="12.6640625" customWidth="1"/>
    <col min="495" max="495" width="11.5546875" customWidth="1"/>
    <col min="496" max="497" width="14.33203125" customWidth="1"/>
    <col min="507" max="522" width="0" hidden="1" customWidth="1"/>
    <col min="523" max="523" width="12.33203125" hidden="1" customWidth="1"/>
    <col min="524" max="526" width="8.6640625" hidden="1" customWidth="1"/>
    <col min="527" max="527" width="8.6640625" customWidth="1"/>
  </cols>
  <sheetData>
    <row r="2" spans="2:97">
      <c r="O2" s="887"/>
      <c r="P2" s="887"/>
      <c r="Q2" s="887"/>
      <c r="R2" s="887"/>
    </row>
    <row r="4" spans="2:97">
      <c r="AS4" s="1903"/>
    </row>
    <row r="6" spans="2:97">
      <c r="G6" s="431">
        <f>+ROUND('September TIS'!H43,0)</f>
        <v>67</v>
      </c>
      <c r="AR6" s="987"/>
    </row>
    <row r="7" spans="2:97" ht="27.6" customHeight="1">
      <c r="G7" s="98">
        <f>+ROUND('September TIS'!H44,0)</f>
        <v>67</v>
      </c>
      <c r="AI7" s="1006"/>
      <c r="AJ7" s="1006"/>
      <c r="AK7" s="1006"/>
    </row>
    <row r="8" spans="2:97" ht="14.7" customHeight="1">
      <c r="B8" s="2625" t="s">
        <v>103</v>
      </c>
      <c r="C8" s="993"/>
      <c r="D8" s="993"/>
      <c r="E8" s="993"/>
      <c r="F8" s="993"/>
      <c r="G8" s="993"/>
      <c r="H8" s="993"/>
      <c r="I8" s="993"/>
      <c r="J8" s="993"/>
      <c r="K8" s="993"/>
      <c r="L8" s="993"/>
      <c r="M8" s="993"/>
      <c r="N8" s="993"/>
      <c r="O8" s="2727" t="s">
        <v>18</v>
      </c>
      <c r="P8" s="2727"/>
      <c r="Q8" s="2727"/>
      <c r="R8" s="2727"/>
      <c r="S8" s="2727"/>
      <c r="T8" s="2728"/>
      <c r="U8" s="1221"/>
      <c r="V8" s="1221"/>
      <c r="W8" s="1221"/>
      <c r="X8" s="1222"/>
      <c r="Z8" s="2729"/>
      <c r="AA8" s="2729"/>
      <c r="AB8" s="2730"/>
      <c r="AC8" s="1702"/>
      <c r="AD8" s="1702"/>
      <c r="AE8" s="1702"/>
      <c r="AF8" s="1702"/>
      <c r="AG8" s="1702"/>
      <c r="AH8" s="1702"/>
      <c r="AI8" s="2731" t="s">
        <v>126</v>
      </c>
      <c r="AJ8" s="2732"/>
      <c r="AK8" s="2732"/>
      <c r="AL8" s="2733"/>
      <c r="AM8" s="1269"/>
      <c r="AN8" s="1269"/>
      <c r="AO8" s="1269"/>
      <c r="AP8" s="1269"/>
      <c r="AQ8" s="1269"/>
      <c r="AR8" s="1269"/>
      <c r="AS8" s="1269"/>
      <c r="AT8" s="466"/>
      <c r="AU8" s="1007"/>
      <c r="AV8" s="1269"/>
      <c r="AX8" s="2734" t="s">
        <v>107</v>
      </c>
      <c r="AY8" s="2735"/>
      <c r="AZ8" s="2735"/>
      <c r="BA8" s="2735"/>
      <c r="BB8" s="2735"/>
      <c r="BC8" s="2735"/>
      <c r="BD8" s="2736"/>
      <c r="BE8" s="41"/>
      <c r="BK8" s="2753" t="s">
        <v>108</v>
      </c>
      <c r="BL8" s="2754"/>
      <c r="BM8" s="2754"/>
      <c r="BN8" s="2754"/>
      <c r="BO8" s="2754"/>
      <c r="BP8" s="2754"/>
      <c r="BQ8" s="2755"/>
      <c r="BR8" s="42"/>
      <c r="BS8" s="2671" t="s">
        <v>181</v>
      </c>
      <c r="BT8" s="42"/>
      <c r="BU8" s="42"/>
      <c r="BV8" s="42"/>
      <c r="BW8" s="42"/>
      <c r="BX8" s="42"/>
      <c r="BY8" s="42"/>
      <c r="BZ8" s="42"/>
      <c r="CA8" s="42"/>
      <c r="CB8" s="42"/>
      <c r="CC8" s="42"/>
      <c r="CD8" s="42"/>
      <c r="CE8" s="42"/>
      <c r="CF8" s="42"/>
      <c r="CG8" s="42"/>
      <c r="CH8" s="42"/>
      <c r="CI8" s="42"/>
      <c r="CJ8" s="42"/>
      <c r="CK8" s="42"/>
    </row>
    <row r="9" spans="2:97" ht="14.4" customHeight="1">
      <c r="B9" s="2626"/>
      <c r="C9" s="2624" t="s">
        <v>111</v>
      </c>
      <c r="D9" s="2628"/>
      <c r="E9" s="2628"/>
      <c r="F9" s="2628"/>
      <c r="G9" s="2628"/>
      <c r="H9" s="2628"/>
      <c r="I9" s="2628"/>
      <c r="J9" s="2628"/>
      <c r="K9" s="2628"/>
      <c r="L9" s="2628"/>
      <c r="M9" s="2628"/>
      <c r="N9" s="993"/>
      <c r="O9" s="2740" t="s">
        <v>3</v>
      </c>
      <c r="P9" s="2742"/>
      <c r="Q9" s="2742"/>
      <c r="R9" s="2740"/>
      <c r="S9" s="2671" t="s">
        <v>127</v>
      </c>
      <c r="T9" s="2671" t="s">
        <v>145</v>
      </c>
      <c r="U9" s="42"/>
      <c r="V9" s="42"/>
      <c r="W9" s="42"/>
      <c r="X9" s="2671" t="s">
        <v>375</v>
      </c>
      <c r="Y9" s="42"/>
      <c r="Z9" s="2743" t="s">
        <v>376</v>
      </c>
      <c r="AA9" s="2744"/>
      <c r="AB9" s="2745"/>
      <c r="AC9" s="1704" t="s">
        <v>112</v>
      </c>
      <c r="AD9" s="1703"/>
      <c r="AE9" s="1703"/>
      <c r="AF9" s="1703"/>
      <c r="AG9" s="1703"/>
      <c r="AH9" s="1703"/>
      <c r="AI9" s="2749" t="s">
        <v>377</v>
      </c>
      <c r="AJ9" s="2750"/>
      <c r="AK9" s="2750"/>
      <c r="AL9" s="2751"/>
      <c r="AM9" s="1270"/>
      <c r="AN9" s="1270"/>
      <c r="AO9" s="2752"/>
      <c r="AP9" s="2752"/>
      <c r="AQ9" s="2752"/>
      <c r="AR9" s="2752"/>
      <c r="AS9" s="1270"/>
      <c r="AT9" s="1007"/>
      <c r="AU9" s="1359" t="s">
        <v>378</v>
      </c>
      <c r="AV9" s="1270"/>
      <c r="AW9" s="1007"/>
      <c r="AX9" s="2632" t="s">
        <v>654</v>
      </c>
      <c r="AY9" s="2671" t="s">
        <v>1115</v>
      </c>
      <c r="AZ9" s="2624" t="s">
        <v>379</v>
      </c>
      <c r="BA9" s="2628"/>
      <c r="BB9" s="2628"/>
      <c r="BC9" s="2628"/>
      <c r="BD9" s="2631"/>
      <c r="BE9" s="41"/>
      <c r="BF9" s="1007"/>
      <c r="BG9" s="1007"/>
      <c r="BH9" s="1007"/>
      <c r="BI9" s="1007"/>
      <c r="BJ9" s="1007"/>
      <c r="BK9" s="182" t="s">
        <v>170</v>
      </c>
      <c r="BL9" s="2619" t="s">
        <v>171</v>
      </c>
      <c r="BM9" s="2673"/>
      <c r="BN9" s="2673"/>
      <c r="BO9" s="2676"/>
      <c r="BP9" s="2690" t="s">
        <v>172</v>
      </c>
      <c r="BQ9" s="2671" t="s">
        <v>145</v>
      </c>
      <c r="BR9" s="42"/>
      <c r="BS9" s="2672"/>
      <c r="BT9" s="42"/>
      <c r="BU9" s="42"/>
      <c r="BV9" s="42"/>
      <c r="BW9" s="42"/>
      <c r="BX9" s="42"/>
      <c r="BY9" s="42"/>
      <c r="BZ9" s="42"/>
      <c r="CA9" s="42"/>
      <c r="CB9" s="42"/>
      <c r="CC9" s="42"/>
      <c r="CD9" s="42"/>
      <c r="CE9" s="42"/>
      <c r="CF9" s="42"/>
      <c r="CG9" s="42"/>
      <c r="CH9" s="42"/>
      <c r="CI9" s="42"/>
      <c r="CJ9" s="42"/>
      <c r="CK9" s="42"/>
      <c r="CL9" s="1046"/>
    </row>
    <row r="10" spans="2:97" ht="34.200000000000003" customHeight="1">
      <c r="B10" s="2626"/>
      <c r="C10" s="2632" t="s">
        <v>3</v>
      </c>
      <c r="D10" s="2632" t="s">
        <v>126</v>
      </c>
      <c r="E10" s="2632" t="s">
        <v>127</v>
      </c>
      <c r="F10" s="2632" t="s">
        <v>212</v>
      </c>
      <c r="G10" s="2632"/>
      <c r="H10" s="2632" t="s">
        <v>128</v>
      </c>
      <c r="I10" s="2632"/>
      <c r="J10" s="2633"/>
      <c r="K10" s="2634"/>
      <c r="L10" s="2633"/>
      <c r="M10" s="2635"/>
      <c r="N10" s="993"/>
      <c r="O10" s="2741"/>
      <c r="P10" s="2681"/>
      <c r="Q10" s="2681"/>
      <c r="R10" s="2682"/>
      <c r="S10" s="2737"/>
      <c r="T10" s="2737"/>
      <c r="U10" s="2738" t="s">
        <v>380</v>
      </c>
      <c r="V10" s="2739"/>
      <c r="W10" s="2739"/>
      <c r="X10" s="2737"/>
      <c r="Y10" s="42"/>
      <c r="Z10" s="2746"/>
      <c r="AA10" s="2747"/>
      <c r="AB10" s="2748"/>
      <c r="AC10" s="1003" t="s">
        <v>130</v>
      </c>
      <c r="AD10" s="1003" t="s">
        <v>243</v>
      </c>
      <c r="AE10" s="1003" t="s">
        <v>244</v>
      </c>
      <c r="AF10" s="1003" t="s">
        <v>165</v>
      </c>
      <c r="AG10" s="1003" t="s">
        <v>7</v>
      </c>
      <c r="AH10" s="1003" t="s">
        <v>145</v>
      </c>
      <c r="AI10" s="1008" t="s">
        <v>147</v>
      </c>
      <c r="AJ10" s="1008" t="s">
        <v>69</v>
      </c>
      <c r="AK10" s="1008" t="s">
        <v>71</v>
      </c>
      <c r="AL10" s="1009"/>
      <c r="AM10" s="1413"/>
      <c r="AN10" s="1413"/>
      <c r="AO10" s="1308" t="s">
        <v>381</v>
      </c>
      <c r="AP10" s="1308" t="s">
        <v>382</v>
      </c>
      <c r="AQ10" s="1322" t="s">
        <v>7</v>
      </c>
      <c r="AR10" s="1308" t="s">
        <v>383</v>
      </c>
      <c r="AS10" s="1308" t="s">
        <v>384</v>
      </c>
      <c r="AT10" s="1007"/>
      <c r="AU10" s="1360" t="s">
        <v>385</v>
      </c>
      <c r="AV10" s="1413"/>
      <c r="AW10" s="1007"/>
      <c r="AX10" s="2632"/>
      <c r="AY10" s="2737"/>
      <c r="AZ10" s="2632" t="s">
        <v>1116</v>
      </c>
      <c r="BA10" s="2632"/>
      <c r="BB10" s="2632"/>
      <c r="BC10" s="2632"/>
      <c r="BD10" s="2632"/>
      <c r="BE10" s="42"/>
      <c r="BF10" s="1007"/>
      <c r="BG10" s="1007"/>
      <c r="BH10" s="1007"/>
      <c r="BI10" s="1007"/>
      <c r="BJ10" s="1007"/>
      <c r="BK10" s="184" t="s">
        <v>1116</v>
      </c>
      <c r="BL10" s="43" t="s">
        <v>198</v>
      </c>
      <c r="BM10" s="43" t="s">
        <v>199</v>
      </c>
      <c r="BN10" s="44" t="s">
        <v>200</v>
      </c>
      <c r="BO10" s="45" t="s">
        <v>201</v>
      </c>
      <c r="BP10" s="2691"/>
      <c r="BQ10" s="2672"/>
      <c r="BR10" s="42"/>
      <c r="BS10" s="181" t="s">
        <v>377</v>
      </c>
      <c r="BT10" s="42"/>
      <c r="BU10" s="42"/>
      <c r="BV10" s="42"/>
      <c r="BW10" s="42"/>
      <c r="BX10" s="42"/>
      <c r="BY10" s="42"/>
      <c r="BZ10" s="42"/>
      <c r="CA10" s="42"/>
      <c r="CB10" s="42"/>
      <c r="CC10" s="42"/>
      <c r="CD10" s="42"/>
      <c r="CE10" s="42"/>
      <c r="CF10" s="42"/>
      <c r="CG10" s="42"/>
      <c r="CH10" s="42"/>
      <c r="CI10" s="42"/>
      <c r="CJ10" s="42"/>
      <c r="CK10" s="42"/>
    </row>
    <row r="11" spans="2:97" ht="15" thickBot="1">
      <c r="B11" s="2726"/>
      <c r="C11" s="2632"/>
      <c r="D11" s="2632"/>
      <c r="E11" s="2632"/>
      <c r="F11" s="181"/>
      <c r="G11" s="181"/>
      <c r="H11" s="181" t="s">
        <v>193</v>
      </c>
      <c r="I11" s="181" t="s">
        <v>194</v>
      </c>
      <c r="J11" s="181"/>
      <c r="K11" s="181"/>
      <c r="L11" s="181"/>
      <c r="M11" s="182"/>
      <c r="N11" s="993"/>
      <c r="O11" s="2682"/>
      <c r="P11" s="1002" t="s">
        <v>69</v>
      </c>
      <c r="Q11" s="184" t="s">
        <v>71</v>
      </c>
      <c r="R11" s="184" t="s">
        <v>284</v>
      </c>
      <c r="S11" s="2672"/>
      <c r="T11" s="2672"/>
      <c r="U11" s="1411" t="s">
        <v>386</v>
      </c>
      <c r="V11" s="1010" t="s">
        <v>387</v>
      </c>
      <c r="W11" s="1010" t="s">
        <v>388</v>
      </c>
      <c r="X11" s="2672"/>
      <c r="Y11" s="42"/>
      <c r="Z11" s="888" t="s">
        <v>69</v>
      </c>
      <c r="AA11" s="184" t="s">
        <v>71</v>
      </c>
      <c r="AB11" s="184" t="s">
        <v>284</v>
      </c>
      <c r="AC11" s="184"/>
      <c r="AD11" s="184"/>
      <c r="AE11" s="184"/>
      <c r="AF11" s="184"/>
      <c r="AG11" s="184"/>
      <c r="AH11" s="184"/>
      <c r="AI11" s="1011">
        <f>'March TIS'!AI44</f>
        <v>0</v>
      </c>
      <c r="AJ11" s="1011">
        <f>'July TIS'!AJ44</f>
        <v>0</v>
      </c>
      <c r="AK11" s="1011">
        <f>'August TIS'!AK44</f>
        <v>74066.048019779992</v>
      </c>
      <c r="AL11" s="1932">
        <f t="shared" ref="AL11:AL42" si="0">SUM(AI11:AK11)</f>
        <v>74066.048019779992</v>
      </c>
      <c r="AM11" s="1007"/>
      <c r="AN11" s="1007"/>
      <c r="AO11" s="1309"/>
      <c r="AP11" s="1318"/>
      <c r="AQ11" s="1318"/>
      <c r="AR11" s="1728">
        <f>'July TIS'!AR44</f>
        <v>0</v>
      </c>
      <c r="AS11" s="1728">
        <f>'August TIS'!AS44</f>
        <v>3655.7888670000002</v>
      </c>
      <c r="AT11" s="1007"/>
      <c r="AU11" s="1476"/>
      <c r="AV11" s="1007"/>
      <c r="AW11" s="1013"/>
      <c r="AX11" s="2632"/>
      <c r="AY11" s="2672"/>
      <c r="AZ11" s="181" t="s">
        <v>61</v>
      </c>
      <c r="BA11" s="181" t="s">
        <v>62</v>
      </c>
      <c r="BB11" s="181" t="s">
        <v>63</v>
      </c>
      <c r="BC11" s="181" t="s">
        <v>196</v>
      </c>
      <c r="BD11" s="181" t="s">
        <v>197</v>
      </c>
      <c r="BE11" s="42"/>
      <c r="BF11" s="1013"/>
      <c r="BG11" s="1013"/>
      <c r="BH11" s="1013"/>
      <c r="BI11" s="1013"/>
      <c r="BJ11" s="1013"/>
      <c r="BK11" s="1395"/>
      <c r="BL11" s="17"/>
      <c r="BM11" s="18"/>
      <c r="BN11" s="1397"/>
      <c r="BO11" s="17"/>
      <c r="BP11" s="17"/>
      <c r="BQ11" s="1014"/>
      <c r="BR11" s="89"/>
      <c r="BS11" s="1228">
        <f>'August TIS'!BS44</f>
        <v>13528.257900129998</v>
      </c>
      <c r="BT11" s="89"/>
      <c r="BU11" s="89"/>
      <c r="BV11" s="89"/>
      <c r="BW11" s="89"/>
      <c r="BX11" s="89"/>
      <c r="BY11" s="89"/>
      <c r="BZ11" s="89"/>
      <c r="CA11" s="89"/>
      <c r="CB11" s="89"/>
      <c r="CC11" s="89"/>
      <c r="CD11" s="89"/>
      <c r="CE11" s="89"/>
      <c r="CF11" s="89"/>
      <c r="CG11" s="89"/>
      <c r="CH11" s="89"/>
      <c r="CI11" s="89"/>
      <c r="CJ11" s="89"/>
      <c r="CK11" s="89"/>
      <c r="CM11" s="1006"/>
      <c r="CN11" s="1015" t="s">
        <v>285</v>
      </c>
      <c r="CO11" s="1015" t="s">
        <v>293</v>
      </c>
      <c r="CQ11" s="1006"/>
      <c r="CR11" s="1015" t="s">
        <v>286</v>
      </c>
      <c r="CS11" s="1015" t="s">
        <v>293</v>
      </c>
    </row>
    <row r="12" spans="2:97">
      <c r="B12" s="988">
        <v>1</v>
      </c>
      <c r="C12" s="488">
        <f t="shared" ref="C12:C43" si="1">O12</f>
        <v>42355</v>
      </c>
      <c r="D12" s="488">
        <f>Q12+P12+AU12</f>
        <v>1844.7900000000002</v>
      </c>
      <c r="E12" s="1016">
        <f t="shared" ref="E12:E42" si="2">S12</f>
        <v>22.959252814683513</v>
      </c>
      <c r="F12" s="1017"/>
      <c r="G12" s="494"/>
      <c r="H12" s="1018"/>
      <c r="I12" s="2109"/>
      <c r="N12" s="993"/>
      <c r="O12" s="26">
        <v>42355</v>
      </c>
      <c r="P12" s="1020"/>
      <c r="Q12" s="1933">
        <f>W12+V12+U12</f>
        <v>1844.7900000000002</v>
      </c>
      <c r="R12" s="1227">
        <f t="shared" ref="R12:R42" si="3">SUM(P12:Q12)</f>
        <v>1844.7900000000002</v>
      </c>
      <c r="S12" s="27">
        <f t="shared" ref="S12:S42" si="4">IFERROR(O12/R12,0)</f>
        <v>22.959252814683513</v>
      </c>
      <c r="T12" s="33"/>
      <c r="U12" s="2023" cm="1">
        <f t="array" ref="U12">SUMPRODUCT((IFERROR(VALUE(LEFT('Data Base CW TIS'!$E$2:$E$1000,2)),0)=B12)*('Data Base CW TIS'!$B$2:$B$1000="OP1-ROM SB1 BK05")*(ISNUMBER(SEARCH("S3000",'Data Base CW TIS'!$C$2:$C$1000)))*'Data Base CW TIS'!$N$2:$N$1000)</f>
        <v>1844.7900000000002</v>
      </c>
      <c r="V12" s="2225" cm="1">
        <f t="array" ref="V12">SUMPRODUCT((IFERROR(VALUE(LEFT('Data Base CW TIS'!$E$2:$E$1000,2)),0)=B12)*('Data Base CW TIS'!$B$2:$B$1000="OP1-ROM SB1 BK05")*(ISNUMBER(SEARCH("S3100",'Data Base CW TIS'!$C$2:$C$1000)))*'Data Base CW TIS'!$N$2:$N$1000)</f>
        <v>0</v>
      </c>
      <c r="W12" s="2225" cm="1">
        <f t="array" ref="W12">SUMPRODUCT((IFERROR(VALUE(LEFT('Data Base CW TIS'!$E$2:$E$1000,2)),0)=B12)*('Data Base CW TIS'!$B$2:$B$1000="OP1-ROM SB1 BK05")*(ISNUMBER(SEARCH("S2800",'Data Base CW TIS'!$C$2:$C$1000)))*'Data Base CW TIS'!$N$2:$N$1000)</f>
        <v>0</v>
      </c>
      <c r="X12" s="1024"/>
      <c r="Y12" s="1"/>
      <c r="Z12" s="1025">
        <f>SUMPRODUCT(('DB Hauling TIS'!$C$2:$C$951="TIS-ROM SB1 BK05-ROM 5")*ISNUMBER(SEARCH(TEXT('September TIS'!$B12,"00")&amp;"/09/2026",'DB Hauling TIS'!$E$2:$E$951))*'DB Hauling TIS'!$N$2:$N$951)</f>
        <v>0</v>
      </c>
      <c r="AA12" s="2174">
        <f>SUMPRODUCT(('DB Hauling TIS'!$C$2:$C$951="TIS-ROM SB1 BK05-ROM 6")*ISNUMBER(SEARCH(TEXT('September TIS'!$B12,"00")&amp;"/09/2026",'DB Hauling TIS'!$E$2:$E$951))*'DB Hauling TIS'!$N$2:$N$951)</f>
        <v>9160.81</v>
      </c>
      <c r="AB12" s="1025">
        <f t="shared" ref="AB12:AB42" si="5">SUM(Z12:AA12)</f>
        <v>9160.81</v>
      </c>
      <c r="AC12" s="1025">
        <v>0</v>
      </c>
      <c r="AD12" s="1025">
        <v>0</v>
      </c>
      <c r="AE12" s="1025">
        <f>SUMPRODUCT((('DB Hauling TIS'!$C$2:$C$951="TIS-ROM SB1 BK05-ROM 5")+('DB Hauling TIS'!$C$2:$C$951="TIS-ROM SB1 BK05-ROM 6"))*('DB Hauling TIS'!$H$2:$H$951="MPE")*ISNUMBER(SEARCH(TEXT('September TIS'!$B12,"00")&amp;"/09/2026",'DB Hauling TIS'!$E$2:$E$951))*'DB Hauling TIS'!$N$2:$N$951)</f>
        <v>4428.1400000000003</v>
      </c>
      <c r="AF12" s="1025">
        <f>SUMPRODUCT((('DB Hauling TIS'!$C$2:$C$951="TIS-ROM SB1 BK05-ROM 5")+('DB Hauling TIS'!$C$2:$C$951="TIS-ROM SB1 BK05-ROM 6"))*('DB Hauling TIS'!$H$2:$H$951="RP")*ISNUMBER(SEARCH(TEXT('September TIS'!$B12,"00")&amp;"/09/2026",'DB Hauling TIS'!$E$2:$E$951))*'DB Hauling TIS'!$N$2:$N$951)</f>
        <v>4732.67</v>
      </c>
      <c r="AG12" s="1025">
        <f t="shared" ref="AG12:AG15" si="6">SUM(AC12:AF12)</f>
        <v>9160.8100000000013</v>
      </c>
      <c r="AH12" s="1025"/>
      <c r="AI12" s="1026"/>
      <c r="AJ12" s="1026">
        <f t="shared" ref="AJ12:AJ42" si="7">AJ11+P12-Z12</f>
        <v>0</v>
      </c>
      <c r="AK12" s="1026">
        <f t="shared" ref="AK12:AK42" si="8">AK11+Q12+AU12-AA12</f>
        <v>66750.028019779988</v>
      </c>
      <c r="AL12" s="1027">
        <f t="shared" si="0"/>
        <v>66750.028019779988</v>
      </c>
      <c r="AM12" s="1414"/>
      <c r="AN12" s="1414"/>
      <c r="AO12" s="1310"/>
      <c r="AP12" s="1310"/>
      <c r="AQ12" s="1934">
        <f>AO12+AP12</f>
        <v>0</v>
      </c>
      <c r="AR12" s="1729">
        <f t="shared" ref="AR12:AS27" si="9">AR11+AO12-AT12</f>
        <v>0</v>
      </c>
      <c r="AS12" s="1729">
        <f t="shared" si="9"/>
        <v>3655.7888670000002</v>
      </c>
      <c r="AT12" s="1007"/>
      <c r="AU12" s="2500">
        <f>SUMPRODUCT((IFERROR(VALUE(LEFT('Data Base CW TIS'!$E$2:$E$1000,2)),0)=B12)*('Data Base CW TIS'!$B$2:$B$1000="ROM TEMPORARY-ROM SB1 BK05")*('Data Base CW TIS'!$C$2:$C$1000="TIS-ROM TEMPORARY-ROM 6 (TIS)")*'Data Base CW TIS'!$N$2:$N$1000)</f>
        <v>0</v>
      </c>
      <c r="AV12" s="1414"/>
      <c r="AW12" s="987"/>
      <c r="AX12" s="1028">
        <f>AB12</f>
        <v>9160.81</v>
      </c>
      <c r="AY12" s="171"/>
      <c r="AZ12" s="2">
        <f>IFERROR(SUMPRODUCT((TIS.HCV.MS!$A$3:$A$92=DATE(2026,9,$B12))*(TIS.HCV.MS!$O$3:$O$92&gt;0)*TIS.HCV.MS!$C$3:$C$92*TIS.HCV.MS!$O$3:$O$92)/SUMPRODUCT((TIS.HCV.MS!$A$3:$A$92=DATE(2026,9,$B12))*(TIS.HCV.MS!$O$3:$O$92&gt;0)*TIS.HCV.MS!$C$3:$C$92),0)</f>
        <v>7438.9289617486338</v>
      </c>
      <c r="BA12" s="2110">
        <f>IFERROR(SUMPRODUCT((TIS.HCV.MS!$A$3:$A$92=DATE(2026,9,$B12))*(TIS.HCV.MS!$M$3:$M$92&gt;0)*TIS.HCV.MS!$C$3:$C$92*TIS.HCV.MS!$M$3:$M$92)/SUMPRODUCT((TIS.HCV.MS!$A$3:$A$92=DATE(2026,9,$B12))*(TIS.HCV.MS!$M$3:$M$92&gt;0)*TIS.HCV.MS!$C$3:$C$92),0)</f>
        <v>1.3445355191256831</v>
      </c>
      <c r="BB12" s="2110">
        <f>IFERROR(SUMPRODUCT((TIS.HCV.MS!$A$3:$A$92=DATE(2026,9,$B12))*(TIS.HCV.MS!$G$3:$G$92&gt;0)*TIS.HCV.MS!$C$3:$C$92*TIS.HCV.MS!$G$3:$G$92)/SUMPRODUCT((TIS.HCV.MS!$A$3:$A$92=DATE(2026,9,$B12))*(TIS.HCV.MS!$G$3:$G$92&gt;0)*TIS.HCV.MS!$C$3:$C$92),0)</f>
        <v>2.4873224043715849</v>
      </c>
      <c r="BC12" s="2110">
        <f>IFERROR(SUMPRODUCT((TIS.HCV.MS!$A$3:$A$92=DATE(2026,9,$B12))*(TIS.HCV.MS!$F$3:$F$92&gt;0)*TIS.HCV.MS!$C$3:$C$92*TIS.HCV.MS!$F$3:$F$92)/SUMPRODUCT((TIS.HCV.MS!$A$3:$A$92=DATE(2026,9,$B12))*(TIS.HCV.MS!$F$3:$F$92&gt;0)*TIS.HCV.MS!$C$3:$C$92),0)</f>
        <v>4.178251366120219</v>
      </c>
      <c r="BD12" s="2111">
        <f>IFERROR(SUMPRODUCT((TIS.HCV.MS!$A$3:$A$92=DATE(2026,9,$B12))*(TIS.HCV.MS!$E$3:$E$92&gt;0)*TIS.HCV.MS!$C$3:$C$92*TIS.HCV.MS!$E$3:$E$92)/SUMPRODUCT((TIS.HCV.MS!$A$3:$A$92=DATE(2026,9,$B12))*(TIS.HCV.MS!$E$3:$E$92&gt;0)*TIS.HCV.MS!$C$3:$C$92),0)</f>
        <v>5.8786440655737708</v>
      </c>
      <c r="BF12" s="987"/>
      <c r="BG12" s="987"/>
      <c r="BH12" s="987"/>
      <c r="BI12" s="987"/>
      <c r="BJ12" s="987"/>
      <c r="BK12" s="1028"/>
      <c r="BL12" s="1028"/>
      <c r="BM12" s="1028"/>
      <c r="BN12" s="1028"/>
      <c r="BO12" s="1028">
        <v>2</v>
      </c>
      <c r="BP12" s="2533">
        <f>'September TCM'!LP10</f>
        <v>0.7</v>
      </c>
      <c r="BQ12" s="1031"/>
      <c r="BR12" s="1"/>
      <c r="BS12" s="1228">
        <f t="shared" ref="BS12:BS42" si="10">+BS11+AB12-BK12</f>
        <v>22689.067900129998</v>
      </c>
      <c r="BT12" s="1"/>
      <c r="BU12" s="1"/>
      <c r="BV12" s="1"/>
      <c r="BW12" s="1"/>
      <c r="BX12" s="1"/>
      <c r="BY12" s="1"/>
      <c r="BZ12" s="1"/>
      <c r="CA12" s="1"/>
      <c r="CB12" s="1"/>
      <c r="CC12" s="1"/>
      <c r="CD12" s="1"/>
      <c r="CE12" s="1"/>
      <c r="CF12" s="1"/>
      <c r="CG12" s="1"/>
      <c r="CH12" s="1"/>
      <c r="CI12" s="1"/>
      <c r="CJ12" s="1"/>
      <c r="CK12" s="1"/>
      <c r="CM12" s="1033">
        <v>1</v>
      </c>
      <c r="CN12" s="1">
        <f t="shared" ref="CN12:CN42" si="11">D12</f>
        <v>1844.7900000000002</v>
      </c>
      <c r="CO12" s="2534">
        <v>2609010050</v>
      </c>
      <c r="CP12" s="2534"/>
      <c r="CQ12" s="412">
        <v>1</v>
      </c>
      <c r="CR12" s="1">
        <f t="shared" ref="CR12:CR42" si="12">AB12</f>
        <v>9160.81</v>
      </c>
      <c r="CS12" s="2494">
        <v>2609010073</v>
      </c>
    </row>
    <row r="13" spans="2:97">
      <c r="B13" s="989">
        <v>2</v>
      </c>
      <c r="C13" s="5">
        <f t="shared" si="1"/>
        <v>38240</v>
      </c>
      <c r="D13" s="488">
        <f t="shared" ref="D13:D15" si="13">Q13+P13+AU13</f>
        <v>2312.7799999999997</v>
      </c>
      <c r="E13" s="15">
        <f t="shared" si="2"/>
        <v>16.534214235681734</v>
      </c>
      <c r="F13" s="363"/>
      <c r="G13" s="64"/>
      <c r="H13" s="1034"/>
      <c r="I13" s="1035"/>
      <c r="N13" s="993"/>
      <c r="O13" s="26">
        <v>38240</v>
      </c>
      <c r="P13" s="1036"/>
      <c r="Q13" s="277">
        <f t="shared" ref="Q13:Q15" si="14">W13+V13+U13</f>
        <v>2312.7799999999997</v>
      </c>
      <c r="R13" s="1227">
        <f t="shared" si="3"/>
        <v>2312.7799999999997</v>
      </c>
      <c r="S13" s="27">
        <f t="shared" si="4"/>
        <v>16.534214235681734</v>
      </c>
      <c r="T13" s="33"/>
      <c r="U13" s="2226" cm="1">
        <f t="array" ref="U13">SUMPRODUCT((IFERROR(VALUE(LEFT('Data Base CW TIS'!$E$2:$E$1000,2)),0)=B13)*('Data Base CW TIS'!$B$2:$B$1000="OP1-ROM SB1 BK05")*(ISNUMBER(SEARCH("S3000",'Data Base CW TIS'!$C$2:$C$1000)))*'Data Base CW TIS'!$N$2:$N$1000)</f>
        <v>2312.7799999999997</v>
      </c>
      <c r="V13" s="2227" cm="1">
        <f t="array" ref="V13">SUMPRODUCT((IFERROR(VALUE(LEFT('Data Base CW TIS'!$E$2:$E$1000,2)),0)=B13)*('Data Base CW TIS'!$B$2:$B$1000="OP1-ROM SB1 BK05")*(ISNUMBER(SEARCH("S3100",'Data Base CW TIS'!$C$2:$C$1000)))*'Data Base CW TIS'!$N$2:$N$1000)</f>
        <v>0</v>
      </c>
      <c r="W13" s="2227" cm="1">
        <f t="array" ref="W13">SUMPRODUCT((IFERROR(VALUE(LEFT('Data Base CW TIS'!$E$2:$E$1000,2)),0)=B13)*('Data Base CW TIS'!$B$2:$B$1000="OP1-ROM SB1 BK05")*(ISNUMBER(SEARCH("S2800",'Data Base CW TIS'!$C$2:$C$1000)))*'Data Base CW TIS'!$N$2:$N$1000)</f>
        <v>0</v>
      </c>
      <c r="X13" s="1038"/>
      <c r="Y13" s="1"/>
      <c r="Z13" s="1025">
        <f>SUMPRODUCT(('DB Hauling TIS'!$C$2:$C$951="TIS-ROM SB1 BK05-ROM 5")*ISNUMBER(SEARCH(TEXT('September TIS'!$B13,"00")&amp;"/09/2026",'DB Hauling TIS'!$E$2:$E$951))*'DB Hauling TIS'!$N$2:$N$951)</f>
        <v>0</v>
      </c>
      <c r="AA13" s="2174">
        <f>SUMPRODUCT(('DB Hauling TIS'!$C$2:$C$951="TIS-ROM SB1 BK05-ROM 6")*ISNUMBER(SEARCH(TEXT('September TIS'!$B13,"00")&amp;"/09/2026",'DB Hauling TIS'!$E$2:$E$951))*'DB Hauling TIS'!$N$2:$N$951)</f>
        <v>12566.169999999998</v>
      </c>
      <c r="AB13" s="1025">
        <f t="shared" si="5"/>
        <v>12566.169999999998</v>
      </c>
      <c r="AC13" s="1025">
        <v>0</v>
      </c>
      <c r="AD13" s="1025">
        <v>0</v>
      </c>
      <c r="AE13" s="1025">
        <f>SUMPRODUCT((('DB Hauling TIS'!$C$2:$C$951="TIS-ROM SB1 BK05-ROM 5")+('DB Hauling TIS'!$C$2:$C$951="TIS-ROM SB1 BK05-ROM 6"))*('DB Hauling TIS'!$H$2:$H$951="MPE")*ISNUMBER(SEARCH(TEXT('September TIS'!$B13,"00")&amp;"/09/2026",'DB Hauling TIS'!$E$2:$E$951))*'DB Hauling TIS'!$N$2:$N$951)</f>
        <v>5303.73</v>
      </c>
      <c r="AF13" s="1025">
        <f>SUMPRODUCT((('DB Hauling TIS'!$C$2:$C$951="TIS-ROM SB1 BK05-ROM 5")+('DB Hauling TIS'!$C$2:$C$951="TIS-ROM SB1 BK05-ROM 6"))*('DB Hauling TIS'!$H$2:$H$951="RP")*ISNUMBER(SEARCH(TEXT('September TIS'!$B13,"00")&amp;"/09/2026",'DB Hauling TIS'!$E$2:$E$951))*'DB Hauling TIS'!$N$2:$N$951)</f>
        <v>7262.44</v>
      </c>
      <c r="AG13" s="1025">
        <f t="shared" si="6"/>
        <v>12566.169999999998</v>
      </c>
      <c r="AH13" s="1025"/>
      <c r="AI13" s="1039"/>
      <c r="AJ13" s="1026">
        <f t="shared" si="7"/>
        <v>0</v>
      </c>
      <c r="AK13" s="1026">
        <f t="shared" si="8"/>
        <v>56496.638019779988</v>
      </c>
      <c r="AL13" s="1040">
        <f t="shared" si="0"/>
        <v>56496.638019779988</v>
      </c>
      <c r="AM13" s="1414"/>
      <c r="AN13" s="1414"/>
      <c r="AO13" s="1310"/>
      <c r="AP13" s="1310"/>
      <c r="AQ13" s="1934">
        <f t="shared" ref="AQ13:AQ42" si="15">AO13+AP13</f>
        <v>0</v>
      </c>
      <c r="AR13" s="1729">
        <f t="shared" si="9"/>
        <v>0</v>
      </c>
      <c r="AS13" s="1729">
        <f t="shared" si="9"/>
        <v>3655.7888670000002</v>
      </c>
      <c r="AT13" s="1007"/>
      <c r="AU13" s="2500" cm="1">
        <f t="array" ref="AU13">SUMPRODUCT((IFERROR(VALUE(LEFT('Data Base CW TIS'!$E$2:$E$1000,2)),0)=B13)*('Data Base CW TIS'!$B$2:$B$1000="ROM TEMPORARY-ROM SB1 BK05")*('Data Base CW TIS'!$C$2:$C$1000="TIS-ROM TEMPORARY-ROM 6 (TIS)")*'Data Base CW TIS'!$N$2:$N$1000)</f>
        <v>0</v>
      </c>
      <c r="AV13" s="1414"/>
      <c r="AW13" s="987"/>
      <c r="AX13" s="310">
        <f t="shared" ref="AX13:AX42" si="16">AB13</f>
        <v>12566.169999999998</v>
      </c>
      <c r="AY13" s="998"/>
      <c r="AZ13" s="2">
        <f>IFERROR(SUMPRODUCT((TIS.HCV.MS!$A$3:$A$92=DATE(2026,9,$B13))*(TIS.HCV.MS!$O$3:$O$92&gt;0)*TIS.HCV.MS!$C$3:$C$92*TIS.HCV.MS!$O$3:$O$92)/SUMPRODUCT((TIS.HCV.MS!$A$3:$A$92=DATE(2026,9,$B13))*(TIS.HCV.MS!$O$3:$O$92&gt;0)*TIS.HCV.MS!$C$3:$C$92),0)</f>
        <v>7147.6727923999379</v>
      </c>
      <c r="BA13" s="2110">
        <f>IFERROR(SUMPRODUCT((TIS.HCV.MS!$A$3:$A$92=DATE(2026,9,$B13))*(TIS.HCV.MS!$M$3:$M$92&gt;0)*TIS.HCV.MS!$C$3:$C$92*TIS.HCV.MS!$M$3:$M$92)/SUMPRODUCT((TIS.HCV.MS!$A$3:$A$92=DATE(2026,9,$B13))*(TIS.HCV.MS!$M$3:$M$92&gt;0)*TIS.HCV.MS!$C$3:$C$92),0)</f>
        <v>1.3251440585578571</v>
      </c>
      <c r="BB13" s="2110">
        <f>IFERROR(SUMPRODUCT((TIS.HCV.MS!$A$3:$A$92=DATE(2026,9,$B13))*(TIS.HCV.MS!$G$3:$G$92&gt;0)*TIS.HCV.MS!$C$3:$C$92*TIS.HCV.MS!$G$3:$G$92)/SUMPRODUCT((TIS.HCV.MS!$A$3:$A$92=DATE(2026,9,$B13))*(TIS.HCV.MS!$G$3:$G$92&gt;0)*TIS.HCV.MS!$C$3:$C$92),0)</f>
        <v>3.7331848621710013</v>
      </c>
      <c r="BC13" s="2110">
        <f>IFERROR(SUMPRODUCT((TIS.HCV.MS!$A$3:$A$92=DATE(2026,9,$B13))*(TIS.HCV.MS!$F$3:$F$92&gt;0)*TIS.HCV.MS!$C$3:$C$92*TIS.HCV.MS!$F$3:$F$92)/SUMPRODUCT((TIS.HCV.MS!$A$3:$A$92=DATE(2026,9,$B13))*(TIS.HCV.MS!$F$3:$F$92&gt;0)*TIS.HCV.MS!$C$3:$C$92),0)</f>
        <v>5.0499797539324094</v>
      </c>
      <c r="BD13" s="2111">
        <f>IFERROR(SUMPRODUCT((TIS.HCV.MS!$A$3:$A$92=DATE(2026,9,$B13))*(TIS.HCV.MS!$E$3:$E$92&gt;0)*TIS.HCV.MS!$C$3:$C$92*TIS.HCV.MS!$E$3:$E$92)/SUMPRODUCT((TIS.HCV.MS!$A$3:$A$92=DATE(2026,9,$B13))*(TIS.HCV.MS!$E$3:$E$92&gt;0)*TIS.HCV.MS!$C$3:$C$92),0)</f>
        <v>8.8306404753153718</v>
      </c>
      <c r="BF13" s="987"/>
      <c r="BG13" s="987"/>
      <c r="BH13" s="987"/>
      <c r="BI13" s="987"/>
      <c r="BJ13" s="987"/>
      <c r="BK13" s="310"/>
      <c r="BL13" s="310"/>
      <c r="BM13" s="310"/>
      <c r="BN13" s="310"/>
      <c r="BO13" s="310"/>
      <c r="BP13" s="2533">
        <f>'September TCM'!LP11</f>
        <v>0.3</v>
      </c>
      <c r="BQ13" s="1042"/>
      <c r="BR13" s="1"/>
      <c r="BS13" s="1228">
        <f t="shared" si="10"/>
        <v>35255.23790013</v>
      </c>
      <c r="BT13" s="1"/>
      <c r="BU13" s="1"/>
      <c r="BV13" s="1"/>
      <c r="BW13" s="1"/>
      <c r="BX13" s="1"/>
      <c r="BY13" s="1"/>
      <c r="BZ13" s="1"/>
      <c r="CA13" s="1"/>
      <c r="CB13" s="1"/>
      <c r="CC13" s="1"/>
      <c r="CD13" s="1"/>
      <c r="CE13" s="1"/>
      <c r="CF13" s="1"/>
      <c r="CG13" s="1"/>
      <c r="CH13" s="1"/>
      <c r="CI13" s="1"/>
      <c r="CJ13" s="1"/>
      <c r="CK13" s="1"/>
      <c r="CM13" s="1033">
        <v>2</v>
      </c>
      <c r="CN13" s="1">
        <f t="shared" si="11"/>
        <v>2312.7799999999997</v>
      </c>
      <c r="CO13" s="1046">
        <v>2609020195</v>
      </c>
      <c r="CQ13" s="412">
        <v>2</v>
      </c>
      <c r="CR13" s="1">
        <f t="shared" si="12"/>
        <v>12566.169999999998</v>
      </c>
      <c r="CS13" s="2490">
        <v>2609020319</v>
      </c>
    </row>
    <row r="14" spans="2:97">
      <c r="B14" s="989">
        <v>3</v>
      </c>
      <c r="C14" s="5">
        <f t="shared" si="1"/>
        <v>39979</v>
      </c>
      <c r="D14" s="488">
        <f t="shared" si="13"/>
        <v>2522.2799999999997</v>
      </c>
      <c r="E14" s="15">
        <f t="shared" si="2"/>
        <v>15.850341754285807</v>
      </c>
      <c r="F14" s="363"/>
      <c r="G14" s="64"/>
      <c r="H14" s="1034"/>
      <c r="I14" s="1035"/>
      <c r="N14" s="993"/>
      <c r="O14" s="26">
        <v>39979</v>
      </c>
      <c r="P14" s="1036"/>
      <c r="Q14" s="277">
        <f t="shared" si="14"/>
        <v>2522.2799999999997</v>
      </c>
      <c r="R14" s="1227">
        <f t="shared" si="3"/>
        <v>2522.2799999999997</v>
      </c>
      <c r="S14" s="27">
        <f t="shared" si="4"/>
        <v>15.850341754285807</v>
      </c>
      <c r="T14" s="33"/>
      <c r="U14" s="2226" cm="1">
        <f t="array" ref="U14">SUMPRODUCT((IFERROR(VALUE(LEFT('Data Base CW TIS'!$E$2:$E$1000,2)),0)=B14)*('Data Base CW TIS'!$B$2:$B$1000="OP1-ROM SB1 BK05")*(ISNUMBER(SEARCH("S3000",'Data Base CW TIS'!$C$2:$C$1000)))*'Data Base CW TIS'!$N$2:$N$1000)</f>
        <v>2522.2799999999997</v>
      </c>
      <c r="V14" s="2227" cm="1">
        <f t="array" ref="V14">SUMPRODUCT((IFERROR(VALUE(LEFT('Data Base CW TIS'!$E$2:$E$1000,2)),0)=B14)*('Data Base CW TIS'!$B$2:$B$1000="OP1-ROM SB1 BK05")*(ISNUMBER(SEARCH("S3100",'Data Base CW TIS'!$C$2:$C$1000)))*'Data Base CW TIS'!$N$2:$N$1000)</f>
        <v>0</v>
      </c>
      <c r="W14" s="2227" cm="1">
        <f t="array" ref="W14">SUMPRODUCT((IFERROR(VALUE(LEFT('Data Base CW TIS'!$E$2:$E$1000,2)),0)=B14)*('Data Base CW TIS'!$B$2:$B$1000="OP1-ROM SB1 BK05")*(ISNUMBER(SEARCH("S2800",'Data Base CW TIS'!$C$2:$C$1000)))*'Data Base CW TIS'!$N$2:$N$1000)</f>
        <v>0</v>
      </c>
      <c r="X14" s="1038"/>
      <c r="Y14" s="1"/>
      <c r="Z14" s="1025">
        <f>SUMPRODUCT(('DB Hauling TIS'!$C$2:$C$951="TIS-ROM SB1 BK05-ROM 5")*ISNUMBER(SEARCH(TEXT('September TIS'!$B14,"00")&amp;"/09/2026",'DB Hauling TIS'!$E$2:$E$951))*'DB Hauling TIS'!$N$2:$N$951)</f>
        <v>0</v>
      </c>
      <c r="AA14" s="2174">
        <f>SUMPRODUCT(('DB Hauling TIS'!$C$2:$C$951="TIS-ROM SB1 BK05-ROM 6")*ISNUMBER(SEARCH(TEXT('September TIS'!$B14,"00")&amp;"/09/2026",'DB Hauling TIS'!$E$2:$E$951))*'DB Hauling TIS'!$N$2:$N$951)</f>
        <v>11113.400000000001</v>
      </c>
      <c r="AB14" s="1025">
        <f t="shared" si="5"/>
        <v>11113.400000000001</v>
      </c>
      <c r="AC14" s="1025">
        <v>0</v>
      </c>
      <c r="AD14" s="1025">
        <v>0</v>
      </c>
      <c r="AE14" s="1025">
        <f>SUMPRODUCT((('DB Hauling TIS'!$C$2:$C$951="TIS-ROM SB1 BK05-ROM 5")+('DB Hauling TIS'!$C$2:$C$951="TIS-ROM SB1 BK05-ROM 6"))*('DB Hauling TIS'!$H$2:$H$951="MPE")*ISNUMBER(SEARCH(TEXT('September TIS'!$B14,"00")&amp;"/09/2026",'DB Hauling TIS'!$E$2:$E$951))*'DB Hauling TIS'!$N$2:$N$951)</f>
        <v>6149.71</v>
      </c>
      <c r="AF14" s="1025">
        <f>SUMPRODUCT((('DB Hauling TIS'!$C$2:$C$951="TIS-ROM SB1 BK05-ROM 5")+('DB Hauling TIS'!$C$2:$C$951="TIS-ROM SB1 BK05-ROM 6"))*('DB Hauling TIS'!$H$2:$H$951="RP")*ISNUMBER(SEARCH(TEXT('September TIS'!$B14,"00")&amp;"/09/2026",'DB Hauling TIS'!$E$2:$E$951))*'DB Hauling TIS'!$N$2:$N$951)</f>
        <v>4963.6900000000005</v>
      </c>
      <c r="AG14" s="1025">
        <f t="shared" si="6"/>
        <v>11113.400000000001</v>
      </c>
      <c r="AH14" s="1025"/>
      <c r="AI14" s="1039"/>
      <c r="AJ14" s="1026">
        <f t="shared" si="7"/>
        <v>0</v>
      </c>
      <c r="AK14" s="1026">
        <f t="shared" si="8"/>
        <v>47905.518019779985</v>
      </c>
      <c r="AL14" s="1040">
        <f t="shared" si="0"/>
        <v>47905.518019779985</v>
      </c>
      <c r="AM14" s="1414"/>
      <c r="AN14" s="1414"/>
      <c r="AO14" s="1310"/>
      <c r="AP14" s="1310"/>
      <c r="AQ14" s="1934">
        <f t="shared" si="15"/>
        <v>0</v>
      </c>
      <c r="AR14" s="1729">
        <f t="shared" si="9"/>
        <v>0</v>
      </c>
      <c r="AS14" s="1729">
        <f t="shared" si="9"/>
        <v>3655.7888670000002</v>
      </c>
      <c r="AT14" s="1007"/>
      <c r="AU14" s="2500" cm="1">
        <f t="array" ref="AU14">SUMPRODUCT((IFERROR(VALUE(LEFT('Data Base CW TIS'!$E$2:$E$1000,2)),0)=B14)*('Data Base CW TIS'!$B$2:$B$1000="ROM TEMPORARY-ROM SB1 BK05")*('Data Base CW TIS'!$C$2:$C$1000="TIS-ROM TEMPORARY-ROM 6 (TIS)")*'Data Base CW TIS'!$N$2:$N$1000)</f>
        <v>0</v>
      </c>
      <c r="AV14" s="1414"/>
      <c r="AW14" s="987"/>
      <c r="AX14" s="310">
        <f t="shared" si="16"/>
        <v>11113.400000000001</v>
      </c>
      <c r="AY14" s="1043"/>
      <c r="AZ14" s="2">
        <f>IFERROR(SUMPRODUCT((TIS.HCV.MS!$A$3:$A$92=DATE(2026,9,$B14))*(TIS.HCV.MS!$O$3:$O$92&gt;0)*TIS.HCV.MS!$C$3:$C$92*TIS.HCV.MS!$O$3:$O$92)/SUMPRODUCT((TIS.HCV.MS!$A$3:$A$92=DATE(2026,9,$B14))*(TIS.HCV.MS!$O$3:$O$92&gt;0)*TIS.HCV.MS!$C$3:$C$92),0)</f>
        <v>7320.179573309124</v>
      </c>
      <c r="BA14" s="2110">
        <f>IFERROR(SUMPRODUCT((TIS.HCV.MS!$A$3:$A$92=DATE(2026,9,$B14))*(TIS.HCV.MS!$M$3:$M$92&gt;0)*TIS.HCV.MS!$C$3:$C$92*TIS.HCV.MS!$M$3:$M$92)/SUMPRODUCT((TIS.HCV.MS!$A$3:$A$92=DATE(2026,9,$B14))*(TIS.HCV.MS!$M$3:$M$92&gt;0)*TIS.HCV.MS!$C$3:$C$92),0)</f>
        <v>1.2577258284157966</v>
      </c>
      <c r="BB14" s="2110">
        <f>IFERROR(SUMPRODUCT((TIS.HCV.MS!$A$3:$A$92=DATE(2026,9,$B14))*(TIS.HCV.MS!$G$3:$G$92&gt;0)*TIS.HCV.MS!$C$3:$C$92*TIS.HCV.MS!$G$3:$G$92)/SUMPRODUCT((TIS.HCV.MS!$A$3:$A$92=DATE(2026,9,$B14))*(TIS.HCV.MS!$G$3:$G$92&gt;0)*TIS.HCV.MS!$C$3:$C$92),0)</f>
        <v>3.4839437131184749</v>
      </c>
      <c r="BC14" s="2110">
        <f>IFERROR(SUMPRODUCT((TIS.HCV.MS!$A$3:$A$92=DATE(2026,9,$B14))*(TIS.HCV.MS!$F$3:$F$92&gt;0)*TIS.HCV.MS!$C$3:$C$92*TIS.HCV.MS!$F$3:$F$92)/SUMPRODUCT((TIS.HCV.MS!$A$3:$A$92=DATE(2026,9,$B14))*(TIS.HCV.MS!$F$3:$F$92&gt;0)*TIS.HCV.MS!$C$3:$C$92),0)</f>
        <v>4.7831293690422152</v>
      </c>
      <c r="BD14" s="2111">
        <f>IFERROR(SUMPRODUCT((TIS.HCV.MS!$A$3:$A$92=DATE(2026,9,$B14))*(TIS.HCV.MS!$E$3:$E$92&gt;0)*TIS.HCV.MS!$C$3:$C$92*TIS.HCV.MS!$E$3:$E$92)/SUMPRODUCT((TIS.HCV.MS!$A$3:$A$92=DATE(2026,9,$B14))*(TIS.HCV.MS!$E$3:$E$92&gt;0)*TIS.HCV.MS!$C$3:$C$92),0)</f>
        <v>7.0368713002269629</v>
      </c>
      <c r="BF14" s="987"/>
      <c r="BG14" s="987"/>
      <c r="BH14" s="987"/>
      <c r="BI14" s="987"/>
      <c r="BJ14" s="987"/>
      <c r="BK14" s="310"/>
      <c r="BL14" s="310"/>
      <c r="BM14" s="310"/>
      <c r="BN14" s="310"/>
      <c r="BO14" s="310"/>
      <c r="BP14" s="2533">
        <f>'September TCM'!LP12</f>
        <v>0.19</v>
      </c>
      <c r="BQ14" s="1042"/>
      <c r="BR14" s="1"/>
      <c r="BS14" s="1228">
        <f t="shared" si="10"/>
        <v>46368.637900130001</v>
      </c>
      <c r="BT14" s="1"/>
      <c r="BU14" s="1"/>
      <c r="BV14" s="1"/>
      <c r="BW14" s="1"/>
      <c r="BX14" s="1"/>
      <c r="BY14" s="1"/>
      <c r="BZ14" s="1"/>
      <c r="CA14" s="1"/>
      <c r="CB14" s="1"/>
      <c r="CC14" s="1"/>
      <c r="CD14" s="1"/>
      <c r="CE14" s="1"/>
      <c r="CF14" s="1"/>
      <c r="CG14" s="1"/>
      <c r="CH14" s="1"/>
      <c r="CI14" s="1"/>
      <c r="CJ14" s="1"/>
      <c r="CK14" s="1"/>
      <c r="CM14" s="1033">
        <v>3</v>
      </c>
      <c r="CN14" s="1">
        <f t="shared" si="11"/>
        <v>2522.2799999999997</v>
      </c>
      <c r="CO14">
        <v>2609030444</v>
      </c>
      <c r="CQ14" s="412">
        <v>3</v>
      </c>
      <c r="CR14" s="1">
        <f t="shared" si="12"/>
        <v>11113.400000000001</v>
      </c>
      <c r="CS14" s="2490">
        <v>2609030824</v>
      </c>
    </row>
    <row r="15" spans="2:97">
      <c r="B15" s="989">
        <v>4</v>
      </c>
      <c r="C15" s="5">
        <f t="shared" si="1"/>
        <v>19651</v>
      </c>
      <c r="D15" s="488">
        <f t="shared" si="13"/>
        <v>731.92</v>
      </c>
      <c r="E15" s="15">
        <f t="shared" si="2"/>
        <v>26.848562684446389</v>
      </c>
      <c r="F15" s="363"/>
      <c r="G15" s="64"/>
      <c r="H15" s="1034">
        <v>67</v>
      </c>
      <c r="I15" s="1035">
        <v>9.67</v>
      </c>
      <c r="N15" s="993"/>
      <c r="O15" s="26">
        <v>19651</v>
      </c>
      <c r="P15" s="1036"/>
      <c r="Q15" s="277">
        <f t="shared" si="14"/>
        <v>731.92</v>
      </c>
      <c r="R15" s="1227">
        <f t="shared" si="3"/>
        <v>731.92</v>
      </c>
      <c r="S15" s="27">
        <f t="shared" si="4"/>
        <v>26.848562684446389</v>
      </c>
      <c r="T15" s="33"/>
      <c r="U15" s="2226" cm="1">
        <f t="array" ref="U15">SUMPRODUCT((IFERROR(VALUE(LEFT('Data Base CW TIS'!$E$2:$E$1000,2)),0)=B15)*('Data Base CW TIS'!$B$2:$B$1000="OP1-ROM SB1 BK05")*(ISNUMBER(SEARCH("S3000",'Data Base CW TIS'!$C$2:$C$1000)))*'Data Base CW TIS'!$N$2:$N$1000)</f>
        <v>731.92</v>
      </c>
      <c r="V15" s="2227" cm="1">
        <f t="array" ref="V15">SUMPRODUCT((IFERROR(VALUE(LEFT('Data Base CW TIS'!$E$2:$E$1000,2)),0)=B15)*('Data Base CW TIS'!$B$2:$B$1000="OP1-ROM SB1 BK05")*(ISNUMBER(SEARCH("S3100",'Data Base CW TIS'!$C$2:$C$1000)))*'Data Base CW TIS'!$N$2:$N$1000)</f>
        <v>0</v>
      </c>
      <c r="W15" s="2227" cm="1">
        <f t="array" ref="W15">SUMPRODUCT((IFERROR(VALUE(LEFT('Data Base CW TIS'!$E$2:$E$1000,2)),0)=B15)*('Data Base CW TIS'!$B$2:$B$1000="OP1-ROM SB1 BK05")*(ISNUMBER(SEARCH("S2800",'Data Base CW TIS'!$C$2:$C$1000)))*'Data Base CW TIS'!$N$2:$N$1000)</f>
        <v>0</v>
      </c>
      <c r="X15" s="1038"/>
      <c r="Y15" s="1"/>
      <c r="Z15" s="1025">
        <f>SUMPRODUCT(('DB Hauling TIS'!$C$2:$C$951="TIS-ROM SB1 BK05-ROM 5")*ISNUMBER(SEARCH(TEXT('September TIS'!$B15,"00")&amp;"/09/2026",'DB Hauling TIS'!$E$2:$E$951))*'DB Hauling TIS'!$N$2:$N$951)</f>
        <v>0</v>
      </c>
      <c r="AA15" s="2174">
        <f>SUMPRODUCT(('DB Hauling TIS'!$C$2:$C$951="TIS-ROM SB1 BK05-ROM 6")*ISNUMBER(SEARCH(TEXT('September TIS'!$B15,"00")&amp;"/09/2026",'DB Hauling TIS'!$E$2:$E$951))*'DB Hauling TIS'!$N$2:$N$951)</f>
        <v>10137.68</v>
      </c>
      <c r="AB15" s="1025">
        <f t="shared" si="5"/>
        <v>10137.68</v>
      </c>
      <c r="AC15" s="1025">
        <v>0</v>
      </c>
      <c r="AD15" s="1025">
        <v>0</v>
      </c>
      <c r="AE15" s="1025">
        <f>SUMPRODUCT((('DB Hauling TIS'!$C$2:$C$951="TIS-ROM SB1 BK05-ROM 5")+('DB Hauling TIS'!$C$2:$C$951="TIS-ROM SB1 BK05-ROM 6"))*('DB Hauling TIS'!$H$2:$H$951="MPE")*ISNUMBER(SEARCH(TEXT('September TIS'!$B15,"00")&amp;"/09/2026",'DB Hauling TIS'!$E$2:$E$951))*'DB Hauling TIS'!$N$2:$N$951)</f>
        <v>3684.8999999999996</v>
      </c>
      <c r="AF15" s="1025">
        <f>SUMPRODUCT((('DB Hauling TIS'!$C$2:$C$951="TIS-ROM SB1 BK05-ROM 5")+('DB Hauling TIS'!$C$2:$C$951="TIS-ROM SB1 BK05-ROM 6"))*('DB Hauling TIS'!$H$2:$H$951="RP")*ISNUMBER(SEARCH(TEXT('September TIS'!$B15,"00")&amp;"/09/2026",'DB Hauling TIS'!$E$2:$E$951))*'DB Hauling TIS'!$N$2:$N$951)</f>
        <v>6452.7799999999988</v>
      </c>
      <c r="AG15" s="1025">
        <f t="shared" si="6"/>
        <v>10137.679999999998</v>
      </c>
      <c r="AH15" s="1025"/>
      <c r="AI15" s="1039"/>
      <c r="AJ15" s="1026">
        <f t="shared" si="7"/>
        <v>0</v>
      </c>
      <c r="AK15" s="1026">
        <f t="shared" si="8"/>
        <v>38499.758019779983</v>
      </c>
      <c r="AL15" s="1040">
        <f t="shared" si="0"/>
        <v>38499.758019779983</v>
      </c>
      <c r="AM15" s="1414"/>
      <c r="AN15" s="1414"/>
      <c r="AO15" s="1310"/>
      <c r="AP15" s="1310"/>
      <c r="AQ15" s="1934">
        <f t="shared" si="15"/>
        <v>0</v>
      </c>
      <c r="AR15" s="1729">
        <f t="shared" si="9"/>
        <v>0</v>
      </c>
      <c r="AS15" s="1729">
        <f>AS14+AP15-AU15</f>
        <v>3655.7888670000002</v>
      </c>
      <c r="AT15" s="1007"/>
      <c r="AU15" s="2500" cm="1">
        <f t="array" ref="AU15">SUMPRODUCT((IFERROR(VALUE(LEFT('Data Base CW TIS'!$E$2:$E$1000,2)),0)=B15)*('Data Base CW TIS'!$B$2:$B$1000="ROM TEMPORARY-ROM SB1 BK05")*('Data Base CW TIS'!$C$2:$C$1000="TIS-ROM TEMPORARY-ROM 6 (TIS)")*'Data Base CW TIS'!$N$2:$N$1000)</f>
        <v>0</v>
      </c>
      <c r="AV15" s="1414"/>
      <c r="AW15" s="987"/>
      <c r="AX15" s="310">
        <f t="shared" si="16"/>
        <v>10137.68</v>
      </c>
      <c r="AY15" s="998"/>
      <c r="AZ15" s="2">
        <f>IFERROR(SUMPRODUCT((TIS.HCV.MS!$A$3:$A$92=DATE(2026,9,$B15))*(TIS.HCV.MS!$O$3:$O$92&gt;0)*TIS.HCV.MS!$C$3:$C$92*TIS.HCV.MS!$O$3:$O$92)/SUMPRODUCT((TIS.HCV.MS!$A$3:$A$92=DATE(2026,9,$B15))*(TIS.HCV.MS!$O$3:$O$92&gt;0)*TIS.HCV.MS!$C$3:$C$92),0)</f>
        <v>7497.5492100873316</v>
      </c>
      <c r="BA15" s="2110">
        <f>IFERROR(SUMPRODUCT((TIS.HCV.MS!$A$3:$A$92=DATE(2026,9,$B15))*(TIS.HCV.MS!$M$3:$M$92&gt;0)*TIS.HCV.MS!$C$3:$C$92*TIS.HCV.MS!$M$3:$M$92)/SUMPRODUCT((TIS.HCV.MS!$A$3:$A$92=DATE(2026,9,$B15))*(TIS.HCV.MS!$M$3:$M$92&gt;0)*TIS.HCV.MS!$C$3:$C$92),0)</f>
        <v>1.1145059366107348</v>
      </c>
      <c r="BB15" s="2110">
        <f>IFERROR(SUMPRODUCT((TIS.HCV.MS!$A$3:$A$92=DATE(2026,9,$B15))*(TIS.HCV.MS!$G$3:$G$92&gt;0)*TIS.HCV.MS!$C$3:$C$92*TIS.HCV.MS!$G$3:$G$92)/SUMPRODUCT((TIS.HCV.MS!$A$3:$A$92=DATE(2026,9,$B15))*(TIS.HCV.MS!$G$3:$G$92&gt;0)*TIS.HCV.MS!$C$3:$C$92),0)</f>
        <v>2.0417113139044258</v>
      </c>
      <c r="BC15" s="2110">
        <f>IFERROR(SUMPRODUCT((TIS.HCV.MS!$A$3:$A$92=DATE(2026,9,$B15))*(TIS.HCV.MS!$F$3:$F$92&gt;0)*TIS.HCV.MS!$C$3:$C$92*TIS.HCV.MS!$F$3:$F$92)/SUMPRODUCT((TIS.HCV.MS!$A$3:$A$92=DATE(2026,9,$B15))*(TIS.HCV.MS!$F$3:$F$92&gt;0)*TIS.HCV.MS!$C$3:$C$92),0)</f>
        <v>4.8110734962221571</v>
      </c>
      <c r="BD15" s="2111">
        <f>IFERROR(SUMPRODUCT((TIS.HCV.MS!$A$3:$A$92=DATE(2026,9,$B15))*(TIS.HCV.MS!$E$3:$E$92&gt;0)*TIS.HCV.MS!$C$3:$C$92*TIS.HCV.MS!$E$3:$E$92)/SUMPRODUCT((TIS.HCV.MS!$A$3:$A$92=DATE(2026,9,$B15))*(TIS.HCV.MS!$E$3:$E$92&gt;0)*TIS.HCV.MS!$C$3:$C$92),0)</f>
        <v>7.6177827155333127</v>
      </c>
      <c r="BF15" s="987"/>
      <c r="BG15" s="987"/>
      <c r="BH15" s="987"/>
      <c r="BI15" s="987"/>
      <c r="BJ15" s="987"/>
      <c r="BK15" s="310"/>
      <c r="BL15" s="310"/>
      <c r="BM15" s="310"/>
      <c r="BN15" s="310"/>
      <c r="BO15" s="310"/>
      <c r="BP15" s="2533">
        <f>'September TCM'!LP13</f>
        <v>0</v>
      </c>
      <c r="BQ15" s="1042"/>
      <c r="BR15" s="1"/>
      <c r="BS15" s="1228">
        <f t="shared" si="10"/>
        <v>56506.317900130001</v>
      </c>
      <c r="BT15" s="1"/>
      <c r="BU15" s="1"/>
      <c r="BV15" s="1"/>
      <c r="BW15" s="1"/>
      <c r="BX15" s="1"/>
      <c r="BY15" s="1"/>
      <c r="BZ15" s="1"/>
      <c r="CA15" s="1"/>
      <c r="CB15" s="1"/>
      <c r="CC15" s="1"/>
      <c r="CD15" s="1"/>
      <c r="CE15" s="1"/>
      <c r="CF15" s="1"/>
      <c r="CG15" s="1"/>
      <c r="CH15" s="1"/>
      <c r="CI15" s="1"/>
      <c r="CJ15" s="1"/>
      <c r="CK15" s="1"/>
      <c r="CM15" s="1033">
        <v>4</v>
      </c>
      <c r="CN15" s="1">
        <f t="shared" si="11"/>
        <v>731.92</v>
      </c>
      <c r="CO15">
        <v>2609040712</v>
      </c>
      <c r="CQ15" s="412">
        <v>4</v>
      </c>
      <c r="CR15" s="1">
        <f t="shared" si="12"/>
        <v>10137.68</v>
      </c>
      <c r="CS15" s="2490">
        <v>2609041326</v>
      </c>
    </row>
    <row r="16" spans="2:97" ht="13.5" customHeight="1">
      <c r="B16" s="989">
        <v>5</v>
      </c>
      <c r="C16" s="5">
        <f t="shared" si="1"/>
        <v>38893</v>
      </c>
      <c r="D16" s="488">
        <f>Q16+P16+AU16</f>
        <v>938.08</v>
      </c>
      <c r="E16" s="15">
        <f t="shared" si="2"/>
        <v>41.460216612655636</v>
      </c>
      <c r="F16" s="363"/>
      <c r="G16" s="64"/>
      <c r="H16" s="1034"/>
      <c r="I16" s="1035"/>
      <c r="N16" s="993"/>
      <c r="O16" s="26">
        <v>38893</v>
      </c>
      <c r="P16" s="36"/>
      <c r="Q16" s="277">
        <f>W16+V16+U16</f>
        <v>938.08</v>
      </c>
      <c r="R16" s="1227">
        <f t="shared" si="3"/>
        <v>938.08</v>
      </c>
      <c r="S16" s="27">
        <f t="shared" si="4"/>
        <v>41.460216612655636</v>
      </c>
      <c r="T16" s="33"/>
      <c r="U16" s="2226" cm="1">
        <f t="array" ref="U16">SUMPRODUCT((IFERROR(VALUE(LEFT('Data Base CW TIS'!$E$2:$E$1000,2)),0)=B16)*('Data Base CW TIS'!$B$2:$B$1000="OP1-ROM SB1 BK05")*(ISNUMBER(SEARCH("S3000",'Data Base CW TIS'!$C$2:$C$1000)))*'Data Base CW TIS'!$N$2:$N$1000)</f>
        <v>938.08</v>
      </c>
      <c r="V16" s="2227" cm="1">
        <f t="array" ref="V16">SUMPRODUCT((IFERROR(VALUE(LEFT('Data Base CW TIS'!$E$2:$E$1000,2)),0)=B16)*('Data Base CW TIS'!$B$2:$B$1000="OP1-ROM SB1 BK05")*(ISNUMBER(SEARCH("S3100",'Data Base CW TIS'!$C$2:$C$1000)))*'Data Base CW TIS'!$N$2:$N$1000)</f>
        <v>0</v>
      </c>
      <c r="W16" s="2227" cm="1">
        <f t="array" ref="W16">SUMPRODUCT((IFERROR(VALUE(LEFT('Data Base CW TIS'!$E$2:$E$1000,2)),0)=B16)*('Data Base CW TIS'!$B$2:$B$1000="OP1-ROM SB1 BK05")*(ISNUMBER(SEARCH("S2800",'Data Base CW TIS'!$C$2:$C$1000)))*'Data Base CW TIS'!$N$2:$N$1000)</f>
        <v>0</v>
      </c>
      <c r="X16" s="1038"/>
      <c r="Y16" s="1"/>
      <c r="Z16" s="1025">
        <f>SUMPRODUCT(('DB Hauling TIS'!$C$2:$C$951="TIS-ROM SB1 BK05-ROM 5")*ISNUMBER(SEARCH(TEXT('September TIS'!$B16,"00")&amp;"/09/2026",'DB Hauling TIS'!$E$2:$E$951))*'DB Hauling TIS'!$N$2:$N$951)</f>
        <v>0</v>
      </c>
      <c r="AA16" s="2174">
        <f>SUMPRODUCT(('DB Hauling TIS'!$C$2:$C$951="TIS-ROM SB1 BK05-ROM 6")*ISNUMBER(SEARCH(TEXT('September TIS'!$B16,"00")&amp;"/09/2026",'DB Hauling TIS'!$E$2:$E$951))*'DB Hauling TIS'!$N$2:$N$951)</f>
        <v>0</v>
      </c>
      <c r="AB16" s="1025">
        <f t="shared" si="5"/>
        <v>0</v>
      </c>
      <c r="AC16" s="1025">
        <v>0</v>
      </c>
      <c r="AD16" s="1025">
        <v>0</v>
      </c>
      <c r="AE16" s="1025">
        <f>SUMPRODUCT((('DB Hauling TIS'!$C$2:$C$951="TIS-ROM SB1 BK05-ROM 5")+('DB Hauling TIS'!$C$2:$C$951="TIS-ROM SB1 BK05-ROM 6"))*('DB Hauling TIS'!$H$2:$H$951="MPE")*ISNUMBER(SEARCH(TEXT('September TIS'!$B16,"00")&amp;"/09/2026",'DB Hauling TIS'!$E$2:$E$951))*'DB Hauling TIS'!$N$2:$N$951)</f>
        <v>0</v>
      </c>
      <c r="AF16" s="1025">
        <f>SUMPRODUCT((('DB Hauling TIS'!$C$2:$C$951="TIS-ROM SB1 BK05-ROM 5")+('DB Hauling TIS'!$C$2:$C$951="TIS-ROM SB1 BK05-ROM 6"))*('DB Hauling TIS'!$H$2:$H$951="RP")*ISNUMBER(SEARCH(TEXT('September TIS'!$B16,"00")&amp;"/09/2026",'DB Hauling TIS'!$E$2:$E$951))*'DB Hauling TIS'!$N$2:$N$951)</f>
        <v>0</v>
      </c>
      <c r="AG16" s="1025">
        <f>SUM(AC16:AF16)</f>
        <v>0</v>
      </c>
      <c r="AH16" s="1025"/>
      <c r="AI16" s="1039"/>
      <c r="AJ16" s="1026">
        <f t="shared" si="7"/>
        <v>0</v>
      </c>
      <c r="AK16" s="1026">
        <f t="shared" si="8"/>
        <v>39437.838019779985</v>
      </c>
      <c r="AL16" s="1040">
        <f t="shared" si="0"/>
        <v>39437.838019779985</v>
      </c>
      <c r="AM16" s="1414"/>
      <c r="AN16" s="1414"/>
      <c r="AO16" s="1310"/>
      <c r="AP16" s="1310"/>
      <c r="AQ16" s="1934">
        <f t="shared" si="15"/>
        <v>0</v>
      </c>
      <c r="AR16" s="1729">
        <f t="shared" si="9"/>
        <v>0</v>
      </c>
      <c r="AS16" s="1729">
        <f t="shared" si="9"/>
        <v>3655.7888670000002</v>
      </c>
      <c r="AT16" s="1007"/>
      <c r="AU16" s="2500" cm="1">
        <f t="array" ref="AU16">SUMPRODUCT((IFERROR(VALUE(LEFT('Data Base CW TIS'!$E$2:$E$1000,2)),0)=B16)*('Data Base CW TIS'!$B$2:$B$1000="ROM TEMPORARY-ROM SB1 BK05")*('Data Base CW TIS'!$C$2:$C$1000="TIS-ROM TEMPORARY-ROM 6 (TIS)")*'Data Base CW TIS'!$N$2:$N$1000)</f>
        <v>0</v>
      </c>
      <c r="AV16" s="1414"/>
      <c r="AW16" s="987"/>
      <c r="AX16" s="310">
        <f t="shared" si="16"/>
        <v>0</v>
      </c>
      <c r="AY16" s="998"/>
      <c r="AZ16" s="2">
        <f>IFERROR(SUMPRODUCT((TIS.HCV.MS!$A$3:$A$92=DATE(2026,9,$B16))*(TIS.HCV.MS!$O$3:$O$92&gt;0)*TIS.HCV.MS!$C$3:$C$92*TIS.HCV.MS!$O$3:$O$92)/SUMPRODUCT((TIS.HCV.MS!$A$3:$A$92=DATE(2026,9,$B16))*(TIS.HCV.MS!$O$3:$O$92&gt;0)*TIS.HCV.MS!$C$3:$C$92),0)</f>
        <v>0</v>
      </c>
      <c r="BA16" s="2110">
        <f>IFERROR(SUMPRODUCT((TIS.HCV.MS!$A$3:$A$92=DATE(2026,9,$B16))*(TIS.HCV.MS!$M$3:$M$92&gt;0)*TIS.HCV.MS!$C$3:$C$92*TIS.HCV.MS!$M$3:$M$92)/SUMPRODUCT((TIS.HCV.MS!$A$3:$A$92=DATE(2026,9,$B16))*(TIS.HCV.MS!$M$3:$M$92&gt;0)*TIS.HCV.MS!$C$3:$C$92),0)</f>
        <v>0</v>
      </c>
      <c r="BB16" s="2110">
        <f>IFERROR(SUMPRODUCT((TIS.HCV.MS!$A$3:$A$92=DATE(2026,9,$B16))*(TIS.HCV.MS!$G$3:$G$92&gt;0)*TIS.HCV.MS!$C$3:$C$92*TIS.HCV.MS!$G$3:$G$92)/SUMPRODUCT((TIS.HCV.MS!$A$3:$A$92=DATE(2026,9,$B16))*(TIS.HCV.MS!$G$3:$G$92&gt;0)*TIS.HCV.MS!$C$3:$C$92),0)</f>
        <v>0</v>
      </c>
      <c r="BC16" s="2110">
        <f>IFERROR(SUMPRODUCT((TIS.HCV.MS!$A$3:$A$92=DATE(2026,9,$B16))*(TIS.HCV.MS!$F$3:$F$92&gt;0)*TIS.HCV.MS!$C$3:$C$92*TIS.HCV.MS!$F$3:$F$92)/SUMPRODUCT((TIS.HCV.MS!$A$3:$A$92=DATE(2026,9,$B16))*(TIS.HCV.MS!$F$3:$F$92&gt;0)*TIS.HCV.MS!$C$3:$C$92),0)</f>
        <v>0</v>
      </c>
      <c r="BD16" s="2111">
        <f>IFERROR(SUMPRODUCT((TIS.HCV.MS!$A$3:$A$92=DATE(2026,9,$B16))*(TIS.HCV.MS!$E$3:$E$92&gt;0)*TIS.HCV.MS!$C$3:$C$92*TIS.HCV.MS!$E$3:$E$92)/SUMPRODUCT((TIS.HCV.MS!$A$3:$A$92=DATE(2026,9,$B16))*(TIS.HCV.MS!$E$3:$E$92&gt;0)*TIS.HCV.MS!$C$3:$C$92),0)</f>
        <v>0</v>
      </c>
      <c r="BF16" s="987"/>
      <c r="BG16" s="987"/>
      <c r="BH16" s="987"/>
      <c r="BI16" s="987"/>
      <c r="BJ16" s="987"/>
      <c r="BK16" s="310"/>
      <c r="BL16" s="310"/>
      <c r="BM16" s="310"/>
      <c r="BN16" s="310"/>
      <c r="BO16" s="310"/>
      <c r="BP16" s="2533">
        <f>'September TCM'!LP14</f>
        <v>0</v>
      </c>
      <c r="BQ16" s="2214"/>
      <c r="BR16" s="1"/>
      <c r="BS16" s="1228">
        <f t="shared" si="10"/>
        <v>56506.317900130001</v>
      </c>
      <c r="BT16" s="1"/>
      <c r="BU16" s="1"/>
      <c r="BV16" s="1"/>
      <c r="BW16" s="1"/>
      <c r="BX16" s="1"/>
      <c r="BY16" s="1"/>
      <c r="BZ16" s="1"/>
      <c r="CA16" s="1"/>
      <c r="CB16" s="1"/>
      <c r="CC16" s="1"/>
      <c r="CD16" s="1"/>
      <c r="CE16" s="1"/>
      <c r="CF16" s="1"/>
      <c r="CG16" s="1"/>
      <c r="CH16" s="1"/>
      <c r="CI16" s="1"/>
      <c r="CJ16" s="1"/>
      <c r="CK16" s="1"/>
      <c r="CM16" s="1033">
        <v>5</v>
      </c>
      <c r="CN16" s="1">
        <f t="shared" si="11"/>
        <v>938.08</v>
      </c>
      <c r="CO16" s="1045">
        <v>2609050841</v>
      </c>
      <c r="CQ16" s="412">
        <v>5</v>
      </c>
      <c r="CR16" s="1">
        <f t="shared" si="12"/>
        <v>0</v>
      </c>
      <c r="CS16" s="1928"/>
    </row>
    <row r="17" spans="2:97">
      <c r="B17" s="989">
        <v>6</v>
      </c>
      <c r="C17" s="5">
        <f t="shared" si="1"/>
        <v>38026</v>
      </c>
      <c r="D17" s="488">
        <f t="shared" ref="D17" si="17">Q17+P17+AU17</f>
        <v>1138.94</v>
      </c>
      <c r="E17" s="15">
        <f t="shared" si="2"/>
        <v>33.387184575131258</v>
      </c>
      <c r="F17" s="363"/>
      <c r="G17" s="64"/>
      <c r="H17" s="1034"/>
      <c r="I17" s="1035"/>
      <c r="N17" s="993"/>
      <c r="O17" s="26">
        <v>38026</v>
      </c>
      <c r="P17" s="36"/>
      <c r="Q17" s="277">
        <f t="shared" ref="Q17:Q23" si="18">W17+V17+U17</f>
        <v>1138.94</v>
      </c>
      <c r="R17" s="1227">
        <f t="shared" si="3"/>
        <v>1138.94</v>
      </c>
      <c r="S17" s="27">
        <f t="shared" si="4"/>
        <v>33.387184575131258</v>
      </c>
      <c r="T17" s="33"/>
      <c r="U17" s="2226" cm="1">
        <f t="array" ref="U17">SUMPRODUCT((IFERROR(VALUE(LEFT('Data Base CW TIS'!$E$2:$E$1000,2)),0)=B17)*('Data Base CW TIS'!$B$2:$B$1000="OP1-ROM SB1 BK05")*(ISNUMBER(SEARCH("S3000",'Data Base CW TIS'!$C$2:$C$1000)))*'Data Base CW TIS'!$N$2:$N$1000)</f>
        <v>1138.94</v>
      </c>
      <c r="V17" s="2227" cm="1">
        <f t="array" ref="V17">SUMPRODUCT((IFERROR(VALUE(LEFT('Data Base CW TIS'!$E$2:$E$1000,2)),0)=B17)*('Data Base CW TIS'!$B$2:$B$1000="OP1-ROM SB1 BK05")*(ISNUMBER(SEARCH("S3100",'Data Base CW TIS'!$C$2:$C$1000)))*'Data Base CW TIS'!$N$2:$N$1000)</f>
        <v>0</v>
      </c>
      <c r="W17" s="2227" cm="1">
        <f t="array" ref="W17">SUMPRODUCT((IFERROR(VALUE(LEFT('Data Base CW TIS'!$E$2:$E$1000,2)),0)=B17)*('Data Base CW TIS'!$B$2:$B$1000="OP1-ROM SB1 BK05")*(ISNUMBER(SEARCH("S2800",'Data Base CW TIS'!$C$2:$C$1000)))*'Data Base CW TIS'!$N$2:$N$1000)</f>
        <v>0</v>
      </c>
      <c r="X17" s="1038"/>
      <c r="Y17" s="1"/>
      <c r="Z17" s="1025">
        <f>SUMPRODUCT(('DB Hauling TIS'!$C$2:$C$951="TIS-ROM SB1 BK05-ROM 5")*ISNUMBER(SEARCH(TEXT('September TIS'!$B17,"00")&amp;"/09/2026",'DB Hauling TIS'!$E$2:$E$951))*'DB Hauling TIS'!$N$2:$N$951)</f>
        <v>0</v>
      </c>
      <c r="AA17" s="2174">
        <f>SUMPRODUCT(('DB Hauling TIS'!$C$2:$C$951="TIS-ROM SB1 BK05-ROM 6")*ISNUMBER(SEARCH(TEXT('September TIS'!$B17,"00")&amp;"/09/2026",'DB Hauling TIS'!$E$2:$E$951))*'DB Hauling TIS'!$N$2:$N$951)</f>
        <v>0</v>
      </c>
      <c r="AB17" s="1025">
        <f t="shared" si="5"/>
        <v>0</v>
      </c>
      <c r="AC17" s="1025">
        <v>0</v>
      </c>
      <c r="AD17" s="1025">
        <v>0</v>
      </c>
      <c r="AE17" s="1025">
        <f>SUMPRODUCT((('DB Hauling TIS'!$C$2:$C$951="TIS-ROM SB1 BK05-ROM 5")+('DB Hauling TIS'!$C$2:$C$951="TIS-ROM SB1 BK05-ROM 6"))*('DB Hauling TIS'!$H$2:$H$951="MPE")*ISNUMBER(SEARCH(TEXT('September TIS'!$B17,"00")&amp;"/09/2026",'DB Hauling TIS'!$E$2:$E$951))*'DB Hauling TIS'!$N$2:$N$951)</f>
        <v>0</v>
      </c>
      <c r="AF17" s="1025">
        <f>SUMPRODUCT((('DB Hauling TIS'!$C$2:$C$951="TIS-ROM SB1 BK05-ROM 5")+('DB Hauling TIS'!$C$2:$C$951="TIS-ROM SB1 BK05-ROM 6"))*('DB Hauling TIS'!$H$2:$H$951="RP")*ISNUMBER(SEARCH(TEXT('September TIS'!$B17,"00")&amp;"/09/2026",'DB Hauling TIS'!$E$2:$E$951))*'DB Hauling TIS'!$N$2:$N$951)</f>
        <v>0</v>
      </c>
      <c r="AG17" s="1025">
        <f t="shared" ref="AG17:AG43" si="19">SUM(AC17:AF17)</f>
        <v>0</v>
      </c>
      <c r="AH17" s="1025"/>
      <c r="AI17" s="1039"/>
      <c r="AJ17" s="1026">
        <f t="shared" si="7"/>
        <v>0</v>
      </c>
      <c r="AK17" s="1026">
        <f t="shared" si="8"/>
        <v>40576.778019779988</v>
      </c>
      <c r="AL17" s="1040">
        <f t="shared" si="0"/>
        <v>40576.778019779988</v>
      </c>
      <c r="AM17" s="1414"/>
      <c r="AN17" s="1414"/>
      <c r="AO17" s="1310"/>
      <c r="AP17" s="1310"/>
      <c r="AQ17" s="1934">
        <f t="shared" si="15"/>
        <v>0</v>
      </c>
      <c r="AR17" s="1729">
        <f t="shared" si="9"/>
        <v>0</v>
      </c>
      <c r="AS17" s="1729">
        <f t="shared" si="9"/>
        <v>3655.7888670000002</v>
      </c>
      <c r="AT17" s="1007"/>
      <c r="AU17" s="2500" cm="1">
        <f t="array" ref="AU17">SUMPRODUCT((IFERROR(VALUE(LEFT('Data Base CW TIS'!$E$2:$E$1000,2)),0)=B17)*('Data Base CW TIS'!$B$2:$B$1000="ROM TEMPORARY-ROM SB1 BK05")*('Data Base CW TIS'!$C$2:$C$1000="TIS-ROM TEMPORARY-ROM 6 (TIS)")*'Data Base CW TIS'!$N$2:$N$1000)</f>
        <v>0</v>
      </c>
      <c r="AV17" s="1414"/>
      <c r="AW17" s="987"/>
      <c r="AX17" s="310">
        <f t="shared" si="16"/>
        <v>0</v>
      </c>
      <c r="AY17" s="998"/>
      <c r="AZ17" s="2">
        <f>IFERROR(SUMPRODUCT((TIS.HCV.MS!$A$3:$A$92=DATE(2026,9,$B17))*(TIS.HCV.MS!$O$3:$O$92&gt;0)*TIS.HCV.MS!$C$3:$C$92*TIS.HCV.MS!$O$3:$O$92)/SUMPRODUCT((TIS.HCV.MS!$A$3:$A$92=DATE(2026,9,$B17))*(TIS.HCV.MS!$O$3:$O$92&gt;0)*TIS.HCV.MS!$C$3:$C$92),0)</f>
        <v>0</v>
      </c>
      <c r="BA17" s="2110">
        <f>IFERROR(SUMPRODUCT((TIS.HCV.MS!$A$3:$A$92=DATE(2026,9,$B17))*(TIS.HCV.MS!$M$3:$M$92&gt;0)*TIS.HCV.MS!$C$3:$C$92*TIS.HCV.MS!$M$3:$M$92)/SUMPRODUCT((TIS.HCV.MS!$A$3:$A$92=DATE(2026,9,$B17))*(TIS.HCV.MS!$M$3:$M$92&gt;0)*TIS.HCV.MS!$C$3:$C$92),0)</f>
        <v>0</v>
      </c>
      <c r="BB17" s="2110">
        <f>IFERROR(SUMPRODUCT((TIS.HCV.MS!$A$3:$A$92=DATE(2026,9,$B17))*(TIS.HCV.MS!$G$3:$G$92&gt;0)*TIS.HCV.MS!$C$3:$C$92*TIS.HCV.MS!$G$3:$G$92)/SUMPRODUCT((TIS.HCV.MS!$A$3:$A$92=DATE(2026,9,$B17))*(TIS.HCV.MS!$G$3:$G$92&gt;0)*TIS.HCV.MS!$C$3:$C$92),0)</f>
        <v>0</v>
      </c>
      <c r="BC17" s="2110">
        <f>IFERROR(SUMPRODUCT((TIS.HCV.MS!$A$3:$A$92=DATE(2026,9,$B17))*(TIS.HCV.MS!$F$3:$F$92&gt;0)*TIS.HCV.MS!$C$3:$C$92*TIS.HCV.MS!$F$3:$F$92)/SUMPRODUCT((TIS.HCV.MS!$A$3:$A$92=DATE(2026,9,$B17))*(TIS.HCV.MS!$F$3:$F$92&gt;0)*TIS.HCV.MS!$C$3:$C$92),0)</f>
        <v>0</v>
      </c>
      <c r="BD17" s="2111">
        <f>IFERROR(SUMPRODUCT((TIS.HCV.MS!$A$3:$A$92=DATE(2026,9,$B17))*(TIS.HCV.MS!$E$3:$E$92&gt;0)*TIS.HCV.MS!$C$3:$C$92*TIS.HCV.MS!$E$3:$E$92)/SUMPRODUCT((TIS.HCV.MS!$A$3:$A$92=DATE(2026,9,$B17))*(TIS.HCV.MS!$E$3:$E$92&gt;0)*TIS.HCV.MS!$C$3:$C$92),0)</f>
        <v>0</v>
      </c>
      <c r="BF17" s="987"/>
      <c r="BG17" s="987"/>
      <c r="BH17" s="987"/>
      <c r="BI17" s="987"/>
      <c r="BJ17" s="987"/>
      <c r="BK17" s="310"/>
      <c r="BL17" s="310"/>
      <c r="BM17" s="310"/>
      <c r="BN17" s="310"/>
      <c r="BO17" s="310"/>
      <c r="BP17" s="2533">
        <f>'September TCM'!LP15</f>
        <v>0</v>
      </c>
      <c r="BQ17" s="1042"/>
      <c r="BR17" s="1"/>
      <c r="BS17" s="1228">
        <f t="shared" si="10"/>
        <v>56506.317900130001</v>
      </c>
      <c r="BT17" s="1"/>
      <c r="BU17" s="1"/>
      <c r="BV17" s="1"/>
      <c r="BW17" s="1"/>
      <c r="BX17" s="1"/>
      <c r="BY17" s="1"/>
      <c r="BZ17" s="1"/>
      <c r="CA17" s="1"/>
      <c r="CB17" s="1"/>
      <c r="CC17" s="1"/>
      <c r="CD17" s="1"/>
      <c r="CE17" s="1"/>
      <c r="CF17" s="1"/>
      <c r="CG17" s="1"/>
      <c r="CH17" s="1"/>
      <c r="CI17" s="1"/>
      <c r="CJ17" s="1"/>
      <c r="CK17" s="1"/>
      <c r="CM17" s="1033">
        <v>6</v>
      </c>
      <c r="CN17" s="1">
        <f t="shared" si="11"/>
        <v>1138.94</v>
      </c>
      <c r="CO17" s="1226">
        <v>2609061030</v>
      </c>
      <c r="CQ17" s="412">
        <v>6</v>
      </c>
      <c r="CR17" s="1">
        <f t="shared" si="12"/>
        <v>0</v>
      </c>
      <c r="CS17" s="2490"/>
    </row>
    <row r="18" spans="2:97">
      <c r="B18" s="989">
        <v>7</v>
      </c>
      <c r="C18" s="5">
        <f t="shared" si="1"/>
        <v>43157</v>
      </c>
      <c r="D18" s="488">
        <f>Q18+P18+AU18</f>
        <v>854.69999999999993</v>
      </c>
      <c r="E18" s="15">
        <f t="shared" si="2"/>
        <v>50.493740493740496</v>
      </c>
      <c r="F18" s="363"/>
      <c r="G18" s="64"/>
      <c r="H18" s="1034"/>
      <c r="I18" s="2107"/>
      <c r="N18" s="993"/>
      <c r="O18" s="26">
        <v>43157</v>
      </c>
      <c r="P18" s="36"/>
      <c r="Q18" s="277">
        <f t="shared" si="18"/>
        <v>854.69999999999993</v>
      </c>
      <c r="R18" s="1227">
        <f t="shared" si="3"/>
        <v>854.69999999999993</v>
      </c>
      <c r="S18" s="27">
        <f t="shared" si="4"/>
        <v>50.493740493740496</v>
      </c>
      <c r="T18" s="33"/>
      <c r="U18" s="2226" cm="1">
        <f t="array" ref="U18">SUMPRODUCT((IFERROR(VALUE(LEFT('Data Base CW TIS'!$E$2:$E$1000,2)),0)=B18)*('Data Base CW TIS'!$B$2:$B$1000="OP1-ROM SB1 BK05")*(ISNUMBER(SEARCH("S3000",'Data Base CW TIS'!$C$2:$C$1000)))*'Data Base CW TIS'!$N$2:$N$1000)</f>
        <v>854.69999999999993</v>
      </c>
      <c r="V18" s="2227" cm="1">
        <f t="array" ref="V18">SUMPRODUCT((IFERROR(VALUE(LEFT('Data Base CW TIS'!$E$2:$E$1000,2)),0)=B18)*('Data Base CW TIS'!$B$2:$B$1000="OP1-ROM SB1 BK05")*(ISNUMBER(SEARCH("S3100",'Data Base CW TIS'!$C$2:$C$1000)))*'Data Base CW TIS'!$N$2:$N$1000)</f>
        <v>0</v>
      </c>
      <c r="W18" s="2227" cm="1">
        <f t="array" ref="W18">SUMPRODUCT((IFERROR(VALUE(LEFT('Data Base CW TIS'!$E$2:$E$1000,2)),0)=B18)*('Data Base CW TIS'!$B$2:$B$1000="OP1-ROM SB1 BK05")*(ISNUMBER(SEARCH("S2800",'Data Base CW TIS'!$C$2:$C$1000)))*'Data Base CW TIS'!$N$2:$N$1000)</f>
        <v>0</v>
      </c>
      <c r="X18" s="1038"/>
      <c r="Y18" s="1"/>
      <c r="Z18" s="1025">
        <f>SUMPRODUCT(('DB Hauling TIS'!$C$2:$C$951="TIS-ROM SB1 BK05-ROM 5")*ISNUMBER(SEARCH(TEXT('September TIS'!$B18,"00")&amp;"/09/2026",'DB Hauling TIS'!$E$2:$E$951))*'DB Hauling TIS'!$N$2:$N$951)</f>
        <v>0</v>
      </c>
      <c r="AA18" s="2174">
        <f>SUMPRODUCT(('DB Hauling TIS'!$C$2:$C$951="TIS-ROM SB1 BK05-ROM 6")*ISNUMBER(SEARCH(TEXT('September TIS'!$B18,"00")&amp;"/09/2026",'DB Hauling TIS'!$E$2:$E$951))*'DB Hauling TIS'!$N$2:$N$951)</f>
        <v>0</v>
      </c>
      <c r="AB18" s="1025">
        <f t="shared" si="5"/>
        <v>0</v>
      </c>
      <c r="AC18" s="1025">
        <v>0</v>
      </c>
      <c r="AD18" s="1025">
        <v>0</v>
      </c>
      <c r="AE18" s="1025">
        <f>SUMPRODUCT((('DB Hauling TIS'!$C$2:$C$951="TIS-ROM SB1 BK05-ROM 5")+('DB Hauling TIS'!$C$2:$C$951="TIS-ROM SB1 BK05-ROM 6"))*('DB Hauling TIS'!$H$2:$H$951="MPE")*ISNUMBER(SEARCH(TEXT('September TIS'!$B18,"00")&amp;"/09/2026",'DB Hauling TIS'!$E$2:$E$951))*'DB Hauling TIS'!$N$2:$N$951)</f>
        <v>0</v>
      </c>
      <c r="AF18" s="1025">
        <f>SUMPRODUCT((('DB Hauling TIS'!$C$2:$C$951="TIS-ROM SB1 BK05-ROM 5")+('DB Hauling TIS'!$C$2:$C$951="TIS-ROM SB1 BK05-ROM 6"))*('DB Hauling TIS'!$H$2:$H$951="RP")*ISNUMBER(SEARCH(TEXT('September TIS'!$B18,"00")&amp;"/09/2026",'DB Hauling TIS'!$E$2:$E$951))*'DB Hauling TIS'!$N$2:$N$951)</f>
        <v>0</v>
      </c>
      <c r="AG18" s="1025">
        <f t="shared" si="19"/>
        <v>0</v>
      </c>
      <c r="AH18" s="1025"/>
      <c r="AI18" s="1039"/>
      <c r="AJ18" s="1026">
        <f t="shared" si="7"/>
        <v>0</v>
      </c>
      <c r="AK18" s="1026">
        <f t="shared" si="8"/>
        <v>41431.478019779985</v>
      </c>
      <c r="AL18" s="1040">
        <f t="shared" si="0"/>
        <v>41431.478019779985</v>
      </c>
      <c r="AM18" s="1414"/>
      <c r="AN18" s="1414"/>
      <c r="AO18" s="1310"/>
      <c r="AP18" s="1310"/>
      <c r="AQ18" s="1934">
        <f t="shared" si="15"/>
        <v>0</v>
      </c>
      <c r="AR18" s="1729">
        <f t="shared" si="9"/>
        <v>0</v>
      </c>
      <c r="AS18" s="1729">
        <f t="shared" si="9"/>
        <v>3655.7888670000002</v>
      </c>
      <c r="AT18" s="1007"/>
      <c r="AU18" s="2500" cm="1">
        <f t="array" ref="AU18">SUMPRODUCT((IFERROR(VALUE(LEFT('Data Base CW TIS'!$E$2:$E$1000,2)),0)=B18)*('Data Base CW TIS'!$B$2:$B$1000="ROM TEMPORARY-ROM SB1 BK05")*('Data Base CW TIS'!$C$2:$C$1000="TIS-ROM TEMPORARY-ROM 6 (TIS)")*'Data Base CW TIS'!$N$2:$N$1000)</f>
        <v>0</v>
      </c>
      <c r="AV18" s="1414"/>
      <c r="AW18" s="987"/>
      <c r="AX18" s="310">
        <f t="shared" si="16"/>
        <v>0</v>
      </c>
      <c r="AY18" s="998"/>
      <c r="AZ18" s="2">
        <f>IFERROR(SUMPRODUCT((TIS.HCV.MS!$A$3:$A$92=DATE(2026,9,$B18))*(TIS.HCV.MS!$O$3:$O$92&gt;0)*TIS.HCV.MS!$C$3:$C$92*TIS.HCV.MS!$O$3:$O$92)/SUMPRODUCT((TIS.HCV.MS!$A$3:$A$92=DATE(2026,9,$B18))*(TIS.HCV.MS!$O$3:$O$92&gt;0)*TIS.HCV.MS!$C$3:$C$92),0)</f>
        <v>0</v>
      </c>
      <c r="BA18" s="2110">
        <f>IFERROR(SUMPRODUCT((TIS.HCV.MS!$A$3:$A$92=DATE(2026,9,$B18))*(TIS.HCV.MS!$M$3:$M$92&gt;0)*TIS.HCV.MS!$C$3:$C$92*TIS.HCV.MS!$M$3:$M$92)/SUMPRODUCT((TIS.HCV.MS!$A$3:$A$92=DATE(2026,9,$B18))*(TIS.HCV.MS!$M$3:$M$92&gt;0)*TIS.HCV.MS!$C$3:$C$92),0)</f>
        <v>0</v>
      </c>
      <c r="BB18" s="2110">
        <f>IFERROR(SUMPRODUCT((TIS.HCV.MS!$A$3:$A$92=DATE(2026,9,$B18))*(TIS.HCV.MS!$G$3:$G$92&gt;0)*TIS.HCV.MS!$C$3:$C$92*TIS.HCV.MS!$G$3:$G$92)/SUMPRODUCT((TIS.HCV.MS!$A$3:$A$92=DATE(2026,9,$B18))*(TIS.HCV.MS!$G$3:$G$92&gt;0)*TIS.HCV.MS!$C$3:$C$92),0)</f>
        <v>0</v>
      </c>
      <c r="BC18" s="2110">
        <f>IFERROR(SUMPRODUCT((TIS.HCV.MS!$A$3:$A$92=DATE(2026,9,$B18))*(TIS.HCV.MS!$F$3:$F$92&gt;0)*TIS.HCV.MS!$C$3:$C$92*TIS.HCV.MS!$F$3:$F$92)/SUMPRODUCT((TIS.HCV.MS!$A$3:$A$92=DATE(2026,9,$B18))*(TIS.HCV.MS!$F$3:$F$92&gt;0)*TIS.HCV.MS!$C$3:$C$92),0)</f>
        <v>0</v>
      </c>
      <c r="BD18" s="2111">
        <f>IFERROR(SUMPRODUCT((TIS.HCV.MS!$A$3:$A$92=DATE(2026,9,$B18))*(TIS.HCV.MS!$E$3:$E$92&gt;0)*TIS.HCV.MS!$C$3:$C$92*TIS.HCV.MS!$E$3:$E$92)/SUMPRODUCT((TIS.HCV.MS!$A$3:$A$92=DATE(2026,9,$B18))*(TIS.HCV.MS!$E$3:$E$92&gt;0)*TIS.HCV.MS!$C$3:$C$92),0)</f>
        <v>0</v>
      </c>
      <c r="BF18" s="987"/>
      <c r="BG18" s="987"/>
      <c r="BH18" s="987"/>
      <c r="BI18" s="987"/>
      <c r="BJ18" s="987"/>
      <c r="BK18" s="1047"/>
      <c r="BL18" s="310"/>
      <c r="BM18" s="310"/>
      <c r="BN18" s="310"/>
      <c r="BO18" s="310"/>
      <c r="BP18" s="2533">
        <f>'September TCM'!LP16</f>
        <v>0</v>
      </c>
      <c r="BQ18" s="1042"/>
      <c r="BR18" s="1"/>
      <c r="BS18" s="1228">
        <f t="shared" si="10"/>
        <v>56506.317900130001</v>
      </c>
      <c r="BT18" s="1"/>
      <c r="BU18" s="1"/>
      <c r="BV18" s="1"/>
      <c r="BW18" s="1"/>
      <c r="BX18" s="1"/>
      <c r="BY18" s="1"/>
      <c r="BZ18" s="1"/>
      <c r="CA18" s="1"/>
      <c r="CB18" s="1"/>
      <c r="CC18" s="1"/>
      <c r="CD18" s="1"/>
      <c r="CE18" s="1"/>
      <c r="CF18" s="1"/>
      <c r="CG18" s="1"/>
      <c r="CH18" s="1"/>
      <c r="CI18" s="1"/>
      <c r="CJ18" s="1"/>
      <c r="CK18" s="1"/>
      <c r="CM18" s="1033">
        <v>7</v>
      </c>
      <c r="CN18" s="1">
        <f t="shared" si="11"/>
        <v>854.69999999999993</v>
      </c>
      <c r="CO18" s="2554">
        <v>2609071281</v>
      </c>
      <c r="CQ18" s="412">
        <v>7</v>
      </c>
      <c r="CR18" s="1">
        <f t="shared" si="12"/>
        <v>0</v>
      </c>
      <c r="CS18" s="2490"/>
    </row>
    <row r="19" spans="2:97">
      <c r="B19" s="989">
        <v>8</v>
      </c>
      <c r="C19" s="5">
        <f t="shared" si="1"/>
        <v>0</v>
      </c>
      <c r="D19" s="488">
        <f>Q19+P19+AU19</f>
        <v>0</v>
      </c>
      <c r="E19" s="15">
        <f t="shared" si="2"/>
        <v>0</v>
      </c>
      <c r="F19" s="363"/>
      <c r="G19" s="64"/>
      <c r="H19" s="2108"/>
      <c r="I19" s="1035"/>
      <c r="N19" s="993"/>
      <c r="O19" s="26"/>
      <c r="P19" s="36"/>
      <c r="Q19" s="277">
        <f t="shared" si="18"/>
        <v>0</v>
      </c>
      <c r="R19" s="1227">
        <f t="shared" si="3"/>
        <v>0</v>
      </c>
      <c r="S19" s="27">
        <f t="shared" si="4"/>
        <v>0</v>
      </c>
      <c r="T19" s="33"/>
      <c r="U19" s="2226" cm="1">
        <f t="array" ref="U19">SUMPRODUCT((IFERROR(VALUE(LEFT('Data Base CW TIS'!$E$2:$E$1000,2)),0)=B19)*('Data Base CW TIS'!$B$2:$B$1000="OP1-ROM SB1 BK05")*(ISNUMBER(SEARCH("S3000",'Data Base CW TIS'!$C$2:$C$1000)))*'Data Base CW TIS'!$N$2:$N$1000)</f>
        <v>0</v>
      </c>
      <c r="V19" s="2227" cm="1">
        <f t="array" ref="V19">SUMPRODUCT((IFERROR(VALUE(LEFT('Data Base CW TIS'!$E$2:$E$1000,2)),0)=B19)*('Data Base CW TIS'!$B$2:$B$1000="OP1-ROM SB1 BK05")*(ISNUMBER(SEARCH("S3100",'Data Base CW TIS'!$C$2:$C$1000)))*'Data Base CW TIS'!$N$2:$N$1000)</f>
        <v>0</v>
      </c>
      <c r="W19" s="2227" cm="1">
        <f t="array" ref="W19">SUMPRODUCT((IFERROR(VALUE(LEFT('Data Base CW TIS'!$E$2:$E$1000,2)),0)=B19)*('Data Base CW TIS'!$B$2:$B$1000="OP1-ROM SB1 BK05")*(ISNUMBER(SEARCH("S2800",'Data Base CW TIS'!$C$2:$C$1000)))*'Data Base CW TIS'!$N$2:$N$1000)</f>
        <v>0</v>
      </c>
      <c r="X19" s="1038"/>
      <c r="Y19" s="1"/>
      <c r="Z19" s="1025">
        <f>SUMPRODUCT(('DB Hauling TIS'!$C$2:$C$951="TIS-ROM SB1 BK05-ROM 5")*ISNUMBER(SEARCH(TEXT('September TIS'!$B19,"00")&amp;"/09/2026",'DB Hauling TIS'!$E$2:$E$951))*'DB Hauling TIS'!$N$2:$N$951)</f>
        <v>0</v>
      </c>
      <c r="AA19" s="2174">
        <f>SUMPRODUCT(('DB Hauling TIS'!$C$2:$C$951="TIS-ROM SB1 BK05-ROM 6")*ISNUMBER(SEARCH(TEXT('September TIS'!$B19,"00")&amp;"/09/2026",'DB Hauling TIS'!$E$2:$E$951))*'DB Hauling TIS'!$N$2:$N$951)</f>
        <v>0</v>
      </c>
      <c r="AB19" s="1025">
        <f t="shared" si="5"/>
        <v>0</v>
      </c>
      <c r="AC19" s="1025">
        <v>0</v>
      </c>
      <c r="AD19" s="1025">
        <v>0</v>
      </c>
      <c r="AE19" s="1025">
        <f>SUMPRODUCT((('DB Hauling TIS'!$C$2:$C$951="TIS-ROM SB1 BK05-ROM 5")+('DB Hauling TIS'!$C$2:$C$951="TIS-ROM SB1 BK05-ROM 6"))*('DB Hauling TIS'!$H$2:$H$951="MPE")*ISNUMBER(SEARCH(TEXT('September TIS'!$B19,"00")&amp;"/09/2026",'DB Hauling TIS'!$E$2:$E$951))*'DB Hauling TIS'!$N$2:$N$951)</f>
        <v>0</v>
      </c>
      <c r="AF19" s="1025">
        <f>SUMPRODUCT((('DB Hauling TIS'!$C$2:$C$951="TIS-ROM SB1 BK05-ROM 5")+('DB Hauling TIS'!$C$2:$C$951="TIS-ROM SB1 BK05-ROM 6"))*('DB Hauling TIS'!$H$2:$H$951="RP")*ISNUMBER(SEARCH(TEXT('September TIS'!$B19,"00")&amp;"/09/2026",'DB Hauling TIS'!$E$2:$E$951))*'DB Hauling TIS'!$N$2:$N$951)</f>
        <v>0</v>
      </c>
      <c r="AG19" s="1025">
        <f t="shared" si="19"/>
        <v>0</v>
      </c>
      <c r="AH19" s="1025"/>
      <c r="AI19" s="1039"/>
      <c r="AJ19" s="1026">
        <f t="shared" si="7"/>
        <v>0</v>
      </c>
      <c r="AK19" s="1026">
        <f t="shared" si="8"/>
        <v>41431.478019779985</v>
      </c>
      <c r="AL19" s="1040">
        <f t="shared" si="0"/>
        <v>41431.478019779985</v>
      </c>
      <c r="AM19" s="1414"/>
      <c r="AN19" s="1414"/>
      <c r="AO19" s="1310"/>
      <c r="AP19" s="1310"/>
      <c r="AQ19" s="1934">
        <f t="shared" si="15"/>
        <v>0</v>
      </c>
      <c r="AR19" s="1729">
        <f t="shared" si="9"/>
        <v>0</v>
      </c>
      <c r="AS19" s="1729">
        <f t="shared" si="9"/>
        <v>3655.7888670000002</v>
      </c>
      <c r="AT19" s="1007"/>
      <c r="AU19" s="2500" cm="1">
        <f t="array" ref="AU19">SUMPRODUCT((IFERROR(VALUE(LEFT('Data Base CW TIS'!$E$2:$E$1000,2)),0)=B19)*('Data Base CW TIS'!$B$2:$B$1000="ROM TEMPORARY-ROM SB1 BK05")*('Data Base CW TIS'!$C$2:$C$1000="TIS-ROM TEMPORARY-ROM 6 (TIS)")*'Data Base CW TIS'!$N$2:$N$1000)</f>
        <v>0</v>
      </c>
      <c r="AV19" s="1414"/>
      <c r="AW19" s="987"/>
      <c r="AX19" s="310">
        <f t="shared" si="16"/>
        <v>0</v>
      </c>
      <c r="AY19" s="998"/>
      <c r="AZ19" s="2">
        <f>IFERROR(SUMPRODUCT((TIS.HCV.MS!$A$3:$A$92=DATE(2026,9,$B19))*(TIS.HCV.MS!$O$3:$O$92&gt;0)*TIS.HCV.MS!$C$3:$C$92*TIS.HCV.MS!$O$3:$O$92)/SUMPRODUCT((TIS.HCV.MS!$A$3:$A$92=DATE(2026,9,$B19))*(TIS.HCV.MS!$O$3:$O$92&gt;0)*TIS.HCV.MS!$C$3:$C$92),0)</f>
        <v>0</v>
      </c>
      <c r="BA19" s="2110">
        <f>IFERROR(SUMPRODUCT((TIS.HCV.MS!$A$3:$A$92=DATE(2026,9,$B19))*(TIS.HCV.MS!$M$3:$M$92&gt;0)*TIS.HCV.MS!$C$3:$C$92*TIS.HCV.MS!$M$3:$M$92)/SUMPRODUCT((TIS.HCV.MS!$A$3:$A$92=DATE(2026,9,$B19))*(TIS.HCV.MS!$M$3:$M$92&gt;0)*TIS.HCV.MS!$C$3:$C$92),0)</f>
        <v>0</v>
      </c>
      <c r="BB19" s="2110">
        <f>IFERROR(SUMPRODUCT((TIS.HCV.MS!$A$3:$A$92=DATE(2026,9,$B19))*(TIS.HCV.MS!$G$3:$G$92&gt;0)*TIS.HCV.MS!$C$3:$C$92*TIS.HCV.MS!$G$3:$G$92)/SUMPRODUCT((TIS.HCV.MS!$A$3:$A$92=DATE(2026,9,$B19))*(TIS.HCV.MS!$G$3:$G$92&gt;0)*TIS.HCV.MS!$C$3:$C$92),0)</f>
        <v>0</v>
      </c>
      <c r="BC19" s="2110">
        <f>IFERROR(SUMPRODUCT((TIS.HCV.MS!$A$3:$A$92=DATE(2026,9,$B19))*(TIS.HCV.MS!$F$3:$F$92&gt;0)*TIS.HCV.MS!$C$3:$C$92*TIS.HCV.MS!$F$3:$F$92)/SUMPRODUCT((TIS.HCV.MS!$A$3:$A$92=DATE(2026,9,$B19))*(TIS.HCV.MS!$F$3:$F$92&gt;0)*TIS.HCV.MS!$C$3:$C$92),0)</f>
        <v>0</v>
      </c>
      <c r="BD19" s="2111">
        <f>IFERROR(SUMPRODUCT((TIS.HCV.MS!$A$3:$A$92=DATE(2026,9,$B19))*(TIS.HCV.MS!$E$3:$E$92&gt;0)*TIS.HCV.MS!$C$3:$C$92*TIS.HCV.MS!$E$3:$E$92)/SUMPRODUCT((TIS.HCV.MS!$A$3:$A$92=DATE(2026,9,$B19))*(TIS.HCV.MS!$E$3:$E$92&gt;0)*TIS.HCV.MS!$C$3:$C$92),0)</f>
        <v>0</v>
      </c>
      <c r="BF19" s="987"/>
      <c r="BG19" s="987"/>
      <c r="BH19" s="987"/>
      <c r="BI19" s="987"/>
      <c r="BJ19" s="987"/>
      <c r="BK19" s="310"/>
      <c r="BL19" s="310"/>
      <c r="BM19" s="310"/>
      <c r="BN19" s="310"/>
      <c r="BO19" s="310"/>
      <c r="BP19" s="2533">
        <f>'September TCM'!LP17</f>
        <v>0</v>
      </c>
      <c r="BQ19" s="1042"/>
      <c r="BR19" s="1"/>
      <c r="BS19" s="1228">
        <f t="shared" si="10"/>
        <v>56506.317900130001</v>
      </c>
      <c r="BT19" s="1"/>
      <c r="BU19" s="1"/>
      <c r="BV19" s="1"/>
      <c r="BW19" s="1"/>
      <c r="BX19" s="1"/>
      <c r="BY19" s="1"/>
      <c r="BZ19" s="1"/>
      <c r="CA19" s="1"/>
      <c r="CB19" s="1"/>
      <c r="CC19" s="1"/>
      <c r="CD19" s="1"/>
      <c r="CE19" s="1"/>
      <c r="CF19" s="1"/>
      <c r="CG19" s="1"/>
      <c r="CH19" s="1"/>
      <c r="CI19" s="1"/>
      <c r="CJ19" s="1"/>
      <c r="CK19" s="1"/>
      <c r="CM19" s="1033">
        <v>8</v>
      </c>
      <c r="CN19" s="1">
        <f t="shared" si="11"/>
        <v>0</v>
      </c>
      <c r="CO19" s="2490"/>
      <c r="CQ19" s="412">
        <v>8</v>
      </c>
      <c r="CR19" s="1">
        <f t="shared" si="12"/>
        <v>0</v>
      </c>
      <c r="CS19" s="2490"/>
    </row>
    <row r="20" spans="2:97">
      <c r="B20" s="989">
        <v>9</v>
      </c>
      <c r="C20" s="5">
        <f t="shared" si="1"/>
        <v>0</v>
      </c>
      <c r="D20" s="488">
        <f t="shared" ref="D20:D23" si="20">Q20+P20+AU20</f>
        <v>0</v>
      </c>
      <c r="E20" s="15">
        <f t="shared" si="2"/>
        <v>0</v>
      </c>
      <c r="F20" s="363"/>
      <c r="G20" s="64"/>
      <c r="H20" s="1034"/>
      <c r="I20" s="1018"/>
      <c r="N20" s="993"/>
      <c r="O20" s="26"/>
      <c r="P20" s="36"/>
      <c r="Q20" s="277">
        <f t="shared" si="18"/>
        <v>0</v>
      </c>
      <c r="R20" s="1227">
        <f t="shared" si="3"/>
        <v>0</v>
      </c>
      <c r="S20" s="27">
        <f t="shared" si="4"/>
        <v>0</v>
      </c>
      <c r="T20" s="33"/>
      <c r="U20" s="2226" cm="1">
        <f t="array" ref="U20">SUMPRODUCT((IFERROR(VALUE(LEFT('Data Base CW TIS'!$E$2:$E$1000,2)),0)=B20)*('Data Base CW TIS'!$B$2:$B$1000="OP1-ROM SB1 BK05")*(ISNUMBER(SEARCH("S3000",'Data Base CW TIS'!$C$2:$C$1000)))*'Data Base CW TIS'!$N$2:$N$1000)</f>
        <v>0</v>
      </c>
      <c r="V20" s="2227" cm="1">
        <f t="array" ref="V20">SUMPRODUCT((IFERROR(VALUE(LEFT('Data Base CW TIS'!$E$2:$E$1000,2)),0)=B20)*('Data Base CW TIS'!$B$2:$B$1000="OP1-ROM SB1 BK05")*(ISNUMBER(SEARCH("S3100",'Data Base CW TIS'!$C$2:$C$1000)))*'Data Base CW TIS'!$N$2:$N$1000)</f>
        <v>0</v>
      </c>
      <c r="W20" s="2227" cm="1">
        <f t="array" ref="W20">SUMPRODUCT((IFERROR(VALUE(LEFT('Data Base CW TIS'!$E$2:$E$1000,2)),0)=B20)*('Data Base CW TIS'!$B$2:$B$1000="OP1-ROM SB1 BK05")*(ISNUMBER(SEARCH("S2800",'Data Base CW TIS'!$C$2:$C$1000)))*'Data Base CW TIS'!$N$2:$N$1000)</f>
        <v>0</v>
      </c>
      <c r="X20" s="1038"/>
      <c r="Y20" s="1"/>
      <c r="Z20" s="1025">
        <f>SUMPRODUCT(('DB Hauling TIS'!$C$2:$C$951="TIS-ROM SB1 BK05-ROM 5")*ISNUMBER(SEARCH(TEXT('September TIS'!$B20,"00")&amp;"/09/2026",'DB Hauling TIS'!$E$2:$E$951))*'DB Hauling TIS'!$N$2:$N$951)</f>
        <v>0</v>
      </c>
      <c r="AA20" s="2174">
        <f>SUMPRODUCT(('DB Hauling TIS'!$C$2:$C$951="TIS-ROM SB1 BK05-ROM 6")*ISNUMBER(SEARCH(TEXT('September TIS'!$B20,"00")&amp;"/09/2026",'DB Hauling TIS'!$E$2:$E$951))*'DB Hauling TIS'!$N$2:$N$951)</f>
        <v>0</v>
      </c>
      <c r="AB20" s="1025">
        <f t="shared" si="5"/>
        <v>0</v>
      </c>
      <c r="AC20" s="1025">
        <v>0</v>
      </c>
      <c r="AD20" s="1025">
        <v>0</v>
      </c>
      <c r="AE20" s="1025">
        <f>SUMPRODUCT((('DB Hauling TIS'!$C$2:$C$951="TIS-ROM SB1 BK05-ROM 5")+('DB Hauling TIS'!$C$2:$C$951="TIS-ROM SB1 BK05-ROM 6"))*('DB Hauling TIS'!$H$2:$H$951="MPE")*ISNUMBER(SEARCH(TEXT('September TIS'!$B20,"00")&amp;"/09/2026",'DB Hauling TIS'!$E$2:$E$951))*'DB Hauling TIS'!$N$2:$N$951)</f>
        <v>0</v>
      </c>
      <c r="AF20" s="1025">
        <f>SUMPRODUCT((('DB Hauling TIS'!$C$2:$C$951="TIS-ROM SB1 BK05-ROM 5")+('DB Hauling TIS'!$C$2:$C$951="TIS-ROM SB1 BK05-ROM 6"))*('DB Hauling TIS'!$H$2:$H$951="RP")*ISNUMBER(SEARCH(TEXT('September TIS'!$B20,"00")&amp;"/09/2026",'DB Hauling TIS'!$E$2:$E$951))*'DB Hauling TIS'!$N$2:$N$951)</f>
        <v>0</v>
      </c>
      <c r="AG20" s="1025">
        <f t="shared" si="19"/>
        <v>0</v>
      </c>
      <c r="AH20" s="1025"/>
      <c r="AI20" s="1039"/>
      <c r="AJ20" s="1026">
        <f t="shared" si="7"/>
        <v>0</v>
      </c>
      <c r="AK20" s="1026">
        <f t="shared" si="8"/>
        <v>41431.478019779985</v>
      </c>
      <c r="AL20" s="1040">
        <f t="shared" si="0"/>
        <v>41431.478019779985</v>
      </c>
      <c r="AM20" s="1414"/>
      <c r="AN20" s="1414"/>
      <c r="AO20" s="1310"/>
      <c r="AP20" s="1310"/>
      <c r="AQ20" s="1934">
        <f t="shared" si="15"/>
        <v>0</v>
      </c>
      <c r="AR20" s="1729">
        <f t="shared" si="9"/>
        <v>0</v>
      </c>
      <c r="AS20" s="1729">
        <f t="shared" si="9"/>
        <v>3655.7888670000002</v>
      </c>
      <c r="AT20" s="1007"/>
      <c r="AU20" s="2500" cm="1">
        <f t="array" ref="AU20">SUMPRODUCT((IFERROR(VALUE(LEFT('Data Base CW TIS'!$E$2:$E$1000,2)),0)=B20)*('Data Base CW TIS'!$B$2:$B$1000="ROM TEMPORARY-ROM SB1 BK05")*('Data Base CW TIS'!$C$2:$C$1000="TIS-ROM TEMPORARY-ROM 6 (TIS)")*'Data Base CW TIS'!$N$2:$N$1000)</f>
        <v>0</v>
      </c>
      <c r="AV20" s="1414"/>
      <c r="AW20" s="987"/>
      <c r="AX20" s="310">
        <f t="shared" si="16"/>
        <v>0</v>
      </c>
      <c r="AY20" s="998"/>
      <c r="AZ20" s="2">
        <f>IFERROR(SUMPRODUCT((TIS.HCV.MS!$A$3:$A$92=DATE(2026,9,$B20))*(TIS.HCV.MS!$O$3:$O$92&gt;0)*TIS.HCV.MS!$C$3:$C$92*TIS.HCV.MS!$O$3:$O$92)/SUMPRODUCT((TIS.HCV.MS!$A$3:$A$92=DATE(2026,9,$B20))*(TIS.HCV.MS!$O$3:$O$92&gt;0)*TIS.HCV.MS!$C$3:$C$92),0)</f>
        <v>0</v>
      </c>
      <c r="BA20" s="2110">
        <f>IFERROR(SUMPRODUCT((TIS.HCV.MS!$A$3:$A$92=DATE(2026,9,$B20))*(TIS.HCV.MS!$M$3:$M$92&gt;0)*TIS.HCV.MS!$C$3:$C$92*TIS.HCV.MS!$M$3:$M$92)/SUMPRODUCT((TIS.HCV.MS!$A$3:$A$92=DATE(2026,9,$B20))*(TIS.HCV.MS!$M$3:$M$92&gt;0)*TIS.HCV.MS!$C$3:$C$92),0)</f>
        <v>0</v>
      </c>
      <c r="BB20" s="2110">
        <f>IFERROR(SUMPRODUCT((TIS.HCV.MS!$A$3:$A$92=DATE(2026,9,$B20))*(TIS.HCV.MS!$G$3:$G$92&gt;0)*TIS.HCV.MS!$C$3:$C$92*TIS.HCV.MS!$G$3:$G$92)/SUMPRODUCT((TIS.HCV.MS!$A$3:$A$92=DATE(2026,9,$B20))*(TIS.HCV.MS!$G$3:$G$92&gt;0)*TIS.HCV.MS!$C$3:$C$92),0)</f>
        <v>0</v>
      </c>
      <c r="BC20" s="2110">
        <f>IFERROR(SUMPRODUCT((TIS.HCV.MS!$A$3:$A$92=DATE(2026,9,$B20))*(TIS.HCV.MS!$F$3:$F$92&gt;0)*TIS.HCV.MS!$C$3:$C$92*TIS.HCV.MS!$F$3:$F$92)/SUMPRODUCT((TIS.HCV.MS!$A$3:$A$92=DATE(2026,9,$B20))*(TIS.HCV.MS!$F$3:$F$92&gt;0)*TIS.HCV.MS!$C$3:$C$92),0)</f>
        <v>0</v>
      </c>
      <c r="BD20" s="2111">
        <f>IFERROR(SUMPRODUCT((TIS.HCV.MS!$A$3:$A$92=DATE(2026,9,$B20))*(TIS.HCV.MS!$E$3:$E$92&gt;0)*TIS.HCV.MS!$C$3:$C$92*TIS.HCV.MS!$E$3:$E$92)/SUMPRODUCT((TIS.HCV.MS!$A$3:$A$92=DATE(2026,9,$B20))*(TIS.HCV.MS!$E$3:$E$92&gt;0)*TIS.HCV.MS!$C$3:$C$92),0)</f>
        <v>0</v>
      </c>
      <c r="BF20" s="987"/>
      <c r="BG20" s="987"/>
      <c r="BH20" s="987"/>
      <c r="BI20" s="987"/>
      <c r="BJ20" s="987"/>
      <c r="BK20" s="310"/>
      <c r="BL20" s="310"/>
      <c r="BM20" s="310"/>
      <c r="BN20" s="310"/>
      <c r="BO20" s="310"/>
      <c r="BP20" s="2533">
        <f>'September TCM'!LP18</f>
        <v>0</v>
      </c>
      <c r="BQ20" s="1042"/>
      <c r="BR20" s="1"/>
      <c r="BS20" s="1228">
        <f t="shared" si="10"/>
        <v>56506.317900130001</v>
      </c>
      <c r="BT20" s="1"/>
      <c r="BU20" s="1"/>
      <c r="BV20" s="1"/>
      <c r="BW20" s="1"/>
      <c r="BX20" s="1"/>
      <c r="BY20" s="1"/>
      <c r="BZ20" s="1"/>
      <c r="CA20" s="1"/>
      <c r="CB20" s="1"/>
      <c r="CC20" s="1"/>
      <c r="CD20" s="1"/>
      <c r="CE20" s="1"/>
      <c r="CF20" s="1"/>
      <c r="CG20" s="1"/>
      <c r="CH20" s="1"/>
      <c r="CI20" s="1"/>
      <c r="CJ20" s="1"/>
      <c r="CK20" s="1"/>
      <c r="CM20" s="1033">
        <v>9</v>
      </c>
      <c r="CN20" s="1">
        <f t="shared" si="11"/>
        <v>0</v>
      </c>
      <c r="CO20" s="1928"/>
      <c r="CQ20" s="412">
        <v>9</v>
      </c>
      <c r="CR20" s="1">
        <f t="shared" si="12"/>
        <v>0</v>
      </c>
      <c r="CS20" s="2490"/>
    </row>
    <row r="21" spans="2:97">
      <c r="B21" s="989">
        <v>10</v>
      </c>
      <c r="C21" s="5">
        <f t="shared" si="1"/>
        <v>0</v>
      </c>
      <c r="D21" s="488">
        <f t="shared" si="20"/>
        <v>0</v>
      </c>
      <c r="E21" s="15">
        <f t="shared" si="2"/>
        <v>0</v>
      </c>
      <c r="F21" s="363"/>
      <c r="G21" s="64"/>
      <c r="H21" s="1034"/>
      <c r="I21" s="1034"/>
      <c r="N21" s="993"/>
      <c r="O21" s="26"/>
      <c r="P21" s="36"/>
      <c r="Q21" s="277">
        <f t="shared" si="18"/>
        <v>0</v>
      </c>
      <c r="R21" s="1227">
        <f t="shared" si="3"/>
        <v>0</v>
      </c>
      <c r="S21" s="27">
        <f t="shared" si="4"/>
        <v>0</v>
      </c>
      <c r="T21" s="33"/>
      <c r="U21" s="2226" cm="1">
        <f t="array" ref="U21">SUMPRODUCT((IFERROR(VALUE(LEFT('Data Base CW TIS'!$E$2:$E$1000,2)),0)=B21)*('Data Base CW TIS'!$B$2:$B$1000="OP1-ROM SB1 BK05")*(ISNUMBER(SEARCH("S3000",'Data Base CW TIS'!$C$2:$C$1000)))*'Data Base CW TIS'!$N$2:$N$1000)</f>
        <v>0</v>
      </c>
      <c r="V21" s="2227" cm="1">
        <f t="array" ref="V21">SUMPRODUCT((IFERROR(VALUE(LEFT('Data Base CW TIS'!$E$2:$E$1000,2)),0)=B21)*('Data Base CW TIS'!$B$2:$B$1000="OP1-ROM SB1 BK05")*(ISNUMBER(SEARCH("S3100",'Data Base CW TIS'!$C$2:$C$1000)))*'Data Base CW TIS'!$N$2:$N$1000)</f>
        <v>0</v>
      </c>
      <c r="W21" s="2227" cm="1">
        <f t="array" ref="W21">SUMPRODUCT((IFERROR(VALUE(LEFT('Data Base CW TIS'!$E$2:$E$1000,2)),0)=B21)*('Data Base CW TIS'!$B$2:$B$1000="OP1-ROM SB1 BK05")*(ISNUMBER(SEARCH("S2800",'Data Base CW TIS'!$C$2:$C$1000)))*'Data Base CW TIS'!$N$2:$N$1000)</f>
        <v>0</v>
      </c>
      <c r="X21" s="1038"/>
      <c r="Y21" s="1"/>
      <c r="Z21" s="1025">
        <f>SUMPRODUCT(('DB Hauling TIS'!$C$2:$C$951="TIS-ROM SB1 BK05-ROM 5")*ISNUMBER(SEARCH(TEXT('September TIS'!$B21,"00")&amp;"/09/2026",'DB Hauling TIS'!$E$2:$E$951))*'DB Hauling TIS'!$N$2:$N$951)</f>
        <v>0</v>
      </c>
      <c r="AA21" s="2174">
        <f>SUMPRODUCT(('DB Hauling TIS'!$C$2:$C$951="TIS-ROM SB1 BK05-ROM 6")*ISNUMBER(SEARCH(TEXT('September TIS'!$B21,"00")&amp;"/09/2026",'DB Hauling TIS'!$E$2:$E$951))*'DB Hauling TIS'!$N$2:$N$951)</f>
        <v>0</v>
      </c>
      <c r="AB21" s="1025">
        <f t="shared" si="5"/>
        <v>0</v>
      </c>
      <c r="AC21" s="1025">
        <v>0</v>
      </c>
      <c r="AD21" s="1025">
        <v>0</v>
      </c>
      <c r="AE21" s="1025">
        <f>SUMPRODUCT((('DB Hauling TIS'!$C$2:$C$951="TIS-ROM SB1 BK05-ROM 5")+('DB Hauling TIS'!$C$2:$C$951="TIS-ROM SB1 BK05-ROM 6"))*('DB Hauling TIS'!$H$2:$H$951="MPE")*ISNUMBER(SEARCH(TEXT('September TIS'!$B21,"00")&amp;"/09/2026",'DB Hauling TIS'!$E$2:$E$951))*'DB Hauling TIS'!$N$2:$N$951)</f>
        <v>0</v>
      </c>
      <c r="AF21" s="1025">
        <f>SUMPRODUCT((('DB Hauling TIS'!$C$2:$C$951="TIS-ROM SB1 BK05-ROM 5")+('DB Hauling TIS'!$C$2:$C$951="TIS-ROM SB1 BK05-ROM 6"))*('DB Hauling TIS'!$H$2:$H$951="RP")*ISNUMBER(SEARCH(TEXT('September TIS'!$B21,"00")&amp;"/09/2026",'DB Hauling TIS'!$E$2:$E$951))*'DB Hauling TIS'!$N$2:$N$951)</f>
        <v>0</v>
      </c>
      <c r="AG21" s="1025">
        <f t="shared" si="19"/>
        <v>0</v>
      </c>
      <c r="AH21" s="1025"/>
      <c r="AI21" s="1039"/>
      <c r="AJ21" s="1026">
        <f t="shared" si="7"/>
        <v>0</v>
      </c>
      <c r="AK21" s="1026">
        <f t="shared" si="8"/>
        <v>41431.478019779985</v>
      </c>
      <c r="AL21" s="1040">
        <f t="shared" si="0"/>
        <v>41431.478019779985</v>
      </c>
      <c r="AM21" s="1414"/>
      <c r="AN21" s="1414"/>
      <c r="AO21" s="1310"/>
      <c r="AP21" s="1310"/>
      <c r="AQ21" s="1934">
        <f t="shared" si="15"/>
        <v>0</v>
      </c>
      <c r="AR21" s="1729">
        <f t="shared" si="9"/>
        <v>0</v>
      </c>
      <c r="AS21" s="1729">
        <f t="shared" si="9"/>
        <v>3655.7888670000002</v>
      </c>
      <c r="AT21" s="1007"/>
      <c r="AU21" s="2500" cm="1">
        <f t="array" ref="AU21">SUMPRODUCT((IFERROR(VALUE(LEFT('Data Base CW TIS'!$E$2:$E$1000,2)),0)=B21)*('Data Base CW TIS'!$B$2:$B$1000="ROM TEMPORARY-ROM SB1 BK05")*('Data Base CW TIS'!$C$2:$C$1000="TIS-ROM TEMPORARY-ROM 6 (TIS)")*'Data Base CW TIS'!$N$2:$N$1000)</f>
        <v>0</v>
      </c>
      <c r="AV21" s="1414"/>
      <c r="AW21" s="987"/>
      <c r="AX21" s="310">
        <f t="shared" si="16"/>
        <v>0</v>
      </c>
      <c r="AY21" s="998"/>
      <c r="AZ21" s="2">
        <f>IFERROR(SUMPRODUCT((TIS.HCV.MS!$A$3:$A$92=DATE(2026,9,$B21))*(TIS.HCV.MS!$O$3:$O$92&gt;0)*TIS.HCV.MS!$C$3:$C$92*TIS.HCV.MS!$O$3:$O$92)/SUMPRODUCT((TIS.HCV.MS!$A$3:$A$92=DATE(2026,9,$B21))*(TIS.HCV.MS!$O$3:$O$92&gt;0)*TIS.HCV.MS!$C$3:$C$92),0)</f>
        <v>0</v>
      </c>
      <c r="BA21" s="2110">
        <f>IFERROR(SUMPRODUCT((TIS.HCV.MS!$A$3:$A$92=DATE(2026,9,$B21))*(TIS.HCV.MS!$M$3:$M$92&gt;0)*TIS.HCV.MS!$C$3:$C$92*TIS.HCV.MS!$M$3:$M$92)/SUMPRODUCT((TIS.HCV.MS!$A$3:$A$92=DATE(2026,9,$B21))*(TIS.HCV.MS!$M$3:$M$92&gt;0)*TIS.HCV.MS!$C$3:$C$92),0)</f>
        <v>0</v>
      </c>
      <c r="BB21" s="2110">
        <f>IFERROR(SUMPRODUCT((TIS.HCV.MS!$A$3:$A$92=DATE(2026,9,$B21))*(TIS.HCV.MS!$G$3:$G$92&gt;0)*TIS.HCV.MS!$C$3:$C$92*TIS.HCV.MS!$G$3:$G$92)/SUMPRODUCT((TIS.HCV.MS!$A$3:$A$92=DATE(2026,9,$B21))*(TIS.HCV.MS!$G$3:$G$92&gt;0)*TIS.HCV.MS!$C$3:$C$92),0)</f>
        <v>0</v>
      </c>
      <c r="BC21" s="2110">
        <f>IFERROR(SUMPRODUCT((TIS.HCV.MS!$A$3:$A$92=DATE(2026,9,$B21))*(TIS.HCV.MS!$F$3:$F$92&gt;0)*TIS.HCV.MS!$C$3:$C$92*TIS.HCV.MS!$F$3:$F$92)/SUMPRODUCT((TIS.HCV.MS!$A$3:$A$92=DATE(2026,9,$B21))*(TIS.HCV.MS!$F$3:$F$92&gt;0)*TIS.HCV.MS!$C$3:$C$92),0)</f>
        <v>0</v>
      </c>
      <c r="BD21" s="2111">
        <f>IFERROR(SUMPRODUCT((TIS.HCV.MS!$A$3:$A$92=DATE(2026,9,$B21))*(TIS.HCV.MS!$E$3:$E$92&gt;0)*TIS.HCV.MS!$C$3:$C$92*TIS.HCV.MS!$E$3:$E$92)/SUMPRODUCT((TIS.HCV.MS!$A$3:$A$92=DATE(2026,9,$B21))*(TIS.HCV.MS!$E$3:$E$92&gt;0)*TIS.HCV.MS!$C$3:$C$92),0)</f>
        <v>0</v>
      </c>
      <c r="BF21" s="987"/>
      <c r="BG21" s="987"/>
      <c r="BH21" s="987"/>
      <c r="BI21" s="987"/>
      <c r="BJ21" s="987"/>
      <c r="BK21" s="310"/>
      <c r="BL21" s="310"/>
      <c r="BM21" s="310"/>
      <c r="BN21" s="310"/>
      <c r="BO21" s="310"/>
      <c r="BP21" s="2533">
        <f>'September TCM'!LP19</f>
        <v>0</v>
      </c>
      <c r="BQ21" s="1042"/>
      <c r="BR21" s="1"/>
      <c r="BS21" s="1228">
        <f t="shared" si="10"/>
        <v>56506.317900130001</v>
      </c>
      <c r="BT21" s="1"/>
      <c r="BU21" s="1"/>
      <c r="BV21" s="1"/>
      <c r="BW21" s="1"/>
      <c r="BX21" s="1"/>
      <c r="BY21" s="1"/>
      <c r="BZ21" s="1"/>
      <c r="CA21" s="1"/>
      <c r="CB21" s="1"/>
      <c r="CC21" s="1"/>
      <c r="CD21" s="1"/>
      <c r="CE21" s="1"/>
      <c r="CF21" s="1"/>
      <c r="CG21" s="1"/>
      <c r="CH21" s="1"/>
      <c r="CI21" s="1"/>
      <c r="CJ21" s="1"/>
      <c r="CK21" s="1"/>
      <c r="CM21" s="1033">
        <v>10</v>
      </c>
      <c r="CN21" s="1">
        <f t="shared" si="11"/>
        <v>0</v>
      </c>
      <c r="CO21" s="2490"/>
      <c r="CQ21" s="412">
        <v>10</v>
      </c>
      <c r="CR21" s="1">
        <f t="shared" si="12"/>
        <v>0</v>
      </c>
      <c r="CS21" s="2490"/>
    </row>
    <row r="22" spans="2:97">
      <c r="B22" s="989">
        <v>11</v>
      </c>
      <c r="C22" s="5">
        <f t="shared" si="1"/>
        <v>0</v>
      </c>
      <c r="D22" s="488">
        <f t="shared" si="20"/>
        <v>0</v>
      </c>
      <c r="E22" s="15">
        <f t="shared" si="2"/>
        <v>0</v>
      </c>
      <c r="F22" s="363"/>
      <c r="G22" s="64"/>
      <c r="H22" s="1034"/>
      <c r="I22" s="1034"/>
      <c r="N22" s="993"/>
      <c r="O22" s="26"/>
      <c r="P22" s="36"/>
      <c r="Q22" s="277">
        <f t="shared" si="18"/>
        <v>0</v>
      </c>
      <c r="R22" s="1227">
        <f t="shared" si="3"/>
        <v>0</v>
      </c>
      <c r="S22" s="27">
        <f t="shared" si="4"/>
        <v>0</v>
      </c>
      <c r="T22" s="33"/>
      <c r="U22" s="2226" cm="1">
        <f t="array" ref="U22">SUMPRODUCT((IFERROR(VALUE(LEFT('Data Base CW TIS'!$E$2:$E$1000,2)),0)=B22)*('Data Base CW TIS'!$B$2:$B$1000="OP1-ROM SB1 BK05")*(ISNUMBER(SEARCH("S3000",'Data Base CW TIS'!$C$2:$C$1000)))*'Data Base CW TIS'!$N$2:$N$1000)</f>
        <v>0</v>
      </c>
      <c r="V22" s="2227" cm="1">
        <f t="array" ref="V22">SUMPRODUCT((IFERROR(VALUE(LEFT('Data Base CW TIS'!$E$2:$E$1000,2)),0)=B22)*('Data Base CW TIS'!$B$2:$B$1000="OP1-ROM SB1 BK05")*(ISNUMBER(SEARCH("S3100",'Data Base CW TIS'!$C$2:$C$1000)))*'Data Base CW TIS'!$N$2:$N$1000)</f>
        <v>0</v>
      </c>
      <c r="W22" s="2227" cm="1">
        <f t="array" ref="W22">SUMPRODUCT((IFERROR(VALUE(LEFT('Data Base CW TIS'!$E$2:$E$1000,2)),0)=B22)*('Data Base CW TIS'!$B$2:$B$1000="OP1-ROM SB1 BK05")*(ISNUMBER(SEARCH("S2800",'Data Base CW TIS'!$C$2:$C$1000)))*'Data Base CW TIS'!$N$2:$N$1000)</f>
        <v>0</v>
      </c>
      <c r="X22" s="1038"/>
      <c r="Y22" s="1"/>
      <c r="Z22" s="1025">
        <f>SUMPRODUCT(('DB Hauling TIS'!$C$2:$C$951="TIS-ROM SB1 BK05-ROM 5")*ISNUMBER(SEARCH(TEXT('September TIS'!$B22,"00")&amp;"/09/2026",'DB Hauling TIS'!$E$2:$E$951))*'DB Hauling TIS'!$N$2:$N$951)</f>
        <v>0</v>
      </c>
      <c r="AA22" s="2174">
        <f>SUMPRODUCT(('DB Hauling TIS'!$C$2:$C$951="TIS-ROM SB1 BK05-ROM 6")*ISNUMBER(SEARCH(TEXT('September TIS'!$B22,"00")&amp;"/09/2026",'DB Hauling TIS'!$E$2:$E$951))*'DB Hauling TIS'!$N$2:$N$951)</f>
        <v>0</v>
      </c>
      <c r="AB22" s="1025">
        <f t="shared" si="5"/>
        <v>0</v>
      </c>
      <c r="AC22" s="1025">
        <v>0</v>
      </c>
      <c r="AD22" s="1025">
        <v>0</v>
      </c>
      <c r="AE22" s="1025">
        <f>SUMPRODUCT((('DB Hauling TIS'!$C$2:$C$951="TIS-ROM SB1 BK05-ROM 5")+('DB Hauling TIS'!$C$2:$C$951="TIS-ROM SB1 BK05-ROM 6"))*('DB Hauling TIS'!$H$2:$H$951="MPE")*ISNUMBER(SEARCH(TEXT('September TIS'!$B22,"00")&amp;"/09/2026",'DB Hauling TIS'!$E$2:$E$951))*'DB Hauling TIS'!$N$2:$N$951)</f>
        <v>0</v>
      </c>
      <c r="AF22" s="1025">
        <f>SUMPRODUCT((('DB Hauling TIS'!$C$2:$C$951="TIS-ROM SB1 BK05-ROM 5")+('DB Hauling TIS'!$C$2:$C$951="TIS-ROM SB1 BK05-ROM 6"))*('DB Hauling TIS'!$H$2:$H$951="RP")*ISNUMBER(SEARCH(TEXT('September TIS'!$B22,"00")&amp;"/09/2026",'DB Hauling TIS'!$E$2:$E$951))*'DB Hauling TIS'!$N$2:$N$951)</f>
        <v>0</v>
      </c>
      <c r="AG22" s="1025">
        <f t="shared" si="19"/>
        <v>0</v>
      </c>
      <c r="AH22" s="1025"/>
      <c r="AI22" s="1039"/>
      <c r="AJ22" s="1026">
        <f t="shared" si="7"/>
        <v>0</v>
      </c>
      <c r="AK22" s="1026">
        <f t="shared" si="8"/>
        <v>41431.478019779985</v>
      </c>
      <c r="AL22" s="1040">
        <f t="shared" si="0"/>
        <v>41431.478019779985</v>
      </c>
      <c r="AM22" s="1414"/>
      <c r="AN22" s="1414"/>
      <c r="AO22" s="1310"/>
      <c r="AP22" s="1310"/>
      <c r="AQ22" s="1934">
        <f t="shared" si="15"/>
        <v>0</v>
      </c>
      <c r="AR22" s="1729">
        <f t="shared" si="9"/>
        <v>0</v>
      </c>
      <c r="AS22" s="1729">
        <f t="shared" si="9"/>
        <v>3655.7888670000002</v>
      </c>
      <c r="AT22" s="1007"/>
      <c r="AU22" s="2500" cm="1">
        <f t="array" ref="AU22">SUMPRODUCT((IFERROR(VALUE(LEFT('Data Base CW TIS'!$E$2:$E$1000,2)),0)=B22)*('Data Base CW TIS'!$B$2:$B$1000="ROM TEMPORARY-ROM SB1 BK05")*('Data Base CW TIS'!$C$2:$C$1000="TIS-ROM TEMPORARY-ROM 6 (TIS)")*'Data Base CW TIS'!$N$2:$N$1000)</f>
        <v>0</v>
      </c>
      <c r="AV22" s="1414"/>
      <c r="AW22" s="987"/>
      <c r="AX22" s="310">
        <f t="shared" si="16"/>
        <v>0</v>
      </c>
      <c r="AY22" s="998"/>
      <c r="AZ22" s="2">
        <f>IFERROR(SUMPRODUCT((TIS.HCV.MS!$A$3:$A$92=DATE(2026,9,$B22))*(TIS.HCV.MS!$O$3:$O$92&gt;0)*TIS.HCV.MS!$C$3:$C$92*TIS.HCV.MS!$O$3:$O$92)/SUMPRODUCT((TIS.HCV.MS!$A$3:$A$92=DATE(2026,9,$B22))*(TIS.HCV.MS!$O$3:$O$92&gt;0)*TIS.HCV.MS!$C$3:$C$92),0)</f>
        <v>0</v>
      </c>
      <c r="BA22" s="2110">
        <f>IFERROR(SUMPRODUCT((TIS.HCV.MS!$A$3:$A$92=DATE(2026,9,$B22))*(TIS.HCV.MS!$M$3:$M$92&gt;0)*TIS.HCV.MS!$C$3:$C$92*TIS.HCV.MS!$M$3:$M$92)/SUMPRODUCT((TIS.HCV.MS!$A$3:$A$92=DATE(2026,9,$B22))*(TIS.HCV.MS!$M$3:$M$92&gt;0)*TIS.HCV.MS!$C$3:$C$92),0)</f>
        <v>0</v>
      </c>
      <c r="BB22" s="2110">
        <f>IFERROR(SUMPRODUCT((TIS.HCV.MS!$A$3:$A$92=DATE(2026,9,$B22))*(TIS.HCV.MS!$G$3:$G$92&gt;0)*TIS.HCV.MS!$C$3:$C$92*TIS.HCV.MS!$G$3:$G$92)/SUMPRODUCT((TIS.HCV.MS!$A$3:$A$92=DATE(2026,9,$B22))*(TIS.HCV.MS!$G$3:$G$92&gt;0)*TIS.HCV.MS!$C$3:$C$92),0)</f>
        <v>0</v>
      </c>
      <c r="BC22" s="2110">
        <f>IFERROR(SUMPRODUCT((TIS.HCV.MS!$A$3:$A$92=DATE(2026,9,$B22))*(TIS.HCV.MS!$F$3:$F$92&gt;0)*TIS.HCV.MS!$C$3:$C$92*TIS.HCV.MS!$F$3:$F$92)/SUMPRODUCT((TIS.HCV.MS!$A$3:$A$92=DATE(2026,9,$B22))*(TIS.HCV.MS!$F$3:$F$92&gt;0)*TIS.HCV.MS!$C$3:$C$92),0)</f>
        <v>0</v>
      </c>
      <c r="BD22" s="2111">
        <f>IFERROR(SUMPRODUCT((TIS.HCV.MS!$A$3:$A$92=DATE(2026,9,$B22))*(TIS.HCV.MS!$E$3:$E$92&gt;0)*TIS.HCV.MS!$C$3:$C$92*TIS.HCV.MS!$E$3:$E$92)/SUMPRODUCT((TIS.HCV.MS!$A$3:$A$92=DATE(2026,9,$B22))*(TIS.HCV.MS!$E$3:$E$92&gt;0)*TIS.HCV.MS!$C$3:$C$92),0)</f>
        <v>0</v>
      </c>
      <c r="BF22" s="987"/>
      <c r="BG22" s="987"/>
      <c r="BH22" s="987"/>
      <c r="BI22" s="987"/>
      <c r="BJ22" s="987"/>
      <c r="BK22" s="310"/>
      <c r="BL22" s="310"/>
      <c r="BM22" s="310"/>
      <c r="BN22" s="310"/>
      <c r="BO22" s="310"/>
      <c r="BP22" s="2533">
        <f>'September TCM'!LP20</f>
        <v>0</v>
      </c>
      <c r="BQ22" s="1042"/>
      <c r="BR22" s="1"/>
      <c r="BS22" s="1228">
        <f t="shared" si="10"/>
        <v>56506.317900130001</v>
      </c>
      <c r="BT22" s="1"/>
      <c r="BU22" s="1"/>
      <c r="BV22" s="1"/>
      <c r="BW22" s="1"/>
      <c r="BX22" s="1"/>
      <c r="BY22" s="1"/>
      <c r="BZ22" s="1"/>
      <c r="CA22" s="1"/>
      <c r="CB22" s="1"/>
      <c r="CC22" s="1"/>
      <c r="CD22" s="1"/>
      <c r="CE22" s="1"/>
      <c r="CF22" s="1"/>
      <c r="CG22" s="1"/>
      <c r="CH22" s="1"/>
      <c r="CI22" s="1"/>
      <c r="CJ22" s="1"/>
      <c r="CK22" s="1"/>
      <c r="CM22" s="1033">
        <v>11</v>
      </c>
      <c r="CN22" s="1">
        <f t="shared" si="11"/>
        <v>0</v>
      </c>
      <c r="CO22" s="2490"/>
      <c r="CQ22" s="412">
        <v>11</v>
      </c>
      <c r="CR22" s="1">
        <f t="shared" si="12"/>
        <v>0</v>
      </c>
      <c r="CS22" s="2490"/>
    </row>
    <row r="23" spans="2:97">
      <c r="B23" s="989">
        <v>12</v>
      </c>
      <c r="C23" s="5">
        <f t="shared" si="1"/>
        <v>0</v>
      </c>
      <c r="D23" s="488">
        <f t="shared" si="20"/>
        <v>0</v>
      </c>
      <c r="E23" s="15">
        <f t="shared" si="2"/>
        <v>0</v>
      </c>
      <c r="F23" s="363"/>
      <c r="G23" s="64"/>
      <c r="H23" s="1034"/>
      <c r="I23" s="1034"/>
      <c r="N23" s="993"/>
      <c r="O23" s="26"/>
      <c r="P23" s="36"/>
      <c r="Q23" s="277">
        <f t="shared" si="18"/>
        <v>0</v>
      </c>
      <c r="R23" s="1227">
        <f t="shared" si="3"/>
        <v>0</v>
      </c>
      <c r="S23" s="27">
        <f t="shared" si="4"/>
        <v>0</v>
      </c>
      <c r="U23" s="2226" cm="1">
        <f t="array" ref="U23">SUMPRODUCT((IFERROR(VALUE(LEFT('Data Base CW TIS'!$E$2:$E$1000,2)),0)=B23)*('Data Base CW TIS'!$B$2:$B$1000="OP1-ROM SB1 BK05")*(ISNUMBER(SEARCH("S3000",'Data Base CW TIS'!$C$2:$C$1000)))*'Data Base CW TIS'!$N$2:$N$1000)</f>
        <v>0</v>
      </c>
      <c r="V23" s="2227" cm="1">
        <f t="array" ref="V23">SUMPRODUCT((IFERROR(VALUE(LEFT('Data Base CW TIS'!$E$2:$E$1000,2)),0)=B23)*('Data Base CW TIS'!$B$2:$B$1000="OP1-ROM SB1 BK05")*(ISNUMBER(SEARCH("S3100",'Data Base CW TIS'!$C$2:$C$1000)))*'Data Base CW TIS'!$N$2:$N$1000)</f>
        <v>0</v>
      </c>
      <c r="W23" s="2227" cm="1">
        <f t="array" ref="W23">SUMPRODUCT((IFERROR(VALUE(LEFT('Data Base CW TIS'!$E$2:$E$1000,2)),0)=B23)*('Data Base CW TIS'!$B$2:$B$1000="OP1-ROM SB1 BK05")*(ISNUMBER(SEARCH("S2800",'Data Base CW TIS'!$C$2:$C$1000)))*'Data Base CW TIS'!$N$2:$N$1000)</f>
        <v>0</v>
      </c>
      <c r="X23" s="1038"/>
      <c r="Y23" s="1"/>
      <c r="Z23" s="1025">
        <f>SUMPRODUCT(('DB Hauling TIS'!$C$2:$C$951="TIS-ROM SB1 BK05-ROM 5")*ISNUMBER(SEARCH(TEXT('September TIS'!$B23,"00")&amp;"/09/2026",'DB Hauling TIS'!$E$2:$E$951))*'DB Hauling TIS'!$N$2:$N$951)</f>
        <v>0</v>
      </c>
      <c r="AA23" s="2174">
        <f>SUMPRODUCT(('DB Hauling TIS'!$C$2:$C$951="TIS-ROM SB1 BK05-ROM 6")*ISNUMBER(SEARCH(TEXT('September TIS'!$B23,"00")&amp;"/09/2026",'DB Hauling TIS'!$E$2:$E$951))*'DB Hauling TIS'!$N$2:$N$951)</f>
        <v>0</v>
      </c>
      <c r="AB23" s="1025">
        <f t="shared" si="5"/>
        <v>0</v>
      </c>
      <c r="AC23" s="1025">
        <v>0</v>
      </c>
      <c r="AD23" s="1025">
        <v>0</v>
      </c>
      <c r="AE23" s="1025">
        <f>SUMPRODUCT((('DB Hauling TIS'!$C$2:$C$951="TIS-ROM SB1 BK05-ROM 5")+('DB Hauling TIS'!$C$2:$C$951="TIS-ROM SB1 BK05-ROM 6"))*('DB Hauling TIS'!$H$2:$H$951="MPE")*ISNUMBER(SEARCH(TEXT('September TIS'!$B23,"00")&amp;"/09/2026",'DB Hauling TIS'!$E$2:$E$951))*'DB Hauling TIS'!$N$2:$N$951)</f>
        <v>0</v>
      </c>
      <c r="AF23" s="1025">
        <f>SUMPRODUCT((('DB Hauling TIS'!$C$2:$C$951="TIS-ROM SB1 BK05-ROM 5")+('DB Hauling TIS'!$C$2:$C$951="TIS-ROM SB1 BK05-ROM 6"))*('DB Hauling TIS'!$H$2:$H$951="RP")*ISNUMBER(SEARCH(TEXT('September TIS'!$B23,"00")&amp;"/09/2026",'DB Hauling TIS'!$E$2:$E$951))*'DB Hauling TIS'!$N$2:$N$951)</f>
        <v>0</v>
      </c>
      <c r="AG23" s="1025">
        <f t="shared" si="19"/>
        <v>0</v>
      </c>
      <c r="AH23" s="1025"/>
      <c r="AI23" s="1039"/>
      <c r="AJ23" s="1026">
        <f t="shared" si="7"/>
        <v>0</v>
      </c>
      <c r="AK23" s="1026">
        <f t="shared" si="8"/>
        <v>41431.478019779985</v>
      </c>
      <c r="AL23" s="1040">
        <f t="shared" si="0"/>
        <v>41431.478019779985</v>
      </c>
      <c r="AM23" s="1414"/>
      <c r="AN23" s="1414"/>
      <c r="AO23" s="1310"/>
      <c r="AP23" s="1310"/>
      <c r="AQ23" s="1934">
        <f t="shared" si="15"/>
        <v>0</v>
      </c>
      <c r="AR23" s="1729">
        <f t="shared" si="9"/>
        <v>0</v>
      </c>
      <c r="AS23" s="1729">
        <f t="shared" si="9"/>
        <v>3655.7888670000002</v>
      </c>
      <c r="AT23" s="1007"/>
      <c r="AU23" s="2500" cm="1">
        <f t="array" ref="AU23">SUMPRODUCT((IFERROR(VALUE(LEFT('Data Base CW TIS'!$E$2:$E$1000,2)),0)=B23)*('Data Base CW TIS'!$B$2:$B$1000="ROM TEMPORARY-ROM SB1 BK05")*('Data Base CW TIS'!$C$2:$C$1000="TIS-ROM TEMPORARY-ROM 6 (TIS)")*'Data Base CW TIS'!$N$2:$N$1000)</f>
        <v>0</v>
      </c>
      <c r="AV23" s="1414"/>
      <c r="AW23" s="987"/>
      <c r="AX23" s="310">
        <f t="shared" si="16"/>
        <v>0</v>
      </c>
      <c r="AY23" s="998"/>
      <c r="AZ23" s="2">
        <f>IFERROR(SUMPRODUCT((TIS.HCV.MS!$A$3:$A$92=DATE(2026,9,$B23))*(TIS.HCV.MS!$O$3:$O$92&gt;0)*TIS.HCV.MS!$C$3:$C$92*TIS.HCV.MS!$O$3:$O$92)/SUMPRODUCT((TIS.HCV.MS!$A$3:$A$92=DATE(2026,9,$B23))*(TIS.HCV.MS!$O$3:$O$92&gt;0)*TIS.HCV.MS!$C$3:$C$92),0)</f>
        <v>0</v>
      </c>
      <c r="BA23" s="2110">
        <f>IFERROR(SUMPRODUCT((TIS.HCV.MS!$A$3:$A$92=DATE(2026,9,$B23))*(TIS.HCV.MS!$M$3:$M$92&gt;0)*TIS.HCV.MS!$C$3:$C$92*TIS.HCV.MS!$M$3:$M$92)/SUMPRODUCT((TIS.HCV.MS!$A$3:$A$92=DATE(2026,9,$B23))*(TIS.HCV.MS!$M$3:$M$92&gt;0)*TIS.HCV.MS!$C$3:$C$92),0)</f>
        <v>0</v>
      </c>
      <c r="BB23" s="2110">
        <f>IFERROR(SUMPRODUCT((TIS.HCV.MS!$A$3:$A$92=DATE(2026,9,$B23))*(TIS.HCV.MS!$G$3:$G$92&gt;0)*TIS.HCV.MS!$C$3:$C$92*TIS.HCV.MS!$G$3:$G$92)/SUMPRODUCT((TIS.HCV.MS!$A$3:$A$92=DATE(2026,9,$B23))*(TIS.HCV.MS!$G$3:$G$92&gt;0)*TIS.HCV.MS!$C$3:$C$92),0)</f>
        <v>0</v>
      </c>
      <c r="BC23" s="2110">
        <f>IFERROR(SUMPRODUCT((TIS.HCV.MS!$A$3:$A$92=DATE(2026,9,$B23))*(TIS.HCV.MS!$F$3:$F$92&gt;0)*TIS.HCV.MS!$C$3:$C$92*TIS.HCV.MS!$F$3:$F$92)/SUMPRODUCT((TIS.HCV.MS!$A$3:$A$92=DATE(2026,9,$B23))*(TIS.HCV.MS!$F$3:$F$92&gt;0)*TIS.HCV.MS!$C$3:$C$92),0)</f>
        <v>0</v>
      </c>
      <c r="BD23" s="2111">
        <f>IFERROR(SUMPRODUCT((TIS.HCV.MS!$A$3:$A$92=DATE(2026,9,$B23))*(TIS.HCV.MS!$E$3:$E$92&gt;0)*TIS.HCV.MS!$C$3:$C$92*TIS.HCV.MS!$E$3:$E$92)/SUMPRODUCT((TIS.HCV.MS!$A$3:$A$92=DATE(2026,9,$B23))*(TIS.HCV.MS!$E$3:$E$92&gt;0)*TIS.HCV.MS!$C$3:$C$92),0)</f>
        <v>0</v>
      </c>
      <c r="BF23" s="987"/>
      <c r="BG23" s="987"/>
      <c r="BH23" s="987"/>
      <c r="BI23" s="987"/>
      <c r="BJ23" s="987"/>
      <c r="BK23" s="310"/>
      <c r="BL23" s="310"/>
      <c r="BM23" s="310"/>
      <c r="BN23" s="310"/>
      <c r="BO23" s="310"/>
      <c r="BP23" s="2533">
        <f>'September TCM'!LP21</f>
        <v>0</v>
      </c>
      <c r="BQ23" s="1042"/>
      <c r="BR23" s="1"/>
      <c r="BS23" s="1228">
        <f t="shared" si="10"/>
        <v>56506.317900130001</v>
      </c>
      <c r="BT23" s="1"/>
      <c r="BU23" s="1"/>
      <c r="BV23" s="1"/>
      <c r="BW23" s="1"/>
      <c r="BX23" s="1"/>
      <c r="BY23" s="1"/>
      <c r="BZ23" s="1"/>
      <c r="CA23" s="1"/>
      <c r="CB23" s="1"/>
      <c r="CC23" s="1"/>
      <c r="CD23" s="1"/>
      <c r="CE23" s="1"/>
      <c r="CF23" s="1"/>
      <c r="CG23" s="1"/>
      <c r="CH23" s="1"/>
      <c r="CI23" s="1"/>
      <c r="CJ23" s="1"/>
      <c r="CK23" s="1"/>
      <c r="CM23" s="1033">
        <v>12</v>
      </c>
      <c r="CN23" s="1">
        <f t="shared" si="11"/>
        <v>0</v>
      </c>
      <c r="CO23" s="2490"/>
      <c r="CP23" s="1048"/>
      <c r="CQ23" s="412">
        <v>12</v>
      </c>
      <c r="CR23" s="1">
        <f t="shared" si="12"/>
        <v>0</v>
      </c>
      <c r="CS23" s="2490"/>
    </row>
    <row r="24" spans="2:97">
      <c r="B24" s="989">
        <v>13</v>
      </c>
      <c r="C24" s="5">
        <f t="shared" si="1"/>
        <v>0</v>
      </c>
      <c r="D24" s="488">
        <f>Q24+P24+AU24</f>
        <v>0</v>
      </c>
      <c r="E24" s="15">
        <f t="shared" si="2"/>
        <v>0</v>
      </c>
      <c r="F24" s="363"/>
      <c r="G24" s="64"/>
      <c r="H24" s="1034"/>
      <c r="I24" s="1034"/>
      <c r="N24" s="993"/>
      <c r="O24" s="26"/>
      <c r="P24" s="36"/>
      <c r="Q24" s="277">
        <f>W24+V24+U24</f>
        <v>0</v>
      </c>
      <c r="R24" s="1227">
        <f t="shared" si="3"/>
        <v>0</v>
      </c>
      <c r="S24" s="27">
        <f t="shared" si="4"/>
        <v>0</v>
      </c>
      <c r="T24" s="33"/>
      <c r="U24" s="2226" cm="1">
        <f t="array" ref="U24">SUMPRODUCT((IFERROR(VALUE(LEFT('Data Base CW TIS'!$E$2:$E$1000,2)),0)=B24)*('Data Base CW TIS'!$B$2:$B$1000="OP1-ROM SB1 BK05")*(ISNUMBER(SEARCH("S3000",'Data Base CW TIS'!$C$2:$C$1000)))*'Data Base CW TIS'!$N$2:$N$1000)</f>
        <v>0</v>
      </c>
      <c r="V24" s="2227" cm="1">
        <f t="array" ref="V24">SUMPRODUCT((IFERROR(VALUE(LEFT('Data Base CW TIS'!$E$2:$E$1000,2)),0)=B24)*('Data Base CW TIS'!$B$2:$B$1000="OP1-ROM SB1 BK05")*(ISNUMBER(SEARCH("S3100",'Data Base CW TIS'!$C$2:$C$1000)))*'Data Base CW TIS'!$N$2:$N$1000)</f>
        <v>0</v>
      </c>
      <c r="W24" s="2227" cm="1">
        <f t="array" ref="W24">SUMPRODUCT((IFERROR(VALUE(LEFT('Data Base CW TIS'!$E$2:$E$1000,2)),0)=B24)*('Data Base CW TIS'!$B$2:$B$1000="OP1-ROM SB1 BK05")*(ISNUMBER(SEARCH("S2800",'Data Base CW TIS'!$C$2:$C$1000)))*'Data Base CW TIS'!$N$2:$N$1000)</f>
        <v>0</v>
      </c>
      <c r="X24" s="1038"/>
      <c r="Y24" s="1"/>
      <c r="Z24" s="1025">
        <f>SUMPRODUCT(('DB Hauling TIS'!$C$2:$C$951="TIS-ROM SB1 BK05-ROM 5")*ISNUMBER(SEARCH(TEXT('September TIS'!$B24,"00")&amp;"/09/2026",'DB Hauling TIS'!$E$2:$E$951))*'DB Hauling TIS'!$N$2:$N$951)</f>
        <v>0</v>
      </c>
      <c r="AA24" s="2174">
        <f>SUMPRODUCT(('DB Hauling TIS'!$C$2:$C$951="TIS-ROM SB1 BK05-ROM 6")*ISNUMBER(SEARCH(TEXT('September TIS'!$B24,"00")&amp;"/09/2026",'DB Hauling TIS'!$E$2:$E$951))*'DB Hauling TIS'!$N$2:$N$951)</f>
        <v>0</v>
      </c>
      <c r="AB24" s="1025">
        <f t="shared" si="5"/>
        <v>0</v>
      </c>
      <c r="AC24" s="1025">
        <v>0</v>
      </c>
      <c r="AD24" s="1025">
        <v>0</v>
      </c>
      <c r="AE24" s="1025">
        <f>SUMPRODUCT((('DB Hauling TIS'!$C$2:$C$951="TIS-ROM SB1 BK05-ROM 5")+('DB Hauling TIS'!$C$2:$C$951="TIS-ROM SB1 BK05-ROM 6"))*('DB Hauling TIS'!$H$2:$H$951="MPE")*ISNUMBER(SEARCH(TEXT('September TIS'!$B24,"00")&amp;"/09/2026",'DB Hauling TIS'!$E$2:$E$951))*'DB Hauling TIS'!$N$2:$N$951)</f>
        <v>0</v>
      </c>
      <c r="AF24" s="1025">
        <f>SUMPRODUCT((('DB Hauling TIS'!$C$2:$C$951="TIS-ROM SB1 BK05-ROM 5")+('DB Hauling TIS'!$C$2:$C$951="TIS-ROM SB1 BK05-ROM 6"))*('DB Hauling TIS'!$H$2:$H$951="RP")*ISNUMBER(SEARCH(TEXT('September TIS'!$B24,"00")&amp;"/09/2026",'DB Hauling TIS'!$E$2:$E$951))*'DB Hauling TIS'!$N$2:$N$951)</f>
        <v>0</v>
      </c>
      <c r="AG24" s="1025">
        <f t="shared" si="19"/>
        <v>0</v>
      </c>
      <c r="AH24" s="1025"/>
      <c r="AI24" s="1039"/>
      <c r="AJ24" s="1026">
        <f t="shared" si="7"/>
        <v>0</v>
      </c>
      <c r="AK24" s="1026">
        <f t="shared" si="8"/>
        <v>41431.478019779985</v>
      </c>
      <c r="AL24" s="1040">
        <f t="shared" si="0"/>
        <v>41431.478019779985</v>
      </c>
      <c r="AM24" s="1414"/>
      <c r="AN24" s="1414"/>
      <c r="AO24" s="1310"/>
      <c r="AP24" s="1310"/>
      <c r="AQ24" s="1934">
        <f t="shared" si="15"/>
        <v>0</v>
      </c>
      <c r="AR24" s="1729">
        <f t="shared" si="9"/>
        <v>0</v>
      </c>
      <c r="AS24" s="1729">
        <f t="shared" si="9"/>
        <v>3655.7888670000002</v>
      </c>
      <c r="AT24" s="1007"/>
      <c r="AU24" s="2500" cm="1">
        <f t="array" ref="AU24">SUMPRODUCT((IFERROR(VALUE(LEFT('Data Base CW TIS'!$E$2:$E$1000,2)),0)=B24)*('Data Base CW TIS'!$B$2:$B$1000="ROM TEMPORARY-ROM SB1 BK05")*('Data Base CW TIS'!$C$2:$C$1000="TIS-ROM TEMPORARY-ROM 6 (TIS)")*'Data Base CW TIS'!$N$2:$N$1000)</f>
        <v>0</v>
      </c>
      <c r="AV24" s="1414"/>
      <c r="AW24" s="987"/>
      <c r="AX24" s="310">
        <f t="shared" si="16"/>
        <v>0</v>
      </c>
      <c r="AY24" s="998"/>
      <c r="AZ24" s="2">
        <f>IFERROR(SUMPRODUCT((TIS.HCV.MS!$A$3:$A$92=DATE(2026,9,$B24))*(TIS.HCV.MS!$O$3:$O$92&gt;0)*TIS.HCV.MS!$C$3:$C$92*TIS.HCV.MS!$O$3:$O$92)/SUMPRODUCT((TIS.HCV.MS!$A$3:$A$92=DATE(2026,9,$B24))*(TIS.HCV.MS!$O$3:$O$92&gt;0)*TIS.HCV.MS!$C$3:$C$92),0)</f>
        <v>0</v>
      </c>
      <c r="BA24" s="2110">
        <f>IFERROR(SUMPRODUCT((TIS.HCV.MS!$A$3:$A$92=DATE(2026,9,$B24))*(TIS.HCV.MS!$M$3:$M$92&gt;0)*TIS.HCV.MS!$C$3:$C$92*TIS.HCV.MS!$M$3:$M$92)/SUMPRODUCT((TIS.HCV.MS!$A$3:$A$92=DATE(2026,9,$B24))*(TIS.HCV.MS!$M$3:$M$92&gt;0)*TIS.HCV.MS!$C$3:$C$92),0)</f>
        <v>0</v>
      </c>
      <c r="BB24" s="2110">
        <f>IFERROR(SUMPRODUCT((TIS.HCV.MS!$A$3:$A$92=DATE(2026,9,$B24))*(TIS.HCV.MS!$G$3:$G$92&gt;0)*TIS.HCV.MS!$C$3:$C$92*TIS.HCV.MS!$G$3:$G$92)/SUMPRODUCT((TIS.HCV.MS!$A$3:$A$92=DATE(2026,9,$B24))*(TIS.HCV.MS!$G$3:$G$92&gt;0)*TIS.HCV.MS!$C$3:$C$92),0)</f>
        <v>0</v>
      </c>
      <c r="BC24" s="2110">
        <f>IFERROR(SUMPRODUCT((TIS.HCV.MS!$A$3:$A$92=DATE(2026,9,$B24))*(TIS.HCV.MS!$F$3:$F$92&gt;0)*TIS.HCV.MS!$C$3:$C$92*TIS.HCV.MS!$F$3:$F$92)/SUMPRODUCT((TIS.HCV.MS!$A$3:$A$92=DATE(2026,9,$B24))*(TIS.HCV.MS!$F$3:$F$92&gt;0)*TIS.HCV.MS!$C$3:$C$92),0)</f>
        <v>0</v>
      </c>
      <c r="BD24" s="2111">
        <f>IFERROR(SUMPRODUCT((TIS.HCV.MS!$A$3:$A$92=DATE(2026,9,$B24))*(TIS.HCV.MS!$E$3:$E$92&gt;0)*TIS.HCV.MS!$C$3:$C$92*TIS.HCV.MS!$E$3:$E$92)/SUMPRODUCT((TIS.HCV.MS!$A$3:$A$92=DATE(2026,9,$B24))*(TIS.HCV.MS!$E$3:$E$92&gt;0)*TIS.HCV.MS!$C$3:$C$92),0)</f>
        <v>0</v>
      </c>
      <c r="BF24" s="987"/>
      <c r="BG24" s="987"/>
      <c r="BH24" s="987"/>
      <c r="BI24" s="987"/>
      <c r="BJ24" s="987"/>
      <c r="BK24" s="2510"/>
      <c r="BL24" s="310"/>
      <c r="BM24" s="310"/>
      <c r="BN24" s="310"/>
      <c r="BO24" s="310"/>
      <c r="BP24" s="2533">
        <f>'September TCM'!LP22</f>
        <v>0</v>
      </c>
      <c r="BQ24" s="1042"/>
      <c r="BR24" s="1"/>
      <c r="BS24" s="1228">
        <f t="shared" si="10"/>
        <v>56506.317900130001</v>
      </c>
      <c r="BT24" s="1"/>
      <c r="BU24" s="1"/>
      <c r="BV24" s="1"/>
      <c r="BW24" s="1"/>
      <c r="BX24" s="1"/>
      <c r="BY24" s="1"/>
      <c r="BZ24" s="1"/>
      <c r="CA24" s="1"/>
      <c r="CB24" s="1"/>
      <c r="CC24" s="1"/>
      <c r="CD24" s="1"/>
      <c r="CE24" s="1"/>
      <c r="CF24" s="1"/>
      <c r="CG24" s="1"/>
      <c r="CH24" s="1"/>
      <c r="CI24" s="1"/>
      <c r="CJ24" s="1"/>
      <c r="CK24" s="1"/>
      <c r="CM24" s="1033">
        <v>13</v>
      </c>
      <c r="CN24" s="1">
        <f t="shared" si="11"/>
        <v>0</v>
      </c>
      <c r="CO24" s="2499"/>
      <c r="CP24" s="1048"/>
      <c r="CQ24" s="412">
        <v>13</v>
      </c>
      <c r="CR24" s="1">
        <f t="shared" si="12"/>
        <v>0</v>
      </c>
      <c r="CS24" s="2490"/>
    </row>
    <row r="25" spans="2:97">
      <c r="B25" s="989">
        <v>14</v>
      </c>
      <c r="C25" s="5">
        <f t="shared" si="1"/>
        <v>0</v>
      </c>
      <c r="D25" s="488">
        <f>Q25+P25+AU25</f>
        <v>0</v>
      </c>
      <c r="E25" s="15">
        <f t="shared" si="2"/>
        <v>0</v>
      </c>
      <c r="F25" s="363"/>
      <c r="G25" s="64"/>
      <c r="H25" s="1034"/>
      <c r="I25" s="1034"/>
      <c r="N25" s="993"/>
      <c r="O25" s="26"/>
      <c r="P25" s="36"/>
      <c r="Q25" s="277">
        <f t="shared" ref="Q25:Q26" si="21">W25+V25+U25</f>
        <v>0</v>
      </c>
      <c r="R25" s="1227">
        <f t="shared" si="3"/>
        <v>0</v>
      </c>
      <c r="S25" s="27">
        <f t="shared" si="4"/>
        <v>0</v>
      </c>
      <c r="T25" s="33"/>
      <c r="U25" s="2226" cm="1">
        <f t="array" ref="U25">SUMPRODUCT((IFERROR(VALUE(LEFT('Data Base CW TIS'!$E$2:$E$1000,2)),0)=B25)*('Data Base CW TIS'!$B$2:$B$1000="OP1-ROM SB1 BK05")*(ISNUMBER(SEARCH("S3000",'Data Base CW TIS'!$C$2:$C$1000)))*'Data Base CW TIS'!$N$2:$N$1000)</f>
        <v>0</v>
      </c>
      <c r="V25" s="2227" cm="1">
        <f t="array" ref="V25">SUMPRODUCT((IFERROR(VALUE(LEFT('Data Base CW TIS'!$E$2:$E$1000,2)),0)=B25)*('Data Base CW TIS'!$B$2:$B$1000="OP1-ROM SB1 BK05")*(ISNUMBER(SEARCH("S3100",'Data Base CW TIS'!$C$2:$C$1000)))*'Data Base CW TIS'!$N$2:$N$1000)</f>
        <v>0</v>
      </c>
      <c r="W25" s="2227" cm="1">
        <f t="array" ref="W25">SUMPRODUCT((IFERROR(VALUE(LEFT('Data Base CW TIS'!$E$2:$E$1000,2)),0)=B25)*('Data Base CW TIS'!$B$2:$B$1000="OP1-ROM SB1 BK05")*(ISNUMBER(SEARCH("S2800",'Data Base CW TIS'!$C$2:$C$1000)))*'Data Base CW TIS'!$N$2:$N$1000)</f>
        <v>0</v>
      </c>
      <c r="X25" s="1038"/>
      <c r="Y25" s="1"/>
      <c r="Z25" s="1025">
        <f>SUMPRODUCT(('DB Hauling TIS'!$C$2:$C$951="TIS-ROM SB1 BK05-ROM 5")*ISNUMBER(SEARCH(TEXT('September TIS'!$B25,"00")&amp;"/09/2026",'DB Hauling TIS'!$E$2:$E$951))*'DB Hauling TIS'!$N$2:$N$951)</f>
        <v>0</v>
      </c>
      <c r="AA25" s="2174">
        <f>SUMPRODUCT(('DB Hauling TIS'!$C$2:$C$951="TIS-ROM SB1 BK05-ROM 6")*ISNUMBER(SEARCH(TEXT('September TIS'!$B25,"00")&amp;"/09/2026",'DB Hauling TIS'!$E$2:$E$951))*'DB Hauling TIS'!$N$2:$N$951)</f>
        <v>0</v>
      </c>
      <c r="AB25" s="1025">
        <f t="shared" si="5"/>
        <v>0</v>
      </c>
      <c r="AC25" s="1025">
        <v>0</v>
      </c>
      <c r="AD25" s="1025">
        <v>0</v>
      </c>
      <c r="AE25" s="1025">
        <f>SUMPRODUCT((('DB Hauling TIS'!$C$2:$C$951="TIS-ROM SB1 BK05-ROM 5")+('DB Hauling TIS'!$C$2:$C$951="TIS-ROM SB1 BK05-ROM 6"))*('DB Hauling TIS'!$H$2:$H$951="MPE")*ISNUMBER(SEARCH(TEXT('September TIS'!$B25,"00")&amp;"/09/2026",'DB Hauling TIS'!$E$2:$E$951))*'DB Hauling TIS'!$N$2:$N$951)</f>
        <v>0</v>
      </c>
      <c r="AF25" s="1025">
        <f>SUMPRODUCT((('DB Hauling TIS'!$C$2:$C$951="TIS-ROM SB1 BK05-ROM 5")+('DB Hauling TIS'!$C$2:$C$951="TIS-ROM SB1 BK05-ROM 6"))*('DB Hauling TIS'!$H$2:$H$951="RP")*ISNUMBER(SEARCH(TEXT('September TIS'!$B25,"00")&amp;"/09/2026",'DB Hauling TIS'!$E$2:$E$951))*'DB Hauling TIS'!$N$2:$N$951)</f>
        <v>0</v>
      </c>
      <c r="AG25" s="1025">
        <f t="shared" si="19"/>
        <v>0</v>
      </c>
      <c r="AH25" s="1025"/>
      <c r="AI25" s="1039"/>
      <c r="AJ25" s="1026">
        <f t="shared" si="7"/>
        <v>0</v>
      </c>
      <c r="AK25" s="1026">
        <f t="shared" si="8"/>
        <v>41431.478019779985</v>
      </c>
      <c r="AL25" s="1040">
        <f t="shared" si="0"/>
        <v>41431.478019779985</v>
      </c>
      <c r="AM25" s="1414"/>
      <c r="AN25" s="1414"/>
      <c r="AO25" s="1310"/>
      <c r="AP25" s="1310"/>
      <c r="AQ25" s="1934">
        <f t="shared" si="15"/>
        <v>0</v>
      </c>
      <c r="AR25" s="1729">
        <f t="shared" si="9"/>
        <v>0</v>
      </c>
      <c r="AS25" s="1729">
        <f t="shared" si="9"/>
        <v>3655.7888670000002</v>
      </c>
      <c r="AT25" s="1007"/>
      <c r="AU25" s="2500" cm="1">
        <f t="array" ref="AU25">SUMPRODUCT((IFERROR(VALUE(LEFT('Data Base CW TIS'!$E$2:$E$1000,2)),0)=B25)*('Data Base CW TIS'!$B$2:$B$1000="ROM TEMPORARY-ROM SB1 BK05")*('Data Base CW TIS'!$C$2:$C$1000="TIS-ROM TEMPORARY-ROM 6 (TIS)")*'Data Base CW TIS'!$N$2:$N$1000)</f>
        <v>0</v>
      </c>
      <c r="AV25" s="1414"/>
      <c r="AW25" s="987"/>
      <c r="AX25" s="310">
        <f t="shared" si="16"/>
        <v>0</v>
      </c>
      <c r="AY25" s="998"/>
      <c r="AZ25" s="2">
        <f>IFERROR(SUMPRODUCT((TIS.HCV.MS!$A$3:$A$92=DATE(2026,9,$B25))*(TIS.HCV.MS!$O$3:$O$92&gt;0)*TIS.HCV.MS!$C$3:$C$92*TIS.HCV.MS!$O$3:$O$92)/SUMPRODUCT((TIS.HCV.MS!$A$3:$A$92=DATE(2026,9,$B25))*(TIS.HCV.MS!$O$3:$O$92&gt;0)*TIS.HCV.MS!$C$3:$C$92),0)</f>
        <v>0</v>
      </c>
      <c r="BA25" s="2110">
        <f>IFERROR(SUMPRODUCT((TIS.HCV.MS!$A$3:$A$92=DATE(2026,9,$B25))*(TIS.HCV.MS!$M$3:$M$92&gt;0)*TIS.HCV.MS!$C$3:$C$92*TIS.HCV.MS!$M$3:$M$92)/SUMPRODUCT((TIS.HCV.MS!$A$3:$A$92=DATE(2026,9,$B25))*(TIS.HCV.MS!$M$3:$M$92&gt;0)*TIS.HCV.MS!$C$3:$C$92),0)</f>
        <v>0</v>
      </c>
      <c r="BB25" s="2110">
        <f>IFERROR(SUMPRODUCT((TIS.HCV.MS!$A$3:$A$92=DATE(2026,9,$B25))*(TIS.HCV.MS!$G$3:$G$92&gt;0)*TIS.HCV.MS!$C$3:$C$92*TIS.HCV.MS!$G$3:$G$92)/SUMPRODUCT((TIS.HCV.MS!$A$3:$A$92=DATE(2026,9,$B25))*(TIS.HCV.MS!$G$3:$G$92&gt;0)*TIS.HCV.MS!$C$3:$C$92),0)</f>
        <v>0</v>
      </c>
      <c r="BC25" s="2110">
        <f>IFERROR(SUMPRODUCT((TIS.HCV.MS!$A$3:$A$92=DATE(2026,9,$B25))*(TIS.HCV.MS!$F$3:$F$92&gt;0)*TIS.HCV.MS!$C$3:$C$92*TIS.HCV.MS!$F$3:$F$92)/SUMPRODUCT((TIS.HCV.MS!$A$3:$A$92=DATE(2026,9,$B25))*(TIS.HCV.MS!$F$3:$F$92&gt;0)*TIS.HCV.MS!$C$3:$C$92),0)</f>
        <v>0</v>
      </c>
      <c r="BD25" s="2111">
        <f>IFERROR(SUMPRODUCT((TIS.HCV.MS!$A$3:$A$92=DATE(2026,9,$B25))*(TIS.HCV.MS!$E$3:$E$92&gt;0)*TIS.HCV.MS!$C$3:$C$92*TIS.HCV.MS!$E$3:$E$92)/SUMPRODUCT((TIS.HCV.MS!$A$3:$A$92=DATE(2026,9,$B25))*(TIS.HCV.MS!$E$3:$E$92&gt;0)*TIS.HCV.MS!$C$3:$C$92),0)</f>
        <v>0</v>
      </c>
      <c r="BF25" s="987"/>
      <c r="BG25" s="987"/>
      <c r="BH25" s="987"/>
      <c r="BI25" s="987"/>
      <c r="BJ25" s="987"/>
      <c r="BK25" s="847"/>
      <c r="BL25" s="310"/>
      <c r="BM25" s="310"/>
      <c r="BN25" s="310"/>
      <c r="BO25" s="310"/>
      <c r="BP25" s="2533">
        <f>'September TCM'!LP23</f>
        <v>0</v>
      </c>
      <c r="BQ25" s="1042"/>
      <c r="BR25" s="1"/>
      <c r="BS25" s="1228">
        <f t="shared" si="10"/>
        <v>56506.317900130001</v>
      </c>
      <c r="BT25" s="1"/>
      <c r="BU25" s="1"/>
      <c r="BV25" s="1"/>
      <c r="BW25" s="1"/>
      <c r="BX25" s="1"/>
      <c r="BY25" s="1"/>
      <c r="BZ25" s="1"/>
      <c r="CA25" s="1"/>
      <c r="CB25" s="1"/>
      <c r="CC25" s="1"/>
      <c r="CD25" s="1"/>
      <c r="CE25" s="1"/>
      <c r="CF25" s="1"/>
      <c r="CG25" s="1"/>
      <c r="CH25" s="1"/>
      <c r="CI25" s="1"/>
      <c r="CJ25" s="1"/>
      <c r="CK25" s="1"/>
      <c r="CM25" s="1033">
        <v>14</v>
      </c>
      <c r="CN25" s="1">
        <f t="shared" si="11"/>
        <v>0</v>
      </c>
      <c r="CO25" s="2499"/>
      <c r="CP25" s="1048"/>
      <c r="CQ25" s="412">
        <v>14</v>
      </c>
      <c r="CR25" s="1">
        <f t="shared" si="12"/>
        <v>0</v>
      </c>
      <c r="CS25" s="2490"/>
    </row>
    <row r="26" spans="2:97">
      <c r="B26" s="989">
        <v>15</v>
      </c>
      <c r="C26" s="5">
        <f t="shared" si="1"/>
        <v>0</v>
      </c>
      <c r="D26" s="488">
        <f t="shared" ref="D26:D42" si="22">Q26+P26+AU26</f>
        <v>0</v>
      </c>
      <c r="E26" s="15">
        <f t="shared" si="2"/>
        <v>0</v>
      </c>
      <c r="F26" s="363"/>
      <c r="G26" s="64"/>
      <c r="H26" s="1034"/>
      <c r="I26" s="1034"/>
      <c r="N26" s="993"/>
      <c r="O26" s="26"/>
      <c r="P26" s="36"/>
      <c r="Q26" s="277">
        <f t="shared" si="21"/>
        <v>0</v>
      </c>
      <c r="R26" s="1227">
        <f t="shared" si="3"/>
        <v>0</v>
      </c>
      <c r="S26" s="27">
        <f t="shared" si="4"/>
        <v>0</v>
      </c>
      <c r="T26" s="33"/>
      <c r="U26" s="2522" cm="1">
        <f t="array" ref="U26">SUMPRODUCT((IFERROR(VALUE(LEFT('Data Base CW TIS'!$E$2:$E$1000,2)),0)=B26)*('Data Base CW TIS'!$B$2:$B$1000="OP1-ROM SB1 BK05")*(ISNUMBER(SEARCH("S3000",'Data Base CW TIS'!$C$2:$C$1000)))*'Data Base CW TIS'!$N$2:$N$1000)</f>
        <v>0</v>
      </c>
      <c r="V26" s="2227" cm="1">
        <f t="array" ref="V26">SUMPRODUCT((IFERROR(VALUE(LEFT('Data Base CW TIS'!$E$2:$E$1000,2)),0)=B26)*('Data Base CW TIS'!$B$2:$B$1000="OP1-ROM SB1 BK05")*(ISNUMBER(SEARCH("S3100",'Data Base CW TIS'!$C$2:$C$1000)))*'Data Base CW TIS'!$N$2:$N$1000)</f>
        <v>0</v>
      </c>
      <c r="W26" s="2227" cm="1">
        <f t="array" ref="W26">SUMPRODUCT((IFERROR(VALUE(LEFT('Data Base CW TIS'!$E$2:$E$1000,2)),0)=B26)*('Data Base CW TIS'!$B$2:$B$1000="OP1-ROM SB1 BK05")*(ISNUMBER(SEARCH("S2800",'Data Base CW TIS'!$C$2:$C$1000)))*'Data Base CW TIS'!$N$2:$N$1000)</f>
        <v>0</v>
      </c>
      <c r="X26" s="1038"/>
      <c r="Y26" s="1"/>
      <c r="Z26" s="1025">
        <f>SUMPRODUCT(('DB Hauling TIS'!$C$2:$C$951="TIS-ROM SB1 BK05-ROM 5")*ISNUMBER(SEARCH(TEXT('September TIS'!$B26,"00")&amp;"/09/2026",'DB Hauling TIS'!$E$2:$E$951))*'DB Hauling TIS'!$N$2:$N$951)</f>
        <v>0</v>
      </c>
      <c r="AA26" s="2174">
        <f>SUMPRODUCT(('DB Hauling TIS'!$C$2:$C$951="TIS-ROM SB1 BK05-ROM 6")*ISNUMBER(SEARCH(TEXT('September TIS'!$B26,"00")&amp;"/09/2026",'DB Hauling TIS'!$E$2:$E$951))*'DB Hauling TIS'!$N$2:$N$951)</f>
        <v>0</v>
      </c>
      <c r="AB26" s="1025">
        <f t="shared" si="5"/>
        <v>0</v>
      </c>
      <c r="AC26" s="1025">
        <v>0</v>
      </c>
      <c r="AD26" s="1025">
        <v>0</v>
      </c>
      <c r="AE26" s="1025">
        <f>SUMPRODUCT((('DB Hauling TIS'!$C$2:$C$951="TIS-ROM SB1 BK05-ROM 5")+('DB Hauling TIS'!$C$2:$C$951="TIS-ROM SB1 BK05-ROM 6"))*('DB Hauling TIS'!$H$2:$H$951="MPE")*ISNUMBER(SEARCH(TEXT('September TIS'!$B26,"00")&amp;"/09/2026",'DB Hauling TIS'!$E$2:$E$951))*'DB Hauling TIS'!$N$2:$N$951)</f>
        <v>0</v>
      </c>
      <c r="AF26" s="1025">
        <f>SUMPRODUCT((('DB Hauling TIS'!$C$2:$C$951="TIS-ROM SB1 BK05-ROM 5")+('DB Hauling TIS'!$C$2:$C$951="TIS-ROM SB1 BK05-ROM 6"))*('DB Hauling TIS'!$H$2:$H$951="RP")*ISNUMBER(SEARCH(TEXT('September TIS'!$B26,"00")&amp;"/09/2026",'DB Hauling TIS'!$E$2:$E$951))*'DB Hauling TIS'!$N$2:$N$951)</f>
        <v>0</v>
      </c>
      <c r="AG26" s="1025">
        <f t="shared" si="19"/>
        <v>0</v>
      </c>
      <c r="AH26" s="1025"/>
      <c r="AI26" s="1039"/>
      <c r="AJ26" s="1026">
        <f t="shared" si="7"/>
        <v>0</v>
      </c>
      <c r="AK26" s="1026">
        <f t="shared" si="8"/>
        <v>41431.478019779985</v>
      </c>
      <c r="AL26" s="1040">
        <f t="shared" si="0"/>
        <v>41431.478019779985</v>
      </c>
      <c r="AM26" s="1414"/>
      <c r="AN26" s="1414"/>
      <c r="AO26" s="1310"/>
      <c r="AP26" s="1310"/>
      <c r="AQ26" s="1934">
        <f t="shared" si="15"/>
        <v>0</v>
      </c>
      <c r="AR26" s="1729">
        <f t="shared" si="9"/>
        <v>0</v>
      </c>
      <c r="AS26" s="1729">
        <f t="shared" si="9"/>
        <v>3655.7888670000002</v>
      </c>
      <c r="AT26" s="1007"/>
      <c r="AU26" s="2500" cm="1">
        <f t="array" ref="AU26">SUMPRODUCT((IFERROR(VALUE(LEFT('Data Base CW TIS'!$E$2:$E$1000,2)),0)=B26)*('Data Base CW TIS'!$B$2:$B$1000="ROM TEMPORARY-ROM SB1 BK05")*('Data Base CW TIS'!$C$2:$C$1000="TIS-ROM TEMPORARY-ROM 6 (TIS)")*'Data Base CW TIS'!$N$2:$N$1000)</f>
        <v>0</v>
      </c>
      <c r="AV26" s="1414"/>
      <c r="AW26" s="987"/>
      <c r="AX26" s="310">
        <f t="shared" si="16"/>
        <v>0</v>
      </c>
      <c r="AY26" s="998"/>
      <c r="AZ26" s="2">
        <f>IFERROR(SUMPRODUCT((TIS.HCV.MS!$A$3:$A$92=DATE(2026,9,$B26))*(TIS.HCV.MS!$O$3:$O$92&gt;0)*TIS.HCV.MS!$C$3:$C$92*TIS.HCV.MS!$O$3:$O$92)/SUMPRODUCT((TIS.HCV.MS!$A$3:$A$92=DATE(2026,9,$B26))*(TIS.HCV.MS!$O$3:$O$92&gt;0)*TIS.HCV.MS!$C$3:$C$92),0)</f>
        <v>0</v>
      </c>
      <c r="BA26" s="2110">
        <f>IFERROR(SUMPRODUCT((TIS.HCV.MS!$A$3:$A$92=DATE(2026,9,$B26))*(TIS.HCV.MS!$M$3:$M$92&gt;0)*TIS.HCV.MS!$C$3:$C$92*TIS.HCV.MS!$M$3:$M$92)/SUMPRODUCT((TIS.HCV.MS!$A$3:$A$92=DATE(2026,9,$B26))*(TIS.HCV.MS!$M$3:$M$92&gt;0)*TIS.HCV.MS!$C$3:$C$92),0)</f>
        <v>0</v>
      </c>
      <c r="BB26" s="2110">
        <f>IFERROR(SUMPRODUCT((TIS.HCV.MS!$A$3:$A$92=DATE(2026,9,$B26))*(TIS.HCV.MS!$G$3:$G$92&gt;0)*TIS.HCV.MS!$C$3:$C$92*TIS.HCV.MS!$G$3:$G$92)/SUMPRODUCT((TIS.HCV.MS!$A$3:$A$92=DATE(2026,9,$B26))*(TIS.HCV.MS!$G$3:$G$92&gt;0)*TIS.HCV.MS!$C$3:$C$92),0)</f>
        <v>0</v>
      </c>
      <c r="BC26" s="2110">
        <f>IFERROR(SUMPRODUCT((TIS.HCV.MS!$A$3:$A$92=DATE(2026,9,$B26))*(TIS.HCV.MS!$F$3:$F$92&gt;0)*TIS.HCV.MS!$C$3:$C$92*TIS.HCV.MS!$F$3:$F$92)/SUMPRODUCT((TIS.HCV.MS!$A$3:$A$92=DATE(2026,9,$B26))*(TIS.HCV.MS!$F$3:$F$92&gt;0)*TIS.HCV.MS!$C$3:$C$92),0)</f>
        <v>0</v>
      </c>
      <c r="BD26" s="2111">
        <f>IFERROR(SUMPRODUCT((TIS.HCV.MS!$A$3:$A$92=DATE(2026,9,$B26))*(TIS.HCV.MS!$E$3:$E$92&gt;0)*TIS.HCV.MS!$C$3:$C$92*TIS.HCV.MS!$E$3:$E$92)/SUMPRODUCT((TIS.HCV.MS!$A$3:$A$92=DATE(2026,9,$B26))*(TIS.HCV.MS!$E$3:$E$92&gt;0)*TIS.HCV.MS!$C$3:$C$92),0)</f>
        <v>0</v>
      </c>
      <c r="BF26" s="987"/>
      <c r="BG26" s="987"/>
      <c r="BH26" s="987"/>
      <c r="BI26" s="987"/>
      <c r="BJ26" s="987"/>
      <c r="BK26" s="2510"/>
      <c r="BL26" s="310"/>
      <c r="BM26" s="310"/>
      <c r="BN26" s="310"/>
      <c r="BO26" s="310"/>
      <c r="BP26" s="2533">
        <f>'September TCM'!LP24</f>
        <v>0</v>
      </c>
      <c r="BQ26" s="1042"/>
      <c r="BR26" s="1"/>
      <c r="BS26" s="1228">
        <f t="shared" si="10"/>
        <v>56506.317900130001</v>
      </c>
      <c r="BT26" s="1"/>
      <c r="BU26" s="1"/>
      <c r="BV26" s="1"/>
      <c r="BW26" s="1"/>
      <c r="BX26" s="1"/>
      <c r="BY26" s="1"/>
      <c r="BZ26" s="1"/>
      <c r="CA26" s="1"/>
      <c r="CB26" s="1"/>
      <c r="CC26" s="1"/>
      <c r="CD26" s="1"/>
      <c r="CE26" s="1"/>
      <c r="CF26" s="1"/>
      <c r="CG26" s="1"/>
      <c r="CH26" s="1"/>
      <c r="CI26" s="1"/>
      <c r="CJ26" s="1"/>
      <c r="CK26" s="1"/>
      <c r="CM26" s="1033">
        <v>15</v>
      </c>
      <c r="CN26" s="1">
        <f t="shared" si="11"/>
        <v>0</v>
      </c>
      <c r="CO26" s="2490"/>
      <c r="CQ26" s="412">
        <v>15</v>
      </c>
      <c r="CR26" s="1">
        <f t="shared" si="12"/>
        <v>0</v>
      </c>
      <c r="CS26" s="2490"/>
    </row>
    <row r="27" spans="2:97">
      <c r="B27" s="989">
        <v>16</v>
      </c>
      <c r="C27" s="5">
        <f t="shared" si="1"/>
        <v>0</v>
      </c>
      <c r="D27" s="488">
        <f t="shared" si="22"/>
        <v>0</v>
      </c>
      <c r="E27" s="15">
        <f t="shared" si="2"/>
        <v>0</v>
      </c>
      <c r="F27" s="363"/>
      <c r="G27" s="64"/>
      <c r="H27" s="1034"/>
      <c r="I27" s="1034"/>
      <c r="N27" s="993"/>
      <c r="O27" s="26"/>
      <c r="P27" s="36"/>
      <c r="Q27" s="277">
        <f>W27+V27+U27</f>
        <v>0</v>
      </c>
      <c r="R27" s="1227">
        <f t="shared" si="3"/>
        <v>0</v>
      </c>
      <c r="S27" s="27">
        <f t="shared" si="4"/>
        <v>0</v>
      </c>
      <c r="T27" s="33"/>
      <c r="U27" s="2226" cm="1">
        <f t="array" ref="U27">SUMPRODUCT((IFERROR(VALUE(LEFT('Data Base CW TIS'!$E$2:$E$1000,2)),0)=B27)*('Data Base CW TIS'!$B$2:$B$1000="OP1-ROM SB1 BK05")*(ISNUMBER(SEARCH("S3000",'Data Base CW TIS'!$C$2:$C$1000)))*'Data Base CW TIS'!$N$2:$N$1000)</f>
        <v>0</v>
      </c>
      <c r="V27" s="2227" cm="1">
        <f t="array" ref="V27">SUMPRODUCT((IFERROR(VALUE(LEFT('Data Base CW TIS'!$E$2:$E$1000,2)),0)=B27)*('Data Base CW TIS'!$B$2:$B$1000="OP1-ROM SB1 BK05")*(ISNUMBER(SEARCH("S3100",'Data Base CW TIS'!$C$2:$C$1000)))*'Data Base CW TIS'!$N$2:$N$1000)</f>
        <v>0</v>
      </c>
      <c r="W27" s="2227" cm="1">
        <f t="array" ref="W27">SUMPRODUCT((IFERROR(VALUE(LEFT('Data Base CW TIS'!$E$2:$E$1000,2)),0)=B27)*('Data Base CW TIS'!$B$2:$B$1000="OP1-ROM SB1 BK05")*(ISNUMBER(SEARCH("S2800",'Data Base CW TIS'!$C$2:$C$1000)))*'Data Base CW TIS'!$N$2:$N$1000)</f>
        <v>0</v>
      </c>
      <c r="X27" s="1038"/>
      <c r="Y27" s="1"/>
      <c r="Z27" s="1025">
        <f>SUMPRODUCT(('DB Hauling TIS'!$C$2:$C$951="TIS-ROM SB1 BK05-ROM 5")*ISNUMBER(SEARCH(TEXT('September TIS'!$B27,"00")&amp;"/09/2026",'DB Hauling TIS'!$E$2:$E$951))*'DB Hauling TIS'!$N$2:$N$951)</f>
        <v>0</v>
      </c>
      <c r="AA27" s="2174">
        <f>SUMPRODUCT(('DB Hauling TIS'!$C$2:$C$951="TIS-ROM SB1 BK05-ROM 6")*ISNUMBER(SEARCH(TEXT('September TIS'!$B27,"00")&amp;"/09/2026",'DB Hauling TIS'!$E$2:$E$951))*'DB Hauling TIS'!$N$2:$N$951)</f>
        <v>0</v>
      </c>
      <c r="AB27" s="1025">
        <f t="shared" si="5"/>
        <v>0</v>
      </c>
      <c r="AC27" s="1025">
        <v>0</v>
      </c>
      <c r="AD27" s="1025">
        <v>0</v>
      </c>
      <c r="AE27" s="1025">
        <f>SUMPRODUCT((('DB Hauling TIS'!$C$2:$C$951="TIS-ROM SB1 BK05-ROM 5")+('DB Hauling TIS'!$C$2:$C$951="TIS-ROM SB1 BK05-ROM 6"))*('DB Hauling TIS'!$H$2:$H$951="MPE")*ISNUMBER(SEARCH(TEXT('September TIS'!$B27,"00")&amp;"/09/2026",'DB Hauling TIS'!$E$2:$E$951))*'DB Hauling TIS'!$N$2:$N$951)</f>
        <v>0</v>
      </c>
      <c r="AF27" s="1025">
        <f>SUMPRODUCT((('DB Hauling TIS'!$C$2:$C$951="TIS-ROM SB1 BK05-ROM 5")+('DB Hauling TIS'!$C$2:$C$951="TIS-ROM SB1 BK05-ROM 6"))*('DB Hauling TIS'!$H$2:$H$951="RP")*ISNUMBER(SEARCH(TEXT('September TIS'!$B27,"00")&amp;"/09/2026",'DB Hauling TIS'!$E$2:$E$951))*'DB Hauling TIS'!$N$2:$N$951)</f>
        <v>0</v>
      </c>
      <c r="AG27" s="1025">
        <f t="shared" si="19"/>
        <v>0</v>
      </c>
      <c r="AH27" s="1025"/>
      <c r="AI27" s="1039"/>
      <c r="AJ27" s="1026">
        <f t="shared" si="7"/>
        <v>0</v>
      </c>
      <c r="AK27" s="1026">
        <f t="shared" si="8"/>
        <v>41431.478019779985</v>
      </c>
      <c r="AL27" s="1040">
        <f t="shared" si="0"/>
        <v>41431.478019779985</v>
      </c>
      <c r="AM27" s="1414"/>
      <c r="AN27" s="1414"/>
      <c r="AO27" s="1310"/>
      <c r="AP27" s="1310"/>
      <c r="AQ27" s="1934">
        <f t="shared" si="15"/>
        <v>0</v>
      </c>
      <c r="AR27" s="1729">
        <f t="shared" si="9"/>
        <v>0</v>
      </c>
      <c r="AS27" s="1729">
        <f t="shared" si="9"/>
        <v>3655.7888670000002</v>
      </c>
      <c r="AT27" s="1007"/>
      <c r="AU27" s="2500" cm="1">
        <f t="array" ref="AU27">SUMPRODUCT((IFERROR(VALUE(LEFT('Data Base CW TIS'!$E$2:$E$1000,2)),0)=B27)*('Data Base CW TIS'!$B$2:$B$1000="ROM TEMPORARY-ROM SB1 BK05")*('Data Base CW TIS'!$C$2:$C$1000="TIS-ROM TEMPORARY-ROM 6 (TIS)")*'Data Base CW TIS'!$N$2:$N$1000)</f>
        <v>0</v>
      </c>
      <c r="AV27" s="1414"/>
      <c r="AW27" s="987"/>
      <c r="AX27" s="310">
        <f t="shared" si="16"/>
        <v>0</v>
      </c>
      <c r="AY27" s="998"/>
      <c r="AZ27" s="2">
        <f>IFERROR(SUMPRODUCT((TIS.HCV.MS!$A$3:$A$92=DATE(2026,9,$B27))*(TIS.HCV.MS!$O$3:$O$92&gt;0)*TIS.HCV.MS!$C$3:$C$92*TIS.HCV.MS!$O$3:$O$92)/SUMPRODUCT((TIS.HCV.MS!$A$3:$A$92=DATE(2026,9,$B27))*(TIS.HCV.MS!$O$3:$O$92&gt;0)*TIS.HCV.MS!$C$3:$C$92),0)</f>
        <v>0</v>
      </c>
      <c r="BA27" s="2110">
        <f>IFERROR(SUMPRODUCT((TIS.HCV.MS!$A$3:$A$92=DATE(2026,9,$B27))*(TIS.HCV.MS!$M$3:$M$92&gt;0)*TIS.HCV.MS!$C$3:$C$92*TIS.HCV.MS!$M$3:$M$92)/SUMPRODUCT((TIS.HCV.MS!$A$3:$A$92=DATE(2026,9,$B27))*(TIS.HCV.MS!$M$3:$M$92&gt;0)*TIS.HCV.MS!$C$3:$C$92),0)</f>
        <v>0</v>
      </c>
      <c r="BB27" s="2110">
        <f>IFERROR(SUMPRODUCT((TIS.HCV.MS!$A$3:$A$92=DATE(2026,9,$B27))*(TIS.HCV.MS!$G$3:$G$92&gt;0)*TIS.HCV.MS!$C$3:$C$92*TIS.HCV.MS!$G$3:$G$92)/SUMPRODUCT((TIS.HCV.MS!$A$3:$A$92=DATE(2026,9,$B27))*(TIS.HCV.MS!$G$3:$G$92&gt;0)*TIS.HCV.MS!$C$3:$C$92),0)</f>
        <v>0</v>
      </c>
      <c r="BC27" s="2110">
        <f>IFERROR(SUMPRODUCT((TIS.HCV.MS!$A$3:$A$92=DATE(2026,9,$B27))*(TIS.HCV.MS!$F$3:$F$92&gt;0)*TIS.HCV.MS!$C$3:$C$92*TIS.HCV.MS!$F$3:$F$92)/SUMPRODUCT((TIS.HCV.MS!$A$3:$A$92=DATE(2026,9,$B27))*(TIS.HCV.MS!$F$3:$F$92&gt;0)*TIS.HCV.MS!$C$3:$C$92),0)</f>
        <v>0</v>
      </c>
      <c r="BD27" s="2111">
        <f>IFERROR(SUMPRODUCT((TIS.HCV.MS!$A$3:$A$92=DATE(2026,9,$B27))*(TIS.HCV.MS!$E$3:$E$92&gt;0)*TIS.HCV.MS!$C$3:$C$92*TIS.HCV.MS!$E$3:$E$92)/SUMPRODUCT((TIS.HCV.MS!$A$3:$A$92=DATE(2026,9,$B27))*(TIS.HCV.MS!$E$3:$E$92&gt;0)*TIS.HCV.MS!$C$3:$C$92),0)</f>
        <v>0</v>
      </c>
      <c r="BF27" s="987"/>
      <c r="BG27" s="987"/>
      <c r="BH27" s="987"/>
      <c r="BI27" s="987"/>
      <c r="BJ27" s="987"/>
      <c r="BK27" s="847"/>
      <c r="BL27" s="310"/>
      <c r="BM27" s="310"/>
      <c r="BN27" s="310"/>
      <c r="BO27" s="310"/>
      <c r="BP27" s="2533">
        <f>'September TCM'!LP25</f>
        <v>0</v>
      </c>
      <c r="BQ27" s="1042"/>
      <c r="BR27" s="1"/>
      <c r="BS27" s="1228">
        <f t="shared" si="10"/>
        <v>56506.317900130001</v>
      </c>
      <c r="BT27" s="1"/>
      <c r="BU27" s="1"/>
      <c r="BV27" s="1"/>
      <c r="BW27" s="1"/>
      <c r="BX27" s="1"/>
      <c r="BY27" s="1"/>
      <c r="BZ27" s="1"/>
      <c r="CA27" s="1"/>
      <c r="CB27" s="1"/>
      <c r="CC27" s="1"/>
      <c r="CD27" s="1"/>
      <c r="CE27" s="1"/>
      <c r="CF27" s="1"/>
      <c r="CG27" s="1"/>
      <c r="CH27" s="1"/>
      <c r="CI27" s="1"/>
      <c r="CJ27" s="1"/>
      <c r="CK27" s="1"/>
      <c r="CM27" s="1033">
        <v>16</v>
      </c>
      <c r="CN27" s="1">
        <f t="shared" si="11"/>
        <v>0</v>
      </c>
      <c r="CO27" s="2490"/>
      <c r="CP27" s="1048"/>
      <c r="CQ27" s="412">
        <v>16</v>
      </c>
      <c r="CR27" s="1">
        <f t="shared" si="12"/>
        <v>0</v>
      </c>
      <c r="CS27" s="2490"/>
    </row>
    <row r="28" spans="2:97">
      <c r="B28" s="989">
        <v>17</v>
      </c>
      <c r="C28" s="5">
        <f t="shared" si="1"/>
        <v>0</v>
      </c>
      <c r="D28" s="488">
        <f t="shared" si="22"/>
        <v>0</v>
      </c>
      <c r="E28" s="15">
        <f t="shared" si="2"/>
        <v>0</v>
      </c>
      <c r="F28" s="363"/>
      <c r="G28" s="64"/>
      <c r="H28" s="1034"/>
      <c r="I28" s="1034"/>
      <c r="N28" s="993"/>
      <c r="O28" s="26"/>
      <c r="P28" s="36"/>
      <c r="Q28" s="277">
        <f t="shared" ref="Q28:Q42" si="23">W28+V28+U28</f>
        <v>0</v>
      </c>
      <c r="R28" s="1227">
        <f t="shared" si="3"/>
        <v>0</v>
      </c>
      <c r="S28" s="27">
        <f t="shared" si="4"/>
        <v>0</v>
      </c>
      <c r="T28" s="33"/>
      <c r="U28" s="2226" cm="1">
        <f t="array" ref="U28">SUMPRODUCT((IFERROR(VALUE(LEFT('Data Base CW TIS'!$E$2:$E$1000,2)),0)=B28)*('Data Base CW TIS'!$B$2:$B$1000="OP1-ROM SB1 BK05")*(ISNUMBER(SEARCH("S3000",'Data Base CW TIS'!$C$2:$C$1000)))*'Data Base CW TIS'!$N$2:$N$1000)</f>
        <v>0</v>
      </c>
      <c r="V28" s="2227" cm="1">
        <f t="array" ref="V28">SUMPRODUCT((IFERROR(VALUE(LEFT('Data Base CW TIS'!$E$2:$E$1000,2)),0)=B28)*('Data Base CW TIS'!$B$2:$B$1000="OP1-ROM SB1 BK05")*(ISNUMBER(SEARCH("S3100",'Data Base CW TIS'!$C$2:$C$1000)))*'Data Base CW TIS'!$N$2:$N$1000)</f>
        <v>0</v>
      </c>
      <c r="W28" s="2227" cm="1">
        <f t="array" ref="W28">SUMPRODUCT((IFERROR(VALUE(LEFT('Data Base CW TIS'!$E$2:$E$1000,2)),0)=B28)*('Data Base CW TIS'!$B$2:$B$1000="OP1-ROM SB1 BK05")*(ISNUMBER(SEARCH("S2800",'Data Base CW TIS'!$C$2:$C$1000)))*'Data Base CW TIS'!$N$2:$N$1000)</f>
        <v>0</v>
      </c>
      <c r="X28" s="1038"/>
      <c r="Y28" s="1"/>
      <c r="Z28" s="1025">
        <f>SUMPRODUCT(('DB Hauling TIS'!$C$2:$C$951="TIS-ROM SB1 BK05-ROM 5")*ISNUMBER(SEARCH(TEXT('September TIS'!$B28,"00")&amp;"/09/2026",'DB Hauling TIS'!$E$2:$E$951))*'DB Hauling TIS'!$N$2:$N$951)</f>
        <v>0</v>
      </c>
      <c r="AA28" s="2174">
        <f>SUMPRODUCT(('DB Hauling TIS'!$C$2:$C$951="TIS-ROM SB1 BK05-ROM 6")*ISNUMBER(SEARCH(TEXT('September TIS'!$B28,"00")&amp;"/09/2026",'DB Hauling TIS'!$E$2:$E$951))*'DB Hauling TIS'!$N$2:$N$951)</f>
        <v>0</v>
      </c>
      <c r="AB28" s="1025">
        <f t="shared" si="5"/>
        <v>0</v>
      </c>
      <c r="AC28" s="1025">
        <v>0</v>
      </c>
      <c r="AD28" s="1025">
        <v>0</v>
      </c>
      <c r="AE28" s="1025">
        <f>SUMPRODUCT((('DB Hauling TIS'!$C$2:$C$951="TIS-ROM SB1 BK05-ROM 5")+('DB Hauling TIS'!$C$2:$C$951="TIS-ROM SB1 BK05-ROM 6"))*('DB Hauling TIS'!$H$2:$H$951="MPE")*ISNUMBER(SEARCH(TEXT('September TIS'!$B28,"00")&amp;"/09/2026",'DB Hauling TIS'!$E$2:$E$951))*'DB Hauling TIS'!$N$2:$N$951)</f>
        <v>0</v>
      </c>
      <c r="AF28" s="1025">
        <f>SUMPRODUCT((('DB Hauling TIS'!$C$2:$C$951="TIS-ROM SB1 BK05-ROM 5")+('DB Hauling TIS'!$C$2:$C$951="TIS-ROM SB1 BK05-ROM 6"))*('DB Hauling TIS'!$H$2:$H$951="RP")*ISNUMBER(SEARCH(TEXT('September TIS'!$B28,"00")&amp;"/09/2026",'DB Hauling TIS'!$E$2:$E$951))*'DB Hauling TIS'!$N$2:$N$951)</f>
        <v>0</v>
      </c>
      <c r="AG28" s="1025">
        <f t="shared" si="19"/>
        <v>0</v>
      </c>
      <c r="AH28" s="1025"/>
      <c r="AI28" s="1039"/>
      <c r="AJ28" s="1026">
        <f t="shared" si="7"/>
        <v>0</v>
      </c>
      <c r="AK28" s="1026">
        <f t="shared" si="8"/>
        <v>41431.478019779985</v>
      </c>
      <c r="AL28" s="1040">
        <f t="shared" si="0"/>
        <v>41431.478019779985</v>
      </c>
      <c r="AM28" s="1414"/>
      <c r="AN28" s="1414"/>
      <c r="AO28" s="1310"/>
      <c r="AP28" s="1310"/>
      <c r="AQ28" s="1934">
        <f t="shared" si="15"/>
        <v>0</v>
      </c>
      <c r="AR28" s="1729">
        <f t="shared" ref="AR28:AS42" si="24">AR27+AO28-AT28</f>
        <v>0</v>
      </c>
      <c r="AS28" s="1729">
        <f t="shared" si="24"/>
        <v>3655.7888670000002</v>
      </c>
      <c r="AT28" s="1007"/>
      <c r="AU28" s="2500" cm="1">
        <f t="array" ref="AU28">SUMPRODUCT((IFERROR(VALUE(LEFT('Data Base CW TIS'!$E$2:$E$1000,2)),0)=B28)*('Data Base CW TIS'!$B$2:$B$1000="ROM TEMPORARY-ROM SB1 BK05")*('Data Base CW TIS'!$C$2:$C$1000="TIS-ROM TEMPORARY-ROM 6 (TIS)")*'Data Base CW TIS'!$N$2:$N$1000)</f>
        <v>0</v>
      </c>
      <c r="AV28" s="1414"/>
      <c r="AW28" s="987"/>
      <c r="AX28" s="310">
        <f t="shared" si="16"/>
        <v>0</v>
      </c>
      <c r="AY28" s="998"/>
      <c r="AZ28" s="2">
        <f>IFERROR(SUMPRODUCT((TIS.HCV.MS!$A$3:$A$92=DATE(2026,9,$B28))*(TIS.HCV.MS!$O$3:$O$92&gt;0)*TIS.HCV.MS!$C$3:$C$92*TIS.HCV.MS!$O$3:$O$92)/SUMPRODUCT((TIS.HCV.MS!$A$3:$A$92=DATE(2026,9,$B28))*(TIS.HCV.MS!$O$3:$O$92&gt;0)*TIS.HCV.MS!$C$3:$C$92),0)</f>
        <v>0</v>
      </c>
      <c r="BA28" s="2110">
        <f>IFERROR(SUMPRODUCT((TIS.HCV.MS!$A$3:$A$92=DATE(2026,9,$B28))*(TIS.HCV.MS!$M$3:$M$92&gt;0)*TIS.HCV.MS!$C$3:$C$92*TIS.HCV.MS!$M$3:$M$92)/SUMPRODUCT((TIS.HCV.MS!$A$3:$A$92=DATE(2026,9,$B28))*(TIS.HCV.MS!$M$3:$M$92&gt;0)*TIS.HCV.MS!$C$3:$C$92),0)</f>
        <v>0</v>
      </c>
      <c r="BB28" s="2110">
        <f>IFERROR(SUMPRODUCT((TIS.HCV.MS!$A$3:$A$92=DATE(2026,9,$B28))*(TIS.HCV.MS!$G$3:$G$92&gt;0)*TIS.HCV.MS!$C$3:$C$92*TIS.HCV.MS!$G$3:$G$92)/SUMPRODUCT((TIS.HCV.MS!$A$3:$A$92=DATE(2026,9,$B28))*(TIS.HCV.MS!$G$3:$G$92&gt;0)*TIS.HCV.MS!$C$3:$C$92),0)</f>
        <v>0</v>
      </c>
      <c r="BC28" s="2110">
        <f>IFERROR(SUMPRODUCT((TIS.HCV.MS!$A$3:$A$92=DATE(2026,9,$B28))*(TIS.HCV.MS!$F$3:$F$92&gt;0)*TIS.HCV.MS!$C$3:$C$92*TIS.HCV.MS!$F$3:$F$92)/SUMPRODUCT((TIS.HCV.MS!$A$3:$A$92=DATE(2026,9,$B28))*(TIS.HCV.MS!$F$3:$F$92&gt;0)*TIS.HCV.MS!$C$3:$C$92),0)</f>
        <v>0</v>
      </c>
      <c r="BD28" s="2111">
        <f>IFERROR(SUMPRODUCT((TIS.HCV.MS!$A$3:$A$92=DATE(2026,9,$B28))*(TIS.HCV.MS!$E$3:$E$92&gt;0)*TIS.HCV.MS!$C$3:$C$92*TIS.HCV.MS!$E$3:$E$92)/SUMPRODUCT((TIS.HCV.MS!$A$3:$A$92=DATE(2026,9,$B28))*(TIS.HCV.MS!$E$3:$E$92&gt;0)*TIS.HCV.MS!$C$3:$C$92),0)</f>
        <v>0</v>
      </c>
      <c r="BF28" s="987"/>
      <c r="BG28" s="987"/>
      <c r="BH28" s="987"/>
      <c r="BI28" s="987"/>
      <c r="BJ28" s="987"/>
      <c r="BK28" s="1049"/>
      <c r="BL28" s="310"/>
      <c r="BM28" s="310"/>
      <c r="BN28" s="310"/>
      <c r="BO28" s="310"/>
      <c r="BP28" s="2533">
        <f>'September TCM'!LP26</f>
        <v>0</v>
      </c>
      <c r="BQ28" s="1042"/>
      <c r="BR28" s="1"/>
      <c r="BS28" s="1228">
        <f t="shared" si="10"/>
        <v>56506.317900130001</v>
      </c>
      <c r="BT28" s="1"/>
      <c r="BU28" s="1"/>
      <c r="BV28" s="1"/>
      <c r="BW28" s="1"/>
      <c r="BX28" s="1"/>
      <c r="BY28" s="1"/>
      <c r="BZ28" s="1"/>
      <c r="CA28" s="1"/>
      <c r="CB28" s="1"/>
      <c r="CC28" s="1"/>
      <c r="CD28" s="1"/>
      <c r="CE28" s="1"/>
      <c r="CF28" s="1"/>
      <c r="CG28" s="1"/>
      <c r="CH28" s="1"/>
      <c r="CI28" s="1"/>
      <c r="CJ28" s="1"/>
      <c r="CK28" s="1"/>
      <c r="CM28" s="1033">
        <v>17</v>
      </c>
      <c r="CN28" s="1">
        <f t="shared" si="11"/>
        <v>0</v>
      </c>
      <c r="CO28" s="2490"/>
      <c r="CQ28" s="412">
        <v>17</v>
      </c>
      <c r="CR28" s="1">
        <f t="shared" si="12"/>
        <v>0</v>
      </c>
      <c r="CS28" s="2490"/>
    </row>
    <row r="29" spans="2:97">
      <c r="B29" s="989">
        <v>18</v>
      </c>
      <c r="C29" s="5">
        <f t="shared" si="1"/>
        <v>0</v>
      </c>
      <c r="D29" s="488">
        <f t="shared" si="22"/>
        <v>0</v>
      </c>
      <c r="E29" s="15">
        <f t="shared" si="2"/>
        <v>0</v>
      </c>
      <c r="F29" s="363"/>
      <c r="G29" s="64"/>
      <c r="H29" s="1034"/>
      <c r="I29" s="1034"/>
      <c r="N29" s="993"/>
      <c r="O29" s="26"/>
      <c r="P29" s="36"/>
      <c r="Q29" s="277">
        <f t="shared" si="23"/>
        <v>0</v>
      </c>
      <c r="R29" s="1227">
        <f t="shared" si="3"/>
        <v>0</v>
      </c>
      <c r="S29" s="27">
        <f t="shared" si="4"/>
        <v>0</v>
      </c>
      <c r="T29" s="33"/>
      <c r="U29" s="2226" cm="1">
        <f t="array" ref="U29">SUMPRODUCT((IFERROR(VALUE(LEFT('Data Base CW TIS'!$E$2:$E$1000,2)),0)=B29)*('Data Base CW TIS'!$B$2:$B$1000="OP1-ROM SB1 BK05")*(ISNUMBER(SEARCH("S3000",'Data Base CW TIS'!$C$2:$C$1000)))*'Data Base CW TIS'!$N$2:$N$1000)</f>
        <v>0</v>
      </c>
      <c r="V29" s="2227" cm="1">
        <f t="array" ref="V29">SUMPRODUCT((IFERROR(VALUE(LEFT('Data Base CW TIS'!$E$2:$E$1000,2)),0)=B29)*('Data Base CW TIS'!$B$2:$B$1000="OP1-ROM SB1 BK05")*(ISNUMBER(SEARCH("S3100",'Data Base CW TIS'!$C$2:$C$1000)))*'Data Base CW TIS'!$N$2:$N$1000)</f>
        <v>0</v>
      </c>
      <c r="W29" s="2227" cm="1">
        <f t="array" ref="W29">SUMPRODUCT((IFERROR(VALUE(LEFT('Data Base CW TIS'!$E$2:$E$1000,2)),0)=B29)*('Data Base CW TIS'!$B$2:$B$1000="OP1-ROM SB1 BK05")*(ISNUMBER(SEARCH("S2800",'Data Base CW TIS'!$C$2:$C$1000)))*'Data Base CW TIS'!$N$2:$N$1000)</f>
        <v>0</v>
      </c>
      <c r="X29" s="1038"/>
      <c r="Y29" s="1"/>
      <c r="Z29" s="1025">
        <f>SUMPRODUCT(('DB Hauling TIS'!$C$2:$C$951="TIS-ROM SB1 BK05-ROM 5")*ISNUMBER(SEARCH(TEXT('September TIS'!$B29,"00")&amp;"/09/2026",'DB Hauling TIS'!$E$2:$E$951))*'DB Hauling TIS'!$N$2:$N$951)</f>
        <v>0</v>
      </c>
      <c r="AA29" s="2174">
        <f>SUMPRODUCT(('DB Hauling TIS'!$C$2:$C$951="TIS-ROM SB1 BK05-ROM 6")*ISNUMBER(SEARCH(TEXT('September TIS'!$B29,"00")&amp;"/09/2026",'DB Hauling TIS'!$E$2:$E$951))*'DB Hauling TIS'!$N$2:$N$951)</f>
        <v>0</v>
      </c>
      <c r="AB29" s="1025">
        <f t="shared" si="5"/>
        <v>0</v>
      </c>
      <c r="AC29" s="1025">
        <v>0</v>
      </c>
      <c r="AD29" s="1025">
        <v>0</v>
      </c>
      <c r="AE29" s="1025">
        <f>SUMPRODUCT((('DB Hauling TIS'!$C$2:$C$951="TIS-ROM SB1 BK05-ROM 5")+('DB Hauling TIS'!$C$2:$C$951="TIS-ROM SB1 BK05-ROM 6"))*('DB Hauling TIS'!$H$2:$H$951="MPE")*ISNUMBER(SEARCH(TEXT('September TIS'!$B29,"00")&amp;"/09/2026",'DB Hauling TIS'!$E$2:$E$951))*'DB Hauling TIS'!$N$2:$N$951)</f>
        <v>0</v>
      </c>
      <c r="AF29" s="1025">
        <f>SUMPRODUCT((('DB Hauling TIS'!$C$2:$C$951="TIS-ROM SB1 BK05-ROM 5")+('DB Hauling TIS'!$C$2:$C$951="TIS-ROM SB1 BK05-ROM 6"))*('DB Hauling TIS'!$H$2:$H$951="RP")*ISNUMBER(SEARCH(TEXT('September TIS'!$B29,"00")&amp;"/09/2026",'DB Hauling TIS'!$E$2:$E$951))*'DB Hauling TIS'!$N$2:$N$951)</f>
        <v>0</v>
      </c>
      <c r="AG29" s="1025">
        <f t="shared" si="19"/>
        <v>0</v>
      </c>
      <c r="AH29" s="1025"/>
      <c r="AI29" s="1039"/>
      <c r="AJ29" s="1026">
        <f t="shared" si="7"/>
        <v>0</v>
      </c>
      <c r="AK29" s="1026">
        <f t="shared" si="8"/>
        <v>41431.478019779985</v>
      </c>
      <c r="AL29" s="1040">
        <f t="shared" si="0"/>
        <v>41431.478019779985</v>
      </c>
      <c r="AM29" s="1414"/>
      <c r="AN29" s="1414"/>
      <c r="AO29" s="1310"/>
      <c r="AP29" s="1310"/>
      <c r="AQ29" s="1934">
        <f t="shared" si="15"/>
        <v>0</v>
      </c>
      <c r="AR29" s="1729">
        <f t="shared" si="24"/>
        <v>0</v>
      </c>
      <c r="AS29" s="1729">
        <f t="shared" si="24"/>
        <v>3655.7888670000002</v>
      </c>
      <c r="AT29" s="1007"/>
      <c r="AU29" s="2500" cm="1">
        <f t="array" ref="AU29">SUMPRODUCT((IFERROR(VALUE(LEFT('Data Base CW TIS'!$E$2:$E$1000,2)),0)=B29)*('Data Base CW TIS'!$B$2:$B$1000="ROM TEMPORARY-ROM SB1 BK05")*('Data Base CW TIS'!$C$2:$C$1000="TIS-ROM TEMPORARY-ROM 6 (TIS)")*'Data Base CW TIS'!$N$2:$N$1000)</f>
        <v>0</v>
      </c>
      <c r="AV29" s="1414"/>
      <c r="AW29" s="987"/>
      <c r="AX29" s="310">
        <f t="shared" si="16"/>
        <v>0</v>
      </c>
      <c r="AY29" s="868"/>
      <c r="AZ29" s="2">
        <f>IFERROR(SUMPRODUCT((TIS.HCV.MS!$A$3:$A$92=DATE(2026,9,$B29))*(TIS.HCV.MS!$O$3:$O$92&gt;0)*TIS.HCV.MS!$C$3:$C$92*TIS.HCV.MS!$O$3:$O$92)/SUMPRODUCT((TIS.HCV.MS!$A$3:$A$92=DATE(2026,9,$B29))*(TIS.HCV.MS!$O$3:$O$92&gt;0)*TIS.HCV.MS!$C$3:$C$92),0)</f>
        <v>0</v>
      </c>
      <c r="BA29" s="2110">
        <f>IFERROR(SUMPRODUCT((TIS.HCV.MS!$A$3:$A$92=DATE(2026,9,$B29))*(TIS.HCV.MS!$M$3:$M$92&gt;0)*TIS.HCV.MS!$C$3:$C$92*TIS.HCV.MS!$M$3:$M$92)/SUMPRODUCT((TIS.HCV.MS!$A$3:$A$92=DATE(2026,9,$B29))*(TIS.HCV.MS!$M$3:$M$92&gt;0)*TIS.HCV.MS!$C$3:$C$92),0)</f>
        <v>0</v>
      </c>
      <c r="BB29" s="2110">
        <f>IFERROR(SUMPRODUCT((TIS.HCV.MS!$A$3:$A$92=DATE(2026,9,$B29))*(TIS.HCV.MS!$G$3:$G$92&gt;0)*TIS.HCV.MS!$C$3:$C$92*TIS.HCV.MS!$G$3:$G$92)/SUMPRODUCT((TIS.HCV.MS!$A$3:$A$92=DATE(2026,9,$B29))*(TIS.HCV.MS!$G$3:$G$92&gt;0)*TIS.HCV.MS!$C$3:$C$92),0)</f>
        <v>0</v>
      </c>
      <c r="BC29" s="2110">
        <f>IFERROR(SUMPRODUCT((TIS.HCV.MS!$A$3:$A$92=DATE(2026,9,$B29))*(TIS.HCV.MS!$F$3:$F$92&gt;0)*TIS.HCV.MS!$C$3:$C$92*TIS.HCV.MS!$F$3:$F$92)/SUMPRODUCT((TIS.HCV.MS!$A$3:$A$92=DATE(2026,9,$B29))*(TIS.HCV.MS!$F$3:$F$92&gt;0)*TIS.HCV.MS!$C$3:$C$92),0)</f>
        <v>0</v>
      </c>
      <c r="BD29" s="2111">
        <f>IFERROR(SUMPRODUCT((TIS.HCV.MS!$A$3:$A$92=DATE(2026,9,$B29))*(TIS.HCV.MS!$E$3:$E$92&gt;0)*TIS.HCV.MS!$C$3:$C$92*TIS.HCV.MS!$E$3:$E$92)/SUMPRODUCT((TIS.HCV.MS!$A$3:$A$92=DATE(2026,9,$B29))*(TIS.HCV.MS!$E$3:$E$92&gt;0)*TIS.HCV.MS!$C$3:$C$92),0)</f>
        <v>0</v>
      </c>
      <c r="BF29" s="987"/>
      <c r="BG29" s="987"/>
      <c r="BH29" s="987"/>
      <c r="BI29" s="987"/>
      <c r="BJ29" s="987"/>
      <c r="BK29" s="847"/>
      <c r="BL29" s="847"/>
      <c r="BM29" s="847"/>
      <c r="BN29" s="847"/>
      <c r="BO29" s="310"/>
      <c r="BP29" s="2533">
        <f>'September TCM'!LP27</f>
        <v>0</v>
      </c>
      <c r="BQ29" s="1042"/>
      <c r="BR29" s="1"/>
      <c r="BS29" s="1228">
        <f t="shared" si="10"/>
        <v>56506.317900130001</v>
      </c>
      <c r="BT29" s="1"/>
      <c r="BU29" s="1"/>
      <c r="BV29" s="1"/>
      <c r="BW29" s="1"/>
      <c r="BX29" s="1"/>
      <c r="BY29" s="1"/>
      <c r="BZ29" s="1"/>
      <c r="CA29" s="1"/>
      <c r="CB29" s="1"/>
      <c r="CC29" s="1"/>
      <c r="CD29" s="1"/>
      <c r="CE29" s="1"/>
      <c r="CF29" s="1"/>
      <c r="CG29" s="1"/>
      <c r="CH29" s="1"/>
      <c r="CI29" s="1"/>
      <c r="CJ29" s="1"/>
      <c r="CK29" s="1"/>
      <c r="CM29" s="1033">
        <v>18</v>
      </c>
      <c r="CN29" s="1">
        <f t="shared" si="11"/>
        <v>0</v>
      </c>
      <c r="CO29" s="2490"/>
      <c r="CQ29" s="412">
        <v>18</v>
      </c>
      <c r="CR29" s="1">
        <f t="shared" si="12"/>
        <v>0</v>
      </c>
      <c r="CS29" s="2490"/>
    </row>
    <row r="30" spans="2:97">
      <c r="B30" s="989">
        <v>19</v>
      </c>
      <c r="C30" s="5">
        <f t="shared" si="1"/>
        <v>0</v>
      </c>
      <c r="D30" s="488">
        <f t="shared" si="22"/>
        <v>0</v>
      </c>
      <c r="E30" s="15">
        <f t="shared" si="2"/>
        <v>0</v>
      </c>
      <c r="F30" s="363"/>
      <c r="G30" s="64"/>
      <c r="H30" s="1034"/>
      <c r="I30" s="1034"/>
      <c r="N30" s="993"/>
      <c r="O30" s="26"/>
      <c r="P30" s="36"/>
      <c r="Q30" s="277">
        <f t="shared" si="23"/>
        <v>0</v>
      </c>
      <c r="R30" s="1227">
        <f t="shared" si="3"/>
        <v>0</v>
      </c>
      <c r="S30" s="27">
        <f t="shared" si="4"/>
        <v>0</v>
      </c>
      <c r="T30" s="33"/>
      <c r="U30" s="2226" cm="1">
        <f t="array" ref="U30">SUMPRODUCT((IFERROR(VALUE(LEFT('Data Base CW TIS'!$E$2:$E$1000,2)),0)=B30)*('Data Base CW TIS'!$B$2:$B$1000="OP1-ROM SB1 BK05")*(ISNUMBER(SEARCH("S3000",'Data Base CW TIS'!$C$2:$C$1000)))*'Data Base CW TIS'!$N$2:$N$1000)</f>
        <v>0</v>
      </c>
      <c r="V30" s="2227" cm="1">
        <f t="array" ref="V30">SUMPRODUCT((IFERROR(VALUE(LEFT('Data Base CW TIS'!$E$2:$E$1000,2)),0)=B30)*('Data Base CW TIS'!$B$2:$B$1000="OP1-ROM SB1 BK05")*(ISNUMBER(SEARCH("S3100",'Data Base CW TIS'!$C$2:$C$1000)))*'Data Base CW TIS'!$N$2:$N$1000)</f>
        <v>0</v>
      </c>
      <c r="W30" s="2227" cm="1">
        <f t="array" ref="W30">SUMPRODUCT((IFERROR(VALUE(LEFT('Data Base CW TIS'!$E$2:$E$1000,2)),0)=B30)*('Data Base CW TIS'!$B$2:$B$1000="OP1-ROM SB1 BK05")*(ISNUMBER(SEARCH("S2800",'Data Base CW TIS'!$C$2:$C$1000)))*'Data Base CW TIS'!$N$2:$N$1000)</f>
        <v>0</v>
      </c>
      <c r="X30" s="1038"/>
      <c r="Y30" s="1"/>
      <c r="Z30" s="1025">
        <f>SUMPRODUCT(('DB Hauling TIS'!$C$2:$C$951="TIS-ROM SB1 BK05-ROM 5")*ISNUMBER(SEARCH(TEXT('September TIS'!$B30,"00")&amp;"/09/2026",'DB Hauling TIS'!$E$2:$E$951))*'DB Hauling TIS'!$N$2:$N$951)</f>
        <v>0</v>
      </c>
      <c r="AA30" s="2174">
        <f>SUMPRODUCT(('DB Hauling TIS'!$C$2:$C$951="TIS-ROM SB1 BK05-ROM 6")*ISNUMBER(SEARCH(TEXT('September TIS'!$B30,"00")&amp;"/09/2026",'DB Hauling TIS'!$E$2:$E$951))*'DB Hauling TIS'!$N$2:$N$951)</f>
        <v>0</v>
      </c>
      <c r="AB30" s="1025">
        <f t="shared" si="5"/>
        <v>0</v>
      </c>
      <c r="AC30" s="1025">
        <v>0</v>
      </c>
      <c r="AD30" s="1025">
        <v>0</v>
      </c>
      <c r="AE30" s="1025">
        <f>SUMPRODUCT((('DB Hauling TIS'!$C$2:$C$951="TIS-ROM SB1 BK05-ROM 5")+('DB Hauling TIS'!$C$2:$C$951="TIS-ROM SB1 BK05-ROM 6"))*('DB Hauling TIS'!$H$2:$H$951="MPE")*ISNUMBER(SEARCH(TEXT('September TIS'!$B30,"00")&amp;"/09/2026",'DB Hauling TIS'!$E$2:$E$951))*'DB Hauling TIS'!$N$2:$N$951)</f>
        <v>0</v>
      </c>
      <c r="AF30" s="1025">
        <f>SUMPRODUCT((('DB Hauling TIS'!$C$2:$C$951="TIS-ROM SB1 BK05-ROM 5")+('DB Hauling TIS'!$C$2:$C$951="TIS-ROM SB1 BK05-ROM 6"))*('DB Hauling TIS'!$H$2:$H$951="RP")*ISNUMBER(SEARCH(TEXT('September TIS'!$B30,"00")&amp;"/09/2026",'DB Hauling TIS'!$E$2:$E$951))*'DB Hauling TIS'!$N$2:$N$951)</f>
        <v>0</v>
      </c>
      <c r="AG30" s="1025">
        <f t="shared" si="19"/>
        <v>0</v>
      </c>
      <c r="AH30" s="1025"/>
      <c r="AI30" s="1039"/>
      <c r="AJ30" s="1026">
        <f t="shared" si="7"/>
        <v>0</v>
      </c>
      <c r="AK30" s="1026">
        <f t="shared" si="8"/>
        <v>41431.478019779985</v>
      </c>
      <c r="AL30" s="1040">
        <f t="shared" si="0"/>
        <v>41431.478019779985</v>
      </c>
      <c r="AM30" s="1414"/>
      <c r="AN30" s="1414"/>
      <c r="AO30" s="1310"/>
      <c r="AP30" s="1310"/>
      <c r="AQ30" s="1934">
        <f t="shared" si="15"/>
        <v>0</v>
      </c>
      <c r="AR30" s="1729">
        <f t="shared" si="24"/>
        <v>0</v>
      </c>
      <c r="AS30" s="1729">
        <f t="shared" si="24"/>
        <v>3655.7888670000002</v>
      </c>
      <c r="AT30" s="1007"/>
      <c r="AU30" s="2500" cm="1">
        <f t="array" ref="AU30">SUMPRODUCT((IFERROR(VALUE(LEFT('Data Base CW TIS'!$E$2:$E$1000,2)),0)=B30)*('Data Base CW TIS'!$B$2:$B$1000="ROM TEMPORARY-ROM SB1 BK05")*('Data Base CW TIS'!$C$2:$C$1000="TIS-ROM TEMPORARY-ROM 6 (TIS)")*'Data Base CW TIS'!$N$2:$N$1000)</f>
        <v>0</v>
      </c>
      <c r="AV30" s="1414"/>
      <c r="AW30" s="987"/>
      <c r="AX30" s="310">
        <f t="shared" si="16"/>
        <v>0</v>
      </c>
      <c r="AY30" s="998"/>
      <c r="AZ30" s="2">
        <f>IFERROR(SUMPRODUCT((TIS.HCV.MS!$A$3:$A$92=DATE(2026,9,$B30))*(TIS.HCV.MS!$O$3:$O$92&gt;0)*TIS.HCV.MS!$C$3:$C$92*TIS.HCV.MS!$O$3:$O$92)/SUMPRODUCT((TIS.HCV.MS!$A$3:$A$92=DATE(2026,9,$B30))*(TIS.HCV.MS!$O$3:$O$92&gt;0)*TIS.HCV.MS!$C$3:$C$92),0)</f>
        <v>0</v>
      </c>
      <c r="BA30" s="2110">
        <f>IFERROR(SUMPRODUCT((TIS.HCV.MS!$A$3:$A$92=DATE(2026,9,$B30))*(TIS.HCV.MS!$M$3:$M$92&gt;0)*TIS.HCV.MS!$C$3:$C$92*TIS.HCV.MS!$M$3:$M$92)/SUMPRODUCT((TIS.HCV.MS!$A$3:$A$92=DATE(2026,9,$B30))*(TIS.HCV.MS!$M$3:$M$92&gt;0)*TIS.HCV.MS!$C$3:$C$92),0)</f>
        <v>0</v>
      </c>
      <c r="BB30" s="2110">
        <f>IFERROR(SUMPRODUCT((TIS.HCV.MS!$A$3:$A$92=DATE(2026,9,$B30))*(TIS.HCV.MS!$G$3:$G$92&gt;0)*TIS.HCV.MS!$C$3:$C$92*TIS.HCV.MS!$G$3:$G$92)/SUMPRODUCT((TIS.HCV.MS!$A$3:$A$92=DATE(2026,9,$B30))*(TIS.HCV.MS!$G$3:$G$92&gt;0)*TIS.HCV.MS!$C$3:$C$92),0)</f>
        <v>0</v>
      </c>
      <c r="BC30" s="2110">
        <f>IFERROR(SUMPRODUCT((TIS.HCV.MS!$A$3:$A$92=DATE(2026,9,$B30))*(TIS.HCV.MS!$F$3:$F$92&gt;0)*TIS.HCV.MS!$C$3:$C$92*TIS.HCV.MS!$F$3:$F$92)/SUMPRODUCT((TIS.HCV.MS!$A$3:$A$92=DATE(2026,9,$B30))*(TIS.HCV.MS!$F$3:$F$92&gt;0)*TIS.HCV.MS!$C$3:$C$92),0)</f>
        <v>0</v>
      </c>
      <c r="BD30" s="2111">
        <f>IFERROR(SUMPRODUCT((TIS.HCV.MS!$A$3:$A$92=DATE(2026,9,$B30))*(TIS.HCV.MS!$E$3:$E$92&gt;0)*TIS.HCV.MS!$C$3:$C$92*TIS.HCV.MS!$E$3:$E$92)/SUMPRODUCT((TIS.HCV.MS!$A$3:$A$92=DATE(2026,9,$B30))*(TIS.HCV.MS!$E$3:$E$92&gt;0)*TIS.HCV.MS!$C$3:$C$92),0)</f>
        <v>0</v>
      </c>
      <c r="BF30" s="987"/>
      <c r="BG30" s="987"/>
      <c r="BH30" s="987"/>
      <c r="BI30" s="987"/>
      <c r="BJ30" s="987"/>
      <c r="BK30" s="847"/>
      <c r="BL30" s="310"/>
      <c r="BM30" s="310"/>
      <c r="BN30" s="310"/>
      <c r="BO30" s="310"/>
      <c r="BP30" s="2533">
        <f>'September TCM'!LP28</f>
        <v>0</v>
      </c>
      <c r="BQ30" s="1042"/>
      <c r="BR30" s="1"/>
      <c r="BS30" s="1228">
        <f t="shared" si="10"/>
        <v>56506.317900130001</v>
      </c>
      <c r="BT30" s="1"/>
      <c r="BU30" s="1"/>
      <c r="BV30" s="1"/>
      <c r="BW30" s="1"/>
      <c r="BX30" s="1"/>
      <c r="BY30" s="1"/>
      <c r="BZ30" s="1"/>
      <c r="CA30" s="1"/>
      <c r="CB30" s="1"/>
      <c r="CC30" s="1"/>
      <c r="CD30" s="1"/>
      <c r="CE30" s="1"/>
      <c r="CF30" s="1"/>
      <c r="CG30" s="1"/>
      <c r="CH30" s="1"/>
      <c r="CI30" s="1"/>
      <c r="CJ30" s="1"/>
      <c r="CK30" s="1"/>
      <c r="CM30" s="1033">
        <v>19</v>
      </c>
      <c r="CN30" s="1">
        <f t="shared" si="11"/>
        <v>0</v>
      </c>
      <c r="CO30" s="2490"/>
      <c r="CQ30" s="412">
        <v>19</v>
      </c>
      <c r="CR30" s="1">
        <f t="shared" si="12"/>
        <v>0</v>
      </c>
      <c r="CS30" s="2490"/>
    </row>
    <row r="31" spans="2:97">
      <c r="B31" s="989">
        <v>20</v>
      </c>
      <c r="C31" s="5">
        <f t="shared" si="1"/>
        <v>0</v>
      </c>
      <c r="D31" s="488">
        <f t="shared" si="22"/>
        <v>0</v>
      </c>
      <c r="E31" s="15">
        <f t="shared" si="2"/>
        <v>0</v>
      </c>
      <c r="F31" s="363"/>
      <c r="G31" s="64"/>
      <c r="H31" s="1034"/>
      <c r="I31" s="1034"/>
      <c r="N31" s="993"/>
      <c r="O31" s="26"/>
      <c r="P31" s="36"/>
      <c r="Q31" s="277">
        <f t="shared" si="23"/>
        <v>0</v>
      </c>
      <c r="R31" s="1227">
        <f t="shared" si="3"/>
        <v>0</v>
      </c>
      <c r="S31" s="5">
        <f t="shared" si="4"/>
        <v>0</v>
      </c>
      <c r="T31" s="12"/>
      <c r="U31" s="2226" cm="1">
        <f t="array" ref="U31">SUMPRODUCT((IFERROR(VALUE(LEFT('Data Base CW TIS'!$E$2:$E$1000,2)),0)=B31)*('Data Base CW TIS'!$B$2:$B$1000="OP1-ROM SB1 BK05")*(ISNUMBER(SEARCH("S3000",'Data Base CW TIS'!$C$2:$C$1000)))*'Data Base CW TIS'!$N$2:$N$1000)</f>
        <v>0</v>
      </c>
      <c r="V31" s="2227" cm="1">
        <f t="array" ref="V31">SUMPRODUCT((IFERROR(VALUE(LEFT('Data Base CW TIS'!$E$2:$E$1000,2)),0)=B31)*('Data Base CW TIS'!$B$2:$B$1000="OP1-ROM SB1 BK05")*(ISNUMBER(SEARCH("S3100",'Data Base CW TIS'!$C$2:$C$1000)))*'Data Base CW TIS'!$N$2:$N$1000)</f>
        <v>0</v>
      </c>
      <c r="W31" s="2227" cm="1">
        <f t="array" ref="W31">SUMPRODUCT((IFERROR(VALUE(LEFT('Data Base CW TIS'!$E$2:$E$1000,2)),0)=B31)*('Data Base CW TIS'!$B$2:$B$1000="OP1-ROM SB1 BK05")*(ISNUMBER(SEARCH("S2800",'Data Base CW TIS'!$C$2:$C$1000)))*'Data Base CW TIS'!$N$2:$N$1000)</f>
        <v>0</v>
      </c>
      <c r="X31" s="1038"/>
      <c r="Y31" s="1"/>
      <c r="Z31" s="1025">
        <f>SUMPRODUCT(('DB Hauling TIS'!$C$2:$C$951="TIS-ROM SB1 BK05-ROM 5")*ISNUMBER(SEARCH(TEXT('September TIS'!$B31,"00")&amp;"/09/2026",'DB Hauling TIS'!$E$2:$E$951))*'DB Hauling TIS'!$N$2:$N$951)</f>
        <v>0</v>
      </c>
      <c r="AA31" s="2174">
        <f>SUMPRODUCT(('DB Hauling TIS'!$C$2:$C$951="TIS-ROM SB1 BK05-ROM 6")*ISNUMBER(SEARCH(TEXT('September TIS'!$B31,"00")&amp;"/09/2026",'DB Hauling TIS'!$E$2:$E$951))*'DB Hauling TIS'!$N$2:$N$951)</f>
        <v>0</v>
      </c>
      <c r="AB31" s="1025">
        <f t="shared" si="5"/>
        <v>0</v>
      </c>
      <c r="AC31" s="1025">
        <v>0</v>
      </c>
      <c r="AD31" s="1025">
        <v>0</v>
      </c>
      <c r="AE31" s="1025">
        <f>SUMPRODUCT((('DB Hauling TIS'!$C$2:$C$951="TIS-ROM SB1 BK05-ROM 5")+('DB Hauling TIS'!$C$2:$C$951="TIS-ROM SB1 BK05-ROM 6"))*('DB Hauling TIS'!$H$2:$H$951="MPE")*ISNUMBER(SEARCH(TEXT('September TIS'!$B31,"00")&amp;"/09/2026",'DB Hauling TIS'!$E$2:$E$951))*'DB Hauling TIS'!$N$2:$N$951)</f>
        <v>0</v>
      </c>
      <c r="AF31" s="1025">
        <f>SUMPRODUCT((('DB Hauling TIS'!$C$2:$C$951="TIS-ROM SB1 BK05-ROM 5")+('DB Hauling TIS'!$C$2:$C$951="TIS-ROM SB1 BK05-ROM 6"))*('DB Hauling TIS'!$H$2:$H$951="RP")*ISNUMBER(SEARCH(TEXT('September TIS'!$B31,"00")&amp;"/09/2026",'DB Hauling TIS'!$E$2:$E$951))*'DB Hauling TIS'!$N$2:$N$951)</f>
        <v>0</v>
      </c>
      <c r="AG31" s="1025">
        <f t="shared" si="19"/>
        <v>0</v>
      </c>
      <c r="AH31" s="1025"/>
      <c r="AI31" s="1039"/>
      <c r="AJ31" s="1026">
        <f t="shared" si="7"/>
        <v>0</v>
      </c>
      <c r="AK31" s="1026">
        <f t="shared" si="8"/>
        <v>41431.478019779985</v>
      </c>
      <c r="AL31" s="1040">
        <f t="shared" si="0"/>
        <v>41431.478019779985</v>
      </c>
      <c r="AM31" s="1414"/>
      <c r="AN31" s="1414"/>
      <c r="AO31" s="1310"/>
      <c r="AP31" s="1310"/>
      <c r="AQ31" s="1934">
        <f t="shared" si="15"/>
        <v>0</v>
      </c>
      <c r="AR31" s="1729">
        <f t="shared" si="24"/>
        <v>0</v>
      </c>
      <c r="AS31" s="1729">
        <f t="shared" si="24"/>
        <v>3655.7888670000002</v>
      </c>
      <c r="AT31" s="1007"/>
      <c r="AU31" s="2500" cm="1">
        <f t="array" ref="AU31">SUMPRODUCT((IFERROR(VALUE(LEFT('Data Base CW TIS'!$E$2:$E$1000,2)),0)=B31)*('Data Base CW TIS'!$B$2:$B$1000="ROM TEMPORARY-ROM SB1 BK05")*('Data Base CW TIS'!$C$2:$C$1000="TIS-ROM TEMPORARY-ROM 6 (TIS)")*'Data Base CW TIS'!$N$2:$N$1000)</f>
        <v>0</v>
      </c>
      <c r="AV31" s="1414"/>
      <c r="AW31" s="987"/>
      <c r="AX31" s="310">
        <f t="shared" si="16"/>
        <v>0</v>
      </c>
      <c r="AY31" s="868"/>
      <c r="AZ31" s="2">
        <f>IFERROR(SUMPRODUCT((TIS.HCV.MS!$A$3:$A$92=DATE(2026,9,$B31))*(TIS.HCV.MS!$O$3:$O$92&gt;0)*TIS.HCV.MS!$C$3:$C$92*TIS.HCV.MS!$O$3:$O$92)/SUMPRODUCT((TIS.HCV.MS!$A$3:$A$92=DATE(2026,9,$B31))*(TIS.HCV.MS!$O$3:$O$92&gt;0)*TIS.HCV.MS!$C$3:$C$92),0)</f>
        <v>0</v>
      </c>
      <c r="BA31" s="2110">
        <f>IFERROR(SUMPRODUCT((TIS.HCV.MS!$A$3:$A$92=DATE(2026,9,$B31))*(TIS.HCV.MS!$M$3:$M$92&gt;0)*TIS.HCV.MS!$C$3:$C$92*TIS.HCV.MS!$M$3:$M$92)/SUMPRODUCT((TIS.HCV.MS!$A$3:$A$92=DATE(2026,9,$B31))*(TIS.HCV.MS!$M$3:$M$92&gt;0)*TIS.HCV.MS!$C$3:$C$92),0)</f>
        <v>0</v>
      </c>
      <c r="BB31" s="2110">
        <f>IFERROR(SUMPRODUCT((TIS.HCV.MS!$A$3:$A$92=DATE(2026,9,$B31))*(TIS.HCV.MS!$G$3:$G$92&gt;0)*TIS.HCV.MS!$C$3:$C$92*TIS.HCV.MS!$G$3:$G$92)/SUMPRODUCT((TIS.HCV.MS!$A$3:$A$92=DATE(2026,9,$B31))*(TIS.HCV.MS!$G$3:$G$92&gt;0)*TIS.HCV.MS!$C$3:$C$92),0)</f>
        <v>0</v>
      </c>
      <c r="BC31" s="2110">
        <f>IFERROR(SUMPRODUCT((TIS.HCV.MS!$A$3:$A$92=DATE(2026,9,$B31))*(TIS.HCV.MS!$F$3:$F$92&gt;0)*TIS.HCV.MS!$C$3:$C$92*TIS.HCV.MS!$F$3:$F$92)/SUMPRODUCT((TIS.HCV.MS!$A$3:$A$92=DATE(2026,9,$B31))*(TIS.HCV.MS!$F$3:$F$92&gt;0)*TIS.HCV.MS!$C$3:$C$92),0)</f>
        <v>0</v>
      </c>
      <c r="BD31" s="2111">
        <f>IFERROR(SUMPRODUCT((TIS.HCV.MS!$A$3:$A$92=DATE(2026,9,$B31))*(TIS.HCV.MS!$E$3:$E$92&gt;0)*TIS.HCV.MS!$C$3:$C$92*TIS.HCV.MS!$E$3:$E$92)/SUMPRODUCT((TIS.HCV.MS!$A$3:$A$92=DATE(2026,9,$B31))*(TIS.HCV.MS!$E$3:$E$92&gt;0)*TIS.HCV.MS!$C$3:$C$92),0)</f>
        <v>0</v>
      </c>
      <c r="BF31" s="987"/>
      <c r="BG31" s="987"/>
      <c r="BH31" s="987"/>
      <c r="BI31" s="987"/>
      <c r="BJ31" s="987"/>
      <c r="BK31" s="847"/>
      <c r="BL31" s="847"/>
      <c r="BM31" s="847"/>
      <c r="BN31" s="847"/>
      <c r="BO31" s="310"/>
      <c r="BP31" s="2533">
        <f>'September TCM'!LP29</f>
        <v>0</v>
      </c>
      <c r="BQ31" s="1042"/>
      <c r="BR31" s="1"/>
      <c r="BS31" s="1228">
        <f t="shared" si="10"/>
        <v>56506.317900130001</v>
      </c>
      <c r="BT31" s="1"/>
      <c r="BU31" s="1"/>
      <c r="BV31" s="1"/>
      <c r="BW31" s="1"/>
      <c r="BX31" s="1"/>
      <c r="BY31" s="1"/>
      <c r="BZ31" s="1"/>
      <c r="CA31" s="1"/>
      <c r="CB31" s="1"/>
      <c r="CC31" s="1"/>
      <c r="CD31" s="1"/>
      <c r="CE31" s="1"/>
      <c r="CF31" s="1"/>
      <c r="CG31" s="1"/>
      <c r="CH31" s="1"/>
      <c r="CI31" s="1"/>
      <c r="CJ31" s="1"/>
      <c r="CK31" s="1"/>
      <c r="CM31" s="1033">
        <v>20</v>
      </c>
      <c r="CN31" s="1">
        <f t="shared" si="11"/>
        <v>0</v>
      </c>
      <c r="CO31" s="2490"/>
      <c r="CQ31" s="412">
        <v>20</v>
      </c>
      <c r="CR31" s="1">
        <f t="shared" si="12"/>
        <v>0</v>
      </c>
      <c r="CS31" s="2490"/>
    </row>
    <row r="32" spans="2:97">
      <c r="B32" s="989">
        <v>21</v>
      </c>
      <c r="C32" s="5">
        <f t="shared" si="1"/>
        <v>0</v>
      </c>
      <c r="D32" s="488">
        <f t="shared" si="22"/>
        <v>0</v>
      </c>
      <c r="E32" s="15">
        <f t="shared" si="2"/>
        <v>0</v>
      </c>
      <c r="F32" s="363"/>
      <c r="G32" s="64"/>
      <c r="H32" s="1034"/>
      <c r="I32" s="1034"/>
      <c r="N32" s="993"/>
      <c r="O32" s="26"/>
      <c r="P32" s="36"/>
      <c r="Q32" s="277">
        <f t="shared" si="23"/>
        <v>0</v>
      </c>
      <c r="R32" s="1227">
        <f t="shared" si="3"/>
        <v>0</v>
      </c>
      <c r="S32" s="27">
        <f t="shared" si="4"/>
        <v>0</v>
      </c>
      <c r="T32" s="33"/>
      <c r="U32" s="2226" cm="1">
        <f t="array" ref="U32">SUMPRODUCT((IFERROR(VALUE(LEFT('Data Base CW TIS'!$E$2:$E$1000,2)),0)=B32)*('Data Base CW TIS'!$B$2:$B$1000="OP1-ROM SB1 BK05")*(ISNUMBER(SEARCH("S3000",'Data Base CW TIS'!$C$2:$C$1000)))*'Data Base CW TIS'!$N$2:$N$1000)</f>
        <v>0</v>
      </c>
      <c r="V32" s="2227" cm="1">
        <f t="array" ref="V32">SUMPRODUCT((IFERROR(VALUE(LEFT('Data Base CW TIS'!$E$2:$E$1000,2)),0)=B32)*('Data Base CW TIS'!$B$2:$B$1000="OP1-ROM SB1 BK05")*(ISNUMBER(SEARCH("S3100",'Data Base CW TIS'!$C$2:$C$1000)))*'Data Base CW TIS'!$N$2:$N$1000)</f>
        <v>0</v>
      </c>
      <c r="W32" s="2227" cm="1">
        <f t="array" ref="W32">SUMPRODUCT((IFERROR(VALUE(LEFT('Data Base CW TIS'!$E$2:$E$1000,2)),0)=B32)*('Data Base CW TIS'!$B$2:$B$1000="OP1-ROM SB1 BK05")*(ISNUMBER(SEARCH("S2800",'Data Base CW TIS'!$C$2:$C$1000)))*'Data Base CW TIS'!$N$2:$N$1000)</f>
        <v>0</v>
      </c>
      <c r="X32" s="1038"/>
      <c r="Y32" s="1"/>
      <c r="Z32" s="1025">
        <f>SUMPRODUCT(('DB Hauling TIS'!$C$2:$C$951="TIS-ROM SB1 BK05-ROM 5")*ISNUMBER(SEARCH(TEXT('September TIS'!$B32,"00")&amp;"/09/2026",'DB Hauling TIS'!$E$2:$E$951))*'DB Hauling TIS'!$N$2:$N$951)</f>
        <v>0</v>
      </c>
      <c r="AA32" s="2174">
        <f>SUMPRODUCT(('DB Hauling TIS'!$C$2:$C$951="TIS-ROM SB1 BK05-ROM 6")*ISNUMBER(SEARCH(TEXT('September TIS'!$B32,"00")&amp;"/09/2026",'DB Hauling TIS'!$E$2:$E$951))*'DB Hauling TIS'!$N$2:$N$951)</f>
        <v>0</v>
      </c>
      <c r="AB32" s="1025">
        <f t="shared" si="5"/>
        <v>0</v>
      </c>
      <c r="AC32" s="1025">
        <v>0</v>
      </c>
      <c r="AD32" s="1025">
        <v>0</v>
      </c>
      <c r="AE32" s="1025">
        <f>SUMPRODUCT((('DB Hauling TIS'!$C$2:$C$951="TIS-ROM SB1 BK05-ROM 5")+('DB Hauling TIS'!$C$2:$C$951="TIS-ROM SB1 BK05-ROM 6"))*('DB Hauling TIS'!$H$2:$H$951="MPE")*ISNUMBER(SEARCH(TEXT('September TIS'!$B32,"00")&amp;"/09/2026",'DB Hauling TIS'!$E$2:$E$951))*'DB Hauling TIS'!$N$2:$N$951)</f>
        <v>0</v>
      </c>
      <c r="AF32" s="1025">
        <f>SUMPRODUCT((('DB Hauling TIS'!$C$2:$C$951="TIS-ROM SB1 BK05-ROM 5")+('DB Hauling TIS'!$C$2:$C$951="TIS-ROM SB1 BK05-ROM 6"))*('DB Hauling TIS'!$H$2:$H$951="RP")*ISNUMBER(SEARCH(TEXT('September TIS'!$B32,"00")&amp;"/09/2026",'DB Hauling TIS'!$E$2:$E$951))*'DB Hauling TIS'!$N$2:$N$951)</f>
        <v>0</v>
      </c>
      <c r="AG32" s="1025">
        <f t="shared" si="19"/>
        <v>0</v>
      </c>
      <c r="AH32" s="1025"/>
      <c r="AI32" s="1039"/>
      <c r="AJ32" s="1026">
        <f t="shared" si="7"/>
        <v>0</v>
      </c>
      <c r="AK32" s="1026">
        <f t="shared" si="8"/>
        <v>41431.478019779985</v>
      </c>
      <c r="AL32" s="1040">
        <f t="shared" si="0"/>
        <v>41431.478019779985</v>
      </c>
      <c r="AM32" s="1414"/>
      <c r="AN32" s="1414"/>
      <c r="AO32" s="1310"/>
      <c r="AP32" s="1310"/>
      <c r="AQ32" s="1934">
        <f t="shared" si="15"/>
        <v>0</v>
      </c>
      <c r="AR32" s="1729">
        <f t="shared" si="24"/>
        <v>0</v>
      </c>
      <c r="AS32" s="1729">
        <f t="shared" si="24"/>
        <v>3655.7888670000002</v>
      </c>
      <c r="AT32" s="1007"/>
      <c r="AU32" s="2500" cm="1">
        <f t="array" ref="AU32">SUMPRODUCT((IFERROR(VALUE(LEFT('Data Base CW TIS'!$E$2:$E$1000,2)),0)=B32)*('Data Base CW TIS'!$B$2:$B$1000="ROM TEMPORARY-ROM SB1 BK05")*('Data Base CW TIS'!$C$2:$C$1000="TIS-ROM TEMPORARY-ROM 6 (TIS)")*'Data Base CW TIS'!$N$2:$N$1000)</f>
        <v>0</v>
      </c>
      <c r="AV32" s="1414"/>
      <c r="AW32" s="987"/>
      <c r="AX32" s="310">
        <f t="shared" si="16"/>
        <v>0</v>
      </c>
      <c r="AY32" s="998"/>
      <c r="AZ32" s="2">
        <f>IFERROR(SUMPRODUCT((TIS.HCV.MS!$A$3:$A$92=DATE(2026,9,$B32))*(TIS.HCV.MS!$O$3:$O$92&gt;0)*TIS.HCV.MS!$C$3:$C$92*TIS.HCV.MS!$O$3:$O$92)/SUMPRODUCT((TIS.HCV.MS!$A$3:$A$92=DATE(2026,9,$B32))*(TIS.HCV.MS!$O$3:$O$92&gt;0)*TIS.HCV.MS!$C$3:$C$92),0)</f>
        <v>0</v>
      </c>
      <c r="BA32" s="2110">
        <f>IFERROR(SUMPRODUCT((TIS.HCV.MS!$A$3:$A$92=DATE(2026,9,$B32))*(TIS.HCV.MS!$M$3:$M$92&gt;0)*TIS.HCV.MS!$C$3:$C$92*TIS.HCV.MS!$M$3:$M$92)/SUMPRODUCT((TIS.HCV.MS!$A$3:$A$92=DATE(2026,9,$B32))*(TIS.HCV.MS!$M$3:$M$92&gt;0)*TIS.HCV.MS!$C$3:$C$92),0)</f>
        <v>0</v>
      </c>
      <c r="BB32" s="2110">
        <f>IFERROR(SUMPRODUCT((TIS.HCV.MS!$A$3:$A$92=DATE(2026,9,$B32))*(TIS.HCV.MS!$G$3:$G$92&gt;0)*TIS.HCV.MS!$C$3:$C$92*TIS.HCV.MS!$G$3:$G$92)/SUMPRODUCT((TIS.HCV.MS!$A$3:$A$92=DATE(2026,9,$B32))*(TIS.HCV.MS!$G$3:$G$92&gt;0)*TIS.HCV.MS!$C$3:$C$92),0)</f>
        <v>0</v>
      </c>
      <c r="BC32" s="2110">
        <f>IFERROR(SUMPRODUCT((TIS.HCV.MS!$A$3:$A$92=DATE(2026,9,$B32))*(TIS.HCV.MS!$F$3:$F$92&gt;0)*TIS.HCV.MS!$C$3:$C$92*TIS.HCV.MS!$F$3:$F$92)/SUMPRODUCT((TIS.HCV.MS!$A$3:$A$92=DATE(2026,9,$B32))*(TIS.HCV.MS!$F$3:$F$92&gt;0)*TIS.HCV.MS!$C$3:$C$92),0)</f>
        <v>0</v>
      </c>
      <c r="BD32" s="2111">
        <f>IFERROR(SUMPRODUCT((TIS.HCV.MS!$A$3:$A$92=DATE(2026,9,$B32))*(TIS.HCV.MS!$E$3:$E$92&gt;0)*TIS.HCV.MS!$C$3:$C$92*TIS.HCV.MS!$E$3:$E$92)/SUMPRODUCT((TIS.HCV.MS!$A$3:$A$92=DATE(2026,9,$B32))*(TIS.HCV.MS!$E$3:$E$92&gt;0)*TIS.HCV.MS!$C$3:$C$92),0)</f>
        <v>0</v>
      </c>
      <c r="BF32" s="987"/>
      <c r="BG32" s="987"/>
      <c r="BH32" s="987"/>
      <c r="BI32" s="987"/>
      <c r="BJ32" s="987"/>
      <c r="BK32" s="847"/>
      <c r="BL32" s="310"/>
      <c r="BM32" s="310"/>
      <c r="BN32" s="310"/>
      <c r="BO32" s="310"/>
      <c r="BP32" s="2533">
        <f>'September TCM'!LP30</f>
        <v>0</v>
      </c>
      <c r="BQ32" s="1042"/>
      <c r="BR32" s="1"/>
      <c r="BS32" s="1228">
        <f t="shared" si="10"/>
        <v>56506.317900130001</v>
      </c>
      <c r="BT32" s="1"/>
      <c r="BU32" s="1"/>
      <c r="BV32" s="1"/>
      <c r="BW32" s="1"/>
      <c r="BX32" s="1"/>
      <c r="BY32" s="1"/>
      <c r="BZ32" s="1"/>
      <c r="CA32" s="1"/>
      <c r="CB32" s="1"/>
      <c r="CC32" s="1"/>
      <c r="CD32" s="1"/>
      <c r="CE32" s="1"/>
      <c r="CF32" s="1"/>
      <c r="CG32" s="1"/>
      <c r="CH32" s="1"/>
      <c r="CI32" s="1"/>
      <c r="CJ32" s="1"/>
      <c r="CK32" s="1"/>
      <c r="CM32" s="1033">
        <v>21</v>
      </c>
      <c r="CN32" s="1">
        <f t="shared" si="11"/>
        <v>0</v>
      </c>
      <c r="CO32" s="2490"/>
      <c r="CQ32" s="412">
        <v>21</v>
      </c>
      <c r="CR32" s="1">
        <f t="shared" si="12"/>
        <v>0</v>
      </c>
      <c r="CS32" s="2490"/>
    </row>
    <row r="33" spans="2:97">
      <c r="B33" s="989">
        <v>22</v>
      </c>
      <c r="C33" s="5">
        <f t="shared" si="1"/>
        <v>0</v>
      </c>
      <c r="D33" s="488">
        <f t="shared" si="22"/>
        <v>0</v>
      </c>
      <c r="E33" s="15">
        <f t="shared" si="2"/>
        <v>0</v>
      </c>
      <c r="F33" s="363"/>
      <c r="G33" s="64"/>
      <c r="H33" s="1034"/>
      <c r="I33" s="1034"/>
      <c r="N33" s="993"/>
      <c r="O33" s="26"/>
      <c r="P33" s="36"/>
      <c r="Q33" s="277">
        <f t="shared" si="23"/>
        <v>0</v>
      </c>
      <c r="R33" s="1227">
        <f t="shared" si="3"/>
        <v>0</v>
      </c>
      <c r="S33" s="27">
        <f t="shared" si="4"/>
        <v>0</v>
      </c>
      <c r="T33" s="33"/>
      <c r="U33" s="2226" cm="1">
        <f t="array" ref="U33">SUMPRODUCT((IFERROR(VALUE(LEFT('Data Base CW TIS'!$E$2:$E$1000,2)),0)=B33)*('Data Base CW TIS'!$B$2:$B$1000="OP1-ROM SB1 BK05")*(ISNUMBER(SEARCH("S3000",'Data Base CW TIS'!$C$2:$C$1000)))*'Data Base CW TIS'!$N$2:$N$1000)</f>
        <v>0</v>
      </c>
      <c r="V33" s="2227" cm="1">
        <f t="array" ref="V33">SUMPRODUCT((IFERROR(VALUE(LEFT('Data Base CW TIS'!$E$2:$E$1000,2)),0)=B33)*('Data Base CW TIS'!$B$2:$B$1000="OP1-ROM SB1 BK05")*(ISNUMBER(SEARCH("S3100",'Data Base CW TIS'!$C$2:$C$1000)))*'Data Base CW TIS'!$N$2:$N$1000)</f>
        <v>0</v>
      </c>
      <c r="W33" s="2227" cm="1">
        <f t="array" ref="W33">SUMPRODUCT((IFERROR(VALUE(LEFT('Data Base CW TIS'!$E$2:$E$1000,2)),0)=B33)*('Data Base CW TIS'!$B$2:$B$1000="OP1-ROM SB1 BK05")*(ISNUMBER(SEARCH("S2800",'Data Base CW TIS'!$C$2:$C$1000)))*'Data Base CW TIS'!$N$2:$N$1000)</f>
        <v>0</v>
      </c>
      <c r="X33" s="1038"/>
      <c r="Y33" s="1"/>
      <c r="Z33" s="1025">
        <f>SUMPRODUCT(('DB Hauling TIS'!$C$2:$C$951="TIS-ROM SB1 BK05-ROM 5")*ISNUMBER(SEARCH(TEXT('September TIS'!$B33,"00")&amp;"/09/2026",'DB Hauling TIS'!$E$2:$E$951))*'DB Hauling TIS'!$N$2:$N$951)</f>
        <v>0</v>
      </c>
      <c r="AA33" s="2174">
        <f>SUMPRODUCT(('DB Hauling TIS'!$C$2:$C$951="TIS-ROM SB1 BK05-ROM 6")*ISNUMBER(SEARCH(TEXT('September TIS'!$B33,"00")&amp;"/09/2026",'DB Hauling TIS'!$E$2:$E$951))*'DB Hauling TIS'!$N$2:$N$951)</f>
        <v>0</v>
      </c>
      <c r="AB33" s="1025">
        <f t="shared" si="5"/>
        <v>0</v>
      </c>
      <c r="AC33" s="1025">
        <v>0</v>
      </c>
      <c r="AD33" s="1025">
        <v>0</v>
      </c>
      <c r="AE33" s="1025">
        <f>SUMPRODUCT((('DB Hauling TIS'!$C$2:$C$951="TIS-ROM SB1 BK05-ROM 5")+('DB Hauling TIS'!$C$2:$C$951="TIS-ROM SB1 BK05-ROM 6"))*('DB Hauling TIS'!$H$2:$H$951="MPE")*ISNUMBER(SEARCH(TEXT('September TIS'!$B33,"00")&amp;"/09/2026",'DB Hauling TIS'!$E$2:$E$951))*'DB Hauling TIS'!$N$2:$N$951)</f>
        <v>0</v>
      </c>
      <c r="AF33" s="1025">
        <f>SUMPRODUCT((('DB Hauling TIS'!$C$2:$C$951="TIS-ROM SB1 BK05-ROM 5")+('DB Hauling TIS'!$C$2:$C$951="TIS-ROM SB1 BK05-ROM 6"))*('DB Hauling TIS'!$H$2:$H$951="RP")*ISNUMBER(SEARCH(TEXT('September TIS'!$B33,"00")&amp;"/09/2026",'DB Hauling TIS'!$E$2:$E$951))*'DB Hauling TIS'!$N$2:$N$951)</f>
        <v>0</v>
      </c>
      <c r="AG33" s="1025">
        <f t="shared" si="19"/>
        <v>0</v>
      </c>
      <c r="AH33" s="1025"/>
      <c r="AI33" s="1039"/>
      <c r="AJ33" s="1026">
        <f t="shared" si="7"/>
        <v>0</v>
      </c>
      <c r="AK33" s="1026">
        <f t="shared" si="8"/>
        <v>41431.478019779985</v>
      </c>
      <c r="AL33" s="1040">
        <f t="shared" si="0"/>
        <v>41431.478019779985</v>
      </c>
      <c r="AM33" s="1414"/>
      <c r="AN33" s="1414"/>
      <c r="AO33" s="1310"/>
      <c r="AP33" s="1310"/>
      <c r="AQ33" s="1934">
        <f t="shared" si="15"/>
        <v>0</v>
      </c>
      <c r="AR33" s="1729">
        <f t="shared" si="24"/>
        <v>0</v>
      </c>
      <c r="AS33" s="1729">
        <f t="shared" si="24"/>
        <v>3655.7888670000002</v>
      </c>
      <c r="AT33" s="1007"/>
      <c r="AU33" s="2500" cm="1">
        <f t="array" ref="AU33">SUMPRODUCT((IFERROR(VALUE(LEFT('Data Base CW TIS'!$E$2:$E$1000,2)),0)=B33)*('Data Base CW TIS'!$B$2:$B$1000="ROM TEMPORARY-ROM SB1 BK05")*('Data Base CW TIS'!$C$2:$C$1000="TIS-ROM TEMPORARY-ROM 6 (TIS)")*'Data Base CW TIS'!$N$2:$N$1000)</f>
        <v>0</v>
      </c>
      <c r="AV33" s="1414"/>
      <c r="AW33" s="987"/>
      <c r="AX33" s="310">
        <f t="shared" si="16"/>
        <v>0</v>
      </c>
      <c r="AY33" s="998"/>
      <c r="AZ33" s="2">
        <f>IFERROR(SUMPRODUCT((TIS.HCV.MS!$A$3:$A$92=DATE(2026,9,$B33))*(TIS.HCV.MS!$O$3:$O$92&gt;0)*TIS.HCV.MS!$C$3:$C$92*TIS.HCV.MS!$O$3:$O$92)/SUMPRODUCT((TIS.HCV.MS!$A$3:$A$92=DATE(2026,9,$B33))*(TIS.HCV.MS!$O$3:$O$92&gt;0)*TIS.HCV.MS!$C$3:$C$92),0)</f>
        <v>0</v>
      </c>
      <c r="BA33" s="2110">
        <f>IFERROR(SUMPRODUCT((TIS.HCV.MS!$A$3:$A$92=DATE(2026,9,$B33))*(TIS.HCV.MS!$M$3:$M$92&gt;0)*TIS.HCV.MS!$C$3:$C$92*TIS.HCV.MS!$M$3:$M$92)/SUMPRODUCT((TIS.HCV.MS!$A$3:$A$92=DATE(2026,9,$B33))*(TIS.HCV.MS!$M$3:$M$92&gt;0)*TIS.HCV.MS!$C$3:$C$92),0)</f>
        <v>0</v>
      </c>
      <c r="BB33" s="2110">
        <f>IFERROR(SUMPRODUCT((TIS.HCV.MS!$A$3:$A$92=DATE(2026,9,$B33))*(TIS.HCV.MS!$G$3:$G$92&gt;0)*TIS.HCV.MS!$C$3:$C$92*TIS.HCV.MS!$G$3:$G$92)/SUMPRODUCT((TIS.HCV.MS!$A$3:$A$92=DATE(2026,9,$B33))*(TIS.HCV.MS!$G$3:$G$92&gt;0)*TIS.HCV.MS!$C$3:$C$92),0)</f>
        <v>0</v>
      </c>
      <c r="BC33" s="2110">
        <f>IFERROR(SUMPRODUCT((TIS.HCV.MS!$A$3:$A$92=DATE(2026,9,$B33))*(TIS.HCV.MS!$F$3:$F$92&gt;0)*TIS.HCV.MS!$C$3:$C$92*TIS.HCV.MS!$F$3:$F$92)/SUMPRODUCT((TIS.HCV.MS!$A$3:$A$92=DATE(2026,9,$B33))*(TIS.HCV.MS!$F$3:$F$92&gt;0)*TIS.HCV.MS!$C$3:$C$92),0)</f>
        <v>0</v>
      </c>
      <c r="BD33" s="2111">
        <f>IFERROR(SUMPRODUCT((TIS.HCV.MS!$A$3:$A$92=DATE(2026,9,$B33))*(TIS.HCV.MS!$E$3:$E$92&gt;0)*TIS.HCV.MS!$C$3:$C$92*TIS.HCV.MS!$E$3:$E$92)/SUMPRODUCT((TIS.HCV.MS!$A$3:$A$92=DATE(2026,9,$B33))*(TIS.HCV.MS!$E$3:$E$92&gt;0)*TIS.HCV.MS!$C$3:$C$92),0)</f>
        <v>0</v>
      </c>
      <c r="BF33" s="987"/>
      <c r="BG33" s="987"/>
      <c r="BH33" s="987"/>
      <c r="BI33" s="987"/>
      <c r="BJ33" s="987"/>
      <c r="BK33" s="847"/>
      <c r="BL33" s="310"/>
      <c r="BM33" s="310"/>
      <c r="BN33" s="310"/>
      <c r="BO33" s="310"/>
      <c r="BP33" s="2533">
        <f>'September TCM'!LP31</f>
        <v>0</v>
      </c>
      <c r="BQ33" s="1042"/>
      <c r="BR33" s="1"/>
      <c r="BS33" s="1228">
        <f t="shared" si="10"/>
        <v>56506.317900130001</v>
      </c>
      <c r="BT33" s="1"/>
      <c r="BU33" s="1"/>
      <c r="BV33" s="1"/>
      <c r="BW33" s="1"/>
      <c r="BX33" s="1"/>
      <c r="BY33" s="1"/>
      <c r="BZ33" s="1"/>
      <c r="CA33" s="1"/>
      <c r="CB33" s="1"/>
      <c r="CC33" s="1"/>
      <c r="CD33" s="1"/>
      <c r="CE33" s="1"/>
      <c r="CF33" s="1"/>
      <c r="CG33" s="1"/>
      <c r="CH33" s="1"/>
      <c r="CI33" s="1"/>
      <c r="CJ33" s="1"/>
      <c r="CK33" s="1"/>
      <c r="CM33" s="1033">
        <v>22</v>
      </c>
      <c r="CN33" s="1">
        <f t="shared" si="11"/>
        <v>0</v>
      </c>
      <c r="CO33" s="2499"/>
      <c r="CP33" s="1048"/>
      <c r="CQ33" s="412">
        <v>22</v>
      </c>
      <c r="CR33" s="1">
        <f t="shared" si="12"/>
        <v>0</v>
      </c>
      <c r="CS33" s="2490"/>
    </row>
    <row r="34" spans="2:97">
      <c r="B34" s="989">
        <v>23</v>
      </c>
      <c r="C34" s="5">
        <f t="shared" si="1"/>
        <v>0</v>
      </c>
      <c r="D34" s="488">
        <f t="shared" si="22"/>
        <v>0</v>
      </c>
      <c r="E34" s="15">
        <f t="shared" si="2"/>
        <v>0</v>
      </c>
      <c r="F34" s="363"/>
      <c r="G34" s="64"/>
      <c r="H34" s="1034"/>
      <c r="I34" s="1034"/>
      <c r="N34" s="993"/>
      <c r="O34" s="26"/>
      <c r="P34" s="36"/>
      <c r="Q34" s="277">
        <f t="shared" si="23"/>
        <v>0</v>
      </c>
      <c r="R34" s="1227">
        <f t="shared" si="3"/>
        <v>0</v>
      </c>
      <c r="S34" s="27">
        <f t="shared" si="4"/>
        <v>0</v>
      </c>
      <c r="T34" s="33"/>
      <c r="U34" s="2226" cm="1">
        <f t="array" ref="U34">SUMPRODUCT((IFERROR(VALUE(LEFT('Data Base CW TIS'!$E$2:$E$1000,2)),0)=B34)*('Data Base CW TIS'!$B$2:$B$1000="OP1-ROM SB1 BK05")*(ISNUMBER(SEARCH("S3000",'Data Base CW TIS'!$C$2:$C$1000)))*'Data Base CW TIS'!$N$2:$N$1000)</f>
        <v>0</v>
      </c>
      <c r="V34" s="2227" cm="1">
        <f t="array" ref="V34">SUMPRODUCT((IFERROR(VALUE(LEFT('Data Base CW TIS'!$E$2:$E$1000,2)),0)=B34)*('Data Base CW TIS'!$B$2:$B$1000="OP1-ROM SB1 BK05")*(ISNUMBER(SEARCH("S3100",'Data Base CW TIS'!$C$2:$C$1000)))*'Data Base CW TIS'!$N$2:$N$1000)</f>
        <v>0</v>
      </c>
      <c r="W34" s="2227" cm="1">
        <f t="array" ref="W34">SUMPRODUCT((IFERROR(VALUE(LEFT('Data Base CW TIS'!$E$2:$E$1000,2)),0)=B34)*('Data Base CW TIS'!$B$2:$B$1000="OP1-ROM SB1 BK05")*(ISNUMBER(SEARCH("S2800",'Data Base CW TIS'!$C$2:$C$1000)))*'Data Base CW TIS'!$N$2:$N$1000)</f>
        <v>0</v>
      </c>
      <c r="X34" s="1038"/>
      <c r="Y34" s="1"/>
      <c r="Z34" s="1025">
        <f>SUMPRODUCT(('DB Hauling TIS'!$C$2:$C$951="TIS-ROM SB1 BK05-ROM 5")*ISNUMBER(SEARCH(TEXT('September TIS'!$B34,"00")&amp;"/09/2026",'DB Hauling TIS'!$E$2:$E$951))*'DB Hauling TIS'!$N$2:$N$951)</f>
        <v>0</v>
      </c>
      <c r="AA34" s="2174">
        <f>SUMPRODUCT(('DB Hauling TIS'!$C$2:$C$951="TIS-ROM SB1 BK05-ROM 6")*ISNUMBER(SEARCH(TEXT('September TIS'!$B34,"00")&amp;"/09/2026",'DB Hauling TIS'!$E$2:$E$951))*'DB Hauling TIS'!$N$2:$N$951)</f>
        <v>0</v>
      </c>
      <c r="AB34" s="1025">
        <f t="shared" si="5"/>
        <v>0</v>
      </c>
      <c r="AC34" s="1025">
        <v>0</v>
      </c>
      <c r="AD34" s="1025">
        <v>0</v>
      </c>
      <c r="AE34" s="1025">
        <f>SUMPRODUCT((('DB Hauling TIS'!$C$2:$C$951="TIS-ROM SB1 BK05-ROM 5")+('DB Hauling TIS'!$C$2:$C$951="TIS-ROM SB1 BK05-ROM 6"))*('DB Hauling TIS'!$H$2:$H$951="MPE")*ISNUMBER(SEARCH(TEXT('September TIS'!$B34,"00")&amp;"/09/2026",'DB Hauling TIS'!$E$2:$E$951))*'DB Hauling TIS'!$N$2:$N$951)</f>
        <v>0</v>
      </c>
      <c r="AF34" s="1025">
        <f>SUMPRODUCT((('DB Hauling TIS'!$C$2:$C$951="TIS-ROM SB1 BK05-ROM 5")+('DB Hauling TIS'!$C$2:$C$951="TIS-ROM SB1 BK05-ROM 6"))*('DB Hauling TIS'!$H$2:$H$951="RP")*ISNUMBER(SEARCH(TEXT('September TIS'!$B34,"00")&amp;"/09/2026",'DB Hauling TIS'!$E$2:$E$951))*'DB Hauling TIS'!$N$2:$N$951)</f>
        <v>0</v>
      </c>
      <c r="AG34" s="1025">
        <f t="shared" si="19"/>
        <v>0</v>
      </c>
      <c r="AH34" s="1025"/>
      <c r="AI34" s="1039"/>
      <c r="AJ34" s="1026">
        <f t="shared" si="7"/>
        <v>0</v>
      </c>
      <c r="AK34" s="1026">
        <f t="shared" si="8"/>
        <v>41431.478019779985</v>
      </c>
      <c r="AL34" s="1040">
        <f t="shared" si="0"/>
        <v>41431.478019779985</v>
      </c>
      <c r="AM34" s="1414"/>
      <c r="AN34" s="1414"/>
      <c r="AO34" s="1310"/>
      <c r="AP34" s="1310"/>
      <c r="AQ34" s="1934">
        <f t="shared" si="15"/>
        <v>0</v>
      </c>
      <c r="AR34" s="1729">
        <f t="shared" si="24"/>
        <v>0</v>
      </c>
      <c r="AS34" s="1729">
        <f t="shared" si="24"/>
        <v>3655.7888670000002</v>
      </c>
      <c r="AT34" s="1007"/>
      <c r="AU34" s="2500" cm="1">
        <f t="array" ref="AU34">SUMPRODUCT((IFERROR(VALUE(LEFT('Data Base CW TIS'!$E$2:$E$1000,2)),0)=B34)*('Data Base CW TIS'!$B$2:$B$1000="ROM TEMPORARY-ROM SB1 BK05")*('Data Base CW TIS'!$C$2:$C$1000="TIS-ROM TEMPORARY-ROM 6 (TIS)")*'Data Base CW TIS'!$N$2:$N$1000)</f>
        <v>0</v>
      </c>
      <c r="AV34" s="1414"/>
      <c r="AW34" s="987"/>
      <c r="AX34" s="310">
        <f t="shared" si="16"/>
        <v>0</v>
      </c>
      <c r="AY34" s="998"/>
      <c r="AZ34" s="2">
        <f>IFERROR(SUMPRODUCT((TIS.HCV.MS!$A$3:$A$92=DATE(2026,9,$B34))*(TIS.HCV.MS!$O$3:$O$92&gt;0)*TIS.HCV.MS!$C$3:$C$92*TIS.HCV.MS!$O$3:$O$92)/SUMPRODUCT((TIS.HCV.MS!$A$3:$A$92=DATE(2026,9,$B34))*(TIS.HCV.MS!$O$3:$O$92&gt;0)*TIS.HCV.MS!$C$3:$C$92),0)</f>
        <v>0</v>
      </c>
      <c r="BA34" s="2110">
        <f>IFERROR(SUMPRODUCT((TIS.HCV.MS!$A$3:$A$92=DATE(2026,9,$B34))*(TIS.HCV.MS!$M$3:$M$92&gt;0)*TIS.HCV.MS!$C$3:$C$92*TIS.HCV.MS!$M$3:$M$92)/SUMPRODUCT((TIS.HCV.MS!$A$3:$A$92=DATE(2026,9,$B34))*(TIS.HCV.MS!$M$3:$M$92&gt;0)*TIS.HCV.MS!$C$3:$C$92),0)</f>
        <v>0</v>
      </c>
      <c r="BB34" s="2110">
        <f>IFERROR(SUMPRODUCT((TIS.HCV.MS!$A$3:$A$92=DATE(2026,9,$B34))*(TIS.HCV.MS!$G$3:$G$92&gt;0)*TIS.HCV.MS!$C$3:$C$92*TIS.HCV.MS!$G$3:$G$92)/SUMPRODUCT((TIS.HCV.MS!$A$3:$A$92=DATE(2026,9,$B34))*(TIS.HCV.MS!$G$3:$G$92&gt;0)*TIS.HCV.MS!$C$3:$C$92),0)</f>
        <v>0</v>
      </c>
      <c r="BC34" s="2110">
        <f>IFERROR(SUMPRODUCT((TIS.HCV.MS!$A$3:$A$92=DATE(2026,9,$B34))*(TIS.HCV.MS!$F$3:$F$92&gt;0)*TIS.HCV.MS!$C$3:$C$92*TIS.HCV.MS!$F$3:$F$92)/SUMPRODUCT((TIS.HCV.MS!$A$3:$A$92=DATE(2026,9,$B34))*(TIS.HCV.MS!$F$3:$F$92&gt;0)*TIS.HCV.MS!$C$3:$C$92),0)</f>
        <v>0</v>
      </c>
      <c r="BD34" s="2111">
        <f>IFERROR(SUMPRODUCT((TIS.HCV.MS!$A$3:$A$92=DATE(2026,9,$B34))*(TIS.HCV.MS!$E$3:$E$92&gt;0)*TIS.HCV.MS!$C$3:$C$92*TIS.HCV.MS!$E$3:$E$92)/SUMPRODUCT((TIS.HCV.MS!$A$3:$A$92=DATE(2026,9,$B34))*(TIS.HCV.MS!$E$3:$E$92&gt;0)*TIS.HCV.MS!$C$3:$C$92),0)</f>
        <v>0</v>
      </c>
      <c r="BF34" s="987"/>
      <c r="BG34" s="987"/>
      <c r="BH34" s="987"/>
      <c r="BI34" s="987"/>
      <c r="BJ34" s="987"/>
      <c r="BK34" s="847"/>
      <c r="BL34" s="310"/>
      <c r="BM34" s="310"/>
      <c r="BN34" s="310"/>
      <c r="BO34" s="310"/>
      <c r="BP34" s="2533">
        <f>'September TCM'!LP32</f>
        <v>0</v>
      </c>
      <c r="BQ34" s="1042"/>
      <c r="BR34" s="1"/>
      <c r="BS34" s="1228">
        <f t="shared" si="10"/>
        <v>56506.317900130001</v>
      </c>
      <c r="BT34" s="1"/>
      <c r="BU34" s="1"/>
      <c r="BV34" s="1"/>
      <c r="BW34" s="1"/>
      <c r="BX34" s="1"/>
      <c r="BY34" s="1"/>
      <c r="BZ34" s="1"/>
      <c r="CA34" s="1"/>
      <c r="CB34" s="1"/>
      <c r="CC34" s="1"/>
      <c r="CD34" s="1"/>
      <c r="CE34" s="1"/>
      <c r="CF34" s="1"/>
      <c r="CG34" s="1"/>
      <c r="CH34" s="1"/>
      <c r="CI34" s="1"/>
      <c r="CJ34" s="1"/>
      <c r="CK34" s="1"/>
      <c r="CM34" s="1033">
        <v>23</v>
      </c>
      <c r="CN34" s="1">
        <f t="shared" si="11"/>
        <v>0</v>
      </c>
      <c r="CO34" s="2490"/>
      <c r="CQ34" s="412">
        <v>23</v>
      </c>
      <c r="CR34" s="1">
        <f t="shared" si="12"/>
        <v>0</v>
      </c>
      <c r="CS34" s="2490"/>
    </row>
    <row r="35" spans="2:97">
      <c r="B35" s="989">
        <v>24</v>
      </c>
      <c r="C35" s="5">
        <f t="shared" si="1"/>
        <v>0</v>
      </c>
      <c r="D35" s="488">
        <f t="shared" si="22"/>
        <v>0</v>
      </c>
      <c r="E35" s="15">
        <f t="shared" si="2"/>
        <v>0</v>
      </c>
      <c r="F35" s="363"/>
      <c r="G35" s="64"/>
      <c r="H35" s="1034"/>
      <c r="I35" s="1034"/>
      <c r="N35" s="993"/>
      <c r="O35" s="26"/>
      <c r="P35" s="36"/>
      <c r="Q35" s="277">
        <f t="shared" si="23"/>
        <v>0</v>
      </c>
      <c r="R35" s="1227">
        <f t="shared" si="3"/>
        <v>0</v>
      </c>
      <c r="S35" s="27">
        <f t="shared" si="4"/>
        <v>0</v>
      </c>
      <c r="T35" s="33"/>
      <c r="U35" s="2226" cm="1">
        <f t="array" ref="U35">SUMPRODUCT((IFERROR(VALUE(LEFT('Data Base CW TIS'!$E$2:$E$1000,2)),0)=B35)*('Data Base CW TIS'!$B$2:$B$1000="OP1-ROM SB1 BK05")*(ISNUMBER(SEARCH("S3000",'Data Base CW TIS'!$C$2:$C$1000)))*'Data Base CW TIS'!$N$2:$N$1000)</f>
        <v>0</v>
      </c>
      <c r="V35" s="2227" cm="1">
        <f t="array" ref="V35">SUMPRODUCT((IFERROR(VALUE(LEFT('Data Base CW TIS'!$E$2:$E$1000,2)),0)=B35)*('Data Base CW TIS'!$B$2:$B$1000="OP1-ROM SB1 BK05")*(ISNUMBER(SEARCH("S3100",'Data Base CW TIS'!$C$2:$C$1000)))*'Data Base CW TIS'!$N$2:$N$1000)</f>
        <v>0</v>
      </c>
      <c r="W35" s="2227" cm="1">
        <f t="array" ref="W35">SUMPRODUCT((IFERROR(VALUE(LEFT('Data Base CW TIS'!$E$2:$E$1000,2)),0)=B35)*('Data Base CW TIS'!$B$2:$B$1000="OP1-ROM SB1 BK05")*(ISNUMBER(SEARCH("S2800",'Data Base CW TIS'!$C$2:$C$1000)))*'Data Base CW TIS'!$N$2:$N$1000)</f>
        <v>0</v>
      </c>
      <c r="X35" s="1038"/>
      <c r="Y35" s="1"/>
      <c r="Z35" s="1025">
        <f>SUMPRODUCT(('DB Hauling TIS'!$C$2:$C$951="TIS-ROM SB1 BK05-ROM 5")*ISNUMBER(SEARCH(TEXT('September TIS'!$B35,"00")&amp;"/09/2026",'DB Hauling TIS'!$E$2:$E$951))*'DB Hauling TIS'!$N$2:$N$951)</f>
        <v>0</v>
      </c>
      <c r="AA35" s="2174">
        <f>SUMPRODUCT(('DB Hauling TIS'!$C$2:$C$951="TIS-ROM SB1 BK05-ROM 6")*ISNUMBER(SEARCH(TEXT('September TIS'!$B35,"00")&amp;"/09/2026",'DB Hauling TIS'!$E$2:$E$951))*'DB Hauling TIS'!$N$2:$N$951)</f>
        <v>0</v>
      </c>
      <c r="AB35" s="1025">
        <f t="shared" si="5"/>
        <v>0</v>
      </c>
      <c r="AC35" s="1025">
        <v>0</v>
      </c>
      <c r="AD35" s="1025">
        <v>0</v>
      </c>
      <c r="AE35" s="1025">
        <f>SUMPRODUCT((('DB Hauling TIS'!$C$2:$C$951="TIS-ROM SB1 BK05-ROM 5")+('DB Hauling TIS'!$C$2:$C$951="TIS-ROM SB1 BK05-ROM 6"))*('DB Hauling TIS'!$H$2:$H$951="MPE")*ISNUMBER(SEARCH(TEXT('September TIS'!$B35,"00")&amp;"/09/2026",'DB Hauling TIS'!$E$2:$E$951))*'DB Hauling TIS'!$N$2:$N$951)</f>
        <v>0</v>
      </c>
      <c r="AF35" s="1025">
        <f>SUMPRODUCT((('DB Hauling TIS'!$C$2:$C$951="TIS-ROM SB1 BK05-ROM 5")+('DB Hauling TIS'!$C$2:$C$951="TIS-ROM SB1 BK05-ROM 6"))*('DB Hauling TIS'!$H$2:$H$951="RP")*ISNUMBER(SEARCH(TEXT('September TIS'!$B35,"00")&amp;"/09/2026",'DB Hauling TIS'!$E$2:$E$951))*'DB Hauling TIS'!$N$2:$N$951)</f>
        <v>0</v>
      </c>
      <c r="AG35" s="1025">
        <f t="shared" si="19"/>
        <v>0</v>
      </c>
      <c r="AH35" s="1025"/>
      <c r="AI35" s="1039"/>
      <c r="AJ35" s="1026">
        <f t="shared" si="7"/>
        <v>0</v>
      </c>
      <c r="AK35" s="1026">
        <f t="shared" si="8"/>
        <v>41431.478019779985</v>
      </c>
      <c r="AL35" s="1040">
        <f t="shared" si="0"/>
        <v>41431.478019779985</v>
      </c>
      <c r="AM35" s="1414"/>
      <c r="AN35" s="1414"/>
      <c r="AO35" s="1310"/>
      <c r="AP35" s="1310"/>
      <c r="AQ35" s="1934">
        <f t="shared" si="15"/>
        <v>0</v>
      </c>
      <c r="AR35" s="1729">
        <f t="shared" si="24"/>
        <v>0</v>
      </c>
      <c r="AS35" s="1729">
        <f t="shared" si="24"/>
        <v>3655.7888670000002</v>
      </c>
      <c r="AT35" s="1007"/>
      <c r="AU35" s="2500" cm="1">
        <f t="array" ref="AU35">SUMPRODUCT((IFERROR(VALUE(LEFT('Data Base CW TIS'!$E$2:$E$1000,2)),0)=B35)*('Data Base CW TIS'!$B$2:$B$1000="ROM TEMPORARY-ROM SB1 BK05")*('Data Base CW TIS'!$C$2:$C$1000="TIS-ROM TEMPORARY-ROM 6 (TIS)")*'Data Base CW TIS'!$N$2:$N$1000)</f>
        <v>0</v>
      </c>
      <c r="AV35" s="1414"/>
      <c r="AW35" s="987"/>
      <c r="AX35" s="310">
        <f t="shared" si="16"/>
        <v>0</v>
      </c>
      <c r="AY35" s="998"/>
      <c r="AZ35" s="2">
        <f>IFERROR(SUMPRODUCT((TIS.HCV.MS!$A$3:$A$92=DATE(2026,9,$B35))*(TIS.HCV.MS!$O$3:$O$92&gt;0)*TIS.HCV.MS!$C$3:$C$92*TIS.HCV.MS!$O$3:$O$92)/SUMPRODUCT((TIS.HCV.MS!$A$3:$A$92=DATE(2026,9,$B35))*(TIS.HCV.MS!$O$3:$O$92&gt;0)*TIS.HCV.MS!$C$3:$C$92),0)</f>
        <v>0</v>
      </c>
      <c r="BA35" s="2110">
        <f>IFERROR(SUMPRODUCT((TIS.HCV.MS!$A$3:$A$92=DATE(2026,9,$B35))*(TIS.HCV.MS!$M$3:$M$92&gt;0)*TIS.HCV.MS!$C$3:$C$92*TIS.HCV.MS!$M$3:$M$92)/SUMPRODUCT((TIS.HCV.MS!$A$3:$A$92=DATE(2026,9,$B35))*(TIS.HCV.MS!$M$3:$M$92&gt;0)*TIS.HCV.MS!$C$3:$C$92),0)</f>
        <v>0</v>
      </c>
      <c r="BB35" s="2110">
        <f>IFERROR(SUMPRODUCT((TIS.HCV.MS!$A$3:$A$92=DATE(2026,9,$B35))*(TIS.HCV.MS!$G$3:$G$92&gt;0)*TIS.HCV.MS!$C$3:$C$92*TIS.HCV.MS!$G$3:$G$92)/SUMPRODUCT((TIS.HCV.MS!$A$3:$A$92=DATE(2026,9,$B35))*(TIS.HCV.MS!$G$3:$G$92&gt;0)*TIS.HCV.MS!$C$3:$C$92),0)</f>
        <v>0</v>
      </c>
      <c r="BC35" s="2110">
        <f>IFERROR(SUMPRODUCT((TIS.HCV.MS!$A$3:$A$92=DATE(2026,9,$B35))*(TIS.HCV.MS!$F$3:$F$92&gt;0)*TIS.HCV.MS!$C$3:$C$92*TIS.HCV.MS!$F$3:$F$92)/SUMPRODUCT((TIS.HCV.MS!$A$3:$A$92=DATE(2026,9,$B35))*(TIS.HCV.MS!$F$3:$F$92&gt;0)*TIS.HCV.MS!$C$3:$C$92),0)</f>
        <v>0</v>
      </c>
      <c r="BD35" s="2111">
        <f>IFERROR(SUMPRODUCT((TIS.HCV.MS!$A$3:$A$92=DATE(2026,9,$B35))*(TIS.HCV.MS!$E$3:$E$92&gt;0)*TIS.HCV.MS!$C$3:$C$92*TIS.HCV.MS!$E$3:$E$92)/SUMPRODUCT((TIS.HCV.MS!$A$3:$A$92=DATE(2026,9,$B35))*(TIS.HCV.MS!$E$3:$E$92&gt;0)*TIS.HCV.MS!$C$3:$C$92),0)</f>
        <v>0</v>
      </c>
      <c r="BF35" s="987"/>
      <c r="BG35" s="987"/>
      <c r="BH35" s="987"/>
      <c r="BI35" s="987"/>
      <c r="BJ35" s="987"/>
      <c r="BK35" s="310"/>
      <c r="BL35" s="310"/>
      <c r="BM35" s="310"/>
      <c r="BN35" s="310"/>
      <c r="BO35" s="310"/>
      <c r="BP35" s="2533">
        <f>'September TCM'!LP33</f>
        <v>0</v>
      </c>
      <c r="BQ35" s="1042"/>
      <c r="BR35" s="1"/>
      <c r="BS35" s="1228">
        <f t="shared" si="10"/>
        <v>56506.317900130001</v>
      </c>
      <c r="BT35" s="1"/>
      <c r="BU35" s="1"/>
      <c r="BV35" s="1"/>
      <c r="BW35" s="1"/>
      <c r="BX35" s="1"/>
      <c r="BY35" s="1"/>
      <c r="BZ35" s="1"/>
      <c r="CA35" s="1"/>
      <c r="CB35" s="1"/>
      <c r="CC35" s="1"/>
      <c r="CD35" s="1"/>
      <c r="CE35" s="1"/>
      <c r="CF35" s="1"/>
      <c r="CG35" s="1"/>
      <c r="CH35" s="1"/>
      <c r="CI35" s="1"/>
      <c r="CJ35" s="1"/>
      <c r="CK35" s="1"/>
      <c r="CM35" s="1033">
        <v>24</v>
      </c>
      <c r="CN35" s="1">
        <f t="shared" si="11"/>
        <v>0</v>
      </c>
      <c r="CO35" s="1109"/>
      <c r="CP35" s="1048"/>
      <c r="CQ35" s="412">
        <v>24</v>
      </c>
      <c r="CR35" s="1">
        <f t="shared" si="12"/>
        <v>0</v>
      </c>
      <c r="CS35" s="2490"/>
    </row>
    <row r="36" spans="2:97">
      <c r="B36" s="989">
        <v>25</v>
      </c>
      <c r="C36" s="5">
        <f t="shared" si="1"/>
        <v>0</v>
      </c>
      <c r="D36" s="488">
        <f t="shared" si="22"/>
        <v>0</v>
      </c>
      <c r="E36" s="1051">
        <f t="shared" si="2"/>
        <v>0</v>
      </c>
      <c r="F36" s="363"/>
      <c r="G36" s="64"/>
      <c r="H36" s="1034"/>
      <c r="I36" s="1034"/>
      <c r="N36" s="993"/>
      <c r="O36" s="26"/>
      <c r="P36" s="36"/>
      <c r="Q36" s="277">
        <f t="shared" si="23"/>
        <v>0</v>
      </c>
      <c r="R36" s="1227">
        <f t="shared" si="3"/>
        <v>0</v>
      </c>
      <c r="S36" s="53">
        <f t="shared" si="4"/>
        <v>0</v>
      </c>
      <c r="T36" s="33"/>
      <c r="U36" s="2226" cm="1">
        <f t="array" ref="U36">SUMPRODUCT((IFERROR(VALUE(LEFT('Data Base CW TIS'!$E$2:$E$1000,2)),0)=B36)*('Data Base CW TIS'!$B$2:$B$1000="OP1-ROM SB1 BK05")*(ISNUMBER(SEARCH("S3000",'Data Base CW TIS'!$C$2:$C$1000)))*'Data Base CW TIS'!$N$2:$N$1000)</f>
        <v>0</v>
      </c>
      <c r="V36" s="2227" cm="1">
        <f t="array" ref="V36">SUMPRODUCT((IFERROR(VALUE(LEFT('Data Base CW TIS'!$E$2:$E$1000,2)),0)=B36)*('Data Base CW TIS'!$B$2:$B$1000="OP1-ROM SB1 BK05")*(ISNUMBER(SEARCH("S3100",'Data Base CW TIS'!$C$2:$C$1000)))*'Data Base CW TIS'!$N$2:$N$1000)</f>
        <v>0</v>
      </c>
      <c r="W36" s="2227" cm="1">
        <f t="array" ref="W36">SUMPRODUCT((IFERROR(VALUE(LEFT('Data Base CW TIS'!$E$2:$E$1000,2)),0)=B36)*('Data Base CW TIS'!$B$2:$B$1000="OP1-ROM SB1 BK05")*(ISNUMBER(SEARCH("S2800",'Data Base CW TIS'!$C$2:$C$1000)))*'Data Base CW TIS'!$N$2:$N$1000)</f>
        <v>0</v>
      </c>
      <c r="X36" s="1038"/>
      <c r="Y36" s="1"/>
      <c r="Z36" s="1025">
        <f>SUMPRODUCT(('DB Hauling TIS'!$C$2:$C$951="TIS-ROM SB1 BK05-ROM 5")*ISNUMBER(SEARCH(TEXT('September TIS'!$B36,"00")&amp;"/09/2026",'DB Hauling TIS'!$E$2:$E$951))*'DB Hauling TIS'!$N$2:$N$951)</f>
        <v>0</v>
      </c>
      <c r="AA36" s="2174">
        <f>SUMPRODUCT(('DB Hauling TIS'!$C$2:$C$951="TIS-ROM SB1 BK05-ROM 6")*ISNUMBER(SEARCH(TEXT('September TIS'!$B36,"00")&amp;"/09/2026",'DB Hauling TIS'!$E$2:$E$951))*'DB Hauling TIS'!$N$2:$N$951)</f>
        <v>0</v>
      </c>
      <c r="AB36" s="1025">
        <f t="shared" si="5"/>
        <v>0</v>
      </c>
      <c r="AC36" s="1025">
        <v>0</v>
      </c>
      <c r="AD36" s="1025">
        <v>0</v>
      </c>
      <c r="AE36" s="1025">
        <f>SUMPRODUCT((('DB Hauling TIS'!$C$2:$C$951="TIS-ROM SB1 BK05-ROM 5")+('DB Hauling TIS'!$C$2:$C$951="TIS-ROM SB1 BK05-ROM 6"))*('DB Hauling TIS'!$H$2:$H$951="MPE")*ISNUMBER(SEARCH(TEXT('September TIS'!$B36,"00")&amp;"/09/2026",'DB Hauling TIS'!$E$2:$E$951))*'DB Hauling TIS'!$N$2:$N$951)</f>
        <v>0</v>
      </c>
      <c r="AF36" s="1025">
        <f>SUMPRODUCT((('DB Hauling TIS'!$C$2:$C$951="TIS-ROM SB1 BK05-ROM 5")+('DB Hauling TIS'!$C$2:$C$951="TIS-ROM SB1 BK05-ROM 6"))*('DB Hauling TIS'!$H$2:$H$951="RP")*ISNUMBER(SEARCH(TEXT('September TIS'!$B36,"00")&amp;"/09/2026",'DB Hauling TIS'!$E$2:$E$951))*'DB Hauling TIS'!$N$2:$N$951)</f>
        <v>0</v>
      </c>
      <c r="AG36" s="1025">
        <f t="shared" si="19"/>
        <v>0</v>
      </c>
      <c r="AH36" s="1025"/>
      <c r="AI36" s="1039"/>
      <c r="AJ36" s="1026">
        <f t="shared" si="7"/>
        <v>0</v>
      </c>
      <c r="AK36" s="1026">
        <f t="shared" si="8"/>
        <v>41431.478019779985</v>
      </c>
      <c r="AL36" s="1040">
        <f t="shared" si="0"/>
        <v>41431.478019779985</v>
      </c>
      <c r="AM36" s="1414"/>
      <c r="AN36" s="1414"/>
      <c r="AO36" s="1310"/>
      <c r="AP36" s="1310"/>
      <c r="AQ36" s="1934">
        <f t="shared" si="15"/>
        <v>0</v>
      </c>
      <c r="AR36" s="1729">
        <f t="shared" si="24"/>
        <v>0</v>
      </c>
      <c r="AS36" s="1729">
        <f t="shared" si="24"/>
        <v>3655.7888670000002</v>
      </c>
      <c r="AT36" s="1007"/>
      <c r="AU36" s="2500" cm="1">
        <f t="array" ref="AU36">SUMPRODUCT((IFERROR(VALUE(LEFT('Data Base CW TIS'!$E$2:$E$1000,2)),0)=B36)*('Data Base CW TIS'!$B$2:$B$1000="ROM TEMPORARY-ROM SB1 BK05")*('Data Base CW TIS'!$C$2:$C$1000="TIS-ROM TEMPORARY-ROM 6 (TIS)")*'Data Base CW TIS'!$N$2:$N$1000)</f>
        <v>0</v>
      </c>
      <c r="AV36" s="1414"/>
      <c r="AW36" s="987"/>
      <c r="AX36" s="310">
        <f t="shared" si="16"/>
        <v>0</v>
      </c>
      <c r="AY36" s="998"/>
      <c r="AZ36" s="2">
        <f>IFERROR(SUMPRODUCT((TIS.HCV.MS!$A$3:$A$92=DATE(2026,9,$B36))*(TIS.HCV.MS!$O$3:$O$92&gt;0)*TIS.HCV.MS!$C$3:$C$92*TIS.HCV.MS!$O$3:$O$92)/SUMPRODUCT((TIS.HCV.MS!$A$3:$A$92=DATE(2026,9,$B36))*(TIS.HCV.MS!$O$3:$O$92&gt;0)*TIS.HCV.MS!$C$3:$C$92),0)</f>
        <v>0</v>
      </c>
      <c r="BA36" s="2110">
        <f>IFERROR(SUMPRODUCT((TIS.HCV.MS!$A$3:$A$92=DATE(2026,9,$B36))*(TIS.HCV.MS!$M$3:$M$92&gt;0)*TIS.HCV.MS!$C$3:$C$92*TIS.HCV.MS!$M$3:$M$92)/SUMPRODUCT((TIS.HCV.MS!$A$3:$A$92=DATE(2026,9,$B36))*(TIS.HCV.MS!$M$3:$M$92&gt;0)*TIS.HCV.MS!$C$3:$C$92),0)</f>
        <v>0</v>
      </c>
      <c r="BB36" s="2110">
        <f>IFERROR(SUMPRODUCT((TIS.HCV.MS!$A$3:$A$92=DATE(2026,9,$B36))*(TIS.HCV.MS!$G$3:$G$92&gt;0)*TIS.HCV.MS!$C$3:$C$92*TIS.HCV.MS!$G$3:$G$92)/SUMPRODUCT((TIS.HCV.MS!$A$3:$A$92=DATE(2026,9,$B36))*(TIS.HCV.MS!$G$3:$G$92&gt;0)*TIS.HCV.MS!$C$3:$C$92),0)</f>
        <v>0</v>
      </c>
      <c r="BC36" s="2110">
        <f>IFERROR(SUMPRODUCT((TIS.HCV.MS!$A$3:$A$92=DATE(2026,9,$B36))*(TIS.HCV.MS!$F$3:$F$92&gt;0)*TIS.HCV.MS!$C$3:$C$92*TIS.HCV.MS!$F$3:$F$92)/SUMPRODUCT((TIS.HCV.MS!$A$3:$A$92=DATE(2026,9,$B36))*(TIS.HCV.MS!$F$3:$F$92&gt;0)*TIS.HCV.MS!$C$3:$C$92),0)</f>
        <v>0</v>
      </c>
      <c r="BD36" s="2111">
        <f>IFERROR(SUMPRODUCT((TIS.HCV.MS!$A$3:$A$92=DATE(2026,9,$B36))*(TIS.HCV.MS!$E$3:$E$92&gt;0)*TIS.HCV.MS!$C$3:$C$92*TIS.HCV.MS!$E$3:$E$92)/SUMPRODUCT((TIS.HCV.MS!$A$3:$A$92=DATE(2026,9,$B36))*(TIS.HCV.MS!$E$3:$E$92&gt;0)*TIS.HCV.MS!$C$3:$C$92),0)</f>
        <v>0</v>
      </c>
      <c r="BF36" s="987"/>
      <c r="BG36" s="987"/>
      <c r="BH36" s="987"/>
      <c r="BI36" s="987"/>
      <c r="BJ36" s="987"/>
      <c r="BK36" s="310"/>
      <c r="BL36" s="310"/>
      <c r="BM36" s="310"/>
      <c r="BN36" s="310"/>
      <c r="BO36" s="310"/>
      <c r="BP36" s="2533">
        <f>'September TCM'!LP34</f>
        <v>0</v>
      </c>
      <c r="BQ36" s="1042"/>
      <c r="BR36" s="1"/>
      <c r="BS36" s="1228">
        <f t="shared" si="10"/>
        <v>56506.317900130001</v>
      </c>
      <c r="BT36" s="1"/>
      <c r="BU36" s="1"/>
      <c r="BV36" s="1"/>
      <c r="BW36" s="1"/>
      <c r="BX36" s="1"/>
      <c r="BY36" s="1"/>
      <c r="BZ36" s="1"/>
      <c r="CA36" s="1"/>
      <c r="CB36" s="1"/>
      <c r="CC36" s="1"/>
      <c r="CD36" s="1"/>
      <c r="CE36" s="1"/>
      <c r="CF36" s="1"/>
      <c r="CG36" s="1"/>
      <c r="CH36" s="1"/>
      <c r="CI36" s="1"/>
      <c r="CJ36" s="1"/>
      <c r="CK36" s="1"/>
      <c r="CM36" s="1033">
        <v>25</v>
      </c>
      <c r="CN36" s="1">
        <f t="shared" si="11"/>
        <v>0</v>
      </c>
      <c r="CO36" s="2490"/>
      <c r="CQ36" s="412">
        <v>25</v>
      </c>
      <c r="CR36" s="1">
        <f t="shared" si="12"/>
        <v>0</v>
      </c>
      <c r="CS36" s="2490"/>
    </row>
    <row r="37" spans="2:97">
      <c r="B37" s="989">
        <v>26</v>
      </c>
      <c r="C37" s="5">
        <f t="shared" si="1"/>
        <v>0</v>
      </c>
      <c r="D37" s="488">
        <f t="shared" si="22"/>
        <v>0</v>
      </c>
      <c r="E37" s="1051">
        <f t="shared" si="2"/>
        <v>0</v>
      </c>
      <c r="F37" s="363"/>
      <c r="G37" s="64"/>
      <c r="H37" s="1034"/>
      <c r="I37" s="1034"/>
      <c r="N37" s="993"/>
      <c r="O37" s="26"/>
      <c r="P37" s="36"/>
      <c r="Q37" s="277">
        <f t="shared" si="23"/>
        <v>0</v>
      </c>
      <c r="R37" s="1227">
        <f t="shared" si="3"/>
        <v>0</v>
      </c>
      <c r="S37" s="53">
        <f t="shared" si="4"/>
        <v>0</v>
      </c>
      <c r="T37" s="33"/>
      <c r="U37" s="2226" cm="1">
        <f t="array" ref="U37">SUMPRODUCT((IFERROR(VALUE(LEFT('Data Base CW TIS'!$E$2:$E$1000,2)),0)=B37)*('Data Base CW TIS'!$B$2:$B$1000="OP1-ROM SB1 BK05")*(ISNUMBER(SEARCH("S3000",'Data Base CW TIS'!$C$2:$C$1000)))*'Data Base CW TIS'!$N$2:$N$1000)</f>
        <v>0</v>
      </c>
      <c r="V37" s="2227" cm="1">
        <f t="array" ref="V37">SUMPRODUCT((IFERROR(VALUE(LEFT('Data Base CW TIS'!$E$2:$E$1000,2)),0)=B37)*('Data Base CW TIS'!$B$2:$B$1000="OP1-ROM SB1 BK05")*(ISNUMBER(SEARCH("S3100",'Data Base CW TIS'!$C$2:$C$1000)))*'Data Base CW TIS'!$N$2:$N$1000)</f>
        <v>0</v>
      </c>
      <c r="W37" s="2227" cm="1">
        <f t="array" ref="W37">SUMPRODUCT((IFERROR(VALUE(LEFT('Data Base CW TIS'!$E$2:$E$1000,2)),0)=B37)*('Data Base CW TIS'!$B$2:$B$1000="OP1-ROM SB1 BK05")*(ISNUMBER(SEARCH("S2800",'Data Base CW TIS'!$C$2:$C$1000)))*'Data Base CW TIS'!$N$2:$N$1000)</f>
        <v>0</v>
      </c>
      <c r="X37" s="1038"/>
      <c r="Y37" s="1"/>
      <c r="Z37" s="1025">
        <f>SUMPRODUCT(('DB Hauling TIS'!$C$2:$C$951="TIS-ROM SB1 BK05-ROM 5")*ISNUMBER(SEARCH(TEXT('September TIS'!$B37,"00")&amp;"/09/2026",'DB Hauling TIS'!$E$2:$E$951))*'DB Hauling TIS'!$N$2:$N$951)</f>
        <v>0</v>
      </c>
      <c r="AA37" s="2174">
        <f>SUMPRODUCT(('DB Hauling TIS'!$C$2:$C$951="TIS-ROM SB1 BK05-ROM 6")*ISNUMBER(SEARCH(TEXT('September TIS'!$B37,"00")&amp;"/09/2026",'DB Hauling TIS'!$E$2:$E$951))*'DB Hauling TIS'!$N$2:$N$951)</f>
        <v>0</v>
      </c>
      <c r="AB37" s="1025">
        <f t="shared" si="5"/>
        <v>0</v>
      </c>
      <c r="AC37" s="1025">
        <v>0</v>
      </c>
      <c r="AD37" s="1025">
        <v>0</v>
      </c>
      <c r="AE37" s="1025">
        <f>SUMPRODUCT((('DB Hauling TIS'!$C$2:$C$951="TIS-ROM SB1 BK05-ROM 5")+('DB Hauling TIS'!$C$2:$C$951="TIS-ROM SB1 BK05-ROM 6"))*('DB Hauling TIS'!$H$2:$H$951="MPE")*ISNUMBER(SEARCH(TEXT('September TIS'!$B37,"00")&amp;"/09/2026",'DB Hauling TIS'!$E$2:$E$951))*'DB Hauling TIS'!$N$2:$N$951)</f>
        <v>0</v>
      </c>
      <c r="AF37" s="1025">
        <f>SUMPRODUCT((('DB Hauling TIS'!$C$2:$C$951="TIS-ROM SB1 BK05-ROM 5")+('DB Hauling TIS'!$C$2:$C$951="TIS-ROM SB1 BK05-ROM 6"))*('DB Hauling TIS'!$H$2:$H$951="RP")*ISNUMBER(SEARCH(TEXT('September TIS'!$B37,"00")&amp;"/09/2026",'DB Hauling TIS'!$E$2:$E$951))*'DB Hauling TIS'!$N$2:$N$951)</f>
        <v>0</v>
      </c>
      <c r="AG37" s="1025">
        <f t="shared" si="19"/>
        <v>0</v>
      </c>
      <c r="AH37" s="1025"/>
      <c r="AI37" s="1039"/>
      <c r="AJ37" s="1026">
        <f t="shared" si="7"/>
        <v>0</v>
      </c>
      <c r="AK37" s="1026">
        <f t="shared" si="8"/>
        <v>41431.478019779985</v>
      </c>
      <c r="AL37" s="1040">
        <f t="shared" si="0"/>
        <v>41431.478019779985</v>
      </c>
      <c r="AM37" s="1414"/>
      <c r="AN37" s="1414"/>
      <c r="AO37" s="1310"/>
      <c r="AP37" s="1310"/>
      <c r="AQ37" s="1934">
        <f t="shared" si="15"/>
        <v>0</v>
      </c>
      <c r="AR37" s="1729">
        <f t="shared" si="24"/>
        <v>0</v>
      </c>
      <c r="AS37" s="1729">
        <f t="shared" si="24"/>
        <v>3655.7888670000002</v>
      </c>
      <c r="AT37" s="1007"/>
      <c r="AU37" s="2500" cm="1">
        <f t="array" ref="AU37">SUMPRODUCT((IFERROR(VALUE(LEFT('Data Base CW TIS'!$E$2:$E$1000,2)),0)=B37)*('Data Base CW TIS'!$B$2:$B$1000="ROM TEMPORARY-ROM SB1 BK05")*('Data Base CW TIS'!$C$2:$C$1000="TIS-ROM TEMPORARY-ROM 6 (TIS)")*'Data Base CW TIS'!$N$2:$N$1000)</f>
        <v>0</v>
      </c>
      <c r="AV37" s="1414"/>
      <c r="AW37" s="987"/>
      <c r="AX37" s="310">
        <f t="shared" si="16"/>
        <v>0</v>
      </c>
      <c r="AY37" s="998"/>
      <c r="AZ37" s="2">
        <f>IFERROR(SUMPRODUCT((TIS.HCV.MS!$A$3:$A$92=DATE(2026,9,$B37))*(TIS.HCV.MS!$O$3:$O$92&gt;0)*TIS.HCV.MS!$C$3:$C$92*TIS.HCV.MS!$O$3:$O$92)/SUMPRODUCT((TIS.HCV.MS!$A$3:$A$92=DATE(2026,9,$B37))*(TIS.HCV.MS!$O$3:$O$92&gt;0)*TIS.HCV.MS!$C$3:$C$92),0)</f>
        <v>0</v>
      </c>
      <c r="BA37" s="2110">
        <f>IFERROR(SUMPRODUCT((TIS.HCV.MS!$A$3:$A$92=DATE(2026,9,$B37))*(TIS.HCV.MS!$M$3:$M$92&gt;0)*TIS.HCV.MS!$C$3:$C$92*TIS.HCV.MS!$M$3:$M$92)/SUMPRODUCT((TIS.HCV.MS!$A$3:$A$92=DATE(2026,9,$B37))*(TIS.HCV.MS!$M$3:$M$92&gt;0)*TIS.HCV.MS!$C$3:$C$92),0)</f>
        <v>0</v>
      </c>
      <c r="BB37" s="2110">
        <f>IFERROR(SUMPRODUCT((TIS.HCV.MS!$A$3:$A$92=DATE(2026,9,$B37))*(TIS.HCV.MS!$G$3:$G$92&gt;0)*TIS.HCV.MS!$C$3:$C$92*TIS.HCV.MS!$G$3:$G$92)/SUMPRODUCT((TIS.HCV.MS!$A$3:$A$92=DATE(2026,9,$B37))*(TIS.HCV.MS!$G$3:$G$92&gt;0)*TIS.HCV.MS!$C$3:$C$92),0)</f>
        <v>0</v>
      </c>
      <c r="BC37" s="2110">
        <f>IFERROR(SUMPRODUCT((TIS.HCV.MS!$A$3:$A$92=DATE(2026,9,$B37))*(TIS.HCV.MS!$F$3:$F$92&gt;0)*TIS.HCV.MS!$C$3:$C$92*TIS.HCV.MS!$F$3:$F$92)/SUMPRODUCT((TIS.HCV.MS!$A$3:$A$92=DATE(2026,9,$B37))*(TIS.HCV.MS!$F$3:$F$92&gt;0)*TIS.HCV.MS!$C$3:$C$92),0)</f>
        <v>0</v>
      </c>
      <c r="BD37" s="2111">
        <f>IFERROR(SUMPRODUCT((TIS.HCV.MS!$A$3:$A$92=DATE(2026,9,$B37))*(TIS.HCV.MS!$E$3:$E$92&gt;0)*TIS.HCV.MS!$C$3:$C$92*TIS.HCV.MS!$E$3:$E$92)/SUMPRODUCT((TIS.HCV.MS!$A$3:$A$92=DATE(2026,9,$B37))*(TIS.HCV.MS!$E$3:$E$92&gt;0)*TIS.HCV.MS!$C$3:$C$92),0)</f>
        <v>0</v>
      </c>
      <c r="BF37" s="987"/>
      <c r="BG37" s="987"/>
      <c r="BH37" s="987"/>
      <c r="BI37" s="987"/>
      <c r="BJ37" s="987"/>
      <c r="BK37" s="310"/>
      <c r="BL37" s="310"/>
      <c r="BM37" s="310"/>
      <c r="BN37" s="310"/>
      <c r="BO37" s="310"/>
      <c r="BP37" s="2533">
        <f>'September TCM'!LP35</f>
        <v>0</v>
      </c>
      <c r="BQ37" s="1052"/>
      <c r="BR37" s="857"/>
      <c r="BS37" s="1228">
        <f t="shared" si="10"/>
        <v>56506.317900130001</v>
      </c>
      <c r="BT37" s="857"/>
      <c r="BU37" s="857"/>
      <c r="BV37" s="857"/>
      <c r="BW37" s="857"/>
      <c r="BX37" s="857"/>
      <c r="BY37" s="857"/>
      <c r="BZ37" s="857"/>
      <c r="CA37" s="857"/>
      <c r="CB37" s="857"/>
      <c r="CC37" s="857"/>
      <c r="CD37" s="857"/>
      <c r="CE37" s="857"/>
      <c r="CF37" s="857"/>
      <c r="CG37" s="857"/>
      <c r="CH37" s="857"/>
      <c r="CI37" s="857"/>
      <c r="CJ37" s="857"/>
      <c r="CK37" s="857"/>
      <c r="CM37" s="1033">
        <v>26</v>
      </c>
      <c r="CN37" s="1">
        <f t="shared" si="11"/>
        <v>0</v>
      </c>
      <c r="CO37" s="2499"/>
      <c r="CP37" s="1048"/>
      <c r="CQ37" s="412">
        <v>26</v>
      </c>
      <c r="CR37" s="1">
        <f t="shared" si="12"/>
        <v>0</v>
      </c>
      <c r="CS37" s="2490"/>
    </row>
    <row r="38" spans="2:97">
      <c r="B38" s="989">
        <v>27</v>
      </c>
      <c r="C38" s="5">
        <f t="shared" si="1"/>
        <v>0</v>
      </c>
      <c r="D38" s="488">
        <f t="shared" si="22"/>
        <v>0</v>
      </c>
      <c r="E38" s="1051">
        <f t="shared" si="2"/>
        <v>0</v>
      </c>
      <c r="F38" s="363"/>
      <c r="G38" s="64"/>
      <c r="H38" s="1034"/>
      <c r="I38" s="1034"/>
      <c r="N38" s="993"/>
      <c r="O38" s="26"/>
      <c r="P38" s="36"/>
      <c r="Q38" s="277">
        <f t="shared" si="23"/>
        <v>0</v>
      </c>
      <c r="R38" s="1227">
        <f t="shared" si="3"/>
        <v>0</v>
      </c>
      <c r="S38" s="53">
        <f t="shared" si="4"/>
        <v>0</v>
      </c>
      <c r="T38" s="33"/>
      <c r="U38" s="2226" cm="1">
        <f t="array" ref="U38">SUMPRODUCT((IFERROR(VALUE(LEFT('Data Base CW TIS'!$E$2:$E$1000,2)),0)=B38)*('Data Base CW TIS'!$B$2:$B$1000="OP1-ROM SB1 BK05")*(ISNUMBER(SEARCH("S3000",'Data Base CW TIS'!$C$2:$C$1000)))*'Data Base CW TIS'!$N$2:$N$1000)</f>
        <v>0</v>
      </c>
      <c r="V38" s="2227" cm="1">
        <f t="array" ref="V38">SUMPRODUCT((IFERROR(VALUE(LEFT('Data Base CW TIS'!$E$2:$E$1000,2)),0)=B38)*('Data Base CW TIS'!$B$2:$B$1000="OP1-ROM SB1 BK05")*(ISNUMBER(SEARCH("S3100",'Data Base CW TIS'!$C$2:$C$1000)))*'Data Base CW TIS'!$N$2:$N$1000)</f>
        <v>0</v>
      </c>
      <c r="W38" s="2227" cm="1">
        <f t="array" ref="W38">SUMPRODUCT((IFERROR(VALUE(LEFT('Data Base CW TIS'!$E$2:$E$1000,2)),0)=B38)*('Data Base CW TIS'!$B$2:$B$1000="OP1-ROM SB1 BK05")*(ISNUMBER(SEARCH("S2800",'Data Base CW TIS'!$C$2:$C$1000)))*'Data Base CW TIS'!$N$2:$N$1000)</f>
        <v>0</v>
      </c>
      <c r="X38" s="1038"/>
      <c r="Y38" s="1"/>
      <c r="Z38" s="1025">
        <f>SUMPRODUCT(('DB Hauling TIS'!$C$2:$C$951="TIS-ROM SB1 BK05-ROM 5")*ISNUMBER(SEARCH(TEXT('September TIS'!$B38,"00")&amp;"/09/2026",'DB Hauling TIS'!$E$2:$E$951))*'DB Hauling TIS'!$N$2:$N$951)</f>
        <v>0</v>
      </c>
      <c r="AA38" s="2174">
        <f>SUMPRODUCT(('DB Hauling TIS'!$C$2:$C$951="TIS-ROM SB1 BK05-ROM 6")*ISNUMBER(SEARCH(TEXT('September TIS'!$B38,"00")&amp;"/09/2026",'DB Hauling TIS'!$E$2:$E$951))*'DB Hauling TIS'!$N$2:$N$951)</f>
        <v>0</v>
      </c>
      <c r="AB38" s="1025">
        <f t="shared" si="5"/>
        <v>0</v>
      </c>
      <c r="AC38" s="1025">
        <v>0</v>
      </c>
      <c r="AD38" s="1025">
        <v>0</v>
      </c>
      <c r="AE38" s="1025">
        <f>SUMPRODUCT((('DB Hauling TIS'!$C$2:$C$951="TIS-ROM SB1 BK05-ROM 5")+('DB Hauling TIS'!$C$2:$C$951="TIS-ROM SB1 BK05-ROM 6"))*('DB Hauling TIS'!$H$2:$H$951="MPE")*ISNUMBER(SEARCH(TEXT('September TIS'!$B38,"00")&amp;"/09/2026",'DB Hauling TIS'!$E$2:$E$951))*'DB Hauling TIS'!$N$2:$N$951)</f>
        <v>0</v>
      </c>
      <c r="AF38" s="1025">
        <f>SUMPRODUCT((('DB Hauling TIS'!$C$2:$C$951="TIS-ROM SB1 BK05-ROM 5")+('DB Hauling TIS'!$C$2:$C$951="TIS-ROM SB1 BK05-ROM 6"))*('DB Hauling TIS'!$H$2:$H$951="RP")*ISNUMBER(SEARCH(TEXT('September TIS'!$B38,"00")&amp;"/09/2026",'DB Hauling TIS'!$E$2:$E$951))*'DB Hauling TIS'!$N$2:$N$951)</f>
        <v>0</v>
      </c>
      <c r="AG38" s="1025">
        <f t="shared" si="19"/>
        <v>0</v>
      </c>
      <c r="AH38" s="1025"/>
      <c r="AI38" s="1039"/>
      <c r="AJ38" s="1026">
        <f t="shared" si="7"/>
        <v>0</v>
      </c>
      <c r="AK38" s="1026">
        <f t="shared" si="8"/>
        <v>41431.478019779985</v>
      </c>
      <c r="AL38" s="1040">
        <f t="shared" si="0"/>
        <v>41431.478019779985</v>
      </c>
      <c r="AM38" s="1414"/>
      <c r="AN38" s="1414"/>
      <c r="AO38" s="1310"/>
      <c r="AP38" s="1310"/>
      <c r="AQ38" s="1934">
        <f t="shared" si="15"/>
        <v>0</v>
      </c>
      <c r="AR38" s="1729">
        <f t="shared" si="24"/>
        <v>0</v>
      </c>
      <c r="AS38" s="1729">
        <f t="shared" si="24"/>
        <v>3655.7888670000002</v>
      </c>
      <c r="AT38" s="1007"/>
      <c r="AU38" s="2500" cm="1">
        <f t="array" ref="AU38">SUMPRODUCT((IFERROR(VALUE(LEFT('Data Base CW TIS'!$E$2:$E$1000,2)),0)=B38)*('Data Base CW TIS'!$B$2:$B$1000="ROM TEMPORARY-ROM SB1 BK05")*('Data Base CW TIS'!$C$2:$C$1000="TIS-ROM TEMPORARY-ROM 6 (TIS)")*'Data Base CW TIS'!$N$2:$N$1000)</f>
        <v>0</v>
      </c>
      <c r="AV38" s="1414"/>
      <c r="AW38" s="987"/>
      <c r="AX38" s="310">
        <f t="shared" si="16"/>
        <v>0</v>
      </c>
      <c r="AY38" s="998"/>
      <c r="AZ38" s="2">
        <f>IFERROR(SUMPRODUCT((TIS.HCV.MS!$A$3:$A$92=DATE(2026,9,$B38))*(TIS.HCV.MS!$O$3:$O$92&gt;0)*TIS.HCV.MS!$C$3:$C$92*TIS.HCV.MS!$O$3:$O$92)/SUMPRODUCT((TIS.HCV.MS!$A$3:$A$92=DATE(2026,9,$B38))*(TIS.HCV.MS!$O$3:$O$92&gt;0)*TIS.HCV.MS!$C$3:$C$92),0)</f>
        <v>0</v>
      </c>
      <c r="BA38" s="2110">
        <f>IFERROR(SUMPRODUCT((TIS.HCV.MS!$A$3:$A$92=DATE(2026,9,$B38))*(TIS.HCV.MS!$M$3:$M$92&gt;0)*TIS.HCV.MS!$C$3:$C$92*TIS.HCV.MS!$M$3:$M$92)/SUMPRODUCT((TIS.HCV.MS!$A$3:$A$92=DATE(2026,9,$B38))*(TIS.HCV.MS!$M$3:$M$92&gt;0)*TIS.HCV.MS!$C$3:$C$92),0)</f>
        <v>0</v>
      </c>
      <c r="BB38" s="2110">
        <f>IFERROR(SUMPRODUCT((TIS.HCV.MS!$A$3:$A$92=DATE(2026,9,$B38))*(TIS.HCV.MS!$G$3:$G$92&gt;0)*TIS.HCV.MS!$C$3:$C$92*TIS.HCV.MS!$G$3:$G$92)/SUMPRODUCT((TIS.HCV.MS!$A$3:$A$92=DATE(2026,9,$B38))*(TIS.HCV.MS!$G$3:$G$92&gt;0)*TIS.HCV.MS!$C$3:$C$92),0)</f>
        <v>0</v>
      </c>
      <c r="BC38" s="2110">
        <f>IFERROR(SUMPRODUCT((TIS.HCV.MS!$A$3:$A$92=DATE(2026,9,$B38))*(TIS.HCV.MS!$F$3:$F$92&gt;0)*TIS.HCV.MS!$C$3:$C$92*TIS.HCV.MS!$F$3:$F$92)/SUMPRODUCT((TIS.HCV.MS!$A$3:$A$92=DATE(2026,9,$B38))*(TIS.HCV.MS!$F$3:$F$92&gt;0)*TIS.HCV.MS!$C$3:$C$92),0)</f>
        <v>0</v>
      </c>
      <c r="BD38" s="2111">
        <f>IFERROR(SUMPRODUCT((TIS.HCV.MS!$A$3:$A$92=DATE(2026,9,$B38))*(TIS.HCV.MS!$E$3:$E$92&gt;0)*TIS.HCV.MS!$C$3:$C$92*TIS.HCV.MS!$E$3:$E$92)/SUMPRODUCT((TIS.HCV.MS!$A$3:$A$92=DATE(2026,9,$B38))*(TIS.HCV.MS!$E$3:$E$92&gt;0)*TIS.HCV.MS!$C$3:$C$92),0)</f>
        <v>0</v>
      </c>
      <c r="BF38" s="987"/>
      <c r="BG38" s="987"/>
      <c r="BH38" s="987"/>
      <c r="BI38" s="987"/>
      <c r="BJ38" s="987"/>
      <c r="BK38" s="310"/>
      <c r="BL38" s="310"/>
      <c r="BM38" s="310"/>
      <c r="BN38" s="310"/>
      <c r="BO38" s="310"/>
      <c r="BP38" s="2533">
        <f>'September TCM'!LP36</f>
        <v>0</v>
      </c>
      <c r="BQ38" s="1053"/>
      <c r="BR38" s="857"/>
      <c r="BS38" s="1228">
        <f t="shared" si="10"/>
        <v>56506.317900130001</v>
      </c>
      <c r="BT38" s="857"/>
      <c r="BU38" s="857"/>
      <c r="BV38" s="857"/>
      <c r="BW38" s="857"/>
      <c r="BX38" s="857"/>
      <c r="BY38" s="857"/>
      <c r="BZ38" s="857"/>
      <c r="CA38" s="857"/>
      <c r="CB38" s="857"/>
      <c r="CC38" s="857"/>
      <c r="CD38" s="857"/>
      <c r="CE38" s="857"/>
      <c r="CF38" s="857"/>
      <c r="CG38" s="857"/>
      <c r="CH38" s="857"/>
      <c r="CI38" s="857"/>
      <c r="CJ38" s="857"/>
      <c r="CK38" s="857"/>
      <c r="CM38" s="1033">
        <v>27</v>
      </c>
      <c r="CN38" s="1">
        <f t="shared" si="11"/>
        <v>0</v>
      </c>
      <c r="CO38" s="2499"/>
      <c r="CP38" s="1048"/>
      <c r="CQ38" s="412">
        <v>27</v>
      </c>
      <c r="CR38" s="1">
        <f t="shared" si="12"/>
        <v>0</v>
      </c>
      <c r="CS38" s="2490"/>
    </row>
    <row r="39" spans="2:97">
      <c r="B39" s="989">
        <v>28</v>
      </c>
      <c r="C39" s="5">
        <f t="shared" si="1"/>
        <v>0</v>
      </c>
      <c r="D39" s="488">
        <f t="shared" si="22"/>
        <v>0</v>
      </c>
      <c r="E39" s="1051">
        <f t="shared" si="2"/>
        <v>0</v>
      </c>
      <c r="F39" s="363"/>
      <c r="G39" s="64"/>
      <c r="H39" s="1034"/>
      <c r="I39" s="1034"/>
      <c r="N39" s="993"/>
      <c r="O39" s="26"/>
      <c r="P39" s="36"/>
      <c r="Q39" s="277">
        <f t="shared" si="23"/>
        <v>0</v>
      </c>
      <c r="R39" s="1227">
        <f t="shared" si="3"/>
        <v>0</v>
      </c>
      <c r="S39" s="53">
        <f t="shared" si="4"/>
        <v>0</v>
      </c>
      <c r="T39" s="33"/>
      <c r="U39" s="2226" cm="1">
        <f t="array" ref="U39">SUMPRODUCT((IFERROR(VALUE(LEFT('Data Base CW TIS'!$E$2:$E$1000,2)),0)=B39)*('Data Base CW TIS'!$B$2:$B$1000="OP1-ROM SB1 BK05")*(ISNUMBER(SEARCH("S3000",'Data Base CW TIS'!$C$2:$C$1000)))*'Data Base CW TIS'!$N$2:$N$1000)</f>
        <v>0</v>
      </c>
      <c r="V39" s="2227" cm="1">
        <f t="array" ref="V39">SUMPRODUCT((IFERROR(VALUE(LEFT('Data Base CW TIS'!$E$2:$E$1000,2)),0)=B39)*('Data Base CW TIS'!$B$2:$B$1000="OP1-ROM SB1 BK05")*(ISNUMBER(SEARCH("S3100",'Data Base CW TIS'!$C$2:$C$1000)))*'Data Base CW TIS'!$N$2:$N$1000)</f>
        <v>0</v>
      </c>
      <c r="W39" s="2419" cm="1">
        <f t="array" ref="W39">SUMPRODUCT((IFERROR(VALUE(LEFT('Data Base CW TIS'!$E$2:$E$1000,2)),0)=B39)*('Data Base CW TIS'!$B$2:$B$1000="OP1-ROM SB1 BK05")*(ISNUMBER(SEARCH("S2800",'Data Base CW TIS'!$C$2:$C$1000)))*'Data Base CW TIS'!$N$2:$N$1000)</f>
        <v>0</v>
      </c>
      <c r="X39" s="1038"/>
      <c r="Y39" s="1"/>
      <c r="Z39" s="1025">
        <f>SUMPRODUCT(('DB Hauling TIS'!$C$2:$C$951="TIS-ROM SB1 BK05-ROM 5")*ISNUMBER(SEARCH(TEXT('September TIS'!$B39,"00")&amp;"/09/2026",'DB Hauling TIS'!$E$2:$E$951))*'DB Hauling TIS'!$N$2:$N$951)</f>
        <v>0</v>
      </c>
      <c r="AA39" s="2174">
        <f>SUMPRODUCT(('DB Hauling TIS'!$C$2:$C$951="TIS-ROM SB1 BK05-ROM 6")*ISNUMBER(SEARCH(TEXT('September TIS'!$B39,"00")&amp;"/09/2026",'DB Hauling TIS'!$E$2:$E$951))*'DB Hauling TIS'!$N$2:$N$951)</f>
        <v>0</v>
      </c>
      <c r="AB39" s="1025">
        <f t="shared" si="5"/>
        <v>0</v>
      </c>
      <c r="AC39" s="1025">
        <v>0</v>
      </c>
      <c r="AD39" s="1025">
        <v>0</v>
      </c>
      <c r="AE39" s="1025">
        <f>SUMPRODUCT((('DB Hauling TIS'!$C$2:$C$951="TIS-ROM SB1 BK05-ROM 5")+('DB Hauling TIS'!$C$2:$C$951="TIS-ROM SB1 BK05-ROM 6"))*('DB Hauling TIS'!$H$2:$H$951="MPE")*ISNUMBER(SEARCH(TEXT('September TIS'!$B39,"00")&amp;"/09/2026",'DB Hauling TIS'!$E$2:$E$951))*'DB Hauling TIS'!$N$2:$N$951)</f>
        <v>0</v>
      </c>
      <c r="AF39" s="1025">
        <f>SUMPRODUCT((('DB Hauling TIS'!$C$2:$C$951="TIS-ROM SB1 BK05-ROM 5")+('DB Hauling TIS'!$C$2:$C$951="TIS-ROM SB1 BK05-ROM 6"))*('DB Hauling TIS'!$H$2:$H$951="RP")*ISNUMBER(SEARCH(TEXT('September TIS'!$B39,"00")&amp;"/09/2026",'DB Hauling TIS'!$E$2:$E$951))*'DB Hauling TIS'!$N$2:$N$951)</f>
        <v>0</v>
      </c>
      <c r="AG39" s="1025">
        <f t="shared" si="19"/>
        <v>0</v>
      </c>
      <c r="AH39" s="1025"/>
      <c r="AI39" s="1039"/>
      <c r="AJ39" s="1026">
        <f t="shared" si="7"/>
        <v>0</v>
      </c>
      <c r="AK39" s="1026">
        <f t="shared" si="8"/>
        <v>41431.478019779985</v>
      </c>
      <c r="AL39" s="1040">
        <f t="shared" si="0"/>
        <v>41431.478019779985</v>
      </c>
      <c r="AM39" s="1414"/>
      <c r="AN39" s="1414"/>
      <c r="AO39" s="1310"/>
      <c r="AP39" s="1310"/>
      <c r="AQ39" s="1934">
        <f t="shared" si="15"/>
        <v>0</v>
      </c>
      <c r="AR39" s="1729">
        <f t="shared" si="24"/>
        <v>0</v>
      </c>
      <c r="AS39" s="1729">
        <f t="shared" si="24"/>
        <v>3655.7888670000002</v>
      </c>
      <c r="AT39" s="1007"/>
      <c r="AU39" s="2500" cm="1">
        <f t="array" ref="AU39">SUMPRODUCT((IFERROR(VALUE(LEFT('Data Base CW TIS'!$E$2:$E$1000,2)),0)=B39)*('Data Base CW TIS'!$B$2:$B$1000="ROM TEMPORARY-ROM SB1 BK05")*('Data Base CW TIS'!$C$2:$C$1000="TIS-ROM TEMPORARY-ROM 6 (TIS)")*'Data Base CW TIS'!$N$2:$N$1000)</f>
        <v>0</v>
      </c>
      <c r="AV39" s="1414"/>
      <c r="AW39" s="987"/>
      <c r="AX39" s="310">
        <f t="shared" si="16"/>
        <v>0</v>
      </c>
      <c r="AY39" s="998"/>
      <c r="AZ39" s="2">
        <f>IFERROR(SUMPRODUCT((TIS.HCV.MS!$A$3:$A$92=DATE(2026,9,$B39))*(TIS.HCV.MS!$O$3:$O$92&gt;0)*TIS.HCV.MS!$C$3:$C$92*TIS.HCV.MS!$O$3:$O$92)/SUMPRODUCT((TIS.HCV.MS!$A$3:$A$92=DATE(2026,9,$B39))*(TIS.HCV.MS!$O$3:$O$92&gt;0)*TIS.HCV.MS!$C$3:$C$92),0)</f>
        <v>0</v>
      </c>
      <c r="BA39" s="2110">
        <f>IFERROR(SUMPRODUCT((TIS.HCV.MS!$A$3:$A$92=DATE(2026,9,$B39))*(TIS.HCV.MS!$M$3:$M$92&gt;0)*TIS.HCV.MS!$C$3:$C$92*TIS.HCV.MS!$M$3:$M$92)/SUMPRODUCT((TIS.HCV.MS!$A$3:$A$92=DATE(2026,9,$B39))*(TIS.HCV.MS!$M$3:$M$92&gt;0)*TIS.HCV.MS!$C$3:$C$92),0)</f>
        <v>0</v>
      </c>
      <c r="BB39" s="2110">
        <f>IFERROR(SUMPRODUCT((TIS.HCV.MS!$A$3:$A$92=DATE(2026,9,$B39))*(TIS.HCV.MS!$G$3:$G$92&gt;0)*TIS.HCV.MS!$C$3:$C$92*TIS.HCV.MS!$G$3:$G$92)/SUMPRODUCT((TIS.HCV.MS!$A$3:$A$92=DATE(2026,9,$B39))*(TIS.HCV.MS!$G$3:$G$92&gt;0)*TIS.HCV.MS!$C$3:$C$92),0)</f>
        <v>0</v>
      </c>
      <c r="BC39" s="2110">
        <f>IFERROR(SUMPRODUCT((TIS.HCV.MS!$A$3:$A$92=DATE(2026,9,$B39))*(TIS.HCV.MS!$F$3:$F$92&gt;0)*TIS.HCV.MS!$C$3:$C$92*TIS.HCV.MS!$F$3:$F$92)/SUMPRODUCT((TIS.HCV.MS!$A$3:$A$92=DATE(2026,9,$B39))*(TIS.HCV.MS!$F$3:$F$92&gt;0)*TIS.HCV.MS!$C$3:$C$92),0)</f>
        <v>0</v>
      </c>
      <c r="BD39" s="2111">
        <f>IFERROR(SUMPRODUCT((TIS.HCV.MS!$A$3:$A$92=DATE(2026,9,$B39))*(TIS.HCV.MS!$E$3:$E$92&gt;0)*TIS.HCV.MS!$C$3:$C$92*TIS.HCV.MS!$E$3:$E$92)/SUMPRODUCT((TIS.HCV.MS!$A$3:$A$92=DATE(2026,9,$B39))*(TIS.HCV.MS!$E$3:$E$92&gt;0)*TIS.HCV.MS!$C$3:$C$92),0)</f>
        <v>0</v>
      </c>
      <c r="BF39" s="987"/>
      <c r="BG39" s="987"/>
      <c r="BH39" s="987"/>
      <c r="BI39" s="987"/>
      <c r="BJ39" s="987"/>
      <c r="BK39" s="310"/>
      <c r="BL39" s="310"/>
      <c r="BM39" s="310"/>
      <c r="BN39" s="310"/>
      <c r="BO39" s="310"/>
      <c r="BP39" s="2533">
        <f>'September TCM'!LP37</f>
        <v>0</v>
      </c>
      <c r="BQ39" s="1042"/>
      <c r="BR39" s="1"/>
      <c r="BS39" s="1228">
        <f t="shared" si="10"/>
        <v>56506.317900130001</v>
      </c>
      <c r="BT39" s="1"/>
      <c r="BU39" s="1"/>
      <c r="BV39" s="1"/>
      <c r="BW39" s="1"/>
      <c r="BX39" s="1"/>
      <c r="BY39" s="1"/>
      <c r="BZ39" s="1"/>
      <c r="CA39" s="1"/>
      <c r="CB39" s="1"/>
      <c r="CC39" s="1"/>
      <c r="CD39" s="1"/>
      <c r="CE39" s="1"/>
      <c r="CF39" s="1"/>
      <c r="CG39" s="1"/>
      <c r="CH39" s="1"/>
      <c r="CI39" s="1"/>
      <c r="CJ39" s="1"/>
      <c r="CK39" s="1"/>
      <c r="CM39" s="1033">
        <v>28</v>
      </c>
      <c r="CN39" s="1">
        <f t="shared" si="11"/>
        <v>0</v>
      </c>
      <c r="CO39" s="1109"/>
      <c r="CQ39" s="412">
        <v>28</v>
      </c>
      <c r="CR39" s="1">
        <f t="shared" si="12"/>
        <v>0</v>
      </c>
      <c r="CS39" s="2490"/>
    </row>
    <row r="40" spans="2:97">
      <c r="B40" s="989">
        <v>29</v>
      </c>
      <c r="C40" s="5">
        <f t="shared" si="1"/>
        <v>0</v>
      </c>
      <c r="D40" s="488">
        <f t="shared" si="22"/>
        <v>0</v>
      </c>
      <c r="E40" s="1051">
        <f t="shared" si="2"/>
        <v>0</v>
      </c>
      <c r="F40" s="363"/>
      <c r="G40" s="64"/>
      <c r="H40" s="1034"/>
      <c r="I40" s="1034"/>
      <c r="N40" s="993"/>
      <c r="O40" s="26"/>
      <c r="P40" s="36"/>
      <c r="Q40" s="277">
        <f t="shared" si="23"/>
        <v>0</v>
      </c>
      <c r="R40" s="1227">
        <f t="shared" si="3"/>
        <v>0</v>
      </c>
      <c r="S40" s="53">
        <f t="shared" si="4"/>
        <v>0</v>
      </c>
      <c r="T40" s="33"/>
      <c r="U40" s="2226" cm="1">
        <f t="array" ref="U40">SUMPRODUCT((IFERROR(VALUE(LEFT('Data Base CW TIS'!$E$2:$E$1000,2)),0)=B40)*('Data Base CW TIS'!$B$2:$B$1000="OP1-ROM SB1 BK05")*(ISNUMBER(SEARCH("S3000",'Data Base CW TIS'!$C$2:$C$1000)))*'Data Base CW TIS'!$N$2:$N$1000)</f>
        <v>0</v>
      </c>
      <c r="V40" s="2227" cm="1">
        <f t="array" ref="V40">SUMPRODUCT((IFERROR(VALUE(LEFT('Data Base CW TIS'!$E$2:$E$1000,2)),0)=B40)*('Data Base CW TIS'!$B$2:$B$1000="OP1-ROM SB1 BK05")*(ISNUMBER(SEARCH("S3100",'Data Base CW TIS'!$C$2:$C$1000)))*'Data Base CW TIS'!$N$2:$N$1000)</f>
        <v>0</v>
      </c>
      <c r="W40" s="2227" cm="1">
        <f t="array" ref="W40">SUMPRODUCT((IFERROR(VALUE(LEFT('Data Base CW TIS'!$E$2:$E$1000,2)),0)=B40)*('Data Base CW TIS'!$B$2:$B$1000="OP1-ROM SB1 BK05")*(ISNUMBER(SEARCH("S2800",'Data Base CW TIS'!$C$2:$C$1000)))*'Data Base CW TIS'!$N$2:$N$1000)</f>
        <v>0</v>
      </c>
      <c r="X40" s="1038"/>
      <c r="Y40" s="1"/>
      <c r="Z40" s="1025">
        <f>SUMPRODUCT(('DB Hauling TIS'!$C$2:$C$951="TIS-ROM SB1 BK05-ROM 5")*ISNUMBER(SEARCH(TEXT('September TIS'!$B40,"00")&amp;"/09/2026",'DB Hauling TIS'!$E$2:$E$951))*'DB Hauling TIS'!$N$2:$N$951)</f>
        <v>0</v>
      </c>
      <c r="AA40" s="2174">
        <f>SUMPRODUCT(('DB Hauling TIS'!$C$2:$C$951="TIS-ROM SB1 BK05-ROM 6")*ISNUMBER(SEARCH(TEXT('September TIS'!$B40,"00")&amp;"/09/2026",'DB Hauling TIS'!$E$2:$E$951))*'DB Hauling TIS'!$N$2:$N$951)</f>
        <v>0</v>
      </c>
      <c r="AB40" s="1025">
        <f t="shared" si="5"/>
        <v>0</v>
      </c>
      <c r="AC40" s="1025">
        <v>0</v>
      </c>
      <c r="AD40" s="1025">
        <v>0</v>
      </c>
      <c r="AE40" s="1025">
        <f>SUMPRODUCT((('DB Hauling TIS'!$C$2:$C$951="TIS-ROM SB1 BK05-ROM 5")+('DB Hauling TIS'!$C$2:$C$951="TIS-ROM SB1 BK05-ROM 6"))*('DB Hauling TIS'!$H$2:$H$951="MPE")*ISNUMBER(SEARCH(TEXT('September TIS'!$B40,"00")&amp;"/09/2026",'DB Hauling TIS'!$E$2:$E$951))*'DB Hauling TIS'!$N$2:$N$951)</f>
        <v>0</v>
      </c>
      <c r="AF40" s="1025">
        <f>SUMPRODUCT((('DB Hauling TIS'!$C$2:$C$951="TIS-ROM SB1 BK05-ROM 5")+('DB Hauling TIS'!$C$2:$C$951="TIS-ROM SB1 BK05-ROM 6"))*('DB Hauling TIS'!$H$2:$H$951="RP")*ISNUMBER(SEARCH(TEXT('September TIS'!$B40,"00")&amp;"/09/2026",'DB Hauling TIS'!$E$2:$E$951))*'DB Hauling TIS'!$N$2:$N$951)</f>
        <v>0</v>
      </c>
      <c r="AG40" s="1025">
        <f t="shared" si="19"/>
        <v>0</v>
      </c>
      <c r="AH40" s="1025"/>
      <c r="AI40" s="1039"/>
      <c r="AJ40" s="1026">
        <f t="shared" si="7"/>
        <v>0</v>
      </c>
      <c r="AK40" s="1026">
        <f t="shared" si="8"/>
        <v>41431.478019779985</v>
      </c>
      <c r="AL40" s="1040">
        <f t="shared" si="0"/>
        <v>41431.478019779985</v>
      </c>
      <c r="AM40" s="1414"/>
      <c r="AN40" s="1414"/>
      <c r="AO40" s="1310"/>
      <c r="AP40" s="1310"/>
      <c r="AQ40" s="1934">
        <f t="shared" si="15"/>
        <v>0</v>
      </c>
      <c r="AR40" s="1729">
        <f t="shared" si="24"/>
        <v>0</v>
      </c>
      <c r="AS40" s="1729">
        <f t="shared" si="24"/>
        <v>3655.7888670000002</v>
      </c>
      <c r="AT40" s="1007"/>
      <c r="AU40" s="2500" cm="1">
        <f t="array" ref="AU40">SUMPRODUCT((IFERROR(VALUE(LEFT('Data Base CW TIS'!$E$2:$E$1000,2)),0)=B40)*('Data Base CW TIS'!$B$2:$B$1000="ROM TEMPORARY-ROM SB1 BK05")*('Data Base CW TIS'!$C$2:$C$1000="TIS-ROM TEMPORARY-ROM 6 (TIS)")*'Data Base CW TIS'!$N$2:$N$1000)</f>
        <v>0</v>
      </c>
      <c r="AV40" s="1414"/>
      <c r="AW40" s="987"/>
      <c r="AX40" s="310">
        <f t="shared" si="16"/>
        <v>0</v>
      </c>
      <c r="AY40" s="998"/>
      <c r="AZ40" s="2">
        <f>IFERROR(SUMPRODUCT((TIS.HCV.MS!$A$3:$A$92=DATE(2026,9,$B40))*(TIS.HCV.MS!$O$3:$O$92&gt;0)*TIS.HCV.MS!$C$3:$C$92*TIS.HCV.MS!$O$3:$O$92)/SUMPRODUCT((TIS.HCV.MS!$A$3:$A$92=DATE(2026,9,$B40))*(TIS.HCV.MS!$O$3:$O$92&gt;0)*TIS.HCV.MS!$C$3:$C$92),0)</f>
        <v>0</v>
      </c>
      <c r="BA40" s="2110">
        <f>IFERROR(SUMPRODUCT((TIS.HCV.MS!$A$3:$A$92=DATE(2026,9,$B40))*(TIS.HCV.MS!$M$3:$M$92&gt;0)*TIS.HCV.MS!$C$3:$C$92*TIS.HCV.MS!$M$3:$M$92)/SUMPRODUCT((TIS.HCV.MS!$A$3:$A$92=DATE(2026,9,$B40))*(TIS.HCV.MS!$M$3:$M$92&gt;0)*TIS.HCV.MS!$C$3:$C$92),0)</f>
        <v>0</v>
      </c>
      <c r="BB40" s="2110">
        <f>IFERROR(SUMPRODUCT((TIS.HCV.MS!$A$3:$A$92=DATE(2026,9,$B40))*(TIS.HCV.MS!$G$3:$G$92&gt;0)*TIS.HCV.MS!$C$3:$C$92*TIS.HCV.MS!$G$3:$G$92)/SUMPRODUCT((TIS.HCV.MS!$A$3:$A$92=DATE(2026,9,$B40))*(TIS.HCV.MS!$G$3:$G$92&gt;0)*TIS.HCV.MS!$C$3:$C$92),0)</f>
        <v>0</v>
      </c>
      <c r="BC40" s="2110">
        <f>IFERROR(SUMPRODUCT((TIS.HCV.MS!$A$3:$A$92=DATE(2026,9,$B40))*(TIS.HCV.MS!$F$3:$F$92&gt;0)*TIS.HCV.MS!$C$3:$C$92*TIS.HCV.MS!$F$3:$F$92)/SUMPRODUCT((TIS.HCV.MS!$A$3:$A$92=DATE(2026,9,$B40))*(TIS.HCV.MS!$F$3:$F$92&gt;0)*TIS.HCV.MS!$C$3:$C$92),0)</f>
        <v>0</v>
      </c>
      <c r="BD40" s="2111">
        <f>IFERROR(SUMPRODUCT((TIS.HCV.MS!$A$3:$A$92=DATE(2026,9,$B40))*(TIS.HCV.MS!$E$3:$E$92&gt;0)*TIS.HCV.MS!$C$3:$C$92*TIS.HCV.MS!$E$3:$E$92)/SUMPRODUCT((TIS.HCV.MS!$A$3:$A$92=DATE(2026,9,$B40))*(TIS.HCV.MS!$E$3:$E$92&gt;0)*TIS.HCV.MS!$C$3:$C$92),0)</f>
        <v>0</v>
      </c>
      <c r="BF40" s="987"/>
      <c r="BG40" s="987"/>
      <c r="BH40" s="987"/>
      <c r="BI40" s="987"/>
      <c r="BJ40" s="987"/>
      <c r="BK40" s="310"/>
      <c r="BL40" s="310"/>
      <c r="BM40" s="310"/>
      <c r="BN40" s="310"/>
      <c r="BO40" s="310"/>
      <c r="BP40" s="2533">
        <f>'September TCM'!LP38</f>
        <v>0</v>
      </c>
      <c r="BQ40" s="1042"/>
      <c r="BR40" s="1"/>
      <c r="BS40" s="1228">
        <f t="shared" si="10"/>
        <v>56506.317900130001</v>
      </c>
      <c r="BT40" s="1"/>
      <c r="BU40" s="1"/>
      <c r="BV40" s="1"/>
      <c r="BW40" s="1"/>
      <c r="BX40" s="1"/>
      <c r="BY40" s="1"/>
      <c r="BZ40" s="1"/>
      <c r="CA40" s="1"/>
      <c r="CB40" s="1"/>
      <c r="CC40" s="1"/>
      <c r="CD40" s="1"/>
      <c r="CE40" s="1"/>
      <c r="CF40" s="1"/>
      <c r="CG40" s="1"/>
      <c r="CH40" s="1"/>
      <c r="CI40" s="1"/>
      <c r="CJ40" s="1"/>
      <c r="CK40" s="1"/>
      <c r="CM40" s="1033">
        <v>29</v>
      </c>
      <c r="CN40" s="1">
        <f t="shared" si="11"/>
        <v>0</v>
      </c>
      <c r="CO40" s="2490"/>
      <c r="CQ40" s="412">
        <v>29</v>
      </c>
      <c r="CR40" s="1">
        <f t="shared" si="12"/>
        <v>0</v>
      </c>
      <c r="CS40" s="2490"/>
    </row>
    <row r="41" spans="2:97">
      <c r="B41" s="990">
        <v>30</v>
      </c>
      <c r="C41" s="5">
        <f t="shared" si="1"/>
        <v>0</v>
      </c>
      <c r="D41" s="488">
        <f t="shared" si="22"/>
        <v>0</v>
      </c>
      <c r="E41" s="1051">
        <f t="shared" si="2"/>
        <v>0</v>
      </c>
      <c r="F41" s="845"/>
      <c r="G41" s="64"/>
      <c r="H41" s="1034"/>
      <c r="I41" s="1034"/>
      <c r="N41" s="1054"/>
      <c r="O41" s="26"/>
      <c r="P41" s="36"/>
      <c r="Q41" s="277">
        <f t="shared" si="23"/>
        <v>0</v>
      </c>
      <c r="R41" s="1227">
        <f t="shared" si="3"/>
        <v>0</v>
      </c>
      <c r="S41" s="53">
        <f t="shared" si="4"/>
        <v>0</v>
      </c>
      <c r="T41" s="33"/>
      <c r="U41" s="2226" cm="1">
        <f t="array" ref="U41">SUMPRODUCT((IFERROR(VALUE(LEFT('Data Base CW TIS'!$E$2:$E$1000,2)),0)=B41)*('Data Base CW TIS'!$B$2:$B$1000="OP1-ROM SB1 BK05")*(ISNUMBER(SEARCH("S3000",'Data Base CW TIS'!$C$2:$C$1000)))*'Data Base CW TIS'!$N$2:$N$1000)</f>
        <v>0</v>
      </c>
      <c r="V41" s="2227" cm="1">
        <f t="array" ref="V41">SUMPRODUCT((IFERROR(VALUE(LEFT('Data Base CW TIS'!$E$2:$E$1000,2)),0)=B41)*('Data Base CW TIS'!$B$2:$B$1000="OP1-ROM SB1 BK05")*(ISNUMBER(SEARCH("S3100",'Data Base CW TIS'!$C$2:$C$1000)))*'Data Base CW TIS'!$N$2:$N$1000)</f>
        <v>0</v>
      </c>
      <c r="W41" s="2227" cm="1">
        <f t="array" ref="W41">SUMPRODUCT((IFERROR(VALUE(LEFT('Data Base CW TIS'!$E$2:$E$1000,2)),0)=B41)*('Data Base CW TIS'!$B$2:$B$1000="OP1-ROM SB1 BK05")*(ISNUMBER(SEARCH("S2800",'Data Base CW TIS'!$C$2:$C$1000)))*'Data Base CW TIS'!$N$2:$N$1000)</f>
        <v>0</v>
      </c>
      <c r="X41" s="1038"/>
      <c r="Y41" s="1"/>
      <c r="Z41" s="1025">
        <f>SUMPRODUCT(('DB Hauling TIS'!$C$2:$C$951="TIS-ROM SB1 BK05-ROM 5")*ISNUMBER(SEARCH(TEXT('September TIS'!$B41,"00")&amp;"/09/2026",'DB Hauling TIS'!$E$2:$E$951))*'DB Hauling TIS'!$N$2:$N$951)</f>
        <v>0</v>
      </c>
      <c r="AA41" s="2174">
        <f>SUMPRODUCT(('DB Hauling TIS'!$C$2:$C$951="TIS-ROM SB1 BK05-ROM 6")*ISNUMBER(SEARCH(TEXT('September TIS'!$B41,"00")&amp;"/09/2026",'DB Hauling TIS'!$E$2:$E$951))*'DB Hauling TIS'!$N$2:$N$951)</f>
        <v>0</v>
      </c>
      <c r="AB41" s="1025">
        <f t="shared" si="5"/>
        <v>0</v>
      </c>
      <c r="AC41" s="1025">
        <v>0</v>
      </c>
      <c r="AD41" s="1025">
        <v>0</v>
      </c>
      <c r="AE41" s="1025">
        <f>SUMPRODUCT((('DB Hauling TIS'!$C$2:$C$951="TIS-ROM SB1 BK05-ROM 5")+('DB Hauling TIS'!$C$2:$C$951="TIS-ROM SB1 BK05-ROM 6"))*('DB Hauling TIS'!$H$2:$H$951="MPE")*ISNUMBER(SEARCH(TEXT('September TIS'!$B41,"00")&amp;"/09/2026",'DB Hauling TIS'!$E$2:$E$951))*'DB Hauling TIS'!$N$2:$N$951)</f>
        <v>0</v>
      </c>
      <c r="AF41" s="1025">
        <f>SUMPRODUCT((('DB Hauling TIS'!$C$2:$C$951="TIS-ROM SB1 BK05-ROM 5")+('DB Hauling TIS'!$C$2:$C$951="TIS-ROM SB1 BK05-ROM 6"))*('DB Hauling TIS'!$H$2:$H$951="RP")*ISNUMBER(SEARCH(TEXT('September TIS'!$B41,"00")&amp;"/09/2026",'DB Hauling TIS'!$E$2:$E$951))*'DB Hauling TIS'!$N$2:$N$951)</f>
        <v>0</v>
      </c>
      <c r="AG41" s="1025">
        <f t="shared" si="19"/>
        <v>0</v>
      </c>
      <c r="AH41" s="1025"/>
      <c r="AI41" s="1039"/>
      <c r="AJ41" s="1026">
        <f t="shared" si="7"/>
        <v>0</v>
      </c>
      <c r="AK41" s="1026">
        <f t="shared" si="8"/>
        <v>41431.478019779985</v>
      </c>
      <c r="AL41" s="1040">
        <f t="shared" si="0"/>
        <v>41431.478019779985</v>
      </c>
      <c r="AM41" s="1414"/>
      <c r="AN41" s="1414"/>
      <c r="AO41" s="1310"/>
      <c r="AP41" s="1310"/>
      <c r="AQ41" s="1934">
        <f t="shared" si="15"/>
        <v>0</v>
      </c>
      <c r="AR41" s="1729">
        <f t="shared" si="24"/>
        <v>0</v>
      </c>
      <c r="AS41" s="1729">
        <f t="shared" si="24"/>
        <v>3655.7888670000002</v>
      </c>
      <c r="AT41" s="1007"/>
      <c r="AU41" s="2500" cm="1">
        <f t="array" ref="AU41">SUMPRODUCT((IFERROR(VALUE(LEFT('Data Base CW TIS'!$E$2:$E$1000,2)),0)=B41)*('Data Base CW TIS'!$B$2:$B$1000="ROM TEMPORARY-ROM SB1 BK05")*('Data Base CW TIS'!$C$2:$C$1000="TIS-ROM TEMPORARY-ROM 6 (TIS)")*'Data Base CW TIS'!$N$2:$N$1000)</f>
        <v>0</v>
      </c>
      <c r="AV41" s="1414"/>
      <c r="AW41" s="987"/>
      <c r="AX41" s="310">
        <f t="shared" si="16"/>
        <v>0</v>
      </c>
      <c r="AY41" s="998"/>
      <c r="AZ41" s="2">
        <f>IFERROR(SUMPRODUCT((TIS.HCV.MS!$A$3:$A$92=DATE(2026,9,$B41))*(TIS.HCV.MS!$O$3:$O$92&gt;0)*TIS.HCV.MS!$C$3:$C$92*TIS.HCV.MS!$O$3:$O$92)/SUMPRODUCT((TIS.HCV.MS!$A$3:$A$92=DATE(2026,9,$B41))*(TIS.HCV.MS!$O$3:$O$92&gt;0)*TIS.HCV.MS!$C$3:$C$92),0)</f>
        <v>0</v>
      </c>
      <c r="BA41" s="2110">
        <f>IFERROR(SUMPRODUCT((TIS.HCV.MS!$A$3:$A$92=DATE(2026,9,$B41))*(TIS.HCV.MS!$M$3:$M$92&gt;0)*TIS.HCV.MS!$C$3:$C$92*TIS.HCV.MS!$M$3:$M$92)/SUMPRODUCT((TIS.HCV.MS!$A$3:$A$92=DATE(2026,9,$B41))*(TIS.HCV.MS!$M$3:$M$92&gt;0)*TIS.HCV.MS!$C$3:$C$92),0)</f>
        <v>0</v>
      </c>
      <c r="BB41" s="2110">
        <f>IFERROR(SUMPRODUCT((TIS.HCV.MS!$A$3:$A$92=DATE(2026,9,$B41))*(TIS.HCV.MS!$G$3:$G$92&gt;0)*TIS.HCV.MS!$C$3:$C$92*TIS.HCV.MS!$G$3:$G$92)/SUMPRODUCT((TIS.HCV.MS!$A$3:$A$92=DATE(2026,9,$B41))*(TIS.HCV.MS!$G$3:$G$92&gt;0)*TIS.HCV.MS!$C$3:$C$92),0)</f>
        <v>0</v>
      </c>
      <c r="BC41" s="2110">
        <f>IFERROR(SUMPRODUCT((TIS.HCV.MS!$A$3:$A$92=DATE(2026,9,$B41))*(TIS.HCV.MS!$F$3:$F$92&gt;0)*TIS.HCV.MS!$C$3:$C$92*TIS.HCV.MS!$F$3:$F$92)/SUMPRODUCT((TIS.HCV.MS!$A$3:$A$92=DATE(2026,9,$B41))*(TIS.HCV.MS!$F$3:$F$92&gt;0)*TIS.HCV.MS!$C$3:$C$92),0)</f>
        <v>0</v>
      </c>
      <c r="BD41" s="2111">
        <f>IFERROR(SUMPRODUCT((TIS.HCV.MS!$A$3:$A$92=DATE(2026,9,$B41))*(TIS.HCV.MS!$E$3:$E$92&gt;0)*TIS.HCV.MS!$C$3:$C$92*TIS.HCV.MS!$E$3:$E$92)/SUMPRODUCT((TIS.HCV.MS!$A$3:$A$92=DATE(2026,9,$B41))*(TIS.HCV.MS!$E$3:$E$92&gt;0)*TIS.HCV.MS!$C$3:$C$92),0)</f>
        <v>0</v>
      </c>
      <c r="BF41" s="987"/>
      <c r="BG41" s="987"/>
      <c r="BH41" s="987"/>
      <c r="BI41" s="987"/>
      <c r="BJ41" s="987"/>
      <c r="BK41" s="310"/>
      <c r="BL41" s="310"/>
      <c r="BM41" s="310"/>
      <c r="BN41" s="310"/>
      <c r="BO41" s="310"/>
      <c r="BP41" s="2533">
        <f>'September TCM'!LP39</f>
        <v>0</v>
      </c>
      <c r="BQ41" s="275"/>
      <c r="BR41" s="1"/>
      <c r="BS41" s="1228">
        <f t="shared" si="10"/>
        <v>56506.317900130001</v>
      </c>
      <c r="BT41" s="1"/>
      <c r="BU41" s="1"/>
      <c r="BV41" s="1"/>
      <c r="BW41" s="1"/>
      <c r="BX41" s="1"/>
      <c r="BY41" s="1"/>
      <c r="BZ41" s="1"/>
      <c r="CA41" s="1"/>
      <c r="CB41" s="1"/>
      <c r="CC41" s="1"/>
      <c r="CD41" s="1"/>
      <c r="CE41" s="1"/>
      <c r="CF41" s="72"/>
      <c r="CG41" s="72"/>
      <c r="CH41" s="72"/>
      <c r="CI41" s="72"/>
      <c r="CJ41" s="72"/>
      <c r="CK41" s="72"/>
      <c r="CM41" s="1033">
        <v>30</v>
      </c>
      <c r="CN41" s="1">
        <f t="shared" si="11"/>
        <v>0</v>
      </c>
      <c r="CO41" s="2441"/>
      <c r="CQ41" s="412">
        <v>30</v>
      </c>
      <c r="CR41" s="1">
        <f t="shared" si="12"/>
        <v>0</v>
      </c>
      <c r="CS41" s="2490"/>
    </row>
    <row r="42" spans="2:97" ht="15" thickBot="1">
      <c r="B42" s="990">
        <v>31</v>
      </c>
      <c r="C42" s="1450">
        <f t="shared" si="1"/>
        <v>0</v>
      </c>
      <c r="D42" s="1450">
        <f t="shared" si="22"/>
        <v>0</v>
      </c>
      <c r="E42" s="1452">
        <f t="shared" si="2"/>
        <v>0</v>
      </c>
      <c r="F42" s="1453"/>
      <c r="G42" s="1454"/>
      <c r="H42" s="1455"/>
      <c r="I42" s="1455"/>
      <c r="J42" s="1456"/>
      <c r="K42" s="1457"/>
      <c r="L42" s="1457"/>
      <c r="M42" s="1457"/>
      <c r="N42" s="1458"/>
      <c r="O42" s="1459"/>
      <c r="P42" s="1460"/>
      <c r="Q42" s="1935">
        <f t="shared" si="23"/>
        <v>0</v>
      </c>
      <c r="R42" s="1936">
        <f t="shared" si="3"/>
        <v>0</v>
      </c>
      <c r="S42" s="1056">
        <f t="shared" si="4"/>
        <v>0</v>
      </c>
      <c r="T42" s="1057"/>
      <c r="U42" s="2228" cm="1">
        <f t="array" ref="U42">SUMPRODUCT((IFERROR(VALUE(LEFT('Data Base CW TIS'!$E$2:$E$1000,2)),0)=B42)*('Data Base CW TIS'!$B$2:$B$1000="OP1-ROM SB1 BK05")*(ISNUMBER(SEARCH("S3000",'Data Base CW TIS'!$C$2:$C$1000)))*'Data Base CW TIS'!$N$2:$N$1000)</f>
        <v>0</v>
      </c>
      <c r="V42" s="2229" cm="1">
        <f t="array" ref="V42">SUMPRODUCT((IFERROR(VALUE(LEFT('Data Base CW TIS'!$E$2:$E$1000,2)),0)=B42)*('Data Base CW TIS'!$B$2:$B$1000="OP1-ROM SB1 BK05")*(ISNUMBER(SEARCH("S3100",'Data Base CW TIS'!$C$2:$C$1000)))*'Data Base CW TIS'!$N$2:$N$1000)</f>
        <v>0</v>
      </c>
      <c r="W42" s="2229" cm="1">
        <f t="array" ref="W42">SUMPRODUCT((IFERROR(VALUE(LEFT('Data Base CW TIS'!$E$2:$E$1000,2)),0)=B42)*('Data Base CW TIS'!$B$2:$B$1000="OP1-ROM SB1 BK05")*(ISNUMBER(SEARCH("S2800",'Data Base CW TIS'!$C$2:$C$1000)))*'Data Base CW TIS'!$N$2:$N$1000)</f>
        <v>0</v>
      </c>
      <c r="X42" s="2230"/>
      <c r="Y42" s="1"/>
      <c r="Z42" s="1025">
        <f>SUMPRODUCT(('DB Hauling TIS'!$C$2:$C$951="TIS-ROM SB1 BK05-ROM 5")*ISNUMBER(SEARCH(TEXT('September TIS'!$B42,"00")&amp;"/09/2026",'DB Hauling TIS'!$E$2:$E$951))*'DB Hauling TIS'!$N$2:$N$951)</f>
        <v>0</v>
      </c>
      <c r="AA42" s="2174">
        <f>SUMPRODUCT(('DB Hauling TIS'!$C$2:$C$951="TIS-ROM SB1 BK05-ROM 6")*ISNUMBER(SEARCH(TEXT('September TIS'!$B42,"00")&amp;"/09/2026",'DB Hauling TIS'!$E$2:$E$951))*'DB Hauling TIS'!$N$2:$N$951)</f>
        <v>0</v>
      </c>
      <c r="AB42" s="1059">
        <f t="shared" si="5"/>
        <v>0</v>
      </c>
      <c r="AC42" s="1059">
        <v>0</v>
      </c>
      <c r="AD42" s="1059">
        <v>0</v>
      </c>
      <c r="AE42" s="1025">
        <f>SUMPRODUCT((('DB Hauling TIS'!$C$2:$C$951="TIS-ROM SB1 BK05-ROM 5")+('DB Hauling TIS'!$C$2:$C$951="TIS-ROM SB1 BK05-ROM 6"))*('DB Hauling TIS'!$H$2:$H$951="MPE")*ISNUMBER(SEARCH(TEXT('September TIS'!$B42,"00")&amp;"/09/2026",'DB Hauling TIS'!$E$2:$E$951))*'DB Hauling TIS'!$N$2:$N$951)</f>
        <v>0</v>
      </c>
      <c r="AF42" s="1025">
        <f>SUMPRODUCT((('DB Hauling TIS'!$C$2:$C$951="TIS-ROM SB1 BK05-ROM 5")+('DB Hauling TIS'!$C$2:$C$951="TIS-ROM SB1 BK05-ROM 6"))*('DB Hauling TIS'!$H$2:$H$951="RP")*ISNUMBER(SEARCH(TEXT('September TIS'!$B42,"00")&amp;"/09/2026",'DB Hauling TIS'!$E$2:$E$951))*'DB Hauling TIS'!$N$2:$N$951)</f>
        <v>0</v>
      </c>
      <c r="AG42" s="1059">
        <f t="shared" si="19"/>
        <v>0</v>
      </c>
      <c r="AH42" s="1059"/>
      <c r="AI42" s="1060"/>
      <c r="AJ42" s="1026">
        <f t="shared" si="7"/>
        <v>0</v>
      </c>
      <c r="AK42" s="1026">
        <f t="shared" si="8"/>
        <v>41431.478019779985</v>
      </c>
      <c r="AL42" s="1061">
        <f t="shared" si="0"/>
        <v>41431.478019779985</v>
      </c>
      <c r="AM42" s="1414"/>
      <c r="AN42" s="1414"/>
      <c r="AO42" s="1311"/>
      <c r="AP42" s="1311"/>
      <c r="AQ42" s="1937">
        <f t="shared" si="15"/>
        <v>0</v>
      </c>
      <c r="AR42" s="1730">
        <f t="shared" si="24"/>
        <v>0</v>
      </c>
      <c r="AS42" s="1729">
        <f t="shared" si="24"/>
        <v>3655.7888670000002</v>
      </c>
      <c r="AT42" s="1377"/>
      <c r="AU42" s="2500" cm="1">
        <f t="array" ref="AU42">SUMPRODUCT((IFERROR(VALUE(LEFT('Data Base CW TIS'!$E$2:$E$1000,2)),0)=B42)*('Data Base CW TIS'!$B$2:$B$1000="ROM TEMPORARY-ROM SB1 BK05")*('Data Base CW TIS'!$C$2:$C$1000="TIS-ROM TEMPORARY-ROM 6 (TIS)")*'Data Base CW TIS'!$N$2:$N$1000)</f>
        <v>0</v>
      </c>
      <c r="AV42" s="1414"/>
      <c r="AW42" s="987"/>
      <c r="AX42" s="332">
        <f t="shared" si="16"/>
        <v>0</v>
      </c>
      <c r="AY42" s="1062"/>
      <c r="AZ42" s="2192">
        <f>IFERROR(SUMPRODUCT((TIS.HCV.MS!$A$3:$A$92=DATE(2026,9,$B42))*(TIS.HCV.MS!$O$3:$O$92&gt;0)*TIS.HCV.MS!$C$3:$C$92*TIS.HCV.MS!$O$3:$O$92)/SUMPRODUCT((TIS.HCV.MS!$A$3:$A$92=DATE(2026,9,$B42))*(TIS.HCV.MS!$O$3:$O$92&gt;0)*TIS.HCV.MS!$C$3:$C$92),0)</f>
        <v>0</v>
      </c>
      <c r="BA42" s="2193">
        <f>IFERROR(SUMPRODUCT((TIS.HCV.MS!$A$3:$A$92=DATE(2026,9,$B42))*(TIS.HCV.MS!$M$3:$M$92&gt;0)*TIS.HCV.MS!$C$3:$C$92*TIS.HCV.MS!$M$3:$M$92)/SUMPRODUCT((TIS.HCV.MS!$A$3:$A$92=DATE(2026,9,$B42))*(TIS.HCV.MS!$M$3:$M$92&gt;0)*TIS.HCV.MS!$C$3:$C$92),0)</f>
        <v>0</v>
      </c>
      <c r="BB42" s="2193">
        <f>IFERROR(SUMPRODUCT((TIS.HCV.MS!$A$3:$A$92=DATE(2026,9,$B42))*(TIS.HCV.MS!$G$3:$G$92&gt;0)*TIS.HCV.MS!$C$3:$C$92*TIS.HCV.MS!$G$3:$G$92)/SUMPRODUCT((TIS.HCV.MS!$A$3:$A$92=DATE(2026,9,$B42))*(TIS.HCV.MS!$G$3:$G$92&gt;0)*TIS.HCV.MS!$C$3:$C$92),0)</f>
        <v>0</v>
      </c>
      <c r="BC42" s="2193">
        <f>IFERROR(SUMPRODUCT((TIS.HCV.MS!$A$3:$A$92=DATE(2026,9,$B42))*(TIS.HCV.MS!$F$3:$F$92&gt;0)*TIS.HCV.MS!$C$3:$C$92*TIS.HCV.MS!$F$3:$F$92)/SUMPRODUCT((TIS.HCV.MS!$A$3:$A$92=DATE(2026,9,$B42))*(TIS.HCV.MS!$F$3:$F$92&gt;0)*TIS.HCV.MS!$C$3:$C$92),0)</f>
        <v>0</v>
      </c>
      <c r="BD42" s="2194">
        <f>IFERROR(SUMPRODUCT((TIS.HCV.MS!$A$3:$A$92=DATE(2026,9,$B42))*(TIS.HCV.MS!$E$3:$E$92&gt;0)*TIS.HCV.MS!$C$3:$C$92*TIS.HCV.MS!$E$3:$E$92)/SUMPRODUCT((TIS.HCV.MS!$A$3:$A$92=DATE(2026,9,$B42))*(TIS.HCV.MS!$E$3:$E$92&gt;0)*TIS.HCV.MS!$C$3:$C$92),0)</f>
        <v>0</v>
      </c>
      <c r="BF42" s="987"/>
      <c r="BG42" s="987"/>
      <c r="BH42" s="987"/>
      <c r="BI42" s="987"/>
      <c r="BJ42" s="987"/>
      <c r="BK42" s="332"/>
      <c r="BL42" s="332"/>
      <c r="BM42" s="332"/>
      <c r="BN42" s="332"/>
      <c r="BO42" s="332"/>
      <c r="BP42" s="2533">
        <f>'September TCM'!LP40</f>
        <v>0</v>
      </c>
      <c r="BQ42" s="332"/>
      <c r="BR42" s="1"/>
      <c r="BS42" s="1228">
        <f t="shared" si="10"/>
        <v>56506.317900130001</v>
      </c>
      <c r="BT42" s="1"/>
      <c r="BU42" s="1"/>
      <c r="BV42" s="1"/>
      <c r="BW42" s="1"/>
      <c r="BX42" s="1"/>
      <c r="BY42" s="1"/>
      <c r="BZ42" s="1"/>
      <c r="CA42" s="1"/>
      <c r="CB42" s="1"/>
      <c r="CC42" s="1"/>
      <c r="CD42" s="1"/>
      <c r="CE42" s="1"/>
      <c r="CF42" s="72"/>
      <c r="CG42" s="72"/>
      <c r="CH42" s="72"/>
      <c r="CI42" s="72"/>
      <c r="CJ42" s="72"/>
      <c r="CK42" s="72"/>
      <c r="CM42" s="1033">
        <v>31</v>
      </c>
      <c r="CN42" s="1">
        <f t="shared" si="11"/>
        <v>0</v>
      </c>
      <c r="CO42" s="2490"/>
      <c r="CQ42" s="412">
        <v>31</v>
      </c>
      <c r="CR42" s="1">
        <f t="shared" si="12"/>
        <v>0</v>
      </c>
      <c r="CS42" s="2490"/>
    </row>
    <row r="43" spans="2:97">
      <c r="B43" s="307" t="s">
        <v>206</v>
      </c>
      <c r="C43" s="72">
        <f t="shared" si="1"/>
        <v>260301</v>
      </c>
      <c r="D43" s="95">
        <f>SUM(D12:D42)</f>
        <v>10343.490000000002</v>
      </c>
      <c r="E43" s="1065">
        <f>IFERROR(C43/D43,0)</f>
        <v>25.16568392293123</v>
      </c>
      <c r="H43" s="38">
        <f>SUM(H12:H42)</f>
        <v>67</v>
      </c>
      <c r="I43" s="1904">
        <f>SUM(I12:I42)</f>
        <v>9.67</v>
      </c>
      <c r="O43" s="72">
        <f>SUM(O12:O42)</f>
        <v>260301</v>
      </c>
      <c r="P43" s="72">
        <f>SUM(P12:P42)</f>
        <v>0</v>
      </c>
      <c r="Q43" s="72">
        <f>SUM(Q12:Q42)</f>
        <v>10343.490000000002</v>
      </c>
      <c r="R43" s="72">
        <f>SUM(R12:R42)</f>
        <v>10343.490000000002</v>
      </c>
      <c r="S43" s="72">
        <f>IFERROR(O43/Q43,0)</f>
        <v>25.16568392293123</v>
      </c>
      <c r="T43" s="72"/>
      <c r="U43" s="364">
        <f>SUM(U12:U42)</f>
        <v>10343.490000000002</v>
      </c>
      <c r="V43" s="307">
        <f>SUM(V12:V42)</f>
        <v>0</v>
      </c>
      <c r="W43" s="364">
        <f>SUM(W12:W42)</f>
        <v>0</v>
      </c>
      <c r="X43" s="72">
        <f>SUM(X12:X42)</f>
        <v>0</v>
      </c>
      <c r="Y43" s="1"/>
      <c r="Z43" s="1068">
        <f t="shared" ref="Z43:AF43" si="25">SUM(Z12:Z42)</f>
        <v>0</v>
      </c>
      <c r="AA43" s="2152">
        <f t="shared" si="25"/>
        <v>42978.06</v>
      </c>
      <c r="AB43" s="1068">
        <f t="shared" si="25"/>
        <v>42978.06</v>
      </c>
      <c r="AC43" s="1068">
        <f t="shared" si="25"/>
        <v>0</v>
      </c>
      <c r="AD43" s="1068">
        <f t="shared" si="25"/>
        <v>0</v>
      </c>
      <c r="AE43" s="1068">
        <f t="shared" si="25"/>
        <v>19566.479999999996</v>
      </c>
      <c r="AF43" s="1068">
        <f t="shared" si="25"/>
        <v>23411.58</v>
      </c>
      <c r="AG43" s="1068">
        <f t="shared" si="19"/>
        <v>42978.06</v>
      </c>
      <c r="AH43" s="39"/>
      <c r="AI43" s="1068">
        <f>+AI42</f>
        <v>0</v>
      </c>
      <c r="AJ43" s="1068">
        <f>+AJ42</f>
        <v>0</v>
      </c>
      <c r="AK43" s="1068">
        <f>+AK42</f>
        <v>41431.478019779985</v>
      </c>
      <c r="AL43" s="1066">
        <f>AL42</f>
        <v>41431.478019779985</v>
      </c>
      <c r="AM43" s="1066"/>
      <c r="AN43" s="1066"/>
      <c r="AO43" s="1066">
        <f>SUM(AO12:AO42)</f>
        <v>0</v>
      </c>
      <c r="AP43" s="1362">
        <f>SUM(AP12:AP42)</f>
        <v>0</v>
      </c>
      <c r="AQ43" s="1066">
        <f>SUM(AQ12:AQ42)</f>
        <v>0</v>
      </c>
      <c r="AR43" s="1066">
        <f>+AR42</f>
        <v>0</v>
      </c>
      <c r="AS43" s="1066">
        <f>+AS42</f>
        <v>3655.7888670000002</v>
      </c>
      <c r="AT43" s="1066"/>
      <c r="AU43" s="1376">
        <f>SUM(AU11:AU42)</f>
        <v>0</v>
      </c>
      <c r="AV43" s="1066"/>
      <c r="AX43" s="72">
        <f>SUM(AX12:AX42)</f>
        <v>42978.06</v>
      </c>
      <c r="AY43" s="72"/>
      <c r="AZ43" s="72" cm="1">
        <f t="array" ref="AZ43">IFERROR(SUMPRODUCT((AZ12:AZ42&lt;&gt;"")*AZ12:AZ42,$AX$12:$AX$42)/SUMIFS($AX$12:$AX$42,AZ12:AZ42,"&gt;"&amp;0),0)</f>
        <v>7336.8906037610959</v>
      </c>
      <c r="BA43" s="38" cm="1">
        <f t="array" ref="BA43">IFERROR(SUMPRODUCT((BA12:BA42&lt;&gt;"")*BA12:BA42,$AX$12:$AX$42)/SUMIFS($AX$12:$AX$42,BA12:BA42,"&gt;"&amp;0),0)</f>
        <v>1.2621587551477607</v>
      </c>
      <c r="BB43" s="38" cm="1">
        <f t="array" ref="BB43">IFERROR(SUMPRODUCT((BB12:BB42&lt;&gt;"")*BB12:BB42,$AX$12:$AX$42)/SUMIFS($AX$12:$AX$42,BB12:BB42,"&gt;"&amp;0),0)</f>
        <v>3.0041932927817614</v>
      </c>
      <c r="BC43" s="38" cm="1">
        <f t="array" ref="BC43">IFERROR(SUMPRODUCT((BC12:BC42&lt;&gt;"")*BC12:BC42,$AX$12:$AX$42)/SUMIFS($AX$12:$AX$42,BC12:BC42,"&gt;"&amp;0),0)</f>
        <v>4.738813815068335</v>
      </c>
      <c r="BD43" s="38" cm="1">
        <f t="array" ref="BD43">IFERROR(SUMPRODUCT((BD12:BD42&lt;&gt;"")*BD12:BD42,$AX$12:$AX$42)/SUMIFS($AX$12:$AX$42,BD12:BD42,"&gt;"&amp;0),0)</f>
        <v>7.4514922207189596</v>
      </c>
      <c r="BE43" s="38"/>
      <c r="BK43" s="1081">
        <f>SUM(BK12:BK42)</f>
        <v>0</v>
      </c>
      <c r="BL43" s="72">
        <f>SUM(BL12:BL42)</f>
        <v>0</v>
      </c>
      <c r="BM43" s="72">
        <f>SUM(BM12:BM42)</f>
        <v>0</v>
      </c>
      <c r="BN43" s="72">
        <f>SUM(BN12:BN42)</f>
        <v>0</v>
      </c>
      <c r="BO43" s="72">
        <f>SUM(BO12:BO42)</f>
        <v>2</v>
      </c>
      <c r="BP43" s="342">
        <f>AVERAGE(BP12:BP42)</f>
        <v>3.8387096774193545E-2</v>
      </c>
      <c r="BQ43" s="72">
        <f>SUM(BQ12:BQ42)</f>
        <v>0</v>
      </c>
      <c r="BR43" s="1"/>
      <c r="BS43" s="72">
        <f>+BS42</f>
        <v>56506.317900130001</v>
      </c>
      <c r="BT43" s="1"/>
      <c r="BU43" s="1"/>
      <c r="BV43" s="1"/>
      <c r="BW43" s="1"/>
      <c r="BX43" s="1"/>
      <c r="BY43" s="1"/>
      <c r="BZ43" s="1"/>
      <c r="CA43" s="1"/>
      <c r="CB43" s="1"/>
      <c r="CC43" s="1"/>
      <c r="CD43" s="1"/>
      <c r="CE43" s="1"/>
      <c r="CF43" s="72"/>
      <c r="CG43" s="72"/>
      <c r="CH43" s="72"/>
      <c r="CI43" s="72"/>
      <c r="CJ43" s="72"/>
      <c r="CK43" s="72"/>
      <c r="CO43" s="281"/>
    </row>
    <row r="44" spans="2:97">
      <c r="B44" s="307" t="s">
        <v>207</v>
      </c>
      <c r="C44" s="364">
        <f>C43</f>
        <v>260301</v>
      </c>
      <c r="D44" s="412">
        <f>D43</f>
        <v>10343.490000000002</v>
      </c>
      <c r="E44" s="347">
        <f>IFERROR(C44/D44,0)</f>
        <v>25.16568392293123</v>
      </c>
      <c r="H44" s="307">
        <f>H43</f>
        <v>67</v>
      </c>
      <c r="I44" s="364">
        <f>I43</f>
        <v>9.67</v>
      </c>
      <c r="O44" s="1">
        <f>O43</f>
        <v>260301</v>
      </c>
      <c r="P44" s="95">
        <f>P43</f>
        <v>0</v>
      </c>
      <c r="Q44" s="95">
        <f>Q43</f>
        <v>10343.490000000002</v>
      </c>
      <c r="R44" s="95">
        <f>R43</f>
        <v>10343.490000000002</v>
      </c>
      <c r="S44" s="1067">
        <f>IFERROR(O44/Q44,0)</f>
        <v>25.16568392293123</v>
      </c>
      <c r="U44" s="1068">
        <f>U43</f>
        <v>10343.490000000002</v>
      </c>
      <c r="V44" s="1068">
        <f>V43</f>
        <v>0</v>
      </c>
      <c r="W44" s="1068">
        <f>W43</f>
        <v>0</v>
      </c>
      <c r="X44" s="1">
        <f>X43</f>
        <v>0</v>
      </c>
      <c r="Y44" s="1"/>
      <c r="Z44" s="1068">
        <f t="shared" ref="Z44:AG44" si="26">Z43</f>
        <v>0</v>
      </c>
      <c r="AA44" s="1068">
        <f t="shared" si="26"/>
        <v>42978.06</v>
      </c>
      <c r="AB44" s="1068">
        <f t="shared" si="26"/>
        <v>42978.06</v>
      </c>
      <c r="AC44" s="1068">
        <f t="shared" si="26"/>
        <v>0</v>
      </c>
      <c r="AD44" s="1068">
        <f t="shared" si="26"/>
        <v>0</v>
      </c>
      <c r="AE44" s="1068">
        <f t="shared" si="26"/>
        <v>19566.479999999996</v>
      </c>
      <c r="AF44" s="1068">
        <f t="shared" si="26"/>
        <v>23411.58</v>
      </c>
      <c r="AG44" s="1068">
        <f t="shared" si="26"/>
        <v>42978.06</v>
      </c>
      <c r="AH44" s="1068"/>
      <c r="AI44" s="1068">
        <f>AI43</f>
        <v>0</v>
      </c>
      <c r="AJ44" s="1370">
        <f>AJ43</f>
        <v>0</v>
      </c>
      <c r="AK44" s="1068">
        <f>AK43</f>
        <v>41431.478019779985</v>
      </c>
      <c r="AL44" s="1066">
        <f>AL43</f>
        <v>41431.478019779985</v>
      </c>
      <c r="AM44" s="1066"/>
      <c r="AN44" s="1066"/>
      <c r="AO44" s="1066">
        <f>AO43</f>
        <v>0</v>
      </c>
      <c r="AP44" s="1066">
        <f>AP43</f>
        <v>0</v>
      </c>
      <c r="AQ44" s="1066">
        <f>AQ43</f>
        <v>0</v>
      </c>
      <c r="AR44" s="1066">
        <f>AR43</f>
        <v>0</v>
      </c>
      <c r="AS44" s="1066">
        <f>AS43</f>
        <v>3655.7888670000002</v>
      </c>
      <c r="AT44" s="1066"/>
      <c r="AU44" s="1362">
        <f>AU43</f>
        <v>0</v>
      </c>
      <c r="AV44" s="1066"/>
      <c r="AX44" s="72">
        <f>+AX43</f>
        <v>42978.06</v>
      </c>
      <c r="AY44" s="72"/>
      <c r="AZ44" s="72">
        <f>AZ43</f>
        <v>7336.8906037610959</v>
      </c>
      <c r="BA44" s="38">
        <f>BA43</f>
        <v>1.2621587551477607</v>
      </c>
      <c r="BB44" s="38">
        <f>BB43</f>
        <v>3.0041932927817614</v>
      </c>
      <c r="BC44" s="38">
        <f>BC43</f>
        <v>4.738813815068335</v>
      </c>
      <c r="BD44" s="38">
        <f>BD43</f>
        <v>7.4514922207189596</v>
      </c>
      <c r="BE44" s="38"/>
      <c r="BK44" s="72">
        <f t="shared" ref="BK44:BQ44" si="27">+BK43</f>
        <v>0</v>
      </c>
      <c r="BL44" s="72">
        <f t="shared" si="27"/>
        <v>0</v>
      </c>
      <c r="BM44" s="72">
        <f t="shared" si="27"/>
        <v>0</v>
      </c>
      <c r="BN44" s="72">
        <f t="shared" si="27"/>
        <v>0</v>
      </c>
      <c r="BO44" s="72"/>
      <c r="BP44" s="342">
        <f t="shared" si="27"/>
        <v>3.8387096774193545E-2</v>
      </c>
      <c r="BQ44" s="72">
        <f t="shared" si="27"/>
        <v>0</v>
      </c>
      <c r="BR44" s="1"/>
      <c r="BS44" s="364">
        <f>BS43</f>
        <v>56506.317900130001</v>
      </c>
      <c r="BT44" s="1"/>
      <c r="BU44" s="1"/>
      <c r="BV44" s="1"/>
      <c r="BW44" s="1"/>
      <c r="BX44" s="1"/>
      <c r="BY44" s="1"/>
      <c r="BZ44" s="1"/>
      <c r="CA44" s="1"/>
      <c r="CB44" s="1"/>
      <c r="CC44" s="1"/>
      <c r="CD44" s="1"/>
      <c r="CE44" s="1"/>
      <c r="CF44" s="72"/>
      <c r="CG44" s="72"/>
      <c r="CH44" s="72"/>
      <c r="CI44" s="72"/>
      <c r="CJ44" s="72"/>
      <c r="CK44" s="72"/>
      <c r="CO44" s="281"/>
    </row>
    <row r="45" spans="2:97">
      <c r="B45" s="312" t="s">
        <v>12</v>
      </c>
      <c r="C45" s="991">
        <f>O45</f>
        <v>1155000.00000001</v>
      </c>
      <c r="D45" s="1069">
        <f>AB45</f>
        <v>53385.369999999966</v>
      </c>
      <c r="E45" s="1231"/>
      <c r="F45" s="1069"/>
      <c r="G45" s="1069"/>
      <c r="H45" s="1069"/>
      <c r="I45" s="1069"/>
      <c r="J45" s="1069"/>
      <c r="K45" s="1069"/>
      <c r="L45" s="1069"/>
      <c r="M45" s="1069"/>
      <c r="N45" s="1069"/>
      <c r="O45" s="2166">
        <v>1155000.00000001</v>
      </c>
      <c r="P45" s="2166"/>
      <c r="Q45" s="2166"/>
      <c r="R45" s="2166">
        <v>64475.750000000007</v>
      </c>
      <c r="S45" s="1070">
        <f>IFERROR(O45/Q45,0)</f>
        <v>0</v>
      </c>
      <c r="T45" s="1069"/>
      <c r="U45" s="1069"/>
      <c r="V45" s="1069"/>
      <c r="W45" s="1069"/>
      <c r="X45" s="1069"/>
      <c r="Y45" s="39"/>
      <c r="Z45" s="1071"/>
      <c r="AA45" s="1071"/>
      <c r="AB45" s="2546">
        <v>53385.369999999966</v>
      </c>
      <c r="AC45" s="1071"/>
      <c r="AD45" s="1071"/>
      <c r="AE45" s="1071"/>
      <c r="AF45" s="1071"/>
      <c r="AG45" s="1071"/>
      <c r="AH45" s="1071"/>
      <c r="AI45" s="1071"/>
      <c r="AJ45" s="1071"/>
      <c r="AK45" s="1071"/>
      <c r="AL45" s="1072"/>
      <c r="AM45" s="1072"/>
      <c r="AN45" s="1072"/>
      <c r="AO45" s="1072"/>
      <c r="AP45" s="1072"/>
      <c r="AQ45" s="1072"/>
      <c r="AR45" s="1072"/>
      <c r="AS45" s="1072"/>
      <c r="AT45" s="1072"/>
      <c r="AU45" s="1072"/>
      <c r="AV45" s="1072"/>
      <c r="AW45" s="887"/>
      <c r="AX45" s="337">
        <v>53385.369999999966</v>
      </c>
      <c r="AY45" s="337"/>
      <c r="AZ45" s="364">
        <v>7256.1236371204232</v>
      </c>
      <c r="BA45" s="307">
        <v>1.3218083519738557</v>
      </c>
      <c r="BB45" s="307">
        <v>3.0741497806038933</v>
      </c>
      <c r="BC45" s="307">
        <v>5.0280852269853886</v>
      </c>
      <c r="BD45" s="307">
        <v>11.257255122937595</v>
      </c>
      <c r="BE45" s="38"/>
      <c r="BF45" s="887"/>
      <c r="BG45" s="887"/>
      <c r="BH45" s="887"/>
      <c r="BI45" s="887"/>
      <c r="BJ45" s="887"/>
      <c r="BK45" s="337">
        <v>40000</v>
      </c>
      <c r="BL45" s="308"/>
      <c r="BM45" s="308"/>
      <c r="BN45" s="308"/>
      <c r="BO45" s="308"/>
      <c r="BP45" s="308"/>
      <c r="BQ45" s="308"/>
      <c r="BR45" s="1073"/>
      <c r="BS45" s="308"/>
      <c r="BT45" s="1073"/>
      <c r="BU45" s="1073"/>
      <c r="BV45" s="1073"/>
      <c r="BW45" s="1073"/>
      <c r="BX45" s="1073"/>
      <c r="BY45" s="1073"/>
      <c r="BZ45" s="1073"/>
      <c r="CA45" s="1073"/>
      <c r="CB45" s="1073"/>
      <c r="CC45" s="1073"/>
      <c r="CD45" s="1073"/>
      <c r="CE45" s="1073"/>
      <c r="CF45" s="308"/>
      <c r="CG45" s="308"/>
      <c r="CH45" s="308"/>
      <c r="CI45" s="308"/>
      <c r="CJ45" s="308"/>
      <c r="CK45" s="308"/>
      <c r="CO45" s="1"/>
    </row>
    <row r="46" spans="2:97">
      <c r="B46" t="s">
        <v>208</v>
      </c>
      <c r="U46" s="39"/>
      <c r="V46" s="39"/>
      <c r="W46" s="39"/>
      <c r="AB46" s="1"/>
      <c r="AX46" s="110">
        <f>IFERROR(AX44/AX45,"")</f>
        <v>0.80505314470987133</v>
      </c>
      <c r="AY46" s="110"/>
      <c r="BK46" s="38">
        <f>IFERROR(BK44/BK45,"")</f>
        <v>0</v>
      </c>
      <c r="BL46" s="38"/>
      <c r="BM46" s="38"/>
      <c r="BN46" s="38" t="str">
        <f t="shared" ref="BN46:BQ47" si="28">IFERROR(BN44/BN45,"")</f>
        <v/>
      </c>
      <c r="BO46" s="2151"/>
      <c r="BP46" s="38" t="str">
        <f t="shared" si="28"/>
        <v/>
      </c>
      <c r="BQ46" s="38" t="str">
        <f t="shared" si="28"/>
        <v/>
      </c>
      <c r="CF46" s="38"/>
      <c r="CG46" s="38"/>
      <c r="CH46" s="38"/>
      <c r="CI46" s="38"/>
      <c r="CJ46" s="38"/>
      <c r="CK46" s="38"/>
      <c r="CO46" s="887"/>
    </row>
    <row r="47" spans="2:97">
      <c r="R47" s="95">
        <f>R43+AU43</f>
        <v>10343.490000000002</v>
      </c>
      <c r="AX47" s="110">
        <f>IFERROR(AX45/AX46,"")</f>
        <v>66312.851953692109</v>
      </c>
      <c r="AY47" s="110"/>
      <c r="BK47" s="38" t="str">
        <f>IFERROR(BK45/BK46,"")</f>
        <v/>
      </c>
      <c r="BL47" s="38"/>
      <c r="BM47" s="38"/>
      <c r="BN47" s="38" t="str">
        <f t="shared" si="28"/>
        <v/>
      </c>
      <c r="BO47" s="2151"/>
      <c r="BP47" s="38" t="str">
        <f t="shared" si="28"/>
        <v/>
      </c>
      <c r="BQ47" s="38" t="str">
        <f t="shared" si="28"/>
        <v/>
      </c>
      <c r="CF47" s="38"/>
      <c r="CG47" s="38"/>
      <c r="CH47" s="38"/>
      <c r="CI47" s="38"/>
      <c r="CJ47" s="38"/>
      <c r="CK47" s="38"/>
      <c r="CO47" s="281"/>
    </row>
    <row r="48" spans="2:97">
      <c r="O48" s="987"/>
      <c r="P48" s="1"/>
      <c r="BO48" s="281"/>
      <c r="CO48" s="281"/>
    </row>
    <row r="49" spans="4:93">
      <c r="D49" s="1"/>
      <c r="BO49" s="281"/>
      <c r="CO49" s="1"/>
    </row>
    <row r="50" spans="4:93">
      <c r="D50" s="1">
        <f>C45/31</f>
        <v>37258.064516129358</v>
      </c>
      <c r="S50" s="1"/>
      <c r="BO50" s="281"/>
      <c r="CO50" s="887"/>
    </row>
    <row r="51" spans="4:93">
      <c r="S51" s="1"/>
      <c r="BO51" s="281"/>
    </row>
    <row r="52" spans="4:93">
      <c r="S52" s="887"/>
      <c r="BO52" s="281"/>
    </row>
    <row r="53" spans="4:93">
      <c r="G53" s="887"/>
      <c r="H53" s="887"/>
      <c r="BO53" s="281"/>
    </row>
    <row r="54" spans="4:93">
      <c r="O54" s="887"/>
      <c r="P54" s="887"/>
      <c r="BO54" s="281"/>
    </row>
    <row r="55" spans="4:93">
      <c r="BO55" s="281"/>
    </row>
    <row r="56" spans="4:93">
      <c r="O56" s="887"/>
      <c r="P56" s="887"/>
      <c r="R56" s="887"/>
      <c r="BO56" s="281"/>
    </row>
    <row r="57" spans="4:93">
      <c r="G57" s="887"/>
      <c r="H57" s="987"/>
      <c r="O57" s="39"/>
      <c r="P57" s="39"/>
      <c r="Q57" s="39"/>
      <c r="R57" s="39"/>
      <c r="X57" s="39"/>
      <c r="Y57" s="39"/>
      <c r="Z57" s="39"/>
      <c r="AA57" s="39"/>
      <c r="AB57" s="39"/>
      <c r="AC57" s="39"/>
      <c r="AD57" s="39"/>
      <c r="AE57" s="39"/>
      <c r="AF57" s="39"/>
      <c r="AG57" s="39"/>
      <c r="AH57" s="39"/>
      <c r="AI57" s="39"/>
      <c r="AJ57" s="39"/>
      <c r="AK57" s="39"/>
      <c r="BO57" s="281"/>
    </row>
    <row r="58" spans="4:93">
      <c r="BN58" s="1"/>
      <c r="BO58" s="281"/>
    </row>
    <row r="59" spans="4:93">
      <c r="O59" s="987"/>
      <c r="P59" s="987"/>
      <c r="X59" s="987"/>
      <c r="Y59" s="987"/>
      <c r="Z59" s="987"/>
      <c r="AA59" s="987"/>
      <c r="AB59" s="987"/>
      <c r="AC59" s="987"/>
      <c r="AD59" s="987"/>
      <c r="AE59" s="987"/>
      <c r="AF59" s="987"/>
      <c r="AG59" s="987"/>
      <c r="AH59" s="987"/>
      <c r="AI59" s="987"/>
      <c r="AJ59" s="987"/>
      <c r="AK59" s="987"/>
      <c r="BO59" s="281"/>
    </row>
    <row r="60" spans="4:93">
      <c r="O60" s="987"/>
      <c r="P60" s="987"/>
      <c r="X60" s="987"/>
      <c r="Y60" s="987"/>
      <c r="Z60" s="987"/>
      <c r="AA60" s="987"/>
      <c r="AB60" s="987"/>
      <c r="AC60" s="987"/>
      <c r="AD60" s="987"/>
      <c r="AE60" s="987"/>
      <c r="AF60" s="987"/>
      <c r="AG60" s="987"/>
      <c r="AH60" s="987"/>
      <c r="AI60" s="987"/>
      <c r="AJ60" s="987"/>
      <c r="AK60" s="987"/>
      <c r="BO60" s="281"/>
    </row>
    <row r="61" spans="4:93">
      <c r="O61" s="987"/>
      <c r="P61" s="987"/>
      <c r="X61" s="987"/>
      <c r="Y61" s="987"/>
      <c r="Z61" s="987"/>
      <c r="AA61" s="987"/>
      <c r="AB61" s="987"/>
      <c r="AC61" s="987"/>
      <c r="AD61" s="987"/>
      <c r="AE61" s="987"/>
      <c r="AF61" s="987"/>
      <c r="AG61" s="987"/>
      <c r="AH61" s="987"/>
      <c r="AI61" s="987"/>
      <c r="AJ61" s="987"/>
      <c r="AK61" s="987"/>
      <c r="BO61" s="281"/>
    </row>
    <row r="62" spans="4:93">
      <c r="O62" s="987"/>
      <c r="P62" s="987"/>
      <c r="X62" s="987"/>
      <c r="Y62" s="987"/>
      <c r="Z62" s="987"/>
      <c r="AA62" s="987"/>
      <c r="AB62" s="987"/>
      <c r="AC62" s="987"/>
      <c r="AD62" s="987"/>
      <c r="AE62" s="987"/>
      <c r="AF62" s="987"/>
      <c r="AG62" s="987"/>
      <c r="AH62" s="987"/>
      <c r="AI62" s="987"/>
      <c r="AJ62" s="987"/>
      <c r="AK62" s="987"/>
      <c r="BO62" s="281"/>
    </row>
    <row r="63" spans="4:93">
      <c r="O63" s="987"/>
      <c r="P63" s="987"/>
      <c r="X63" s="987"/>
      <c r="Y63" s="987"/>
      <c r="Z63" s="987"/>
      <c r="AA63" s="987"/>
      <c r="AB63" s="987"/>
      <c r="AC63" s="987"/>
      <c r="AD63" s="987"/>
      <c r="AE63" s="987"/>
      <c r="AF63" s="987"/>
      <c r="AG63" s="987"/>
      <c r="AH63" s="987"/>
      <c r="AI63" s="987"/>
      <c r="AJ63" s="987"/>
      <c r="AK63" s="987"/>
      <c r="BO63" s="281"/>
    </row>
    <row r="64" spans="4:93">
      <c r="O64" s="987"/>
      <c r="P64" s="987"/>
      <c r="X64" s="987"/>
      <c r="Y64" s="987"/>
      <c r="Z64" s="987"/>
      <c r="AA64" s="987"/>
      <c r="AB64" s="987"/>
      <c r="AC64" s="987"/>
      <c r="AD64" s="987"/>
      <c r="AE64" s="987"/>
      <c r="AF64" s="987"/>
      <c r="AG64" s="987"/>
      <c r="AH64" s="987"/>
      <c r="AI64" s="987"/>
      <c r="AJ64" s="987"/>
      <c r="AK64" s="987"/>
      <c r="BO64" s="281"/>
    </row>
    <row r="65" spans="15:67">
      <c r="O65" s="987"/>
      <c r="P65" s="987"/>
      <c r="X65" s="987"/>
      <c r="Y65" s="987"/>
      <c r="Z65" s="987"/>
      <c r="AA65" s="987"/>
      <c r="AB65" s="987"/>
      <c r="AC65" s="987"/>
      <c r="AD65" s="987"/>
      <c r="AE65" s="987"/>
      <c r="AF65" s="987"/>
      <c r="AG65" s="987"/>
      <c r="AH65" s="987"/>
      <c r="AI65" s="987"/>
      <c r="AJ65" s="987"/>
      <c r="AK65" s="987"/>
      <c r="BO65" s="281"/>
    </row>
    <row r="66" spans="15:67">
      <c r="O66" s="987"/>
      <c r="P66" s="987"/>
      <c r="X66" s="987"/>
      <c r="Y66" s="987"/>
      <c r="Z66" s="987"/>
      <c r="AA66" s="987"/>
      <c r="AB66" s="987"/>
      <c r="AC66" s="987"/>
      <c r="AD66" s="987"/>
      <c r="AE66" s="987"/>
      <c r="AF66" s="987"/>
      <c r="AG66" s="987"/>
      <c r="AH66" s="987"/>
      <c r="AI66" s="987"/>
      <c r="AJ66" s="987"/>
      <c r="AK66" s="987"/>
      <c r="BO66" s="281"/>
    </row>
    <row r="67" spans="15:67">
      <c r="O67" s="987"/>
      <c r="P67" s="987"/>
      <c r="X67" s="987"/>
      <c r="Y67" s="987"/>
      <c r="Z67" s="987"/>
      <c r="AA67" s="987"/>
      <c r="AB67" s="987"/>
      <c r="AC67" s="987"/>
      <c r="AD67" s="987"/>
      <c r="AE67" s="987"/>
      <c r="AF67" s="987"/>
      <c r="AG67" s="987"/>
      <c r="AH67" s="987"/>
      <c r="AI67" s="987"/>
      <c r="AJ67" s="987"/>
      <c r="AK67" s="987"/>
      <c r="BO67" s="281"/>
    </row>
    <row r="68" spans="15:67" ht="14.4" hidden="1" customHeight="1">
      <c r="O68" s="987"/>
      <c r="P68" s="987"/>
      <c r="X68" s="987"/>
      <c r="Y68" s="987"/>
      <c r="Z68" s="987"/>
      <c r="AA68" s="987"/>
      <c r="AB68" s="987"/>
      <c r="AC68" s="987"/>
      <c r="AD68" s="987"/>
      <c r="AE68" s="987"/>
      <c r="AF68" s="987"/>
      <c r="AG68" s="987"/>
      <c r="AH68" s="987"/>
      <c r="AI68" s="987"/>
      <c r="AJ68" s="987"/>
      <c r="AK68" s="987"/>
      <c r="BO68" s="281">
        <v>64344</v>
      </c>
    </row>
    <row r="69" spans="15:67" hidden="1">
      <c r="O69" s="987"/>
      <c r="P69" s="987"/>
      <c r="X69" s="987"/>
      <c r="Y69" s="987"/>
      <c r="Z69" s="987"/>
      <c r="AA69" s="987"/>
      <c r="AB69" s="987"/>
      <c r="AC69" s="987"/>
      <c r="AD69" s="987"/>
      <c r="AE69" s="987"/>
      <c r="AF69" s="987"/>
      <c r="AG69" s="987"/>
      <c r="AH69" s="987"/>
      <c r="AI69" s="987"/>
      <c r="AJ69" s="987"/>
      <c r="AK69" s="987"/>
    </row>
    <row r="70" spans="15:67" hidden="1">
      <c r="O70" s="987"/>
      <c r="P70" s="987"/>
      <c r="X70" s="987"/>
      <c r="Y70" s="987"/>
      <c r="Z70" s="987"/>
      <c r="AA70" s="987"/>
      <c r="AB70" s="987"/>
      <c r="AC70" s="987"/>
      <c r="AD70" s="987"/>
      <c r="AE70" s="987"/>
      <c r="AF70" s="987"/>
      <c r="AG70" s="987"/>
      <c r="AH70" s="987"/>
      <c r="AI70" s="987"/>
      <c r="AJ70" s="987"/>
      <c r="AK70" s="987"/>
    </row>
    <row r="71" spans="15:67" hidden="1">
      <c r="O71" s="987"/>
      <c r="P71" s="987"/>
      <c r="X71" s="987"/>
      <c r="Y71" s="987"/>
      <c r="Z71" s="987"/>
      <c r="AA71" s="987"/>
      <c r="AB71" s="987"/>
      <c r="AC71" s="987"/>
      <c r="AD71" s="987"/>
      <c r="AE71" s="987"/>
      <c r="AF71" s="987"/>
      <c r="AG71" s="987"/>
      <c r="AH71" s="987"/>
      <c r="AI71" s="987"/>
      <c r="AJ71" s="987"/>
      <c r="AK71" s="987"/>
    </row>
    <row r="72" spans="15:67" hidden="1">
      <c r="O72" s="987"/>
      <c r="P72" s="987"/>
      <c r="X72" s="987"/>
      <c r="Y72" s="987"/>
      <c r="Z72" s="987"/>
      <c r="AA72" s="987"/>
      <c r="AB72" s="987"/>
      <c r="AC72" s="987"/>
      <c r="AD72" s="987"/>
      <c r="AE72" s="987"/>
      <c r="AF72" s="987"/>
      <c r="AG72" s="987"/>
      <c r="AH72" s="987"/>
      <c r="AI72" s="987"/>
      <c r="AJ72" s="987"/>
      <c r="AK72" s="987"/>
    </row>
    <row r="73" spans="15:67" hidden="1">
      <c r="O73" s="987"/>
      <c r="P73" s="987"/>
      <c r="X73" s="987"/>
      <c r="Y73" s="987"/>
      <c r="Z73" s="987"/>
      <c r="AA73" s="987"/>
      <c r="AB73" s="987"/>
      <c r="AC73" s="987"/>
      <c r="AD73" s="987"/>
      <c r="AE73" s="987"/>
      <c r="AF73" s="987"/>
      <c r="AG73" s="987"/>
      <c r="AH73" s="987"/>
      <c r="AI73" s="987"/>
      <c r="AJ73" s="987"/>
      <c r="AK73" s="987"/>
    </row>
    <row r="74" spans="15:67" hidden="1">
      <c r="O74" s="987"/>
      <c r="P74" s="987"/>
      <c r="X74" s="987"/>
      <c r="Y74" s="987"/>
      <c r="Z74" s="987"/>
      <c r="AA74" s="987"/>
      <c r="AB74" s="987"/>
      <c r="AC74" s="987"/>
      <c r="AD74" s="987"/>
      <c r="AE74" s="987"/>
      <c r="AF74" s="987"/>
      <c r="AG74" s="987"/>
      <c r="AH74" s="987"/>
      <c r="AI74" s="987"/>
      <c r="AJ74" s="987"/>
      <c r="AK74" s="987"/>
    </row>
    <row r="75" spans="15:67" hidden="1">
      <c r="O75" s="987"/>
      <c r="P75" s="987"/>
      <c r="X75" s="987"/>
      <c r="Y75" s="987"/>
      <c r="Z75" s="987"/>
      <c r="AA75" s="987"/>
      <c r="AB75" s="987"/>
      <c r="AC75" s="987"/>
      <c r="AD75" s="987"/>
      <c r="AE75" s="987"/>
      <c r="AF75" s="987"/>
      <c r="AG75" s="987"/>
      <c r="AH75" s="987"/>
      <c r="AI75" s="987"/>
      <c r="AJ75" s="987"/>
      <c r="AK75" s="987"/>
    </row>
    <row r="76" spans="15:67" hidden="1">
      <c r="O76" s="987"/>
      <c r="P76" s="987"/>
      <c r="X76" s="987"/>
      <c r="Y76" s="987"/>
      <c r="Z76" s="987"/>
      <c r="AA76" s="987"/>
      <c r="AB76" s="987"/>
      <c r="AC76" s="987"/>
      <c r="AD76" s="987"/>
      <c r="AE76" s="987"/>
      <c r="AF76" s="987"/>
      <c r="AG76" s="987"/>
      <c r="AH76" s="987"/>
      <c r="AI76" s="987"/>
      <c r="AJ76" s="987"/>
      <c r="AK76" s="987"/>
    </row>
    <row r="77" spans="15:67" hidden="1">
      <c r="O77" s="987"/>
      <c r="P77" s="987"/>
      <c r="X77" s="987"/>
      <c r="Y77" s="987"/>
      <c r="Z77" s="987"/>
      <c r="AA77" s="987"/>
      <c r="AB77" s="987"/>
      <c r="AC77" s="987"/>
      <c r="AD77" s="987"/>
      <c r="AE77" s="987"/>
      <c r="AF77" s="987"/>
      <c r="AG77" s="987"/>
      <c r="AH77" s="987"/>
      <c r="AI77" s="987"/>
      <c r="AJ77" s="987"/>
      <c r="AK77" s="987"/>
    </row>
    <row r="78" spans="15:67" hidden="1">
      <c r="O78" s="987"/>
      <c r="P78" s="987"/>
      <c r="X78" s="987"/>
      <c r="Y78" s="987"/>
      <c r="Z78" s="987"/>
      <c r="AA78" s="987"/>
      <c r="AB78" s="987"/>
      <c r="AC78" s="987"/>
      <c r="AD78" s="987"/>
      <c r="AE78" s="987"/>
      <c r="AF78" s="987"/>
      <c r="AG78" s="987"/>
      <c r="AH78" s="987"/>
      <c r="AI78" s="987"/>
      <c r="AJ78" s="987"/>
      <c r="AK78" s="987"/>
    </row>
    <row r="79" spans="15:67" hidden="1">
      <c r="O79" s="987"/>
      <c r="P79" s="987"/>
      <c r="X79" s="987"/>
      <c r="Y79" s="987"/>
      <c r="Z79" s="987"/>
      <c r="AA79" s="987"/>
      <c r="AB79" s="987"/>
      <c r="AC79" s="987"/>
      <c r="AD79" s="987"/>
      <c r="AE79" s="987"/>
      <c r="AF79" s="987"/>
      <c r="AG79" s="987"/>
      <c r="AH79" s="987"/>
      <c r="AI79" s="987"/>
      <c r="AJ79" s="987"/>
      <c r="AK79" s="987"/>
    </row>
    <row r="80" spans="15:67" hidden="1">
      <c r="O80" s="987"/>
      <c r="P80" s="987"/>
      <c r="X80" s="987"/>
      <c r="Y80" s="987"/>
      <c r="Z80" s="987"/>
      <c r="AA80" s="987"/>
      <c r="AB80" s="987"/>
      <c r="AC80" s="987"/>
      <c r="AD80" s="987"/>
      <c r="AE80" s="987"/>
      <c r="AF80" s="987"/>
      <c r="AG80" s="987"/>
      <c r="AH80" s="987"/>
      <c r="AI80" s="987"/>
      <c r="AJ80" s="987"/>
      <c r="AK80" s="987"/>
    </row>
    <row r="81" spans="15:37" hidden="1">
      <c r="O81" s="987"/>
      <c r="P81" s="987"/>
      <c r="X81" s="987"/>
      <c r="Y81" s="987"/>
      <c r="Z81" s="987"/>
      <c r="AA81" s="987"/>
      <c r="AB81" s="987"/>
      <c r="AC81" s="987"/>
      <c r="AD81" s="987"/>
      <c r="AE81" s="987"/>
      <c r="AF81" s="987"/>
      <c r="AG81" s="987"/>
      <c r="AH81" s="987"/>
      <c r="AI81" s="987"/>
      <c r="AJ81" s="987"/>
      <c r="AK81" s="987"/>
    </row>
    <row r="82" spans="15:37" hidden="1">
      <c r="O82" s="987"/>
      <c r="P82" s="987"/>
      <c r="X82" s="987"/>
      <c r="Y82" s="987"/>
      <c r="Z82" s="987"/>
      <c r="AA82" s="987"/>
      <c r="AB82" s="987"/>
      <c r="AC82" s="987"/>
      <c r="AD82" s="987"/>
      <c r="AE82" s="987"/>
      <c r="AF82" s="987"/>
      <c r="AG82" s="987"/>
      <c r="AH82" s="987"/>
      <c r="AI82" s="987"/>
      <c r="AJ82" s="987"/>
      <c r="AK82" s="987"/>
    </row>
    <row r="83" spans="15:37" hidden="1">
      <c r="O83" s="987"/>
      <c r="P83" s="987"/>
      <c r="X83" s="987"/>
      <c r="Y83" s="987"/>
      <c r="Z83" s="987"/>
      <c r="AA83" s="987"/>
      <c r="AB83" s="987"/>
      <c r="AC83" s="987"/>
      <c r="AD83" s="987"/>
      <c r="AE83" s="987"/>
      <c r="AF83" s="987"/>
      <c r="AG83" s="987"/>
      <c r="AH83" s="987"/>
      <c r="AI83" s="987"/>
      <c r="AJ83" s="987"/>
      <c r="AK83" s="987"/>
    </row>
    <row r="84" spans="15:37" hidden="1">
      <c r="O84" s="987"/>
      <c r="P84" s="987"/>
      <c r="X84" s="987"/>
      <c r="Y84" s="987"/>
      <c r="Z84" s="987"/>
      <c r="AA84" s="987"/>
      <c r="AB84" s="987"/>
      <c r="AC84" s="987"/>
      <c r="AD84" s="987"/>
      <c r="AE84" s="987"/>
      <c r="AF84" s="987"/>
      <c r="AG84" s="987"/>
      <c r="AH84" s="987"/>
      <c r="AI84" s="987"/>
      <c r="AJ84" s="987"/>
      <c r="AK84" s="987"/>
    </row>
    <row r="85" spans="15:37" hidden="1">
      <c r="O85" s="987"/>
      <c r="P85" s="987"/>
      <c r="X85" s="987"/>
      <c r="Y85" s="987"/>
      <c r="Z85" s="987"/>
      <c r="AA85" s="987"/>
      <c r="AB85" s="987"/>
      <c r="AC85" s="987"/>
      <c r="AD85" s="987"/>
      <c r="AE85" s="987"/>
      <c r="AF85" s="987"/>
      <c r="AG85" s="987"/>
      <c r="AH85" s="987"/>
      <c r="AI85" s="987"/>
      <c r="AJ85" s="987"/>
      <c r="AK85" s="987"/>
    </row>
    <row r="86" spans="15:37" hidden="1">
      <c r="O86" s="987"/>
      <c r="P86" s="987"/>
      <c r="X86" s="987"/>
      <c r="Y86" s="987"/>
      <c r="Z86" s="987"/>
      <c r="AA86" s="987"/>
      <c r="AB86" s="987"/>
      <c r="AC86" s="987"/>
      <c r="AD86" s="987"/>
      <c r="AE86" s="987"/>
      <c r="AF86" s="987"/>
      <c r="AG86" s="987"/>
      <c r="AH86" s="987"/>
      <c r="AI86" s="987"/>
      <c r="AJ86" s="987"/>
      <c r="AK86" s="987"/>
    </row>
    <row r="87" spans="15:37" hidden="1">
      <c r="O87" s="987"/>
      <c r="P87" s="987"/>
      <c r="X87" s="987"/>
      <c r="Y87" s="987"/>
      <c r="Z87" s="987"/>
      <c r="AA87" s="987"/>
      <c r="AB87" s="987"/>
      <c r="AC87" s="987"/>
      <c r="AD87" s="987"/>
      <c r="AE87" s="987"/>
      <c r="AF87" s="987"/>
      <c r="AG87" s="987"/>
      <c r="AH87" s="987"/>
      <c r="AI87" s="987"/>
      <c r="AJ87" s="987"/>
      <c r="AK87" s="987"/>
    </row>
    <row r="88" spans="15:37" hidden="1">
      <c r="O88" s="987"/>
      <c r="P88" s="987"/>
      <c r="X88" s="987"/>
      <c r="Y88" s="987"/>
      <c r="Z88" s="987"/>
      <c r="AA88" s="987"/>
      <c r="AB88" s="987"/>
      <c r="AC88" s="987"/>
      <c r="AD88" s="987"/>
      <c r="AE88" s="987"/>
      <c r="AF88" s="987"/>
      <c r="AG88" s="987"/>
      <c r="AH88" s="987"/>
      <c r="AI88" s="987"/>
      <c r="AJ88" s="987"/>
      <c r="AK88" s="987"/>
    </row>
    <row r="89" spans="15:37" hidden="1"/>
    <row r="90" spans="15:37" hidden="1"/>
    <row r="91" spans="15:37" hidden="1"/>
    <row r="92" spans="15:37" hidden="1"/>
    <row r="93" spans="15:37" hidden="1"/>
    <row r="94" spans="15:37" hidden="1"/>
    <row r="95" spans="15:37" hidden="1"/>
    <row r="96" spans="15:37" hidden="1"/>
    <row r="97" spans="2:37" hidden="1"/>
    <row r="98" spans="2:37" hidden="1"/>
    <row r="99" spans="2:37" hidden="1">
      <c r="O99" s="39">
        <v>9677.4193548387102</v>
      </c>
      <c r="P99" s="39"/>
      <c r="Q99" s="39">
        <v>347.15938203065798</v>
      </c>
      <c r="R99" s="39"/>
      <c r="X99" s="39"/>
      <c r="Y99" s="39"/>
      <c r="Z99" s="39"/>
      <c r="AA99" s="39"/>
      <c r="AB99" s="39"/>
      <c r="AC99" s="39"/>
      <c r="AD99" s="39"/>
      <c r="AE99" s="39"/>
      <c r="AF99" s="39"/>
      <c r="AG99" s="39"/>
      <c r="AH99" s="39"/>
      <c r="AI99" s="39"/>
      <c r="AJ99" s="39"/>
      <c r="AK99" s="39"/>
    </row>
    <row r="100" spans="2:37" hidden="1">
      <c r="B100">
        <v>1</v>
      </c>
      <c r="C100" t="e">
        <f>SUM(O100,#REF!,#REF!)</f>
        <v>#REF!</v>
      </c>
      <c r="D100" t="e">
        <f>SUM(Q100,#REF!,X100)</f>
        <v>#REF!</v>
      </c>
      <c r="N100">
        <v>1</v>
      </c>
      <c r="O100">
        <f>O99</f>
        <v>9677.4193548387102</v>
      </c>
    </row>
    <row r="101" spans="2:37" hidden="1">
      <c r="B101">
        <v>2</v>
      </c>
      <c r="C101" t="e">
        <f>SUM(O101,#REF!,#REF!)</f>
        <v>#REF!</v>
      </c>
      <c r="D101" t="e">
        <f>SUM(Q101,#REF!,X101)</f>
        <v>#REF!</v>
      </c>
      <c r="N101">
        <v>2</v>
      </c>
      <c r="O101">
        <f t="shared" ref="O101:O130" si="29">O100+($O$99)</f>
        <v>19354.83870967742</v>
      </c>
    </row>
    <row r="102" spans="2:37" hidden="1">
      <c r="B102">
        <v>3</v>
      </c>
      <c r="C102" t="e">
        <f>SUM(O102,#REF!,#REF!)</f>
        <v>#REF!</v>
      </c>
      <c r="D102" t="e">
        <f>SUM(Q102,#REF!,X102)</f>
        <v>#REF!</v>
      </c>
      <c r="N102">
        <v>3</v>
      </c>
      <c r="O102">
        <f t="shared" si="29"/>
        <v>29032.258064516129</v>
      </c>
    </row>
    <row r="103" spans="2:37" hidden="1">
      <c r="B103">
        <v>4</v>
      </c>
      <c r="C103" t="e">
        <f>SUM(O103,#REF!,#REF!)</f>
        <v>#REF!</v>
      </c>
      <c r="D103" t="e">
        <f>SUM(Q103,#REF!,X103)</f>
        <v>#REF!</v>
      </c>
      <c r="N103">
        <v>4</v>
      </c>
      <c r="O103">
        <f t="shared" si="29"/>
        <v>38709.677419354841</v>
      </c>
    </row>
    <row r="104" spans="2:37" hidden="1">
      <c r="B104">
        <v>5</v>
      </c>
      <c r="C104" t="e">
        <f>SUM(O104,#REF!,#REF!)</f>
        <v>#REF!</v>
      </c>
      <c r="D104" t="e">
        <f>SUM(Q104,#REF!,X104)</f>
        <v>#REF!</v>
      </c>
      <c r="N104">
        <v>5</v>
      </c>
      <c r="O104">
        <f t="shared" si="29"/>
        <v>48387.096774193553</v>
      </c>
    </row>
    <row r="105" spans="2:37" hidden="1">
      <c r="B105">
        <v>6</v>
      </c>
      <c r="C105" t="e">
        <f>SUM(O105,#REF!,#REF!)</f>
        <v>#REF!</v>
      </c>
      <c r="D105" t="e">
        <f>SUM(Q105,#REF!,X105)</f>
        <v>#REF!</v>
      </c>
      <c r="N105">
        <v>6</v>
      </c>
      <c r="O105">
        <f t="shared" si="29"/>
        <v>58064.516129032265</v>
      </c>
    </row>
    <row r="106" spans="2:37" hidden="1">
      <c r="B106">
        <v>7</v>
      </c>
      <c r="C106" t="e">
        <f>SUM(O106,#REF!,#REF!)</f>
        <v>#REF!</v>
      </c>
      <c r="D106" t="e">
        <f>SUM(Q106,#REF!,X106)</f>
        <v>#REF!</v>
      </c>
      <c r="N106">
        <v>7</v>
      </c>
      <c r="O106">
        <f t="shared" si="29"/>
        <v>67741.93548387097</v>
      </c>
    </row>
    <row r="107" spans="2:37" hidden="1">
      <c r="B107">
        <v>8</v>
      </c>
      <c r="C107" t="e">
        <f>SUM(O107,#REF!,#REF!)</f>
        <v>#REF!</v>
      </c>
      <c r="D107" t="e">
        <f>SUM(Q107,#REF!,X107)</f>
        <v>#REF!</v>
      </c>
      <c r="N107">
        <v>8</v>
      </c>
      <c r="O107">
        <f t="shared" si="29"/>
        <v>77419.354838709682</v>
      </c>
    </row>
    <row r="108" spans="2:37" hidden="1">
      <c r="B108">
        <v>9</v>
      </c>
      <c r="C108" t="e">
        <f>SUM(O108,#REF!,#REF!)</f>
        <v>#REF!</v>
      </c>
      <c r="D108" t="e">
        <f>SUM(Q108,#REF!,X108)</f>
        <v>#REF!</v>
      </c>
      <c r="N108">
        <v>9</v>
      </c>
      <c r="O108">
        <f t="shared" si="29"/>
        <v>87096.774193548394</v>
      </c>
    </row>
    <row r="109" spans="2:37" hidden="1">
      <c r="B109">
        <v>10</v>
      </c>
      <c r="C109" t="e">
        <f>SUM(O109,#REF!,#REF!)</f>
        <v>#REF!</v>
      </c>
      <c r="D109" t="e">
        <f>SUM(Q109,#REF!,X109)</f>
        <v>#REF!</v>
      </c>
      <c r="N109">
        <v>10</v>
      </c>
      <c r="O109">
        <f t="shared" si="29"/>
        <v>96774.193548387106</v>
      </c>
    </row>
    <row r="110" spans="2:37" hidden="1">
      <c r="B110">
        <v>11</v>
      </c>
      <c r="C110" t="e">
        <f>SUM(O110,#REF!,#REF!)</f>
        <v>#REF!</v>
      </c>
      <c r="D110" t="e">
        <f>SUM(Q110,#REF!,X110)</f>
        <v>#REF!</v>
      </c>
      <c r="N110">
        <v>11</v>
      </c>
      <c r="O110">
        <f t="shared" si="29"/>
        <v>106451.61290322582</v>
      </c>
    </row>
    <row r="111" spans="2:37" hidden="1">
      <c r="B111">
        <v>12</v>
      </c>
      <c r="C111" t="e">
        <f>SUM(O111,#REF!,#REF!)</f>
        <v>#REF!</v>
      </c>
      <c r="D111" t="e">
        <f>SUM(Q111,#REF!,X111)</f>
        <v>#REF!</v>
      </c>
      <c r="N111">
        <v>12</v>
      </c>
      <c r="O111">
        <f t="shared" si="29"/>
        <v>116129.03225806453</v>
      </c>
    </row>
    <row r="112" spans="2:37" hidden="1">
      <c r="B112">
        <v>13</v>
      </c>
      <c r="C112" t="e">
        <f>SUM(O112,#REF!,#REF!)</f>
        <v>#REF!</v>
      </c>
      <c r="D112" t="e">
        <f>SUM(Q112,#REF!,X112)</f>
        <v>#REF!</v>
      </c>
      <c r="N112">
        <v>13</v>
      </c>
      <c r="O112">
        <f t="shared" si="29"/>
        <v>125806.45161290324</v>
      </c>
    </row>
    <row r="113" spans="2:15" hidden="1">
      <c r="B113">
        <v>14</v>
      </c>
      <c r="C113" t="e">
        <f>SUM(O113,#REF!,#REF!)</f>
        <v>#REF!</v>
      </c>
      <c r="D113" t="e">
        <f>SUM(Q113,#REF!,X113)</f>
        <v>#REF!</v>
      </c>
      <c r="N113">
        <v>14</v>
      </c>
      <c r="O113">
        <f t="shared" si="29"/>
        <v>135483.87096774194</v>
      </c>
    </row>
    <row r="114" spans="2:15" hidden="1">
      <c r="B114">
        <v>15</v>
      </c>
      <c r="C114" t="e">
        <f>SUM(O114,#REF!,#REF!)</f>
        <v>#REF!</v>
      </c>
      <c r="D114" t="e">
        <f>SUM(Q114,#REF!,X114)</f>
        <v>#REF!</v>
      </c>
      <c r="N114">
        <v>15</v>
      </c>
      <c r="O114">
        <f t="shared" si="29"/>
        <v>145161.29032258064</v>
      </c>
    </row>
    <row r="115" spans="2:15" hidden="1">
      <c r="B115">
        <v>16</v>
      </c>
      <c r="C115" t="e">
        <f>SUM(O115,#REF!,#REF!)</f>
        <v>#REF!</v>
      </c>
      <c r="D115" t="e">
        <f>SUM(Q115,#REF!,X115)</f>
        <v>#REF!</v>
      </c>
      <c r="N115">
        <v>16</v>
      </c>
      <c r="O115">
        <f t="shared" si="29"/>
        <v>154838.70967741933</v>
      </c>
    </row>
    <row r="116" spans="2:15" hidden="1">
      <c r="B116">
        <v>17</v>
      </c>
      <c r="C116" t="e">
        <f>SUM(O116,#REF!,#REF!)</f>
        <v>#REF!</v>
      </c>
      <c r="D116" t="e">
        <f>SUM(Q116,#REF!,X116)</f>
        <v>#REF!</v>
      </c>
      <c r="N116">
        <v>17</v>
      </c>
      <c r="O116">
        <f t="shared" si="29"/>
        <v>164516.12903225803</v>
      </c>
    </row>
    <row r="117" spans="2:15" hidden="1">
      <c r="B117">
        <v>18</v>
      </c>
      <c r="C117" t="e">
        <f>SUM(O117,#REF!,#REF!)</f>
        <v>#REF!</v>
      </c>
      <c r="D117" t="e">
        <f>SUM(Q117,#REF!,X117)</f>
        <v>#REF!</v>
      </c>
      <c r="N117">
        <v>18</v>
      </c>
      <c r="O117">
        <f t="shared" si="29"/>
        <v>174193.54838709673</v>
      </c>
    </row>
    <row r="118" spans="2:15" hidden="1">
      <c r="B118">
        <v>19</v>
      </c>
      <c r="C118" t="e">
        <f>SUM(O118,#REF!,#REF!)</f>
        <v>#REF!</v>
      </c>
      <c r="D118" t="e">
        <f>SUM(Q118,#REF!,X118)</f>
        <v>#REF!</v>
      </c>
      <c r="N118">
        <v>19</v>
      </c>
      <c r="O118">
        <f t="shared" si="29"/>
        <v>183870.96774193543</v>
      </c>
    </row>
    <row r="119" spans="2:15" hidden="1">
      <c r="B119">
        <v>20</v>
      </c>
      <c r="C119" t="e">
        <f>SUM(O119,#REF!,#REF!)</f>
        <v>#REF!</v>
      </c>
      <c r="D119" t="e">
        <f>SUM(Q119,#REF!,X119)</f>
        <v>#REF!</v>
      </c>
      <c r="N119">
        <v>20</v>
      </c>
      <c r="O119">
        <f t="shared" si="29"/>
        <v>193548.38709677412</v>
      </c>
    </row>
    <row r="120" spans="2:15" hidden="1">
      <c r="B120">
        <v>21</v>
      </c>
      <c r="C120" t="e">
        <f>SUM(O120,#REF!,#REF!)</f>
        <v>#REF!</v>
      </c>
      <c r="D120" t="e">
        <f>SUM(Q120,#REF!,X120)</f>
        <v>#REF!</v>
      </c>
      <c r="N120">
        <v>21</v>
      </c>
      <c r="O120">
        <f t="shared" si="29"/>
        <v>203225.80645161282</v>
      </c>
    </row>
    <row r="121" spans="2:15" hidden="1">
      <c r="B121">
        <v>22</v>
      </c>
      <c r="C121" t="e">
        <f>SUM(O121,#REF!,#REF!)</f>
        <v>#REF!</v>
      </c>
      <c r="D121" t="e">
        <f>SUM(Q121,#REF!,X121)</f>
        <v>#REF!</v>
      </c>
      <c r="N121">
        <v>22</v>
      </c>
      <c r="O121">
        <f t="shared" si="29"/>
        <v>212903.22580645152</v>
      </c>
    </row>
    <row r="122" spans="2:15" hidden="1">
      <c r="B122">
        <v>23</v>
      </c>
      <c r="C122" t="e">
        <f>SUM(O122,#REF!,#REF!)</f>
        <v>#REF!</v>
      </c>
      <c r="D122" t="e">
        <f>SUM(Q122,#REF!,X122)</f>
        <v>#REF!</v>
      </c>
      <c r="N122">
        <v>23</v>
      </c>
      <c r="O122">
        <f t="shared" si="29"/>
        <v>222580.64516129022</v>
      </c>
    </row>
    <row r="123" spans="2:15" hidden="1">
      <c r="B123">
        <v>24</v>
      </c>
      <c r="C123" t="e">
        <f>SUM(O123,#REF!,#REF!)</f>
        <v>#REF!</v>
      </c>
      <c r="D123" t="e">
        <f>SUM(Q123,#REF!,X123)</f>
        <v>#REF!</v>
      </c>
      <c r="N123">
        <v>24</v>
      </c>
      <c r="O123">
        <f t="shared" si="29"/>
        <v>232258.06451612891</v>
      </c>
    </row>
    <row r="124" spans="2:15" hidden="1">
      <c r="B124">
        <v>25</v>
      </c>
      <c r="C124" t="e">
        <f>SUM(O124,#REF!,#REF!)</f>
        <v>#REF!</v>
      </c>
      <c r="D124" t="e">
        <f>SUM(Q124,#REF!,X124)</f>
        <v>#REF!</v>
      </c>
      <c r="N124">
        <v>25</v>
      </c>
      <c r="O124">
        <f t="shared" si="29"/>
        <v>241935.48387096761</v>
      </c>
    </row>
    <row r="125" spans="2:15" hidden="1">
      <c r="B125">
        <v>26</v>
      </c>
      <c r="C125" t="e">
        <f>SUM(O125,#REF!,#REF!)</f>
        <v>#REF!</v>
      </c>
      <c r="D125" t="e">
        <f>SUM(Q125,#REF!,X125)</f>
        <v>#REF!</v>
      </c>
      <c r="N125">
        <v>26</v>
      </c>
      <c r="O125">
        <f t="shared" si="29"/>
        <v>251612.90322580631</v>
      </c>
    </row>
    <row r="126" spans="2:15" hidden="1">
      <c r="B126">
        <v>27</v>
      </c>
      <c r="C126" t="e">
        <f>SUM(O126,#REF!,#REF!)</f>
        <v>#REF!</v>
      </c>
      <c r="D126" t="e">
        <f>SUM(Q126,#REF!,X126)</f>
        <v>#REF!</v>
      </c>
      <c r="N126">
        <v>27</v>
      </c>
      <c r="O126">
        <f t="shared" si="29"/>
        <v>261290.32258064501</v>
      </c>
    </row>
    <row r="127" spans="2:15" hidden="1">
      <c r="B127">
        <v>28</v>
      </c>
      <c r="C127" t="e">
        <f>SUM(O127,#REF!,#REF!)</f>
        <v>#REF!</v>
      </c>
      <c r="D127" t="e">
        <f>SUM(Q127,#REF!,X127)</f>
        <v>#REF!</v>
      </c>
      <c r="N127">
        <v>28</v>
      </c>
      <c r="O127">
        <f t="shared" si="29"/>
        <v>270967.7419354837</v>
      </c>
    </row>
    <row r="128" spans="2:15" hidden="1">
      <c r="B128">
        <v>29</v>
      </c>
      <c r="C128" t="e">
        <f>SUM(O128,#REF!,#REF!)</f>
        <v>#REF!</v>
      </c>
      <c r="D128" t="e">
        <f>SUM(Q128,#REF!,X128)</f>
        <v>#REF!</v>
      </c>
      <c r="N128">
        <v>29</v>
      </c>
      <c r="O128">
        <f t="shared" si="29"/>
        <v>280645.16129032243</v>
      </c>
    </row>
    <row r="129" spans="2:15" hidden="1">
      <c r="B129">
        <v>30</v>
      </c>
      <c r="C129" t="e">
        <f>SUM(O129,#REF!,#REF!)</f>
        <v>#REF!</v>
      </c>
      <c r="D129" t="e">
        <f>SUM(Q129,#REF!,X129)</f>
        <v>#REF!</v>
      </c>
      <c r="N129">
        <v>30</v>
      </c>
      <c r="O129">
        <f t="shared" si="29"/>
        <v>290322.58064516116</v>
      </c>
    </row>
    <row r="130" spans="2:15" hidden="1">
      <c r="B130">
        <v>31</v>
      </c>
      <c r="C130" t="e">
        <f>SUM(O130,#REF!,#REF!)</f>
        <v>#REF!</v>
      </c>
      <c r="D130" t="e">
        <f>SUM(Q130,#REF!,X130)</f>
        <v>#REF!</v>
      </c>
      <c r="N130">
        <v>31</v>
      </c>
      <c r="O130">
        <f t="shared" si="29"/>
        <v>299999.99999999988</v>
      </c>
    </row>
    <row r="131" spans="2:15" hidden="1"/>
    <row r="132" spans="2:15" hidden="1"/>
    <row r="133" spans="2:15" hidden="1"/>
    <row r="134" spans="2:15" hidden="1"/>
    <row r="135" spans="2:15" hidden="1"/>
    <row r="136" spans="2:15" hidden="1"/>
    <row r="137" spans="2:15" hidden="1"/>
    <row r="138" spans="2:15" hidden="1"/>
    <row r="139" spans="2:15" hidden="1"/>
    <row r="140" spans="2:15" hidden="1"/>
    <row r="141" spans="2:15" hidden="1"/>
  </sheetData>
  <mergeCells count="31">
    <mergeCell ref="BS8:BS9"/>
    <mergeCell ref="C9:M9"/>
    <mergeCell ref="O9:O11"/>
    <mergeCell ref="P9:R10"/>
    <mergeCell ref="S9:S11"/>
    <mergeCell ref="T9:T11"/>
    <mergeCell ref="X9:X11"/>
    <mergeCell ref="Z9:AB10"/>
    <mergeCell ref="AI9:AL9"/>
    <mergeCell ref="AO9:AR9"/>
    <mergeCell ref="BK8:BQ8"/>
    <mergeCell ref="BL9:BO9"/>
    <mergeCell ref="AZ10:BD10"/>
    <mergeCell ref="BP9:BP10"/>
    <mergeCell ref="BQ9:BQ10"/>
    <mergeCell ref="C10:C11"/>
    <mergeCell ref="B8:B11"/>
    <mergeCell ref="O8:T8"/>
    <mergeCell ref="Z8:AB8"/>
    <mergeCell ref="AI8:AL8"/>
    <mergeCell ref="AX8:BD8"/>
    <mergeCell ref="AX9:AX11"/>
    <mergeCell ref="AY9:AY11"/>
    <mergeCell ref="AZ9:BD9"/>
    <mergeCell ref="D10:D11"/>
    <mergeCell ref="E10:E11"/>
    <mergeCell ref="F10:G10"/>
    <mergeCell ref="H10:I10"/>
    <mergeCell ref="J10:K10"/>
    <mergeCell ref="L10:M10"/>
    <mergeCell ref="U10:W10"/>
  </mergeCells>
  <conditionalFormatting sqref="C43">
    <cfRule type="expression" dxfId="14" priority="12">
      <formula>OR(AND(C43&lt;(#REF!-(10%*#REF!)),#REF!="OB"),AND(C43&lt;(#REF!-(10%*#REF!)),#REF!="ROM"))</formula>
    </cfRule>
    <cfRule type="expression" dxfId="13" priority="13">
      <formula>$B43=DAY(TODAY()-1)</formula>
    </cfRule>
  </conditionalFormatting>
  <conditionalFormatting sqref="O12:U12 S13:T22 O13:R42 U13:U42 S23 O43:W43">
    <cfRule type="expression" dxfId="12" priority="14">
      <formula>OR(AND(O12&lt;(#REF!-(10%*#REF!)),#REF!="OB"),AND(O12&lt;(#REF!-(10%*#REF!)),#REF!="ROM"))</formula>
    </cfRule>
  </conditionalFormatting>
  <conditionalFormatting sqref="O12:U12 AX12:AY12 BQ12:BR37 BT12:CK37 AY13 S13:T22 O13:R42 U13:U42 AX13:AX42 AY15:AY18 S23 BQ39:BR42 BT39:CK43 O43:W43 BK43:BR43">
    <cfRule type="expression" dxfId="11" priority="15">
      <formula>$B12=DAY(TODAY()-1)</formula>
    </cfRule>
  </conditionalFormatting>
  <conditionalFormatting sqref="V12:W42 S24:T42">
    <cfRule type="expression" dxfId="10" priority="4">
      <formula>OR(AND(S12&lt;(#REF!-(10%*#REF!)),#REF!="OB"),AND(S12&lt;(#REF!-(10%*#REF!)),#REF!="ROM"))</formula>
    </cfRule>
    <cfRule type="expression" dxfId="9" priority="5">
      <formula>$B12=DAY(TODAY()-1)</formula>
    </cfRule>
  </conditionalFormatting>
  <conditionalFormatting sqref="X12:AK43">
    <cfRule type="expression" dxfId="8" priority="10">
      <formula>OR(AND(X12&lt;(#REF!-(10%*#REF!)),#REF!="OB"),AND(X12&lt;(#REF!-(10%*#REF!)),#REF!="ROM"))</formula>
    </cfRule>
    <cfRule type="expression" dxfId="7" priority="11">
      <formula>$B12=DAY(TODAY()-1)</formula>
    </cfRule>
  </conditionalFormatting>
  <conditionalFormatting sqref="AO1:AU100">
    <cfRule type="expression" dxfId="6" priority="2">
      <formula>OR(TEXT($A2,"dd/mm/yyyy")=TEXT(DATE(2025,4,18),"dd/mm/yyyy"), TEXT($A2,"dd/mm/yyyy")=TEXT(TODAY()-1,"dd/mm/yyyy"))</formula>
    </cfRule>
  </conditionalFormatting>
  <conditionalFormatting sqref="AO2:AU100">
    <cfRule type="expression" dxfId="5" priority="1">
      <formula>OR($B2=DAY(TODAY()-1))</formula>
    </cfRule>
  </conditionalFormatting>
  <conditionalFormatting sqref="AX43:AY43">
    <cfRule type="expression" dxfId="4" priority="8">
      <formula>$B43=DAY(TODAY()-1)</formula>
    </cfRule>
  </conditionalFormatting>
  <conditionalFormatting sqref="AY19">
    <cfRule type="expression" dxfId="3" priority="16">
      <formula>$B14=DAY(TODAY()-1)</formula>
    </cfRule>
  </conditionalFormatting>
  <conditionalFormatting sqref="AY20:AY42">
    <cfRule type="expression" dxfId="2" priority="7">
      <formula>$B20=DAY(TODAY()-1)</formula>
    </cfRule>
  </conditionalFormatting>
  <conditionalFormatting sqref="AZ12:BE43">
    <cfRule type="expression" dxfId="1" priority="6">
      <formula>$B12=DAY(TODAY()-1)</formula>
    </cfRule>
  </conditionalFormatting>
  <conditionalFormatting sqref="BK12:BP42">
    <cfRule type="expression" dxfId="0" priority="3">
      <formula>$B12=DAY(TODAY()-1)</formula>
    </cfRule>
  </conditionalFormatting>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59"/>
  <sheetViews>
    <sheetView workbookViewId="0">
      <selection activeCell="A3" sqref="A3:V6"/>
    </sheetView>
  </sheetViews>
  <sheetFormatPr defaultRowHeight="14.4"/>
  <cols>
    <col min="1" max="1" width="13" customWidth="1"/>
    <col min="3" max="3" width="16" customWidth="1"/>
    <col min="4" max="4" width="14.88671875" customWidth="1"/>
  </cols>
  <sheetData>
    <row r="1" spans="1:22" ht="15" thickTop="1">
      <c r="A1" s="2121" t="s">
        <v>99</v>
      </c>
      <c r="B1" s="2122" t="s">
        <v>1117</v>
      </c>
      <c r="C1" s="2123" t="s">
        <v>1118</v>
      </c>
      <c r="D1" s="2957" t="s">
        <v>1119</v>
      </c>
      <c r="E1" s="2124" t="s">
        <v>197</v>
      </c>
      <c r="F1" s="2124" t="s">
        <v>1120</v>
      </c>
      <c r="G1" s="2959" t="s">
        <v>63</v>
      </c>
      <c r="H1" s="2960"/>
      <c r="I1" s="2959" t="s">
        <v>1121</v>
      </c>
      <c r="J1" s="2960"/>
      <c r="K1" s="2959" t="s">
        <v>178</v>
      </c>
      <c r="L1" s="2960"/>
      <c r="M1" s="2959" t="s">
        <v>62</v>
      </c>
      <c r="N1" s="2960"/>
      <c r="O1" s="2959" t="s">
        <v>1122</v>
      </c>
      <c r="P1" s="2961"/>
      <c r="Q1" s="2961"/>
      <c r="R1" s="2961"/>
      <c r="S1" s="2961"/>
      <c r="T1" s="2961"/>
      <c r="U1" s="2960"/>
      <c r="V1" s="2955" t="s">
        <v>1123</v>
      </c>
    </row>
    <row r="2" spans="1:22">
      <c r="A2" s="2125" t="s">
        <v>1124</v>
      </c>
      <c r="B2" s="2126" t="s">
        <v>1125</v>
      </c>
      <c r="C2" s="2127" t="s">
        <v>1126</v>
      </c>
      <c r="D2" s="2958"/>
      <c r="E2" s="2128" t="s">
        <v>1127</v>
      </c>
      <c r="F2" s="2128" t="s">
        <v>1128</v>
      </c>
      <c r="G2" s="2128" t="s">
        <v>1128</v>
      </c>
      <c r="H2" s="2128" t="s">
        <v>1127</v>
      </c>
      <c r="I2" s="2128" t="s">
        <v>1128</v>
      </c>
      <c r="J2" s="2128" t="s">
        <v>1127</v>
      </c>
      <c r="K2" s="2128" t="s">
        <v>1128</v>
      </c>
      <c r="L2" s="2128" t="s">
        <v>1127</v>
      </c>
      <c r="M2" s="2128" t="s">
        <v>1128</v>
      </c>
      <c r="N2" s="2128" t="s">
        <v>1127</v>
      </c>
      <c r="O2" s="2128" t="s">
        <v>1128</v>
      </c>
      <c r="P2" s="2128" t="s">
        <v>1129</v>
      </c>
      <c r="Q2" s="2128" t="s">
        <v>1127</v>
      </c>
      <c r="R2" s="2128" t="s">
        <v>1130</v>
      </c>
      <c r="S2" s="2128" t="s">
        <v>1131</v>
      </c>
      <c r="T2" s="2128" t="s">
        <v>1132</v>
      </c>
      <c r="U2" s="2128" t="s">
        <v>1133</v>
      </c>
      <c r="V2" s="2956"/>
    </row>
    <row r="3" spans="1:22">
      <c r="A3" s="2421">
        <v>46270</v>
      </c>
      <c r="B3" s="2422" t="s">
        <v>1134</v>
      </c>
      <c r="C3" s="2129">
        <v>5000</v>
      </c>
      <c r="D3" s="2130" t="s">
        <v>1135</v>
      </c>
      <c r="E3" s="2423">
        <v>9.4755909999999997</v>
      </c>
      <c r="F3" s="2423">
        <v>5.89</v>
      </c>
      <c r="G3" s="2423">
        <v>2.65</v>
      </c>
      <c r="H3" s="2424">
        <v>2.5490349999999999</v>
      </c>
      <c r="I3" s="2423">
        <v>40.299999999999997</v>
      </c>
      <c r="J3" s="2424">
        <v>38.764569999999999</v>
      </c>
      <c r="K3" s="2424">
        <v>51.16</v>
      </c>
      <c r="L3" s="2424">
        <v>49.210804000000003</v>
      </c>
      <c r="M3" s="2423">
        <v>0.84</v>
      </c>
      <c r="N3" s="2424">
        <v>0.80799600000000005</v>
      </c>
      <c r="O3" s="2425">
        <v>7216</v>
      </c>
      <c r="P3" s="2426">
        <v>7667.6229943682929</v>
      </c>
      <c r="Q3" s="2426">
        <v>6941.0704000000005</v>
      </c>
      <c r="R3" s="2426">
        <v>7889.7878854143892</v>
      </c>
      <c r="S3" s="2426">
        <v>6517.4795452130484</v>
      </c>
      <c r="T3" s="2426">
        <v>6440.8033152693661</v>
      </c>
      <c r="U3" s="2427">
        <v>6364.1270853256829</v>
      </c>
      <c r="V3" s="2428" t="s">
        <v>1136</v>
      </c>
    </row>
    <row r="4" spans="1:22">
      <c r="A4" s="2421">
        <v>46270</v>
      </c>
      <c r="B4" s="2422" t="s">
        <v>1134</v>
      </c>
      <c r="C4" s="2129">
        <v>3174</v>
      </c>
      <c r="D4" s="2130" t="s">
        <v>1137</v>
      </c>
      <c r="E4" s="2423">
        <v>9.6256000000000004</v>
      </c>
      <c r="F4" s="2423">
        <v>5.86</v>
      </c>
      <c r="G4" s="2423">
        <v>2.96</v>
      </c>
      <c r="H4" s="2424">
        <v>2.8415999999999997</v>
      </c>
      <c r="I4" s="2423">
        <v>40.299999999999997</v>
      </c>
      <c r="J4" s="2424">
        <v>38.687999999999995</v>
      </c>
      <c r="K4" s="2424">
        <v>50.88000000000001</v>
      </c>
      <c r="L4" s="2424">
        <v>48.844800000000006</v>
      </c>
      <c r="M4" s="2423">
        <v>0.86</v>
      </c>
      <c r="N4" s="2424">
        <v>0.82559999999999989</v>
      </c>
      <c r="O4" s="2425">
        <v>6979</v>
      </c>
      <c r="P4" s="2426">
        <v>7413.4268111323563</v>
      </c>
      <c r="Q4" s="2426">
        <v>6699.8399999999992</v>
      </c>
      <c r="R4" s="2426">
        <v>7654.0908093880234</v>
      </c>
      <c r="S4" s="2426">
        <v>6301.4127894625026</v>
      </c>
      <c r="T4" s="2426">
        <v>6227.2785213511788</v>
      </c>
      <c r="U4" s="2427">
        <v>6153.1442532398551</v>
      </c>
      <c r="V4" s="2428" t="s">
        <v>1136</v>
      </c>
    </row>
    <row r="5" spans="1:22">
      <c r="A5" s="2421">
        <v>46271</v>
      </c>
      <c r="B5" s="2422" t="s">
        <v>1134</v>
      </c>
      <c r="C5" s="2129">
        <v>5000</v>
      </c>
      <c r="D5" s="2130" t="s">
        <v>1825</v>
      </c>
      <c r="E5" s="2423">
        <v>8.9921199999999999</v>
      </c>
      <c r="F5" s="2423">
        <v>6.1</v>
      </c>
      <c r="G5" s="2423">
        <v>2.97</v>
      </c>
      <c r="H5" s="2424">
        <v>2.8785240000000001</v>
      </c>
      <c r="I5" s="2423">
        <v>39.9</v>
      </c>
      <c r="J5" s="2424">
        <v>38.671079999999996</v>
      </c>
      <c r="K5" s="2424">
        <v>51.030000000000008</v>
      </c>
      <c r="L5" s="2424">
        <v>49.458276000000005</v>
      </c>
      <c r="M5" s="2423">
        <v>0.66</v>
      </c>
      <c r="N5" s="2424">
        <v>0.63967199999999991</v>
      </c>
      <c r="O5" s="2425">
        <v>7082</v>
      </c>
      <c r="P5" s="2429">
        <v>7542.0660276890303</v>
      </c>
      <c r="Q5" s="2429">
        <v>6863.8743999999997</v>
      </c>
      <c r="R5" s="2429">
        <v>7788.4086660068178</v>
      </c>
      <c r="S5" s="2429">
        <v>6410.7561235356761</v>
      </c>
      <c r="T5" s="2429">
        <v>6335.3354632587852</v>
      </c>
      <c r="U5" s="2430">
        <v>6259.9148029818953</v>
      </c>
      <c r="V5" s="2428" t="s">
        <v>1138</v>
      </c>
    </row>
    <row r="6" spans="1:22">
      <c r="A6" s="2421">
        <v>46271</v>
      </c>
      <c r="B6" s="2422" t="s">
        <v>1134</v>
      </c>
      <c r="C6" s="2129">
        <v>2802</v>
      </c>
      <c r="D6" s="2130" t="s">
        <v>1826</v>
      </c>
      <c r="E6" s="2423">
        <v>9.3346719999999994</v>
      </c>
      <c r="F6" s="2423">
        <v>6.26</v>
      </c>
      <c r="G6" s="2423">
        <v>3.81</v>
      </c>
      <c r="H6" s="2424">
        <v>3.6850320000000001</v>
      </c>
      <c r="I6" s="2423">
        <v>39.6</v>
      </c>
      <c r="J6" s="2424">
        <v>38.301120000000004</v>
      </c>
      <c r="K6" s="2424">
        <v>50.329999999999991</v>
      </c>
      <c r="L6" s="2424">
        <v>48.679175999999998</v>
      </c>
      <c r="M6" s="2423">
        <v>0.66</v>
      </c>
      <c r="N6" s="2424">
        <v>0.63835200000000003</v>
      </c>
      <c r="O6" s="2425">
        <v>6993</v>
      </c>
      <c r="P6" s="2426">
        <v>7459.9957328781738</v>
      </c>
      <c r="Q6" s="2426">
        <v>6763.6296000000011</v>
      </c>
      <c r="R6" s="2426">
        <v>7776.0480373623932</v>
      </c>
      <c r="S6" s="2426">
        <v>6340.996372946448</v>
      </c>
      <c r="T6" s="2426">
        <v>6266.3964156176662</v>
      </c>
      <c r="U6" s="2427">
        <v>6191.7964582888844</v>
      </c>
      <c r="V6" s="2428" t="s">
        <v>1138</v>
      </c>
    </row>
    <row r="7" spans="1:22">
      <c r="A7" s="2421"/>
      <c r="B7" s="2422"/>
      <c r="C7" s="2129"/>
      <c r="D7" s="2130"/>
      <c r="E7" s="2423"/>
      <c r="F7" s="2423"/>
      <c r="G7" s="2423"/>
      <c r="H7" s="2424"/>
      <c r="I7" s="2423"/>
      <c r="J7" s="2424"/>
      <c r="K7" s="2424"/>
      <c r="L7" s="2424"/>
      <c r="M7" s="2423"/>
      <c r="N7" s="2424"/>
      <c r="O7" s="2425"/>
      <c r="P7" s="2426"/>
      <c r="Q7" s="2426"/>
      <c r="R7" s="2426"/>
      <c r="S7" s="2426"/>
      <c r="T7" s="2426"/>
      <c r="U7" s="2427"/>
      <c r="V7" s="2428" t="s">
        <v>1138</v>
      </c>
    </row>
    <row r="8" spans="1:22">
      <c r="A8" s="2421"/>
      <c r="B8" s="2422"/>
      <c r="C8" s="2129"/>
      <c r="D8" s="2130"/>
      <c r="E8" s="2423"/>
      <c r="F8" s="2423"/>
      <c r="G8" s="2423"/>
      <c r="H8" s="2424"/>
      <c r="I8" s="2423"/>
      <c r="J8" s="2424"/>
      <c r="K8" s="2424"/>
      <c r="L8" s="2424"/>
      <c r="M8" s="2423"/>
      <c r="N8" s="2424"/>
      <c r="O8" s="2425"/>
      <c r="P8" s="2426"/>
      <c r="Q8" s="2426"/>
      <c r="R8" s="2426"/>
      <c r="S8" s="2426"/>
      <c r="T8" s="2426"/>
      <c r="U8" s="2427"/>
      <c r="V8" s="2428" t="s">
        <v>1138</v>
      </c>
    </row>
    <row r="9" spans="1:22">
      <c r="A9" s="2421"/>
      <c r="B9" s="2422"/>
      <c r="C9" s="2129"/>
      <c r="D9" s="2130"/>
      <c r="E9" s="2423"/>
      <c r="F9" s="2423"/>
      <c r="G9" s="2423"/>
      <c r="H9" s="2424"/>
      <c r="I9" s="2423"/>
      <c r="J9" s="2424"/>
      <c r="K9" s="2424"/>
      <c r="L9" s="2424"/>
      <c r="M9" s="2423"/>
      <c r="N9" s="2424"/>
      <c r="O9" s="2425"/>
      <c r="P9" s="2426"/>
      <c r="Q9" s="2426"/>
      <c r="R9" s="2426"/>
      <c r="S9" s="2426"/>
      <c r="T9" s="2426"/>
      <c r="U9" s="2427"/>
      <c r="V9" s="2428" t="s">
        <v>1138</v>
      </c>
    </row>
    <row r="10" spans="1:22">
      <c r="A10" s="2421"/>
      <c r="B10" s="2422"/>
      <c r="C10" s="2129"/>
      <c r="D10" s="2130"/>
      <c r="E10" s="2423"/>
      <c r="F10" s="2423"/>
      <c r="G10" s="2423"/>
      <c r="H10" s="2424"/>
      <c r="I10" s="2423"/>
      <c r="J10" s="2424"/>
      <c r="K10" s="2424"/>
      <c r="L10" s="2424"/>
      <c r="M10" s="2423"/>
      <c r="N10" s="2424"/>
      <c r="O10" s="2425"/>
      <c r="P10" s="2426"/>
      <c r="Q10" s="2426"/>
      <c r="R10" s="2426"/>
      <c r="S10" s="2426"/>
      <c r="T10" s="2426"/>
      <c r="U10" s="2427"/>
      <c r="V10" s="2428" t="s">
        <v>1138</v>
      </c>
    </row>
    <row r="11" spans="1:22">
      <c r="A11" s="2421"/>
      <c r="B11" s="2422"/>
      <c r="C11" s="2129"/>
      <c r="D11" s="2130"/>
      <c r="E11" s="2423"/>
      <c r="F11" s="2423"/>
      <c r="G11" s="2423"/>
      <c r="H11" s="2424"/>
      <c r="I11" s="2423"/>
      <c r="J11" s="2424"/>
      <c r="K11" s="2424"/>
      <c r="L11" s="2424"/>
      <c r="M11" s="2423"/>
      <c r="N11" s="2424"/>
      <c r="O11" s="2425"/>
      <c r="P11" s="2426"/>
      <c r="Q11" s="2426"/>
      <c r="R11" s="2426"/>
      <c r="S11" s="2426"/>
      <c r="T11" s="2426"/>
      <c r="U11" s="2427"/>
      <c r="V11" s="2428" t="s">
        <v>1138</v>
      </c>
    </row>
    <row r="12" spans="1:22">
      <c r="A12" s="2421"/>
      <c r="B12" s="2422"/>
      <c r="C12" s="2129"/>
      <c r="D12" s="2130"/>
      <c r="E12" s="2423"/>
      <c r="F12" s="2423"/>
      <c r="G12" s="2423"/>
      <c r="H12" s="2424"/>
      <c r="I12" s="2423"/>
      <c r="J12" s="2424"/>
      <c r="K12" s="2424"/>
      <c r="L12" s="2424"/>
      <c r="M12" s="2423"/>
      <c r="N12" s="2424"/>
      <c r="O12" s="2425"/>
      <c r="P12" s="2426"/>
      <c r="Q12" s="2426"/>
      <c r="R12" s="2426"/>
      <c r="S12" s="2426"/>
      <c r="T12" s="2426"/>
      <c r="U12" s="2427"/>
      <c r="V12" s="2428" t="s">
        <v>1138</v>
      </c>
    </row>
    <row r="13" spans="1:22">
      <c r="A13" s="2421"/>
      <c r="B13" s="2422"/>
      <c r="C13" s="2129"/>
      <c r="D13" s="2130"/>
      <c r="E13" s="2423"/>
      <c r="F13" s="2423"/>
      <c r="G13" s="2423"/>
      <c r="H13" s="2424"/>
      <c r="I13" s="2423"/>
      <c r="J13" s="2424"/>
      <c r="K13" s="2424"/>
      <c r="L13" s="2424"/>
      <c r="M13" s="2423"/>
      <c r="N13" s="2424"/>
      <c r="O13" s="2425"/>
      <c r="P13" s="2426"/>
      <c r="Q13" s="2426"/>
      <c r="R13" s="2426"/>
      <c r="S13" s="2426"/>
      <c r="T13" s="2426"/>
      <c r="U13" s="2427"/>
      <c r="V13" s="2428" t="s">
        <v>1138</v>
      </c>
    </row>
    <row r="14" spans="1:22">
      <c r="A14" s="2421"/>
      <c r="B14" s="2422"/>
      <c r="C14" s="2129"/>
      <c r="D14" s="2130"/>
      <c r="E14" s="2423"/>
      <c r="F14" s="2423"/>
      <c r="G14" s="2423"/>
      <c r="H14" s="2424"/>
      <c r="I14" s="2423"/>
      <c r="J14" s="2424"/>
      <c r="K14" s="2424"/>
      <c r="L14" s="2424"/>
      <c r="M14" s="2423"/>
      <c r="N14" s="2424"/>
      <c r="O14" s="2425"/>
      <c r="P14" s="2426"/>
      <c r="Q14" s="2426"/>
      <c r="R14" s="2426"/>
      <c r="S14" s="2426"/>
      <c r="T14" s="2426"/>
      <c r="U14" s="2427"/>
      <c r="V14" s="2428" t="s">
        <v>1138</v>
      </c>
    </row>
    <row r="15" spans="1:22">
      <c r="A15" s="2421"/>
      <c r="B15" s="2422"/>
      <c r="C15" s="2129"/>
      <c r="D15" s="2130"/>
      <c r="E15" s="2423"/>
      <c r="F15" s="2423"/>
      <c r="G15" s="2423"/>
      <c r="H15" s="2424"/>
      <c r="I15" s="2423"/>
      <c r="J15" s="2424"/>
      <c r="K15" s="2424"/>
      <c r="L15" s="2424"/>
      <c r="M15" s="2423"/>
      <c r="N15" s="2424"/>
      <c r="O15" s="2425"/>
      <c r="P15" s="2426"/>
      <c r="Q15" s="2426"/>
      <c r="R15" s="2426"/>
      <c r="S15" s="2426"/>
      <c r="T15" s="2426"/>
      <c r="U15" s="2427"/>
      <c r="V15" s="2428" t="s">
        <v>1139</v>
      </c>
    </row>
    <row r="16" spans="1:22">
      <c r="A16" s="2421"/>
      <c r="B16" s="2422"/>
      <c r="C16" s="2129"/>
      <c r="D16" s="2130"/>
      <c r="E16" s="2423"/>
      <c r="F16" s="2423"/>
      <c r="G16" s="2423"/>
      <c r="H16" s="2424"/>
      <c r="I16" s="2423"/>
      <c r="J16" s="2424"/>
      <c r="K16" s="2424"/>
      <c r="L16" s="2424"/>
      <c r="M16" s="2423"/>
      <c r="N16" s="2424"/>
      <c r="O16" s="2425"/>
      <c r="P16" s="2426"/>
      <c r="Q16" s="2426"/>
      <c r="R16" s="2426"/>
      <c r="S16" s="2426"/>
      <c r="T16" s="2426"/>
      <c r="U16" s="2427"/>
      <c r="V16" s="2428" t="s">
        <v>1139</v>
      </c>
    </row>
    <row r="17" spans="1:22">
      <c r="A17" s="2421"/>
      <c r="B17" s="2422"/>
      <c r="C17" s="2129"/>
      <c r="D17" s="2130"/>
      <c r="E17" s="2423"/>
      <c r="F17" s="2423"/>
      <c r="G17" s="2423"/>
      <c r="H17" s="2424"/>
      <c r="I17" s="2423"/>
      <c r="J17" s="2424"/>
      <c r="K17" s="2424"/>
      <c r="L17" s="2424"/>
      <c r="M17" s="2423"/>
      <c r="N17" s="2424"/>
      <c r="O17" s="2425"/>
      <c r="P17" s="2426"/>
      <c r="Q17" s="2426"/>
      <c r="R17" s="2426"/>
      <c r="S17" s="2426"/>
      <c r="T17" s="2426"/>
      <c r="U17" s="2427"/>
      <c r="V17" s="2428" t="s">
        <v>1139</v>
      </c>
    </row>
    <row r="18" spans="1:22">
      <c r="A18" s="2421"/>
      <c r="B18" s="2422"/>
      <c r="C18" s="2129"/>
      <c r="D18" s="2130"/>
      <c r="E18" s="2423"/>
      <c r="F18" s="2423"/>
      <c r="G18" s="2423"/>
      <c r="H18" s="2424"/>
      <c r="I18" s="2423"/>
      <c r="J18" s="2424"/>
      <c r="K18" s="2424"/>
      <c r="L18" s="2424"/>
      <c r="M18" s="2423"/>
      <c r="N18" s="2424"/>
      <c r="O18" s="2425"/>
      <c r="P18" s="2426"/>
      <c r="Q18" s="2426"/>
      <c r="R18" s="2426"/>
      <c r="S18" s="2426"/>
      <c r="T18" s="2426"/>
      <c r="U18" s="2427"/>
      <c r="V18" s="2428" t="s">
        <v>1139</v>
      </c>
    </row>
    <row r="19" spans="1:22">
      <c r="A19" s="2421"/>
      <c r="B19" s="2422"/>
      <c r="C19" s="2129"/>
      <c r="D19" s="2130"/>
      <c r="E19" s="2423"/>
      <c r="F19" s="2423"/>
      <c r="G19" s="2423"/>
      <c r="H19" s="2424"/>
      <c r="I19" s="2423"/>
      <c r="J19" s="2424"/>
      <c r="K19" s="2424"/>
      <c r="L19" s="2424"/>
      <c r="M19" s="2423"/>
      <c r="N19" s="2424"/>
      <c r="O19" s="2425"/>
      <c r="P19" s="2426"/>
      <c r="Q19" s="2426"/>
      <c r="R19" s="2426"/>
      <c r="S19" s="2426"/>
      <c r="T19" s="2426"/>
      <c r="U19" s="2427"/>
      <c r="V19" s="2428" t="s">
        <v>1139</v>
      </c>
    </row>
    <row r="20" spans="1:22">
      <c r="A20" s="2421"/>
      <c r="B20" s="2422"/>
      <c r="C20" s="2129"/>
      <c r="D20" s="2130"/>
      <c r="E20" s="2423"/>
      <c r="F20" s="2423"/>
      <c r="G20" s="2423"/>
      <c r="H20" s="2424"/>
      <c r="I20" s="2423"/>
      <c r="J20" s="2424"/>
      <c r="K20" s="2424"/>
      <c r="L20" s="2424"/>
      <c r="M20" s="2423"/>
      <c r="N20" s="2424"/>
      <c r="O20" s="2425"/>
      <c r="P20" s="2426"/>
      <c r="Q20" s="2426"/>
      <c r="R20" s="2426"/>
      <c r="S20" s="2426"/>
      <c r="T20" s="2426"/>
      <c r="U20" s="2427"/>
      <c r="V20" s="2428" t="s">
        <v>1139</v>
      </c>
    </row>
    <row r="21" spans="1:22">
      <c r="A21" s="2421"/>
      <c r="B21" s="2422"/>
      <c r="C21" s="2129"/>
      <c r="D21" s="2130"/>
      <c r="E21" s="2423"/>
      <c r="F21" s="2423"/>
      <c r="G21" s="2423"/>
      <c r="H21" s="2424"/>
      <c r="I21" s="2423"/>
      <c r="J21" s="2424"/>
      <c r="K21" s="2424"/>
      <c r="L21" s="2424"/>
      <c r="M21" s="2423"/>
      <c r="N21" s="2424"/>
      <c r="O21" s="2425"/>
      <c r="P21" s="2426"/>
      <c r="Q21" s="2426"/>
      <c r="R21" s="2426"/>
      <c r="S21" s="2426"/>
      <c r="T21" s="2426"/>
      <c r="U21" s="2427"/>
      <c r="V21" s="2428" t="s">
        <v>1138</v>
      </c>
    </row>
    <row r="22" spans="1:22">
      <c r="A22" s="2421"/>
      <c r="B22" s="2422"/>
      <c r="C22" s="2129"/>
      <c r="D22" s="2130"/>
      <c r="E22" s="2423"/>
      <c r="F22" s="2423"/>
      <c r="G22" s="2423"/>
      <c r="H22" s="2424"/>
      <c r="I22" s="2423"/>
      <c r="J22" s="2424"/>
      <c r="K22" s="2424"/>
      <c r="L22" s="2424"/>
      <c r="M22" s="2423"/>
      <c r="N22" s="2424"/>
      <c r="O22" s="2425"/>
      <c r="P22" s="2426"/>
      <c r="Q22" s="2426"/>
      <c r="R22" s="2426"/>
      <c r="S22" s="2426"/>
      <c r="T22" s="2426"/>
      <c r="U22" s="2427"/>
      <c r="V22" s="2428" t="s">
        <v>1138</v>
      </c>
    </row>
    <row r="23" spans="1:22">
      <c r="A23" s="2421"/>
      <c r="B23" s="2422"/>
      <c r="C23" s="2129"/>
      <c r="D23" s="2130"/>
      <c r="E23" s="2423"/>
      <c r="F23" s="2423"/>
      <c r="G23" s="2423"/>
      <c r="H23" s="2424"/>
      <c r="I23" s="2423"/>
      <c r="J23" s="2424"/>
      <c r="K23" s="2424"/>
      <c r="L23" s="2424"/>
      <c r="M23" s="2423"/>
      <c r="N23" s="2424"/>
      <c r="O23" s="2425"/>
      <c r="P23" s="2426"/>
      <c r="Q23" s="2426"/>
      <c r="R23" s="2426"/>
      <c r="S23" s="2426"/>
      <c r="T23" s="2426"/>
      <c r="U23" s="2427"/>
      <c r="V23" s="2428" t="s">
        <v>1138</v>
      </c>
    </row>
    <row r="24" spans="1:22">
      <c r="A24" s="2421"/>
      <c r="B24" s="2422"/>
      <c r="C24" s="2129"/>
      <c r="D24" s="2130"/>
      <c r="E24" s="2423"/>
      <c r="F24" s="2423"/>
      <c r="G24" s="2423"/>
      <c r="H24" s="2424"/>
      <c r="I24" s="2423"/>
      <c r="J24" s="2424"/>
      <c r="K24" s="2424"/>
      <c r="L24" s="2424"/>
      <c r="M24" s="2423"/>
      <c r="N24" s="2424"/>
      <c r="O24" s="2425"/>
      <c r="P24" s="2426"/>
      <c r="Q24" s="2426"/>
      <c r="R24" s="2426"/>
      <c r="S24" s="2426"/>
      <c r="T24" s="2426"/>
      <c r="U24" s="2427"/>
      <c r="V24" s="2428" t="s">
        <v>1138</v>
      </c>
    </row>
    <row r="25" spans="1:22">
      <c r="A25" s="2421"/>
      <c r="B25" s="2422"/>
      <c r="C25" s="2129"/>
      <c r="D25" s="2130"/>
      <c r="E25" s="2423"/>
      <c r="F25" s="2423"/>
      <c r="G25" s="2423"/>
      <c r="H25" s="2424"/>
      <c r="I25" s="2423"/>
      <c r="J25" s="2424"/>
      <c r="K25" s="2424"/>
      <c r="L25" s="2424"/>
      <c r="M25" s="2423"/>
      <c r="N25" s="2424"/>
      <c r="O25" s="2425"/>
      <c r="P25" s="2426"/>
      <c r="Q25" s="2426"/>
      <c r="R25" s="2426"/>
      <c r="S25" s="2426"/>
      <c r="T25" s="2426"/>
      <c r="U25" s="2427"/>
      <c r="V25" s="2428" t="s">
        <v>1139</v>
      </c>
    </row>
    <row r="26" spans="1:22">
      <c r="A26" s="2421"/>
      <c r="B26" s="2422"/>
      <c r="C26" s="2129"/>
      <c r="D26" s="2130"/>
      <c r="E26" s="2423"/>
      <c r="F26" s="2423"/>
      <c r="G26" s="2423"/>
      <c r="H26" s="2424"/>
      <c r="I26" s="2423"/>
      <c r="J26" s="2424"/>
      <c r="K26" s="2424"/>
      <c r="L26" s="2424"/>
      <c r="M26" s="2423"/>
      <c r="N26" s="2424"/>
      <c r="O26" s="2425"/>
      <c r="P26" s="2426"/>
      <c r="Q26" s="2426"/>
      <c r="R26" s="2426"/>
      <c r="S26" s="2426"/>
      <c r="T26" s="2426"/>
      <c r="U26" s="2427"/>
      <c r="V26" s="2428" t="s">
        <v>1139</v>
      </c>
    </row>
    <row r="27" spans="1:22">
      <c r="A27" s="2421"/>
      <c r="B27" s="2422"/>
      <c r="C27" s="2129"/>
      <c r="D27" s="2130"/>
      <c r="E27" s="2423"/>
      <c r="F27" s="2423"/>
      <c r="G27" s="2423"/>
      <c r="H27" s="2424"/>
      <c r="I27" s="2423"/>
      <c r="J27" s="2424"/>
      <c r="K27" s="2424"/>
      <c r="L27" s="2424"/>
      <c r="M27" s="2423"/>
      <c r="N27" s="2424"/>
      <c r="O27" s="2425"/>
      <c r="P27" s="2426"/>
      <c r="Q27" s="2426"/>
      <c r="R27" s="2426"/>
      <c r="S27" s="2426"/>
      <c r="T27" s="2426"/>
      <c r="U27" s="2427"/>
      <c r="V27" s="2428" t="s">
        <v>1139</v>
      </c>
    </row>
    <row r="28" spans="1:22">
      <c r="A28" s="2421"/>
      <c r="B28" s="2422"/>
      <c r="C28" s="2129"/>
      <c r="D28" s="2130"/>
      <c r="E28" s="2423"/>
      <c r="F28" s="2423"/>
      <c r="G28" s="2423"/>
      <c r="H28" s="2424"/>
      <c r="I28" s="2423"/>
      <c r="J28" s="2424"/>
      <c r="K28" s="2424"/>
      <c r="L28" s="2424"/>
      <c r="M28" s="2423"/>
      <c r="N28" s="2424"/>
      <c r="O28" s="2425"/>
      <c r="P28" s="2426"/>
      <c r="Q28" s="2426"/>
      <c r="R28" s="2426"/>
      <c r="S28" s="2426"/>
      <c r="T28" s="2426"/>
      <c r="U28" s="2427"/>
      <c r="V28" s="2428" t="s">
        <v>1139</v>
      </c>
    </row>
    <row r="29" spans="1:22">
      <c r="A29" s="2421"/>
      <c r="B29" s="2422"/>
      <c r="C29" s="2129"/>
      <c r="D29" s="2130"/>
      <c r="E29" s="2423"/>
      <c r="F29" s="2423"/>
      <c r="G29" s="2423"/>
      <c r="H29" s="2424"/>
      <c r="I29" s="2423"/>
      <c r="J29" s="2424"/>
      <c r="K29" s="2424"/>
      <c r="L29" s="2424"/>
      <c r="M29" s="2423"/>
      <c r="N29" s="2424"/>
      <c r="O29" s="2425"/>
      <c r="P29" s="2426"/>
      <c r="Q29" s="2426"/>
      <c r="R29" s="2426"/>
      <c r="S29" s="2426"/>
      <c r="T29" s="2426"/>
      <c r="U29" s="2427"/>
      <c r="V29" s="2428" t="s">
        <v>1139</v>
      </c>
    </row>
    <row r="30" spans="1:22">
      <c r="A30" s="2421"/>
      <c r="B30" s="2422"/>
      <c r="C30" s="2129"/>
      <c r="D30" s="2130"/>
      <c r="E30" s="2423"/>
      <c r="F30" s="2423"/>
      <c r="G30" s="2423"/>
      <c r="H30" s="2424"/>
      <c r="I30" s="2423"/>
      <c r="J30" s="2424"/>
      <c r="K30" s="2424"/>
      <c r="L30" s="2424"/>
      <c r="M30" s="2423"/>
      <c r="N30" s="2424"/>
      <c r="O30" s="2425"/>
      <c r="P30" s="2426"/>
      <c r="Q30" s="2426"/>
      <c r="R30" s="2426"/>
      <c r="S30" s="2426"/>
      <c r="T30" s="2426"/>
      <c r="U30" s="2427"/>
      <c r="V30" s="2428" t="s">
        <v>1136</v>
      </c>
    </row>
    <row r="31" spans="1:22">
      <c r="A31" s="2421"/>
      <c r="B31" s="2422"/>
      <c r="C31" s="2129"/>
      <c r="D31" s="2130"/>
      <c r="E31" s="2423"/>
      <c r="F31" s="2423"/>
      <c r="G31" s="2423"/>
      <c r="H31" s="2424"/>
      <c r="I31" s="2423"/>
      <c r="J31" s="2424"/>
      <c r="K31" s="2424"/>
      <c r="L31" s="2424"/>
      <c r="M31" s="2423"/>
      <c r="N31" s="2424"/>
      <c r="O31" s="2425"/>
      <c r="P31" s="2426"/>
      <c r="Q31" s="2426"/>
      <c r="R31" s="2426"/>
      <c r="S31" s="2426"/>
      <c r="T31" s="2426"/>
      <c r="U31" s="2427"/>
      <c r="V31" s="2428" t="s">
        <v>1136</v>
      </c>
    </row>
    <row r="32" spans="1:22">
      <c r="A32" s="2421"/>
      <c r="B32" s="2422"/>
      <c r="C32" s="2129"/>
      <c r="D32" s="2130"/>
      <c r="E32" s="2423"/>
      <c r="F32" s="2423"/>
      <c r="G32" s="2423"/>
      <c r="H32" s="2424"/>
      <c r="I32" s="2423"/>
      <c r="J32" s="2424"/>
      <c r="K32" s="2424"/>
      <c r="L32" s="2424"/>
      <c r="M32" s="2423"/>
      <c r="N32" s="2424"/>
      <c r="O32" s="2425"/>
      <c r="P32" s="2426"/>
      <c r="Q32" s="2426"/>
      <c r="R32" s="2426"/>
      <c r="S32" s="2426"/>
      <c r="T32" s="2426"/>
      <c r="U32" s="2427"/>
      <c r="V32" s="2428" t="s">
        <v>1138</v>
      </c>
    </row>
    <row r="33" spans="1:22">
      <c r="A33" s="2421"/>
      <c r="B33" s="2422"/>
      <c r="C33" s="2129"/>
      <c r="D33" s="2130"/>
      <c r="E33" s="2423"/>
      <c r="F33" s="2423"/>
      <c r="G33" s="2423"/>
      <c r="H33" s="2424"/>
      <c r="I33" s="2423"/>
      <c r="J33" s="2424"/>
      <c r="K33" s="2424"/>
      <c r="L33" s="2424"/>
      <c r="M33" s="2423"/>
      <c r="N33" s="2424"/>
      <c r="O33" s="2425"/>
      <c r="P33" s="2426"/>
      <c r="Q33" s="2426"/>
      <c r="R33" s="2426"/>
      <c r="S33" s="2426"/>
      <c r="T33" s="2426"/>
      <c r="U33" s="2427"/>
      <c r="V33" s="2428" t="s">
        <v>1138</v>
      </c>
    </row>
    <row r="34" spans="1:22">
      <c r="A34" s="2421"/>
      <c r="B34" s="2422"/>
      <c r="C34" s="2129"/>
      <c r="D34" s="2130"/>
      <c r="E34" s="2423"/>
      <c r="F34" s="2423"/>
      <c r="G34" s="2423"/>
      <c r="H34" s="2424"/>
      <c r="I34" s="2423"/>
      <c r="J34" s="2424"/>
      <c r="K34" s="2424"/>
      <c r="L34" s="2424"/>
      <c r="M34" s="2423"/>
      <c r="N34" s="2424"/>
      <c r="O34" s="2425"/>
      <c r="P34" s="2426"/>
      <c r="Q34" s="2426"/>
      <c r="R34" s="2426"/>
      <c r="S34" s="2426"/>
      <c r="T34" s="2426"/>
      <c r="U34" s="2427"/>
      <c r="V34" s="2428" t="s">
        <v>1138</v>
      </c>
    </row>
    <row r="35" spans="1:22">
      <c r="A35" s="2421"/>
      <c r="B35" s="2422"/>
      <c r="C35" s="2129"/>
      <c r="D35" s="2130"/>
      <c r="E35" s="2423"/>
      <c r="F35" s="2423"/>
      <c r="G35" s="2423"/>
      <c r="H35" s="2424"/>
      <c r="I35" s="2423"/>
      <c r="J35" s="2424"/>
      <c r="K35" s="2424"/>
      <c r="L35" s="2424"/>
      <c r="M35" s="2423"/>
      <c r="N35" s="2424"/>
      <c r="O35" s="2425"/>
      <c r="P35" s="2426"/>
      <c r="Q35" s="2426"/>
      <c r="R35" s="2426"/>
      <c r="S35" s="2426"/>
      <c r="T35" s="2426"/>
      <c r="U35" s="2427"/>
      <c r="V35" s="2428" t="s">
        <v>1138</v>
      </c>
    </row>
    <row r="36" spans="1:22">
      <c r="A36" s="2421"/>
      <c r="B36" s="2422"/>
      <c r="C36" s="2129"/>
      <c r="D36" s="2130"/>
      <c r="E36" s="2423"/>
      <c r="F36" s="2423"/>
      <c r="G36" s="2423"/>
      <c r="H36" s="2424"/>
      <c r="I36" s="2423"/>
      <c r="J36" s="2424"/>
      <c r="K36" s="2424"/>
      <c r="L36" s="2424"/>
      <c r="M36" s="2423"/>
      <c r="N36" s="2424"/>
      <c r="O36" s="2425"/>
      <c r="P36" s="2426"/>
      <c r="Q36" s="2426"/>
      <c r="R36" s="2426"/>
      <c r="S36" s="2426"/>
      <c r="T36" s="2426"/>
      <c r="U36" s="2427"/>
      <c r="V36" s="2428" t="s">
        <v>1138</v>
      </c>
    </row>
    <row r="37" spans="1:22">
      <c r="A37" s="2421"/>
      <c r="B37" s="2422"/>
      <c r="C37" s="2129"/>
      <c r="D37" s="2130"/>
      <c r="E37" s="2423"/>
      <c r="F37" s="2423"/>
      <c r="G37" s="2423"/>
      <c r="H37" s="2424"/>
      <c r="I37" s="2423"/>
      <c r="J37" s="2424"/>
      <c r="K37" s="2424"/>
      <c r="L37" s="2424"/>
      <c r="M37" s="2423"/>
      <c r="N37" s="2424"/>
      <c r="O37" s="2425"/>
      <c r="P37" s="2426"/>
      <c r="Q37" s="2426"/>
      <c r="R37" s="2426"/>
      <c r="S37" s="2426"/>
      <c r="T37" s="2426"/>
      <c r="U37" s="2427"/>
      <c r="V37" s="2428" t="s">
        <v>1138</v>
      </c>
    </row>
    <row r="38" spans="1:22">
      <c r="A38" s="2421"/>
      <c r="B38" s="2422"/>
      <c r="C38" s="2129"/>
      <c r="D38" s="2130"/>
      <c r="E38" s="2423"/>
      <c r="F38" s="2423"/>
      <c r="G38" s="2423"/>
      <c r="H38" s="2424"/>
      <c r="I38" s="2423"/>
      <c r="J38" s="2424"/>
      <c r="K38" s="2424"/>
      <c r="L38" s="2424"/>
      <c r="M38" s="2423"/>
      <c r="N38" s="2424"/>
      <c r="O38" s="2425"/>
      <c r="P38" s="2426"/>
      <c r="Q38" s="2426"/>
      <c r="R38" s="2426"/>
      <c r="S38" s="2426"/>
      <c r="T38" s="2426"/>
      <c r="U38" s="2427"/>
      <c r="V38" s="2428" t="s">
        <v>1136</v>
      </c>
    </row>
    <row r="39" spans="1:22">
      <c r="A39" s="2421"/>
      <c r="B39" s="2422"/>
      <c r="C39" s="2129"/>
      <c r="D39" s="2130"/>
      <c r="E39" s="2423"/>
      <c r="F39" s="2423"/>
      <c r="G39" s="2423"/>
      <c r="H39" s="2424"/>
      <c r="I39" s="2423"/>
      <c r="J39" s="2424"/>
      <c r="K39" s="2424"/>
      <c r="L39" s="2424"/>
      <c r="M39" s="2423"/>
      <c r="N39" s="2424"/>
      <c r="O39" s="2425"/>
      <c r="P39" s="2426"/>
      <c r="Q39" s="2426"/>
      <c r="R39" s="2426"/>
      <c r="S39" s="2426"/>
      <c r="T39" s="2426"/>
      <c r="U39" s="2427"/>
      <c r="V39" s="2428" t="s">
        <v>1136</v>
      </c>
    </row>
    <row r="40" spans="1:22">
      <c r="A40" s="2421"/>
      <c r="B40" s="2422"/>
      <c r="C40" s="2129"/>
      <c r="D40" s="2130"/>
      <c r="E40" s="2423"/>
      <c r="F40" s="2423"/>
      <c r="G40" s="2423"/>
      <c r="H40" s="2424"/>
      <c r="I40" s="2423"/>
      <c r="J40" s="2424"/>
      <c r="K40" s="2424"/>
      <c r="L40" s="2424"/>
      <c r="M40" s="2423"/>
      <c r="N40" s="2424"/>
      <c r="O40" s="2425"/>
      <c r="P40" s="2426"/>
      <c r="Q40" s="2426"/>
      <c r="R40" s="2426"/>
      <c r="S40" s="2426"/>
      <c r="T40" s="2426"/>
      <c r="U40" s="2427"/>
      <c r="V40" s="2428" t="s">
        <v>1138</v>
      </c>
    </row>
    <row r="41" spans="1:22">
      <c r="A41" s="2421"/>
      <c r="B41" s="2422"/>
      <c r="C41" s="2129"/>
      <c r="D41" s="2130"/>
      <c r="E41" s="2423"/>
      <c r="F41" s="2423"/>
      <c r="G41" s="2423"/>
      <c r="H41" s="2424"/>
      <c r="I41" s="2423"/>
      <c r="J41" s="2424"/>
      <c r="K41" s="2424"/>
      <c r="L41" s="2424"/>
      <c r="M41" s="2423"/>
      <c r="N41" s="2424"/>
      <c r="O41" s="2425"/>
      <c r="P41" s="2426"/>
      <c r="Q41" s="2426"/>
      <c r="R41" s="2426"/>
      <c r="S41" s="2426"/>
      <c r="T41" s="2426"/>
      <c r="U41" s="2427"/>
      <c r="V41" s="2428" t="s">
        <v>1138</v>
      </c>
    </row>
    <row r="42" spans="1:22">
      <c r="A42" s="2421"/>
      <c r="B42" s="2422"/>
      <c r="C42" s="2129"/>
      <c r="D42" s="2130"/>
      <c r="E42" s="2423"/>
      <c r="F42" s="2423"/>
      <c r="G42" s="2423"/>
      <c r="H42" s="2424"/>
      <c r="I42" s="2423"/>
      <c r="J42" s="2424"/>
      <c r="K42" s="2424"/>
      <c r="L42" s="2424"/>
      <c r="M42" s="2423"/>
      <c r="N42" s="2424"/>
      <c r="O42" s="2425"/>
      <c r="P42" s="2426"/>
      <c r="Q42" s="2426"/>
      <c r="R42" s="2426"/>
      <c r="S42" s="2426"/>
      <c r="T42" s="2426"/>
      <c r="U42" s="2427"/>
      <c r="V42" s="2428" t="s">
        <v>1136</v>
      </c>
    </row>
    <row r="43" spans="1:22">
      <c r="A43" s="2421"/>
      <c r="B43" s="2422"/>
      <c r="C43" s="2129"/>
      <c r="D43" s="2130"/>
      <c r="E43" s="2423"/>
      <c r="F43" s="2423"/>
      <c r="G43" s="2423"/>
      <c r="H43" s="2424"/>
      <c r="I43" s="2423"/>
      <c r="J43" s="2424"/>
      <c r="K43" s="2424"/>
      <c r="L43" s="2424"/>
      <c r="M43" s="2423"/>
      <c r="N43" s="2424"/>
      <c r="O43" s="2425"/>
      <c r="P43" s="2426"/>
      <c r="Q43" s="2426"/>
      <c r="R43" s="2426"/>
      <c r="S43" s="2426"/>
      <c r="T43" s="2426"/>
      <c r="U43" s="2427"/>
      <c r="V43" s="2428" t="s">
        <v>1136</v>
      </c>
    </row>
    <row r="44" spans="1:22">
      <c r="A44" s="2421"/>
      <c r="B44" s="2422"/>
      <c r="C44" s="2129"/>
      <c r="D44" s="2130"/>
      <c r="E44" s="2423"/>
      <c r="F44" s="2423"/>
      <c r="G44" s="2423"/>
      <c r="H44" s="2424"/>
      <c r="I44" s="2423"/>
      <c r="J44" s="2424"/>
      <c r="K44" s="2424"/>
      <c r="L44" s="2424"/>
      <c r="M44" s="2423"/>
      <c r="N44" s="2424"/>
      <c r="O44" s="2425"/>
      <c r="P44" s="2426"/>
      <c r="Q44" s="2426"/>
      <c r="R44" s="2426"/>
      <c r="S44" s="2426"/>
      <c r="T44" s="2426"/>
      <c r="U44" s="2427"/>
      <c r="V44" s="2428" t="s">
        <v>1136</v>
      </c>
    </row>
    <row r="45" spans="1:22">
      <c r="A45" s="2421"/>
      <c r="B45" s="2422"/>
      <c r="C45" s="2129"/>
      <c r="D45" s="2130"/>
      <c r="E45" s="2423"/>
      <c r="F45" s="2423"/>
      <c r="G45" s="2423"/>
      <c r="H45" s="2424"/>
      <c r="I45" s="2423"/>
      <c r="J45" s="2424"/>
      <c r="K45" s="2424"/>
      <c r="L45" s="2424"/>
      <c r="M45" s="2423"/>
      <c r="N45" s="2424"/>
      <c r="O45" s="2425"/>
      <c r="P45" s="2426"/>
      <c r="Q45" s="2426"/>
      <c r="R45" s="2426"/>
      <c r="S45" s="2426"/>
      <c r="T45" s="2426"/>
      <c r="U45" s="2427"/>
      <c r="V45" s="2428" t="s">
        <v>1136</v>
      </c>
    </row>
    <row r="46" spans="1:22">
      <c r="A46" s="2421"/>
      <c r="B46" s="2422"/>
      <c r="C46" s="2129"/>
      <c r="D46" s="2130"/>
      <c r="E46" s="2423"/>
      <c r="F46" s="2423"/>
      <c r="G46" s="2423"/>
      <c r="H46" s="2424"/>
      <c r="I46" s="2423"/>
      <c r="J46" s="2424"/>
      <c r="K46" s="2424"/>
      <c r="L46" s="2424"/>
      <c r="M46" s="2423"/>
      <c r="N46" s="2424"/>
      <c r="O46" s="2425"/>
      <c r="P46" s="2426"/>
      <c r="Q46" s="2426"/>
      <c r="R46" s="2426"/>
      <c r="S46" s="2426"/>
      <c r="T46" s="2426"/>
      <c r="U46" s="2427"/>
      <c r="V46" s="2428" t="s">
        <v>1138</v>
      </c>
    </row>
    <row r="47" spans="1:22">
      <c r="A47" s="2421"/>
      <c r="B47" s="2422"/>
      <c r="C47" s="2129"/>
      <c r="D47" s="2130"/>
      <c r="E47" s="2423"/>
      <c r="F47" s="2423"/>
      <c r="G47" s="2423"/>
      <c r="H47" s="2424"/>
      <c r="I47" s="2423"/>
      <c r="J47" s="2424"/>
      <c r="K47" s="2424"/>
      <c r="L47" s="2424"/>
      <c r="M47" s="2423"/>
      <c r="N47" s="2424"/>
      <c r="O47" s="2425"/>
      <c r="P47" s="2426"/>
      <c r="Q47" s="2426"/>
      <c r="R47" s="2426"/>
      <c r="S47" s="2426"/>
      <c r="T47" s="2426"/>
      <c r="U47" s="2427"/>
      <c r="V47" s="2428" t="s">
        <v>1138</v>
      </c>
    </row>
    <row r="48" spans="1:22">
      <c r="A48" s="2421"/>
      <c r="B48" s="2422"/>
      <c r="C48" s="2129"/>
      <c r="D48" s="2130"/>
      <c r="E48" s="2423"/>
      <c r="F48" s="2423"/>
      <c r="G48" s="2423"/>
      <c r="H48" s="2424"/>
      <c r="I48" s="2423"/>
      <c r="J48" s="2424"/>
      <c r="K48" s="2424"/>
      <c r="L48" s="2424"/>
      <c r="M48" s="2423"/>
      <c r="N48" s="2424"/>
      <c r="O48" s="2425"/>
      <c r="P48" s="2426"/>
      <c r="Q48" s="2426"/>
      <c r="R48" s="2426"/>
      <c r="S48" s="2426"/>
      <c r="T48" s="2426"/>
      <c r="U48" s="2427"/>
      <c r="V48" s="2428" t="s">
        <v>1138</v>
      </c>
    </row>
    <row r="49" spans="1:22">
      <c r="A49" s="2421"/>
      <c r="B49" s="2422"/>
      <c r="C49" s="2129"/>
      <c r="D49" s="2130"/>
      <c r="E49" s="2423"/>
      <c r="F49" s="2423"/>
      <c r="G49" s="2423"/>
      <c r="H49" s="2424"/>
      <c r="I49" s="2423"/>
      <c r="J49" s="2424"/>
      <c r="K49" s="2424"/>
      <c r="L49" s="2424"/>
      <c r="M49" s="2423"/>
      <c r="N49" s="2424"/>
      <c r="O49" s="2425"/>
      <c r="P49" s="2426"/>
      <c r="Q49" s="2426"/>
      <c r="R49" s="2426"/>
      <c r="S49" s="2426"/>
      <c r="T49" s="2426"/>
      <c r="U49" s="2427"/>
      <c r="V49" s="2428" t="s">
        <v>1138</v>
      </c>
    </row>
    <row r="50" spans="1:22">
      <c r="A50" s="2421"/>
      <c r="B50" s="2422"/>
      <c r="C50" s="2129"/>
      <c r="D50" s="2130"/>
      <c r="E50" s="2423"/>
      <c r="F50" s="2423"/>
      <c r="G50" s="2423"/>
      <c r="H50" s="2424"/>
      <c r="I50" s="2423"/>
      <c r="J50" s="2424"/>
      <c r="K50" s="2424"/>
      <c r="L50" s="2424"/>
      <c r="M50" s="2423"/>
      <c r="N50" s="2424"/>
      <c r="O50" s="2425"/>
      <c r="P50" s="2426"/>
      <c r="Q50" s="2426"/>
      <c r="R50" s="2426"/>
      <c r="S50" s="2426"/>
      <c r="T50" s="2426"/>
      <c r="U50" s="2427"/>
      <c r="V50" s="2428" t="s">
        <v>1138</v>
      </c>
    </row>
    <row r="51" spans="1:22">
      <c r="A51" s="2421"/>
      <c r="B51" s="2422"/>
      <c r="C51" s="2129"/>
      <c r="D51" s="2130"/>
      <c r="E51" s="2423"/>
      <c r="F51" s="2423"/>
      <c r="G51" s="2423"/>
      <c r="H51" s="2424"/>
      <c r="I51" s="2423"/>
      <c r="J51" s="2424"/>
      <c r="K51" s="2424"/>
      <c r="L51" s="2424"/>
      <c r="M51" s="2423"/>
      <c r="N51" s="2424"/>
      <c r="O51" s="2425"/>
      <c r="P51" s="2426"/>
      <c r="Q51" s="2426"/>
      <c r="R51" s="2426"/>
      <c r="S51" s="2426"/>
      <c r="T51" s="2426"/>
      <c r="U51" s="2427"/>
      <c r="V51" s="2428" t="s">
        <v>1138</v>
      </c>
    </row>
    <row r="52" spans="1:22">
      <c r="A52" s="2421"/>
      <c r="B52" s="2422"/>
      <c r="C52" s="2129"/>
      <c r="D52" s="2130"/>
      <c r="E52" s="2423"/>
      <c r="F52" s="2423"/>
      <c r="G52" s="2423"/>
      <c r="H52" s="2424"/>
      <c r="I52" s="2423"/>
      <c r="J52" s="2424"/>
      <c r="K52" s="2424"/>
      <c r="L52" s="2424"/>
      <c r="M52" s="2423"/>
      <c r="N52" s="2424"/>
      <c r="O52" s="2425"/>
      <c r="P52" s="2426"/>
      <c r="Q52" s="2426"/>
      <c r="R52" s="2426"/>
      <c r="S52" s="2426"/>
      <c r="T52" s="2426"/>
      <c r="U52" s="2427"/>
      <c r="V52" s="2428" t="s">
        <v>1138</v>
      </c>
    </row>
    <row r="53" spans="1:22">
      <c r="A53" s="2421"/>
      <c r="B53" s="2422"/>
      <c r="C53" s="2129"/>
      <c r="D53" s="2130"/>
      <c r="E53" s="2423"/>
      <c r="F53" s="2423"/>
      <c r="G53" s="2423"/>
      <c r="H53" s="2424"/>
      <c r="I53" s="2423"/>
      <c r="J53" s="2424"/>
      <c r="K53" s="2424"/>
      <c r="L53" s="2424"/>
      <c r="M53" s="2423"/>
      <c r="N53" s="2424"/>
      <c r="O53" s="2425"/>
      <c r="P53" s="2426"/>
      <c r="Q53" s="2426"/>
      <c r="R53" s="2426"/>
      <c r="S53" s="2426"/>
      <c r="T53" s="2426"/>
      <c r="U53" s="2427"/>
      <c r="V53" s="2428" t="s">
        <v>1138</v>
      </c>
    </row>
    <row r="59" spans="1:22">
      <c r="A59" t="s">
        <v>1140</v>
      </c>
      <c r="C59" s="314">
        <f>SUM(C3:C58)</f>
        <v>15976</v>
      </c>
      <c r="E59">
        <f>IFERROR(SUMPRODUCT(C3:C58,E3:E58)/SUMIF(E3:E58,"&gt;0",C3:C58),0)</f>
        <v>9.3293665713570348</v>
      </c>
      <c r="F59">
        <f>IFERROR(SUMPRODUCT(C3:C58,F3:F58)/SUMIF(F3:F58,"&gt;0",C3:C58),0)</f>
        <v>6.0146569854782177</v>
      </c>
      <c r="G59">
        <f>IFERROR(SUMPRODUCT(C3:C58,G3:G58)/SUMIF(G3:G58,"&gt;0",C3:C58),0)</f>
        <v>3.0151890335503255</v>
      </c>
      <c r="H59">
        <f>IFERROR(SUMPRODUCT(C3:C58,H3:H58)/SUMIF(H3:H58,"&gt;0",C3:C58),0)</f>
        <v>2.9095200966449677</v>
      </c>
      <c r="I59">
        <f>IFERROR(SUMPRODUCT(C3:C58,I3:I58)/SUMIF(I3:I58,"&gt;0",C3:C58),0)</f>
        <v>40.052040560841256</v>
      </c>
      <c r="J59">
        <f>IFERROR(SUMPRODUCT(C3:C58,J3:J58)/SUMIF(J3:J58,"&gt;0",C3:C58),0)</f>
        <v>38.638814486730091</v>
      </c>
      <c r="K59">
        <f>IFERROR(SUMPRODUCT(C3:C58,K3:K58)/SUMIF(K3:K58,"&gt;0",C3:C58),0)</f>
        <v>50.918113420130197</v>
      </c>
      <c r="L59">
        <f>IFERROR(SUMPRODUCT(C3:C58,L3:L58)/SUMIF(L3:L58,"&gt;0",C3:C58),0)</f>
        <v>49.122298845267906</v>
      </c>
      <c r="M59">
        <f>IFERROR(SUMPRODUCT(C3:C58,M3:M58)/SUMIF(M3:M58,"&gt;0",C3:C58),0)</f>
        <v>0.75606910365548319</v>
      </c>
      <c r="N59">
        <f>IFERROR(SUMPRODUCT(C3:C58,N3:N58)/SUMIF(N3:N58,"&gt;0",C3:C58),0)</f>
        <v>0.72905963345017522</v>
      </c>
      <c r="O59">
        <f>IFERROR(SUMPRODUCT(C3:C58,O3:O58)/SUMIF(O3:O58,"&gt;0",C3:C58),0)</f>
        <v>7087.8650475713566</v>
      </c>
      <c r="P59">
        <f>IFERROR(SUMPRODUCT(C3:C58,P3:P58)/SUMIF(P3:P58,"&gt;0",C3:C58),0)</f>
        <v>7541.4102311182614</v>
      </c>
      <c r="Q59">
        <f>IFERROR(SUMPRODUCT(C3:C58,Q3:Q58)/SUMIF(Q3:Q58,"&gt;0",C3:C58),0)</f>
        <v>6837.8634388582877</v>
      </c>
      <c r="R59">
        <f>IFERROR(SUMPRODUCT(C3:C58,R3:R58)/SUMIF(R3:R58,"&gt;0",C3:C58),0)</f>
        <v>7791.2840252123842</v>
      </c>
      <c r="S59">
        <f>IFERROR(SUMPRODUCT(C3:C58,S3:S58)/SUMIF(S3:S58,"&gt;0",C3:C58),0)</f>
        <v>6410.1986964505231</v>
      </c>
      <c r="T59">
        <f>IFERROR(SUMPRODUCT(C3:C58,T3:T58)/SUMIF(T3:T58,"&gt;0",C3:C58),0)</f>
        <v>6334.7845941393398</v>
      </c>
      <c r="U59">
        <f>IFERROR(SUMPRODUCT(C3:C58,U3:U58)/SUMIF(U3:U58,"&gt;0",C3:C58),0)</f>
        <v>6259.3704918281574</v>
      </c>
    </row>
  </sheetData>
  <mergeCells count="7">
    <mergeCell ref="V1:V2"/>
    <mergeCell ref="D1:D2"/>
    <mergeCell ref="G1:H1"/>
    <mergeCell ref="I1:J1"/>
    <mergeCell ref="K1:L1"/>
    <mergeCell ref="M1:N1"/>
    <mergeCell ref="O1:U1"/>
  </mergeCells>
  <pageMargins left="0.7" right="0.7" top="0.75" bottom="0.75" header="0.3" footer="0.3"/>
  <pageSetup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36"/>
  <sheetViews>
    <sheetView workbookViewId="0">
      <selection activeCell="A3" sqref="A3:XFD8"/>
    </sheetView>
  </sheetViews>
  <sheetFormatPr defaultRowHeight="14.4"/>
  <cols>
    <col min="1" max="1" width="17" customWidth="1"/>
    <col min="3" max="3" width="14.33203125" customWidth="1"/>
    <col min="4" max="4" width="17.6640625" customWidth="1"/>
  </cols>
  <sheetData>
    <row r="1" spans="1:30" ht="15" thickTop="1">
      <c r="A1" s="2121" t="s">
        <v>99</v>
      </c>
      <c r="B1" s="2122" t="s">
        <v>1117</v>
      </c>
      <c r="C1" s="2123" t="s">
        <v>1118</v>
      </c>
      <c r="D1" s="2957" t="s">
        <v>1119</v>
      </c>
      <c r="E1" s="2124" t="s">
        <v>197</v>
      </c>
      <c r="F1" s="2124" t="s">
        <v>1120</v>
      </c>
      <c r="G1" s="2959" t="s">
        <v>63</v>
      </c>
      <c r="H1" s="2960"/>
      <c r="I1" s="2959" t="s">
        <v>1121</v>
      </c>
      <c r="J1" s="2960"/>
      <c r="K1" s="2959" t="s">
        <v>178</v>
      </c>
      <c r="L1" s="2960"/>
      <c r="M1" s="2959" t="s">
        <v>62</v>
      </c>
      <c r="N1" s="2960"/>
      <c r="O1" s="2959" t="s">
        <v>1122</v>
      </c>
      <c r="P1" s="2961"/>
      <c r="Q1" s="2961"/>
      <c r="R1" s="2961"/>
      <c r="S1" s="2961"/>
      <c r="T1" s="2961"/>
      <c r="U1" s="2960"/>
      <c r="V1" s="2955" t="s">
        <v>1123</v>
      </c>
    </row>
    <row r="2" spans="1:30">
      <c r="A2" s="2125" t="s">
        <v>1124</v>
      </c>
      <c r="B2" s="2126" t="s">
        <v>1125</v>
      </c>
      <c r="C2" s="2127" t="s">
        <v>1126</v>
      </c>
      <c r="D2" s="2958"/>
      <c r="E2" s="2128" t="s">
        <v>1127</v>
      </c>
      <c r="F2" s="2128" t="s">
        <v>1128</v>
      </c>
      <c r="G2" s="2128" t="s">
        <v>1128</v>
      </c>
      <c r="H2" s="2128" t="s">
        <v>1127</v>
      </c>
      <c r="I2" s="2128" t="s">
        <v>1128</v>
      </c>
      <c r="J2" s="2128" t="s">
        <v>1127</v>
      </c>
      <c r="K2" s="2128" t="s">
        <v>1128</v>
      </c>
      <c r="L2" s="2128" t="s">
        <v>1127</v>
      </c>
      <c r="M2" s="2128" t="s">
        <v>1128</v>
      </c>
      <c r="N2" s="2128" t="s">
        <v>1127</v>
      </c>
      <c r="O2" s="2128" t="s">
        <v>1128</v>
      </c>
      <c r="P2" s="2128" t="s">
        <v>1129</v>
      </c>
      <c r="Q2" s="2128" t="s">
        <v>1127</v>
      </c>
      <c r="R2" s="2128" t="s">
        <v>1130</v>
      </c>
      <c r="S2" s="2128" t="s">
        <v>1131</v>
      </c>
      <c r="T2" s="2128" t="s">
        <v>1132</v>
      </c>
      <c r="U2" s="2128" t="s">
        <v>1133</v>
      </c>
      <c r="V2" s="2956"/>
    </row>
    <row r="3" spans="1:30">
      <c r="A3" s="2421">
        <v>46270</v>
      </c>
      <c r="B3" s="2422" t="s">
        <v>1141</v>
      </c>
      <c r="C3" s="2129">
        <v>5000</v>
      </c>
      <c r="D3" s="2130" t="s">
        <v>1142</v>
      </c>
      <c r="E3" s="2431">
        <v>9.3261600000000016</v>
      </c>
      <c r="F3" s="2431">
        <v>5.94</v>
      </c>
      <c r="G3" s="2431">
        <v>5.71</v>
      </c>
      <c r="H3" s="2424">
        <f t="shared" ref="H3:H8" si="0">G3*(100-E3)/(100-F3)</f>
        <v>5.5044399999999989</v>
      </c>
      <c r="I3" s="2431">
        <v>39.1</v>
      </c>
      <c r="J3" s="2424">
        <f t="shared" ref="J3:J8" si="1">I3*(100-E3)/(100-F3)</f>
        <v>37.692399999999999</v>
      </c>
      <c r="K3" s="2424">
        <f t="shared" ref="K3:K8" si="2">100-F3-G3-I3</f>
        <v>49.250000000000007</v>
      </c>
      <c r="L3" s="2424">
        <f t="shared" ref="L3:L8" si="3">K3*(100-E3)/(100-F3)</f>
        <v>47.477000000000004</v>
      </c>
      <c r="M3" s="2432">
        <v>1.72</v>
      </c>
      <c r="N3" s="2424">
        <f t="shared" ref="N3:N8" si="4">M3*(100-E3)/(100-F3)</f>
        <v>1.65808</v>
      </c>
      <c r="O3" s="2433">
        <v>6967</v>
      </c>
      <c r="P3" s="2429">
        <f t="shared" ref="P3:P8" si="5">O3*100/(100-F3)</f>
        <v>7406.974271741441</v>
      </c>
      <c r="Q3" s="2429">
        <f t="shared" ref="Q3:Q8" si="6">O3*(100-E3)/(100-F3)</f>
        <v>6716.1879999999992</v>
      </c>
      <c r="R3" s="2429">
        <f t="shared" ref="R3:R8" si="7">O3*100/(100-F3-G3)</f>
        <v>7885.6819468024896</v>
      </c>
      <c r="S3" s="2429">
        <f t="shared" ref="S3:S8" si="8">O3*(100-15)/(100-F3)</f>
        <v>6295.9281309802254</v>
      </c>
      <c r="T3" s="2429">
        <f t="shared" ref="T3:T8" si="9">O3*(100-16)/(100-F3)</f>
        <v>6221.8583882628109</v>
      </c>
      <c r="U3" s="2430">
        <f t="shared" ref="U3:U8" si="10">O3*(100-17)/(100-F3)</f>
        <v>6147.7886455453963</v>
      </c>
      <c r="V3" s="2428" t="s">
        <v>1143</v>
      </c>
      <c r="W3">
        <v>11.85</v>
      </c>
      <c r="X3">
        <v>10.311428571428571</v>
      </c>
      <c r="Y3">
        <v>5.0999999999999996</v>
      </c>
      <c r="Z3">
        <v>4.0644023323615164</v>
      </c>
      <c r="AA3">
        <v>1.65</v>
      </c>
      <c r="AB3">
        <v>1.4835276967930029</v>
      </c>
      <c r="AC3">
        <v>6877</v>
      </c>
      <c r="AD3">
        <v>7192.1545189504368</v>
      </c>
    </row>
    <row r="4" spans="1:30">
      <c r="A4" s="2421">
        <v>46270</v>
      </c>
      <c r="B4" s="2422" t="s">
        <v>1141</v>
      </c>
      <c r="C4" s="2129">
        <v>3353</v>
      </c>
      <c r="D4" s="2130" t="s">
        <v>1144</v>
      </c>
      <c r="E4" s="2431">
        <v>10.368970000000001</v>
      </c>
      <c r="F4" s="2431">
        <v>6.78</v>
      </c>
      <c r="G4" s="2431">
        <v>5.04</v>
      </c>
      <c r="H4" s="2424">
        <f t="shared" si="0"/>
        <v>4.8459599999999998</v>
      </c>
      <c r="I4" s="2434">
        <v>39</v>
      </c>
      <c r="J4" s="2424">
        <f t="shared" si="1"/>
        <v>37.4985</v>
      </c>
      <c r="K4" s="2424">
        <f t="shared" si="2"/>
        <v>49.179999999999993</v>
      </c>
      <c r="L4" s="2424">
        <f t="shared" si="3"/>
        <v>47.28656999999999</v>
      </c>
      <c r="M4" s="2432">
        <v>1.32</v>
      </c>
      <c r="N4" s="2435">
        <f t="shared" si="4"/>
        <v>1.26918</v>
      </c>
      <c r="O4" s="2436">
        <v>6902</v>
      </c>
      <c r="P4" s="2429">
        <f t="shared" si="5"/>
        <v>7403.9905599656731</v>
      </c>
      <c r="Q4" s="2429">
        <f t="shared" si="6"/>
        <v>6636.2729999999992</v>
      </c>
      <c r="R4" s="2429">
        <f t="shared" si="7"/>
        <v>7827.1716942617377</v>
      </c>
      <c r="S4" s="2429">
        <f t="shared" si="8"/>
        <v>6293.3919759708215</v>
      </c>
      <c r="T4" s="2429">
        <f t="shared" si="9"/>
        <v>6219.3520703711647</v>
      </c>
      <c r="U4" s="2430">
        <f t="shared" si="10"/>
        <v>6145.3121647715079</v>
      </c>
      <c r="V4" s="2428" t="s">
        <v>1143</v>
      </c>
      <c r="W4">
        <v>11.85</v>
      </c>
      <c r="X4">
        <v>10.311428571428571</v>
      </c>
      <c r="Y4">
        <v>5.0999999999999996</v>
      </c>
      <c r="Z4">
        <v>4.0644023323615164</v>
      </c>
      <c r="AA4">
        <v>1.65</v>
      </c>
      <c r="AB4">
        <v>1.4835276967930029</v>
      </c>
      <c r="AC4">
        <v>6877</v>
      </c>
      <c r="AD4">
        <v>7192.1545189504368</v>
      </c>
    </row>
    <row r="5" spans="1:30">
      <c r="A5" s="2421">
        <v>46271</v>
      </c>
      <c r="B5" s="2422" t="s">
        <v>1141</v>
      </c>
      <c r="C5" s="2129">
        <v>5000</v>
      </c>
      <c r="D5" s="2130" t="s">
        <v>1145</v>
      </c>
      <c r="E5" s="2423">
        <v>9.1478319999999993</v>
      </c>
      <c r="F5" s="2423">
        <v>6.28</v>
      </c>
      <c r="G5" s="2423">
        <v>6.34</v>
      </c>
      <c r="H5" s="2424">
        <f t="shared" si="0"/>
        <v>6.1459960000000002</v>
      </c>
      <c r="I5" s="2423">
        <v>39.299999999999997</v>
      </c>
      <c r="J5" s="2424">
        <f t="shared" si="1"/>
        <v>38.09742</v>
      </c>
      <c r="K5" s="2424">
        <f t="shared" si="2"/>
        <v>48.08</v>
      </c>
      <c r="L5" s="2424">
        <f t="shared" si="3"/>
        <v>46.60875200000001</v>
      </c>
      <c r="M5" s="2432">
        <v>1.75</v>
      </c>
      <c r="N5" s="2424">
        <f t="shared" si="4"/>
        <v>1.6964500000000002</v>
      </c>
      <c r="O5" s="2436">
        <v>6758</v>
      </c>
      <c r="P5" s="2426">
        <f t="shared" si="5"/>
        <v>7210.8408023900984</v>
      </c>
      <c r="Q5" s="2426">
        <f t="shared" si="6"/>
        <v>6551.2052000000003</v>
      </c>
      <c r="R5" s="2426">
        <f t="shared" si="7"/>
        <v>7734.0352483405813</v>
      </c>
      <c r="S5" s="2426">
        <f t="shared" si="8"/>
        <v>6129.2146820315838</v>
      </c>
      <c r="T5" s="2426">
        <f t="shared" si="9"/>
        <v>6057.1062740076823</v>
      </c>
      <c r="U5" s="2427">
        <f t="shared" si="10"/>
        <v>5984.9978659837816</v>
      </c>
      <c r="V5" s="2428" t="s">
        <v>1146</v>
      </c>
    </row>
    <row r="6" spans="1:30">
      <c r="A6" s="2421">
        <v>46271</v>
      </c>
      <c r="B6" s="2422" t="s">
        <v>1141</v>
      </c>
      <c r="C6" s="2129">
        <v>2994</v>
      </c>
      <c r="D6" s="2130" t="s">
        <v>1147</v>
      </c>
      <c r="E6" s="2431">
        <v>9.1149439999999995</v>
      </c>
      <c r="F6" s="2431">
        <v>5.76</v>
      </c>
      <c r="G6" s="2431">
        <v>6.94</v>
      </c>
      <c r="H6" s="2424">
        <f t="shared" si="0"/>
        <v>6.6929360000000013</v>
      </c>
      <c r="I6" s="2431">
        <v>39.4</v>
      </c>
      <c r="J6" s="2424">
        <f t="shared" si="1"/>
        <v>37.99736</v>
      </c>
      <c r="K6" s="2424">
        <f t="shared" si="2"/>
        <v>47.9</v>
      </c>
      <c r="L6" s="2424">
        <f t="shared" si="3"/>
        <v>46.194760000000009</v>
      </c>
      <c r="M6" s="2432">
        <v>1.78</v>
      </c>
      <c r="N6" s="2424">
        <f t="shared" si="4"/>
        <v>1.7166320000000004</v>
      </c>
      <c r="O6" s="2433">
        <v>6838</v>
      </c>
      <c r="P6" s="2426">
        <f t="shared" si="5"/>
        <v>7255.9422750424455</v>
      </c>
      <c r="Q6" s="2426">
        <f t="shared" si="6"/>
        <v>6594.5672000000013</v>
      </c>
      <c r="R6" s="2426">
        <f t="shared" si="7"/>
        <v>7832.7605956471934</v>
      </c>
      <c r="S6" s="2426">
        <f t="shared" si="8"/>
        <v>6167.5509337860785</v>
      </c>
      <c r="T6" s="2426">
        <f t="shared" si="9"/>
        <v>6094.9915110356542</v>
      </c>
      <c r="U6" s="2427">
        <f t="shared" si="10"/>
        <v>6022.4320882852298</v>
      </c>
      <c r="V6" s="2428" t="s">
        <v>1146</v>
      </c>
    </row>
    <row r="7" spans="1:30">
      <c r="A7" s="2421">
        <v>46272</v>
      </c>
      <c r="B7" s="2422" t="s">
        <v>1141</v>
      </c>
      <c r="C7" s="2129">
        <v>5000</v>
      </c>
      <c r="D7" s="2130" t="s">
        <v>1823</v>
      </c>
      <c r="E7" s="2431">
        <v>10.282372000000001</v>
      </c>
      <c r="F7" s="2431">
        <v>5.62</v>
      </c>
      <c r="G7" s="2431">
        <v>7.53</v>
      </c>
      <c r="H7" s="2424">
        <f t="shared" si="0"/>
        <v>7.1580180000000011</v>
      </c>
      <c r="I7" s="2434">
        <v>38.700000000000003</v>
      </c>
      <c r="J7" s="2424">
        <f t="shared" si="1"/>
        <v>36.78822000000001</v>
      </c>
      <c r="K7" s="2424">
        <f t="shared" si="2"/>
        <v>48.149999999999991</v>
      </c>
      <c r="L7" s="2424">
        <f t="shared" si="3"/>
        <v>45.771389999999997</v>
      </c>
      <c r="M7" s="2432">
        <v>1.75</v>
      </c>
      <c r="N7" s="2435">
        <f t="shared" si="4"/>
        <v>1.6635500000000003</v>
      </c>
      <c r="O7" s="2436">
        <v>6910</v>
      </c>
      <c r="P7" s="2429">
        <f t="shared" si="5"/>
        <v>7321.4664123755038</v>
      </c>
      <c r="Q7" s="2429">
        <f t="shared" si="6"/>
        <v>6568.6460000000006</v>
      </c>
      <c r="R7" s="2429">
        <f t="shared" si="7"/>
        <v>7956.246401842257</v>
      </c>
      <c r="S7" s="2429">
        <f t="shared" si="8"/>
        <v>6223.2464505191783</v>
      </c>
      <c r="T7" s="2429">
        <f t="shared" si="9"/>
        <v>6150.0317863954233</v>
      </c>
      <c r="U7" s="2430">
        <f t="shared" si="10"/>
        <v>6076.8171222716683</v>
      </c>
      <c r="V7" s="2428" t="s">
        <v>1146</v>
      </c>
    </row>
    <row r="8" spans="1:30">
      <c r="A8" s="2421">
        <v>46272</v>
      </c>
      <c r="B8" s="2422" t="s">
        <v>1141</v>
      </c>
      <c r="C8" s="2129">
        <v>3696</v>
      </c>
      <c r="D8" s="2130" t="s">
        <v>1824</v>
      </c>
      <c r="E8" s="2431">
        <v>10.631488000000001</v>
      </c>
      <c r="F8" s="2431">
        <v>6.44</v>
      </c>
      <c r="G8" s="2431">
        <v>4.6399999999999997</v>
      </c>
      <c r="H8" s="2424">
        <f t="shared" si="0"/>
        <v>4.4321279999999996</v>
      </c>
      <c r="I8" s="2431">
        <v>39.6</v>
      </c>
      <c r="J8" s="2424">
        <f t="shared" si="1"/>
        <v>37.825919999999996</v>
      </c>
      <c r="K8" s="2424">
        <f t="shared" si="2"/>
        <v>49.32</v>
      </c>
      <c r="L8" s="2424">
        <f t="shared" si="3"/>
        <v>47.110464</v>
      </c>
      <c r="M8" s="2432">
        <v>1.63</v>
      </c>
      <c r="N8" s="2424">
        <f t="shared" si="4"/>
        <v>1.5569759999999997</v>
      </c>
      <c r="O8" s="2433">
        <v>6999</v>
      </c>
      <c r="P8" s="2426">
        <f t="shared" si="5"/>
        <v>7480.7610089781956</v>
      </c>
      <c r="Q8" s="2426">
        <f t="shared" si="6"/>
        <v>6685.4447999999993</v>
      </c>
      <c r="R8" s="2426">
        <f t="shared" si="7"/>
        <v>7871.1201079622133</v>
      </c>
      <c r="S8" s="2426">
        <f t="shared" si="8"/>
        <v>6358.6468576314664</v>
      </c>
      <c r="T8" s="2426">
        <f t="shared" si="9"/>
        <v>6283.839247541684</v>
      </c>
      <c r="U8" s="2427">
        <f t="shared" si="10"/>
        <v>6209.0316374519025</v>
      </c>
      <c r="V8" s="2428" t="s">
        <v>1146</v>
      </c>
    </row>
    <row r="9" spans="1:30">
      <c r="A9" s="2421"/>
      <c r="B9" s="2422"/>
      <c r="C9" s="2129"/>
      <c r="D9" s="2130"/>
      <c r="E9" s="2431"/>
      <c r="F9" s="2431"/>
      <c r="G9" s="2431"/>
      <c r="H9" s="2424"/>
      <c r="I9" s="2434"/>
      <c r="J9" s="2424"/>
      <c r="K9" s="2424"/>
      <c r="L9" s="2424"/>
      <c r="M9" s="2432"/>
      <c r="N9" s="2435"/>
      <c r="O9" s="2436"/>
      <c r="P9" s="2429"/>
      <c r="Q9" s="2429"/>
      <c r="R9" s="2429"/>
      <c r="S9" s="2429"/>
      <c r="T9" s="2429"/>
      <c r="U9" s="2430"/>
      <c r="V9" s="2428"/>
    </row>
    <row r="10" spans="1:30">
      <c r="A10" s="2421"/>
      <c r="B10" s="2422"/>
      <c r="C10" s="2129"/>
      <c r="D10" s="2130"/>
      <c r="E10" s="2431"/>
      <c r="F10" s="2431"/>
      <c r="G10" s="2431"/>
      <c r="H10" s="2424"/>
      <c r="I10" s="2431"/>
      <c r="J10" s="2424"/>
      <c r="K10" s="2424"/>
      <c r="L10" s="2424"/>
      <c r="M10" s="2432"/>
      <c r="N10" s="2424"/>
      <c r="O10" s="2433"/>
      <c r="P10" s="2426"/>
      <c r="Q10" s="2426"/>
      <c r="R10" s="2426"/>
      <c r="S10" s="2426"/>
      <c r="T10" s="2426"/>
      <c r="U10" s="2427"/>
      <c r="V10" s="2428"/>
    </row>
    <row r="11" spans="1:30">
      <c r="A11" s="2421"/>
      <c r="B11" s="2422"/>
      <c r="C11" s="2129"/>
      <c r="D11" s="2130"/>
      <c r="E11" s="2431"/>
      <c r="F11" s="2431"/>
      <c r="G11" s="2431"/>
      <c r="H11" s="2424"/>
      <c r="I11" s="2431"/>
      <c r="J11" s="2424"/>
      <c r="K11" s="2424"/>
      <c r="L11" s="2424"/>
      <c r="M11" s="2432"/>
      <c r="N11" s="2424"/>
      <c r="O11" s="2433"/>
      <c r="P11" s="2426"/>
      <c r="Q11" s="2426"/>
      <c r="R11" s="2426"/>
      <c r="S11" s="2426"/>
      <c r="T11" s="2426"/>
      <c r="U11" s="2427"/>
      <c r="V11" s="2428"/>
    </row>
    <row r="12" spans="1:30">
      <c r="A12" s="2421"/>
      <c r="B12" s="2422"/>
      <c r="C12" s="2129"/>
      <c r="D12" s="2130"/>
      <c r="E12" s="2431"/>
      <c r="F12" s="2431"/>
      <c r="G12" s="2431"/>
      <c r="H12" s="2424"/>
      <c r="I12" s="2431"/>
      <c r="J12" s="2424"/>
      <c r="K12" s="2424"/>
      <c r="L12" s="2424"/>
      <c r="M12" s="2432"/>
      <c r="N12" s="2424"/>
      <c r="O12" s="2433"/>
      <c r="P12" s="2426"/>
      <c r="Q12" s="2426"/>
      <c r="R12" s="2426"/>
      <c r="S12" s="2426"/>
      <c r="T12" s="2426"/>
      <c r="U12" s="2427"/>
      <c r="V12" s="2428"/>
    </row>
    <row r="13" spans="1:30">
      <c r="A13" s="2421"/>
      <c r="B13" s="2422"/>
      <c r="C13" s="2129"/>
      <c r="D13" s="2130"/>
      <c r="E13" s="2431"/>
      <c r="F13" s="2431"/>
      <c r="G13" s="2431"/>
      <c r="H13" s="2424"/>
      <c r="I13" s="2431"/>
      <c r="J13" s="2424"/>
      <c r="K13" s="2424"/>
      <c r="L13" s="2424"/>
      <c r="M13" s="2432"/>
      <c r="N13" s="2424"/>
      <c r="O13" s="2433"/>
      <c r="P13" s="2426"/>
      <c r="Q13" s="2426"/>
      <c r="R13" s="2426"/>
      <c r="S13" s="2426"/>
      <c r="T13" s="2426"/>
      <c r="U13" s="2427"/>
      <c r="V13" s="2428"/>
    </row>
    <row r="14" spans="1:30">
      <c r="A14" s="2421"/>
      <c r="B14" s="2422"/>
      <c r="C14" s="2129"/>
      <c r="D14" s="2130"/>
      <c r="E14" s="2431"/>
      <c r="F14" s="2431"/>
      <c r="G14" s="2431"/>
      <c r="H14" s="2424"/>
      <c r="I14" s="2431"/>
      <c r="J14" s="2424"/>
      <c r="K14" s="2424"/>
      <c r="L14" s="2424"/>
      <c r="M14" s="2432"/>
      <c r="N14" s="2424"/>
      <c r="O14" s="2433"/>
      <c r="P14" s="2426"/>
      <c r="Q14" s="2426"/>
      <c r="R14" s="2426"/>
      <c r="S14" s="2426"/>
      <c r="T14" s="2426"/>
      <c r="U14" s="2427"/>
      <c r="V14" s="2428"/>
    </row>
    <row r="15" spans="1:30">
      <c r="A15" s="2421"/>
      <c r="B15" s="2422"/>
      <c r="C15" s="2129"/>
      <c r="D15" s="2130"/>
      <c r="E15" s="2431"/>
      <c r="F15" s="2431"/>
      <c r="G15" s="2431"/>
      <c r="H15" s="2424"/>
      <c r="I15" s="2431"/>
      <c r="J15" s="2424"/>
      <c r="K15" s="2424"/>
      <c r="L15" s="2424"/>
      <c r="M15" s="2432"/>
      <c r="N15" s="2424"/>
      <c r="O15" s="2433"/>
      <c r="P15" s="2426"/>
      <c r="Q15" s="2426"/>
      <c r="R15" s="2426"/>
      <c r="S15" s="2426"/>
      <c r="T15" s="2426"/>
      <c r="U15" s="2427"/>
      <c r="V15" s="2428"/>
    </row>
    <row r="16" spans="1:30">
      <c r="A16" s="2421"/>
      <c r="B16" s="2422"/>
      <c r="C16" s="2129"/>
      <c r="D16" s="2130"/>
      <c r="E16" s="2431"/>
      <c r="F16" s="2431"/>
      <c r="G16" s="2431"/>
      <c r="H16" s="2424"/>
      <c r="I16" s="2431"/>
      <c r="J16" s="2424"/>
      <c r="K16" s="2424"/>
      <c r="L16" s="2424"/>
      <c r="M16" s="2432"/>
      <c r="N16" s="2424"/>
      <c r="O16" s="2433"/>
      <c r="P16" s="2426"/>
      <c r="Q16" s="2426"/>
      <c r="R16" s="2426"/>
      <c r="S16" s="2426"/>
      <c r="T16" s="2426"/>
      <c r="U16" s="2427"/>
      <c r="V16" s="2428"/>
    </row>
    <row r="17" spans="1:22">
      <c r="A17" s="2421"/>
      <c r="B17" s="2422"/>
      <c r="C17" s="2129"/>
      <c r="D17" s="2130"/>
      <c r="E17" s="2431"/>
      <c r="F17" s="2431"/>
      <c r="G17" s="2431"/>
      <c r="H17" s="2424"/>
      <c r="I17" s="2431"/>
      <c r="J17" s="2424"/>
      <c r="K17" s="2424"/>
      <c r="L17" s="2424"/>
      <c r="M17" s="2432"/>
      <c r="N17" s="2424"/>
      <c r="O17" s="2433"/>
      <c r="P17" s="2426"/>
      <c r="Q17" s="2426"/>
      <c r="R17" s="2426"/>
      <c r="S17" s="2426"/>
      <c r="T17" s="2426"/>
      <c r="U17" s="2427"/>
      <c r="V17" s="2428"/>
    </row>
    <row r="18" spans="1:22">
      <c r="A18" s="2421"/>
      <c r="B18" s="2422"/>
      <c r="C18" s="2129"/>
      <c r="D18" s="2130"/>
      <c r="E18" s="2431"/>
      <c r="F18" s="2431"/>
      <c r="G18" s="2431"/>
      <c r="H18" s="2424"/>
      <c r="I18" s="2431"/>
      <c r="J18" s="2424"/>
      <c r="K18" s="2424"/>
      <c r="L18" s="2424"/>
      <c r="M18" s="2432"/>
      <c r="N18" s="2424"/>
      <c r="O18" s="2433"/>
      <c r="P18" s="2426"/>
      <c r="Q18" s="2426"/>
      <c r="R18" s="2426"/>
      <c r="S18" s="2426"/>
      <c r="T18" s="2426"/>
      <c r="U18" s="2427"/>
      <c r="V18" s="2428"/>
    </row>
    <row r="19" spans="1:22">
      <c r="A19" s="2421"/>
      <c r="B19" s="2422"/>
      <c r="C19" s="2129"/>
      <c r="D19" s="2130"/>
      <c r="E19" s="2431"/>
      <c r="F19" s="2431"/>
      <c r="G19" s="2431"/>
      <c r="H19" s="2424"/>
      <c r="I19" s="2431"/>
      <c r="J19" s="2424"/>
      <c r="K19" s="2424"/>
      <c r="L19" s="2424"/>
      <c r="M19" s="2432"/>
      <c r="N19" s="2424"/>
      <c r="O19" s="2433"/>
      <c r="P19" s="2426"/>
      <c r="Q19" s="2426"/>
      <c r="R19" s="2426"/>
      <c r="S19" s="2426"/>
      <c r="T19" s="2426"/>
      <c r="U19" s="2427"/>
      <c r="V19" s="2428"/>
    </row>
    <row r="20" spans="1:22">
      <c r="A20" s="2421"/>
      <c r="B20" s="2422"/>
      <c r="C20" s="2129"/>
      <c r="D20" s="2130"/>
      <c r="E20" s="2431"/>
      <c r="F20" s="2431"/>
      <c r="G20" s="2431"/>
      <c r="H20" s="2424"/>
      <c r="I20" s="2431"/>
      <c r="J20" s="2424"/>
      <c r="K20" s="2424"/>
      <c r="L20" s="2424"/>
      <c r="M20" s="2432"/>
      <c r="N20" s="2424"/>
      <c r="O20" s="2433"/>
      <c r="P20" s="2426"/>
      <c r="Q20" s="2426"/>
      <c r="R20" s="2426"/>
      <c r="S20" s="2426"/>
      <c r="T20" s="2426"/>
      <c r="U20" s="2427"/>
      <c r="V20" s="2428"/>
    </row>
    <row r="21" spans="1:22">
      <c r="A21" s="2421"/>
      <c r="B21" s="2422"/>
      <c r="C21" s="2129"/>
      <c r="D21" s="2130"/>
      <c r="E21" s="2431"/>
      <c r="F21" s="2431"/>
      <c r="G21" s="2431"/>
      <c r="H21" s="2424"/>
      <c r="I21" s="2431"/>
      <c r="J21" s="2424"/>
      <c r="K21" s="2424"/>
      <c r="L21" s="2424"/>
      <c r="M21" s="2432"/>
      <c r="N21" s="2424"/>
      <c r="O21" s="2433"/>
      <c r="P21" s="2426"/>
      <c r="Q21" s="2426"/>
      <c r="R21" s="2426"/>
      <c r="S21" s="2426"/>
      <c r="T21" s="2426"/>
      <c r="U21" s="2427"/>
      <c r="V21" s="2428"/>
    </row>
    <row r="22" spans="1:22">
      <c r="A22" s="2421"/>
      <c r="B22" s="2422"/>
      <c r="C22" s="2129"/>
      <c r="D22" s="2130"/>
      <c r="E22" s="2431"/>
      <c r="F22" s="2431"/>
      <c r="G22" s="2431"/>
      <c r="H22" s="2424"/>
      <c r="I22" s="2431"/>
      <c r="J22" s="2424"/>
      <c r="K22" s="2424"/>
      <c r="L22" s="2424"/>
      <c r="M22" s="2432"/>
      <c r="N22" s="2424"/>
      <c r="O22" s="2433"/>
      <c r="P22" s="2426"/>
      <c r="Q22" s="2426"/>
      <c r="R22" s="2426"/>
      <c r="S22" s="2426"/>
      <c r="T22" s="2426"/>
      <c r="U22" s="2427"/>
      <c r="V22" s="2428"/>
    </row>
    <row r="23" spans="1:22">
      <c r="A23" s="2421"/>
      <c r="B23" s="2422"/>
      <c r="C23" s="2129"/>
      <c r="D23" s="2130"/>
      <c r="E23" s="2431"/>
      <c r="F23" s="2431"/>
      <c r="G23" s="2431"/>
      <c r="H23" s="2424"/>
      <c r="I23" s="2431"/>
      <c r="J23" s="2424"/>
      <c r="K23" s="2424"/>
      <c r="L23" s="2424"/>
      <c r="M23" s="2432"/>
      <c r="N23" s="2424"/>
      <c r="O23" s="2433"/>
      <c r="P23" s="2426"/>
      <c r="Q23" s="2426"/>
      <c r="R23" s="2426"/>
      <c r="S23" s="2426"/>
      <c r="T23" s="2426"/>
      <c r="U23" s="2427"/>
      <c r="V23" s="2428"/>
    </row>
    <row r="24" spans="1:22">
      <c r="A24" s="2421"/>
      <c r="B24" s="2422"/>
      <c r="C24" s="2129"/>
      <c r="D24" s="2130"/>
      <c r="E24" s="2431"/>
      <c r="F24" s="2431"/>
      <c r="G24" s="2431"/>
      <c r="H24" s="2424"/>
      <c r="I24" s="2431"/>
      <c r="J24" s="2424"/>
      <c r="K24" s="2424"/>
      <c r="L24" s="2424"/>
      <c r="M24" s="2432"/>
      <c r="N24" s="2424"/>
      <c r="O24" s="2433"/>
      <c r="P24" s="2426"/>
      <c r="Q24" s="2426"/>
      <c r="R24" s="2426"/>
      <c r="S24" s="2426"/>
      <c r="T24" s="2426"/>
      <c r="U24" s="2427"/>
      <c r="V24" s="2428"/>
    </row>
    <row r="25" spans="1:22">
      <c r="A25" s="2421"/>
      <c r="B25" s="2422"/>
      <c r="C25" s="2129"/>
      <c r="D25" s="2130"/>
      <c r="E25" s="2431"/>
      <c r="F25" s="2431"/>
      <c r="G25" s="2431"/>
      <c r="H25" s="2424"/>
      <c r="I25" s="2431"/>
      <c r="J25" s="2424"/>
      <c r="K25" s="2424"/>
      <c r="L25" s="2424"/>
      <c r="M25" s="2432"/>
      <c r="N25" s="2424"/>
      <c r="O25" s="2433"/>
      <c r="P25" s="2426"/>
      <c r="Q25" s="2426"/>
      <c r="R25" s="2426"/>
      <c r="S25" s="2426"/>
      <c r="T25" s="2426"/>
      <c r="U25" s="2427"/>
      <c r="V25" s="2428"/>
    </row>
    <row r="26" spans="1:22">
      <c r="A26" s="2421"/>
      <c r="B26" s="2422"/>
      <c r="C26" s="2129"/>
      <c r="D26" s="2130"/>
      <c r="E26" s="2431"/>
      <c r="F26" s="2431"/>
      <c r="G26" s="2431"/>
      <c r="H26" s="2424"/>
      <c r="I26" s="2431"/>
      <c r="J26" s="2424"/>
      <c r="K26" s="2424"/>
      <c r="L26" s="2424"/>
      <c r="M26" s="2432"/>
      <c r="N26" s="2424"/>
      <c r="O26" s="2433"/>
      <c r="P26" s="2426"/>
      <c r="Q26" s="2426"/>
      <c r="R26" s="2426"/>
      <c r="S26" s="2426"/>
      <c r="T26" s="2426"/>
      <c r="U26" s="2427"/>
      <c r="V26" s="2428"/>
    </row>
    <row r="27" spans="1:22">
      <c r="A27" s="2421"/>
      <c r="B27" s="2422"/>
      <c r="C27" s="2129"/>
      <c r="D27" s="2130"/>
      <c r="E27" s="2431"/>
      <c r="F27" s="2431"/>
      <c r="G27" s="2431"/>
      <c r="H27" s="2424"/>
      <c r="I27" s="2431"/>
      <c r="J27" s="2424"/>
      <c r="K27" s="2424"/>
      <c r="L27" s="2424"/>
      <c r="M27" s="2432"/>
      <c r="N27" s="2424"/>
      <c r="O27" s="2433"/>
      <c r="P27" s="2426"/>
      <c r="Q27" s="2426"/>
      <c r="R27" s="2426"/>
      <c r="S27" s="2426"/>
      <c r="T27" s="2426"/>
      <c r="U27" s="2427"/>
      <c r="V27" s="2428"/>
    </row>
    <row r="28" spans="1:22">
      <c r="A28" s="2421"/>
      <c r="B28" s="2422"/>
      <c r="C28" s="2129"/>
      <c r="D28" s="2130"/>
      <c r="E28" s="2431"/>
      <c r="F28" s="2431"/>
      <c r="G28" s="2431"/>
      <c r="H28" s="2424"/>
      <c r="I28" s="2431"/>
      <c r="J28" s="2424"/>
      <c r="K28" s="2424"/>
      <c r="L28" s="2424"/>
      <c r="M28" s="2432"/>
      <c r="N28" s="2424"/>
      <c r="O28" s="2433"/>
      <c r="P28" s="2426"/>
      <c r="Q28" s="2426"/>
      <c r="R28" s="2426"/>
      <c r="S28" s="2426"/>
      <c r="T28" s="2426"/>
      <c r="U28" s="2427"/>
      <c r="V28" s="2428"/>
    </row>
    <row r="29" spans="1:22">
      <c r="A29" s="2421"/>
      <c r="B29" s="2422"/>
      <c r="C29" s="2129"/>
      <c r="D29" s="2130"/>
      <c r="E29" s="2431"/>
      <c r="F29" s="2431"/>
      <c r="G29" s="2431"/>
      <c r="H29" s="2424"/>
      <c r="I29" s="2431"/>
      <c r="J29" s="2424"/>
      <c r="K29" s="2424"/>
      <c r="L29" s="2424"/>
      <c r="M29" s="2432"/>
      <c r="N29" s="2424"/>
      <c r="O29" s="2433"/>
      <c r="P29" s="2426"/>
      <c r="Q29" s="2426"/>
      <c r="R29" s="2426"/>
      <c r="S29" s="2426"/>
      <c r="T29" s="2426"/>
      <c r="U29" s="2427"/>
      <c r="V29" s="2428"/>
    </row>
    <row r="30" spans="1:22">
      <c r="A30" s="2421"/>
      <c r="B30" s="2422"/>
      <c r="C30" s="2129"/>
      <c r="D30" s="2130"/>
      <c r="E30" s="2431"/>
      <c r="F30" s="2431"/>
      <c r="G30" s="2431"/>
      <c r="H30" s="2424"/>
      <c r="I30" s="2431"/>
      <c r="J30" s="2424"/>
      <c r="K30" s="2424"/>
      <c r="L30" s="2424"/>
      <c r="M30" s="2432"/>
      <c r="N30" s="2424"/>
      <c r="O30" s="2433"/>
      <c r="P30" s="2426"/>
      <c r="Q30" s="2426"/>
      <c r="R30" s="2426"/>
      <c r="S30" s="2426"/>
      <c r="T30" s="2426"/>
      <c r="U30" s="2427"/>
      <c r="V30" s="2428"/>
    </row>
    <row r="31" spans="1:22">
      <c r="A31" s="2421"/>
      <c r="B31" s="2422"/>
      <c r="C31" s="2129"/>
      <c r="D31" s="2130"/>
      <c r="E31" s="2431"/>
      <c r="F31" s="2431"/>
      <c r="G31" s="2431"/>
      <c r="H31" s="2424"/>
      <c r="I31" s="2431"/>
      <c r="J31" s="2424"/>
      <c r="K31" s="2424"/>
      <c r="L31" s="2424"/>
      <c r="M31" s="2432"/>
      <c r="N31" s="2424"/>
      <c r="O31" s="2433"/>
      <c r="P31" s="2426"/>
      <c r="Q31" s="2426"/>
      <c r="R31" s="2426"/>
      <c r="S31" s="2426"/>
      <c r="T31" s="2426"/>
      <c r="U31" s="2427"/>
      <c r="V31" s="2428"/>
    </row>
    <row r="32" spans="1:22">
      <c r="A32" s="2421"/>
      <c r="B32" s="2422"/>
      <c r="C32" s="2129"/>
      <c r="D32" s="2130"/>
      <c r="E32" s="2431"/>
      <c r="F32" s="2431"/>
      <c r="G32" s="2431"/>
      <c r="H32" s="2424"/>
      <c r="I32" s="2431"/>
      <c r="J32" s="2424"/>
      <c r="K32" s="2424"/>
      <c r="L32" s="2424"/>
      <c r="M32" s="2432"/>
      <c r="N32" s="2424"/>
      <c r="O32" s="2433"/>
      <c r="P32" s="2426"/>
      <c r="Q32" s="2426"/>
      <c r="R32" s="2426"/>
      <c r="S32" s="2426"/>
      <c r="T32" s="2426"/>
      <c r="U32" s="2427"/>
      <c r="V32" s="2428"/>
    </row>
    <row r="33" spans="1:22">
      <c r="A33" s="2421"/>
      <c r="B33" s="2422"/>
      <c r="C33" s="2129"/>
      <c r="D33" s="2130"/>
      <c r="E33" s="2431"/>
      <c r="F33" s="2431"/>
      <c r="G33" s="2431"/>
      <c r="H33" s="2424"/>
      <c r="I33" s="2431"/>
      <c r="J33" s="2424"/>
      <c r="K33" s="2424"/>
      <c r="L33" s="2424"/>
      <c r="M33" s="2432"/>
      <c r="N33" s="2424"/>
      <c r="O33" s="2433"/>
      <c r="P33" s="2426"/>
      <c r="Q33" s="2426"/>
      <c r="R33" s="2426"/>
      <c r="S33" s="2426"/>
      <c r="T33" s="2426"/>
      <c r="U33" s="2427"/>
      <c r="V33" s="2428"/>
    </row>
    <row r="34" spans="1:22">
      <c r="A34" s="2421"/>
      <c r="B34" s="2422"/>
      <c r="C34" s="2129"/>
      <c r="D34" s="2130"/>
      <c r="E34" s="2431"/>
      <c r="F34" s="2431"/>
      <c r="G34" s="2431"/>
      <c r="H34" s="2424"/>
      <c r="I34" s="2431"/>
      <c r="J34" s="2424"/>
      <c r="K34" s="2424"/>
      <c r="L34" s="2424"/>
      <c r="M34" s="2432"/>
      <c r="N34" s="2424"/>
      <c r="O34" s="2433"/>
      <c r="P34" s="2426"/>
      <c r="Q34" s="2426"/>
      <c r="R34" s="2426"/>
      <c r="S34" s="2426"/>
      <c r="T34" s="2426"/>
      <c r="U34" s="2427"/>
      <c r="V34" s="2428"/>
    </row>
    <row r="35" spans="1:22">
      <c r="A35" s="2421"/>
      <c r="B35" s="2422"/>
      <c r="C35" s="2129"/>
      <c r="D35" s="2130"/>
      <c r="E35" s="2431"/>
      <c r="F35" s="2431"/>
      <c r="G35" s="2431"/>
      <c r="H35" s="2424"/>
      <c r="I35" s="2431"/>
      <c r="J35" s="2424"/>
      <c r="K35" s="2424"/>
      <c r="L35" s="2424"/>
      <c r="M35" s="2432"/>
      <c r="N35" s="2424"/>
      <c r="O35" s="2433"/>
      <c r="P35" s="2426"/>
      <c r="Q35" s="2426"/>
      <c r="R35" s="2426"/>
      <c r="S35" s="2426"/>
      <c r="T35" s="2426"/>
      <c r="U35" s="2427"/>
      <c r="V35" s="2428"/>
    </row>
    <row r="36" spans="1:22">
      <c r="A36" s="2421"/>
      <c r="B36" s="2422"/>
      <c r="C36" s="2129"/>
      <c r="D36" s="2130"/>
      <c r="E36" s="2431"/>
      <c r="F36" s="2431"/>
      <c r="G36" s="2431"/>
      <c r="H36" s="2424"/>
      <c r="I36" s="2431"/>
      <c r="J36" s="2424"/>
      <c r="K36" s="2424"/>
      <c r="L36" s="2424"/>
      <c r="M36" s="2432"/>
      <c r="N36" s="2424"/>
      <c r="O36" s="2433"/>
      <c r="P36" s="2426"/>
      <c r="Q36" s="2426"/>
      <c r="R36" s="2426"/>
      <c r="S36" s="2426"/>
      <c r="T36" s="2426"/>
      <c r="U36" s="2427"/>
      <c r="V36" s="2428"/>
    </row>
  </sheetData>
  <mergeCells count="7">
    <mergeCell ref="V1:V2"/>
    <mergeCell ref="D1:D2"/>
    <mergeCell ref="G1:H1"/>
    <mergeCell ref="I1:J1"/>
    <mergeCell ref="K1:L1"/>
    <mergeCell ref="M1:N1"/>
    <mergeCell ref="O1:U1"/>
  </mergeCell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9900"/>
  </sheetPr>
  <dimension ref="A1:V29"/>
  <sheetViews>
    <sheetView workbookViewId="0">
      <selection activeCell="A3" sqref="A3:V14"/>
    </sheetView>
  </sheetViews>
  <sheetFormatPr defaultColWidth="8.88671875" defaultRowHeight="14.4"/>
  <cols>
    <col min="1" max="1" width="17" customWidth="1"/>
    <col min="3" max="3" width="14.33203125" customWidth="1"/>
    <col min="4" max="4" width="17.6640625" customWidth="1"/>
  </cols>
  <sheetData>
    <row r="1" spans="1:22" ht="15" thickTop="1">
      <c r="A1" s="2121" t="s">
        <v>99</v>
      </c>
      <c r="B1" s="2122" t="s">
        <v>1117</v>
      </c>
      <c r="C1" s="2123" t="s">
        <v>1118</v>
      </c>
      <c r="D1" s="2957" t="s">
        <v>1119</v>
      </c>
      <c r="E1" s="2124" t="s">
        <v>197</v>
      </c>
      <c r="F1" s="2124" t="s">
        <v>1120</v>
      </c>
      <c r="G1" s="2959" t="s">
        <v>63</v>
      </c>
      <c r="H1" s="2960"/>
      <c r="I1" s="2959" t="s">
        <v>1121</v>
      </c>
      <c r="J1" s="2960"/>
      <c r="K1" s="2959" t="s">
        <v>178</v>
      </c>
      <c r="L1" s="2960"/>
      <c r="M1" s="2959" t="s">
        <v>62</v>
      </c>
      <c r="N1" s="2960"/>
      <c r="O1" s="2959" t="s">
        <v>1122</v>
      </c>
      <c r="P1" s="2961"/>
      <c r="Q1" s="2961"/>
      <c r="R1" s="2961"/>
      <c r="S1" s="2961"/>
      <c r="T1" s="2961"/>
      <c r="U1" s="2960"/>
      <c r="V1" s="2955" t="s">
        <v>1123</v>
      </c>
    </row>
    <row r="2" spans="1:22">
      <c r="A2" s="2125" t="s">
        <v>1124</v>
      </c>
      <c r="B2" s="2126" t="s">
        <v>1125</v>
      </c>
      <c r="C2" s="2127" t="s">
        <v>1126</v>
      </c>
      <c r="D2" s="2958"/>
      <c r="E2" s="2128" t="s">
        <v>1127</v>
      </c>
      <c r="F2" s="2128" t="s">
        <v>1128</v>
      </c>
      <c r="G2" s="2128" t="s">
        <v>1128</v>
      </c>
      <c r="H2" s="2128" t="s">
        <v>1127</v>
      </c>
      <c r="I2" s="2128" t="s">
        <v>1128</v>
      </c>
      <c r="J2" s="2128" t="s">
        <v>1127</v>
      </c>
      <c r="K2" s="2128" t="s">
        <v>1128</v>
      </c>
      <c r="L2" s="2128" t="s">
        <v>1127</v>
      </c>
      <c r="M2" s="2128" t="s">
        <v>1128</v>
      </c>
      <c r="N2" s="2128" t="s">
        <v>1127</v>
      </c>
      <c r="O2" s="2128" t="s">
        <v>1128</v>
      </c>
      <c r="P2" s="2128" t="s">
        <v>1129</v>
      </c>
      <c r="Q2" s="2128" t="s">
        <v>1127</v>
      </c>
      <c r="R2" s="2128" t="s">
        <v>1130</v>
      </c>
      <c r="S2" s="2128" t="s">
        <v>1131</v>
      </c>
      <c r="T2" s="2128" t="s">
        <v>1132</v>
      </c>
      <c r="U2" s="2128" t="s">
        <v>1133</v>
      </c>
      <c r="V2" s="2956"/>
    </row>
    <row r="3" spans="1:22">
      <c r="A3" s="2421">
        <v>46266</v>
      </c>
      <c r="B3" s="2422" t="s">
        <v>1134</v>
      </c>
      <c r="C3" s="2129">
        <v>5000</v>
      </c>
      <c r="D3" s="2130" t="s">
        <v>1148</v>
      </c>
      <c r="E3" s="2431">
        <v>5.9054830000000003</v>
      </c>
      <c r="F3" s="2431">
        <v>4.21</v>
      </c>
      <c r="G3" s="2431">
        <v>2.5099999999999998</v>
      </c>
      <c r="H3" s="2424">
        <f t="shared" ref="H3:H14" si="0">G3*(100-E3)/(100-F3)</f>
        <v>2.4655729999999996</v>
      </c>
      <c r="I3" s="2431">
        <v>41.1</v>
      </c>
      <c r="J3" s="2424">
        <f>I3*(100-E3)/(100-F3)</f>
        <v>40.372529999999998</v>
      </c>
      <c r="K3" s="2424">
        <f t="shared" ref="K3:K14" si="1">100-F3-G3-I3</f>
        <v>52.18</v>
      </c>
      <c r="L3" s="2424">
        <f t="shared" ref="L3:L14" si="2">K3*(100-E3)/(100-F3)</f>
        <v>51.256413999999992</v>
      </c>
      <c r="M3" s="2432">
        <v>1.34</v>
      </c>
      <c r="N3" s="2424">
        <f t="shared" ref="N3:N14" si="3">M3*(100-E3)/(100-F3)</f>
        <v>1.316282</v>
      </c>
      <c r="O3" s="2436">
        <v>7448</v>
      </c>
      <c r="P3" s="2429">
        <f t="shared" ref="P3:P14" si="4">O3*100/(100-F3)</f>
        <v>7775.3418937258584</v>
      </c>
      <c r="Q3" s="2429">
        <f t="shared" ref="Q3:Q14" si="5">O3*(100-E3)/(100-F3)</f>
        <v>7316.1703999999991</v>
      </c>
      <c r="R3" s="2429">
        <f t="shared" ref="R3:R14" si="6">O3*100/(100-F3-G3)</f>
        <v>7984.5626072041168</v>
      </c>
      <c r="S3" s="2429">
        <f t="shared" ref="S3:S14" si="7">O3*(100-15)/(100-F3)</f>
        <v>6609.0406096669794</v>
      </c>
      <c r="T3" s="2429">
        <f t="shared" ref="T3:T14" si="8">O3*(100-16)/(100-F3)</f>
        <v>6531.2871907297213</v>
      </c>
      <c r="U3" s="2430">
        <f t="shared" ref="U3:U14" si="9">O3*(100-17)/(100-F3)</f>
        <v>6453.5337717924622</v>
      </c>
      <c r="V3" s="2428" t="s">
        <v>1149</v>
      </c>
    </row>
    <row r="4" spans="1:22">
      <c r="A4" s="2421">
        <v>46266</v>
      </c>
      <c r="B4" s="2422" t="s">
        <v>1134</v>
      </c>
      <c r="C4" s="2129">
        <v>4150</v>
      </c>
      <c r="D4" s="2130" t="s">
        <v>1150</v>
      </c>
      <c r="E4" s="2431">
        <v>5.8463079999999996</v>
      </c>
      <c r="F4" s="2431">
        <v>4.1399999999999997</v>
      </c>
      <c r="G4" s="2431">
        <v>2.46</v>
      </c>
      <c r="H4" s="2424">
        <f t="shared" si="0"/>
        <v>2.4162120000000002</v>
      </c>
      <c r="I4" s="2434">
        <v>41.1</v>
      </c>
      <c r="J4" s="2424">
        <f t="shared" ref="J4:J14" si="10">I4*(100-E4)/(100-F4)</f>
        <v>40.36842</v>
      </c>
      <c r="K4" s="2424">
        <f t="shared" si="1"/>
        <v>52.300000000000004</v>
      </c>
      <c r="L4" s="2424">
        <f t="shared" si="2"/>
        <v>51.369060000000012</v>
      </c>
      <c r="M4" s="2432">
        <v>1.35</v>
      </c>
      <c r="N4" s="2435">
        <f t="shared" si="3"/>
        <v>1.3259700000000001</v>
      </c>
      <c r="O4" s="2436">
        <v>7428</v>
      </c>
      <c r="P4" s="2429">
        <f t="shared" si="4"/>
        <v>7748.8003338201543</v>
      </c>
      <c r="Q4" s="2429">
        <f t="shared" si="5"/>
        <v>7295.7816000000003</v>
      </c>
      <c r="R4" s="2429">
        <f t="shared" si="6"/>
        <v>7952.8907922912204</v>
      </c>
      <c r="S4" s="2429">
        <f t="shared" si="7"/>
        <v>6586.4802837471316</v>
      </c>
      <c r="T4" s="2429">
        <f t="shared" si="8"/>
        <v>6508.9922804089301</v>
      </c>
      <c r="U4" s="2430">
        <f t="shared" si="9"/>
        <v>6431.5042770707278</v>
      </c>
      <c r="V4" s="2428" t="s">
        <v>1149</v>
      </c>
    </row>
    <row r="5" spans="1:22">
      <c r="A5" s="2421">
        <v>46267</v>
      </c>
      <c r="B5" s="2422" t="s">
        <v>1141</v>
      </c>
      <c r="C5" s="2129">
        <v>5000</v>
      </c>
      <c r="D5" s="2130" t="s">
        <v>1151</v>
      </c>
      <c r="E5" s="2423">
        <v>8.8222239999999985</v>
      </c>
      <c r="F5" s="2423">
        <v>5.26</v>
      </c>
      <c r="G5" s="2423">
        <v>4.38</v>
      </c>
      <c r="H5" s="2435">
        <f t="shared" si="0"/>
        <v>4.2153119999999999</v>
      </c>
      <c r="I5" s="2423">
        <v>40.700000000000003</v>
      </c>
      <c r="J5" s="2435">
        <f t="shared" si="10"/>
        <v>39.16968</v>
      </c>
      <c r="K5" s="2435">
        <f t="shared" si="1"/>
        <v>49.66</v>
      </c>
      <c r="L5" s="2435">
        <f t="shared" si="2"/>
        <v>47.792783999999997</v>
      </c>
      <c r="M5" s="2432">
        <v>1.34</v>
      </c>
      <c r="N5" s="2424">
        <f t="shared" si="3"/>
        <v>1.2896160000000001</v>
      </c>
      <c r="O5" s="2433">
        <v>7080</v>
      </c>
      <c r="P5" s="2426">
        <f t="shared" si="4"/>
        <v>7473.0842305256492</v>
      </c>
      <c r="Q5" s="2426">
        <f t="shared" si="5"/>
        <v>6813.7920000000004</v>
      </c>
      <c r="R5" s="2426">
        <f t="shared" si="6"/>
        <v>7835.3253652058429</v>
      </c>
      <c r="S5" s="2426">
        <f t="shared" si="7"/>
        <v>6352.1215959468018</v>
      </c>
      <c r="T5" s="2426">
        <f t="shared" si="8"/>
        <v>6277.3907536415454</v>
      </c>
      <c r="U5" s="2427">
        <f t="shared" si="9"/>
        <v>6202.659911336289</v>
      </c>
      <c r="V5" s="2428" t="s">
        <v>1149</v>
      </c>
    </row>
    <row r="6" spans="1:22">
      <c r="A6" s="2421">
        <v>46267</v>
      </c>
      <c r="B6" s="2422" t="s">
        <v>1141</v>
      </c>
      <c r="C6" s="2129">
        <v>1826</v>
      </c>
      <c r="D6" s="2130" t="s">
        <v>1152</v>
      </c>
      <c r="E6" s="2431">
        <v>9.0670080000000013</v>
      </c>
      <c r="F6" s="2431">
        <v>5.12</v>
      </c>
      <c r="G6" s="2431">
        <v>3.18</v>
      </c>
      <c r="H6" s="2424">
        <f t="shared" si="0"/>
        <v>3.0477120000000002</v>
      </c>
      <c r="I6" s="2431">
        <v>41.2</v>
      </c>
      <c r="J6" s="2424">
        <f t="shared" si="10"/>
        <v>39.486080000000001</v>
      </c>
      <c r="K6" s="2424">
        <f t="shared" si="1"/>
        <v>50.499999999999986</v>
      </c>
      <c r="L6" s="2424">
        <f t="shared" si="2"/>
        <v>48.399199999999993</v>
      </c>
      <c r="M6" s="2432">
        <v>1.39</v>
      </c>
      <c r="N6" s="2424">
        <f t="shared" si="3"/>
        <v>1.332176</v>
      </c>
      <c r="O6" s="2433">
        <v>7131</v>
      </c>
      <c r="P6" s="2426">
        <f t="shared" si="4"/>
        <v>7515.8094435075891</v>
      </c>
      <c r="Q6" s="2426">
        <f t="shared" si="5"/>
        <v>6834.3504000000003</v>
      </c>
      <c r="R6" s="2426">
        <f t="shared" si="6"/>
        <v>7776.4449291166857</v>
      </c>
      <c r="S6" s="2426">
        <f t="shared" si="7"/>
        <v>6388.438026981451</v>
      </c>
      <c r="T6" s="2426">
        <f t="shared" si="8"/>
        <v>6313.2799325463748</v>
      </c>
      <c r="U6" s="2427">
        <f t="shared" si="9"/>
        <v>6238.1218381112985</v>
      </c>
      <c r="V6" s="2428" t="s">
        <v>1149</v>
      </c>
    </row>
    <row r="7" spans="1:22">
      <c r="A7" s="2421">
        <v>46267</v>
      </c>
      <c r="B7" s="2422" t="s">
        <v>1134</v>
      </c>
      <c r="C7" s="2129">
        <v>5000</v>
      </c>
      <c r="D7" s="2130" t="s">
        <v>1153</v>
      </c>
      <c r="E7" s="2431">
        <v>8.7412150000000004</v>
      </c>
      <c r="F7" s="2431">
        <v>4.79</v>
      </c>
      <c r="G7" s="2431">
        <v>3.35</v>
      </c>
      <c r="H7" s="2424">
        <f t="shared" si="0"/>
        <v>3.2109750000000004</v>
      </c>
      <c r="I7" s="2431">
        <v>40.799999999999997</v>
      </c>
      <c r="J7" s="2424">
        <f t="shared" si="10"/>
        <v>39.1068</v>
      </c>
      <c r="K7" s="2424">
        <f t="shared" si="1"/>
        <v>51.06</v>
      </c>
      <c r="L7" s="2424">
        <f t="shared" si="2"/>
        <v>48.941010000000013</v>
      </c>
      <c r="M7" s="2432">
        <v>1.31</v>
      </c>
      <c r="N7" s="2424">
        <f t="shared" si="3"/>
        <v>1.2556350000000003</v>
      </c>
      <c r="O7" s="2433">
        <v>7198</v>
      </c>
      <c r="P7" s="2426">
        <f t="shared" si="4"/>
        <v>7560.1302384203345</v>
      </c>
      <c r="Q7" s="2426">
        <f t="shared" si="5"/>
        <v>6899.2830000000013</v>
      </c>
      <c r="R7" s="2426">
        <f t="shared" si="6"/>
        <v>7835.837143479208</v>
      </c>
      <c r="S7" s="2426">
        <f t="shared" si="7"/>
        <v>6426.1107026572845</v>
      </c>
      <c r="T7" s="2426">
        <f t="shared" si="8"/>
        <v>6350.5094002730812</v>
      </c>
      <c r="U7" s="2427">
        <f t="shared" si="9"/>
        <v>6274.9080978888778</v>
      </c>
      <c r="V7" s="2428" t="s">
        <v>1149</v>
      </c>
    </row>
    <row r="8" spans="1:22">
      <c r="A8" s="2421">
        <v>46267</v>
      </c>
      <c r="B8" s="2422" t="s">
        <v>1134</v>
      </c>
      <c r="C8" s="2129">
        <v>1016</v>
      </c>
      <c r="D8" s="2130" t="s">
        <v>1154</v>
      </c>
      <c r="E8" s="2431">
        <v>8.8873359999999995</v>
      </c>
      <c r="F8" s="2431">
        <v>5.17</v>
      </c>
      <c r="G8" s="2431">
        <v>3.43</v>
      </c>
      <c r="H8" s="2424">
        <f t="shared" si="0"/>
        <v>3.295544</v>
      </c>
      <c r="I8" s="2431">
        <v>40.9</v>
      </c>
      <c r="J8" s="2424">
        <f t="shared" si="10"/>
        <v>39.296720000000001</v>
      </c>
      <c r="K8" s="2424">
        <f t="shared" si="1"/>
        <v>50.499999999999993</v>
      </c>
      <c r="L8" s="2424">
        <f t="shared" si="2"/>
        <v>48.520399999999995</v>
      </c>
      <c r="M8" s="2432">
        <v>1.21</v>
      </c>
      <c r="N8" s="2424">
        <f t="shared" si="3"/>
        <v>1.162568</v>
      </c>
      <c r="O8" s="2433">
        <v>7263</v>
      </c>
      <c r="P8" s="2426">
        <f t="shared" si="4"/>
        <v>7658.9686807972166</v>
      </c>
      <c r="Q8" s="2426">
        <f t="shared" si="5"/>
        <v>6978.2903999999999</v>
      </c>
      <c r="R8" s="2426">
        <f t="shared" si="6"/>
        <v>7946.3894967177248</v>
      </c>
      <c r="S8" s="2426">
        <f t="shared" si="7"/>
        <v>6510.1233786776338</v>
      </c>
      <c r="T8" s="2426">
        <f t="shared" si="8"/>
        <v>6433.5336918696612</v>
      </c>
      <c r="U8" s="2427">
        <f t="shared" si="9"/>
        <v>6356.9440050616895</v>
      </c>
      <c r="V8" s="2428" t="s">
        <v>1149</v>
      </c>
    </row>
    <row r="9" spans="1:22">
      <c r="A9" s="2421">
        <v>46268</v>
      </c>
      <c r="B9" s="2422" t="s">
        <v>1141</v>
      </c>
      <c r="C9" s="2129">
        <v>3554</v>
      </c>
      <c r="D9" s="2130" t="s">
        <v>1155</v>
      </c>
      <c r="E9" s="2431">
        <v>7.5480120000000008</v>
      </c>
      <c r="F9" s="2431">
        <v>4.6100000000000003</v>
      </c>
      <c r="G9" s="2431">
        <v>3.88</v>
      </c>
      <c r="H9" s="2424">
        <f t="shared" si="0"/>
        <v>3.7604959999999998</v>
      </c>
      <c r="I9" s="2431">
        <v>41.1</v>
      </c>
      <c r="J9" s="2424">
        <f t="shared" si="10"/>
        <v>39.834120000000006</v>
      </c>
      <c r="K9" s="2424">
        <f t="shared" si="1"/>
        <v>50.410000000000004</v>
      </c>
      <c r="L9" s="2424">
        <f t="shared" si="2"/>
        <v>48.857371999999998</v>
      </c>
      <c r="M9" s="2432">
        <v>1.33</v>
      </c>
      <c r="N9" s="2424">
        <f t="shared" si="3"/>
        <v>1.2890360000000001</v>
      </c>
      <c r="O9" s="2433">
        <v>7337</v>
      </c>
      <c r="P9" s="2426">
        <f t="shared" si="4"/>
        <v>7691.5819268267114</v>
      </c>
      <c r="Q9" s="2426">
        <f t="shared" si="5"/>
        <v>7111.0204000000003</v>
      </c>
      <c r="R9" s="2426">
        <f t="shared" si="6"/>
        <v>8017.7029832805156</v>
      </c>
      <c r="S9" s="2426">
        <f t="shared" si="7"/>
        <v>6537.8446378027047</v>
      </c>
      <c r="T9" s="2426">
        <f t="shared" si="8"/>
        <v>6460.9288185344376</v>
      </c>
      <c r="U9" s="2427">
        <f t="shared" si="9"/>
        <v>6384.0129992661705</v>
      </c>
      <c r="V9" s="2428" t="s">
        <v>1149</v>
      </c>
    </row>
    <row r="10" spans="1:22">
      <c r="A10" s="2421">
        <v>46268</v>
      </c>
      <c r="B10" s="2422" t="s">
        <v>1134</v>
      </c>
      <c r="C10" s="2129">
        <v>5000</v>
      </c>
      <c r="D10" s="2130" t="s">
        <v>1156</v>
      </c>
      <c r="E10" s="2431">
        <v>6.9594159999999992</v>
      </c>
      <c r="F10" s="2431">
        <v>5.08</v>
      </c>
      <c r="G10" s="2431">
        <v>3.48</v>
      </c>
      <c r="H10" s="2424">
        <f t="shared" si="0"/>
        <v>3.4110959999999997</v>
      </c>
      <c r="I10" s="2431">
        <v>43.42</v>
      </c>
      <c r="J10" s="2424">
        <f t="shared" si="10"/>
        <v>42.560283999999996</v>
      </c>
      <c r="K10" s="2424">
        <f t="shared" si="1"/>
        <v>48.019999999999996</v>
      </c>
      <c r="L10" s="2424">
        <f t="shared" si="2"/>
        <v>47.069203999999985</v>
      </c>
      <c r="M10" s="2432">
        <v>1.22</v>
      </c>
      <c r="N10" s="2424">
        <f t="shared" si="3"/>
        <v>1.1958439999999999</v>
      </c>
      <c r="O10" s="2433">
        <v>7328</v>
      </c>
      <c r="P10" s="2426">
        <f t="shared" si="4"/>
        <v>7720.1854193004638</v>
      </c>
      <c r="Q10" s="2426">
        <f t="shared" si="5"/>
        <v>7182.9056</v>
      </c>
      <c r="R10" s="2426">
        <f t="shared" si="6"/>
        <v>8013.9982502187231</v>
      </c>
      <c r="S10" s="2426">
        <f t="shared" si="7"/>
        <v>6562.1576064053943</v>
      </c>
      <c r="T10" s="2426">
        <f t="shared" si="8"/>
        <v>6484.9557522123896</v>
      </c>
      <c r="U10" s="2427">
        <f t="shared" si="9"/>
        <v>6407.7538980193849</v>
      </c>
      <c r="V10" s="2428" t="s">
        <v>1149</v>
      </c>
    </row>
    <row r="11" spans="1:22">
      <c r="A11" s="2421">
        <v>46268</v>
      </c>
      <c r="B11" s="2422" t="s">
        <v>1134</v>
      </c>
      <c r="C11" s="2129">
        <v>2461</v>
      </c>
      <c r="D11" s="2130" t="s">
        <v>1157</v>
      </c>
      <c r="E11" s="2431">
        <v>6.4560839999999997</v>
      </c>
      <c r="F11" s="2431">
        <v>4.43</v>
      </c>
      <c r="G11" s="2431">
        <v>2.92</v>
      </c>
      <c r="H11" s="2424">
        <f t="shared" si="0"/>
        <v>2.8580960000000002</v>
      </c>
      <c r="I11" s="2431">
        <v>43.17</v>
      </c>
      <c r="J11" s="2424">
        <f t="shared" si="10"/>
        <v>42.254796000000006</v>
      </c>
      <c r="K11" s="2424">
        <f t="shared" si="1"/>
        <v>49.47999999999999</v>
      </c>
      <c r="L11" s="2424">
        <f t="shared" si="2"/>
        <v>48.431023999999994</v>
      </c>
      <c r="M11" s="2432">
        <v>1.23</v>
      </c>
      <c r="N11" s="2424">
        <f t="shared" si="3"/>
        <v>1.203924</v>
      </c>
      <c r="O11" s="2433">
        <v>7280</v>
      </c>
      <c r="P11" s="2426">
        <f t="shared" si="4"/>
        <v>7617.4531756827464</v>
      </c>
      <c r="Q11" s="2426">
        <f t="shared" si="5"/>
        <v>7125.6639999999998</v>
      </c>
      <c r="R11" s="2426">
        <f t="shared" si="6"/>
        <v>7857.5283324338916</v>
      </c>
      <c r="S11" s="2426">
        <f t="shared" si="7"/>
        <v>6474.835199330334</v>
      </c>
      <c r="T11" s="2426">
        <f t="shared" si="8"/>
        <v>6398.6606675735065</v>
      </c>
      <c r="U11" s="2427">
        <f t="shared" si="9"/>
        <v>6322.4861358166791</v>
      </c>
      <c r="V11" s="2428" t="s">
        <v>1149</v>
      </c>
    </row>
    <row r="12" spans="1:22">
      <c r="A12" s="2421">
        <v>46269</v>
      </c>
      <c r="B12" s="2422" t="s">
        <v>1141</v>
      </c>
      <c r="C12" s="2129">
        <v>4158</v>
      </c>
      <c r="D12" s="2130" t="s">
        <v>1158</v>
      </c>
      <c r="E12" s="2431">
        <v>6.9412439999999993</v>
      </c>
      <c r="F12" s="2431">
        <v>4.7699999999999996</v>
      </c>
      <c r="G12" s="2431">
        <v>1.69</v>
      </c>
      <c r="H12" s="2424">
        <f t="shared" si="0"/>
        <v>1.6514679999999999</v>
      </c>
      <c r="I12" s="2431">
        <v>41.7</v>
      </c>
      <c r="J12" s="2424">
        <f t="shared" si="10"/>
        <v>40.74924</v>
      </c>
      <c r="K12" s="2424">
        <f t="shared" si="1"/>
        <v>51.84</v>
      </c>
      <c r="L12" s="2424">
        <f t="shared" si="2"/>
        <v>50.658048000000001</v>
      </c>
      <c r="M12" s="2432">
        <v>1.1599999999999999</v>
      </c>
      <c r="N12" s="2424">
        <f t="shared" si="3"/>
        <v>1.1335519999999999</v>
      </c>
      <c r="O12" s="2433">
        <v>7451</v>
      </c>
      <c r="P12" s="2426">
        <f t="shared" si="4"/>
        <v>7824.2150582799532</v>
      </c>
      <c r="Q12" s="2426">
        <f t="shared" si="5"/>
        <v>7281.1171999999997</v>
      </c>
      <c r="R12" s="2426">
        <f t="shared" si="6"/>
        <v>7965.5762240752611</v>
      </c>
      <c r="S12" s="2426">
        <f t="shared" si="7"/>
        <v>6650.5827995379605</v>
      </c>
      <c r="T12" s="2426">
        <f t="shared" si="8"/>
        <v>6572.3406489551608</v>
      </c>
      <c r="U12" s="2427">
        <f t="shared" si="9"/>
        <v>6494.0984983723611</v>
      </c>
      <c r="V12" s="2428" t="s">
        <v>1149</v>
      </c>
    </row>
    <row r="13" spans="1:22">
      <c r="A13" s="2421">
        <v>46269</v>
      </c>
      <c r="B13" s="2422" t="s">
        <v>1134</v>
      </c>
      <c r="C13" s="2129">
        <v>5000</v>
      </c>
      <c r="D13" s="2130" t="s">
        <v>1827</v>
      </c>
      <c r="E13" s="2431">
        <v>8.1224799999999995</v>
      </c>
      <c r="F13" s="2431">
        <v>4.8</v>
      </c>
      <c r="G13" s="2431">
        <v>2.38</v>
      </c>
      <c r="H13" s="2424">
        <f t="shared" si="0"/>
        <v>2.2969379999999999</v>
      </c>
      <c r="I13" s="2431">
        <v>41.3</v>
      </c>
      <c r="J13" s="2424">
        <f t="shared" si="10"/>
        <v>39.858629999999998</v>
      </c>
      <c r="K13" s="2424">
        <f t="shared" si="1"/>
        <v>51.52000000000001</v>
      </c>
      <c r="L13" s="2424">
        <f t="shared" si="2"/>
        <v>49.721952000000009</v>
      </c>
      <c r="M13" s="2432">
        <v>1.0900000000000001</v>
      </c>
      <c r="N13" s="2424">
        <f t="shared" si="3"/>
        <v>1.0519590000000001</v>
      </c>
      <c r="O13" s="2433">
        <v>7556</v>
      </c>
      <c r="P13" s="2426">
        <f t="shared" si="4"/>
        <v>7936.9747899159665</v>
      </c>
      <c r="Q13" s="2426">
        <f t="shared" si="5"/>
        <v>7292.2956000000004</v>
      </c>
      <c r="R13" s="2426">
        <f t="shared" si="6"/>
        <v>8140.4869640163752</v>
      </c>
      <c r="S13" s="2426">
        <f t="shared" si="7"/>
        <v>6746.4285714285716</v>
      </c>
      <c r="T13" s="2426">
        <f t="shared" si="8"/>
        <v>6667.0588235294117</v>
      </c>
      <c r="U13" s="2427">
        <f t="shared" si="9"/>
        <v>6587.6890756302519</v>
      </c>
      <c r="V13" s="2428" t="s">
        <v>1149</v>
      </c>
    </row>
    <row r="14" spans="1:22">
      <c r="A14" s="2421">
        <v>46269</v>
      </c>
      <c r="B14" s="2422" t="s">
        <v>1134</v>
      </c>
      <c r="C14" s="2129">
        <v>1033</v>
      </c>
      <c r="D14" s="2130" t="s">
        <v>1828</v>
      </c>
      <c r="E14" s="2431">
        <v>7.8980940000000004</v>
      </c>
      <c r="F14" s="2431">
        <v>5.03</v>
      </c>
      <c r="G14" s="2431">
        <v>1.82</v>
      </c>
      <c r="H14" s="2424">
        <f t="shared" si="0"/>
        <v>1.765036</v>
      </c>
      <c r="I14" s="2431">
        <v>41.5</v>
      </c>
      <c r="J14" s="2424">
        <f t="shared" si="10"/>
        <v>40.246700000000004</v>
      </c>
      <c r="K14" s="2424">
        <f t="shared" si="1"/>
        <v>51.650000000000006</v>
      </c>
      <c r="L14" s="2424">
        <f t="shared" si="2"/>
        <v>50.090170000000008</v>
      </c>
      <c r="M14" s="2432">
        <v>1.05</v>
      </c>
      <c r="N14" s="2424">
        <f t="shared" si="3"/>
        <v>1.0182900000000001</v>
      </c>
      <c r="O14" s="2433">
        <v>7402</v>
      </c>
      <c r="P14" s="2426">
        <f t="shared" si="4"/>
        <v>7794.0402232283877</v>
      </c>
      <c r="Q14" s="2426">
        <f t="shared" si="5"/>
        <v>7178.4595999999992</v>
      </c>
      <c r="R14" s="2426">
        <f t="shared" si="6"/>
        <v>7946.3231347289311</v>
      </c>
      <c r="S14" s="2426">
        <f t="shared" si="7"/>
        <v>6624.93418974413</v>
      </c>
      <c r="T14" s="2426">
        <f t="shared" si="8"/>
        <v>6546.9937875118458</v>
      </c>
      <c r="U14" s="2427">
        <f t="shared" si="9"/>
        <v>6469.0533852795625</v>
      </c>
      <c r="V14" s="2428" t="s">
        <v>1149</v>
      </c>
    </row>
    <row r="15" spans="1:22">
      <c r="A15" s="2421"/>
      <c r="B15" s="2422"/>
      <c r="C15" s="2129"/>
      <c r="D15" s="2130"/>
      <c r="E15" s="2423"/>
      <c r="F15" s="2423"/>
      <c r="G15" s="2423"/>
      <c r="H15" s="2424"/>
      <c r="I15" s="2423"/>
      <c r="J15" s="2424"/>
      <c r="K15" s="2424"/>
      <c r="L15" s="2424"/>
      <c r="M15" s="2423"/>
      <c r="N15" s="2424"/>
      <c r="O15" s="2425"/>
      <c r="P15" s="2426"/>
      <c r="Q15" s="2426"/>
      <c r="R15" s="2426"/>
      <c r="S15" s="2426"/>
      <c r="T15" s="2426"/>
      <c r="U15" s="2427"/>
      <c r="V15" s="2428"/>
    </row>
    <row r="16" spans="1:22">
      <c r="A16" s="2421"/>
      <c r="B16" s="2422"/>
      <c r="C16" s="2129"/>
      <c r="D16" s="2130"/>
      <c r="E16" s="2423"/>
      <c r="F16" s="2423"/>
      <c r="G16" s="2423"/>
      <c r="H16" s="2424"/>
      <c r="I16" s="2423"/>
      <c r="J16" s="2424"/>
      <c r="K16" s="2424"/>
      <c r="L16" s="2424"/>
      <c r="M16" s="2423"/>
      <c r="N16" s="2424"/>
      <c r="O16" s="2425"/>
      <c r="P16" s="2426"/>
      <c r="Q16" s="2426"/>
      <c r="R16" s="2426"/>
      <c r="S16" s="2426"/>
      <c r="T16" s="2426"/>
      <c r="U16" s="2427"/>
      <c r="V16" s="2428"/>
    </row>
    <row r="17" spans="1:22">
      <c r="A17" s="2421"/>
      <c r="B17" s="2422"/>
      <c r="C17" s="2129"/>
      <c r="D17" s="2130"/>
      <c r="E17" s="2423"/>
      <c r="F17" s="2423"/>
      <c r="G17" s="2423"/>
      <c r="H17" s="2424"/>
      <c r="I17" s="2423"/>
      <c r="J17" s="2424"/>
      <c r="K17" s="2424"/>
      <c r="L17" s="2424"/>
      <c r="M17" s="2423"/>
      <c r="N17" s="2424"/>
      <c r="O17" s="2425"/>
      <c r="P17" s="2426"/>
      <c r="Q17" s="2426"/>
      <c r="R17" s="2426"/>
      <c r="S17" s="2426"/>
      <c r="T17" s="2426"/>
      <c r="U17" s="2427"/>
      <c r="V17" s="2428"/>
    </row>
    <row r="18" spans="1:22">
      <c r="A18" s="2421"/>
      <c r="B18" s="2422"/>
      <c r="C18" s="2129"/>
      <c r="D18" s="2130"/>
      <c r="E18" s="2423"/>
      <c r="F18" s="2423"/>
      <c r="G18" s="2423"/>
      <c r="H18" s="2424"/>
      <c r="I18" s="2423"/>
      <c r="J18" s="2424"/>
      <c r="K18" s="2424"/>
      <c r="L18" s="2424"/>
      <c r="M18" s="2423"/>
      <c r="N18" s="2424"/>
      <c r="O18" s="2425"/>
      <c r="P18" s="2426"/>
      <c r="Q18" s="2426"/>
      <c r="R18" s="2426"/>
      <c r="S18" s="2426"/>
      <c r="T18" s="2426"/>
      <c r="U18" s="2427"/>
      <c r="V18" s="2428"/>
    </row>
    <row r="19" spans="1:22">
      <c r="A19" s="2421"/>
      <c r="B19" s="2422"/>
      <c r="C19" s="2129"/>
      <c r="D19" s="2130"/>
      <c r="E19" s="2423"/>
      <c r="F19" s="2423"/>
      <c r="G19" s="2423"/>
      <c r="H19" s="2424"/>
      <c r="I19" s="2423"/>
      <c r="J19" s="2424"/>
      <c r="K19" s="2424"/>
      <c r="L19" s="2424"/>
      <c r="M19" s="2423"/>
      <c r="N19" s="2424"/>
      <c r="O19" s="2425"/>
      <c r="P19" s="2426"/>
      <c r="Q19" s="2426"/>
      <c r="R19" s="2426"/>
      <c r="S19" s="2426"/>
      <c r="T19" s="2426"/>
      <c r="U19" s="2427"/>
      <c r="V19" s="2428"/>
    </row>
    <row r="20" spans="1:22">
      <c r="A20" s="2421"/>
      <c r="B20" s="2422"/>
      <c r="C20" s="2129"/>
      <c r="D20" s="2130"/>
      <c r="E20" s="2423"/>
      <c r="F20" s="2423"/>
      <c r="G20" s="2423"/>
      <c r="H20" s="2424"/>
      <c r="I20" s="2423"/>
      <c r="J20" s="2424"/>
      <c r="K20" s="2424"/>
      <c r="L20" s="2424"/>
      <c r="M20" s="2423"/>
      <c r="N20" s="2424"/>
      <c r="O20" s="2425"/>
      <c r="P20" s="2426"/>
      <c r="Q20" s="2426"/>
      <c r="R20" s="2426"/>
      <c r="S20" s="2426"/>
      <c r="T20" s="2426"/>
      <c r="U20" s="2427"/>
      <c r="V20" s="2428"/>
    </row>
    <row r="21" spans="1:22">
      <c r="A21" s="2421"/>
      <c r="B21" s="2422"/>
      <c r="C21" s="2129"/>
      <c r="D21" s="2130"/>
      <c r="E21" s="2423"/>
      <c r="F21" s="2423"/>
      <c r="G21" s="2423"/>
      <c r="H21" s="2424"/>
      <c r="I21" s="2423"/>
      <c r="J21" s="2424"/>
      <c r="K21" s="2424"/>
      <c r="L21" s="2424"/>
      <c r="M21" s="2423"/>
      <c r="N21" s="2424"/>
      <c r="O21" s="2425"/>
      <c r="P21" s="2426"/>
      <c r="Q21" s="2426"/>
      <c r="R21" s="2426"/>
      <c r="S21" s="2426"/>
      <c r="T21" s="2426"/>
      <c r="U21" s="2427"/>
      <c r="V21" s="2428"/>
    </row>
    <row r="22" spans="1:22">
      <c r="A22" s="2421"/>
      <c r="B22" s="2422"/>
      <c r="C22" s="2129"/>
      <c r="D22" s="2130"/>
      <c r="E22" s="2423"/>
      <c r="F22" s="2423"/>
      <c r="G22" s="2423"/>
      <c r="H22" s="2424"/>
      <c r="I22" s="2423"/>
      <c r="J22" s="2424"/>
      <c r="K22" s="2424"/>
      <c r="L22" s="2424"/>
      <c r="M22" s="2423"/>
      <c r="N22" s="2424"/>
      <c r="O22" s="2425"/>
      <c r="P22" s="2426"/>
      <c r="Q22" s="2426"/>
      <c r="R22" s="2426"/>
      <c r="S22" s="2426"/>
      <c r="T22" s="2426"/>
      <c r="U22" s="2427"/>
      <c r="V22" s="2428"/>
    </row>
    <row r="23" spans="1:22">
      <c r="A23" s="2421"/>
      <c r="B23" s="2422"/>
      <c r="C23" s="2129"/>
      <c r="D23" s="2130"/>
      <c r="E23" s="2423"/>
      <c r="F23" s="2423"/>
      <c r="G23" s="2423"/>
      <c r="H23" s="2424"/>
      <c r="I23" s="2423"/>
      <c r="J23" s="2424"/>
      <c r="K23" s="2424"/>
      <c r="L23" s="2424"/>
      <c r="M23" s="2423"/>
      <c r="N23" s="2424"/>
      <c r="O23" s="2425"/>
      <c r="P23" s="2426"/>
      <c r="Q23" s="2426"/>
      <c r="R23" s="2426"/>
      <c r="S23" s="2426"/>
      <c r="T23" s="2426"/>
      <c r="U23" s="2427"/>
      <c r="V23" s="2428"/>
    </row>
    <row r="24" spans="1:22">
      <c r="A24" s="2421"/>
      <c r="B24" s="2422"/>
      <c r="C24" s="2129"/>
      <c r="D24" s="2130"/>
      <c r="E24" s="2423"/>
      <c r="F24" s="2423"/>
      <c r="G24" s="2423"/>
      <c r="H24" s="2424"/>
      <c r="I24" s="2423"/>
      <c r="J24" s="2424"/>
      <c r="K24" s="2424"/>
      <c r="L24" s="2424"/>
      <c r="M24" s="2423"/>
      <c r="N24" s="2424"/>
      <c r="O24" s="2425"/>
      <c r="P24" s="2426"/>
      <c r="Q24" s="2426"/>
      <c r="R24" s="2426"/>
      <c r="S24" s="2426"/>
      <c r="T24" s="2426"/>
      <c r="U24" s="2427"/>
      <c r="V24" s="2428"/>
    </row>
    <row r="25" spans="1:22">
      <c r="A25" s="2421"/>
      <c r="B25" s="2422"/>
      <c r="C25" s="2129"/>
      <c r="D25" s="2130"/>
      <c r="E25" s="2423"/>
      <c r="F25" s="2423"/>
      <c r="G25" s="2423"/>
      <c r="H25" s="2424"/>
      <c r="I25" s="2423"/>
      <c r="J25" s="2424"/>
      <c r="K25" s="2424"/>
      <c r="L25" s="2424"/>
      <c r="M25" s="2423"/>
      <c r="N25" s="2424"/>
      <c r="O25" s="2425"/>
      <c r="P25" s="2426"/>
      <c r="Q25" s="2426"/>
      <c r="R25" s="2426"/>
      <c r="S25" s="2426"/>
      <c r="T25" s="2426"/>
      <c r="U25" s="2427"/>
      <c r="V25" s="2428"/>
    </row>
    <row r="26" spans="1:22">
      <c r="A26" s="2421"/>
      <c r="B26" s="2422"/>
      <c r="C26" s="2129"/>
      <c r="D26" s="2130"/>
      <c r="E26" s="2423"/>
      <c r="F26" s="2423"/>
      <c r="G26" s="2423"/>
      <c r="H26" s="2424"/>
      <c r="I26" s="2423"/>
      <c r="J26" s="2424"/>
      <c r="K26" s="2424"/>
      <c r="L26" s="2424"/>
      <c r="M26" s="2423"/>
      <c r="N26" s="2424"/>
      <c r="O26" s="2425"/>
      <c r="P26" s="2426"/>
      <c r="Q26" s="2426"/>
      <c r="R26" s="2426"/>
      <c r="S26" s="2426"/>
      <c r="T26" s="2426"/>
      <c r="U26" s="2427"/>
      <c r="V26" s="2428"/>
    </row>
    <row r="27" spans="1:22">
      <c r="A27" s="2421"/>
      <c r="B27" s="2422"/>
      <c r="C27" s="2129"/>
      <c r="D27" s="2130"/>
      <c r="E27" s="2423"/>
      <c r="F27" s="2423"/>
      <c r="G27" s="2423"/>
      <c r="H27" s="2424"/>
      <c r="I27" s="2423"/>
      <c r="J27" s="2424"/>
      <c r="K27" s="2424"/>
      <c r="L27" s="2424"/>
      <c r="M27" s="2423"/>
      <c r="N27" s="2424"/>
      <c r="O27" s="2425"/>
      <c r="P27" s="2426"/>
      <c r="Q27" s="2426"/>
      <c r="R27" s="2426"/>
      <c r="S27" s="2426"/>
      <c r="T27" s="2426"/>
      <c r="U27" s="2427"/>
      <c r="V27" s="2428"/>
    </row>
    <row r="28" spans="1:22">
      <c r="A28" s="2421"/>
      <c r="B28" s="2422"/>
      <c r="C28" s="2129"/>
      <c r="D28" s="2130"/>
      <c r="E28" s="2423"/>
      <c r="F28" s="2423"/>
      <c r="G28" s="2423"/>
      <c r="H28" s="2424"/>
      <c r="I28" s="2423"/>
      <c r="J28" s="2424"/>
      <c r="K28" s="2424"/>
      <c r="L28" s="2424"/>
      <c r="M28" s="2423"/>
      <c r="N28" s="2424"/>
      <c r="O28" s="2425"/>
      <c r="P28" s="2426"/>
      <c r="Q28" s="2426"/>
      <c r="R28" s="2426"/>
      <c r="S28" s="2426"/>
      <c r="T28" s="2426"/>
      <c r="U28" s="2427"/>
      <c r="V28" s="2428"/>
    </row>
    <row r="29" spans="1:22">
      <c r="A29" s="2421"/>
      <c r="B29" s="2422"/>
      <c r="C29" s="2129"/>
      <c r="D29" s="2130"/>
      <c r="E29" s="2423"/>
      <c r="F29" s="2423"/>
      <c r="G29" s="2423"/>
      <c r="H29" s="2424"/>
      <c r="I29" s="2423"/>
      <c r="J29" s="2424"/>
      <c r="K29" s="2424"/>
      <c r="L29" s="2424"/>
      <c r="M29" s="2423"/>
      <c r="N29" s="2424"/>
      <c r="O29" s="2425"/>
      <c r="P29" s="2426"/>
      <c r="Q29" s="2426"/>
      <c r="R29" s="2426"/>
      <c r="S29" s="2426"/>
      <c r="T29" s="2426"/>
      <c r="U29" s="2427"/>
      <c r="V29" s="2428"/>
    </row>
  </sheetData>
  <mergeCells count="7">
    <mergeCell ref="V1:V2"/>
    <mergeCell ref="D1:D2"/>
    <mergeCell ref="G1:H1"/>
    <mergeCell ref="I1:J1"/>
    <mergeCell ref="K1:L1"/>
    <mergeCell ref="M1:N1"/>
    <mergeCell ref="O1:U1"/>
  </mergeCell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F69"/>
  <sheetViews>
    <sheetView topLeftCell="A52" workbookViewId="0">
      <selection activeCell="D86" sqref="D86"/>
    </sheetView>
  </sheetViews>
  <sheetFormatPr defaultRowHeight="14.4"/>
  <cols>
    <col min="1" max="2" width="14.5546875" customWidth="1"/>
    <col min="3" max="3" width="27.33203125" customWidth="1"/>
    <col min="4" max="4" width="14.5546875" customWidth="1"/>
    <col min="5" max="5" width="14.6640625" customWidth="1"/>
    <col min="6" max="6" width="17" customWidth="1"/>
    <col min="7" max="7" width="17.44140625" customWidth="1"/>
    <col min="8" max="10" width="14.5546875" customWidth="1"/>
    <col min="11" max="11" width="29.33203125" customWidth="1"/>
    <col min="12" max="30" width="14.5546875" customWidth="1"/>
    <col min="31" max="32" width="14.5546875" style="1903" customWidth="1"/>
  </cols>
  <sheetData>
    <row r="1" spans="1:32" ht="15.6">
      <c r="A1" s="2178" t="s">
        <v>99</v>
      </c>
      <c r="B1" s="2179" t="s">
        <v>1159</v>
      </c>
      <c r="C1" s="2179" t="s">
        <v>1160</v>
      </c>
      <c r="D1" s="2179" t="s">
        <v>1161</v>
      </c>
      <c r="E1" s="2179" t="s">
        <v>1162</v>
      </c>
      <c r="F1" s="2179" t="s">
        <v>1163</v>
      </c>
      <c r="G1" s="2180" t="s">
        <v>1164</v>
      </c>
      <c r="H1" s="2180" t="s">
        <v>1165</v>
      </c>
      <c r="I1" s="2180" t="s">
        <v>1166</v>
      </c>
      <c r="J1" s="2180" t="s">
        <v>1167</v>
      </c>
      <c r="K1" s="2179" t="s">
        <v>1168</v>
      </c>
      <c r="L1" s="2179" t="s">
        <v>1169</v>
      </c>
      <c r="M1" s="2179" t="s">
        <v>1170</v>
      </c>
      <c r="N1" s="2179" t="s">
        <v>1171</v>
      </c>
      <c r="O1" s="2179" t="s">
        <v>1172</v>
      </c>
      <c r="P1" s="2179" t="s">
        <v>1173</v>
      </c>
      <c r="Q1" s="2179" t="s">
        <v>1174</v>
      </c>
      <c r="R1" s="2179" t="s">
        <v>1175</v>
      </c>
      <c r="S1" s="2178" t="s">
        <v>1176</v>
      </c>
      <c r="T1" s="2179" t="s">
        <v>1177</v>
      </c>
      <c r="U1" s="2178" t="s">
        <v>1178</v>
      </c>
      <c r="V1" s="2178" t="s">
        <v>1179</v>
      </c>
      <c r="W1" s="2178" t="s">
        <v>1180</v>
      </c>
      <c r="X1" s="2178" t="s">
        <v>1181</v>
      </c>
      <c r="Y1" s="2179" t="s">
        <v>1182</v>
      </c>
      <c r="Z1" s="2178" t="s">
        <v>1183</v>
      </c>
      <c r="AA1" s="2178" t="s">
        <v>1184</v>
      </c>
      <c r="AB1" s="2178" t="s">
        <v>1185</v>
      </c>
      <c r="AC1" s="2178" t="s">
        <v>1186</v>
      </c>
      <c r="AD1" s="2178" t="s">
        <v>1187</v>
      </c>
      <c r="AE1" s="2188" t="s">
        <v>1188</v>
      </c>
      <c r="AF1" s="2188" t="s">
        <v>1189</v>
      </c>
    </row>
    <row r="2" spans="1:32" ht="15.6">
      <c r="A2" s="2181">
        <v>46143</v>
      </c>
      <c r="B2" s="2176">
        <f>+SUM('May TCM'!EA10,'May TCM'!EN10)</f>
        <v>2730.4400000000005</v>
      </c>
      <c r="C2" s="2176"/>
      <c r="D2" s="2176">
        <f>SUM('May TCM'!DL10,'May TCM'!DN10,'May TCM'!EC10,'May TCM'!EP10)</f>
        <v>6033.2</v>
      </c>
      <c r="E2" s="2176">
        <f>SUM('May TCM'!PW10)</f>
        <v>0</v>
      </c>
      <c r="F2" s="2176">
        <f>SUM('May TCM'!BN10)</f>
        <v>0</v>
      </c>
      <c r="G2" s="2176">
        <f>'May TCM'!KO10</f>
        <v>7124.0831653902997</v>
      </c>
      <c r="H2" s="2177">
        <f>'May TCM'!KP10</f>
        <v>0.44671772134891846</v>
      </c>
      <c r="I2" s="2176">
        <f>'May TCM'!KT10</f>
        <v>0</v>
      </c>
      <c r="J2" s="2177">
        <f>'May TCM'!KU10</f>
        <v>0</v>
      </c>
      <c r="K2" s="2183"/>
      <c r="L2" s="2185">
        <f>SUM(B2:F2)</f>
        <v>8763.64</v>
      </c>
      <c r="M2" s="2176">
        <f>'May TCM'!JI10</f>
        <v>3948.9299999999994</v>
      </c>
      <c r="N2" s="2176">
        <f>'May TCM'!JJ10</f>
        <v>0</v>
      </c>
      <c r="O2" s="2185">
        <f>SUM(M2:N2)</f>
        <v>3948.9299999999994</v>
      </c>
      <c r="P2" s="2176">
        <f>SUM('May TCM'!NO10,'May TCM'!NQ10,'May TCM'!OO10)</f>
        <v>25860.273611915283</v>
      </c>
      <c r="Q2" s="2176">
        <f>SUM('May TCM'!NR10,'May TCM'!NZ10,'May TCM'!OD10,'May TCM'!OQ10,'May TCM'!OB10)</f>
        <v>37395.897148725948</v>
      </c>
      <c r="R2" s="2176">
        <f>'May TCM'!NP10</f>
        <v>26196.696072681989</v>
      </c>
      <c r="S2" s="2176">
        <f>SUM(P2:R2)</f>
        <v>89452.86683332322</v>
      </c>
      <c r="T2" s="2185">
        <f>'May TCM'!LG10</f>
        <v>0</v>
      </c>
      <c r="U2" s="2186">
        <f>'May TCM'!LH10</f>
        <v>0</v>
      </c>
      <c r="V2" s="2186">
        <f>SUM(T2:U2)</f>
        <v>0</v>
      </c>
      <c r="W2" s="2185">
        <f>'May TCM'!NC10</f>
        <v>65409.835091888257</v>
      </c>
      <c r="X2" s="2185">
        <f>'May TCM'!ND10</f>
        <v>111553.02700083517</v>
      </c>
      <c r="AA2" s="2184">
        <f>'May TCM'!NO10+'May TCM'!NQ10</f>
        <v>11321.901376603215</v>
      </c>
      <c r="AB2" s="1903">
        <f>'May TCM'!NR10</f>
        <v>20409.002698058699</v>
      </c>
      <c r="AD2" s="1903">
        <f>SUM('May TCM'!NZ10,'May TCM'!OB10,'May TCM'!OD10)</f>
        <v>13278.436807110564</v>
      </c>
      <c r="AE2" s="1903">
        <f>'May TCM'!OO10</f>
        <v>14538.372235312068</v>
      </c>
      <c r="AF2" s="1903">
        <f>'May TCM'!OQ10</f>
        <v>3708.4576435566851</v>
      </c>
    </row>
    <row r="3" spans="1:32" ht="15.6">
      <c r="A3" s="2181">
        <v>46144</v>
      </c>
      <c r="B3" s="2176">
        <f>+SUM('May TCM'!EA11,'May TCM'!EN11)</f>
        <v>3498.7999999999993</v>
      </c>
      <c r="C3" s="2176"/>
      <c r="D3" s="2176">
        <f>SUM('May TCM'!DL11,'May TCM'!DN11,'May TCM'!EC11,'May TCM'!EP11)</f>
        <v>4451.54</v>
      </c>
      <c r="E3" s="2176">
        <f>SUM('May TCM'!PW11)</f>
        <v>0</v>
      </c>
      <c r="F3" s="2176">
        <f>SUM('May TCM'!BN11)</f>
        <v>0</v>
      </c>
      <c r="G3" s="2176">
        <f>'May TCM'!KO11</f>
        <v>7183</v>
      </c>
      <c r="H3" s="2177">
        <f>'May TCM'!KP11</f>
        <v>0.48</v>
      </c>
      <c r="I3" s="2176">
        <f>'May TCM'!KT11</f>
        <v>6875.7083710699962</v>
      </c>
      <c r="J3" s="2177">
        <f>'May TCM'!KU11</f>
        <v>2.1594074265752363</v>
      </c>
      <c r="K3" s="2183"/>
      <c r="L3" s="2185">
        <f t="shared" ref="L3:L31" si="0">SUM(B3:F3)</f>
        <v>7950.3399999999992</v>
      </c>
      <c r="M3" s="2176">
        <f>'May TCM'!JI11</f>
        <v>5311.4</v>
      </c>
      <c r="N3" s="2176">
        <f>'May TCM'!JJ11</f>
        <v>7569.8100000000013</v>
      </c>
      <c r="O3" s="2185">
        <f t="shared" ref="O3:O31" si="1">SUM(M3:N3)</f>
        <v>12881.210000000001</v>
      </c>
      <c r="P3" s="2176">
        <f>SUM('May TCM'!NO11,'May TCM'!NQ11,'May TCM'!OO11)</f>
        <v>24436.333611915281</v>
      </c>
      <c r="Q3" s="2176">
        <f>SUM('May TCM'!NR11,'May TCM'!NZ11,'May TCM'!OD11,'May TCM'!OQ11,'May TCM'!OB11)</f>
        <v>34277.627148725944</v>
      </c>
      <c r="R3" s="2176">
        <f>'May TCM'!NP11</f>
        <v>26196.696072681989</v>
      </c>
      <c r="S3" s="2176">
        <f t="shared" ref="S3:S31" si="2">SUM(P3:R3)</f>
        <v>84910.656833323214</v>
      </c>
      <c r="T3" s="2185">
        <f>'May TCM'!LG11</f>
        <v>6140.1</v>
      </c>
      <c r="U3" s="2186">
        <f>'May TCM'!LH11</f>
        <v>9210.15</v>
      </c>
      <c r="V3" s="2186">
        <f t="shared" ref="V3:V31" si="3">SUM(T3:U3)</f>
        <v>15350.25</v>
      </c>
      <c r="W3" s="2185">
        <f>'May TCM'!NC11</f>
        <v>64581.13509188826</v>
      </c>
      <c r="X3" s="2185">
        <f>'May TCM'!ND11</f>
        <v>109912.68700083517</v>
      </c>
      <c r="AA3" s="2184">
        <f>'May TCM'!NO11+'May TCM'!NQ11</f>
        <v>11321.901376603215</v>
      </c>
      <c r="AB3" s="1903">
        <f>'May TCM'!NR11</f>
        <v>16689.992698058697</v>
      </c>
      <c r="AD3" s="1903">
        <f>SUM('May TCM'!NZ11,'May TCM'!OB11,'May TCM'!OD11)</f>
        <v>14753.926807110562</v>
      </c>
      <c r="AE3" s="1903">
        <f>'May TCM'!OO11</f>
        <v>13114.432235312068</v>
      </c>
      <c r="AF3" s="1903">
        <f>'May TCM'!OQ11</f>
        <v>2833.7076435566851</v>
      </c>
    </row>
    <row r="4" spans="1:32" ht="15.6">
      <c r="A4" s="2181">
        <v>46145</v>
      </c>
      <c r="B4" s="2176">
        <f>+SUM('May TCM'!EA12,'May TCM'!EN12)</f>
        <v>3503.8</v>
      </c>
      <c r="C4" s="2176"/>
      <c r="D4" s="2176">
        <f>SUM('May TCM'!DL12,'May TCM'!DN12,'May TCM'!EC12,'May TCM'!EP12)</f>
        <v>5420.93</v>
      </c>
      <c r="E4" s="2176">
        <f>SUM('May TCM'!PW12)</f>
        <v>0</v>
      </c>
      <c r="F4" s="2176">
        <f>SUM('May TCM'!BN12)</f>
        <v>14.707599999999998</v>
      </c>
      <c r="G4" s="2176">
        <f>'May TCM'!KO12</f>
        <v>7073.9264214046825</v>
      </c>
      <c r="H4" s="2177">
        <f>'May TCM'!KP12</f>
        <v>0.70404682274247488</v>
      </c>
      <c r="I4" s="2176">
        <f>'May TCM'!KT12</f>
        <v>6626.2620070285047</v>
      </c>
      <c r="J4" s="2177">
        <f>'May TCM'!KU12</f>
        <v>2.046786411557985</v>
      </c>
      <c r="K4" s="2183"/>
      <c r="L4" s="2185">
        <f t="shared" si="0"/>
        <v>8939.4375999999993</v>
      </c>
      <c r="M4" s="2176">
        <f>'May TCM'!JI12</f>
        <v>7340.6</v>
      </c>
      <c r="N4" s="2176">
        <f>'May TCM'!JJ12</f>
        <v>9955.86</v>
      </c>
      <c r="O4" s="2185">
        <f t="shared" si="1"/>
        <v>17296.46</v>
      </c>
      <c r="P4" s="2176">
        <f>SUM('May TCM'!NO12,'May TCM'!NQ12,'May TCM'!OO12)</f>
        <v>23498.443611915285</v>
      </c>
      <c r="Q4" s="2176">
        <f>SUM('May TCM'!NR12,'May TCM'!NZ12,'May TCM'!OD12,'May TCM'!OQ12,'May TCM'!OB12)</f>
        <v>27328.64714872594</v>
      </c>
      <c r="R4" s="2176">
        <f>'May TCM'!NP12</f>
        <v>26196.696072681989</v>
      </c>
      <c r="S4" s="2176">
        <f t="shared" si="2"/>
        <v>77023.786833323218</v>
      </c>
      <c r="T4" s="2185">
        <f>'May TCM'!LG12</f>
        <v>8949.5040000000008</v>
      </c>
      <c r="U4" s="2186">
        <f>'May TCM'!LH12</f>
        <v>13424.255999999999</v>
      </c>
      <c r="V4" s="2186">
        <f t="shared" si="3"/>
        <v>22373.760000000002</v>
      </c>
      <c r="W4" s="2185">
        <f>'May TCM'!NC12</f>
        <v>62972.231091888258</v>
      </c>
      <c r="X4" s="2185">
        <f>'May TCM'!ND12</f>
        <v>106444.29100083518</v>
      </c>
      <c r="AA4" s="2184">
        <f>'May TCM'!NO12+'May TCM'!NQ12</f>
        <v>11321.901376603215</v>
      </c>
      <c r="AB4" s="1903">
        <f>'May TCM'!NR12</f>
        <v>11964.382698058696</v>
      </c>
      <c r="AD4" s="1903">
        <f>SUM('May TCM'!NZ12,'May TCM'!OB12,'May TCM'!OD12)</f>
        <v>12530.556807110563</v>
      </c>
      <c r="AE4" s="1903">
        <f>'May TCM'!OO12</f>
        <v>12176.54223531207</v>
      </c>
      <c r="AF4" s="1903">
        <f>'May TCM'!OQ12</f>
        <v>2833.7076435566851</v>
      </c>
    </row>
    <row r="5" spans="1:32" ht="15.6">
      <c r="A5" s="2181">
        <v>46146</v>
      </c>
      <c r="B5" s="2176">
        <f>+SUM('May TCM'!EA13,'May TCM'!EN13)</f>
        <v>2878.8799999999997</v>
      </c>
      <c r="C5" s="2176"/>
      <c r="D5" s="2176">
        <f>SUM('May TCM'!DL13,'May TCM'!DN13,'May TCM'!EC13,'May TCM'!EP13)</f>
        <v>5339.38</v>
      </c>
      <c r="E5" s="2176">
        <f>SUM('May TCM'!PW13)</f>
        <v>0</v>
      </c>
      <c r="F5" s="2176">
        <f>SUM('May TCM'!BN13)</f>
        <v>0</v>
      </c>
      <c r="G5" s="2176">
        <f>'May TCM'!KO13</f>
        <v>7144.6715783077625</v>
      </c>
      <c r="H5" s="2177">
        <f>'May TCM'!KP13</f>
        <v>0.85759532128209026</v>
      </c>
      <c r="I5" s="2176">
        <f>'May TCM'!KT13</f>
        <v>6653.5394325169918</v>
      </c>
      <c r="J5" s="2177">
        <f>'May TCM'!KU13</f>
        <v>2.5328708598554321</v>
      </c>
      <c r="K5" s="2183"/>
      <c r="L5" s="2185">
        <f t="shared" si="0"/>
        <v>8218.26</v>
      </c>
      <c r="M5" s="2176">
        <f>'May TCM'!JI13</f>
        <v>6458.67</v>
      </c>
      <c r="N5" s="2176">
        <f>'May TCM'!JJ13</f>
        <v>9057.91</v>
      </c>
      <c r="O5" s="2185">
        <f t="shared" si="1"/>
        <v>15516.58</v>
      </c>
      <c r="P5" s="2176">
        <f>SUM('May TCM'!NO13,'May TCM'!NQ13,'May TCM'!OO13)</f>
        <v>23944.713611915286</v>
      </c>
      <c r="Q5" s="2176">
        <f>SUM('May TCM'!NR13,'May TCM'!NZ13,'May TCM'!OD13,'May TCM'!OQ13,'May TCM'!OB13)</f>
        <v>20559.037148725947</v>
      </c>
      <c r="R5" s="2176">
        <f>'May TCM'!NP13</f>
        <v>26196.696072681989</v>
      </c>
      <c r="S5" s="2176">
        <f t="shared" si="2"/>
        <v>70700.446833323222</v>
      </c>
      <c r="T5" s="2185">
        <f>'May TCM'!LG13</f>
        <v>0</v>
      </c>
      <c r="U5" s="2186">
        <f>'May TCM'!LH13</f>
        <v>0</v>
      </c>
      <c r="V5" s="2186">
        <f t="shared" si="3"/>
        <v>0</v>
      </c>
      <c r="W5" s="2185">
        <f>'May TCM'!NC13</f>
        <v>69430.901091888256</v>
      </c>
      <c r="X5" s="2185">
        <f>'May TCM'!ND13</f>
        <v>115502.20100083518</v>
      </c>
      <c r="AA5" s="2184">
        <f>'May TCM'!NO13+'May TCM'!NQ13</f>
        <v>11168.261376603215</v>
      </c>
      <c r="AB5" s="1903">
        <f>'May TCM'!NR13</f>
        <v>7715.572698058696</v>
      </c>
      <c r="AD5" s="1903">
        <f>SUM('May TCM'!NZ13,'May TCM'!OB13,'May TCM'!OD13)</f>
        <v>10085.156807110565</v>
      </c>
      <c r="AE5" s="1903">
        <f>'May TCM'!OO13</f>
        <v>12776.45223531207</v>
      </c>
      <c r="AF5" s="1903">
        <f>'May TCM'!OQ13</f>
        <v>2758.307643556685</v>
      </c>
    </row>
    <row r="6" spans="1:32" ht="15.6">
      <c r="A6" s="2181">
        <v>46147</v>
      </c>
      <c r="B6" s="2176">
        <f>+SUM('May TCM'!EA14,'May TCM'!EN14)</f>
        <v>3143.9399999999996</v>
      </c>
      <c r="C6" s="2176"/>
      <c r="D6" s="2176">
        <f>SUM('May TCM'!DL14,'May TCM'!DN14,'May TCM'!EC14,'May TCM'!EP14)</f>
        <v>7897.74</v>
      </c>
      <c r="E6" s="2176">
        <f>SUM('May TCM'!PW14)</f>
        <v>0</v>
      </c>
      <c r="F6" s="2176">
        <f>SUM('May TCM'!BN14)</f>
        <v>305.274</v>
      </c>
      <c r="G6" s="2176">
        <f>'May TCM'!KO14</f>
        <v>6753.9719319199758</v>
      </c>
      <c r="H6" s="2177">
        <f>'May TCM'!KP14</f>
        <v>0.85985965959988053</v>
      </c>
      <c r="I6" s="2176">
        <f>'May TCM'!KT14</f>
        <v>6626.2637333684625</v>
      </c>
      <c r="J6" s="2177">
        <f>'May TCM'!KU14</f>
        <v>2.5885614543538402</v>
      </c>
      <c r="K6" s="2183"/>
      <c r="L6" s="2185">
        <f t="shared" si="0"/>
        <v>11346.954</v>
      </c>
      <c r="M6" s="2176">
        <f>'May TCM'!JI14</f>
        <v>6943.619999999999</v>
      </c>
      <c r="N6" s="2176">
        <f>'May TCM'!JJ14</f>
        <v>7965.5000000000009</v>
      </c>
      <c r="O6" s="2185">
        <f t="shared" si="1"/>
        <v>14909.119999999999</v>
      </c>
      <c r="P6" s="2176">
        <f>SUM('May TCM'!NO14,'May TCM'!NQ14,'May TCM'!OO14)</f>
        <v>22522.233611915282</v>
      </c>
      <c r="Q6" s="2176">
        <f>SUM('May TCM'!NR14,'May TCM'!NZ14,'May TCM'!OD14,'May TCM'!OQ14,'May TCM'!OB14)</f>
        <v>18506.727148725946</v>
      </c>
      <c r="R6" s="2176">
        <f>'May TCM'!NP14</f>
        <v>26196.696072681989</v>
      </c>
      <c r="S6" s="2176">
        <f t="shared" si="2"/>
        <v>67225.656833323214</v>
      </c>
      <c r="T6" s="2185">
        <f>'May TCM'!LG14</f>
        <v>0</v>
      </c>
      <c r="U6" s="2186">
        <f>'May TCM'!LH14</f>
        <v>0</v>
      </c>
      <c r="V6" s="2186">
        <f t="shared" si="3"/>
        <v>0</v>
      </c>
      <c r="W6" s="2185">
        <f>'May TCM'!NC14</f>
        <v>76374.521091888251</v>
      </c>
      <c r="X6" s="2185">
        <f>'May TCM'!ND14</f>
        <v>123467.70100083518</v>
      </c>
      <c r="AA6" s="2184">
        <f>'May TCM'!NO14+'May TCM'!NQ14</f>
        <v>11168.261376603215</v>
      </c>
      <c r="AB6" s="1903">
        <f>'May TCM'!NR14</f>
        <v>5087.8726980586953</v>
      </c>
      <c r="AD6" s="1903">
        <f>SUM('May TCM'!NZ14,'May TCM'!OB14,'May TCM'!OD14)</f>
        <v>10660.546807110564</v>
      </c>
      <c r="AE6" s="1903">
        <f>'May TCM'!OO14</f>
        <v>11353.972235312069</v>
      </c>
      <c r="AF6" s="1903">
        <f>'May TCM'!OQ14</f>
        <v>2758.307643556685</v>
      </c>
    </row>
    <row r="7" spans="1:32" ht="15.6">
      <c r="A7" s="2181">
        <v>46148</v>
      </c>
      <c r="B7" s="2176">
        <f>+SUM('May TCM'!EA15,'May TCM'!EN15)</f>
        <v>1258.7099999999998</v>
      </c>
      <c r="C7" s="2176"/>
      <c r="D7" s="2176">
        <f>SUM('May TCM'!DL15,'May TCM'!DN15,'May TCM'!EC15,'May TCM'!EP15)</f>
        <v>8702.119999999999</v>
      </c>
      <c r="E7" s="2176">
        <f>SUM('May TCM'!PW15)</f>
        <v>0</v>
      </c>
      <c r="F7" s="2176">
        <f>SUM('May TCM'!BN15)</f>
        <v>0</v>
      </c>
      <c r="G7" s="2176">
        <f>'May TCM'!KO15</f>
        <v>6753.9719319199758</v>
      </c>
      <c r="H7" s="2177">
        <f>'May TCM'!KP15</f>
        <v>0.85985965959988053</v>
      </c>
      <c r="I7" s="2176">
        <f>'May TCM'!KT15</f>
        <v>6626.2637333684625</v>
      </c>
      <c r="J7" s="2177">
        <f>'May TCM'!KU15</f>
        <v>2.5885614543538402</v>
      </c>
      <c r="K7" s="2183"/>
      <c r="L7" s="2185">
        <f t="shared" si="0"/>
        <v>9960.8299999999981</v>
      </c>
      <c r="M7" s="2176">
        <f>'May TCM'!JI15</f>
        <v>6707.3899999999994</v>
      </c>
      <c r="N7" s="2176">
        <f>'May TCM'!JJ15</f>
        <v>7358.09</v>
      </c>
      <c r="O7" s="2185">
        <f t="shared" si="1"/>
        <v>14065.48</v>
      </c>
      <c r="P7" s="2176">
        <f>SUM('May TCM'!NO15,'May TCM'!NQ15,'May TCM'!OO15)</f>
        <v>20928.153611915284</v>
      </c>
      <c r="Q7" s="2176">
        <f>SUM('May TCM'!NR15,'May TCM'!NZ15,'May TCM'!OD15,'May TCM'!OQ15,'May TCM'!OB15)</f>
        <v>15996.157148725946</v>
      </c>
      <c r="R7" s="2176">
        <f>'May TCM'!NP15</f>
        <v>26196.696072681989</v>
      </c>
      <c r="S7" s="2176">
        <f t="shared" si="2"/>
        <v>63121.006833323219</v>
      </c>
      <c r="T7" s="2185">
        <f>'May TCM'!LG15</f>
        <v>15416.555</v>
      </c>
      <c r="U7" s="2186">
        <f>'May TCM'!LH15</f>
        <v>13798.485000000001</v>
      </c>
      <c r="V7" s="2186">
        <f t="shared" si="3"/>
        <v>29215.040000000001</v>
      </c>
      <c r="W7" s="2185">
        <f>'May TCM'!NC15</f>
        <v>67665.356091888243</v>
      </c>
      <c r="X7" s="2185">
        <f>'May TCM'!ND15</f>
        <v>117027.30600083517</v>
      </c>
      <c r="AA7" s="2184">
        <f>'May TCM'!NO15+'May TCM'!NQ15</f>
        <v>11168.261376603215</v>
      </c>
      <c r="AB7" s="1903">
        <f>'May TCM'!NR15</f>
        <v>2749.2226980586956</v>
      </c>
      <c r="AD7" s="1903">
        <f>SUM('May TCM'!NZ15,'May TCM'!OB15,'May TCM'!OD15)</f>
        <v>10852.976807110565</v>
      </c>
      <c r="AE7" s="1903">
        <f>'May TCM'!OO15</f>
        <v>9759.8922353120688</v>
      </c>
      <c r="AF7" s="1903">
        <f>'May TCM'!OQ15</f>
        <v>2393.9576435566851</v>
      </c>
    </row>
    <row r="8" spans="1:32" ht="15.6">
      <c r="A8" s="2181">
        <v>46149</v>
      </c>
      <c r="B8" s="2176">
        <f>+SUM('May TCM'!EA16,'May TCM'!EN16)</f>
        <v>1249.82</v>
      </c>
      <c r="C8" s="2176"/>
      <c r="D8" s="2176">
        <f>SUM('May TCM'!DL16,'May TCM'!DN16,'May TCM'!EC16,'May TCM'!EP16)</f>
        <v>7199.62</v>
      </c>
      <c r="E8" s="2176">
        <f>SUM('May TCM'!PW16)</f>
        <v>0</v>
      </c>
      <c r="F8" s="2176">
        <f>SUM('May TCM'!BN16)</f>
        <v>0</v>
      </c>
      <c r="G8" s="2176">
        <f>'May TCM'!KO16</f>
        <v>0</v>
      </c>
      <c r="H8" s="2177">
        <f>'May TCM'!KP16</f>
        <v>0</v>
      </c>
      <c r="I8" s="2176">
        <f>'May TCM'!KT16</f>
        <v>0</v>
      </c>
      <c r="J8" s="2177">
        <f>'May TCM'!KU16</f>
        <v>0</v>
      </c>
      <c r="K8" s="2183"/>
      <c r="L8" s="2185">
        <f t="shared" si="0"/>
        <v>8449.44</v>
      </c>
      <c r="M8" s="2176">
        <f>'May TCM'!JI16</f>
        <v>0</v>
      </c>
      <c r="N8" s="2176">
        <f>'May TCM'!JJ16</f>
        <v>0</v>
      </c>
      <c r="O8" s="2185">
        <f t="shared" si="1"/>
        <v>0</v>
      </c>
      <c r="P8" s="2176">
        <f>SUM('May TCM'!NO16,'May TCM'!NQ16,'May TCM'!OO16)</f>
        <v>22177.973611915284</v>
      </c>
      <c r="Q8" s="2176">
        <f>SUM('May TCM'!NR16,'May TCM'!NZ16,'May TCM'!OD16,'May TCM'!OQ16,'May TCM'!OB16)</f>
        <v>23195.777148725945</v>
      </c>
      <c r="R8" s="2176">
        <f>'May TCM'!NP16</f>
        <v>26196.696072681989</v>
      </c>
      <c r="S8" s="2176">
        <f t="shared" si="2"/>
        <v>71570.446833323222</v>
      </c>
      <c r="T8" s="2185">
        <f>'May TCM'!LG16</f>
        <v>20304.829999999998</v>
      </c>
      <c r="U8" s="2186">
        <f>'May TCM'!LH16</f>
        <v>9795.76</v>
      </c>
      <c r="V8" s="2186">
        <f t="shared" si="3"/>
        <v>30100.589999999997</v>
      </c>
      <c r="W8" s="2185">
        <f>'May TCM'!NC16</f>
        <v>47360.526091888241</v>
      </c>
      <c r="X8" s="2185">
        <f>'May TCM'!ND16</f>
        <v>107231.54600083518</v>
      </c>
      <c r="AA8" s="2184">
        <f>'May TCM'!NO16+'May TCM'!NQ16</f>
        <v>11168.261376603215</v>
      </c>
      <c r="AB8" s="1903">
        <f>'May TCM'!NR16</f>
        <v>4269.2226980586956</v>
      </c>
      <c r="AD8" s="1903">
        <f>SUM('May TCM'!NZ16,'May TCM'!OB16,'May TCM'!OD16)</f>
        <v>16532.596807110564</v>
      </c>
      <c r="AE8" s="1903">
        <f>'May TCM'!OO16</f>
        <v>11009.712235312069</v>
      </c>
      <c r="AF8" s="1903">
        <f>'May TCM'!OQ16</f>
        <v>2393.9576435566851</v>
      </c>
    </row>
    <row r="9" spans="1:32" ht="15.6">
      <c r="A9" s="2181">
        <v>46150</v>
      </c>
      <c r="B9" s="2176">
        <f>+SUM('May TCM'!EA17,'May TCM'!EN17)</f>
        <v>1637.94</v>
      </c>
      <c r="C9" s="2176"/>
      <c r="D9" s="2176">
        <f>SUM('May TCM'!DL17,'May TCM'!DN17,'May TCM'!EC17,'May TCM'!EP17)</f>
        <v>5744.68</v>
      </c>
      <c r="E9" s="2176">
        <f>SUM('May TCM'!PW17)</f>
        <v>0</v>
      </c>
      <c r="F9" s="2176">
        <f>SUM('May TCM'!BN17)</f>
        <v>284.92239999999993</v>
      </c>
      <c r="G9" s="2176">
        <f>'May TCM'!KO17</f>
        <v>0</v>
      </c>
      <c r="H9" s="2177">
        <f>'May TCM'!KP17</f>
        <v>0</v>
      </c>
      <c r="I9" s="2176">
        <f>'May TCM'!KT17</f>
        <v>0</v>
      </c>
      <c r="J9" s="2177">
        <f>'May TCM'!KU17</f>
        <v>0</v>
      </c>
      <c r="K9" s="2183"/>
      <c r="L9" s="2185">
        <f t="shared" si="0"/>
        <v>7667.5424000000003</v>
      </c>
      <c r="M9" s="2176">
        <f>'May TCM'!JI17</f>
        <v>0</v>
      </c>
      <c r="N9" s="2176">
        <f>'May TCM'!JJ17</f>
        <v>721.35</v>
      </c>
      <c r="O9" s="2185">
        <f t="shared" si="1"/>
        <v>721.35</v>
      </c>
      <c r="P9" s="2176">
        <f>SUM('May TCM'!NO17,'May TCM'!NQ17,'May TCM'!OO17)</f>
        <v>23815.913611915283</v>
      </c>
      <c r="Q9" s="2176">
        <f>SUM('May TCM'!NR17,'May TCM'!NZ17,'May TCM'!OD17,'May TCM'!OQ17,'May TCM'!OB17)</f>
        <v>28940.457148725945</v>
      </c>
      <c r="R9" s="2176">
        <f>'May TCM'!NP17</f>
        <v>26196.696072681989</v>
      </c>
      <c r="S9" s="2176">
        <f t="shared" si="2"/>
        <v>78953.066833323217</v>
      </c>
      <c r="T9" s="2185">
        <f>'May TCM'!LG17</f>
        <v>3133.17</v>
      </c>
      <c r="U9" s="2186">
        <f>'May TCM'!LH17</f>
        <v>4699.75</v>
      </c>
      <c r="V9" s="2186">
        <f t="shared" si="3"/>
        <v>7832.92</v>
      </c>
      <c r="W9" s="2185">
        <f>'May TCM'!NC17</f>
        <v>44227.356091888243</v>
      </c>
      <c r="X9" s="2185">
        <f>'May TCM'!ND17</f>
        <v>103253.14600083519</v>
      </c>
      <c r="AA9" s="2184">
        <f>'May TCM'!NO17+'May TCM'!NQ17</f>
        <v>11168.261376603215</v>
      </c>
      <c r="AB9" s="1903">
        <f>'May TCM'!NR17</f>
        <v>5209.2226980586956</v>
      </c>
      <c r="AD9" s="1903">
        <f>SUM('May TCM'!NZ17,'May TCM'!OB17,'May TCM'!OD17)</f>
        <v>21337.276807110564</v>
      </c>
      <c r="AE9" s="1903">
        <f>'May TCM'!OO17</f>
        <v>12647.652235312069</v>
      </c>
      <c r="AF9" s="1903">
        <f>'May TCM'!OQ17</f>
        <v>2393.9576435566851</v>
      </c>
    </row>
    <row r="10" spans="1:32" ht="15.6">
      <c r="A10" s="2181">
        <v>46151</v>
      </c>
      <c r="B10" s="2176">
        <f>+SUM('May TCM'!EA18,'May TCM'!EN18)</f>
        <v>2952.8</v>
      </c>
      <c r="C10" s="2176"/>
      <c r="D10" s="2176">
        <f>SUM('May TCM'!DL18,'May TCM'!DN18,'May TCM'!EC18,'May TCM'!EP18)</f>
        <v>5685.34</v>
      </c>
      <c r="E10" s="2176">
        <f>SUM('May TCM'!PW18)</f>
        <v>0</v>
      </c>
      <c r="F10" s="2176">
        <f>SUM('May TCM'!BN18)</f>
        <v>244.2192</v>
      </c>
      <c r="G10" s="2176">
        <f>'May TCM'!KO18</f>
        <v>7080</v>
      </c>
      <c r="H10" s="2177">
        <f>'May TCM'!KP18</f>
        <v>0.88</v>
      </c>
      <c r="I10" s="2176">
        <f>'May TCM'!KT18</f>
        <v>6645.9911268855367</v>
      </c>
      <c r="J10" s="2177">
        <f>'May TCM'!KU18</f>
        <v>1.762360248447205</v>
      </c>
      <c r="K10" s="2183"/>
      <c r="L10" s="2185">
        <f t="shared" si="0"/>
        <v>8882.359199999999</v>
      </c>
      <c r="M10" s="2176">
        <f>'May TCM'!JI18</f>
        <v>5809</v>
      </c>
      <c r="N10" s="2176">
        <f>'May TCM'!JJ18</f>
        <v>8845.7500000000018</v>
      </c>
      <c r="O10" s="2185">
        <f t="shared" si="1"/>
        <v>14654.750000000002</v>
      </c>
      <c r="P10" s="2176">
        <f>SUM('May TCM'!NO18,'May TCM'!NQ18,'May TCM'!OO18)</f>
        <v>22248.413611915286</v>
      </c>
      <c r="Q10" s="2176">
        <f>SUM('May TCM'!NR18,'May TCM'!NZ18,'May TCM'!OD18,'May TCM'!OQ18,'May TCM'!OB18)</f>
        <v>24491.347148725941</v>
      </c>
      <c r="R10" s="2176">
        <f>'May TCM'!NP18</f>
        <v>26196.696072681989</v>
      </c>
      <c r="S10" s="2176">
        <f t="shared" si="2"/>
        <v>72936.456833323216</v>
      </c>
      <c r="T10" s="2185">
        <f>'May TCM'!LG18</f>
        <v>4907.8249999999998</v>
      </c>
      <c r="U10" s="2186">
        <f>'May TCM'!LH18</f>
        <v>2642.6749999999997</v>
      </c>
      <c r="V10" s="2186">
        <f t="shared" si="3"/>
        <v>7550.5</v>
      </c>
      <c r="W10" s="2185">
        <f>'May TCM'!NC18</f>
        <v>41091.185297803699</v>
      </c>
      <c r="X10" s="2185">
        <f>'May TCM'!ND18</f>
        <v>104205.30000448199</v>
      </c>
      <c r="AA10" s="2184">
        <f>'May TCM'!NO18+'May TCM'!NQ18</f>
        <v>11728.261376603215</v>
      </c>
      <c r="AB10" s="1903">
        <f>'May TCM'!NR18</f>
        <v>1536.0926980586946</v>
      </c>
      <c r="AD10" s="1903">
        <f>SUM('May TCM'!NZ18,'May TCM'!OB18,'May TCM'!OD18)</f>
        <v>21459.496807110561</v>
      </c>
      <c r="AE10" s="1903">
        <f>'May TCM'!OO18</f>
        <v>10520.152235312071</v>
      </c>
      <c r="AF10" s="1903">
        <f>'May TCM'!OQ18</f>
        <v>1495.7576435566853</v>
      </c>
    </row>
    <row r="11" spans="1:32" ht="15.6">
      <c r="A11" s="2181">
        <v>46152</v>
      </c>
      <c r="B11" s="2176">
        <f>+SUM('May TCM'!EA19,'May TCM'!EN19)</f>
        <v>2361.3599999999997</v>
      </c>
      <c r="C11" s="2176"/>
      <c r="D11" s="2176">
        <f>SUM('May TCM'!DL19,'May TCM'!DN19,'May TCM'!EC19,'May TCM'!EP19)</f>
        <v>4386.34</v>
      </c>
      <c r="E11" s="2176">
        <f>SUM('May TCM'!PW19)</f>
        <v>0</v>
      </c>
      <c r="F11" s="2176">
        <f>SUM('May TCM'!BN19)</f>
        <v>81.406399999999991</v>
      </c>
      <c r="G11" s="2176">
        <f>'May TCM'!KO19</f>
        <v>0</v>
      </c>
      <c r="H11" s="2177">
        <f>'May TCM'!KP19</f>
        <v>0</v>
      </c>
      <c r="I11" s="2176">
        <f>'May TCM'!KT19</f>
        <v>0</v>
      </c>
      <c r="J11" s="2177">
        <f>'May TCM'!KU19</f>
        <v>0</v>
      </c>
      <c r="K11" s="2183"/>
      <c r="L11" s="2185">
        <f t="shared" si="0"/>
        <v>6829.1063999999997</v>
      </c>
      <c r="M11" s="2176">
        <f>'May TCM'!JI19</f>
        <v>0</v>
      </c>
      <c r="N11" s="2176">
        <f>'May TCM'!JJ19</f>
        <v>0</v>
      </c>
      <c r="O11" s="2185">
        <f t="shared" si="1"/>
        <v>0</v>
      </c>
      <c r="P11" s="2176">
        <f>SUM('May TCM'!NO19,'May TCM'!NQ19,'May TCM'!OO19)</f>
        <v>24609.773611915287</v>
      </c>
      <c r="Q11" s="2176">
        <f>SUM('May TCM'!NR19,'May TCM'!NZ19,'May TCM'!OD19,'May TCM'!OQ19,'May TCM'!OB19)</f>
        <v>28877.687148725941</v>
      </c>
      <c r="R11" s="2176">
        <f>'May TCM'!NP19</f>
        <v>26196.696072681989</v>
      </c>
      <c r="S11" s="2176">
        <f t="shared" si="2"/>
        <v>79684.156833323214</v>
      </c>
      <c r="T11" s="2185">
        <f>'May TCM'!LG19</f>
        <v>7870.3160000000007</v>
      </c>
      <c r="U11" s="2186">
        <f>'May TCM'!LH19</f>
        <v>11805.474</v>
      </c>
      <c r="V11" s="2186">
        <f t="shared" si="3"/>
        <v>19675.79</v>
      </c>
      <c r="W11" s="2185">
        <f>'May TCM'!NC19</f>
        <v>33220.8692978037</v>
      </c>
      <c r="X11" s="2185">
        <f>'May TCM'!ND19</f>
        <v>92399.826004481991</v>
      </c>
      <c r="AA11" s="2184">
        <f>'May TCM'!NO19+'May TCM'!NQ19</f>
        <v>11728.261376603215</v>
      </c>
      <c r="AB11" s="1903">
        <f>'May TCM'!NR19</f>
        <v>2116.0926980586946</v>
      </c>
      <c r="AD11" s="1903">
        <f>SUM('May TCM'!NZ19,'May TCM'!OB19,'May TCM'!OD19)</f>
        <v>25265.836807110561</v>
      </c>
      <c r="AE11" s="1903">
        <f>'May TCM'!OO19</f>
        <v>12881.512235312071</v>
      </c>
      <c r="AF11" s="1903">
        <f>'May TCM'!OQ19</f>
        <v>1495.7576435566853</v>
      </c>
    </row>
    <row r="12" spans="1:32" ht="15.6">
      <c r="A12" s="2181">
        <v>46153</v>
      </c>
      <c r="B12" s="2176">
        <f>+SUM('May TCM'!EA20,'May TCM'!EN20)</f>
        <v>3907.0600000000004</v>
      </c>
      <c r="C12" s="2176"/>
      <c r="D12" s="2176">
        <f>SUM('May TCM'!DL20,'May TCM'!DN20,'May TCM'!EC20,'May TCM'!EP20)</f>
        <v>5499.04</v>
      </c>
      <c r="E12" s="2176">
        <f>SUM('May TCM'!PW20)</f>
        <v>0</v>
      </c>
      <c r="F12" s="2176">
        <f>SUM('May TCM'!BN20)</f>
        <v>203.51599999999993</v>
      </c>
      <c r="G12" s="2176">
        <f>'May TCM'!KO20</f>
        <v>7050.3756970942177</v>
      </c>
      <c r="H12" s="2177">
        <f>'May TCM'!KP20</f>
        <v>0.85201350161432343</v>
      </c>
      <c r="I12" s="2176">
        <f>'May TCM'!KT20</f>
        <v>0</v>
      </c>
      <c r="J12" s="2177">
        <f>'May TCM'!KU20</f>
        <v>0</v>
      </c>
      <c r="K12" s="2183"/>
      <c r="L12" s="2185">
        <f t="shared" si="0"/>
        <v>9609.616</v>
      </c>
      <c r="M12" s="2176">
        <f>'May TCM'!JI20</f>
        <v>6685.6500000000005</v>
      </c>
      <c r="N12" s="2176">
        <f>'May TCM'!JJ20</f>
        <v>0</v>
      </c>
      <c r="O12" s="2185">
        <f t="shared" si="1"/>
        <v>6685.6500000000005</v>
      </c>
      <c r="P12" s="2176">
        <f>SUM('May TCM'!NO20,'May TCM'!NQ20,'May TCM'!OO20)</f>
        <v>22770.283611915289</v>
      </c>
      <c r="Q12" s="2176">
        <f>SUM('May TCM'!NR20,'May TCM'!NZ20,'May TCM'!OD20,'May TCM'!OQ20,'May TCM'!OB20)</f>
        <v>33437.627148725936</v>
      </c>
      <c r="R12" s="2176">
        <f>'May TCM'!NP20</f>
        <v>26196.696072681989</v>
      </c>
      <c r="S12" s="2176">
        <f t="shared" si="2"/>
        <v>82404.606833323225</v>
      </c>
      <c r="T12" s="2185">
        <f>'May TCM'!LG20</f>
        <v>0</v>
      </c>
      <c r="U12" s="2186">
        <f>'May TCM'!LH20</f>
        <v>0</v>
      </c>
      <c r="V12" s="2186">
        <f t="shared" si="3"/>
        <v>0</v>
      </c>
      <c r="W12" s="2185">
        <f>'May TCM'!NC20</f>
        <v>39906.519297803701</v>
      </c>
      <c r="X12" s="2185">
        <f>'May TCM'!ND20</f>
        <v>92399.826004481991</v>
      </c>
      <c r="AA12" s="2184">
        <f>'May TCM'!NO20+'May TCM'!NQ20</f>
        <v>11205.711376603216</v>
      </c>
      <c r="AB12" s="1903">
        <f>'May TCM'!NR20</f>
        <v>2656.0926980586946</v>
      </c>
      <c r="AD12" s="1903">
        <f>SUM('May TCM'!NZ20,'May TCM'!OB20,'May TCM'!OD20)</f>
        <v>29285.776807110564</v>
      </c>
      <c r="AE12" s="1903">
        <f>'May TCM'!OO20</f>
        <v>11564.572235312073</v>
      </c>
      <c r="AF12" s="1903">
        <f>'May TCM'!OQ20</f>
        <v>1495.7576435566853</v>
      </c>
    </row>
    <row r="13" spans="1:32" ht="15.6">
      <c r="A13" s="2181">
        <v>46154</v>
      </c>
      <c r="B13" s="2176">
        <f>+SUM('May TCM'!EA21,'May TCM'!EN21)</f>
        <v>4902.18</v>
      </c>
      <c r="C13" s="2176"/>
      <c r="D13" s="2176">
        <f>SUM('May TCM'!DL21,'May TCM'!DN21,'May TCM'!EC21,'May TCM'!EP21)</f>
        <v>5398.6200000000008</v>
      </c>
      <c r="E13" s="2176">
        <f>SUM('May TCM'!PW21)</f>
        <v>0</v>
      </c>
      <c r="F13" s="2176">
        <f>SUM('May TCM'!BN21)</f>
        <v>0</v>
      </c>
      <c r="G13" s="2176">
        <f>'May TCM'!KO21</f>
        <v>7007.4470327232393</v>
      </c>
      <c r="H13" s="2177">
        <f>'May TCM'!KP21</f>
        <v>0.82760399334442603</v>
      </c>
      <c r="I13" s="2176">
        <f>'May TCM'!KT21</f>
        <v>6599.7421458209838</v>
      </c>
      <c r="J13" s="2177">
        <f>'May TCM'!KU21</f>
        <v>1.8604090100770598</v>
      </c>
      <c r="K13" s="2183"/>
      <c r="L13" s="2185">
        <f t="shared" si="0"/>
        <v>10300.800000000001</v>
      </c>
      <c r="M13" s="2176">
        <f>'May TCM'!JI21</f>
        <v>6787.16</v>
      </c>
      <c r="N13" s="2176">
        <f>'May TCM'!JJ21</f>
        <v>8292</v>
      </c>
      <c r="O13" s="2185">
        <f t="shared" si="1"/>
        <v>15079.16</v>
      </c>
      <c r="P13" s="2176">
        <f>SUM('May TCM'!NO21,'May TCM'!NQ21,'May TCM'!OO21)</f>
        <v>21968.363611915287</v>
      </c>
      <c r="Q13" s="2176">
        <f>SUM('May TCM'!NR21,'May TCM'!NZ21,'May TCM'!OD21,'May TCM'!OQ21,'May TCM'!OB21)</f>
        <v>30457.939505169259</v>
      </c>
      <c r="R13" s="2176">
        <f>'May TCM'!NP21</f>
        <v>26196.696072681989</v>
      </c>
      <c r="S13" s="2176">
        <f t="shared" si="2"/>
        <v>78622.999189766531</v>
      </c>
      <c r="T13" s="2185">
        <f>'May TCM'!LG21</f>
        <v>0</v>
      </c>
      <c r="U13" s="2186">
        <f>'May TCM'!LH21</f>
        <v>0</v>
      </c>
      <c r="V13" s="2186">
        <f t="shared" si="3"/>
        <v>0</v>
      </c>
      <c r="W13" s="2185">
        <f>'May TCM'!NC21</f>
        <v>46693.679297803697</v>
      </c>
      <c r="X13" s="2185">
        <f>'May TCM'!ND21</f>
        <v>100691.82600448199</v>
      </c>
      <c r="AA13" s="2184">
        <f>'May TCM'!NO21+'May TCM'!NQ21</f>
        <v>11205.711376603216</v>
      </c>
      <c r="AB13" s="1903">
        <f>'May TCM'!NR21</f>
        <v>285.98269805869495</v>
      </c>
      <c r="AD13" s="1903">
        <f>SUM('May TCM'!NZ21,'May TCM'!OB21,'May TCM'!OD21)</f>
        <v>30171.956807110564</v>
      </c>
      <c r="AE13" s="1903">
        <f>'May TCM'!OO21</f>
        <v>10762.652235312073</v>
      </c>
      <c r="AF13" s="1903">
        <f>'May TCM'!OQ21</f>
        <v>0</v>
      </c>
    </row>
    <row r="14" spans="1:32" ht="15.6">
      <c r="A14" s="2181">
        <v>46155</v>
      </c>
      <c r="B14" s="2176">
        <f>+SUM('May TCM'!EA22,'May TCM'!EN22)</f>
        <v>2279.8599999999997</v>
      </c>
      <c r="C14" s="2176"/>
      <c r="D14" s="2176">
        <f>SUM('May TCM'!DL22,'May TCM'!DN22,'May TCM'!EC22,'May TCM'!EP22)</f>
        <v>5791.06</v>
      </c>
      <c r="E14" s="2176">
        <f>SUM('May TCM'!PW22)</f>
        <v>0</v>
      </c>
      <c r="F14" s="2176">
        <f>SUM('May TCM'!BN22)</f>
        <v>651.25120000000004</v>
      </c>
      <c r="G14" s="2176">
        <f>'May TCM'!KO22</f>
        <v>6990</v>
      </c>
      <c r="H14" s="2177">
        <f>'May TCM'!KP22</f>
        <v>0.92000000000000015</v>
      </c>
      <c r="I14" s="2176">
        <f>'May TCM'!KT22</f>
        <v>7098.3022162525185</v>
      </c>
      <c r="J14" s="2177">
        <f>'May TCM'!KU22</f>
        <v>1.6065681665547347</v>
      </c>
      <c r="K14" s="2183"/>
      <c r="L14" s="2185">
        <f t="shared" si="0"/>
        <v>8722.1712000000007</v>
      </c>
      <c r="M14" s="2176">
        <f>'May TCM'!JI22</f>
        <v>1236.1199999999999</v>
      </c>
      <c r="N14" s="2176">
        <f>'May TCM'!JJ22</f>
        <v>7268.1699999999992</v>
      </c>
      <c r="O14" s="2185">
        <f t="shared" si="1"/>
        <v>8504.2899999999991</v>
      </c>
      <c r="P14" s="2176">
        <f>SUM('May TCM'!NO22,'May TCM'!NQ22,'May TCM'!OO22)</f>
        <v>23857.473611915288</v>
      </c>
      <c r="Q14" s="2176">
        <f>SUM('May TCM'!NR22,'May TCM'!NZ22,'May TCM'!OD22,'May TCM'!OQ22,'May TCM'!OB22)</f>
        <v>28135.459505169263</v>
      </c>
      <c r="R14" s="2176">
        <f>'May TCM'!NP22</f>
        <v>26196.696072681989</v>
      </c>
      <c r="S14" s="2176">
        <f t="shared" si="2"/>
        <v>78189.629189766536</v>
      </c>
      <c r="T14" s="2185">
        <f>'May TCM'!LG22</f>
        <v>0</v>
      </c>
      <c r="U14" s="2186">
        <f>'May TCM'!LH22</f>
        <v>0</v>
      </c>
      <c r="V14" s="2186">
        <f t="shared" si="3"/>
        <v>0</v>
      </c>
      <c r="W14" s="2185">
        <f>'May TCM'!NC22</f>
        <v>47929.7992978037</v>
      </c>
      <c r="X14" s="2185">
        <f>'May TCM'!ND22</f>
        <v>107959.99600448199</v>
      </c>
      <c r="AA14" s="2184">
        <f>'May TCM'!NO22+'May TCM'!NQ22</f>
        <v>11205.711376603216</v>
      </c>
      <c r="AB14" s="1903">
        <f>'May TCM'!NR22</f>
        <v>285.98269805869495</v>
      </c>
      <c r="AD14" s="1903">
        <f>SUM('May TCM'!NZ22,'May TCM'!OB22,'May TCM'!OD22)</f>
        <v>27849.476807110568</v>
      </c>
      <c r="AE14" s="1903">
        <f>'May TCM'!OO22</f>
        <v>12651.762235312071</v>
      </c>
      <c r="AF14" s="1903">
        <f>'May TCM'!OQ22</f>
        <v>0</v>
      </c>
    </row>
    <row r="15" spans="1:32" ht="15.6">
      <c r="A15" s="2181">
        <v>46156</v>
      </c>
      <c r="B15" s="2176">
        <f>+SUM('May TCM'!EA23,'May TCM'!EN23)</f>
        <v>3239.5200000000004</v>
      </c>
      <c r="C15" s="2176"/>
      <c r="D15" s="2176">
        <f>SUM('May TCM'!DL23,'May TCM'!DN23,'May TCM'!EC23,'May TCM'!EP23)</f>
        <v>4889.82</v>
      </c>
      <c r="E15" s="2176">
        <f>SUM('May TCM'!PW23)</f>
        <v>0</v>
      </c>
      <c r="F15" s="2176">
        <f>SUM('May TCM'!BN23)</f>
        <v>305.274</v>
      </c>
      <c r="G15" s="2176">
        <f>'May TCM'!KO23</f>
        <v>0</v>
      </c>
      <c r="H15" s="2177">
        <f>'May TCM'!KP23</f>
        <v>0</v>
      </c>
      <c r="I15" s="2176">
        <f>'May TCM'!KT23</f>
        <v>0</v>
      </c>
      <c r="J15" s="2177">
        <f>'May TCM'!KU23</f>
        <v>0</v>
      </c>
      <c r="K15" s="2183"/>
      <c r="L15" s="2185">
        <f t="shared" si="0"/>
        <v>8434.6139999999996</v>
      </c>
      <c r="M15" s="2176">
        <f>'May TCM'!JI23</f>
        <v>0</v>
      </c>
      <c r="N15" s="2176">
        <f>'May TCM'!JJ23</f>
        <v>0</v>
      </c>
      <c r="O15" s="2185">
        <f t="shared" si="1"/>
        <v>0</v>
      </c>
      <c r="P15" s="2176">
        <f>SUM('May TCM'!NO23,'May TCM'!NQ23,'May TCM'!OO23)</f>
        <v>27096.993611915288</v>
      </c>
      <c r="Q15" s="2176">
        <f>SUM('May TCM'!NR23,'May TCM'!NZ23,'May TCM'!OD23,'May TCM'!OQ23,'May TCM'!OB23)</f>
        <v>33025.279505169266</v>
      </c>
      <c r="R15" s="2176">
        <f>'May TCM'!NP23</f>
        <v>26196.696072681989</v>
      </c>
      <c r="S15" s="2176">
        <f t="shared" si="2"/>
        <v>86318.969189766533</v>
      </c>
      <c r="T15" s="2185">
        <f>'May TCM'!LG23</f>
        <v>4161.3935000000001</v>
      </c>
      <c r="U15" s="2186">
        <f>'May TCM'!LH23</f>
        <v>3404.7764999999999</v>
      </c>
      <c r="V15" s="2186">
        <f t="shared" si="3"/>
        <v>7566.17</v>
      </c>
      <c r="W15" s="2185">
        <f>'May TCM'!NC23</f>
        <v>43768.405797803702</v>
      </c>
      <c r="X15" s="2185">
        <f>'May TCM'!ND23</f>
        <v>104555.219504482</v>
      </c>
      <c r="AA15" s="2184">
        <f>'May TCM'!NO23+'May TCM'!NQ23</f>
        <v>11205.711376603216</v>
      </c>
      <c r="AB15" s="1903">
        <f>'May TCM'!NR23</f>
        <v>465.98269805869495</v>
      </c>
      <c r="AD15" s="1903">
        <f>SUM('May TCM'!NZ23,'May TCM'!OB23,'May TCM'!OD23)</f>
        <v>32559.296807110568</v>
      </c>
      <c r="AE15" s="1903">
        <f>'May TCM'!OO23</f>
        <v>15891.282235312072</v>
      </c>
      <c r="AF15" s="1903">
        <f>'May TCM'!OQ23</f>
        <v>0</v>
      </c>
    </row>
    <row r="16" spans="1:32" ht="15.6">
      <c r="A16" s="2181">
        <v>46157</v>
      </c>
      <c r="B16" s="2176">
        <f>+SUM('May TCM'!EA24,'May TCM'!EN24)</f>
        <v>3308.6200000000003</v>
      </c>
      <c r="C16" s="2176"/>
      <c r="D16" s="2176">
        <f>SUM('May TCM'!DL24,'May TCM'!DN24,'May TCM'!EC24,'May TCM'!EP24)</f>
        <v>3820.7</v>
      </c>
      <c r="E16" s="2176">
        <f>SUM('May TCM'!PW24)</f>
        <v>0</v>
      </c>
      <c r="F16" s="2176">
        <f>SUM('May TCM'!BN24)</f>
        <v>0</v>
      </c>
      <c r="G16" s="2176">
        <f>'May TCM'!KO24</f>
        <v>6848.4718538166817</v>
      </c>
      <c r="H16" s="2177">
        <f>'May TCM'!KP24</f>
        <v>0.80735632183908046</v>
      </c>
      <c r="I16" s="2176">
        <f>'May TCM'!KT24</f>
        <v>6899.1070815696148</v>
      </c>
      <c r="J16" s="2177">
        <f>'May TCM'!KU24</f>
        <v>1.2485596613659764</v>
      </c>
      <c r="K16" s="2183"/>
      <c r="L16" s="2185">
        <f t="shared" si="0"/>
        <v>7129.32</v>
      </c>
      <c r="M16" s="2176">
        <f>'May TCM'!JI24</f>
        <v>6693.8300000000008</v>
      </c>
      <c r="N16" s="2176">
        <f>'May TCM'!JJ24</f>
        <v>8813.59</v>
      </c>
      <c r="O16" s="2185">
        <f t="shared" si="1"/>
        <v>15507.420000000002</v>
      </c>
      <c r="P16" s="2176">
        <f>SUM('May TCM'!NO24,'May TCM'!NQ24,'May TCM'!OO24)</f>
        <v>24267.98361191529</v>
      </c>
      <c r="Q16" s="2176">
        <f>SUM('May TCM'!NR24,'May TCM'!NZ24,'May TCM'!OD24,'May TCM'!OQ24,'May TCM'!OB24)</f>
        <v>28696.046807110572</v>
      </c>
      <c r="R16" s="2176">
        <f>'May TCM'!NP24</f>
        <v>26196.696072681989</v>
      </c>
      <c r="S16" s="2176">
        <f t="shared" si="2"/>
        <v>79160.726491707843</v>
      </c>
      <c r="T16" s="2185">
        <f>'May TCM'!LG24</f>
        <v>0</v>
      </c>
      <c r="U16" s="2186">
        <f>'May TCM'!LH24</f>
        <v>0</v>
      </c>
      <c r="V16" s="2186">
        <f t="shared" si="3"/>
        <v>0</v>
      </c>
      <c r="W16" s="2185">
        <f>'May TCM'!NC24</f>
        <v>50462.235797803703</v>
      </c>
      <c r="X16" s="2185">
        <f>'May TCM'!ND24</f>
        <v>113368.80950448199</v>
      </c>
      <c r="AA16" s="2184">
        <f>'May TCM'!NO24+'May TCM'!NQ24</f>
        <v>11205.711376603216</v>
      </c>
      <c r="AB16" s="1903">
        <f>'May TCM'!NR24</f>
        <v>0</v>
      </c>
      <c r="AD16" s="1903">
        <f>SUM('May TCM'!NZ24,'May TCM'!OB24,'May TCM'!OD24)</f>
        <v>28696.046807110568</v>
      </c>
      <c r="AE16" s="1903">
        <f>'May TCM'!OO24</f>
        <v>13062.272235312072</v>
      </c>
      <c r="AF16" s="1903">
        <f>'May TCM'!OQ24</f>
        <v>0</v>
      </c>
    </row>
    <row r="17" spans="1:32" ht="15.6">
      <c r="A17" s="2181">
        <v>46158</v>
      </c>
      <c r="B17" s="2176">
        <f>+SUM('May TCM'!EA25,'May TCM'!EN25)</f>
        <v>2745.7</v>
      </c>
      <c r="C17" s="2176"/>
      <c r="D17" s="2176">
        <f>SUM('May TCM'!DL25,'May TCM'!DN25,'May TCM'!EC25,'May TCM'!EP25)</f>
        <v>4439.74</v>
      </c>
      <c r="E17" s="2176">
        <f>SUM('May TCM'!PW25)</f>
        <v>0</v>
      </c>
      <c r="F17" s="2176">
        <f>SUM('May TCM'!BN25)</f>
        <v>142.46119999999996</v>
      </c>
      <c r="G17" s="2176">
        <f>'May TCM'!KO25</f>
        <v>6856.0557620817845</v>
      </c>
      <c r="H17" s="2177">
        <f>'May TCM'!KP25</f>
        <v>0.59743494423791821</v>
      </c>
      <c r="I17" s="2176">
        <f>'May TCM'!KT25</f>
        <v>7217</v>
      </c>
      <c r="J17" s="2177">
        <f>'May TCM'!KU25</f>
        <v>2.08</v>
      </c>
      <c r="K17" s="2183"/>
      <c r="L17" s="2185">
        <f t="shared" si="0"/>
        <v>7327.9011999999993</v>
      </c>
      <c r="M17" s="2176">
        <f>'May TCM'!JI25</f>
        <v>6224.1900000000005</v>
      </c>
      <c r="N17" s="2176">
        <f>'May TCM'!JJ25</f>
        <v>7586.5300000000016</v>
      </c>
      <c r="O17" s="2185">
        <f t="shared" si="1"/>
        <v>13810.720000000001</v>
      </c>
      <c r="P17" s="2176">
        <f>SUM('May TCM'!NO25,'May TCM'!NQ25,'May TCM'!OO25)</f>
        <v>21632.093611915287</v>
      </c>
      <c r="Q17" s="2176">
        <f>SUM('May TCM'!NR25,'May TCM'!NZ25,'May TCM'!OD25,'May TCM'!OQ25,'May TCM'!OB25)</f>
        <v>24817.756807110571</v>
      </c>
      <c r="R17" s="2176">
        <f>'May TCM'!NP25</f>
        <v>26196.696072681989</v>
      </c>
      <c r="S17" s="2176">
        <f t="shared" si="2"/>
        <v>72646.54649170785</v>
      </c>
      <c r="T17" s="2185">
        <f>'May TCM'!LG25</f>
        <v>10205.732</v>
      </c>
      <c r="U17" s="2186">
        <f>'May TCM'!LH25</f>
        <v>17979.438000000002</v>
      </c>
      <c r="V17" s="2186">
        <f t="shared" si="3"/>
        <v>28185.170000000002</v>
      </c>
      <c r="W17" s="2185">
        <f>'May TCM'!NC25</f>
        <v>46480.693797803702</v>
      </c>
      <c r="X17" s="2185">
        <f>'May TCM'!ND25</f>
        <v>102975.901504482</v>
      </c>
      <c r="AA17" s="2184">
        <f>'May TCM'!NO25+'May TCM'!NQ25</f>
        <v>11205.711376603216</v>
      </c>
      <c r="AB17" s="1903">
        <f>'May TCM'!NR25</f>
        <v>-495.72</v>
      </c>
      <c r="AD17" s="1903">
        <f>SUM('May TCM'!NZ25,'May TCM'!OB25,'May TCM'!OD25)</f>
        <v>25313.476807110568</v>
      </c>
      <c r="AE17" s="1903">
        <f>'May TCM'!OO25</f>
        <v>10426.38223531207</v>
      </c>
      <c r="AF17" s="1903">
        <f>'May TCM'!OQ25</f>
        <v>0</v>
      </c>
    </row>
    <row r="18" spans="1:32" ht="15.6">
      <c r="A18" s="2181">
        <v>46159</v>
      </c>
      <c r="B18" s="2176">
        <f>+SUM('May TCM'!EA26,'May TCM'!EN26)</f>
        <v>4499.7</v>
      </c>
      <c r="C18" s="2176"/>
      <c r="D18" s="2176">
        <f>SUM('May TCM'!DL26,'May TCM'!DN26,'May TCM'!EC26,'May TCM'!EP26)</f>
        <v>3928.21</v>
      </c>
      <c r="E18" s="2176">
        <f>SUM('May TCM'!PW26)</f>
        <v>0</v>
      </c>
      <c r="F18" s="2176">
        <f>SUM('May TCM'!BN26)</f>
        <v>0</v>
      </c>
      <c r="G18" s="2176">
        <f>'May TCM'!KO26</f>
        <v>6903.5537493445199</v>
      </c>
      <c r="H18" s="2177">
        <f>'May TCM'!KP26</f>
        <v>0.89630833770319884</v>
      </c>
      <c r="I18" s="2176">
        <f>'May TCM'!KT26</f>
        <v>6639</v>
      </c>
      <c r="J18" s="2177">
        <f>'May TCM'!KU26</f>
        <v>1.55</v>
      </c>
      <c r="K18" s="2183"/>
      <c r="L18" s="2185">
        <f t="shared" si="0"/>
        <v>8427.91</v>
      </c>
      <c r="M18" s="2176">
        <f>'May TCM'!JI26</f>
        <v>5674.2</v>
      </c>
      <c r="N18" s="2176">
        <f>'May TCM'!JJ26</f>
        <v>0</v>
      </c>
      <c r="O18" s="2185">
        <f t="shared" si="1"/>
        <v>5674.2</v>
      </c>
      <c r="P18" s="2176">
        <f>SUM('May TCM'!NO26,'May TCM'!NQ26,'May TCM'!OO26)</f>
        <v>22048.393611915286</v>
      </c>
      <c r="Q18" s="2176">
        <f>SUM('May TCM'!NR26,'May TCM'!NZ26,'May TCM'!OD26,'May TCM'!OQ26,'May TCM'!OB26)</f>
        <v>27503.266807110569</v>
      </c>
      <c r="R18" s="2176">
        <f>'May TCM'!NP26</f>
        <v>26196.696072681989</v>
      </c>
      <c r="S18" s="2176">
        <f t="shared" si="2"/>
        <v>75748.356491707847</v>
      </c>
      <c r="T18" s="2185">
        <f>'May TCM'!LG26</f>
        <v>0</v>
      </c>
      <c r="U18" s="2186">
        <f>'May TCM'!LH26</f>
        <v>0</v>
      </c>
      <c r="V18" s="2186">
        <f t="shared" si="3"/>
        <v>0</v>
      </c>
      <c r="W18" s="2185">
        <f>'May TCM'!NC26</f>
        <v>52154.893797803699</v>
      </c>
      <c r="X18" s="2185">
        <f>'May TCM'!ND26</f>
        <v>102975.901504482</v>
      </c>
      <c r="AA18" s="2184">
        <f>'May TCM'!NO26+'May TCM'!NQ26</f>
        <v>11205.711376603216</v>
      </c>
      <c r="AB18" s="1903">
        <f>'May TCM'!NR26</f>
        <v>-195.72000000000003</v>
      </c>
      <c r="AD18" s="1903">
        <f>SUM('May TCM'!NZ26,'May TCM'!OB26,'May TCM'!OD26)</f>
        <v>27698.986807110567</v>
      </c>
      <c r="AE18" s="1903">
        <f>'May TCM'!OO26</f>
        <v>10842.682235312071</v>
      </c>
      <c r="AF18" s="1903">
        <f>'May TCM'!OQ26</f>
        <v>0</v>
      </c>
    </row>
    <row r="19" spans="1:32" ht="15.6">
      <c r="A19" s="2181">
        <v>46160</v>
      </c>
      <c r="B19" s="2176">
        <f>+SUM('May TCM'!EA27,'May TCM'!EN27)</f>
        <v>4449.4800000000005</v>
      </c>
      <c r="C19" s="2176"/>
      <c r="D19" s="2176">
        <f>SUM('May TCM'!DL27,'May TCM'!DN27,'May TCM'!EC27,'May TCM'!EP27)</f>
        <v>4334.6499999999996</v>
      </c>
      <c r="E19" s="2176">
        <f>SUM('May TCM'!PW27)</f>
        <v>964.6400000000001</v>
      </c>
      <c r="F19" s="2176">
        <f>SUM('May TCM'!BN27)</f>
        <v>0</v>
      </c>
      <c r="G19" s="2176">
        <f>'May TCM'!KO27</f>
        <v>7100.9042166992458</v>
      </c>
      <c r="H19" s="2177">
        <f>'May TCM'!KP27</f>
        <v>0.50776598715442611</v>
      </c>
      <c r="I19" s="2176">
        <f>'May TCM'!KT27</f>
        <v>0</v>
      </c>
      <c r="J19" s="2177">
        <f>'May TCM'!KU27</f>
        <v>0</v>
      </c>
      <c r="K19" s="2183"/>
      <c r="L19" s="2185">
        <f t="shared" si="0"/>
        <v>9748.77</v>
      </c>
      <c r="M19" s="2176">
        <f>'May TCM'!JI27</f>
        <v>3525.4500000000003</v>
      </c>
      <c r="N19" s="2176">
        <f>'May TCM'!JJ27</f>
        <v>0</v>
      </c>
      <c r="O19" s="2185">
        <f t="shared" si="1"/>
        <v>3525.4500000000003</v>
      </c>
      <c r="P19" s="2176">
        <f>SUM('May TCM'!NO27,'May TCM'!NQ27,'May TCM'!OO27)</f>
        <v>23283.523611915291</v>
      </c>
      <c r="Q19" s="2176">
        <f>SUM('May TCM'!NR27,'May TCM'!NZ27,'May TCM'!OD27,'May TCM'!OQ27,'May TCM'!OB27)</f>
        <v>31526.816807110568</v>
      </c>
      <c r="R19" s="2176">
        <f>'May TCM'!NP27</f>
        <v>26196.696072681989</v>
      </c>
      <c r="S19" s="2176">
        <f t="shared" si="2"/>
        <v>81007.03649170784</v>
      </c>
      <c r="T19" s="2185">
        <f>'May TCM'!LG27</f>
        <v>3394.8</v>
      </c>
      <c r="U19" s="2186">
        <f>'May TCM'!LH27</f>
        <v>4149.2000000000007</v>
      </c>
      <c r="V19" s="2186">
        <f t="shared" si="3"/>
        <v>7544.0000000000009</v>
      </c>
      <c r="W19" s="2185">
        <f>'May TCM'!NC27</f>
        <v>52285.543797803693</v>
      </c>
      <c r="X19" s="2185">
        <f>'May TCM'!ND27</f>
        <v>98826.701504482</v>
      </c>
      <c r="AA19" s="2184">
        <f>'May TCM'!NO27+'May TCM'!NQ27</f>
        <v>11205.711376603216</v>
      </c>
      <c r="AB19" s="1903">
        <f>'May TCM'!NR27</f>
        <v>-75.720000000000027</v>
      </c>
      <c r="AD19" s="1903">
        <f>SUM('May TCM'!NZ27,'May TCM'!OB27,'May TCM'!OD27)</f>
        <v>31602.536807110566</v>
      </c>
      <c r="AE19" s="1903">
        <f>'May TCM'!OO27</f>
        <v>12077.812235312073</v>
      </c>
      <c r="AF19" s="1903">
        <f>'May TCM'!OQ27</f>
        <v>0</v>
      </c>
    </row>
    <row r="20" spans="1:32" ht="15.6">
      <c r="A20" s="2181">
        <v>46161</v>
      </c>
      <c r="B20" s="2176">
        <f>+SUM('May TCM'!EA28,'May TCM'!EN28)</f>
        <v>3646.3800000000006</v>
      </c>
      <c r="C20" s="2183"/>
      <c r="D20" s="2176">
        <f>SUM('May TCM'!DL28,'May TCM'!DN28,'May TCM'!EC28,'May TCM'!EP28)</f>
        <v>4170.7000000000007</v>
      </c>
      <c r="E20" s="2176">
        <f>SUM('May TCM'!PW28)</f>
        <v>0</v>
      </c>
      <c r="F20" s="2176">
        <f>SUM('May TCM'!BN28)</f>
        <v>0</v>
      </c>
      <c r="G20" s="2176">
        <f>'May TCM'!KO28</f>
        <v>6968.9512903777131</v>
      </c>
      <c r="H20" s="2177">
        <f>'May TCM'!KP28</f>
        <v>0.93022731157067173</v>
      </c>
      <c r="I20" s="2176">
        <f>'May TCM'!KT28</f>
        <v>0</v>
      </c>
      <c r="J20" s="2177">
        <f>'May TCM'!KU28</f>
        <v>0</v>
      </c>
      <c r="K20" s="2183"/>
      <c r="L20" s="2185">
        <f t="shared" si="0"/>
        <v>7817.0800000000017</v>
      </c>
      <c r="M20" s="2176">
        <f>'May TCM'!JI28</f>
        <v>5725.7000000000007</v>
      </c>
      <c r="N20" s="2176">
        <f>'May TCM'!JJ28</f>
        <v>0</v>
      </c>
      <c r="O20" s="2185">
        <f t="shared" si="1"/>
        <v>5725.7000000000007</v>
      </c>
      <c r="P20" s="2176">
        <f>SUM('May TCM'!NO28,'May TCM'!NQ28,'May TCM'!OO28)</f>
        <v>22639.553611915289</v>
      </c>
      <c r="Q20" s="2176">
        <f>SUM('May TCM'!NR28,'May TCM'!NZ28,'May TCM'!OD28,'May TCM'!OQ28,'May TCM'!OB28)</f>
        <v>34514.166807110574</v>
      </c>
      <c r="R20" s="2176">
        <f>'May TCM'!NP28</f>
        <v>26196.696072681989</v>
      </c>
      <c r="S20" s="2176">
        <f t="shared" si="2"/>
        <v>83350.416491707845</v>
      </c>
      <c r="T20" s="2185">
        <f>'May TCM'!LG28</f>
        <v>0</v>
      </c>
      <c r="U20" s="2186">
        <f>'May TCM'!LH28</f>
        <v>0</v>
      </c>
      <c r="V20" s="2186">
        <f t="shared" si="3"/>
        <v>0</v>
      </c>
      <c r="W20" s="2185">
        <f>'May TCM'!NC28</f>
        <v>57619.328373462551</v>
      </c>
      <c r="X20" s="2185">
        <f>'May TCM'!ND28</f>
        <v>102132.20172315941</v>
      </c>
      <c r="AA20" s="2184">
        <f>'May TCM'!NO28+'May TCM'!NQ28</f>
        <v>11205.711376603216</v>
      </c>
      <c r="AB20" s="1903">
        <f>'May TCM'!NR28</f>
        <v>384.28</v>
      </c>
      <c r="AD20" s="1903">
        <f>SUM('May TCM'!NZ28,'May TCM'!OB28,'May TCM'!OD28)</f>
        <v>34129.886807110575</v>
      </c>
      <c r="AE20" s="1903">
        <f>'May TCM'!OO28</f>
        <v>11433.842235312073</v>
      </c>
      <c r="AF20" s="1903">
        <f>'May TCM'!OQ28</f>
        <v>0</v>
      </c>
    </row>
    <row r="21" spans="1:32" ht="15.6">
      <c r="A21" s="2181">
        <v>46162</v>
      </c>
      <c r="B21" s="2176">
        <f>+SUM('May TCM'!EA29,'May TCM'!EN29)</f>
        <v>4007.0400000000009</v>
      </c>
      <c r="C21" s="2183"/>
      <c r="D21" s="2176">
        <f>SUM('May TCM'!DL29,'May TCM'!DN29,'May TCM'!EC29,'May TCM'!EP29)</f>
        <v>4482.12</v>
      </c>
      <c r="E21" s="2176">
        <f>SUM('May TCM'!PW29)</f>
        <v>0</v>
      </c>
      <c r="F21" s="2176"/>
      <c r="G21" s="2176">
        <f>'May TCM'!KO29</f>
        <v>6894.1379073756434</v>
      </c>
      <c r="H21" s="2177">
        <f>'May TCM'!KP29</f>
        <v>0.80527101200686102</v>
      </c>
      <c r="I21" s="2176">
        <f>'May TCM'!KT29</f>
        <v>0</v>
      </c>
      <c r="J21" s="2177">
        <f>'May TCM'!KU29</f>
        <v>0</v>
      </c>
      <c r="K21" s="2183"/>
      <c r="L21" s="2185">
        <f t="shared" si="0"/>
        <v>8489.16</v>
      </c>
      <c r="M21" s="2176">
        <f>'May TCM'!JI29</f>
        <v>5720.2899999999991</v>
      </c>
      <c r="N21" s="2176">
        <f>'May TCM'!JJ29</f>
        <v>0</v>
      </c>
      <c r="O21" s="2185">
        <f t="shared" si="1"/>
        <v>5720.2899999999991</v>
      </c>
      <c r="P21" s="2176">
        <f>SUM('May TCM'!NO29,'May TCM'!NQ29,'May TCM'!OO29)</f>
        <v>22359.57361191529</v>
      </c>
      <c r="Q21" s="2176">
        <f>SUM('May TCM'!NR29,'May TCM'!NZ29,'May TCM'!OD29,'May TCM'!OQ29,'May TCM'!OB29)</f>
        <v>37591.936807110571</v>
      </c>
      <c r="R21" s="2176">
        <f>'May TCM'!NP29</f>
        <v>26196.696072681989</v>
      </c>
      <c r="S21" s="2176">
        <f t="shared" si="2"/>
        <v>86148.206491707853</v>
      </c>
      <c r="T21" s="2185">
        <f>'May TCM'!LG29</f>
        <v>29365.47</v>
      </c>
      <c r="U21" s="2186">
        <f>'May TCM'!LH29</f>
        <v>0</v>
      </c>
      <c r="V21" s="2186">
        <f t="shared" si="3"/>
        <v>29365.47</v>
      </c>
      <c r="W21" s="2185">
        <f>'May TCM'!NC29</f>
        <v>33974.148373462551</v>
      </c>
      <c r="X21" s="2185">
        <f>'May TCM'!ND29</f>
        <v>102132.20172315941</v>
      </c>
      <c r="AA21" s="2184">
        <f>'May TCM'!NO29+'May TCM'!NQ29</f>
        <v>11205.711376603216</v>
      </c>
      <c r="AB21" s="1903">
        <f>'May TCM'!NR29</f>
        <v>704.28</v>
      </c>
      <c r="AD21" s="1903">
        <f>SUM('May TCM'!NZ29,'May TCM'!OB29,'May TCM'!OD29)</f>
        <v>36887.656807110579</v>
      </c>
      <c r="AE21" s="1903">
        <f>'May TCM'!OO29</f>
        <v>11153.862235312074</v>
      </c>
      <c r="AF21" s="1903">
        <f>'May TCM'!OQ29</f>
        <v>0</v>
      </c>
    </row>
    <row r="22" spans="1:32" ht="15.6">
      <c r="A22" s="2181">
        <v>46163</v>
      </c>
      <c r="B22" s="2176">
        <f>+SUM('May TCM'!EA30,'May TCM'!EN30)</f>
        <v>2759.4</v>
      </c>
      <c r="C22" s="2183"/>
      <c r="D22" s="2176">
        <f>SUM('May TCM'!DL30,'May TCM'!DN30,'May TCM'!EC30,'May TCM'!EP30)</f>
        <v>6126.28</v>
      </c>
      <c r="E22" s="2176">
        <f>SUM('May TCM'!PW30)</f>
        <v>0</v>
      </c>
      <c r="F22" s="2176"/>
      <c r="G22" s="2176">
        <f>'May TCM'!KO30</f>
        <v>7051.8043402170106</v>
      </c>
      <c r="H22" s="2177">
        <f>'May TCM'!KP30</f>
        <v>0.85009800490024501</v>
      </c>
      <c r="I22" s="2176">
        <f>'May TCM'!KT30</f>
        <v>0</v>
      </c>
      <c r="J22" s="2177">
        <f>'May TCM'!KU30</f>
        <v>0</v>
      </c>
      <c r="K22" s="2183"/>
      <c r="L22" s="2185">
        <f t="shared" si="0"/>
        <v>8885.68</v>
      </c>
      <c r="M22" s="2176">
        <f>'May TCM'!JI30</f>
        <v>5590.4599999999991</v>
      </c>
      <c r="N22" s="2176">
        <f>'May TCM'!JJ30</f>
        <v>0</v>
      </c>
      <c r="O22" s="2185">
        <f t="shared" si="1"/>
        <v>5590.4599999999991</v>
      </c>
      <c r="P22" s="2176">
        <f>SUM('May TCM'!NO30,'May TCM'!NQ30,'May TCM'!OO30)</f>
        <v>20762.713611915289</v>
      </c>
      <c r="Q22" s="2176">
        <f>SUM('May TCM'!NR30,'May TCM'!NZ30,'May TCM'!OD30,'May TCM'!OQ30,'May TCM'!OB30)</f>
        <v>42741.766807110573</v>
      </c>
      <c r="R22" s="2176">
        <f>'May TCM'!NP30</f>
        <v>26196.696072681989</v>
      </c>
      <c r="S22" s="2176">
        <f t="shared" si="2"/>
        <v>89701.176491707854</v>
      </c>
      <c r="T22" s="2185">
        <f>'May TCM'!LG30</f>
        <v>7507.08</v>
      </c>
      <c r="U22" s="2186">
        <f>'May TCM'!LH30</f>
        <v>0</v>
      </c>
      <c r="V22" s="2186">
        <f t="shared" si="3"/>
        <v>7507.08</v>
      </c>
      <c r="W22" s="2185">
        <f>'May TCM'!NC30</f>
        <v>32057.528373462548</v>
      </c>
      <c r="X22" s="2185">
        <f>'May TCM'!ND30</f>
        <v>102132.20172315941</v>
      </c>
      <c r="AA22" s="2184">
        <f>'May TCM'!NO30+'May TCM'!NQ30</f>
        <v>11205.711376603216</v>
      </c>
      <c r="AB22" s="1903">
        <f>'May TCM'!NR30</f>
        <v>964.28</v>
      </c>
      <c r="AD22" s="1903">
        <f>SUM('May TCM'!NZ30,'May TCM'!OB30,'May TCM'!OD30)</f>
        <v>41777.486807110574</v>
      </c>
      <c r="AE22" s="1903">
        <f>'May TCM'!OO30</f>
        <v>9557.002235312073</v>
      </c>
      <c r="AF22" s="1903">
        <f>'May TCM'!OQ30</f>
        <v>0</v>
      </c>
    </row>
    <row r="23" spans="1:32" ht="15.6">
      <c r="A23" s="2181">
        <v>46164</v>
      </c>
      <c r="B23" s="2176">
        <f>+SUM('May TCM'!EA31,'May TCM'!EN31)</f>
        <v>1604.6000000000001</v>
      </c>
      <c r="C23" s="2183"/>
      <c r="D23" s="2176">
        <f>SUM('May TCM'!DL31,'May TCM'!DN31,'May TCM'!EC31,'May TCM'!EP31)</f>
        <v>1543.74</v>
      </c>
      <c r="E23" s="2176">
        <f>SUM('May TCM'!PW31)</f>
        <v>0</v>
      </c>
      <c r="F23" s="2176"/>
      <c r="G23" s="2176">
        <f>'May TCM'!KO31</f>
        <v>6718.0580671920361</v>
      </c>
      <c r="H23" s="2177">
        <f>'May TCM'!KP31</f>
        <v>0.82361260887598509</v>
      </c>
      <c r="I23" s="2176">
        <f>'May TCM'!KT31</f>
        <v>0</v>
      </c>
      <c r="J23" s="2177">
        <f>'May TCM'!KU31</f>
        <v>0</v>
      </c>
      <c r="K23" s="2183"/>
      <c r="L23" s="2185">
        <f t="shared" si="0"/>
        <v>3148.34</v>
      </c>
      <c r="M23" s="2176">
        <f>'May TCM'!JI31</f>
        <v>4712.95</v>
      </c>
      <c r="N23" s="2176">
        <f>'May TCM'!JJ31</f>
        <v>0</v>
      </c>
      <c r="O23" s="2185">
        <f t="shared" si="1"/>
        <v>4712.95</v>
      </c>
      <c r="P23" s="2176">
        <f>SUM('May TCM'!NO31,'May TCM'!NQ31,'May TCM'!OO31)</f>
        <v>19116.91361191529</v>
      </c>
      <c r="Q23" s="2176">
        <f>SUM('May TCM'!NR31,'May TCM'!NZ31,'May TCM'!OD31,'May TCM'!OQ31,'May TCM'!OB31)</f>
        <v>42971.506807110571</v>
      </c>
      <c r="R23" s="2176">
        <f>'May TCM'!NP31</f>
        <v>26196.696072681989</v>
      </c>
      <c r="S23" s="2176">
        <f t="shared" si="2"/>
        <v>88285.116491707857</v>
      </c>
      <c r="T23" s="2185">
        <f>'May TCM'!LG31</f>
        <v>5350.3</v>
      </c>
      <c r="U23" s="2186">
        <f>'May TCM'!LH31</f>
        <v>1783.43</v>
      </c>
      <c r="V23" s="2186">
        <f t="shared" si="3"/>
        <v>7133.7300000000005</v>
      </c>
      <c r="W23" s="2185">
        <f>'May TCM'!NC31</f>
        <v>31420.178373462546</v>
      </c>
      <c r="X23" s="2185">
        <f>'May TCM'!ND31</f>
        <v>100348.77172315941</v>
      </c>
      <c r="AA23" s="2184">
        <f>'May TCM'!NO31+'May TCM'!NQ31</f>
        <v>11205.711376603216</v>
      </c>
      <c r="AB23" s="1903">
        <f>'May TCM'!NR31</f>
        <v>1024.28</v>
      </c>
      <c r="AD23" s="1903">
        <f>SUM('May TCM'!NZ31,'May TCM'!OB31,'May TCM'!OD31)</f>
        <v>41947.226807110572</v>
      </c>
      <c r="AE23" s="1903">
        <f>'May TCM'!OO31</f>
        <v>7911.2022353120738</v>
      </c>
      <c r="AF23" s="1903">
        <f>'May TCM'!OQ31</f>
        <v>0</v>
      </c>
    </row>
    <row r="24" spans="1:32" ht="15.6">
      <c r="A24" s="2181">
        <v>46165</v>
      </c>
      <c r="B24" s="2176">
        <f>+SUM('May TCM'!EA32,'May TCM'!EN32)</f>
        <v>5818.5199999999995</v>
      </c>
      <c r="C24" s="2183"/>
      <c r="D24" s="2176">
        <f>SUM('May TCM'!DL32,'May TCM'!DN32,'May TCM'!EC32,'May TCM'!EP32)</f>
        <v>4372.08</v>
      </c>
      <c r="E24" s="2176">
        <f>SUM('May TCM'!PW32)</f>
        <v>0</v>
      </c>
      <c r="F24" s="2176"/>
      <c r="G24" s="2176">
        <f>'May TCM'!KO32</f>
        <v>6903.394736842105</v>
      </c>
      <c r="H24" s="2177">
        <f>'May TCM'!KP32</f>
        <v>0.84</v>
      </c>
      <c r="I24" s="2176">
        <f>'May TCM'!KT32</f>
        <v>0</v>
      </c>
      <c r="J24" s="2177">
        <f>'May TCM'!KU32</f>
        <v>0</v>
      </c>
      <c r="K24" s="2183"/>
      <c r="L24" s="2185">
        <f t="shared" si="0"/>
        <v>10190.599999999999</v>
      </c>
      <c r="M24" s="2176">
        <f>'May TCM'!JI32</f>
        <v>4161.63</v>
      </c>
      <c r="N24" s="2176">
        <f>'May TCM'!JJ32</f>
        <v>0</v>
      </c>
      <c r="O24" s="2185">
        <f t="shared" si="1"/>
        <v>4161.63</v>
      </c>
      <c r="P24" s="2176">
        <f>SUM('May TCM'!NO32,'May TCM'!NQ32,'May TCM'!OO32)</f>
        <v>22442.18361191529</v>
      </c>
      <c r="Q24" s="2176">
        <f>SUM('May TCM'!NR32,'May TCM'!NZ32,'May TCM'!OD32,'May TCM'!OQ32,'May TCM'!OB32)</f>
        <v>46024.136807110568</v>
      </c>
      <c r="R24" s="2176">
        <f>'May TCM'!NP32</f>
        <v>26196.696072681989</v>
      </c>
      <c r="S24" s="2176">
        <f t="shared" si="2"/>
        <v>94663.016491707851</v>
      </c>
      <c r="T24" s="2185">
        <f>'May TCM'!LG32</f>
        <v>0</v>
      </c>
      <c r="U24" s="2186">
        <f>'May TCM'!LH32</f>
        <v>0</v>
      </c>
      <c r="V24" s="2186">
        <f t="shared" si="3"/>
        <v>0</v>
      </c>
      <c r="W24" s="2185">
        <f>'May TCM'!NC32</f>
        <v>35581.808373462547</v>
      </c>
      <c r="X24" s="2185">
        <f>'May TCM'!ND32</f>
        <v>100348.77172315941</v>
      </c>
      <c r="AA24" s="2184">
        <f>'May TCM'!NO32+'May TCM'!NQ32</f>
        <v>11205.711376603216</v>
      </c>
      <c r="AB24" s="1903">
        <f>'May TCM'!NR32</f>
        <v>1424.28</v>
      </c>
      <c r="AD24" s="1903">
        <f>SUM('May TCM'!NZ32,'May TCM'!OB32,'May TCM'!OD32)</f>
        <v>44599.856807110576</v>
      </c>
      <c r="AE24" s="1903">
        <f>'May TCM'!OO32</f>
        <v>11236.472235312074</v>
      </c>
      <c r="AF24" s="1903">
        <f>'May TCM'!OQ32</f>
        <v>0</v>
      </c>
    </row>
    <row r="25" spans="1:32" ht="15.6">
      <c r="A25" s="2181">
        <v>46166</v>
      </c>
      <c r="B25" s="2176">
        <f>+SUM('May TCM'!EA33,'May TCM'!EN33)</f>
        <v>3607.66</v>
      </c>
      <c r="C25" s="2183"/>
      <c r="D25" s="2176">
        <f>SUM('May TCM'!DL33,'May TCM'!DN33,'May TCM'!EC33,'May TCM'!EP33)</f>
        <v>4311.22</v>
      </c>
      <c r="E25" s="2176">
        <f>SUM('May TCM'!PW33)</f>
        <v>0</v>
      </c>
      <c r="F25" s="2176"/>
      <c r="G25" s="2176">
        <f>'May TCM'!KO33</f>
        <v>6765.4836601307188</v>
      </c>
      <c r="H25" s="2177">
        <f>'May TCM'!KP33</f>
        <v>0.50350326797385625</v>
      </c>
      <c r="I25" s="2176">
        <f>'May TCM'!KT33</f>
        <v>0</v>
      </c>
      <c r="J25" s="2177">
        <f>'May TCM'!KU33</f>
        <v>0</v>
      </c>
      <c r="K25" s="2183"/>
      <c r="L25" s="2185">
        <f t="shared" si="0"/>
        <v>7918.88</v>
      </c>
      <c r="M25" s="2176">
        <f>'May TCM'!JI33</f>
        <v>3754</v>
      </c>
      <c r="N25" s="2176">
        <f>'May TCM'!JJ33</f>
        <v>0</v>
      </c>
      <c r="O25" s="2185">
        <f t="shared" si="1"/>
        <v>3754</v>
      </c>
      <c r="P25" s="2176">
        <f>SUM('May TCM'!NO33,'May TCM'!NQ33,'May TCM'!OO33)</f>
        <v>22756.89361191529</v>
      </c>
      <c r="Q25" s="2176">
        <f>SUM('May TCM'!NR33,'May TCM'!NZ33,'May TCM'!OD33,'May TCM'!OQ33,'May TCM'!OB33)</f>
        <v>49874.306807110566</v>
      </c>
      <c r="R25" s="2176">
        <f>'May TCM'!NP33</f>
        <v>26196.696072681989</v>
      </c>
      <c r="S25" s="2176">
        <f t="shared" si="2"/>
        <v>98827.896491707856</v>
      </c>
      <c r="T25" s="2185">
        <f>'May TCM'!LG33</f>
        <v>3065.1120000000001</v>
      </c>
      <c r="U25" s="2186">
        <f>'May TCM'!LH33</f>
        <v>4597.6679999999997</v>
      </c>
      <c r="V25" s="2186">
        <f t="shared" si="3"/>
        <v>7662.78</v>
      </c>
      <c r="W25" s="2185">
        <f>'May TCM'!NC33</f>
        <v>36270.696373462546</v>
      </c>
      <c r="X25" s="2185">
        <f>'May TCM'!ND33</f>
        <v>95751.103723159409</v>
      </c>
      <c r="AA25" s="2184">
        <f>'May TCM'!NO33+'May TCM'!NQ33</f>
        <v>11205.711376603216</v>
      </c>
      <c r="AB25" s="1903">
        <f>'May TCM'!NR33</f>
        <v>1664.28</v>
      </c>
      <c r="AD25" s="1903">
        <f>SUM('May TCM'!NZ33,'May TCM'!OB33,'May TCM'!OD33)</f>
        <v>48210.026807110567</v>
      </c>
      <c r="AE25" s="1903">
        <f>'May TCM'!OO33</f>
        <v>11551.182235312073</v>
      </c>
      <c r="AF25" s="1903">
        <f>'May TCM'!OQ33</f>
        <v>0</v>
      </c>
    </row>
    <row r="26" spans="1:32" ht="15.6">
      <c r="A26" s="2181">
        <v>46167</v>
      </c>
      <c r="B26" s="2176">
        <f>+SUM('May TCM'!EA34,'May TCM'!EN34)</f>
        <v>3955.9000000000005</v>
      </c>
      <c r="C26" s="2183"/>
      <c r="D26" s="2176">
        <f>SUM('May TCM'!DL34,'May TCM'!DN34,'May TCM'!EC34,'May TCM'!EP34)</f>
        <v>3752.1</v>
      </c>
      <c r="E26" s="2176">
        <f>SUM('May TCM'!PW34)</f>
        <v>0</v>
      </c>
      <c r="F26" s="2176"/>
      <c r="G26" s="2176">
        <f>'May TCM'!KO34</f>
        <v>6933</v>
      </c>
      <c r="H26" s="2177">
        <f>'May TCM'!KP34</f>
        <v>0.68</v>
      </c>
      <c r="I26" s="2176">
        <f>'May TCM'!KT34</f>
        <v>6735</v>
      </c>
      <c r="J26" s="2177">
        <f>'May TCM'!KU34</f>
        <v>1.5700000000000003</v>
      </c>
      <c r="K26" s="2183"/>
      <c r="L26" s="2185">
        <f t="shared" si="0"/>
        <v>7708</v>
      </c>
      <c r="M26" s="2176">
        <f>'May TCM'!JI34</f>
        <v>5068.5400000000009</v>
      </c>
      <c r="N26" s="2176">
        <f>'May TCM'!JJ34</f>
        <v>5961.41</v>
      </c>
      <c r="O26" s="2185">
        <f t="shared" si="1"/>
        <v>11029.95</v>
      </c>
      <c r="P26" s="2176">
        <f>SUM('May TCM'!NO34,'May TCM'!NQ34,'May TCM'!OO34)</f>
        <v>22909.213611915293</v>
      </c>
      <c r="Q26" s="2176">
        <f>SUM('May TCM'!NR34,'May TCM'!NZ34,'May TCM'!OD34,'May TCM'!OQ34,'May TCM'!OB34)</f>
        <v>46629.886807110568</v>
      </c>
      <c r="R26" s="2176">
        <f>'May TCM'!NP34</f>
        <v>26196.696072681989</v>
      </c>
      <c r="S26" s="2176">
        <f t="shared" si="2"/>
        <v>95735.79649170785</v>
      </c>
      <c r="T26" s="2185">
        <f>'May TCM'!LG34</f>
        <v>2965.7759999999998</v>
      </c>
      <c r="U26" s="2186">
        <f>'May TCM'!LH34</f>
        <v>4448.6639999999998</v>
      </c>
      <c r="V26" s="2186">
        <f t="shared" si="3"/>
        <v>7414.44</v>
      </c>
      <c r="W26" s="2185">
        <f>'May TCM'!NC34</f>
        <v>38373.460373462549</v>
      </c>
      <c r="X26" s="2185">
        <f>'May TCM'!ND34</f>
        <v>97263.849723159408</v>
      </c>
      <c r="AA26" s="2184">
        <f>'May TCM'!NO34+'May TCM'!NQ34</f>
        <v>11205.711376603216</v>
      </c>
      <c r="AB26" s="1903">
        <f>'May TCM'!NR34</f>
        <v>1824.28</v>
      </c>
      <c r="AD26" s="1903">
        <f>SUM('May TCM'!NZ34,'May TCM'!OB34,'May TCM'!OD34)</f>
        <v>44805.606807110569</v>
      </c>
      <c r="AE26" s="1903">
        <f>'May TCM'!OO34</f>
        <v>11703.502235312075</v>
      </c>
      <c r="AF26" s="1903">
        <f>'May TCM'!OQ34</f>
        <v>0</v>
      </c>
    </row>
    <row r="27" spans="1:32" ht="15.6">
      <c r="A27" s="2181">
        <v>46168</v>
      </c>
      <c r="B27" s="2176">
        <f>+SUM('May TCM'!EA35,'May TCM'!EN35)</f>
        <v>4094.5200000000004</v>
      </c>
      <c r="C27" s="2183"/>
      <c r="D27" s="2176">
        <f>SUM('May TCM'!DL35,'May TCM'!DN35,'May TCM'!EC35,'May TCM'!EP35)</f>
        <v>3542.56</v>
      </c>
      <c r="E27" s="2176">
        <f>SUM('May TCM'!PW35)</f>
        <v>0</v>
      </c>
      <c r="F27" s="2176"/>
      <c r="G27" s="2176">
        <f>'May TCM'!KO35</f>
        <v>7138</v>
      </c>
      <c r="H27" s="2177">
        <f>'May TCM'!KP35</f>
        <v>0.82</v>
      </c>
      <c r="I27" s="2176">
        <f>'May TCM'!KT35</f>
        <v>0</v>
      </c>
      <c r="J27" s="2177">
        <f>'May TCM'!KU35</f>
        <v>0</v>
      </c>
      <c r="K27" s="2183"/>
      <c r="L27" s="2185">
        <f t="shared" si="0"/>
        <v>7637.08</v>
      </c>
      <c r="M27" s="2176">
        <f>'May TCM'!JI35</f>
        <v>5615.0199999999995</v>
      </c>
      <c r="N27" s="2176">
        <f>'May TCM'!JJ35</f>
        <v>0</v>
      </c>
      <c r="O27" s="2185">
        <f t="shared" si="1"/>
        <v>5615.0199999999995</v>
      </c>
      <c r="P27" s="2176">
        <f>SUM('May TCM'!NO35,'May TCM'!NQ35,'May TCM'!OO35)</f>
        <v>23427.963611915293</v>
      </c>
      <c r="Q27" s="2176">
        <f>SUM('May TCM'!NR35,'May TCM'!NZ35,'May TCM'!OD35,'May TCM'!OQ35,'May TCM'!OB35)</f>
        <v>48463.046807110572</v>
      </c>
      <c r="R27" s="2176">
        <f>'May TCM'!NP35</f>
        <v>26196.696072681989</v>
      </c>
      <c r="S27" s="2176">
        <f t="shared" si="2"/>
        <v>98087.706491707853</v>
      </c>
      <c r="T27" s="2185">
        <f>'May TCM'!LG35</f>
        <v>0</v>
      </c>
      <c r="U27" s="2186">
        <f>'May TCM'!LH35</f>
        <v>0</v>
      </c>
      <c r="V27" s="2186">
        <f t="shared" si="3"/>
        <v>0</v>
      </c>
      <c r="W27" s="2185">
        <f>'May TCM'!NC35</f>
        <v>43988.480373462546</v>
      </c>
      <c r="X27" s="2185">
        <f>'May TCM'!ND35</f>
        <v>97263.849723159408</v>
      </c>
      <c r="AA27" s="2184">
        <f>'May TCM'!NO35+'May TCM'!NQ35</f>
        <v>11205.711376603216</v>
      </c>
      <c r="AB27" s="1903">
        <f>'May TCM'!NR35</f>
        <v>2024.28</v>
      </c>
      <c r="AD27" s="1903">
        <f>SUM('May TCM'!NZ35,'May TCM'!OB35,'May TCM'!OD35)</f>
        <v>46438.766807110573</v>
      </c>
      <c r="AE27" s="1903">
        <f>'May TCM'!OO35</f>
        <v>12222.252235312077</v>
      </c>
      <c r="AF27" s="1903">
        <f>'May TCM'!OQ35</f>
        <v>0</v>
      </c>
    </row>
    <row r="28" spans="1:32" ht="15.6">
      <c r="A28" s="2181">
        <v>46169</v>
      </c>
      <c r="B28" s="2176">
        <f>+SUM('May TCM'!EA36,'May TCM'!EN36)</f>
        <v>2012.8600000000004</v>
      </c>
      <c r="C28" s="2183"/>
      <c r="D28" s="2176">
        <f>SUM('May TCM'!DL36,'May TCM'!DN36,'May TCM'!EC36,'May TCM'!EP36)</f>
        <v>0</v>
      </c>
      <c r="E28" s="2176">
        <f>SUM('May TCM'!PW36)</f>
        <v>0</v>
      </c>
      <c r="F28" s="2176"/>
      <c r="G28" s="2176">
        <f>'May TCM'!KO36</f>
        <v>6900</v>
      </c>
      <c r="H28" s="2177">
        <f>'May TCM'!KP36</f>
        <v>0.88</v>
      </c>
      <c r="I28" s="2176">
        <f>'May TCM'!KT36</f>
        <v>0</v>
      </c>
      <c r="J28" s="2177">
        <f>'May TCM'!KU36</f>
        <v>0</v>
      </c>
      <c r="K28" s="2183"/>
      <c r="L28" s="2185">
        <f t="shared" si="0"/>
        <v>2012.8600000000004</v>
      </c>
      <c r="M28" s="2176">
        <f>'May TCM'!JI36</f>
        <v>4654.57</v>
      </c>
      <c r="N28" s="2176">
        <f>'May TCM'!JJ36</f>
        <v>0</v>
      </c>
      <c r="O28" s="2185">
        <f t="shared" si="1"/>
        <v>4654.57</v>
      </c>
      <c r="P28" s="2176">
        <f>SUM('May TCM'!NO36,'May TCM'!NQ36,'May TCM'!OO36)</f>
        <v>22747.913611915294</v>
      </c>
      <c r="Q28" s="2176">
        <f>SUM('May TCM'!NR36,'May TCM'!NZ36,'May TCM'!OD36,'May TCM'!OQ36,'May TCM'!OB36)</f>
        <v>46724.336807110565</v>
      </c>
      <c r="R28" s="2176">
        <f>'May TCM'!NP36</f>
        <v>26196.696072681989</v>
      </c>
      <c r="S28" s="2176">
        <f t="shared" si="2"/>
        <v>95668.946491707844</v>
      </c>
      <c r="T28" s="2185">
        <f>'May TCM'!LG36</f>
        <v>0</v>
      </c>
      <c r="U28" s="2186">
        <f>'May TCM'!LH36</f>
        <v>0</v>
      </c>
      <c r="V28" s="2186">
        <f t="shared" si="3"/>
        <v>0</v>
      </c>
      <c r="W28" s="2185">
        <f>'May TCM'!NC36</f>
        <v>48643.050373462545</v>
      </c>
      <c r="X28" s="2185">
        <f>'May TCM'!ND36</f>
        <v>97263.849723159408</v>
      </c>
      <c r="AA28" s="2184">
        <f>'May TCM'!NO36+'May TCM'!NQ36</f>
        <v>11205.711376603216</v>
      </c>
      <c r="AB28" s="1903">
        <f>'May TCM'!NR36</f>
        <v>2024.28</v>
      </c>
      <c r="AD28" s="1903">
        <f>SUM('May TCM'!NZ36,'May TCM'!OB36,'May TCM'!OD36)</f>
        <v>44700.056807110574</v>
      </c>
      <c r="AE28" s="1903">
        <f>'May TCM'!OO36</f>
        <v>11542.202235312077</v>
      </c>
      <c r="AF28" s="1903">
        <f>'May TCM'!OQ36</f>
        <v>0</v>
      </c>
    </row>
    <row r="29" spans="1:32" ht="15.6">
      <c r="A29" s="2181">
        <v>46170</v>
      </c>
      <c r="B29" s="2176">
        <f>+SUM('May TCM'!EA37,'May TCM'!EN37)</f>
        <v>5377.94</v>
      </c>
      <c r="C29" s="2183"/>
      <c r="D29" s="2176">
        <f>SUM('May TCM'!DL37,'May TCM'!DN37,'May TCM'!EC37,'May TCM'!EP37)</f>
        <v>5919.36</v>
      </c>
      <c r="E29" s="2176">
        <f>SUM('May TCM'!PW37)</f>
        <v>0</v>
      </c>
      <c r="F29" s="2176"/>
      <c r="G29" s="2176">
        <f>'May TCM'!KO37</f>
        <v>6847</v>
      </c>
      <c r="H29" s="2177">
        <f>'May TCM'!KP37</f>
        <v>1.03</v>
      </c>
      <c r="I29" s="2176">
        <f>'May TCM'!KT37</f>
        <v>6696.0585241730278</v>
      </c>
      <c r="J29" s="2177">
        <f>'May TCM'!KU37</f>
        <v>1.8150240316652531</v>
      </c>
      <c r="K29" s="2183"/>
      <c r="L29" s="2185">
        <f t="shared" si="0"/>
        <v>11297.3</v>
      </c>
      <c r="M29" s="2176">
        <f>'May TCM'!JI37</f>
        <v>4853.54</v>
      </c>
      <c r="N29" s="2176">
        <f>'May TCM'!JJ37</f>
        <v>7049.21</v>
      </c>
      <c r="O29" s="2185">
        <f t="shared" si="1"/>
        <v>11902.75</v>
      </c>
      <c r="P29" s="2176">
        <f>SUM('May TCM'!NO37,'May TCM'!NQ37,'May TCM'!OO37)</f>
        <v>24469.263611915292</v>
      </c>
      <c r="Q29" s="2176">
        <f>SUM('May TCM'!NR37,'May TCM'!NZ37,'May TCM'!OD37,'May TCM'!OQ37,'May TCM'!OB37)</f>
        <v>44614.986807110574</v>
      </c>
      <c r="R29" s="2176">
        <f>'May TCM'!NP37</f>
        <v>26196.696072681989</v>
      </c>
      <c r="S29" s="2176">
        <f t="shared" si="2"/>
        <v>95280.946491707844</v>
      </c>
      <c r="T29" s="2185">
        <f>'May TCM'!LG37</f>
        <v>0</v>
      </c>
      <c r="U29" s="2186">
        <f>'May TCM'!LH37</f>
        <v>0</v>
      </c>
      <c r="V29" s="2186">
        <f t="shared" si="3"/>
        <v>0</v>
      </c>
      <c r="W29" s="2185">
        <f>'May TCM'!NC37</f>
        <v>53496.590373462546</v>
      </c>
      <c r="X29" s="2185">
        <f>'May TCM'!ND37</f>
        <v>104313.05972315941</v>
      </c>
      <c r="AA29" s="2184">
        <f>'May TCM'!NO37+'May TCM'!NQ37</f>
        <v>11205.711376603216</v>
      </c>
      <c r="AB29" s="1903">
        <f>'May TCM'!NR37</f>
        <v>1060.06</v>
      </c>
      <c r="AD29" s="1903">
        <f>SUM('May TCM'!NZ37,'May TCM'!OB37,'May TCM'!OD37)</f>
        <v>43554.926807110576</v>
      </c>
      <c r="AE29" s="1903">
        <f>'May TCM'!OO37</f>
        <v>13263.552235312076</v>
      </c>
      <c r="AF29" s="1903">
        <f>'May TCM'!OQ37</f>
        <v>0</v>
      </c>
    </row>
    <row r="30" spans="1:32" ht="15.6">
      <c r="A30" s="2181">
        <v>46171</v>
      </c>
      <c r="B30" s="2176">
        <f>+SUM('May TCM'!EA38,'May TCM'!EN38)</f>
        <v>5174.1899999999996</v>
      </c>
      <c r="C30" s="2183"/>
      <c r="D30" s="2176">
        <f>SUM('May TCM'!DL38,'May TCM'!DN38,'May TCM'!EC38,'May TCM'!EP38)</f>
        <v>3035.18</v>
      </c>
      <c r="E30" s="2176">
        <f>SUM('May TCM'!PW38)</f>
        <v>0</v>
      </c>
      <c r="F30" s="2176"/>
      <c r="G30" s="2176">
        <f>'May TCM'!KO38</f>
        <v>7021.7440426902203</v>
      </c>
      <c r="H30" s="2177">
        <f>'May TCM'!KP38</f>
        <v>1.1053362774864293</v>
      </c>
      <c r="I30" s="2176">
        <f>'May TCM'!KT38</f>
        <v>0</v>
      </c>
      <c r="J30" s="2177">
        <f>'May TCM'!KU38</f>
        <v>0</v>
      </c>
      <c r="K30" s="2183"/>
      <c r="L30" s="2185">
        <f t="shared" si="0"/>
        <v>8209.369999999999</v>
      </c>
      <c r="M30" s="2176">
        <f>'May TCM'!JI38</f>
        <v>10798.649999999998</v>
      </c>
      <c r="N30" s="2176">
        <f>'May TCM'!JJ38</f>
        <v>0</v>
      </c>
      <c r="O30" s="2185">
        <f t="shared" si="1"/>
        <v>10798.649999999998</v>
      </c>
      <c r="P30" s="2176">
        <f>SUM('May TCM'!NO38,'May TCM'!NQ38,'May TCM'!OO38)</f>
        <v>22978.123611915289</v>
      </c>
      <c r="Q30" s="2176">
        <f>SUM('May TCM'!NR38,'May TCM'!NZ38,'May TCM'!OD38,'May TCM'!OQ38,'May TCM'!OB38)</f>
        <v>43516.846807110574</v>
      </c>
      <c r="R30" s="2176">
        <f>'May TCM'!NP38</f>
        <v>26196.696072681989</v>
      </c>
      <c r="S30" s="2176">
        <f t="shared" si="2"/>
        <v>92691.666491707845</v>
      </c>
      <c r="T30" s="2185">
        <f>'May TCM'!LG38</f>
        <v>0</v>
      </c>
      <c r="U30" s="2186">
        <f>'May TCM'!LH38</f>
        <v>0</v>
      </c>
      <c r="V30" s="2186">
        <f t="shared" si="3"/>
        <v>0</v>
      </c>
      <c r="W30" s="2185">
        <f>'May TCM'!NC38</f>
        <v>64295.24037346254</v>
      </c>
      <c r="X30" s="2185">
        <f>'May TCM'!ND38</f>
        <v>104313.05972315941</v>
      </c>
      <c r="AA30" s="2184">
        <f>'May TCM'!NO38+'May TCM'!NQ38</f>
        <v>11205.711376603216</v>
      </c>
      <c r="AB30" s="1903">
        <f>'May TCM'!NR38</f>
        <v>1060.06</v>
      </c>
      <c r="AD30" s="1903">
        <f>SUM('May TCM'!NZ38,'May TCM'!OB38,'May TCM'!OD38)</f>
        <v>42456.786807110584</v>
      </c>
      <c r="AE30" s="1903">
        <f>'May TCM'!OO38</f>
        <v>11772.412235312073</v>
      </c>
      <c r="AF30" s="1903">
        <f>'May TCM'!OQ38</f>
        <v>0</v>
      </c>
    </row>
    <row r="31" spans="1:32" ht="15.6">
      <c r="A31" s="2181">
        <v>46172</v>
      </c>
      <c r="B31" s="2176">
        <f>+SUM('May TCM'!EA39,'May TCM'!EN39)</f>
        <v>4915.5600000000004</v>
      </c>
      <c r="C31" s="2183"/>
      <c r="D31" s="2176">
        <f>SUM('May TCM'!DL39,'May TCM'!DN39,'May TCM'!EC39,'May TCM'!EP39)</f>
        <v>2593.14</v>
      </c>
      <c r="E31" s="2176">
        <f>SUM('May TCM'!PW39)</f>
        <v>0</v>
      </c>
      <c r="F31" s="2176"/>
      <c r="G31" s="2176">
        <f>'May TCM'!KO39</f>
        <v>6802</v>
      </c>
      <c r="H31" s="2177">
        <f>'May TCM'!KP39</f>
        <v>1.06</v>
      </c>
      <c r="I31" s="2176">
        <f>'May TCM'!KT39</f>
        <v>0</v>
      </c>
      <c r="J31" s="2177">
        <f>'May TCM'!KU39</f>
        <v>0</v>
      </c>
      <c r="K31" s="2183"/>
      <c r="L31" s="2185">
        <f t="shared" si="0"/>
        <v>7508.7000000000007</v>
      </c>
      <c r="M31" s="2176">
        <f>'May TCM'!JI39</f>
        <v>764.8</v>
      </c>
      <c r="N31" s="2176">
        <f>'May TCM'!JJ39</f>
        <v>0</v>
      </c>
      <c r="O31" s="2185">
        <f t="shared" si="1"/>
        <v>764.8</v>
      </c>
      <c r="P31" s="2176">
        <f>SUM('May TCM'!NO39,'May TCM'!NQ39,'May TCM'!OO39)</f>
        <v>27128.883611915291</v>
      </c>
      <c r="Q31" s="2176">
        <f>SUM('May TCM'!NR39,'May TCM'!NZ39,'May TCM'!OD39,'May TCM'!OQ39,'May TCM'!OB39)</f>
        <v>46109.986807110574</v>
      </c>
      <c r="R31" s="2176">
        <f>'May TCM'!NP39</f>
        <v>26196.696072681989</v>
      </c>
      <c r="S31" s="2176">
        <f t="shared" si="2"/>
        <v>99435.566491707839</v>
      </c>
      <c r="T31" s="2185">
        <f>'May TCM'!LG39</f>
        <v>0</v>
      </c>
      <c r="U31" s="2186">
        <f>'May TCM'!LH39</f>
        <v>16737.8</v>
      </c>
      <c r="V31" s="2186">
        <f t="shared" si="3"/>
        <v>16737.8</v>
      </c>
      <c r="W31" s="2185">
        <f>'May TCM'!NC39</f>
        <v>65060.040373462543</v>
      </c>
      <c r="X31" s="2185">
        <f>'May TCM'!ND39</f>
        <v>87575.259723159412</v>
      </c>
      <c r="AA31" s="2184">
        <f>'May TCM'!NO39+'May TCM'!NQ39</f>
        <v>11205.711376603216</v>
      </c>
      <c r="AB31" s="1903">
        <f>'May TCM'!NR39</f>
        <v>1140.06</v>
      </c>
      <c r="AD31" s="1903">
        <f>SUM('May TCM'!NZ39,'May TCM'!OB39,'May TCM'!OD39)</f>
        <v>44969.926807110583</v>
      </c>
      <c r="AE31" s="1903">
        <f>'May TCM'!OO39</f>
        <v>15923.172235312075</v>
      </c>
      <c r="AF31" s="1903">
        <f>'May TCM'!OQ39</f>
        <v>0</v>
      </c>
    </row>
    <row r="32" spans="1:32" ht="15.6">
      <c r="A32" s="2181">
        <v>46173</v>
      </c>
      <c r="B32" s="2176">
        <f>+SUM('May TCM'!EA40,'May TCM'!EN40)</f>
        <v>4677.4800000000014</v>
      </c>
      <c r="C32" s="2183"/>
      <c r="D32" s="2176">
        <f>SUM('May TCM'!DL40,'May TCM'!DN40,'May TCM'!EC40,'May TCM'!EP40)</f>
        <v>3302.2799999999997</v>
      </c>
      <c r="E32" s="2176">
        <f>SUM('May TCM'!PW40)</f>
        <v>0</v>
      </c>
      <c r="F32" s="2176"/>
      <c r="G32" s="2176">
        <f>'May TCM'!KO40</f>
        <v>0</v>
      </c>
      <c r="H32" s="2177">
        <f>'May TCM'!KP40</f>
        <v>0</v>
      </c>
      <c r="I32" s="2176">
        <f>'May TCM'!KT40</f>
        <v>0</v>
      </c>
      <c r="J32" s="2177">
        <f>'May TCM'!KU40</f>
        <v>0</v>
      </c>
      <c r="K32" s="2183"/>
      <c r="L32" s="2182"/>
      <c r="M32" s="2183"/>
      <c r="N32" s="2183"/>
      <c r="O32" s="2182"/>
      <c r="P32" s="2183"/>
      <c r="Q32" s="2183"/>
      <c r="R32" s="2183"/>
      <c r="S32" s="2183"/>
      <c r="T32" s="2185"/>
      <c r="U32" s="2186"/>
      <c r="V32" s="2186"/>
      <c r="W32" s="2187"/>
      <c r="X32" s="2185"/>
      <c r="AA32" s="2184">
        <f>'May TCM'!NO40+'May TCM'!NQ40</f>
        <v>11205.711376603216</v>
      </c>
      <c r="AB32" s="1903">
        <f>'May TCM'!NR40</f>
        <v>1420.06</v>
      </c>
      <c r="AD32" s="1903">
        <f>SUM('May TCM'!NZ40,'May TCM'!OB40,'May TCM'!OD40)</f>
        <v>47992.206807110582</v>
      </c>
      <c r="AE32" s="1903">
        <f>'May TCM'!OO40</f>
        <v>20600.652235312074</v>
      </c>
      <c r="AF32" s="1903">
        <f>'May TCM'!OQ40</f>
        <v>0</v>
      </c>
    </row>
    <row r="33" spans="1:32" ht="15.6">
      <c r="A33" s="2251">
        <v>46174</v>
      </c>
      <c r="B33" s="2252">
        <f>SUM('June TCM'!DN10,'June TCM'!EA10,'June TCM'!EN10)</f>
        <v>4618.74</v>
      </c>
      <c r="C33" s="2253"/>
      <c r="D33" s="2253">
        <f>SUM('June TCM'!DL10,'June TCM'!EC10,'June TCM'!EP10)</f>
        <v>180</v>
      </c>
      <c r="E33" s="2253">
        <f>'June TCM'!PW10</f>
        <v>0</v>
      </c>
      <c r="F33" s="2253"/>
      <c r="G33" s="2252">
        <f>'June TCM'!KO10</f>
        <v>6915</v>
      </c>
      <c r="H33" s="2254">
        <f>'June TCM'!KP10</f>
        <v>0.89</v>
      </c>
      <c r="I33" s="2252">
        <f>'June TCM'!KT10</f>
        <v>0</v>
      </c>
      <c r="J33" s="2254">
        <f>'June TCM'!KU10</f>
        <v>0</v>
      </c>
      <c r="K33" s="2253"/>
      <c r="L33" s="2256">
        <f>SUM(B33:F33)</f>
        <v>4798.74</v>
      </c>
      <c r="M33" s="2257">
        <f>'June TCM'!JI10</f>
        <v>3925.9300000000003</v>
      </c>
      <c r="N33" s="2257">
        <f>'June TCM'!JJ10</f>
        <v>0</v>
      </c>
      <c r="O33" s="2256">
        <f>SUM(M33:N33)</f>
        <v>3925.9300000000003</v>
      </c>
      <c r="P33" s="2252">
        <f>SUM('June TCM'!NO10,'June TCM'!NQ10,'June TCM'!OB10,'June TCM'!OO10)</f>
        <v>68759.094327213592</v>
      </c>
      <c r="Q33" s="2252">
        <f>SUM('June TCM'!NR10,'June TCM'!NZ10,'June TCM'!OD10,'June TCM'!OQ10)</f>
        <v>18642.477450283579</v>
      </c>
      <c r="R33" s="2252">
        <f>'June TCM'!NP10</f>
        <v>26196.696072681989</v>
      </c>
      <c r="S33" s="2252">
        <f>SUM(P33:R33)</f>
        <v>113598.26785017917</v>
      </c>
      <c r="T33" s="2258">
        <f>'June TCM'!LG10</f>
        <v>0</v>
      </c>
      <c r="U33" s="2258">
        <f>'June TCM'!LH10</f>
        <v>0</v>
      </c>
      <c r="V33" s="2259">
        <f>SUM(T33:U33)</f>
        <v>0</v>
      </c>
      <c r="W33" s="2258">
        <f>'June TCM'!NC10</f>
        <v>68860.027942786255</v>
      </c>
      <c r="X33" s="2258">
        <f>'June TCM'!ND10</f>
        <v>80122.286286936403</v>
      </c>
      <c r="Y33" s="2253"/>
      <c r="Z33" s="2253"/>
      <c r="AA33" s="2255">
        <f>SUM('June TCM'!NO10,'June TCM'!NQ10)</f>
        <v>10584.88245147172</v>
      </c>
      <c r="AB33" s="2255">
        <f>'June TCM'!NR18</f>
        <v>238.8248469876014</v>
      </c>
      <c r="AC33" s="2253"/>
      <c r="AD33" s="2255">
        <f>'June TCM'!NZ10+'June TCM'!OB10+'June TCM'!OD10</f>
        <v>51205.159931264017</v>
      </c>
      <c r="AE33" s="2255">
        <f>'June TCM'!OO10</f>
        <v>23392.994547773837</v>
      </c>
      <c r="AF33" s="2255">
        <f>'June TCM'!OQ10</f>
        <v>0</v>
      </c>
    </row>
    <row r="34" spans="1:32" ht="15.6">
      <c r="A34" s="2251">
        <v>46175</v>
      </c>
      <c r="B34" s="2252">
        <f>SUM('June TCM'!DN11,'June TCM'!EA11,'June TCM'!EN11)</f>
        <v>6251.0199999999995</v>
      </c>
      <c r="C34" s="2253"/>
      <c r="D34" s="2253">
        <f>SUM('June TCM'!DL11,'June TCM'!EC11,'June TCM'!EP11)</f>
        <v>60</v>
      </c>
      <c r="E34" s="2253">
        <f>'June TCM'!PW11</f>
        <v>0</v>
      </c>
      <c r="F34" s="2253"/>
      <c r="G34" s="2252">
        <f>'June TCM'!KO11</f>
        <v>6825</v>
      </c>
      <c r="H34" s="2254">
        <f>'June TCM'!KP11</f>
        <v>0.91999999999999993</v>
      </c>
      <c r="I34" s="2252">
        <f>'June TCM'!KT11</f>
        <v>7085</v>
      </c>
      <c r="J34" s="2254">
        <f>'June TCM'!KU11</f>
        <v>2.46</v>
      </c>
      <c r="K34" s="2253"/>
      <c r="L34" s="2256">
        <f t="shared" ref="L34:L63" si="4">SUM(B34:F34)</f>
        <v>6311.0199999999995</v>
      </c>
      <c r="M34" s="2257">
        <f>'June TCM'!JI11</f>
        <v>4372.29</v>
      </c>
      <c r="N34" s="2257">
        <f>'June TCM'!JJ11</f>
        <v>5242.92</v>
      </c>
      <c r="O34" s="2256">
        <f t="shared" ref="O34:O63" si="5">SUM(M34:N34)</f>
        <v>9615.2099999999991</v>
      </c>
      <c r="P34" s="2252">
        <f>SUM('June TCM'!NO11,'June TCM'!NQ11,'June TCM'!OB11,'June TCM'!OO11)</f>
        <v>67957.814327213593</v>
      </c>
      <c r="Q34" s="2252">
        <f>SUM('June TCM'!NR11,'June TCM'!NZ11,'June TCM'!OD11,'June TCM'!OQ11)</f>
        <v>16139.567450283581</v>
      </c>
      <c r="R34" s="2252">
        <f>'June TCM'!NP11</f>
        <v>26196.696072681989</v>
      </c>
      <c r="S34" s="2252">
        <f t="shared" ref="S34:S63" si="6">SUM(P34:R34)</f>
        <v>110294.07785017916</v>
      </c>
      <c r="T34" s="2258">
        <f>'June TCM'!LG11</f>
        <v>23310.7425</v>
      </c>
      <c r="U34" s="2258">
        <f>'June TCM'!LH11</f>
        <v>7770.2474999999995</v>
      </c>
      <c r="V34" s="2259">
        <f t="shared" ref="V34:V63" si="7">SUM(T34:U34)</f>
        <v>31080.989999999998</v>
      </c>
      <c r="W34" s="2258">
        <f>'June TCM'!NC11</f>
        <v>49921.575442786248</v>
      </c>
      <c r="X34" s="2258">
        <f>'June TCM'!ND11</f>
        <v>77594.958786936404</v>
      </c>
      <c r="Y34" s="2253"/>
      <c r="Z34" s="2253"/>
      <c r="AA34" s="2255">
        <f>SUM('June TCM'!NO11,'June TCM'!NQ11)</f>
        <v>10584.88245147172</v>
      </c>
      <c r="AB34" s="2255">
        <f>'June TCM'!NR19</f>
        <v>278.8248469876014</v>
      </c>
      <c r="AC34" s="2253"/>
      <c r="AD34" s="2255">
        <f>'June TCM'!NZ11+'June TCM'!OB11+'June TCM'!OD11</f>
        <v>49106.02993126402</v>
      </c>
      <c r="AE34" s="2255">
        <f>'June TCM'!OO11</f>
        <v>22795.974547773836</v>
      </c>
      <c r="AF34" s="2255">
        <f>'June TCM'!OQ11</f>
        <v>0</v>
      </c>
    </row>
    <row r="35" spans="1:32" ht="15.6">
      <c r="A35" s="2251">
        <v>46176</v>
      </c>
      <c r="B35" s="2252">
        <f>SUM('June TCM'!DN12,'June TCM'!EA12,'June TCM'!EN12)</f>
        <v>9653.02</v>
      </c>
      <c r="C35" s="2253"/>
      <c r="D35" s="2253">
        <f>SUM('June TCM'!DL12,'June TCM'!EC12,'June TCM'!EP12)</f>
        <v>158.74</v>
      </c>
      <c r="E35" s="2253">
        <f>'June TCM'!PW12</f>
        <v>171.64</v>
      </c>
      <c r="F35" s="2253"/>
      <c r="G35" s="2252">
        <f>'June TCM'!KO12</f>
        <v>6567</v>
      </c>
      <c r="H35" s="2254">
        <f>'June TCM'!KP12</f>
        <v>1.23</v>
      </c>
      <c r="I35" s="2252">
        <f>'June TCM'!KT12</f>
        <v>7121.4190632703367</v>
      </c>
      <c r="J35" s="2254">
        <f>'June TCM'!KU12</f>
        <v>2.1857354149548072</v>
      </c>
      <c r="K35" s="2253"/>
      <c r="L35" s="2256">
        <f t="shared" si="4"/>
        <v>9983.4</v>
      </c>
      <c r="M35" s="2257">
        <f>'June TCM'!JI12</f>
        <v>3943.8500000000004</v>
      </c>
      <c r="N35" s="2257">
        <f>'June TCM'!JJ12</f>
        <v>6112.0000000000009</v>
      </c>
      <c r="O35" s="2256">
        <f t="shared" si="5"/>
        <v>10055.850000000002</v>
      </c>
      <c r="P35" s="2252">
        <f>SUM('June TCM'!NO12,'June TCM'!NQ12,'June TCM'!OB12,'June TCM'!OO12)</f>
        <v>70662.574327213588</v>
      </c>
      <c r="Q35" s="2252">
        <f>SUM('June TCM'!NR12,'June TCM'!NZ12,'June TCM'!OD12,'June TCM'!OQ12)</f>
        <v>13281.917450283581</v>
      </c>
      <c r="R35" s="2252">
        <f>'June TCM'!NP12</f>
        <v>26196.696072681989</v>
      </c>
      <c r="S35" s="2252">
        <f t="shared" si="6"/>
        <v>110141.18785017915</v>
      </c>
      <c r="T35" s="2258">
        <f>'June TCM'!LG12</f>
        <v>0</v>
      </c>
      <c r="U35" s="2258">
        <f>'June TCM'!LH12</f>
        <v>0</v>
      </c>
      <c r="V35" s="2259">
        <f t="shared" si="7"/>
        <v>0</v>
      </c>
      <c r="W35" s="2258">
        <f>'June TCM'!NC12</f>
        <v>53865.425442786247</v>
      </c>
      <c r="X35" s="2258">
        <f>'June TCM'!ND12</f>
        <v>83706.958786936404</v>
      </c>
      <c r="Y35" s="2253"/>
      <c r="Z35" s="2253"/>
      <c r="AA35" s="2255">
        <f>SUM('June TCM'!NO12,'June TCM'!NQ12)</f>
        <v>10584.88245147172</v>
      </c>
      <c r="AB35" s="2255">
        <f>'June TCM'!NR20</f>
        <v>418.8248469876014</v>
      </c>
      <c r="AC35" s="2253"/>
      <c r="AD35" s="2255">
        <f>'June TCM'!NZ12+'June TCM'!OB12+'June TCM'!OD12</f>
        <v>47620.239931264019</v>
      </c>
      <c r="AE35" s="2255">
        <f>'June TCM'!OO12</f>
        <v>24812.544547773836</v>
      </c>
      <c r="AF35" s="2255">
        <f>'June TCM'!OQ12</f>
        <v>0</v>
      </c>
    </row>
    <row r="36" spans="1:32" ht="15.6">
      <c r="A36" s="2251">
        <v>46177</v>
      </c>
      <c r="B36" s="2252">
        <f>SUM('June TCM'!DN13,'June TCM'!EA13,'June TCM'!EN13)</f>
        <v>9405.14</v>
      </c>
      <c r="C36" s="2253"/>
      <c r="D36" s="2253">
        <f>SUM('June TCM'!DL13,'June TCM'!EC13,'June TCM'!EP13)</f>
        <v>280</v>
      </c>
      <c r="E36" s="2253">
        <f>'June TCM'!PW13</f>
        <v>688.88</v>
      </c>
      <c r="F36" s="2253"/>
      <c r="G36" s="2252">
        <f>'June TCM'!KO13</f>
        <v>6998</v>
      </c>
      <c r="H36" s="2254">
        <f>'June TCM'!KP13</f>
        <v>0.96000000000000008</v>
      </c>
      <c r="I36" s="2252">
        <f>'June TCM'!KT13</f>
        <v>0</v>
      </c>
      <c r="J36" s="2254">
        <f>'June TCM'!KU13</f>
        <v>0</v>
      </c>
      <c r="K36" s="2253"/>
      <c r="L36" s="2256">
        <f t="shared" si="4"/>
        <v>10374.019999999999</v>
      </c>
      <c r="M36" s="2257">
        <f>'June TCM'!JI13</f>
        <v>5025.9400000000005</v>
      </c>
      <c r="N36" s="2257">
        <f>'June TCM'!JJ13</f>
        <v>0</v>
      </c>
      <c r="O36" s="2256">
        <f t="shared" si="5"/>
        <v>5025.9400000000005</v>
      </c>
      <c r="P36" s="2252">
        <f>SUM('June TCM'!NO13,'June TCM'!NQ13,'June TCM'!OB13,'June TCM'!OO13)</f>
        <v>75456.024327213585</v>
      </c>
      <c r="Q36" s="2252">
        <f>SUM('June TCM'!NR13,'June TCM'!NZ13,'June TCM'!OD13,'June TCM'!OQ13)</f>
        <v>13561.917450283581</v>
      </c>
      <c r="R36" s="2252">
        <f>'June TCM'!NP13</f>
        <v>26196.696072681989</v>
      </c>
      <c r="S36" s="2252">
        <f t="shared" si="6"/>
        <v>115214.63785017916</v>
      </c>
      <c r="T36" s="2258">
        <f>'June TCM'!LG13</f>
        <v>0</v>
      </c>
      <c r="U36" s="2258">
        <f>'June TCM'!LH13</f>
        <v>0</v>
      </c>
      <c r="V36" s="2259">
        <f t="shared" si="7"/>
        <v>0</v>
      </c>
      <c r="W36" s="2258">
        <f>'June TCM'!NC13</f>
        <v>58891.365442786249</v>
      </c>
      <c r="X36" s="2258">
        <f>'June TCM'!ND13</f>
        <v>83706.958786936404</v>
      </c>
      <c r="Y36" s="2253"/>
      <c r="Z36" s="2253"/>
      <c r="AA36" s="2255">
        <f>SUM('June TCM'!NO13,'June TCM'!NQ13)</f>
        <v>10584.88245147172</v>
      </c>
      <c r="AB36" s="2255">
        <f>'June TCM'!NR21</f>
        <v>938.8248469876014</v>
      </c>
      <c r="AC36" s="2253"/>
      <c r="AD36" s="2255">
        <f>'June TCM'!NZ13+'June TCM'!OB13+'June TCM'!OD13</f>
        <v>52310.009931264016</v>
      </c>
      <c r="AE36" s="2255">
        <f>'June TCM'!OO13</f>
        <v>24916.224547773836</v>
      </c>
      <c r="AF36" s="2255">
        <f>'June TCM'!OQ13</f>
        <v>0</v>
      </c>
    </row>
    <row r="37" spans="1:32" ht="15.6">
      <c r="A37" s="2251">
        <v>46178</v>
      </c>
      <c r="B37" s="2252">
        <f>SUM('June TCM'!DN14,'June TCM'!EA14,'June TCM'!EN14)</f>
        <v>9157.0399999999991</v>
      </c>
      <c r="C37" s="2253"/>
      <c r="D37" s="2253">
        <f>SUM('June TCM'!DL14,'June TCM'!EC14,'June TCM'!EP14)</f>
        <v>180</v>
      </c>
      <c r="E37" s="2253">
        <f>'June TCM'!PW14</f>
        <v>0</v>
      </c>
      <c r="F37" s="2253"/>
      <c r="G37" s="2252">
        <f>'June TCM'!KO14</f>
        <v>0</v>
      </c>
      <c r="H37" s="2254">
        <f>'June TCM'!KP14</f>
        <v>0</v>
      </c>
      <c r="I37" s="2252">
        <f>'June TCM'!KT14</f>
        <v>0</v>
      </c>
      <c r="J37" s="2254">
        <f>'June TCM'!KU14</f>
        <v>0</v>
      </c>
      <c r="K37" s="2253"/>
      <c r="L37" s="2256">
        <f t="shared" si="4"/>
        <v>9337.0399999999991</v>
      </c>
      <c r="M37" s="2257">
        <f>'June TCM'!JI14</f>
        <v>0</v>
      </c>
      <c r="N37" s="2257">
        <f>'June TCM'!JJ14</f>
        <v>99.84</v>
      </c>
      <c r="O37" s="2256">
        <f t="shared" si="5"/>
        <v>99.84</v>
      </c>
      <c r="P37" s="2252">
        <f>SUM('June TCM'!NO14,'June TCM'!NQ14,'June TCM'!OB14,'June TCM'!OO14)</f>
        <v>84613.064327213593</v>
      </c>
      <c r="Q37" s="2252">
        <f>SUM('June TCM'!NR14,'June TCM'!NZ14,'June TCM'!OD14,'June TCM'!OQ14)</f>
        <v>13741.917450283581</v>
      </c>
      <c r="R37" s="2252">
        <f>'June TCM'!NP14</f>
        <v>26196.696072681989</v>
      </c>
      <c r="S37" s="2252">
        <f t="shared" si="6"/>
        <v>124551.67785017917</v>
      </c>
      <c r="T37" s="2258">
        <f>'June TCM'!LG14</f>
        <v>0</v>
      </c>
      <c r="U37" s="2258">
        <f>'June TCM'!LH14</f>
        <v>0</v>
      </c>
      <c r="V37" s="2259">
        <f t="shared" si="7"/>
        <v>0</v>
      </c>
      <c r="W37" s="2258">
        <f>'June TCM'!NC14</f>
        <v>58891.365442786249</v>
      </c>
      <c r="X37" s="2258">
        <f>'June TCM'!ND14</f>
        <v>83806.798786936401</v>
      </c>
      <c r="Y37" s="2253"/>
      <c r="Z37" s="2253"/>
      <c r="AA37" s="2255">
        <f>SUM('June TCM'!NO14,'June TCM'!NQ14)</f>
        <v>10584.88245147172</v>
      </c>
      <c r="AB37" s="2255">
        <f>'June TCM'!NR22</f>
        <v>750.94484698760152</v>
      </c>
      <c r="AC37" s="2253"/>
      <c r="AD37" s="2255">
        <f>'June TCM'!NZ14+'June TCM'!OB14+'June TCM'!OD14</f>
        <v>58493.429931264014</v>
      </c>
      <c r="AE37" s="2255">
        <f>'June TCM'!OO14</f>
        <v>27889.844547773835</v>
      </c>
      <c r="AF37" s="2255">
        <f>'June TCM'!OQ14</f>
        <v>0</v>
      </c>
    </row>
    <row r="38" spans="1:32" ht="15.6">
      <c r="A38" s="2251">
        <v>46179</v>
      </c>
      <c r="B38" s="2252">
        <f>SUM('June TCM'!DN15,'June TCM'!EA15,'June TCM'!EN15)</f>
        <v>8873.02</v>
      </c>
      <c r="C38" s="2253"/>
      <c r="D38" s="2253">
        <f>SUM('June TCM'!DL15,'June TCM'!EC15,'June TCM'!EP15)</f>
        <v>120</v>
      </c>
      <c r="E38" s="2253">
        <f>'June TCM'!PW15</f>
        <v>837.8599999999999</v>
      </c>
      <c r="F38" s="2253"/>
      <c r="G38" s="2252">
        <f>'June TCM'!KO15</f>
        <v>0</v>
      </c>
      <c r="H38" s="2254">
        <f>'June TCM'!KP15</f>
        <v>0</v>
      </c>
      <c r="I38" s="2252">
        <f>'June TCM'!KT15</f>
        <v>0</v>
      </c>
      <c r="J38" s="2254">
        <f>'June TCM'!KU15</f>
        <v>0</v>
      </c>
      <c r="K38" s="2253"/>
      <c r="L38" s="2256">
        <f t="shared" si="4"/>
        <v>9830.880000000001</v>
      </c>
      <c r="M38" s="2257">
        <f>'June TCM'!JI15</f>
        <v>0</v>
      </c>
      <c r="N38" s="2257">
        <f>'June TCM'!JJ15</f>
        <v>0</v>
      </c>
      <c r="O38" s="2256">
        <f t="shared" si="5"/>
        <v>0</v>
      </c>
      <c r="P38" s="2252">
        <f>SUM('June TCM'!NO15,'June TCM'!NQ15,'June TCM'!OB15,'June TCM'!OO15)</f>
        <v>93486.084327213583</v>
      </c>
      <c r="Q38" s="2252">
        <f>SUM('June TCM'!NR15,'June TCM'!NZ15,'June TCM'!OD15,'June TCM'!OQ15)</f>
        <v>13861.917450283581</v>
      </c>
      <c r="R38" s="2252">
        <f>'June TCM'!NP15</f>
        <v>26196.696072681989</v>
      </c>
      <c r="S38" s="2252">
        <f t="shared" si="6"/>
        <v>133544.69785017916</v>
      </c>
      <c r="T38" s="2258">
        <f>'June TCM'!LG15</f>
        <v>7665.61</v>
      </c>
      <c r="U38" s="2258">
        <f>'June TCM'!LH15</f>
        <v>0</v>
      </c>
      <c r="V38" s="2259">
        <f t="shared" si="7"/>
        <v>7665.61</v>
      </c>
      <c r="W38" s="2258">
        <f>'June TCM'!NC15</f>
        <v>51225.755442786249</v>
      </c>
      <c r="X38" s="2258">
        <f>'June TCM'!ND15</f>
        <v>83806.798786936401</v>
      </c>
      <c r="Y38" s="2253"/>
      <c r="Z38" s="2253"/>
      <c r="AA38" s="2255">
        <f>SUM('June TCM'!NO15,'June TCM'!NQ15)</f>
        <v>10584.88245147172</v>
      </c>
      <c r="AB38" s="2255">
        <f>'June TCM'!NR23</f>
        <v>1670.9448469876015</v>
      </c>
      <c r="AC38" s="2253"/>
      <c r="AD38" s="2255">
        <f>'June TCM'!NZ15+'June TCM'!OB15+'June TCM'!OD15</f>
        <v>62737.549931264017</v>
      </c>
      <c r="AE38" s="2255">
        <f>'June TCM'!OO15</f>
        <v>32518.744547773837</v>
      </c>
      <c r="AF38" s="2255">
        <f>'June TCM'!OQ15</f>
        <v>0</v>
      </c>
    </row>
    <row r="39" spans="1:32" ht="15.6">
      <c r="A39" s="2251">
        <v>46180</v>
      </c>
      <c r="B39" s="2252">
        <f>SUM('June TCM'!DN16,'June TCM'!EA16,'June TCM'!EN16)</f>
        <v>10037.529999999999</v>
      </c>
      <c r="C39" s="2253"/>
      <c r="D39" s="2253">
        <f>SUM('June TCM'!DL16,'June TCM'!EC16,'June TCM'!EP16)</f>
        <v>0</v>
      </c>
      <c r="E39" s="2253">
        <f>'June TCM'!PW16</f>
        <v>426.36</v>
      </c>
      <c r="F39" s="2253"/>
      <c r="G39" s="2252">
        <f>'June TCM'!KO16</f>
        <v>0</v>
      </c>
      <c r="H39" s="2254">
        <f>'June TCM'!KP16</f>
        <v>0</v>
      </c>
      <c r="I39" s="2252">
        <f>'June TCM'!KT16</f>
        <v>0</v>
      </c>
      <c r="J39" s="2254">
        <f>'June TCM'!KU16</f>
        <v>0</v>
      </c>
      <c r="K39" s="2253"/>
      <c r="L39" s="2256">
        <f t="shared" si="4"/>
        <v>10463.89</v>
      </c>
      <c r="M39" s="2257">
        <f>'June TCM'!JI16</f>
        <v>0</v>
      </c>
      <c r="N39" s="2257">
        <f>'June TCM'!JJ16</f>
        <v>0</v>
      </c>
      <c r="O39" s="2256">
        <f t="shared" si="5"/>
        <v>0</v>
      </c>
      <c r="P39" s="2252">
        <f>SUM('June TCM'!NO16,'June TCM'!NQ16,'June TCM'!OB16,'June TCM'!OO16)</f>
        <v>103523.61432721358</v>
      </c>
      <c r="Q39" s="2252">
        <f>SUM('June TCM'!NR16,'June TCM'!NZ16,'June TCM'!OD16,'June TCM'!OQ16)</f>
        <v>13861.917450283581</v>
      </c>
      <c r="R39" s="2252">
        <f>'June TCM'!NP16</f>
        <v>26196.696072681989</v>
      </c>
      <c r="S39" s="2252">
        <f t="shared" si="6"/>
        <v>143582.22785017916</v>
      </c>
      <c r="T39" s="2258">
        <f>'June TCM'!LG16</f>
        <v>7501.79</v>
      </c>
      <c r="U39" s="2258">
        <f>'June TCM'!LH16</f>
        <v>0</v>
      </c>
      <c r="V39" s="2259">
        <f t="shared" si="7"/>
        <v>7501.79</v>
      </c>
      <c r="W39" s="2258">
        <f>'June TCM'!NC16</f>
        <v>43723.965442786248</v>
      </c>
      <c r="X39" s="2258">
        <f>'June TCM'!ND16</f>
        <v>83806.798786936401</v>
      </c>
      <c r="Y39" s="2253"/>
      <c r="Z39" s="2253"/>
      <c r="AA39" s="2255">
        <f>SUM('June TCM'!NO16,'June TCM'!NQ16)</f>
        <v>10584.88245147172</v>
      </c>
      <c r="AB39" s="2255">
        <f>'June TCM'!NR24</f>
        <v>2456.4448469876015</v>
      </c>
      <c r="AC39" s="2253"/>
      <c r="AD39" s="2255">
        <f>'June TCM'!NZ16+'June TCM'!OB16+'June TCM'!OD16</f>
        <v>66951.529931264013</v>
      </c>
      <c r="AE39" s="2255">
        <f>'June TCM'!OO16</f>
        <v>38342.294547773839</v>
      </c>
      <c r="AF39" s="2255">
        <f>'June TCM'!OQ16</f>
        <v>0</v>
      </c>
    </row>
    <row r="40" spans="1:32" ht="15.6">
      <c r="A40" s="2251">
        <v>46181</v>
      </c>
      <c r="B40" s="2252">
        <f>SUM('June TCM'!DN17,'June TCM'!EA17,'June TCM'!EN17)</f>
        <v>5458.74</v>
      </c>
      <c r="C40" s="2253"/>
      <c r="D40" s="2253">
        <f>SUM('June TCM'!DL17,'June TCM'!EC17,'June TCM'!EP17)</f>
        <v>0</v>
      </c>
      <c r="E40" s="2253">
        <f>'June TCM'!PW17</f>
        <v>0</v>
      </c>
      <c r="F40" s="2253"/>
      <c r="G40" s="2252">
        <f>'June TCM'!KO17</f>
        <v>7003.7909120842933</v>
      </c>
      <c r="H40" s="2254">
        <f>'June TCM'!KP17</f>
        <v>1.0804115903852487</v>
      </c>
      <c r="I40" s="2252">
        <f>'June TCM'!KT17</f>
        <v>0</v>
      </c>
      <c r="J40" s="2254">
        <f>'June TCM'!KU17</f>
        <v>0</v>
      </c>
      <c r="K40" s="2253"/>
      <c r="L40" s="2256">
        <f t="shared" si="4"/>
        <v>5458.74</v>
      </c>
      <c r="M40" s="2257">
        <f>'June TCM'!JI17</f>
        <v>9013.9200000000019</v>
      </c>
      <c r="N40" s="2257">
        <f>'June TCM'!JJ17</f>
        <v>0</v>
      </c>
      <c r="O40" s="2256">
        <f t="shared" si="5"/>
        <v>9013.9200000000019</v>
      </c>
      <c r="P40" s="2252">
        <f>SUM('June TCM'!NO17,'June TCM'!NQ17,'June TCM'!OB17,'June TCM'!OO17)</f>
        <v>99968.434327213574</v>
      </c>
      <c r="Q40" s="2252">
        <f>SUM('June TCM'!NR17,'June TCM'!NZ17,'June TCM'!OD17,'June TCM'!OQ17)</f>
        <v>13861.917450283581</v>
      </c>
      <c r="R40" s="2252">
        <f>'June TCM'!NP17</f>
        <v>26196.696072681989</v>
      </c>
      <c r="S40" s="2252">
        <f t="shared" si="6"/>
        <v>140027.04785017914</v>
      </c>
      <c r="T40" s="2258">
        <f>'June TCM'!LG17</f>
        <v>4503</v>
      </c>
      <c r="U40" s="2258">
        <f>'June TCM'!LH17</f>
        <v>3002</v>
      </c>
      <c r="V40" s="2259">
        <f t="shared" si="7"/>
        <v>7505</v>
      </c>
      <c r="W40" s="2258">
        <f>'June TCM'!NC17</f>
        <v>48234.885442786253</v>
      </c>
      <c r="X40" s="2258">
        <f>'June TCM'!ND17</f>
        <v>80804.798786936401</v>
      </c>
      <c r="Y40" s="2253"/>
      <c r="Z40" s="2253"/>
      <c r="AA40" s="2255">
        <f>SUM('June TCM'!NO17,'June TCM'!NQ17)</f>
        <v>10584.88245147172</v>
      </c>
      <c r="AB40" s="2255">
        <f>'June TCM'!NR25</f>
        <v>2976.4448469876015</v>
      </c>
      <c r="AC40" s="2253"/>
      <c r="AD40" s="2255">
        <f>'June TCM'!NZ17+'June TCM'!OB17+'June TCM'!OD17</f>
        <v>68079.119931264009</v>
      </c>
      <c r="AE40" s="2255">
        <f>'June TCM'!OO17</f>
        <v>33659.524547773835</v>
      </c>
      <c r="AF40" s="2255">
        <f>'June TCM'!OQ17</f>
        <v>0</v>
      </c>
    </row>
    <row r="41" spans="1:32" ht="15.6">
      <c r="A41" s="2251">
        <v>46182</v>
      </c>
      <c r="B41" s="2252">
        <f>SUM('June TCM'!DN18,'June TCM'!EA18,'June TCM'!EN18)</f>
        <v>10661.240000000002</v>
      </c>
      <c r="C41" s="2253"/>
      <c r="D41" s="2253">
        <f>SUM('June TCM'!DL18,'June TCM'!EC18,'June TCM'!EP18)</f>
        <v>0</v>
      </c>
      <c r="E41" s="2253">
        <f>'June TCM'!PW18</f>
        <v>0</v>
      </c>
      <c r="F41" s="2253"/>
      <c r="G41" s="2252">
        <f>'June TCM'!KO18</f>
        <v>7162</v>
      </c>
      <c r="H41" s="2254">
        <f>'June TCM'!KP18</f>
        <v>1.5</v>
      </c>
      <c r="I41" s="2252">
        <f>'June TCM'!KT18</f>
        <v>6768.4518622628248</v>
      </c>
      <c r="J41" s="2254">
        <f>'June TCM'!KU18</f>
        <v>2.7308081517919889</v>
      </c>
      <c r="K41" s="2253"/>
      <c r="L41" s="2256">
        <f t="shared" si="4"/>
        <v>10661.240000000002</v>
      </c>
      <c r="M41" s="2257">
        <f>'June TCM'!JI18</f>
        <v>4765.18</v>
      </c>
      <c r="N41" s="2257">
        <f>'June TCM'!JJ18</f>
        <v>7086.7900000000009</v>
      </c>
      <c r="O41" s="2256">
        <f t="shared" si="5"/>
        <v>11851.970000000001</v>
      </c>
      <c r="P41" s="2252">
        <f>SUM('June TCM'!NO18,'June TCM'!NQ18,'June TCM'!OB18,'June TCM'!OO18)</f>
        <v>106053.40432721358</v>
      </c>
      <c r="Q41" s="2252">
        <f>SUM('June TCM'!NR18,'June TCM'!NZ18,'June TCM'!OD18,'June TCM'!OQ18)</f>
        <v>7464.0274502835828</v>
      </c>
      <c r="R41" s="2252">
        <f>'June TCM'!NP18</f>
        <v>26196.696072681989</v>
      </c>
      <c r="S41" s="2252">
        <f t="shared" si="6"/>
        <v>139714.12785017915</v>
      </c>
      <c r="T41" s="2258">
        <f>'June TCM'!LG18</f>
        <v>0</v>
      </c>
      <c r="U41" s="2258">
        <f>'June TCM'!LH18</f>
        <v>0</v>
      </c>
      <c r="V41" s="2259">
        <f t="shared" si="7"/>
        <v>0</v>
      </c>
      <c r="W41" s="2258">
        <f>'June TCM'!NC18</f>
        <v>44690.369867469497</v>
      </c>
      <c r="X41" s="2258">
        <f>'June TCM'!ND18</f>
        <v>81261.543708494894</v>
      </c>
      <c r="Y41" s="2253"/>
      <c r="Z41" s="2253"/>
      <c r="AA41" s="2255">
        <f>SUM('June TCM'!NO18,'June TCM'!NQ18)</f>
        <v>10584.88245147172</v>
      </c>
      <c r="AB41" s="2255">
        <f>'June TCM'!NR26</f>
        <v>4956.4448469876015</v>
      </c>
      <c r="AC41" s="2253"/>
      <c r="AD41" s="2255">
        <f>'June TCM'!NZ18+'June TCM'!OB18+'June TCM'!OD18</f>
        <v>65910.569931264006</v>
      </c>
      <c r="AE41" s="2255">
        <f>'June TCM'!OO18</f>
        <v>36783.15454777384</v>
      </c>
      <c r="AF41" s="2255">
        <f>'June TCM'!OQ18</f>
        <v>0</v>
      </c>
    </row>
    <row r="42" spans="1:32" ht="15.6">
      <c r="A42" s="2251">
        <v>46183</v>
      </c>
      <c r="B42" s="2252">
        <f>SUM('June TCM'!DN19,'June TCM'!EA19,'June TCM'!EN19)</f>
        <v>6173.25</v>
      </c>
      <c r="C42" s="2253"/>
      <c r="D42" s="2253">
        <f>SUM('June TCM'!DL19,'June TCM'!EC19,'June TCM'!EP19)</f>
        <v>3647.2200000000003</v>
      </c>
      <c r="E42" s="2253">
        <f>'June TCM'!PW19</f>
        <v>0</v>
      </c>
      <c r="F42" s="2253"/>
      <c r="G42" s="2252">
        <f>'June TCM'!KO19</f>
        <v>7059.0652382914432</v>
      </c>
      <c r="H42" s="2254">
        <f>'June TCM'!KP19</f>
        <v>1.2861227853316852</v>
      </c>
      <c r="I42" s="2252">
        <f>'June TCM'!KT19</f>
        <v>0</v>
      </c>
      <c r="J42" s="2254">
        <f>'June TCM'!KU19</f>
        <v>0</v>
      </c>
      <c r="K42" s="2253"/>
      <c r="L42" s="2256">
        <f t="shared" si="4"/>
        <v>9820.4700000000012</v>
      </c>
      <c r="M42" s="2257">
        <f>'June TCM'!JI19</f>
        <v>7277.1200000000017</v>
      </c>
      <c r="N42" s="2257">
        <f>'June TCM'!JJ19</f>
        <v>0</v>
      </c>
      <c r="O42" s="2256">
        <f t="shared" si="5"/>
        <v>7277.1200000000017</v>
      </c>
      <c r="P42" s="2252">
        <f>SUM('June TCM'!NO19,'June TCM'!NQ19,'June TCM'!OB19,'June TCM'!OO19)</f>
        <v>105092.87432721358</v>
      </c>
      <c r="Q42" s="2252">
        <f>SUM('June TCM'!NR19,'June TCM'!NZ19,'June TCM'!OD19,'June TCM'!OQ19)</f>
        <v>11111.247450283581</v>
      </c>
      <c r="R42" s="2252">
        <f>'June TCM'!NP19</f>
        <v>26196.696072681989</v>
      </c>
      <c r="S42" s="2252">
        <f t="shared" si="6"/>
        <v>142400.81785017916</v>
      </c>
      <c r="T42" s="2258">
        <f>'June TCM'!LG19</f>
        <v>0</v>
      </c>
      <c r="U42" s="2258">
        <f>'June TCM'!LH19</f>
        <v>0</v>
      </c>
      <c r="V42" s="2259">
        <f t="shared" si="7"/>
        <v>0</v>
      </c>
      <c r="W42" s="2258">
        <f>'June TCM'!NC19</f>
        <v>51967.4898674695</v>
      </c>
      <c r="X42" s="2258">
        <f>'June TCM'!ND19</f>
        <v>81261.543708494894</v>
      </c>
      <c r="Y42" s="2253"/>
      <c r="Z42" s="2253"/>
      <c r="AA42" s="2255">
        <f>SUM('June TCM'!NO19,'June TCM'!NQ19)</f>
        <v>10584.88245147172</v>
      </c>
      <c r="AB42" s="2255">
        <f>'June TCM'!NR27</f>
        <v>6296.4448469876015</v>
      </c>
      <c r="AC42" s="2253"/>
      <c r="AD42" s="2255">
        <f>'June TCM'!NZ19+'June TCM'!OB19+'June TCM'!OD19</f>
        <v>68267.579931264001</v>
      </c>
      <c r="AE42" s="2255">
        <f>'June TCM'!OO19</f>
        <v>36383.094547773842</v>
      </c>
      <c r="AF42" s="2255">
        <f>'June TCM'!OQ19</f>
        <v>689.74</v>
      </c>
    </row>
    <row r="43" spans="1:32" ht="15.6">
      <c r="A43" s="2251">
        <v>46184</v>
      </c>
      <c r="B43" s="2252">
        <f>SUM('June TCM'!DN20,'June TCM'!EA20,'June TCM'!EN20)</f>
        <v>11078.7</v>
      </c>
      <c r="C43" s="2253"/>
      <c r="D43" s="2253">
        <f>SUM('June TCM'!DL20,'June TCM'!EC20,'June TCM'!EP20)</f>
        <v>140</v>
      </c>
      <c r="E43" s="2253">
        <f>'June TCM'!PW20</f>
        <v>0</v>
      </c>
      <c r="F43" s="2253"/>
      <c r="G43" s="2252">
        <f>'June TCM'!KO20</f>
        <v>7103</v>
      </c>
      <c r="H43" s="2254">
        <f>'June TCM'!KP20</f>
        <v>1.1299999999999999</v>
      </c>
      <c r="I43" s="2252">
        <f>'June TCM'!KT20</f>
        <v>0</v>
      </c>
      <c r="J43" s="2254">
        <f>'June TCM'!KU20</f>
        <v>0</v>
      </c>
      <c r="K43" s="2253"/>
      <c r="L43" s="2256">
        <f t="shared" si="4"/>
        <v>11218.7</v>
      </c>
      <c r="M43" s="2257">
        <f>'June TCM'!JI20</f>
        <v>4000.2200000000003</v>
      </c>
      <c r="N43" s="2257">
        <f>'June TCM'!JJ20</f>
        <v>0</v>
      </c>
      <c r="O43" s="2256">
        <f t="shared" si="5"/>
        <v>4000.2200000000003</v>
      </c>
      <c r="P43" s="2252">
        <f>SUM('June TCM'!NO20,'June TCM'!NQ20,'June TCM'!OB20,'June TCM'!OO20)</f>
        <v>112171.35432721359</v>
      </c>
      <c r="Q43" s="2252">
        <f>SUM('June TCM'!NR20,'June TCM'!NZ20,'June TCM'!OD20,'June TCM'!OQ20)</f>
        <v>11251.247450283581</v>
      </c>
      <c r="R43" s="2252">
        <f>'June TCM'!NP20</f>
        <v>26196.696072681989</v>
      </c>
      <c r="S43" s="2252">
        <f t="shared" si="6"/>
        <v>149619.29785017917</v>
      </c>
      <c r="T43" s="2258">
        <f>'June TCM'!LG20</f>
        <v>0</v>
      </c>
      <c r="U43" s="2258">
        <f>'June TCM'!LH20</f>
        <v>0</v>
      </c>
      <c r="V43" s="2259">
        <f t="shared" si="7"/>
        <v>0</v>
      </c>
      <c r="W43" s="2258">
        <f>'June TCM'!NC20</f>
        <v>55967.709867469501</v>
      </c>
      <c r="X43" s="2258">
        <f>'June TCM'!ND20</f>
        <v>81261.543708494894</v>
      </c>
      <c r="Y43" s="2253"/>
      <c r="Z43" s="2253"/>
      <c r="AA43" s="2255">
        <f>SUM('June TCM'!NO20,'June TCM'!NQ20)</f>
        <v>10584.88245147172</v>
      </c>
      <c r="AB43" s="2255">
        <f>'June TCM'!NR28</f>
        <v>7016.4448469876015</v>
      </c>
      <c r="AC43" s="2253"/>
      <c r="AD43" s="2255">
        <f>'June TCM'!NZ20+'June TCM'!OB20+'June TCM'!OD20</f>
        <v>72956.229931263995</v>
      </c>
      <c r="AE43" s="2255">
        <f>'June TCM'!OO20</f>
        <v>38772.924547773844</v>
      </c>
      <c r="AF43" s="2255">
        <f>'June TCM'!OQ20</f>
        <v>689.74</v>
      </c>
    </row>
    <row r="44" spans="1:32" ht="15.6">
      <c r="A44" s="2251">
        <v>46185</v>
      </c>
      <c r="B44" s="2252">
        <f>SUM('June TCM'!DN21,'June TCM'!EA21,'June TCM'!EN21)</f>
        <v>8123.1599999999989</v>
      </c>
      <c r="C44" s="2253"/>
      <c r="D44" s="2253">
        <f>SUM('June TCM'!DL21,'June TCM'!EC21,'June TCM'!EP21)</f>
        <v>520</v>
      </c>
      <c r="E44" s="2253">
        <f>'June TCM'!PW21</f>
        <v>0</v>
      </c>
      <c r="F44" s="2253"/>
      <c r="G44" s="2252">
        <f>'June TCM'!KO21</f>
        <v>7220</v>
      </c>
      <c r="H44" s="2254">
        <f>'June TCM'!KP21</f>
        <v>0.75</v>
      </c>
      <c r="I44" s="2252">
        <f>'June TCM'!KT21</f>
        <v>6913</v>
      </c>
      <c r="J44" s="2254">
        <f>'June TCM'!KU21</f>
        <v>2.36</v>
      </c>
      <c r="K44" s="2253"/>
      <c r="L44" s="2256">
        <f t="shared" si="4"/>
        <v>8643.16</v>
      </c>
      <c r="M44" s="2257">
        <f>'June TCM'!JI21</f>
        <v>5099.9999999999991</v>
      </c>
      <c r="N44" s="2257">
        <f>'June TCM'!JJ21</f>
        <v>5278.79</v>
      </c>
      <c r="O44" s="2256">
        <f t="shared" si="5"/>
        <v>10378.789999999999</v>
      </c>
      <c r="P44" s="2252">
        <f>SUM('June TCM'!NO21,'June TCM'!NQ21,'June TCM'!OB21,'June TCM'!OO21)</f>
        <v>112880.6143272136</v>
      </c>
      <c r="Q44" s="2252">
        <f>SUM('June TCM'!NR21,'June TCM'!NZ21,'June TCM'!OD21,'June TCM'!OQ21)</f>
        <v>9063.0074502835814</v>
      </c>
      <c r="R44" s="2252">
        <f>'June TCM'!NP21</f>
        <v>26196.696072681989</v>
      </c>
      <c r="S44" s="2252">
        <f t="shared" si="6"/>
        <v>148140.31785017916</v>
      </c>
      <c r="T44" s="2258">
        <f>'June TCM'!LG21</f>
        <v>0</v>
      </c>
      <c r="U44" s="2258">
        <f>'June TCM'!LH21</f>
        <v>0</v>
      </c>
      <c r="V44" s="2259">
        <f t="shared" si="7"/>
        <v>0</v>
      </c>
      <c r="W44" s="2258">
        <f>'June TCM'!NC21</f>
        <v>61067.709867469501</v>
      </c>
      <c r="X44" s="2258">
        <f>'June TCM'!ND21</f>
        <v>86540.333708494887</v>
      </c>
      <c r="Y44" s="2253"/>
      <c r="Z44" s="2253"/>
      <c r="AA44" s="2255">
        <f>SUM('June TCM'!NO21,'June TCM'!NQ21)</f>
        <v>10584.88245147172</v>
      </c>
      <c r="AB44" s="2255">
        <f>'June TCM'!NR29</f>
        <v>7996.4448469876015</v>
      </c>
      <c r="AC44" s="2253"/>
      <c r="AD44" s="2255">
        <f>'June TCM'!NZ21+'June TCM'!OB21+'June TCM'!OD21</f>
        <v>69504.729931263995</v>
      </c>
      <c r="AE44" s="2255">
        <f>'June TCM'!OO21</f>
        <v>40292.594547773842</v>
      </c>
      <c r="AF44" s="2255">
        <f>'June TCM'!OQ21</f>
        <v>622.59</v>
      </c>
    </row>
    <row r="45" spans="1:32" ht="15.6">
      <c r="A45" s="2251">
        <v>46186</v>
      </c>
      <c r="B45" s="2252">
        <f>SUM('June TCM'!DN22,'June TCM'!EA22,'June TCM'!EN22)</f>
        <v>8809.7000000000007</v>
      </c>
      <c r="C45" s="2253"/>
      <c r="D45" s="2253">
        <f>SUM('June TCM'!DL22,'June TCM'!EC22,'June TCM'!EP22)</f>
        <v>1045.8800000000001</v>
      </c>
      <c r="E45" s="2253">
        <f>'June TCM'!PW22</f>
        <v>0</v>
      </c>
      <c r="F45" s="2253"/>
      <c r="G45" s="2252">
        <f>'June TCM'!KO22</f>
        <v>7031</v>
      </c>
      <c r="H45" s="2254">
        <f>'June TCM'!KP22</f>
        <v>0.73</v>
      </c>
      <c r="I45" s="2252">
        <f>'June TCM'!KT22</f>
        <v>6401</v>
      </c>
      <c r="J45" s="2254">
        <f>'June TCM'!KU22</f>
        <v>2.89</v>
      </c>
      <c r="K45" s="2253"/>
      <c r="L45" s="2256">
        <f t="shared" si="4"/>
        <v>9855.5800000000017</v>
      </c>
      <c r="M45" s="2257">
        <f>'June TCM'!JI22</f>
        <v>4149.5400000000009</v>
      </c>
      <c r="N45" s="2257">
        <f>'June TCM'!JJ22</f>
        <v>3999.3700000000003</v>
      </c>
      <c r="O45" s="2256">
        <f t="shared" si="5"/>
        <v>8148.9100000000017</v>
      </c>
      <c r="P45" s="2252">
        <f>SUM('June TCM'!NO22,'June TCM'!NQ22,'June TCM'!OB22,'June TCM'!OO22)</f>
        <v>116172.67432721358</v>
      </c>
      <c r="Q45" s="2252">
        <f>SUM('June TCM'!NR22,'June TCM'!NZ22,'June TCM'!OD22,'June TCM'!OQ22)</f>
        <v>7477.617450283582</v>
      </c>
      <c r="R45" s="2252">
        <f>'June TCM'!NP22</f>
        <v>26196.696072681989</v>
      </c>
      <c r="S45" s="2252">
        <f t="shared" si="6"/>
        <v>149846.98785017914</v>
      </c>
      <c r="T45" s="2258">
        <f>'June TCM'!LG22</f>
        <v>8266.469000000001</v>
      </c>
      <c r="U45" s="2258">
        <f>'June TCM'!LH22</f>
        <v>6785.4410000000007</v>
      </c>
      <c r="V45" s="2259">
        <f t="shared" si="7"/>
        <v>15051.910000000002</v>
      </c>
      <c r="W45" s="2258">
        <f>'June TCM'!NC22</f>
        <v>56950.780867469497</v>
      </c>
      <c r="X45" s="2258">
        <f>'June TCM'!ND22</f>
        <v>83754.262708494876</v>
      </c>
      <c r="Y45" s="2253"/>
      <c r="Z45" s="2253"/>
      <c r="AA45" s="2255">
        <f>SUM('June TCM'!NO22,'June TCM'!NQ22)</f>
        <v>10584.88245147172</v>
      </c>
      <c r="AB45" s="2255">
        <f>'June TCM'!NR30</f>
        <v>9016.4448469876006</v>
      </c>
      <c r="AC45" s="2253"/>
      <c r="AD45" s="2255">
        <f>'June TCM'!NZ22+'June TCM'!OB22+'June TCM'!OD22</f>
        <v>68671.919931263998</v>
      </c>
      <c r="AE45" s="2255">
        <f>'June TCM'!OO22</f>
        <v>42900.864547773839</v>
      </c>
      <c r="AF45" s="2255">
        <f>'June TCM'!OQ22</f>
        <v>741.68000000000006</v>
      </c>
    </row>
    <row r="46" spans="1:32" ht="15.6">
      <c r="A46" s="2251">
        <v>46187</v>
      </c>
      <c r="B46" s="2252">
        <f>SUM('June TCM'!DN23,'June TCM'!EA23,'June TCM'!EN23)</f>
        <v>8769.91</v>
      </c>
      <c r="C46" s="2253"/>
      <c r="D46" s="2253">
        <f>SUM('June TCM'!DL23,'June TCM'!EC23,'June TCM'!EP23)</f>
        <v>3495.9399999999996</v>
      </c>
      <c r="E46" s="2253">
        <f>'June TCM'!PW23</f>
        <v>0</v>
      </c>
      <c r="F46" s="2253"/>
      <c r="G46" s="2252">
        <f>'June TCM'!KO23</f>
        <v>6917.1584268277647</v>
      </c>
      <c r="H46" s="2254">
        <f>'June TCM'!KP23</f>
        <v>1.1840389594378005</v>
      </c>
      <c r="I46" s="2252">
        <f>'June TCM'!KT23</f>
        <v>0</v>
      </c>
      <c r="J46" s="2254">
        <f>'June TCM'!KU23</f>
        <v>0</v>
      </c>
      <c r="K46" s="2253"/>
      <c r="L46" s="2256">
        <f t="shared" si="4"/>
        <v>12265.849999999999</v>
      </c>
      <c r="M46" s="2257">
        <f>'June TCM'!JI23</f>
        <v>8176.2899999999991</v>
      </c>
      <c r="N46" s="2257">
        <f>'June TCM'!JJ23</f>
        <v>0</v>
      </c>
      <c r="O46" s="2256">
        <f t="shared" si="5"/>
        <v>8176.2899999999991</v>
      </c>
      <c r="P46" s="2252">
        <f>SUM('June TCM'!NO23,'June TCM'!NQ23,'June TCM'!OB23,'June TCM'!OO23)</f>
        <v>116766.29432721359</v>
      </c>
      <c r="Q46" s="2252">
        <f>SUM('June TCM'!NR23,'June TCM'!NZ23,'June TCM'!OD23,'June TCM'!OQ23)</f>
        <v>10973.557450283579</v>
      </c>
      <c r="R46" s="2252">
        <f>'June TCM'!NP23</f>
        <v>26196.696072681989</v>
      </c>
      <c r="S46" s="2252">
        <f t="shared" si="6"/>
        <v>153936.54785017917</v>
      </c>
      <c r="T46" s="2258">
        <f>'June TCM'!LG23</f>
        <v>0</v>
      </c>
      <c r="U46" s="2258">
        <f>'June TCM'!LH23</f>
        <v>0</v>
      </c>
      <c r="V46" s="2259">
        <f t="shared" si="7"/>
        <v>0</v>
      </c>
      <c r="W46" s="2258">
        <f>'June TCM'!NC23</f>
        <v>65127.070867469498</v>
      </c>
      <c r="X46" s="2258">
        <f>'June TCM'!ND23</f>
        <v>83754.262708494876</v>
      </c>
      <c r="Y46" s="2253"/>
      <c r="Z46" s="2253"/>
      <c r="AA46" s="2255">
        <f>SUM('June TCM'!NO23,'June TCM'!NQ23)</f>
        <v>10584.88245147172</v>
      </c>
      <c r="AB46" s="2255">
        <f>'June TCM'!NR31</f>
        <v>9416.4448469876006</v>
      </c>
      <c r="AC46" s="2253"/>
      <c r="AD46" s="2255">
        <f>'June TCM'!NZ23+'June TCM'!OB23+'June TCM'!OD23</f>
        <v>72567.789931264007</v>
      </c>
      <c r="AE46" s="2255">
        <f>'June TCM'!OO23</f>
        <v>41251.014547773841</v>
      </c>
      <c r="AF46" s="2255">
        <f>'June TCM'!OQ23</f>
        <v>1665.22</v>
      </c>
    </row>
    <row r="47" spans="1:32" ht="15.6">
      <c r="A47" s="2251">
        <v>46188</v>
      </c>
      <c r="B47" s="2252">
        <f>SUM('June TCM'!DN24,'June TCM'!EA24,'June TCM'!EN24)</f>
        <v>4661.38</v>
      </c>
      <c r="C47" s="2253"/>
      <c r="D47" s="2253">
        <f>SUM('June TCM'!DL24,'June TCM'!EC24,'June TCM'!EP24)</f>
        <v>5730.48</v>
      </c>
      <c r="E47" s="2253">
        <f>'June TCM'!PW24</f>
        <v>0</v>
      </c>
      <c r="F47" s="2253"/>
      <c r="G47" s="2252">
        <f>'June TCM'!KO24</f>
        <v>7098</v>
      </c>
      <c r="H47" s="2254">
        <f>'June TCM'!KP24</f>
        <v>0.52</v>
      </c>
      <c r="I47" s="2252">
        <f>'June TCM'!KT24</f>
        <v>7133</v>
      </c>
      <c r="J47" s="2254">
        <f>'June TCM'!KU24</f>
        <v>2.15</v>
      </c>
      <c r="K47" s="2253"/>
      <c r="L47" s="2256">
        <f t="shared" si="4"/>
        <v>10391.86</v>
      </c>
      <c r="M47" s="2257">
        <f>'June TCM'!JI24</f>
        <v>4164.83</v>
      </c>
      <c r="N47" s="2257">
        <f>'June TCM'!JJ24</f>
        <v>4805.88</v>
      </c>
      <c r="O47" s="2256">
        <f t="shared" si="5"/>
        <v>8970.7099999999991</v>
      </c>
      <c r="P47" s="2252">
        <f>SUM('June TCM'!NO24,'June TCM'!NQ24,'June TCM'!OB24,'June TCM'!OO24)</f>
        <v>115449.82432721359</v>
      </c>
      <c r="Q47" s="2252">
        <f>SUM('June TCM'!NR24,'June TCM'!NZ24,'June TCM'!OD24,'June TCM'!OQ24)</f>
        <v>13711.17745028358</v>
      </c>
      <c r="R47" s="2252">
        <f>'June TCM'!NP24</f>
        <v>26196.696072681989</v>
      </c>
      <c r="S47" s="2252">
        <f t="shared" si="6"/>
        <v>155357.69785017916</v>
      </c>
      <c r="T47" s="2258">
        <f>'June TCM'!LG24</f>
        <v>0</v>
      </c>
      <c r="U47" s="2258">
        <f>'June TCM'!LH24</f>
        <v>0</v>
      </c>
      <c r="V47" s="2259">
        <f t="shared" si="7"/>
        <v>0</v>
      </c>
      <c r="W47" s="2258">
        <f>'June TCM'!NC24</f>
        <v>69291.900867469492</v>
      </c>
      <c r="X47" s="2258">
        <f>'June TCM'!ND24</f>
        <v>88560.142708494881</v>
      </c>
      <c r="Y47" s="2253"/>
      <c r="Z47" s="2253"/>
      <c r="AA47" s="2255">
        <f>SUM('June TCM'!NO24,'June TCM'!NQ24)</f>
        <v>10584.88245147172</v>
      </c>
      <c r="AB47" s="2255">
        <f>'June TCM'!NR32</f>
        <v>10816.444846987601</v>
      </c>
      <c r="AC47" s="2253"/>
      <c r="AD47" s="2255">
        <f>'June TCM'!NZ24+'June TCM'!OB24+'June TCM'!OD24</f>
        <v>71765.519931264003</v>
      </c>
      <c r="AE47" s="2255">
        <f>'June TCM'!OO24</f>
        <v>41379.854547773837</v>
      </c>
      <c r="AF47" s="2255">
        <f>'June TCM'!OQ24</f>
        <v>2974.3</v>
      </c>
    </row>
    <row r="48" spans="1:32" ht="15.6">
      <c r="A48" s="2251">
        <v>46189</v>
      </c>
      <c r="B48" s="2252">
        <f>SUM('June TCM'!DN25,'June TCM'!EA25,'June TCM'!EN25)</f>
        <v>5605.8100000000013</v>
      </c>
      <c r="C48" s="2253"/>
      <c r="D48" s="2253">
        <f>SUM('June TCM'!DL25,'June TCM'!EC25,'June TCM'!EP25)</f>
        <v>908.9</v>
      </c>
      <c r="E48" s="2253">
        <f>'June TCM'!PW25</f>
        <v>0</v>
      </c>
      <c r="F48" s="2253"/>
      <c r="G48" s="2252">
        <f>'June TCM'!KO25</f>
        <v>6964.6656693118248</v>
      </c>
      <c r="H48" s="2254">
        <f>'June TCM'!KP25</f>
        <v>0.49346038766749056</v>
      </c>
      <c r="I48" s="2252">
        <f>'June TCM'!KT25</f>
        <v>0</v>
      </c>
      <c r="J48" s="2254">
        <f>'June TCM'!KU25</f>
        <v>0</v>
      </c>
      <c r="K48" s="2253"/>
      <c r="L48" s="2256">
        <f t="shared" si="4"/>
        <v>6514.7100000000009</v>
      </c>
      <c r="M48" s="2257">
        <f>'June TCM'!JI25</f>
        <v>7644.7299999999987</v>
      </c>
      <c r="N48" s="2257">
        <f>'June TCM'!JJ25</f>
        <v>0</v>
      </c>
      <c r="O48" s="2256">
        <f t="shared" si="5"/>
        <v>7644.7299999999987</v>
      </c>
      <c r="P48" s="2252">
        <f>SUM('June TCM'!NO25,'June TCM'!NQ25,'June TCM'!OB25,'June TCM'!OO25)</f>
        <v>113410.90432721359</v>
      </c>
      <c r="Q48" s="2252">
        <f>SUM('June TCM'!NR25,'June TCM'!NZ25,'June TCM'!OD25,'June TCM'!OQ25)</f>
        <v>14620.077450283581</v>
      </c>
      <c r="R48" s="2252">
        <f>'June TCM'!NP25</f>
        <v>26196.696072681989</v>
      </c>
      <c r="S48" s="2252">
        <f t="shared" si="6"/>
        <v>154227.67785017917</v>
      </c>
      <c r="T48" s="2258">
        <f>'June TCM'!LG25</f>
        <v>0</v>
      </c>
      <c r="U48" s="2258">
        <f>'June TCM'!LH25</f>
        <v>0</v>
      </c>
      <c r="V48" s="2259">
        <f t="shared" si="7"/>
        <v>0</v>
      </c>
      <c r="W48" s="2258">
        <f>'June TCM'!NC25</f>
        <v>76936.630867469488</v>
      </c>
      <c r="X48" s="2258">
        <f>'June TCM'!ND25</f>
        <v>88560.142708494881</v>
      </c>
      <c r="Y48" s="2253"/>
      <c r="Z48" s="2253"/>
      <c r="AA48" s="2255">
        <f>SUM('June TCM'!NO25,'June TCM'!NQ25)</f>
        <v>10584.88245147172</v>
      </c>
      <c r="AB48" s="2255">
        <f>'June TCM'!NR33</f>
        <v>11536.444846987601</v>
      </c>
      <c r="AC48" s="2253"/>
      <c r="AD48" s="2255">
        <f>'June TCM'!NZ25+'June TCM'!OB25+'June TCM'!OD25</f>
        <v>73967.649931264008</v>
      </c>
      <c r="AE48" s="2255">
        <f>'June TCM'!OO25</f>
        <v>37167.444547773834</v>
      </c>
      <c r="AF48" s="2255">
        <f>'June TCM'!OQ25</f>
        <v>3334.5600000000004</v>
      </c>
    </row>
    <row r="49" spans="1:32" ht="15.6">
      <c r="A49" s="2251">
        <v>46190</v>
      </c>
      <c r="B49" s="2252">
        <f>SUM('June TCM'!DN26,'June TCM'!EA26,'June TCM'!EN26)</f>
        <v>7814.98</v>
      </c>
      <c r="C49" s="2253"/>
      <c r="D49" s="2253">
        <f>SUM('June TCM'!DL26,'June TCM'!EC26,'June TCM'!EP26)</f>
        <v>1980</v>
      </c>
      <c r="E49" s="2253">
        <f>'June TCM'!PW26</f>
        <v>0</v>
      </c>
      <c r="F49" s="2253"/>
      <c r="G49" s="2252">
        <f>'June TCM'!KO26</f>
        <v>7038.273806237924</v>
      </c>
      <c r="H49" s="2254">
        <f>'June TCM'!KP26</f>
        <v>0.55470052442727014</v>
      </c>
      <c r="I49" s="2252">
        <f>'June TCM'!KT26</f>
        <v>0</v>
      </c>
      <c r="J49" s="2254">
        <f>'June TCM'!KU26</f>
        <v>0</v>
      </c>
      <c r="K49" s="2253"/>
      <c r="L49" s="2256">
        <f t="shared" si="4"/>
        <v>9794.98</v>
      </c>
      <c r="M49" s="2257">
        <f>'June TCM'!JI26</f>
        <v>7224.88</v>
      </c>
      <c r="N49" s="2257">
        <f>'June TCM'!JJ26</f>
        <v>0</v>
      </c>
      <c r="O49" s="2256">
        <f t="shared" si="5"/>
        <v>7224.88</v>
      </c>
      <c r="P49" s="2252">
        <f>SUM('June TCM'!NO26,'June TCM'!NQ26,'June TCM'!OB26,'June TCM'!OO26)</f>
        <v>114073.0543272136</v>
      </c>
      <c r="Q49" s="2252">
        <f>SUM('June TCM'!NR26,'June TCM'!NZ26,'June TCM'!OD26,'June TCM'!OQ26)</f>
        <v>16600.077450283581</v>
      </c>
      <c r="R49" s="2252">
        <f>'June TCM'!NP26</f>
        <v>26196.696072681989</v>
      </c>
      <c r="S49" s="2252">
        <f t="shared" si="6"/>
        <v>156869.82785017916</v>
      </c>
      <c r="T49" s="2258">
        <f>'June TCM'!LG26</f>
        <v>0</v>
      </c>
      <c r="U49" s="2258">
        <f>'June TCM'!LH26</f>
        <v>0</v>
      </c>
      <c r="V49" s="2259">
        <f t="shared" si="7"/>
        <v>0</v>
      </c>
      <c r="W49" s="2258">
        <f>'June TCM'!NC26</f>
        <v>84161.510867469493</v>
      </c>
      <c r="X49" s="2258">
        <f>'June TCM'!ND26</f>
        <v>88560.142708494881</v>
      </c>
      <c r="Y49" s="2253"/>
      <c r="Z49" s="2253"/>
      <c r="AA49" s="2255">
        <f>SUM('June TCM'!NO26,'June TCM'!NQ26)</f>
        <v>10584.88245147172</v>
      </c>
      <c r="AB49" s="2255">
        <f>'June TCM'!NR34</f>
        <v>11631.9948469876</v>
      </c>
      <c r="AC49" s="2253"/>
      <c r="AD49" s="2255">
        <f>'June TCM'!NZ26+'June TCM'!OB26+'June TCM'!OD26</f>
        <v>79531.749931264014</v>
      </c>
      <c r="AE49" s="2255">
        <f>'June TCM'!OO26</f>
        <v>32265.494547773833</v>
      </c>
      <c r="AF49" s="2255">
        <f>'June TCM'!OQ26</f>
        <v>3334.5600000000004</v>
      </c>
    </row>
    <row r="50" spans="1:32" ht="15.6">
      <c r="A50" s="2251">
        <v>46191</v>
      </c>
      <c r="B50" s="2252">
        <f>SUM('June TCM'!DN27,'June TCM'!EA27,'June TCM'!EN27)</f>
        <v>9301.52</v>
      </c>
      <c r="C50" s="2253"/>
      <c r="D50" s="2253">
        <f>SUM('June TCM'!DL27,'June TCM'!EC27,'June TCM'!EP27)</f>
        <v>2456.58</v>
      </c>
      <c r="E50" s="2253">
        <f>'June TCM'!PW27</f>
        <v>0</v>
      </c>
      <c r="F50" s="2253"/>
      <c r="G50" s="2252">
        <f>'June TCM'!KO27</f>
        <v>6757</v>
      </c>
      <c r="H50" s="2254">
        <f>'June TCM'!KP27</f>
        <v>0.75</v>
      </c>
      <c r="I50" s="2252">
        <f>'June TCM'!KT27</f>
        <v>6853</v>
      </c>
      <c r="J50" s="2254">
        <f>'June TCM'!KU27</f>
        <v>2.34</v>
      </c>
      <c r="K50" s="2253"/>
      <c r="L50" s="2256">
        <f t="shared" si="4"/>
        <v>11758.1</v>
      </c>
      <c r="M50" s="2257">
        <f>'June TCM'!JI27</f>
        <v>4189.55</v>
      </c>
      <c r="N50" s="2257">
        <f>'June TCM'!JJ27</f>
        <v>1587.95</v>
      </c>
      <c r="O50" s="2256">
        <f t="shared" si="5"/>
        <v>5777.5</v>
      </c>
      <c r="P50" s="2252">
        <f>SUM('June TCM'!NO27,'June TCM'!NQ27,'June TCM'!OB27,'June TCM'!OO27)</f>
        <v>118774.27432721358</v>
      </c>
      <c r="Q50" s="2252">
        <f>SUM('June TCM'!NR27,'June TCM'!NZ27,'June TCM'!OD27,'June TCM'!OQ27)</f>
        <v>18237.85745028358</v>
      </c>
      <c r="R50" s="2252">
        <f>'June TCM'!NP27</f>
        <v>26196.696072681989</v>
      </c>
      <c r="S50" s="2252">
        <f t="shared" si="6"/>
        <v>163208.82785017914</v>
      </c>
      <c r="T50" s="2258">
        <f>'June TCM'!LG27</f>
        <v>0</v>
      </c>
      <c r="U50" s="2258">
        <f>'June TCM'!LH27</f>
        <v>0</v>
      </c>
      <c r="V50" s="2259">
        <f t="shared" si="7"/>
        <v>0</v>
      </c>
      <c r="W50" s="2258">
        <f>'June TCM'!NC27</f>
        <v>88351.060867469496</v>
      </c>
      <c r="X50" s="2258">
        <f>'June TCM'!ND27</f>
        <v>90148.092708494878</v>
      </c>
      <c r="Y50" s="2253"/>
      <c r="Z50" s="2253"/>
      <c r="AA50" s="2255">
        <f>SUM('June TCM'!NO27,'June TCM'!NQ27)</f>
        <v>12004.88245147172</v>
      </c>
      <c r="AB50" s="2255">
        <f>'June TCM'!NR35</f>
        <v>11971.9948469876</v>
      </c>
      <c r="AC50" s="2253"/>
      <c r="AD50" s="2255">
        <f>'June TCM'!NZ27+'June TCM'!OB27+'June TCM'!OD27</f>
        <v>83537.409931264017</v>
      </c>
      <c r="AE50" s="2255">
        <f>'June TCM'!OO27</f>
        <v>30722.254547773831</v>
      </c>
      <c r="AF50" s="2255">
        <f>'June TCM'!OQ27</f>
        <v>4451.1400000000003</v>
      </c>
    </row>
    <row r="51" spans="1:32" ht="15.6">
      <c r="A51" s="2251">
        <v>46192</v>
      </c>
      <c r="B51" s="2252">
        <f>SUM('June TCM'!DN28,'June TCM'!EA28,'June TCM'!EN28)</f>
        <v>10786.46</v>
      </c>
      <c r="C51" s="2253"/>
      <c r="D51" s="2253">
        <f>SUM('June TCM'!DL28,'June TCM'!EC28,'June TCM'!EP28)</f>
        <v>964.7</v>
      </c>
      <c r="E51" s="2253">
        <f>'June TCM'!PW28</f>
        <v>0</v>
      </c>
      <c r="F51" s="2253"/>
      <c r="G51" s="2252">
        <f>'June TCM'!KO28</f>
        <v>7056.0377197958023</v>
      </c>
      <c r="H51" s="2254">
        <f>'June TCM'!KP28</f>
        <v>0.44703630175836639</v>
      </c>
      <c r="I51" s="2252">
        <f>'June TCM'!KT28</f>
        <v>0</v>
      </c>
      <c r="J51" s="2254">
        <f>'June TCM'!KU28</f>
        <v>0</v>
      </c>
      <c r="K51" s="2253"/>
      <c r="L51" s="2256">
        <f t="shared" si="4"/>
        <v>11751.16</v>
      </c>
      <c r="M51" s="2257">
        <f>'June TCM'!JI28</f>
        <v>7030.03</v>
      </c>
      <c r="N51" s="2257">
        <f>'June TCM'!JJ28</f>
        <v>0</v>
      </c>
      <c r="O51" s="2256">
        <f t="shared" si="5"/>
        <v>7030.03</v>
      </c>
      <c r="P51" s="2252">
        <f>SUM('June TCM'!NO28,'June TCM'!NQ28,'June TCM'!OB28,'June TCM'!OO28)</f>
        <v>122807.90432721359</v>
      </c>
      <c r="Q51" s="2252">
        <f>SUM('June TCM'!NR28,'June TCM'!NZ28,'June TCM'!OD28,'June TCM'!OQ28)</f>
        <v>19202.557450283581</v>
      </c>
      <c r="R51" s="2252">
        <f>'June TCM'!NP28</f>
        <v>26196.696072681989</v>
      </c>
      <c r="S51" s="2252">
        <f t="shared" si="6"/>
        <v>168207.15785017915</v>
      </c>
      <c r="T51" s="2258">
        <f>'June TCM'!LG28</f>
        <v>0</v>
      </c>
      <c r="U51" s="2258">
        <f>'June TCM'!LH28</f>
        <v>0</v>
      </c>
      <c r="V51" s="2259">
        <f t="shared" si="7"/>
        <v>0</v>
      </c>
      <c r="W51" s="2258">
        <f>'June TCM'!NC28</f>
        <v>95381.090867469495</v>
      </c>
      <c r="X51" s="2258">
        <f>'June TCM'!ND28</f>
        <v>90148.092708494878</v>
      </c>
      <c r="Y51" s="2253"/>
      <c r="Z51" s="2253"/>
      <c r="AA51" s="2255">
        <f>SUM('June TCM'!NO28,'June TCM'!NQ28)</f>
        <v>13824.88245147172</v>
      </c>
      <c r="AB51" s="2255">
        <f>'June TCM'!NR36</f>
        <v>11162.194846987601</v>
      </c>
      <c r="AC51" s="2253"/>
      <c r="AD51" s="2255">
        <f>'June TCM'!NZ28+'June TCM'!OB28+'June TCM'!OD28</f>
        <v>89611.449931264011</v>
      </c>
      <c r="AE51" s="2255">
        <f>'June TCM'!OO28</f>
        <v>26861.844547773831</v>
      </c>
      <c r="AF51" s="2255">
        <f>'June TCM'!OQ28</f>
        <v>4695.84</v>
      </c>
    </row>
    <row r="52" spans="1:32" ht="15.6">
      <c r="A52" s="2251">
        <v>46193</v>
      </c>
      <c r="B52" s="2252">
        <f>SUM('June TCM'!DN29,'June TCM'!EA29,'June TCM'!EN29)</f>
        <v>9762.24</v>
      </c>
      <c r="C52" s="2253"/>
      <c r="D52" s="2253">
        <f>SUM('June TCM'!DL29,'June TCM'!EC29,'June TCM'!EP29)</f>
        <v>2374.88</v>
      </c>
      <c r="E52" s="2253">
        <f>'June TCM'!PW29</f>
        <v>0</v>
      </c>
      <c r="F52" s="2253"/>
      <c r="G52" s="2252">
        <f>'June TCM'!KO29</f>
        <v>7020.6832611832615</v>
      </c>
      <c r="H52" s="2254">
        <f>'June TCM'!KP29</f>
        <v>0.64543891293891298</v>
      </c>
      <c r="I52" s="2252">
        <f>'June TCM'!KT29</f>
        <v>0</v>
      </c>
      <c r="J52" s="2254">
        <f>'June TCM'!KU29</f>
        <v>0</v>
      </c>
      <c r="K52" s="2253"/>
      <c r="L52" s="2256">
        <f t="shared" si="4"/>
        <v>12137.119999999999</v>
      </c>
      <c r="M52" s="2257">
        <f>'June TCM'!JI29</f>
        <v>8384.2200000000012</v>
      </c>
      <c r="N52" s="2257">
        <f>'June TCM'!JJ29</f>
        <v>0</v>
      </c>
      <c r="O52" s="2256">
        <f t="shared" si="5"/>
        <v>8384.2200000000012</v>
      </c>
      <c r="P52" s="2252">
        <f>SUM('June TCM'!NO29,'June TCM'!NQ29,'June TCM'!OB29,'June TCM'!OO29)</f>
        <v>124185.92432721356</v>
      </c>
      <c r="Q52" s="2252">
        <f>SUM('June TCM'!NR29,'June TCM'!NZ29,'June TCM'!OD29,'June TCM'!OQ29)</f>
        <v>21577.437450283582</v>
      </c>
      <c r="R52" s="2252">
        <f>'June TCM'!NP29</f>
        <v>26196.696072681989</v>
      </c>
      <c r="S52" s="2252">
        <f t="shared" si="6"/>
        <v>171960.05785017912</v>
      </c>
      <c r="T52" s="2258">
        <f>'June TCM'!LG29</f>
        <v>0</v>
      </c>
      <c r="U52" s="2258">
        <f>'June TCM'!LH29</f>
        <v>0</v>
      </c>
      <c r="V52" s="2259">
        <f t="shared" si="7"/>
        <v>0</v>
      </c>
      <c r="W52" s="2258">
        <f>'June TCM'!NC29</f>
        <v>103765.3108674695</v>
      </c>
      <c r="X52" s="2258">
        <f>'June TCM'!ND29</f>
        <v>90148.092708494878</v>
      </c>
      <c r="Y52" s="2253"/>
      <c r="Z52" s="2253"/>
      <c r="AA52" s="2255">
        <f>SUM('June TCM'!NO29,'June TCM'!NQ29)</f>
        <v>16324.88245147172</v>
      </c>
      <c r="AB52" s="2255">
        <f>'June TCM'!NR37</f>
        <v>10947.5948469876</v>
      </c>
      <c r="AC52" s="2253"/>
      <c r="AD52" s="2255">
        <f>'June TCM'!NZ29+'June TCM'!OB29+'June TCM'!OD29</f>
        <v>91816.889931263999</v>
      </c>
      <c r="AE52" s="2255">
        <f>'June TCM'!OO29</f>
        <v>23534.424547773833</v>
      </c>
      <c r="AF52" s="2255">
        <f>'June TCM'!OQ29</f>
        <v>6090.72</v>
      </c>
    </row>
    <row r="53" spans="1:32" ht="15.6">
      <c r="A53" s="2251">
        <v>46194</v>
      </c>
      <c r="B53" s="2252">
        <f>SUM('June TCM'!DN30,'June TCM'!EA30,'June TCM'!EN30)</f>
        <v>6103.2</v>
      </c>
      <c r="C53" s="2253"/>
      <c r="D53" s="2253">
        <f>SUM('June TCM'!DL30,'June TCM'!EC30,'June TCM'!EP30)</f>
        <v>3682.8999999999996</v>
      </c>
      <c r="E53" s="2253">
        <f>'June TCM'!PW30</f>
        <v>0</v>
      </c>
      <c r="F53" s="2253"/>
      <c r="G53" s="2252">
        <f>'June TCM'!KO30</f>
        <v>0</v>
      </c>
      <c r="H53" s="2254">
        <f>'June TCM'!KP30</f>
        <v>0</v>
      </c>
      <c r="I53" s="2252">
        <f>'June TCM'!KT30</f>
        <v>7070.6564605021431</v>
      </c>
      <c r="J53" s="2254">
        <f>'June TCM'!KU30</f>
        <v>1.8982731169626452</v>
      </c>
      <c r="K53" s="2253"/>
      <c r="L53" s="2256">
        <f t="shared" si="4"/>
        <v>9786.0999999999985</v>
      </c>
      <c r="M53" s="2257">
        <f>'June TCM'!JI30</f>
        <v>0</v>
      </c>
      <c r="N53" s="2257">
        <f>'June TCM'!JJ30</f>
        <v>9926.130000000001</v>
      </c>
      <c r="O53" s="2256">
        <f t="shared" si="5"/>
        <v>9926.130000000001</v>
      </c>
      <c r="P53" s="2252">
        <f>SUM('June TCM'!NO30,'June TCM'!NQ30,'June TCM'!OB30,'June TCM'!OO30)</f>
        <v>124565.1143272136</v>
      </c>
      <c r="Q53" s="2252">
        <f>SUM('June TCM'!NR30,'June TCM'!NZ30,'June TCM'!OD30,'June TCM'!OQ30)</f>
        <v>21435.51745028358</v>
      </c>
      <c r="R53" s="2252">
        <f>'June TCM'!NP30</f>
        <v>26196.696072681989</v>
      </c>
      <c r="S53" s="2252">
        <f t="shared" si="6"/>
        <v>172197.32785017916</v>
      </c>
      <c r="T53" s="2258">
        <f>'June TCM'!LG30</f>
        <v>16494.309999999998</v>
      </c>
      <c r="U53" s="2258">
        <f>'June TCM'!LH30</f>
        <v>0</v>
      </c>
      <c r="V53" s="2259">
        <f t="shared" si="7"/>
        <v>16494.309999999998</v>
      </c>
      <c r="W53" s="2258">
        <f>'June TCM'!NC30</f>
        <v>111113.22851155</v>
      </c>
      <c r="X53" s="2258">
        <f>'June TCM'!ND30</f>
        <v>97478.371537010011</v>
      </c>
      <c r="Y53" s="2253"/>
      <c r="Z53" s="2253"/>
      <c r="AA53" s="2255">
        <f>SUM('June TCM'!NO30,'June TCM'!NQ30)</f>
        <v>17064.88245147172</v>
      </c>
      <c r="AB53" s="2255">
        <f>'June TCM'!NR38</f>
        <v>11167.5948469876</v>
      </c>
      <c r="AC53" s="2253"/>
      <c r="AD53" s="2255">
        <f>'June TCM'!NZ30+'June TCM'!OB30+'June TCM'!OD30</f>
        <v>88936.599931264005</v>
      </c>
      <c r="AE53" s="2255">
        <f>'June TCM'!OO30</f>
        <v>25273.334547773833</v>
      </c>
      <c r="AF53" s="2255">
        <f>'June TCM'!OQ30</f>
        <v>5709.37</v>
      </c>
    </row>
    <row r="54" spans="1:32" ht="15.6">
      <c r="A54" s="2251">
        <v>46195</v>
      </c>
      <c r="B54" s="2252">
        <f>SUM('June TCM'!DN31,'June TCM'!EA31,'June TCM'!EN31)</f>
        <v>6941.64</v>
      </c>
      <c r="C54" s="2253"/>
      <c r="D54" s="2253">
        <f>SUM('June TCM'!DL31,'June TCM'!EC31,'June TCM'!EP31)</f>
        <v>1547.5600000000002</v>
      </c>
      <c r="E54" s="2253">
        <f>'June TCM'!PW31</f>
        <v>0</v>
      </c>
      <c r="F54" s="2253"/>
      <c r="G54" s="2252">
        <f>'June TCM'!KO31</f>
        <v>6859.430612805716</v>
      </c>
      <c r="H54" s="2254">
        <f>'June TCM'!KP31</f>
        <v>0.62223962627095353</v>
      </c>
      <c r="I54" s="2252">
        <f>'June TCM'!KT31</f>
        <v>0</v>
      </c>
      <c r="J54" s="2254">
        <f>'June TCM'!KU31</f>
        <v>0</v>
      </c>
      <c r="K54" s="2253"/>
      <c r="L54" s="2256">
        <f t="shared" si="4"/>
        <v>8489.2000000000007</v>
      </c>
      <c r="M54" s="2257">
        <f>'June TCM'!JI31</f>
        <v>7215.1800000000012</v>
      </c>
      <c r="N54" s="2257">
        <f>'June TCM'!JJ31</f>
        <v>0</v>
      </c>
      <c r="O54" s="2256">
        <f t="shared" si="5"/>
        <v>7215.1800000000012</v>
      </c>
      <c r="P54" s="2252">
        <f>SUM('June TCM'!NO31,'June TCM'!NQ31,'June TCM'!OB31,'June TCM'!OO31)</f>
        <v>124291.57432721359</v>
      </c>
      <c r="Q54" s="2252">
        <f>SUM('June TCM'!NR31,'June TCM'!NZ31,'June TCM'!OD31,'June TCM'!OQ31)</f>
        <v>22983.077450283577</v>
      </c>
      <c r="R54" s="2252">
        <f>'June TCM'!NP31</f>
        <v>26196.696072681989</v>
      </c>
      <c r="S54" s="2252">
        <f t="shared" si="6"/>
        <v>173471.34785017915</v>
      </c>
      <c r="T54" s="2258">
        <f>'June TCM'!LG31</f>
        <v>0</v>
      </c>
      <c r="U54" s="2258">
        <f>'June TCM'!LH31</f>
        <v>0</v>
      </c>
      <c r="V54" s="2259">
        <f t="shared" si="7"/>
        <v>0</v>
      </c>
      <c r="W54" s="2258">
        <f>'June TCM'!NC31</f>
        <v>118328.40851155001</v>
      </c>
      <c r="X54" s="2258">
        <f>'June TCM'!ND31</f>
        <v>97478.371537010011</v>
      </c>
      <c r="Y54" s="2253"/>
      <c r="Z54" s="2253"/>
      <c r="AA54" s="2255">
        <f>SUM('June TCM'!NO31,'June TCM'!NQ31)</f>
        <v>18264.88245147172</v>
      </c>
      <c r="AB54" s="2255">
        <f>'June TCM'!NR39</f>
        <v>9829.8348469876</v>
      </c>
      <c r="AC54" s="2253"/>
      <c r="AD54" s="2255">
        <f>'June TCM'!NZ31+'June TCM'!OB31+'June TCM'!OD31</f>
        <v>90358.119931264009</v>
      </c>
      <c r="AE54" s="2255">
        <f>'June TCM'!OO31</f>
        <v>22378.274547773835</v>
      </c>
      <c r="AF54" s="2255">
        <f>'June TCM'!OQ31</f>
        <v>6856.93</v>
      </c>
    </row>
    <row r="55" spans="1:32" ht="15.6">
      <c r="A55" s="2251">
        <v>46196</v>
      </c>
      <c r="B55" s="2252">
        <f>SUM('June TCM'!DN32,'June TCM'!EA32,'June TCM'!EN32)</f>
        <v>10608.240000000002</v>
      </c>
      <c r="C55" s="2253"/>
      <c r="D55" s="2253">
        <f>SUM('June TCM'!DL32,'June TCM'!EC32,'June TCM'!EP32)</f>
        <v>1400</v>
      </c>
      <c r="E55" s="2253">
        <f>'June TCM'!PW32</f>
        <v>0</v>
      </c>
      <c r="F55" s="2253"/>
      <c r="G55" s="2252">
        <f>'June TCM'!KO32</f>
        <v>7057.5011892626571</v>
      </c>
      <c r="H55" s="2254">
        <f>'June TCM'!KP32</f>
        <v>0.81767923887189931</v>
      </c>
      <c r="I55" s="2252">
        <f>'June TCM'!KT32</f>
        <v>0</v>
      </c>
      <c r="J55" s="2254">
        <f>'June TCM'!KU32</f>
        <v>0</v>
      </c>
      <c r="K55" s="2253"/>
      <c r="L55" s="2256">
        <f t="shared" si="4"/>
        <v>12008.240000000002</v>
      </c>
      <c r="M55" s="2257">
        <f>'June TCM'!JI32</f>
        <v>8866.0700000000015</v>
      </c>
      <c r="N55" s="2257">
        <f>'June TCM'!JJ32</f>
        <v>0</v>
      </c>
      <c r="O55" s="2256">
        <f t="shared" si="5"/>
        <v>8866.0700000000015</v>
      </c>
      <c r="P55" s="2252">
        <f>SUM('June TCM'!NO32,'June TCM'!NQ32,'June TCM'!OB32,'June TCM'!OO32)</f>
        <v>126033.74432721362</v>
      </c>
      <c r="Q55" s="2252">
        <f>SUM('June TCM'!NR32,'June TCM'!NZ32,'June TCM'!OD32,'June TCM'!OQ32)</f>
        <v>24383.077450283581</v>
      </c>
      <c r="R55" s="2252">
        <f>'June TCM'!NP32</f>
        <v>26196.696072681989</v>
      </c>
      <c r="S55" s="2252">
        <f t="shared" si="6"/>
        <v>176613.51785017917</v>
      </c>
      <c r="T55" s="2258">
        <f>'June TCM'!LG32</f>
        <v>18075.347999999998</v>
      </c>
      <c r="U55" s="2258">
        <f>'June TCM'!LH32</f>
        <v>12050.232</v>
      </c>
      <c r="V55" s="2259">
        <f t="shared" si="7"/>
        <v>30125.579999999998</v>
      </c>
      <c r="W55" s="2258">
        <f>'June TCM'!NC32</f>
        <v>109119.13051155001</v>
      </c>
      <c r="X55" s="2258">
        <f>'June TCM'!ND32</f>
        <v>85428.139537010007</v>
      </c>
      <c r="Y55" s="2253"/>
      <c r="Z55" s="2253"/>
      <c r="AA55" s="2255">
        <f>SUM('June TCM'!NO32,'June TCM'!NQ32)</f>
        <v>19284.88245147172</v>
      </c>
      <c r="AB55" s="2255">
        <f>'June TCM'!NR40</f>
        <v>9829.8348469876</v>
      </c>
      <c r="AC55" s="2253"/>
      <c r="AD55" s="2255">
        <f>'June TCM'!NZ32+'June TCM'!OB32+'June TCM'!OD32</f>
        <v>91874.609931264014</v>
      </c>
      <c r="AE55" s="2255">
        <f>'June TCM'!OO32</f>
        <v>21583.954547773836</v>
      </c>
      <c r="AF55" s="2255">
        <f>'June TCM'!OQ32</f>
        <v>6856.93</v>
      </c>
    </row>
    <row r="56" spans="1:32" ht="15.6">
      <c r="A56" s="2251">
        <v>46197</v>
      </c>
      <c r="B56" s="2252">
        <f>SUM('June TCM'!DN33,'June TCM'!EA33,'June TCM'!EN33)</f>
        <v>11063.03</v>
      </c>
      <c r="C56" s="2253"/>
      <c r="D56" s="2253">
        <f>SUM('June TCM'!DL33,'June TCM'!EC33,'June TCM'!EP33)</f>
        <v>1649.24</v>
      </c>
      <c r="E56" s="2253">
        <f>'June TCM'!PW33</f>
        <v>0</v>
      </c>
      <c r="F56" s="2253"/>
      <c r="G56" s="2252">
        <f>'June TCM'!KO33</f>
        <v>6929.7499508937344</v>
      </c>
      <c r="H56" s="2254">
        <f>'June TCM'!KP33</f>
        <v>1.0528285209192694</v>
      </c>
      <c r="I56" s="2252">
        <f>'June TCM'!KT33</f>
        <v>0</v>
      </c>
      <c r="J56" s="2254">
        <f>'June TCM'!KU33</f>
        <v>0</v>
      </c>
      <c r="K56" s="2253"/>
      <c r="L56" s="2256">
        <f t="shared" si="4"/>
        <v>12712.27</v>
      </c>
      <c r="M56" s="2257">
        <f>'June TCM'!JI33</f>
        <v>10217.319999999998</v>
      </c>
      <c r="N56" s="2257">
        <f>'June TCM'!JJ33</f>
        <v>0</v>
      </c>
      <c r="O56" s="2256">
        <f t="shared" si="5"/>
        <v>10217.319999999998</v>
      </c>
      <c r="P56" s="2252">
        <f>SUM('June TCM'!NO33,'June TCM'!NQ33,'June TCM'!OB33,'June TCM'!OO33)</f>
        <v>127300.7543272136</v>
      </c>
      <c r="Q56" s="2252">
        <f>SUM('June TCM'!NR33,'June TCM'!NZ33,'June TCM'!OD33,'June TCM'!OQ33)</f>
        <v>26032.317450283579</v>
      </c>
      <c r="R56" s="2252">
        <f>'June TCM'!NP33</f>
        <v>26196.696072681989</v>
      </c>
      <c r="S56" s="2252">
        <f t="shared" si="6"/>
        <v>179529.76785017917</v>
      </c>
      <c r="T56" s="2258">
        <f>'June TCM'!LG33</f>
        <v>0</v>
      </c>
      <c r="U56" s="2258">
        <f>'June TCM'!LH33</f>
        <v>7351.75</v>
      </c>
      <c r="V56" s="2259">
        <f t="shared" si="7"/>
        <v>7351.75</v>
      </c>
      <c r="W56" s="2258">
        <f>'June TCM'!NC33</f>
        <v>119336.45051155001</v>
      </c>
      <c r="X56" s="2258">
        <f>'June TCM'!ND33</f>
        <v>78076.389537010007</v>
      </c>
      <c r="Y56" s="2253"/>
      <c r="Z56" s="2253"/>
      <c r="AA56" s="2255">
        <f>SUM('June TCM'!NO33,'June TCM'!NQ33)</f>
        <v>21504.88245147172</v>
      </c>
      <c r="AB56" s="2255">
        <f>'June TCM'!NR41</f>
        <v>9829.8348469876</v>
      </c>
      <c r="AC56" s="2253"/>
      <c r="AD56" s="2255">
        <f>'June TCM'!NZ33+'June TCM'!OB33+'June TCM'!OD33</f>
        <v>93363.309931264026</v>
      </c>
      <c r="AE56" s="2255">
        <f>'June TCM'!OO33</f>
        <v>20071.504547773831</v>
      </c>
      <c r="AF56" s="2255">
        <f>'June TCM'!OQ33</f>
        <v>6856.93</v>
      </c>
    </row>
    <row r="57" spans="1:32" ht="15.6">
      <c r="A57" s="2251">
        <v>46198</v>
      </c>
      <c r="B57" s="2252">
        <f>SUM('June TCM'!DN34,'June TCM'!EA34,'June TCM'!EN34)</f>
        <v>12073</v>
      </c>
      <c r="C57" s="2253"/>
      <c r="D57" s="2253">
        <f>SUM('June TCM'!DL34,'June TCM'!EC34,'June TCM'!EP34)</f>
        <v>2738.8199999999997</v>
      </c>
      <c r="E57" s="2253">
        <f>'June TCM'!PW34</f>
        <v>0</v>
      </c>
      <c r="F57" s="2253"/>
      <c r="G57" s="2252">
        <f>'June TCM'!KO34</f>
        <v>6844</v>
      </c>
      <c r="H57" s="2254">
        <f>'June TCM'!KP34</f>
        <v>0.83</v>
      </c>
      <c r="I57" s="2252">
        <f>'June TCM'!KT34</f>
        <v>6997</v>
      </c>
      <c r="J57" s="2254">
        <f>'June TCM'!KU34</f>
        <v>1.53</v>
      </c>
      <c r="K57" s="2253"/>
      <c r="L57" s="2256">
        <f t="shared" si="4"/>
        <v>14811.82</v>
      </c>
      <c r="M57" s="2257">
        <f>'June TCM'!JI34</f>
        <v>5460.65</v>
      </c>
      <c r="N57" s="2257">
        <f>'June TCM'!JJ34</f>
        <v>2814.1899999999996</v>
      </c>
      <c r="O57" s="2256">
        <f t="shared" si="5"/>
        <v>8274.84</v>
      </c>
      <c r="P57" s="2252">
        <f>SUM('June TCM'!NO34,'June TCM'!NQ34,'June TCM'!OB34,'June TCM'!OO34)</f>
        <v>133704.18432721362</v>
      </c>
      <c r="Q57" s="2252">
        <f>SUM('June TCM'!NR34,'June TCM'!NZ34,'June TCM'!OD34,'June TCM'!OQ34)</f>
        <v>27543.837450283576</v>
      </c>
      <c r="R57" s="2252">
        <f>'June TCM'!NP34</f>
        <v>26196.696072681989</v>
      </c>
      <c r="S57" s="2252">
        <f t="shared" si="6"/>
        <v>187444.71785017918</v>
      </c>
      <c r="T57" s="2258">
        <f>'June TCM'!LG34</f>
        <v>0</v>
      </c>
      <c r="U57" s="2258">
        <f>'June TCM'!LH34</f>
        <v>0</v>
      </c>
      <c r="V57" s="2259">
        <f t="shared" si="7"/>
        <v>0</v>
      </c>
      <c r="W57" s="2258">
        <f>'June TCM'!NC34</f>
        <v>124797.10051155</v>
      </c>
      <c r="X57" s="2258">
        <f>'June TCM'!ND34</f>
        <v>80890.57953701001</v>
      </c>
      <c r="Y57" s="2253"/>
      <c r="Z57" s="2253"/>
      <c r="AA57" s="2255">
        <f>SUM('June TCM'!NO34,'June TCM'!NQ34)</f>
        <v>23094.332451471721</v>
      </c>
      <c r="AB57" s="2255">
        <f>'June TCM'!NR42</f>
        <v>10133.851351487181</v>
      </c>
      <c r="AC57" s="2253"/>
      <c r="AD57" s="2255">
        <f>'June TCM'!NZ34+'June TCM'!OB34+'June TCM'!OD34</f>
        <v>94833.70993126402</v>
      </c>
      <c r="AE57" s="2255">
        <f>'June TCM'!OO34</f>
        <v>24831.054547773834</v>
      </c>
      <c r="AF57" s="2255">
        <f>'June TCM'!OQ34</f>
        <v>6856.93</v>
      </c>
    </row>
    <row r="58" spans="1:32" ht="15.6">
      <c r="A58" s="2251">
        <v>46199</v>
      </c>
      <c r="B58" s="2252">
        <f>SUM('June TCM'!DN35,'June TCM'!EA35,'June TCM'!EN35)</f>
        <v>11985.34</v>
      </c>
      <c r="C58" s="2253"/>
      <c r="D58" s="2253">
        <f>SUM('June TCM'!DL35,'June TCM'!EC35,'June TCM'!EP35)</f>
        <v>780.9</v>
      </c>
      <c r="E58" s="2253">
        <f>'June TCM'!PW35</f>
        <v>0</v>
      </c>
      <c r="F58" s="2253"/>
      <c r="G58" s="2252">
        <f>'June TCM'!KO35</f>
        <v>7015.8869731800769</v>
      </c>
      <c r="H58" s="2254">
        <f>'June TCM'!KP35</f>
        <v>1.3975938697318009</v>
      </c>
      <c r="I58" s="2252">
        <f>'June TCM'!KT35</f>
        <v>0</v>
      </c>
      <c r="J58" s="2254">
        <f>'June TCM'!KU35</f>
        <v>0</v>
      </c>
      <c r="K58" s="2253"/>
      <c r="L58" s="2256">
        <f t="shared" si="4"/>
        <v>12766.24</v>
      </c>
      <c r="M58" s="2257">
        <f>'June TCM'!JI35</f>
        <v>10344.199999999999</v>
      </c>
      <c r="N58" s="2257">
        <f>'June TCM'!JJ35</f>
        <v>0</v>
      </c>
      <c r="O58" s="2256">
        <f t="shared" si="5"/>
        <v>10344.199999999999</v>
      </c>
      <c r="P58" s="2252">
        <f>SUM('June TCM'!NO35,'June TCM'!NQ35,'June TCM'!OB35,'June TCM'!OO35)</f>
        <v>137059.95432721358</v>
      </c>
      <c r="Q58" s="2252">
        <f>SUM('June TCM'!NR35,'June TCM'!NZ35,'June TCM'!OD35,'June TCM'!OQ35)</f>
        <v>28324.737450283577</v>
      </c>
      <c r="R58" s="2252">
        <f>'June TCM'!NP35</f>
        <v>26196.696072681989</v>
      </c>
      <c r="S58" s="2252">
        <f t="shared" si="6"/>
        <v>191581.38785017913</v>
      </c>
      <c r="T58" s="2258">
        <f>'June TCM'!LG35</f>
        <v>12850.39</v>
      </c>
      <c r="U58" s="2258">
        <f>'June TCM'!LH35</f>
        <v>0</v>
      </c>
      <c r="V58" s="2259">
        <f t="shared" si="7"/>
        <v>12850.39</v>
      </c>
      <c r="W58" s="2258">
        <f>'June TCM'!NC35</f>
        <v>122290.91051155001</v>
      </c>
      <c r="X58" s="2258">
        <f>'June TCM'!ND35</f>
        <v>80890.57953701001</v>
      </c>
      <c r="Y58" s="2253"/>
      <c r="Z58" s="2253"/>
      <c r="AA58" s="2255">
        <f>SUM('June TCM'!NO35,'June TCM'!NQ35)</f>
        <v>23410.122451471721</v>
      </c>
      <c r="AB58" s="2255">
        <f>'June TCM'!NR43</f>
        <v>0</v>
      </c>
      <c r="AC58" s="2253"/>
      <c r="AD58" s="2255">
        <f>'June TCM'!NZ35+'June TCM'!OB35+'June TCM'!OD35</f>
        <v>94872.899931264008</v>
      </c>
      <c r="AE58" s="2255">
        <f>'June TCM'!OO35</f>
        <v>28272.744547773833</v>
      </c>
      <c r="AF58" s="2255">
        <f>'June TCM'!OQ35</f>
        <v>6856.93</v>
      </c>
    </row>
    <row r="59" spans="1:32" ht="15.6">
      <c r="A59" s="2251">
        <v>46200</v>
      </c>
      <c r="B59" s="2252">
        <f>SUM('June TCM'!DN36,'June TCM'!EA36,'June TCM'!EN36)</f>
        <v>8185.3600000000015</v>
      </c>
      <c r="C59" s="2253"/>
      <c r="D59" s="2253">
        <f>SUM('June TCM'!DL36,'June TCM'!EC36,'June TCM'!EP36)</f>
        <v>4490.12</v>
      </c>
      <c r="E59" s="2253">
        <f>'June TCM'!PW36</f>
        <v>0</v>
      </c>
      <c r="F59" s="2253"/>
      <c r="G59" s="2252">
        <f>'June TCM'!KO36</f>
        <v>6996</v>
      </c>
      <c r="H59" s="2254">
        <f>'June TCM'!KP36</f>
        <v>0.97000000000000008</v>
      </c>
      <c r="I59" s="2252">
        <f>'June TCM'!KT36</f>
        <v>6981.6728423652921</v>
      </c>
      <c r="J59" s="2254">
        <f>'June TCM'!KU36</f>
        <v>1.8228037671761617</v>
      </c>
      <c r="K59" s="2253"/>
      <c r="L59" s="2256">
        <f t="shared" si="4"/>
        <v>12675.480000000001</v>
      </c>
      <c r="M59" s="2257">
        <f>'June TCM'!JI36</f>
        <v>4985.8099999999995</v>
      </c>
      <c r="N59" s="2257">
        <f>'June TCM'!JJ36</f>
        <v>6502.46</v>
      </c>
      <c r="O59" s="2256">
        <f t="shared" si="5"/>
        <v>11488.27</v>
      </c>
      <c r="P59" s="2252">
        <f>SUM('June TCM'!NO36,'June TCM'!NQ36,'June TCM'!OB36,'June TCM'!OO36)</f>
        <v>137673.50432721362</v>
      </c>
      <c r="Q59" s="2252">
        <f>SUM('June TCM'!NR36,'June TCM'!NZ36,'June TCM'!OD36,'June TCM'!OQ36)</f>
        <v>29302.347450283578</v>
      </c>
      <c r="R59" s="2252">
        <f>'June TCM'!NP36</f>
        <v>26196.696072681989</v>
      </c>
      <c r="S59" s="2252">
        <f t="shared" si="6"/>
        <v>193172.54785017919</v>
      </c>
      <c r="T59" s="2258">
        <f>'June TCM'!LG36</f>
        <v>20737.263999999999</v>
      </c>
      <c r="U59" s="2258">
        <f>'June TCM'!LH36</f>
        <v>3841.5360000000001</v>
      </c>
      <c r="V59" s="2259">
        <f t="shared" si="7"/>
        <v>24578.799999999999</v>
      </c>
      <c r="W59" s="2258">
        <f>'June TCM'!NC36</f>
        <v>106539.45651155002</v>
      </c>
      <c r="X59" s="2258">
        <f>'June TCM'!ND36</f>
        <v>83551.503537010023</v>
      </c>
      <c r="Y59" s="2253"/>
      <c r="Z59" s="2253"/>
      <c r="AA59" s="2255">
        <f>SUM('June TCM'!NO36,'June TCM'!NQ36)</f>
        <v>25190.412451471722</v>
      </c>
      <c r="AB59" s="2255">
        <f>'June TCM'!NR44</f>
        <v>0</v>
      </c>
      <c r="AC59" s="2253"/>
      <c r="AD59" s="2255">
        <f>'June TCM'!NZ36+'June TCM'!OB36+'June TCM'!OD36</f>
        <v>91718.889931264028</v>
      </c>
      <c r="AE59" s="2255">
        <f>'June TCM'!OO36</f>
        <v>31554.744547773837</v>
      </c>
      <c r="AF59" s="2255">
        <f>'June TCM'!OQ36</f>
        <v>7349.6100000000006</v>
      </c>
    </row>
    <row r="60" spans="1:32" ht="15.6">
      <c r="A60" s="2251">
        <v>46201</v>
      </c>
      <c r="B60" s="2252">
        <f>SUM('June TCM'!DN37,'June TCM'!EA37,'June TCM'!EN37)</f>
        <v>8456.0400000000009</v>
      </c>
      <c r="C60" s="2253"/>
      <c r="D60" s="2253">
        <f>SUM('June TCM'!DL37,'June TCM'!EC37,'June TCM'!EP37)</f>
        <v>5078.66</v>
      </c>
      <c r="E60" s="2253">
        <f>'June TCM'!PW37</f>
        <v>0</v>
      </c>
      <c r="F60" s="2253"/>
      <c r="G60" s="2252">
        <f>'June TCM'!KO37</f>
        <v>6883</v>
      </c>
      <c r="H60" s="2254">
        <f>'June TCM'!KP37</f>
        <v>0.69</v>
      </c>
      <c r="I60" s="2252">
        <f>'June TCM'!KT37</f>
        <v>7093</v>
      </c>
      <c r="J60" s="2254">
        <f>'June TCM'!KU37</f>
        <v>1.93</v>
      </c>
      <c r="K60" s="2253"/>
      <c r="L60" s="2256">
        <f t="shared" si="4"/>
        <v>13534.7</v>
      </c>
      <c r="M60" s="2257">
        <f>'June TCM'!JI37</f>
        <v>4851.8999999999996</v>
      </c>
      <c r="N60" s="2257">
        <f>'June TCM'!JJ37</f>
        <v>5139.2999999999984</v>
      </c>
      <c r="O60" s="2256">
        <f t="shared" si="5"/>
        <v>9991.1999999999971</v>
      </c>
      <c r="P60" s="2252">
        <f>SUM('June TCM'!NO37,'June TCM'!NQ37,'June TCM'!OB37,'June TCM'!OO37)</f>
        <v>138997.39432721361</v>
      </c>
      <c r="Q60" s="2252">
        <f>SUM('June TCM'!NR37,'June TCM'!NZ37,'June TCM'!OD37,'June TCM'!OQ37)</f>
        <v>31521.957450283579</v>
      </c>
      <c r="R60" s="2252">
        <f>'June TCM'!NP37</f>
        <v>26196.696072681989</v>
      </c>
      <c r="S60" s="2252">
        <f t="shared" si="6"/>
        <v>196716.04785017917</v>
      </c>
      <c r="T60" s="2258">
        <f>'June TCM'!LG37</f>
        <v>0</v>
      </c>
      <c r="U60" s="2258">
        <f>'June TCM'!LH37</f>
        <v>0</v>
      </c>
      <c r="V60" s="2259">
        <f t="shared" si="7"/>
        <v>0</v>
      </c>
      <c r="W60" s="2258">
        <f>'June TCM'!NC37</f>
        <v>111391.35651155001</v>
      </c>
      <c r="X60" s="2258">
        <f>'June TCM'!ND37</f>
        <v>88690.803537010026</v>
      </c>
      <c r="Y60" s="2253"/>
      <c r="Z60" s="2253"/>
      <c r="AA60" s="2255">
        <f>SUM('June TCM'!NO37,'June TCM'!NQ37)</f>
        <v>25486.562451471724</v>
      </c>
      <c r="AB60" s="2255">
        <f>'June TCM'!NR45</f>
        <v>0</v>
      </c>
      <c r="AC60" s="2253"/>
      <c r="AD60" s="2255">
        <f>'June TCM'!NZ37+'June TCM'!OB37+'June TCM'!OD37</f>
        <v>90972.759931264023</v>
      </c>
      <c r="AE60" s="2255">
        <f>'June TCM'!OO37</f>
        <v>33440.344547773835</v>
      </c>
      <c r="AF60" s="2255">
        <f>'June TCM'!OQ37</f>
        <v>9672.09</v>
      </c>
    </row>
    <row r="61" spans="1:32" ht="15.6">
      <c r="A61" s="2251">
        <v>46202</v>
      </c>
      <c r="B61" s="2252">
        <f>SUM('June TCM'!DN38,'June TCM'!EA38,'June TCM'!EN38)</f>
        <v>2535.14</v>
      </c>
      <c r="C61" s="2253"/>
      <c r="D61" s="2253">
        <f>SUM('June TCM'!DL38,'June TCM'!EC38,'June TCM'!EP38)</f>
        <v>3257.1800000000003</v>
      </c>
      <c r="E61" s="2253">
        <f>'June TCM'!PW38</f>
        <v>0</v>
      </c>
      <c r="F61" s="2253"/>
      <c r="G61" s="2252">
        <f>'June TCM'!KO38</f>
        <v>7030.3595343380557</v>
      </c>
      <c r="H61" s="2254">
        <f>'June TCM'!KP38</f>
        <v>0.67491562133381466</v>
      </c>
      <c r="I61" s="2252">
        <f>'June TCM'!KT38</f>
        <v>0</v>
      </c>
      <c r="J61" s="2254">
        <f>'June TCM'!KU38</f>
        <v>0</v>
      </c>
      <c r="K61" s="2253"/>
      <c r="L61" s="2256">
        <f t="shared" si="4"/>
        <v>5792.32</v>
      </c>
      <c r="M61" s="2257">
        <f>'June TCM'!JI38</f>
        <v>11066.779999999999</v>
      </c>
      <c r="N61" s="2257">
        <f>'June TCM'!JJ38</f>
        <v>0</v>
      </c>
      <c r="O61" s="2256">
        <f t="shared" si="5"/>
        <v>11066.779999999999</v>
      </c>
      <c r="P61" s="2252">
        <f>SUM('June TCM'!NO38,'June TCM'!NQ38,'June TCM'!OB38,'June TCM'!OO38)</f>
        <v>131399.59432721359</v>
      </c>
      <c r="Q61" s="2252">
        <f>SUM('June TCM'!NR38,'June TCM'!NZ38,'June TCM'!OD38,'June TCM'!OQ38)</f>
        <v>34779.137450283575</v>
      </c>
      <c r="R61" s="2252">
        <f>'June TCM'!NP38</f>
        <v>26196.696072681989</v>
      </c>
      <c r="S61" s="2252">
        <f t="shared" si="6"/>
        <v>192375.42785017914</v>
      </c>
      <c r="T61" s="2258">
        <f>'June TCM'!LG38</f>
        <v>11146.53</v>
      </c>
      <c r="U61" s="2258">
        <f>'June TCM'!LH38</f>
        <v>0</v>
      </c>
      <c r="V61" s="2259">
        <f t="shared" si="7"/>
        <v>11146.53</v>
      </c>
      <c r="W61" s="2258">
        <f>'June TCM'!NC38</f>
        <v>111311.60651155001</v>
      </c>
      <c r="X61" s="2258">
        <f>'June TCM'!ND38</f>
        <v>88690.803537010026</v>
      </c>
      <c r="Y61" s="2253"/>
      <c r="Z61" s="2253"/>
      <c r="AA61" s="2255">
        <f>SUM('June TCM'!NO38,'June TCM'!NQ38)</f>
        <v>23388.512451471724</v>
      </c>
      <c r="AB61" s="2255">
        <f>'June TCM'!NR46</f>
        <v>0</v>
      </c>
      <c r="AC61" s="2253"/>
      <c r="AD61" s="2255">
        <f>'June TCM'!NZ38+'June TCM'!OB38+'June TCM'!OD38</f>
        <v>89456.759931264023</v>
      </c>
      <c r="AE61" s="2255">
        <f>'June TCM'!OO38</f>
        <v>31410.494547773837</v>
      </c>
      <c r="AF61" s="2255">
        <f>'June TCM'!OQ38</f>
        <v>10755.37</v>
      </c>
    </row>
    <row r="62" spans="1:32" ht="15.6">
      <c r="A62" s="2251">
        <v>46203</v>
      </c>
      <c r="B62" s="2252">
        <f>SUM('June TCM'!DN39,'June TCM'!EA39,'June TCM'!EN39)</f>
        <v>8930.32</v>
      </c>
      <c r="C62" s="2253"/>
      <c r="D62" s="2253">
        <f>SUM('June TCM'!DL39,'June TCM'!EC39,'June TCM'!EP39)</f>
        <v>4117.6000000000004</v>
      </c>
      <c r="E62" s="2253">
        <f>'June TCM'!PW39</f>
        <v>0</v>
      </c>
      <c r="F62" s="2253"/>
      <c r="G62" s="2252">
        <f>'June TCM'!KO39</f>
        <v>0</v>
      </c>
      <c r="H62" s="2254">
        <f>'June TCM'!KP39</f>
        <v>0</v>
      </c>
      <c r="I62" s="2252">
        <f>'June TCM'!KT39</f>
        <v>6777</v>
      </c>
      <c r="J62" s="2254">
        <f>'June TCM'!KU39</f>
        <v>1.6599999999999997</v>
      </c>
      <c r="K62" s="2253"/>
      <c r="L62" s="2256">
        <f t="shared" si="4"/>
        <v>13047.92</v>
      </c>
      <c r="M62" s="2257">
        <f>'June TCM'!JI39</f>
        <v>4890.55</v>
      </c>
      <c r="N62" s="2257">
        <f>'June TCM'!JJ39</f>
        <v>5809.5000000000009</v>
      </c>
      <c r="O62" s="2256">
        <f t="shared" si="5"/>
        <v>10700.050000000001</v>
      </c>
      <c r="P62" s="2252">
        <f>SUM('June TCM'!NO39,'June TCM'!NQ39,'June TCM'!OB39,'June TCM'!OO39)</f>
        <v>134131.18432721362</v>
      </c>
      <c r="Q62" s="2252">
        <f>SUM('June TCM'!NR39,'June TCM'!NZ39,'June TCM'!OD39,'June TCM'!OQ39)</f>
        <v>35313.637450283575</v>
      </c>
      <c r="R62" s="2252">
        <f>'June TCM'!NP39</f>
        <v>26196.696072681989</v>
      </c>
      <c r="S62" s="2252">
        <f t="shared" si="6"/>
        <v>195641.51785017917</v>
      </c>
      <c r="T62" s="2258">
        <f>'June TCM'!LG39</f>
        <v>0</v>
      </c>
      <c r="U62" s="2258">
        <f>'June TCM'!LH39</f>
        <v>7681.86</v>
      </c>
      <c r="V62" s="2259">
        <f t="shared" si="7"/>
        <v>7681.86</v>
      </c>
      <c r="W62" s="2258">
        <f>'June TCM'!NC39</f>
        <v>116202.15651155001</v>
      </c>
      <c r="X62" s="2258">
        <f>'June TCM'!ND39</f>
        <v>86818.443537010025</v>
      </c>
      <c r="Y62" s="2253"/>
      <c r="Z62" s="2253"/>
      <c r="AA62" s="2255">
        <f>SUM('June TCM'!NO39,'June TCM'!NQ39)</f>
        <v>24737.012451471724</v>
      </c>
      <c r="AB62" s="2255">
        <f>'June TCM'!NR47</f>
        <v>0</v>
      </c>
      <c r="AC62" s="2253"/>
      <c r="AD62" s="2255">
        <f>'June TCM'!NZ39+'June TCM'!OB39+'June TCM'!OD39</f>
        <v>89325.869931264038</v>
      </c>
      <c r="AE62" s="2255">
        <f>'June TCM'!OO39</f>
        <v>32557.874547773841</v>
      </c>
      <c r="AF62" s="2255">
        <f>'June TCM'!OQ39</f>
        <v>12994.230000000001</v>
      </c>
    </row>
    <row r="63" spans="1:32" ht="15.6">
      <c r="A63" s="2181">
        <v>46204</v>
      </c>
      <c r="B63" s="2176">
        <f>SUM('June TCM'!DN40,'June TCM'!EA40,'June TCM'!EN40)</f>
        <v>0</v>
      </c>
      <c r="D63" s="2253">
        <f>SUM('June TCM'!DL40,'June TCM'!EC40,'June TCM'!EP40)</f>
        <v>0</v>
      </c>
      <c r="E63" s="2253">
        <f>'June TCM'!PW40</f>
        <v>0</v>
      </c>
      <c r="G63" s="2252">
        <f>'June TCM'!KO40</f>
        <v>0</v>
      </c>
      <c r="H63" s="2254">
        <f>'June TCM'!KP40</f>
        <v>0</v>
      </c>
      <c r="I63" s="2252">
        <f>'June TCM'!KT40</f>
        <v>0</v>
      </c>
      <c r="J63" s="2254">
        <f>'June TCM'!KU40</f>
        <v>0</v>
      </c>
      <c r="L63" s="2185">
        <f t="shared" si="4"/>
        <v>0</v>
      </c>
      <c r="M63" s="2257">
        <f>'June TCM'!JI40</f>
        <v>0</v>
      </c>
      <c r="N63" s="2257">
        <f>'June TCM'!JJ40</f>
        <v>0</v>
      </c>
      <c r="O63" s="2256">
        <f t="shared" si="5"/>
        <v>0</v>
      </c>
      <c r="P63" s="2252">
        <f>SUM('June TCM'!NO40,'June TCM'!NQ40,'June TCM'!OB40,'June TCM'!OO40)</f>
        <v>134131.18432721362</v>
      </c>
      <c r="Q63" s="2252">
        <f>SUM('June TCM'!NR40,'June TCM'!NZ40,'June TCM'!OD40,'June TCM'!OQ40)</f>
        <v>35313.637450283575</v>
      </c>
      <c r="R63" s="2252">
        <f>'June TCM'!NP40</f>
        <v>26196.696072681989</v>
      </c>
      <c r="S63" s="2252">
        <f t="shared" si="6"/>
        <v>195641.51785017917</v>
      </c>
      <c r="T63" s="2258">
        <f>'June TCM'!LG40</f>
        <v>0</v>
      </c>
      <c r="U63" s="2258">
        <f>'June TCM'!LH40</f>
        <v>0</v>
      </c>
      <c r="V63" s="2259">
        <f t="shared" si="7"/>
        <v>0</v>
      </c>
      <c r="W63" s="2258">
        <f>'June TCM'!NC40</f>
        <v>116202.15651155001</v>
      </c>
      <c r="X63" s="2258">
        <f>'June TCM'!ND40</f>
        <v>86818.443537010025</v>
      </c>
      <c r="AA63" s="2255">
        <f>SUM('June TCM'!NO40,'June TCM'!NQ40)</f>
        <v>24737.012451471724</v>
      </c>
      <c r="AB63" s="2255">
        <f>'June TCM'!NR48</f>
        <v>0</v>
      </c>
      <c r="AD63" s="2255">
        <f>'June TCM'!NZ40+'June TCM'!OB40+'June TCM'!OD40</f>
        <v>89325.869931264038</v>
      </c>
      <c r="AE63" s="2255">
        <f>'June TCM'!OO40</f>
        <v>32557.874547773841</v>
      </c>
      <c r="AF63" s="2255">
        <f>'June TCM'!OQ40</f>
        <v>12994.230000000001</v>
      </c>
    </row>
    <row r="64" spans="1:32" ht="15.6">
      <c r="A64" s="2181">
        <v>46205</v>
      </c>
    </row>
    <row r="65" spans="1:1" ht="15.6">
      <c r="A65" s="2181">
        <v>46206</v>
      </c>
    </row>
    <row r="66" spans="1:1" ht="15.6">
      <c r="A66" s="2181">
        <v>46207</v>
      </c>
    </row>
    <row r="67" spans="1:1" ht="15.6">
      <c r="A67" s="2181">
        <v>46208</v>
      </c>
    </row>
    <row r="68" spans="1:1" ht="15.6">
      <c r="A68" s="2181">
        <v>46209</v>
      </c>
    </row>
    <row r="69" spans="1:1" ht="15.6">
      <c r="A69" s="2181">
        <v>46210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97"/>
  <sheetViews>
    <sheetView workbookViewId="0">
      <pane ySplit="1" topLeftCell="A184" activePane="bottomLeft" state="frozen"/>
      <selection pane="bottomLeft" activeCell="A174" sqref="A174:XFD191"/>
    </sheetView>
  </sheetViews>
  <sheetFormatPr defaultRowHeight="14.4"/>
  <cols>
    <col min="1" max="2" width="21.33203125" customWidth="1"/>
    <col min="3" max="3" width="43.33203125" customWidth="1"/>
    <col min="4" max="4" width="34" customWidth="1"/>
    <col min="5" max="5" width="21.33203125" customWidth="1"/>
    <col min="6" max="6" width="10.88671875" customWidth="1"/>
    <col min="7" max="9" width="21.33203125" customWidth="1"/>
    <col min="10" max="10" width="7.109375" customWidth="1"/>
    <col min="11" max="13" width="16.109375" customWidth="1"/>
    <col min="14" max="16" width="21.33203125" customWidth="1"/>
  </cols>
  <sheetData>
    <row r="1" spans="1:18">
      <c r="A1" t="s">
        <v>1190</v>
      </c>
      <c r="B1" t="s">
        <v>1191</v>
      </c>
      <c r="C1" t="s">
        <v>1192</v>
      </c>
      <c r="D1" t="s">
        <v>1193</v>
      </c>
      <c r="E1" t="s">
        <v>103</v>
      </c>
      <c r="F1" t="s">
        <v>1194</v>
      </c>
      <c r="G1" t="s">
        <v>1195</v>
      </c>
      <c r="H1" t="s">
        <v>417</v>
      </c>
      <c r="I1" t="s">
        <v>1196</v>
      </c>
      <c r="J1" t="s">
        <v>1197</v>
      </c>
      <c r="K1" t="s">
        <v>1198</v>
      </c>
      <c r="L1" t="s">
        <v>1199</v>
      </c>
      <c r="M1" t="s">
        <v>1200</v>
      </c>
      <c r="N1" t="s">
        <v>7</v>
      </c>
      <c r="O1" t="s">
        <v>1201</v>
      </c>
    </row>
    <row r="2" spans="1:18" s="2265" customFormat="1" ht="26.4">
      <c r="A2" s="2116" t="s">
        <v>1202</v>
      </c>
      <c r="B2" s="2116" t="s">
        <v>1203</v>
      </c>
      <c r="C2" s="2116" t="s">
        <v>1204</v>
      </c>
      <c r="D2" s="2116" t="s">
        <v>1205</v>
      </c>
      <c r="E2" s="2116" t="s">
        <v>1206</v>
      </c>
      <c r="F2" s="2116">
        <v>1</v>
      </c>
      <c r="G2" s="2116" t="s">
        <v>105</v>
      </c>
      <c r="H2" s="2116" t="s">
        <v>17</v>
      </c>
      <c r="I2" s="2116" t="s">
        <v>1207</v>
      </c>
      <c r="J2" s="2116">
        <v>7</v>
      </c>
      <c r="K2" s="2117">
        <v>5</v>
      </c>
      <c r="L2" s="2117">
        <v>5</v>
      </c>
      <c r="M2" s="2116">
        <v>45000</v>
      </c>
      <c r="N2" s="2117">
        <v>156.74</v>
      </c>
      <c r="O2" s="2116" t="s">
        <v>1208</v>
      </c>
      <c r="P2" s="2116" t="s">
        <v>296</v>
      </c>
      <c r="Q2" s="2116" t="s">
        <v>296</v>
      </c>
      <c r="R2" s="2116" t="s">
        <v>296</v>
      </c>
    </row>
    <row r="3" spans="1:18" s="2265" customFormat="1" ht="26.4">
      <c r="A3" s="2116" t="s">
        <v>1202</v>
      </c>
      <c r="B3" s="2116" t="s">
        <v>1203</v>
      </c>
      <c r="C3" s="2116" t="s">
        <v>1209</v>
      </c>
      <c r="D3" s="2116" t="s">
        <v>1205</v>
      </c>
      <c r="E3" s="2116" t="s">
        <v>1206</v>
      </c>
      <c r="F3" s="2116">
        <v>1</v>
      </c>
      <c r="G3" s="2116" t="s">
        <v>105</v>
      </c>
      <c r="H3" s="2116" t="s">
        <v>17</v>
      </c>
      <c r="I3" s="2116" t="s">
        <v>1207</v>
      </c>
      <c r="J3" s="2116">
        <v>11</v>
      </c>
      <c r="K3" s="2117">
        <v>5</v>
      </c>
      <c r="L3" s="2117">
        <v>5</v>
      </c>
      <c r="M3" s="2116">
        <v>45000</v>
      </c>
      <c r="N3" s="2117">
        <v>257.94</v>
      </c>
      <c r="O3" s="2116" t="s">
        <v>1208</v>
      </c>
      <c r="P3" s="2116" t="s">
        <v>296</v>
      </c>
      <c r="Q3" s="2116" t="s">
        <v>296</v>
      </c>
      <c r="R3" s="2116" t="s">
        <v>296</v>
      </c>
    </row>
    <row r="4" spans="1:18" s="2265" customFormat="1" ht="26.4">
      <c r="A4" s="2116" t="s">
        <v>1202</v>
      </c>
      <c r="B4" s="2116" t="s">
        <v>1203</v>
      </c>
      <c r="C4" s="2116" t="s">
        <v>1209</v>
      </c>
      <c r="D4" s="2116" t="s">
        <v>1205</v>
      </c>
      <c r="E4" s="2116" t="s">
        <v>1206</v>
      </c>
      <c r="F4" s="2116">
        <v>1</v>
      </c>
      <c r="G4" s="2116" t="s">
        <v>105</v>
      </c>
      <c r="H4" s="2116" t="s">
        <v>17</v>
      </c>
      <c r="I4" s="2116" t="s">
        <v>1210</v>
      </c>
      <c r="J4" s="2116">
        <v>3</v>
      </c>
      <c r="K4" s="2117">
        <v>5</v>
      </c>
      <c r="L4" s="2117">
        <v>5</v>
      </c>
      <c r="M4" s="2116">
        <v>18</v>
      </c>
      <c r="N4" s="2117">
        <v>61.22</v>
      </c>
      <c r="O4" s="2116" t="s">
        <v>1208</v>
      </c>
      <c r="P4" s="2116" t="s">
        <v>296</v>
      </c>
      <c r="Q4" s="2116" t="s">
        <v>296</v>
      </c>
      <c r="R4" s="2116" t="s">
        <v>296</v>
      </c>
    </row>
    <row r="5" spans="1:18" s="2265" customFormat="1" ht="26.4">
      <c r="A5" s="2116" t="s">
        <v>1202</v>
      </c>
      <c r="B5" s="2116" t="s">
        <v>1203</v>
      </c>
      <c r="C5" s="2116" t="s">
        <v>1209</v>
      </c>
      <c r="D5" s="2116" t="s">
        <v>1205</v>
      </c>
      <c r="E5" s="2116" t="s">
        <v>1206</v>
      </c>
      <c r="F5" s="2116">
        <v>1</v>
      </c>
      <c r="G5" s="2116" t="s">
        <v>105</v>
      </c>
      <c r="H5" s="2116" t="s">
        <v>17</v>
      </c>
      <c r="I5" s="2116" t="s">
        <v>1211</v>
      </c>
      <c r="J5" s="2116">
        <v>1</v>
      </c>
      <c r="K5" s="2117">
        <v>5</v>
      </c>
      <c r="L5" s="2117">
        <v>5</v>
      </c>
      <c r="M5" s="2116">
        <v>30</v>
      </c>
      <c r="N5" s="2117">
        <v>24.86</v>
      </c>
      <c r="O5" s="2116" t="s">
        <v>1208</v>
      </c>
      <c r="P5" s="2116" t="s">
        <v>296</v>
      </c>
      <c r="Q5" s="2116" t="s">
        <v>296</v>
      </c>
      <c r="R5" s="2116" t="s">
        <v>296</v>
      </c>
    </row>
    <row r="6" spans="1:18" s="2265" customFormat="1" ht="26.4">
      <c r="A6" s="2116" t="s">
        <v>1202</v>
      </c>
      <c r="B6" s="2116" t="s">
        <v>1203</v>
      </c>
      <c r="C6" s="2116" t="s">
        <v>1209</v>
      </c>
      <c r="D6" s="2116" t="s">
        <v>1205</v>
      </c>
      <c r="E6" s="2116" t="s">
        <v>1206</v>
      </c>
      <c r="F6" s="2116">
        <v>1</v>
      </c>
      <c r="G6" s="2116" t="s">
        <v>105</v>
      </c>
      <c r="H6" s="2116" t="s">
        <v>17</v>
      </c>
      <c r="I6" s="2116" t="s">
        <v>1212</v>
      </c>
      <c r="J6" s="2116">
        <v>2</v>
      </c>
      <c r="K6" s="2117">
        <v>5</v>
      </c>
      <c r="L6" s="2117">
        <v>5</v>
      </c>
      <c r="M6" s="2116">
        <v>20</v>
      </c>
      <c r="N6" s="2117">
        <v>31.96</v>
      </c>
      <c r="O6" s="2116" t="s">
        <v>1208</v>
      </c>
      <c r="P6" s="2116" t="s">
        <v>296</v>
      </c>
      <c r="Q6" s="2116" t="s">
        <v>296</v>
      </c>
      <c r="R6" s="2116" t="s">
        <v>296</v>
      </c>
    </row>
    <row r="7" spans="1:18" s="2265" customFormat="1" ht="26.4">
      <c r="A7" s="2116" t="s">
        <v>1202</v>
      </c>
      <c r="B7" s="2116" t="s">
        <v>1213</v>
      </c>
      <c r="C7" s="2116" t="s">
        <v>1214</v>
      </c>
      <c r="D7" s="2116" t="s">
        <v>1215</v>
      </c>
      <c r="E7" s="2116" t="s">
        <v>1206</v>
      </c>
      <c r="F7" s="2116">
        <v>1</v>
      </c>
      <c r="G7" s="2116" t="s">
        <v>105</v>
      </c>
      <c r="H7" s="2116" t="s">
        <v>16</v>
      </c>
      <c r="I7" s="2116" t="s">
        <v>1216</v>
      </c>
      <c r="J7" s="2116">
        <v>23</v>
      </c>
      <c r="K7" s="2117">
        <v>19</v>
      </c>
      <c r="L7" s="2117">
        <v>19</v>
      </c>
      <c r="M7" s="2116">
        <v>32</v>
      </c>
      <c r="N7" s="2117">
        <v>652.4</v>
      </c>
      <c r="O7" s="2116" t="s">
        <v>1217</v>
      </c>
      <c r="P7" s="2116" t="s">
        <v>296</v>
      </c>
      <c r="Q7" s="2116" t="s">
        <v>296</v>
      </c>
      <c r="R7" s="2116" t="s">
        <v>296</v>
      </c>
    </row>
    <row r="8" spans="1:18" s="2265" customFormat="1" ht="26.4">
      <c r="A8" s="2116" t="s">
        <v>1202</v>
      </c>
      <c r="B8" s="2116" t="s">
        <v>1213</v>
      </c>
      <c r="C8" s="2116" t="s">
        <v>1218</v>
      </c>
      <c r="D8" s="2116" t="s">
        <v>1215</v>
      </c>
      <c r="E8" s="2116" t="s">
        <v>1206</v>
      </c>
      <c r="F8" s="2116">
        <v>1</v>
      </c>
      <c r="G8" s="2116" t="s">
        <v>105</v>
      </c>
      <c r="H8" s="2116" t="s">
        <v>16</v>
      </c>
      <c r="I8" s="2116" t="s">
        <v>1216</v>
      </c>
      <c r="J8" s="2116">
        <v>3</v>
      </c>
      <c r="K8" s="2117">
        <v>19</v>
      </c>
      <c r="L8" s="2117">
        <v>19</v>
      </c>
      <c r="M8" s="2116">
        <v>32</v>
      </c>
      <c r="N8" s="2117">
        <v>86.44</v>
      </c>
      <c r="O8" s="2116" t="s">
        <v>1217</v>
      </c>
      <c r="P8" s="2116" t="s">
        <v>296</v>
      </c>
      <c r="Q8" s="2116" t="s">
        <v>296</v>
      </c>
      <c r="R8" s="2116" t="s">
        <v>296</v>
      </c>
    </row>
    <row r="9" spans="1:18" s="2265" customFormat="1" ht="26.4">
      <c r="A9" s="2116" t="s">
        <v>1202</v>
      </c>
      <c r="B9" s="2116" t="s">
        <v>1219</v>
      </c>
      <c r="C9" s="2116" t="s">
        <v>1220</v>
      </c>
      <c r="D9" s="2116" t="s">
        <v>1221</v>
      </c>
      <c r="E9" s="2116" t="s">
        <v>1206</v>
      </c>
      <c r="F9" s="2116">
        <v>1</v>
      </c>
      <c r="G9" s="2116" t="s">
        <v>1222</v>
      </c>
      <c r="H9" s="2116" t="s">
        <v>243</v>
      </c>
      <c r="I9" s="2116" t="s">
        <v>1223</v>
      </c>
      <c r="J9" s="2116">
        <v>11</v>
      </c>
      <c r="K9" s="2117">
        <v>0</v>
      </c>
      <c r="L9" s="2117">
        <v>0</v>
      </c>
      <c r="M9" s="2116">
        <v>30000</v>
      </c>
      <c r="N9" s="2117">
        <v>391.06</v>
      </c>
      <c r="O9" s="2116" t="s">
        <v>1224</v>
      </c>
      <c r="P9" s="2116" t="s">
        <v>296</v>
      </c>
      <c r="Q9" s="2116" t="s">
        <v>296</v>
      </c>
      <c r="R9" s="2116" t="s">
        <v>296</v>
      </c>
    </row>
    <row r="10" spans="1:18" s="2265" customFormat="1" ht="26.4">
      <c r="A10" s="2116" t="s">
        <v>1202</v>
      </c>
      <c r="B10" s="2116" t="s">
        <v>1219</v>
      </c>
      <c r="C10" s="2116" t="s">
        <v>1220</v>
      </c>
      <c r="D10" s="2116" t="s">
        <v>1221</v>
      </c>
      <c r="E10" s="2116" t="s">
        <v>1206</v>
      </c>
      <c r="F10" s="2116">
        <v>1</v>
      </c>
      <c r="G10" s="2116" t="s">
        <v>1222</v>
      </c>
      <c r="H10" s="2116" t="s">
        <v>243</v>
      </c>
      <c r="I10" s="2116" t="s">
        <v>1225</v>
      </c>
      <c r="J10" s="2116">
        <v>31</v>
      </c>
      <c r="K10" s="2117">
        <v>0</v>
      </c>
      <c r="L10" s="2117">
        <v>0</v>
      </c>
      <c r="M10" s="2116">
        <v>45000</v>
      </c>
      <c r="N10" s="2117">
        <v>1018.9</v>
      </c>
      <c r="O10" s="2116" t="s">
        <v>1224</v>
      </c>
      <c r="P10" s="2116" t="s">
        <v>296</v>
      </c>
      <c r="Q10" s="2116" t="s">
        <v>296</v>
      </c>
      <c r="R10" s="2116" t="s">
        <v>296</v>
      </c>
    </row>
    <row r="11" spans="1:18" s="2265" customFormat="1" ht="26.4">
      <c r="A11" s="2116" t="s">
        <v>1202</v>
      </c>
      <c r="B11" s="2116" t="s">
        <v>1203</v>
      </c>
      <c r="C11" s="2116" t="s">
        <v>1226</v>
      </c>
      <c r="D11" s="2116" t="s">
        <v>1205</v>
      </c>
      <c r="E11" s="2116" t="s">
        <v>1227</v>
      </c>
      <c r="F11" s="2116">
        <v>2</v>
      </c>
      <c r="G11" s="2116" t="s">
        <v>105</v>
      </c>
      <c r="H11" s="2116" t="s">
        <v>17</v>
      </c>
      <c r="I11" s="2116" t="s">
        <v>1207</v>
      </c>
      <c r="J11" s="2116">
        <v>9</v>
      </c>
      <c r="K11" s="2117">
        <v>5</v>
      </c>
      <c r="L11" s="2117">
        <v>5</v>
      </c>
      <c r="M11" s="2116">
        <v>45000</v>
      </c>
      <c r="N11" s="2117">
        <v>198.76</v>
      </c>
      <c r="O11" s="2116" t="s">
        <v>1208</v>
      </c>
      <c r="P11" s="2116" t="s">
        <v>296</v>
      </c>
      <c r="Q11" s="2116" t="s">
        <v>296</v>
      </c>
      <c r="R11" s="2116" t="s">
        <v>296</v>
      </c>
    </row>
    <row r="12" spans="1:18" s="2265" customFormat="1" ht="26.4">
      <c r="A12" s="2116" t="s">
        <v>1202</v>
      </c>
      <c r="B12" s="2116" t="s">
        <v>1203</v>
      </c>
      <c r="C12" s="2116" t="s">
        <v>1228</v>
      </c>
      <c r="D12" s="2116" t="s">
        <v>1205</v>
      </c>
      <c r="E12" s="2116" t="s">
        <v>1227</v>
      </c>
      <c r="F12" s="2116">
        <v>2</v>
      </c>
      <c r="G12" s="2116" t="s">
        <v>105</v>
      </c>
      <c r="H12" s="2116" t="s">
        <v>17</v>
      </c>
      <c r="I12" s="2116" t="s">
        <v>1207</v>
      </c>
      <c r="J12" s="2116">
        <v>12</v>
      </c>
      <c r="K12" s="2117">
        <v>5</v>
      </c>
      <c r="L12" s="2117">
        <v>5</v>
      </c>
      <c r="M12" s="2116">
        <v>45000</v>
      </c>
      <c r="N12" s="2117">
        <v>284.14</v>
      </c>
      <c r="O12" s="2116" t="s">
        <v>1208</v>
      </c>
      <c r="P12" s="2116" t="s">
        <v>296</v>
      </c>
      <c r="Q12" s="2116" t="s">
        <v>296</v>
      </c>
      <c r="R12" s="2116" t="s">
        <v>296</v>
      </c>
    </row>
    <row r="13" spans="1:18" s="2265" customFormat="1" ht="26.4">
      <c r="A13" s="2116" t="s">
        <v>1202</v>
      </c>
      <c r="B13" s="2116" t="s">
        <v>1213</v>
      </c>
      <c r="C13" s="2116" t="s">
        <v>1214</v>
      </c>
      <c r="D13" s="2116" t="s">
        <v>1215</v>
      </c>
      <c r="E13" s="2116" t="s">
        <v>1227</v>
      </c>
      <c r="F13" s="2116">
        <v>2</v>
      </c>
      <c r="G13" s="2116" t="s">
        <v>105</v>
      </c>
      <c r="H13" s="2116" t="s">
        <v>16</v>
      </c>
      <c r="I13" s="2116" t="s">
        <v>1216</v>
      </c>
      <c r="J13" s="2116">
        <v>29</v>
      </c>
      <c r="K13" s="2117">
        <v>19</v>
      </c>
      <c r="L13" s="2117">
        <v>19</v>
      </c>
      <c r="M13" s="2116">
        <v>32</v>
      </c>
      <c r="N13" s="2117">
        <v>816.54</v>
      </c>
      <c r="O13" s="2116" t="s">
        <v>1217</v>
      </c>
      <c r="P13" s="2116" t="s">
        <v>296</v>
      </c>
      <c r="Q13" s="2116" t="s">
        <v>296</v>
      </c>
      <c r="R13" s="2116" t="s">
        <v>296</v>
      </c>
    </row>
    <row r="14" spans="1:18" s="2265" customFormat="1" ht="26.4">
      <c r="A14" s="2116" t="s">
        <v>1202</v>
      </c>
      <c r="B14" s="2116" t="s">
        <v>1203</v>
      </c>
      <c r="C14" s="2116" t="s">
        <v>1229</v>
      </c>
      <c r="D14" s="2116" t="s">
        <v>1205</v>
      </c>
      <c r="E14" s="2116" t="s">
        <v>1227</v>
      </c>
      <c r="F14" s="2116">
        <v>2</v>
      </c>
      <c r="G14" s="2116" t="s">
        <v>105</v>
      </c>
      <c r="H14" s="2116" t="s">
        <v>18</v>
      </c>
      <c r="I14" s="2116" t="s">
        <v>1230</v>
      </c>
      <c r="J14" s="2116">
        <v>21</v>
      </c>
      <c r="K14" s="2117">
        <v>5</v>
      </c>
      <c r="L14" s="2117">
        <v>5</v>
      </c>
      <c r="M14" s="2116">
        <v>25</v>
      </c>
      <c r="N14" s="2117">
        <v>417.8</v>
      </c>
      <c r="O14" s="2116" t="s">
        <v>1208</v>
      </c>
      <c r="P14" s="2116" t="s">
        <v>296</v>
      </c>
      <c r="Q14" s="2116" t="s">
        <v>296</v>
      </c>
      <c r="R14" s="2116" t="s">
        <v>296</v>
      </c>
    </row>
    <row r="15" spans="1:18" s="2265" customFormat="1" ht="26.4">
      <c r="A15" s="2116" t="s">
        <v>1202</v>
      </c>
      <c r="B15" s="2116" t="s">
        <v>1203</v>
      </c>
      <c r="C15" s="2116" t="s">
        <v>1231</v>
      </c>
      <c r="D15" s="2116" t="s">
        <v>1205</v>
      </c>
      <c r="E15" s="2116" t="s">
        <v>1232</v>
      </c>
      <c r="F15" s="2116">
        <v>1</v>
      </c>
      <c r="G15" s="2116" t="s">
        <v>105</v>
      </c>
      <c r="H15" s="2116" t="s">
        <v>17</v>
      </c>
      <c r="I15" s="2116" t="s">
        <v>1207</v>
      </c>
      <c r="J15" s="2116">
        <v>10</v>
      </c>
      <c r="K15" s="2117">
        <v>5</v>
      </c>
      <c r="L15" s="2117">
        <v>5</v>
      </c>
      <c r="M15" s="2116">
        <v>45000</v>
      </c>
      <c r="N15" s="2117">
        <v>249.82</v>
      </c>
      <c r="O15" s="2116" t="s">
        <v>1208</v>
      </c>
      <c r="P15" s="2116" t="s">
        <v>296</v>
      </c>
      <c r="Q15" s="2116" t="s">
        <v>296</v>
      </c>
      <c r="R15" s="2116" t="s">
        <v>296</v>
      </c>
    </row>
    <row r="16" spans="1:18" s="2265" customFormat="1" ht="26.4">
      <c r="A16" s="2116" t="s">
        <v>1202</v>
      </c>
      <c r="B16" s="2116" t="s">
        <v>1203</v>
      </c>
      <c r="C16" s="2116" t="s">
        <v>1231</v>
      </c>
      <c r="D16" s="2116" t="s">
        <v>1205</v>
      </c>
      <c r="E16" s="2116" t="s">
        <v>1232</v>
      </c>
      <c r="F16" s="2116">
        <v>1</v>
      </c>
      <c r="G16" s="2116" t="s">
        <v>105</v>
      </c>
      <c r="H16" s="2116" t="s">
        <v>17</v>
      </c>
      <c r="I16" s="2116" t="s">
        <v>1210</v>
      </c>
      <c r="J16" s="2116">
        <v>1</v>
      </c>
      <c r="K16" s="2117">
        <v>5</v>
      </c>
      <c r="L16" s="2117">
        <v>5</v>
      </c>
      <c r="M16" s="2116">
        <v>18</v>
      </c>
      <c r="N16" s="2117">
        <v>21.14</v>
      </c>
      <c r="O16" s="2116" t="s">
        <v>1208</v>
      </c>
      <c r="P16" s="2116" t="s">
        <v>296</v>
      </c>
      <c r="Q16" s="2116" t="s">
        <v>296</v>
      </c>
      <c r="R16" s="2116" t="s">
        <v>296</v>
      </c>
    </row>
    <row r="17" spans="1:18" s="2265" customFormat="1" ht="26.4">
      <c r="A17" s="2116" t="s">
        <v>1202</v>
      </c>
      <c r="B17" s="2116" t="s">
        <v>1203</v>
      </c>
      <c r="C17" s="2116" t="s">
        <v>1231</v>
      </c>
      <c r="D17" s="2116" t="s">
        <v>1205</v>
      </c>
      <c r="E17" s="2116" t="s">
        <v>1232</v>
      </c>
      <c r="F17" s="2116">
        <v>1</v>
      </c>
      <c r="G17" s="2116" t="s">
        <v>105</v>
      </c>
      <c r="H17" s="2116" t="s">
        <v>17</v>
      </c>
      <c r="I17" s="2116" t="s">
        <v>1212</v>
      </c>
      <c r="J17" s="2116">
        <v>1</v>
      </c>
      <c r="K17" s="2117">
        <v>5</v>
      </c>
      <c r="L17" s="2117">
        <v>5</v>
      </c>
      <c r="M17" s="2116">
        <v>20</v>
      </c>
      <c r="N17" s="2117">
        <v>16.239999999999998</v>
      </c>
      <c r="O17" s="2116" t="s">
        <v>1208</v>
      </c>
      <c r="P17" s="2116" t="s">
        <v>296</v>
      </c>
      <c r="Q17" s="2116" t="s">
        <v>296</v>
      </c>
      <c r="R17" s="2116" t="s">
        <v>296</v>
      </c>
    </row>
    <row r="18" spans="1:18" s="2265" customFormat="1" ht="26.4">
      <c r="A18" s="2116" t="s">
        <v>1202</v>
      </c>
      <c r="B18" s="2116" t="s">
        <v>1213</v>
      </c>
      <c r="C18" s="2116" t="s">
        <v>1214</v>
      </c>
      <c r="D18" s="2116" t="s">
        <v>1215</v>
      </c>
      <c r="E18" s="2116" t="s">
        <v>1232</v>
      </c>
      <c r="F18" s="2116">
        <v>1</v>
      </c>
      <c r="G18" s="2116" t="s">
        <v>105</v>
      </c>
      <c r="H18" s="2116" t="s">
        <v>16</v>
      </c>
      <c r="I18" s="2116" t="s">
        <v>1216</v>
      </c>
      <c r="J18" s="2116">
        <v>28</v>
      </c>
      <c r="K18" s="2117">
        <v>19</v>
      </c>
      <c r="L18" s="2117">
        <v>19</v>
      </c>
      <c r="M18" s="2116">
        <v>32</v>
      </c>
      <c r="N18" s="2117">
        <v>785.02</v>
      </c>
      <c r="O18" s="2116" t="s">
        <v>1217</v>
      </c>
      <c r="P18" s="2116" t="s">
        <v>296</v>
      </c>
      <c r="Q18" s="2116" t="s">
        <v>296</v>
      </c>
      <c r="R18" s="2116" t="s">
        <v>296</v>
      </c>
    </row>
    <row r="19" spans="1:18" s="2265" customFormat="1" ht="26.4">
      <c r="A19" s="2116" t="s">
        <v>1202</v>
      </c>
      <c r="B19" s="2116" t="s">
        <v>1203</v>
      </c>
      <c r="C19" s="2116" t="s">
        <v>1229</v>
      </c>
      <c r="D19" s="2116" t="s">
        <v>1205</v>
      </c>
      <c r="E19" s="2116" t="s">
        <v>1232</v>
      </c>
      <c r="F19" s="2116">
        <v>1</v>
      </c>
      <c r="G19" s="2116" t="s">
        <v>105</v>
      </c>
      <c r="H19" s="2116" t="s">
        <v>18</v>
      </c>
      <c r="I19" s="2116" t="s">
        <v>1230</v>
      </c>
      <c r="J19" s="2116">
        <v>3</v>
      </c>
      <c r="K19" s="2117">
        <v>5</v>
      </c>
      <c r="L19" s="2117">
        <v>5</v>
      </c>
      <c r="M19" s="2116">
        <v>25</v>
      </c>
      <c r="N19" s="2117">
        <v>61.18</v>
      </c>
      <c r="O19" s="2116" t="s">
        <v>1208</v>
      </c>
      <c r="P19" s="2116" t="s">
        <v>296</v>
      </c>
      <c r="Q19" s="2116" t="s">
        <v>296</v>
      </c>
      <c r="R19" s="2116" t="s">
        <v>296</v>
      </c>
    </row>
    <row r="20" spans="1:18" s="2265" customFormat="1" ht="26.4">
      <c r="A20" s="2116" t="s">
        <v>1202</v>
      </c>
      <c r="B20" s="2116" t="s">
        <v>1219</v>
      </c>
      <c r="C20" s="2116" t="s">
        <v>1220</v>
      </c>
      <c r="D20" s="2116" t="s">
        <v>1221</v>
      </c>
      <c r="E20" s="2116" t="s">
        <v>1232</v>
      </c>
      <c r="F20" s="2116">
        <v>1</v>
      </c>
      <c r="G20" s="2116" t="s">
        <v>1222</v>
      </c>
      <c r="H20" s="2116" t="s">
        <v>243</v>
      </c>
      <c r="I20" s="2116" t="s">
        <v>1233</v>
      </c>
      <c r="J20" s="2116">
        <v>4</v>
      </c>
      <c r="K20" s="2117">
        <v>0</v>
      </c>
      <c r="L20" s="2117">
        <v>0</v>
      </c>
      <c r="M20" s="2116">
        <v>45000</v>
      </c>
      <c r="N20" s="2117">
        <v>128.12</v>
      </c>
      <c r="O20" s="2116" t="s">
        <v>1224</v>
      </c>
      <c r="P20" s="2116" t="s">
        <v>296</v>
      </c>
      <c r="Q20" s="2116" t="s">
        <v>296</v>
      </c>
      <c r="R20" s="2116" t="s">
        <v>296</v>
      </c>
    </row>
    <row r="21" spans="1:18" s="2265" customFormat="1" ht="26.4">
      <c r="A21" s="2116" t="s">
        <v>1202</v>
      </c>
      <c r="B21" s="2116" t="s">
        <v>1219</v>
      </c>
      <c r="C21" s="2116" t="s">
        <v>1220</v>
      </c>
      <c r="D21" s="2116" t="s">
        <v>1221</v>
      </c>
      <c r="E21" s="2116" t="s">
        <v>1232</v>
      </c>
      <c r="F21" s="2116">
        <v>1</v>
      </c>
      <c r="G21" s="2116" t="s">
        <v>1222</v>
      </c>
      <c r="H21" s="2116" t="s">
        <v>243</v>
      </c>
      <c r="I21" s="2116" t="s">
        <v>1223</v>
      </c>
      <c r="J21" s="2116">
        <v>14</v>
      </c>
      <c r="K21" s="2117">
        <v>0</v>
      </c>
      <c r="L21" s="2117">
        <v>0</v>
      </c>
      <c r="M21" s="2116">
        <v>30000</v>
      </c>
      <c r="N21" s="2117">
        <v>504.38</v>
      </c>
      <c r="O21" s="2116" t="s">
        <v>1224</v>
      </c>
      <c r="P21" s="2116" t="s">
        <v>296</v>
      </c>
      <c r="Q21" s="2116" t="s">
        <v>296</v>
      </c>
      <c r="R21" s="2116" t="s">
        <v>296</v>
      </c>
    </row>
    <row r="22" spans="1:18" s="2265" customFormat="1" ht="26.4">
      <c r="A22" s="2116" t="s">
        <v>1202</v>
      </c>
      <c r="B22" s="2116" t="s">
        <v>1219</v>
      </c>
      <c r="C22" s="2116" t="s">
        <v>1220</v>
      </c>
      <c r="D22" s="2116" t="s">
        <v>1221</v>
      </c>
      <c r="E22" s="2116" t="s">
        <v>1232</v>
      </c>
      <c r="F22" s="2116">
        <v>1</v>
      </c>
      <c r="G22" s="2116" t="s">
        <v>1222</v>
      </c>
      <c r="H22" s="2116" t="s">
        <v>243</v>
      </c>
      <c r="I22" s="2116" t="s">
        <v>1225</v>
      </c>
      <c r="J22" s="2116">
        <v>26</v>
      </c>
      <c r="K22" s="2117">
        <v>0</v>
      </c>
      <c r="L22" s="2117">
        <v>0</v>
      </c>
      <c r="M22" s="2116">
        <v>45000</v>
      </c>
      <c r="N22" s="2117">
        <v>865.74</v>
      </c>
      <c r="O22" s="2116" t="s">
        <v>1224</v>
      </c>
      <c r="P22" s="2116" t="s">
        <v>296</v>
      </c>
      <c r="Q22" s="2116" t="s">
        <v>296</v>
      </c>
      <c r="R22" s="2116" t="s">
        <v>296</v>
      </c>
    </row>
    <row r="23" spans="1:18" s="2265" customFormat="1" ht="26.4">
      <c r="A23" s="2116" t="s">
        <v>1202</v>
      </c>
      <c r="B23" s="2116" t="s">
        <v>1203</v>
      </c>
      <c r="C23" s="2116" t="s">
        <v>1231</v>
      </c>
      <c r="D23" s="2116" t="s">
        <v>1205</v>
      </c>
      <c r="E23" s="2116" t="s">
        <v>1234</v>
      </c>
      <c r="F23" s="2116">
        <v>2</v>
      </c>
      <c r="G23" s="2116" t="s">
        <v>105</v>
      </c>
      <c r="H23" s="2116" t="s">
        <v>17</v>
      </c>
      <c r="I23" s="2116" t="s">
        <v>1207</v>
      </c>
      <c r="J23" s="2116">
        <v>18</v>
      </c>
      <c r="K23" s="2117">
        <v>5</v>
      </c>
      <c r="L23" s="2117">
        <v>5</v>
      </c>
      <c r="M23" s="2116">
        <v>45000</v>
      </c>
      <c r="N23" s="2117">
        <v>471.02</v>
      </c>
      <c r="O23" s="2116" t="s">
        <v>1208</v>
      </c>
      <c r="P23" s="2116" t="s">
        <v>296</v>
      </c>
      <c r="Q23" s="2116" t="s">
        <v>296</v>
      </c>
      <c r="R23" s="2116" t="s">
        <v>296</v>
      </c>
    </row>
    <row r="24" spans="1:18" s="2265" customFormat="1" ht="26.4">
      <c r="A24" s="2116" t="s">
        <v>1202</v>
      </c>
      <c r="B24" s="2116" t="s">
        <v>1203</v>
      </c>
      <c r="C24" s="2116" t="s">
        <v>1235</v>
      </c>
      <c r="D24" s="2116" t="s">
        <v>1205</v>
      </c>
      <c r="E24" s="2116" t="s">
        <v>1234</v>
      </c>
      <c r="F24" s="2116">
        <v>2</v>
      </c>
      <c r="G24" s="2116" t="s">
        <v>105</v>
      </c>
      <c r="H24" s="2116" t="s">
        <v>17</v>
      </c>
      <c r="I24" s="2116" t="s">
        <v>1207</v>
      </c>
      <c r="J24" s="2116">
        <v>25</v>
      </c>
      <c r="K24" s="2117">
        <v>5</v>
      </c>
      <c r="L24" s="2117">
        <v>5</v>
      </c>
      <c r="M24" s="2116">
        <v>45000</v>
      </c>
      <c r="N24" s="2117">
        <v>650.91999999999996</v>
      </c>
      <c r="O24" s="2116" t="s">
        <v>1208</v>
      </c>
      <c r="P24" s="2116" t="s">
        <v>296</v>
      </c>
      <c r="Q24" s="2116" t="s">
        <v>296</v>
      </c>
      <c r="R24" s="2116" t="s">
        <v>296</v>
      </c>
    </row>
    <row r="25" spans="1:18" s="2265" customFormat="1" ht="26.4">
      <c r="A25" s="2116" t="s">
        <v>1202</v>
      </c>
      <c r="B25" s="2116" t="s">
        <v>1203</v>
      </c>
      <c r="C25" s="2116" t="s">
        <v>1235</v>
      </c>
      <c r="D25" s="2116" t="s">
        <v>1205</v>
      </c>
      <c r="E25" s="2116" t="s">
        <v>1234</v>
      </c>
      <c r="F25" s="2116">
        <v>2</v>
      </c>
      <c r="G25" s="2116" t="s">
        <v>105</v>
      </c>
      <c r="H25" s="2116" t="s">
        <v>17</v>
      </c>
      <c r="I25" s="2116" t="s">
        <v>1212</v>
      </c>
      <c r="J25" s="2116">
        <v>9</v>
      </c>
      <c r="K25" s="2117">
        <v>5</v>
      </c>
      <c r="L25" s="2117">
        <v>5</v>
      </c>
      <c r="M25" s="2116">
        <v>20</v>
      </c>
      <c r="N25" s="2117">
        <v>126.52</v>
      </c>
      <c r="O25" s="2116" t="s">
        <v>1208</v>
      </c>
      <c r="P25" s="2116" t="s">
        <v>296</v>
      </c>
      <c r="Q25" s="2116" t="s">
        <v>296</v>
      </c>
      <c r="R25" s="2116" t="s">
        <v>296</v>
      </c>
    </row>
    <row r="26" spans="1:18" s="2265" customFormat="1" ht="26.4">
      <c r="A26" s="2116" t="s">
        <v>1202</v>
      </c>
      <c r="B26" s="2116" t="s">
        <v>1213</v>
      </c>
      <c r="C26" s="2116" t="s">
        <v>1214</v>
      </c>
      <c r="D26" s="2116" t="s">
        <v>1215</v>
      </c>
      <c r="E26" s="2116" t="s">
        <v>1234</v>
      </c>
      <c r="F26" s="2116">
        <v>2</v>
      </c>
      <c r="G26" s="2116" t="s">
        <v>105</v>
      </c>
      <c r="H26" s="2116" t="s">
        <v>16</v>
      </c>
      <c r="I26" s="2116" t="s">
        <v>1216</v>
      </c>
      <c r="J26" s="2116">
        <v>4</v>
      </c>
      <c r="K26" s="2117">
        <v>19</v>
      </c>
      <c r="L26" s="2117">
        <v>19</v>
      </c>
      <c r="M26" s="2116">
        <v>32</v>
      </c>
      <c r="N26" s="2117">
        <v>113.1</v>
      </c>
      <c r="O26" s="2116" t="s">
        <v>1217</v>
      </c>
      <c r="P26" s="2116" t="s">
        <v>296</v>
      </c>
      <c r="Q26" s="2116" t="s">
        <v>296</v>
      </c>
      <c r="R26" s="2116" t="s">
        <v>296</v>
      </c>
    </row>
    <row r="27" spans="1:18" s="2265" customFormat="1" ht="26.4">
      <c r="A27" s="2116" t="s">
        <v>1202</v>
      </c>
      <c r="B27" s="2116" t="s">
        <v>1213</v>
      </c>
      <c r="C27" s="2116" t="s">
        <v>1236</v>
      </c>
      <c r="D27" s="2116" t="s">
        <v>1215</v>
      </c>
      <c r="E27" s="2116" t="s">
        <v>1234</v>
      </c>
      <c r="F27" s="2116">
        <v>2</v>
      </c>
      <c r="G27" s="2116" t="s">
        <v>105</v>
      </c>
      <c r="H27" s="2116" t="s">
        <v>16</v>
      </c>
      <c r="I27" s="2116" t="s">
        <v>1216</v>
      </c>
      <c r="J27" s="2116">
        <v>29</v>
      </c>
      <c r="K27" s="2117">
        <v>19</v>
      </c>
      <c r="L27" s="2117">
        <v>19</v>
      </c>
      <c r="M27" s="2116">
        <v>32</v>
      </c>
      <c r="N27" s="2117">
        <v>842.8</v>
      </c>
      <c r="O27" s="2116" t="s">
        <v>1217</v>
      </c>
      <c r="P27" s="2116" t="s">
        <v>296</v>
      </c>
      <c r="Q27" s="2116" t="s">
        <v>296</v>
      </c>
      <c r="R27" s="2116" t="s">
        <v>296</v>
      </c>
    </row>
    <row r="28" spans="1:18" s="2265" customFormat="1" ht="26.4">
      <c r="A28" s="2116" t="s">
        <v>1202</v>
      </c>
      <c r="B28" s="2116" t="s">
        <v>1213</v>
      </c>
      <c r="C28" s="2116" t="s">
        <v>1214</v>
      </c>
      <c r="D28" s="2116" t="s">
        <v>1215</v>
      </c>
      <c r="E28" s="2116" t="s">
        <v>1234</v>
      </c>
      <c r="F28" s="2116">
        <v>2</v>
      </c>
      <c r="G28" s="2116" t="s">
        <v>105</v>
      </c>
      <c r="H28" s="2116" t="s">
        <v>16</v>
      </c>
      <c r="I28" s="2116" t="s">
        <v>1237</v>
      </c>
      <c r="J28" s="2116">
        <v>1</v>
      </c>
      <c r="K28" s="2117">
        <v>19</v>
      </c>
      <c r="L28" s="2117">
        <v>19</v>
      </c>
      <c r="M28" s="2116">
        <v>32000</v>
      </c>
      <c r="N28" s="2117">
        <v>27.96</v>
      </c>
      <c r="O28" s="2116" t="s">
        <v>1217</v>
      </c>
      <c r="P28" s="2116" t="s">
        <v>296</v>
      </c>
      <c r="Q28" s="2116" t="s">
        <v>296</v>
      </c>
      <c r="R28" s="2116" t="s">
        <v>296</v>
      </c>
    </row>
    <row r="29" spans="1:18" s="2265" customFormat="1" ht="26.4">
      <c r="A29" s="2116" t="s">
        <v>1202</v>
      </c>
      <c r="B29" s="2116" t="s">
        <v>1213</v>
      </c>
      <c r="C29" s="2116" t="s">
        <v>1236</v>
      </c>
      <c r="D29" s="2116" t="s">
        <v>1215</v>
      </c>
      <c r="E29" s="2116" t="s">
        <v>1234</v>
      </c>
      <c r="F29" s="2116">
        <v>2</v>
      </c>
      <c r="G29" s="2116" t="s">
        <v>105</v>
      </c>
      <c r="H29" s="2116" t="s">
        <v>16</v>
      </c>
      <c r="I29" s="2116" t="s">
        <v>1237</v>
      </c>
      <c r="J29" s="2116">
        <v>36</v>
      </c>
      <c r="K29" s="2117">
        <v>19</v>
      </c>
      <c r="L29" s="2117">
        <v>19</v>
      </c>
      <c r="M29" s="2116">
        <v>32000</v>
      </c>
      <c r="N29" s="2117">
        <v>1030.2</v>
      </c>
      <c r="O29" s="2116" t="s">
        <v>1217</v>
      </c>
      <c r="P29" s="2116" t="s">
        <v>296</v>
      </c>
      <c r="Q29" s="2116" t="s">
        <v>296</v>
      </c>
      <c r="R29" s="2116" t="s">
        <v>296</v>
      </c>
    </row>
    <row r="30" spans="1:18" s="2265" customFormat="1" ht="26.4">
      <c r="A30" s="2116" t="s">
        <v>1202</v>
      </c>
      <c r="B30" s="2116" t="s">
        <v>1203</v>
      </c>
      <c r="C30" s="2116" t="s">
        <v>1235</v>
      </c>
      <c r="D30" s="2116" t="s">
        <v>1205</v>
      </c>
      <c r="E30" s="2116" t="s">
        <v>1238</v>
      </c>
      <c r="F30" s="2116">
        <v>1</v>
      </c>
      <c r="G30" s="2116" t="s">
        <v>105</v>
      </c>
      <c r="H30" s="2116" t="s">
        <v>17</v>
      </c>
      <c r="I30" s="2116" t="s">
        <v>1207</v>
      </c>
      <c r="J30" s="2116">
        <v>22</v>
      </c>
      <c r="K30" s="2117">
        <v>5</v>
      </c>
      <c r="L30" s="2117">
        <v>5</v>
      </c>
      <c r="M30" s="2116">
        <v>45000</v>
      </c>
      <c r="N30" s="2117">
        <v>556.16</v>
      </c>
      <c r="O30" s="2116" t="s">
        <v>1208</v>
      </c>
      <c r="P30" s="2116" t="s">
        <v>296</v>
      </c>
      <c r="Q30" s="2116" t="s">
        <v>296</v>
      </c>
      <c r="R30" s="2116" t="s">
        <v>296</v>
      </c>
    </row>
    <row r="31" spans="1:18" s="2265" customFormat="1" ht="26.4">
      <c r="A31" s="2116" t="s">
        <v>1202</v>
      </c>
      <c r="B31" s="2116" t="s">
        <v>1203</v>
      </c>
      <c r="C31" s="2116" t="s">
        <v>1239</v>
      </c>
      <c r="D31" s="2116" t="s">
        <v>1205</v>
      </c>
      <c r="E31" s="2116" t="s">
        <v>1238</v>
      </c>
      <c r="F31" s="2116">
        <v>1</v>
      </c>
      <c r="G31" s="2116" t="s">
        <v>105</v>
      </c>
      <c r="H31" s="2116" t="s">
        <v>17</v>
      </c>
      <c r="I31" s="2116" t="s">
        <v>1207</v>
      </c>
      <c r="J31" s="2116">
        <v>4</v>
      </c>
      <c r="K31" s="2117">
        <v>5</v>
      </c>
      <c r="L31" s="2117">
        <v>5</v>
      </c>
      <c r="M31" s="2116">
        <v>45000</v>
      </c>
      <c r="N31" s="2117">
        <v>106.78</v>
      </c>
      <c r="O31" s="2116" t="s">
        <v>1208</v>
      </c>
      <c r="P31" s="2116" t="s">
        <v>296</v>
      </c>
      <c r="Q31" s="2116" t="s">
        <v>296</v>
      </c>
      <c r="R31" s="2116" t="s">
        <v>296</v>
      </c>
    </row>
    <row r="32" spans="1:18" s="2265" customFormat="1" ht="26.4">
      <c r="A32" s="2116" t="s">
        <v>1202</v>
      </c>
      <c r="B32" s="2116" t="s">
        <v>1203</v>
      </c>
      <c r="C32" s="2116" t="s">
        <v>1235</v>
      </c>
      <c r="D32" s="2116" t="s">
        <v>1205</v>
      </c>
      <c r="E32" s="2116" t="s">
        <v>1238</v>
      </c>
      <c r="F32" s="2116">
        <v>1</v>
      </c>
      <c r="G32" s="2116" t="s">
        <v>105</v>
      </c>
      <c r="H32" s="2116" t="s">
        <v>17</v>
      </c>
      <c r="I32" s="2116" t="s">
        <v>1210</v>
      </c>
      <c r="J32" s="2116">
        <v>10</v>
      </c>
      <c r="K32" s="2117">
        <v>5</v>
      </c>
      <c r="L32" s="2117">
        <v>5</v>
      </c>
      <c r="M32" s="2116">
        <v>18</v>
      </c>
      <c r="N32" s="2117">
        <v>186.26</v>
      </c>
      <c r="O32" s="2116" t="s">
        <v>1208</v>
      </c>
      <c r="P32" s="2116" t="s">
        <v>296</v>
      </c>
      <c r="Q32" s="2116" t="s">
        <v>296</v>
      </c>
      <c r="R32" s="2116" t="s">
        <v>296</v>
      </c>
    </row>
    <row r="33" spans="1:18" s="2265" customFormat="1" ht="26.4">
      <c r="A33" s="2116" t="s">
        <v>1202</v>
      </c>
      <c r="B33" s="2116" t="s">
        <v>1203</v>
      </c>
      <c r="C33" s="2116" t="s">
        <v>1239</v>
      </c>
      <c r="D33" s="2116" t="s">
        <v>1205</v>
      </c>
      <c r="E33" s="2116" t="s">
        <v>1238</v>
      </c>
      <c r="F33" s="2116">
        <v>1</v>
      </c>
      <c r="G33" s="2116" t="s">
        <v>105</v>
      </c>
      <c r="H33" s="2116" t="s">
        <v>17</v>
      </c>
      <c r="I33" s="2116" t="s">
        <v>1210</v>
      </c>
      <c r="J33" s="2116">
        <v>3</v>
      </c>
      <c r="K33" s="2117">
        <v>5</v>
      </c>
      <c r="L33" s="2117">
        <v>5</v>
      </c>
      <c r="M33" s="2116">
        <v>18</v>
      </c>
      <c r="N33" s="2117">
        <v>61.72</v>
      </c>
      <c r="O33" s="2116" t="s">
        <v>1208</v>
      </c>
      <c r="P33" s="2116" t="s">
        <v>296</v>
      </c>
      <c r="Q33" s="2116" t="s">
        <v>296</v>
      </c>
      <c r="R33" s="2116" t="s">
        <v>296</v>
      </c>
    </row>
    <row r="34" spans="1:18" s="2265" customFormat="1" ht="26.4">
      <c r="A34" s="2116" t="s">
        <v>1202</v>
      </c>
      <c r="B34" s="2116" t="s">
        <v>1203</v>
      </c>
      <c r="C34" s="2116" t="s">
        <v>1235</v>
      </c>
      <c r="D34" s="2116" t="s">
        <v>1205</v>
      </c>
      <c r="E34" s="2116" t="s">
        <v>1238</v>
      </c>
      <c r="F34" s="2116">
        <v>1</v>
      </c>
      <c r="G34" s="2116" t="s">
        <v>105</v>
      </c>
      <c r="H34" s="2116" t="s">
        <v>17</v>
      </c>
      <c r="I34" s="2116" t="s">
        <v>1211</v>
      </c>
      <c r="J34" s="2116">
        <v>4</v>
      </c>
      <c r="K34" s="2117">
        <v>5</v>
      </c>
      <c r="L34" s="2117">
        <v>5</v>
      </c>
      <c r="M34" s="2116">
        <v>30</v>
      </c>
      <c r="N34" s="2117">
        <v>107.08</v>
      </c>
      <c r="O34" s="2116" t="s">
        <v>1208</v>
      </c>
      <c r="P34" s="2116" t="s">
        <v>296</v>
      </c>
      <c r="Q34" s="2116" t="s">
        <v>296</v>
      </c>
      <c r="R34" s="2116" t="s">
        <v>296</v>
      </c>
    </row>
    <row r="35" spans="1:18" s="2265" customFormat="1" ht="26.4">
      <c r="A35" s="2116" t="s">
        <v>1202</v>
      </c>
      <c r="B35" s="2116" t="s">
        <v>1203</v>
      </c>
      <c r="C35" s="2116" t="s">
        <v>1239</v>
      </c>
      <c r="D35" s="2116" t="s">
        <v>1205</v>
      </c>
      <c r="E35" s="2116" t="s">
        <v>1238</v>
      </c>
      <c r="F35" s="2116">
        <v>1</v>
      </c>
      <c r="G35" s="2116" t="s">
        <v>105</v>
      </c>
      <c r="H35" s="2116" t="s">
        <v>17</v>
      </c>
      <c r="I35" s="2116" t="s">
        <v>1211</v>
      </c>
      <c r="J35" s="2116">
        <v>2</v>
      </c>
      <c r="K35" s="2117">
        <v>5</v>
      </c>
      <c r="L35" s="2117">
        <v>5</v>
      </c>
      <c r="M35" s="2116">
        <v>30</v>
      </c>
      <c r="N35" s="2117">
        <v>54.38</v>
      </c>
      <c r="O35" s="2116" t="s">
        <v>1208</v>
      </c>
      <c r="P35" s="2116" t="s">
        <v>296</v>
      </c>
      <c r="Q35" s="2116" t="s">
        <v>296</v>
      </c>
      <c r="R35" s="2116" t="s">
        <v>296</v>
      </c>
    </row>
    <row r="36" spans="1:18" s="2265" customFormat="1" ht="26.4">
      <c r="A36" s="2116" t="s">
        <v>1202</v>
      </c>
      <c r="B36" s="2116" t="s">
        <v>1203</v>
      </c>
      <c r="C36" s="2116" t="s">
        <v>1235</v>
      </c>
      <c r="D36" s="2116" t="s">
        <v>1205</v>
      </c>
      <c r="E36" s="2116" t="s">
        <v>1238</v>
      </c>
      <c r="F36" s="2116">
        <v>1</v>
      </c>
      <c r="G36" s="2116" t="s">
        <v>105</v>
      </c>
      <c r="H36" s="2116" t="s">
        <v>17</v>
      </c>
      <c r="I36" s="2116" t="s">
        <v>1212</v>
      </c>
      <c r="J36" s="2116">
        <v>3</v>
      </c>
      <c r="K36" s="2117">
        <v>5</v>
      </c>
      <c r="L36" s="2117">
        <v>5</v>
      </c>
      <c r="M36" s="2116">
        <v>20</v>
      </c>
      <c r="N36" s="2117">
        <v>46.64</v>
      </c>
      <c r="O36" s="2116" t="s">
        <v>1208</v>
      </c>
      <c r="P36" s="2116" t="s">
        <v>296</v>
      </c>
      <c r="Q36" s="2116" t="s">
        <v>296</v>
      </c>
      <c r="R36" s="2116" t="s">
        <v>296</v>
      </c>
    </row>
    <row r="37" spans="1:18" s="2265" customFormat="1" ht="26.4">
      <c r="A37" s="2116" t="s">
        <v>1202</v>
      </c>
      <c r="B37" s="2116" t="s">
        <v>1203</v>
      </c>
      <c r="C37" s="2116" t="s">
        <v>1239</v>
      </c>
      <c r="D37" s="2116" t="s">
        <v>1205</v>
      </c>
      <c r="E37" s="2116" t="s">
        <v>1238</v>
      </c>
      <c r="F37" s="2116">
        <v>1</v>
      </c>
      <c r="G37" s="2116" t="s">
        <v>105</v>
      </c>
      <c r="H37" s="2116" t="s">
        <v>17</v>
      </c>
      <c r="I37" s="2116" t="s">
        <v>1212</v>
      </c>
      <c r="J37" s="2116">
        <v>4</v>
      </c>
      <c r="K37" s="2117">
        <v>5</v>
      </c>
      <c r="L37" s="2117">
        <v>5</v>
      </c>
      <c r="M37" s="2116">
        <v>20</v>
      </c>
      <c r="N37" s="2117">
        <v>68.599999999999994</v>
      </c>
      <c r="O37" s="2116" t="s">
        <v>1208</v>
      </c>
      <c r="P37" s="2116" t="s">
        <v>296</v>
      </c>
      <c r="Q37" s="2116" t="s">
        <v>296</v>
      </c>
      <c r="R37" s="2116" t="s">
        <v>296</v>
      </c>
    </row>
    <row r="38" spans="1:18" s="2265" customFormat="1" ht="26.4">
      <c r="A38" s="2116" t="s">
        <v>1202</v>
      </c>
      <c r="B38" s="2116" t="s">
        <v>1213</v>
      </c>
      <c r="C38" s="2116" t="s">
        <v>1236</v>
      </c>
      <c r="D38" s="2116" t="s">
        <v>1215</v>
      </c>
      <c r="E38" s="2116" t="s">
        <v>1238</v>
      </c>
      <c r="F38" s="2116">
        <v>1</v>
      </c>
      <c r="G38" s="2116" t="s">
        <v>105</v>
      </c>
      <c r="H38" s="2116" t="s">
        <v>16</v>
      </c>
      <c r="I38" s="2116" t="s">
        <v>1216</v>
      </c>
      <c r="J38" s="2116">
        <v>5</v>
      </c>
      <c r="K38" s="2117">
        <v>19</v>
      </c>
      <c r="L38" s="2117">
        <v>19</v>
      </c>
      <c r="M38" s="2116">
        <v>32</v>
      </c>
      <c r="N38" s="2117">
        <v>145.66</v>
      </c>
      <c r="O38" s="2116" t="s">
        <v>1217</v>
      </c>
      <c r="P38" s="2116" t="s">
        <v>296</v>
      </c>
      <c r="Q38" s="2116" t="s">
        <v>296</v>
      </c>
      <c r="R38" s="2116" t="s">
        <v>296</v>
      </c>
    </row>
    <row r="39" spans="1:18" s="2265" customFormat="1" ht="26.4">
      <c r="A39" s="2116" t="s">
        <v>1202</v>
      </c>
      <c r="B39" s="2116" t="s">
        <v>1213</v>
      </c>
      <c r="C39" s="2116" t="s">
        <v>1240</v>
      </c>
      <c r="D39" s="2116" t="s">
        <v>1215</v>
      </c>
      <c r="E39" s="2116" t="s">
        <v>1238</v>
      </c>
      <c r="F39" s="2116">
        <v>1</v>
      </c>
      <c r="G39" s="2116" t="s">
        <v>105</v>
      </c>
      <c r="H39" s="2116" t="s">
        <v>16</v>
      </c>
      <c r="I39" s="2116" t="s">
        <v>1216</v>
      </c>
      <c r="J39" s="2116">
        <v>19</v>
      </c>
      <c r="K39" s="2117">
        <v>19</v>
      </c>
      <c r="L39" s="2117">
        <v>19</v>
      </c>
      <c r="M39" s="2116">
        <v>32</v>
      </c>
      <c r="N39" s="2117">
        <v>518.82000000000005</v>
      </c>
      <c r="O39" s="2116" t="s">
        <v>1217</v>
      </c>
      <c r="P39" s="2116" t="s">
        <v>296</v>
      </c>
      <c r="Q39" s="2116" t="s">
        <v>296</v>
      </c>
      <c r="R39" s="2116" t="s">
        <v>296</v>
      </c>
    </row>
    <row r="40" spans="1:18" s="2265" customFormat="1" ht="26.4">
      <c r="A40" s="2116" t="s">
        <v>1202</v>
      </c>
      <c r="B40" s="2116" t="s">
        <v>1213</v>
      </c>
      <c r="C40" s="2116" t="s">
        <v>1241</v>
      </c>
      <c r="D40" s="2116" t="s">
        <v>1215</v>
      </c>
      <c r="E40" s="2116" t="s">
        <v>1238</v>
      </c>
      <c r="F40" s="2116">
        <v>1</v>
      </c>
      <c r="G40" s="2116" t="s">
        <v>105</v>
      </c>
      <c r="H40" s="2116" t="s">
        <v>16</v>
      </c>
      <c r="I40" s="2116" t="s">
        <v>1216</v>
      </c>
      <c r="J40" s="2116">
        <v>3</v>
      </c>
      <c r="K40" s="2117">
        <v>19</v>
      </c>
      <c r="L40" s="2117">
        <v>19</v>
      </c>
      <c r="M40" s="2116">
        <v>32</v>
      </c>
      <c r="N40" s="2117">
        <v>80.180000000000007</v>
      </c>
      <c r="O40" s="2116" t="s">
        <v>1217</v>
      </c>
      <c r="P40" s="2116" t="s">
        <v>296</v>
      </c>
      <c r="Q40" s="2116" t="s">
        <v>296</v>
      </c>
      <c r="R40" s="2116" t="s">
        <v>296</v>
      </c>
    </row>
    <row r="41" spans="1:18" s="2265" customFormat="1" ht="26.4">
      <c r="A41" s="2116" t="s">
        <v>1202</v>
      </c>
      <c r="B41" s="2116" t="s">
        <v>1213</v>
      </c>
      <c r="C41" s="2116" t="s">
        <v>1236</v>
      </c>
      <c r="D41" s="2116" t="s">
        <v>1215</v>
      </c>
      <c r="E41" s="2116" t="s">
        <v>1238</v>
      </c>
      <c r="F41" s="2116">
        <v>1</v>
      </c>
      <c r="G41" s="2116" t="s">
        <v>105</v>
      </c>
      <c r="H41" s="2116" t="s">
        <v>16</v>
      </c>
      <c r="I41" s="2116" t="s">
        <v>1237</v>
      </c>
      <c r="J41" s="2116">
        <v>3</v>
      </c>
      <c r="K41" s="2117">
        <v>19</v>
      </c>
      <c r="L41" s="2117">
        <v>19</v>
      </c>
      <c r="M41" s="2116">
        <v>32000</v>
      </c>
      <c r="N41" s="2117">
        <v>85.16</v>
      </c>
      <c r="O41" s="2116" t="s">
        <v>1217</v>
      </c>
      <c r="P41" s="2116" t="s">
        <v>296</v>
      </c>
      <c r="Q41" s="2116" t="s">
        <v>296</v>
      </c>
      <c r="R41" s="2116" t="s">
        <v>296</v>
      </c>
    </row>
    <row r="42" spans="1:18" s="2265" customFormat="1" ht="26.4">
      <c r="A42" s="2116" t="s">
        <v>1202</v>
      </c>
      <c r="B42" s="2116" t="s">
        <v>1213</v>
      </c>
      <c r="C42" s="2116" t="s">
        <v>1240</v>
      </c>
      <c r="D42" s="2116" t="s">
        <v>1215</v>
      </c>
      <c r="E42" s="2116" t="s">
        <v>1238</v>
      </c>
      <c r="F42" s="2116">
        <v>1</v>
      </c>
      <c r="G42" s="2116" t="s">
        <v>105</v>
      </c>
      <c r="H42" s="2116" t="s">
        <v>16</v>
      </c>
      <c r="I42" s="2116" t="s">
        <v>1237</v>
      </c>
      <c r="J42" s="2116">
        <v>28</v>
      </c>
      <c r="K42" s="2117">
        <v>19</v>
      </c>
      <c r="L42" s="2117">
        <v>19</v>
      </c>
      <c r="M42" s="2116">
        <v>32000</v>
      </c>
      <c r="N42" s="2117">
        <v>740.06</v>
      </c>
      <c r="O42" s="2116" t="s">
        <v>1217</v>
      </c>
      <c r="P42" s="2116" t="s">
        <v>296</v>
      </c>
      <c r="Q42" s="2116" t="s">
        <v>296</v>
      </c>
      <c r="R42" s="2116" t="s">
        <v>296</v>
      </c>
    </row>
    <row r="43" spans="1:18" s="2265" customFormat="1" ht="26.4">
      <c r="A43" s="2116" t="s">
        <v>1202</v>
      </c>
      <c r="B43" s="2116" t="s">
        <v>1213</v>
      </c>
      <c r="C43" s="2116" t="s">
        <v>1241</v>
      </c>
      <c r="D43" s="2116" t="s">
        <v>1215</v>
      </c>
      <c r="E43" s="2116" t="s">
        <v>1238</v>
      </c>
      <c r="F43" s="2116">
        <v>1</v>
      </c>
      <c r="G43" s="2116" t="s">
        <v>105</v>
      </c>
      <c r="H43" s="2116" t="s">
        <v>16</v>
      </c>
      <c r="I43" s="2116" t="s">
        <v>1237</v>
      </c>
      <c r="J43" s="2116">
        <v>2</v>
      </c>
      <c r="K43" s="2117">
        <v>19</v>
      </c>
      <c r="L43" s="2117">
        <v>19</v>
      </c>
      <c r="M43" s="2116">
        <v>32000</v>
      </c>
      <c r="N43" s="2117">
        <v>53.06</v>
      </c>
      <c r="O43" s="2116" t="s">
        <v>1217</v>
      </c>
      <c r="P43" s="2116" t="s">
        <v>296</v>
      </c>
      <c r="Q43" s="2116" t="s">
        <v>296</v>
      </c>
      <c r="R43" s="2116" t="s">
        <v>296</v>
      </c>
    </row>
    <row r="44" spans="1:18" s="2265" customFormat="1" ht="26.4">
      <c r="A44" s="2116" t="s">
        <v>1202</v>
      </c>
      <c r="B44" s="2116" t="s">
        <v>1219</v>
      </c>
      <c r="C44" s="2116" t="s">
        <v>1220</v>
      </c>
      <c r="D44" s="2116" t="s">
        <v>1221</v>
      </c>
      <c r="E44" s="2116" t="s">
        <v>1238</v>
      </c>
      <c r="F44" s="2116">
        <v>1</v>
      </c>
      <c r="G44" s="2116" t="s">
        <v>1222</v>
      </c>
      <c r="H44" s="2116" t="s">
        <v>243</v>
      </c>
      <c r="I44" s="2116" t="s">
        <v>1233</v>
      </c>
      <c r="J44" s="2116">
        <v>3</v>
      </c>
      <c r="K44" s="2117">
        <v>0</v>
      </c>
      <c r="L44" s="2117">
        <v>0</v>
      </c>
      <c r="M44" s="2116">
        <v>45000</v>
      </c>
      <c r="N44" s="2117">
        <v>104.88</v>
      </c>
      <c r="O44" s="2116" t="s">
        <v>1224</v>
      </c>
      <c r="P44" s="2116" t="s">
        <v>296</v>
      </c>
      <c r="Q44" s="2116" t="s">
        <v>296</v>
      </c>
      <c r="R44" s="2116" t="s">
        <v>296</v>
      </c>
    </row>
    <row r="45" spans="1:18" s="2265" customFormat="1" ht="26.4">
      <c r="A45" s="2116" t="s">
        <v>1202</v>
      </c>
      <c r="B45" s="2116" t="s">
        <v>1219</v>
      </c>
      <c r="C45" s="2116" t="s">
        <v>1220</v>
      </c>
      <c r="D45" s="2116" t="s">
        <v>1221</v>
      </c>
      <c r="E45" s="2116" t="s">
        <v>1238</v>
      </c>
      <c r="F45" s="2116">
        <v>1</v>
      </c>
      <c r="G45" s="2116" t="s">
        <v>1222</v>
      </c>
      <c r="H45" s="2116" t="s">
        <v>243</v>
      </c>
      <c r="I45" s="2116" t="s">
        <v>1223</v>
      </c>
      <c r="J45" s="2116">
        <v>14</v>
      </c>
      <c r="K45" s="2117">
        <v>0</v>
      </c>
      <c r="L45" s="2117">
        <v>0</v>
      </c>
      <c r="M45" s="2116">
        <v>30000</v>
      </c>
      <c r="N45" s="2117">
        <v>511.5</v>
      </c>
      <c r="O45" s="2116" t="s">
        <v>1224</v>
      </c>
      <c r="P45" s="2116" t="s">
        <v>296</v>
      </c>
      <c r="Q45" s="2116" t="s">
        <v>296</v>
      </c>
      <c r="R45" s="2116" t="s">
        <v>296</v>
      </c>
    </row>
    <row r="46" spans="1:18" s="2265" customFormat="1" ht="26.4">
      <c r="A46" s="2116" t="s">
        <v>1202</v>
      </c>
      <c r="B46" s="2116" t="s">
        <v>1219</v>
      </c>
      <c r="C46" s="2116" t="s">
        <v>1220</v>
      </c>
      <c r="D46" s="2116" t="s">
        <v>1221</v>
      </c>
      <c r="E46" s="2116" t="s">
        <v>1238</v>
      </c>
      <c r="F46" s="2116">
        <v>1</v>
      </c>
      <c r="G46" s="2116" t="s">
        <v>1222</v>
      </c>
      <c r="H46" s="2116" t="s">
        <v>243</v>
      </c>
      <c r="I46" s="2116" t="s">
        <v>1225</v>
      </c>
      <c r="J46" s="2116">
        <v>27</v>
      </c>
      <c r="K46" s="2117">
        <v>0</v>
      </c>
      <c r="L46" s="2117">
        <v>0</v>
      </c>
      <c r="M46" s="2116">
        <v>45000</v>
      </c>
      <c r="N46" s="2117">
        <v>880.52</v>
      </c>
      <c r="O46" s="2116" t="s">
        <v>1224</v>
      </c>
      <c r="P46" s="2116" t="s">
        <v>296</v>
      </c>
      <c r="Q46" s="2116" t="s">
        <v>296</v>
      </c>
      <c r="R46" s="2116" t="s">
        <v>296</v>
      </c>
    </row>
    <row r="47" spans="1:18" s="2265" customFormat="1" ht="26.4">
      <c r="A47" s="2116" t="s">
        <v>1202</v>
      </c>
      <c r="B47" s="2116" t="s">
        <v>1203</v>
      </c>
      <c r="C47" s="2116" t="s">
        <v>1239</v>
      </c>
      <c r="D47" s="2116" t="s">
        <v>1205</v>
      </c>
      <c r="E47" s="2116" t="s">
        <v>1242</v>
      </c>
      <c r="F47" s="2116">
        <v>2</v>
      </c>
      <c r="G47" s="2116" t="s">
        <v>105</v>
      </c>
      <c r="H47" s="2116" t="s">
        <v>17</v>
      </c>
      <c r="I47" s="2116" t="s">
        <v>1207</v>
      </c>
      <c r="J47" s="2116">
        <v>31</v>
      </c>
      <c r="K47" s="2117">
        <v>5</v>
      </c>
      <c r="L47" s="2117">
        <v>5</v>
      </c>
      <c r="M47" s="2116">
        <v>45000</v>
      </c>
      <c r="N47" s="2117">
        <v>791.56</v>
      </c>
      <c r="O47" s="2116" t="s">
        <v>1208</v>
      </c>
      <c r="P47" s="2116" t="s">
        <v>296</v>
      </c>
      <c r="Q47" s="2116" t="s">
        <v>296</v>
      </c>
      <c r="R47" s="2116" t="s">
        <v>296</v>
      </c>
    </row>
    <row r="48" spans="1:18" s="2265" customFormat="1" ht="26.4">
      <c r="A48" s="2116" t="s">
        <v>1202</v>
      </c>
      <c r="B48" s="2116" t="s">
        <v>1203</v>
      </c>
      <c r="C48" s="2116" t="s">
        <v>1239</v>
      </c>
      <c r="D48" s="2116" t="s">
        <v>1205</v>
      </c>
      <c r="E48" s="2116" t="s">
        <v>1242</v>
      </c>
      <c r="F48" s="2116">
        <v>2</v>
      </c>
      <c r="G48" s="2116" t="s">
        <v>105</v>
      </c>
      <c r="H48" s="2116" t="s">
        <v>17</v>
      </c>
      <c r="I48" s="2116" t="s">
        <v>1210</v>
      </c>
      <c r="J48" s="2116">
        <v>2</v>
      </c>
      <c r="K48" s="2117">
        <v>5</v>
      </c>
      <c r="L48" s="2117">
        <v>5</v>
      </c>
      <c r="M48" s="2116">
        <v>18</v>
      </c>
      <c r="N48" s="2117">
        <v>42.98</v>
      </c>
      <c r="O48" s="2116" t="s">
        <v>1208</v>
      </c>
      <c r="P48" s="2116" t="s">
        <v>296</v>
      </c>
      <c r="Q48" s="2116" t="s">
        <v>296</v>
      </c>
      <c r="R48" s="2116" t="s">
        <v>296</v>
      </c>
    </row>
    <row r="49" spans="1:18" s="2265" customFormat="1" ht="26.4">
      <c r="A49" s="2116" t="s">
        <v>1202</v>
      </c>
      <c r="B49" s="2116" t="s">
        <v>1203</v>
      </c>
      <c r="C49" s="2116" t="s">
        <v>1239</v>
      </c>
      <c r="D49" s="2116" t="s">
        <v>1205</v>
      </c>
      <c r="E49" s="2116" t="s">
        <v>1242</v>
      </c>
      <c r="F49" s="2116">
        <v>2</v>
      </c>
      <c r="G49" s="2116" t="s">
        <v>105</v>
      </c>
      <c r="H49" s="2116" t="s">
        <v>17</v>
      </c>
      <c r="I49" s="2116" t="s">
        <v>1212</v>
      </c>
      <c r="J49" s="2116">
        <v>3</v>
      </c>
      <c r="K49" s="2117">
        <v>5</v>
      </c>
      <c r="L49" s="2117">
        <v>5</v>
      </c>
      <c r="M49" s="2116">
        <v>20</v>
      </c>
      <c r="N49" s="2117">
        <v>49.36</v>
      </c>
      <c r="O49" s="2116" t="s">
        <v>1208</v>
      </c>
      <c r="P49" s="2116" t="s">
        <v>296</v>
      </c>
      <c r="Q49" s="2116" t="s">
        <v>296</v>
      </c>
      <c r="R49" s="2116" t="s">
        <v>296</v>
      </c>
    </row>
    <row r="50" spans="1:18" s="2265" customFormat="1" ht="26.4">
      <c r="A50" s="2116" t="s">
        <v>1202</v>
      </c>
      <c r="B50" s="2116" t="s">
        <v>1203</v>
      </c>
      <c r="C50" s="2116" t="s">
        <v>1243</v>
      </c>
      <c r="D50" s="2116" t="s">
        <v>1205</v>
      </c>
      <c r="E50" s="2116" t="s">
        <v>1242</v>
      </c>
      <c r="F50" s="2116">
        <v>2</v>
      </c>
      <c r="G50" s="2116" t="s">
        <v>105</v>
      </c>
      <c r="H50" s="2116" t="s">
        <v>17</v>
      </c>
      <c r="I50" s="2116" t="s">
        <v>1212</v>
      </c>
      <c r="J50" s="2116">
        <v>4</v>
      </c>
      <c r="K50" s="2117">
        <v>5</v>
      </c>
      <c r="L50" s="2117">
        <v>5</v>
      </c>
      <c r="M50" s="2116">
        <v>20</v>
      </c>
      <c r="N50" s="2117">
        <v>59.68</v>
      </c>
      <c r="O50" s="2116" t="s">
        <v>1208</v>
      </c>
      <c r="P50" s="2116" t="s">
        <v>296</v>
      </c>
      <c r="Q50" s="2116" t="s">
        <v>296</v>
      </c>
      <c r="R50" s="2116" t="s">
        <v>296</v>
      </c>
    </row>
    <row r="51" spans="1:18" s="2265" customFormat="1" ht="26.4">
      <c r="A51" s="2116" t="s">
        <v>1202</v>
      </c>
      <c r="B51" s="2116" t="s">
        <v>1213</v>
      </c>
      <c r="C51" s="2116" t="s">
        <v>1244</v>
      </c>
      <c r="D51" s="2116" t="s">
        <v>1215</v>
      </c>
      <c r="E51" s="2116" t="s">
        <v>1242</v>
      </c>
      <c r="F51" s="2116">
        <v>2</v>
      </c>
      <c r="G51" s="2116" t="s">
        <v>105</v>
      </c>
      <c r="H51" s="2116" t="s">
        <v>16</v>
      </c>
      <c r="I51" s="2116" t="s">
        <v>1216</v>
      </c>
      <c r="J51" s="2116">
        <v>3</v>
      </c>
      <c r="K51" s="2117">
        <v>19</v>
      </c>
      <c r="L51" s="2117">
        <v>19</v>
      </c>
      <c r="M51" s="2116">
        <v>32</v>
      </c>
      <c r="N51" s="2117">
        <v>87.64</v>
      </c>
      <c r="O51" s="2116" t="s">
        <v>1217</v>
      </c>
      <c r="P51" s="2116" t="s">
        <v>296</v>
      </c>
      <c r="Q51" s="2116" t="s">
        <v>296</v>
      </c>
      <c r="R51" s="2116" t="s">
        <v>296</v>
      </c>
    </row>
    <row r="52" spans="1:18" s="2265" customFormat="1" ht="26.4">
      <c r="A52" s="2116" t="s">
        <v>1202</v>
      </c>
      <c r="B52" s="2116" t="s">
        <v>1213</v>
      </c>
      <c r="C52" s="2116" t="s">
        <v>1241</v>
      </c>
      <c r="D52" s="2116" t="s">
        <v>1215</v>
      </c>
      <c r="E52" s="2116" t="s">
        <v>1242</v>
      </c>
      <c r="F52" s="2116">
        <v>2</v>
      </c>
      <c r="G52" s="2116" t="s">
        <v>105</v>
      </c>
      <c r="H52" s="2116" t="s">
        <v>16</v>
      </c>
      <c r="I52" s="2116" t="s">
        <v>1216</v>
      </c>
      <c r="J52" s="2116">
        <v>19</v>
      </c>
      <c r="K52" s="2117">
        <v>19</v>
      </c>
      <c r="L52" s="2117">
        <v>19</v>
      </c>
      <c r="M52" s="2116">
        <v>32</v>
      </c>
      <c r="N52" s="2117">
        <v>535.20000000000005</v>
      </c>
      <c r="O52" s="2116" t="s">
        <v>1217</v>
      </c>
      <c r="P52" s="2116" t="s">
        <v>296</v>
      </c>
      <c r="Q52" s="2116" t="s">
        <v>296</v>
      </c>
      <c r="R52" s="2116" t="s">
        <v>296</v>
      </c>
    </row>
    <row r="53" spans="1:18" s="2265" customFormat="1" ht="26.4">
      <c r="A53" s="2116" t="s">
        <v>1202</v>
      </c>
      <c r="B53" s="2116" t="s">
        <v>1213</v>
      </c>
      <c r="C53" s="2116" t="s">
        <v>1244</v>
      </c>
      <c r="D53" s="2116" t="s">
        <v>1215</v>
      </c>
      <c r="E53" s="2116" t="s">
        <v>1242</v>
      </c>
      <c r="F53" s="2116">
        <v>2</v>
      </c>
      <c r="G53" s="2116" t="s">
        <v>105</v>
      </c>
      <c r="H53" s="2116" t="s">
        <v>16</v>
      </c>
      <c r="I53" s="2116" t="s">
        <v>1237</v>
      </c>
      <c r="J53" s="2116">
        <v>5</v>
      </c>
      <c r="K53" s="2117">
        <v>19</v>
      </c>
      <c r="L53" s="2117">
        <v>19</v>
      </c>
      <c r="M53" s="2116">
        <v>32000</v>
      </c>
      <c r="N53" s="2117">
        <v>136.1</v>
      </c>
      <c r="O53" s="2116" t="s">
        <v>1217</v>
      </c>
      <c r="P53" s="2116" t="s">
        <v>296</v>
      </c>
      <c r="Q53" s="2116" t="s">
        <v>296</v>
      </c>
      <c r="R53" s="2116" t="s">
        <v>296</v>
      </c>
    </row>
    <row r="54" spans="1:18" s="2265" customFormat="1" ht="26.4">
      <c r="A54" s="2116" t="s">
        <v>1202</v>
      </c>
      <c r="B54" s="2116" t="s">
        <v>1213</v>
      </c>
      <c r="C54" s="2116" t="s">
        <v>1241</v>
      </c>
      <c r="D54" s="2116" t="s">
        <v>1215</v>
      </c>
      <c r="E54" s="2116" t="s">
        <v>1242</v>
      </c>
      <c r="F54" s="2116">
        <v>2</v>
      </c>
      <c r="G54" s="2116" t="s">
        <v>105</v>
      </c>
      <c r="H54" s="2116" t="s">
        <v>16</v>
      </c>
      <c r="I54" s="2116" t="s">
        <v>1237</v>
      </c>
      <c r="J54" s="2116">
        <v>23</v>
      </c>
      <c r="K54" s="2117">
        <v>19</v>
      </c>
      <c r="L54" s="2117">
        <v>19</v>
      </c>
      <c r="M54" s="2116">
        <v>32000</v>
      </c>
      <c r="N54" s="2117">
        <v>658.44</v>
      </c>
      <c r="O54" s="2116" t="s">
        <v>1217</v>
      </c>
      <c r="P54" s="2116" t="s">
        <v>296</v>
      </c>
      <c r="Q54" s="2116" t="s">
        <v>296</v>
      </c>
      <c r="R54" s="2116" t="s">
        <v>296</v>
      </c>
    </row>
    <row r="55" spans="1:18" s="2265" customFormat="1" ht="26.4">
      <c r="A55" s="2116" t="s">
        <v>1202</v>
      </c>
      <c r="B55" s="2116" t="s">
        <v>1203</v>
      </c>
      <c r="C55" s="2116" t="s">
        <v>1235</v>
      </c>
      <c r="D55" s="2116" t="s">
        <v>1205</v>
      </c>
      <c r="E55" s="2116" t="s">
        <v>1245</v>
      </c>
      <c r="F55" s="2116" t="s">
        <v>1246</v>
      </c>
      <c r="G55" s="2116" t="s">
        <v>105</v>
      </c>
      <c r="H55" s="2116" t="s">
        <v>17</v>
      </c>
      <c r="I55" s="2116" t="s">
        <v>1207</v>
      </c>
      <c r="J55" s="2116" t="s">
        <v>1247</v>
      </c>
      <c r="K55" s="2117" t="s">
        <v>1248</v>
      </c>
      <c r="L55" s="2117" t="s">
        <v>1248</v>
      </c>
      <c r="M55" s="2116" t="s">
        <v>1249</v>
      </c>
      <c r="N55" s="2117" t="s">
        <v>1250</v>
      </c>
      <c r="O55" s="2116" t="s">
        <v>1208</v>
      </c>
      <c r="P55" s="2116" t="s">
        <v>296</v>
      </c>
      <c r="Q55" s="2116" t="s">
        <v>296</v>
      </c>
      <c r="R55" s="2116" t="s">
        <v>296</v>
      </c>
    </row>
    <row r="56" spans="1:18" s="2265" customFormat="1" ht="26.4">
      <c r="A56" s="2116" t="s">
        <v>1202</v>
      </c>
      <c r="B56" s="2116" t="s">
        <v>1203</v>
      </c>
      <c r="C56" s="2116" t="s">
        <v>1243</v>
      </c>
      <c r="D56" s="2116" t="s">
        <v>1205</v>
      </c>
      <c r="E56" s="2116" t="s">
        <v>1245</v>
      </c>
      <c r="F56" s="2116" t="s">
        <v>1246</v>
      </c>
      <c r="G56" s="2116" t="s">
        <v>105</v>
      </c>
      <c r="H56" s="2116" t="s">
        <v>17</v>
      </c>
      <c r="I56" s="2116" t="s">
        <v>1207</v>
      </c>
      <c r="J56" s="2116" t="s">
        <v>1251</v>
      </c>
      <c r="K56" s="2117" t="s">
        <v>1248</v>
      </c>
      <c r="L56" s="2117" t="s">
        <v>1248</v>
      </c>
      <c r="M56" s="2116" t="s">
        <v>1249</v>
      </c>
      <c r="N56" s="2117" t="s">
        <v>1252</v>
      </c>
      <c r="O56" s="2116" t="s">
        <v>1208</v>
      </c>
      <c r="P56" s="2116" t="s">
        <v>296</v>
      </c>
      <c r="Q56" s="2116" t="s">
        <v>296</v>
      </c>
      <c r="R56" s="2116" t="s">
        <v>296</v>
      </c>
    </row>
    <row r="57" spans="1:18" s="2265" customFormat="1" ht="26.4">
      <c r="A57" s="2116" t="s">
        <v>1202</v>
      </c>
      <c r="B57" s="2116" t="s">
        <v>1203</v>
      </c>
      <c r="C57" s="2116" t="s">
        <v>1235</v>
      </c>
      <c r="D57" s="2116" t="s">
        <v>1205</v>
      </c>
      <c r="E57" s="2116" t="s">
        <v>1245</v>
      </c>
      <c r="F57" s="2116" t="s">
        <v>1246</v>
      </c>
      <c r="G57" s="2116" t="s">
        <v>105</v>
      </c>
      <c r="H57" s="2116" t="s">
        <v>17</v>
      </c>
      <c r="I57" s="2116" t="s">
        <v>1212</v>
      </c>
      <c r="J57" s="2116" t="s">
        <v>1246</v>
      </c>
      <c r="K57" s="2117" t="s">
        <v>1248</v>
      </c>
      <c r="L57" s="2117" t="s">
        <v>1248</v>
      </c>
      <c r="M57" s="2116" t="s">
        <v>1253</v>
      </c>
      <c r="N57" s="2117" t="s">
        <v>1254</v>
      </c>
      <c r="O57" s="2116" t="s">
        <v>1208</v>
      </c>
      <c r="P57" s="2116" t="s">
        <v>296</v>
      </c>
      <c r="Q57" s="2116" t="s">
        <v>296</v>
      </c>
      <c r="R57" s="2116" t="s">
        <v>296</v>
      </c>
    </row>
    <row r="58" spans="1:18" s="2265" customFormat="1" ht="26.4">
      <c r="A58" s="2116" t="s">
        <v>1202</v>
      </c>
      <c r="B58" s="2116" t="s">
        <v>1213</v>
      </c>
      <c r="C58" s="2116" t="s">
        <v>1244</v>
      </c>
      <c r="D58" s="2116" t="s">
        <v>1215</v>
      </c>
      <c r="E58" s="2116" t="s">
        <v>1245</v>
      </c>
      <c r="F58" s="2116" t="s">
        <v>1246</v>
      </c>
      <c r="G58" s="2116" t="s">
        <v>105</v>
      </c>
      <c r="H58" s="2116" t="s">
        <v>16</v>
      </c>
      <c r="I58" s="2116" t="s">
        <v>1216</v>
      </c>
      <c r="J58" s="2116" t="s">
        <v>1255</v>
      </c>
      <c r="K58" s="2117" t="s">
        <v>1256</v>
      </c>
      <c r="L58" s="2117" t="s">
        <v>1256</v>
      </c>
      <c r="M58" s="2116" t="s">
        <v>1257</v>
      </c>
      <c r="N58" s="2117" t="s">
        <v>1258</v>
      </c>
      <c r="O58" s="2116" t="s">
        <v>1217</v>
      </c>
      <c r="P58" s="2116" t="s">
        <v>296</v>
      </c>
      <c r="Q58" s="2116" t="s">
        <v>296</v>
      </c>
      <c r="R58" s="2116" t="s">
        <v>296</v>
      </c>
    </row>
    <row r="59" spans="1:18" s="2265" customFormat="1" ht="26.4">
      <c r="A59" s="2116" t="s">
        <v>1202</v>
      </c>
      <c r="B59" s="2116" t="s">
        <v>1213</v>
      </c>
      <c r="C59" s="2116" t="s">
        <v>1244</v>
      </c>
      <c r="D59" s="2116" t="s">
        <v>1215</v>
      </c>
      <c r="E59" s="2116" t="s">
        <v>1245</v>
      </c>
      <c r="F59" s="2116" t="s">
        <v>1246</v>
      </c>
      <c r="G59" s="2116" t="s">
        <v>105</v>
      </c>
      <c r="H59" s="2116" t="s">
        <v>16</v>
      </c>
      <c r="I59" s="2116" t="s">
        <v>1237</v>
      </c>
      <c r="J59" s="2116" t="s">
        <v>1257</v>
      </c>
      <c r="K59" s="2117" t="s">
        <v>1256</v>
      </c>
      <c r="L59" s="2117" t="s">
        <v>1256</v>
      </c>
      <c r="M59" s="2116" t="s">
        <v>1259</v>
      </c>
      <c r="N59" s="2117" t="s">
        <v>1260</v>
      </c>
      <c r="O59" s="2116" t="s">
        <v>1217</v>
      </c>
      <c r="P59" s="2116" t="s">
        <v>296</v>
      </c>
      <c r="Q59" s="2116" t="s">
        <v>296</v>
      </c>
      <c r="R59" s="2116" t="s">
        <v>296</v>
      </c>
    </row>
    <row r="60" spans="1:18" s="2265" customFormat="1" ht="26.4">
      <c r="A60" s="2116" t="s">
        <v>1202</v>
      </c>
      <c r="B60" s="2116" t="s">
        <v>1219</v>
      </c>
      <c r="C60" s="2116" t="s">
        <v>1220</v>
      </c>
      <c r="D60" s="2116" t="s">
        <v>1221</v>
      </c>
      <c r="E60" s="2116" t="s">
        <v>1245</v>
      </c>
      <c r="F60" s="2116" t="s">
        <v>1246</v>
      </c>
      <c r="G60" s="2116" t="s">
        <v>1222</v>
      </c>
      <c r="H60" s="2116" t="s">
        <v>243</v>
      </c>
      <c r="I60" s="2116" t="s">
        <v>1233</v>
      </c>
      <c r="J60" s="2116" t="s">
        <v>1261</v>
      </c>
      <c r="K60" s="2117" t="s">
        <v>1262</v>
      </c>
      <c r="L60" s="2117" t="s">
        <v>1262</v>
      </c>
      <c r="M60" s="2116" t="s">
        <v>1249</v>
      </c>
      <c r="N60" s="2117" t="s">
        <v>1263</v>
      </c>
      <c r="O60" s="2116" t="s">
        <v>1224</v>
      </c>
      <c r="P60" s="2116" t="s">
        <v>296</v>
      </c>
      <c r="Q60" s="2116" t="s">
        <v>296</v>
      </c>
      <c r="R60" s="2116" t="s">
        <v>296</v>
      </c>
    </row>
    <row r="61" spans="1:18" s="2265" customFormat="1" ht="26.4">
      <c r="A61" s="2116" t="s">
        <v>1202</v>
      </c>
      <c r="B61" s="2116" t="s">
        <v>1219</v>
      </c>
      <c r="C61" s="2116" t="s">
        <v>1220</v>
      </c>
      <c r="D61" s="2116" t="s">
        <v>1221</v>
      </c>
      <c r="E61" s="2116" t="s">
        <v>1245</v>
      </c>
      <c r="F61" s="2116" t="s">
        <v>1246</v>
      </c>
      <c r="G61" s="2116" t="s">
        <v>1222</v>
      </c>
      <c r="H61" s="2116" t="s">
        <v>243</v>
      </c>
      <c r="I61" s="2116" t="s">
        <v>1223</v>
      </c>
      <c r="J61" s="2116" t="s">
        <v>1264</v>
      </c>
      <c r="K61" s="2117" t="s">
        <v>1262</v>
      </c>
      <c r="L61" s="2117" t="s">
        <v>1262</v>
      </c>
      <c r="M61" s="2116" t="s">
        <v>1265</v>
      </c>
      <c r="N61" s="2117" t="s">
        <v>1266</v>
      </c>
      <c r="O61" s="2116" t="s">
        <v>1224</v>
      </c>
      <c r="P61" s="2116" t="s">
        <v>296</v>
      </c>
      <c r="Q61" s="2116" t="s">
        <v>296</v>
      </c>
      <c r="R61" s="2116" t="s">
        <v>296</v>
      </c>
    </row>
    <row r="62" spans="1:18" s="2265" customFormat="1" ht="26.4">
      <c r="A62" s="2116" t="s">
        <v>1202</v>
      </c>
      <c r="B62" s="2116" t="s">
        <v>1219</v>
      </c>
      <c r="C62" s="2116" t="s">
        <v>1220</v>
      </c>
      <c r="D62" s="2116" t="s">
        <v>1221</v>
      </c>
      <c r="E62" s="2116" t="s">
        <v>1245</v>
      </c>
      <c r="F62" s="2116" t="s">
        <v>1246</v>
      </c>
      <c r="G62" s="2116" t="s">
        <v>1222</v>
      </c>
      <c r="H62" s="2116" t="s">
        <v>243</v>
      </c>
      <c r="I62" s="2116" t="s">
        <v>1225</v>
      </c>
      <c r="J62" s="2116" t="s">
        <v>1267</v>
      </c>
      <c r="K62" s="2117" t="s">
        <v>1262</v>
      </c>
      <c r="L62" s="2117" t="s">
        <v>1262</v>
      </c>
      <c r="M62" s="2116" t="s">
        <v>1249</v>
      </c>
      <c r="N62" s="2117" t="s">
        <v>1268</v>
      </c>
      <c r="O62" s="2116" t="s">
        <v>1224</v>
      </c>
      <c r="P62" s="2116" t="s">
        <v>296</v>
      </c>
      <c r="Q62" s="2116" t="s">
        <v>296</v>
      </c>
      <c r="R62" s="2116" t="s">
        <v>296</v>
      </c>
    </row>
    <row r="63" spans="1:18" s="2265" customFormat="1" ht="26.4">
      <c r="A63" s="2116" t="s">
        <v>1202</v>
      </c>
      <c r="B63" s="2116" t="s">
        <v>1203</v>
      </c>
      <c r="C63" s="2116" t="s">
        <v>1269</v>
      </c>
      <c r="D63" s="2116" t="s">
        <v>1270</v>
      </c>
      <c r="E63" s="2116" t="s">
        <v>1271</v>
      </c>
      <c r="F63" s="2116" t="s">
        <v>1272</v>
      </c>
      <c r="G63" s="2116" t="s">
        <v>105</v>
      </c>
      <c r="H63" s="2116" t="s">
        <v>16</v>
      </c>
      <c r="I63" s="2116" t="s">
        <v>1216</v>
      </c>
      <c r="J63" s="2116" t="s">
        <v>1273</v>
      </c>
      <c r="K63" s="2117" t="s">
        <v>1274</v>
      </c>
      <c r="L63" s="2117" t="s">
        <v>1274</v>
      </c>
      <c r="M63" s="2116" t="s">
        <v>1257</v>
      </c>
      <c r="N63" s="2117" t="s">
        <v>1275</v>
      </c>
      <c r="O63" s="2116" t="s">
        <v>1276</v>
      </c>
      <c r="P63" s="2116" t="s">
        <v>296</v>
      </c>
      <c r="Q63" s="2116" t="s">
        <v>296</v>
      </c>
      <c r="R63" s="2116" t="s">
        <v>296</v>
      </c>
    </row>
    <row r="64" spans="1:18" s="2265" customFormat="1" ht="26.4">
      <c r="A64" s="2116" t="s">
        <v>1202</v>
      </c>
      <c r="B64" s="2116" t="s">
        <v>1213</v>
      </c>
      <c r="C64" s="2116" t="s">
        <v>1244</v>
      </c>
      <c r="D64" s="2116" t="s">
        <v>1215</v>
      </c>
      <c r="E64" s="2116" t="s">
        <v>1271</v>
      </c>
      <c r="F64" s="2116" t="s">
        <v>1272</v>
      </c>
      <c r="G64" s="2116" t="s">
        <v>105</v>
      </c>
      <c r="H64" s="2116" t="s">
        <v>16</v>
      </c>
      <c r="I64" s="2116" t="s">
        <v>1216</v>
      </c>
      <c r="J64" s="2116" t="s">
        <v>1277</v>
      </c>
      <c r="K64" s="2117" t="s">
        <v>1256</v>
      </c>
      <c r="L64" s="2117" t="s">
        <v>1256</v>
      </c>
      <c r="M64" s="2116" t="s">
        <v>1257</v>
      </c>
      <c r="N64" s="2117" t="s">
        <v>1278</v>
      </c>
      <c r="O64" s="2116" t="s">
        <v>1217</v>
      </c>
      <c r="P64" s="2116" t="s">
        <v>296</v>
      </c>
      <c r="Q64" s="2116" t="s">
        <v>296</v>
      </c>
      <c r="R64" s="2116" t="s">
        <v>296</v>
      </c>
    </row>
    <row r="65" spans="1:18" s="2265" customFormat="1" ht="26.4">
      <c r="A65" s="2116" t="s">
        <v>1202</v>
      </c>
      <c r="B65" s="2116" t="s">
        <v>1203</v>
      </c>
      <c r="C65" s="2116" t="s">
        <v>1269</v>
      </c>
      <c r="D65" s="2116" t="s">
        <v>1270</v>
      </c>
      <c r="E65" s="2116" t="s">
        <v>1271</v>
      </c>
      <c r="F65" s="2116" t="s">
        <v>1272</v>
      </c>
      <c r="G65" s="2116" t="s">
        <v>105</v>
      </c>
      <c r="H65" s="2116" t="s">
        <v>16</v>
      </c>
      <c r="I65" s="2116" t="s">
        <v>1237</v>
      </c>
      <c r="J65" s="2116" t="s">
        <v>1279</v>
      </c>
      <c r="K65" s="2117" t="s">
        <v>1274</v>
      </c>
      <c r="L65" s="2117" t="s">
        <v>1274</v>
      </c>
      <c r="M65" s="2116" t="s">
        <v>1259</v>
      </c>
      <c r="N65" s="2117" t="s">
        <v>1280</v>
      </c>
      <c r="O65" s="2116" t="s">
        <v>1276</v>
      </c>
      <c r="P65" s="2116" t="s">
        <v>296</v>
      </c>
      <c r="Q65" s="2116" t="s">
        <v>296</v>
      </c>
      <c r="R65" s="2116" t="s">
        <v>296</v>
      </c>
    </row>
    <row r="66" spans="1:18" s="2265" customFormat="1" ht="26.4">
      <c r="A66" s="2116" t="s">
        <v>1202</v>
      </c>
      <c r="B66" s="2116" t="s">
        <v>1213</v>
      </c>
      <c r="C66" s="2116" t="s">
        <v>1244</v>
      </c>
      <c r="D66" s="2116" t="s">
        <v>1215</v>
      </c>
      <c r="E66" s="2116" t="s">
        <v>1271</v>
      </c>
      <c r="F66" s="2116" t="s">
        <v>1272</v>
      </c>
      <c r="G66" s="2116" t="s">
        <v>105</v>
      </c>
      <c r="H66" s="2116" t="s">
        <v>16</v>
      </c>
      <c r="I66" s="2116" t="s">
        <v>1237</v>
      </c>
      <c r="J66" s="2116" t="s">
        <v>1281</v>
      </c>
      <c r="K66" s="2117" t="s">
        <v>1256</v>
      </c>
      <c r="L66" s="2117" t="s">
        <v>1256</v>
      </c>
      <c r="M66" s="2116" t="s">
        <v>1259</v>
      </c>
      <c r="N66" s="2117" t="s">
        <v>1282</v>
      </c>
      <c r="O66" s="2116" t="s">
        <v>1217</v>
      </c>
      <c r="P66" s="2116" t="s">
        <v>296</v>
      </c>
      <c r="Q66" s="2116" t="s">
        <v>296</v>
      </c>
      <c r="R66" s="2116" t="s">
        <v>296</v>
      </c>
    </row>
    <row r="67" spans="1:18" s="2552" customFormat="1" ht="26.4">
      <c r="A67" s="2550" t="s">
        <v>1202</v>
      </c>
      <c r="B67" s="2550" t="s">
        <v>1203</v>
      </c>
      <c r="C67" s="2550" t="s">
        <v>1283</v>
      </c>
      <c r="D67" s="2550" t="s">
        <v>1205</v>
      </c>
      <c r="E67" s="2550" t="s">
        <v>1284</v>
      </c>
      <c r="F67" s="2550" t="s">
        <v>1246</v>
      </c>
      <c r="G67" s="2550" t="s">
        <v>105</v>
      </c>
      <c r="H67" s="2550" t="s">
        <v>17</v>
      </c>
      <c r="I67" s="2550" t="s">
        <v>1207</v>
      </c>
      <c r="J67" s="2550" t="s">
        <v>1277</v>
      </c>
      <c r="K67" s="2551" t="s">
        <v>1248</v>
      </c>
      <c r="L67" s="2551" t="s">
        <v>1248</v>
      </c>
      <c r="M67" s="2550" t="s">
        <v>1249</v>
      </c>
      <c r="N67" s="2551" t="s">
        <v>1285</v>
      </c>
      <c r="O67" s="2550" t="s">
        <v>1208</v>
      </c>
      <c r="P67" s="2550" t="s">
        <v>296</v>
      </c>
      <c r="Q67" s="2550" t="s">
        <v>296</v>
      </c>
      <c r="R67" s="2550" t="s">
        <v>296</v>
      </c>
    </row>
    <row r="68" spans="1:18" s="2552" customFormat="1" ht="26.4">
      <c r="A68" s="2550" t="s">
        <v>1202</v>
      </c>
      <c r="B68" s="2550" t="s">
        <v>1203</v>
      </c>
      <c r="C68" s="2550" t="s">
        <v>1286</v>
      </c>
      <c r="D68" s="2550" t="s">
        <v>1205</v>
      </c>
      <c r="E68" s="2550" t="s">
        <v>1284</v>
      </c>
      <c r="F68" s="2550" t="s">
        <v>1246</v>
      </c>
      <c r="G68" s="2550" t="s">
        <v>105</v>
      </c>
      <c r="H68" s="2550" t="s">
        <v>17</v>
      </c>
      <c r="I68" s="2550" t="s">
        <v>1207</v>
      </c>
      <c r="J68" s="2550" t="s">
        <v>1251</v>
      </c>
      <c r="K68" s="2551" t="s">
        <v>1248</v>
      </c>
      <c r="L68" s="2551" t="s">
        <v>1248</v>
      </c>
      <c r="M68" s="2550" t="s">
        <v>1249</v>
      </c>
      <c r="N68" s="2551" t="s">
        <v>1287</v>
      </c>
      <c r="O68" s="2550" t="s">
        <v>1208</v>
      </c>
      <c r="P68" s="2550" t="s">
        <v>296</v>
      </c>
      <c r="Q68" s="2550" t="s">
        <v>296</v>
      </c>
      <c r="R68" s="2550" t="s">
        <v>296</v>
      </c>
    </row>
    <row r="69" spans="1:18" s="2552" customFormat="1" ht="26.4">
      <c r="A69" s="2550" t="s">
        <v>1202</v>
      </c>
      <c r="B69" s="2550" t="s">
        <v>1203</v>
      </c>
      <c r="C69" s="2550" t="s">
        <v>1283</v>
      </c>
      <c r="D69" s="2550" t="s">
        <v>1205</v>
      </c>
      <c r="E69" s="2550" t="s">
        <v>1284</v>
      </c>
      <c r="F69" s="2550" t="s">
        <v>1246</v>
      </c>
      <c r="G69" s="2550" t="s">
        <v>105</v>
      </c>
      <c r="H69" s="2550" t="s">
        <v>17</v>
      </c>
      <c r="I69" s="2550" t="s">
        <v>1210</v>
      </c>
      <c r="J69" s="2550" t="s">
        <v>1272</v>
      </c>
      <c r="K69" s="2551" t="s">
        <v>1248</v>
      </c>
      <c r="L69" s="2551" t="s">
        <v>1248</v>
      </c>
      <c r="M69" s="2550" t="s">
        <v>1288</v>
      </c>
      <c r="N69" s="2551" t="s">
        <v>1289</v>
      </c>
      <c r="O69" s="2550" t="s">
        <v>1208</v>
      </c>
      <c r="P69" s="2550" t="s">
        <v>296</v>
      </c>
      <c r="Q69" s="2550" t="s">
        <v>296</v>
      </c>
      <c r="R69" s="2550" t="s">
        <v>296</v>
      </c>
    </row>
    <row r="70" spans="1:18" s="2552" customFormat="1" ht="26.4">
      <c r="A70" s="2550" t="s">
        <v>1202</v>
      </c>
      <c r="B70" s="2550" t="s">
        <v>1203</v>
      </c>
      <c r="C70" s="2550" t="s">
        <v>1290</v>
      </c>
      <c r="D70" s="2550" t="s">
        <v>1205</v>
      </c>
      <c r="E70" s="2550" t="s">
        <v>1284</v>
      </c>
      <c r="F70" s="2550" t="s">
        <v>1246</v>
      </c>
      <c r="G70" s="2550" t="s">
        <v>105</v>
      </c>
      <c r="H70" s="2550" t="s">
        <v>17</v>
      </c>
      <c r="I70" s="2550" t="s">
        <v>1210</v>
      </c>
      <c r="J70" s="2550" t="s">
        <v>1273</v>
      </c>
      <c r="K70" s="2551" t="s">
        <v>1248</v>
      </c>
      <c r="L70" s="2551" t="s">
        <v>1248</v>
      </c>
      <c r="M70" s="2550" t="s">
        <v>1288</v>
      </c>
      <c r="N70" s="2551" t="s">
        <v>1291</v>
      </c>
      <c r="O70" s="2550" t="s">
        <v>1208</v>
      </c>
      <c r="P70" s="2550" t="s">
        <v>296</v>
      </c>
      <c r="Q70" s="2550" t="s">
        <v>296</v>
      </c>
      <c r="R70" s="2550" t="s">
        <v>296</v>
      </c>
    </row>
    <row r="71" spans="1:18" s="2552" customFormat="1" ht="26.4">
      <c r="A71" s="2550" t="s">
        <v>1202</v>
      </c>
      <c r="B71" s="2550" t="s">
        <v>1203</v>
      </c>
      <c r="C71" s="2550" t="s">
        <v>1292</v>
      </c>
      <c r="D71" s="2550" t="s">
        <v>1205</v>
      </c>
      <c r="E71" s="2550" t="s">
        <v>1284</v>
      </c>
      <c r="F71" s="2550" t="s">
        <v>1246</v>
      </c>
      <c r="G71" s="2550" t="s">
        <v>105</v>
      </c>
      <c r="H71" s="2550" t="s">
        <v>17</v>
      </c>
      <c r="I71" s="2550" t="s">
        <v>1212</v>
      </c>
      <c r="J71" s="2550" t="s">
        <v>1246</v>
      </c>
      <c r="K71" s="2551" t="s">
        <v>1248</v>
      </c>
      <c r="L71" s="2551" t="s">
        <v>1248</v>
      </c>
      <c r="M71" s="2550" t="s">
        <v>1253</v>
      </c>
      <c r="N71" s="2551" t="s">
        <v>1293</v>
      </c>
      <c r="O71" s="2550" t="s">
        <v>1208</v>
      </c>
      <c r="P71" s="2550" t="s">
        <v>296</v>
      </c>
      <c r="Q71" s="2550" t="s">
        <v>296</v>
      </c>
      <c r="R71" s="2550" t="s">
        <v>296</v>
      </c>
    </row>
    <row r="72" spans="1:18" s="2552" customFormat="1" ht="26.4">
      <c r="A72" s="2550" t="s">
        <v>1202</v>
      </c>
      <c r="B72" s="2550" t="s">
        <v>1203</v>
      </c>
      <c r="C72" s="2550" t="s">
        <v>1283</v>
      </c>
      <c r="D72" s="2550" t="s">
        <v>1205</v>
      </c>
      <c r="E72" s="2550" t="s">
        <v>1284</v>
      </c>
      <c r="F72" s="2550" t="s">
        <v>1246</v>
      </c>
      <c r="G72" s="2550" t="s">
        <v>105</v>
      </c>
      <c r="H72" s="2550" t="s">
        <v>17</v>
      </c>
      <c r="I72" s="2550" t="s">
        <v>1212</v>
      </c>
      <c r="J72" s="2550" t="s">
        <v>1246</v>
      </c>
      <c r="K72" s="2551" t="s">
        <v>1248</v>
      </c>
      <c r="L72" s="2551" t="s">
        <v>1248</v>
      </c>
      <c r="M72" s="2550" t="s">
        <v>1253</v>
      </c>
      <c r="N72" s="2551" t="s">
        <v>1294</v>
      </c>
      <c r="O72" s="2550" t="s">
        <v>1208</v>
      </c>
      <c r="P72" s="2550" t="s">
        <v>296</v>
      </c>
      <c r="Q72" s="2550" t="s">
        <v>296</v>
      </c>
      <c r="R72" s="2550" t="s">
        <v>296</v>
      </c>
    </row>
    <row r="73" spans="1:18" s="2552" customFormat="1" ht="26.4">
      <c r="A73" s="2550" t="s">
        <v>1202</v>
      </c>
      <c r="B73" s="2550" t="s">
        <v>1203</v>
      </c>
      <c r="C73" s="2550" t="s">
        <v>1290</v>
      </c>
      <c r="D73" s="2550" t="s">
        <v>1205</v>
      </c>
      <c r="E73" s="2550" t="s">
        <v>1284</v>
      </c>
      <c r="F73" s="2550" t="s">
        <v>1246</v>
      </c>
      <c r="G73" s="2550" t="s">
        <v>105</v>
      </c>
      <c r="H73" s="2550" t="s">
        <v>17</v>
      </c>
      <c r="I73" s="2550" t="s">
        <v>1212</v>
      </c>
      <c r="J73" s="2550" t="s">
        <v>1277</v>
      </c>
      <c r="K73" s="2551" t="s">
        <v>1248</v>
      </c>
      <c r="L73" s="2551" t="s">
        <v>1248</v>
      </c>
      <c r="M73" s="2550" t="s">
        <v>1253</v>
      </c>
      <c r="N73" s="2551" t="s">
        <v>1295</v>
      </c>
      <c r="O73" s="2550" t="s">
        <v>1208</v>
      </c>
      <c r="P73" s="2550" t="s">
        <v>296</v>
      </c>
      <c r="Q73" s="2550" t="s">
        <v>296</v>
      </c>
      <c r="R73" s="2550" t="s">
        <v>296</v>
      </c>
    </row>
    <row r="74" spans="1:18" s="2508" customFormat="1" ht="26.4">
      <c r="A74" s="2116" t="s">
        <v>1202</v>
      </c>
      <c r="B74" s="2116" t="s">
        <v>1203</v>
      </c>
      <c r="C74" s="2116" t="s">
        <v>1204</v>
      </c>
      <c r="D74" s="2116" t="s">
        <v>1205</v>
      </c>
      <c r="E74" s="2116" t="s">
        <v>1206</v>
      </c>
      <c r="F74" s="2116">
        <v>1</v>
      </c>
      <c r="G74" s="2116" t="s">
        <v>105</v>
      </c>
      <c r="H74" s="2116" t="s">
        <v>17</v>
      </c>
      <c r="I74" s="2116" t="s">
        <v>1207</v>
      </c>
      <c r="J74" s="2116">
        <v>7</v>
      </c>
      <c r="K74" s="2117">
        <v>5</v>
      </c>
      <c r="L74" s="2117">
        <v>5</v>
      </c>
      <c r="M74" s="2116">
        <v>45000</v>
      </c>
      <c r="N74" s="2117">
        <v>156.74</v>
      </c>
      <c r="O74" s="2116" t="s">
        <v>1208</v>
      </c>
      <c r="P74" s="2547" t="s">
        <v>296</v>
      </c>
      <c r="Q74" s="2547" t="s">
        <v>296</v>
      </c>
      <c r="R74" s="2547" t="s">
        <v>296</v>
      </c>
    </row>
    <row r="75" spans="1:18" s="2508" customFormat="1" ht="26.4">
      <c r="A75" s="2116" t="s">
        <v>1202</v>
      </c>
      <c r="B75" s="2116" t="s">
        <v>1203</v>
      </c>
      <c r="C75" s="2116" t="s">
        <v>1209</v>
      </c>
      <c r="D75" s="2116" t="s">
        <v>1205</v>
      </c>
      <c r="E75" s="2116" t="s">
        <v>1206</v>
      </c>
      <c r="F75" s="2116">
        <v>1</v>
      </c>
      <c r="G75" s="2116" t="s">
        <v>105</v>
      </c>
      <c r="H75" s="2116" t="s">
        <v>17</v>
      </c>
      <c r="I75" s="2116" t="s">
        <v>1207</v>
      </c>
      <c r="J75" s="2116">
        <v>11</v>
      </c>
      <c r="K75" s="2117">
        <v>5</v>
      </c>
      <c r="L75" s="2117">
        <v>5</v>
      </c>
      <c r="M75" s="2116">
        <v>45000</v>
      </c>
      <c r="N75" s="2117">
        <v>257.94</v>
      </c>
      <c r="O75" s="2116" t="s">
        <v>1208</v>
      </c>
      <c r="P75" s="2547" t="s">
        <v>296</v>
      </c>
      <c r="Q75" s="2547" t="s">
        <v>296</v>
      </c>
      <c r="R75" s="2547" t="s">
        <v>296</v>
      </c>
    </row>
    <row r="76" spans="1:18" s="2508" customFormat="1" ht="26.4">
      <c r="A76" s="2116" t="s">
        <v>1202</v>
      </c>
      <c r="B76" s="2116" t="s">
        <v>1203</v>
      </c>
      <c r="C76" s="2116" t="s">
        <v>1209</v>
      </c>
      <c r="D76" s="2116" t="s">
        <v>1205</v>
      </c>
      <c r="E76" s="2116" t="s">
        <v>1206</v>
      </c>
      <c r="F76" s="2116">
        <v>1</v>
      </c>
      <c r="G76" s="2116" t="s">
        <v>105</v>
      </c>
      <c r="H76" s="2116" t="s">
        <v>17</v>
      </c>
      <c r="I76" s="2116" t="s">
        <v>1210</v>
      </c>
      <c r="J76" s="2116">
        <v>3</v>
      </c>
      <c r="K76" s="2117">
        <v>5</v>
      </c>
      <c r="L76" s="2117">
        <v>5</v>
      </c>
      <c r="M76" s="2116">
        <v>18</v>
      </c>
      <c r="N76" s="2117">
        <v>61.22</v>
      </c>
      <c r="O76" s="2116" t="s">
        <v>1208</v>
      </c>
      <c r="P76" s="2547" t="s">
        <v>296</v>
      </c>
      <c r="Q76" s="2547" t="s">
        <v>296</v>
      </c>
      <c r="R76" s="2547" t="s">
        <v>296</v>
      </c>
    </row>
    <row r="77" spans="1:18" s="2508" customFormat="1" ht="26.4">
      <c r="A77" s="2116" t="s">
        <v>1202</v>
      </c>
      <c r="B77" s="2116" t="s">
        <v>1203</v>
      </c>
      <c r="C77" s="2116" t="s">
        <v>1209</v>
      </c>
      <c r="D77" s="2116" t="s">
        <v>1205</v>
      </c>
      <c r="E77" s="2116" t="s">
        <v>1206</v>
      </c>
      <c r="F77" s="2116">
        <v>1</v>
      </c>
      <c r="G77" s="2116" t="s">
        <v>105</v>
      </c>
      <c r="H77" s="2116" t="s">
        <v>17</v>
      </c>
      <c r="I77" s="2116" t="s">
        <v>1211</v>
      </c>
      <c r="J77" s="2116">
        <v>1</v>
      </c>
      <c r="K77" s="2117">
        <v>5</v>
      </c>
      <c r="L77" s="2117">
        <v>5</v>
      </c>
      <c r="M77" s="2116">
        <v>30</v>
      </c>
      <c r="N77" s="2117">
        <v>24.86</v>
      </c>
      <c r="O77" s="2116" t="s">
        <v>1208</v>
      </c>
      <c r="P77" s="2547" t="s">
        <v>296</v>
      </c>
      <c r="Q77" s="2547" t="s">
        <v>296</v>
      </c>
      <c r="R77" s="2547" t="s">
        <v>296</v>
      </c>
    </row>
    <row r="78" spans="1:18" s="2508" customFormat="1" ht="26.4">
      <c r="A78" s="2116" t="s">
        <v>1202</v>
      </c>
      <c r="B78" s="2116" t="s">
        <v>1203</v>
      </c>
      <c r="C78" s="2116" t="s">
        <v>1209</v>
      </c>
      <c r="D78" s="2116" t="s">
        <v>1205</v>
      </c>
      <c r="E78" s="2116" t="s">
        <v>1206</v>
      </c>
      <c r="F78" s="2116">
        <v>1</v>
      </c>
      <c r="G78" s="2116" t="s">
        <v>105</v>
      </c>
      <c r="H78" s="2116" t="s">
        <v>17</v>
      </c>
      <c r="I78" s="2116" t="s">
        <v>1212</v>
      </c>
      <c r="J78" s="2116">
        <v>2</v>
      </c>
      <c r="K78" s="2117">
        <v>5</v>
      </c>
      <c r="L78" s="2117">
        <v>5</v>
      </c>
      <c r="M78" s="2116">
        <v>20</v>
      </c>
      <c r="N78" s="2117">
        <v>31.96</v>
      </c>
      <c r="O78" s="2116" t="s">
        <v>1208</v>
      </c>
      <c r="P78" s="2549"/>
      <c r="Q78" s="2547" t="s">
        <v>296</v>
      </c>
      <c r="R78" s="2547" t="s">
        <v>296</v>
      </c>
    </row>
    <row r="79" spans="1:18" s="2508" customFormat="1" ht="26.4">
      <c r="A79" s="2116" t="s">
        <v>1202</v>
      </c>
      <c r="B79" s="2116" t="s">
        <v>1213</v>
      </c>
      <c r="C79" s="2116" t="s">
        <v>1214</v>
      </c>
      <c r="D79" s="2116" t="s">
        <v>1215</v>
      </c>
      <c r="E79" s="2116" t="s">
        <v>1206</v>
      </c>
      <c r="F79" s="2116">
        <v>1</v>
      </c>
      <c r="G79" s="2116" t="s">
        <v>105</v>
      </c>
      <c r="H79" s="2116" t="s">
        <v>16</v>
      </c>
      <c r="I79" s="2116" t="s">
        <v>1216</v>
      </c>
      <c r="J79" s="2116">
        <v>23</v>
      </c>
      <c r="K79" s="2117">
        <v>19</v>
      </c>
      <c r="L79" s="2117">
        <v>19</v>
      </c>
      <c r="M79" s="2116">
        <v>32</v>
      </c>
      <c r="N79" s="2117">
        <v>652.4</v>
      </c>
      <c r="O79" s="2116" t="s">
        <v>1217</v>
      </c>
      <c r="P79" s="2547" t="s">
        <v>296</v>
      </c>
      <c r="Q79" s="2547" t="s">
        <v>296</v>
      </c>
      <c r="R79" s="2547" t="s">
        <v>296</v>
      </c>
    </row>
    <row r="80" spans="1:18" s="2508" customFormat="1" ht="26.4">
      <c r="A80" s="2116" t="s">
        <v>1202</v>
      </c>
      <c r="B80" s="2116" t="s">
        <v>1213</v>
      </c>
      <c r="C80" s="2116" t="s">
        <v>1218</v>
      </c>
      <c r="D80" s="2116" t="s">
        <v>1215</v>
      </c>
      <c r="E80" s="2116" t="s">
        <v>1206</v>
      </c>
      <c r="F80" s="2116">
        <v>1</v>
      </c>
      <c r="G80" s="2116" t="s">
        <v>105</v>
      </c>
      <c r="H80" s="2116" t="s">
        <v>16</v>
      </c>
      <c r="I80" s="2116" t="s">
        <v>1216</v>
      </c>
      <c r="J80" s="2116">
        <v>3</v>
      </c>
      <c r="K80" s="2117">
        <v>19</v>
      </c>
      <c r="L80" s="2117">
        <v>19</v>
      </c>
      <c r="M80" s="2116">
        <v>32</v>
      </c>
      <c r="N80" s="2117">
        <v>86.44</v>
      </c>
      <c r="O80" s="2116" t="s">
        <v>1217</v>
      </c>
      <c r="P80" s="2547" t="s">
        <v>296</v>
      </c>
      <c r="Q80" s="2547" t="s">
        <v>296</v>
      </c>
      <c r="R80" s="2547" t="s">
        <v>296</v>
      </c>
    </row>
    <row r="81" spans="1:18" s="2508" customFormat="1" ht="26.4">
      <c r="A81" s="2116" t="s">
        <v>1202</v>
      </c>
      <c r="B81" s="2116" t="s">
        <v>1219</v>
      </c>
      <c r="C81" s="2116" t="s">
        <v>1220</v>
      </c>
      <c r="D81" s="2116" t="s">
        <v>1221</v>
      </c>
      <c r="E81" s="2116" t="s">
        <v>1206</v>
      </c>
      <c r="F81" s="2116">
        <v>1</v>
      </c>
      <c r="G81" s="2116" t="s">
        <v>1222</v>
      </c>
      <c r="H81" s="2116" t="s">
        <v>243</v>
      </c>
      <c r="I81" s="2116" t="s">
        <v>1223</v>
      </c>
      <c r="J81" s="2116">
        <v>11</v>
      </c>
      <c r="K81" s="2117">
        <v>0</v>
      </c>
      <c r="L81" s="2117">
        <v>0</v>
      </c>
      <c r="M81" s="2116">
        <v>30000</v>
      </c>
      <c r="N81" s="2117">
        <v>391.06</v>
      </c>
      <c r="O81" s="2116" t="s">
        <v>1224</v>
      </c>
      <c r="P81" s="2547" t="s">
        <v>296</v>
      </c>
      <c r="Q81" s="2547" t="s">
        <v>296</v>
      </c>
      <c r="R81" s="2547" t="s">
        <v>296</v>
      </c>
    </row>
    <row r="82" spans="1:18" s="2508" customFormat="1" ht="26.4">
      <c r="A82" s="2116" t="s">
        <v>1202</v>
      </c>
      <c r="B82" s="2116" t="s">
        <v>1219</v>
      </c>
      <c r="C82" s="2116" t="s">
        <v>1220</v>
      </c>
      <c r="D82" s="2116" t="s">
        <v>1221</v>
      </c>
      <c r="E82" s="2116" t="s">
        <v>1206</v>
      </c>
      <c r="F82" s="2116">
        <v>1</v>
      </c>
      <c r="G82" s="2116" t="s">
        <v>1222</v>
      </c>
      <c r="H82" s="2116" t="s">
        <v>243</v>
      </c>
      <c r="I82" s="2116" t="s">
        <v>1225</v>
      </c>
      <c r="J82" s="2116">
        <v>31</v>
      </c>
      <c r="K82" s="2117">
        <v>0</v>
      </c>
      <c r="L82" s="2117">
        <v>0</v>
      </c>
      <c r="M82" s="2116">
        <v>45000</v>
      </c>
      <c r="N82" s="2117">
        <v>1018.9</v>
      </c>
      <c r="O82" s="2116" t="s">
        <v>1224</v>
      </c>
      <c r="P82" s="2547" t="s">
        <v>296</v>
      </c>
      <c r="Q82" s="2547" t="s">
        <v>296</v>
      </c>
      <c r="R82" s="2547" t="s">
        <v>296</v>
      </c>
    </row>
    <row r="83" spans="1:18" s="2508" customFormat="1" ht="26.4">
      <c r="A83" s="2116" t="s">
        <v>1202</v>
      </c>
      <c r="B83" s="2116" t="s">
        <v>1203</v>
      </c>
      <c r="C83" s="2116" t="s">
        <v>1226</v>
      </c>
      <c r="D83" s="2116" t="s">
        <v>1205</v>
      </c>
      <c r="E83" s="2116" t="s">
        <v>1227</v>
      </c>
      <c r="F83" s="2116">
        <v>2</v>
      </c>
      <c r="G83" s="2116" t="s">
        <v>105</v>
      </c>
      <c r="H83" s="2116" t="s">
        <v>17</v>
      </c>
      <c r="I83" s="2116" t="s">
        <v>1207</v>
      </c>
      <c r="J83" s="2116">
        <v>9</v>
      </c>
      <c r="K83" s="2117">
        <v>5</v>
      </c>
      <c r="L83" s="2117">
        <v>5</v>
      </c>
      <c r="M83" s="2116">
        <v>45000</v>
      </c>
      <c r="N83" s="2117">
        <v>198.76</v>
      </c>
      <c r="O83" s="2116" t="s">
        <v>1208</v>
      </c>
      <c r="P83" s="2547" t="s">
        <v>296</v>
      </c>
      <c r="Q83" s="2547" t="s">
        <v>296</v>
      </c>
      <c r="R83" s="2547" t="s">
        <v>296</v>
      </c>
    </row>
    <row r="84" spans="1:18" s="2508" customFormat="1" ht="26.4">
      <c r="A84" s="2116" t="s">
        <v>1202</v>
      </c>
      <c r="B84" s="2116" t="s">
        <v>1203</v>
      </c>
      <c r="C84" s="2116" t="s">
        <v>1228</v>
      </c>
      <c r="D84" s="2116" t="s">
        <v>1205</v>
      </c>
      <c r="E84" s="2116" t="s">
        <v>1227</v>
      </c>
      <c r="F84" s="2116">
        <v>2</v>
      </c>
      <c r="G84" s="2116" t="s">
        <v>105</v>
      </c>
      <c r="H84" s="2116" t="s">
        <v>17</v>
      </c>
      <c r="I84" s="2116" t="s">
        <v>1207</v>
      </c>
      <c r="J84" s="2116">
        <v>12</v>
      </c>
      <c r="K84" s="2117">
        <v>5</v>
      </c>
      <c r="L84" s="2117">
        <v>5</v>
      </c>
      <c r="M84" s="2116">
        <v>45000</v>
      </c>
      <c r="N84" s="2117">
        <v>284.14</v>
      </c>
      <c r="O84" s="2116" t="s">
        <v>1208</v>
      </c>
      <c r="P84" s="2547" t="s">
        <v>296</v>
      </c>
      <c r="Q84" s="2547" t="s">
        <v>296</v>
      </c>
      <c r="R84" s="2547" t="s">
        <v>296</v>
      </c>
    </row>
    <row r="85" spans="1:18" s="2508" customFormat="1" ht="26.4">
      <c r="A85" s="2116" t="s">
        <v>1202</v>
      </c>
      <c r="B85" s="2116" t="s">
        <v>1213</v>
      </c>
      <c r="C85" s="2116" t="s">
        <v>1214</v>
      </c>
      <c r="D85" s="2116" t="s">
        <v>1215</v>
      </c>
      <c r="E85" s="2116" t="s">
        <v>1227</v>
      </c>
      <c r="F85" s="2116">
        <v>2</v>
      </c>
      <c r="G85" s="2116" t="s">
        <v>105</v>
      </c>
      <c r="H85" s="2116" t="s">
        <v>16</v>
      </c>
      <c r="I85" s="2116" t="s">
        <v>1216</v>
      </c>
      <c r="J85" s="2116">
        <v>29</v>
      </c>
      <c r="K85" s="2117">
        <v>19</v>
      </c>
      <c r="L85" s="2117">
        <v>19</v>
      </c>
      <c r="M85" s="2116">
        <v>32</v>
      </c>
      <c r="N85" s="2117">
        <v>816.54</v>
      </c>
      <c r="O85" s="2116" t="s">
        <v>1217</v>
      </c>
      <c r="P85" s="2547" t="s">
        <v>296</v>
      </c>
      <c r="Q85" s="2547" t="s">
        <v>296</v>
      </c>
      <c r="R85" s="2547" t="s">
        <v>296</v>
      </c>
    </row>
    <row r="86" spans="1:18" s="2508" customFormat="1" ht="26.4">
      <c r="A86" s="2116" t="s">
        <v>1202</v>
      </c>
      <c r="B86" s="2116" t="s">
        <v>1203</v>
      </c>
      <c r="C86" s="2116" t="s">
        <v>1229</v>
      </c>
      <c r="D86" s="2116" t="s">
        <v>1205</v>
      </c>
      <c r="E86" s="2116" t="s">
        <v>1227</v>
      </c>
      <c r="F86" s="2116">
        <v>2</v>
      </c>
      <c r="G86" s="2116" t="s">
        <v>105</v>
      </c>
      <c r="H86" s="2116" t="s">
        <v>18</v>
      </c>
      <c r="I86" s="2116" t="s">
        <v>1230</v>
      </c>
      <c r="J86" s="2116">
        <v>21</v>
      </c>
      <c r="K86" s="2117">
        <v>5</v>
      </c>
      <c r="L86" s="2117">
        <v>5</v>
      </c>
      <c r="M86" s="2116">
        <v>25</v>
      </c>
      <c r="N86" s="2117">
        <v>417.8</v>
      </c>
      <c r="O86" s="2116" t="s">
        <v>1208</v>
      </c>
      <c r="P86" s="2547" t="s">
        <v>296</v>
      </c>
      <c r="Q86" s="2547" t="s">
        <v>296</v>
      </c>
      <c r="R86" s="2547" t="s">
        <v>296</v>
      </c>
    </row>
    <row r="87" spans="1:18" s="2508" customFormat="1" ht="26.4">
      <c r="A87" s="2116" t="s">
        <v>1202</v>
      </c>
      <c r="B87" s="2116" t="s">
        <v>1203</v>
      </c>
      <c r="C87" s="2116" t="s">
        <v>1231</v>
      </c>
      <c r="D87" s="2116" t="s">
        <v>1205</v>
      </c>
      <c r="E87" s="2116" t="s">
        <v>1232</v>
      </c>
      <c r="F87" s="2116">
        <v>1</v>
      </c>
      <c r="G87" s="2116" t="s">
        <v>105</v>
      </c>
      <c r="H87" s="2116" t="s">
        <v>17</v>
      </c>
      <c r="I87" s="2116" t="s">
        <v>1207</v>
      </c>
      <c r="J87" s="2116">
        <v>10</v>
      </c>
      <c r="K87" s="2117">
        <v>5</v>
      </c>
      <c r="L87" s="2117">
        <v>5</v>
      </c>
      <c r="M87" s="2116">
        <v>45000</v>
      </c>
      <c r="N87" s="2117">
        <v>249.82</v>
      </c>
      <c r="O87" s="2116" t="s">
        <v>1208</v>
      </c>
      <c r="P87" s="2547" t="s">
        <v>296</v>
      </c>
      <c r="Q87" s="2547" t="s">
        <v>296</v>
      </c>
      <c r="R87" s="2547" t="s">
        <v>296</v>
      </c>
    </row>
    <row r="88" spans="1:18" s="2508" customFormat="1" ht="26.4">
      <c r="A88" s="2116" t="s">
        <v>1202</v>
      </c>
      <c r="B88" s="2116" t="s">
        <v>1203</v>
      </c>
      <c r="C88" s="2116" t="s">
        <v>1231</v>
      </c>
      <c r="D88" s="2116" t="s">
        <v>1205</v>
      </c>
      <c r="E88" s="2116" t="s">
        <v>1232</v>
      </c>
      <c r="F88" s="2116">
        <v>1</v>
      </c>
      <c r="G88" s="2116" t="s">
        <v>105</v>
      </c>
      <c r="H88" s="2116" t="s">
        <v>17</v>
      </c>
      <c r="I88" s="2116" t="s">
        <v>1210</v>
      </c>
      <c r="J88" s="2116">
        <v>1</v>
      </c>
      <c r="K88" s="2117">
        <v>5</v>
      </c>
      <c r="L88" s="2117">
        <v>5</v>
      </c>
      <c r="M88" s="2116">
        <v>18</v>
      </c>
      <c r="N88" s="2117">
        <v>21.14</v>
      </c>
      <c r="O88" s="2116" t="s">
        <v>1208</v>
      </c>
      <c r="P88" s="2547" t="s">
        <v>296</v>
      </c>
      <c r="Q88" s="2547" t="s">
        <v>296</v>
      </c>
      <c r="R88" s="2547" t="s">
        <v>296</v>
      </c>
    </row>
    <row r="89" spans="1:18" s="2265" customFormat="1" ht="26.4">
      <c r="A89" s="2116" t="s">
        <v>1202</v>
      </c>
      <c r="B89" s="2116" t="s">
        <v>1203</v>
      </c>
      <c r="C89" s="2116" t="s">
        <v>1231</v>
      </c>
      <c r="D89" s="2116" t="s">
        <v>1205</v>
      </c>
      <c r="E89" s="2116" t="s">
        <v>1232</v>
      </c>
      <c r="F89" s="2116">
        <v>1</v>
      </c>
      <c r="G89" s="2116" t="s">
        <v>105</v>
      </c>
      <c r="H89" s="2116" t="s">
        <v>17</v>
      </c>
      <c r="I89" s="2116" t="s">
        <v>1212</v>
      </c>
      <c r="J89" s="2116">
        <v>1</v>
      </c>
      <c r="K89" s="2117">
        <v>5</v>
      </c>
      <c r="L89" s="2117">
        <v>5</v>
      </c>
      <c r="M89" s="2116">
        <v>20</v>
      </c>
      <c r="N89" s="2117">
        <v>16.239999999999998</v>
      </c>
      <c r="O89" s="2116" t="s">
        <v>1208</v>
      </c>
      <c r="P89" s="2116" t="s">
        <v>296</v>
      </c>
      <c r="Q89" s="2116" t="s">
        <v>296</v>
      </c>
      <c r="R89" s="2116" t="s">
        <v>296</v>
      </c>
    </row>
    <row r="90" spans="1:18" s="2265" customFormat="1" ht="26.4">
      <c r="A90" s="2116" t="s">
        <v>1202</v>
      </c>
      <c r="B90" s="2116" t="s">
        <v>1213</v>
      </c>
      <c r="C90" s="2116" t="s">
        <v>1214</v>
      </c>
      <c r="D90" s="2116" t="s">
        <v>1215</v>
      </c>
      <c r="E90" s="2116" t="s">
        <v>1232</v>
      </c>
      <c r="F90" s="2116">
        <v>1</v>
      </c>
      <c r="G90" s="2116" t="s">
        <v>105</v>
      </c>
      <c r="H90" s="2116" t="s">
        <v>16</v>
      </c>
      <c r="I90" s="2116" t="s">
        <v>1216</v>
      </c>
      <c r="J90" s="2116">
        <v>28</v>
      </c>
      <c r="K90" s="2117">
        <v>19</v>
      </c>
      <c r="L90" s="2117">
        <v>19</v>
      </c>
      <c r="M90" s="2116">
        <v>32</v>
      </c>
      <c r="N90" s="2117">
        <v>785.02</v>
      </c>
      <c r="O90" s="2116" t="s">
        <v>1217</v>
      </c>
      <c r="P90" s="2116" t="s">
        <v>296</v>
      </c>
      <c r="Q90" s="2116" t="s">
        <v>296</v>
      </c>
      <c r="R90" s="2116" t="s">
        <v>296</v>
      </c>
    </row>
    <row r="91" spans="1:18" s="2265" customFormat="1" ht="26.4">
      <c r="A91" s="2116" t="s">
        <v>1202</v>
      </c>
      <c r="B91" s="2116" t="s">
        <v>1203</v>
      </c>
      <c r="C91" s="2116" t="s">
        <v>1229</v>
      </c>
      <c r="D91" s="2116" t="s">
        <v>1205</v>
      </c>
      <c r="E91" s="2116" t="s">
        <v>1232</v>
      </c>
      <c r="F91" s="2116">
        <v>1</v>
      </c>
      <c r="G91" s="2116" t="s">
        <v>105</v>
      </c>
      <c r="H91" s="2116" t="s">
        <v>18</v>
      </c>
      <c r="I91" s="2116" t="s">
        <v>1230</v>
      </c>
      <c r="J91" s="2116">
        <v>3</v>
      </c>
      <c r="K91" s="2117">
        <v>5</v>
      </c>
      <c r="L91" s="2117">
        <v>5</v>
      </c>
      <c r="M91" s="2116">
        <v>25</v>
      </c>
      <c r="N91" s="2117">
        <v>61.18</v>
      </c>
      <c r="O91" s="2116" t="s">
        <v>1208</v>
      </c>
      <c r="P91" s="2116" t="s">
        <v>296</v>
      </c>
      <c r="Q91" s="2116" t="s">
        <v>296</v>
      </c>
      <c r="R91" s="2116" t="s">
        <v>296</v>
      </c>
    </row>
    <row r="92" spans="1:18" s="2265" customFormat="1" ht="26.4">
      <c r="A92" s="2116" t="s">
        <v>1202</v>
      </c>
      <c r="B92" s="2116" t="s">
        <v>1219</v>
      </c>
      <c r="C92" s="2116" t="s">
        <v>1220</v>
      </c>
      <c r="D92" s="2116" t="s">
        <v>1221</v>
      </c>
      <c r="E92" s="2116" t="s">
        <v>1232</v>
      </c>
      <c r="F92" s="2116">
        <v>1</v>
      </c>
      <c r="G92" s="2116" t="s">
        <v>1222</v>
      </c>
      <c r="H92" s="2116" t="s">
        <v>243</v>
      </c>
      <c r="I92" s="2116" t="s">
        <v>1233</v>
      </c>
      <c r="J92" s="2116">
        <v>4</v>
      </c>
      <c r="K92" s="2117">
        <v>0</v>
      </c>
      <c r="L92" s="2117">
        <v>0</v>
      </c>
      <c r="M92" s="2116">
        <v>45000</v>
      </c>
      <c r="N92" s="2117">
        <v>128.12</v>
      </c>
      <c r="O92" s="2116" t="s">
        <v>1224</v>
      </c>
      <c r="P92" s="2116" t="s">
        <v>296</v>
      </c>
      <c r="Q92" s="2116" t="s">
        <v>296</v>
      </c>
      <c r="R92" s="2116" t="s">
        <v>296</v>
      </c>
    </row>
    <row r="93" spans="1:18" s="2265" customFormat="1" ht="26.4">
      <c r="A93" s="2116" t="s">
        <v>1202</v>
      </c>
      <c r="B93" s="2116" t="s">
        <v>1219</v>
      </c>
      <c r="C93" s="2116" t="s">
        <v>1220</v>
      </c>
      <c r="D93" s="2116" t="s">
        <v>1221</v>
      </c>
      <c r="E93" s="2116" t="s">
        <v>1232</v>
      </c>
      <c r="F93" s="2116">
        <v>1</v>
      </c>
      <c r="G93" s="2116" t="s">
        <v>1222</v>
      </c>
      <c r="H93" s="2116" t="s">
        <v>243</v>
      </c>
      <c r="I93" s="2116" t="s">
        <v>1223</v>
      </c>
      <c r="J93" s="2116">
        <v>14</v>
      </c>
      <c r="K93" s="2117">
        <v>0</v>
      </c>
      <c r="L93" s="2117">
        <v>0</v>
      </c>
      <c r="M93" s="2116">
        <v>30000</v>
      </c>
      <c r="N93" s="2117">
        <v>504.38</v>
      </c>
      <c r="O93" s="2116" t="s">
        <v>1224</v>
      </c>
      <c r="P93" s="2116" t="s">
        <v>296</v>
      </c>
      <c r="Q93" s="2116" t="s">
        <v>296</v>
      </c>
      <c r="R93" s="2116" t="s">
        <v>296</v>
      </c>
    </row>
    <row r="94" spans="1:18" s="2265" customFormat="1" ht="26.4">
      <c r="A94" s="2116" t="s">
        <v>1202</v>
      </c>
      <c r="B94" s="2116" t="s">
        <v>1219</v>
      </c>
      <c r="C94" s="2116" t="s">
        <v>1220</v>
      </c>
      <c r="D94" s="2116" t="s">
        <v>1221</v>
      </c>
      <c r="E94" s="2116" t="s">
        <v>1232</v>
      </c>
      <c r="F94" s="2116">
        <v>1</v>
      </c>
      <c r="G94" s="2116" t="s">
        <v>1222</v>
      </c>
      <c r="H94" s="2116" t="s">
        <v>243</v>
      </c>
      <c r="I94" s="2116" t="s">
        <v>1225</v>
      </c>
      <c r="J94" s="2116">
        <v>26</v>
      </c>
      <c r="K94" s="2117">
        <v>0</v>
      </c>
      <c r="L94" s="2117">
        <v>0</v>
      </c>
      <c r="M94" s="2116">
        <v>45000</v>
      </c>
      <c r="N94" s="2117">
        <v>865.74</v>
      </c>
      <c r="O94" s="2116" t="s">
        <v>1224</v>
      </c>
      <c r="P94" s="2116" t="s">
        <v>296</v>
      </c>
      <c r="Q94" s="2116" t="s">
        <v>296</v>
      </c>
      <c r="R94" s="2116" t="s">
        <v>296</v>
      </c>
    </row>
    <row r="95" spans="1:18" s="2265" customFormat="1" ht="26.4">
      <c r="A95" s="2116" t="s">
        <v>1202</v>
      </c>
      <c r="B95" s="2116" t="s">
        <v>1203</v>
      </c>
      <c r="C95" s="2116" t="s">
        <v>1231</v>
      </c>
      <c r="D95" s="2116" t="s">
        <v>1205</v>
      </c>
      <c r="E95" s="2116" t="s">
        <v>1234</v>
      </c>
      <c r="F95" s="2116">
        <v>2</v>
      </c>
      <c r="G95" s="2116" t="s">
        <v>105</v>
      </c>
      <c r="H95" s="2116" t="s">
        <v>17</v>
      </c>
      <c r="I95" s="2116" t="s">
        <v>1207</v>
      </c>
      <c r="J95" s="2116">
        <v>18</v>
      </c>
      <c r="K95" s="2117">
        <v>5</v>
      </c>
      <c r="L95" s="2117">
        <v>5</v>
      </c>
      <c r="M95" s="2116">
        <v>45000</v>
      </c>
      <c r="N95" s="2117">
        <v>471.02</v>
      </c>
      <c r="O95" s="2116" t="s">
        <v>1208</v>
      </c>
      <c r="P95" s="2116" t="s">
        <v>296</v>
      </c>
      <c r="Q95" s="2116" t="s">
        <v>296</v>
      </c>
      <c r="R95" s="2116" t="s">
        <v>296</v>
      </c>
    </row>
    <row r="96" spans="1:18" s="2265" customFormat="1" ht="26.4">
      <c r="A96" s="2116" t="s">
        <v>1202</v>
      </c>
      <c r="B96" s="2116" t="s">
        <v>1203</v>
      </c>
      <c r="C96" s="2116" t="s">
        <v>1235</v>
      </c>
      <c r="D96" s="2116" t="s">
        <v>1205</v>
      </c>
      <c r="E96" s="2116" t="s">
        <v>1234</v>
      </c>
      <c r="F96" s="2116">
        <v>2</v>
      </c>
      <c r="G96" s="2116" t="s">
        <v>105</v>
      </c>
      <c r="H96" s="2116" t="s">
        <v>17</v>
      </c>
      <c r="I96" s="2116" t="s">
        <v>1207</v>
      </c>
      <c r="J96" s="2116">
        <v>25</v>
      </c>
      <c r="K96" s="2117">
        <v>5</v>
      </c>
      <c r="L96" s="2117">
        <v>5</v>
      </c>
      <c r="M96" s="2116">
        <v>45000</v>
      </c>
      <c r="N96" s="2117">
        <v>650.91999999999996</v>
      </c>
      <c r="O96" s="2116" t="s">
        <v>1208</v>
      </c>
      <c r="P96" s="2116" t="s">
        <v>296</v>
      </c>
      <c r="Q96" s="2116" t="s">
        <v>296</v>
      </c>
      <c r="R96" s="2116" t="s">
        <v>296</v>
      </c>
    </row>
    <row r="97" spans="1:18" s="2265" customFormat="1" ht="26.4">
      <c r="A97" s="2116" t="s">
        <v>1202</v>
      </c>
      <c r="B97" s="2116" t="s">
        <v>1203</v>
      </c>
      <c r="C97" s="2116" t="s">
        <v>1235</v>
      </c>
      <c r="D97" s="2116" t="s">
        <v>1205</v>
      </c>
      <c r="E97" s="2116" t="s">
        <v>1234</v>
      </c>
      <c r="F97" s="2116">
        <v>2</v>
      </c>
      <c r="G97" s="2116" t="s">
        <v>105</v>
      </c>
      <c r="H97" s="2116" t="s">
        <v>17</v>
      </c>
      <c r="I97" s="2116" t="s">
        <v>1212</v>
      </c>
      <c r="J97" s="2116">
        <v>9</v>
      </c>
      <c r="K97" s="2117">
        <v>5</v>
      </c>
      <c r="L97" s="2117">
        <v>5</v>
      </c>
      <c r="M97" s="2116">
        <v>20</v>
      </c>
      <c r="N97" s="2117">
        <v>126.52</v>
      </c>
      <c r="O97" s="2116" t="s">
        <v>1208</v>
      </c>
      <c r="P97" s="2116" t="s">
        <v>296</v>
      </c>
      <c r="Q97" s="2116" t="s">
        <v>296</v>
      </c>
      <c r="R97" s="2116" t="s">
        <v>296</v>
      </c>
    </row>
    <row r="98" spans="1:18" s="2265" customFormat="1" ht="26.4">
      <c r="A98" s="2116" t="s">
        <v>1202</v>
      </c>
      <c r="B98" s="2116" t="s">
        <v>1213</v>
      </c>
      <c r="C98" s="2116" t="s">
        <v>1214</v>
      </c>
      <c r="D98" s="2116" t="s">
        <v>1215</v>
      </c>
      <c r="E98" s="2116" t="s">
        <v>1234</v>
      </c>
      <c r="F98" s="2116">
        <v>2</v>
      </c>
      <c r="G98" s="2116" t="s">
        <v>105</v>
      </c>
      <c r="H98" s="2116" t="s">
        <v>16</v>
      </c>
      <c r="I98" s="2116" t="s">
        <v>1216</v>
      </c>
      <c r="J98" s="2116">
        <v>4</v>
      </c>
      <c r="K98" s="2117">
        <v>19</v>
      </c>
      <c r="L98" s="2117">
        <v>19</v>
      </c>
      <c r="M98" s="2116">
        <v>32</v>
      </c>
      <c r="N98" s="2117">
        <v>113.1</v>
      </c>
      <c r="O98" s="2116" t="s">
        <v>1217</v>
      </c>
      <c r="P98" s="2116" t="s">
        <v>296</v>
      </c>
      <c r="Q98" s="2116" t="s">
        <v>296</v>
      </c>
      <c r="R98" s="2116" t="s">
        <v>296</v>
      </c>
    </row>
    <row r="99" spans="1:18" s="2265" customFormat="1" ht="26.4">
      <c r="A99" s="2116" t="s">
        <v>1202</v>
      </c>
      <c r="B99" s="2116" t="s">
        <v>1213</v>
      </c>
      <c r="C99" s="2116" t="s">
        <v>1236</v>
      </c>
      <c r="D99" s="2116" t="s">
        <v>1215</v>
      </c>
      <c r="E99" s="2116" t="s">
        <v>1234</v>
      </c>
      <c r="F99" s="2116">
        <v>2</v>
      </c>
      <c r="G99" s="2116" t="s">
        <v>105</v>
      </c>
      <c r="H99" s="2116" t="s">
        <v>16</v>
      </c>
      <c r="I99" s="2116" t="s">
        <v>1216</v>
      </c>
      <c r="J99" s="2116">
        <v>29</v>
      </c>
      <c r="K99" s="2117">
        <v>19</v>
      </c>
      <c r="L99" s="2117">
        <v>19</v>
      </c>
      <c r="M99" s="2116">
        <v>32</v>
      </c>
      <c r="N99" s="2117">
        <v>842.8</v>
      </c>
      <c r="O99" s="2116" t="s">
        <v>1217</v>
      </c>
      <c r="P99" s="2116" t="s">
        <v>296</v>
      </c>
      <c r="Q99" s="2116" t="s">
        <v>296</v>
      </c>
      <c r="R99" s="2116" t="s">
        <v>296</v>
      </c>
    </row>
    <row r="100" spans="1:18" s="2265" customFormat="1" ht="26.4">
      <c r="A100" s="2116" t="s">
        <v>1202</v>
      </c>
      <c r="B100" s="2116" t="s">
        <v>1213</v>
      </c>
      <c r="C100" s="2116" t="s">
        <v>1214</v>
      </c>
      <c r="D100" s="2116" t="s">
        <v>1215</v>
      </c>
      <c r="E100" s="2116" t="s">
        <v>1234</v>
      </c>
      <c r="F100" s="2116">
        <v>2</v>
      </c>
      <c r="G100" s="2116" t="s">
        <v>105</v>
      </c>
      <c r="H100" s="2116" t="s">
        <v>16</v>
      </c>
      <c r="I100" s="2116" t="s">
        <v>1237</v>
      </c>
      <c r="J100" s="2116">
        <v>1</v>
      </c>
      <c r="K100" s="2117">
        <v>19</v>
      </c>
      <c r="L100" s="2117">
        <v>19</v>
      </c>
      <c r="M100" s="2116">
        <v>32000</v>
      </c>
      <c r="N100" s="2117">
        <v>27.96</v>
      </c>
      <c r="O100" s="2116" t="s">
        <v>1217</v>
      </c>
      <c r="P100" s="2116" t="s">
        <v>296</v>
      </c>
      <c r="Q100" s="2116" t="s">
        <v>296</v>
      </c>
      <c r="R100" s="2116" t="s">
        <v>296</v>
      </c>
    </row>
    <row r="101" spans="1:18" s="2265" customFormat="1" ht="26.4">
      <c r="A101" s="2116" t="s">
        <v>1202</v>
      </c>
      <c r="B101" s="2116" t="s">
        <v>1213</v>
      </c>
      <c r="C101" s="2116" t="s">
        <v>1236</v>
      </c>
      <c r="D101" s="2116" t="s">
        <v>1215</v>
      </c>
      <c r="E101" s="2116" t="s">
        <v>1234</v>
      </c>
      <c r="F101" s="2116">
        <v>2</v>
      </c>
      <c r="G101" s="2116" t="s">
        <v>105</v>
      </c>
      <c r="H101" s="2116" t="s">
        <v>16</v>
      </c>
      <c r="I101" s="2116" t="s">
        <v>1237</v>
      </c>
      <c r="J101" s="2116">
        <v>36</v>
      </c>
      <c r="K101" s="2117">
        <v>19</v>
      </c>
      <c r="L101" s="2117">
        <v>19</v>
      </c>
      <c r="M101" s="2116">
        <v>32000</v>
      </c>
      <c r="N101" s="2117">
        <v>1030.2</v>
      </c>
      <c r="O101" s="2116" t="s">
        <v>1217</v>
      </c>
      <c r="P101" s="2116" t="s">
        <v>296</v>
      </c>
      <c r="Q101" s="2116" t="s">
        <v>296</v>
      </c>
      <c r="R101" s="2116" t="s">
        <v>296</v>
      </c>
    </row>
    <row r="102" spans="1:18" s="2265" customFormat="1" ht="26.4">
      <c r="A102" s="2116" t="s">
        <v>1202</v>
      </c>
      <c r="B102" s="2116" t="s">
        <v>1203</v>
      </c>
      <c r="C102" s="2116" t="s">
        <v>1235</v>
      </c>
      <c r="D102" s="2116" t="s">
        <v>1205</v>
      </c>
      <c r="E102" s="2116" t="s">
        <v>1238</v>
      </c>
      <c r="F102" s="2116">
        <v>1</v>
      </c>
      <c r="G102" s="2116" t="s">
        <v>105</v>
      </c>
      <c r="H102" s="2116" t="s">
        <v>17</v>
      </c>
      <c r="I102" s="2116" t="s">
        <v>1207</v>
      </c>
      <c r="J102" s="2116">
        <v>22</v>
      </c>
      <c r="K102" s="2117">
        <v>5</v>
      </c>
      <c r="L102" s="2117">
        <v>5</v>
      </c>
      <c r="M102" s="2116">
        <v>45000</v>
      </c>
      <c r="N102" s="2117">
        <v>556.16</v>
      </c>
      <c r="O102" s="2116" t="s">
        <v>1208</v>
      </c>
      <c r="P102" s="2116" t="s">
        <v>296</v>
      </c>
      <c r="Q102" s="2116" t="s">
        <v>296</v>
      </c>
      <c r="R102" s="2116" t="s">
        <v>296</v>
      </c>
    </row>
    <row r="103" spans="1:18" s="2265" customFormat="1" ht="26.4">
      <c r="A103" s="2116" t="s">
        <v>1202</v>
      </c>
      <c r="B103" s="2116" t="s">
        <v>1203</v>
      </c>
      <c r="C103" s="2116" t="s">
        <v>1239</v>
      </c>
      <c r="D103" s="2116" t="s">
        <v>1205</v>
      </c>
      <c r="E103" s="2116" t="s">
        <v>1238</v>
      </c>
      <c r="F103" s="2116">
        <v>1</v>
      </c>
      <c r="G103" s="2116" t="s">
        <v>105</v>
      </c>
      <c r="H103" s="2116" t="s">
        <v>17</v>
      </c>
      <c r="I103" s="2116" t="s">
        <v>1207</v>
      </c>
      <c r="J103" s="2116">
        <v>4</v>
      </c>
      <c r="K103" s="2117">
        <v>5</v>
      </c>
      <c r="L103" s="2117">
        <v>5</v>
      </c>
      <c r="M103" s="2116">
        <v>45000</v>
      </c>
      <c r="N103" s="2117">
        <v>106.78</v>
      </c>
      <c r="O103" s="2116" t="s">
        <v>1208</v>
      </c>
      <c r="P103" s="2116" t="s">
        <v>296</v>
      </c>
      <c r="Q103" s="2116" t="s">
        <v>296</v>
      </c>
      <c r="R103" s="2116" t="s">
        <v>296</v>
      </c>
    </row>
    <row r="104" spans="1:18" s="2265" customFormat="1" ht="26.4">
      <c r="A104" s="2116" t="s">
        <v>1202</v>
      </c>
      <c r="B104" s="2116" t="s">
        <v>1203</v>
      </c>
      <c r="C104" s="2116" t="s">
        <v>1235</v>
      </c>
      <c r="D104" s="2116" t="s">
        <v>1205</v>
      </c>
      <c r="E104" s="2116" t="s">
        <v>1238</v>
      </c>
      <c r="F104" s="2116">
        <v>1</v>
      </c>
      <c r="G104" s="2116" t="s">
        <v>105</v>
      </c>
      <c r="H104" s="2116" t="s">
        <v>17</v>
      </c>
      <c r="I104" s="2116" t="s">
        <v>1210</v>
      </c>
      <c r="J104" s="2116">
        <v>10</v>
      </c>
      <c r="K104" s="2117">
        <v>5</v>
      </c>
      <c r="L104" s="2117">
        <v>5</v>
      </c>
      <c r="M104" s="2116">
        <v>18</v>
      </c>
      <c r="N104" s="2117">
        <v>186.26</v>
      </c>
      <c r="O104" s="2116" t="s">
        <v>1208</v>
      </c>
      <c r="P104" s="2116" t="s">
        <v>296</v>
      </c>
      <c r="Q104" s="2116" t="s">
        <v>296</v>
      </c>
      <c r="R104" s="2116" t="s">
        <v>296</v>
      </c>
    </row>
    <row r="105" spans="1:18" s="2265" customFormat="1" ht="26.4">
      <c r="A105" s="2116" t="s">
        <v>1202</v>
      </c>
      <c r="B105" s="2116" t="s">
        <v>1203</v>
      </c>
      <c r="C105" s="2116" t="s">
        <v>1239</v>
      </c>
      <c r="D105" s="2116" t="s">
        <v>1205</v>
      </c>
      <c r="E105" s="2116" t="s">
        <v>1238</v>
      </c>
      <c r="F105" s="2116">
        <v>1</v>
      </c>
      <c r="G105" s="2116" t="s">
        <v>105</v>
      </c>
      <c r="H105" s="2116" t="s">
        <v>17</v>
      </c>
      <c r="I105" s="2116" t="s">
        <v>1210</v>
      </c>
      <c r="J105" s="2116">
        <v>3</v>
      </c>
      <c r="K105" s="2117">
        <v>5</v>
      </c>
      <c r="L105" s="2117">
        <v>5</v>
      </c>
      <c r="M105" s="2116">
        <v>18</v>
      </c>
      <c r="N105" s="2117">
        <v>61.72</v>
      </c>
      <c r="O105" s="2116" t="s">
        <v>1208</v>
      </c>
      <c r="P105" s="2116" t="s">
        <v>296</v>
      </c>
      <c r="Q105" s="2116" t="s">
        <v>296</v>
      </c>
      <c r="R105" s="2116" t="s">
        <v>296</v>
      </c>
    </row>
    <row r="106" spans="1:18" s="2265" customFormat="1" ht="26.4">
      <c r="A106" s="2116" t="s">
        <v>1202</v>
      </c>
      <c r="B106" s="2116" t="s">
        <v>1203</v>
      </c>
      <c r="C106" s="2116" t="s">
        <v>1235</v>
      </c>
      <c r="D106" s="2116" t="s">
        <v>1205</v>
      </c>
      <c r="E106" s="2116" t="s">
        <v>1238</v>
      </c>
      <c r="F106" s="2116">
        <v>1</v>
      </c>
      <c r="G106" s="2116" t="s">
        <v>105</v>
      </c>
      <c r="H106" s="2116" t="s">
        <v>17</v>
      </c>
      <c r="I106" s="2116" t="s">
        <v>1211</v>
      </c>
      <c r="J106" s="2116">
        <v>4</v>
      </c>
      <c r="K106" s="2117">
        <v>5</v>
      </c>
      <c r="L106" s="2117">
        <v>5</v>
      </c>
      <c r="M106" s="2116">
        <v>30</v>
      </c>
      <c r="N106" s="2117">
        <v>107.08</v>
      </c>
      <c r="O106" s="2116" t="s">
        <v>1208</v>
      </c>
      <c r="P106" s="2116" t="s">
        <v>296</v>
      </c>
      <c r="Q106" s="2116" t="s">
        <v>296</v>
      </c>
      <c r="R106" s="2116" t="s">
        <v>296</v>
      </c>
    </row>
    <row r="107" spans="1:18" s="2265" customFormat="1" ht="26.4">
      <c r="A107" s="2116" t="s">
        <v>1202</v>
      </c>
      <c r="B107" s="2116" t="s">
        <v>1203</v>
      </c>
      <c r="C107" s="2116" t="s">
        <v>1239</v>
      </c>
      <c r="D107" s="2116" t="s">
        <v>1205</v>
      </c>
      <c r="E107" s="2116" t="s">
        <v>1238</v>
      </c>
      <c r="F107" s="2116">
        <v>1</v>
      </c>
      <c r="G107" s="2116" t="s">
        <v>105</v>
      </c>
      <c r="H107" s="2116" t="s">
        <v>17</v>
      </c>
      <c r="I107" s="2116" t="s">
        <v>1211</v>
      </c>
      <c r="J107" s="2116">
        <v>2</v>
      </c>
      <c r="K107" s="2117">
        <v>5</v>
      </c>
      <c r="L107" s="2117">
        <v>5</v>
      </c>
      <c r="M107" s="2116">
        <v>30</v>
      </c>
      <c r="N107" s="2117">
        <v>54.38</v>
      </c>
      <c r="O107" s="2116" t="s">
        <v>1208</v>
      </c>
      <c r="P107" s="2116" t="s">
        <v>296</v>
      </c>
      <c r="Q107" s="2116" t="s">
        <v>296</v>
      </c>
      <c r="R107" s="2116" t="s">
        <v>296</v>
      </c>
    </row>
    <row r="108" spans="1:18" s="2265" customFormat="1" ht="26.4">
      <c r="A108" s="2116" t="s">
        <v>1202</v>
      </c>
      <c r="B108" s="2116" t="s">
        <v>1203</v>
      </c>
      <c r="C108" s="2116" t="s">
        <v>1235</v>
      </c>
      <c r="D108" s="2116" t="s">
        <v>1205</v>
      </c>
      <c r="E108" s="2116" t="s">
        <v>1238</v>
      </c>
      <c r="F108" s="2116">
        <v>1</v>
      </c>
      <c r="G108" s="2116" t="s">
        <v>105</v>
      </c>
      <c r="H108" s="2116" t="s">
        <v>17</v>
      </c>
      <c r="I108" s="2116" t="s">
        <v>1212</v>
      </c>
      <c r="J108" s="2116">
        <v>3</v>
      </c>
      <c r="K108" s="2117">
        <v>5</v>
      </c>
      <c r="L108" s="2117">
        <v>5</v>
      </c>
      <c r="M108" s="2116">
        <v>20</v>
      </c>
      <c r="N108" s="2117">
        <v>46.64</v>
      </c>
      <c r="O108" s="2116" t="s">
        <v>1208</v>
      </c>
      <c r="P108" s="2116" t="s">
        <v>296</v>
      </c>
      <c r="Q108" s="2116" t="s">
        <v>296</v>
      </c>
      <c r="R108" s="2116" t="s">
        <v>296</v>
      </c>
    </row>
    <row r="109" spans="1:18" s="2265" customFormat="1" ht="26.4">
      <c r="A109" s="2116" t="s">
        <v>1202</v>
      </c>
      <c r="B109" s="2116" t="s">
        <v>1203</v>
      </c>
      <c r="C109" s="2116" t="s">
        <v>1239</v>
      </c>
      <c r="D109" s="2116" t="s">
        <v>1205</v>
      </c>
      <c r="E109" s="2116" t="s">
        <v>1238</v>
      </c>
      <c r="F109" s="2116">
        <v>1</v>
      </c>
      <c r="G109" s="2116" t="s">
        <v>105</v>
      </c>
      <c r="H109" s="2116" t="s">
        <v>17</v>
      </c>
      <c r="I109" s="2116" t="s">
        <v>1212</v>
      </c>
      <c r="J109" s="2116">
        <v>4</v>
      </c>
      <c r="K109" s="2117">
        <v>5</v>
      </c>
      <c r="L109" s="2117">
        <v>5</v>
      </c>
      <c r="M109" s="2116">
        <v>20</v>
      </c>
      <c r="N109" s="2117">
        <v>68.599999999999994</v>
      </c>
      <c r="O109" s="2116" t="s">
        <v>1208</v>
      </c>
      <c r="P109" s="2116" t="s">
        <v>296</v>
      </c>
      <c r="Q109" s="2116" t="s">
        <v>296</v>
      </c>
      <c r="R109" s="2116" t="s">
        <v>296</v>
      </c>
    </row>
    <row r="110" spans="1:18" s="2265" customFormat="1" ht="26.4">
      <c r="A110" s="2116" t="s">
        <v>1202</v>
      </c>
      <c r="B110" s="2116" t="s">
        <v>1213</v>
      </c>
      <c r="C110" s="2116" t="s">
        <v>1236</v>
      </c>
      <c r="D110" s="2116" t="s">
        <v>1215</v>
      </c>
      <c r="E110" s="2116" t="s">
        <v>1238</v>
      </c>
      <c r="F110" s="2116">
        <v>1</v>
      </c>
      <c r="G110" s="2116" t="s">
        <v>105</v>
      </c>
      <c r="H110" s="2116" t="s">
        <v>16</v>
      </c>
      <c r="I110" s="2116" t="s">
        <v>1216</v>
      </c>
      <c r="J110" s="2116">
        <v>5</v>
      </c>
      <c r="K110" s="2117">
        <v>19</v>
      </c>
      <c r="L110" s="2117">
        <v>19</v>
      </c>
      <c r="M110" s="2116">
        <v>32</v>
      </c>
      <c r="N110" s="2117">
        <v>145.66</v>
      </c>
      <c r="O110" s="2116" t="s">
        <v>1217</v>
      </c>
      <c r="P110" s="2116" t="s">
        <v>296</v>
      </c>
      <c r="Q110" s="2116" t="s">
        <v>296</v>
      </c>
      <c r="R110" s="2116" t="s">
        <v>296</v>
      </c>
    </row>
    <row r="111" spans="1:18" s="2265" customFormat="1" ht="26.4">
      <c r="A111" s="2116" t="s">
        <v>1202</v>
      </c>
      <c r="B111" s="2116" t="s">
        <v>1213</v>
      </c>
      <c r="C111" s="2116" t="s">
        <v>1240</v>
      </c>
      <c r="D111" s="2116" t="s">
        <v>1215</v>
      </c>
      <c r="E111" s="2116" t="s">
        <v>1238</v>
      </c>
      <c r="F111" s="2116">
        <v>1</v>
      </c>
      <c r="G111" s="2116" t="s">
        <v>105</v>
      </c>
      <c r="H111" s="2116" t="s">
        <v>16</v>
      </c>
      <c r="I111" s="2116" t="s">
        <v>1216</v>
      </c>
      <c r="J111" s="2116">
        <v>19</v>
      </c>
      <c r="K111" s="2117">
        <v>19</v>
      </c>
      <c r="L111" s="2117">
        <v>19</v>
      </c>
      <c r="M111" s="2116">
        <v>32</v>
      </c>
      <c r="N111" s="2117">
        <v>518.82000000000005</v>
      </c>
      <c r="O111" s="2116" t="s">
        <v>1217</v>
      </c>
      <c r="P111" s="2116" t="s">
        <v>296</v>
      </c>
      <c r="Q111" s="2116" t="s">
        <v>296</v>
      </c>
      <c r="R111" s="2116" t="s">
        <v>296</v>
      </c>
    </row>
    <row r="112" spans="1:18" s="2265" customFormat="1" ht="26.4">
      <c r="A112" s="2116" t="s">
        <v>1202</v>
      </c>
      <c r="B112" s="2116" t="s">
        <v>1213</v>
      </c>
      <c r="C112" s="2116" t="s">
        <v>1241</v>
      </c>
      <c r="D112" s="2116" t="s">
        <v>1215</v>
      </c>
      <c r="E112" s="2116" t="s">
        <v>1238</v>
      </c>
      <c r="F112" s="2116">
        <v>1</v>
      </c>
      <c r="G112" s="2116" t="s">
        <v>105</v>
      </c>
      <c r="H112" s="2116" t="s">
        <v>16</v>
      </c>
      <c r="I112" s="2116" t="s">
        <v>1216</v>
      </c>
      <c r="J112" s="2116">
        <v>3</v>
      </c>
      <c r="K112" s="2117">
        <v>19</v>
      </c>
      <c r="L112" s="2117">
        <v>19</v>
      </c>
      <c r="M112" s="2116">
        <v>32</v>
      </c>
      <c r="N112" s="2117">
        <v>80.180000000000007</v>
      </c>
      <c r="O112" s="2116" t="s">
        <v>1217</v>
      </c>
      <c r="P112" s="2116" t="s">
        <v>296</v>
      </c>
      <c r="Q112" s="2116" t="s">
        <v>296</v>
      </c>
      <c r="R112" s="2116" t="s">
        <v>296</v>
      </c>
    </row>
    <row r="113" spans="1:18" s="2265" customFormat="1" ht="26.4">
      <c r="A113" s="2116" t="s">
        <v>1202</v>
      </c>
      <c r="B113" s="2116" t="s">
        <v>1213</v>
      </c>
      <c r="C113" s="2116" t="s">
        <v>1236</v>
      </c>
      <c r="D113" s="2116" t="s">
        <v>1215</v>
      </c>
      <c r="E113" s="2116" t="s">
        <v>1238</v>
      </c>
      <c r="F113" s="2116">
        <v>1</v>
      </c>
      <c r="G113" s="2116" t="s">
        <v>105</v>
      </c>
      <c r="H113" s="2116" t="s">
        <v>16</v>
      </c>
      <c r="I113" s="2116" t="s">
        <v>1237</v>
      </c>
      <c r="J113" s="2116">
        <v>3</v>
      </c>
      <c r="K113" s="2117">
        <v>19</v>
      </c>
      <c r="L113" s="2117">
        <v>19</v>
      </c>
      <c r="M113" s="2116">
        <v>32000</v>
      </c>
      <c r="N113" s="2117">
        <v>85.16</v>
      </c>
      <c r="O113" s="2116" t="s">
        <v>1217</v>
      </c>
      <c r="P113" s="2116" t="s">
        <v>296</v>
      </c>
      <c r="Q113" s="2116" t="s">
        <v>296</v>
      </c>
      <c r="R113" s="2116" t="s">
        <v>296</v>
      </c>
    </row>
    <row r="114" spans="1:18" s="2265" customFormat="1" ht="26.4">
      <c r="A114" s="2116" t="s">
        <v>1202</v>
      </c>
      <c r="B114" s="2116" t="s">
        <v>1213</v>
      </c>
      <c r="C114" s="2116" t="s">
        <v>1240</v>
      </c>
      <c r="D114" s="2116" t="s">
        <v>1215</v>
      </c>
      <c r="E114" s="2116" t="s">
        <v>1238</v>
      </c>
      <c r="F114" s="2116">
        <v>1</v>
      </c>
      <c r="G114" s="2116" t="s">
        <v>105</v>
      </c>
      <c r="H114" s="2116" t="s">
        <v>16</v>
      </c>
      <c r="I114" s="2116" t="s">
        <v>1237</v>
      </c>
      <c r="J114" s="2116">
        <v>28</v>
      </c>
      <c r="K114" s="2117">
        <v>19</v>
      </c>
      <c r="L114" s="2117">
        <v>19</v>
      </c>
      <c r="M114" s="2116">
        <v>32000</v>
      </c>
      <c r="N114" s="2117">
        <v>740.06</v>
      </c>
      <c r="O114" s="2116" t="s">
        <v>1217</v>
      </c>
      <c r="P114" s="2116" t="s">
        <v>296</v>
      </c>
      <c r="Q114" s="2116" t="s">
        <v>296</v>
      </c>
      <c r="R114" s="2116" t="s">
        <v>296</v>
      </c>
    </row>
    <row r="115" spans="1:18" s="2265" customFormat="1" ht="26.4">
      <c r="A115" s="2116" t="s">
        <v>1202</v>
      </c>
      <c r="B115" s="2116" t="s">
        <v>1213</v>
      </c>
      <c r="C115" s="2116" t="s">
        <v>1241</v>
      </c>
      <c r="D115" s="2116" t="s">
        <v>1215</v>
      </c>
      <c r="E115" s="2116" t="s">
        <v>1238</v>
      </c>
      <c r="F115" s="2116">
        <v>1</v>
      </c>
      <c r="G115" s="2116" t="s">
        <v>105</v>
      </c>
      <c r="H115" s="2116" t="s">
        <v>16</v>
      </c>
      <c r="I115" s="2116" t="s">
        <v>1237</v>
      </c>
      <c r="J115" s="2116">
        <v>2</v>
      </c>
      <c r="K115" s="2117">
        <v>19</v>
      </c>
      <c r="L115" s="2117">
        <v>19</v>
      </c>
      <c r="M115" s="2116">
        <v>32000</v>
      </c>
      <c r="N115" s="2117">
        <v>53.06</v>
      </c>
      <c r="O115" s="2116" t="s">
        <v>1217</v>
      </c>
      <c r="P115" s="2116" t="s">
        <v>296</v>
      </c>
      <c r="Q115" s="2116" t="s">
        <v>296</v>
      </c>
      <c r="R115" s="2116" t="s">
        <v>296</v>
      </c>
    </row>
    <row r="116" spans="1:18" s="2265" customFormat="1" ht="26.4">
      <c r="A116" s="2116" t="s">
        <v>1202</v>
      </c>
      <c r="B116" s="2116" t="s">
        <v>1219</v>
      </c>
      <c r="C116" s="2116" t="s">
        <v>1220</v>
      </c>
      <c r="D116" s="2116" t="s">
        <v>1221</v>
      </c>
      <c r="E116" s="2116" t="s">
        <v>1238</v>
      </c>
      <c r="F116" s="2116">
        <v>1</v>
      </c>
      <c r="G116" s="2116" t="s">
        <v>1222</v>
      </c>
      <c r="H116" s="2116" t="s">
        <v>243</v>
      </c>
      <c r="I116" s="2116" t="s">
        <v>1233</v>
      </c>
      <c r="J116" s="2116">
        <v>3</v>
      </c>
      <c r="K116" s="2117">
        <v>0</v>
      </c>
      <c r="L116" s="2117">
        <v>0</v>
      </c>
      <c r="M116" s="2116">
        <v>45000</v>
      </c>
      <c r="N116" s="2117">
        <v>104.88</v>
      </c>
      <c r="O116" s="2116" t="s">
        <v>1224</v>
      </c>
      <c r="P116" s="2116" t="s">
        <v>296</v>
      </c>
      <c r="Q116" s="2116" t="s">
        <v>296</v>
      </c>
      <c r="R116" s="2116" t="s">
        <v>296</v>
      </c>
    </row>
    <row r="117" spans="1:18" s="2265" customFormat="1" ht="26.4">
      <c r="A117" s="2116" t="s">
        <v>1202</v>
      </c>
      <c r="B117" s="2116" t="s">
        <v>1219</v>
      </c>
      <c r="C117" s="2116" t="s">
        <v>1220</v>
      </c>
      <c r="D117" s="2116" t="s">
        <v>1221</v>
      </c>
      <c r="E117" s="2116" t="s">
        <v>1238</v>
      </c>
      <c r="F117" s="2116">
        <v>1</v>
      </c>
      <c r="G117" s="2116" t="s">
        <v>1222</v>
      </c>
      <c r="H117" s="2116" t="s">
        <v>243</v>
      </c>
      <c r="I117" s="2116" t="s">
        <v>1223</v>
      </c>
      <c r="J117" s="2116">
        <v>14</v>
      </c>
      <c r="K117" s="2117">
        <v>0</v>
      </c>
      <c r="L117" s="2117">
        <v>0</v>
      </c>
      <c r="M117" s="2116">
        <v>30000</v>
      </c>
      <c r="N117" s="2117">
        <v>511.5</v>
      </c>
      <c r="O117" s="2116" t="s">
        <v>1224</v>
      </c>
      <c r="P117" s="2116" t="s">
        <v>296</v>
      </c>
      <c r="Q117" s="2116" t="s">
        <v>296</v>
      </c>
      <c r="R117" s="2116" t="s">
        <v>296</v>
      </c>
    </row>
    <row r="118" spans="1:18" s="2265" customFormat="1" ht="26.4">
      <c r="A118" s="2116" t="s">
        <v>1202</v>
      </c>
      <c r="B118" s="2116" t="s">
        <v>1219</v>
      </c>
      <c r="C118" s="2116" t="s">
        <v>1220</v>
      </c>
      <c r="D118" s="2116" t="s">
        <v>1221</v>
      </c>
      <c r="E118" s="2116" t="s">
        <v>1238</v>
      </c>
      <c r="F118" s="2116">
        <v>1</v>
      </c>
      <c r="G118" s="2116" t="s">
        <v>1222</v>
      </c>
      <c r="H118" s="2116" t="s">
        <v>243</v>
      </c>
      <c r="I118" s="2116" t="s">
        <v>1225</v>
      </c>
      <c r="J118" s="2116">
        <v>27</v>
      </c>
      <c r="K118" s="2117">
        <v>0</v>
      </c>
      <c r="L118" s="2117">
        <v>0</v>
      </c>
      <c r="M118" s="2116">
        <v>45000</v>
      </c>
      <c r="N118" s="2117">
        <v>880.52</v>
      </c>
      <c r="O118" s="2116" t="s">
        <v>1224</v>
      </c>
      <c r="P118" s="2116" t="s">
        <v>296</v>
      </c>
      <c r="Q118" s="2116" t="s">
        <v>296</v>
      </c>
      <c r="R118" s="2116" t="s">
        <v>296</v>
      </c>
    </row>
    <row r="119" spans="1:18" s="2265" customFormat="1" ht="26.4">
      <c r="A119" s="2116" t="s">
        <v>1202</v>
      </c>
      <c r="B119" s="2116" t="s">
        <v>1203</v>
      </c>
      <c r="C119" s="2116" t="s">
        <v>1239</v>
      </c>
      <c r="D119" s="2116" t="s">
        <v>1205</v>
      </c>
      <c r="E119" s="2116" t="s">
        <v>1242</v>
      </c>
      <c r="F119" s="2116">
        <v>2</v>
      </c>
      <c r="G119" s="2116" t="s">
        <v>105</v>
      </c>
      <c r="H119" s="2116" t="s">
        <v>17</v>
      </c>
      <c r="I119" s="2116" t="s">
        <v>1207</v>
      </c>
      <c r="J119" s="2116">
        <v>31</v>
      </c>
      <c r="K119" s="2117">
        <v>5</v>
      </c>
      <c r="L119" s="2117">
        <v>5</v>
      </c>
      <c r="M119" s="2116">
        <v>45000</v>
      </c>
      <c r="N119" s="2117">
        <v>791.56</v>
      </c>
      <c r="O119" s="2116" t="s">
        <v>1208</v>
      </c>
      <c r="P119" s="2116" t="s">
        <v>296</v>
      </c>
      <c r="Q119" s="2116" t="s">
        <v>296</v>
      </c>
      <c r="R119" s="2116" t="s">
        <v>296</v>
      </c>
    </row>
    <row r="120" spans="1:18" s="2265" customFormat="1" ht="26.4">
      <c r="A120" s="2116" t="s">
        <v>1202</v>
      </c>
      <c r="B120" s="2116" t="s">
        <v>1203</v>
      </c>
      <c r="C120" s="2116" t="s">
        <v>1239</v>
      </c>
      <c r="D120" s="2116" t="s">
        <v>1205</v>
      </c>
      <c r="E120" s="2116" t="s">
        <v>1242</v>
      </c>
      <c r="F120" s="2116">
        <v>2</v>
      </c>
      <c r="G120" s="2116" t="s">
        <v>105</v>
      </c>
      <c r="H120" s="2116" t="s">
        <v>17</v>
      </c>
      <c r="I120" s="2116" t="s">
        <v>1210</v>
      </c>
      <c r="J120" s="2116">
        <v>2</v>
      </c>
      <c r="K120" s="2117">
        <v>5</v>
      </c>
      <c r="L120" s="2117">
        <v>5</v>
      </c>
      <c r="M120" s="2116">
        <v>18</v>
      </c>
      <c r="N120" s="2117">
        <v>42.98</v>
      </c>
      <c r="O120" s="2116" t="s">
        <v>1208</v>
      </c>
      <c r="P120" s="2116" t="s">
        <v>296</v>
      </c>
      <c r="Q120" s="2116" t="s">
        <v>296</v>
      </c>
      <c r="R120" s="2116" t="s">
        <v>296</v>
      </c>
    </row>
    <row r="121" spans="1:18" s="2265" customFormat="1" ht="26.4">
      <c r="A121" s="2116" t="s">
        <v>1202</v>
      </c>
      <c r="B121" s="2116" t="s">
        <v>1203</v>
      </c>
      <c r="C121" s="2116" t="s">
        <v>1239</v>
      </c>
      <c r="D121" s="2116" t="s">
        <v>1205</v>
      </c>
      <c r="E121" s="2116" t="s">
        <v>1242</v>
      </c>
      <c r="F121" s="2116">
        <v>2</v>
      </c>
      <c r="G121" s="2116" t="s">
        <v>105</v>
      </c>
      <c r="H121" s="2116" t="s">
        <v>17</v>
      </c>
      <c r="I121" s="2116" t="s">
        <v>1212</v>
      </c>
      <c r="J121" s="2116">
        <v>3</v>
      </c>
      <c r="K121" s="2117">
        <v>5</v>
      </c>
      <c r="L121" s="2117">
        <v>5</v>
      </c>
      <c r="M121" s="2116">
        <v>20</v>
      </c>
      <c r="N121" s="2117">
        <v>49.36</v>
      </c>
      <c r="O121" s="2116" t="s">
        <v>1208</v>
      </c>
      <c r="P121" s="2116" t="s">
        <v>296</v>
      </c>
      <c r="Q121" s="2116" t="s">
        <v>296</v>
      </c>
      <c r="R121" s="2116" t="s">
        <v>296</v>
      </c>
    </row>
    <row r="122" spans="1:18" s="2265" customFormat="1" ht="26.4">
      <c r="A122" s="2116" t="s">
        <v>1202</v>
      </c>
      <c r="B122" s="2116" t="s">
        <v>1203</v>
      </c>
      <c r="C122" s="2116" t="s">
        <v>1243</v>
      </c>
      <c r="D122" s="2116" t="s">
        <v>1205</v>
      </c>
      <c r="E122" s="2116" t="s">
        <v>1242</v>
      </c>
      <c r="F122" s="2116">
        <v>2</v>
      </c>
      <c r="G122" s="2116" t="s">
        <v>105</v>
      </c>
      <c r="H122" s="2116" t="s">
        <v>17</v>
      </c>
      <c r="I122" s="2116" t="s">
        <v>1212</v>
      </c>
      <c r="J122" s="2116">
        <v>4</v>
      </c>
      <c r="K122" s="2117">
        <v>5</v>
      </c>
      <c r="L122" s="2117">
        <v>5</v>
      </c>
      <c r="M122" s="2116">
        <v>20</v>
      </c>
      <c r="N122" s="2117">
        <v>59.68</v>
      </c>
      <c r="O122" s="2116" t="s">
        <v>1208</v>
      </c>
      <c r="P122" s="2116" t="s">
        <v>296</v>
      </c>
      <c r="Q122" s="2116" t="s">
        <v>296</v>
      </c>
      <c r="R122" s="2116" t="s">
        <v>296</v>
      </c>
    </row>
    <row r="123" spans="1:18" s="2265" customFormat="1" ht="26.4">
      <c r="A123" s="2116" t="s">
        <v>1202</v>
      </c>
      <c r="B123" s="2116" t="s">
        <v>1213</v>
      </c>
      <c r="C123" s="2116" t="s">
        <v>1244</v>
      </c>
      <c r="D123" s="2116" t="s">
        <v>1215</v>
      </c>
      <c r="E123" s="2116" t="s">
        <v>1242</v>
      </c>
      <c r="F123" s="2116">
        <v>2</v>
      </c>
      <c r="G123" s="2116" t="s">
        <v>105</v>
      </c>
      <c r="H123" s="2116" t="s">
        <v>16</v>
      </c>
      <c r="I123" s="2116" t="s">
        <v>1216</v>
      </c>
      <c r="J123" s="2116">
        <v>3</v>
      </c>
      <c r="K123" s="2117">
        <v>19</v>
      </c>
      <c r="L123" s="2117">
        <v>19</v>
      </c>
      <c r="M123" s="2116">
        <v>32</v>
      </c>
      <c r="N123" s="2117">
        <v>87.64</v>
      </c>
      <c r="O123" s="2116" t="s">
        <v>1217</v>
      </c>
      <c r="P123" s="2116" t="s">
        <v>296</v>
      </c>
      <c r="Q123" s="2116" t="s">
        <v>296</v>
      </c>
      <c r="R123" s="2116" t="s">
        <v>296</v>
      </c>
    </row>
    <row r="124" spans="1:18" s="2265" customFormat="1" ht="26.4">
      <c r="A124" s="2116" t="s">
        <v>1202</v>
      </c>
      <c r="B124" s="2116" t="s">
        <v>1213</v>
      </c>
      <c r="C124" s="2116" t="s">
        <v>1241</v>
      </c>
      <c r="D124" s="2116" t="s">
        <v>1215</v>
      </c>
      <c r="E124" s="2116" t="s">
        <v>1242</v>
      </c>
      <c r="F124" s="2116">
        <v>2</v>
      </c>
      <c r="G124" s="2116" t="s">
        <v>105</v>
      </c>
      <c r="H124" s="2116" t="s">
        <v>16</v>
      </c>
      <c r="I124" s="2116" t="s">
        <v>1216</v>
      </c>
      <c r="J124" s="2116">
        <v>19</v>
      </c>
      <c r="K124" s="2117">
        <v>19</v>
      </c>
      <c r="L124" s="2117">
        <v>19</v>
      </c>
      <c r="M124" s="2116">
        <v>32</v>
      </c>
      <c r="N124" s="2117">
        <v>535.20000000000005</v>
      </c>
      <c r="O124" s="2116" t="s">
        <v>1217</v>
      </c>
      <c r="P124" s="2116" t="s">
        <v>296</v>
      </c>
      <c r="Q124" s="2116" t="s">
        <v>296</v>
      </c>
      <c r="R124" s="2116" t="s">
        <v>296</v>
      </c>
    </row>
    <row r="125" spans="1:18" s="2265" customFormat="1" ht="26.4">
      <c r="A125" s="2116" t="s">
        <v>1202</v>
      </c>
      <c r="B125" s="2116" t="s">
        <v>1213</v>
      </c>
      <c r="C125" s="2116" t="s">
        <v>1244</v>
      </c>
      <c r="D125" s="2116" t="s">
        <v>1215</v>
      </c>
      <c r="E125" s="2116" t="s">
        <v>1242</v>
      </c>
      <c r="F125" s="2116">
        <v>2</v>
      </c>
      <c r="G125" s="2116" t="s">
        <v>105</v>
      </c>
      <c r="H125" s="2116" t="s">
        <v>16</v>
      </c>
      <c r="I125" s="2116" t="s">
        <v>1237</v>
      </c>
      <c r="J125" s="2116">
        <v>5</v>
      </c>
      <c r="K125" s="2117">
        <v>19</v>
      </c>
      <c r="L125" s="2117">
        <v>19</v>
      </c>
      <c r="M125" s="2116">
        <v>32000</v>
      </c>
      <c r="N125" s="2117">
        <v>136.1</v>
      </c>
      <c r="O125" s="2116" t="s">
        <v>1217</v>
      </c>
      <c r="P125" s="2116" t="s">
        <v>296</v>
      </c>
      <c r="Q125" s="2116" t="s">
        <v>296</v>
      </c>
      <c r="R125" s="2116" t="s">
        <v>296</v>
      </c>
    </row>
    <row r="126" spans="1:18" s="2265" customFormat="1" ht="26.4">
      <c r="A126" s="2116" t="s">
        <v>1202</v>
      </c>
      <c r="B126" s="2116" t="s">
        <v>1213</v>
      </c>
      <c r="C126" s="2116" t="s">
        <v>1241</v>
      </c>
      <c r="D126" s="2116" t="s">
        <v>1215</v>
      </c>
      <c r="E126" s="2116" t="s">
        <v>1242</v>
      </c>
      <c r="F126" s="2116">
        <v>2</v>
      </c>
      <c r="G126" s="2116" t="s">
        <v>105</v>
      </c>
      <c r="H126" s="2116" t="s">
        <v>16</v>
      </c>
      <c r="I126" s="2116" t="s">
        <v>1237</v>
      </c>
      <c r="J126" s="2116">
        <v>23</v>
      </c>
      <c r="K126" s="2117">
        <v>19</v>
      </c>
      <c r="L126" s="2117">
        <v>19</v>
      </c>
      <c r="M126" s="2116">
        <v>32000</v>
      </c>
      <c r="N126" s="2117">
        <v>658.44</v>
      </c>
      <c r="O126" s="2116" t="s">
        <v>1217</v>
      </c>
      <c r="P126" s="2116" t="s">
        <v>296</v>
      </c>
      <c r="Q126" s="2116" t="s">
        <v>296</v>
      </c>
      <c r="R126" s="2116" t="s">
        <v>296</v>
      </c>
    </row>
    <row r="127" spans="1:18" s="2265" customFormat="1" ht="26.4">
      <c r="A127" s="2116" t="s">
        <v>1202</v>
      </c>
      <c r="B127" s="2116" t="s">
        <v>1203</v>
      </c>
      <c r="C127" s="2116" t="s">
        <v>1235</v>
      </c>
      <c r="D127" s="2116" t="s">
        <v>1205</v>
      </c>
      <c r="E127" s="2116" t="s">
        <v>1245</v>
      </c>
      <c r="F127" s="2116">
        <v>1</v>
      </c>
      <c r="G127" s="2116" t="s">
        <v>105</v>
      </c>
      <c r="H127" s="2116" t="s">
        <v>17</v>
      </c>
      <c r="I127" s="2116" t="s">
        <v>1207</v>
      </c>
      <c r="J127" s="2116">
        <v>12</v>
      </c>
      <c r="K127" s="2117">
        <v>5</v>
      </c>
      <c r="L127" s="2117">
        <v>5</v>
      </c>
      <c r="M127" s="2116">
        <v>45000</v>
      </c>
      <c r="N127" s="2117">
        <v>304.33999999999997</v>
      </c>
      <c r="O127" s="2116" t="s">
        <v>1208</v>
      </c>
      <c r="P127" s="2116" t="s">
        <v>296</v>
      </c>
      <c r="Q127" s="2116" t="s">
        <v>296</v>
      </c>
      <c r="R127" s="2116" t="s">
        <v>296</v>
      </c>
    </row>
    <row r="128" spans="1:18" s="2265" customFormat="1" ht="26.4">
      <c r="A128" s="2116" t="s">
        <v>1202</v>
      </c>
      <c r="B128" s="2116" t="s">
        <v>1203</v>
      </c>
      <c r="C128" s="2116" t="s">
        <v>1243</v>
      </c>
      <c r="D128" s="2116" t="s">
        <v>1205</v>
      </c>
      <c r="E128" s="2116" t="s">
        <v>1245</v>
      </c>
      <c r="F128" s="2116">
        <v>1</v>
      </c>
      <c r="G128" s="2116" t="s">
        <v>105</v>
      </c>
      <c r="H128" s="2116" t="s">
        <v>17</v>
      </c>
      <c r="I128" s="2116" t="s">
        <v>1207</v>
      </c>
      <c r="J128" s="2116">
        <v>3</v>
      </c>
      <c r="K128" s="2117">
        <v>5</v>
      </c>
      <c r="L128" s="2117">
        <v>5</v>
      </c>
      <c r="M128" s="2116">
        <v>45000</v>
      </c>
      <c r="N128" s="2117">
        <v>73.319999999999993</v>
      </c>
      <c r="O128" s="2116" t="s">
        <v>1208</v>
      </c>
      <c r="P128" s="2116" t="s">
        <v>296</v>
      </c>
      <c r="Q128" s="2116" t="s">
        <v>296</v>
      </c>
      <c r="R128" s="2116" t="s">
        <v>296</v>
      </c>
    </row>
    <row r="129" spans="1:18" s="2265" customFormat="1" ht="26.4">
      <c r="A129" s="2116" t="s">
        <v>1202</v>
      </c>
      <c r="B129" s="2116" t="s">
        <v>1203</v>
      </c>
      <c r="C129" s="2116" t="s">
        <v>1235</v>
      </c>
      <c r="D129" s="2116" t="s">
        <v>1205</v>
      </c>
      <c r="E129" s="2116" t="s">
        <v>1245</v>
      </c>
      <c r="F129" s="2116">
        <v>1</v>
      </c>
      <c r="G129" s="2116" t="s">
        <v>105</v>
      </c>
      <c r="H129" s="2116" t="s">
        <v>17</v>
      </c>
      <c r="I129" s="2116" t="s">
        <v>1212</v>
      </c>
      <c r="J129" s="2116">
        <v>1</v>
      </c>
      <c r="K129" s="2117">
        <v>5</v>
      </c>
      <c r="L129" s="2117">
        <v>5</v>
      </c>
      <c r="M129" s="2116">
        <v>20</v>
      </c>
      <c r="N129" s="2117">
        <v>13.1</v>
      </c>
      <c r="O129" s="2116" t="s">
        <v>1208</v>
      </c>
      <c r="P129" s="2116" t="s">
        <v>296</v>
      </c>
      <c r="Q129" s="2116" t="s">
        <v>296</v>
      </c>
      <c r="R129" s="2116" t="s">
        <v>296</v>
      </c>
    </row>
    <row r="130" spans="1:18" s="2265" customFormat="1" ht="26.4">
      <c r="A130" s="2116" t="s">
        <v>1202</v>
      </c>
      <c r="B130" s="2116" t="s">
        <v>1213</v>
      </c>
      <c r="C130" s="2116" t="s">
        <v>1244</v>
      </c>
      <c r="D130" s="2116" t="s">
        <v>1215</v>
      </c>
      <c r="E130" s="2116" t="s">
        <v>1245</v>
      </c>
      <c r="F130" s="2116">
        <v>1</v>
      </c>
      <c r="G130" s="2116" t="s">
        <v>105</v>
      </c>
      <c r="H130" s="2116" t="s">
        <v>16</v>
      </c>
      <c r="I130" s="2116" t="s">
        <v>1216</v>
      </c>
      <c r="J130" s="2116">
        <v>28</v>
      </c>
      <c r="K130" s="2117">
        <v>19</v>
      </c>
      <c r="L130" s="2117">
        <v>19</v>
      </c>
      <c r="M130" s="2116">
        <v>32</v>
      </c>
      <c r="N130" s="2117">
        <v>765.52</v>
      </c>
      <c r="O130" s="2116" t="s">
        <v>1217</v>
      </c>
      <c r="P130" s="2116" t="s">
        <v>296</v>
      </c>
      <c r="Q130" s="2116" t="s">
        <v>296</v>
      </c>
      <c r="R130" s="2116" t="s">
        <v>296</v>
      </c>
    </row>
    <row r="131" spans="1:18" s="2265" customFormat="1" ht="26.4">
      <c r="A131" s="2116" t="s">
        <v>1202</v>
      </c>
      <c r="B131" s="2116" t="s">
        <v>1213</v>
      </c>
      <c r="C131" s="2116" t="s">
        <v>1244</v>
      </c>
      <c r="D131" s="2116" t="s">
        <v>1215</v>
      </c>
      <c r="E131" s="2116" t="s">
        <v>1245</v>
      </c>
      <c r="F131" s="2116">
        <v>1</v>
      </c>
      <c r="G131" s="2116" t="s">
        <v>105</v>
      </c>
      <c r="H131" s="2116" t="s">
        <v>16</v>
      </c>
      <c r="I131" s="2116" t="s">
        <v>1237</v>
      </c>
      <c r="J131" s="2116">
        <v>32</v>
      </c>
      <c r="K131" s="2117">
        <v>19</v>
      </c>
      <c r="L131" s="2117">
        <v>19</v>
      </c>
      <c r="M131" s="2116">
        <v>32000</v>
      </c>
      <c r="N131" s="2117">
        <v>860.98</v>
      </c>
      <c r="O131" s="2116" t="s">
        <v>1217</v>
      </c>
      <c r="P131" s="2116" t="s">
        <v>296</v>
      </c>
      <c r="Q131" s="2116" t="s">
        <v>296</v>
      </c>
      <c r="R131" s="2116" t="s">
        <v>296</v>
      </c>
    </row>
    <row r="132" spans="1:18" s="2265" customFormat="1" ht="26.4">
      <c r="A132" s="2116" t="s">
        <v>1202</v>
      </c>
      <c r="B132" s="2116" t="s">
        <v>1219</v>
      </c>
      <c r="C132" s="2116" t="s">
        <v>1220</v>
      </c>
      <c r="D132" s="2116" t="s">
        <v>1221</v>
      </c>
      <c r="E132" s="2116" t="s">
        <v>1245</v>
      </c>
      <c r="F132" s="2116">
        <v>1</v>
      </c>
      <c r="G132" s="2116" t="s">
        <v>1222</v>
      </c>
      <c r="H132" s="2116" t="s">
        <v>243</v>
      </c>
      <c r="I132" s="2116" t="s">
        <v>1233</v>
      </c>
      <c r="J132" s="2116">
        <v>5</v>
      </c>
      <c r="K132" s="2117">
        <v>0</v>
      </c>
      <c r="L132" s="2117">
        <v>0</v>
      </c>
      <c r="M132" s="2116">
        <v>45000</v>
      </c>
      <c r="N132" s="2117">
        <v>171.26</v>
      </c>
      <c r="O132" s="2116" t="s">
        <v>1224</v>
      </c>
      <c r="P132" s="2116" t="s">
        <v>296</v>
      </c>
      <c r="Q132" s="2116" t="s">
        <v>296</v>
      </c>
      <c r="R132" s="2116" t="s">
        <v>296</v>
      </c>
    </row>
    <row r="133" spans="1:18" s="2265" customFormat="1" ht="26.4">
      <c r="A133" s="2116" t="s">
        <v>1202</v>
      </c>
      <c r="B133" s="2116" t="s">
        <v>1219</v>
      </c>
      <c r="C133" s="2116" t="s">
        <v>1220</v>
      </c>
      <c r="D133" s="2116" t="s">
        <v>1221</v>
      </c>
      <c r="E133" s="2116" t="s">
        <v>1245</v>
      </c>
      <c r="F133" s="2116">
        <v>1</v>
      </c>
      <c r="G133" s="2116" t="s">
        <v>1222</v>
      </c>
      <c r="H133" s="2116" t="s">
        <v>243</v>
      </c>
      <c r="I133" s="2116" t="s">
        <v>1223</v>
      </c>
      <c r="J133" s="2116">
        <v>12</v>
      </c>
      <c r="K133" s="2117">
        <v>0</v>
      </c>
      <c r="L133" s="2117">
        <v>0</v>
      </c>
      <c r="M133" s="2116">
        <v>30000</v>
      </c>
      <c r="N133" s="2117">
        <v>435.44</v>
      </c>
      <c r="O133" s="2116" t="s">
        <v>1224</v>
      </c>
      <c r="P133" s="2116" t="s">
        <v>296</v>
      </c>
      <c r="Q133" s="2116" t="s">
        <v>296</v>
      </c>
      <c r="R133" s="2116" t="s">
        <v>296</v>
      </c>
    </row>
    <row r="134" spans="1:18" s="2265" customFormat="1" ht="26.4">
      <c r="A134" s="2116" t="s">
        <v>1202</v>
      </c>
      <c r="B134" s="2116" t="s">
        <v>1219</v>
      </c>
      <c r="C134" s="2116" t="s">
        <v>1220</v>
      </c>
      <c r="D134" s="2116" t="s">
        <v>1221</v>
      </c>
      <c r="E134" s="2116" t="s">
        <v>1245</v>
      </c>
      <c r="F134" s="2116">
        <v>1</v>
      </c>
      <c r="G134" s="2116" t="s">
        <v>1222</v>
      </c>
      <c r="H134" s="2116" t="s">
        <v>243</v>
      </c>
      <c r="I134" s="2116" t="s">
        <v>1225</v>
      </c>
      <c r="J134" s="2116">
        <v>19</v>
      </c>
      <c r="K134" s="2117">
        <v>0</v>
      </c>
      <c r="L134" s="2117">
        <v>0</v>
      </c>
      <c r="M134" s="2116">
        <v>45000</v>
      </c>
      <c r="N134" s="2117">
        <v>622.79999999999995</v>
      </c>
      <c r="O134" s="2116" t="s">
        <v>1224</v>
      </c>
      <c r="P134" s="2116" t="s">
        <v>296</v>
      </c>
      <c r="Q134" s="2116" t="s">
        <v>296</v>
      </c>
      <c r="R134" s="2116" t="s">
        <v>296</v>
      </c>
    </row>
    <row r="135" spans="1:18" s="2265" customFormat="1" ht="26.4">
      <c r="A135" s="2116" t="s">
        <v>1202</v>
      </c>
      <c r="B135" s="2116" t="s">
        <v>1203</v>
      </c>
      <c r="C135" s="2116" t="s">
        <v>1269</v>
      </c>
      <c r="D135" s="2116" t="s">
        <v>1270</v>
      </c>
      <c r="E135" s="2116" t="s">
        <v>1271</v>
      </c>
      <c r="F135" s="2116">
        <v>2</v>
      </c>
      <c r="G135" s="2116" t="s">
        <v>105</v>
      </c>
      <c r="H135" s="2116" t="s">
        <v>16</v>
      </c>
      <c r="I135" s="2116" t="s">
        <v>1216</v>
      </c>
      <c r="J135" s="2116">
        <v>7</v>
      </c>
      <c r="K135" s="2117">
        <v>14</v>
      </c>
      <c r="L135" s="2117">
        <v>14</v>
      </c>
      <c r="M135" s="2116">
        <v>32</v>
      </c>
      <c r="N135" s="2117">
        <v>179.34</v>
      </c>
      <c r="O135" s="2116" t="s">
        <v>1276</v>
      </c>
      <c r="P135" s="2116" t="s">
        <v>296</v>
      </c>
      <c r="Q135" s="2116" t="s">
        <v>296</v>
      </c>
      <c r="R135" s="2116" t="s">
        <v>296</v>
      </c>
    </row>
    <row r="136" spans="1:18" s="2265" customFormat="1" ht="26.4">
      <c r="A136" s="2116" t="s">
        <v>1202</v>
      </c>
      <c r="B136" s="2116" t="s">
        <v>1213</v>
      </c>
      <c r="C136" s="2116" t="s">
        <v>1244</v>
      </c>
      <c r="D136" s="2116" t="s">
        <v>1215</v>
      </c>
      <c r="E136" s="2116" t="s">
        <v>1271</v>
      </c>
      <c r="F136" s="2116">
        <v>2</v>
      </c>
      <c r="G136" s="2116" t="s">
        <v>105</v>
      </c>
      <c r="H136" s="2116" t="s">
        <v>16</v>
      </c>
      <c r="I136" s="2116" t="s">
        <v>1216</v>
      </c>
      <c r="J136" s="2116">
        <v>4</v>
      </c>
      <c r="K136" s="2117">
        <v>19</v>
      </c>
      <c r="L136" s="2117">
        <v>19</v>
      </c>
      <c r="M136" s="2116">
        <v>32</v>
      </c>
      <c r="N136" s="2117">
        <v>111.76</v>
      </c>
      <c r="O136" s="2116" t="s">
        <v>1217</v>
      </c>
      <c r="P136" s="2116" t="s">
        <v>296</v>
      </c>
      <c r="Q136" s="2116" t="s">
        <v>296</v>
      </c>
      <c r="R136" s="2116" t="s">
        <v>296</v>
      </c>
    </row>
    <row r="137" spans="1:18" s="2265" customFormat="1" ht="26.4">
      <c r="A137" s="2116" t="s">
        <v>1202</v>
      </c>
      <c r="B137" s="2116" t="s">
        <v>1203</v>
      </c>
      <c r="C137" s="2116" t="s">
        <v>1269</v>
      </c>
      <c r="D137" s="2116" t="s">
        <v>1270</v>
      </c>
      <c r="E137" s="2116" t="s">
        <v>1271</v>
      </c>
      <c r="F137" s="2116">
        <v>2</v>
      </c>
      <c r="G137" s="2116" t="s">
        <v>105</v>
      </c>
      <c r="H137" s="2116" t="s">
        <v>16</v>
      </c>
      <c r="I137" s="2116" t="s">
        <v>1237</v>
      </c>
      <c r="J137" s="2116">
        <v>10</v>
      </c>
      <c r="K137" s="2117">
        <v>14</v>
      </c>
      <c r="L137" s="2117">
        <v>14</v>
      </c>
      <c r="M137" s="2116">
        <v>32000</v>
      </c>
      <c r="N137" s="2117">
        <v>244.86</v>
      </c>
      <c r="O137" s="2116" t="s">
        <v>1276</v>
      </c>
      <c r="P137" s="2116" t="s">
        <v>296</v>
      </c>
      <c r="Q137" s="2116" t="s">
        <v>296</v>
      </c>
      <c r="R137" s="2116" t="s">
        <v>296</v>
      </c>
    </row>
    <row r="138" spans="1:18" s="2265" customFormat="1" ht="26.4">
      <c r="A138" s="2116" t="s">
        <v>1202</v>
      </c>
      <c r="B138" s="2116" t="s">
        <v>1213</v>
      </c>
      <c r="C138" s="2116" t="s">
        <v>1244</v>
      </c>
      <c r="D138" s="2116" t="s">
        <v>1215</v>
      </c>
      <c r="E138" s="2116" t="s">
        <v>1271</v>
      </c>
      <c r="F138" s="2116">
        <v>2</v>
      </c>
      <c r="G138" s="2116" t="s">
        <v>105</v>
      </c>
      <c r="H138" s="2116" t="s">
        <v>16</v>
      </c>
      <c r="I138" s="2116" t="s">
        <v>1237</v>
      </c>
      <c r="J138" s="2116">
        <v>6</v>
      </c>
      <c r="K138" s="2117">
        <v>19</v>
      </c>
      <c r="L138" s="2117">
        <v>19</v>
      </c>
      <c r="M138" s="2116">
        <v>32000</v>
      </c>
      <c r="N138" s="2117">
        <v>162.19999999999999</v>
      </c>
      <c r="O138" s="2116" t="s">
        <v>1217</v>
      </c>
      <c r="P138" s="2116" t="s">
        <v>296</v>
      </c>
      <c r="Q138" s="2116" t="s">
        <v>296</v>
      </c>
      <c r="R138" s="2116" t="s">
        <v>296</v>
      </c>
    </row>
    <row r="139" spans="1:18" s="2265" customFormat="1" ht="26.4">
      <c r="A139" s="2116" t="s">
        <v>1202</v>
      </c>
      <c r="B139" s="2116" t="s">
        <v>1203</v>
      </c>
      <c r="C139" s="2116" t="s">
        <v>1283</v>
      </c>
      <c r="D139" s="2116" t="s">
        <v>1205</v>
      </c>
      <c r="E139" s="2116" t="s">
        <v>1284</v>
      </c>
      <c r="F139" s="2116">
        <v>1</v>
      </c>
      <c r="G139" s="2116" t="s">
        <v>105</v>
      </c>
      <c r="H139" s="2116" t="s">
        <v>17</v>
      </c>
      <c r="I139" s="2116" t="s">
        <v>1207</v>
      </c>
      <c r="J139" s="2116">
        <v>4</v>
      </c>
      <c r="K139" s="2117">
        <v>5</v>
      </c>
      <c r="L139" s="2117">
        <v>5</v>
      </c>
      <c r="M139" s="2116">
        <v>45000</v>
      </c>
      <c r="N139" s="2117">
        <v>105.52</v>
      </c>
      <c r="O139" s="2116" t="s">
        <v>1208</v>
      </c>
      <c r="P139" s="2116" t="s">
        <v>296</v>
      </c>
      <c r="Q139" s="2116" t="s">
        <v>296</v>
      </c>
      <c r="R139" s="2116" t="s">
        <v>296</v>
      </c>
    </row>
    <row r="140" spans="1:18" s="2265" customFormat="1" ht="26.4">
      <c r="A140" s="2116" t="s">
        <v>1202</v>
      </c>
      <c r="B140" s="2116" t="s">
        <v>1203</v>
      </c>
      <c r="C140" s="2116" t="s">
        <v>1286</v>
      </c>
      <c r="D140" s="2116" t="s">
        <v>1205</v>
      </c>
      <c r="E140" s="2116" t="s">
        <v>1284</v>
      </c>
      <c r="F140" s="2116">
        <v>1</v>
      </c>
      <c r="G140" s="2116" t="s">
        <v>105</v>
      </c>
      <c r="H140" s="2116" t="s">
        <v>17</v>
      </c>
      <c r="I140" s="2116" t="s">
        <v>1207</v>
      </c>
      <c r="J140" s="2116">
        <v>3</v>
      </c>
      <c r="K140" s="2117">
        <v>5</v>
      </c>
      <c r="L140" s="2117">
        <v>5</v>
      </c>
      <c r="M140" s="2116">
        <v>45000</v>
      </c>
      <c r="N140" s="2117">
        <v>74.66</v>
      </c>
      <c r="O140" s="2116" t="s">
        <v>1208</v>
      </c>
      <c r="P140" s="2116" t="s">
        <v>296</v>
      </c>
      <c r="Q140" s="2116" t="s">
        <v>296</v>
      </c>
      <c r="R140" s="2116" t="s">
        <v>296</v>
      </c>
    </row>
    <row r="141" spans="1:18" s="2265" customFormat="1" ht="26.4">
      <c r="A141" s="2116" t="s">
        <v>1202</v>
      </c>
      <c r="B141" s="2116" t="s">
        <v>1203</v>
      </c>
      <c r="C141" s="2116" t="s">
        <v>1283</v>
      </c>
      <c r="D141" s="2116" t="s">
        <v>1205</v>
      </c>
      <c r="E141" s="2116" t="s">
        <v>1284</v>
      </c>
      <c r="F141" s="2116">
        <v>1</v>
      </c>
      <c r="G141" s="2116" t="s">
        <v>105</v>
      </c>
      <c r="H141" s="2116" t="s">
        <v>17</v>
      </c>
      <c r="I141" s="2116" t="s">
        <v>1210</v>
      </c>
      <c r="J141" s="2116">
        <v>2</v>
      </c>
      <c r="K141" s="2117">
        <v>5</v>
      </c>
      <c r="L141" s="2117">
        <v>5</v>
      </c>
      <c r="M141" s="2116">
        <v>18</v>
      </c>
      <c r="N141" s="2117">
        <v>40.22</v>
      </c>
      <c r="O141" s="2116" t="s">
        <v>1208</v>
      </c>
      <c r="P141" s="2116" t="s">
        <v>296</v>
      </c>
      <c r="Q141" s="2116" t="s">
        <v>296</v>
      </c>
      <c r="R141" s="2116" t="s">
        <v>296</v>
      </c>
    </row>
    <row r="142" spans="1:18" s="2265" customFormat="1" ht="26.4">
      <c r="A142" s="2116" t="s">
        <v>1202</v>
      </c>
      <c r="B142" s="2116" t="s">
        <v>1203</v>
      </c>
      <c r="C142" s="2116" t="s">
        <v>1290</v>
      </c>
      <c r="D142" s="2116" t="s">
        <v>1205</v>
      </c>
      <c r="E142" s="2116" t="s">
        <v>1284</v>
      </c>
      <c r="F142" s="2116">
        <v>1</v>
      </c>
      <c r="G142" s="2116" t="s">
        <v>105</v>
      </c>
      <c r="H142" s="2116" t="s">
        <v>17</v>
      </c>
      <c r="I142" s="2116" t="s">
        <v>1210</v>
      </c>
      <c r="J142" s="2116">
        <v>7</v>
      </c>
      <c r="K142" s="2117">
        <v>5</v>
      </c>
      <c r="L142" s="2117">
        <v>5</v>
      </c>
      <c r="M142" s="2116">
        <v>18</v>
      </c>
      <c r="N142" s="2117">
        <v>137.72</v>
      </c>
      <c r="O142" s="2116" t="s">
        <v>1208</v>
      </c>
      <c r="P142" s="2116" t="s">
        <v>296</v>
      </c>
      <c r="Q142" s="2116" t="s">
        <v>296</v>
      </c>
      <c r="R142" s="2116" t="s">
        <v>296</v>
      </c>
    </row>
    <row r="143" spans="1:18" s="2265" customFormat="1" ht="26.4">
      <c r="A143" s="2116" t="s">
        <v>1202</v>
      </c>
      <c r="B143" s="2116" t="s">
        <v>1203</v>
      </c>
      <c r="C143" s="2116" t="s">
        <v>1292</v>
      </c>
      <c r="D143" s="2116" t="s">
        <v>1205</v>
      </c>
      <c r="E143" s="2116" t="s">
        <v>1284</v>
      </c>
      <c r="F143" s="2116">
        <v>1</v>
      </c>
      <c r="G143" s="2116" t="s">
        <v>105</v>
      </c>
      <c r="H143" s="2116" t="s">
        <v>17</v>
      </c>
      <c r="I143" s="2116" t="s">
        <v>1212</v>
      </c>
      <c r="J143" s="2116">
        <v>1</v>
      </c>
      <c r="K143" s="2117">
        <v>5</v>
      </c>
      <c r="L143" s="2117">
        <v>5</v>
      </c>
      <c r="M143" s="2116">
        <v>20</v>
      </c>
      <c r="N143" s="2117">
        <v>15.34</v>
      </c>
      <c r="O143" s="2116" t="s">
        <v>1208</v>
      </c>
      <c r="P143" s="2116" t="s">
        <v>296</v>
      </c>
      <c r="Q143" s="2116" t="s">
        <v>296</v>
      </c>
      <c r="R143" s="2116" t="s">
        <v>296</v>
      </c>
    </row>
    <row r="144" spans="1:18" s="2265" customFormat="1" ht="26.4">
      <c r="A144" s="2116" t="s">
        <v>1202</v>
      </c>
      <c r="B144" s="2116" t="s">
        <v>1203</v>
      </c>
      <c r="C144" s="2116" t="s">
        <v>1283</v>
      </c>
      <c r="D144" s="2116" t="s">
        <v>1205</v>
      </c>
      <c r="E144" s="2116" t="s">
        <v>1284</v>
      </c>
      <c r="F144" s="2116">
        <v>1</v>
      </c>
      <c r="G144" s="2116" t="s">
        <v>105</v>
      </c>
      <c r="H144" s="2116" t="s">
        <v>17</v>
      </c>
      <c r="I144" s="2116" t="s">
        <v>1212</v>
      </c>
      <c r="J144" s="2116">
        <v>1</v>
      </c>
      <c r="K144" s="2117">
        <v>5</v>
      </c>
      <c r="L144" s="2117">
        <v>5</v>
      </c>
      <c r="M144" s="2116">
        <v>20</v>
      </c>
      <c r="N144" s="2117">
        <v>15.6</v>
      </c>
      <c r="O144" s="2116" t="s">
        <v>1208</v>
      </c>
      <c r="P144" s="2116" t="s">
        <v>296</v>
      </c>
      <c r="Q144" s="2116" t="s">
        <v>296</v>
      </c>
      <c r="R144" s="2116" t="s">
        <v>296</v>
      </c>
    </row>
    <row r="145" spans="1:18" s="2265" customFormat="1" ht="26.4">
      <c r="A145" s="2116" t="s">
        <v>1202</v>
      </c>
      <c r="B145" s="2116" t="s">
        <v>1203</v>
      </c>
      <c r="C145" s="2116" t="s">
        <v>1290</v>
      </c>
      <c r="D145" s="2116" t="s">
        <v>1205</v>
      </c>
      <c r="E145" s="2116" t="s">
        <v>1284</v>
      </c>
      <c r="F145" s="2116">
        <v>1</v>
      </c>
      <c r="G145" s="2116" t="s">
        <v>105</v>
      </c>
      <c r="H145" s="2116" t="s">
        <v>17</v>
      </c>
      <c r="I145" s="2116" t="s">
        <v>1212</v>
      </c>
      <c r="J145" s="2116">
        <v>4</v>
      </c>
      <c r="K145" s="2117">
        <v>5</v>
      </c>
      <c r="L145" s="2117">
        <v>5</v>
      </c>
      <c r="M145" s="2116">
        <v>20</v>
      </c>
      <c r="N145" s="2117">
        <v>66.36</v>
      </c>
      <c r="O145" s="2116" t="s">
        <v>1208</v>
      </c>
      <c r="P145" s="2116" t="s">
        <v>296</v>
      </c>
      <c r="Q145" s="2116" t="s">
        <v>296</v>
      </c>
      <c r="R145" s="2116" t="s">
        <v>296</v>
      </c>
    </row>
    <row r="146" spans="1:18" s="2265" customFormat="1" ht="26.4">
      <c r="A146" s="2116" t="s">
        <v>1202</v>
      </c>
      <c r="B146" s="2116" t="s">
        <v>1203</v>
      </c>
      <c r="C146" s="2116" t="s">
        <v>1269</v>
      </c>
      <c r="D146" s="2116" t="s">
        <v>1270</v>
      </c>
      <c r="E146" s="2116" t="s">
        <v>1284</v>
      </c>
      <c r="F146" s="2116">
        <v>1</v>
      </c>
      <c r="G146" s="2116" t="s">
        <v>105</v>
      </c>
      <c r="H146" s="2116" t="s">
        <v>16</v>
      </c>
      <c r="I146" s="2116" t="s">
        <v>1216</v>
      </c>
      <c r="J146" s="2116">
        <v>11</v>
      </c>
      <c r="K146" s="2117">
        <v>14</v>
      </c>
      <c r="L146" s="2117">
        <v>14</v>
      </c>
      <c r="M146" s="2116">
        <v>32</v>
      </c>
      <c r="N146" s="2117">
        <v>291.66000000000003</v>
      </c>
      <c r="O146" s="2116" t="s">
        <v>1276</v>
      </c>
      <c r="P146" s="2116" t="s">
        <v>296</v>
      </c>
      <c r="Q146" s="2116" t="s">
        <v>296</v>
      </c>
      <c r="R146" s="2116" t="s">
        <v>296</v>
      </c>
    </row>
    <row r="147" spans="1:18" s="2265" customFormat="1" ht="26.4">
      <c r="A147" s="2116" t="s">
        <v>1202</v>
      </c>
      <c r="B147" s="2116" t="s">
        <v>1213</v>
      </c>
      <c r="C147" s="2116" t="s">
        <v>1244</v>
      </c>
      <c r="D147" s="2116" t="s">
        <v>1215</v>
      </c>
      <c r="E147" s="2116" t="s">
        <v>1284</v>
      </c>
      <c r="F147" s="2116">
        <v>1</v>
      </c>
      <c r="G147" s="2116" t="s">
        <v>105</v>
      </c>
      <c r="H147" s="2116" t="s">
        <v>16</v>
      </c>
      <c r="I147" s="2116" t="s">
        <v>1216</v>
      </c>
      <c r="J147" s="2116">
        <v>11</v>
      </c>
      <c r="K147" s="2117">
        <v>19</v>
      </c>
      <c r="L147" s="2117">
        <v>19</v>
      </c>
      <c r="M147" s="2116">
        <v>32</v>
      </c>
      <c r="N147" s="2117">
        <v>299.61</v>
      </c>
      <c r="O147" s="2116" t="s">
        <v>1217</v>
      </c>
      <c r="P147" s="2116" t="s">
        <v>296</v>
      </c>
      <c r="Q147" s="2116" t="s">
        <v>296</v>
      </c>
      <c r="R147" s="2116" t="s">
        <v>296</v>
      </c>
    </row>
    <row r="148" spans="1:18" s="2265" customFormat="1" ht="26.4">
      <c r="A148" s="2116" t="s">
        <v>1202</v>
      </c>
      <c r="B148" s="2116" t="s">
        <v>1203</v>
      </c>
      <c r="C148" s="2116" t="s">
        <v>1269</v>
      </c>
      <c r="D148" s="2116" t="s">
        <v>1270</v>
      </c>
      <c r="E148" s="2116" t="s">
        <v>1284</v>
      </c>
      <c r="F148" s="2116">
        <v>1</v>
      </c>
      <c r="G148" s="2116" t="s">
        <v>105</v>
      </c>
      <c r="H148" s="2116" t="s">
        <v>16</v>
      </c>
      <c r="I148" s="2116" t="s">
        <v>1237</v>
      </c>
      <c r="J148" s="2116">
        <v>11</v>
      </c>
      <c r="K148" s="2117">
        <v>14</v>
      </c>
      <c r="L148" s="2117">
        <v>14</v>
      </c>
      <c r="M148" s="2116">
        <v>32000</v>
      </c>
      <c r="N148" s="2117">
        <v>290.22000000000003</v>
      </c>
      <c r="O148" s="2116" t="s">
        <v>1276</v>
      </c>
      <c r="P148" s="2116" t="s">
        <v>296</v>
      </c>
      <c r="Q148" s="2116" t="s">
        <v>296</v>
      </c>
      <c r="R148" s="2116" t="s">
        <v>296</v>
      </c>
    </row>
    <row r="149" spans="1:18" s="2265" customFormat="1" ht="26.4">
      <c r="A149" s="2116" t="s">
        <v>1202</v>
      </c>
      <c r="B149" s="2116" t="s">
        <v>1213</v>
      </c>
      <c r="C149" s="2116" t="s">
        <v>1244</v>
      </c>
      <c r="D149" s="2116" t="s">
        <v>1215</v>
      </c>
      <c r="E149" s="2116" t="s">
        <v>1284</v>
      </c>
      <c r="F149" s="2116">
        <v>1</v>
      </c>
      <c r="G149" s="2116" t="s">
        <v>105</v>
      </c>
      <c r="H149" s="2116" t="s">
        <v>16</v>
      </c>
      <c r="I149" s="2116" t="s">
        <v>1237</v>
      </c>
      <c r="J149" s="2116">
        <v>20</v>
      </c>
      <c r="K149" s="2117">
        <v>19</v>
      </c>
      <c r="L149" s="2117">
        <v>19</v>
      </c>
      <c r="M149" s="2116">
        <v>32000</v>
      </c>
      <c r="N149" s="2117">
        <v>526.49</v>
      </c>
      <c r="O149" s="2116" t="s">
        <v>1217</v>
      </c>
      <c r="P149" s="2116" t="s">
        <v>296</v>
      </c>
      <c r="Q149" s="2116" t="s">
        <v>296</v>
      </c>
      <c r="R149" s="2116" t="s">
        <v>296</v>
      </c>
    </row>
    <row r="150" spans="1:18" s="2265" customFormat="1" ht="26.4">
      <c r="A150" s="2116" t="s">
        <v>1202</v>
      </c>
      <c r="B150" s="2116" t="s">
        <v>1219</v>
      </c>
      <c r="C150" s="2116" t="s">
        <v>1220</v>
      </c>
      <c r="D150" s="2116" t="s">
        <v>1221</v>
      </c>
      <c r="E150" s="2116" t="s">
        <v>1284</v>
      </c>
      <c r="F150" s="2116">
        <v>1</v>
      </c>
      <c r="G150" s="2116" t="s">
        <v>1222</v>
      </c>
      <c r="H150" s="2116" t="s">
        <v>243</v>
      </c>
      <c r="I150" s="2116" t="s">
        <v>1233</v>
      </c>
      <c r="J150" s="2116">
        <v>1</v>
      </c>
      <c r="K150" s="2117">
        <v>0</v>
      </c>
      <c r="L150" s="2117">
        <v>0</v>
      </c>
      <c r="M150" s="2116">
        <v>45000</v>
      </c>
      <c r="N150" s="2117">
        <v>36.26</v>
      </c>
      <c r="O150" s="2116" t="s">
        <v>1224</v>
      </c>
      <c r="P150" s="2116" t="s">
        <v>296</v>
      </c>
      <c r="Q150" s="2116" t="s">
        <v>296</v>
      </c>
      <c r="R150" s="2116" t="s">
        <v>296</v>
      </c>
    </row>
    <row r="151" spans="1:18" s="2265" customFormat="1" ht="26.4">
      <c r="A151" s="2116" t="s">
        <v>1202</v>
      </c>
      <c r="B151" s="2116" t="s">
        <v>1219</v>
      </c>
      <c r="C151" s="2116" t="s">
        <v>1220</v>
      </c>
      <c r="D151" s="2116" t="s">
        <v>1221</v>
      </c>
      <c r="E151" s="2116" t="s">
        <v>1284</v>
      </c>
      <c r="F151" s="2116">
        <v>1</v>
      </c>
      <c r="G151" s="2116" t="s">
        <v>1222</v>
      </c>
      <c r="H151" s="2116" t="s">
        <v>243</v>
      </c>
      <c r="I151" s="2116" t="s">
        <v>1223</v>
      </c>
      <c r="J151" s="2116">
        <v>4</v>
      </c>
      <c r="K151" s="2117">
        <v>0</v>
      </c>
      <c r="L151" s="2117">
        <v>0</v>
      </c>
      <c r="M151" s="2116">
        <v>30000</v>
      </c>
      <c r="N151" s="2117">
        <v>140.44</v>
      </c>
      <c r="O151" s="2116" t="s">
        <v>1224</v>
      </c>
      <c r="P151" s="2116" t="s">
        <v>296</v>
      </c>
      <c r="Q151" s="2116" t="s">
        <v>296</v>
      </c>
      <c r="R151" s="2116" t="s">
        <v>296</v>
      </c>
    </row>
    <row r="152" spans="1:18" s="2265" customFormat="1" ht="26.4">
      <c r="A152" s="2116" t="s">
        <v>1202</v>
      </c>
      <c r="B152" s="2116" t="s">
        <v>1203</v>
      </c>
      <c r="C152" s="2116" t="s">
        <v>1296</v>
      </c>
      <c r="D152" s="2116" t="s">
        <v>1205</v>
      </c>
      <c r="E152" s="2116" t="s">
        <v>1297</v>
      </c>
      <c r="F152" s="2116">
        <v>2</v>
      </c>
      <c r="G152" s="2116" t="s">
        <v>105</v>
      </c>
      <c r="H152" s="2116" t="s">
        <v>17</v>
      </c>
      <c r="I152" s="2116" t="s">
        <v>1207</v>
      </c>
      <c r="J152" s="2116">
        <v>12</v>
      </c>
      <c r="K152" s="2117">
        <v>5</v>
      </c>
      <c r="L152" s="2117">
        <v>5</v>
      </c>
      <c r="M152" s="2116">
        <v>45000</v>
      </c>
      <c r="N152" s="2117">
        <v>281.52</v>
      </c>
      <c r="O152" s="2116" t="s">
        <v>1208</v>
      </c>
      <c r="P152" s="2116" t="s">
        <v>296</v>
      </c>
      <c r="Q152" s="2116" t="s">
        <v>296</v>
      </c>
      <c r="R152" s="2116" t="s">
        <v>296</v>
      </c>
    </row>
    <row r="153" spans="1:18" s="2265" customFormat="1" ht="26.4">
      <c r="A153" s="2116" t="s">
        <v>1202</v>
      </c>
      <c r="B153" s="2116" t="s">
        <v>1203</v>
      </c>
      <c r="C153" s="2116" t="s">
        <v>1286</v>
      </c>
      <c r="D153" s="2116" t="s">
        <v>1205</v>
      </c>
      <c r="E153" s="2116" t="s">
        <v>1297</v>
      </c>
      <c r="F153" s="2116">
        <v>2</v>
      </c>
      <c r="G153" s="2116" t="s">
        <v>105</v>
      </c>
      <c r="H153" s="2116" t="s">
        <v>17</v>
      </c>
      <c r="I153" s="2116" t="s">
        <v>1207</v>
      </c>
      <c r="J153" s="2116">
        <v>14</v>
      </c>
      <c r="K153" s="2117">
        <v>5</v>
      </c>
      <c r="L153" s="2117">
        <v>5</v>
      </c>
      <c r="M153" s="2116">
        <v>45000</v>
      </c>
      <c r="N153" s="2117">
        <v>365.72</v>
      </c>
      <c r="O153" s="2116" t="s">
        <v>1208</v>
      </c>
      <c r="P153" s="2116" t="s">
        <v>296</v>
      </c>
      <c r="Q153" s="2116" t="s">
        <v>296</v>
      </c>
      <c r="R153" s="2116" t="s">
        <v>296</v>
      </c>
    </row>
    <row r="154" spans="1:18" s="2265" customFormat="1" ht="26.4">
      <c r="A154" s="2116" t="s">
        <v>1202</v>
      </c>
      <c r="B154" s="2116" t="s">
        <v>1203</v>
      </c>
      <c r="C154" s="2116" t="s">
        <v>1286</v>
      </c>
      <c r="D154" s="2116" t="s">
        <v>1205</v>
      </c>
      <c r="E154" s="2116" t="s">
        <v>1297</v>
      </c>
      <c r="F154" s="2116">
        <v>2</v>
      </c>
      <c r="G154" s="2116" t="s">
        <v>105</v>
      </c>
      <c r="H154" s="2116" t="s">
        <v>17</v>
      </c>
      <c r="I154" s="2116" t="s">
        <v>1210</v>
      </c>
      <c r="J154" s="2116">
        <v>1</v>
      </c>
      <c r="K154" s="2117">
        <v>5</v>
      </c>
      <c r="L154" s="2117">
        <v>5</v>
      </c>
      <c r="M154" s="2116">
        <v>18</v>
      </c>
      <c r="N154" s="2117">
        <v>21.36</v>
      </c>
      <c r="O154" s="2116" t="s">
        <v>1208</v>
      </c>
      <c r="P154" s="2116" t="s">
        <v>296</v>
      </c>
      <c r="Q154" s="2116" t="s">
        <v>296</v>
      </c>
      <c r="R154" s="2116" t="s">
        <v>296</v>
      </c>
    </row>
    <row r="155" spans="1:18" s="2265" customFormat="1" ht="26.4">
      <c r="A155" s="2116" t="s">
        <v>1202</v>
      </c>
      <c r="B155" s="2116" t="s">
        <v>1203</v>
      </c>
      <c r="C155" s="2116" t="s">
        <v>1269</v>
      </c>
      <c r="D155" s="2116" t="s">
        <v>1270</v>
      </c>
      <c r="E155" s="2116" t="s">
        <v>1297</v>
      </c>
      <c r="F155" s="2116">
        <v>2</v>
      </c>
      <c r="G155" s="2116" t="s">
        <v>105</v>
      </c>
      <c r="H155" s="2116" t="s">
        <v>16</v>
      </c>
      <c r="I155" s="2116" t="s">
        <v>1216</v>
      </c>
      <c r="J155" s="2116">
        <v>8</v>
      </c>
      <c r="K155" s="2117">
        <v>14</v>
      </c>
      <c r="L155" s="2117">
        <v>14</v>
      </c>
      <c r="M155" s="2116">
        <v>32</v>
      </c>
      <c r="N155" s="2117">
        <v>198.74</v>
      </c>
      <c r="O155" s="2116" t="s">
        <v>1276</v>
      </c>
      <c r="P155" s="2116" t="s">
        <v>296</v>
      </c>
      <c r="Q155" s="2116" t="s">
        <v>296</v>
      </c>
      <c r="R155" s="2116" t="s">
        <v>296</v>
      </c>
    </row>
    <row r="156" spans="1:18" s="2265" customFormat="1" ht="26.4">
      <c r="A156" s="2116" t="s">
        <v>1202</v>
      </c>
      <c r="B156" s="2116" t="s">
        <v>1213</v>
      </c>
      <c r="C156" s="2116" t="s">
        <v>1298</v>
      </c>
      <c r="D156" s="2116" t="s">
        <v>1215</v>
      </c>
      <c r="E156" s="2116" t="s">
        <v>1297</v>
      </c>
      <c r="F156" s="2116">
        <v>2</v>
      </c>
      <c r="G156" s="2116" t="s">
        <v>105</v>
      </c>
      <c r="H156" s="2116" t="s">
        <v>16</v>
      </c>
      <c r="I156" s="2116" t="s">
        <v>1216</v>
      </c>
      <c r="J156" s="2116">
        <v>11</v>
      </c>
      <c r="K156" s="2117">
        <v>19</v>
      </c>
      <c r="L156" s="2117">
        <v>19</v>
      </c>
      <c r="M156" s="2116">
        <v>32</v>
      </c>
      <c r="N156" s="2117">
        <v>316.64</v>
      </c>
      <c r="O156" s="2116" t="s">
        <v>1217</v>
      </c>
      <c r="P156" s="2116" t="s">
        <v>296</v>
      </c>
      <c r="Q156" s="2116" t="s">
        <v>296</v>
      </c>
      <c r="R156" s="2116" t="s">
        <v>296</v>
      </c>
    </row>
    <row r="157" spans="1:18" s="2265" customFormat="1" ht="26.4">
      <c r="A157" s="2116" t="s">
        <v>1202</v>
      </c>
      <c r="B157" s="2116" t="s">
        <v>1213</v>
      </c>
      <c r="C157" s="2116" t="s">
        <v>1244</v>
      </c>
      <c r="D157" s="2116" t="s">
        <v>1215</v>
      </c>
      <c r="E157" s="2116" t="s">
        <v>1297</v>
      </c>
      <c r="F157" s="2116">
        <v>2</v>
      </c>
      <c r="G157" s="2116" t="s">
        <v>105</v>
      </c>
      <c r="H157" s="2116" t="s">
        <v>16</v>
      </c>
      <c r="I157" s="2116" t="s">
        <v>1216</v>
      </c>
      <c r="J157" s="2116">
        <v>3</v>
      </c>
      <c r="K157" s="2117">
        <v>19</v>
      </c>
      <c r="L157" s="2117">
        <v>19</v>
      </c>
      <c r="M157" s="2116">
        <v>32</v>
      </c>
      <c r="N157" s="2117">
        <v>83.4</v>
      </c>
      <c r="O157" s="2116" t="s">
        <v>1217</v>
      </c>
      <c r="P157" s="2116" t="s">
        <v>296</v>
      </c>
      <c r="Q157" s="2116" t="s">
        <v>296</v>
      </c>
      <c r="R157" s="2116" t="s">
        <v>296</v>
      </c>
    </row>
    <row r="158" spans="1:18" s="2265" customFormat="1" ht="26.4">
      <c r="A158" s="2116" t="s">
        <v>1202</v>
      </c>
      <c r="B158" s="2116" t="s">
        <v>1203</v>
      </c>
      <c r="C158" s="2116" t="s">
        <v>1269</v>
      </c>
      <c r="D158" s="2116" t="s">
        <v>1270</v>
      </c>
      <c r="E158" s="2116" t="s">
        <v>1297</v>
      </c>
      <c r="F158" s="2116">
        <v>2</v>
      </c>
      <c r="G158" s="2116" t="s">
        <v>105</v>
      </c>
      <c r="H158" s="2116" t="s">
        <v>16</v>
      </c>
      <c r="I158" s="2116" t="s">
        <v>1237</v>
      </c>
      <c r="J158" s="2116">
        <v>6</v>
      </c>
      <c r="K158" s="2117">
        <v>14</v>
      </c>
      <c r="L158" s="2117">
        <v>14</v>
      </c>
      <c r="M158" s="2116">
        <v>32000</v>
      </c>
      <c r="N158" s="2117">
        <v>146.4</v>
      </c>
      <c r="O158" s="2116" t="s">
        <v>1276</v>
      </c>
      <c r="P158" s="2116" t="s">
        <v>296</v>
      </c>
      <c r="Q158" s="2116" t="s">
        <v>296</v>
      </c>
      <c r="R158" s="2116" t="s">
        <v>296</v>
      </c>
    </row>
    <row r="159" spans="1:18" s="2265" customFormat="1" ht="26.4">
      <c r="A159" s="2116" t="s">
        <v>1202</v>
      </c>
      <c r="B159" s="2116" t="s">
        <v>1213</v>
      </c>
      <c r="C159" s="2116" t="s">
        <v>1298</v>
      </c>
      <c r="D159" s="2116" t="s">
        <v>1215</v>
      </c>
      <c r="E159" s="2116" t="s">
        <v>1297</v>
      </c>
      <c r="F159" s="2116">
        <v>2</v>
      </c>
      <c r="G159" s="2116" t="s">
        <v>105</v>
      </c>
      <c r="H159" s="2116" t="s">
        <v>16</v>
      </c>
      <c r="I159" s="2116" t="s">
        <v>1237</v>
      </c>
      <c r="J159" s="2116">
        <v>19</v>
      </c>
      <c r="K159" s="2117">
        <v>19</v>
      </c>
      <c r="L159" s="2117">
        <v>19</v>
      </c>
      <c r="M159" s="2116">
        <v>32000</v>
      </c>
      <c r="N159" s="2117">
        <v>537.34</v>
      </c>
      <c r="O159" s="2116" t="s">
        <v>1217</v>
      </c>
      <c r="P159" s="2116" t="s">
        <v>296</v>
      </c>
      <c r="Q159" s="2116" t="s">
        <v>296</v>
      </c>
      <c r="R159" s="2116" t="s">
        <v>296</v>
      </c>
    </row>
    <row r="160" spans="1:18" s="2265" customFormat="1" ht="26.4">
      <c r="A160" s="2116" t="s">
        <v>1202</v>
      </c>
      <c r="B160" s="2116" t="s">
        <v>1213</v>
      </c>
      <c r="C160" s="2116" t="s">
        <v>1244</v>
      </c>
      <c r="D160" s="2116" t="s">
        <v>1215</v>
      </c>
      <c r="E160" s="2116" t="s">
        <v>1297</v>
      </c>
      <c r="F160" s="2116">
        <v>2</v>
      </c>
      <c r="G160" s="2116" t="s">
        <v>105</v>
      </c>
      <c r="H160" s="2116" t="s">
        <v>16</v>
      </c>
      <c r="I160" s="2116" t="s">
        <v>1237</v>
      </c>
      <c r="J160" s="2116">
        <v>6</v>
      </c>
      <c r="K160" s="2117">
        <v>19</v>
      </c>
      <c r="L160" s="2117">
        <v>19</v>
      </c>
      <c r="M160" s="2116">
        <v>32000</v>
      </c>
      <c r="N160" s="2117">
        <v>160.86000000000001</v>
      </c>
      <c r="O160" s="2116" t="s">
        <v>1217</v>
      </c>
      <c r="P160" s="2116" t="s">
        <v>296</v>
      </c>
      <c r="Q160" s="2116" t="s">
        <v>296</v>
      </c>
      <c r="R160" s="2116" t="s">
        <v>296</v>
      </c>
    </row>
    <row r="161" spans="1:18" s="2265" customFormat="1" ht="26.4">
      <c r="A161" s="2116" t="s">
        <v>1202</v>
      </c>
      <c r="B161" s="2116" t="s">
        <v>1203</v>
      </c>
      <c r="C161" s="2116" t="s">
        <v>1296</v>
      </c>
      <c r="D161" s="2116" t="s">
        <v>1205</v>
      </c>
      <c r="E161" s="2116" t="s">
        <v>1299</v>
      </c>
      <c r="F161" s="2116">
        <v>1</v>
      </c>
      <c r="G161" s="2116" t="s">
        <v>105</v>
      </c>
      <c r="H161" s="2116" t="s">
        <v>17</v>
      </c>
      <c r="I161" s="2116" t="s">
        <v>1207</v>
      </c>
      <c r="J161" s="2116">
        <v>13</v>
      </c>
      <c r="K161" s="2117">
        <v>5</v>
      </c>
      <c r="L161" s="2117">
        <v>5</v>
      </c>
      <c r="M161" s="2116">
        <v>45000</v>
      </c>
      <c r="N161" s="2117">
        <v>327.62</v>
      </c>
      <c r="O161" s="2116" t="s">
        <v>1208</v>
      </c>
      <c r="P161" s="2116" t="s">
        <v>296</v>
      </c>
      <c r="Q161" s="2116" t="s">
        <v>296</v>
      </c>
      <c r="R161" s="2116" t="s">
        <v>296</v>
      </c>
    </row>
    <row r="162" spans="1:18" s="2265" customFormat="1" ht="26.4">
      <c r="A162" s="2116" t="s">
        <v>1202</v>
      </c>
      <c r="B162" s="2116" t="s">
        <v>1203</v>
      </c>
      <c r="C162" s="2116" t="s">
        <v>1300</v>
      </c>
      <c r="D162" s="2116" t="s">
        <v>1205</v>
      </c>
      <c r="E162" s="2116" t="s">
        <v>1299</v>
      </c>
      <c r="F162" s="2116">
        <v>1</v>
      </c>
      <c r="G162" s="2116" t="s">
        <v>105</v>
      </c>
      <c r="H162" s="2116" t="s">
        <v>17</v>
      </c>
      <c r="I162" s="2116" t="s">
        <v>1207</v>
      </c>
      <c r="J162" s="2116">
        <v>15</v>
      </c>
      <c r="K162" s="2117">
        <v>5</v>
      </c>
      <c r="L162" s="2117">
        <v>5</v>
      </c>
      <c r="M162" s="2116">
        <v>45000</v>
      </c>
      <c r="N162" s="2117">
        <v>380.84</v>
      </c>
      <c r="O162" s="2116" t="s">
        <v>1208</v>
      </c>
      <c r="P162" s="2116" t="s">
        <v>296</v>
      </c>
      <c r="Q162" s="2116" t="s">
        <v>296</v>
      </c>
      <c r="R162" s="2116" t="s">
        <v>296</v>
      </c>
    </row>
    <row r="163" spans="1:18" s="2265" customFormat="1" ht="26.4">
      <c r="A163" s="2116" t="s">
        <v>1202</v>
      </c>
      <c r="B163" s="2116" t="s">
        <v>1213</v>
      </c>
      <c r="C163" s="2116" t="s">
        <v>1298</v>
      </c>
      <c r="D163" s="2116" t="s">
        <v>1215</v>
      </c>
      <c r="E163" s="2116" t="s">
        <v>1299</v>
      </c>
      <c r="F163" s="2116">
        <v>1</v>
      </c>
      <c r="G163" s="2116" t="s">
        <v>105</v>
      </c>
      <c r="H163" s="2116" t="s">
        <v>16</v>
      </c>
      <c r="I163" s="2116" t="s">
        <v>1216</v>
      </c>
      <c r="J163" s="2116">
        <v>20</v>
      </c>
      <c r="K163" s="2117">
        <v>19</v>
      </c>
      <c r="L163" s="2117">
        <v>19</v>
      </c>
      <c r="M163" s="2116">
        <v>32</v>
      </c>
      <c r="N163" s="2117">
        <v>521.64</v>
      </c>
      <c r="O163" s="2116" t="s">
        <v>1217</v>
      </c>
      <c r="P163" s="2116" t="s">
        <v>296</v>
      </c>
      <c r="Q163" s="2116" t="s">
        <v>296</v>
      </c>
      <c r="R163" s="2116" t="s">
        <v>296</v>
      </c>
    </row>
    <row r="164" spans="1:18" s="2265" customFormat="1" ht="26.4">
      <c r="A164" s="2116" t="s">
        <v>1202</v>
      </c>
      <c r="B164" s="2116" t="s">
        <v>1213</v>
      </c>
      <c r="C164" s="2116" t="s">
        <v>1298</v>
      </c>
      <c r="D164" s="2116" t="s">
        <v>1215</v>
      </c>
      <c r="E164" s="2116" t="s">
        <v>1299</v>
      </c>
      <c r="F164" s="2116">
        <v>1</v>
      </c>
      <c r="G164" s="2116" t="s">
        <v>105</v>
      </c>
      <c r="H164" s="2116" t="s">
        <v>16</v>
      </c>
      <c r="I164" s="2116" t="s">
        <v>1237</v>
      </c>
      <c r="J164" s="2116">
        <v>26</v>
      </c>
      <c r="K164" s="2117">
        <v>19</v>
      </c>
      <c r="L164" s="2117">
        <v>19</v>
      </c>
      <c r="M164" s="2116">
        <v>32000</v>
      </c>
      <c r="N164" s="2117">
        <v>680.8</v>
      </c>
      <c r="O164" s="2116" t="s">
        <v>1217</v>
      </c>
      <c r="P164" s="2116" t="s">
        <v>296</v>
      </c>
      <c r="Q164" s="2116" t="s">
        <v>296</v>
      </c>
      <c r="R164" s="2116" t="s">
        <v>296</v>
      </c>
    </row>
    <row r="165" spans="1:18" s="2265" customFormat="1" ht="26.4">
      <c r="A165" s="2116" t="s">
        <v>1202</v>
      </c>
      <c r="B165" s="2116" t="s">
        <v>1219</v>
      </c>
      <c r="C165" s="2116" t="s">
        <v>1220</v>
      </c>
      <c r="D165" s="2116" t="s">
        <v>1221</v>
      </c>
      <c r="E165" s="2116" t="s">
        <v>1299</v>
      </c>
      <c r="F165" s="2116">
        <v>1</v>
      </c>
      <c r="G165" s="2116" t="s">
        <v>1222</v>
      </c>
      <c r="H165" s="2116" t="s">
        <v>243</v>
      </c>
      <c r="I165" s="2116" t="s">
        <v>1233</v>
      </c>
      <c r="J165" s="2116">
        <v>4</v>
      </c>
      <c r="K165" s="2117">
        <v>0</v>
      </c>
      <c r="L165" s="2117">
        <v>0</v>
      </c>
      <c r="M165" s="2116">
        <v>45000</v>
      </c>
      <c r="N165" s="2117">
        <v>143.66</v>
      </c>
      <c r="O165" s="2116" t="s">
        <v>1224</v>
      </c>
      <c r="P165" s="2116" t="s">
        <v>296</v>
      </c>
      <c r="Q165" s="2116" t="s">
        <v>296</v>
      </c>
      <c r="R165" s="2116" t="s">
        <v>296</v>
      </c>
    </row>
    <row r="166" spans="1:18" s="2265" customFormat="1" ht="26.4">
      <c r="A166" s="2116" t="s">
        <v>1202</v>
      </c>
      <c r="B166" s="2116" t="s">
        <v>1219</v>
      </c>
      <c r="C166" s="2116" t="s">
        <v>1220</v>
      </c>
      <c r="D166" s="2116" t="s">
        <v>1221</v>
      </c>
      <c r="E166" s="2116" t="s">
        <v>1299</v>
      </c>
      <c r="F166" s="2116">
        <v>1</v>
      </c>
      <c r="G166" s="2116" t="s">
        <v>1222</v>
      </c>
      <c r="H166" s="2116" t="s">
        <v>243</v>
      </c>
      <c r="I166" s="2116" t="s">
        <v>1223</v>
      </c>
      <c r="J166" s="2116">
        <v>16</v>
      </c>
      <c r="K166" s="2117">
        <v>0</v>
      </c>
      <c r="L166" s="2117">
        <v>0</v>
      </c>
      <c r="M166" s="2116">
        <v>30000</v>
      </c>
      <c r="N166" s="2117">
        <v>593.14</v>
      </c>
      <c r="O166" s="2116" t="s">
        <v>1224</v>
      </c>
      <c r="P166" s="2116" t="s">
        <v>296</v>
      </c>
      <c r="Q166" s="2116" t="s">
        <v>296</v>
      </c>
      <c r="R166" s="2116" t="s">
        <v>296</v>
      </c>
    </row>
    <row r="167" spans="1:18" s="2265" customFormat="1" ht="26.4">
      <c r="A167" s="2116" t="s">
        <v>1202</v>
      </c>
      <c r="B167" s="2116" t="s">
        <v>1219</v>
      </c>
      <c r="C167" s="2116" t="s">
        <v>1220</v>
      </c>
      <c r="D167" s="2116" t="s">
        <v>1221</v>
      </c>
      <c r="E167" s="2116" t="s">
        <v>1299</v>
      </c>
      <c r="F167" s="2116">
        <v>1</v>
      </c>
      <c r="G167" s="2116" t="s">
        <v>1222</v>
      </c>
      <c r="H167" s="2116" t="s">
        <v>243</v>
      </c>
      <c r="I167" s="2116" t="s">
        <v>1225</v>
      </c>
      <c r="J167" s="2116">
        <v>6</v>
      </c>
      <c r="K167" s="2117">
        <v>0</v>
      </c>
      <c r="L167" s="2117">
        <v>0</v>
      </c>
      <c r="M167" s="2116">
        <v>45000</v>
      </c>
      <c r="N167" s="2117">
        <v>198.76</v>
      </c>
      <c r="O167" s="2116" t="s">
        <v>1224</v>
      </c>
      <c r="P167" s="2116" t="s">
        <v>296</v>
      </c>
      <c r="Q167" s="2116" t="s">
        <v>296</v>
      </c>
      <c r="R167" s="2116" t="s">
        <v>296</v>
      </c>
    </row>
    <row r="168" spans="1:18" s="2265" customFormat="1" ht="26.4">
      <c r="A168" s="2116" t="s">
        <v>1202</v>
      </c>
      <c r="B168" s="2116" t="s">
        <v>1203</v>
      </c>
      <c r="C168" s="2116" t="s">
        <v>1301</v>
      </c>
      <c r="D168" s="2116" t="s">
        <v>1205</v>
      </c>
      <c r="E168" s="2116" t="s">
        <v>1302</v>
      </c>
      <c r="F168" s="2116">
        <v>2</v>
      </c>
      <c r="G168" s="2116" t="s">
        <v>105</v>
      </c>
      <c r="H168" s="2116" t="s">
        <v>17</v>
      </c>
      <c r="I168" s="2116" t="s">
        <v>1207</v>
      </c>
      <c r="J168" s="2116">
        <v>36</v>
      </c>
      <c r="K168" s="2117">
        <v>5</v>
      </c>
      <c r="L168" s="2117">
        <v>5</v>
      </c>
      <c r="M168" s="2116">
        <v>45000</v>
      </c>
      <c r="N168" s="2117">
        <v>982.62</v>
      </c>
      <c r="O168" s="2116" t="s">
        <v>1208</v>
      </c>
      <c r="P168" s="2116" t="s">
        <v>296</v>
      </c>
      <c r="Q168" s="2116" t="s">
        <v>296</v>
      </c>
      <c r="R168" s="2116" t="s">
        <v>296</v>
      </c>
    </row>
    <row r="169" spans="1:18" s="2265" customFormat="1" ht="26.4">
      <c r="A169" s="2116" t="s">
        <v>1202</v>
      </c>
      <c r="B169" s="2116" t="s">
        <v>1203</v>
      </c>
      <c r="C169" s="2116" t="s">
        <v>1301</v>
      </c>
      <c r="D169" s="2116" t="s">
        <v>1205</v>
      </c>
      <c r="E169" s="2116" t="s">
        <v>1302</v>
      </c>
      <c r="F169" s="2116">
        <v>2</v>
      </c>
      <c r="G169" s="2116" t="s">
        <v>105</v>
      </c>
      <c r="H169" s="2116" t="s">
        <v>17</v>
      </c>
      <c r="I169" s="2116" t="s">
        <v>1210</v>
      </c>
      <c r="J169" s="2116">
        <v>8</v>
      </c>
      <c r="K169" s="2117">
        <v>5</v>
      </c>
      <c r="L169" s="2117">
        <v>5</v>
      </c>
      <c r="M169" s="2116">
        <v>18</v>
      </c>
      <c r="N169" s="2117">
        <v>171.5</v>
      </c>
      <c r="O169" s="2116" t="s">
        <v>1208</v>
      </c>
      <c r="P169" s="2116" t="s">
        <v>296</v>
      </c>
      <c r="Q169" s="2116" t="s">
        <v>296</v>
      </c>
      <c r="R169" s="2116" t="s">
        <v>296</v>
      </c>
    </row>
    <row r="170" spans="1:18" s="2265" customFormat="1" ht="26.4">
      <c r="A170" s="2116" t="s">
        <v>1202</v>
      </c>
      <c r="B170" s="2116" t="s">
        <v>1203</v>
      </c>
      <c r="C170" s="2116" t="s">
        <v>1301</v>
      </c>
      <c r="D170" s="2116" t="s">
        <v>1205</v>
      </c>
      <c r="E170" s="2116" t="s">
        <v>1302</v>
      </c>
      <c r="F170" s="2116">
        <v>2</v>
      </c>
      <c r="G170" s="2116" t="s">
        <v>105</v>
      </c>
      <c r="H170" s="2116" t="s">
        <v>17</v>
      </c>
      <c r="I170" s="2116" t="s">
        <v>1211</v>
      </c>
      <c r="J170" s="2116">
        <v>2</v>
      </c>
      <c r="K170" s="2117">
        <v>5</v>
      </c>
      <c r="L170" s="2117">
        <v>5</v>
      </c>
      <c r="M170" s="2116">
        <v>30</v>
      </c>
      <c r="N170" s="2117">
        <v>57.3</v>
      </c>
      <c r="O170" s="2116" t="s">
        <v>1208</v>
      </c>
      <c r="P170" s="2116" t="s">
        <v>296</v>
      </c>
      <c r="Q170" s="2116" t="s">
        <v>296</v>
      </c>
      <c r="R170" s="2116" t="s">
        <v>296</v>
      </c>
    </row>
    <row r="171" spans="1:18" s="2265" customFormat="1" ht="26.4">
      <c r="A171" s="2116" t="s">
        <v>1202</v>
      </c>
      <c r="B171" s="2116" t="s">
        <v>1203</v>
      </c>
      <c r="C171" s="2116" t="s">
        <v>1301</v>
      </c>
      <c r="D171" s="2116" t="s">
        <v>1205</v>
      </c>
      <c r="E171" s="2116" t="s">
        <v>1302</v>
      </c>
      <c r="F171" s="2116">
        <v>2</v>
      </c>
      <c r="G171" s="2116" t="s">
        <v>105</v>
      </c>
      <c r="H171" s="2116" t="s">
        <v>17</v>
      </c>
      <c r="I171" s="2116" t="s">
        <v>1212</v>
      </c>
      <c r="J171" s="2116">
        <v>2</v>
      </c>
      <c r="K171" s="2117">
        <v>5</v>
      </c>
      <c r="L171" s="2117">
        <v>5</v>
      </c>
      <c r="M171" s="2116">
        <v>20</v>
      </c>
      <c r="N171" s="2117">
        <v>32.92</v>
      </c>
      <c r="O171" s="2116" t="s">
        <v>1208</v>
      </c>
      <c r="P171" s="2116" t="s">
        <v>296</v>
      </c>
      <c r="Q171" s="2116" t="s">
        <v>296</v>
      </c>
      <c r="R171" s="2116" t="s">
        <v>296</v>
      </c>
    </row>
    <row r="172" spans="1:18" s="2265" customFormat="1" ht="26.4">
      <c r="A172" s="2116" t="s">
        <v>1202</v>
      </c>
      <c r="B172" s="2116" t="s">
        <v>1213</v>
      </c>
      <c r="C172" s="2116" t="s">
        <v>1298</v>
      </c>
      <c r="D172" s="2116" t="s">
        <v>1215</v>
      </c>
      <c r="E172" s="2116" t="s">
        <v>1302</v>
      </c>
      <c r="F172" s="2116">
        <v>2</v>
      </c>
      <c r="G172" s="2116" t="s">
        <v>105</v>
      </c>
      <c r="H172" s="2116" t="s">
        <v>16</v>
      </c>
      <c r="I172" s="2116" t="s">
        <v>1216</v>
      </c>
      <c r="J172" s="2116">
        <v>23</v>
      </c>
      <c r="K172" s="2117">
        <v>19</v>
      </c>
      <c r="L172" s="2117">
        <v>19</v>
      </c>
      <c r="M172" s="2116">
        <v>32</v>
      </c>
      <c r="N172" s="2117">
        <v>645.4</v>
      </c>
      <c r="O172" s="2116" t="s">
        <v>1217</v>
      </c>
      <c r="P172" s="2116" t="s">
        <v>296</v>
      </c>
      <c r="Q172" s="2116" t="s">
        <v>296</v>
      </c>
      <c r="R172" s="2116" t="s">
        <v>296</v>
      </c>
    </row>
    <row r="173" spans="1:18" s="2265" customFormat="1" ht="26.4">
      <c r="A173" s="2116" t="s">
        <v>1202</v>
      </c>
      <c r="B173" s="2116" t="s">
        <v>1213</v>
      </c>
      <c r="C173" s="2116" t="s">
        <v>1298</v>
      </c>
      <c r="D173" s="2116" t="s">
        <v>1215</v>
      </c>
      <c r="E173" s="2116" t="s">
        <v>1302</v>
      </c>
      <c r="F173" s="2116">
        <v>2</v>
      </c>
      <c r="G173" s="2116" t="s">
        <v>105</v>
      </c>
      <c r="H173" s="2116" t="s">
        <v>16</v>
      </c>
      <c r="I173" s="2116" t="s">
        <v>1237</v>
      </c>
      <c r="J173" s="2116">
        <v>21</v>
      </c>
      <c r="K173" s="2117">
        <v>19</v>
      </c>
      <c r="L173" s="2117">
        <v>19</v>
      </c>
      <c r="M173" s="2116">
        <v>32000</v>
      </c>
      <c r="N173" s="2117">
        <v>571.72</v>
      </c>
      <c r="O173" s="2116" t="s">
        <v>1217</v>
      </c>
      <c r="P173" s="2116" t="s">
        <v>296</v>
      </c>
      <c r="Q173" s="2116" t="s">
        <v>296</v>
      </c>
      <c r="R173" s="2116" t="s">
        <v>296</v>
      </c>
    </row>
    <row r="174" spans="1:18" s="2508" customFormat="1" ht="26.4">
      <c r="A174" s="2547" t="s">
        <v>1202</v>
      </c>
      <c r="B174" s="2547" t="s">
        <v>1203</v>
      </c>
      <c r="C174" s="2547" t="s">
        <v>1301</v>
      </c>
      <c r="D174" s="2547" t="s">
        <v>1205</v>
      </c>
      <c r="E174" s="2547" t="s">
        <v>1719</v>
      </c>
      <c r="F174" s="2547" t="s">
        <v>1246</v>
      </c>
      <c r="G174" s="2547" t="s">
        <v>105</v>
      </c>
      <c r="H174" s="2547" t="s">
        <v>17</v>
      </c>
      <c r="I174" s="2547" t="s">
        <v>1207</v>
      </c>
      <c r="J174" s="2547" t="s">
        <v>1720</v>
      </c>
      <c r="K174" s="2548" t="s">
        <v>1248</v>
      </c>
      <c r="L174" s="2548" t="s">
        <v>1248</v>
      </c>
      <c r="M174" s="2547" t="s">
        <v>1249</v>
      </c>
      <c r="N174" s="2548" t="s">
        <v>1721</v>
      </c>
      <c r="O174" s="2547" t="s">
        <v>1208</v>
      </c>
      <c r="P174" s="2547" t="s">
        <v>296</v>
      </c>
      <c r="Q174" s="2547" t="s">
        <v>296</v>
      </c>
      <c r="R174" s="2547" t="s">
        <v>296</v>
      </c>
    </row>
    <row r="175" spans="1:18" s="2508" customFormat="1" ht="26.4">
      <c r="A175" s="2547" t="s">
        <v>1202</v>
      </c>
      <c r="B175" s="2547" t="s">
        <v>1203</v>
      </c>
      <c r="C175" s="2547" t="s">
        <v>1301</v>
      </c>
      <c r="D175" s="2547" t="s">
        <v>1205</v>
      </c>
      <c r="E175" s="2547" t="s">
        <v>1719</v>
      </c>
      <c r="F175" s="2547" t="s">
        <v>1246</v>
      </c>
      <c r="G175" s="2547" t="s">
        <v>105</v>
      </c>
      <c r="H175" s="2547" t="s">
        <v>17</v>
      </c>
      <c r="I175" s="2547" t="s">
        <v>1210</v>
      </c>
      <c r="J175" s="2547" t="s">
        <v>1246</v>
      </c>
      <c r="K175" s="2548" t="s">
        <v>1248</v>
      </c>
      <c r="L175" s="2548" t="s">
        <v>1248</v>
      </c>
      <c r="M175" s="2547" t="s">
        <v>1288</v>
      </c>
      <c r="N175" s="2548" t="s">
        <v>1722</v>
      </c>
      <c r="O175" s="2547" t="s">
        <v>1208</v>
      </c>
      <c r="P175" s="2547" t="s">
        <v>296</v>
      </c>
      <c r="Q175" s="2547" t="s">
        <v>296</v>
      </c>
      <c r="R175" s="2547" t="s">
        <v>296</v>
      </c>
    </row>
    <row r="176" spans="1:18" s="2508" customFormat="1" ht="26.4">
      <c r="A176" s="2547" t="s">
        <v>1202</v>
      </c>
      <c r="B176" s="2547" t="s">
        <v>1203</v>
      </c>
      <c r="C176" s="2547" t="s">
        <v>1301</v>
      </c>
      <c r="D176" s="2547" t="s">
        <v>1205</v>
      </c>
      <c r="E176" s="2547" t="s">
        <v>1719</v>
      </c>
      <c r="F176" s="2547" t="s">
        <v>1246</v>
      </c>
      <c r="G176" s="2547" t="s">
        <v>105</v>
      </c>
      <c r="H176" s="2547" t="s">
        <v>17</v>
      </c>
      <c r="I176" s="2547" t="s">
        <v>1211</v>
      </c>
      <c r="J176" s="2547" t="s">
        <v>1246</v>
      </c>
      <c r="K176" s="2548" t="s">
        <v>1248</v>
      </c>
      <c r="L176" s="2548" t="s">
        <v>1248</v>
      </c>
      <c r="M176" s="2547" t="s">
        <v>1720</v>
      </c>
      <c r="N176" s="2548" t="s">
        <v>1723</v>
      </c>
      <c r="O176" s="2547" t="s">
        <v>1208</v>
      </c>
      <c r="P176" s="2547" t="s">
        <v>296</v>
      </c>
      <c r="Q176" s="2547" t="s">
        <v>296</v>
      </c>
      <c r="R176" s="2547" t="s">
        <v>296</v>
      </c>
    </row>
    <row r="177" spans="1:18" s="2508" customFormat="1" ht="26.4">
      <c r="A177" s="2547" t="s">
        <v>1202</v>
      </c>
      <c r="B177" s="2547" t="s">
        <v>1213</v>
      </c>
      <c r="C177" s="2547" t="s">
        <v>1298</v>
      </c>
      <c r="D177" s="2547" t="s">
        <v>1215</v>
      </c>
      <c r="E177" s="2547" t="s">
        <v>1719</v>
      </c>
      <c r="F177" s="2547" t="s">
        <v>1246</v>
      </c>
      <c r="G177" s="2547" t="s">
        <v>105</v>
      </c>
      <c r="H177" s="2547" t="s">
        <v>16</v>
      </c>
      <c r="I177" s="2547" t="s">
        <v>1216</v>
      </c>
      <c r="J177" s="2547" t="s">
        <v>1724</v>
      </c>
      <c r="K177" s="2548" t="s">
        <v>1256</v>
      </c>
      <c r="L177" s="2548" t="s">
        <v>1256</v>
      </c>
      <c r="M177" s="2547" t="s">
        <v>1257</v>
      </c>
      <c r="N177" s="2548" t="s">
        <v>1725</v>
      </c>
      <c r="O177" s="2547" t="s">
        <v>1217</v>
      </c>
      <c r="P177" s="2547" t="s">
        <v>296</v>
      </c>
      <c r="Q177" s="2547" t="s">
        <v>296</v>
      </c>
      <c r="R177" s="2547" t="s">
        <v>296</v>
      </c>
    </row>
    <row r="178" spans="1:18" s="2508" customFormat="1" ht="26.4">
      <c r="A178" s="2547" t="s">
        <v>1202</v>
      </c>
      <c r="B178" s="2547" t="s">
        <v>1213</v>
      </c>
      <c r="C178" s="2547" t="s">
        <v>1298</v>
      </c>
      <c r="D178" s="2547" t="s">
        <v>1215</v>
      </c>
      <c r="E178" s="2547" t="s">
        <v>1719</v>
      </c>
      <c r="F178" s="2547" t="s">
        <v>1246</v>
      </c>
      <c r="G178" s="2547" t="s">
        <v>105</v>
      </c>
      <c r="H178" s="2547" t="s">
        <v>16</v>
      </c>
      <c r="I178" s="2547" t="s">
        <v>1237</v>
      </c>
      <c r="J178" s="2547" t="s">
        <v>1726</v>
      </c>
      <c r="K178" s="2548" t="s">
        <v>1256</v>
      </c>
      <c r="L178" s="2548" t="s">
        <v>1256</v>
      </c>
      <c r="M178" s="2547" t="s">
        <v>1259</v>
      </c>
      <c r="N178" s="2548" t="s">
        <v>1727</v>
      </c>
      <c r="O178" s="2547" t="s">
        <v>1217</v>
      </c>
      <c r="P178" s="2547" t="s">
        <v>296</v>
      </c>
      <c r="Q178" s="2547" t="s">
        <v>296</v>
      </c>
      <c r="R178" s="2547" t="s">
        <v>296</v>
      </c>
    </row>
    <row r="179" spans="1:18" s="2508" customFormat="1" ht="26.4">
      <c r="A179" s="2547" t="s">
        <v>1202</v>
      </c>
      <c r="B179" s="2547" t="s">
        <v>1213</v>
      </c>
      <c r="C179" s="2547" t="s">
        <v>1728</v>
      </c>
      <c r="D179" s="2547" t="s">
        <v>1215</v>
      </c>
      <c r="E179" s="2547" t="s">
        <v>1719</v>
      </c>
      <c r="F179" s="2547" t="s">
        <v>1246</v>
      </c>
      <c r="G179" s="2547" t="s">
        <v>105</v>
      </c>
      <c r="H179" s="2547" t="s">
        <v>16</v>
      </c>
      <c r="I179" s="2547" t="s">
        <v>1237</v>
      </c>
      <c r="J179" s="2547" t="s">
        <v>1246</v>
      </c>
      <c r="K179" s="2548" t="s">
        <v>1256</v>
      </c>
      <c r="L179" s="2548" t="s">
        <v>1256</v>
      </c>
      <c r="M179" s="2547" t="s">
        <v>1259</v>
      </c>
      <c r="N179" s="2548" t="s">
        <v>1729</v>
      </c>
      <c r="O179" s="2547" t="s">
        <v>1217</v>
      </c>
      <c r="P179" s="2547" t="s">
        <v>296</v>
      </c>
      <c r="Q179" s="2547" t="s">
        <v>296</v>
      </c>
      <c r="R179" s="2547" t="s">
        <v>296</v>
      </c>
    </row>
    <row r="180" spans="1:18" s="2508" customFormat="1" ht="26.4">
      <c r="A180" s="2547" t="s">
        <v>1202</v>
      </c>
      <c r="B180" s="2547" t="s">
        <v>1219</v>
      </c>
      <c r="C180" s="2547" t="s">
        <v>1220</v>
      </c>
      <c r="D180" s="2547" t="s">
        <v>1221</v>
      </c>
      <c r="E180" s="2547" t="s">
        <v>1719</v>
      </c>
      <c r="F180" s="2547" t="s">
        <v>1246</v>
      </c>
      <c r="G180" s="2547" t="s">
        <v>1222</v>
      </c>
      <c r="H180" s="2547" t="s">
        <v>243</v>
      </c>
      <c r="I180" s="2547" t="s">
        <v>1233</v>
      </c>
      <c r="J180" s="2547" t="s">
        <v>1277</v>
      </c>
      <c r="K180" s="2548" t="s">
        <v>1262</v>
      </c>
      <c r="L180" s="2548" t="s">
        <v>1262</v>
      </c>
      <c r="M180" s="2547" t="s">
        <v>1249</v>
      </c>
      <c r="N180" s="2548" t="s">
        <v>1730</v>
      </c>
      <c r="O180" s="2547" t="s">
        <v>1224</v>
      </c>
      <c r="P180" s="2547" t="s">
        <v>296</v>
      </c>
      <c r="Q180" s="2547" t="s">
        <v>296</v>
      </c>
      <c r="R180" s="2547" t="s">
        <v>296</v>
      </c>
    </row>
    <row r="181" spans="1:18" s="2508" customFormat="1" ht="26.4">
      <c r="A181" s="2547" t="s">
        <v>1202</v>
      </c>
      <c r="B181" s="2547" t="s">
        <v>1219</v>
      </c>
      <c r="C181" s="2547" t="s">
        <v>1220</v>
      </c>
      <c r="D181" s="2547" t="s">
        <v>1221</v>
      </c>
      <c r="E181" s="2547" t="s">
        <v>1719</v>
      </c>
      <c r="F181" s="2547" t="s">
        <v>1246</v>
      </c>
      <c r="G181" s="2547" t="s">
        <v>1222</v>
      </c>
      <c r="H181" s="2547" t="s">
        <v>243</v>
      </c>
      <c r="I181" s="2547" t="s">
        <v>1223</v>
      </c>
      <c r="J181" s="2547" t="s">
        <v>1731</v>
      </c>
      <c r="K181" s="2548" t="s">
        <v>1262</v>
      </c>
      <c r="L181" s="2548" t="s">
        <v>1262</v>
      </c>
      <c r="M181" s="2547" t="s">
        <v>1265</v>
      </c>
      <c r="N181" s="2548" t="s">
        <v>1732</v>
      </c>
      <c r="O181" s="2547" t="s">
        <v>1224</v>
      </c>
      <c r="P181" s="2547" t="s">
        <v>296</v>
      </c>
      <c r="Q181" s="2547" t="s">
        <v>296</v>
      </c>
      <c r="R181" s="2547" t="s">
        <v>296</v>
      </c>
    </row>
    <row r="182" spans="1:18" s="2508" customFormat="1" ht="26.4">
      <c r="A182" s="2547" t="s">
        <v>1202</v>
      </c>
      <c r="B182" s="2547" t="s">
        <v>1219</v>
      </c>
      <c r="C182" s="2547" t="s">
        <v>1220</v>
      </c>
      <c r="D182" s="2547" t="s">
        <v>1221</v>
      </c>
      <c r="E182" s="2547" t="s">
        <v>1719</v>
      </c>
      <c r="F182" s="2547" t="s">
        <v>1246</v>
      </c>
      <c r="G182" s="2547" t="s">
        <v>1222</v>
      </c>
      <c r="H182" s="2547" t="s">
        <v>243</v>
      </c>
      <c r="I182" s="2547" t="s">
        <v>1225</v>
      </c>
      <c r="J182" s="2547" t="s">
        <v>1253</v>
      </c>
      <c r="K182" s="2548" t="s">
        <v>1262</v>
      </c>
      <c r="L182" s="2548" t="s">
        <v>1262</v>
      </c>
      <c r="M182" s="2547" t="s">
        <v>1249</v>
      </c>
      <c r="N182" s="2548" t="s">
        <v>1733</v>
      </c>
      <c r="O182" s="2547" t="s">
        <v>1224</v>
      </c>
      <c r="P182" s="2547" t="s">
        <v>296</v>
      </c>
      <c r="Q182" s="2547" t="s">
        <v>296</v>
      </c>
      <c r="R182" s="2547" t="s">
        <v>296</v>
      </c>
    </row>
    <row r="183" spans="1:18" s="2508" customFormat="1" ht="26.4">
      <c r="A183" s="2547" t="s">
        <v>1202</v>
      </c>
      <c r="B183" s="2547" t="s">
        <v>1203</v>
      </c>
      <c r="C183" s="2547" t="s">
        <v>1301</v>
      </c>
      <c r="D183" s="2547" t="s">
        <v>1205</v>
      </c>
      <c r="E183" s="2547" t="s">
        <v>1734</v>
      </c>
      <c r="F183" s="2547" t="s">
        <v>1272</v>
      </c>
      <c r="G183" s="2547" t="s">
        <v>105</v>
      </c>
      <c r="H183" s="2547" t="s">
        <v>17</v>
      </c>
      <c r="I183" s="2547" t="s">
        <v>1207</v>
      </c>
      <c r="J183" s="2547" t="s">
        <v>1277</v>
      </c>
      <c r="K183" s="2548" t="s">
        <v>1248</v>
      </c>
      <c r="L183" s="2548" t="s">
        <v>1248</v>
      </c>
      <c r="M183" s="2547" t="s">
        <v>1249</v>
      </c>
      <c r="N183" s="2548" t="s">
        <v>1735</v>
      </c>
      <c r="O183" s="2547" t="s">
        <v>1208</v>
      </c>
      <c r="P183" s="2547" t="s">
        <v>296</v>
      </c>
      <c r="Q183" s="2547" t="s">
        <v>296</v>
      </c>
      <c r="R183" s="2547" t="s">
        <v>296</v>
      </c>
    </row>
    <row r="184" spans="1:18" s="2508" customFormat="1" ht="26.4">
      <c r="A184" s="2547" t="s">
        <v>1202</v>
      </c>
      <c r="B184" s="2547" t="s">
        <v>1203</v>
      </c>
      <c r="C184" s="2547" t="s">
        <v>1300</v>
      </c>
      <c r="D184" s="2547" t="s">
        <v>1205</v>
      </c>
      <c r="E184" s="2547" t="s">
        <v>1734</v>
      </c>
      <c r="F184" s="2547" t="s">
        <v>1272</v>
      </c>
      <c r="G184" s="2547" t="s">
        <v>105</v>
      </c>
      <c r="H184" s="2547" t="s">
        <v>17</v>
      </c>
      <c r="I184" s="2547" t="s">
        <v>1207</v>
      </c>
      <c r="J184" s="2547" t="s">
        <v>1251</v>
      </c>
      <c r="K184" s="2548" t="s">
        <v>1248</v>
      </c>
      <c r="L184" s="2548" t="s">
        <v>1248</v>
      </c>
      <c r="M184" s="2547" t="s">
        <v>1249</v>
      </c>
      <c r="N184" s="2548" t="s">
        <v>1736</v>
      </c>
      <c r="O184" s="2547" t="s">
        <v>1208</v>
      </c>
      <c r="P184" s="2547" t="s">
        <v>296</v>
      </c>
      <c r="Q184" s="2547" t="s">
        <v>296</v>
      </c>
      <c r="R184" s="2547" t="s">
        <v>296</v>
      </c>
    </row>
    <row r="185" spans="1:18" s="2508" customFormat="1" ht="26.4">
      <c r="A185" s="2547" t="s">
        <v>1202</v>
      </c>
      <c r="B185" s="2547" t="s">
        <v>1203</v>
      </c>
      <c r="C185" s="2547" t="s">
        <v>1283</v>
      </c>
      <c r="D185" s="2547" t="s">
        <v>1205</v>
      </c>
      <c r="E185" s="2547" t="s">
        <v>1734</v>
      </c>
      <c r="F185" s="2547" t="s">
        <v>1272</v>
      </c>
      <c r="G185" s="2547" t="s">
        <v>105</v>
      </c>
      <c r="H185" s="2547" t="s">
        <v>17</v>
      </c>
      <c r="I185" s="2547" t="s">
        <v>1207</v>
      </c>
      <c r="J185" s="2547" t="s">
        <v>1737</v>
      </c>
      <c r="K185" s="2548" t="s">
        <v>1248</v>
      </c>
      <c r="L185" s="2548" t="s">
        <v>1248</v>
      </c>
      <c r="M185" s="2547" t="s">
        <v>1249</v>
      </c>
      <c r="N185" s="2548" t="s">
        <v>1738</v>
      </c>
      <c r="O185" s="2547" t="s">
        <v>1208</v>
      </c>
      <c r="P185" s="2547" t="s">
        <v>296</v>
      </c>
      <c r="Q185" s="2547" t="s">
        <v>296</v>
      </c>
      <c r="R185" s="2547" t="s">
        <v>296</v>
      </c>
    </row>
    <row r="186" spans="1:18" s="2508" customFormat="1" ht="26.4">
      <c r="A186" s="2547" t="s">
        <v>1202</v>
      </c>
      <c r="B186" s="2547" t="s">
        <v>1213</v>
      </c>
      <c r="C186" s="2547" t="s">
        <v>1739</v>
      </c>
      <c r="D186" s="2547" t="s">
        <v>1215</v>
      </c>
      <c r="E186" s="2547" t="s">
        <v>1734</v>
      </c>
      <c r="F186" s="2547" t="s">
        <v>1272</v>
      </c>
      <c r="G186" s="2547" t="s">
        <v>105</v>
      </c>
      <c r="H186" s="2547" t="s">
        <v>16</v>
      </c>
      <c r="I186" s="2547" t="s">
        <v>1216</v>
      </c>
      <c r="J186" s="2547" t="s">
        <v>1279</v>
      </c>
      <c r="K186" s="2548" t="s">
        <v>1256</v>
      </c>
      <c r="L186" s="2548" t="s">
        <v>1256</v>
      </c>
      <c r="M186" s="2547" t="s">
        <v>1257</v>
      </c>
      <c r="N186" s="2548" t="s">
        <v>1740</v>
      </c>
      <c r="O186" s="2547" t="s">
        <v>1217</v>
      </c>
      <c r="P186" s="2547" t="s">
        <v>296</v>
      </c>
      <c r="Q186" s="2547" t="s">
        <v>296</v>
      </c>
      <c r="R186" s="2547" t="s">
        <v>296</v>
      </c>
    </row>
    <row r="187" spans="1:18" s="2508" customFormat="1" ht="26.4">
      <c r="A187" s="2547" t="s">
        <v>1202</v>
      </c>
      <c r="B187" s="2547" t="s">
        <v>1213</v>
      </c>
      <c r="C187" s="2547" t="s">
        <v>1728</v>
      </c>
      <c r="D187" s="2547" t="s">
        <v>1215</v>
      </c>
      <c r="E187" s="2547" t="s">
        <v>1734</v>
      </c>
      <c r="F187" s="2547" t="s">
        <v>1272</v>
      </c>
      <c r="G187" s="2547" t="s">
        <v>105</v>
      </c>
      <c r="H187" s="2547" t="s">
        <v>16</v>
      </c>
      <c r="I187" s="2547" t="s">
        <v>1216</v>
      </c>
      <c r="J187" s="2547" t="s">
        <v>1737</v>
      </c>
      <c r="K187" s="2548" t="s">
        <v>1256</v>
      </c>
      <c r="L187" s="2548" t="s">
        <v>1256</v>
      </c>
      <c r="M187" s="2547" t="s">
        <v>1257</v>
      </c>
      <c r="N187" s="2548" t="s">
        <v>1741</v>
      </c>
      <c r="O187" s="2547" t="s">
        <v>1217</v>
      </c>
      <c r="P187" s="2547" t="s">
        <v>296</v>
      </c>
      <c r="Q187" s="2547" t="s">
        <v>296</v>
      </c>
      <c r="R187" s="2547" t="s">
        <v>296</v>
      </c>
    </row>
    <row r="188" spans="1:18" s="2508" customFormat="1" ht="26.4">
      <c r="A188" s="2547" t="s">
        <v>1202</v>
      </c>
      <c r="B188" s="2547" t="s">
        <v>1213</v>
      </c>
      <c r="C188" s="2547" t="s">
        <v>1742</v>
      </c>
      <c r="D188" s="2547" t="s">
        <v>1215</v>
      </c>
      <c r="E188" s="2547" t="s">
        <v>1734</v>
      </c>
      <c r="F188" s="2547" t="s">
        <v>1272</v>
      </c>
      <c r="G188" s="2547" t="s">
        <v>105</v>
      </c>
      <c r="H188" s="2547" t="s">
        <v>16</v>
      </c>
      <c r="I188" s="2547" t="s">
        <v>1237</v>
      </c>
      <c r="J188" s="2547" t="s">
        <v>1246</v>
      </c>
      <c r="K188" s="2548" t="s">
        <v>1256</v>
      </c>
      <c r="L188" s="2548" t="s">
        <v>1256</v>
      </c>
      <c r="M188" s="2547" t="s">
        <v>1259</v>
      </c>
      <c r="N188" s="2548" t="s">
        <v>1743</v>
      </c>
      <c r="O188" s="2547" t="s">
        <v>1217</v>
      </c>
      <c r="P188" s="2547" t="s">
        <v>296</v>
      </c>
      <c r="Q188" s="2547" t="s">
        <v>296</v>
      </c>
      <c r="R188" s="2547" t="s">
        <v>296</v>
      </c>
    </row>
    <row r="189" spans="1:18" s="2508" customFormat="1" ht="26.4">
      <c r="A189" s="2547" t="s">
        <v>1202</v>
      </c>
      <c r="B189" s="2547" t="s">
        <v>1213</v>
      </c>
      <c r="C189" s="2547" t="s">
        <v>1739</v>
      </c>
      <c r="D189" s="2547" t="s">
        <v>1215</v>
      </c>
      <c r="E189" s="2547" t="s">
        <v>1734</v>
      </c>
      <c r="F189" s="2547" t="s">
        <v>1272</v>
      </c>
      <c r="G189" s="2547" t="s">
        <v>105</v>
      </c>
      <c r="H189" s="2547" t="s">
        <v>16</v>
      </c>
      <c r="I189" s="2547" t="s">
        <v>1237</v>
      </c>
      <c r="J189" s="2547" t="s">
        <v>1744</v>
      </c>
      <c r="K189" s="2548" t="s">
        <v>1256</v>
      </c>
      <c r="L189" s="2548" t="s">
        <v>1256</v>
      </c>
      <c r="M189" s="2547" t="s">
        <v>1259</v>
      </c>
      <c r="N189" s="2548" t="s">
        <v>1745</v>
      </c>
      <c r="O189" s="2547" t="s">
        <v>1217</v>
      </c>
      <c r="P189" s="2547" t="s">
        <v>296</v>
      </c>
      <c r="Q189" s="2547" t="s">
        <v>296</v>
      </c>
      <c r="R189" s="2547" t="s">
        <v>296</v>
      </c>
    </row>
    <row r="190" spans="1:18" s="2508" customFormat="1" ht="26.4">
      <c r="A190" s="2547" t="s">
        <v>1202</v>
      </c>
      <c r="B190" s="2547" t="s">
        <v>1213</v>
      </c>
      <c r="C190" s="2547" t="s">
        <v>1728</v>
      </c>
      <c r="D190" s="2547" t="s">
        <v>1215</v>
      </c>
      <c r="E190" s="2547" t="s">
        <v>1734</v>
      </c>
      <c r="F190" s="2547" t="s">
        <v>1272</v>
      </c>
      <c r="G190" s="2547" t="s">
        <v>105</v>
      </c>
      <c r="H190" s="2547" t="s">
        <v>16</v>
      </c>
      <c r="I190" s="2547" t="s">
        <v>1237</v>
      </c>
      <c r="J190" s="2547" t="s">
        <v>1737</v>
      </c>
      <c r="K190" s="2548" t="s">
        <v>1256</v>
      </c>
      <c r="L190" s="2548" t="s">
        <v>1256</v>
      </c>
      <c r="M190" s="2547" t="s">
        <v>1259</v>
      </c>
      <c r="N190" s="2548" t="s">
        <v>1746</v>
      </c>
      <c r="O190" s="2547" t="s">
        <v>1217</v>
      </c>
      <c r="P190" s="2547" t="s">
        <v>296</v>
      </c>
      <c r="Q190" s="2547" t="s">
        <v>296</v>
      </c>
      <c r="R190" s="2547" t="s">
        <v>296</v>
      </c>
    </row>
    <row r="191" spans="1:18" s="2508" customFormat="1" ht="26.4">
      <c r="A191" s="2547" t="s">
        <v>1202</v>
      </c>
      <c r="B191" s="2547" t="s">
        <v>1213</v>
      </c>
      <c r="C191" s="2547" t="s">
        <v>1747</v>
      </c>
      <c r="D191" s="2547" t="s">
        <v>1215</v>
      </c>
      <c r="E191" s="2547" t="s">
        <v>1734</v>
      </c>
      <c r="F191" s="2547" t="s">
        <v>1272</v>
      </c>
      <c r="G191" s="2547" t="s">
        <v>105</v>
      </c>
      <c r="H191" s="2547" t="s">
        <v>16</v>
      </c>
      <c r="I191" s="2547" t="s">
        <v>1237</v>
      </c>
      <c r="J191" s="2547" t="s">
        <v>1272</v>
      </c>
      <c r="K191" s="2548" t="s">
        <v>1256</v>
      </c>
      <c r="L191" s="2548" t="s">
        <v>1256</v>
      </c>
      <c r="M191" s="2547" t="s">
        <v>1259</v>
      </c>
      <c r="N191" s="2548" t="s">
        <v>1748</v>
      </c>
      <c r="O191" s="2547" t="s">
        <v>1217</v>
      </c>
      <c r="P191" s="2547" t="s">
        <v>296</v>
      </c>
      <c r="Q191" s="2547" t="s">
        <v>296</v>
      </c>
      <c r="R191" s="2547" t="s">
        <v>296</v>
      </c>
    </row>
    <row r="192" spans="1:18" s="2265" customFormat="1">
      <c r="A192" s="2116"/>
      <c r="B192" s="2116"/>
      <c r="C192" s="2116"/>
      <c r="D192" s="2116"/>
      <c r="E192" s="2116"/>
      <c r="F192" s="2116"/>
      <c r="G192" s="2116"/>
      <c r="H192" s="2116"/>
      <c r="I192" s="2116"/>
      <c r="J192" s="2116"/>
      <c r="K192" s="2117"/>
      <c r="L192" s="2117"/>
      <c r="M192" s="2116"/>
      <c r="N192" s="2117"/>
      <c r="O192" s="2116"/>
      <c r="P192" s="2116" t="s">
        <v>296</v>
      </c>
      <c r="Q192" s="2116" t="s">
        <v>296</v>
      </c>
      <c r="R192" s="2116" t="s">
        <v>296</v>
      </c>
    </row>
    <row r="193" spans="1:18" s="2265" customFormat="1">
      <c r="A193" s="2116"/>
      <c r="B193" s="2116"/>
      <c r="C193" s="2116"/>
      <c r="D193" s="2116"/>
      <c r="E193" s="2116"/>
      <c r="F193" s="2116"/>
      <c r="G193" s="2116"/>
      <c r="H193" s="2116"/>
      <c r="I193" s="2116"/>
      <c r="J193" s="2116"/>
      <c r="K193" s="2117"/>
      <c r="L193" s="2117"/>
      <c r="M193" s="2116"/>
      <c r="N193" s="2117"/>
      <c r="O193" s="2116"/>
      <c r="P193" s="2116" t="s">
        <v>296</v>
      </c>
      <c r="Q193" s="2116" t="s">
        <v>296</v>
      </c>
      <c r="R193" s="2116" t="s">
        <v>296</v>
      </c>
    </row>
    <row r="194" spans="1:18" s="2265" customFormat="1">
      <c r="A194" s="2116"/>
      <c r="B194" s="2116"/>
      <c r="C194" s="2116"/>
      <c r="D194" s="2116"/>
      <c r="E194" s="2116"/>
      <c r="F194" s="2116"/>
      <c r="G194" s="2116"/>
      <c r="H194" s="2116"/>
      <c r="I194" s="2116"/>
      <c r="J194" s="2116"/>
      <c r="K194" s="2117"/>
      <c r="L194" s="2117"/>
      <c r="M194" s="2116"/>
      <c r="N194" s="2117"/>
      <c r="O194" s="2116"/>
      <c r="P194" s="2116" t="s">
        <v>296</v>
      </c>
      <c r="Q194" s="2116" t="s">
        <v>296</v>
      </c>
      <c r="R194" s="2116" t="s">
        <v>296</v>
      </c>
    </row>
    <row r="195" spans="1:18" s="2265" customFormat="1">
      <c r="A195" s="2116"/>
      <c r="B195" s="2116"/>
      <c r="C195" s="2116"/>
      <c r="D195" s="2116"/>
      <c r="E195" s="2116"/>
      <c r="F195" s="2116"/>
      <c r="G195" s="2116"/>
      <c r="H195" s="2116"/>
      <c r="I195" s="2116"/>
      <c r="J195" s="2116"/>
      <c r="K195" s="2117"/>
      <c r="L195" s="2117"/>
      <c r="M195" s="2116"/>
      <c r="N195" s="2117"/>
      <c r="O195" s="2116"/>
      <c r="P195" s="2116" t="s">
        <v>296</v>
      </c>
      <c r="Q195" s="2116" t="s">
        <v>296</v>
      </c>
      <c r="R195" s="2116" t="s">
        <v>296</v>
      </c>
    </row>
    <row r="196" spans="1:18" s="2265" customFormat="1">
      <c r="A196" s="2116"/>
      <c r="B196" s="2116"/>
      <c r="C196" s="2116"/>
      <c r="D196" s="2116"/>
      <c r="E196" s="2116"/>
      <c r="F196" s="2116"/>
      <c r="G196" s="2116"/>
      <c r="H196" s="2116"/>
      <c r="I196" s="2116"/>
      <c r="J196" s="2116"/>
      <c r="K196" s="2117"/>
      <c r="L196" s="2117"/>
      <c r="M196" s="2116"/>
      <c r="N196" s="2117"/>
      <c r="O196" s="2116"/>
      <c r="P196" s="2116" t="s">
        <v>296</v>
      </c>
      <c r="Q196" s="2116" t="s">
        <v>296</v>
      </c>
      <c r="R196" s="2116" t="s">
        <v>296</v>
      </c>
    </row>
    <row r="197" spans="1:18" s="2265" customFormat="1">
      <c r="A197" s="2116"/>
      <c r="B197" s="2116"/>
      <c r="C197" s="2116"/>
      <c r="D197" s="2116"/>
      <c r="E197" s="2116"/>
      <c r="F197" s="2116"/>
      <c r="G197" s="2116"/>
      <c r="H197" s="2116"/>
      <c r="I197" s="2116"/>
      <c r="J197" s="2116"/>
      <c r="K197" s="2117"/>
      <c r="L197" s="2117"/>
      <c r="M197" s="2116"/>
      <c r="N197" s="2117"/>
      <c r="O197" s="2116"/>
      <c r="P197" s="2116" t="s">
        <v>296</v>
      </c>
      <c r="Q197" s="2116" t="s">
        <v>296</v>
      </c>
      <c r="R197" s="2116" t="s">
        <v>296</v>
      </c>
    </row>
    <row r="198" spans="1:18" s="2265" customFormat="1">
      <c r="A198" s="2116"/>
      <c r="B198" s="2116"/>
      <c r="C198" s="2116"/>
      <c r="D198" s="2116"/>
      <c r="E198" s="2116"/>
      <c r="F198" s="2116"/>
      <c r="G198" s="2116"/>
      <c r="H198" s="2116"/>
      <c r="I198" s="2116"/>
      <c r="J198" s="2116"/>
      <c r="K198" s="2117"/>
      <c r="L198" s="2117"/>
      <c r="M198" s="2116"/>
      <c r="N198" s="2117"/>
      <c r="O198" s="2116"/>
      <c r="P198" s="2116" t="s">
        <v>296</v>
      </c>
      <c r="Q198" s="2116" t="s">
        <v>296</v>
      </c>
      <c r="R198" s="2116" t="s">
        <v>296</v>
      </c>
    </row>
    <row r="199" spans="1:18" s="2265" customFormat="1">
      <c r="A199" s="2116"/>
      <c r="B199" s="2116"/>
      <c r="C199" s="2116"/>
      <c r="D199" s="2116"/>
      <c r="E199" s="2116"/>
      <c r="F199" s="2116"/>
      <c r="G199" s="2116"/>
      <c r="H199" s="2116"/>
      <c r="I199" s="2116"/>
      <c r="J199" s="2116"/>
      <c r="K199" s="2117"/>
      <c r="L199" s="2117"/>
      <c r="M199" s="2116"/>
      <c r="N199" s="2117"/>
      <c r="O199" s="2116"/>
      <c r="P199" s="2116" t="s">
        <v>296</v>
      </c>
      <c r="Q199" s="2116" t="s">
        <v>296</v>
      </c>
      <c r="R199" s="2116" t="s">
        <v>296</v>
      </c>
    </row>
    <row r="200" spans="1:18" s="2265" customFormat="1">
      <c r="A200" s="2116"/>
      <c r="B200" s="2116"/>
      <c r="C200" s="2116"/>
      <c r="D200" s="2116"/>
      <c r="E200" s="2116"/>
      <c r="F200" s="2116"/>
      <c r="G200" s="2116"/>
      <c r="H200" s="2116"/>
      <c r="I200" s="2116"/>
      <c r="J200" s="2116"/>
      <c r="K200" s="2117"/>
      <c r="L200" s="2117"/>
      <c r="M200" s="2116"/>
      <c r="N200" s="2117"/>
      <c r="O200" s="2116"/>
      <c r="P200" s="2116" t="s">
        <v>296</v>
      </c>
      <c r="Q200" s="2116" t="s">
        <v>296</v>
      </c>
      <c r="R200" s="2116" t="s">
        <v>296</v>
      </c>
    </row>
    <row r="201" spans="1:18" s="2265" customFormat="1">
      <c r="A201" s="2116"/>
      <c r="B201" s="2116"/>
      <c r="C201" s="2116"/>
      <c r="D201" s="2116"/>
      <c r="E201" s="2116"/>
      <c r="F201" s="2116"/>
      <c r="G201" s="2116"/>
      <c r="H201" s="2116"/>
      <c r="I201" s="2116"/>
      <c r="J201" s="2116"/>
      <c r="K201" s="2117"/>
      <c r="L201" s="2117"/>
      <c r="M201" s="2116"/>
      <c r="N201" s="2117"/>
      <c r="O201" s="2116"/>
      <c r="P201" s="2116" t="s">
        <v>296</v>
      </c>
      <c r="Q201" s="2116" t="s">
        <v>296</v>
      </c>
      <c r="R201" s="2116" t="s">
        <v>296</v>
      </c>
    </row>
    <row r="202" spans="1:18" s="2265" customFormat="1">
      <c r="A202" s="2116"/>
      <c r="B202" s="2116"/>
      <c r="C202" s="2116"/>
      <c r="D202" s="2116"/>
      <c r="E202" s="2116"/>
      <c r="F202" s="2116"/>
      <c r="G202" s="2116"/>
      <c r="H202" s="2116"/>
      <c r="I202" s="2116"/>
      <c r="J202" s="2116"/>
      <c r="K202" s="2117"/>
      <c r="L202" s="2117"/>
      <c r="M202" s="2116"/>
      <c r="N202" s="2117"/>
      <c r="O202" s="2116"/>
      <c r="P202" s="2116" t="s">
        <v>296</v>
      </c>
      <c r="Q202" s="2116" t="s">
        <v>296</v>
      </c>
      <c r="R202" s="2116" t="s">
        <v>296</v>
      </c>
    </row>
    <row r="203" spans="1:18" s="2265" customFormat="1">
      <c r="A203" s="2116"/>
      <c r="B203" s="2116"/>
      <c r="C203" s="2116"/>
      <c r="D203" s="2116"/>
      <c r="E203" s="2116"/>
      <c r="F203" s="2116"/>
      <c r="G203" s="2116"/>
      <c r="H203" s="2116"/>
      <c r="I203" s="2116"/>
      <c r="J203" s="2116"/>
      <c r="K203" s="2117"/>
      <c r="L203" s="2117"/>
      <c r="M203" s="2116"/>
      <c r="N203" s="2117"/>
      <c r="O203" s="2116"/>
      <c r="P203" s="2116" t="s">
        <v>296</v>
      </c>
      <c r="Q203" s="2116" t="s">
        <v>296</v>
      </c>
      <c r="R203" s="2116" t="s">
        <v>296</v>
      </c>
    </row>
    <row r="204" spans="1:18" s="2265" customFormat="1">
      <c r="A204" s="2116"/>
      <c r="B204" s="2116"/>
      <c r="C204" s="2116"/>
      <c r="D204" s="2116"/>
      <c r="E204" s="2116"/>
      <c r="F204" s="2116"/>
      <c r="G204" s="2116"/>
      <c r="H204" s="2116"/>
      <c r="I204" s="2116"/>
      <c r="J204" s="2116"/>
      <c r="K204" s="2117"/>
      <c r="L204" s="2117"/>
      <c r="M204" s="2116"/>
      <c r="N204" s="2117"/>
      <c r="O204" s="2116"/>
      <c r="P204" s="2116" t="s">
        <v>296</v>
      </c>
      <c r="Q204" s="2116" t="s">
        <v>296</v>
      </c>
      <c r="R204" s="2116" t="s">
        <v>296</v>
      </c>
    </row>
    <row r="205" spans="1:18" s="2265" customFormat="1">
      <c r="A205" s="2116"/>
      <c r="B205" s="2116"/>
      <c r="C205" s="2116"/>
      <c r="D205" s="2116"/>
      <c r="E205" s="2116"/>
      <c r="F205" s="2116"/>
      <c r="G205" s="2116"/>
      <c r="H205" s="2116"/>
      <c r="I205" s="2116"/>
      <c r="J205" s="2116"/>
      <c r="K205" s="2117"/>
      <c r="L205" s="2117"/>
      <c r="M205" s="2116"/>
      <c r="N205" s="2117"/>
      <c r="O205" s="2116"/>
      <c r="P205" s="2116" t="s">
        <v>296</v>
      </c>
      <c r="Q205" s="2116" t="s">
        <v>296</v>
      </c>
      <c r="R205" s="2116" t="s">
        <v>296</v>
      </c>
    </row>
    <row r="206" spans="1:18" s="2265" customFormat="1">
      <c r="A206" s="2116"/>
      <c r="B206" s="2116"/>
      <c r="C206" s="2116"/>
      <c r="D206" s="2116"/>
      <c r="E206" s="2116"/>
      <c r="F206" s="2116"/>
      <c r="G206" s="2116"/>
      <c r="H206" s="2116"/>
      <c r="I206" s="2116"/>
      <c r="J206" s="2116"/>
      <c r="K206" s="2117"/>
      <c r="L206" s="2117"/>
      <c r="M206" s="2116"/>
      <c r="N206" s="2117"/>
      <c r="O206" s="2116"/>
      <c r="P206" s="2116" t="s">
        <v>296</v>
      </c>
      <c r="Q206" s="2116" t="s">
        <v>296</v>
      </c>
      <c r="R206" s="2116" t="s">
        <v>296</v>
      </c>
    </row>
    <row r="207" spans="1:18" s="2265" customFormat="1">
      <c r="A207" s="2116"/>
      <c r="B207" s="2116"/>
      <c r="C207" s="2116"/>
      <c r="D207" s="2116"/>
      <c r="E207" s="2116"/>
      <c r="F207" s="2116"/>
      <c r="G207" s="2116"/>
      <c r="H207" s="2116"/>
      <c r="I207" s="2116"/>
      <c r="J207" s="2116"/>
      <c r="K207" s="2117"/>
      <c r="L207" s="2117"/>
      <c r="M207" s="2116"/>
      <c r="N207" s="2117"/>
      <c r="O207" s="2116"/>
      <c r="P207" s="2116" t="s">
        <v>296</v>
      </c>
      <c r="Q207" s="2116" t="s">
        <v>296</v>
      </c>
      <c r="R207" s="2116" t="s">
        <v>296</v>
      </c>
    </row>
    <row r="208" spans="1:18" s="2265" customFormat="1">
      <c r="A208" s="2116"/>
      <c r="B208" s="2116"/>
      <c r="C208" s="2116"/>
      <c r="D208" s="2116"/>
      <c r="E208" s="2116"/>
      <c r="F208" s="2116"/>
      <c r="G208" s="2116"/>
      <c r="H208" s="2116"/>
      <c r="I208" s="2116"/>
      <c r="J208" s="2116"/>
      <c r="K208" s="2117"/>
      <c r="L208" s="2117"/>
      <c r="M208" s="2116"/>
      <c r="N208" s="2117"/>
      <c r="O208" s="2116"/>
      <c r="P208" s="2116" t="s">
        <v>296</v>
      </c>
      <c r="Q208" s="2116" t="s">
        <v>296</v>
      </c>
      <c r="R208" s="2116" t="s">
        <v>296</v>
      </c>
    </row>
    <row r="209" spans="1:18" s="2265" customFormat="1">
      <c r="A209" s="2116"/>
      <c r="B209" s="2116"/>
      <c r="C209" s="2116"/>
      <c r="D209" s="2116"/>
      <c r="E209" s="2116"/>
      <c r="F209" s="2116"/>
      <c r="G209" s="2116"/>
      <c r="H209" s="2116"/>
      <c r="I209" s="2116"/>
      <c r="J209" s="2116"/>
      <c r="K209" s="2117"/>
      <c r="L209" s="2117"/>
      <c r="M209" s="2116"/>
      <c r="N209" s="2117"/>
      <c r="O209" s="2116"/>
      <c r="P209" s="2116" t="s">
        <v>296</v>
      </c>
      <c r="Q209" s="2116" t="s">
        <v>296</v>
      </c>
      <c r="R209" s="2116" t="s">
        <v>296</v>
      </c>
    </row>
    <row r="210" spans="1:18" s="2265" customFormat="1">
      <c r="A210" s="2116"/>
      <c r="B210" s="2116"/>
      <c r="C210" s="2116"/>
      <c r="D210" s="2116"/>
      <c r="E210" s="2116"/>
      <c r="F210" s="2116"/>
      <c r="G210" s="2116"/>
      <c r="H210" s="2116"/>
      <c r="I210" s="2116"/>
      <c r="J210" s="2116"/>
      <c r="K210" s="2117"/>
      <c r="L210" s="2117"/>
      <c r="M210" s="2116"/>
      <c r="N210" s="2117"/>
      <c r="O210" s="2116"/>
      <c r="P210" s="2116" t="s">
        <v>296</v>
      </c>
      <c r="Q210" s="2116" t="s">
        <v>296</v>
      </c>
      <c r="R210" s="2116" t="s">
        <v>296</v>
      </c>
    </row>
    <row r="211" spans="1:18" s="2265" customFormat="1">
      <c r="A211" s="2116"/>
      <c r="B211" s="2116"/>
      <c r="C211" s="2116"/>
      <c r="D211" s="2116"/>
      <c r="E211" s="2116"/>
      <c r="F211" s="2116"/>
      <c r="G211" s="2116"/>
      <c r="H211" s="2116"/>
      <c r="I211" s="2116"/>
      <c r="J211" s="2116"/>
      <c r="K211" s="2117"/>
      <c r="L211" s="2117"/>
      <c r="M211" s="2116"/>
      <c r="N211" s="2117"/>
      <c r="O211" s="2116"/>
      <c r="P211" s="2116" t="s">
        <v>296</v>
      </c>
      <c r="Q211" s="2116" t="s">
        <v>296</v>
      </c>
      <c r="R211" s="2116" t="s">
        <v>296</v>
      </c>
    </row>
    <row r="212" spans="1:18" s="2265" customFormat="1">
      <c r="A212" s="2116"/>
      <c r="B212" s="2116"/>
      <c r="C212" s="2116"/>
      <c r="D212" s="2116"/>
      <c r="E212" s="2116"/>
      <c r="F212" s="2116"/>
      <c r="G212" s="2116"/>
      <c r="H212" s="2116"/>
      <c r="I212" s="2116"/>
      <c r="J212" s="2116"/>
      <c r="K212" s="2117"/>
      <c r="L212" s="2117"/>
      <c r="M212" s="2116"/>
      <c r="N212" s="2117"/>
      <c r="O212" s="2116"/>
      <c r="P212" s="2116" t="s">
        <v>296</v>
      </c>
      <c r="Q212" s="2116" t="s">
        <v>296</v>
      </c>
      <c r="R212" s="2116" t="s">
        <v>296</v>
      </c>
    </row>
    <row r="213" spans="1:18" s="2265" customFormat="1">
      <c r="A213" s="2116"/>
      <c r="B213" s="2116"/>
      <c r="C213" s="2116"/>
      <c r="D213" s="2116"/>
      <c r="E213" s="2116"/>
      <c r="F213" s="2116"/>
      <c r="G213" s="2116"/>
      <c r="H213" s="2116"/>
      <c r="I213" s="2116"/>
      <c r="J213" s="2116"/>
      <c r="K213" s="2117"/>
      <c r="L213" s="2117"/>
      <c r="M213" s="2116"/>
      <c r="N213" s="2117"/>
      <c r="O213" s="2116"/>
      <c r="P213" s="2116" t="s">
        <v>296</v>
      </c>
      <c r="Q213" s="2116" t="s">
        <v>296</v>
      </c>
      <c r="R213" s="2116" t="s">
        <v>296</v>
      </c>
    </row>
    <row r="214" spans="1:18" s="2265" customFormat="1">
      <c r="A214" s="2116"/>
      <c r="B214" s="2116"/>
      <c r="C214" s="2116"/>
      <c r="D214" s="2116"/>
      <c r="E214" s="2116"/>
      <c r="F214" s="2116"/>
      <c r="G214" s="2116"/>
      <c r="H214" s="2116"/>
      <c r="I214" s="2116"/>
      <c r="J214" s="2116"/>
      <c r="K214" s="2117"/>
      <c r="L214" s="2117"/>
      <c r="M214" s="2116"/>
      <c r="N214" s="2117"/>
      <c r="O214" s="2116"/>
      <c r="P214" s="2116" t="s">
        <v>296</v>
      </c>
      <c r="Q214" s="2116" t="s">
        <v>296</v>
      </c>
      <c r="R214" s="2116" t="s">
        <v>296</v>
      </c>
    </row>
    <row r="215" spans="1:18" s="2265" customFormat="1">
      <c r="A215" s="2116"/>
      <c r="B215" s="2116"/>
      <c r="C215" s="2116"/>
      <c r="D215" s="2116"/>
      <c r="E215" s="2116"/>
      <c r="F215" s="2116"/>
      <c r="G215" s="2116"/>
      <c r="H215" s="2116"/>
      <c r="I215" s="2116"/>
      <c r="J215" s="2116"/>
      <c r="K215" s="2117"/>
      <c r="L215" s="2117"/>
      <c r="M215" s="2116"/>
      <c r="N215" s="2117"/>
      <c r="O215" s="2116"/>
      <c r="P215" s="2116" t="s">
        <v>296</v>
      </c>
      <c r="Q215" s="2116" t="s">
        <v>296</v>
      </c>
      <c r="R215" s="2116" t="s">
        <v>296</v>
      </c>
    </row>
    <row r="216" spans="1:18" s="2265" customFormat="1">
      <c r="A216" s="2116"/>
      <c r="B216" s="2116"/>
      <c r="C216" s="2116"/>
      <c r="D216" s="2116"/>
      <c r="E216" s="2116"/>
      <c r="F216" s="2116"/>
      <c r="G216" s="2116"/>
      <c r="H216" s="2116"/>
      <c r="I216" s="2116"/>
      <c r="J216" s="2116"/>
      <c r="K216" s="2117"/>
      <c r="L216" s="2117"/>
      <c r="M216" s="2116"/>
      <c r="N216" s="2117"/>
      <c r="O216" s="2116"/>
      <c r="P216" s="2116" t="s">
        <v>296</v>
      </c>
      <c r="Q216" s="2116" t="s">
        <v>296</v>
      </c>
      <c r="R216" s="2116" t="s">
        <v>296</v>
      </c>
    </row>
    <row r="217" spans="1:18" s="2265" customFormat="1">
      <c r="A217" s="2116"/>
      <c r="B217" s="2116"/>
      <c r="C217" s="2116"/>
      <c r="D217" s="2116"/>
      <c r="E217" s="2116"/>
      <c r="F217" s="2116"/>
      <c r="G217" s="2116"/>
      <c r="H217" s="2116"/>
      <c r="I217" s="2116"/>
      <c r="J217" s="2116"/>
      <c r="K217" s="2117"/>
      <c r="L217" s="2117"/>
      <c r="M217" s="2116"/>
      <c r="N217" s="2117"/>
      <c r="O217" s="2116"/>
      <c r="P217" s="2116" t="s">
        <v>296</v>
      </c>
      <c r="Q217" s="2116" t="s">
        <v>296</v>
      </c>
      <c r="R217" s="2116" t="s">
        <v>296</v>
      </c>
    </row>
    <row r="218" spans="1:18" s="2265" customFormat="1">
      <c r="A218" s="2116"/>
      <c r="B218" s="2116"/>
      <c r="C218" s="2116"/>
      <c r="D218" s="2116"/>
      <c r="E218" s="2116"/>
      <c r="F218" s="2116"/>
      <c r="G218" s="2116"/>
      <c r="H218" s="2116"/>
      <c r="I218" s="2116"/>
      <c r="J218" s="2116"/>
      <c r="K218" s="2117"/>
      <c r="L218" s="2117"/>
      <c r="M218" s="2116"/>
      <c r="N218" s="2117"/>
      <c r="O218" s="2116"/>
      <c r="P218" s="2116" t="s">
        <v>296</v>
      </c>
      <c r="Q218" s="2116" t="s">
        <v>296</v>
      </c>
      <c r="R218" s="2116" t="s">
        <v>296</v>
      </c>
    </row>
    <row r="219" spans="1:18" s="2265" customFormat="1">
      <c r="A219" s="2116"/>
      <c r="B219" s="2116"/>
      <c r="C219" s="2116"/>
      <c r="D219" s="2116"/>
      <c r="E219" s="2116"/>
      <c r="F219" s="2116"/>
      <c r="G219" s="2116"/>
      <c r="H219" s="2116"/>
      <c r="I219" s="2116"/>
      <c r="J219" s="2116"/>
      <c r="K219" s="2117"/>
      <c r="L219" s="2117"/>
      <c r="M219" s="2116"/>
      <c r="N219" s="2117"/>
      <c r="O219" s="2116"/>
      <c r="P219" s="2116" t="s">
        <v>296</v>
      </c>
      <c r="Q219" s="2116" t="s">
        <v>296</v>
      </c>
      <c r="R219" s="2116" t="s">
        <v>296</v>
      </c>
    </row>
    <row r="220" spans="1:18" s="2265" customFormat="1">
      <c r="A220" s="2116"/>
      <c r="B220" s="2116"/>
      <c r="C220" s="2116"/>
      <c r="D220" s="2116"/>
      <c r="E220" s="2116"/>
      <c r="F220" s="2116"/>
      <c r="G220" s="2116"/>
      <c r="H220" s="2116"/>
      <c r="I220" s="2116"/>
      <c r="J220" s="2116"/>
      <c r="K220" s="2117"/>
      <c r="L220" s="2117"/>
      <c r="M220" s="2116"/>
      <c r="N220" s="2117"/>
      <c r="O220" s="2116"/>
      <c r="P220" s="2116" t="s">
        <v>296</v>
      </c>
      <c r="Q220" s="2116" t="s">
        <v>296</v>
      </c>
      <c r="R220" s="2116" t="s">
        <v>296</v>
      </c>
    </row>
    <row r="221" spans="1:18" s="2265" customFormat="1">
      <c r="A221" s="2116"/>
      <c r="B221" s="2116"/>
      <c r="C221" s="2116"/>
      <c r="D221" s="2116"/>
      <c r="E221" s="2116"/>
      <c r="F221" s="2116"/>
      <c r="G221" s="2116"/>
      <c r="H221" s="2116"/>
      <c r="I221" s="2116"/>
      <c r="J221" s="2116"/>
      <c r="K221" s="2117"/>
      <c r="L221" s="2117"/>
      <c r="M221" s="2116"/>
      <c r="N221" s="2117"/>
      <c r="O221" s="2116"/>
      <c r="P221" s="2116" t="s">
        <v>296</v>
      </c>
      <c r="Q221" s="2116" t="s">
        <v>296</v>
      </c>
      <c r="R221" s="2116" t="s">
        <v>296</v>
      </c>
    </row>
    <row r="222" spans="1:18" s="2265" customFormat="1">
      <c r="A222" s="2116"/>
      <c r="B222" s="2116"/>
      <c r="C222" s="2116"/>
      <c r="D222" s="2116"/>
      <c r="E222" s="2116"/>
      <c r="F222" s="2116"/>
      <c r="G222" s="2116"/>
      <c r="H222" s="2116"/>
      <c r="I222" s="2116"/>
      <c r="J222" s="2116"/>
      <c r="K222" s="2117"/>
      <c r="L222" s="2117"/>
      <c r="M222" s="2116"/>
      <c r="N222" s="2117"/>
      <c r="O222" s="2116"/>
      <c r="P222" s="2116" t="s">
        <v>296</v>
      </c>
      <c r="Q222" s="2116" t="s">
        <v>296</v>
      </c>
      <c r="R222" s="2116" t="s">
        <v>296</v>
      </c>
    </row>
    <row r="223" spans="1:18" s="2265" customFormat="1">
      <c r="A223" s="2116"/>
      <c r="B223" s="2116"/>
      <c r="C223" s="2116"/>
      <c r="D223" s="2116"/>
      <c r="E223" s="2116"/>
      <c r="F223" s="2116"/>
      <c r="G223" s="2116"/>
      <c r="H223" s="2116"/>
      <c r="I223" s="2116"/>
      <c r="J223" s="2116"/>
      <c r="K223" s="2117"/>
      <c r="L223" s="2117"/>
      <c r="M223" s="2116"/>
      <c r="N223" s="2117"/>
      <c r="O223" s="2116"/>
      <c r="P223" s="2116" t="s">
        <v>296</v>
      </c>
      <c r="Q223" s="2116" t="s">
        <v>296</v>
      </c>
      <c r="R223" s="2116" t="s">
        <v>296</v>
      </c>
    </row>
    <row r="224" spans="1:18" s="2265" customFormat="1">
      <c r="A224" s="2116"/>
      <c r="B224" s="2116"/>
      <c r="C224" s="2116"/>
      <c r="D224" s="2116"/>
      <c r="E224" s="2116"/>
      <c r="F224" s="2116"/>
      <c r="G224" s="2116"/>
      <c r="H224" s="2116"/>
      <c r="I224" s="2116"/>
      <c r="J224" s="2116"/>
      <c r="K224" s="2117"/>
      <c r="L224" s="2117"/>
      <c r="M224" s="2116"/>
      <c r="N224" s="2117"/>
      <c r="O224" s="2116"/>
      <c r="P224" s="2116" t="s">
        <v>296</v>
      </c>
      <c r="Q224" s="2116" t="s">
        <v>296</v>
      </c>
      <c r="R224" s="2116" t="s">
        <v>296</v>
      </c>
    </row>
    <row r="225" spans="1:18" s="2265" customFormat="1">
      <c r="A225" s="2116"/>
      <c r="B225" s="2116"/>
      <c r="C225" s="2116"/>
      <c r="D225" s="2116"/>
      <c r="E225" s="2116"/>
      <c r="F225" s="2116"/>
      <c r="G225" s="2116"/>
      <c r="H225" s="2116"/>
      <c r="I225" s="2116"/>
      <c r="J225" s="2116"/>
      <c r="K225" s="2117"/>
      <c r="L225" s="2117"/>
      <c r="M225" s="2116"/>
      <c r="N225" s="2117"/>
      <c r="O225" s="2116"/>
      <c r="P225" s="2116" t="s">
        <v>296</v>
      </c>
      <c r="Q225" s="2116" t="s">
        <v>296</v>
      </c>
      <c r="R225" s="2116" t="s">
        <v>296</v>
      </c>
    </row>
    <row r="226" spans="1:18" s="2265" customFormat="1">
      <c r="A226" s="2116"/>
      <c r="B226" s="2116"/>
      <c r="C226" s="2116"/>
      <c r="D226" s="2116"/>
      <c r="E226" s="2116"/>
      <c r="F226" s="2116"/>
      <c r="G226" s="2116"/>
      <c r="H226" s="2116"/>
      <c r="I226" s="2116"/>
      <c r="J226" s="2116"/>
      <c r="K226" s="2117"/>
      <c r="L226" s="2117"/>
      <c r="M226" s="2116"/>
      <c r="N226" s="2117"/>
      <c r="O226" s="2116"/>
      <c r="P226" s="2116" t="s">
        <v>296</v>
      </c>
      <c r="Q226" s="2116" t="s">
        <v>296</v>
      </c>
      <c r="R226" s="2116" t="s">
        <v>296</v>
      </c>
    </row>
    <row r="227" spans="1:18" s="2265" customFormat="1">
      <c r="A227" s="2116"/>
      <c r="B227" s="2116"/>
      <c r="C227" s="2116"/>
      <c r="D227" s="2116"/>
      <c r="E227" s="2116"/>
      <c r="F227" s="2116"/>
      <c r="G227" s="2116"/>
      <c r="H227" s="2116"/>
      <c r="I227" s="2116"/>
      <c r="J227" s="2116"/>
      <c r="K227" s="2117"/>
      <c r="L227" s="2117"/>
      <c r="M227" s="2116"/>
      <c r="N227" s="2117"/>
      <c r="O227" s="2116"/>
      <c r="P227" s="2116" t="s">
        <v>296</v>
      </c>
      <c r="Q227" s="2116" t="s">
        <v>296</v>
      </c>
      <c r="R227" s="2116" t="s">
        <v>296</v>
      </c>
    </row>
    <row r="228" spans="1:18" s="2265" customFormat="1">
      <c r="A228" s="2116"/>
      <c r="B228" s="2116"/>
      <c r="C228" s="2116"/>
      <c r="D228" s="2116"/>
      <c r="E228" s="2116"/>
      <c r="F228" s="2116"/>
      <c r="G228" s="2116"/>
      <c r="H228" s="2116"/>
      <c r="I228" s="2116"/>
      <c r="J228" s="2116"/>
      <c r="K228" s="2117"/>
      <c r="L228" s="2117"/>
      <c r="M228" s="2116"/>
      <c r="N228" s="2117"/>
      <c r="O228" s="2116"/>
      <c r="P228" s="2116" t="s">
        <v>296</v>
      </c>
      <c r="Q228" s="2116" t="s">
        <v>296</v>
      </c>
      <c r="R228" s="2116" t="s">
        <v>296</v>
      </c>
    </row>
    <row r="229" spans="1:18" s="2265" customFormat="1">
      <c r="A229" s="2116"/>
      <c r="B229" s="2116"/>
      <c r="C229" s="2116"/>
      <c r="D229" s="2116"/>
      <c r="E229" s="2116"/>
      <c r="F229" s="2116"/>
      <c r="G229" s="2116"/>
      <c r="H229" s="2116"/>
      <c r="I229" s="2116"/>
      <c r="J229" s="2116"/>
      <c r="K229" s="2117"/>
      <c r="L229" s="2117"/>
      <c r="M229" s="2116"/>
      <c r="N229" s="2117"/>
      <c r="O229" s="2116"/>
      <c r="P229" s="2116" t="s">
        <v>296</v>
      </c>
      <c r="Q229" s="2116" t="s">
        <v>296</v>
      </c>
      <c r="R229" s="2116" t="s">
        <v>296</v>
      </c>
    </row>
    <row r="230" spans="1:18" s="2265" customFormat="1">
      <c r="A230" s="2116"/>
      <c r="B230" s="2116"/>
      <c r="C230" s="2116"/>
      <c r="D230" s="2116"/>
      <c r="E230" s="2116"/>
      <c r="F230" s="2116"/>
      <c r="G230" s="2116"/>
      <c r="H230" s="2116"/>
      <c r="I230" s="2116"/>
      <c r="J230" s="2116"/>
      <c r="K230" s="2117"/>
      <c r="L230" s="2117"/>
      <c r="M230" s="2116"/>
      <c r="N230" s="2117"/>
      <c r="O230" s="2116"/>
      <c r="P230" s="2116" t="s">
        <v>296</v>
      </c>
      <c r="Q230" s="2116" t="s">
        <v>296</v>
      </c>
      <c r="R230" s="2116" t="s">
        <v>296</v>
      </c>
    </row>
    <row r="231" spans="1:18" s="2265" customFormat="1">
      <c r="A231" s="2116"/>
      <c r="B231" s="2116"/>
      <c r="C231" s="2116"/>
      <c r="D231" s="2116"/>
      <c r="E231" s="2116"/>
      <c r="F231" s="2116"/>
      <c r="G231" s="2116"/>
      <c r="H231" s="2116"/>
      <c r="I231" s="2116"/>
      <c r="J231" s="2116"/>
      <c r="K231" s="2117"/>
      <c r="L231" s="2117"/>
      <c r="M231" s="2116"/>
      <c r="N231" s="2117"/>
      <c r="O231" s="2116"/>
      <c r="P231" s="2116" t="s">
        <v>296</v>
      </c>
      <c r="Q231" s="2116" t="s">
        <v>296</v>
      </c>
      <c r="R231" s="2116" t="s">
        <v>296</v>
      </c>
    </row>
    <row r="232" spans="1:18" s="2265" customFormat="1">
      <c r="A232" s="2116"/>
      <c r="B232" s="2116"/>
      <c r="C232" s="2116"/>
      <c r="D232" s="2116"/>
      <c r="E232" s="2116"/>
      <c r="F232" s="2116"/>
      <c r="G232" s="2116"/>
      <c r="H232" s="2116"/>
      <c r="I232" s="2116"/>
      <c r="J232" s="2116"/>
      <c r="K232" s="2117"/>
      <c r="L232" s="2117"/>
      <c r="M232" s="2116"/>
      <c r="N232" s="2117"/>
      <c r="O232" s="2116"/>
      <c r="P232" s="2116" t="s">
        <v>296</v>
      </c>
      <c r="Q232" s="2116" t="s">
        <v>296</v>
      </c>
      <c r="R232" s="2116" t="s">
        <v>296</v>
      </c>
    </row>
    <row r="233" spans="1:18" s="2265" customFormat="1">
      <c r="A233" s="2116"/>
      <c r="B233" s="2116"/>
      <c r="C233" s="2116"/>
      <c r="D233" s="2116"/>
      <c r="E233" s="2116"/>
      <c r="F233" s="2116"/>
      <c r="G233" s="2116"/>
      <c r="H233" s="2116"/>
      <c r="I233" s="2116"/>
      <c r="J233" s="2116"/>
      <c r="K233" s="2117"/>
      <c r="L233" s="2117"/>
      <c r="M233" s="2116"/>
      <c r="N233" s="2117"/>
      <c r="O233" s="2116"/>
      <c r="P233" s="2116" t="s">
        <v>296</v>
      </c>
      <c r="Q233" s="2116" t="s">
        <v>296</v>
      </c>
      <c r="R233" s="2116" t="s">
        <v>296</v>
      </c>
    </row>
    <row r="234" spans="1:18" s="2265" customFormat="1">
      <c r="A234" s="2116"/>
      <c r="B234" s="2116"/>
      <c r="C234" s="2116"/>
      <c r="D234" s="2116"/>
      <c r="E234" s="2116"/>
      <c r="F234" s="2116"/>
      <c r="G234" s="2116"/>
      <c r="H234" s="2116"/>
      <c r="I234" s="2116"/>
      <c r="J234" s="2116"/>
      <c r="K234" s="2117"/>
      <c r="L234" s="2117"/>
      <c r="M234" s="2116"/>
      <c r="N234" s="2117"/>
      <c r="O234" s="2116"/>
      <c r="P234" s="2116" t="s">
        <v>296</v>
      </c>
      <c r="Q234" s="2116" t="s">
        <v>296</v>
      </c>
      <c r="R234" s="2116" t="s">
        <v>296</v>
      </c>
    </row>
    <row r="235" spans="1:18" s="2265" customFormat="1">
      <c r="A235" s="2116"/>
      <c r="B235" s="2116"/>
      <c r="C235" s="2116"/>
      <c r="D235" s="2116"/>
      <c r="E235" s="2116"/>
      <c r="F235" s="2116"/>
      <c r="G235" s="2116"/>
      <c r="H235" s="2116"/>
      <c r="I235" s="2116"/>
      <c r="J235" s="2116"/>
      <c r="K235" s="2117"/>
      <c r="L235" s="2117"/>
      <c r="M235" s="2116"/>
      <c r="N235" s="2117"/>
      <c r="O235" s="2116"/>
      <c r="P235" s="2116" t="s">
        <v>296</v>
      </c>
      <c r="Q235" s="2116" t="s">
        <v>296</v>
      </c>
      <c r="R235" s="2116" t="s">
        <v>296</v>
      </c>
    </row>
    <row r="236" spans="1:18" s="2265" customFormat="1">
      <c r="A236" s="2116"/>
      <c r="B236" s="2116"/>
      <c r="C236" s="2116"/>
      <c r="D236" s="2116"/>
      <c r="E236" s="2116"/>
      <c r="F236" s="2116"/>
      <c r="G236" s="2116"/>
      <c r="H236" s="2116"/>
      <c r="I236" s="2116"/>
      <c r="J236" s="2116"/>
      <c r="K236" s="2117"/>
      <c r="L236" s="2117"/>
      <c r="M236" s="2116"/>
      <c r="N236" s="2117"/>
      <c r="O236" s="2116"/>
      <c r="P236" s="2116" t="s">
        <v>296</v>
      </c>
      <c r="Q236" s="2116" t="s">
        <v>296</v>
      </c>
      <c r="R236" s="2116" t="s">
        <v>296</v>
      </c>
    </row>
    <row r="237" spans="1:18" s="2265" customFormat="1">
      <c r="A237" s="2116"/>
      <c r="B237" s="2116"/>
      <c r="C237" s="2116"/>
      <c r="D237" s="2116"/>
      <c r="E237" s="2116"/>
      <c r="F237" s="2116"/>
      <c r="G237" s="2116"/>
      <c r="H237" s="2116"/>
      <c r="I237" s="2116"/>
      <c r="J237" s="2116"/>
      <c r="K237" s="2117"/>
      <c r="L237" s="2117"/>
      <c r="M237" s="2116"/>
      <c r="N237" s="2117"/>
      <c r="O237" s="2116"/>
      <c r="P237" s="2116" t="s">
        <v>296</v>
      </c>
      <c r="Q237" s="2116" t="s">
        <v>296</v>
      </c>
      <c r="R237" s="2116" t="s">
        <v>296</v>
      </c>
    </row>
    <row r="238" spans="1:18" s="2265" customFormat="1">
      <c r="A238" s="2116"/>
      <c r="B238" s="2116"/>
      <c r="C238" s="2116"/>
      <c r="D238" s="2116"/>
      <c r="E238" s="2116"/>
      <c r="F238" s="2116"/>
      <c r="G238" s="2116"/>
      <c r="H238" s="2116"/>
      <c r="I238" s="2116"/>
      <c r="J238" s="2116"/>
      <c r="K238" s="2117"/>
      <c r="L238" s="2117"/>
      <c r="M238" s="2116"/>
      <c r="N238" s="2117"/>
      <c r="O238" s="2116"/>
      <c r="P238" s="2116" t="s">
        <v>296</v>
      </c>
      <c r="Q238" s="2116" t="s">
        <v>296</v>
      </c>
      <c r="R238" s="2116" t="s">
        <v>296</v>
      </c>
    </row>
    <row r="239" spans="1:18" s="2265" customFormat="1">
      <c r="A239" s="2116"/>
      <c r="B239" s="2116"/>
      <c r="C239" s="2116"/>
      <c r="D239" s="2116"/>
      <c r="E239" s="2116"/>
      <c r="F239" s="2116"/>
      <c r="G239" s="2116"/>
      <c r="H239" s="2116"/>
      <c r="I239" s="2116"/>
      <c r="J239" s="2116"/>
      <c r="K239" s="2117"/>
      <c r="L239" s="2117"/>
      <c r="M239" s="2116"/>
      <c r="N239" s="2117"/>
      <c r="O239" s="2116"/>
      <c r="P239" s="2116" t="s">
        <v>296</v>
      </c>
      <c r="Q239" s="2116" t="s">
        <v>296</v>
      </c>
      <c r="R239" s="2116" t="s">
        <v>296</v>
      </c>
    </row>
    <row r="240" spans="1:18" s="2265" customFormat="1">
      <c r="A240" s="2116"/>
      <c r="B240" s="2116"/>
      <c r="C240" s="2116"/>
      <c r="D240" s="2116"/>
      <c r="E240" s="2116"/>
      <c r="F240" s="2116"/>
      <c r="G240" s="2116"/>
      <c r="H240" s="2116"/>
      <c r="I240" s="2116"/>
      <c r="J240" s="2116"/>
      <c r="K240" s="2117"/>
      <c r="L240" s="2117"/>
      <c r="M240" s="2116"/>
      <c r="N240" s="2117"/>
      <c r="O240" s="2116"/>
      <c r="P240" s="2116" t="s">
        <v>296</v>
      </c>
      <c r="Q240" s="2116" t="s">
        <v>296</v>
      </c>
      <c r="R240" s="2116" t="s">
        <v>296</v>
      </c>
    </row>
    <row r="241" spans="1:18" s="2265" customFormat="1">
      <c r="A241" s="2116"/>
      <c r="B241" s="2116"/>
      <c r="C241" s="2116"/>
      <c r="D241" s="2116"/>
      <c r="E241" s="2116"/>
      <c r="F241" s="2116"/>
      <c r="G241" s="2116"/>
      <c r="H241" s="2116"/>
      <c r="I241" s="2116"/>
      <c r="J241" s="2116"/>
      <c r="K241" s="2117"/>
      <c r="L241" s="2117"/>
      <c r="M241" s="2116"/>
      <c r="N241" s="2117"/>
      <c r="O241" s="2116"/>
      <c r="P241" s="2116" t="s">
        <v>296</v>
      </c>
      <c r="Q241" s="2116" t="s">
        <v>296</v>
      </c>
      <c r="R241" s="2116" t="s">
        <v>296</v>
      </c>
    </row>
    <row r="242" spans="1:18" s="2265" customFormat="1">
      <c r="A242" s="2116"/>
      <c r="B242" s="2116"/>
      <c r="C242" s="2116"/>
      <c r="D242" s="2116"/>
      <c r="E242" s="2116"/>
      <c r="F242" s="2116"/>
      <c r="G242" s="2116"/>
      <c r="H242" s="2116"/>
      <c r="I242" s="2116"/>
      <c r="J242" s="2116"/>
      <c r="K242" s="2117"/>
      <c r="L242" s="2117"/>
      <c r="M242" s="2116"/>
      <c r="N242" s="2117"/>
      <c r="O242" s="2116"/>
      <c r="P242" s="2116" t="s">
        <v>296</v>
      </c>
      <c r="Q242" s="2116" t="s">
        <v>296</v>
      </c>
      <c r="R242" s="2116" t="s">
        <v>296</v>
      </c>
    </row>
    <row r="243" spans="1:18" s="2265" customFormat="1">
      <c r="A243" s="2116"/>
      <c r="B243" s="2116"/>
      <c r="C243" s="2116"/>
      <c r="D243" s="2116"/>
      <c r="E243" s="2116"/>
      <c r="F243" s="2116"/>
      <c r="G243" s="2116"/>
      <c r="H243" s="2116"/>
      <c r="I243" s="2116"/>
      <c r="J243" s="2116"/>
      <c r="K243" s="2117"/>
      <c r="L243" s="2117"/>
      <c r="M243" s="2116"/>
      <c r="N243" s="2117"/>
      <c r="O243" s="2116"/>
      <c r="P243" s="2116" t="s">
        <v>296</v>
      </c>
      <c r="Q243" s="2116" t="s">
        <v>296</v>
      </c>
      <c r="R243" s="2116" t="s">
        <v>296</v>
      </c>
    </row>
    <row r="244" spans="1:18" s="2265" customFormat="1">
      <c r="A244" s="2116"/>
      <c r="B244" s="2116"/>
      <c r="C244" s="2116"/>
      <c r="D244" s="2116"/>
      <c r="E244" s="2116"/>
      <c r="F244" s="2116"/>
      <c r="G244" s="2116"/>
      <c r="H244" s="2116"/>
      <c r="I244" s="2116"/>
      <c r="J244" s="2116"/>
      <c r="K244" s="2117"/>
      <c r="L244" s="2117"/>
      <c r="M244" s="2116"/>
      <c r="N244" s="2117"/>
      <c r="O244" s="2116"/>
      <c r="P244" s="2116" t="s">
        <v>296</v>
      </c>
      <c r="Q244" s="2116" t="s">
        <v>296</v>
      </c>
      <c r="R244" s="2116" t="s">
        <v>296</v>
      </c>
    </row>
    <row r="245" spans="1:18" s="2265" customFormat="1">
      <c r="A245" s="2116"/>
      <c r="B245" s="2116"/>
      <c r="C245" s="2116"/>
      <c r="D245" s="2116"/>
      <c r="E245" s="2116"/>
      <c r="F245" s="2116"/>
      <c r="G245" s="2116"/>
      <c r="H245" s="2116"/>
      <c r="I245" s="2116"/>
      <c r="J245" s="2116"/>
      <c r="K245" s="2117"/>
      <c r="L245" s="2117"/>
      <c r="M245" s="2116"/>
      <c r="N245" s="2117"/>
      <c r="O245" s="2116"/>
      <c r="P245" s="2116" t="s">
        <v>296</v>
      </c>
      <c r="Q245" s="2116" t="s">
        <v>296</v>
      </c>
      <c r="R245" s="2116" t="s">
        <v>296</v>
      </c>
    </row>
    <row r="246" spans="1:18" s="2265" customFormat="1">
      <c r="A246" s="2116"/>
      <c r="B246" s="2116"/>
      <c r="C246" s="2116"/>
      <c r="D246" s="2116"/>
      <c r="E246" s="2116"/>
      <c r="F246" s="2116"/>
      <c r="G246" s="2116"/>
      <c r="H246" s="2116"/>
      <c r="I246" s="2116"/>
      <c r="J246" s="2116"/>
      <c r="K246" s="2117"/>
      <c r="L246" s="2117"/>
      <c r="M246" s="2116"/>
      <c r="N246" s="2117"/>
      <c r="O246" s="2116"/>
      <c r="P246" s="2116" t="s">
        <v>296</v>
      </c>
      <c r="Q246" s="2116" t="s">
        <v>296</v>
      </c>
      <c r="R246" s="2116" t="s">
        <v>296</v>
      </c>
    </row>
    <row r="247" spans="1:18" s="2265" customFormat="1">
      <c r="A247" s="2116"/>
      <c r="B247" s="2116"/>
      <c r="C247" s="2116"/>
      <c r="D247" s="2116"/>
      <c r="E247" s="2116"/>
      <c r="F247" s="2116"/>
      <c r="G247" s="2116"/>
      <c r="H247" s="2116"/>
      <c r="I247" s="2116"/>
      <c r="J247" s="2116"/>
      <c r="K247" s="2117"/>
      <c r="L247" s="2117"/>
      <c r="M247" s="2116"/>
      <c r="N247" s="2117"/>
      <c r="O247" s="2116"/>
      <c r="P247" s="2116" t="s">
        <v>296</v>
      </c>
      <c r="Q247" s="2116" t="s">
        <v>296</v>
      </c>
      <c r="R247" s="2116" t="s">
        <v>296</v>
      </c>
    </row>
    <row r="248" spans="1:18" s="2265" customFormat="1">
      <c r="A248" s="2116"/>
      <c r="B248" s="2116"/>
      <c r="C248" s="2116"/>
      <c r="D248" s="2116"/>
      <c r="E248" s="2116"/>
      <c r="F248" s="2116"/>
      <c r="G248" s="2116"/>
      <c r="H248" s="2116"/>
      <c r="I248" s="2116"/>
      <c r="J248" s="2116"/>
      <c r="K248" s="2117"/>
      <c r="L248" s="2117"/>
      <c r="M248" s="2116"/>
      <c r="N248" s="2117"/>
      <c r="O248" s="2116"/>
      <c r="P248" s="2116" t="s">
        <v>296</v>
      </c>
      <c r="Q248" s="2116" t="s">
        <v>296</v>
      </c>
      <c r="R248" s="2116" t="s">
        <v>296</v>
      </c>
    </row>
    <row r="249" spans="1:18" s="2265" customFormat="1">
      <c r="A249" s="2116"/>
      <c r="B249" s="2116"/>
      <c r="C249" s="2116"/>
      <c r="D249" s="2116"/>
      <c r="E249" s="2116"/>
      <c r="F249" s="2116"/>
      <c r="G249" s="2116"/>
      <c r="H249" s="2116"/>
      <c r="I249" s="2116"/>
      <c r="J249" s="2116"/>
      <c r="K249" s="2117"/>
      <c r="L249" s="2117"/>
      <c r="M249" s="2116"/>
      <c r="N249" s="2117"/>
      <c r="O249" s="2116"/>
      <c r="P249" s="2116" t="s">
        <v>296</v>
      </c>
      <c r="Q249" s="2116" t="s">
        <v>296</v>
      </c>
      <c r="R249" s="2116" t="s">
        <v>296</v>
      </c>
    </row>
    <row r="250" spans="1:18" s="2265" customFormat="1">
      <c r="A250" s="2116"/>
      <c r="B250" s="2116"/>
      <c r="C250" s="2116"/>
      <c r="D250" s="2116"/>
      <c r="E250" s="2116"/>
      <c r="F250" s="2116"/>
      <c r="G250" s="2116"/>
      <c r="H250" s="2116"/>
      <c r="I250" s="2116"/>
      <c r="J250" s="2116"/>
      <c r="K250" s="2117"/>
      <c r="L250" s="2117"/>
      <c r="M250" s="2116"/>
      <c r="N250" s="2117"/>
      <c r="O250" s="2116"/>
      <c r="P250" s="2116" t="s">
        <v>296</v>
      </c>
      <c r="Q250" s="2116" t="s">
        <v>296</v>
      </c>
      <c r="R250" s="2116" t="s">
        <v>296</v>
      </c>
    </row>
    <row r="251" spans="1:18" s="2265" customFormat="1">
      <c r="A251" s="2116"/>
      <c r="B251" s="2116"/>
      <c r="C251" s="2116"/>
      <c r="D251" s="2116"/>
      <c r="E251" s="2116"/>
      <c r="F251" s="2116"/>
      <c r="G251" s="2116"/>
      <c r="H251" s="2116"/>
      <c r="I251" s="2116"/>
      <c r="J251" s="2116"/>
      <c r="K251" s="2117"/>
      <c r="L251" s="2117"/>
      <c r="M251" s="2116"/>
      <c r="N251" s="2117"/>
      <c r="O251" s="2116"/>
      <c r="P251" s="2116" t="s">
        <v>296</v>
      </c>
      <c r="Q251" s="2116" t="s">
        <v>296</v>
      </c>
      <c r="R251" s="2116" t="s">
        <v>296</v>
      </c>
    </row>
    <row r="252" spans="1:18" s="2265" customFormat="1">
      <c r="A252" s="2116"/>
      <c r="B252" s="2116"/>
      <c r="C252" s="2116"/>
      <c r="D252" s="2116"/>
      <c r="E252" s="2116"/>
      <c r="F252" s="2116"/>
      <c r="G252" s="2116"/>
      <c r="H252" s="2116"/>
      <c r="I252" s="2116"/>
      <c r="J252" s="2116"/>
      <c r="K252" s="2117"/>
      <c r="L252" s="2117"/>
      <c r="M252" s="2116"/>
      <c r="N252" s="2117"/>
      <c r="O252" s="2116"/>
      <c r="P252" s="2116" t="s">
        <v>296</v>
      </c>
      <c r="Q252" s="2116" t="s">
        <v>296</v>
      </c>
      <c r="R252" s="2116" t="s">
        <v>296</v>
      </c>
    </row>
    <row r="253" spans="1:18" s="2265" customFormat="1">
      <c r="A253" s="2116"/>
      <c r="B253" s="2116"/>
      <c r="C253" s="2116"/>
      <c r="D253" s="2116"/>
      <c r="E253" s="2116"/>
      <c r="F253" s="2116"/>
      <c r="G253" s="2116"/>
      <c r="H253" s="2116"/>
      <c r="I253" s="2116"/>
      <c r="J253" s="2116"/>
      <c r="K253" s="2117"/>
      <c r="L253" s="2117"/>
      <c r="M253" s="2116"/>
      <c r="N253" s="2117"/>
      <c r="O253" s="2116"/>
      <c r="P253" s="2116" t="s">
        <v>296</v>
      </c>
      <c r="Q253" s="2116" t="s">
        <v>296</v>
      </c>
      <c r="R253" s="2116" t="s">
        <v>296</v>
      </c>
    </row>
    <row r="254" spans="1:18" s="2265" customFormat="1">
      <c r="A254" s="2116"/>
      <c r="B254" s="2116"/>
      <c r="C254" s="2116"/>
      <c r="D254" s="2116"/>
      <c r="E254" s="2116"/>
      <c r="F254" s="2116"/>
      <c r="G254" s="2116"/>
      <c r="H254" s="2116"/>
      <c r="I254" s="2116"/>
      <c r="J254" s="2116"/>
      <c r="K254" s="2117"/>
      <c r="L254" s="2117"/>
      <c r="M254" s="2116"/>
      <c r="N254" s="2117"/>
      <c r="O254" s="2116"/>
      <c r="P254" s="2116" t="s">
        <v>296</v>
      </c>
      <c r="Q254" s="2116" t="s">
        <v>296</v>
      </c>
      <c r="R254" s="2116" t="s">
        <v>296</v>
      </c>
    </row>
    <row r="255" spans="1:18" s="2265" customFormat="1">
      <c r="A255" s="2116"/>
      <c r="B255" s="2116"/>
      <c r="C255" s="2116"/>
      <c r="D255" s="2116"/>
      <c r="E255" s="2116"/>
      <c r="F255" s="2116"/>
      <c r="G255" s="2116"/>
      <c r="H255" s="2116"/>
      <c r="I255" s="2116"/>
      <c r="J255" s="2116"/>
      <c r="K255" s="2117"/>
      <c r="L255" s="2117"/>
      <c r="M255" s="2116"/>
      <c r="N255" s="2117"/>
      <c r="O255" s="2116"/>
      <c r="P255" s="2116" t="s">
        <v>296</v>
      </c>
      <c r="Q255" s="2116" t="s">
        <v>296</v>
      </c>
      <c r="R255" s="2116" t="s">
        <v>296</v>
      </c>
    </row>
    <row r="256" spans="1:18" s="2265" customFormat="1">
      <c r="A256" s="2116"/>
      <c r="B256" s="2116"/>
      <c r="C256" s="2116"/>
      <c r="D256" s="2116"/>
      <c r="E256" s="2116"/>
      <c r="F256" s="2116"/>
      <c r="G256" s="2116"/>
      <c r="H256" s="2116"/>
      <c r="I256" s="2116"/>
      <c r="J256" s="2116"/>
      <c r="K256" s="2117"/>
      <c r="L256" s="2117"/>
      <c r="M256" s="2116"/>
      <c r="N256" s="2117"/>
      <c r="O256" s="2116"/>
      <c r="P256" s="2116" t="s">
        <v>296</v>
      </c>
      <c r="Q256" s="2116" t="s">
        <v>296</v>
      </c>
      <c r="R256" s="2116" t="s">
        <v>296</v>
      </c>
    </row>
    <row r="257" spans="1:18" s="2265" customFormat="1">
      <c r="A257" s="2116"/>
      <c r="B257" s="2116"/>
      <c r="C257" s="2116"/>
      <c r="D257" s="2116"/>
      <c r="E257" s="2116"/>
      <c r="F257" s="2116"/>
      <c r="G257" s="2116"/>
      <c r="H257" s="2116"/>
      <c r="I257" s="2116"/>
      <c r="J257" s="2116"/>
      <c r="K257" s="2117"/>
      <c r="L257" s="2117"/>
      <c r="M257" s="2116"/>
      <c r="N257" s="2117"/>
      <c r="O257" s="2116"/>
      <c r="P257" s="2116" t="s">
        <v>296</v>
      </c>
      <c r="Q257" s="2116" t="s">
        <v>296</v>
      </c>
      <c r="R257" s="2116" t="s">
        <v>296</v>
      </c>
    </row>
    <row r="258" spans="1:18" s="2265" customFormat="1">
      <c r="A258" s="2116"/>
      <c r="B258" s="2116"/>
      <c r="C258" s="2116"/>
      <c r="D258" s="2116"/>
      <c r="E258" s="2116"/>
      <c r="F258" s="2116"/>
      <c r="G258" s="2116"/>
      <c r="H258" s="2116"/>
      <c r="I258" s="2116"/>
      <c r="J258" s="2116"/>
      <c r="K258" s="2117"/>
      <c r="L258" s="2117"/>
      <c r="M258" s="2116"/>
      <c r="N258" s="2117"/>
      <c r="O258" s="2116"/>
      <c r="P258" s="2116" t="s">
        <v>296</v>
      </c>
      <c r="Q258" s="2116" t="s">
        <v>296</v>
      </c>
      <c r="R258" s="2116" t="s">
        <v>296</v>
      </c>
    </row>
    <row r="259" spans="1:18" s="2265" customFormat="1">
      <c r="A259" s="2116"/>
      <c r="B259" s="2116"/>
      <c r="C259" s="2116"/>
      <c r="D259" s="2116"/>
      <c r="E259" s="2116"/>
      <c r="F259" s="2116"/>
      <c r="G259" s="2116"/>
      <c r="H259" s="2116"/>
      <c r="I259" s="2116"/>
      <c r="J259" s="2116"/>
      <c r="K259" s="2117"/>
      <c r="L259" s="2117"/>
      <c r="M259" s="2116"/>
      <c r="N259" s="2117"/>
      <c r="O259" s="2116"/>
      <c r="P259" s="2116" t="s">
        <v>296</v>
      </c>
      <c r="Q259" s="2116" t="s">
        <v>296</v>
      </c>
      <c r="R259" s="2116" t="s">
        <v>296</v>
      </c>
    </row>
    <row r="260" spans="1:18" s="2265" customFormat="1">
      <c r="A260" s="2116"/>
      <c r="B260" s="2116"/>
      <c r="C260" s="2116"/>
      <c r="D260" s="2116"/>
      <c r="E260" s="2116"/>
      <c r="F260" s="2116"/>
      <c r="G260" s="2116"/>
      <c r="H260" s="2116"/>
      <c r="I260" s="2116"/>
      <c r="J260" s="2116"/>
      <c r="K260" s="2117"/>
      <c r="L260" s="2117"/>
      <c r="M260" s="2116"/>
      <c r="N260" s="2117"/>
      <c r="O260" s="2116"/>
      <c r="P260" s="2116" t="s">
        <v>296</v>
      </c>
      <c r="Q260" s="2116" t="s">
        <v>296</v>
      </c>
      <c r="R260" s="2116" t="s">
        <v>296</v>
      </c>
    </row>
    <row r="261" spans="1:18" s="2265" customFormat="1">
      <c r="A261" s="2116"/>
      <c r="B261" s="2116"/>
      <c r="C261" s="2116"/>
      <c r="D261" s="2116"/>
      <c r="E261" s="2116"/>
      <c r="F261" s="2116"/>
      <c r="G261" s="2116"/>
      <c r="H261" s="2116"/>
      <c r="I261" s="2116"/>
      <c r="J261" s="2116"/>
      <c r="K261" s="2117"/>
      <c r="L261" s="2117"/>
      <c r="M261" s="2116"/>
      <c r="N261" s="2117"/>
      <c r="O261" s="2116"/>
      <c r="P261" s="2116" t="s">
        <v>296</v>
      </c>
      <c r="Q261" s="2116" t="s">
        <v>296</v>
      </c>
      <c r="R261" s="2116" t="s">
        <v>296</v>
      </c>
    </row>
    <row r="262" spans="1:18" s="2265" customFormat="1">
      <c r="A262" s="2116"/>
      <c r="B262" s="2116"/>
      <c r="C262" s="2116"/>
      <c r="D262" s="2116"/>
      <c r="E262" s="2116"/>
      <c r="F262" s="2116"/>
      <c r="G262" s="2116"/>
      <c r="H262" s="2116"/>
      <c r="I262" s="2116"/>
      <c r="J262" s="2116"/>
      <c r="K262" s="2117"/>
      <c r="L262" s="2117"/>
      <c r="M262" s="2116"/>
      <c r="N262" s="2117"/>
      <c r="O262" s="2116"/>
      <c r="P262" s="2116" t="s">
        <v>296</v>
      </c>
      <c r="Q262" s="2116" t="s">
        <v>296</v>
      </c>
      <c r="R262" s="2116" t="s">
        <v>296</v>
      </c>
    </row>
    <row r="263" spans="1:18" s="2265" customFormat="1">
      <c r="A263" s="2116"/>
      <c r="B263" s="2116"/>
      <c r="C263" s="2116"/>
      <c r="D263" s="2116"/>
      <c r="E263" s="2116"/>
      <c r="F263" s="2116"/>
      <c r="G263" s="2116"/>
      <c r="H263" s="2116"/>
      <c r="I263" s="2116"/>
      <c r="J263" s="2116"/>
      <c r="K263" s="2117"/>
      <c r="L263" s="2117"/>
      <c r="M263" s="2116"/>
      <c r="N263" s="2117"/>
      <c r="O263" s="2116"/>
      <c r="P263" s="2116" t="s">
        <v>296</v>
      </c>
      <c r="Q263" s="2116" t="s">
        <v>296</v>
      </c>
      <c r="R263" s="2116" t="s">
        <v>296</v>
      </c>
    </row>
    <row r="264" spans="1:18" s="2265" customFormat="1">
      <c r="A264" s="2116"/>
      <c r="B264" s="2116"/>
      <c r="C264" s="2116"/>
      <c r="D264" s="2116"/>
      <c r="E264" s="2116"/>
      <c r="F264" s="2116"/>
      <c r="G264" s="2116"/>
      <c r="H264" s="2116"/>
      <c r="I264" s="2116"/>
      <c r="J264" s="2116"/>
      <c r="K264" s="2117"/>
      <c r="L264" s="2117"/>
      <c r="M264" s="2116"/>
      <c r="N264" s="2117"/>
      <c r="O264" s="2116"/>
      <c r="P264" s="2116" t="s">
        <v>296</v>
      </c>
      <c r="Q264" s="2116" t="s">
        <v>296</v>
      </c>
      <c r="R264" s="2116" t="s">
        <v>296</v>
      </c>
    </row>
    <row r="265" spans="1:18" s="2265" customFormat="1">
      <c r="A265" s="2116"/>
      <c r="B265" s="2116"/>
      <c r="C265" s="2116"/>
      <c r="D265" s="2116"/>
      <c r="E265" s="2116"/>
      <c r="F265" s="2116"/>
      <c r="G265" s="2116"/>
      <c r="H265" s="2116"/>
      <c r="I265" s="2116"/>
      <c r="J265" s="2116"/>
      <c r="K265" s="2117"/>
      <c r="L265" s="2117"/>
      <c r="M265" s="2116"/>
      <c r="N265" s="2117"/>
      <c r="O265" s="2116"/>
      <c r="P265" s="2116" t="s">
        <v>296</v>
      </c>
      <c r="Q265" s="2116" t="s">
        <v>296</v>
      </c>
      <c r="R265" s="2116" t="s">
        <v>296</v>
      </c>
    </row>
    <row r="266" spans="1:18" s="2265" customFormat="1">
      <c r="A266" s="2116"/>
      <c r="B266" s="2116"/>
      <c r="C266" s="2116"/>
      <c r="D266" s="2116"/>
      <c r="E266" s="2116"/>
      <c r="F266" s="2116"/>
      <c r="G266" s="2116"/>
      <c r="H266" s="2116"/>
      <c r="I266" s="2116"/>
      <c r="J266" s="2116"/>
      <c r="K266" s="2117"/>
      <c r="L266" s="2117"/>
      <c r="M266" s="2116"/>
      <c r="N266" s="2117"/>
      <c r="O266" s="2116"/>
      <c r="P266" s="2116" t="s">
        <v>296</v>
      </c>
      <c r="Q266" s="2116" t="s">
        <v>296</v>
      </c>
      <c r="R266" s="2116" t="s">
        <v>296</v>
      </c>
    </row>
    <row r="267" spans="1:18" s="2265" customFormat="1">
      <c r="A267" s="2116"/>
      <c r="B267" s="2116"/>
      <c r="C267" s="2116"/>
      <c r="D267" s="2116"/>
      <c r="E267" s="2116"/>
      <c r="F267" s="2116"/>
      <c r="G267" s="2116"/>
      <c r="H267" s="2116"/>
      <c r="I267" s="2116"/>
      <c r="J267" s="2116"/>
      <c r="K267" s="2117"/>
      <c r="L267" s="2117"/>
      <c r="M267" s="2116"/>
      <c r="N267" s="2117"/>
      <c r="O267" s="2116"/>
      <c r="P267" s="2116" t="s">
        <v>296</v>
      </c>
      <c r="Q267" s="2116" t="s">
        <v>296</v>
      </c>
      <c r="R267" s="2116" t="s">
        <v>296</v>
      </c>
    </row>
    <row r="268" spans="1:18" s="2265" customFormat="1">
      <c r="A268" s="2116"/>
      <c r="B268" s="2116"/>
      <c r="C268" s="2116"/>
      <c r="D268" s="2116"/>
      <c r="E268" s="2116"/>
      <c r="F268" s="2116"/>
      <c r="G268" s="2116"/>
      <c r="H268" s="2116"/>
      <c r="I268" s="2116"/>
      <c r="J268" s="2116"/>
      <c r="K268" s="2117"/>
      <c r="L268" s="2117"/>
      <c r="M268" s="2116"/>
      <c r="N268" s="2117"/>
      <c r="O268" s="2116"/>
      <c r="P268" s="2116" t="s">
        <v>296</v>
      </c>
      <c r="Q268" s="2116" t="s">
        <v>296</v>
      </c>
      <c r="R268" s="2116" t="s">
        <v>296</v>
      </c>
    </row>
    <row r="269" spans="1:18" s="2265" customFormat="1">
      <c r="A269" s="2116"/>
      <c r="B269" s="2116"/>
      <c r="C269" s="2116"/>
      <c r="D269" s="2116"/>
      <c r="E269" s="2116"/>
      <c r="F269" s="2116"/>
      <c r="G269" s="2116"/>
      <c r="H269" s="2116"/>
      <c r="I269" s="2116"/>
      <c r="J269" s="2116"/>
      <c r="K269" s="2117"/>
      <c r="L269" s="2117"/>
      <c r="M269" s="2116"/>
      <c r="N269" s="2117"/>
      <c r="O269" s="2116"/>
      <c r="P269" s="2116" t="s">
        <v>296</v>
      </c>
      <c r="Q269" s="2116" t="s">
        <v>296</v>
      </c>
      <c r="R269" s="2116" t="s">
        <v>296</v>
      </c>
    </row>
    <row r="270" spans="1:18" s="2265" customFormat="1">
      <c r="A270" s="2116"/>
      <c r="B270" s="2116"/>
      <c r="C270" s="2116"/>
      <c r="D270" s="2116"/>
      <c r="E270" s="2116"/>
      <c r="F270" s="2116"/>
      <c r="G270" s="2116"/>
      <c r="H270" s="2116"/>
      <c r="I270" s="2116"/>
      <c r="J270" s="2116"/>
      <c r="K270" s="2117"/>
      <c r="L270" s="2117"/>
      <c r="M270" s="2116"/>
      <c r="N270" s="2117"/>
      <c r="O270" s="2116"/>
      <c r="P270" s="2116" t="s">
        <v>296</v>
      </c>
      <c r="Q270" s="2116" t="s">
        <v>296</v>
      </c>
      <c r="R270" s="2116" t="s">
        <v>296</v>
      </c>
    </row>
    <row r="271" spans="1:18" s="2265" customFormat="1">
      <c r="A271" s="2116"/>
      <c r="B271" s="2116"/>
      <c r="C271" s="2116"/>
      <c r="D271" s="2116"/>
      <c r="E271" s="2116"/>
      <c r="F271" s="2116"/>
      <c r="G271" s="2116"/>
      <c r="H271" s="2116"/>
      <c r="I271" s="2116"/>
      <c r="J271" s="2116"/>
      <c r="K271" s="2117"/>
      <c r="L271" s="2117"/>
      <c r="M271" s="2116"/>
      <c r="N271" s="2117"/>
      <c r="O271" s="2116"/>
      <c r="P271" s="2116" t="s">
        <v>296</v>
      </c>
      <c r="Q271" s="2116" t="s">
        <v>296</v>
      </c>
      <c r="R271" s="2116" t="s">
        <v>296</v>
      </c>
    </row>
    <row r="272" spans="1:18" s="2265" customFormat="1">
      <c r="A272" s="2116"/>
      <c r="B272" s="2116"/>
      <c r="C272" s="2116"/>
      <c r="D272" s="2116"/>
      <c r="E272" s="2116"/>
      <c r="F272" s="2116"/>
      <c r="G272" s="2116"/>
      <c r="H272" s="2116"/>
      <c r="I272" s="2116"/>
      <c r="J272" s="2116"/>
      <c r="K272" s="2117"/>
      <c r="L272" s="2117"/>
      <c r="M272" s="2116"/>
      <c r="N272" s="2117"/>
      <c r="O272" s="2116"/>
      <c r="P272" s="2116" t="s">
        <v>296</v>
      </c>
      <c r="Q272" s="2116" t="s">
        <v>296</v>
      </c>
      <c r="R272" s="2116" t="s">
        <v>296</v>
      </c>
    </row>
    <row r="273" spans="1:18" s="2265" customFormat="1">
      <c r="A273" s="2116"/>
      <c r="B273" s="2116"/>
      <c r="C273" s="2116"/>
      <c r="D273" s="2116"/>
      <c r="E273" s="2116"/>
      <c r="F273" s="2116"/>
      <c r="G273" s="2116"/>
      <c r="H273" s="2116"/>
      <c r="I273" s="2116"/>
      <c r="J273" s="2116"/>
      <c r="K273" s="2117"/>
      <c r="L273" s="2117"/>
      <c r="M273" s="2116"/>
      <c r="N273" s="2117"/>
      <c r="O273" s="2116"/>
      <c r="P273" s="2116" t="s">
        <v>296</v>
      </c>
      <c r="Q273" s="2116" t="s">
        <v>296</v>
      </c>
      <c r="R273" s="2116" t="s">
        <v>296</v>
      </c>
    </row>
    <row r="274" spans="1:18" s="2265" customFormat="1">
      <c r="A274" s="2116"/>
      <c r="B274" s="2116"/>
      <c r="C274" s="2116"/>
      <c r="D274" s="2116"/>
      <c r="E274" s="2116"/>
      <c r="F274" s="2116"/>
      <c r="G274" s="2116"/>
      <c r="H274" s="2116"/>
      <c r="I274" s="2116"/>
      <c r="J274" s="2116"/>
      <c r="K274" s="2117"/>
      <c r="L274" s="2117"/>
      <c r="M274" s="2116"/>
      <c r="N274" s="2117"/>
      <c r="O274" s="2116"/>
      <c r="P274" s="2116" t="s">
        <v>296</v>
      </c>
      <c r="Q274" s="2116" t="s">
        <v>296</v>
      </c>
      <c r="R274" s="2116" t="s">
        <v>296</v>
      </c>
    </row>
    <row r="275" spans="1:18" s="2265" customFormat="1">
      <c r="A275" s="2116"/>
      <c r="B275" s="2116"/>
      <c r="C275" s="2116"/>
      <c r="D275" s="2116"/>
      <c r="E275" s="2116"/>
      <c r="F275" s="2116"/>
      <c r="G275" s="2116"/>
      <c r="H275" s="2116"/>
      <c r="I275" s="2116"/>
      <c r="J275" s="2116"/>
      <c r="K275" s="2117"/>
      <c r="L275" s="2117"/>
      <c r="M275" s="2116"/>
      <c r="N275" s="2117"/>
      <c r="O275" s="2116"/>
      <c r="P275" s="2116" t="s">
        <v>296</v>
      </c>
      <c r="Q275" s="2116" t="s">
        <v>296</v>
      </c>
      <c r="R275" s="2116" t="s">
        <v>296</v>
      </c>
    </row>
    <row r="276" spans="1:18" s="2265" customFormat="1">
      <c r="A276" s="2116"/>
      <c r="B276" s="2116"/>
      <c r="C276" s="2116"/>
      <c r="D276" s="2116"/>
      <c r="E276" s="2116"/>
      <c r="F276" s="2116"/>
      <c r="G276" s="2116"/>
      <c r="H276" s="2116"/>
      <c r="I276" s="2116"/>
      <c r="J276" s="2116"/>
      <c r="K276" s="2117"/>
      <c r="L276" s="2117"/>
      <c r="M276" s="2116"/>
      <c r="N276" s="2117"/>
      <c r="O276" s="2116"/>
      <c r="P276" s="2116" t="s">
        <v>296</v>
      </c>
      <c r="Q276" s="2116" t="s">
        <v>296</v>
      </c>
      <c r="R276" s="2116" t="s">
        <v>296</v>
      </c>
    </row>
    <row r="277" spans="1:18" s="2265" customFormat="1">
      <c r="A277" s="2116"/>
      <c r="B277" s="2116"/>
      <c r="C277" s="2116"/>
      <c r="D277" s="2116"/>
      <c r="E277" s="2116"/>
      <c r="F277" s="2116"/>
      <c r="G277" s="2116"/>
      <c r="H277" s="2116"/>
      <c r="I277" s="2116"/>
      <c r="J277" s="2116"/>
      <c r="K277" s="2117"/>
      <c r="L277" s="2117"/>
      <c r="M277" s="2116"/>
      <c r="N277" s="2117"/>
      <c r="O277" s="2116"/>
      <c r="P277" s="2116" t="s">
        <v>296</v>
      </c>
      <c r="Q277" s="2116" t="s">
        <v>296</v>
      </c>
      <c r="R277" s="2116" t="s">
        <v>296</v>
      </c>
    </row>
    <row r="278" spans="1:18" s="2265" customFormat="1">
      <c r="A278" s="2116"/>
      <c r="B278" s="2116"/>
      <c r="C278" s="2116"/>
      <c r="D278" s="2116"/>
      <c r="E278" s="2116"/>
      <c r="F278" s="2116"/>
      <c r="G278" s="2116"/>
      <c r="H278" s="2116"/>
      <c r="I278" s="2116"/>
      <c r="J278" s="2116"/>
      <c r="K278" s="2117"/>
      <c r="L278" s="2117"/>
      <c r="M278" s="2116"/>
      <c r="N278" s="2117"/>
      <c r="O278" s="2116"/>
      <c r="P278" s="2116" t="s">
        <v>296</v>
      </c>
      <c r="Q278" s="2116" t="s">
        <v>296</v>
      </c>
      <c r="R278" s="2116" t="s">
        <v>296</v>
      </c>
    </row>
    <row r="279" spans="1:18" s="2265" customFormat="1">
      <c r="A279" s="2116"/>
      <c r="B279" s="2116"/>
      <c r="C279" s="2116"/>
      <c r="D279" s="2116"/>
      <c r="E279" s="2116"/>
      <c r="F279" s="2116"/>
      <c r="G279" s="2116"/>
      <c r="H279" s="2116"/>
      <c r="I279" s="2116"/>
      <c r="J279" s="2116"/>
      <c r="K279" s="2117"/>
      <c r="L279" s="2117"/>
      <c r="M279" s="2116"/>
      <c r="N279" s="2117"/>
      <c r="O279" s="2116"/>
      <c r="P279" s="2116" t="s">
        <v>296</v>
      </c>
      <c r="Q279" s="2116" t="s">
        <v>296</v>
      </c>
      <c r="R279" s="2116" t="s">
        <v>296</v>
      </c>
    </row>
    <row r="280" spans="1:18" s="2265" customFormat="1">
      <c r="A280" s="2116"/>
      <c r="B280" s="2116"/>
      <c r="C280" s="2116"/>
      <c r="D280" s="2116"/>
      <c r="E280" s="2116"/>
      <c r="F280" s="2116"/>
      <c r="G280" s="2116"/>
      <c r="H280" s="2116"/>
      <c r="I280" s="2116"/>
      <c r="J280" s="2116"/>
      <c r="K280" s="2117"/>
      <c r="L280" s="2117"/>
      <c r="M280" s="2116"/>
      <c r="N280" s="2117"/>
      <c r="O280" s="2116"/>
      <c r="P280" s="2116" t="s">
        <v>296</v>
      </c>
      <c r="Q280" s="2116" t="s">
        <v>296</v>
      </c>
      <c r="R280" s="2116" t="s">
        <v>296</v>
      </c>
    </row>
    <row r="281" spans="1:18" s="2265" customFormat="1">
      <c r="A281" s="2116"/>
      <c r="B281" s="2116"/>
      <c r="C281" s="2116"/>
      <c r="D281" s="2116"/>
      <c r="E281" s="2116"/>
      <c r="F281" s="2116"/>
      <c r="G281" s="2116"/>
      <c r="H281" s="2116"/>
      <c r="I281" s="2116"/>
      <c r="J281" s="2116"/>
      <c r="K281" s="2117"/>
      <c r="L281" s="2117"/>
      <c r="M281" s="2116"/>
      <c r="N281" s="2117"/>
      <c r="O281" s="2116"/>
      <c r="P281" s="2116" t="s">
        <v>296</v>
      </c>
      <c r="Q281" s="2116" t="s">
        <v>296</v>
      </c>
      <c r="R281" s="2116" t="s">
        <v>296</v>
      </c>
    </row>
    <row r="282" spans="1:18" s="2265" customFormat="1">
      <c r="A282" s="2116"/>
      <c r="B282" s="2116"/>
      <c r="C282" s="2116"/>
      <c r="D282" s="2116"/>
      <c r="E282" s="2116"/>
      <c r="F282" s="2116"/>
      <c r="G282" s="2116"/>
      <c r="H282" s="2116"/>
      <c r="I282" s="2116"/>
      <c r="J282" s="2116"/>
      <c r="K282" s="2117"/>
      <c r="L282" s="2117"/>
      <c r="M282" s="2116"/>
      <c r="N282" s="2117"/>
      <c r="O282" s="2116"/>
      <c r="P282" s="2116" t="s">
        <v>296</v>
      </c>
      <c r="Q282" s="2116" t="s">
        <v>296</v>
      </c>
      <c r="R282" s="2116" t="s">
        <v>296</v>
      </c>
    </row>
    <row r="283" spans="1:18" s="2265" customFormat="1">
      <c r="A283" s="2116"/>
      <c r="B283" s="2116"/>
      <c r="C283" s="2116"/>
      <c r="D283" s="2116"/>
      <c r="E283" s="2116"/>
      <c r="F283" s="2116"/>
      <c r="G283" s="2116"/>
      <c r="H283" s="2116"/>
      <c r="I283" s="2116"/>
      <c r="J283" s="2116"/>
      <c r="K283" s="2117"/>
      <c r="L283" s="2117"/>
      <c r="M283" s="2116"/>
      <c r="N283" s="2117"/>
      <c r="O283" s="2116"/>
      <c r="P283" s="2116" t="s">
        <v>296</v>
      </c>
      <c r="Q283" s="2116" t="s">
        <v>296</v>
      </c>
      <c r="R283" s="2116" t="s">
        <v>296</v>
      </c>
    </row>
    <row r="284" spans="1:18" s="2265" customFormat="1">
      <c r="A284" s="2116"/>
      <c r="B284" s="2116"/>
      <c r="C284" s="2116"/>
      <c r="D284" s="2116"/>
      <c r="E284" s="2116"/>
      <c r="F284" s="2116"/>
      <c r="G284" s="2116"/>
      <c r="H284" s="2116"/>
      <c r="I284" s="2116"/>
      <c r="J284" s="2116"/>
      <c r="K284" s="2117"/>
      <c r="L284" s="2117"/>
      <c r="M284" s="2116"/>
      <c r="N284" s="2117"/>
      <c r="O284" s="2116"/>
      <c r="P284" s="2116" t="s">
        <v>296</v>
      </c>
      <c r="Q284" s="2116" t="s">
        <v>296</v>
      </c>
      <c r="R284" s="2116" t="s">
        <v>296</v>
      </c>
    </row>
    <row r="285" spans="1:18" s="2265" customFormat="1">
      <c r="A285" s="2116"/>
      <c r="B285" s="2116"/>
      <c r="C285" s="2116"/>
      <c r="D285" s="2116"/>
      <c r="E285" s="2116"/>
      <c r="F285" s="2116"/>
      <c r="G285" s="2116"/>
      <c r="H285" s="2116"/>
      <c r="I285" s="2116"/>
      <c r="J285" s="2116"/>
      <c r="K285" s="2117"/>
      <c r="L285" s="2117"/>
      <c r="M285" s="2116"/>
      <c r="N285" s="2117"/>
      <c r="O285" s="2116"/>
      <c r="P285" s="2116" t="s">
        <v>296</v>
      </c>
      <c r="Q285" s="2116" t="s">
        <v>296</v>
      </c>
      <c r="R285" s="2116" t="s">
        <v>296</v>
      </c>
    </row>
    <row r="286" spans="1:18" s="2265" customFormat="1">
      <c r="A286" s="2116"/>
      <c r="B286" s="2116"/>
      <c r="C286" s="2116"/>
      <c r="D286" s="2116"/>
      <c r="E286" s="2116"/>
      <c r="F286" s="2116"/>
      <c r="G286" s="2116"/>
      <c r="H286" s="2116"/>
      <c r="I286" s="2116"/>
      <c r="J286" s="2116"/>
      <c r="K286" s="2117"/>
      <c r="L286" s="2117"/>
      <c r="M286" s="2116"/>
      <c r="N286" s="2117"/>
      <c r="O286" s="2116"/>
      <c r="P286" s="2116" t="s">
        <v>296</v>
      </c>
      <c r="Q286" s="2116" t="s">
        <v>296</v>
      </c>
      <c r="R286" s="2116" t="s">
        <v>296</v>
      </c>
    </row>
    <row r="287" spans="1:18" s="2265" customFormat="1">
      <c r="A287" s="2116"/>
      <c r="B287" s="2116"/>
      <c r="C287" s="2116"/>
      <c r="D287" s="2116"/>
      <c r="E287" s="2116"/>
      <c r="F287" s="2116"/>
      <c r="G287" s="2116"/>
      <c r="H287" s="2116"/>
      <c r="I287" s="2116"/>
      <c r="J287" s="2116"/>
      <c r="K287" s="2117"/>
      <c r="L287" s="2117"/>
      <c r="M287" s="2116"/>
      <c r="N287" s="2117"/>
      <c r="O287" s="2116"/>
      <c r="P287" s="2116" t="s">
        <v>296</v>
      </c>
      <c r="Q287" s="2116" t="s">
        <v>296</v>
      </c>
      <c r="R287" s="2116" t="s">
        <v>296</v>
      </c>
    </row>
    <row r="288" spans="1:18" s="2265" customFormat="1">
      <c r="A288" s="2116"/>
      <c r="B288" s="2116"/>
      <c r="C288" s="2116"/>
      <c r="D288" s="2116"/>
      <c r="E288" s="2116"/>
      <c r="F288" s="2116"/>
      <c r="G288" s="2116"/>
      <c r="H288" s="2116"/>
      <c r="I288" s="2116"/>
      <c r="J288" s="2116"/>
      <c r="K288" s="2117"/>
      <c r="L288" s="2117"/>
      <c r="M288" s="2116"/>
      <c r="N288" s="2117"/>
      <c r="O288" s="2116"/>
      <c r="P288" s="2116" t="s">
        <v>296</v>
      </c>
      <c r="Q288" s="2116" t="s">
        <v>296</v>
      </c>
      <c r="R288" s="2116" t="s">
        <v>296</v>
      </c>
    </row>
    <row r="289" spans="1:18" s="2265" customFormat="1">
      <c r="A289" s="2116"/>
      <c r="B289" s="2116"/>
      <c r="C289" s="2116"/>
      <c r="D289" s="2116"/>
      <c r="E289" s="2116"/>
      <c r="F289" s="2116"/>
      <c r="G289" s="2116"/>
      <c r="H289" s="2116"/>
      <c r="I289" s="2116"/>
      <c r="J289" s="2116"/>
      <c r="K289" s="2117"/>
      <c r="L289" s="2117"/>
      <c r="M289" s="2116"/>
      <c r="N289" s="2117"/>
      <c r="O289" s="2116"/>
      <c r="P289" s="2116" t="s">
        <v>296</v>
      </c>
      <c r="Q289" s="2116" t="s">
        <v>296</v>
      </c>
      <c r="R289" s="2116" t="s">
        <v>296</v>
      </c>
    </row>
    <row r="290" spans="1:18" s="2265" customFormat="1">
      <c r="A290" s="2116"/>
      <c r="B290" s="2116"/>
      <c r="C290" s="2116"/>
      <c r="D290" s="2116"/>
      <c r="E290" s="2116"/>
      <c r="F290" s="2116"/>
      <c r="G290" s="2116"/>
      <c r="H290" s="2116"/>
      <c r="I290" s="2116"/>
      <c r="J290" s="2116"/>
      <c r="K290" s="2117"/>
      <c r="L290" s="2117"/>
      <c r="M290" s="2116"/>
      <c r="N290" s="2117"/>
      <c r="O290" s="2116"/>
      <c r="P290" s="2116" t="s">
        <v>296</v>
      </c>
      <c r="Q290" s="2116" t="s">
        <v>296</v>
      </c>
      <c r="R290" s="2116" t="s">
        <v>296</v>
      </c>
    </row>
    <row r="291" spans="1:18" s="2265" customFormat="1">
      <c r="A291" s="2116"/>
      <c r="B291" s="2116"/>
      <c r="C291" s="2116"/>
      <c r="D291" s="2116"/>
      <c r="E291" s="2116"/>
      <c r="F291" s="2116"/>
      <c r="G291" s="2116"/>
      <c r="H291" s="2116"/>
      <c r="I291" s="2116"/>
      <c r="J291" s="2116"/>
      <c r="K291" s="2117"/>
      <c r="L291" s="2117"/>
      <c r="M291" s="2116"/>
      <c r="N291" s="2117"/>
      <c r="O291" s="2116"/>
      <c r="P291" s="2116" t="s">
        <v>296</v>
      </c>
      <c r="Q291" s="2116" t="s">
        <v>296</v>
      </c>
      <c r="R291" s="2116" t="s">
        <v>296</v>
      </c>
    </row>
    <row r="292" spans="1:18" s="2265" customFormat="1">
      <c r="A292" s="2116"/>
      <c r="B292" s="2116"/>
      <c r="C292" s="2116"/>
      <c r="D292" s="2116"/>
      <c r="E292" s="2116"/>
      <c r="F292" s="2116"/>
      <c r="G292" s="2116"/>
      <c r="H292" s="2116"/>
      <c r="I292" s="2116"/>
      <c r="J292" s="2116"/>
      <c r="K292" s="2117"/>
      <c r="L292" s="2117"/>
      <c r="M292" s="2116"/>
      <c r="N292" s="2117"/>
      <c r="O292" s="2116"/>
      <c r="P292" s="2116" t="s">
        <v>296</v>
      </c>
      <c r="Q292" s="2116" t="s">
        <v>296</v>
      </c>
      <c r="R292" s="2116" t="s">
        <v>296</v>
      </c>
    </row>
    <row r="293" spans="1:18" s="2265" customFormat="1">
      <c r="A293" s="2116"/>
      <c r="B293" s="2116"/>
      <c r="C293" s="2116"/>
      <c r="D293" s="2116"/>
      <c r="E293" s="2116"/>
      <c r="F293" s="2116"/>
      <c r="G293" s="2116"/>
      <c r="H293" s="2116"/>
      <c r="I293" s="2116"/>
      <c r="J293" s="2116"/>
      <c r="K293" s="2117"/>
      <c r="L293" s="2117"/>
      <c r="M293" s="2116"/>
      <c r="N293" s="2117"/>
      <c r="O293" s="2116"/>
      <c r="P293" s="2116" t="s">
        <v>296</v>
      </c>
      <c r="Q293" s="2116" t="s">
        <v>296</v>
      </c>
      <c r="R293" s="2116" t="s">
        <v>296</v>
      </c>
    </row>
    <row r="294" spans="1:18" s="2265" customFormat="1">
      <c r="A294" s="2116"/>
      <c r="B294" s="2116"/>
      <c r="C294" s="2116"/>
      <c r="D294" s="2116"/>
      <c r="E294" s="2116"/>
      <c r="F294" s="2116"/>
      <c r="G294" s="2116"/>
      <c r="H294" s="2116"/>
      <c r="I294" s="2116"/>
      <c r="J294" s="2116"/>
      <c r="K294" s="2117"/>
      <c r="L294" s="2117"/>
      <c r="M294" s="2116"/>
      <c r="N294" s="2117"/>
      <c r="O294" s="2116"/>
      <c r="P294" s="2116" t="s">
        <v>296</v>
      </c>
      <c r="Q294" s="2116" t="s">
        <v>296</v>
      </c>
      <c r="R294" s="2116" t="s">
        <v>296</v>
      </c>
    </row>
    <row r="295" spans="1:18" s="2265" customFormat="1">
      <c r="A295" s="2116"/>
      <c r="B295" s="2116"/>
      <c r="C295" s="2116"/>
      <c r="D295" s="2116"/>
      <c r="E295" s="2116"/>
      <c r="F295" s="2116"/>
      <c r="G295" s="2116"/>
      <c r="H295" s="2116"/>
      <c r="I295" s="2116"/>
      <c r="J295" s="2116"/>
      <c r="K295" s="2117"/>
      <c r="L295" s="2117"/>
      <c r="M295" s="2116"/>
      <c r="N295" s="2117"/>
      <c r="O295" s="2116"/>
      <c r="P295" s="2116" t="s">
        <v>296</v>
      </c>
      <c r="Q295" s="2116" t="s">
        <v>296</v>
      </c>
      <c r="R295" s="2116" t="s">
        <v>296</v>
      </c>
    </row>
    <row r="296" spans="1:18" s="2265" customFormat="1">
      <c r="A296" s="2116"/>
      <c r="B296" s="2116"/>
      <c r="C296" s="2116"/>
      <c r="D296" s="2116"/>
      <c r="E296" s="2116"/>
      <c r="F296" s="2116"/>
      <c r="G296" s="2116"/>
      <c r="H296" s="2116"/>
      <c r="I296" s="2116"/>
      <c r="J296" s="2116"/>
      <c r="K296" s="2117"/>
      <c r="L296" s="2117"/>
      <c r="M296" s="2116"/>
      <c r="N296" s="2117"/>
      <c r="O296" s="2116"/>
      <c r="P296" s="2116" t="s">
        <v>296</v>
      </c>
      <c r="Q296" s="2116" t="s">
        <v>296</v>
      </c>
      <c r="R296" s="2116" t="s">
        <v>296</v>
      </c>
    </row>
    <row r="297" spans="1:18" s="2265" customFormat="1">
      <c r="A297" s="2116"/>
      <c r="B297" s="2116"/>
      <c r="C297" s="2116"/>
      <c r="D297" s="2116"/>
      <c r="E297" s="2116"/>
      <c r="F297" s="2116"/>
      <c r="G297" s="2116"/>
      <c r="H297" s="2116"/>
      <c r="I297" s="2116"/>
      <c r="J297" s="2116"/>
      <c r="K297" s="2117"/>
      <c r="L297" s="2117"/>
      <c r="M297" s="2116"/>
      <c r="N297" s="2117"/>
      <c r="O297" s="2116"/>
      <c r="P297" s="2116" t="s">
        <v>296</v>
      </c>
      <c r="Q297" s="2116" t="s">
        <v>296</v>
      </c>
      <c r="R297" s="2116" t="s">
        <v>296</v>
      </c>
    </row>
    <row r="298" spans="1:18" s="2265" customFormat="1">
      <c r="A298" s="2116"/>
      <c r="B298" s="2116"/>
      <c r="C298" s="2116"/>
      <c r="D298" s="2116"/>
      <c r="E298" s="2116"/>
      <c r="F298" s="2116"/>
      <c r="G298" s="2116"/>
      <c r="H298" s="2116"/>
      <c r="I298" s="2116"/>
      <c r="J298" s="2116"/>
      <c r="K298" s="2117"/>
      <c r="L298" s="2117"/>
      <c r="M298" s="2116"/>
      <c r="N298" s="2117"/>
      <c r="O298" s="2116"/>
      <c r="P298" s="2116" t="s">
        <v>296</v>
      </c>
      <c r="Q298" s="2116" t="s">
        <v>296</v>
      </c>
      <c r="R298" s="2116" t="s">
        <v>296</v>
      </c>
    </row>
    <row r="299" spans="1:18" s="2265" customFormat="1">
      <c r="A299" s="2116"/>
      <c r="B299" s="2116"/>
      <c r="C299" s="2116"/>
      <c r="D299" s="2116"/>
      <c r="E299" s="2116"/>
      <c r="F299" s="2116"/>
      <c r="G299" s="2116"/>
      <c r="H299" s="2116"/>
      <c r="I299" s="2116"/>
      <c r="J299" s="2116"/>
      <c r="K299" s="2117"/>
      <c r="L299" s="2117"/>
      <c r="M299" s="2116"/>
      <c r="N299" s="2117"/>
      <c r="O299" s="2116"/>
      <c r="P299" s="2116" t="s">
        <v>296</v>
      </c>
      <c r="Q299" s="2116" t="s">
        <v>296</v>
      </c>
      <c r="R299" s="2116" t="s">
        <v>296</v>
      </c>
    </row>
    <row r="300" spans="1:18" s="2265" customFormat="1">
      <c r="A300" s="2116"/>
      <c r="B300" s="2116"/>
      <c r="C300" s="2116"/>
      <c r="D300" s="2116"/>
      <c r="E300" s="2116"/>
      <c r="F300" s="2116"/>
      <c r="G300" s="2116"/>
      <c r="H300" s="2116"/>
      <c r="I300" s="2116"/>
      <c r="J300" s="2116"/>
      <c r="K300" s="2117"/>
      <c r="L300" s="2117"/>
      <c r="M300" s="2116"/>
      <c r="N300" s="2117"/>
      <c r="O300" s="2116"/>
      <c r="P300" s="2116" t="s">
        <v>296</v>
      </c>
      <c r="Q300" s="2116" t="s">
        <v>296</v>
      </c>
      <c r="R300" s="2116" t="s">
        <v>296</v>
      </c>
    </row>
    <row r="301" spans="1:18" s="2265" customFormat="1">
      <c r="A301" s="2116"/>
      <c r="B301" s="2116"/>
      <c r="C301" s="2116"/>
      <c r="D301" s="2116"/>
      <c r="E301" s="2116"/>
      <c r="F301" s="2116"/>
      <c r="G301" s="2116"/>
      <c r="H301" s="2116"/>
      <c r="I301" s="2116"/>
      <c r="J301" s="2116"/>
      <c r="K301" s="2117"/>
      <c r="L301" s="2117"/>
      <c r="M301" s="2116"/>
      <c r="N301" s="2117"/>
      <c r="O301" s="2116"/>
      <c r="P301" s="2116" t="s">
        <v>296</v>
      </c>
      <c r="Q301" s="2116" t="s">
        <v>296</v>
      </c>
      <c r="R301" s="2116" t="s">
        <v>296</v>
      </c>
    </row>
    <row r="302" spans="1:18" s="2265" customFormat="1">
      <c r="A302" s="2116"/>
      <c r="B302" s="2116"/>
      <c r="C302" s="2116"/>
      <c r="D302" s="2116"/>
      <c r="E302" s="2116"/>
      <c r="F302" s="2116"/>
      <c r="G302" s="2116"/>
      <c r="H302" s="2116"/>
      <c r="I302" s="2116"/>
      <c r="J302" s="2116"/>
      <c r="K302" s="2117"/>
      <c r="L302" s="2117"/>
      <c r="M302" s="2116"/>
      <c r="N302" s="2117"/>
      <c r="O302" s="2116"/>
      <c r="P302" s="2116" t="s">
        <v>296</v>
      </c>
      <c r="Q302" s="2116" t="s">
        <v>296</v>
      </c>
      <c r="R302" s="2116" t="s">
        <v>296</v>
      </c>
    </row>
    <row r="303" spans="1:18" s="2265" customFormat="1">
      <c r="A303" s="2116"/>
      <c r="B303" s="2116"/>
      <c r="C303" s="2116"/>
      <c r="D303" s="2116"/>
      <c r="E303" s="2116"/>
      <c r="F303" s="2116"/>
      <c r="G303" s="2116"/>
      <c r="H303" s="2116"/>
      <c r="I303" s="2116"/>
      <c r="J303" s="2116"/>
      <c r="K303" s="2117"/>
      <c r="L303" s="2117"/>
      <c r="M303" s="2116"/>
      <c r="N303" s="2117"/>
      <c r="O303" s="2116"/>
      <c r="P303" s="2116" t="s">
        <v>296</v>
      </c>
      <c r="Q303" s="2116" t="s">
        <v>296</v>
      </c>
      <c r="R303" s="2116" t="s">
        <v>296</v>
      </c>
    </row>
    <row r="304" spans="1:18" s="2265" customFormat="1">
      <c r="A304" s="2116"/>
      <c r="B304" s="2116"/>
      <c r="C304" s="2116"/>
      <c r="D304" s="2116"/>
      <c r="E304" s="2116"/>
      <c r="F304" s="2116"/>
      <c r="G304" s="2116"/>
      <c r="H304" s="2116"/>
      <c r="I304" s="2116"/>
      <c r="J304" s="2116"/>
      <c r="K304" s="2117"/>
      <c r="L304" s="2117"/>
      <c r="M304" s="2116"/>
      <c r="N304" s="2117"/>
      <c r="O304" s="2116"/>
      <c r="P304" s="2116" t="s">
        <v>296</v>
      </c>
      <c r="Q304" s="2116" t="s">
        <v>296</v>
      </c>
      <c r="R304" s="2116" t="s">
        <v>296</v>
      </c>
    </row>
    <row r="305" spans="1:18" s="2265" customFormat="1">
      <c r="A305" s="2116"/>
      <c r="B305" s="2116"/>
      <c r="C305" s="2116"/>
      <c r="D305" s="2116"/>
      <c r="E305" s="2116"/>
      <c r="F305" s="2116"/>
      <c r="G305" s="2116"/>
      <c r="H305" s="2116"/>
      <c r="I305" s="2116"/>
      <c r="J305" s="2116"/>
      <c r="K305" s="2117"/>
      <c r="L305" s="2117"/>
      <c r="M305" s="2116"/>
      <c r="N305" s="2117"/>
      <c r="O305" s="2116"/>
      <c r="P305" s="2116" t="s">
        <v>296</v>
      </c>
      <c r="Q305" s="2116" t="s">
        <v>296</v>
      </c>
      <c r="R305" s="2116" t="s">
        <v>296</v>
      </c>
    </row>
    <row r="306" spans="1:18" s="2265" customFormat="1">
      <c r="A306" s="2116"/>
      <c r="B306" s="2116"/>
      <c r="C306" s="2116"/>
      <c r="D306" s="2116"/>
      <c r="E306" s="2116"/>
      <c r="F306" s="2116"/>
      <c r="G306" s="2116"/>
      <c r="H306" s="2116"/>
      <c r="I306" s="2116"/>
      <c r="J306" s="2116"/>
      <c r="K306" s="2117"/>
      <c r="L306" s="2117"/>
      <c r="M306" s="2116"/>
      <c r="N306" s="2117"/>
      <c r="O306" s="2116"/>
      <c r="P306" s="2116" t="s">
        <v>296</v>
      </c>
      <c r="Q306" s="2116" t="s">
        <v>296</v>
      </c>
      <c r="R306" s="2116" t="s">
        <v>296</v>
      </c>
    </row>
    <row r="307" spans="1:18" s="2265" customFormat="1">
      <c r="A307" s="2116"/>
      <c r="B307" s="2116"/>
      <c r="C307" s="2116"/>
      <c r="D307" s="2116"/>
      <c r="E307" s="2116"/>
      <c r="F307" s="2116"/>
      <c r="G307" s="2116"/>
      <c r="H307" s="2116"/>
      <c r="I307" s="2116"/>
      <c r="J307" s="2116"/>
      <c r="K307" s="2117"/>
      <c r="L307" s="2117"/>
      <c r="M307" s="2116"/>
      <c r="N307" s="2117"/>
      <c r="O307" s="2116"/>
      <c r="P307" s="2116" t="s">
        <v>296</v>
      </c>
      <c r="Q307" s="2116" t="s">
        <v>296</v>
      </c>
      <c r="R307" s="2116" t="s">
        <v>296</v>
      </c>
    </row>
    <row r="308" spans="1:18" s="2265" customFormat="1">
      <c r="A308" s="2116"/>
      <c r="B308" s="2116"/>
      <c r="C308" s="2116"/>
      <c r="D308" s="2116"/>
      <c r="E308" s="2116"/>
      <c r="F308" s="2116"/>
      <c r="G308" s="2116"/>
      <c r="H308" s="2116"/>
      <c r="I308" s="2116"/>
      <c r="J308" s="2116"/>
      <c r="K308" s="2117"/>
      <c r="L308" s="2117"/>
      <c r="M308" s="2116"/>
      <c r="N308" s="2117"/>
      <c r="O308" s="2116"/>
      <c r="P308" s="2116" t="s">
        <v>296</v>
      </c>
      <c r="Q308" s="2116" t="s">
        <v>296</v>
      </c>
      <c r="R308" s="2116" t="s">
        <v>296</v>
      </c>
    </row>
    <row r="309" spans="1:18" s="2265" customFormat="1">
      <c r="A309" s="2116"/>
      <c r="B309" s="2116"/>
      <c r="C309" s="2116"/>
      <c r="D309" s="2116"/>
      <c r="E309" s="2116"/>
      <c r="F309" s="2116"/>
      <c r="G309" s="2116"/>
      <c r="H309" s="2116"/>
      <c r="I309" s="2116"/>
      <c r="J309" s="2116"/>
      <c r="K309" s="2117"/>
      <c r="L309" s="2117"/>
      <c r="M309" s="2116"/>
      <c r="N309" s="2117"/>
      <c r="O309" s="2116"/>
      <c r="P309" s="2116" t="s">
        <v>296</v>
      </c>
      <c r="Q309" s="2116" t="s">
        <v>296</v>
      </c>
      <c r="R309" s="2116" t="s">
        <v>296</v>
      </c>
    </row>
    <row r="310" spans="1:18" s="2265" customFormat="1">
      <c r="A310" s="2116"/>
      <c r="B310" s="2116"/>
      <c r="C310" s="2116"/>
      <c r="D310" s="2116"/>
      <c r="E310" s="2116"/>
      <c r="F310" s="2116"/>
      <c r="G310" s="2116"/>
      <c r="H310" s="2116"/>
      <c r="I310" s="2116"/>
      <c r="J310" s="2116"/>
      <c r="K310" s="2117"/>
      <c r="L310" s="2117"/>
      <c r="M310" s="2116"/>
      <c r="N310" s="2117"/>
      <c r="O310" s="2116"/>
      <c r="P310" s="2116" t="s">
        <v>296</v>
      </c>
      <c r="Q310" s="2116" t="s">
        <v>296</v>
      </c>
      <c r="R310" s="2116" t="s">
        <v>296</v>
      </c>
    </row>
    <row r="311" spans="1:18" s="2265" customFormat="1">
      <c r="A311" s="2116"/>
      <c r="B311" s="2116"/>
      <c r="C311" s="2116"/>
      <c r="D311" s="2116"/>
      <c r="E311" s="2116"/>
      <c r="F311" s="2116"/>
      <c r="G311" s="2116"/>
      <c r="H311" s="2116"/>
      <c r="I311" s="2116"/>
      <c r="J311" s="2116"/>
      <c r="K311" s="2117"/>
      <c r="L311" s="2117"/>
      <c r="M311" s="2116"/>
      <c r="N311" s="2117"/>
      <c r="O311" s="2116"/>
      <c r="P311" s="2116" t="s">
        <v>296</v>
      </c>
      <c r="Q311" s="2116" t="s">
        <v>296</v>
      </c>
      <c r="R311" s="2116" t="s">
        <v>296</v>
      </c>
    </row>
    <row r="312" spans="1:18" s="2265" customFormat="1">
      <c r="A312" s="2116"/>
      <c r="B312" s="2116"/>
      <c r="C312" s="2116"/>
      <c r="D312" s="2116"/>
      <c r="E312" s="2116"/>
      <c r="F312" s="2116"/>
      <c r="G312" s="2116"/>
      <c r="H312" s="2116"/>
      <c r="I312" s="2116"/>
      <c r="J312" s="2116"/>
      <c r="K312" s="2117"/>
      <c r="L312" s="2117"/>
      <c r="M312" s="2116"/>
      <c r="N312" s="2117"/>
      <c r="O312" s="2116"/>
      <c r="P312" s="2116" t="s">
        <v>296</v>
      </c>
      <c r="Q312" s="2116" t="s">
        <v>296</v>
      </c>
      <c r="R312" s="2116" t="s">
        <v>296</v>
      </c>
    </row>
    <row r="313" spans="1:18" s="2265" customFormat="1">
      <c r="A313" s="2116"/>
      <c r="B313" s="2116"/>
      <c r="C313" s="2116"/>
      <c r="D313" s="2116"/>
      <c r="E313" s="2116"/>
      <c r="F313" s="2116"/>
      <c r="G313" s="2116"/>
      <c r="H313" s="2116"/>
      <c r="I313" s="2116"/>
      <c r="J313" s="2116"/>
      <c r="K313" s="2117"/>
      <c r="L313" s="2117"/>
      <c r="M313" s="2116"/>
      <c r="N313" s="2117"/>
      <c r="O313" s="2116"/>
      <c r="P313" s="2116" t="s">
        <v>296</v>
      </c>
      <c r="Q313" s="2116" t="s">
        <v>296</v>
      </c>
      <c r="R313" s="2116" t="s">
        <v>296</v>
      </c>
    </row>
    <row r="314" spans="1:18" s="2265" customFormat="1">
      <c r="A314" s="2116"/>
      <c r="B314" s="2116"/>
      <c r="C314" s="2116"/>
      <c r="D314" s="2116"/>
      <c r="E314" s="2116"/>
      <c r="F314" s="2116"/>
      <c r="G314" s="2116"/>
      <c r="H314" s="2116"/>
      <c r="I314" s="2116"/>
      <c r="J314" s="2116"/>
      <c r="K314" s="2117"/>
      <c r="L314" s="2117"/>
      <c r="M314" s="2116"/>
      <c r="N314" s="2117"/>
      <c r="O314" s="2116"/>
      <c r="P314" s="2116" t="s">
        <v>296</v>
      </c>
      <c r="Q314" s="2116" t="s">
        <v>296</v>
      </c>
      <c r="R314" s="2116" t="s">
        <v>296</v>
      </c>
    </row>
    <row r="315" spans="1:18" s="2265" customFormat="1">
      <c r="A315" s="2116"/>
      <c r="B315" s="2116"/>
      <c r="C315" s="2116"/>
      <c r="D315" s="2116"/>
      <c r="E315" s="2116"/>
      <c r="F315" s="2116"/>
      <c r="G315" s="2116"/>
      <c r="H315" s="2116"/>
      <c r="I315" s="2116"/>
      <c r="J315" s="2116"/>
      <c r="K315" s="2117"/>
      <c r="L315" s="2117"/>
      <c r="M315" s="2116"/>
      <c r="N315" s="2117"/>
      <c r="O315" s="2116"/>
      <c r="P315" s="2116" t="s">
        <v>296</v>
      </c>
      <c r="Q315" s="2116" t="s">
        <v>296</v>
      </c>
      <c r="R315" s="2116" t="s">
        <v>296</v>
      </c>
    </row>
    <row r="316" spans="1:18" s="2265" customFormat="1">
      <c r="A316" s="2116"/>
      <c r="B316" s="2116"/>
      <c r="C316" s="2116"/>
      <c r="D316" s="2116"/>
      <c r="E316" s="2116"/>
      <c r="F316" s="2116"/>
      <c r="G316" s="2116"/>
      <c r="H316" s="2116"/>
      <c r="I316" s="2116"/>
      <c r="J316" s="2116"/>
      <c r="K316" s="2117"/>
      <c r="L316" s="2117"/>
      <c r="M316" s="2116"/>
      <c r="N316" s="2117"/>
      <c r="O316" s="2116"/>
      <c r="P316" s="2116" t="s">
        <v>296</v>
      </c>
      <c r="Q316" s="2116" t="s">
        <v>296</v>
      </c>
      <c r="R316" s="2116" t="s">
        <v>296</v>
      </c>
    </row>
    <row r="317" spans="1:18" s="2265" customFormat="1">
      <c r="A317" s="2116"/>
      <c r="B317" s="2116"/>
      <c r="C317" s="2116"/>
      <c r="D317" s="2116"/>
      <c r="E317" s="2116"/>
      <c r="F317" s="2116"/>
      <c r="G317" s="2116"/>
      <c r="H317" s="2116"/>
      <c r="I317" s="2116"/>
      <c r="J317" s="2116"/>
      <c r="K317" s="2117"/>
      <c r="L317" s="2117"/>
      <c r="M317" s="2116"/>
      <c r="N317" s="2117"/>
      <c r="O317" s="2116"/>
      <c r="P317" s="2116" t="s">
        <v>296</v>
      </c>
      <c r="Q317" s="2116" t="s">
        <v>296</v>
      </c>
      <c r="R317" s="2116" t="s">
        <v>296</v>
      </c>
    </row>
    <row r="318" spans="1:18" s="2265" customFormat="1">
      <c r="A318" s="2116"/>
      <c r="B318" s="2116"/>
      <c r="C318" s="2116"/>
      <c r="D318" s="2116"/>
      <c r="E318" s="2116"/>
      <c r="F318" s="2116"/>
      <c r="G318" s="2116"/>
      <c r="H318" s="2116"/>
      <c r="I318" s="2116"/>
      <c r="J318" s="2116"/>
      <c r="K318" s="2117"/>
      <c r="L318" s="2117"/>
      <c r="M318" s="2116"/>
      <c r="N318" s="2117"/>
      <c r="O318" s="2116"/>
      <c r="P318" s="2116" t="s">
        <v>296</v>
      </c>
      <c r="Q318" s="2116" t="s">
        <v>296</v>
      </c>
      <c r="R318" s="2116" t="s">
        <v>296</v>
      </c>
    </row>
    <row r="319" spans="1:18" s="2265" customFormat="1">
      <c r="A319" s="2116"/>
      <c r="B319" s="2116"/>
      <c r="C319" s="2116"/>
      <c r="D319" s="2116"/>
      <c r="E319" s="2116"/>
      <c r="F319" s="2116"/>
      <c r="G319" s="2116"/>
      <c r="H319" s="2116"/>
      <c r="I319" s="2116"/>
      <c r="J319" s="2116"/>
      <c r="K319" s="2117"/>
      <c r="L319" s="2117"/>
      <c r="M319" s="2116"/>
      <c r="N319" s="2117"/>
      <c r="O319" s="2116"/>
      <c r="P319" s="2116" t="s">
        <v>296</v>
      </c>
      <c r="Q319" s="2116" t="s">
        <v>296</v>
      </c>
      <c r="R319" s="2116" t="s">
        <v>296</v>
      </c>
    </row>
    <row r="320" spans="1:18" s="2265" customFormat="1">
      <c r="A320" s="2116"/>
      <c r="B320" s="2116"/>
      <c r="C320" s="2116"/>
      <c r="D320" s="2116"/>
      <c r="E320" s="2116"/>
      <c r="F320" s="2116"/>
      <c r="G320" s="2116"/>
      <c r="H320" s="2116"/>
      <c r="I320" s="2116"/>
      <c r="J320" s="2116"/>
      <c r="K320" s="2117"/>
      <c r="L320" s="2117"/>
      <c r="M320" s="2116"/>
      <c r="N320" s="2117"/>
      <c r="O320" s="2116"/>
      <c r="P320" s="2116" t="s">
        <v>296</v>
      </c>
      <c r="Q320" s="2116" t="s">
        <v>296</v>
      </c>
      <c r="R320" s="2116" t="s">
        <v>296</v>
      </c>
    </row>
    <row r="321" spans="1:18" s="2265" customFormat="1">
      <c r="A321" s="2116"/>
      <c r="B321" s="2116"/>
      <c r="C321" s="2116"/>
      <c r="D321" s="2116"/>
      <c r="E321" s="2116"/>
      <c r="F321" s="2116"/>
      <c r="G321" s="2116"/>
      <c r="H321" s="2116"/>
      <c r="I321" s="2116"/>
      <c r="J321" s="2116"/>
      <c r="K321" s="2117"/>
      <c r="L321" s="2117"/>
      <c r="M321" s="2116"/>
      <c r="N321" s="2117"/>
      <c r="O321" s="2116"/>
      <c r="P321" s="2116" t="s">
        <v>296</v>
      </c>
      <c r="Q321" s="2116" t="s">
        <v>296</v>
      </c>
      <c r="R321" s="2116" t="s">
        <v>296</v>
      </c>
    </row>
    <row r="322" spans="1:18" s="2265" customFormat="1">
      <c r="A322" s="2116"/>
      <c r="B322" s="2116"/>
      <c r="C322" s="2116"/>
      <c r="D322" s="2116"/>
      <c r="E322" s="2116"/>
      <c r="F322" s="2116"/>
      <c r="G322" s="2116"/>
      <c r="H322" s="2116"/>
      <c r="I322" s="2116"/>
      <c r="J322" s="2116"/>
      <c r="K322" s="2117"/>
      <c r="L322" s="2117"/>
      <c r="M322" s="2116"/>
      <c r="N322" s="2117"/>
      <c r="O322" s="2116"/>
      <c r="P322" s="2116" t="s">
        <v>296</v>
      </c>
      <c r="Q322" s="2116" t="s">
        <v>296</v>
      </c>
      <c r="R322" s="2116" t="s">
        <v>296</v>
      </c>
    </row>
    <row r="323" spans="1:18" s="2265" customFormat="1">
      <c r="A323" s="2116"/>
      <c r="B323" s="2116"/>
      <c r="C323" s="2116"/>
      <c r="D323" s="2116"/>
      <c r="E323" s="2116"/>
      <c r="F323" s="2116"/>
      <c r="G323" s="2116"/>
      <c r="H323" s="2116"/>
      <c r="I323" s="2116"/>
      <c r="J323" s="2116"/>
      <c r="K323" s="2117"/>
      <c r="L323" s="2117"/>
      <c r="M323" s="2116"/>
      <c r="N323" s="2117"/>
      <c r="O323" s="2116"/>
      <c r="P323" s="2116" t="s">
        <v>296</v>
      </c>
      <c r="Q323" s="2116" t="s">
        <v>296</v>
      </c>
      <c r="R323" s="2116" t="s">
        <v>296</v>
      </c>
    </row>
    <row r="324" spans="1:18" s="2265" customFormat="1">
      <c r="A324" s="2116"/>
      <c r="B324" s="2116"/>
      <c r="C324" s="2116"/>
      <c r="D324" s="2116"/>
      <c r="E324" s="2116"/>
      <c r="F324" s="2116"/>
      <c r="G324" s="2116"/>
      <c r="H324" s="2116"/>
      <c r="I324" s="2116"/>
      <c r="J324" s="2116"/>
      <c r="K324" s="2117"/>
      <c r="L324" s="2117"/>
      <c r="M324" s="2116"/>
      <c r="N324" s="2117"/>
      <c r="O324" s="2116"/>
      <c r="P324" s="2116" t="s">
        <v>296</v>
      </c>
      <c r="Q324" s="2116" t="s">
        <v>296</v>
      </c>
      <c r="R324" s="2116" t="s">
        <v>296</v>
      </c>
    </row>
    <row r="325" spans="1:18" s="2265" customFormat="1">
      <c r="A325" s="2116"/>
      <c r="B325" s="2116"/>
      <c r="C325" s="2116"/>
      <c r="D325" s="2116"/>
      <c r="E325" s="2116"/>
      <c r="F325" s="2116"/>
      <c r="G325" s="2116"/>
      <c r="H325" s="2116"/>
      <c r="I325" s="2116"/>
      <c r="J325" s="2116"/>
      <c r="K325" s="2117"/>
      <c r="L325" s="2117"/>
      <c r="M325" s="2116"/>
      <c r="N325" s="2117"/>
      <c r="O325" s="2116"/>
      <c r="P325" s="2116" t="s">
        <v>296</v>
      </c>
      <c r="Q325" s="2116" t="s">
        <v>296</v>
      </c>
      <c r="R325" s="2116" t="s">
        <v>296</v>
      </c>
    </row>
    <row r="326" spans="1:18" s="2265" customFormat="1">
      <c r="A326" s="2116"/>
      <c r="B326" s="2116"/>
      <c r="C326" s="2116"/>
      <c r="D326" s="2116"/>
      <c r="E326" s="2116"/>
      <c r="F326" s="2116"/>
      <c r="G326" s="2116"/>
      <c r="H326" s="2116"/>
      <c r="I326" s="2116"/>
      <c r="J326" s="2116"/>
      <c r="K326" s="2117"/>
      <c r="L326" s="2117"/>
      <c r="M326" s="2116"/>
      <c r="N326" s="2117"/>
      <c r="O326" s="2116"/>
      <c r="P326" s="2116" t="s">
        <v>296</v>
      </c>
      <c r="Q326" s="2116" t="s">
        <v>296</v>
      </c>
      <c r="R326" s="2116" t="s">
        <v>296</v>
      </c>
    </row>
    <row r="327" spans="1:18" s="2265" customFormat="1">
      <c r="A327" s="2116"/>
      <c r="B327" s="2116"/>
      <c r="C327" s="2116"/>
      <c r="D327" s="2116"/>
      <c r="E327" s="2116"/>
      <c r="F327" s="2116"/>
      <c r="G327" s="2116"/>
      <c r="H327" s="2116"/>
      <c r="I327" s="2116"/>
      <c r="J327" s="2116"/>
      <c r="K327" s="2117"/>
      <c r="L327" s="2117"/>
      <c r="M327" s="2116"/>
      <c r="N327" s="2117"/>
      <c r="O327" s="2116"/>
      <c r="P327" s="2116" t="s">
        <v>296</v>
      </c>
      <c r="Q327" s="2116" t="s">
        <v>296</v>
      </c>
      <c r="R327" s="2116" t="s">
        <v>296</v>
      </c>
    </row>
    <row r="328" spans="1:18" s="2265" customFormat="1">
      <c r="A328" s="2116"/>
      <c r="B328" s="2116"/>
      <c r="C328" s="2116"/>
      <c r="D328" s="2116"/>
      <c r="E328" s="2116"/>
      <c r="F328" s="2116"/>
      <c r="G328" s="2116"/>
      <c r="H328" s="2116"/>
      <c r="I328" s="2116"/>
      <c r="J328" s="2116"/>
      <c r="K328" s="2117"/>
      <c r="L328" s="2117"/>
      <c r="M328" s="2116"/>
      <c r="N328" s="2117"/>
      <c r="O328" s="2116"/>
      <c r="P328" s="2116" t="s">
        <v>296</v>
      </c>
      <c r="Q328" s="2116" t="s">
        <v>296</v>
      </c>
      <c r="R328" s="2116" t="s">
        <v>296</v>
      </c>
    </row>
    <row r="329" spans="1:18" s="2265" customFormat="1">
      <c r="A329" s="2116"/>
      <c r="B329" s="2116"/>
      <c r="C329" s="2116"/>
      <c r="D329" s="2116"/>
      <c r="E329" s="2116"/>
      <c r="F329" s="2116"/>
      <c r="G329" s="2116"/>
      <c r="H329" s="2116"/>
      <c r="I329" s="2116"/>
      <c r="J329" s="2116"/>
      <c r="K329" s="2117"/>
      <c r="L329" s="2117"/>
      <c r="M329" s="2116"/>
      <c r="N329" s="2117"/>
      <c r="O329" s="2116"/>
      <c r="P329" s="2116" t="s">
        <v>296</v>
      </c>
      <c r="Q329" s="2116" t="s">
        <v>296</v>
      </c>
      <c r="R329" s="2116" t="s">
        <v>296</v>
      </c>
    </row>
    <row r="330" spans="1:18" s="2265" customFormat="1">
      <c r="A330" s="2116"/>
      <c r="B330" s="2116"/>
      <c r="C330" s="2116"/>
      <c r="D330" s="2116"/>
      <c r="E330" s="2116"/>
      <c r="F330" s="2116"/>
      <c r="G330" s="2116"/>
      <c r="H330" s="2116"/>
      <c r="I330" s="2116"/>
      <c r="J330" s="2116"/>
      <c r="K330" s="2117"/>
      <c r="L330" s="2117"/>
      <c r="M330" s="2116"/>
      <c r="N330" s="2117"/>
      <c r="O330" s="2116"/>
      <c r="P330" s="2116" t="s">
        <v>296</v>
      </c>
      <c r="Q330" s="2116" t="s">
        <v>296</v>
      </c>
      <c r="R330" s="2116" t="s">
        <v>296</v>
      </c>
    </row>
    <row r="331" spans="1:18" s="2265" customFormat="1">
      <c r="A331" s="2116"/>
      <c r="B331" s="2116"/>
      <c r="C331" s="2116"/>
      <c r="D331" s="2116"/>
      <c r="E331" s="2116"/>
      <c r="F331" s="2116"/>
      <c r="G331" s="2116"/>
      <c r="H331" s="2116"/>
      <c r="I331" s="2116"/>
      <c r="J331" s="2116"/>
      <c r="K331" s="2117"/>
      <c r="L331" s="2117"/>
      <c r="M331" s="2116"/>
      <c r="N331" s="2117"/>
      <c r="O331" s="2116"/>
      <c r="P331" s="2116" t="s">
        <v>296</v>
      </c>
      <c r="Q331" s="2116" t="s">
        <v>296</v>
      </c>
      <c r="R331" s="2116" t="s">
        <v>296</v>
      </c>
    </row>
    <row r="332" spans="1:18" s="2265" customFormat="1">
      <c r="A332" s="2116"/>
      <c r="B332" s="2116"/>
      <c r="C332" s="2116"/>
      <c r="D332" s="2116"/>
      <c r="E332" s="2116"/>
      <c r="F332" s="2116"/>
      <c r="G332" s="2116"/>
      <c r="H332" s="2116"/>
      <c r="I332" s="2116"/>
      <c r="J332" s="2116"/>
      <c r="K332" s="2117"/>
      <c r="L332" s="2117"/>
      <c r="M332" s="2116"/>
      <c r="N332" s="2117"/>
      <c r="O332" s="2116"/>
      <c r="P332" s="2116" t="s">
        <v>296</v>
      </c>
      <c r="Q332" s="2116" t="s">
        <v>296</v>
      </c>
      <c r="R332" s="2116" t="s">
        <v>296</v>
      </c>
    </row>
    <row r="333" spans="1:18" s="2265" customFormat="1">
      <c r="A333" s="2116"/>
      <c r="B333" s="2116"/>
      <c r="C333" s="2116"/>
      <c r="D333" s="2116"/>
      <c r="E333" s="2116"/>
      <c r="F333" s="2116"/>
      <c r="G333" s="2116"/>
      <c r="H333" s="2116"/>
      <c r="I333" s="2116"/>
      <c r="J333" s="2116"/>
      <c r="K333" s="2117"/>
      <c r="L333" s="2117"/>
      <c r="M333" s="2116"/>
      <c r="N333" s="2117"/>
      <c r="O333" s="2116"/>
      <c r="P333" s="2116" t="s">
        <v>296</v>
      </c>
      <c r="Q333" s="2116" t="s">
        <v>296</v>
      </c>
      <c r="R333" s="2116" t="s">
        <v>296</v>
      </c>
    </row>
    <row r="334" spans="1:18" s="2265" customFormat="1">
      <c r="A334" s="2116"/>
      <c r="B334" s="2116"/>
      <c r="C334" s="2116"/>
      <c r="D334" s="2116"/>
      <c r="E334" s="2116"/>
      <c r="F334" s="2116"/>
      <c r="G334" s="2116"/>
      <c r="H334" s="2116"/>
      <c r="I334" s="2116"/>
      <c r="J334" s="2116"/>
      <c r="K334" s="2117"/>
      <c r="L334" s="2117"/>
      <c r="M334" s="2116"/>
      <c r="N334" s="2117"/>
      <c r="O334" s="2116"/>
      <c r="P334" s="2116" t="s">
        <v>296</v>
      </c>
      <c r="Q334" s="2116" t="s">
        <v>296</v>
      </c>
      <c r="R334" s="2116" t="s">
        <v>296</v>
      </c>
    </row>
    <row r="335" spans="1:18" s="2265" customFormat="1">
      <c r="A335" s="2116"/>
      <c r="B335" s="2116"/>
      <c r="C335" s="2116"/>
      <c r="D335" s="2116"/>
      <c r="E335" s="2116"/>
      <c r="F335" s="2116"/>
      <c r="G335" s="2116"/>
      <c r="H335" s="2116"/>
      <c r="I335" s="2116"/>
      <c r="J335" s="2116"/>
      <c r="K335" s="2117"/>
      <c r="L335" s="2117"/>
      <c r="M335" s="2116"/>
      <c r="N335" s="2117"/>
      <c r="O335" s="2116"/>
      <c r="P335" s="2116" t="s">
        <v>296</v>
      </c>
      <c r="Q335" s="2116" t="s">
        <v>296</v>
      </c>
      <c r="R335" s="2116" t="s">
        <v>296</v>
      </c>
    </row>
    <row r="336" spans="1:18" s="2265" customFormat="1">
      <c r="A336" s="2116"/>
      <c r="B336" s="2116"/>
      <c r="C336" s="2116"/>
      <c r="D336" s="2116"/>
      <c r="E336" s="2116"/>
      <c r="F336" s="2116"/>
      <c r="G336" s="2116"/>
      <c r="H336" s="2116"/>
      <c r="I336" s="2116"/>
      <c r="J336" s="2116"/>
      <c r="K336" s="2117"/>
      <c r="L336" s="2117"/>
      <c r="M336" s="2116"/>
      <c r="N336" s="2117"/>
      <c r="O336" s="2116"/>
      <c r="P336" s="2116" t="s">
        <v>296</v>
      </c>
      <c r="Q336" s="2116" t="s">
        <v>296</v>
      </c>
      <c r="R336" s="2116" t="s">
        <v>296</v>
      </c>
    </row>
    <row r="337" spans="1:18" s="2265" customFormat="1">
      <c r="A337" s="2116"/>
      <c r="B337" s="2116"/>
      <c r="C337" s="2116"/>
      <c r="D337" s="2116"/>
      <c r="E337" s="2116"/>
      <c r="F337" s="2116"/>
      <c r="G337" s="2116"/>
      <c r="H337" s="2116"/>
      <c r="I337" s="2116"/>
      <c r="J337" s="2116"/>
      <c r="K337" s="2117"/>
      <c r="L337" s="2117"/>
      <c r="M337" s="2116"/>
      <c r="N337" s="2117"/>
      <c r="O337" s="2116"/>
      <c r="P337" s="2116" t="s">
        <v>296</v>
      </c>
      <c r="Q337" s="2116" t="s">
        <v>296</v>
      </c>
      <c r="R337" s="2116" t="s">
        <v>296</v>
      </c>
    </row>
    <row r="338" spans="1:18" s="2265" customFormat="1">
      <c r="A338" s="2116"/>
      <c r="B338" s="2116"/>
      <c r="C338" s="2116"/>
      <c r="D338" s="2116"/>
      <c r="E338" s="2116"/>
      <c r="F338" s="2116"/>
      <c r="G338" s="2116"/>
      <c r="H338" s="2116"/>
      <c r="I338" s="2116"/>
      <c r="J338" s="2116"/>
      <c r="K338" s="2117"/>
      <c r="L338" s="2117"/>
      <c r="M338" s="2116"/>
      <c r="N338" s="2117"/>
      <c r="O338" s="2116"/>
      <c r="P338" s="2116" t="s">
        <v>296</v>
      </c>
      <c r="Q338" s="2116" t="s">
        <v>296</v>
      </c>
      <c r="R338" s="2116" t="s">
        <v>296</v>
      </c>
    </row>
    <row r="339" spans="1:18" s="2265" customFormat="1">
      <c r="A339" s="2116"/>
      <c r="B339" s="2116"/>
      <c r="C339" s="2116"/>
      <c r="D339" s="2116"/>
      <c r="E339" s="2116"/>
      <c r="F339" s="2116"/>
      <c r="G339" s="2116"/>
      <c r="H339" s="2116"/>
      <c r="I339" s="2116"/>
      <c r="J339" s="2116"/>
      <c r="K339" s="2117"/>
      <c r="L339" s="2117"/>
      <c r="M339" s="2116"/>
      <c r="N339" s="2117"/>
      <c r="O339" s="2116"/>
      <c r="P339" s="2116" t="s">
        <v>296</v>
      </c>
      <c r="Q339" s="2116" t="s">
        <v>296</v>
      </c>
      <c r="R339" s="2116" t="s">
        <v>296</v>
      </c>
    </row>
    <row r="340" spans="1:18" s="2265" customFormat="1">
      <c r="A340" s="2116"/>
      <c r="B340" s="2116"/>
      <c r="C340" s="2116"/>
      <c r="D340" s="2116"/>
      <c r="E340" s="2116"/>
      <c r="F340" s="2116"/>
      <c r="G340" s="2116"/>
      <c r="H340" s="2116"/>
      <c r="I340" s="2116"/>
      <c r="J340" s="2116"/>
      <c r="K340" s="2117"/>
      <c r="L340" s="2117"/>
      <c r="M340" s="2116"/>
      <c r="N340" s="2117"/>
      <c r="O340" s="2116"/>
      <c r="P340" s="2116" t="s">
        <v>296</v>
      </c>
      <c r="Q340" s="2116" t="s">
        <v>296</v>
      </c>
      <c r="R340" s="2116" t="s">
        <v>296</v>
      </c>
    </row>
    <row r="341" spans="1:18" s="2265" customFormat="1">
      <c r="A341" s="2116"/>
      <c r="B341" s="2116"/>
      <c r="C341" s="2116"/>
      <c r="D341" s="2116"/>
      <c r="E341" s="2116"/>
      <c r="F341" s="2116"/>
      <c r="G341" s="2116"/>
      <c r="H341" s="2116"/>
      <c r="I341" s="2116"/>
      <c r="J341" s="2116"/>
      <c r="K341" s="2117"/>
      <c r="L341" s="2117"/>
      <c r="M341" s="2116"/>
      <c r="N341" s="2117"/>
      <c r="O341" s="2116"/>
      <c r="P341" s="2116" t="s">
        <v>296</v>
      </c>
      <c r="Q341" s="2116" t="s">
        <v>296</v>
      </c>
      <c r="R341" s="2116" t="s">
        <v>296</v>
      </c>
    </row>
    <row r="342" spans="1:18" s="2265" customFormat="1">
      <c r="A342" s="2116"/>
      <c r="B342" s="2116"/>
      <c r="C342" s="2116"/>
      <c r="D342" s="2116"/>
      <c r="E342" s="2116"/>
      <c r="F342" s="2116"/>
      <c r="G342" s="2116"/>
      <c r="H342" s="2116"/>
      <c r="I342" s="2116"/>
      <c r="J342" s="2116"/>
      <c r="K342" s="2117"/>
      <c r="L342" s="2117"/>
      <c r="M342" s="2116"/>
      <c r="N342" s="2117"/>
      <c r="O342" s="2116"/>
      <c r="P342" s="2116" t="s">
        <v>296</v>
      </c>
      <c r="Q342" s="2116" t="s">
        <v>296</v>
      </c>
      <c r="R342" s="2116" t="s">
        <v>296</v>
      </c>
    </row>
    <row r="343" spans="1:18" s="2265" customFormat="1">
      <c r="A343" s="2116"/>
      <c r="B343" s="2116"/>
      <c r="C343" s="2116"/>
      <c r="D343" s="2116"/>
      <c r="E343" s="2116"/>
      <c r="F343" s="2116"/>
      <c r="G343" s="2116"/>
      <c r="H343" s="2116"/>
      <c r="I343" s="2116"/>
      <c r="J343" s="2116"/>
      <c r="K343" s="2117"/>
      <c r="L343" s="2117"/>
      <c r="M343" s="2116"/>
      <c r="N343" s="2117"/>
      <c r="O343" s="2116"/>
      <c r="P343" s="2116" t="s">
        <v>296</v>
      </c>
      <c r="Q343" s="2116" t="s">
        <v>296</v>
      </c>
      <c r="R343" s="2116" t="s">
        <v>296</v>
      </c>
    </row>
    <row r="344" spans="1:18" s="2265" customFormat="1">
      <c r="A344" s="2116"/>
      <c r="B344" s="2116"/>
      <c r="C344" s="2116"/>
      <c r="D344" s="2116"/>
      <c r="E344" s="2116"/>
      <c r="F344" s="2116"/>
      <c r="G344" s="2116"/>
      <c r="H344" s="2116"/>
      <c r="I344" s="2116"/>
      <c r="J344" s="2116"/>
      <c r="K344" s="2117"/>
      <c r="L344" s="2117"/>
      <c r="M344" s="2116"/>
      <c r="N344" s="2117"/>
      <c r="O344" s="2116"/>
      <c r="P344" s="2116" t="s">
        <v>296</v>
      </c>
      <c r="Q344" s="2116" t="s">
        <v>296</v>
      </c>
      <c r="R344" s="2116" t="s">
        <v>296</v>
      </c>
    </row>
    <row r="345" spans="1:18" s="2265" customFormat="1">
      <c r="A345" s="2116"/>
      <c r="B345" s="2116"/>
      <c r="C345" s="2116"/>
      <c r="D345" s="2116"/>
      <c r="E345" s="2116"/>
      <c r="F345" s="2116"/>
      <c r="G345" s="2116"/>
      <c r="H345" s="2116"/>
      <c r="I345" s="2116"/>
      <c r="J345" s="2116"/>
      <c r="K345" s="2117"/>
      <c r="L345" s="2117"/>
      <c r="M345" s="2116"/>
      <c r="N345" s="2117"/>
      <c r="O345" s="2116"/>
      <c r="P345" s="2116" t="s">
        <v>296</v>
      </c>
      <c r="Q345" s="2116" t="s">
        <v>296</v>
      </c>
      <c r="R345" s="2116" t="s">
        <v>296</v>
      </c>
    </row>
    <row r="346" spans="1:18" s="2265" customFormat="1">
      <c r="A346" s="2116"/>
      <c r="B346" s="2116"/>
      <c r="C346" s="2116"/>
      <c r="D346" s="2116"/>
      <c r="E346" s="2116"/>
      <c r="F346" s="2116"/>
      <c r="G346" s="2116"/>
      <c r="H346" s="2116"/>
      <c r="I346" s="2116"/>
      <c r="J346" s="2116"/>
      <c r="K346" s="2117"/>
      <c r="L346" s="2117"/>
      <c r="M346" s="2116"/>
      <c r="N346" s="2117"/>
      <c r="O346" s="2116"/>
      <c r="P346" s="2116" t="s">
        <v>296</v>
      </c>
      <c r="Q346" s="2116" t="s">
        <v>296</v>
      </c>
      <c r="R346" s="2116" t="s">
        <v>296</v>
      </c>
    </row>
    <row r="347" spans="1:18" s="2265" customFormat="1">
      <c r="A347" s="2116"/>
      <c r="B347" s="2116"/>
      <c r="C347" s="2116"/>
      <c r="D347" s="2116"/>
      <c r="E347" s="2116"/>
      <c r="F347" s="2116"/>
      <c r="G347" s="2116"/>
      <c r="H347" s="2116"/>
      <c r="I347" s="2116"/>
      <c r="J347" s="2116"/>
      <c r="K347" s="2117"/>
      <c r="L347" s="2117"/>
      <c r="M347" s="2116"/>
      <c r="N347" s="2117"/>
      <c r="O347" s="2116"/>
      <c r="P347" s="2116" t="s">
        <v>296</v>
      </c>
      <c r="Q347" s="2116" t="s">
        <v>296</v>
      </c>
      <c r="R347" s="2116" t="s">
        <v>296</v>
      </c>
    </row>
    <row r="348" spans="1:18" s="2265" customFormat="1">
      <c r="A348" s="2116"/>
      <c r="B348" s="2116"/>
      <c r="C348" s="2116"/>
      <c r="D348" s="2116"/>
      <c r="E348" s="2116"/>
      <c r="F348" s="2116"/>
      <c r="G348" s="2116"/>
      <c r="H348" s="2116"/>
      <c r="I348" s="2116"/>
      <c r="J348" s="2116"/>
      <c r="K348" s="2117"/>
      <c r="L348" s="2117"/>
      <c r="M348" s="2116"/>
      <c r="N348" s="2117"/>
      <c r="O348" s="2116"/>
      <c r="P348" s="2116" t="s">
        <v>296</v>
      </c>
      <c r="Q348" s="2116" t="s">
        <v>296</v>
      </c>
      <c r="R348" s="2116" t="s">
        <v>296</v>
      </c>
    </row>
    <row r="349" spans="1:18" s="2265" customFormat="1">
      <c r="A349" s="2116"/>
      <c r="B349" s="2116"/>
      <c r="C349" s="2116"/>
      <c r="D349" s="2116"/>
      <c r="E349" s="2116"/>
      <c r="F349" s="2116"/>
      <c r="G349" s="2116"/>
      <c r="H349" s="2116"/>
      <c r="I349" s="2116"/>
      <c r="J349" s="2116"/>
      <c r="K349" s="2117"/>
      <c r="L349" s="2117"/>
      <c r="M349" s="2116"/>
      <c r="N349" s="2117"/>
      <c r="O349" s="2116"/>
      <c r="P349" s="2116" t="s">
        <v>296</v>
      </c>
      <c r="Q349" s="2116" t="s">
        <v>296</v>
      </c>
      <c r="R349" s="2116" t="s">
        <v>296</v>
      </c>
    </row>
    <row r="350" spans="1:18" s="2265" customFormat="1">
      <c r="A350" s="2116"/>
      <c r="B350" s="2116"/>
      <c r="C350" s="2116"/>
      <c r="D350" s="2116"/>
      <c r="E350" s="2116"/>
      <c r="F350" s="2116"/>
      <c r="G350" s="2116"/>
      <c r="H350" s="2116"/>
      <c r="I350" s="2116"/>
      <c r="J350" s="2116"/>
      <c r="K350" s="2117"/>
      <c r="L350" s="2117"/>
      <c r="M350" s="2116"/>
      <c r="N350" s="2117"/>
      <c r="O350" s="2116"/>
      <c r="P350" s="2116" t="s">
        <v>296</v>
      </c>
      <c r="Q350" s="2116" t="s">
        <v>296</v>
      </c>
      <c r="R350" s="2116" t="s">
        <v>296</v>
      </c>
    </row>
    <row r="351" spans="1:18" s="2265" customFormat="1">
      <c r="A351" s="2116"/>
      <c r="B351" s="2116"/>
      <c r="C351" s="2116"/>
      <c r="D351" s="2116"/>
      <c r="E351" s="2116"/>
      <c r="F351" s="2116"/>
      <c r="G351" s="2116"/>
      <c r="H351" s="2116"/>
      <c r="I351" s="2116"/>
      <c r="J351" s="2116"/>
      <c r="K351" s="2117"/>
      <c r="L351" s="2117"/>
      <c r="M351" s="2116"/>
      <c r="N351" s="2117"/>
      <c r="O351" s="2116"/>
      <c r="P351" s="2116" t="s">
        <v>296</v>
      </c>
      <c r="Q351" s="2116" t="s">
        <v>296</v>
      </c>
      <c r="R351" s="2116" t="s">
        <v>296</v>
      </c>
    </row>
    <row r="352" spans="1:18" s="2265" customFormat="1">
      <c r="A352" s="2116"/>
      <c r="B352" s="2116"/>
      <c r="C352" s="2116"/>
      <c r="D352" s="2116"/>
      <c r="E352" s="2116"/>
      <c r="F352" s="2116"/>
      <c r="G352" s="2116"/>
      <c r="H352" s="2116"/>
      <c r="I352" s="2116"/>
      <c r="J352" s="2116"/>
      <c r="K352" s="2117"/>
      <c r="L352" s="2117"/>
      <c r="M352" s="2116"/>
      <c r="N352" s="2117"/>
      <c r="O352" s="2116"/>
      <c r="P352" s="2116" t="s">
        <v>296</v>
      </c>
      <c r="Q352" s="2116" t="s">
        <v>296</v>
      </c>
      <c r="R352" s="2116" t="s">
        <v>296</v>
      </c>
    </row>
    <row r="353" spans="1:18" s="2265" customFormat="1">
      <c r="A353" s="2116"/>
      <c r="B353" s="2116"/>
      <c r="C353" s="2116"/>
      <c r="D353" s="2116"/>
      <c r="E353" s="2116"/>
      <c r="F353" s="2116"/>
      <c r="G353" s="2116"/>
      <c r="H353" s="2116"/>
      <c r="I353" s="2116"/>
      <c r="J353" s="2116"/>
      <c r="K353" s="2117"/>
      <c r="L353" s="2117"/>
      <c r="M353" s="2116"/>
      <c r="N353" s="2117"/>
      <c r="O353" s="2116"/>
      <c r="P353" s="2116" t="s">
        <v>296</v>
      </c>
      <c r="Q353" s="2116" t="s">
        <v>296</v>
      </c>
      <c r="R353" s="2116" t="s">
        <v>296</v>
      </c>
    </row>
    <row r="354" spans="1:18" s="2265" customFormat="1">
      <c r="A354" s="2116"/>
      <c r="B354" s="2116"/>
      <c r="C354" s="2116"/>
      <c r="D354" s="2116"/>
      <c r="E354" s="2116"/>
      <c r="F354" s="2116"/>
      <c r="G354" s="2116"/>
      <c r="H354" s="2116"/>
      <c r="I354" s="2116"/>
      <c r="J354" s="2116"/>
      <c r="K354" s="2117"/>
      <c r="L354" s="2117"/>
      <c r="M354" s="2116"/>
      <c r="N354" s="2117"/>
      <c r="O354" s="2116"/>
      <c r="P354" s="2116" t="s">
        <v>296</v>
      </c>
      <c r="Q354" s="2116" t="s">
        <v>296</v>
      </c>
      <c r="R354" s="2116" t="s">
        <v>296</v>
      </c>
    </row>
    <row r="355" spans="1:18" s="2265" customFormat="1">
      <c r="A355" s="2116"/>
      <c r="B355" s="2116"/>
      <c r="C355" s="2116"/>
      <c r="D355" s="2116"/>
      <c r="E355" s="2116"/>
      <c r="F355" s="2116"/>
      <c r="G355" s="2116"/>
      <c r="H355" s="2116"/>
      <c r="I355" s="2116"/>
      <c r="J355" s="2116"/>
      <c r="K355" s="2117"/>
      <c r="L355" s="2117"/>
      <c r="M355" s="2116"/>
      <c r="N355" s="2117"/>
      <c r="O355" s="2116"/>
      <c r="P355" s="2116" t="s">
        <v>296</v>
      </c>
      <c r="Q355" s="2116" t="s">
        <v>296</v>
      </c>
      <c r="R355" s="2116" t="s">
        <v>296</v>
      </c>
    </row>
    <row r="356" spans="1:18" s="2265" customFormat="1">
      <c r="A356" s="2116"/>
      <c r="B356" s="2116"/>
      <c r="C356" s="2116"/>
      <c r="D356" s="2116"/>
      <c r="E356" s="2116"/>
      <c r="F356" s="2116"/>
      <c r="G356" s="2116"/>
      <c r="H356" s="2116"/>
      <c r="I356" s="2116"/>
      <c r="J356" s="2116"/>
      <c r="K356" s="2117"/>
      <c r="L356" s="2117"/>
      <c r="M356" s="2116"/>
      <c r="N356" s="2117"/>
      <c r="O356" s="2116"/>
      <c r="P356" s="2116" t="s">
        <v>296</v>
      </c>
      <c r="Q356" s="2116" t="s">
        <v>296</v>
      </c>
      <c r="R356" s="2116" t="s">
        <v>296</v>
      </c>
    </row>
    <row r="357" spans="1:18" s="2265" customFormat="1">
      <c r="A357" s="2116"/>
      <c r="B357" s="2116"/>
      <c r="C357" s="2116"/>
      <c r="D357" s="2116"/>
      <c r="E357" s="2116"/>
      <c r="F357" s="2116"/>
      <c r="G357" s="2116"/>
      <c r="H357" s="2116"/>
      <c r="I357" s="2116"/>
      <c r="J357" s="2116"/>
      <c r="K357" s="2117"/>
      <c r="L357" s="2117"/>
      <c r="M357" s="2116"/>
      <c r="N357" s="2117"/>
      <c r="O357" s="2116"/>
      <c r="P357" s="2116" t="s">
        <v>296</v>
      </c>
      <c r="Q357" s="2116" t="s">
        <v>296</v>
      </c>
      <c r="R357" s="2116" t="s">
        <v>296</v>
      </c>
    </row>
    <row r="358" spans="1:18" s="2265" customFormat="1">
      <c r="A358" s="2116"/>
      <c r="B358" s="2116"/>
      <c r="C358" s="2116"/>
      <c r="D358" s="2116"/>
      <c r="E358" s="2116"/>
      <c r="F358" s="2116"/>
      <c r="G358" s="2116"/>
      <c r="H358" s="2116"/>
      <c r="I358" s="2116"/>
      <c r="J358" s="2116"/>
      <c r="K358" s="2117"/>
      <c r="L358" s="2117"/>
      <c r="M358" s="2116"/>
      <c r="N358" s="2117"/>
      <c r="O358" s="2116"/>
      <c r="P358" s="2116" t="s">
        <v>296</v>
      </c>
      <c r="Q358" s="2116" t="s">
        <v>296</v>
      </c>
      <c r="R358" s="2116" t="s">
        <v>296</v>
      </c>
    </row>
    <row r="359" spans="1:18" s="2265" customFormat="1">
      <c r="A359" s="2116"/>
      <c r="B359" s="2116"/>
      <c r="C359" s="2116"/>
      <c r="D359" s="2116"/>
      <c r="E359" s="2116"/>
      <c r="F359" s="2116"/>
      <c r="G359" s="2116"/>
      <c r="H359" s="2116"/>
      <c r="I359" s="2116"/>
      <c r="J359" s="2116"/>
      <c r="K359" s="2117"/>
      <c r="L359" s="2117"/>
      <c r="M359" s="2116"/>
      <c r="N359" s="2117"/>
      <c r="O359" s="2116"/>
      <c r="P359" s="2116" t="s">
        <v>296</v>
      </c>
      <c r="Q359" s="2116" t="s">
        <v>296</v>
      </c>
      <c r="R359" s="2116" t="s">
        <v>296</v>
      </c>
    </row>
    <row r="360" spans="1:18" s="2265" customFormat="1">
      <c r="A360" s="2116"/>
      <c r="B360" s="2116"/>
      <c r="C360" s="2116"/>
      <c r="D360" s="2116"/>
      <c r="E360" s="2116"/>
      <c r="F360" s="2116"/>
      <c r="G360" s="2116"/>
      <c r="H360" s="2116"/>
      <c r="I360" s="2116"/>
      <c r="J360" s="2116"/>
      <c r="K360" s="2117"/>
      <c r="L360" s="2117"/>
      <c r="M360" s="2116"/>
      <c r="N360" s="2117"/>
      <c r="O360" s="2116"/>
      <c r="P360" s="2116" t="s">
        <v>296</v>
      </c>
      <c r="Q360" s="2116" t="s">
        <v>296</v>
      </c>
      <c r="R360" s="2116" t="s">
        <v>296</v>
      </c>
    </row>
    <row r="361" spans="1:18" s="2265" customFormat="1">
      <c r="A361" s="2116"/>
      <c r="B361" s="2116"/>
      <c r="C361" s="2116"/>
      <c r="D361" s="2116"/>
      <c r="E361" s="2116"/>
      <c r="F361" s="2116"/>
      <c r="G361" s="2116"/>
      <c r="H361" s="2116"/>
      <c r="I361" s="2116"/>
      <c r="J361" s="2116"/>
      <c r="K361" s="2117"/>
      <c r="L361" s="2117"/>
      <c r="M361" s="2116"/>
      <c r="N361" s="2117"/>
      <c r="O361" s="2116"/>
      <c r="P361" s="2116" t="s">
        <v>296</v>
      </c>
      <c r="Q361" s="2116" t="s">
        <v>296</v>
      </c>
      <c r="R361" s="2116" t="s">
        <v>296</v>
      </c>
    </row>
    <row r="362" spans="1:18" s="2265" customFormat="1">
      <c r="A362" s="2116"/>
      <c r="B362" s="2116"/>
      <c r="C362" s="2116"/>
      <c r="D362" s="2116"/>
      <c r="E362" s="2116"/>
      <c r="F362" s="2116"/>
      <c r="G362" s="2116"/>
      <c r="H362" s="2116"/>
      <c r="I362" s="2116"/>
      <c r="J362" s="2116"/>
      <c r="K362" s="2117"/>
      <c r="L362" s="2117"/>
      <c r="M362" s="2116"/>
      <c r="N362" s="2117"/>
      <c r="O362" s="2116"/>
      <c r="P362" s="2116" t="s">
        <v>296</v>
      </c>
      <c r="Q362" s="2116" t="s">
        <v>296</v>
      </c>
      <c r="R362" s="2116" t="s">
        <v>296</v>
      </c>
    </row>
    <row r="363" spans="1:18" s="2265" customFormat="1">
      <c r="A363" s="2116"/>
      <c r="B363" s="2116"/>
      <c r="C363" s="2116"/>
      <c r="D363" s="2116"/>
      <c r="E363" s="2116"/>
      <c r="F363" s="2116"/>
      <c r="G363" s="2116"/>
      <c r="H363" s="2116"/>
      <c r="I363" s="2116"/>
      <c r="J363" s="2116"/>
      <c r="K363" s="2117"/>
      <c r="L363" s="2117"/>
      <c r="M363" s="2116"/>
      <c r="N363" s="2117"/>
      <c r="O363" s="2116"/>
      <c r="P363" s="2116" t="s">
        <v>296</v>
      </c>
      <c r="Q363" s="2116" t="s">
        <v>296</v>
      </c>
      <c r="R363" s="2116" t="s">
        <v>296</v>
      </c>
    </row>
    <row r="364" spans="1:18" s="2265" customFormat="1">
      <c r="A364" s="2116"/>
      <c r="B364" s="2116"/>
      <c r="C364" s="2116"/>
      <c r="D364" s="2116"/>
      <c r="E364" s="2116"/>
      <c r="F364" s="2116"/>
      <c r="G364" s="2116"/>
      <c r="H364" s="2116"/>
      <c r="I364" s="2116"/>
      <c r="J364" s="2116"/>
      <c r="K364" s="2117"/>
      <c r="L364" s="2117"/>
      <c r="M364" s="2116"/>
      <c r="N364" s="2117"/>
      <c r="O364" s="2116"/>
      <c r="P364" s="2116" t="s">
        <v>296</v>
      </c>
      <c r="Q364" s="2116" t="s">
        <v>296</v>
      </c>
      <c r="R364" s="2116" t="s">
        <v>296</v>
      </c>
    </row>
    <row r="365" spans="1:18" s="2265" customFormat="1">
      <c r="A365" s="2116"/>
      <c r="B365" s="2116"/>
      <c r="C365" s="2116"/>
      <c r="D365" s="2116"/>
      <c r="E365" s="2116"/>
      <c r="F365" s="2116"/>
      <c r="G365" s="2116"/>
      <c r="H365" s="2116"/>
      <c r="I365" s="2116"/>
      <c r="J365" s="2116"/>
      <c r="K365" s="2117"/>
      <c r="L365" s="2117"/>
      <c r="M365" s="2116"/>
      <c r="N365" s="2117"/>
      <c r="O365" s="2116"/>
      <c r="P365" s="2116" t="s">
        <v>296</v>
      </c>
      <c r="Q365" s="2116" t="s">
        <v>296</v>
      </c>
      <c r="R365" s="2116" t="s">
        <v>296</v>
      </c>
    </row>
    <row r="366" spans="1:18" s="2265" customFormat="1">
      <c r="A366" s="2116"/>
      <c r="B366" s="2116"/>
      <c r="C366" s="2116"/>
      <c r="D366" s="2116"/>
      <c r="E366" s="2116"/>
      <c r="F366" s="2116"/>
      <c r="G366" s="2116"/>
      <c r="H366" s="2116"/>
      <c r="I366" s="2116"/>
      <c r="J366" s="2116"/>
      <c r="K366" s="2117"/>
      <c r="L366" s="2117"/>
      <c r="M366" s="2116"/>
      <c r="N366" s="2117"/>
      <c r="O366" s="2116"/>
      <c r="P366" s="2116" t="s">
        <v>296</v>
      </c>
      <c r="Q366" s="2116" t="s">
        <v>296</v>
      </c>
      <c r="R366" s="2116" t="s">
        <v>296</v>
      </c>
    </row>
    <row r="367" spans="1:18" s="2265" customFormat="1">
      <c r="A367" s="2116"/>
      <c r="B367" s="2116"/>
      <c r="C367" s="2116"/>
      <c r="D367" s="2116"/>
      <c r="E367" s="2116"/>
      <c r="F367" s="2116"/>
      <c r="G367" s="2116"/>
      <c r="H367" s="2116"/>
      <c r="I367" s="2116"/>
      <c r="J367" s="2116"/>
      <c r="K367" s="2117"/>
      <c r="L367" s="2117"/>
      <c r="M367" s="2116"/>
      <c r="N367" s="2117"/>
      <c r="O367" s="2116"/>
      <c r="P367" s="2116" t="s">
        <v>296</v>
      </c>
      <c r="Q367" s="2116" t="s">
        <v>296</v>
      </c>
      <c r="R367" s="2116" t="s">
        <v>296</v>
      </c>
    </row>
    <row r="368" spans="1:18" s="2265" customFormat="1">
      <c r="A368" s="2116"/>
      <c r="B368" s="2116"/>
      <c r="C368" s="2116"/>
      <c r="D368" s="2116"/>
      <c r="E368" s="2116"/>
      <c r="F368" s="2116"/>
      <c r="G368" s="2116"/>
      <c r="H368" s="2116"/>
      <c r="I368" s="2116"/>
      <c r="J368" s="2116"/>
      <c r="K368" s="2117"/>
      <c r="L368" s="2117"/>
      <c r="M368" s="2116"/>
      <c r="N368" s="2117"/>
      <c r="O368" s="2116"/>
      <c r="P368" s="2116" t="s">
        <v>296</v>
      </c>
      <c r="Q368" s="2116" t="s">
        <v>296</v>
      </c>
      <c r="R368" s="2116" t="s">
        <v>296</v>
      </c>
    </row>
    <row r="369" spans="1:18" s="2265" customFormat="1">
      <c r="A369" s="2116"/>
      <c r="B369" s="2116"/>
      <c r="C369" s="2116"/>
      <c r="D369" s="2116"/>
      <c r="E369" s="2116"/>
      <c r="F369" s="2116"/>
      <c r="G369" s="2116"/>
      <c r="H369" s="2116"/>
      <c r="I369" s="2116"/>
      <c r="J369" s="2116"/>
      <c r="K369" s="2117"/>
      <c r="L369" s="2117"/>
      <c r="M369" s="2116"/>
      <c r="N369" s="2117"/>
      <c r="O369" s="2116"/>
      <c r="P369" s="2116" t="s">
        <v>296</v>
      </c>
      <c r="Q369" s="2116" t="s">
        <v>296</v>
      </c>
      <c r="R369" s="2116" t="s">
        <v>296</v>
      </c>
    </row>
    <row r="370" spans="1:18" s="2265" customFormat="1">
      <c r="A370" s="2116"/>
      <c r="B370" s="2116"/>
      <c r="C370" s="2116"/>
      <c r="D370" s="2116"/>
      <c r="E370" s="2116"/>
      <c r="F370" s="2116"/>
      <c r="G370" s="2116"/>
      <c r="H370" s="2116"/>
      <c r="I370" s="2116"/>
      <c r="J370" s="2116"/>
      <c r="K370" s="2117"/>
      <c r="L370" s="2117"/>
      <c r="M370" s="2116"/>
      <c r="N370" s="2117"/>
      <c r="O370" s="2116"/>
      <c r="P370" s="2116" t="s">
        <v>296</v>
      </c>
      <c r="Q370" s="2116" t="s">
        <v>296</v>
      </c>
      <c r="R370" s="2116" t="s">
        <v>296</v>
      </c>
    </row>
    <row r="371" spans="1:18" s="2265" customFormat="1">
      <c r="A371" s="2116"/>
      <c r="B371" s="2116"/>
      <c r="C371" s="2116"/>
      <c r="D371" s="2116"/>
      <c r="E371" s="2116"/>
      <c r="F371" s="2116"/>
      <c r="G371" s="2116"/>
      <c r="H371" s="2116"/>
      <c r="I371" s="2116"/>
      <c r="J371" s="2116"/>
      <c r="K371" s="2117"/>
      <c r="L371" s="2117"/>
      <c r="M371" s="2116"/>
      <c r="N371" s="2117"/>
      <c r="O371" s="2116"/>
      <c r="P371" s="2116" t="s">
        <v>296</v>
      </c>
      <c r="Q371" s="2116" t="s">
        <v>296</v>
      </c>
      <c r="R371" s="2116" t="s">
        <v>296</v>
      </c>
    </row>
    <row r="372" spans="1:18" s="2265" customFormat="1">
      <c r="A372" s="2116"/>
      <c r="B372" s="2116"/>
      <c r="C372" s="2116"/>
      <c r="D372" s="2116"/>
      <c r="E372" s="2116"/>
      <c r="F372" s="2116"/>
      <c r="G372" s="2116"/>
      <c r="H372" s="2116"/>
      <c r="I372" s="2116"/>
      <c r="J372" s="2116"/>
      <c r="K372" s="2117"/>
      <c r="L372" s="2117"/>
      <c r="M372" s="2116"/>
      <c r="N372" s="2117"/>
      <c r="O372" s="2116"/>
      <c r="P372" s="2116" t="s">
        <v>296</v>
      </c>
      <c r="Q372" s="2116" t="s">
        <v>296</v>
      </c>
      <c r="R372" s="2116" t="s">
        <v>296</v>
      </c>
    </row>
    <row r="373" spans="1:18" s="2265" customFormat="1">
      <c r="A373" s="2116"/>
      <c r="B373" s="2116"/>
      <c r="C373" s="2116"/>
      <c r="D373" s="2116"/>
      <c r="E373" s="2116"/>
      <c r="F373" s="2116"/>
      <c r="G373" s="2116"/>
      <c r="H373" s="2116"/>
      <c r="I373" s="2116"/>
      <c r="J373" s="2116"/>
      <c r="K373" s="2117"/>
      <c r="L373" s="2117"/>
      <c r="M373" s="2116"/>
      <c r="N373" s="2117"/>
      <c r="O373" s="2116"/>
      <c r="P373" s="2116" t="s">
        <v>296</v>
      </c>
      <c r="Q373" s="2116" t="s">
        <v>296</v>
      </c>
      <c r="R373" s="2116" t="s">
        <v>296</v>
      </c>
    </row>
    <row r="374" spans="1:18" s="2265" customFormat="1">
      <c r="A374" s="2116"/>
      <c r="B374" s="2116"/>
      <c r="C374" s="2116"/>
      <c r="D374" s="2116"/>
      <c r="E374" s="2116"/>
      <c r="F374" s="2116"/>
      <c r="G374" s="2116"/>
      <c r="H374" s="2116"/>
      <c r="I374" s="2116"/>
      <c r="J374" s="2116"/>
      <c r="K374" s="2117"/>
      <c r="L374" s="2117"/>
      <c r="M374" s="2116"/>
      <c r="N374" s="2117"/>
      <c r="O374" s="2116"/>
      <c r="P374" s="2116" t="s">
        <v>296</v>
      </c>
      <c r="Q374" s="2116" t="s">
        <v>296</v>
      </c>
      <c r="R374" s="2116" t="s">
        <v>296</v>
      </c>
    </row>
    <row r="375" spans="1:18" s="2265" customFormat="1">
      <c r="A375" s="2116"/>
      <c r="B375" s="2116"/>
      <c r="C375" s="2116"/>
      <c r="D375" s="2116"/>
      <c r="E375" s="2116"/>
      <c r="F375" s="2116"/>
      <c r="G375" s="2116"/>
      <c r="H375" s="2116"/>
      <c r="I375" s="2116"/>
      <c r="J375" s="2116"/>
      <c r="K375" s="2117"/>
      <c r="L375" s="2117"/>
      <c r="M375" s="2116"/>
      <c r="N375" s="2117"/>
      <c r="O375" s="2116"/>
      <c r="P375" s="2116" t="s">
        <v>296</v>
      </c>
      <c r="Q375" s="2116" t="s">
        <v>296</v>
      </c>
      <c r="R375" s="2116" t="s">
        <v>296</v>
      </c>
    </row>
    <row r="376" spans="1:18" s="2265" customFormat="1">
      <c r="A376" s="2116"/>
      <c r="B376" s="2116"/>
      <c r="C376" s="2116"/>
      <c r="D376" s="2116"/>
      <c r="E376" s="2116"/>
      <c r="F376" s="2116"/>
      <c r="G376" s="2116"/>
      <c r="H376" s="2116"/>
      <c r="I376" s="2116"/>
      <c r="J376" s="2116"/>
      <c r="K376" s="2117"/>
      <c r="L376" s="2117"/>
      <c r="M376" s="2116"/>
      <c r="N376" s="2117"/>
      <c r="O376" s="2116"/>
      <c r="P376" s="2116" t="s">
        <v>296</v>
      </c>
      <c r="Q376" s="2116" t="s">
        <v>296</v>
      </c>
      <c r="R376" s="2116" t="s">
        <v>296</v>
      </c>
    </row>
    <row r="377" spans="1:18" s="2265" customFormat="1">
      <c r="A377" s="2116"/>
      <c r="B377" s="2116"/>
      <c r="C377" s="2116"/>
      <c r="D377" s="2116"/>
      <c r="E377" s="2116"/>
      <c r="F377" s="2116"/>
      <c r="G377" s="2116"/>
      <c r="H377" s="2116"/>
      <c r="I377" s="2116"/>
      <c r="J377" s="2116"/>
      <c r="K377" s="2117"/>
      <c r="L377" s="2117"/>
      <c r="M377" s="2116"/>
      <c r="N377" s="2117"/>
      <c r="O377" s="2116"/>
      <c r="P377" s="2116" t="s">
        <v>296</v>
      </c>
      <c r="Q377" s="2116" t="s">
        <v>296</v>
      </c>
      <c r="R377" s="2116" t="s">
        <v>296</v>
      </c>
    </row>
    <row r="378" spans="1:18" s="2265" customFormat="1">
      <c r="A378" s="2116"/>
      <c r="B378" s="2116"/>
      <c r="C378" s="2116"/>
      <c r="D378" s="2116"/>
      <c r="E378" s="2116"/>
      <c r="F378" s="2116"/>
      <c r="G378" s="2116"/>
      <c r="H378" s="2116"/>
      <c r="I378" s="2116"/>
      <c r="J378" s="2116"/>
      <c r="K378" s="2117"/>
      <c r="L378" s="2117"/>
      <c r="M378" s="2116"/>
      <c r="N378" s="2117"/>
      <c r="O378" s="2116"/>
      <c r="P378" s="2116" t="s">
        <v>296</v>
      </c>
      <c r="Q378" s="2116" t="s">
        <v>296</v>
      </c>
      <c r="R378" s="2116" t="s">
        <v>296</v>
      </c>
    </row>
    <row r="379" spans="1:18" s="2265" customFormat="1">
      <c r="A379" s="2116"/>
      <c r="B379" s="2116"/>
      <c r="C379" s="2116"/>
      <c r="D379" s="2116"/>
      <c r="E379" s="2116"/>
      <c r="F379" s="2116"/>
      <c r="G379" s="2116"/>
      <c r="H379" s="2116"/>
      <c r="I379" s="2116"/>
      <c r="J379" s="2116"/>
      <c r="K379" s="2117"/>
      <c r="L379" s="2117"/>
      <c r="M379" s="2116"/>
      <c r="N379" s="2117"/>
      <c r="O379" s="2116"/>
      <c r="P379" s="2116" t="s">
        <v>296</v>
      </c>
      <c r="Q379" s="2116" t="s">
        <v>296</v>
      </c>
      <c r="R379" s="2116" t="s">
        <v>296</v>
      </c>
    </row>
    <row r="380" spans="1:18" s="2265" customFormat="1">
      <c r="A380" s="2116"/>
      <c r="B380" s="2116"/>
      <c r="C380" s="2116"/>
      <c r="D380" s="2116"/>
      <c r="E380" s="2116"/>
      <c r="F380" s="2116"/>
      <c r="G380" s="2116"/>
      <c r="H380" s="2116"/>
      <c r="I380" s="2116"/>
      <c r="J380" s="2116"/>
      <c r="K380" s="2117"/>
      <c r="L380" s="2117"/>
      <c r="M380" s="2116"/>
      <c r="N380" s="2117"/>
      <c r="O380" s="2116"/>
      <c r="P380" s="2116" t="s">
        <v>296</v>
      </c>
      <c r="Q380" s="2116" t="s">
        <v>296</v>
      </c>
      <c r="R380" s="2116" t="s">
        <v>296</v>
      </c>
    </row>
    <row r="381" spans="1:18" s="2265" customFormat="1">
      <c r="A381" s="2116"/>
      <c r="B381" s="2116"/>
      <c r="C381" s="2116"/>
      <c r="D381" s="2116"/>
      <c r="E381" s="2116"/>
      <c r="F381" s="2116"/>
      <c r="G381" s="2116"/>
      <c r="H381" s="2116"/>
      <c r="I381" s="2116"/>
      <c r="J381" s="2116"/>
      <c r="K381" s="2117"/>
      <c r="L381" s="2117"/>
      <c r="M381" s="2116"/>
      <c r="N381" s="2117"/>
      <c r="O381" s="2116"/>
      <c r="P381" s="2116" t="s">
        <v>296</v>
      </c>
      <c r="Q381" s="2116" t="s">
        <v>296</v>
      </c>
      <c r="R381" s="2116" t="s">
        <v>296</v>
      </c>
    </row>
    <row r="382" spans="1:18" s="2265" customFormat="1">
      <c r="A382" s="2116"/>
      <c r="B382" s="2116"/>
      <c r="C382" s="2116"/>
      <c r="D382" s="2116"/>
      <c r="E382" s="2116"/>
      <c r="F382" s="2116"/>
      <c r="G382" s="2116"/>
      <c r="H382" s="2116"/>
      <c r="I382" s="2116"/>
      <c r="J382" s="2116"/>
      <c r="K382" s="2117"/>
      <c r="L382" s="2117"/>
      <c r="M382" s="2116"/>
      <c r="N382" s="2117"/>
      <c r="O382" s="2116"/>
      <c r="P382" s="2116" t="s">
        <v>296</v>
      </c>
      <c r="Q382" s="2116" t="s">
        <v>296</v>
      </c>
      <c r="R382" s="2116" t="s">
        <v>296</v>
      </c>
    </row>
    <row r="383" spans="1:18" s="2265" customFormat="1">
      <c r="A383" s="2116"/>
      <c r="B383" s="2116"/>
      <c r="C383" s="2116"/>
      <c r="D383" s="2116"/>
      <c r="E383" s="2116"/>
      <c r="F383" s="2116"/>
      <c r="G383" s="2116"/>
      <c r="H383" s="2116"/>
      <c r="I383" s="2116"/>
      <c r="J383" s="2116"/>
      <c r="K383" s="2117"/>
      <c r="L383" s="2117"/>
      <c r="M383" s="2116"/>
      <c r="N383" s="2117"/>
      <c r="O383" s="2116"/>
      <c r="P383" s="2116" t="s">
        <v>296</v>
      </c>
      <c r="Q383" s="2116" t="s">
        <v>296</v>
      </c>
      <c r="R383" s="2116" t="s">
        <v>296</v>
      </c>
    </row>
    <row r="384" spans="1:18" s="2265" customFormat="1">
      <c r="A384" s="2116"/>
      <c r="B384" s="2116"/>
      <c r="C384" s="2116"/>
      <c r="D384" s="2116"/>
      <c r="E384" s="2116"/>
      <c r="F384" s="2116"/>
      <c r="G384" s="2116"/>
      <c r="H384" s="2116"/>
      <c r="I384" s="2116"/>
      <c r="J384" s="2116"/>
      <c r="K384" s="2117"/>
      <c r="L384" s="2117"/>
      <c r="M384" s="2116"/>
      <c r="N384" s="2117"/>
      <c r="O384" s="2116"/>
      <c r="P384" s="2116" t="s">
        <v>296</v>
      </c>
      <c r="Q384" s="2116" t="s">
        <v>296</v>
      </c>
      <c r="R384" s="2116" t="s">
        <v>296</v>
      </c>
    </row>
    <row r="385" spans="1:18" s="2265" customFormat="1">
      <c r="A385" s="2116"/>
      <c r="B385" s="2116"/>
      <c r="C385" s="2116"/>
      <c r="D385" s="2116"/>
      <c r="E385" s="2116"/>
      <c r="F385" s="2116"/>
      <c r="G385" s="2116"/>
      <c r="H385" s="2116"/>
      <c r="I385" s="2116"/>
      <c r="J385" s="2116"/>
      <c r="K385" s="2117"/>
      <c r="L385" s="2117"/>
      <c r="M385" s="2116"/>
      <c r="N385" s="2117"/>
      <c r="O385" s="2116"/>
      <c r="P385" s="2116" t="s">
        <v>296</v>
      </c>
      <c r="Q385" s="2116" t="s">
        <v>296</v>
      </c>
      <c r="R385" s="2116" t="s">
        <v>296</v>
      </c>
    </row>
    <row r="386" spans="1:18" s="2265" customFormat="1">
      <c r="A386" s="2116"/>
      <c r="B386" s="2116"/>
      <c r="C386" s="2116"/>
      <c r="D386" s="2116"/>
      <c r="E386" s="2116"/>
      <c r="F386" s="2116"/>
      <c r="G386" s="2116"/>
      <c r="H386" s="2116"/>
      <c r="I386" s="2116"/>
      <c r="J386" s="2116"/>
      <c r="K386" s="2117"/>
      <c r="L386" s="2117"/>
      <c r="M386" s="2116"/>
      <c r="N386" s="2117"/>
      <c r="O386" s="2116"/>
      <c r="P386" s="2116" t="s">
        <v>296</v>
      </c>
      <c r="Q386" s="2116" t="s">
        <v>296</v>
      </c>
      <c r="R386" s="2116" t="s">
        <v>296</v>
      </c>
    </row>
    <row r="387" spans="1:18" s="2265" customFormat="1">
      <c r="A387" s="2116"/>
      <c r="B387" s="2116"/>
      <c r="C387" s="2116"/>
      <c r="D387" s="2116"/>
      <c r="E387" s="2116"/>
      <c r="F387" s="2116"/>
      <c r="G387" s="2116"/>
      <c r="H387" s="2116"/>
      <c r="I387" s="2116"/>
      <c r="J387" s="2116"/>
      <c r="K387" s="2117"/>
      <c r="L387" s="2117"/>
      <c r="M387" s="2116"/>
      <c r="N387" s="2117"/>
      <c r="O387" s="2116"/>
      <c r="P387" s="2116" t="s">
        <v>296</v>
      </c>
      <c r="Q387" s="2116" t="s">
        <v>296</v>
      </c>
      <c r="R387" s="2116" t="s">
        <v>296</v>
      </c>
    </row>
    <row r="388" spans="1:18" s="2265" customFormat="1">
      <c r="A388" s="2116"/>
      <c r="B388" s="2116"/>
      <c r="C388" s="2116"/>
      <c r="D388" s="2116"/>
      <c r="E388" s="2116"/>
      <c r="F388" s="2116"/>
      <c r="G388" s="2116"/>
      <c r="H388" s="2116"/>
      <c r="I388" s="2116"/>
      <c r="J388" s="2116"/>
      <c r="K388" s="2117"/>
      <c r="L388" s="2117"/>
      <c r="M388" s="2116"/>
      <c r="N388" s="2117"/>
      <c r="O388" s="2116"/>
      <c r="P388" s="2116" t="s">
        <v>296</v>
      </c>
      <c r="Q388" s="2116" t="s">
        <v>296</v>
      </c>
      <c r="R388" s="2116" t="s">
        <v>296</v>
      </c>
    </row>
    <row r="389" spans="1:18" s="2265" customFormat="1">
      <c r="A389" s="2116"/>
      <c r="B389" s="2116"/>
      <c r="C389" s="2116"/>
      <c r="D389" s="2116"/>
      <c r="E389" s="2116"/>
      <c r="F389" s="2116"/>
      <c r="G389" s="2116"/>
      <c r="H389" s="2116"/>
      <c r="I389" s="2116"/>
      <c r="J389" s="2116"/>
      <c r="K389" s="2117"/>
      <c r="L389" s="2117"/>
      <c r="M389" s="2116"/>
      <c r="N389" s="2117"/>
      <c r="O389" s="2116"/>
      <c r="P389" s="2116" t="s">
        <v>296</v>
      </c>
      <c r="Q389" s="2116" t="s">
        <v>296</v>
      </c>
      <c r="R389" s="2116" t="s">
        <v>296</v>
      </c>
    </row>
    <row r="390" spans="1:18" s="2265" customFormat="1">
      <c r="A390" s="2116"/>
      <c r="B390" s="2116"/>
      <c r="C390" s="2116"/>
      <c r="D390" s="2116"/>
      <c r="E390" s="2116"/>
      <c r="F390" s="2116"/>
      <c r="G390" s="2116"/>
      <c r="H390" s="2116"/>
      <c r="I390" s="2116"/>
      <c r="J390" s="2116"/>
      <c r="K390" s="2117"/>
      <c r="L390" s="2117"/>
      <c r="M390" s="2116"/>
      <c r="N390" s="2117"/>
      <c r="O390" s="2116"/>
      <c r="P390" s="2116" t="s">
        <v>296</v>
      </c>
      <c r="Q390" s="2116" t="s">
        <v>296</v>
      </c>
      <c r="R390" s="2116" t="s">
        <v>296</v>
      </c>
    </row>
    <row r="391" spans="1:18" s="2265" customFormat="1">
      <c r="A391" s="2116"/>
      <c r="B391" s="2116"/>
      <c r="C391" s="2116"/>
      <c r="D391" s="2116"/>
      <c r="E391" s="2116"/>
      <c r="F391" s="2116"/>
      <c r="G391" s="2116"/>
      <c r="H391" s="2116"/>
      <c r="I391" s="2116"/>
      <c r="J391" s="2116"/>
      <c r="K391" s="2117"/>
      <c r="L391" s="2117"/>
      <c r="M391" s="2116"/>
      <c r="N391" s="2117"/>
      <c r="O391" s="2116"/>
      <c r="P391" s="2116" t="s">
        <v>296</v>
      </c>
      <c r="Q391" s="2116" t="s">
        <v>296</v>
      </c>
      <c r="R391" s="2116" t="s">
        <v>296</v>
      </c>
    </row>
    <row r="392" spans="1:18" s="2265" customFormat="1">
      <c r="A392" s="2116"/>
      <c r="B392" s="2116"/>
      <c r="C392" s="2116"/>
      <c r="D392" s="2116"/>
      <c r="E392" s="2116"/>
      <c r="F392" s="2116"/>
      <c r="G392" s="2116"/>
      <c r="H392" s="2116"/>
      <c r="I392" s="2116"/>
      <c r="J392" s="2116"/>
      <c r="K392" s="2117"/>
      <c r="L392" s="2117"/>
      <c r="M392" s="2116"/>
      <c r="N392" s="2117"/>
      <c r="O392" s="2116"/>
      <c r="P392" s="2116" t="s">
        <v>296</v>
      </c>
      <c r="Q392" s="2116" t="s">
        <v>296</v>
      </c>
      <c r="R392" s="2116" t="s">
        <v>296</v>
      </c>
    </row>
    <row r="393" spans="1:18" s="2265" customFormat="1">
      <c r="A393" s="2116"/>
      <c r="B393" s="2116"/>
      <c r="C393" s="2116"/>
      <c r="D393" s="2116"/>
      <c r="E393" s="2116"/>
      <c r="F393" s="2116"/>
      <c r="G393" s="2116"/>
      <c r="H393" s="2116"/>
      <c r="I393" s="2116"/>
      <c r="J393" s="2116"/>
      <c r="K393" s="2117"/>
      <c r="L393" s="2117"/>
      <c r="M393" s="2116"/>
      <c r="N393" s="2117"/>
      <c r="O393" s="2116"/>
      <c r="P393" s="2116" t="s">
        <v>296</v>
      </c>
      <c r="Q393" s="2116" t="s">
        <v>296</v>
      </c>
      <c r="R393" s="2116" t="s">
        <v>296</v>
      </c>
    </row>
    <row r="394" spans="1:18" s="2265" customFormat="1">
      <c r="A394" s="2116"/>
      <c r="B394" s="2116"/>
      <c r="C394" s="2116"/>
      <c r="D394" s="2116"/>
      <c r="E394" s="2116"/>
      <c r="F394" s="2116"/>
      <c r="G394" s="2116"/>
      <c r="H394" s="2116"/>
      <c r="I394" s="2116"/>
      <c r="J394" s="2116"/>
      <c r="K394" s="2117"/>
      <c r="L394" s="2117"/>
      <c r="M394" s="2116"/>
      <c r="N394" s="2117"/>
      <c r="O394" s="2116"/>
      <c r="P394" s="2116" t="s">
        <v>296</v>
      </c>
      <c r="Q394" s="2116" t="s">
        <v>296</v>
      </c>
      <c r="R394" s="2116" t="s">
        <v>296</v>
      </c>
    </row>
    <row r="395" spans="1:18" s="2265" customFormat="1">
      <c r="A395" s="2116"/>
      <c r="B395" s="2116"/>
      <c r="C395" s="2116"/>
      <c r="D395" s="2116"/>
      <c r="E395" s="2116"/>
      <c r="F395" s="2116"/>
      <c r="G395" s="2116"/>
      <c r="H395" s="2116"/>
      <c r="I395" s="2116"/>
      <c r="J395" s="2116"/>
      <c r="K395" s="2117"/>
      <c r="L395" s="2117"/>
      <c r="M395" s="2116"/>
      <c r="N395" s="2117"/>
      <c r="O395" s="2116"/>
      <c r="P395" s="2116" t="s">
        <v>296</v>
      </c>
      <c r="Q395" s="2116" t="s">
        <v>296</v>
      </c>
      <c r="R395" s="2116" t="s">
        <v>296</v>
      </c>
    </row>
    <row r="396" spans="1:18" s="2265" customFormat="1">
      <c r="A396" s="2116"/>
      <c r="B396" s="2116"/>
      <c r="C396" s="2116"/>
      <c r="D396" s="2116"/>
      <c r="E396" s="2116"/>
      <c r="F396" s="2116"/>
      <c r="G396" s="2116"/>
      <c r="H396" s="2116"/>
      <c r="I396" s="2116"/>
      <c r="J396" s="2116"/>
      <c r="K396" s="2117"/>
      <c r="L396" s="2117"/>
      <c r="M396" s="2116"/>
      <c r="N396" s="2117"/>
      <c r="O396" s="2116"/>
      <c r="P396" s="2116" t="s">
        <v>296</v>
      </c>
      <c r="Q396" s="2116" t="s">
        <v>296</v>
      </c>
      <c r="R396" s="2116" t="s">
        <v>296</v>
      </c>
    </row>
    <row r="397" spans="1:18" s="2265" customFormat="1">
      <c r="A397" s="2116"/>
      <c r="B397" s="2116"/>
      <c r="C397" s="2116"/>
      <c r="D397" s="2116"/>
      <c r="E397" s="2116"/>
      <c r="F397" s="2116"/>
      <c r="G397" s="2116"/>
      <c r="H397" s="2116"/>
      <c r="I397" s="2116"/>
      <c r="J397" s="2116"/>
      <c r="K397" s="2117"/>
      <c r="L397" s="2117"/>
      <c r="M397" s="2116"/>
      <c r="N397" s="2117"/>
      <c r="O397" s="2116"/>
      <c r="P397" s="2116" t="s">
        <v>296</v>
      </c>
      <c r="Q397" s="2116" t="s">
        <v>296</v>
      </c>
      <c r="R397" s="2116" t="s">
        <v>296</v>
      </c>
    </row>
    <row r="398" spans="1:18" s="2265" customFormat="1">
      <c r="A398" s="2116"/>
      <c r="B398" s="2116"/>
      <c r="C398" s="2116"/>
      <c r="D398" s="2116"/>
      <c r="E398" s="2116"/>
      <c r="F398" s="2116"/>
      <c r="G398" s="2116"/>
      <c r="H398" s="2116"/>
      <c r="I398" s="2116"/>
      <c r="J398" s="2116"/>
      <c r="K398" s="2117"/>
      <c r="L398" s="2117"/>
      <c r="M398" s="2116"/>
      <c r="N398" s="2117"/>
      <c r="O398" s="2116"/>
      <c r="P398" s="2116" t="s">
        <v>296</v>
      </c>
      <c r="Q398" s="2116" t="s">
        <v>296</v>
      </c>
      <c r="R398" s="2116" t="s">
        <v>296</v>
      </c>
    </row>
    <row r="399" spans="1:18" s="2265" customFormat="1">
      <c r="A399" s="2116"/>
      <c r="B399" s="2116"/>
      <c r="C399" s="2116"/>
      <c r="D399" s="2116"/>
      <c r="E399" s="2116"/>
      <c r="F399" s="2116"/>
      <c r="G399" s="2116"/>
      <c r="H399" s="2116"/>
      <c r="I399" s="2116"/>
      <c r="J399" s="2116"/>
      <c r="K399" s="2117"/>
      <c r="L399" s="2117"/>
      <c r="M399" s="2116"/>
      <c r="N399" s="2117"/>
      <c r="O399" s="2116"/>
      <c r="P399" s="2116" t="s">
        <v>296</v>
      </c>
      <c r="Q399" s="2116" t="s">
        <v>296</v>
      </c>
      <c r="R399" s="2116" t="s">
        <v>296</v>
      </c>
    </row>
    <row r="400" spans="1:18" s="2265" customFormat="1">
      <c r="A400" s="2116"/>
      <c r="B400" s="2116"/>
      <c r="C400" s="2116"/>
      <c r="D400" s="2116"/>
      <c r="E400" s="2116"/>
      <c r="F400" s="2116"/>
      <c r="G400" s="2116"/>
      <c r="H400" s="2116"/>
      <c r="I400" s="2116"/>
      <c r="J400" s="2116"/>
      <c r="K400" s="2117"/>
      <c r="L400" s="2117"/>
      <c r="M400" s="2116"/>
      <c r="N400" s="2117"/>
      <c r="O400" s="2116"/>
      <c r="P400" s="2116" t="s">
        <v>296</v>
      </c>
      <c r="Q400" s="2116" t="s">
        <v>296</v>
      </c>
      <c r="R400" s="2116" t="s">
        <v>296</v>
      </c>
    </row>
    <row r="401" spans="1:18" s="2265" customFormat="1">
      <c r="A401" s="2116"/>
      <c r="B401" s="2116"/>
      <c r="C401" s="2116"/>
      <c r="D401" s="2116"/>
      <c r="E401" s="2116"/>
      <c r="F401" s="2116"/>
      <c r="G401" s="2116"/>
      <c r="H401" s="2116"/>
      <c r="I401" s="2116"/>
      <c r="J401" s="2116"/>
      <c r="K401" s="2117"/>
      <c r="L401" s="2117"/>
      <c r="M401" s="2116"/>
      <c r="N401" s="2117"/>
      <c r="O401" s="2116"/>
      <c r="P401" s="2116" t="s">
        <v>296</v>
      </c>
      <c r="Q401" s="2116" t="s">
        <v>296</v>
      </c>
      <c r="R401" s="2116" t="s">
        <v>296</v>
      </c>
    </row>
    <row r="402" spans="1:18" s="2265" customFormat="1">
      <c r="A402" s="2116"/>
      <c r="B402" s="2116"/>
      <c r="C402" s="2116"/>
      <c r="D402" s="2116"/>
      <c r="E402" s="2116"/>
      <c r="F402" s="2116"/>
      <c r="G402" s="2116"/>
      <c r="H402" s="2116"/>
      <c r="I402" s="2116"/>
      <c r="J402" s="2116"/>
      <c r="K402" s="2117"/>
      <c r="L402" s="2117"/>
      <c r="M402" s="2116"/>
      <c r="N402" s="2117"/>
      <c r="O402" s="2116"/>
      <c r="P402" s="2116" t="s">
        <v>296</v>
      </c>
      <c r="Q402" s="2116" t="s">
        <v>296</v>
      </c>
      <c r="R402" s="2116" t="s">
        <v>296</v>
      </c>
    </row>
    <row r="403" spans="1:18" s="2265" customFormat="1">
      <c r="A403" s="2116"/>
      <c r="B403" s="2116"/>
      <c r="C403" s="2116"/>
      <c r="D403" s="2116"/>
      <c r="E403" s="2116"/>
      <c r="F403" s="2116"/>
      <c r="G403" s="2116"/>
      <c r="H403" s="2116"/>
      <c r="I403" s="2116"/>
      <c r="J403" s="2116"/>
      <c r="K403" s="2117"/>
      <c r="L403" s="2117"/>
      <c r="M403" s="2116"/>
      <c r="N403" s="2117"/>
      <c r="O403" s="2116"/>
      <c r="P403" s="2116" t="s">
        <v>296</v>
      </c>
      <c r="Q403" s="2116" t="s">
        <v>296</v>
      </c>
      <c r="R403" s="2116" t="s">
        <v>296</v>
      </c>
    </row>
    <row r="404" spans="1:18" s="2265" customFormat="1">
      <c r="A404" s="2116"/>
      <c r="B404" s="2116"/>
      <c r="C404" s="2116"/>
      <c r="D404" s="2116"/>
      <c r="E404" s="2116"/>
      <c r="F404" s="2116"/>
      <c r="G404" s="2116"/>
      <c r="H404" s="2116"/>
      <c r="I404" s="2116"/>
      <c r="J404" s="2116"/>
      <c r="K404" s="2117"/>
      <c r="L404" s="2117"/>
      <c r="M404" s="2116"/>
      <c r="N404" s="2117"/>
      <c r="O404" s="2116"/>
      <c r="P404" s="2116" t="s">
        <v>296</v>
      </c>
      <c r="Q404" s="2116" t="s">
        <v>296</v>
      </c>
      <c r="R404" s="2116" t="s">
        <v>296</v>
      </c>
    </row>
    <row r="405" spans="1:18" s="2265" customFormat="1">
      <c r="A405" s="2116"/>
      <c r="B405" s="2116"/>
      <c r="C405" s="2116"/>
      <c r="D405" s="2116"/>
      <c r="E405" s="2116"/>
      <c r="F405" s="2116"/>
      <c r="G405" s="2116"/>
      <c r="H405" s="2116"/>
      <c r="I405" s="2116"/>
      <c r="J405" s="2116"/>
      <c r="K405" s="2117"/>
      <c r="L405" s="2117"/>
      <c r="M405" s="2116"/>
      <c r="N405" s="2117"/>
      <c r="O405" s="2116"/>
      <c r="P405" s="2116" t="s">
        <v>296</v>
      </c>
      <c r="Q405" s="2116" t="s">
        <v>296</v>
      </c>
      <c r="R405" s="2116" t="s">
        <v>296</v>
      </c>
    </row>
    <row r="406" spans="1:18" s="2265" customFormat="1">
      <c r="A406" s="2116"/>
      <c r="B406" s="2116"/>
      <c r="C406" s="2116"/>
      <c r="D406" s="2116"/>
      <c r="E406" s="2116"/>
      <c r="F406" s="2116"/>
      <c r="G406" s="2116"/>
      <c r="H406" s="2116"/>
      <c r="I406" s="2116"/>
      <c r="J406" s="2116"/>
      <c r="K406" s="2117"/>
      <c r="L406" s="2117"/>
      <c r="M406" s="2116"/>
      <c r="N406" s="2117"/>
      <c r="O406" s="2116"/>
      <c r="P406" s="2116" t="s">
        <v>296</v>
      </c>
      <c r="Q406" s="2116" t="s">
        <v>296</v>
      </c>
      <c r="R406" s="2116" t="s">
        <v>296</v>
      </c>
    </row>
    <row r="407" spans="1:18" s="2265" customFormat="1">
      <c r="A407" s="2116"/>
      <c r="B407" s="2116"/>
      <c r="C407" s="2116"/>
      <c r="D407" s="2116"/>
      <c r="E407" s="2116"/>
      <c r="F407" s="2116"/>
      <c r="G407" s="2116"/>
      <c r="H407" s="2116"/>
      <c r="I407" s="2116"/>
      <c r="J407" s="2116"/>
      <c r="K407" s="2117"/>
      <c r="L407" s="2117"/>
      <c r="M407" s="2116"/>
      <c r="N407" s="2117"/>
      <c r="O407" s="2116"/>
      <c r="P407" s="2116" t="s">
        <v>296</v>
      </c>
      <c r="Q407" s="2116" t="s">
        <v>296</v>
      </c>
      <c r="R407" s="2116" t="s">
        <v>296</v>
      </c>
    </row>
    <row r="408" spans="1:18" s="2265" customFormat="1">
      <c r="A408" s="2116"/>
      <c r="B408" s="2116"/>
      <c r="C408" s="2116"/>
      <c r="D408" s="2116"/>
      <c r="E408" s="2116"/>
      <c r="F408" s="2116"/>
      <c r="G408" s="2116"/>
      <c r="H408" s="2116"/>
      <c r="I408" s="2116"/>
      <c r="J408" s="2116"/>
      <c r="K408" s="2117"/>
      <c r="L408" s="2117"/>
      <c r="M408" s="2116"/>
      <c r="N408" s="2117"/>
      <c r="O408" s="2116"/>
      <c r="P408" s="2116" t="s">
        <v>296</v>
      </c>
      <c r="Q408" s="2116" t="s">
        <v>296</v>
      </c>
      <c r="R408" s="2116" t="s">
        <v>296</v>
      </c>
    </row>
    <row r="409" spans="1:18" s="2265" customFormat="1">
      <c r="A409" s="2116"/>
      <c r="B409" s="2116"/>
      <c r="C409" s="2116"/>
      <c r="D409" s="2116"/>
      <c r="E409" s="2116"/>
      <c r="F409" s="2116"/>
      <c r="G409" s="2116"/>
      <c r="H409" s="2116"/>
      <c r="I409" s="2116"/>
      <c r="J409" s="2116"/>
      <c r="K409" s="2117"/>
      <c r="L409" s="2117"/>
      <c r="M409" s="2116"/>
      <c r="N409" s="2117"/>
      <c r="O409" s="2116"/>
      <c r="P409" s="2116" t="s">
        <v>296</v>
      </c>
      <c r="Q409" s="2116" t="s">
        <v>296</v>
      </c>
      <c r="R409" s="2116" t="s">
        <v>296</v>
      </c>
    </row>
    <row r="410" spans="1:18" s="2265" customFormat="1">
      <c r="A410" s="2116"/>
      <c r="B410" s="2116"/>
      <c r="C410" s="2116"/>
      <c r="D410" s="2116"/>
      <c r="E410" s="2116"/>
      <c r="F410" s="2116"/>
      <c r="G410" s="2116"/>
      <c r="H410" s="2116"/>
      <c r="I410" s="2116"/>
      <c r="J410" s="2116"/>
      <c r="K410" s="2117"/>
      <c r="L410" s="2117"/>
      <c r="M410" s="2116"/>
      <c r="N410" s="2117"/>
      <c r="O410" s="2116"/>
      <c r="P410" s="2116" t="s">
        <v>296</v>
      </c>
      <c r="Q410" s="2116" t="s">
        <v>296</v>
      </c>
      <c r="R410" s="2116" t="s">
        <v>296</v>
      </c>
    </row>
    <row r="411" spans="1:18" s="2265" customFormat="1">
      <c r="A411" s="2116"/>
      <c r="B411" s="2116"/>
      <c r="C411" s="2116"/>
      <c r="D411" s="2116"/>
      <c r="E411" s="2116"/>
      <c r="F411" s="2116"/>
      <c r="G411" s="2116"/>
      <c r="H411" s="2116"/>
      <c r="I411" s="2116"/>
      <c r="J411" s="2116"/>
      <c r="K411" s="2117"/>
      <c r="L411" s="2117"/>
      <c r="M411" s="2116"/>
      <c r="N411" s="2117"/>
      <c r="O411" s="2116"/>
      <c r="P411" s="2116" t="s">
        <v>296</v>
      </c>
      <c r="Q411" s="2116" t="s">
        <v>296</v>
      </c>
      <c r="R411" s="2116" t="s">
        <v>296</v>
      </c>
    </row>
    <row r="412" spans="1:18" s="2265" customFormat="1">
      <c r="A412" s="2116"/>
      <c r="B412" s="2116"/>
      <c r="C412" s="2116"/>
      <c r="D412" s="2116"/>
      <c r="E412" s="2116"/>
      <c r="F412" s="2116"/>
      <c r="G412" s="2116"/>
      <c r="H412" s="2116"/>
      <c r="I412" s="2116"/>
      <c r="J412" s="2116"/>
      <c r="K412" s="2117"/>
      <c r="L412" s="2117"/>
      <c r="M412" s="2116"/>
      <c r="N412" s="2117"/>
      <c r="O412" s="2116"/>
      <c r="P412" s="2116" t="s">
        <v>296</v>
      </c>
      <c r="Q412" s="2116" t="s">
        <v>296</v>
      </c>
      <c r="R412" s="2116" t="s">
        <v>296</v>
      </c>
    </row>
    <row r="413" spans="1:18" s="2265" customFormat="1">
      <c r="A413" s="2116"/>
      <c r="B413" s="2116"/>
      <c r="C413" s="2116"/>
      <c r="D413" s="2116"/>
      <c r="E413" s="2116"/>
      <c r="F413" s="2116"/>
      <c r="G413" s="2116"/>
      <c r="H413" s="2116"/>
      <c r="I413" s="2116"/>
      <c r="J413" s="2116"/>
      <c r="K413" s="2117"/>
      <c r="L413" s="2117"/>
      <c r="M413" s="2116"/>
      <c r="N413" s="2117"/>
      <c r="O413" s="2116"/>
      <c r="P413" s="2116" t="s">
        <v>296</v>
      </c>
      <c r="Q413" s="2116" t="s">
        <v>296</v>
      </c>
      <c r="R413" s="2116" t="s">
        <v>296</v>
      </c>
    </row>
    <row r="414" spans="1:18" s="2265" customFormat="1">
      <c r="A414" s="2116"/>
      <c r="B414" s="2116"/>
      <c r="C414" s="2116"/>
      <c r="D414" s="2116"/>
      <c r="E414" s="2116"/>
      <c r="F414" s="2116"/>
      <c r="G414" s="2116"/>
      <c r="H414" s="2116"/>
      <c r="I414" s="2116"/>
      <c r="J414" s="2116"/>
      <c r="K414" s="2117"/>
      <c r="L414" s="2117"/>
      <c r="M414" s="2116"/>
      <c r="N414" s="2117"/>
      <c r="O414" s="2116"/>
      <c r="P414" s="2116" t="s">
        <v>296</v>
      </c>
      <c r="Q414" s="2116" t="s">
        <v>296</v>
      </c>
      <c r="R414" s="2116" t="s">
        <v>296</v>
      </c>
    </row>
    <row r="415" spans="1:18" s="2265" customFormat="1">
      <c r="A415" s="2116"/>
      <c r="B415" s="2116"/>
      <c r="C415" s="2116"/>
      <c r="D415" s="2116"/>
      <c r="E415" s="2116"/>
      <c r="F415" s="2116"/>
      <c r="G415" s="2116"/>
      <c r="H415" s="2116"/>
      <c r="I415" s="2116"/>
      <c r="J415" s="2116"/>
      <c r="K415" s="2117"/>
      <c r="L415" s="2117"/>
      <c r="M415" s="2116"/>
      <c r="N415" s="2117"/>
      <c r="O415" s="2116"/>
      <c r="P415" s="2116" t="s">
        <v>296</v>
      </c>
      <c r="Q415" s="2116" t="s">
        <v>296</v>
      </c>
      <c r="R415" s="2116" t="s">
        <v>296</v>
      </c>
    </row>
    <row r="416" spans="1:18" s="2265" customFormat="1">
      <c r="A416" s="2116"/>
      <c r="B416" s="2116"/>
      <c r="C416" s="2116"/>
      <c r="D416" s="2116"/>
      <c r="E416" s="2116"/>
      <c r="F416" s="2116"/>
      <c r="G416" s="2116"/>
      <c r="H416" s="2116"/>
      <c r="I416" s="2116"/>
      <c r="J416" s="2116"/>
      <c r="K416" s="2117"/>
      <c r="L416" s="2117"/>
      <c r="M416" s="2116"/>
      <c r="N416" s="2117"/>
      <c r="O416" s="2116"/>
      <c r="P416" s="2116" t="s">
        <v>296</v>
      </c>
      <c r="Q416" s="2116" t="s">
        <v>296</v>
      </c>
      <c r="R416" s="2116" t="s">
        <v>296</v>
      </c>
    </row>
    <row r="417" spans="1:18" s="2265" customFormat="1">
      <c r="A417" s="2116"/>
      <c r="B417" s="2116"/>
      <c r="C417" s="2116"/>
      <c r="D417" s="2116"/>
      <c r="E417" s="2116"/>
      <c r="F417" s="2116"/>
      <c r="G417" s="2116"/>
      <c r="H417" s="2116"/>
      <c r="I417" s="2116"/>
      <c r="J417" s="2116"/>
      <c r="K417" s="2117"/>
      <c r="L417" s="2117"/>
      <c r="M417" s="2116"/>
      <c r="N417" s="2117"/>
      <c r="O417" s="2116"/>
      <c r="P417" s="2116" t="s">
        <v>296</v>
      </c>
      <c r="Q417" s="2116" t="s">
        <v>296</v>
      </c>
      <c r="R417" s="2116" t="s">
        <v>296</v>
      </c>
    </row>
    <row r="418" spans="1:18" s="2265" customFormat="1">
      <c r="A418" s="2116"/>
      <c r="B418" s="2116"/>
      <c r="C418" s="2116"/>
      <c r="D418" s="2116"/>
      <c r="E418" s="2116"/>
      <c r="F418" s="2116"/>
      <c r="G418" s="2116"/>
      <c r="H418" s="2116"/>
      <c r="I418" s="2116"/>
      <c r="J418" s="2116"/>
      <c r="K418" s="2117"/>
      <c r="L418" s="2117"/>
      <c r="M418" s="2116"/>
      <c r="N418" s="2117"/>
      <c r="O418" s="2116"/>
      <c r="P418" s="2116" t="s">
        <v>296</v>
      </c>
      <c r="Q418" s="2116" t="s">
        <v>296</v>
      </c>
      <c r="R418" s="2116" t="s">
        <v>296</v>
      </c>
    </row>
    <row r="419" spans="1:18" s="2265" customFormat="1">
      <c r="A419" s="2116"/>
      <c r="B419" s="2116"/>
      <c r="C419" s="2116"/>
      <c r="D419" s="2116"/>
      <c r="E419" s="2116"/>
      <c r="F419" s="2116"/>
      <c r="G419" s="2116"/>
      <c r="H419" s="2116"/>
      <c r="I419" s="2116"/>
      <c r="J419" s="2116"/>
      <c r="K419" s="2117"/>
      <c r="L419" s="2117"/>
      <c r="M419" s="2116"/>
      <c r="N419" s="2117"/>
      <c r="O419" s="2116"/>
      <c r="P419" s="2116" t="s">
        <v>296</v>
      </c>
      <c r="Q419" s="2116" t="s">
        <v>296</v>
      </c>
      <c r="R419" s="2116" t="s">
        <v>296</v>
      </c>
    </row>
    <row r="420" spans="1:18" s="2265" customFormat="1">
      <c r="A420" s="2116"/>
      <c r="B420" s="2116"/>
      <c r="C420" s="2116"/>
      <c r="D420" s="2116"/>
      <c r="E420" s="2116"/>
      <c r="F420" s="2116"/>
      <c r="G420" s="2116"/>
      <c r="H420" s="2116"/>
      <c r="I420" s="2116"/>
      <c r="J420" s="2116"/>
      <c r="K420" s="2117"/>
      <c r="L420" s="2117"/>
      <c r="M420" s="2116"/>
      <c r="N420" s="2117"/>
      <c r="O420" s="2116"/>
      <c r="P420" s="2116" t="s">
        <v>296</v>
      </c>
      <c r="Q420" s="2116" t="s">
        <v>296</v>
      </c>
      <c r="R420" s="2116" t="s">
        <v>296</v>
      </c>
    </row>
    <row r="421" spans="1:18" s="2265" customFormat="1">
      <c r="A421" s="2116"/>
      <c r="B421" s="2116"/>
      <c r="C421" s="2116"/>
      <c r="D421" s="2116"/>
      <c r="E421" s="2116"/>
      <c r="F421" s="2116"/>
      <c r="G421" s="2116"/>
      <c r="H421" s="2116"/>
      <c r="I421" s="2116"/>
      <c r="J421" s="2116"/>
      <c r="K421" s="2117"/>
      <c r="L421" s="2117"/>
      <c r="M421" s="2116"/>
      <c r="N421" s="2117"/>
      <c r="O421" s="2116"/>
      <c r="P421" s="2116" t="s">
        <v>296</v>
      </c>
      <c r="Q421" s="2116" t="s">
        <v>296</v>
      </c>
      <c r="R421" s="2116" t="s">
        <v>296</v>
      </c>
    </row>
    <row r="422" spans="1:18" s="2265" customFormat="1">
      <c r="A422" s="2116"/>
      <c r="B422" s="2116"/>
      <c r="C422" s="2116"/>
      <c r="D422" s="2116"/>
      <c r="E422" s="2116"/>
      <c r="F422" s="2116"/>
      <c r="G422" s="2116"/>
      <c r="H422" s="2116"/>
      <c r="I422" s="2116"/>
      <c r="J422" s="2116"/>
      <c r="K422" s="2117"/>
      <c r="L422" s="2117"/>
      <c r="M422" s="2116"/>
      <c r="N422" s="2117"/>
      <c r="O422" s="2116"/>
      <c r="P422" s="2116" t="s">
        <v>296</v>
      </c>
      <c r="Q422" s="2116" t="s">
        <v>296</v>
      </c>
      <c r="R422" s="2116" t="s">
        <v>296</v>
      </c>
    </row>
    <row r="423" spans="1:18" s="2265" customFormat="1">
      <c r="A423" s="2116"/>
      <c r="B423" s="2116"/>
      <c r="C423" s="2116"/>
      <c r="D423" s="2116"/>
      <c r="E423" s="2116"/>
      <c r="F423" s="2116"/>
      <c r="G423" s="2116"/>
      <c r="H423" s="2116"/>
      <c r="I423" s="2116"/>
      <c r="J423" s="2116"/>
      <c r="K423" s="2117"/>
      <c r="L423" s="2117"/>
      <c r="M423" s="2116"/>
      <c r="N423" s="2117"/>
      <c r="O423" s="2116"/>
      <c r="P423" s="2116" t="s">
        <v>296</v>
      </c>
      <c r="Q423" s="2116" t="s">
        <v>296</v>
      </c>
      <c r="R423" s="2116" t="s">
        <v>296</v>
      </c>
    </row>
    <row r="424" spans="1:18" s="2265" customFormat="1">
      <c r="A424" s="2116"/>
      <c r="B424" s="2116"/>
      <c r="C424" s="2116"/>
      <c r="D424" s="2116"/>
      <c r="E424" s="2116"/>
      <c r="F424" s="2116"/>
      <c r="G424" s="2116"/>
      <c r="H424" s="2116"/>
      <c r="I424" s="2116"/>
      <c r="J424" s="2116"/>
      <c r="K424" s="2117"/>
      <c r="L424" s="2117"/>
      <c r="M424" s="2116"/>
      <c r="N424" s="2117"/>
      <c r="O424" s="2116"/>
      <c r="P424" s="2116" t="s">
        <v>296</v>
      </c>
      <c r="Q424" s="2116" t="s">
        <v>296</v>
      </c>
      <c r="R424" s="2116" t="s">
        <v>296</v>
      </c>
    </row>
    <row r="425" spans="1:18" s="2265" customFormat="1">
      <c r="A425" s="2116"/>
      <c r="B425" s="2116"/>
      <c r="C425" s="2116"/>
      <c r="D425" s="2116"/>
      <c r="E425" s="2116"/>
      <c r="F425" s="2116"/>
      <c r="G425" s="2116"/>
      <c r="H425" s="2116"/>
      <c r="I425" s="2116"/>
      <c r="J425" s="2116"/>
      <c r="K425" s="2117"/>
      <c r="L425" s="2117"/>
      <c r="M425" s="2116"/>
      <c r="N425" s="2117"/>
      <c r="O425" s="2116"/>
      <c r="P425" s="2116" t="s">
        <v>296</v>
      </c>
      <c r="Q425" s="2116" t="s">
        <v>296</v>
      </c>
      <c r="R425" s="2116" t="s">
        <v>296</v>
      </c>
    </row>
    <row r="426" spans="1:18" s="2265" customFormat="1">
      <c r="A426" s="2116"/>
      <c r="B426" s="2116"/>
      <c r="C426" s="2116"/>
      <c r="D426" s="2116"/>
      <c r="E426" s="2116"/>
      <c r="F426" s="2116"/>
      <c r="G426" s="2116"/>
      <c r="H426" s="2116"/>
      <c r="I426" s="2116"/>
      <c r="J426" s="2116"/>
      <c r="K426" s="2117"/>
      <c r="L426" s="2117"/>
      <c r="M426" s="2116"/>
      <c r="N426" s="2117"/>
      <c r="O426" s="2116"/>
      <c r="P426" s="2116" t="s">
        <v>296</v>
      </c>
      <c r="Q426" s="2116" t="s">
        <v>296</v>
      </c>
      <c r="R426" s="2116" t="s">
        <v>296</v>
      </c>
    </row>
    <row r="427" spans="1:18" s="2265" customFormat="1">
      <c r="A427" s="2116"/>
      <c r="B427" s="2116"/>
      <c r="C427" s="2116"/>
      <c r="D427" s="2116"/>
      <c r="E427" s="2116"/>
      <c r="F427" s="2116"/>
      <c r="G427" s="2116"/>
      <c r="H427" s="2116"/>
      <c r="I427" s="2116"/>
      <c r="J427" s="2116"/>
      <c r="K427" s="2117"/>
      <c r="L427" s="2117"/>
      <c r="M427" s="2116"/>
      <c r="N427" s="2117"/>
      <c r="O427" s="2116"/>
      <c r="P427" s="2116" t="s">
        <v>296</v>
      </c>
      <c r="Q427" s="2116" t="s">
        <v>296</v>
      </c>
      <c r="R427" s="2116" t="s">
        <v>296</v>
      </c>
    </row>
    <row r="428" spans="1:18" s="2265" customFormat="1">
      <c r="A428" s="2116"/>
      <c r="B428" s="2116"/>
      <c r="C428" s="2116"/>
      <c r="D428" s="2116"/>
      <c r="E428" s="2116"/>
      <c r="F428" s="2116"/>
      <c r="G428" s="2116"/>
      <c r="H428" s="2116"/>
      <c r="I428" s="2116"/>
      <c r="J428" s="2116"/>
      <c r="K428" s="2117"/>
      <c r="L428" s="2117"/>
      <c r="M428" s="2116"/>
      <c r="N428" s="2117"/>
      <c r="O428" s="2116"/>
      <c r="P428" s="2116" t="s">
        <v>296</v>
      </c>
      <c r="Q428" s="2116" t="s">
        <v>296</v>
      </c>
      <c r="R428" s="2116" t="s">
        <v>296</v>
      </c>
    </row>
    <row r="429" spans="1:18" s="2265" customFormat="1">
      <c r="A429" s="2116"/>
      <c r="B429" s="2116"/>
      <c r="C429" s="2116"/>
      <c r="D429" s="2116"/>
      <c r="E429" s="2116"/>
      <c r="F429" s="2116"/>
      <c r="G429" s="2116"/>
      <c r="H429" s="2116"/>
      <c r="I429" s="2116"/>
      <c r="J429" s="2116"/>
      <c r="K429" s="2117"/>
      <c r="L429" s="2117"/>
      <c r="M429" s="2116"/>
      <c r="N429" s="2117"/>
      <c r="O429" s="2116"/>
      <c r="P429" s="2116" t="s">
        <v>296</v>
      </c>
      <c r="Q429" s="2116" t="s">
        <v>296</v>
      </c>
      <c r="R429" s="2116" t="s">
        <v>296</v>
      </c>
    </row>
    <row r="430" spans="1:18" s="2265" customFormat="1">
      <c r="A430" s="2116"/>
      <c r="B430" s="2116"/>
      <c r="C430" s="2116"/>
      <c r="D430" s="2116"/>
      <c r="E430" s="2116"/>
      <c r="F430" s="2116"/>
      <c r="G430" s="2116"/>
      <c r="H430" s="2116"/>
      <c r="I430" s="2116"/>
      <c r="J430" s="2116"/>
      <c r="K430" s="2117"/>
      <c r="L430" s="2117"/>
      <c r="M430" s="2116"/>
      <c r="N430" s="2117"/>
      <c r="O430" s="2116"/>
      <c r="P430" s="2116" t="s">
        <v>296</v>
      </c>
      <c r="Q430" s="2116" t="s">
        <v>296</v>
      </c>
      <c r="R430" s="2116" t="s">
        <v>296</v>
      </c>
    </row>
    <row r="431" spans="1:18" s="2265" customFormat="1">
      <c r="A431" s="2116"/>
      <c r="B431" s="2116"/>
      <c r="C431" s="2116"/>
      <c r="D431" s="2116"/>
      <c r="E431" s="2116"/>
      <c r="F431" s="2116"/>
      <c r="G431" s="2116"/>
      <c r="H431" s="2116"/>
      <c r="I431" s="2116"/>
      <c r="J431" s="2116"/>
      <c r="K431" s="2117"/>
      <c r="L431" s="2117"/>
      <c r="M431" s="2116"/>
      <c r="N431" s="2117"/>
      <c r="O431" s="2116"/>
      <c r="P431" s="2116" t="s">
        <v>296</v>
      </c>
      <c r="Q431" s="2116" t="s">
        <v>296</v>
      </c>
      <c r="R431" s="2116" t="s">
        <v>296</v>
      </c>
    </row>
    <row r="432" spans="1:18" s="2265" customFormat="1">
      <c r="A432" s="2116"/>
      <c r="B432" s="2116"/>
      <c r="C432" s="2116"/>
      <c r="D432" s="2116"/>
      <c r="E432" s="2116"/>
      <c r="F432" s="2116"/>
      <c r="G432" s="2116"/>
      <c r="H432" s="2116"/>
      <c r="I432" s="2116"/>
      <c r="J432" s="2116"/>
      <c r="K432" s="2117"/>
      <c r="L432" s="2117"/>
      <c r="M432" s="2116"/>
      <c r="N432" s="2117"/>
      <c r="O432" s="2116"/>
      <c r="P432" s="2116" t="s">
        <v>296</v>
      </c>
      <c r="Q432" s="2116" t="s">
        <v>296</v>
      </c>
      <c r="R432" s="2116" t="s">
        <v>296</v>
      </c>
    </row>
    <row r="433" spans="1:18" s="2265" customFormat="1">
      <c r="A433" s="2116"/>
      <c r="B433" s="2116"/>
      <c r="C433" s="2116"/>
      <c r="D433" s="2116"/>
      <c r="E433" s="2116"/>
      <c r="F433" s="2116"/>
      <c r="G433" s="2116"/>
      <c r="H433" s="2116"/>
      <c r="I433" s="2116"/>
      <c r="J433" s="2116"/>
      <c r="K433" s="2117"/>
      <c r="L433" s="2117"/>
      <c r="M433" s="2116"/>
      <c r="N433" s="2117"/>
      <c r="O433" s="2116"/>
      <c r="P433" s="2116" t="s">
        <v>296</v>
      </c>
      <c r="Q433" s="2116" t="s">
        <v>296</v>
      </c>
      <c r="R433" s="2116" t="s">
        <v>296</v>
      </c>
    </row>
    <row r="434" spans="1:18" s="2265" customFormat="1">
      <c r="A434" s="2116"/>
      <c r="B434" s="2116"/>
      <c r="C434" s="2116"/>
      <c r="D434" s="2116"/>
      <c r="E434" s="2116"/>
      <c r="F434" s="2116"/>
      <c r="G434" s="2116"/>
      <c r="H434" s="2116"/>
      <c r="I434" s="2116"/>
      <c r="J434" s="2116"/>
      <c r="K434" s="2117"/>
      <c r="L434" s="2117"/>
      <c r="M434" s="2116"/>
      <c r="N434" s="2117"/>
      <c r="O434" s="2116"/>
      <c r="P434" s="2116" t="s">
        <v>296</v>
      </c>
      <c r="Q434" s="2116" t="s">
        <v>296</v>
      </c>
      <c r="R434" s="2116" t="s">
        <v>296</v>
      </c>
    </row>
    <row r="435" spans="1:18" s="2265" customFormat="1">
      <c r="A435" s="2116"/>
      <c r="B435" s="2116"/>
      <c r="C435" s="2116"/>
      <c r="D435" s="2116"/>
      <c r="E435" s="2116"/>
      <c r="F435" s="2116"/>
      <c r="G435" s="2116"/>
      <c r="H435" s="2116"/>
      <c r="I435" s="2116"/>
      <c r="J435" s="2116"/>
      <c r="K435" s="2117"/>
      <c r="L435" s="2117"/>
      <c r="M435" s="2116"/>
      <c r="N435" s="2117"/>
      <c r="O435" s="2116"/>
      <c r="P435" s="2116" t="s">
        <v>296</v>
      </c>
      <c r="Q435" s="2116" t="s">
        <v>296</v>
      </c>
      <c r="R435" s="2116" t="s">
        <v>296</v>
      </c>
    </row>
    <row r="436" spans="1:18" s="2265" customFormat="1">
      <c r="A436" s="2116"/>
      <c r="B436" s="2116"/>
      <c r="C436" s="2116"/>
      <c r="D436" s="2116"/>
      <c r="E436" s="2116"/>
      <c r="F436" s="2116"/>
      <c r="G436" s="2116"/>
      <c r="H436" s="2116"/>
      <c r="I436" s="2116"/>
      <c r="J436" s="2116"/>
      <c r="K436" s="2117"/>
      <c r="L436" s="2117"/>
      <c r="M436" s="2116"/>
      <c r="N436" s="2117"/>
      <c r="O436" s="2116"/>
      <c r="P436" s="2116" t="s">
        <v>296</v>
      </c>
      <c r="Q436" s="2116" t="s">
        <v>296</v>
      </c>
      <c r="R436" s="2116" t="s">
        <v>296</v>
      </c>
    </row>
    <row r="437" spans="1:18" s="2265" customFormat="1">
      <c r="A437" s="2116"/>
      <c r="B437" s="2116"/>
      <c r="C437" s="2116"/>
      <c r="D437" s="2116"/>
      <c r="E437" s="2116"/>
      <c r="F437" s="2116"/>
      <c r="G437" s="2116"/>
      <c r="H437" s="2116"/>
      <c r="I437" s="2116"/>
      <c r="J437" s="2116"/>
      <c r="K437" s="2117"/>
      <c r="L437" s="2117"/>
      <c r="M437" s="2116"/>
      <c r="N437" s="2117"/>
      <c r="O437" s="2116"/>
      <c r="P437" s="2116" t="s">
        <v>296</v>
      </c>
      <c r="Q437" s="2116" t="s">
        <v>296</v>
      </c>
      <c r="R437" s="2116" t="s">
        <v>296</v>
      </c>
    </row>
    <row r="438" spans="1:18" s="2265" customFormat="1">
      <c r="A438" s="2116"/>
      <c r="B438" s="2116"/>
      <c r="C438" s="2116"/>
      <c r="D438" s="2116"/>
      <c r="E438" s="2116"/>
      <c r="F438" s="2116"/>
      <c r="G438" s="2116"/>
      <c r="H438" s="2116"/>
      <c r="I438" s="2116"/>
      <c r="J438" s="2116"/>
      <c r="K438" s="2117"/>
      <c r="L438" s="2117"/>
      <c r="M438" s="2116"/>
      <c r="N438" s="2117"/>
      <c r="O438" s="2116"/>
      <c r="P438" s="2116" t="s">
        <v>296</v>
      </c>
      <c r="Q438" s="2116" t="s">
        <v>296</v>
      </c>
      <c r="R438" s="2116" t="s">
        <v>296</v>
      </c>
    </row>
    <row r="439" spans="1:18" s="2265" customFormat="1">
      <c r="A439" s="2116"/>
      <c r="B439" s="2116"/>
      <c r="C439" s="2116"/>
      <c r="D439" s="2116"/>
      <c r="E439" s="2116"/>
      <c r="F439" s="2116"/>
      <c r="G439" s="2116"/>
      <c r="H439" s="2116"/>
      <c r="I439" s="2116"/>
      <c r="J439" s="2116"/>
      <c r="K439" s="2117"/>
      <c r="L439" s="2117"/>
      <c r="M439" s="2116"/>
      <c r="N439" s="2117"/>
      <c r="O439" s="2116"/>
      <c r="P439" s="2116" t="s">
        <v>296</v>
      </c>
      <c r="Q439" s="2116" t="s">
        <v>296</v>
      </c>
      <c r="R439" s="2116" t="s">
        <v>296</v>
      </c>
    </row>
    <row r="440" spans="1:18" s="2265" customFormat="1">
      <c r="A440" s="2116"/>
      <c r="B440" s="2116"/>
      <c r="C440" s="2116"/>
      <c r="D440" s="2116"/>
      <c r="E440" s="2116"/>
      <c r="F440" s="2116"/>
      <c r="G440" s="2116"/>
      <c r="H440" s="2116"/>
      <c r="I440" s="2116"/>
      <c r="J440" s="2116"/>
      <c r="K440" s="2117"/>
      <c r="L440" s="2117"/>
      <c r="M440" s="2116"/>
      <c r="N440" s="2117"/>
      <c r="O440" s="2116"/>
      <c r="P440" s="2116" t="s">
        <v>296</v>
      </c>
      <c r="Q440" s="2116" t="s">
        <v>296</v>
      </c>
      <c r="R440" s="2116" t="s">
        <v>296</v>
      </c>
    </row>
    <row r="441" spans="1:18" s="2265" customFormat="1">
      <c r="A441" s="2116"/>
      <c r="B441" s="2116"/>
      <c r="C441" s="2116"/>
      <c r="D441" s="2116"/>
      <c r="E441" s="2116"/>
      <c r="F441" s="2116"/>
      <c r="G441" s="2116"/>
      <c r="H441" s="2116"/>
      <c r="I441" s="2116"/>
      <c r="J441" s="2116"/>
      <c r="K441" s="2117"/>
      <c r="L441" s="2117"/>
      <c r="M441" s="2116"/>
      <c r="N441" s="2117"/>
      <c r="O441" s="2116"/>
      <c r="P441" s="2116" t="s">
        <v>296</v>
      </c>
      <c r="Q441" s="2116" t="s">
        <v>296</v>
      </c>
      <c r="R441" s="2116" t="s">
        <v>296</v>
      </c>
    </row>
    <row r="442" spans="1:18" s="2265" customFormat="1">
      <c r="A442" s="2116"/>
      <c r="B442" s="2116"/>
      <c r="C442" s="2116"/>
      <c r="D442" s="2116"/>
      <c r="E442" s="2116"/>
      <c r="F442" s="2116"/>
      <c r="G442" s="2116"/>
      <c r="H442" s="2116"/>
      <c r="I442" s="2116"/>
      <c r="J442" s="2116"/>
      <c r="K442" s="2117"/>
      <c r="L442" s="2117"/>
      <c r="M442" s="2116"/>
      <c r="N442" s="2117"/>
      <c r="O442" s="2116"/>
      <c r="P442" s="2116" t="s">
        <v>296</v>
      </c>
      <c r="Q442" s="2116" t="s">
        <v>296</v>
      </c>
      <c r="R442" s="2116" t="s">
        <v>296</v>
      </c>
    </row>
    <row r="443" spans="1:18" s="2265" customFormat="1">
      <c r="A443" s="2116"/>
      <c r="B443" s="2116"/>
      <c r="C443" s="2116"/>
      <c r="D443" s="2116"/>
      <c r="E443" s="2116"/>
      <c r="F443" s="2116"/>
      <c r="G443" s="2116"/>
      <c r="H443" s="2116"/>
      <c r="I443" s="2116"/>
      <c r="J443" s="2116"/>
      <c r="K443" s="2117"/>
      <c r="L443" s="2117"/>
      <c r="M443" s="2116"/>
      <c r="N443" s="2117"/>
      <c r="O443" s="2116"/>
      <c r="P443" s="2116" t="s">
        <v>296</v>
      </c>
      <c r="Q443" s="2116" t="s">
        <v>296</v>
      </c>
      <c r="R443" s="2116" t="s">
        <v>296</v>
      </c>
    </row>
    <row r="444" spans="1:18" s="2265" customFormat="1">
      <c r="A444" s="2116"/>
      <c r="B444" s="2116"/>
      <c r="C444" s="2116"/>
      <c r="D444" s="2116"/>
      <c r="E444" s="2116"/>
      <c r="F444" s="2116"/>
      <c r="G444" s="2116"/>
      <c r="H444" s="2116"/>
      <c r="I444" s="2116"/>
      <c r="J444" s="2116"/>
      <c r="K444" s="2117"/>
      <c r="L444" s="2117"/>
      <c r="M444" s="2116"/>
      <c r="N444" s="2117"/>
      <c r="O444" s="2116"/>
      <c r="P444" s="2116" t="s">
        <v>296</v>
      </c>
      <c r="Q444" s="2116" t="s">
        <v>296</v>
      </c>
      <c r="R444" s="2116" t="s">
        <v>296</v>
      </c>
    </row>
    <row r="445" spans="1:18" s="2508" customFormat="1">
      <c r="A445" s="2116"/>
      <c r="B445" s="2116"/>
      <c r="C445" s="2116"/>
      <c r="D445" s="2116"/>
      <c r="E445" s="2116"/>
      <c r="F445" s="2116"/>
      <c r="G445" s="2116"/>
      <c r="H445" s="2116"/>
      <c r="I445" s="2116"/>
      <c r="J445" s="2116"/>
      <c r="K445" s="2117"/>
      <c r="L445" s="2117"/>
      <c r="M445" s="2116"/>
      <c r="N445" s="2117"/>
      <c r="O445" s="2116"/>
      <c r="P445" s="2547" t="s">
        <v>296</v>
      </c>
      <c r="Q445" s="2547" t="s">
        <v>296</v>
      </c>
      <c r="R445" s="2547" t="s">
        <v>296</v>
      </c>
    </row>
    <row r="446" spans="1:18" s="2508" customFormat="1">
      <c r="A446" s="2116"/>
      <c r="B446" s="2116"/>
      <c r="C446" s="2116"/>
      <c r="D446" s="2116"/>
      <c r="E446" s="2116"/>
      <c r="F446" s="2116"/>
      <c r="G446" s="2116"/>
      <c r="H446" s="2116"/>
      <c r="I446" s="2116"/>
      <c r="J446" s="2116"/>
      <c r="K446" s="2117"/>
      <c r="L446" s="2117"/>
      <c r="M446" s="2116"/>
      <c r="N446" s="2117"/>
      <c r="O446" s="2116"/>
      <c r="P446" s="2547" t="s">
        <v>296</v>
      </c>
      <c r="Q446" s="2547" t="s">
        <v>296</v>
      </c>
      <c r="R446" s="2547" t="s">
        <v>296</v>
      </c>
    </row>
    <row r="447" spans="1:18" s="2508" customFormat="1">
      <c r="A447" s="2116"/>
      <c r="B447" s="2116"/>
      <c r="C447" s="2116"/>
      <c r="D447" s="2116"/>
      <c r="E447" s="2116"/>
      <c r="F447" s="2116"/>
      <c r="G447" s="2116"/>
      <c r="H447" s="2116"/>
      <c r="I447" s="2116"/>
      <c r="J447" s="2116"/>
      <c r="K447" s="2117"/>
      <c r="L447" s="2117"/>
      <c r="M447" s="2116"/>
      <c r="N447" s="2117"/>
      <c r="O447" s="2116"/>
      <c r="P447" s="2547" t="s">
        <v>296</v>
      </c>
      <c r="Q447" s="2547" t="s">
        <v>296</v>
      </c>
      <c r="R447" s="2547" t="s">
        <v>296</v>
      </c>
    </row>
    <row r="448" spans="1:18" s="2508" customFormat="1">
      <c r="A448" s="2116"/>
      <c r="B448" s="2116"/>
      <c r="C448" s="2116"/>
      <c r="D448" s="2116"/>
      <c r="E448" s="2116"/>
      <c r="F448" s="2116"/>
      <c r="G448" s="2116"/>
      <c r="H448" s="2116"/>
      <c r="I448" s="2116"/>
      <c r="J448" s="2116"/>
      <c r="K448" s="2117"/>
      <c r="L448" s="2117"/>
      <c r="M448" s="2116"/>
      <c r="N448" s="2117"/>
      <c r="O448" s="2116"/>
      <c r="P448" s="2547" t="s">
        <v>296</v>
      </c>
      <c r="Q448" s="2547" t="s">
        <v>296</v>
      </c>
      <c r="R448" s="2547" t="s">
        <v>296</v>
      </c>
    </row>
    <row r="449" spans="1:18" s="2508" customFormat="1">
      <c r="A449" s="2116"/>
      <c r="B449" s="2116"/>
      <c r="C449" s="2116"/>
      <c r="D449" s="2116"/>
      <c r="E449" s="2116"/>
      <c r="F449" s="2116"/>
      <c r="G449" s="2116"/>
      <c r="H449" s="2116"/>
      <c r="I449" s="2116"/>
      <c r="J449" s="2116"/>
      <c r="K449" s="2117"/>
      <c r="L449" s="2117"/>
      <c r="M449" s="2116"/>
      <c r="N449" s="2117"/>
      <c r="O449" s="2116"/>
      <c r="P449" s="2547" t="s">
        <v>296</v>
      </c>
      <c r="Q449" s="2547" t="s">
        <v>296</v>
      </c>
      <c r="R449" s="2547" t="s">
        <v>296</v>
      </c>
    </row>
    <row r="450" spans="1:18" s="2508" customFormat="1">
      <c r="A450" s="2116"/>
      <c r="B450" s="2116"/>
      <c r="C450" s="2116"/>
      <c r="D450" s="2116"/>
      <c r="E450" s="2116"/>
      <c r="F450" s="2116"/>
      <c r="G450" s="2116"/>
      <c r="H450" s="2116"/>
      <c r="I450" s="2116"/>
      <c r="J450" s="2116"/>
      <c r="K450" s="2117"/>
      <c r="L450" s="2117"/>
      <c r="M450" s="2116"/>
      <c r="N450" s="2117"/>
      <c r="O450" s="2116"/>
      <c r="P450" s="2547" t="s">
        <v>296</v>
      </c>
      <c r="Q450" s="2547" t="s">
        <v>296</v>
      </c>
      <c r="R450" s="2547" t="s">
        <v>296</v>
      </c>
    </row>
    <row r="451" spans="1:18" s="2508" customFormat="1">
      <c r="A451" s="2116"/>
      <c r="B451" s="2116"/>
      <c r="C451" s="2116"/>
      <c r="D451" s="2116"/>
      <c r="E451" s="2116"/>
      <c r="F451" s="2116"/>
      <c r="G451" s="2116"/>
      <c r="H451" s="2116"/>
      <c r="I451" s="2116"/>
      <c r="J451" s="2116"/>
      <c r="K451" s="2117"/>
      <c r="L451" s="2117"/>
      <c r="M451" s="2116"/>
      <c r="N451" s="2117"/>
      <c r="O451" s="2116"/>
      <c r="P451" s="2547" t="s">
        <v>296</v>
      </c>
      <c r="Q451" s="2547" t="s">
        <v>296</v>
      </c>
      <c r="R451" s="2547" t="s">
        <v>296</v>
      </c>
    </row>
    <row r="452" spans="1:18" s="2508" customFormat="1">
      <c r="A452" s="2116"/>
      <c r="B452" s="2116"/>
      <c r="C452" s="2116"/>
      <c r="D452" s="2116"/>
      <c r="E452" s="2116"/>
      <c r="F452" s="2116"/>
      <c r="G452" s="2116"/>
      <c r="H452" s="2116"/>
      <c r="I452" s="2116"/>
      <c r="J452" s="2116"/>
      <c r="K452" s="2117"/>
      <c r="L452" s="2117"/>
      <c r="M452" s="2116"/>
      <c r="N452" s="2117"/>
      <c r="O452" s="2116"/>
      <c r="P452" s="2547" t="s">
        <v>296</v>
      </c>
      <c r="Q452" s="2547" t="s">
        <v>296</v>
      </c>
      <c r="R452" s="2547" t="s">
        <v>296</v>
      </c>
    </row>
    <row r="453" spans="1:18" s="2508" customFormat="1">
      <c r="A453" s="2116"/>
      <c r="B453" s="2116"/>
      <c r="C453" s="2116"/>
      <c r="D453" s="2116"/>
      <c r="E453" s="2116"/>
      <c r="F453" s="2116"/>
      <c r="G453" s="2116"/>
      <c r="H453" s="2116"/>
      <c r="I453" s="2116"/>
      <c r="J453" s="2116"/>
      <c r="K453" s="2117"/>
      <c r="L453" s="2117"/>
      <c r="M453" s="2116"/>
      <c r="N453" s="2117"/>
      <c r="O453" s="2116"/>
      <c r="P453" s="2547" t="s">
        <v>296</v>
      </c>
      <c r="Q453" s="2547" t="s">
        <v>296</v>
      </c>
      <c r="R453" s="2547" t="s">
        <v>296</v>
      </c>
    </row>
    <row r="454" spans="1:18" s="2508" customFormat="1">
      <c r="A454" s="2116"/>
      <c r="B454" s="2116"/>
      <c r="C454" s="2116"/>
      <c r="D454" s="2116"/>
      <c r="E454" s="2116"/>
      <c r="F454" s="2116"/>
      <c r="G454" s="2116"/>
      <c r="H454" s="2116"/>
      <c r="I454" s="2116"/>
      <c r="J454" s="2116"/>
      <c r="K454" s="2117"/>
      <c r="L454" s="2117"/>
      <c r="M454" s="2116"/>
      <c r="N454" s="2117"/>
      <c r="O454" s="2116"/>
      <c r="P454" s="2547" t="s">
        <v>296</v>
      </c>
      <c r="Q454" s="2547" t="s">
        <v>296</v>
      </c>
      <c r="R454" s="2547" t="s">
        <v>296</v>
      </c>
    </row>
    <row r="455" spans="1:18" s="2508" customFormat="1">
      <c r="A455" s="2116"/>
      <c r="B455" s="2116"/>
      <c r="C455" s="2116"/>
      <c r="D455" s="2116"/>
      <c r="E455" s="2116"/>
      <c r="F455" s="2116"/>
      <c r="G455" s="2116"/>
      <c r="H455" s="2116"/>
      <c r="I455" s="2116"/>
      <c r="J455" s="2116"/>
      <c r="K455" s="2117"/>
      <c r="L455" s="2117"/>
      <c r="M455" s="2116"/>
      <c r="N455" s="2117"/>
      <c r="O455" s="2116"/>
      <c r="P455" s="2547" t="s">
        <v>296</v>
      </c>
      <c r="Q455" s="2547" t="s">
        <v>296</v>
      </c>
      <c r="R455" s="2547" t="s">
        <v>296</v>
      </c>
    </row>
    <row r="456" spans="1:18" s="2508" customFormat="1">
      <c r="A456" s="2116"/>
      <c r="B456" s="2116"/>
      <c r="C456" s="2116"/>
      <c r="D456" s="2116"/>
      <c r="E456" s="2116"/>
      <c r="F456" s="2116"/>
      <c r="G456" s="2116"/>
      <c r="H456" s="2116"/>
      <c r="I456" s="2116"/>
      <c r="J456" s="2116"/>
      <c r="K456" s="2117"/>
      <c r="L456" s="2117"/>
      <c r="M456" s="2116"/>
      <c r="N456" s="2117"/>
      <c r="O456" s="2116"/>
      <c r="P456" s="2547" t="s">
        <v>296</v>
      </c>
      <c r="Q456" s="2547" t="s">
        <v>296</v>
      </c>
      <c r="R456" s="2547" t="s">
        <v>296</v>
      </c>
    </row>
    <row r="457" spans="1:18" s="2508" customFormat="1">
      <c r="A457" s="2116"/>
      <c r="B457" s="2116"/>
      <c r="C457" s="2116"/>
      <c r="D457" s="2116"/>
      <c r="E457" s="2116"/>
      <c r="F457" s="2116"/>
      <c r="G457" s="2116"/>
      <c r="H457" s="2116"/>
      <c r="I457" s="2116"/>
      <c r="J457" s="2116"/>
      <c r="K457" s="2117"/>
      <c r="L457" s="2117"/>
      <c r="M457" s="2116"/>
      <c r="N457" s="2117"/>
      <c r="O457" s="2116"/>
      <c r="P457" s="2547" t="s">
        <v>296</v>
      </c>
      <c r="Q457" s="2547" t="s">
        <v>296</v>
      </c>
      <c r="R457" s="2547" t="s">
        <v>296</v>
      </c>
    </row>
    <row r="458" spans="1:18" s="2508" customFormat="1">
      <c r="A458" s="2116"/>
      <c r="B458" s="2116"/>
      <c r="C458" s="2116"/>
      <c r="D458" s="2116"/>
      <c r="E458" s="2116"/>
      <c r="F458" s="2116"/>
      <c r="G458" s="2116"/>
      <c r="H458" s="2116"/>
      <c r="I458" s="2116"/>
      <c r="J458" s="2116"/>
      <c r="K458" s="2117"/>
      <c r="L458" s="2117"/>
      <c r="M458" s="2116"/>
      <c r="N458" s="2117"/>
      <c r="O458" s="2116"/>
      <c r="P458" s="2547" t="s">
        <v>296</v>
      </c>
      <c r="Q458" s="2547" t="s">
        <v>296</v>
      </c>
      <c r="R458" s="2547" t="s">
        <v>296</v>
      </c>
    </row>
    <row r="459" spans="1:18" s="2508" customFormat="1">
      <c r="A459" s="2116"/>
      <c r="B459" s="2116"/>
      <c r="C459" s="2116"/>
      <c r="D459" s="2116"/>
      <c r="E459" s="2116"/>
      <c r="F459" s="2116"/>
      <c r="G459" s="2116"/>
      <c r="H459" s="2116"/>
      <c r="I459" s="2116"/>
      <c r="J459" s="2116"/>
      <c r="K459" s="2117"/>
      <c r="L459" s="2117"/>
      <c r="M459" s="2116"/>
      <c r="N459" s="2117"/>
      <c r="O459" s="2116"/>
      <c r="P459" s="2547" t="s">
        <v>296</v>
      </c>
      <c r="Q459" s="2547" t="s">
        <v>296</v>
      </c>
      <c r="R459" s="2547" t="s">
        <v>296</v>
      </c>
    </row>
    <row r="460" spans="1:18" s="2508" customFormat="1">
      <c r="A460" s="2116"/>
      <c r="B460" s="2116"/>
      <c r="C460" s="2116"/>
      <c r="D460" s="2116"/>
      <c r="E460" s="2116"/>
      <c r="F460" s="2116"/>
      <c r="G460" s="2116"/>
      <c r="H460" s="2116"/>
      <c r="I460" s="2116"/>
      <c r="J460" s="2116"/>
      <c r="K460" s="2117"/>
      <c r="L460" s="2117"/>
      <c r="M460" s="2116"/>
      <c r="N460" s="2117"/>
      <c r="O460" s="2116"/>
      <c r="P460" s="2547" t="s">
        <v>296</v>
      </c>
      <c r="Q460" s="2547" t="s">
        <v>296</v>
      </c>
      <c r="R460" s="2547" t="s">
        <v>296</v>
      </c>
    </row>
    <row r="461" spans="1:18" s="2508" customFormat="1">
      <c r="A461" s="2116"/>
      <c r="B461" s="2116"/>
      <c r="C461" s="2116"/>
      <c r="D461" s="2116"/>
      <c r="E461" s="2116"/>
      <c r="F461" s="2116"/>
      <c r="G461" s="2116"/>
      <c r="H461" s="2116"/>
      <c r="I461" s="2116"/>
      <c r="J461" s="2116"/>
      <c r="K461" s="2117"/>
      <c r="L461" s="2117"/>
      <c r="M461" s="2116"/>
      <c r="N461" s="2117"/>
      <c r="O461" s="2116"/>
      <c r="P461" s="2547" t="s">
        <v>296</v>
      </c>
      <c r="Q461" s="2547" t="s">
        <v>296</v>
      </c>
      <c r="R461" s="2547" t="s">
        <v>296</v>
      </c>
    </row>
    <row r="462" spans="1:18" s="2508" customFormat="1">
      <c r="A462" s="2116"/>
      <c r="B462" s="2116"/>
      <c r="C462" s="2116"/>
      <c r="D462" s="2116"/>
      <c r="E462" s="2116"/>
      <c r="F462" s="2116"/>
      <c r="G462" s="2116"/>
      <c r="H462" s="2116"/>
      <c r="I462" s="2116"/>
      <c r="J462" s="2116"/>
      <c r="K462" s="2117"/>
      <c r="L462" s="2117"/>
      <c r="M462" s="2116"/>
      <c r="N462" s="2117"/>
      <c r="O462" s="2116"/>
      <c r="P462" s="2547" t="s">
        <v>296</v>
      </c>
      <c r="Q462" s="2547" t="s">
        <v>296</v>
      </c>
      <c r="R462" s="2547" t="s">
        <v>296</v>
      </c>
    </row>
    <row r="463" spans="1:18" s="2508" customFormat="1">
      <c r="A463" s="2116"/>
      <c r="B463" s="2116"/>
      <c r="C463" s="2116"/>
      <c r="D463" s="2116"/>
      <c r="E463" s="2116"/>
      <c r="F463" s="2116"/>
      <c r="G463" s="2116"/>
      <c r="H463" s="2116"/>
      <c r="I463" s="2116"/>
      <c r="J463" s="2116"/>
      <c r="K463" s="2117"/>
      <c r="L463" s="2117"/>
      <c r="M463" s="2116"/>
      <c r="N463" s="2117"/>
      <c r="O463" s="2116"/>
      <c r="P463" s="2547" t="s">
        <v>296</v>
      </c>
      <c r="Q463" s="2547" t="s">
        <v>296</v>
      </c>
      <c r="R463" s="2547" t="s">
        <v>296</v>
      </c>
    </row>
    <row r="464" spans="1:18" s="2508" customFormat="1">
      <c r="A464" s="2116"/>
      <c r="B464" s="2116"/>
      <c r="C464" s="2116"/>
      <c r="D464" s="2116"/>
      <c r="E464" s="2116"/>
      <c r="F464" s="2116"/>
      <c r="G464" s="2116"/>
      <c r="H464" s="2116"/>
      <c r="I464" s="2116"/>
      <c r="J464" s="2116"/>
      <c r="K464" s="2117"/>
      <c r="L464" s="2117"/>
      <c r="M464" s="2116"/>
      <c r="N464" s="2117"/>
      <c r="O464" s="2116"/>
      <c r="P464" s="2547" t="s">
        <v>296</v>
      </c>
      <c r="Q464" s="2547" t="s">
        <v>296</v>
      </c>
      <c r="R464" s="2547" t="s">
        <v>296</v>
      </c>
    </row>
    <row r="465" spans="1:18" s="2508" customFormat="1">
      <c r="A465" s="2116"/>
      <c r="B465" s="2116"/>
      <c r="C465" s="2116"/>
      <c r="D465" s="2116"/>
      <c r="E465" s="2116"/>
      <c r="F465" s="2116"/>
      <c r="G465" s="2116"/>
      <c r="H465" s="2116"/>
      <c r="I465" s="2116"/>
      <c r="J465" s="2116"/>
      <c r="K465" s="2117"/>
      <c r="L465" s="2117"/>
      <c r="M465" s="2116"/>
      <c r="N465" s="2117"/>
      <c r="O465" s="2116"/>
      <c r="P465" s="2547" t="s">
        <v>296</v>
      </c>
      <c r="Q465" s="2547" t="s">
        <v>296</v>
      </c>
      <c r="R465" s="2547" t="s">
        <v>296</v>
      </c>
    </row>
    <row r="466" spans="1:18" s="2508" customFormat="1">
      <c r="A466" s="2116"/>
      <c r="B466" s="2116"/>
      <c r="C466" s="2116"/>
      <c r="D466" s="2116"/>
      <c r="E466" s="2116"/>
      <c r="F466" s="2116"/>
      <c r="G466" s="2116"/>
      <c r="H466" s="2116"/>
      <c r="I466" s="2116"/>
      <c r="J466" s="2116"/>
      <c r="K466" s="2117"/>
      <c r="L466" s="2117"/>
      <c r="M466" s="2116"/>
      <c r="N466" s="2117"/>
      <c r="O466" s="2116"/>
      <c r="P466" s="2547" t="s">
        <v>296</v>
      </c>
      <c r="Q466" s="2547" t="s">
        <v>296</v>
      </c>
      <c r="R466" s="2547" t="s">
        <v>296</v>
      </c>
    </row>
    <row r="467" spans="1:18" s="2508" customFormat="1">
      <c r="A467" s="2116"/>
      <c r="B467" s="2116"/>
      <c r="C467" s="2116"/>
      <c r="D467" s="2116"/>
      <c r="E467" s="2116"/>
      <c r="F467" s="2116"/>
      <c r="G467" s="2116"/>
      <c r="H467" s="2116"/>
      <c r="I467" s="2116"/>
      <c r="J467" s="2116"/>
      <c r="K467" s="2117"/>
      <c r="L467" s="2117"/>
      <c r="M467" s="2116"/>
      <c r="N467" s="2117"/>
      <c r="O467" s="2116"/>
      <c r="P467" s="2547" t="s">
        <v>296</v>
      </c>
      <c r="Q467" s="2547" t="s">
        <v>296</v>
      </c>
      <c r="R467" s="2547" t="s">
        <v>296</v>
      </c>
    </row>
    <row r="468" spans="1:18" s="2508" customFormat="1">
      <c r="A468" s="2116"/>
      <c r="B468" s="2116"/>
      <c r="C468" s="2116"/>
      <c r="D468" s="2116"/>
      <c r="E468" s="2116"/>
      <c r="F468" s="2116"/>
      <c r="G468" s="2116"/>
      <c r="H468" s="2116"/>
      <c r="I468" s="2116"/>
      <c r="J468" s="2116"/>
      <c r="K468" s="2117"/>
      <c r="L468" s="2117"/>
      <c r="M468" s="2116"/>
      <c r="N468" s="2117"/>
      <c r="O468" s="2116"/>
      <c r="P468" s="2547" t="s">
        <v>296</v>
      </c>
      <c r="Q468" s="2547" t="s">
        <v>296</v>
      </c>
      <c r="R468" s="2547" t="s">
        <v>296</v>
      </c>
    </row>
    <row r="469" spans="1:18" s="2265" customFormat="1">
      <c r="A469" s="2116"/>
      <c r="B469" s="2116"/>
      <c r="C469" s="2116"/>
      <c r="D469" s="2116"/>
      <c r="E469" s="2116"/>
      <c r="F469" s="2116"/>
      <c r="G469" s="2116"/>
      <c r="H469" s="2116"/>
      <c r="I469" s="2116"/>
      <c r="J469" s="2116"/>
      <c r="K469" s="2117"/>
      <c r="L469" s="2117"/>
      <c r="M469" s="2116"/>
      <c r="N469" s="2117"/>
      <c r="O469" s="2116"/>
      <c r="P469" s="2116" t="s">
        <v>296</v>
      </c>
      <c r="Q469" s="2116" t="s">
        <v>296</v>
      </c>
      <c r="R469" s="2116" t="s">
        <v>296</v>
      </c>
    </row>
    <row r="470" spans="1:18" s="2265" customFormat="1">
      <c r="A470" s="2116"/>
      <c r="B470" s="2116"/>
      <c r="C470" s="2116"/>
      <c r="D470" s="2116"/>
      <c r="E470" s="2116"/>
      <c r="F470" s="2116"/>
      <c r="G470" s="2116"/>
      <c r="H470" s="2116"/>
      <c r="I470" s="2116"/>
      <c r="J470" s="2116"/>
      <c r="K470" s="2117"/>
      <c r="L470" s="2117"/>
      <c r="M470" s="2116"/>
      <c r="N470" s="2117"/>
      <c r="O470" s="2116"/>
      <c r="P470" s="2116" t="s">
        <v>296</v>
      </c>
      <c r="Q470" s="2116" t="s">
        <v>296</v>
      </c>
      <c r="R470" s="2116" t="s">
        <v>296</v>
      </c>
    </row>
    <row r="471" spans="1:18" s="2265" customFormat="1">
      <c r="A471" s="2116"/>
      <c r="B471" s="2116"/>
      <c r="C471" s="2116"/>
      <c r="D471" s="2116"/>
      <c r="E471" s="2116"/>
      <c r="F471" s="2116"/>
      <c r="G471" s="2116"/>
      <c r="H471" s="2116"/>
      <c r="I471" s="2116"/>
      <c r="J471" s="2116"/>
      <c r="K471" s="2117"/>
      <c r="L471" s="2117"/>
      <c r="M471" s="2116"/>
      <c r="N471" s="2117"/>
      <c r="O471" s="2116"/>
      <c r="P471" s="2116" t="s">
        <v>296</v>
      </c>
      <c r="Q471" s="2116" t="s">
        <v>296</v>
      </c>
      <c r="R471" s="2116" t="s">
        <v>296</v>
      </c>
    </row>
    <row r="472" spans="1:18" s="2265" customFormat="1">
      <c r="A472" s="2116"/>
      <c r="B472" s="2116"/>
      <c r="C472" s="2116"/>
      <c r="D472" s="2116"/>
      <c r="E472" s="2116"/>
      <c r="F472" s="2116"/>
      <c r="G472" s="2116"/>
      <c r="H472" s="2116"/>
      <c r="I472" s="2116"/>
      <c r="J472" s="2116"/>
      <c r="K472" s="2117"/>
      <c r="L472" s="2117"/>
      <c r="M472" s="2116"/>
      <c r="N472" s="2117"/>
      <c r="O472" s="2116"/>
      <c r="P472" s="2116" t="s">
        <v>296</v>
      </c>
      <c r="Q472" s="2116" t="s">
        <v>296</v>
      </c>
      <c r="R472" s="2116" t="s">
        <v>296</v>
      </c>
    </row>
    <row r="473" spans="1:18" s="2265" customFormat="1">
      <c r="A473" s="2116"/>
      <c r="B473" s="2116"/>
      <c r="C473" s="2116"/>
      <c r="D473" s="2116"/>
      <c r="E473" s="2116"/>
      <c r="F473" s="2116"/>
      <c r="G473" s="2116"/>
      <c r="H473" s="2116"/>
      <c r="I473" s="2116"/>
      <c r="J473" s="2116"/>
      <c r="K473" s="2117"/>
      <c r="L473" s="2117"/>
      <c r="M473" s="2116"/>
      <c r="N473" s="2117"/>
      <c r="O473" s="2116"/>
      <c r="P473" s="2116" t="s">
        <v>296</v>
      </c>
      <c r="Q473" s="2116" t="s">
        <v>296</v>
      </c>
      <c r="R473" s="2116" t="s">
        <v>296</v>
      </c>
    </row>
    <row r="474" spans="1:18" s="2265" customFormat="1">
      <c r="A474" s="2116"/>
      <c r="B474" s="2116"/>
      <c r="C474" s="2116"/>
      <c r="D474" s="2116"/>
      <c r="E474" s="2116"/>
      <c r="F474" s="2116"/>
      <c r="G474" s="2116"/>
      <c r="H474" s="2116"/>
      <c r="I474" s="2116"/>
      <c r="J474" s="2116"/>
      <c r="K474" s="2117"/>
      <c r="L474" s="2117"/>
      <c r="M474" s="2116"/>
      <c r="N474" s="2117"/>
      <c r="O474" s="2116"/>
      <c r="P474" s="2116" t="s">
        <v>296</v>
      </c>
      <c r="Q474" s="2116" t="s">
        <v>296</v>
      </c>
      <c r="R474" s="2116" t="s">
        <v>296</v>
      </c>
    </row>
    <row r="475" spans="1:18" s="2265" customFormat="1">
      <c r="A475" s="2116"/>
      <c r="B475" s="2116"/>
      <c r="C475" s="2116"/>
      <c r="D475" s="2116"/>
      <c r="E475" s="2116"/>
      <c r="F475" s="2116"/>
      <c r="G475" s="2116"/>
      <c r="H475" s="2116"/>
      <c r="I475" s="2116"/>
      <c r="J475" s="2116"/>
      <c r="K475" s="2117"/>
      <c r="L475" s="2117"/>
      <c r="M475" s="2116"/>
      <c r="N475" s="2117"/>
      <c r="O475" s="2116"/>
      <c r="P475" s="2116" t="s">
        <v>296</v>
      </c>
      <c r="Q475" s="2116" t="s">
        <v>296</v>
      </c>
      <c r="R475" s="2116" t="s">
        <v>296</v>
      </c>
    </row>
    <row r="476" spans="1:18" s="2265" customFormat="1">
      <c r="A476" s="2116"/>
      <c r="B476" s="2116"/>
      <c r="C476" s="2116"/>
      <c r="D476" s="2116"/>
      <c r="E476" s="2116"/>
      <c r="F476" s="2116"/>
      <c r="G476" s="2116"/>
      <c r="H476" s="2116"/>
      <c r="I476" s="2116"/>
      <c r="J476" s="2116"/>
      <c r="K476" s="2117"/>
      <c r="L476" s="2117"/>
      <c r="M476" s="2116"/>
      <c r="N476" s="2117"/>
      <c r="O476" s="2116"/>
      <c r="P476" s="2116" t="s">
        <v>296</v>
      </c>
      <c r="Q476" s="2116" t="s">
        <v>296</v>
      </c>
      <c r="R476" s="2116" t="s">
        <v>296</v>
      </c>
    </row>
    <row r="477" spans="1:18" s="2265" customFormat="1">
      <c r="A477" s="2116"/>
      <c r="B477" s="2116"/>
      <c r="C477" s="2116"/>
      <c r="D477" s="2116"/>
      <c r="E477" s="2116"/>
      <c r="F477" s="2116"/>
      <c r="G477" s="2116"/>
      <c r="H477" s="2116"/>
      <c r="I477" s="2116"/>
      <c r="J477" s="2116"/>
      <c r="K477" s="2117"/>
      <c r="L477" s="2117"/>
      <c r="M477" s="2116"/>
      <c r="N477" s="2117"/>
      <c r="O477" s="2116"/>
      <c r="P477" s="2116" t="s">
        <v>296</v>
      </c>
      <c r="Q477" s="2116" t="s">
        <v>296</v>
      </c>
      <c r="R477" s="2116" t="s">
        <v>296</v>
      </c>
    </row>
    <row r="478" spans="1:18" s="2265" customFormat="1">
      <c r="A478" s="2116"/>
      <c r="B478" s="2116"/>
      <c r="C478" s="2116"/>
      <c r="D478" s="2116"/>
      <c r="E478" s="2116"/>
      <c r="F478" s="2116"/>
      <c r="G478" s="2116"/>
      <c r="H478" s="2116"/>
      <c r="I478" s="2116"/>
      <c r="J478" s="2116"/>
      <c r="K478" s="2117"/>
      <c r="L478" s="2117"/>
      <c r="M478" s="2116"/>
      <c r="N478" s="2117"/>
      <c r="O478" s="2116"/>
      <c r="P478" s="2116" t="s">
        <v>296</v>
      </c>
      <c r="Q478" s="2116" t="s">
        <v>296</v>
      </c>
      <c r="R478" s="2116" t="s">
        <v>296</v>
      </c>
    </row>
    <row r="479" spans="1:18" s="2265" customFormat="1">
      <c r="A479" s="2116"/>
      <c r="B479" s="2116"/>
      <c r="C479" s="2116"/>
      <c r="D479" s="2116"/>
      <c r="E479" s="2116"/>
      <c r="F479" s="2116"/>
      <c r="G479" s="2116"/>
      <c r="H479" s="2116"/>
      <c r="I479" s="2116"/>
      <c r="J479" s="2116"/>
      <c r="K479" s="2117"/>
      <c r="L479" s="2117"/>
      <c r="M479" s="2116"/>
      <c r="N479" s="2117"/>
      <c r="O479" s="2116"/>
      <c r="P479" s="2116" t="s">
        <v>296</v>
      </c>
      <c r="Q479" s="2116" t="s">
        <v>296</v>
      </c>
      <c r="R479" s="2116" t="s">
        <v>296</v>
      </c>
    </row>
    <row r="480" spans="1:18" s="2265" customFormat="1">
      <c r="A480" s="2116"/>
      <c r="B480" s="2116"/>
      <c r="C480" s="2116"/>
      <c r="D480" s="2116"/>
      <c r="E480" s="2116"/>
      <c r="F480" s="2116"/>
      <c r="G480" s="2116"/>
      <c r="H480" s="2116"/>
      <c r="I480" s="2116"/>
      <c r="J480" s="2116"/>
      <c r="K480" s="2117"/>
      <c r="L480" s="2117"/>
      <c r="M480" s="2116"/>
      <c r="N480" s="2117"/>
      <c r="O480" s="2116"/>
      <c r="P480" s="2116" t="s">
        <v>296</v>
      </c>
      <c r="Q480" s="2116" t="s">
        <v>296</v>
      </c>
      <c r="R480" s="2116" t="s">
        <v>296</v>
      </c>
    </row>
    <row r="481" spans="1:18" s="2265" customFormat="1">
      <c r="A481" s="2116"/>
      <c r="B481" s="2116"/>
      <c r="C481" s="2116"/>
      <c r="D481" s="2116"/>
      <c r="E481" s="2116"/>
      <c r="F481" s="2116"/>
      <c r="G481" s="2116"/>
      <c r="H481" s="2116"/>
      <c r="I481" s="2116"/>
      <c r="J481" s="2116"/>
      <c r="K481" s="2117"/>
      <c r="L481" s="2117"/>
      <c r="M481" s="2116"/>
      <c r="N481" s="2117"/>
      <c r="O481" s="2116"/>
      <c r="P481" s="2116" t="s">
        <v>296</v>
      </c>
      <c r="Q481" s="2116" t="s">
        <v>296</v>
      </c>
      <c r="R481" s="2116" t="s">
        <v>296</v>
      </c>
    </row>
    <row r="482" spans="1:18" s="2265" customFormat="1">
      <c r="A482" s="2116"/>
      <c r="B482" s="2116"/>
      <c r="C482" s="2116"/>
      <c r="D482" s="2116"/>
      <c r="E482" s="2116"/>
      <c r="F482" s="2116"/>
      <c r="G482" s="2116"/>
      <c r="H482" s="2116"/>
      <c r="I482" s="2116"/>
      <c r="J482" s="2116"/>
      <c r="K482" s="2117"/>
      <c r="L482" s="2117"/>
      <c r="M482" s="2116"/>
      <c r="N482" s="2117"/>
      <c r="O482" s="2116"/>
      <c r="P482" s="2116" t="s">
        <v>296</v>
      </c>
      <c r="Q482" s="2116" t="s">
        <v>296</v>
      </c>
      <c r="R482" s="2116" t="s">
        <v>296</v>
      </c>
    </row>
    <row r="483" spans="1:18" s="2265" customFormat="1">
      <c r="A483" s="2116"/>
      <c r="B483" s="2116"/>
      <c r="C483" s="2116"/>
      <c r="D483" s="2116"/>
      <c r="E483" s="2116"/>
      <c r="F483" s="2116"/>
      <c r="G483" s="2116"/>
      <c r="H483" s="2116"/>
      <c r="I483" s="2116"/>
      <c r="J483" s="2116"/>
      <c r="K483" s="2117"/>
      <c r="L483" s="2117"/>
      <c r="M483" s="2116"/>
      <c r="N483" s="2117"/>
      <c r="O483" s="2116"/>
      <c r="P483" s="2116" t="s">
        <v>296</v>
      </c>
      <c r="Q483" s="2116" t="s">
        <v>296</v>
      </c>
      <c r="R483" s="2116" t="s">
        <v>296</v>
      </c>
    </row>
    <row r="484" spans="1:18" s="2265" customFormat="1">
      <c r="A484" s="2116"/>
      <c r="B484" s="2116"/>
      <c r="C484" s="2116"/>
      <c r="D484" s="2116"/>
      <c r="E484" s="2116"/>
      <c r="F484" s="2116"/>
      <c r="G484" s="2116"/>
      <c r="H484" s="2116"/>
      <c r="I484" s="2116"/>
      <c r="J484" s="2116"/>
      <c r="K484" s="2117"/>
      <c r="L484" s="2117"/>
      <c r="M484" s="2116"/>
      <c r="N484" s="2117"/>
      <c r="O484" s="2116"/>
      <c r="P484" s="2116" t="s">
        <v>296</v>
      </c>
      <c r="Q484" s="2116" t="s">
        <v>296</v>
      </c>
      <c r="R484" s="2116" t="s">
        <v>296</v>
      </c>
    </row>
    <row r="485" spans="1:18" s="2265" customFormat="1">
      <c r="A485" s="2116"/>
      <c r="B485" s="2116"/>
      <c r="C485" s="2116"/>
      <c r="D485" s="2116"/>
      <c r="E485" s="2116"/>
      <c r="F485" s="2116"/>
      <c r="G485" s="2116"/>
      <c r="H485" s="2116"/>
      <c r="I485" s="2116"/>
      <c r="J485" s="2116"/>
      <c r="K485" s="2117"/>
      <c r="L485" s="2117"/>
      <c r="M485" s="2116"/>
      <c r="N485" s="2117"/>
      <c r="O485" s="2116"/>
      <c r="P485" s="2116" t="s">
        <v>296</v>
      </c>
      <c r="Q485" s="2116" t="s">
        <v>296</v>
      </c>
      <c r="R485" s="2116" t="s">
        <v>296</v>
      </c>
    </row>
    <row r="486" spans="1:18" s="2265" customFormat="1">
      <c r="A486" s="2116"/>
      <c r="B486" s="2116"/>
      <c r="C486" s="2116"/>
      <c r="D486" s="2116"/>
      <c r="E486" s="2116"/>
      <c r="F486" s="2116"/>
      <c r="G486" s="2116"/>
      <c r="H486" s="2116"/>
      <c r="I486" s="2116"/>
      <c r="J486" s="2116"/>
      <c r="K486" s="2117"/>
      <c r="L486" s="2117"/>
      <c r="M486" s="2116"/>
      <c r="N486" s="2117"/>
      <c r="O486" s="2116"/>
      <c r="P486" s="2116" t="s">
        <v>296</v>
      </c>
      <c r="Q486" s="2116" t="s">
        <v>296</v>
      </c>
      <c r="R486" s="2116" t="s">
        <v>296</v>
      </c>
    </row>
    <row r="487" spans="1:18" s="2265" customFormat="1">
      <c r="A487" s="2116"/>
      <c r="B487" s="2116"/>
      <c r="C487" s="2116"/>
      <c r="D487" s="2116"/>
      <c r="E487" s="2116"/>
      <c r="F487" s="2116"/>
      <c r="G487" s="2116"/>
      <c r="H487" s="2116"/>
      <c r="I487" s="2116"/>
      <c r="J487" s="2116"/>
      <c r="K487" s="2117"/>
      <c r="L487" s="2117"/>
      <c r="M487" s="2116"/>
      <c r="N487" s="2117"/>
      <c r="O487" s="2116"/>
      <c r="P487" s="2116" t="s">
        <v>296</v>
      </c>
      <c r="Q487" s="2116" t="s">
        <v>296</v>
      </c>
      <c r="R487" s="2116" t="s">
        <v>296</v>
      </c>
    </row>
    <row r="488" spans="1:18" s="2265" customFormat="1">
      <c r="A488" s="2116"/>
      <c r="B488" s="2116"/>
      <c r="C488" s="2116"/>
      <c r="D488" s="2116"/>
      <c r="E488" s="2116"/>
      <c r="F488" s="2116"/>
      <c r="G488" s="2116"/>
      <c r="H488" s="2116"/>
      <c r="I488" s="2116"/>
      <c r="J488" s="2116"/>
      <c r="K488" s="2117"/>
      <c r="L488" s="2117"/>
      <c r="M488" s="2116"/>
      <c r="N488" s="2117"/>
      <c r="O488" s="2116"/>
      <c r="P488" s="2116" t="s">
        <v>296</v>
      </c>
      <c r="Q488" s="2116" t="s">
        <v>296</v>
      </c>
      <c r="R488" s="2116" t="s">
        <v>296</v>
      </c>
    </row>
    <row r="489" spans="1:18" s="2265" customFormat="1">
      <c r="A489" s="2116"/>
      <c r="B489" s="2116"/>
      <c r="C489" s="2116"/>
      <c r="D489" s="2116"/>
      <c r="E489" s="2116"/>
      <c r="F489" s="2116"/>
      <c r="G489" s="2116"/>
      <c r="H489" s="2116"/>
      <c r="I489" s="2116"/>
      <c r="J489" s="2116"/>
      <c r="K489" s="2117"/>
      <c r="L489" s="2117"/>
      <c r="M489" s="2116"/>
      <c r="N489" s="2117"/>
      <c r="O489" s="2116"/>
      <c r="P489" s="2116" t="s">
        <v>296</v>
      </c>
      <c r="Q489" s="2116" t="s">
        <v>296</v>
      </c>
      <c r="R489" s="2116" t="s">
        <v>296</v>
      </c>
    </row>
    <row r="490" spans="1:18" s="2265" customFormat="1">
      <c r="A490" s="2116"/>
      <c r="B490" s="2116"/>
      <c r="C490" s="2116"/>
      <c r="D490" s="2116"/>
      <c r="E490" s="2116"/>
      <c r="F490" s="2116"/>
      <c r="G490" s="2116"/>
      <c r="H490" s="2116"/>
      <c r="I490" s="2116"/>
      <c r="J490" s="2116"/>
      <c r="K490" s="2117"/>
      <c r="L490" s="2117"/>
      <c r="M490" s="2116"/>
      <c r="N490" s="2117"/>
      <c r="O490" s="2116"/>
      <c r="P490" s="2116" t="s">
        <v>296</v>
      </c>
      <c r="Q490" s="2116" t="s">
        <v>296</v>
      </c>
      <c r="R490" s="2116" t="s">
        <v>296</v>
      </c>
    </row>
    <row r="491" spans="1:18" s="2265" customFormat="1">
      <c r="A491" s="2116"/>
      <c r="B491" s="2116"/>
      <c r="C491" s="2116"/>
      <c r="D491" s="2116"/>
      <c r="E491" s="2116"/>
      <c r="F491" s="2116"/>
      <c r="G491" s="2116"/>
      <c r="H491" s="2116"/>
      <c r="I491" s="2116"/>
      <c r="J491" s="2116"/>
      <c r="K491" s="2117"/>
      <c r="L491" s="2117"/>
      <c r="M491" s="2116"/>
      <c r="N491" s="2117"/>
      <c r="O491" s="2116"/>
      <c r="P491" s="2116" t="s">
        <v>296</v>
      </c>
      <c r="Q491" s="2116" t="s">
        <v>296</v>
      </c>
      <c r="R491" s="2116" t="s">
        <v>296</v>
      </c>
    </row>
    <row r="492" spans="1:18" s="2265" customFormat="1">
      <c r="A492" s="2116"/>
      <c r="B492" s="2116"/>
      <c r="C492" s="2116"/>
      <c r="D492" s="2116"/>
      <c r="E492" s="2116"/>
      <c r="F492" s="2116"/>
      <c r="G492" s="2116"/>
      <c r="H492" s="2116"/>
      <c r="I492" s="2116"/>
      <c r="J492" s="2116"/>
      <c r="K492" s="2117"/>
      <c r="L492" s="2117"/>
      <c r="M492" s="2116"/>
      <c r="N492" s="2117"/>
      <c r="O492" s="2116"/>
      <c r="P492" s="2116" t="s">
        <v>296</v>
      </c>
      <c r="Q492" s="2116" t="s">
        <v>296</v>
      </c>
      <c r="R492" s="2116" t="s">
        <v>296</v>
      </c>
    </row>
    <row r="493" spans="1:18" s="2265" customFormat="1">
      <c r="A493" s="2116"/>
      <c r="B493" s="2116"/>
      <c r="C493" s="2116"/>
      <c r="D493" s="2116"/>
      <c r="E493" s="2116"/>
      <c r="F493" s="2116"/>
      <c r="G493" s="2116"/>
      <c r="H493" s="2116"/>
      <c r="I493" s="2116"/>
      <c r="J493" s="2116"/>
      <c r="K493" s="2117"/>
      <c r="L493" s="2117"/>
      <c r="M493" s="2116"/>
      <c r="N493" s="2117"/>
      <c r="O493" s="2116"/>
      <c r="P493" s="2116" t="s">
        <v>296</v>
      </c>
      <c r="Q493" s="2116" t="s">
        <v>296</v>
      </c>
      <c r="R493" s="2116" t="s">
        <v>296</v>
      </c>
    </row>
    <row r="494" spans="1:18" s="2265" customFormat="1">
      <c r="A494" s="2116"/>
      <c r="B494" s="2116"/>
      <c r="C494" s="2116"/>
      <c r="D494" s="2116"/>
      <c r="E494" s="2116"/>
      <c r="F494" s="2116"/>
      <c r="G494" s="2116"/>
      <c r="H494" s="2116"/>
      <c r="I494" s="2116"/>
      <c r="J494" s="2116"/>
      <c r="K494" s="2117"/>
      <c r="L494" s="2117"/>
      <c r="M494" s="2116"/>
      <c r="N494" s="2117"/>
      <c r="O494" s="2116"/>
      <c r="P494" s="2116" t="s">
        <v>296</v>
      </c>
      <c r="Q494" s="2116" t="s">
        <v>296</v>
      </c>
      <c r="R494" s="2116" t="s">
        <v>296</v>
      </c>
    </row>
    <row r="495" spans="1:18" s="2265" customFormat="1">
      <c r="A495" s="2116"/>
      <c r="B495" s="2116"/>
      <c r="C495" s="2116"/>
      <c r="D495" s="2116"/>
      <c r="E495" s="2116"/>
      <c r="F495" s="2116"/>
      <c r="G495" s="2116"/>
      <c r="H495" s="2116"/>
      <c r="I495" s="2116"/>
      <c r="J495" s="2116"/>
      <c r="K495" s="2117"/>
      <c r="L495" s="2117"/>
      <c r="M495" s="2116"/>
      <c r="N495" s="2117"/>
      <c r="O495" s="2116"/>
      <c r="P495" s="2116" t="s">
        <v>296</v>
      </c>
      <c r="Q495" s="2116" t="s">
        <v>296</v>
      </c>
      <c r="R495" s="2116" t="s">
        <v>296</v>
      </c>
    </row>
    <row r="496" spans="1:18" s="2265" customFormat="1">
      <c r="A496" s="2116"/>
      <c r="B496" s="2116"/>
      <c r="C496" s="2116"/>
      <c r="D496" s="2116"/>
      <c r="E496" s="2116"/>
      <c r="F496" s="2116"/>
      <c r="G496" s="2116"/>
      <c r="H496" s="2116"/>
      <c r="I496" s="2116"/>
      <c r="J496" s="2116"/>
      <c r="K496" s="2117"/>
      <c r="L496" s="2117"/>
      <c r="M496" s="2116"/>
      <c r="N496" s="2117"/>
      <c r="O496" s="2116"/>
      <c r="P496" s="2116" t="s">
        <v>296</v>
      </c>
      <c r="Q496" s="2116" t="s">
        <v>296</v>
      </c>
      <c r="R496" s="2116" t="s">
        <v>296</v>
      </c>
    </row>
    <row r="497" spans="1:18" s="2265" customFormat="1">
      <c r="A497" s="2116"/>
      <c r="B497" s="2116"/>
      <c r="C497" s="2116"/>
      <c r="D497" s="2116"/>
      <c r="E497" s="2116"/>
      <c r="F497" s="2116"/>
      <c r="G497" s="2116"/>
      <c r="H497" s="2116"/>
      <c r="I497" s="2116"/>
      <c r="J497" s="2116"/>
      <c r="K497" s="2117"/>
      <c r="L497" s="2117"/>
      <c r="M497" s="2116"/>
      <c r="N497" s="2117"/>
      <c r="O497" s="2116"/>
      <c r="P497" s="2116" t="s">
        <v>296</v>
      </c>
      <c r="Q497" s="2116" t="s">
        <v>296</v>
      </c>
      <c r="R497" s="2116" t="s">
        <v>296</v>
      </c>
    </row>
    <row r="498" spans="1:18" s="2265" customFormat="1">
      <c r="A498" s="2116"/>
      <c r="B498" s="2116"/>
      <c r="C498" s="2116"/>
      <c r="D498" s="2116"/>
      <c r="E498" s="2116"/>
      <c r="F498" s="2116"/>
      <c r="G498" s="2116"/>
      <c r="H498" s="2116"/>
      <c r="I498" s="2116"/>
      <c r="J498" s="2116"/>
      <c r="K498" s="2117"/>
      <c r="L498" s="2117"/>
      <c r="M498" s="2116"/>
      <c r="N498" s="2117"/>
      <c r="O498" s="2116"/>
      <c r="P498" s="2116" t="s">
        <v>296</v>
      </c>
      <c r="Q498" s="2116" t="s">
        <v>296</v>
      </c>
      <c r="R498" s="2116" t="s">
        <v>296</v>
      </c>
    </row>
    <row r="499" spans="1:18" s="2265" customFormat="1">
      <c r="A499" s="2116"/>
      <c r="B499" s="2116"/>
      <c r="C499" s="2116"/>
      <c r="D499" s="2116"/>
      <c r="E499" s="2116"/>
      <c r="F499" s="2116"/>
      <c r="G499" s="2116"/>
      <c r="H499" s="2116"/>
      <c r="I499" s="2116"/>
      <c r="J499" s="2116"/>
      <c r="K499" s="2117"/>
      <c r="L499" s="2117"/>
      <c r="M499" s="2116"/>
      <c r="N499" s="2117"/>
      <c r="O499" s="2116"/>
      <c r="P499" s="2116" t="s">
        <v>296</v>
      </c>
      <c r="Q499" s="2116" t="s">
        <v>296</v>
      </c>
      <c r="R499" s="2116" t="s">
        <v>296</v>
      </c>
    </row>
    <row r="500" spans="1:18" s="2265" customFormat="1">
      <c r="A500" s="2116"/>
      <c r="B500" s="2116"/>
      <c r="C500" s="2116"/>
      <c r="D500" s="2116"/>
      <c r="E500" s="2116"/>
      <c r="F500" s="2116"/>
      <c r="G500" s="2116"/>
      <c r="H500" s="2116"/>
      <c r="I500" s="2116"/>
      <c r="J500" s="2116"/>
      <c r="K500" s="2117"/>
      <c r="L500" s="2117"/>
      <c r="M500" s="2116"/>
      <c r="N500" s="2117"/>
      <c r="O500" s="2116"/>
      <c r="P500" s="2116" t="s">
        <v>296</v>
      </c>
      <c r="Q500" s="2116" t="s">
        <v>296</v>
      </c>
      <c r="R500" s="2116" t="s">
        <v>296</v>
      </c>
    </row>
    <row r="501" spans="1:18" s="2265" customFormat="1">
      <c r="A501" s="2116"/>
      <c r="B501" s="2116"/>
      <c r="C501" s="2116"/>
      <c r="D501" s="2116"/>
      <c r="E501" s="2116"/>
      <c r="F501" s="2116"/>
      <c r="G501" s="2116"/>
      <c r="H501" s="2116"/>
      <c r="I501" s="2116"/>
      <c r="J501" s="2116"/>
      <c r="K501" s="2117"/>
      <c r="L501" s="2117"/>
      <c r="M501" s="2116"/>
      <c r="N501" s="2117"/>
      <c r="O501" s="2116"/>
      <c r="P501" s="2116" t="s">
        <v>296</v>
      </c>
      <c r="Q501" s="2116" t="s">
        <v>296</v>
      </c>
      <c r="R501" s="2116" t="s">
        <v>296</v>
      </c>
    </row>
    <row r="502" spans="1:18" s="2265" customFormat="1">
      <c r="A502" s="2116"/>
      <c r="B502" s="2116"/>
      <c r="C502" s="2116"/>
      <c r="D502" s="2116"/>
      <c r="E502" s="2116"/>
      <c r="F502" s="2116"/>
      <c r="G502" s="2116"/>
      <c r="H502" s="2116"/>
      <c r="I502" s="2116"/>
      <c r="J502" s="2116"/>
      <c r="K502" s="2117"/>
      <c r="L502" s="2117"/>
      <c r="M502" s="2116"/>
      <c r="N502" s="2117"/>
      <c r="O502" s="2116"/>
      <c r="P502" s="2116" t="s">
        <v>296</v>
      </c>
      <c r="Q502" s="2116" t="s">
        <v>296</v>
      </c>
      <c r="R502" s="2116" t="s">
        <v>296</v>
      </c>
    </row>
    <row r="503" spans="1:18" s="2265" customFormat="1">
      <c r="A503" s="2116"/>
      <c r="B503" s="2116"/>
      <c r="C503" s="2116"/>
      <c r="D503" s="2116"/>
      <c r="E503" s="2116"/>
      <c r="F503" s="2116"/>
      <c r="G503" s="2116"/>
      <c r="H503" s="2116"/>
      <c r="I503" s="2116"/>
      <c r="J503" s="2116"/>
      <c r="K503" s="2117"/>
      <c r="L503" s="2117"/>
      <c r="M503" s="2116"/>
      <c r="N503" s="2117"/>
      <c r="O503" s="2116"/>
      <c r="P503" s="2116" t="s">
        <v>296</v>
      </c>
      <c r="Q503" s="2116" t="s">
        <v>296</v>
      </c>
      <c r="R503" s="2116" t="s">
        <v>296</v>
      </c>
    </row>
    <row r="504" spans="1:18" s="2265" customFormat="1">
      <c r="A504" s="2116"/>
      <c r="B504" s="2116"/>
      <c r="C504" s="2116"/>
      <c r="D504" s="2116"/>
      <c r="E504" s="2116"/>
      <c r="F504" s="2116"/>
      <c r="G504" s="2116"/>
      <c r="H504" s="2116"/>
      <c r="I504" s="2116"/>
      <c r="J504" s="2116"/>
      <c r="K504" s="2117"/>
      <c r="L504" s="2117"/>
      <c r="M504" s="2116"/>
      <c r="N504" s="2117"/>
      <c r="O504" s="2116"/>
      <c r="P504" s="2116" t="s">
        <v>296</v>
      </c>
      <c r="Q504" s="2116" t="s">
        <v>296</v>
      </c>
      <c r="R504" s="2116" t="s">
        <v>296</v>
      </c>
    </row>
    <row r="505" spans="1:18" s="2265" customFormat="1">
      <c r="A505" s="2116"/>
      <c r="B505" s="2116"/>
      <c r="C505" s="2116"/>
      <c r="D505" s="2116"/>
      <c r="E505" s="2116"/>
      <c r="F505" s="2116"/>
      <c r="G505" s="2116"/>
      <c r="H505" s="2116"/>
      <c r="I505" s="2116"/>
      <c r="J505" s="2116"/>
      <c r="K505" s="2117"/>
      <c r="L505" s="2117"/>
      <c r="M505" s="2116"/>
      <c r="N505" s="2117"/>
      <c r="O505" s="2116"/>
      <c r="P505" s="2116" t="s">
        <v>296</v>
      </c>
      <c r="Q505" s="2116" t="s">
        <v>296</v>
      </c>
      <c r="R505" s="2116" t="s">
        <v>296</v>
      </c>
    </row>
    <row r="506" spans="1:18" s="2265" customFormat="1">
      <c r="A506" s="2116"/>
      <c r="B506" s="2116"/>
      <c r="C506" s="2116"/>
      <c r="D506" s="2116"/>
      <c r="E506" s="2116"/>
      <c r="F506" s="2116"/>
      <c r="G506" s="2116"/>
      <c r="H506" s="2116"/>
      <c r="I506" s="2116"/>
      <c r="J506" s="2116"/>
      <c r="K506" s="2117"/>
      <c r="L506" s="2117"/>
      <c r="M506" s="2116"/>
      <c r="N506" s="2117"/>
      <c r="O506" s="2116"/>
      <c r="P506" s="2116" t="s">
        <v>296</v>
      </c>
      <c r="Q506" s="2116" t="s">
        <v>296</v>
      </c>
      <c r="R506" s="2116" t="s">
        <v>296</v>
      </c>
    </row>
    <row r="507" spans="1:18" s="2265" customFormat="1">
      <c r="A507" s="2116"/>
      <c r="B507" s="2116"/>
      <c r="C507" s="2116"/>
      <c r="D507" s="2116"/>
      <c r="E507" s="2116"/>
      <c r="F507" s="2116"/>
      <c r="G507" s="2116"/>
      <c r="H507" s="2116"/>
      <c r="I507" s="2116"/>
      <c r="J507" s="2116"/>
      <c r="K507" s="2117"/>
      <c r="L507" s="2117"/>
      <c r="M507" s="2116"/>
      <c r="N507" s="2117"/>
      <c r="O507" s="2116"/>
      <c r="P507" s="2116" t="s">
        <v>296</v>
      </c>
      <c r="Q507" s="2116" t="s">
        <v>296</v>
      </c>
      <c r="R507" s="2116" t="s">
        <v>296</v>
      </c>
    </row>
    <row r="508" spans="1:18" s="2265" customFormat="1">
      <c r="A508" s="2116"/>
      <c r="B508" s="2116"/>
      <c r="C508" s="2116"/>
      <c r="D508" s="2116"/>
      <c r="E508" s="2116"/>
      <c r="F508" s="2116"/>
      <c r="G508" s="2116"/>
      <c r="H508" s="2116"/>
      <c r="I508" s="2116"/>
      <c r="J508" s="2116"/>
      <c r="K508" s="2117"/>
      <c r="L508" s="2117"/>
      <c r="M508" s="2116"/>
      <c r="N508" s="2117"/>
      <c r="O508" s="2116"/>
      <c r="P508" s="2116" t="s">
        <v>296</v>
      </c>
      <c r="Q508" s="2116" t="s">
        <v>296</v>
      </c>
      <c r="R508" s="2116" t="s">
        <v>296</v>
      </c>
    </row>
    <row r="509" spans="1:18" s="2265" customFormat="1">
      <c r="A509" s="2116"/>
      <c r="B509" s="2116"/>
      <c r="C509" s="2116"/>
      <c r="D509" s="2116"/>
      <c r="E509" s="2116"/>
      <c r="F509" s="2116"/>
      <c r="G509" s="2116"/>
      <c r="H509" s="2116"/>
      <c r="I509" s="2116"/>
      <c r="J509" s="2116"/>
      <c r="K509" s="2117"/>
      <c r="L509" s="2117"/>
      <c r="M509" s="2116"/>
      <c r="N509" s="2117"/>
      <c r="O509" s="2116"/>
      <c r="P509" s="2116" t="s">
        <v>296</v>
      </c>
      <c r="Q509" s="2116" t="s">
        <v>296</v>
      </c>
      <c r="R509" s="2116" t="s">
        <v>296</v>
      </c>
    </row>
    <row r="510" spans="1:18" s="2265" customFormat="1">
      <c r="A510" s="2116"/>
      <c r="B510" s="2116"/>
      <c r="C510" s="2116"/>
      <c r="D510" s="2116"/>
      <c r="E510" s="2116"/>
      <c r="F510" s="2116"/>
      <c r="G510" s="2116"/>
      <c r="H510" s="2116"/>
      <c r="I510" s="2116"/>
      <c r="J510" s="2116"/>
      <c r="K510" s="2117"/>
      <c r="L510" s="2117"/>
      <c r="M510" s="2116"/>
      <c r="N510" s="2117"/>
      <c r="O510" s="2116"/>
      <c r="P510" s="2116" t="s">
        <v>296</v>
      </c>
      <c r="Q510" s="2116" t="s">
        <v>296</v>
      </c>
      <c r="R510" s="2116" t="s">
        <v>296</v>
      </c>
    </row>
    <row r="511" spans="1:18" s="2265" customFormat="1">
      <c r="A511" s="2116"/>
      <c r="B511" s="2116"/>
      <c r="C511" s="2116"/>
      <c r="D511" s="2116"/>
      <c r="E511" s="2116"/>
      <c r="F511" s="2116"/>
      <c r="G511" s="2116"/>
      <c r="H511" s="2116"/>
      <c r="I511" s="2116"/>
      <c r="J511" s="2116"/>
      <c r="K511" s="2117"/>
      <c r="L511" s="2117"/>
      <c r="M511" s="2116"/>
      <c r="N511" s="2117"/>
      <c r="O511" s="2116"/>
      <c r="P511" s="2116" t="s">
        <v>296</v>
      </c>
      <c r="Q511" s="2116" t="s">
        <v>296</v>
      </c>
      <c r="R511" s="2116" t="s">
        <v>296</v>
      </c>
    </row>
    <row r="512" spans="1:18" s="2265" customFormat="1">
      <c r="A512" s="2116"/>
      <c r="B512" s="2116"/>
      <c r="C512" s="2116"/>
      <c r="D512" s="2116"/>
      <c r="E512" s="2116"/>
      <c r="F512" s="2116"/>
      <c r="G512" s="2116"/>
      <c r="H512" s="2116"/>
      <c r="I512" s="2116"/>
      <c r="J512" s="2116"/>
      <c r="K512" s="2117"/>
      <c r="L512" s="2117"/>
      <c r="M512" s="2116"/>
      <c r="N512" s="2117"/>
      <c r="O512" s="2116"/>
      <c r="P512" s="2116" t="s">
        <v>296</v>
      </c>
      <c r="Q512" s="2116" t="s">
        <v>296</v>
      </c>
      <c r="R512" s="2116" t="s">
        <v>296</v>
      </c>
    </row>
    <row r="513" spans="1:18" s="2265" customFormat="1">
      <c r="A513" s="2116"/>
      <c r="B513" s="2116"/>
      <c r="C513" s="2116"/>
      <c r="D513" s="2116"/>
      <c r="E513" s="2116"/>
      <c r="F513" s="2116"/>
      <c r="G513" s="2116"/>
      <c r="H513" s="2116"/>
      <c r="I513" s="2116"/>
      <c r="J513" s="2116"/>
      <c r="K513" s="2117"/>
      <c r="L513" s="2117"/>
      <c r="M513" s="2116"/>
      <c r="N513" s="2117"/>
      <c r="O513" s="2116"/>
      <c r="P513" s="2116" t="s">
        <v>296</v>
      </c>
      <c r="Q513" s="2116" t="s">
        <v>296</v>
      </c>
      <c r="R513" s="2116" t="s">
        <v>296</v>
      </c>
    </row>
    <row r="514" spans="1:18" s="2265" customFormat="1">
      <c r="A514" s="2116"/>
      <c r="B514" s="2116"/>
      <c r="C514" s="2116"/>
      <c r="D514" s="2116"/>
      <c r="E514" s="2116"/>
      <c r="F514" s="2116"/>
      <c r="G514" s="2116"/>
      <c r="H514" s="2116"/>
      <c r="I514" s="2116"/>
      <c r="J514" s="2116"/>
      <c r="K514" s="2117"/>
      <c r="L514" s="2117"/>
      <c r="M514" s="2116"/>
      <c r="N514" s="2117"/>
      <c r="O514" s="2116"/>
      <c r="P514" s="2116" t="s">
        <v>296</v>
      </c>
      <c r="Q514" s="2116" t="s">
        <v>296</v>
      </c>
      <c r="R514" s="2116" t="s">
        <v>296</v>
      </c>
    </row>
    <row r="515" spans="1:18" s="2265" customFormat="1">
      <c r="A515" s="2116"/>
      <c r="B515" s="2116"/>
      <c r="C515" s="2116"/>
      <c r="D515" s="2116"/>
      <c r="E515" s="2116"/>
      <c r="F515" s="2116"/>
      <c r="G515" s="2116"/>
      <c r="H515" s="2116"/>
      <c r="I515" s="2116"/>
      <c r="J515" s="2116"/>
      <c r="K515" s="2117"/>
      <c r="L515" s="2117"/>
      <c r="M515" s="2116"/>
      <c r="N515" s="2117"/>
      <c r="O515" s="2116"/>
      <c r="P515" s="2116" t="s">
        <v>296</v>
      </c>
      <c r="Q515" s="2116" t="s">
        <v>296</v>
      </c>
      <c r="R515" s="2116" t="s">
        <v>296</v>
      </c>
    </row>
    <row r="516" spans="1:18" s="2265" customFormat="1">
      <c r="A516" s="2116"/>
      <c r="B516" s="2116"/>
      <c r="C516" s="2116"/>
      <c r="D516" s="2116"/>
      <c r="E516" s="2116"/>
      <c r="F516" s="2116"/>
      <c r="G516" s="2116"/>
      <c r="H516" s="2116"/>
      <c r="I516" s="2116"/>
      <c r="J516" s="2116"/>
      <c r="K516" s="2117"/>
      <c r="L516" s="2117"/>
      <c r="M516" s="2116"/>
      <c r="N516" s="2117"/>
      <c r="O516" s="2116"/>
      <c r="P516" s="2116" t="s">
        <v>296</v>
      </c>
      <c r="Q516" s="2116" t="s">
        <v>296</v>
      </c>
      <c r="R516" s="2116" t="s">
        <v>296</v>
      </c>
    </row>
    <row r="517" spans="1:18" s="2265" customFormat="1">
      <c r="A517" s="2116"/>
      <c r="B517" s="2116"/>
      <c r="C517" s="2116"/>
      <c r="D517" s="2116"/>
      <c r="E517" s="2116"/>
      <c r="F517" s="2116"/>
      <c r="G517" s="2116"/>
      <c r="H517" s="2116"/>
      <c r="I517" s="2116"/>
      <c r="J517" s="2116"/>
      <c r="K517" s="2117"/>
      <c r="L517" s="2117"/>
      <c r="M517" s="2116"/>
      <c r="N517" s="2117"/>
      <c r="O517" s="2116"/>
      <c r="P517" s="2116" t="s">
        <v>296</v>
      </c>
      <c r="Q517" s="2116" t="s">
        <v>296</v>
      </c>
      <c r="R517" s="2116" t="s">
        <v>296</v>
      </c>
    </row>
    <row r="518" spans="1:18" s="2265" customFormat="1">
      <c r="A518" s="2116"/>
      <c r="B518" s="2116"/>
      <c r="C518" s="2116"/>
      <c r="D518" s="2116"/>
      <c r="E518" s="2116"/>
      <c r="F518" s="2116"/>
      <c r="G518" s="2116"/>
      <c r="H518" s="2116"/>
      <c r="I518" s="2116"/>
      <c r="J518" s="2116"/>
      <c r="K518" s="2117"/>
      <c r="L518" s="2117"/>
      <c r="M518" s="2116"/>
      <c r="N518" s="2117"/>
      <c r="O518" s="2116"/>
      <c r="P518" s="2116" t="s">
        <v>296</v>
      </c>
      <c r="Q518" s="2116" t="s">
        <v>296</v>
      </c>
      <c r="R518" s="2116" t="s">
        <v>296</v>
      </c>
    </row>
    <row r="519" spans="1:18" s="2265" customFormat="1">
      <c r="A519" s="2116"/>
      <c r="B519" s="2116"/>
      <c r="C519" s="2116"/>
      <c r="D519" s="2116"/>
      <c r="E519" s="2116"/>
      <c r="F519" s="2116"/>
      <c r="G519" s="2116"/>
      <c r="H519" s="2116"/>
      <c r="I519" s="2116"/>
      <c r="J519" s="2116"/>
      <c r="K519" s="2117"/>
      <c r="L519" s="2117"/>
      <c r="M519" s="2116"/>
      <c r="N519" s="2117"/>
      <c r="O519" s="2116"/>
      <c r="P519" s="2116" t="s">
        <v>296</v>
      </c>
      <c r="Q519" s="2116" t="s">
        <v>296</v>
      </c>
      <c r="R519" s="2116" t="s">
        <v>296</v>
      </c>
    </row>
    <row r="520" spans="1:18" s="2265" customFormat="1">
      <c r="A520" s="2116"/>
      <c r="B520" s="2116"/>
      <c r="C520" s="2116"/>
      <c r="D520" s="2116"/>
      <c r="E520" s="2116"/>
      <c r="F520" s="2116"/>
      <c r="G520" s="2116"/>
      <c r="H520" s="2116"/>
      <c r="I520" s="2116"/>
      <c r="J520" s="2116"/>
      <c r="K520" s="2117"/>
      <c r="L520" s="2117"/>
      <c r="M520" s="2116"/>
      <c r="N520" s="2117"/>
      <c r="O520" s="2116"/>
      <c r="P520" s="2116" t="s">
        <v>296</v>
      </c>
      <c r="Q520" s="2116" t="s">
        <v>296</v>
      </c>
      <c r="R520" s="2116" t="s">
        <v>296</v>
      </c>
    </row>
    <row r="521" spans="1:18" s="2265" customFormat="1">
      <c r="A521" s="2116"/>
      <c r="B521" s="2116"/>
      <c r="C521" s="2116"/>
      <c r="D521" s="2116"/>
      <c r="E521" s="2116"/>
      <c r="F521" s="2116"/>
      <c r="G521" s="2116"/>
      <c r="H521" s="2116"/>
      <c r="I521" s="2116"/>
      <c r="J521" s="2116"/>
      <c r="K521" s="2117"/>
      <c r="L521" s="2117"/>
      <c r="M521" s="2116"/>
      <c r="N521" s="2117"/>
      <c r="O521" s="2116"/>
      <c r="P521" s="2116" t="s">
        <v>296</v>
      </c>
      <c r="Q521" s="2116" t="s">
        <v>296</v>
      </c>
      <c r="R521" s="2116" t="s">
        <v>296</v>
      </c>
    </row>
    <row r="522" spans="1:18" s="2265" customFormat="1">
      <c r="A522" s="2116"/>
      <c r="B522" s="2116"/>
      <c r="C522" s="2116"/>
      <c r="D522" s="2116"/>
      <c r="E522" s="2116"/>
      <c r="F522" s="2116"/>
      <c r="G522" s="2116"/>
      <c r="H522" s="2116"/>
      <c r="I522" s="2116"/>
      <c r="J522" s="2116"/>
      <c r="K522" s="2117"/>
      <c r="L522" s="2117"/>
      <c r="M522" s="2116"/>
      <c r="N522" s="2117"/>
      <c r="O522" s="2116"/>
      <c r="P522" s="2116" t="s">
        <v>296</v>
      </c>
      <c r="Q522" s="2116" t="s">
        <v>296</v>
      </c>
      <c r="R522" s="2116" t="s">
        <v>296</v>
      </c>
    </row>
    <row r="523" spans="1:18" s="2265" customFormat="1">
      <c r="A523" s="2116"/>
      <c r="B523" s="2116"/>
      <c r="C523" s="2116"/>
      <c r="D523" s="2116"/>
      <c r="E523" s="2116"/>
      <c r="F523" s="2116"/>
      <c r="G523" s="2116"/>
      <c r="H523" s="2116"/>
      <c r="I523" s="2116"/>
      <c r="J523" s="2116"/>
      <c r="K523" s="2117"/>
      <c r="L523" s="2117"/>
      <c r="M523" s="2116"/>
      <c r="N523" s="2117"/>
      <c r="O523" s="2116"/>
      <c r="P523" s="2116" t="s">
        <v>296</v>
      </c>
      <c r="Q523" s="2116" t="s">
        <v>296</v>
      </c>
      <c r="R523" s="2116" t="s">
        <v>296</v>
      </c>
    </row>
    <row r="524" spans="1:18" s="2265" customFormat="1">
      <c r="A524" s="2116"/>
      <c r="B524" s="2116"/>
      <c r="C524" s="2116"/>
      <c r="D524" s="2116"/>
      <c r="E524" s="2116"/>
      <c r="F524" s="2116"/>
      <c r="G524" s="2116"/>
      <c r="H524" s="2116"/>
      <c r="I524" s="2116"/>
      <c r="J524" s="2116"/>
      <c r="K524" s="2117"/>
      <c r="L524" s="2117"/>
      <c r="M524" s="2116"/>
      <c r="N524" s="2117"/>
      <c r="O524" s="2116"/>
      <c r="P524" s="2116" t="s">
        <v>296</v>
      </c>
      <c r="Q524" s="2116" t="s">
        <v>296</v>
      </c>
      <c r="R524" s="2116" t="s">
        <v>296</v>
      </c>
    </row>
    <row r="525" spans="1:18" s="2265" customFormat="1">
      <c r="A525" s="2116"/>
      <c r="B525" s="2116"/>
      <c r="C525" s="2116"/>
      <c r="D525" s="2116"/>
      <c r="E525" s="2116"/>
      <c r="F525" s="2116"/>
      <c r="G525" s="2116"/>
      <c r="H525" s="2116"/>
      <c r="I525" s="2116"/>
      <c r="J525" s="2116"/>
      <c r="K525" s="2117"/>
      <c r="L525" s="2117"/>
      <c r="M525" s="2116"/>
      <c r="N525" s="2117"/>
      <c r="O525" s="2116"/>
      <c r="P525" s="2116" t="s">
        <v>296</v>
      </c>
      <c r="Q525" s="2116" t="s">
        <v>296</v>
      </c>
      <c r="R525" s="2116" t="s">
        <v>296</v>
      </c>
    </row>
    <row r="526" spans="1:18" s="2265" customFormat="1">
      <c r="A526" s="2116"/>
      <c r="B526" s="2116"/>
      <c r="C526" s="2116"/>
      <c r="D526" s="2116"/>
      <c r="E526" s="2116"/>
      <c r="F526" s="2116"/>
      <c r="G526" s="2116"/>
      <c r="H526" s="2116"/>
      <c r="I526" s="2116"/>
      <c r="J526" s="2116"/>
      <c r="K526" s="2117"/>
      <c r="L526" s="2117"/>
      <c r="M526" s="2116"/>
      <c r="N526" s="2117"/>
      <c r="O526" s="2116"/>
      <c r="P526" s="2116" t="s">
        <v>296</v>
      </c>
      <c r="Q526" s="2116" t="s">
        <v>296</v>
      </c>
      <c r="R526" s="2116" t="s">
        <v>296</v>
      </c>
    </row>
    <row r="527" spans="1:18">
      <c r="P527" t="s">
        <v>296</v>
      </c>
      <c r="Q527" t="s">
        <v>296</v>
      </c>
      <c r="R527" t="s">
        <v>296</v>
      </c>
    </row>
    <row r="528" spans="1:18">
      <c r="P528" t="s">
        <v>296</v>
      </c>
      <c r="Q528" t="s">
        <v>296</v>
      </c>
      <c r="R528" t="s">
        <v>296</v>
      </c>
    </row>
    <row r="529" spans="16:18">
      <c r="P529" t="s">
        <v>296</v>
      </c>
      <c r="Q529" t="s">
        <v>296</v>
      </c>
      <c r="R529" t="s">
        <v>296</v>
      </c>
    </row>
    <row r="530" spans="16:18">
      <c r="P530" t="s">
        <v>296</v>
      </c>
      <c r="Q530" t="s">
        <v>296</v>
      </c>
      <c r="R530" t="s">
        <v>296</v>
      </c>
    </row>
    <row r="531" spans="16:18">
      <c r="P531" t="s">
        <v>296</v>
      </c>
      <c r="Q531" t="s">
        <v>296</v>
      </c>
      <c r="R531" t="s">
        <v>296</v>
      </c>
    </row>
    <row r="532" spans="16:18">
      <c r="P532" t="s">
        <v>296</v>
      </c>
      <c r="Q532" t="s">
        <v>296</v>
      </c>
      <c r="R532" t="s">
        <v>296</v>
      </c>
    </row>
    <row r="533" spans="16:18">
      <c r="P533" t="s">
        <v>296</v>
      </c>
      <c r="Q533" t="s">
        <v>296</v>
      </c>
      <c r="R533" t="s">
        <v>296</v>
      </c>
    </row>
    <row r="534" spans="16:18">
      <c r="P534" t="s">
        <v>296</v>
      </c>
      <c r="Q534" t="s">
        <v>296</v>
      </c>
      <c r="R534" t="s">
        <v>296</v>
      </c>
    </row>
    <row r="535" spans="16:18">
      <c r="P535" t="s">
        <v>296</v>
      </c>
      <c r="Q535" t="s">
        <v>296</v>
      </c>
      <c r="R535" t="s">
        <v>296</v>
      </c>
    </row>
    <row r="536" spans="16:18">
      <c r="P536" t="s">
        <v>296</v>
      </c>
      <c r="Q536" t="s">
        <v>296</v>
      </c>
      <c r="R536" t="s">
        <v>296</v>
      </c>
    </row>
    <row r="537" spans="16:18">
      <c r="P537" t="s">
        <v>296</v>
      </c>
      <c r="Q537" t="s">
        <v>296</v>
      </c>
      <c r="R537" t="s">
        <v>296</v>
      </c>
    </row>
    <row r="538" spans="16:18">
      <c r="P538" t="s">
        <v>296</v>
      </c>
      <c r="Q538" t="s">
        <v>296</v>
      </c>
      <c r="R538" t="s">
        <v>296</v>
      </c>
    </row>
    <row r="539" spans="16:18">
      <c r="P539" t="s">
        <v>296</v>
      </c>
      <c r="Q539" t="s">
        <v>296</v>
      </c>
      <c r="R539" t="s">
        <v>296</v>
      </c>
    </row>
    <row r="540" spans="16:18">
      <c r="P540" t="s">
        <v>296</v>
      </c>
      <c r="Q540" t="s">
        <v>296</v>
      </c>
      <c r="R540" t="s">
        <v>296</v>
      </c>
    </row>
    <row r="541" spans="16:18">
      <c r="P541" t="s">
        <v>296</v>
      </c>
      <c r="Q541" t="s">
        <v>296</v>
      </c>
      <c r="R541" t="s">
        <v>296</v>
      </c>
    </row>
    <row r="542" spans="16:18">
      <c r="P542" t="s">
        <v>296</v>
      </c>
      <c r="Q542" t="s">
        <v>296</v>
      </c>
      <c r="R542" t="s">
        <v>296</v>
      </c>
    </row>
    <row r="543" spans="16:18">
      <c r="P543" t="s">
        <v>296</v>
      </c>
      <c r="Q543" t="s">
        <v>296</v>
      </c>
      <c r="R543" t="s">
        <v>296</v>
      </c>
    </row>
    <row r="544" spans="16:18">
      <c r="P544" t="s">
        <v>296</v>
      </c>
      <c r="Q544" t="s">
        <v>296</v>
      </c>
      <c r="R544" t="s">
        <v>296</v>
      </c>
    </row>
    <row r="545" spans="16:18">
      <c r="P545" t="s">
        <v>296</v>
      </c>
      <c r="Q545" t="s">
        <v>296</v>
      </c>
      <c r="R545" t="s">
        <v>296</v>
      </c>
    </row>
    <row r="546" spans="16:18">
      <c r="P546" t="s">
        <v>296</v>
      </c>
      <c r="Q546" t="s">
        <v>296</v>
      </c>
      <c r="R546" t="s">
        <v>296</v>
      </c>
    </row>
    <row r="547" spans="16:18">
      <c r="P547" t="s">
        <v>296</v>
      </c>
      <c r="Q547" t="s">
        <v>296</v>
      </c>
      <c r="R547" t="s">
        <v>296</v>
      </c>
    </row>
    <row r="548" spans="16:18">
      <c r="P548" t="s">
        <v>296</v>
      </c>
      <c r="Q548" t="s">
        <v>296</v>
      </c>
      <c r="R548" t="s">
        <v>296</v>
      </c>
    </row>
    <row r="549" spans="16:18">
      <c r="P549" t="s">
        <v>296</v>
      </c>
      <c r="Q549" t="s">
        <v>296</v>
      </c>
      <c r="R549" t="s">
        <v>296</v>
      </c>
    </row>
    <row r="550" spans="16:18">
      <c r="P550" t="s">
        <v>296</v>
      </c>
      <c r="Q550" t="s">
        <v>296</v>
      </c>
      <c r="R550" t="s">
        <v>296</v>
      </c>
    </row>
    <row r="551" spans="16:18">
      <c r="P551" t="s">
        <v>296</v>
      </c>
      <c r="Q551" t="s">
        <v>296</v>
      </c>
      <c r="R551" t="s">
        <v>296</v>
      </c>
    </row>
    <row r="552" spans="16:18">
      <c r="P552" t="s">
        <v>296</v>
      </c>
      <c r="Q552" t="s">
        <v>296</v>
      </c>
      <c r="R552" t="s">
        <v>296</v>
      </c>
    </row>
    <row r="553" spans="16:18">
      <c r="P553" t="s">
        <v>296</v>
      </c>
      <c r="Q553" t="s">
        <v>296</v>
      </c>
      <c r="R553" t="s">
        <v>296</v>
      </c>
    </row>
    <row r="554" spans="16:18">
      <c r="P554" t="s">
        <v>296</v>
      </c>
      <c r="Q554" t="s">
        <v>296</v>
      </c>
      <c r="R554" t="s">
        <v>296</v>
      </c>
    </row>
    <row r="555" spans="16:18">
      <c r="P555" t="s">
        <v>296</v>
      </c>
      <c r="Q555" t="s">
        <v>296</v>
      </c>
      <c r="R555" t="s">
        <v>296</v>
      </c>
    </row>
    <row r="556" spans="16:18">
      <c r="P556" t="s">
        <v>296</v>
      </c>
      <c r="Q556" t="s">
        <v>296</v>
      </c>
      <c r="R556" t="s">
        <v>296</v>
      </c>
    </row>
    <row r="557" spans="16:18">
      <c r="P557" t="s">
        <v>296</v>
      </c>
      <c r="Q557" t="s">
        <v>296</v>
      </c>
      <c r="R557" t="s">
        <v>296</v>
      </c>
    </row>
    <row r="558" spans="16:18">
      <c r="P558" t="s">
        <v>296</v>
      </c>
      <c r="Q558" t="s">
        <v>296</v>
      </c>
      <c r="R558" t="s">
        <v>296</v>
      </c>
    </row>
    <row r="559" spans="16:18">
      <c r="P559" t="s">
        <v>296</v>
      </c>
      <c r="Q559" t="s">
        <v>296</v>
      </c>
      <c r="R559" t="s">
        <v>296</v>
      </c>
    </row>
    <row r="560" spans="16:18">
      <c r="P560" t="s">
        <v>296</v>
      </c>
      <c r="Q560" t="s">
        <v>296</v>
      </c>
      <c r="R560" t="s">
        <v>296</v>
      </c>
    </row>
    <row r="561" spans="16:18">
      <c r="P561" t="s">
        <v>296</v>
      </c>
      <c r="Q561" t="s">
        <v>296</v>
      </c>
      <c r="R561" t="s">
        <v>296</v>
      </c>
    </row>
    <row r="562" spans="16:18">
      <c r="P562" t="s">
        <v>296</v>
      </c>
      <c r="Q562" t="s">
        <v>296</v>
      </c>
      <c r="R562" t="s">
        <v>296</v>
      </c>
    </row>
    <row r="563" spans="16:18">
      <c r="P563" t="s">
        <v>296</v>
      </c>
      <c r="Q563" t="s">
        <v>296</v>
      </c>
      <c r="R563" t="s">
        <v>296</v>
      </c>
    </row>
    <row r="564" spans="16:18">
      <c r="P564" t="s">
        <v>296</v>
      </c>
      <c r="Q564" t="s">
        <v>296</v>
      </c>
      <c r="R564" t="s">
        <v>296</v>
      </c>
    </row>
    <row r="565" spans="16:18">
      <c r="P565" t="s">
        <v>296</v>
      </c>
      <c r="Q565" t="s">
        <v>296</v>
      </c>
      <c r="R565" t="s">
        <v>296</v>
      </c>
    </row>
    <row r="566" spans="16:18">
      <c r="P566" t="s">
        <v>296</v>
      </c>
      <c r="Q566" t="s">
        <v>296</v>
      </c>
      <c r="R566" t="s">
        <v>296</v>
      </c>
    </row>
    <row r="567" spans="16:18">
      <c r="P567" t="s">
        <v>296</v>
      </c>
      <c r="Q567" t="s">
        <v>296</v>
      </c>
      <c r="R567" t="s">
        <v>296</v>
      </c>
    </row>
    <row r="568" spans="16:18">
      <c r="P568" t="s">
        <v>296</v>
      </c>
      <c r="Q568" t="s">
        <v>296</v>
      </c>
      <c r="R568" t="s">
        <v>296</v>
      </c>
    </row>
    <row r="569" spans="16:18">
      <c r="P569" t="s">
        <v>296</v>
      </c>
      <c r="Q569" t="s">
        <v>296</v>
      </c>
      <c r="R569" t="s">
        <v>296</v>
      </c>
    </row>
    <row r="570" spans="16:18">
      <c r="P570" t="s">
        <v>296</v>
      </c>
      <c r="Q570" t="s">
        <v>296</v>
      </c>
      <c r="R570" t="s">
        <v>296</v>
      </c>
    </row>
    <row r="571" spans="16:18">
      <c r="P571" t="s">
        <v>296</v>
      </c>
      <c r="Q571" t="s">
        <v>296</v>
      </c>
      <c r="R571" t="s">
        <v>296</v>
      </c>
    </row>
    <row r="572" spans="16:18">
      <c r="P572" t="s">
        <v>296</v>
      </c>
      <c r="Q572" t="s">
        <v>296</v>
      </c>
      <c r="R572" t="s">
        <v>296</v>
      </c>
    </row>
    <row r="573" spans="16:18">
      <c r="P573" t="s">
        <v>296</v>
      </c>
      <c r="Q573" t="s">
        <v>296</v>
      </c>
      <c r="R573" t="s">
        <v>296</v>
      </c>
    </row>
    <row r="574" spans="16:18">
      <c r="P574" t="s">
        <v>296</v>
      </c>
      <c r="Q574" t="s">
        <v>296</v>
      </c>
      <c r="R574" t="s">
        <v>296</v>
      </c>
    </row>
    <row r="575" spans="16:18">
      <c r="P575" t="s">
        <v>296</v>
      </c>
      <c r="Q575" t="s">
        <v>296</v>
      </c>
      <c r="R575" t="s">
        <v>296</v>
      </c>
    </row>
    <row r="576" spans="16:18">
      <c r="P576" t="s">
        <v>296</v>
      </c>
      <c r="Q576" t="s">
        <v>296</v>
      </c>
      <c r="R576" t="s">
        <v>296</v>
      </c>
    </row>
    <row r="577" spans="16:18">
      <c r="P577" t="s">
        <v>296</v>
      </c>
      <c r="Q577" t="s">
        <v>296</v>
      </c>
      <c r="R577" t="s">
        <v>296</v>
      </c>
    </row>
    <row r="578" spans="16:18">
      <c r="P578" t="s">
        <v>296</v>
      </c>
      <c r="Q578" t="s">
        <v>296</v>
      </c>
      <c r="R578" t="s">
        <v>296</v>
      </c>
    </row>
    <row r="579" spans="16:18">
      <c r="P579" t="s">
        <v>296</v>
      </c>
      <c r="Q579" t="s">
        <v>296</v>
      </c>
      <c r="R579" t="s">
        <v>296</v>
      </c>
    </row>
    <row r="580" spans="16:18">
      <c r="P580" t="s">
        <v>296</v>
      </c>
      <c r="Q580" t="s">
        <v>296</v>
      </c>
      <c r="R580" t="s">
        <v>296</v>
      </c>
    </row>
    <row r="581" spans="16:18">
      <c r="P581" t="s">
        <v>296</v>
      </c>
      <c r="Q581" t="s">
        <v>296</v>
      </c>
      <c r="R581" t="s">
        <v>296</v>
      </c>
    </row>
    <row r="582" spans="16:18">
      <c r="P582" t="s">
        <v>296</v>
      </c>
      <c r="Q582" t="s">
        <v>296</v>
      </c>
      <c r="R582" t="s">
        <v>296</v>
      </c>
    </row>
    <row r="583" spans="16:18">
      <c r="P583" t="s">
        <v>296</v>
      </c>
      <c r="Q583" t="s">
        <v>296</v>
      </c>
      <c r="R583" t="s">
        <v>296</v>
      </c>
    </row>
    <row r="584" spans="16:18">
      <c r="P584" t="s">
        <v>296</v>
      </c>
      <c r="Q584" t="s">
        <v>296</v>
      </c>
      <c r="R584" t="s">
        <v>296</v>
      </c>
    </row>
    <row r="585" spans="16:18">
      <c r="P585" t="s">
        <v>296</v>
      </c>
      <c r="Q585" t="s">
        <v>296</v>
      </c>
      <c r="R585" t="s">
        <v>296</v>
      </c>
    </row>
    <row r="586" spans="16:18">
      <c r="P586" t="s">
        <v>296</v>
      </c>
      <c r="Q586" t="s">
        <v>296</v>
      </c>
      <c r="R586" t="s">
        <v>296</v>
      </c>
    </row>
    <row r="587" spans="16:18">
      <c r="P587" t="s">
        <v>296</v>
      </c>
      <c r="Q587" t="s">
        <v>296</v>
      </c>
      <c r="R587" t="s">
        <v>296</v>
      </c>
    </row>
    <row r="588" spans="16:18">
      <c r="P588" t="s">
        <v>296</v>
      </c>
      <c r="Q588" t="s">
        <v>296</v>
      </c>
      <c r="R588" t="s">
        <v>296</v>
      </c>
    </row>
    <row r="589" spans="16:18">
      <c r="P589" t="s">
        <v>296</v>
      </c>
      <c r="Q589" t="s">
        <v>296</v>
      </c>
      <c r="R589" t="s">
        <v>296</v>
      </c>
    </row>
    <row r="590" spans="16:18">
      <c r="P590" t="s">
        <v>296</v>
      </c>
      <c r="Q590" t="s">
        <v>296</v>
      </c>
      <c r="R590" t="s">
        <v>296</v>
      </c>
    </row>
    <row r="591" spans="16:18">
      <c r="P591" t="s">
        <v>296</v>
      </c>
      <c r="Q591" t="s">
        <v>296</v>
      </c>
      <c r="R591" t="s">
        <v>296</v>
      </c>
    </row>
    <row r="592" spans="16:18">
      <c r="P592" t="s">
        <v>296</v>
      </c>
      <c r="Q592" t="s">
        <v>296</v>
      </c>
      <c r="R592" t="s">
        <v>296</v>
      </c>
    </row>
    <row r="593" spans="16:18">
      <c r="P593" t="s">
        <v>296</v>
      </c>
      <c r="Q593" t="s">
        <v>296</v>
      </c>
      <c r="R593" t="s">
        <v>296</v>
      </c>
    </row>
    <row r="594" spans="16:18">
      <c r="P594" t="s">
        <v>296</v>
      </c>
      <c r="Q594" t="s">
        <v>296</v>
      </c>
      <c r="R594" t="s">
        <v>296</v>
      </c>
    </row>
    <row r="595" spans="16:18">
      <c r="P595" t="s">
        <v>296</v>
      </c>
      <c r="Q595" t="s">
        <v>296</v>
      </c>
      <c r="R595" t="s">
        <v>296</v>
      </c>
    </row>
    <row r="596" spans="16:18">
      <c r="P596" t="s">
        <v>296</v>
      </c>
      <c r="Q596" t="s">
        <v>296</v>
      </c>
      <c r="R596" t="s">
        <v>296</v>
      </c>
    </row>
    <row r="597" spans="16:18">
      <c r="P597" t="s">
        <v>296</v>
      </c>
      <c r="Q597" t="s">
        <v>296</v>
      </c>
      <c r="R597" t="s">
        <v>296</v>
      </c>
    </row>
    <row r="598" spans="16:18">
      <c r="P598" t="s">
        <v>296</v>
      </c>
      <c r="Q598" t="s">
        <v>296</v>
      </c>
      <c r="R598" t="s">
        <v>296</v>
      </c>
    </row>
    <row r="599" spans="16:18">
      <c r="P599" t="s">
        <v>296</v>
      </c>
      <c r="Q599" t="s">
        <v>296</v>
      </c>
      <c r="R599" t="s">
        <v>296</v>
      </c>
    </row>
    <row r="600" spans="16:18">
      <c r="P600" t="s">
        <v>296</v>
      </c>
      <c r="Q600" t="s">
        <v>296</v>
      </c>
      <c r="R600" t="s">
        <v>296</v>
      </c>
    </row>
    <row r="601" spans="16:18">
      <c r="P601" t="s">
        <v>296</v>
      </c>
      <c r="Q601" t="s">
        <v>296</v>
      </c>
      <c r="R601" t="s">
        <v>296</v>
      </c>
    </row>
    <row r="602" spans="16:18">
      <c r="P602" t="s">
        <v>296</v>
      </c>
      <c r="Q602" t="s">
        <v>296</v>
      </c>
      <c r="R602" t="s">
        <v>296</v>
      </c>
    </row>
    <row r="603" spans="16:18">
      <c r="P603" t="s">
        <v>296</v>
      </c>
      <c r="Q603" t="s">
        <v>296</v>
      </c>
      <c r="R603" t="s">
        <v>296</v>
      </c>
    </row>
    <row r="604" spans="16:18">
      <c r="P604" t="s">
        <v>296</v>
      </c>
      <c r="Q604" t="s">
        <v>296</v>
      </c>
      <c r="R604" t="s">
        <v>296</v>
      </c>
    </row>
    <row r="605" spans="16:18">
      <c r="P605" t="s">
        <v>296</v>
      </c>
      <c r="Q605" t="s">
        <v>296</v>
      </c>
      <c r="R605" t="s">
        <v>296</v>
      </c>
    </row>
    <row r="606" spans="16:18">
      <c r="P606" t="s">
        <v>296</v>
      </c>
      <c r="Q606" t="s">
        <v>296</v>
      </c>
      <c r="R606" t="s">
        <v>296</v>
      </c>
    </row>
    <row r="607" spans="16:18">
      <c r="P607" t="s">
        <v>296</v>
      </c>
      <c r="Q607" t="s">
        <v>296</v>
      </c>
      <c r="R607" t="s">
        <v>296</v>
      </c>
    </row>
    <row r="608" spans="16:18">
      <c r="P608" t="s">
        <v>296</v>
      </c>
      <c r="Q608" t="s">
        <v>296</v>
      </c>
      <c r="R608" t="s">
        <v>296</v>
      </c>
    </row>
    <row r="609" spans="16:18">
      <c r="P609" t="s">
        <v>296</v>
      </c>
      <c r="Q609" t="s">
        <v>296</v>
      </c>
      <c r="R609" t="s">
        <v>296</v>
      </c>
    </row>
    <row r="610" spans="16:18">
      <c r="P610" t="s">
        <v>296</v>
      </c>
      <c r="Q610" t="s">
        <v>296</v>
      </c>
      <c r="R610" t="s">
        <v>296</v>
      </c>
    </row>
    <row r="611" spans="16:18">
      <c r="P611" t="s">
        <v>296</v>
      </c>
      <c r="Q611" t="s">
        <v>296</v>
      </c>
      <c r="R611" t="s">
        <v>296</v>
      </c>
    </row>
    <row r="612" spans="16:18">
      <c r="P612" t="s">
        <v>296</v>
      </c>
      <c r="Q612" t="s">
        <v>296</v>
      </c>
      <c r="R612" t="s">
        <v>296</v>
      </c>
    </row>
    <row r="613" spans="16:18">
      <c r="P613" t="s">
        <v>296</v>
      </c>
      <c r="Q613" t="s">
        <v>296</v>
      </c>
      <c r="R613" t="s">
        <v>296</v>
      </c>
    </row>
    <row r="614" spans="16:18">
      <c r="P614" t="s">
        <v>296</v>
      </c>
      <c r="Q614" t="s">
        <v>296</v>
      </c>
      <c r="R614" t="s">
        <v>296</v>
      </c>
    </row>
    <row r="615" spans="16:18">
      <c r="P615" t="s">
        <v>296</v>
      </c>
      <c r="Q615" t="s">
        <v>296</v>
      </c>
      <c r="R615" t="s">
        <v>296</v>
      </c>
    </row>
    <row r="616" spans="16:18">
      <c r="P616" t="s">
        <v>296</v>
      </c>
      <c r="Q616" t="s">
        <v>296</v>
      </c>
      <c r="R616" t="s">
        <v>296</v>
      </c>
    </row>
    <row r="617" spans="16:18">
      <c r="P617" t="s">
        <v>296</v>
      </c>
      <c r="Q617" t="s">
        <v>296</v>
      </c>
      <c r="R617" t="s">
        <v>296</v>
      </c>
    </row>
    <row r="618" spans="16:18">
      <c r="P618" t="s">
        <v>296</v>
      </c>
      <c r="Q618" t="s">
        <v>296</v>
      </c>
      <c r="R618" t="s">
        <v>296</v>
      </c>
    </row>
    <row r="619" spans="16:18">
      <c r="P619" t="s">
        <v>296</v>
      </c>
      <c r="Q619" t="s">
        <v>296</v>
      </c>
      <c r="R619" t="s">
        <v>296</v>
      </c>
    </row>
    <row r="620" spans="16:18">
      <c r="P620" t="s">
        <v>296</v>
      </c>
      <c r="Q620" t="s">
        <v>296</v>
      </c>
      <c r="R620" t="s">
        <v>296</v>
      </c>
    </row>
    <row r="621" spans="16:18">
      <c r="P621" t="s">
        <v>296</v>
      </c>
      <c r="Q621" t="s">
        <v>296</v>
      </c>
      <c r="R621" t="s">
        <v>296</v>
      </c>
    </row>
    <row r="622" spans="16:18">
      <c r="P622" t="s">
        <v>296</v>
      </c>
      <c r="Q622" t="s">
        <v>296</v>
      </c>
      <c r="R622" t="s">
        <v>296</v>
      </c>
    </row>
    <row r="623" spans="16:18">
      <c r="P623" t="s">
        <v>296</v>
      </c>
      <c r="Q623" t="s">
        <v>296</v>
      </c>
      <c r="R623" t="s">
        <v>296</v>
      </c>
    </row>
    <row r="624" spans="16:18">
      <c r="P624" t="s">
        <v>296</v>
      </c>
      <c r="Q624" t="s">
        <v>296</v>
      </c>
      <c r="R624" t="s">
        <v>296</v>
      </c>
    </row>
    <row r="625" spans="16:18">
      <c r="P625" t="s">
        <v>296</v>
      </c>
      <c r="Q625" t="s">
        <v>296</v>
      </c>
      <c r="R625" t="s">
        <v>296</v>
      </c>
    </row>
    <row r="626" spans="16:18">
      <c r="P626" t="s">
        <v>296</v>
      </c>
      <c r="Q626" t="s">
        <v>296</v>
      </c>
      <c r="R626" t="s">
        <v>296</v>
      </c>
    </row>
    <row r="627" spans="16:18">
      <c r="P627" t="s">
        <v>296</v>
      </c>
      <c r="Q627" t="s">
        <v>296</v>
      </c>
      <c r="R627" t="s">
        <v>296</v>
      </c>
    </row>
    <row r="628" spans="16:18">
      <c r="P628" t="s">
        <v>296</v>
      </c>
      <c r="Q628" t="s">
        <v>296</v>
      </c>
      <c r="R628" t="s">
        <v>296</v>
      </c>
    </row>
    <row r="629" spans="16:18">
      <c r="P629" t="s">
        <v>296</v>
      </c>
      <c r="Q629" t="s">
        <v>296</v>
      </c>
      <c r="R629" t="s">
        <v>296</v>
      </c>
    </row>
    <row r="630" spans="16:18">
      <c r="P630" t="s">
        <v>296</v>
      </c>
      <c r="Q630" t="s">
        <v>296</v>
      </c>
      <c r="R630" t="s">
        <v>296</v>
      </c>
    </row>
    <row r="631" spans="16:18">
      <c r="P631" t="s">
        <v>296</v>
      </c>
      <c r="Q631" t="s">
        <v>296</v>
      </c>
      <c r="R631" t="s">
        <v>296</v>
      </c>
    </row>
    <row r="632" spans="16:18">
      <c r="P632" t="s">
        <v>296</v>
      </c>
      <c r="Q632" t="s">
        <v>296</v>
      </c>
      <c r="R632" t="s">
        <v>296</v>
      </c>
    </row>
    <row r="633" spans="16:18">
      <c r="P633" t="s">
        <v>296</v>
      </c>
      <c r="Q633" t="s">
        <v>296</v>
      </c>
      <c r="R633" t="s">
        <v>296</v>
      </c>
    </row>
    <row r="634" spans="16:18">
      <c r="P634" t="s">
        <v>296</v>
      </c>
      <c r="Q634" t="s">
        <v>296</v>
      </c>
      <c r="R634" t="s">
        <v>296</v>
      </c>
    </row>
    <row r="635" spans="16:18">
      <c r="P635" t="s">
        <v>296</v>
      </c>
      <c r="Q635" t="s">
        <v>296</v>
      </c>
      <c r="R635" t="s">
        <v>296</v>
      </c>
    </row>
    <row r="636" spans="16:18">
      <c r="P636" t="s">
        <v>296</v>
      </c>
      <c r="Q636" t="s">
        <v>296</v>
      </c>
      <c r="R636" t="s">
        <v>296</v>
      </c>
    </row>
    <row r="637" spans="16:18">
      <c r="P637" t="s">
        <v>296</v>
      </c>
      <c r="Q637" t="s">
        <v>296</v>
      </c>
      <c r="R637" t="s">
        <v>296</v>
      </c>
    </row>
    <row r="638" spans="16:18">
      <c r="P638" t="s">
        <v>296</v>
      </c>
      <c r="Q638" t="s">
        <v>296</v>
      </c>
      <c r="R638" t="s">
        <v>296</v>
      </c>
    </row>
    <row r="639" spans="16:18">
      <c r="P639" t="s">
        <v>296</v>
      </c>
      <c r="Q639" t="s">
        <v>296</v>
      </c>
      <c r="R639" t="s">
        <v>296</v>
      </c>
    </row>
    <row r="640" spans="16:18">
      <c r="P640" t="s">
        <v>296</v>
      </c>
      <c r="Q640" t="s">
        <v>296</v>
      </c>
      <c r="R640" t="s">
        <v>296</v>
      </c>
    </row>
    <row r="641" spans="16:18">
      <c r="P641" t="s">
        <v>296</v>
      </c>
      <c r="Q641" t="s">
        <v>296</v>
      </c>
      <c r="R641" t="s">
        <v>296</v>
      </c>
    </row>
    <row r="642" spans="16:18">
      <c r="P642" t="s">
        <v>296</v>
      </c>
      <c r="Q642" t="s">
        <v>296</v>
      </c>
      <c r="R642" t="s">
        <v>296</v>
      </c>
    </row>
    <row r="643" spans="16:18">
      <c r="P643" t="s">
        <v>296</v>
      </c>
      <c r="Q643" t="s">
        <v>296</v>
      </c>
      <c r="R643" t="s">
        <v>296</v>
      </c>
    </row>
    <row r="644" spans="16:18">
      <c r="P644" t="s">
        <v>296</v>
      </c>
      <c r="Q644" t="s">
        <v>296</v>
      </c>
      <c r="R644" t="s">
        <v>296</v>
      </c>
    </row>
    <row r="645" spans="16:18">
      <c r="P645" t="s">
        <v>296</v>
      </c>
      <c r="Q645" t="s">
        <v>296</v>
      </c>
      <c r="R645" t="s">
        <v>296</v>
      </c>
    </row>
    <row r="646" spans="16:18">
      <c r="P646" t="s">
        <v>296</v>
      </c>
      <c r="Q646" t="s">
        <v>296</v>
      </c>
      <c r="R646" t="s">
        <v>296</v>
      </c>
    </row>
    <row r="647" spans="16:18">
      <c r="P647" t="s">
        <v>296</v>
      </c>
      <c r="Q647" t="s">
        <v>296</v>
      </c>
      <c r="R647" t="s">
        <v>296</v>
      </c>
    </row>
    <row r="648" spans="16:18">
      <c r="P648" t="s">
        <v>296</v>
      </c>
      <c r="Q648" t="s">
        <v>296</v>
      </c>
      <c r="R648" t="s">
        <v>296</v>
      </c>
    </row>
    <row r="649" spans="16:18">
      <c r="P649" t="s">
        <v>296</v>
      </c>
      <c r="Q649" t="s">
        <v>296</v>
      </c>
      <c r="R649" t="s">
        <v>296</v>
      </c>
    </row>
    <row r="650" spans="16:18">
      <c r="P650" t="s">
        <v>296</v>
      </c>
      <c r="Q650" t="s">
        <v>296</v>
      </c>
      <c r="R650" t="s">
        <v>296</v>
      </c>
    </row>
    <row r="651" spans="16:18">
      <c r="P651" t="s">
        <v>296</v>
      </c>
      <c r="Q651" t="s">
        <v>296</v>
      </c>
      <c r="R651" t="s">
        <v>296</v>
      </c>
    </row>
    <row r="652" spans="16:18">
      <c r="P652" t="s">
        <v>296</v>
      </c>
      <c r="Q652" t="s">
        <v>296</v>
      </c>
      <c r="R652" t="s">
        <v>296</v>
      </c>
    </row>
    <row r="653" spans="16:18">
      <c r="P653" t="s">
        <v>296</v>
      </c>
      <c r="Q653" t="s">
        <v>296</v>
      </c>
      <c r="R653" t="s">
        <v>296</v>
      </c>
    </row>
    <row r="654" spans="16:18">
      <c r="P654" t="s">
        <v>296</v>
      </c>
      <c r="Q654" t="s">
        <v>296</v>
      </c>
      <c r="R654" t="s">
        <v>296</v>
      </c>
    </row>
    <row r="655" spans="16:18">
      <c r="P655" t="s">
        <v>296</v>
      </c>
      <c r="Q655" t="s">
        <v>296</v>
      </c>
      <c r="R655" t="s">
        <v>296</v>
      </c>
    </row>
    <row r="656" spans="16:18">
      <c r="P656" t="s">
        <v>296</v>
      </c>
      <c r="Q656" t="s">
        <v>296</v>
      </c>
      <c r="R656" t="s">
        <v>296</v>
      </c>
    </row>
    <row r="657" spans="16:18">
      <c r="P657" t="s">
        <v>296</v>
      </c>
      <c r="Q657" t="s">
        <v>296</v>
      </c>
      <c r="R657" t="s">
        <v>296</v>
      </c>
    </row>
    <row r="658" spans="16:18">
      <c r="P658" t="s">
        <v>296</v>
      </c>
      <c r="Q658" t="s">
        <v>296</v>
      </c>
      <c r="R658" t="s">
        <v>296</v>
      </c>
    </row>
    <row r="659" spans="16:18">
      <c r="P659" t="s">
        <v>296</v>
      </c>
      <c r="Q659" t="s">
        <v>296</v>
      </c>
      <c r="R659" t="s">
        <v>296</v>
      </c>
    </row>
    <row r="660" spans="16:18">
      <c r="P660" t="s">
        <v>296</v>
      </c>
      <c r="Q660" t="s">
        <v>296</v>
      </c>
      <c r="R660" t="s">
        <v>296</v>
      </c>
    </row>
    <row r="661" spans="16:18">
      <c r="P661" t="s">
        <v>296</v>
      </c>
      <c r="Q661" t="s">
        <v>296</v>
      </c>
      <c r="R661" t="s">
        <v>296</v>
      </c>
    </row>
    <row r="662" spans="16:18">
      <c r="P662" t="s">
        <v>296</v>
      </c>
      <c r="Q662" t="s">
        <v>296</v>
      </c>
      <c r="R662" t="s">
        <v>296</v>
      </c>
    </row>
    <row r="663" spans="16:18">
      <c r="P663" t="s">
        <v>296</v>
      </c>
      <c r="Q663" t="s">
        <v>296</v>
      </c>
      <c r="R663" t="s">
        <v>296</v>
      </c>
    </row>
    <row r="664" spans="16:18">
      <c r="P664" t="s">
        <v>296</v>
      </c>
      <c r="Q664" t="s">
        <v>296</v>
      </c>
      <c r="R664" t="s">
        <v>296</v>
      </c>
    </row>
    <row r="665" spans="16:18">
      <c r="P665" t="s">
        <v>296</v>
      </c>
      <c r="Q665" t="s">
        <v>296</v>
      </c>
      <c r="R665" t="s">
        <v>296</v>
      </c>
    </row>
    <row r="666" spans="16:18">
      <c r="P666" t="s">
        <v>296</v>
      </c>
      <c r="Q666" t="s">
        <v>296</v>
      </c>
      <c r="R666" t="s">
        <v>296</v>
      </c>
    </row>
    <row r="667" spans="16:18">
      <c r="P667" t="s">
        <v>296</v>
      </c>
      <c r="Q667" t="s">
        <v>296</v>
      </c>
      <c r="R667" t="s">
        <v>296</v>
      </c>
    </row>
    <row r="668" spans="16:18">
      <c r="P668" t="s">
        <v>296</v>
      </c>
      <c r="Q668" t="s">
        <v>296</v>
      </c>
      <c r="R668" t="s">
        <v>296</v>
      </c>
    </row>
    <row r="669" spans="16:18">
      <c r="P669" t="s">
        <v>296</v>
      </c>
      <c r="Q669" t="s">
        <v>296</v>
      </c>
      <c r="R669" t="s">
        <v>296</v>
      </c>
    </row>
    <row r="670" spans="16:18">
      <c r="P670" t="s">
        <v>296</v>
      </c>
      <c r="Q670" t="s">
        <v>296</v>
      </c>
      <c r="R670" t="s">
        <v>296</v>
      </c>
    </row>
    <row r="671" spans="16:18">
      <c r="P671" t="s">
        <v>296</v>
      </c>
      <c r="Q671" t="s">
        <v>296</v>
      </c>
      <c r="R671" t="s">
        <v>296</v>
      </c>
    </row>
    <row r="672" spans="16:18">
      <c r="P672" t="s">
        <v>296</v>
      </c>
      <c r="Q672" t="s">
        <v>296</v>
      </c>
      <c r="R672" t="s">
        <v>296</v>
      </c>
    </row>
    <row r="673" spans="1:18" s="2442" customFormat="1">
      <c r="A673"/>
      <c r="B673"/>
      <c r="C673"/>
      <c r="D673"/>
      <c r="E673"/>
      <c r="F673"/>
      <c r="G673"/>
      <c r="H673"/>
      <c r="I673"/>
      <c r="J673"/>
      <c r="K673"/>
      <c r="L673"/>
      <c r="M673"/>
      <c r="N673"/>
      <c r="O673"/>
      <c r="P673" s="2442" t="s">
        <v>296</v>
      </c>
      <c r="Q673" s="2442" t="s">
        <v>296</v>
      </c>
      <c r="R673" s="2442" t="s">
        <v>296</v>
      </c>
    </row>
    <row r="674" spans="1:18" s="2442" customFormat="1">
      <c r="A674"/>
      <c r="B674"/>
      <c r="C674"/>
      <c r="D674"/>
      <c r="E674"/>
      <c r="F674"/>
      <c r="G674"/>
      <c r="H674"/>
      <c r="I674"/>
      <c r="J674"/>
      <c r="K674"/>
      <c r="L674"/>
      <c r="M674"/>
      <c r="N674"/>
      <c r="O674"/>
      <c r="P674" s="2442" t="s">
        <v>296</v>
      </c>
      <c r="Q674" s="2442" t="s">
        <v>296</v>
      </c>
      <c r="R674" s="2442" t="s">
        <v>296</v>
      </c>
    </row>
    <row r="675" spans="1:18" s="2442" customFormat="1">
      <c r="A675"/>
      <c r="B675"/>
      <c r="C675"/>
      <c r="D675"/>
      <c r="E675"/>
      <c r="F675"/>
      <c r="G675"/>
      <c r="H675"/>
      <c r="I675"/>
      <c r="J675"/>
      <c r="K675"/>
      <c r="L675"/>
      <c r="M675"/>
      <c r="N675"/>
      <c r="O675"/>
      <c r="P675" s="2442" t="s">
        <v>296</v>
      </c>
      <c r="Q675" s="2442" t="s">
        <v>296</v>
      </c>
      <c r="R675" s="2442" t="s">
        <v>296</v>
      </c>
    </row>
    <row r="676" spans="1:18" s="2442" customFormat="1">
      <c r="A676"/>
      <c r="B676"/>
      <c r="C676"/>
      <c r="D676"/>
      <c r="E676"/>
      <c r="F676"/>
      <c r="G676"/>
      <c r="H676"/>
      <c r="I676"/>
      <c r="J676"/>
      <c r="K676"/>
      <c r="L676"/>
      <c r="M676"/>
      <c r="N676"/>
      <c r="O676"/>
      <c r="P676" s="2442" t="s">
        <v>296</v>
      </c>
      <c r="Q676" s="2442" t="s">
        <v>296</v>
      </c>
      <c r="R676" s="2442" t="s">
        <v>296</v>
      </c>
    </row>
    <row r="677" spans="1:18" s="2442" customFormat="1">
      <c r="A677"/>
      <c r="B677"/>
      <c r="C677"/>
      <c r="D677"/>
      <c r="E677"/>
      <c r="F677"/>
      <c r="G677"/>
      <c r="H677"/>
      <c r="I677"/>
      <c r="J677"/>
      <c r="K677"/>
      <c r="L677"/>
      <c r="M677"/>
      <c r="N677"/>
      <c r="O677"/>
      <c r="P677" s="2442" t="s">
        <v>296</v>
      </c>
      <c r="Q677" s="2442" t="s">
        <v>296</v>
      </c>
      <c r="R677" s="2442" t="s">
        <v>296</v>
      </c>
    </row>
    <row r="678" spans="1:18" s="2442" customFormat="1">
      <c r="A678"/>
      <c r="B678"/>
      <c r="C678"/>
      <c r="D678"/>
      <c r="E678"/>
      <c r="F678"/>
      <c r="G678"/>
      <c r="H678"/>
      <c r="I678"/>
      <c r="J678"/>
      <c r="K678"/>
      <c r="L678"/>
      <c r="M678"/>
      <c r="N678"/>
      <c r="O678"/>
      <c r="P678" s="2442" t="s">
        <v>296</v>
      </c>
      <c r="Q678" s="2442" t="s">
        <v>296</v>
      </c>
      <c r="R678" s="2442" t="s">
        <v>296</v>
      </c>
    </row>
    <row r="679" spans="1:18" s="2442" customFormat="1">
      <c r="A679"/>
      <c r="B679"/>
      <c r="C679"/>
      <c r="D679"/>
      <c r="E679"/>
      <c r="F679"/>
      <c r="G679"/>
      <c r="H679"/>
      <c r="I679"/>
      <c r="J679"/>
      <c r="K679"/>
      <c r="L679"/>
      <c r="M679"/>
      <c r="N679"/>
      <c r="O679"/>
      <c r="P679" s="2442" t="s">
        <v>296</v>
      </c>
      <c r="Q679" s="2442" t="s">
        <v>296</v>
      </c>
      <c r="R679" s="2442" t="s">
        <v>296</v>
      </c>
    </row>
    <row r="680" spans="1:18" s="2442" customFormat="1">
      <c r="A680"/>
      <c r="B680"/>
      <c r="C680"/>
      <c r="D680"/>
      <c r="E680"/>
      <c r="F680"/>
      <c r="G680"/>
      <c r="H680"/>
      <c r="I680"/>
      <c r="J680"/>
      <c r="K680"/>
      <c r="L680"/>
      <c r="M680"/>
      <c r="N680"/>
      <c r="O680"/>
      <c r="P680" s="2442" t="s">
        <v>296</v>
      </c>
      <c r="Q680" s="2442" t="s">
        <v>296</v>
      </c>
      <c r="R680" s="2442" t="s">
        <v>296</v>
      </c>
    </row>
    <row r="681" spans="1:18" s="2442" customFormat="1">
      <c r="A681"/>
      <c r="B681"/>
      <c r="C681"/>
      <c r="D681"/>
      <c r="E681"/>
      <c r="F681"/>
      <c r="G681"/>
      <c r="H681"/>
      <c r="I681"/>
      <c r="J681"/>
      <c r="K681"/>
      <c r="L681"/>
      <c r="M681"/>
      <c r="N681"/>
      <c r="O681"/>
      <c r="P681" s="2442" t="s">
        <v>296</v>
      </c>
      <c r="Q681" s="2442" t="s">
        <v>296</v>
      </c>
      <c r="R681" s="2442" t="s">
        <v>296</v>
      </c>
    </row>
    <row r="682" spans="1:18" s="2442" customFormat="1">
      <c r="A682"/>
      <c r="B682"/>
      <c r="C682"/>
      <c r="D682"/>
      <c r="E682"/>
      <c r="F682"/>
      <c r="G682"/>
      <c r="H682"/>
      <c r="I682"/>
      <c r="J682"/>
      <c r="K682"/>
      <c r="L682"/>
      <c r="M682"/>
      <c r="N682"/>
      <c r="O682"/>
      <c r="P682" s="2442" t="s">
        <v>296</v>
      </c>
      <c r="Q682" s="2442" t="s">
        <v>296</v>
      </c>
      <c r="R682" s="2442" t="s">
        <v>296</v>
      </c>
    </row>
    <row r="683" spans="1:18" s="2442" customFormat="1">
      <c r="A683"/>
      <c r="B683"/>
      <c r="C683"/>
      <c r="D683"/>
      <c r="E683"/>
      <c r="F683"/>
      <c r="G683"/>
      <c r="H683"/>
      <c r="I683"/>
      <c r="J683"/>
      <c r="K683"/>
      <c r="L683"/>
      <c r="M683"/>
      <c r="N683"/>
      <c r="O683"/>
      <c r="P683" s="2442" t="s">
        <v>296</v>
      </c>
      <c r="Q683" s="2442" t="s">
        <v>296</v>
      </c>
      <c r="R683" s="2442" t="s">
        <v>296</v>
      </c>
    </row>
    <row r="684" spans="1:18" s="2442" customFormat="1">
      <c r="A684"/>
      <c r="B684"/>
      <c r="C684"/>
      <c r="D684"/>
      <c r="E684"/>
      <c r="F684"/>
      <c r="G684"/>
      <c r="H684"/>
      <c r="I684"/>
      <c r="J684"/>
      <c r="K684"/>
      <c r="L684"/>
      <c r="M684"/>
      <c r="N684"/>
      <c r="O684"/>
      <c r="P684" s="2442" t="s">
        <v>296</v>
      </c>
      <c r="Q684" s="2442" t="s">
        <v>296</v>
      </c>
      <c r="R684" s="2442" t="s">
        <v>296</v>
      </c>
    </row>
    <row r="685" spans="1:18" s="2442" customFormat="1">
      <c r="A685"/>
      <c r="B685"/>
      <c r="C685"/>
      <c r="D685"/>
      <c r="E685"/>
      <c r="F685"/>
      <c r="G685"/>
      <c r="H685"/>
      <c r="I685"/>
      <c r="J685"/>
      <c r="K685"/>
      <c r="L685"/>
      <c r="M685"/>
      <c r="N685"/>
      <c r="O685"/>
      <c r="P685" s="2442" t="s">
        <v>296</v>
      </c>
      <c r="Q685" s="2442" t="s">
        <v>296</v>
      </c>
      <c r="R685" s="2442" t="s">
        <v>296</v>
      </c>
    </row>
    <row r="686" spans="1:18" s="2442" customFormat="1">
      <c r="A686"/>
      <c r="B686"/>
      <c r="C686"/>
      <c r="D686"/>
      <c r="E686"/>
      <c r="F686"/>
      <c r="G686"/>
      <c r="H686"/>
      <c r="I686"/>
      <c r="J686"/>
      <c r="K686"/>
      <c r="L686"/>
      <c r="M686"/>
      <c r="N686"/>
      <c r="O686"/>
      <c r="P686" s="2442" t="s">
        <v>296</v>
      </c>
      <c r="Q686" s="2442" t="s">
        <v>296</v>
      </c>
      <c r="R686" s="2442" t="s">
        <v>296</v>
      </c>
    </row>
    <row r="687" spans="1:18" s="2442" customFormat="1">
      <c r="A687"/>
      <c r="B687"/>
      <c r="C687"/>
      <c r="D687"/>
      <c r="E687"/>
      <c r="F687"/>
      <c r="G687"/>
      <c r="H687"/>
      <c r="I687"/>
      <c r="J687"/>
      <c r="K687"/>
      <c r="L687"/>
      <c r="M687"/>
      <c r="N687"/>
      <c r="O687"/>
      <c r="P687" s="2442" t="s">
        <v>296</v>
      </c>
      <c r="Q687" s="2442" t="s">
        <v>296</v>
      </c>
      <c r="R687" s="2442" t="s">
        <v>296</v>
      </c>
    </row>
    <row r="688" spans="1:18" s="2442" customFormat="1">
      <c r="A688"/>
      <c r="B688"/>
      <c r="C688"/>
      <c r="D688"/>
      <c r="E688"/>
      <c r="F688"/>
      <c r="G688"/>
      <c r="H688"/>
      <c r="I688"/>
      <c r="J688"/>
      <c r="K688"/>
      <c r="L688"/>
      <c r="M688"/>
      <c r="N688"/>
      <c r="O688"/>
      <c r="P688" s="2442" t="s">
        <v>296</v>
      </c>
      <c r="Q688" s="2442" t="s">
        <v>296</v>
      </c>
      <c r="R688" s="2442" t="s">
        <v>296</v>
      </c>
    </row>
    <row r="689" spans="1:18" s="2442" customFormat="1">
      <c r="A689"/>
      <c r="B689"/>
      <c r="C689"/>
      <c r="D689"/>
      <c r="E689"/>
      <c r="F689"/>
      <c r="G689"/>
      <c r="H689"/>
      <c r="I689"/>
      <c r="J689"/>
      <c r="K689"/>
      <c r="L689"/>
      <c r="M689"/>
      <c r="N689"/>
      <c r="O689"/>
      <c r="P689" s="2442" t="s">
        <v>296</v>
      </c>
      <c r="Q689" s="2442" t="s">
        <v>296</v>
      </c>
      <c r="R689" s="2442" t="s">
        <v>296</v>
      </c>
    </row>
    <row r="690" spans="1:18" s="2442" customFormat="1">
      <c r="A690"/>
      <c r="B690"/>
      <c r="C690"/>
      <c r="D690"/>
      <c r="E690"/>
      <c r="F690"/>
      <c r="G690"/>
      <c r="H690"/>
      <c r="I690"/>
      <c r="J690"/>
      <c r="K690"/>
      <c r="L690"/>
      <c r="M690"/>
      <c r="N690"/>
      <c r="O690"/>
      <c r="P690" s="2442" t="s">
        <v>296</v>
      </c>
      <c r="Q690" s="2442" t="s">
        <v>296</v>
      </c>
      <c r="R690" s="2442" t="s">
        <v>296</v>
      </c>
    </row>
    <row r="691" spans="1:18" s="2442" customFormat="1">
      <c r="A691"/>
      <c r="B691"/>
      <c r="C691"/>
      <c r="D691"/>
      <c r="E691"/>
      <c r="F691"/>
      <c r="G691"/>
      <c r="H691"/>
      <c r="I691"/>
      <c r="J691"/>
      <c r="K691"/>
      <c r="L691"/>
      <c r="M691"/>
      <c r="N691"/>
      <c r="O691"/>
      <c r="P691" s="2442" t="s">
        <v>296</v>
      </c>
      <c r="Q691" s="2442" t="s">
        <v>296</v>
      </c>
      <c r="R691" s="2442" t="s">
        <v>296</v>
      </c>
    </row>
    <row r="692" spans="1:18" s="2442" customFormat="1">
      <c r="A692"/>
      <c r="B692"/>
      <c r="C692"/>
      <c r="D692"/>
      <c r="E692"/>
      <c r="F692"/>
      <c r="G692"/>
      <c r="H692"/>
      <c r="I692"/>
      <c r="J692"/>
      <c r="K692"/>
      <c r="L692"/>
      <c r="M692"/>
      <c r="N692"/>
      <c r="O692"/>
      <c r="P692" s="2442" t="s">
        <v>296</v>
      </c>
      <c r="Q692" s="2442" t="s">
        <v>296</v>
      </c>
      <c r="R692" s="2442" t="s">
        <v>296</v>
      </c>
    </row>
    <row r="693" spans="1:18" s="2442" customFormat="1">
      <c r="A693"/>
      <c r="B693"/>
      <c r="C693"/>
      <c r="D693"/>
      <c r="E693"/>
      <c r="F693"/>
      <c r="G693"/>
      <c r="H693"/>
      <c r="I693"/>
      <c r="J693"/>
      <c r="K693"/>
      <c r="L693"/>
      <c r="M693"/>
      <c r="N693"/>
      <c r="O693"/>
      <c r="P693" s="2442" t="s">
        <v>296</v>
      </c>
      <c r="Q693" s="2442" t="s">
        <v>296</v>
      </c>
      <c r="R693" s="2442" t="s">
        <v>296</v>
      </c>
    </row>
    <row r="694" spans="1:18" s="2442" customFormat="1">
      <c r="A694"/>
      <c r="B694"/>
      <c r="C694"/>
      <c r="D694"/>
      <c r="E694"/>
      <c r="F694"/>
      <c r="G694"/>
      <c r="H694"/>
      <c r="I694"/>
      <c r="J694"/>
      <c r="K694"/>
      <c r="L694"/>
      <c r="M694"/>
      <c r="N694"/>
      <c r="O694"/>
      <c r="P694" s="2442" t="s">
        <v>296</v>
      </c>
      <c r="Q694" s="2442" t="s">
        <v>296</v>
      </c>
      <c r="R694" s="2442" t="s">
        <v>296</v>
      </c>
    </row>
    <row r="695" spans="1:18" s="2442" customFormat="1">
      <c r="A695"/>
      <c r="B695"/>
      <c r="C695"/>
      <c r="D695"/>
      <c r="E695"/>
      <c r="F695"/>
      <c r="G695"/>
      <c r="H695"/>
      <c r="I695"/>
      <c r="J695"/>
      <c r="K695"/>
      <c r="L695"/>
      <c r="M695"/>
      <c r="N695"/>
      <c r="O695"/>
      <c r="P695" s="2442" t="s">
        <v>296</v>
      </c>
      <c r="Q695" s="2442" t="s">
        <v>296</v>
      </c>
      <c r="R695" s="2442" t="s">
        <v>296</v>
      </c>
    </row>
    <row r="696" spans="1:18" s="2442" customFormat="1">
      <c r="A696"/>
      <c r="B696"/>
      <c r="C696"/>
      <c r="D696"/>
      <c r="E696"/>
      <c r="F696"/>
      <c r="G696"/>
      <c r="H696"/>
      <c r="I696"/>
      <c r="J696"/>
      <c r="K696"/>
      <c r="L696"/>
      <c r="M696"/>
      <c r="N696"/>
      <c r="O696"/>
      <c r="P696" s="2442" t="s">
        <v>296</v>
      </c>
      <c r="Q696" s="2442" t="s">
        <v>296</v>
      </c>
      <c r="R696" s="2442" t="s">
        <v>296</v>
      </c>
    </row>
    <row r="697" spans="1:18" s="2442" customFormat="1">
      <c r="A697"/>
      <c r="B697"/>
      <c r="C697"/>
      <c r="D697"/>
      <c r="E697"/>
      <c r="F697"/>
      <c r="G697"/>
      <c r="H697"/>
      <c r="I697"/>
      <c r="J697"/>
      <c r="K697"/>
      <c r="L697"/>
      <c r="M697"/>
      <c r="N697"/>
      <c r="O697"/>
      <c r="P697" s="2442" t="s">
        <v>296</v>
      </c>
      <c r="Q697" s="2442" t="s">
        <v>296</v>
      </c>
      <c r="R697" s="2442" t="s">
        <v>296</v>
      </c>
    </row>
    <row r="698" spans="1:18" s="2442" customFormat="1">
      <c r="A698"/>
      <c r="B698"/>
      <c r="C698"/>
      <c r="D698"/>
      <c r="E698"/>
      <c r="F698"/>
      <c r="G698"/>
      <c r="H698"/>
      <c r="I698"/>
      <c r="J698"/>
      <c r="K698"/>
      <c r="L698"/>
      <c r="M698"/>
      <c r="N698"/>
      <c r="O698"/>
      <c r="P698" s="2442" t="s">
        <v>296</v>
      </c>
      <c r="Q698" s="2442" t="s">
        <v>296</v>
      </c>
      <c r="R698" s="2442" t="s">
        <v>296</v>
      </c>
    </row>
    <row r="699" spans="1:18" s="2442" customFormat="1">
      <c r="A699"/>
      <c r="B699"/>
      <c r="C699"/>
      <c r="D699"/>
      <c r="E699"/>
      <c r="F699"/>
      <c r="G699"/>
      <c r="H699"/>
      <c r="I699"/>
      <c r="J699"/>
      <c r="K699"/>
      <c r="L699"/>
      <c r="M699"/>
      <c r="N699"/>
      <c r="O699"/>
      <c r="P699" s="2442" t="s">
        <v>296</v>
      </c>
      <c r="Q699" s="2442" t="s">
        <v>296</v>
      </c>
      <c r="R699" s="2442" t="s">
        <v>296</v>
      </c>
    </row>
    <row r="700" spans="1:18" s="2442" customFormat="1">
      <c r="A700"/>
      <c r="B700"/>
      <c r="C700"/>
      <c r="D700"/>
      <c r="E700"/>
      <c r="F700"/>
      <c r="G700"/>
      <c r="H700"/>
      <c r="I700"/>
      <c r="J700"/>
      <c r="K700"/>
      <c r="L700"/>
      <c r="M700"/>
      <c r="N700"/>
      <c r="O700"/>
      <c r="P700" s="2442" t="s">
        <v>296</v>
      </c>
      <c r="Q700" s="2442" t="s">
        <v>296</v>
      </c>
      <c r="R700" s="2442" t="s">
        <v>296</v>
      </c>
    </row>
    <row r="701" spans="1:18" s="2442" customFormat="1">
      <c r="A701"/>
      <c r="B701"/>
      <c r="C701"/>
      <c r="D701"/>
      <c r="E701"/>
      <c r="F701"/>
      <c r="G701"/>
      <c r="H701"/>
      <c r="I701"/>
      <c r="J701"/>
      <c r="K701"/>
      <c r="L701"/>
      <c r="M701"/>
      <c r="N701"/>
      <c r="O701"/>
      <c r="P701" s="2442" t="s">
        <v>296</v>
      </c>
      <c r="Q701" s="2442" t="s">
        <v>296</v>
      </c>
      <c r="R701" s="2442" t="s">
        <v>296</v>
      </c>
    </row>
    <row r="702" spans="1:18" s="2442" customFormat="1">
      <c r="A702"/>
      <c r="B702"/>
      <c r="C702"/>
      <c r="D702"/>
      <c r="E702"/>
      <c r="F702"/>
      <c r="G702"/>
      <c r="H702"/>
      <c r="I702"/>
      <c r="J702"/>
      <c r="K702"/>
      <c r="L702"/>
      <c r="M702"/>
      <c r="N702"/>
      <c r="O702"/>
      <c r="P702" s="2442" t="s">
        <v>296</v>
      </c>
      <c r="Q702" s="2442" t="s">
        <v>296</v>
      </c>
      <c r="R702" s="2442" t="s">
        <v>296</v>
      </c>
    </row>
    <row r="703" spans="1:18" s="2442" customFormat="1">
      <c r="A703"/>
      <c r="B703"/>
      <c r="C703"/>
      <c r="D703"/>
      <c r="E703"/>
      <c r="F703"/>
      <c r="G703"/>
      <c r="H703"/>
      <c r="I703"/>
      <c r="J703"/>
      <c r="K703"/>
      <c r="L703"/>
      <c r="M703"/>
      <c r="N703"/>
      <c r="O703"/>
      <c r="P703" s="2442" t="s">
        <v>296</v>
      </c>
      <c r="Q703" s="2442" t="s">
        <v>296</v>
      </c>
      <c r="R703" s="2442" t="s">
        <v>296</v>
      </c>
    </row>
    <row r="704" spans="1:18" s="2442" customFormat="1">
      <c r="A704"/>
      <c r="B704"/>
      <c r="C704"/>
      <c r="D704"/>
      <c r="E704"/>
      <c r="F704"/>
      <c r="G704"/>
      <c r="H704"/>
      <c r="I704"/>
      <c r="J704"/>
      <c r="K704"/>
      <c r="L704"/>
      <c r="M704"/>
      <c r="N704"/>
      <c r="O704"/>
      <c r="P704" s="2442" t="s">
        <v>296</v>
      </c>
      <c r="Q704" s="2442" t="s">
        <v>296</v>
      </c>
      <c r="R704" s="2442" t="s">
        <v>296</v>
      </c>
    </row>
    <row r="705" spans="1:18" s="2442" customFormat="1">
      <c r="A705"/>
      <c r="B705"/>
      <c r="C705"/>
      <c r="D705"/>
      <c r="E705"/>
      <c r="F705"/>
      <c r="G705"/>
      <c r="H705"/>
      <c r="I705"/>
      <c r="J705"/>
      <c r="K705"/>
      <c r="L705"/>
      <c r="M705"/>
      <c r="N705"/>
      <c r="O705"/>
      <c r="P705" s="2442" t="s">
        <v>296</v>
      </c>
      <c r="Q705" s="2442" t="s">
        <v>296</v>
      </c>
      <c r="R705" s="2442" t="s">
        <v>296</v>
      </c>
    </row>
    <row r="706" spans="1:18" s="2442" customFormat="1">
      <c r="A706"/>
      <c r="B706"/>
      <c r="C706"/>
      <c r="D706"/>
      <c r="E706"/>
      <c r="F706"/>
      <c r="G706"/>
      <c r="H706"/>
      <c r="I706"/>
      <c r="J706"/>
      <c r="K706"/>
      <c r="L706"/>
      <c r="M706"/>
      <c r="N706"/>
      <c r="O706"/>
      <c r="P706" s="2442" t="s">
        <v>296</v>
      </c>
      <c r="Q706" s="2442" t="s">
        <v>296</v>
      </c>
      <c r="R706" s="2442" t="s">
        <v>296</v>
      </c>
    </row>
    <row r="707" spans="1:18" s="2442" customFormat="1">
      <c r="A707"/>
      <c r="B707"/>
      <c r="C707"/>
      <c r="D707"/>
      <c r="E707"/>
      <c r="F707"/>
      <c r="G707"/>
      <c r="H707"/>
      <c r="I707"/>
      <c r="J707"/>
      <c r="K707"/>
      <c r="L707"/>
      <c r="M707"/>
      <c r="N707"/>
      <c r="O707"/>
      <c r="P707" s="2442" t="s">
        <v>296</v>
      </c>
      <c r="Q707" s="2442" t="s">
        <v>296</v>
      </c>
      <c r="R707" s="2442" t="s">
        <v>296</v>
      </c>
    </row>
    <row r="708" spans="1:18" s="2265" customFormat="1">
      <c r="A708" s="2116"/>
      <c r="B708" s="2116"/>
      <c r="C708" s="2116"/>
      <c r="D708" s="2116"/>
      <c r="E708" s="2116"/>
      <c r="F708" s="2116"/>
      <c r="G708" s="2116"/>
      <c r="H708" s="2116"/>
      <c r="I708" s="2116"/>
      <c r="J708" s="2116"/>
      <c r="K708" s="2117"/>
      <c r="L708" s="2117"/>
      <c r="M708" s="2116"/>
      <c r="N708" s="2117"/>
      <c r="O708" s="2116"/>
      <c r="P708" s="2116" t="s">
        <v>296</v>
      </c>
      <c r="Q708" s="2116" t="s">
        <v>296</v>
      </c>
      <c r="R708" s="2116" t="s">
        <v>296</v>
      </c>
    </row>
    <row r="709" spans="1:18" s="2265" customFormat="1">
      <c r="A709" s="2116"/>
      <c r="B709" s="2116"/>
      <c r="C709" s="2116"/>
      <c r="D709" s="2116"/>
      <c r="E709" s="2116"/>
      <c r="F709" s="2116"/>
      <c r="G709" s="2116"/>
      <c r="H709" s="2116"/>
      <c r="I709" s="2116"/>
      <c r="J709" s="2116"/>
      <c r="K709" s="2117"/>
      <c r="L709" s="2117"/>
      <c r="M709" s="2116"/>
      <c r="N709" s="2117"/>
      <c r="O709" s="2116"/>
      <c r="P709" s="2116" t="s">
        <v>296</v>
      </c>
      <c r="Q709" s="2116" t="s">
        <v>296</v>
      </c>
      <c r="R709" s="2116" t="s">
        <v>296</v>
      </c>
    </row>
    <row r="710" spans="1:18" s="2265" customFormat="1">
      <c r="A710" s="2116"/>
      <c r="B710" s="2116"/>
      <c r="C710" s="2116"/>
      <c r="D710" s="2116"/>
      <c r="E710" s="2116"/>
      <c r="F710" s="2116"/>
      <c r="G710" s="2116"/>
      <c r="H710" s="2116"/>
      <c r="I710" s="2116"/>
      <c r="J710" s="2116"/>
      <c r="K710" s="2117"/>
      <c r="L710" s="2117"/>
      <c r="M710" s="2116"/>
      <c r="N710" s="2117"/>
      <c r="O710" s="2116"/>
      <c r="P710" s="2116" t="s">
        <v>296</v>
      </c>
      <c r="Q710" s="2116" t="s">
        <v>296</v>
      </c>
      <c r="R710" s="2116" t="s">
        <v>296</v>
      </c>
    </row>
    <row r="711" spans="1:18" s="2265" customFormat="1">
      <c r="A711" s="2116"/>
      <c r="B711" s="2116"/>
      <c r="C711" s="2116"/>
      <c r="D711" s="2116"/>
      <c r="E711" s="2116"/>
      <c r="F711" s="2116"/>
      <c r="G711" s="2116"/>
      <c r="H711" s="2116"/>
      <c r="I711" s="2116"/>
      <c r="J711" s="2116"/>
      <c r="K711" s="2117"/>
      <c r="L711" s="2117"/>
      <c r="M711" s="2116"/>
      <c r="N711" s="2117"/>
      <c r="O711" s="2116"/>
      <c r="P711" s="2116" t="s">
        <v>296</v>
      </c>
      <c r="Q711" s="2116" t="s">
        <v>296</v>
      </c>
      <c r="R711" s="2116" t="s">
        <v>296</v>
      </c>
    </row>
    <row r="712" spans="1:18" s="2265" customFormat="1">
      <c r="A712" s="2116"/>
      <c r="B712" s="2116"/>
      <c r="C712" s="2116"/>
      <c r="D712" s="2116"/>
      <c r="E712" s="2116"/>
      <c r="F712" s="2116"/>
      <c r="G712" s="2116"/>
      <c r="H712" s="2116"/>
      <c r="I712" s="2116"/>
      <c r="J712" s="2116"/>
      <c r="K712" s="2117"/>
      <c r="L712" s="2117"/>
      <c r="M712" s="2116"/>
      <c r="N712" s="2117"/>
      <c r="O712" s="2116"/>
      <c r="P712" s="2116" t="s">
        <v>296</v>
      </c>
      <c r="Q712" s="2116" t="s">
        <v>296</v>
      </c>
      <c r="R712" s="2116" t="s">
        <v>296</v>
      </c>
    </row>
    <row r="713" spans="1:18" s="2265" customFormat="1">
      <c r="A713" s="2116"/>
      <c r="B713" s="2116"/>
      <c r="C713" s="2116"/>
      <c r="D713" s="2116"/>
      <c r="E713" s="2116"/>
      <c r="F713" s="2116"/>
      <c r="G713" s="2116"/>
      <c r="H713" s="2116"/>
      <c r="I713" s="2116"/>
      <c r="J713" s="2116"/>
      <c r="K713" s="2117"/>
      <c r="L713" s="2117"/>
      <c r="M713" s="2116"/>
      <c r="N713" s="2117"/>
      <c r="O713" s="2116"/>
      <c r="P713" s="2116" t="s">
        <v>296</v>
      </c>
      <c r="Q713" s="2116" t="s">
        <v>296</v>
      </c>
      <c r="R713" s="2116" t="s">
        <v>296</v>
      </c>
    </row>
    <row r="714" spans="1:18" s="2265" customFormat="1">
      <c r="A714" s="2116"/>
      <c r="B714" s="2116"/>
      <c r="C714" s="2116"/>
      <c r="D714" s="2116"/>
      <c r="E714" s="2116"/>
      <c r="F714" s="2116"/>
      <c r="G714" s="2116"/>
      <c r="H714" s="2116"/>
      <c r="I714" s="2116"/>
      <c r="J714" s="2116"/>
      <c r="K714" s="2117"/>
      <c r="L714" s="2117"/>
      <c r="M714" s="2116"/>
      <c r="N714" s="2117"/>
      <c r="O714" s="2116"/>
      <c r="P714" s="2116" t="s">
        <v>296</v>
      </c>
      <c r="Q714" s="2116" t="s">
        <v>296</v>
      </c>
      <c r="R714" s="2116" t="s">
        <v>296</v>
      </c>
    </row>
    <row r="715" spans="1:18" s="2265" customFormat="1">
      <c r="A715" s="2116"/>
      <c r="B715" s="2116"/>
      <c r="C715" s="2116"/>
      <c r="D715" s="2116"/>
      <c r="E715" s="2116"/>
      <c r="F715" s="2116"/>
      <c r="G715" s="2116"/>
      <c r="H715" s="2116"/>
      <c r="I715" s="2116"/>
      <c r="J715" s="2116"/>
      <c r="K715" s="2117"/>
      <c r="L715" s="2117"/>
      <c r="M715" s="2116"/>
      <c r="N715" s="2117"/>
      <c r="O715" s="2116"/>
      <c r="P715" s="2116" t="s">
        <v>296</v>
      </c>
      <c r="Q715" s="2116" t="s">
        <v>296</v>
      </c>
      <c r="R715" s="2116" t="s">
        <v>296</v>
      </c>
    </row>
    <row r="716" spans="1:18" s="2265" customFormat="1">
      <c r="A716" s="2116"/>
      <c r="B716" s="2116"/>
      <c r="C716" s="2116"/>
      <c r="D716" s="2116"/>
      <c r="E716" s="2116"/>
      <c r="F716" s="2116"/>
      <c r="G716" s="2116"/>
      <c r="H716" s="2116"/>
      <c r="I716" s="2116"/>
      <c r="J716" s="2116"/>
      <c r="K716" s="2117"/>
      <c r="L716" s="2117"/>
      <c r="M716" s="2116"/>
      <c r="N716" s="2117"/>
      <c r="O716" s="2116"/>
      <c r="P716" s="2116" t="s">
        <v>296</v>
      </c>
      <c r="Q716" s="2116" t="s">
        <v>296</v>
      </c>
      <c r="R716" s="2116" t="s">
        <v>296</v>
      </c>
    </row>
    <row r="717" spans="1:18" s="2265" customFormat="1">
      <c r="A717" s="2116"/>
      <c r="B717" s="2116"/>
      <c r="C717" s="2116"/>
      <c r="D717" s="2116"/>
      <c r="E717" s="2116"/>
      <c r="F717" s="2116"/>
      <c r="G717" s="2116"/>
      <c r="H717" s="2116"/>
      <c r="I717" s="2116"/>
      <c r="J717" s="2116"/>
      <c r="K717" s="2117"/>
      <c r="L717" s="2117"/>
      <c r="M717" s="2116"/>
      <c r="N717" s="2117"/>
      <c r="O717" s="2116"/>
      <c r="P717" s="2116" t="s">
        <v>296</v>
      </c>
      <c r="Q717" s="2116" t="s">
        <v>296</v>
      </c>
      <c r="R717" s="2116" t="s">
        <v>296</v>
      </c>
    </row>
    <row r="718" spans="1:18" s="2265" customFormat="1">
      <c r="A718" s="2116"/>
      <c r="B718" s="2116"/>
      <c r="C718" s="2116"/>
      <c r="D718" s="2116"/>
      <c r="E718" s="2116"/>
      <c r="F718" s="2116"/>
      <c r="G718" s="2116"/>
      <c r="H718" s="2116"/>
      <c r="I718" s="2116"/>
      <c r="J718" s="2116"/>
      <c r="K718" s="2117"/>
      <c r="L718" s="2117"/>
      <c r="M718" s="2116"/>
      <c r="N718" s="2117"/>
      <c r="O718" s="2116"/>
      <c r="P718" s="2116" t="s">
        <v>296</v>
      </c>
      <c r="Q718" s="2116" t="s">
        <v>296</v>
      </c>
      <c r="R718" s="2116" t="s">
        <v>296</v>
      </c>
    </row>
    <row r="719" spans="1:18" s="2265" customFormat="1">
      <c r="A719" s="2116"/>
      <c r="B719" s="2116"/>
      <c r="C719" s="2116"/>
      <c r="D719" s="2116"/>
      <c r="E719" s="2116"/>
      <c r="F719" s="2116"/>
      <c r="G719" s="2116"/>
      <c r="H719" s="2116"/>
      <c r="I719" s="2116"/>
      <c r="J719" s="2116"/>
      <c r="K719" s="2117"/>
      <c r="L719" s="2117"/>
      <c r="M719" s="2116"/>
      <c r="N719" s="2117"/>
      <c r="O719" s="2116"/>
      <c r="P719" s="2116" t="s">
        <v>296</v>
      </c>
      <c r="Q719" s="2116" t="s">
        <v>296</v>
      </c>
      <c r="R719" s="2116" t="s">
        <v>296</v>
      </c>
    </row>
    <row r="720" spans="1:18" s="2265" customFormat="1">
      <c r="A720" s="2116"/>
      <c r="B720" s="2116"/>
      <c r="C720" s="2116"/>
      <c r="D720" s="2116"/>
      <c r="E720" s="2116"/>
      <c r="F720" s="2116"/>
      <c r="G720" s="2116"/>
      <c r="H720" s="2116"/>
      <c r="I720" s="2116"/>
      <c r="J720" s="2116"/>
      <c r="K720" s="2117"/>
      <c r="L720" s="2117"/>
      <c r="M720" s="2116"/>
      <c r="N720" s="2117"/>
      <c r="O720" s="2116"/>
      <c r="P720" s="2116" t="s">
        <v>296</v>
      </c>
      <c r="Q720" s="2116" t="s">
        <v>296</v>
      </c>
      <c r="R720" s="2116" t="s">
        <v>296</v>
      </c>
    </row>
    <row r="721" spans="1:18" s="2265" customFormat="1">
      <c r="A721" s="2116"/>
      <c r="B721" s="2116"/>
      <c r="C721" s="2116"/>
      <c r="D721" s="2116"/>
      <c r="E721" s="2116"/>
      <c r="F721" s="2116"/>
      <c r="G721" s="2116"/>
      <c r="H721" s="2116"/>
      <c r="I721" s="2116"/>
      <c r="J721" s="2116"/>
      <c r="K721" s="2117"/>
      <c r="L721" s="2117"/>
      <c r="M721" s="2116"/>
      <c r="N721" s="2117"/>
      <c r="O721" s="2116"/>
      <c r="P721" s="2116" t="s">
        <v>296</v>
      </c>
      <c r="Q721" s="2116" t="s">
        <v>296</v>
      </c>
      <c r="R721" s="2116" t="s">
        <v>296</v>
      </c>
    </row>
    <row r="722" spans="1:18" s="2265" customFormat="1">
      <c r="A722" s="2116"/>
      <c r="B722" s="2116"/>
      <c r="C722" s="2116"/>
      <c r="D722" s="2116"/>
      <c r="E722" s="2116"/>
      <c r="F722" s="2116"/>
      <c r="G722" s="2116"/>
      <c r="H722" s="2116"/>
      <c r="I722" s="2116"/>
      <c r="J722" s="2116"/>
      <c r="K722" s="2117"/>
      <c r="L722" s="2117"/>
      <c r="M722" s="2116"/>
      <c r="N722" s="2117"/>
      <c r="O722" s="2116"/>
      <c r="P722" s="2116" t="s">
        <v>296</v>
      </c>
      <c r="Q722" s="2116" t="s">
        <v>296</v>
      </c>
      <c r="R722" s="2116" t="s">
        <v>296</v>
      </c>
    </row>
    <row r="723" spans="1:18" s="2265" customFormat="1">
      <c r="A723" s="2116"/>
      <c r="B723" s="2116"/>
      <c r="C723" s="2116"/>
      <c r="D723" s="2116"/>
      <c r="E723" s="2116"/>
      <c r="F723" s="2116"/>
      <c r="G723" s="2116"/>
      <c r="H723" s="2116"/>
      <c r="I723" s="2116"/>
      <c r="J723" s="2116"/>
      <c r="K723" s="2117"/>
      <c r="L723" s="2117"/>
      <c r="M723" s="2116"/>
      <c r="N723" s="2117"/>
      <c r="O723" s="2116"/>
      <c r="P723" s="2116" t="s">
        <v>296</v>
      </c>
      <c r="Q723" s="2116" t="s">
        <v>296</v>
      </c>
      <c r="R723" s="2116" t="s">
        <v>296</v>
      </c>
    </row>
    <row r="724" spans="1:18" s="2265" customFormat="1">
      <c r="A724" s="2116"/>
      <c r="B724" s="2116"/>
      <c r="C724" s="2116"/>
      <c r="D724" s="2116"/>
      <c r="E724" s="2116"/>
      <c r="F724" s="2116"/>
      <c r="G724" s="2116"/>
      <c r="H724" s="2116"/>
      <c r="I724" s="2116"/>
      <c r="J724" s="2116"/>
      <c r="K724" s="2117"/>
      <c r="L724" s="2117"/>
      <c r="M724" s="2116"/>
      <c r="N724" s="2117"/>
      <c r="O724" s="2116"/>
      <c r="P724" s="2116" t="s">
        <v>296</v>
      </c>
      <c r="Q724" s="2116" t="s">
        <v>296</v>
      </c>
      <c r="R724" s="2116" t="s">
        <v>296</v>
      </c>
    </row>
    <row r="725" spans="1:18" s="2265" customFormat="1">
      <c r="A725" s="2116"/>
      <c r="B725" s="2116"/>
      <c r="C725" s="2116"/>
      <c r="D725" s="2116"/>
      <c r="E725" s="2116"/>
      <c r="F725" s="2116"/>
      <c r="G725" s="2116"/>
      <c r="H725" s="2116"/>
      <c r="I725" s="2116"/>
      <c r="J725" s="2116"/>
      <c r="K725" s="2117"/>
      <c r="L725" s="2117"/>
      <c r="M725" s="2116"/>
      <c r="N725" s="2117"/>
      <c r="O725" s="2116"/>
      <c r="P725" s="2116" t="s">
        <v>296</v>
      </c>
      <c r="Q725" s="2116" t="s">
        <v>296</v>
      </c>
      <c r="R725" s="2116" t="s">
        <v>296</v>
      </c>
    </row>
    <row r="726" spans="1:18" s="2265" customFormat="1">
      <c r="A726" s="2116"/>
      <c r="B726" s="2116"/>
      <c r="C726" s="2116"/>
      <c r="D726" s="2116"/>
      <c r="E726" s="2116"/>
      <c r="F726" s="2116"/>
      <c r="G726" s="2116"/>
      <c r="H726" s="2116"/>
      <c r="I726" s="2116"/>
      <c r="J726" s="2116"/>
      <c r="K726" s="2117"/>
      <c r="L726" s="2117"/>
      <c r="M726" s="2116"/>
      <c r="N726" s="2117"/>
      <c r="O726" s="2116"/>
      <c r="P726" s="2116" t="s">
        <v>296</v>
      </c>
      <c r="Q726" s="2116" t="s">
        <v>296</v>
      </c>
      <c r="R726" s="2116" t="s">
        <v>296</v>
      </c>
    </row>
    <row r="727" spans="1:18" s="2265" customFormat="1">
      <c r="A727" s="2116"/>
      <c r="B727" s="2116"/>
      <c r="C727" s="2116"/>
      <c r="D727" s="2116"/>
      <c r="E727" s="2116"/>
      <c r="F727" s="2116"/>
      <c r="G727" s="2116"/>
      <c r="H727" s="2116"/>
      <c r="I727" s="2116"/>
      <c r="J727" s="2116"/>
      <c r="K727" s="2117"/>
      <c r="L727" s="2117"/>
      <c r="M727" s="2116"/>
      <c r="N727" s="2117"/>
      <c r="O727" s="2116"/>
      <c r="P727" s="2116" t="s">
        <v>296</v>
      </c>
      <c r="Q727" s="2116" t="s">
        <v>296</v>
      </c>
      <c r="R727" s="2116" t="s">
        <v>296</v>
      </c>
    </row>
    <row r="728" spans="1:18" s="2265" customFormat="1">
      <c r="A728" s="2116"/>
      <c r="B728" s="2116"/>
      <c r="C728" s="2116"/>
      <c r="D728" s="2116"/>
      <c r="E728" s="2116"/>
      <c r="F728" s="2116"/>
      <c r="G728" s="2116"/>
      <c r="H728" s="2116"/>
      <c r="I728" s="2116"/>
      <c r="J728" s="2116"/>
      <c r="K728" s="2117"/>
      <c r="L728" s="2117"/>
      <c r="M728" s="2116"/>
      <c r="N728" s="2117"/>
      <c r="O728" s="2116"/>
      <c r="P728" s="2116" t="s">
        <v>296</v>
      </c>
      <c r="Q728" s="2116" t="s">
        <v>296</v>
      </c>
      <c r="R728" s="2116" t="s">
        <v>296</v>
      </c>
    </row>
    <row r="729" spans="1:18" s="2265" customFormat="1">
      <c r="A729" s="2116"/>
      <c r="B729" s="2116"/>
      <c r="C729" s="2116"/>
      <c r="D729" s="2116"/>
      <c r="E729" s="2116"/>
      <c r="F729" s="2116"/>
      <c r="G729" s="2116"/>
      <c r="H729" s="2116"/>
      <c r="I729" s="2116"/>
      <c r="J729" s="2116"/>
      <c r="K729" s="2117"/>
      <c r="L729" s="2117"/>
      <c r="M729" s="2116"/>
      <c r="N729" s="2117"/>
      <c r="O729" s="2116"/>
      <c r="P729" s="2116" t="s">
        <v>296</v>
      </c>
      <c r="Q729" s="2116" t="s">
        <v>296</v>
      </c>
      <c r="R729" s="2116" t="s">
        <v>296</v>
      </c>
    </row>
    <row r="730" spans="1:18" s="2265" customFormat="1">
      <c r="A730" s="2116"/>
      <c r="B730" s="2116"/>
      <c r="C730" s="2116"/>
      <c r="D730" s="2116"/>
      <c r="E730" s="2116"/>
      <c r="F730" s="2116"/>
      <c r="G730" s="2116"/>
      <c r="H730" s="2116"/>
      <c r="I730" s="2116"/>
      <c r="J730" s="2116"/>
      <c r="K730" s="2117"/>
      <c r="L730" s="2117"/>
      <c r="M730" s="2116"/>
      <c r="N730" s="2117"/>
      <c r="O730" s="2116"/>
      <c r="P730" s="2116" t="s">
        <v>296</v>
      </c>
      <c r="Q730" s="2116" t="s">
        <v>296</v>
      </c>
      <c r="R730" s="2116" t="s">
        <v>296</v>
      </c>
    </row>
    <row r="731" spans="1:18" s="2265" customFormat="1">
      <c r="A731" s="2116"/>
      <c r="B731" s="2116"/>
      <c r="C731" s="2116"/>
      <c r="D731" s="2116"/>
      <c r="E731" s="2116"/>
      <c r="F731" s="2116"/>
      <c r="G731" s="2116"/>
      <c r="H731" s="2116"/>
      <c r="I731" s="2116"/>
      <c r="J731" s="2116"/>
      <c r="K731" s="2117"/>
      <c r="L731" s="2117"/>
      <c r="M731" s="2116"/>
      <c r="N731" s="2117"/>
      <c r="O731" s="2116"/>
      <c r="P731" s="2116" t="s">
        <v>296</v>
      </c>
      <c r="Q731" s="2116" t="s">
        <v>296</v>
      </c>
      <c r="R731" s="2116" t="s">
        <v>296</v>
      </c>
    </row>
    <row r="732" spans="1:18" s="2265" customFormat="1">
      <c r="A732" s="2116"/>
      <c r="B732" s="2116"/>
      <c r="C732" s="2116"/>
      <c r="D732" s="2116"/>
      <c r="E732" s="2116"/>
      <c r="F732" s="2116"/>
      <c r="G732" s="2116"/>
      <c r="H732" s="2116"/>
      <c r="I732" s="2116"/>
      <c r="J732" s="2116"/>
      <c r="K732" s="2117"/>
      <c r="L732" s="2117"/>
      <c r="M732" s="2116"/>
      <c r="N732" s="2117"/>
      <c r="O732" s="2116"/>
      <c r="P732" s="2116" t="s">
        <v>296</v>
      </c>
      <c r="Q732" s="2116" t="s">
        <v>296</v>
      </c>
      <c r="R732" s="2116" t="s">
        <v>296</v>
      </c>
    </row>
    <row r="733" spans="1:18" s="2265" customFormat="1">
      <c r="A733" s="2116"/>
      <c r="B733" s="2116"/>
      <c r="C733" s="2116"/>
      <c r="D733" s="2116"/>
      <c r="E733" s="2116"/>
      <c r="F733" s="2116"/>
      <c r="G733" s="2116"/>
      <c r="H733" s="2116"/>
      <c r="I733" s="2116"/>
      <c r="J733" s="2116"/>
      <c r="K733" s="2117"/>
      <c r="L733" s="2117"/>
      <c r="M733" s="2116"/>
      <c r="N733" s="2117"/>
      <c r="O733" s="2116"/>
      <c r="P733" s="2116" t="s">
        <v>296</v>
      </c>
      <c r="Q733" s="2116" t="s">
        <v>296</v>
      </c>
      <c r="R733" s="2116" t="s">
        <v>296</v>
      </c>
    </row>
    <row r="734" spans="1:18" s="2265" customFormat="1">
      <c r="A734" s="2116"/>
      <c r="B734" s="2116"/>
      <c r="C734" s="2116"/>
      <c r="D734" s="2116"/>
      <c r="E734" s="2116"/>
      <c r="F734" s="2116"/>
      <c r="G734" s="2116"/>
      <c r="H734" s="2116"/>
      <c r="I734" s="2116"/>
      <c r="J734" s="2116"/>
      <c r="K734" s="2117"/>
      <c r="L734" s="2117"/>
      <c r="M734" s="2116"/>
      <c r="N734" s="2117"/>
      <c r="O734" s="2116"/>
      <c r="P734" s="2116" t="s">
        <v>296</v>
      </c>
      <c r="Q734" s="2116" t="s">
        <v>296</v>
      </c>
      <c r="R734" s="2116" t="s">
        <v>296</v>
      </c>
    </row>
    <row r="735" spans="1:18" s="2265" customFormat="1">
      <c r="A735" s="2116"/>
      <c r="B735" s="2116"/>
      <c r="C735" s="2116"/>
      <c r="D735" s="2116"/>
      <c r="E735" s="2116"/>
      <c r="F735" s="2116"/>
      <c r="G735" s="2116"/>
      <c r="H735" s="2116"/>
      <c r="I735" s="2116"/>
      <c r="J735" s="2116"/>
      <c r="K735" s="2117"/>
      <c r="L735" s="2117"/>
      <c r="M735" s="2116"/>
      <c r="N735" s="2117"/>
      <c r="O735" s="2116"/>
      <c r="P735" s="2116" t="s">
        <v>296</v>
      </c>
      <c r="Q735" s="2116" t="s">
        <v>296</v>
      </c>
      <c r="R735" s="2116" t="s">
        <v>296</v>
      </c>
    </row>
    <row r="736" spans="1:18" s="2265" customFormat="1">
      <c r="A736" s="2116"/>
      <c r="B736" s="2116"/>
      <c r="C736" s="2116"/>
      <c r="D736" s="2116"/>
      <c r="E736" s="2116"/>
      <c r="F736" s="2116"/>
      <c r="G736" s="2116"/>
      <c r="H736" s="2116"/>
      <c r="I736" s="2116"/>
      <c r="J736" s="2116"/>
      <c r="K736" s="2117"/>
      <c r="L736" s="2117"/>
      <c r="M736" s="2116"/>
      <c r="N736" s="2117"/>
      <c r="O736" s="2116"/>
      <c r="P736" s="2116" t="s">
        <v>296</v>
      </c>
      <c r="Q736" s="2116" t="s">
        <v>296</v>
      </c>
      <c r="R736" s="2116" t="s">
        <v>296</v>
      </c>
    </row>
    <row r="737" spans="1:18" s="2265" customFormat="1">
      <c r="A737" s="2116"/>
      <c r="B737" s="2116"/>
      <c r="C737" s="2116"/>
      <c r="D737" s="2116"/>
      <c r="E737" s="2116"/>
      <c r="F737" s="2116"/>
      <c r="G737" s="2116"/>
      <c r="H737" s="2116"/>
      <c r="I737" s="2116"/>
      <c r="J737" s="2116"/>
      <c r="K737" s="2117"/>
      <c r="L737" s="2117"/>
      <c r="M737" s="2116"/>
      <c r="N737" s="2117"/>
      <c r="O737" s="2116"/>
      <c r="P737" s="2116" t="s">
        <v>296</v>
      </c>
      <c r="Q737" s="2116" t="s">
        <v>296</v>
      </c>
      <c r="R737" s="2116" t="s">
        <v>296</v>
      </c>
    </row>
    <row r="738" spans="1:18" s="2265" customFormat="1">
      <c r="A738" s="2116"/>
      <c r="B738" s="2116"/>
      <c r="C738" s="2116"/>
      <c r="D738" s="2116"/>
      <c r="E738" s="2116"/>
      <c r="F738" s="2116"/>
      <c r="G738" s="2116"/>
      <c r="H738" s="2116"/>
      <c r="I738" s="2116"/>
      <c r="J738" s="2116"/>
      <c r="K738" s="2117"/>
      <c r="L738" s="2117"/>
      <c r="M738" s="2116"/>
      <c r="N738" s="2117"/>
      <c r="O738" s="2116"/>
      <c r="P738" s="2116" t="s">
        <v>296</v>
      </c>
      <c r="Q738" s="2116" t="s">
        <v>296</v>
      </c>
      <c r="R738" s="2116" t="s">
        <v>296</v>
      </c>
    </row>
    <row r="739" spans="1:18" s="2265" customFormat="1">
      <c r="A739" s="2116"/>
      <c r="B739" s="2116"/>
      <c r="C739" s="2116"/>
      <c r="D739" s="2116"/>
      <c r="E739" s="2116"/>
      <c r="F739" s="2116"/>
      <c r="G739" s="2116"/>
      <c r="H739" s="2116"/>
      <c r="I739" s="2116"/>
      <c r="J739" s="2116"/>
      <c r="K739" s="2117"/>
      <c r="L739" s="2117"/>
      <c r="M739" s="2116"/>
      <c r="N739" s="2117"/>
      <c r="O739" s="2116"/>
      <c r="P739" s="2116" t="s">
        <v>296</v>
      </c>
      <c r="Q739" s="2116" t="s">
        <v>296</v>
      </c>
      <c r="R739" s="2116" t="s">
        <v>296</v>
      </c>
    </row>
    <row r="740" spans="1:18" s="2265" customFormat="1">
      <c r="A740" s="2116"/>
      <c r="B740" s="2116"/>
      <c r="C740" s="2116"/>
      <c r="D740" s="2116"/>
      <c r="E740" s="2116"/>
      <c r="F740" s="2116"/>
      <c r="G740" s="2116"/>
      <c r="H740" s="2116"/>
      <c r="I740" s="2116"/>
      <c r="J740" s="2116"/>
      <c r="K740" s="2117"/>
      <c r="L740" s="2117"/>
      <c r="M740" s="2116"/>
      <c r="N740" s="2117"/>
      <c r="O740" s="2116"/>
      <c r="P740" s="2116" t="s">
        <v>296</v>
      </c>
      <c r="Q740" s="2116" t="s">
        <v>296</v>
      </c>
      <c r="R740" s="2116" t="s">
        <v>296</v>
      </c>
    </row>
    <row r="741" spans="1:18" s="2265" customFormat="1">
      <c r="A741" s="2116"/>
      <c r="B741" s="2116"/>
      <c r="C741" s="2116"/>
      <c r="D741" s="2116"/>
      <c r="E741" s="2116"/>
      <c r="F741" s="2116"/>
      <c r="G741" s="2116"/>
      <c r="H741" s="2116"/>
      <c r="I741" s="2116"/>
      <c r="J741" s="2116"/>
      <c r="K741" s="2117"/>
      <c r="L741" s="2117"/>
      <c r="M741" s="2116"/>
      <c r="N741" s="2117"/>
      <c r="O741" s="2116"/>
      <c r="P741" s="2116" t="s">
        <v>296</v>
      </c>
      <c r="Q741" s="2116" t="s">
        <v>296</v>
      </c>
      <c r="R741" s="2116" t="s">
        <v>296</v>
      </c>
    </row>
    <row r="742" spans="1:18" s="2265" customFormat="1">
      <c r="A742" s="2116"/>
      <c r="B742" s="2116"/>
      <c r="C742" s="2116"/>
      <c r="D742" s="2116"/>
      <c r="E742" s="2116"/>
      <c r="F742" s="2116"/>
      <c r="G742" s="2116"/>
      <c r="H742" s="2116"/>
      <c r="I742" s="2116"/>
      <c r="J742" s="2116"/>
      <c r="K742" s="2117"/>
      <c r="L742" s="2117"/>
      <c r="M742" s="2116"/>
      <c r="N742" s="2117"/>
      <c r="O742" s="2116"/>
      <c r="P742" s="2116" t="s">
        <v>296</v>
      </c>
      <c r="Q742" s="2116" t="s">
        <v>296</v>
      </c>
      <c r="R742" s="2116" t="s">
        <v>296</v>
      </c>
    </row>
    <row r="743" spans="1:18" s="2265" customFormat="1">
      <c r="A743" s="2116"/>
      <c r="B743" s="2116"/>
      <c r="C743" s="2116"/>
      <c r="D743" s="2116"/>
      <c r="E743" s="2116"/>
      <c r="F743" s="2116"/>
      <c r="G743" s="2116"/>
      <c r="H743" s="2116"/>
      <c r="I743" s="2116"/>
      <c r="J743" s="2116"/>
      <c r="K743" s="2117"/>
      <c r="L743" s="2117"/>
      <c r="M743" s="2116"/>
      <c r="N743" s="2117"/>
      <c r="O743" s="2116"/>
      <c r="P743" s="2116" t="s">
        <v>296</v>
      </c>
      <c r="Q743" s="2116" t="s">
        <v>296</v>
      </c>
      <c r="R743" s="2116" t="s">
        <v>296</v>
      </c>
    </row>
    <row r="744" spans="1:18" s="2265" customFormat="1">
      <c r="A744" s="2116"/>
      <c r="B744" s="2116"/>
      <c r="C744" s="2116"/>
      <c r="D744" s="2116"/>
      <c r="E744" s="2116"/>
      <c r="F744" s="2116"/>
      <c r="G744" s="2116"/>
      <c r="H744" s="2116"/>
      <c r="I744" s="2116"/>
      <c r="J744" s="2116"/>
      <c r="K744" s="2117"/>
      <c r="L744" s="2117"/>
      <c r="M744" s="2116"/>
      <c r="N744" s="2117"/>
      <c r="O744" s="2116"/>
      <c r="P744" s="2116" t="s">
        <v>296</v>
      </c>
      <c r="Q744" s="2116" t="s">
        <v>296</v>
      </c>
      <c r="R744" s="2116" t="s">
        <v>296</v>
      </c>
    </row>
    <row r="745" spans="1:18" s="2265" customFormat="1">
      <c r="A745" s="2116"/>
      <c r="B745" s="2116"/>
      <c r="C745" s="2116"/>
      <c r="D745" s="2116"/>
      <c r="E745" s="2116"/>
      <c r="F745" s="2116"/>
      <c r="G745" s="2116"/>
      <c r="H745" s="2116"/>
      <c r="I745" s="2116"/>
      <c r="J745" s="2116"/>
      <c r="K745" s="2117"/>
      <c r="L745" s="2117"/>
      <c r="M745" s="2116"/>
      <c r="N745" s="2117"/>
      <c r="O745" s="2116"/>
      <c r="P745" s="2116" t="s">
        <v>296</v>
      </c>
      <c r="Q745" s="2116" t="s">
        <v>296</v>
      </c>
      <c r="R745" s="2116" t="s">
        <v>296</v>
      </c>
    </row>
    <row r="746" spans="1:18" s="2265" customFormat="1">
      <c r="A746" s="2116"/>
      <c r="B746" s="2116"/>
      <c r="C746" s="2116"/>
      <c r="D746" s="2116"/>
      <c r="E746" s="2116"/>
      <c r="F746" s="2116"/>
      <c r="G746" s="2116"/>
      <c r="H746" s="2116"/>
      <c r="I746" s="2116"/>
      <c r="J746" s="2116"/>
      <c r="K746" s="2117"/>
      <c r="L746" s="2117"/>
      <c r="M746" s="2116"/>
      <c r="N746" s="2117"/>
      <c r="O746" s="2116"/>
      <c r="P746" s="2116" t="s">
        <v>296</v>
      </c>
      <c r="Q746" s="2116" t="s">
        <v>296</v>
      </c>
      <c r="R746" s="2116" t="s">
        <v>296</v>
      </c>
    </row>
    <row r="747" spans="1:18" s="2265" customFormat="1">
      <c r="A747" s="2116"/>
      <c r="B747" s="2116"/>
      <c r="C747" s="2116"/>
      <c r="D747" s="2116"/>
      <c r="E747" s="2116"/>
      <c r="F747" s="2116"/>
      <c r="G747" s="2116"/>
      <c r="H747" s="2116"/>
      <c r="I747" s="2116"/>
      <c r="J747" s="2116"/>
      <c r="K747" s="2117"/>
      <c r="L747" s="2117"/>
      <c r="M747" s="2116"/>
      <c r="N747" s="2117"/>
      <c r="O747" s="2116"/>
      <c r="P747" s="2116" t="s">
        <v>296</v>
      </c>
      <c r="Q747" s="2116" t="s">
        <v>296</v>
      </c>
      <c r="R747" s="2116" t="s">
        <v>296</v>
      </c>
    </row>
    <row r="748" spans="1:18" s="2265" customFormat="1">
      <c r="A748" s="2116"/>
      <c r="B748" s="2116"/>
      <c r="C748" s="2116"/>
      <c r="D748" s="2116"/>
      <c r="E748" s="2116"/>
      <c r="F748" s="2116"/>
      <c r="G748" s="2116"/>
      <c r="H748" s="2116"/>
      <c r="I748" s="2116"/>
      <c r="J748" s="2116"/>
      <c r="K748" s="2117"/>
      <c r="L748" s="2117"/>
      <c r="M748" s="2116"/>
      <c r="N748" s="2117"/>
      <c r="O748" s="2116"/>
      <c r="P748" s="2116" t="s">
        <v>296</v>
      </c>
      <c r="Q748" s="2116" t="s">
        <v>296</v>
      </c>
      <c r="R748" s="2116" t="s">
        <v>296</v>
      </c>
    </row>
    <row r="749" spans="1:18" s="2265" customFormat="1">
      <c r="A749" s="2116"/>
      <c r="B749" s="2116"/>
      <c r="C749" s="2116"/>
      <c r="D749" s="2116"/>
      <c r="E749" s="2116"/>
      <c r="F749" s="2116"/>
      <c r="G749" s="2116"/>
      <c r="H749" s="2116"/>
      <c r="I749" s="2116"/>
      <c r="J749" s="2116"/>
      <c r="K749" s="2117"/>
      <c r="L749" s="2117"/>
      <c r="M749" s="2116"/>
      <c r="N749" s="2117"/>
      <c r="O749" s="2116"/>
      <c r="P749" s="2116" t="s">
        <v>296</v>
      </c>
      <c r="Q749" s="2116" t="s">
        <v>296</v>
      </c>
      <c r="R749" s="2116" t="s">
        <v>296</v>
      </c>
    </row>
    <row r="750" spans="1:18" s="2265" customFormat="1">
      <c r="A750" s="2116"/>
      <c r="B750" s="2116"/>
      <c r="C750" s="2116"/>
      <c r="D750" s="2116"/>
      <c r="E750" s="2116"/>
      <c r="F750" s="2116"/>
      <c r="G750" s="2116"/>
      <c r="H750" s="2116"/>
      <c r="I750" s="2116"/>
      <c r="J750" s="2116"/>
      <c r="K750" s="2117"/>
      <c r="L750" s="2117"/>
      <c r="M750" s="2116"/>
      <c r="N750" s="2117"/>
      <c r="O750" s="2116"/>
      <c r="P750" s="2116" t="s">
        <v>296</v>
      </c>
      <c r="Q750" s="2116" t="s">
        <v>296</v>
      </c>
      <c r="R750" s="2116" t="s">
        <v>296</v>
      </c>
    </row>
    <row r="751" spans="1:18" s="2265" customFormat="1">
      <c r="A751" s="2116"/>
      <c r="B751" s="2116"/>
      <c r="C751" s="2116"/>
      <c r="D751" s="2116"/>
      <c r="E751" s="2116"/>
      <c r="F751" s="2116"/>
      <c r="G751" s="2116"/>
      <c r="H751" s="2116"/>
      <c r="I751" s="2116"/>
      <c r="J751" s="2116"/>
      <c r="K751" s="2117"/>
      <c r="L751" s="2117"/>
      <c r="M751" s="2116"/>
      <c r="N751" s="2117"/>
      <c r="O751" s="2116"/>
      <c r="P751" s="2116" t="s">
        <v>296</v>
      </c>
      <c r="Q751" s="2116" t="s">
        <v>296</v>
      </c>
      <c r="R751" s="2116" t="s">
        <v>296</v>
      </c>
    </row>
    <row r="752" spans="1:18" s="2265" customFormat="1">
      <c r="A752" s="2116"/>
      <c r="B752" s="2116"/>
      <c r="C752" s="2116"/>
      <c r="D752" s="2116"/>
      <c r="E752" s="2116"/>
      <c r="F752" s="2116"/>
      <c r="G752" s="2116"/>
      <c r="H752" s="2116"/>
      <c r="I752" s="2116"/>
      <c r="J752" s="2116"/>
      <c r="K752" s="2117"/>
      <c r="L752" s="2117"/>
      <c r="M752" s="2116"/>
      <c r="N752" s="2117"/>
      <c r="O752" s="2116"/>
      <c r="P752" s="2116" t="s">
        <v>296</v>
      </c>
      <c r="Q752" s="2116" t="s">
        <v>296</v>
      </c>
      <c r="R752" s="2116" t="s">
        <v>296</v>
      </c>
    </row>
    <row r="753" spans="1:18" s="2265" customFormat="1">
      <c r="A753" s="2116"/>
      <c r="B753" s="2116"/>
      <c r="C753" s="2116"/>
      <c r="D753" s="2116"/>
      <c r="E753" s="2116"/>
      <c r="F753" s="2116"/>
      <c r="G753" s="2116"/>
      <c r="H753" s="2116"/>
      <c r="I753" s="2116"/>
      <c r="J753" s="2116"/>
      <c r="K753" s="2117"/>
      <c r="L753" s="2117"/>
      <c r="M753" s="2116"/>
      <c r="N753" s="2117"/>
      <c r="O753" s="2116"/>
      <c r="P753" s="2116" t="s">
        <v>296</v>
      </c>
      <c r="Q753" s="2116" t="s">
        <v>296</v>
      </c>
      <c r="R753" s="2116" t="s">
        <v>296</v>
      </c>
    </row>
    <row r="754" spans="1:18" s="2265" customFormat="1">
      <c r="A754" s="2116"/>
      <c r="B754" s="2116"/>
      <c r="C754" s="2116"/>
      <c r="D754" s="2116"/>
      <c r="E754" s="2116"/>
      <c r="F754" s="2116"/>
      <c r="G754" s="2116"/>
      <c r="H754" s="2116"/>
      <c r="I754" s="2116"/>
      <c r="J754" s="2116"/>
      <c r="K754" s="2117"/>
      <c r="L754" s="2117"/>
      <c r="M754" s="2116"/>
      <c r="N754" s="2117"/>
      <c r="O754" s="2116"/>
      <c r="P754" s="2116" t="s">
        <v>296</v>
      </c>
      <c r="Q754" s="2116" t="s">
        <v>296</v>
      </c>
      <c r="R754" s="2116" t="s">
        <v>296</v>
      </c>
    </row>
    <row r="755" spans="1:18" s="2265" customFormat="1">
      <c r="A755" s="2116"/>
      <c r="B755" s="2116"/>
      <c r="C755" s="2116"/>
      <c r="D755" s="2116"/>
      <c r="E755" s="2116"/>
      <c r="F755" s="2116"/>
      <c r="G755" s="2116"/>
      <c r="H755" s="2116"/>
      <c r="I755" s="2116"/>
      <c r="J755" s="2116"/>
      <c r="K755" s="2117"/>
      <c r="L755" s="2117"/>
      <c r="M755" s="2116"/>
      <c r="N755" s="2117"/>
      <c r="O755" s="2116"/>
      <c r="P755" s="2116" t="s">
        <v>296</v>
      </c>
      <c r="Q755" s="2116" t="s">
        <v>296</v>
      </c>
      <c r="R755" s="2116" t="s">
        <v>296</v>
      </c>
    </row>
    <row r="756" spans="1:18" s="2265" customFormat="1">
      <c r="A756" s="2116"/>
      <c r="B756" s="2116"/>
      <c r="C756" s="2116"/>
      <c r="D756" s="2116"/>
      <c r="E756" s="2116"/>
      <c r="F756" s="2116"/>
      <c r="G756" s="2116"/>
      <c r="H756" s="2116"/>
      <c r="I756" s="2116"/>
      <c r="J756" s="2116"/>
      <c r="K756" s="2117"/>
      <c r="L756" s="2117"/>
      <c r="M756" s="2116"/>
      <c r="N756" s="2117"/>
      <c r="O756" s="2116"/>
      <c r="P756" s="2116" t="s">
        <v>296</v>
      </c>
      <c r="Q756" s="2116" t="s">
        <v>296</v>
      </c>
      <c r="R756" s="2116" t="s">
        <v>296</v>
      </c>
    </row>
    <row r="757" spans="1:18" s="2265" customFormat="1">
      <c r="A757" s="2116"/>
      <c r="B757" s="2116"/>
      <c r="C757" s="2116"/>
      <c r="D757" s="2116"/>
      <c r="E757" s="2116"/>
      <c r="F757" s="2116"/>
      <c r="G757" s="2116"/>
      <c r="H757" s="2116"/>
      <c r="I757" s="2116"/>
      <c r="J757" s="2116"/>
      <c r="K757" s="2117"/>
      <c r="L757" s="2117"/>
      <c r="M757" s="2116"/>
      <c r="N757" s="2117"/>
      <c r="O757" s="2116"/>
      <c r="P757" s="2116" t="s">
        <v>296</v>
      </c>
      <c r="Q757" s="2116" t="s">
        <v>296</v>
      </c>
      <c r="R757" s="2116" t="s">
        <v>296</v>
      </c>
    </row>
    <row r="758" spans="1:18" s="2265" customFormat="1">
      <c r="A758" s="2116"/>
      <c r="B758" s="2116"/>
      <c r="C758" s="2116"/>
      <c r="D758" s="2116"/>
      <c r="E758" s="2116"/>
      <c r="F758" s="2116"/>
      <c r="G758" s="2116"/>
      <c r="H758" s="2116"/>
      <c r="I758" s="2116"/>
      <c r="J758" s="2116"/>
      <c r="K758" s="2117"/>
      <c r="L758" s="2117"/>
      <c r="M758" s="2116"/>
      <c r="N758" s="2117"/>
      <c r="O758" s="2116"/>
      <c r="P758" s="2116" t="s">
        <v>296</v>
      </c>
      <c r="Q758" s="2116" t="s">
        <v>296</v>
      </c>
      <c r="R758" s="2116" t="s">
        <v>296</v>
      </c>
    </row>
    <row r="759" spans="1:18" s="2265" customFormat="1">
      <c r="A759" s="2116"/>
      <c r="B759" s="2116"/>
      <c r="C759" s="2116"/>
      <c r="D759" s="2116"/>
      <c r="E759" s="2116"/>
      <c r="F759" s="2116"/>
      <c r="G759" s="2116"/>
      <c r="H759" s="2116"/>
      <c r="I759" s="2116"/>
      <c r="J759" s="2116"/>
      <c r="K759" s="2117"/>
      <c r="L759" s="2117"/>
      <c r="M759" s="2116"/>
      <c r="N759" s="2117"/>
      <c r="O759" s="2116"/>
      <c r="P759" s="2116" t="s">
        <v>296</v>
      </c>
      <c r="Q759" s="2116" t="s">
        <v>296</v>
      </c>
      <c r="R759" s="2116" t="s">
        <v>296</v>
      </c>
    </row>
    <row r="760" spans="1:18" s="2265" customFormat="1">
      <c r="A760" s="2116"/>
      <c r="B760" s="2116"/>
      <c r="C760" s="2116"/>
      <c r="D760" s="2116"/>
      <c r="E760" s="2116"/>
      <c r="F760" s="2116"/>
      <c r="G760" s="2116"/>
      <c r="H760" s="2116"/>
      <c r="I760" s="2116"/>
      <c r="J760" s="2116"/>
      <c r="K760" s="2117"/>
      <c r="L760" s="2117"/>
      <c r="M760" s="2116"/>
      <c r="N760" s="2117"/>
      <c r="O760" s="2116"/>
      <c r="P760" s="2116" t="s">
        <v>296</v>
      </c>
      <c r="Q760" s="2116" t="s">
        <v>296</v>
      </c>
      <c r="R760" s="2116" t="s">
        <v>296</v>
      </c>
    </row>
    <row r="761" spans="1:18" s="2265" customFormat="1">
      <c r="A761" s="2116"/>
      <c r="B761" s="2116"/>
      <c r="C761" s="2116"/>
      <c r="D761" s="2116"/>
      <c r="E761" s="2116"/>
      <c r="F761" s="2116"/>
      <c r="G761" s="2116"/>
      <c r="H761" s="2116"/>
      <c r="I761" s="2116"/>
      <c r="J761" s="2116"/>
      <c r="K761" s="2117"/>
      <c r="L761" s="2117"/>
      <c r="M761" s="2116"/>
      <c r="N761" s="2117"/>
      <c r="O761" s="2116"/>
      <c r="P761" s="2116" t="s">
        <v>296</v>
      </c>
      <c r="Q761" s="2116" t="s">
        <v>296</v>
      </c>
      <c r="R761" s="2116" t="s">
        <v>296</v>
      </c>
    </row>
    <row r="762" spans="1:18" s="2265" customFormat="1">
      <c r="A762" s="2116"/>
      <c r="B762" s="2116"/>
      <c r="C762" s="2116"/>
      <c r="D762" s="2116"/>
      <c r="E762" s="2116"/>
      <c r="F762" s="2116"/>
      <c r="G762" s="2116"/>
      <c r="H762" s="2116"/>
      <c r="I762" s="2116"/>
      <c r="J762" s="2116"/>
      <c r="K762" s="2117"/>
      <c r="L762" s="2117"/>
      <c r="M762" s="2116"/>
      <c r="N762" s="2117"/>
      <c r="O762" s="2116"/>
      <c r="P762" s="2116" t="s">
        <v>296</v>
      </c>
      <c r="Q762" s="2116" t="s">
        <v>296</v>
      </c>
      <c r="R762" s="2116" t="s">
        <v>296</v>
      </c>
    </row>
    <row r="763" spans="1:18" s="2265" customFormat="1">
      <c r="A763" s="2116"/>
      <c r="B763" s="2116"/>
      <c r="C763" s="2116"/>
      <c r="D763" s="2116"/>
      <c r="E763" s="2116"/>
      <c r="F763" s="2116"/>
      <c r="G763" s="2116"/>
      <c r="H763" s="2116"/>
      <c r="I763" s="2116"/>
      <c r="J763" s="2116"/>
      <c r="K763" s="2117"/>
      <c r="L763" s="2117"/>
      <c r="M763" s="2116"/>
      <c r="N763" s="2117"/>
      <c r="O763" s="2116"/>
      <c r="P763" s="2116" t="s">
        <v>296</v>
      </c>
      <c r="Q763" s="2116" t="s">
        <v>296</v>
      </c>
      <c r="R763" s="2116" t="s">
        <v>296</v>
      </c>
    </row>
    <row r="764" spans="1:18" s="2265" customFormat="1">
      <c r="A764" s="2116"/>
      <c r="B764" s="2116"/>
      <c r="C764" s="2116"/>
      <c r="D764" s="2116"/>
      <c r="E764" s="2116"/>
      <c r="F764" s="2116"/>
      <c r="G764" s="2116"/>
      <c r="H764" s="2116"/>
      <c r="I764" s="2116"/>
      <c r="J764" s="2116"/>
      <c r="K764" s="2117"/>
      <c r="L764" s="2117"/>
      <c r="M764" s="2116"/>
      <c r="N764" s="2117"/>
      <c r="O764" s="2116"/>
      <c r="P764" s="2116" t="s">
        <v>296</v>
      </c>
      <c r="Q764" s="2116" t="s">
        <v>296</v>
      </c>
      <c r="R764" s="2116" t="s">
        <v>296</v>
      </c>
    </row>
    <row r="765" spans="1:18" s="2265" customFormat="1">
      <c r="A765" s="2116"/>
      <c r="B765" s="2116"/>
      <c r="C765" s="2116"/>
      <c r="D765" s="2116"/>
      <c r="E765" s="2116"/>
      <c r="F765" s="2116"/>
      <c r="G765" s="2116"/>
      <c r="H765" s="2116"/>
      <c r="I765" s="2116"/>
      <c r="J765" s="2116"/>
      <c r="K765" s="2117"/>
      <c r="L765" s="2117"/>
      <c r="M765" s="2116"/>
      <c r="N765" s="2117"/>
      <c r="O765" s="2116"/>
      <c r="P765" s="2116" t="s">
        <v>296</v>
      </c>
      <c r="Q765" s="2116" t="s">
        <v>296</v>
      </c>
      <c r="R765" s="2116" t="s">
        <v>296</v>
      </c>
    </row>
    <row r="766" spans="1:18" s="2265" customFormat="1">
      <c r="A766" s="2116"/>
      <c r="B766" s="2116"/>
      <c r="C766" s="2116"/>
      <c r="D766" s="2116"/>
      <c r="E766" s="2116"/>
      <c r="F766" s="2116"/>
      <c r="G766" s="2116"/>
      <c r="H766" s="2116"/>
      <c r="I766" s="2116"/>
      <c r="J766" s="2116"/>
      <c r="K766" s="2117"/>
      <c r="L766" s="2117"/>
      <c r="M766" s="2116"/>
      <c r="N766" s="2117"/>
      <c r="O766" s="2116"/>
      <c r="P766" s="2116" t="s">
        <v>296</v>
      </c>
      <c r="Q766" s="2116" t="s">
        <v>296</v>
      </c>
      <c r="R766" s="2116" t="s">
        <v>296</v>
      </c>
    </row>
    <row r="767" spans="1:18" s="2265" customFormat="1">
      <c r="A767" s="2116"/>
      <c r="B767" s="2116"/>
      <c r="C767" s="2116"/>
      <c r="D767" s="2116"/>
      <c r="E767" s="2116"/>
      <c r="F767" s="2116"/>
      <c r="G767" s="2116"/>
      <c r="H767" s="2116"/>
      <c r="I767" s="2116"/>
      <c r="J767" s="2116"/>
      <c r="K767" s="2117"/>
      <c r="L767" s="2117"/>
      <c r="M767" s="2116"/>
      <c r="N767" s="2117"/>
      <c r="O767" s="2116"/>
      <c r="P767" s="2116" t="s">
        <v>296</v>
      </c>
      <c r="Q767" s="2116" t="s">
        <v>296</v>
      </c>
      <c r="R767" s="2116" t="s">
        <v>296</v>
      </c>
    </row>
    <row r="768" spans="1:18" s="2265" customFormat="1">
      <c r="A768" s="2116"/>
      <c r="B768" s="2116"/>
      <c r="C768" s="2116"/>
      <c r="D768" s="2116"/>
      <c r="E768" s="2116"/>
      <c r="F768" s="2116"/>
      <c r="G768" s="2116"/>
      <c r="H768" s="2116"/>
      <c r="I768" s="2116"/>
      <c r="J768" s="2116"/>
      <c r="K768" s="2117"/>
      <c r="L768" s="2117"/>
      <c r="M768" s="2116"/>
      <c r="N768" s="2117"/>
      <c r="O768" s="2116"/>
      <c r="P768" s="2116" t="s">
        <v>296</v>
      </c>
      <c r="Q768" s="2116" t="s">
        <v>296</v>
      </c>
      <c r="R768" s="2116" t="s">
        <v>296</v>
      </c>
    </row>
    <row r="769" spans="1:18" s="2265" customFormat="1">
      <c r="A769" s="2116"/>
      <c r="B769" s="2116"/>
      <c r="C769" s="2116"/>
      <c r="D769" s="2116"/>
      <c r="E769" s="2116"/>
      <c r="F769" s="2116"/>
      <c r="G769" s="2116"/>
      <c r="H769" s="2116"/>
      <c r="I769" s="2116"/>
      <c r="J769" s="2116"/>
      <c r="K769" s="2117"/>
      <c r="L769" s="2117"/>
      <c r="M769" s="2116"/>
      <c r="N769" s="2117"/>
      <c r="O769" s="2116"/>
      <c r="P769" s="2116" t="s">
        <v>296</v>
      </c>
      <c r="Q769" s="2116" t="s">
        <v>296</v>
      </c>
      <c r="R769" s="2116" t="s">
        <v>296</v>
      </c>
    </row>
    <row r="770" spans="1:18" s="2265" customFormat="1">
      <c r="A770" s="2116"/>
      <c r="B770" s="2116"/>
      <c r="C770" s="2116"/>
      <c r="D770" s="2116"/>
      <c r="E770" s="2116"/>
      <c r="F770" s="2116"/>
      <c r="G770" s="2116"/>
      <c r="H770" s="2116"/>
      <c r="I770" s="2116"/>
      <c r="J770" s="2116"/>
      <c r="K770" s="2117"/>
      <c r="L770" s="2117"/>
      <c r="M770" s="2116"/>
      <c r="N770" s="2117"/>
      <c r="O770" s="2116"/>
      <c r="P770" s="2116" t="s">
        <v>296</v>
      </c>
      <c r="Q770" s="2116" t="s">
        <v>296</v>
      </c>
      <c r="R770" s="2116" t="s">
        <v>296</v>
      </c>
    </row>
    <row r="771" spans="1:18" s="2265" customFormat="1">
      <c r="A771" s="2116"/>
      <c r="B771" s="2116"/>
      <c r="C771" s="2116"/>
      <c r="D771" s="2116"/>
      <c r="E771" s="2116"/>
      <c r="F771" s="2116"/>
      <c r="G771" s="2116"/>
      <c r="H771" s="2116"/>
      <c r="I771" s="2116"/>
      <c r="J771" s="2116"/>
      <c r="K771" s="2117"/>
      <c r="L771" s="2117"/>
      <c r="M771" s="2116"/>
      <c r="N771" s="2117"/>
      <c r="O771" s="2116"/>
      <c r="P771" s="2116" t="s">
        <v>296</v>
      </c>
      <c r="Q771" s="2116" t="s">
        <v>296</v>
      </c>
      <c r="R771" s="2116" t="s">
        <v>296</v>
      </c>
    </row>
    <row r="772" spans="1:18" s="2265" customFormat="1">
      <c r="A772" s="2116"/>
      <c r="B772" s="2116"/>
      <c r="C772" s="2116"/>
      <c r="D772" s="2116"/>
      <c r="E772" s="2116"/>
      <c r="F772" s="2116"/>
      <c r="G772" s="2116"/>
      <c r="H772" s="2116"/>
      <c r="I772" s="2116"/>
      <c r="J772" s="2116"/>
      <c r="K772" s="2117"/>
      <c r="L772" s="2117"/>
      <c r="M772" s="2116"/>
      <c r="N772" s="2117"/>
      <c r="O772" s="2116"/>
      <c r="P772" s="2116" t="s">
        <v>296</v>
      </c>
      <c r="Q772" s="2116" t="s">
        <v>296</v>
      </c>
      <c r="R772" s="2116" t="s">
        <v>296</v>
      </c>
    </row>
    <row r="773" spans="1:18" s="2265" customFormat="1">
      <c r="A773" s="2116"/>
      <c r="B773" s="2116"/>
      <c r="C773" s="2116"/>
      <c r="D773" s="2116"/>
      <c r="E773" s="2116"/>
      <c r="F773" s="2116"/>
      <c r="G773" s="2116"/>
      <c r="H773" s="2116"/>
      <c r="I773" s="2116"/>
      <c r="J773" s="2116"/>
      <c r="K773" s="2117"/>
      <c r="L773" s="2117"/>
      <c r="M773" s="2116"/>
      <c r="N773" s="2117"/>
      <c r="O773" s="2116"/>
      <c r="P773" s="2116" t="s">
        <v>296</v>
      </c>
      <c r="Q773" s="2116" t="s">
        <v>296</v>
      </c>
      <c r="R773" s="2116" t="s">
        <v>296</v>
      </c>
    </row>
    <row r="774" spans="1:18" s="2265" customFormat="1">
      <c r="A774" s="2116"/>
      <c r="B774" s="2116"/>
      <c r="C774" s="2116"/>
      <c r="D774" s="2116"/>
      <c r="E774" s="2116"/>
      <c r="F774" s="2116"/>
      <c r="G774" s="2116"/>
      <c r="H774" s="2116"/>
      <c r="I774" s="2116"/>
      <c r="J774" s="2116"/>
      <c r="K774" s="2117"/>
      <c r="L774" s="2117"/>
      <c r="M774" s="2116"/>
      <c r="N774" s="2117"/>
      <c r="O774" s="2116"/>
      <c r="P774" s="2116" t="s">
        <v>296</v>
      </c>
      <c r="Q774" s="2116" t="s">
        <v>296</v>
      </c>
      <c r="R774" s="2116" t="s">
        <v>296</v>
      </c>
    </row>
    <row r="775" spans="1:18" s="2265" customFormat="1">
      <c r="A775" s="2116"/>
      <c r="B775" s="2116"/>
      <c r="C775" s="2116"/>
      <c r="D775" s="2116"/>
      <c r="E775" s="2116"/>
      <c r="F775" s="2116"/>
      <c r="G775" s="2116"/>
      <c r="H775" s="2116"/>
      <c r="I775" s="2116"/>
      <c r="J775" s="2116"/>
      <c r="K775" s="2117"/>
      <c r="L775" s="2117"/>
      <c r="M775" s="2116"/>
      <c r="N775" s="2117"/>
      <c r="O775" s="2116"/>
      <c r="P775" s="2116" t="s">
        <v>296</v>
      </c>
      <c r="Q775" s="2116" t="s">
        <v>296</v>
      </c>
      <c r="R775" s="2116" t="s">
        <v>296</v>
      </c>
    </row>
    <row r="776" spans="1:18" s="2265" customFormat="1">
      <c r="A776" s="2116"/>
      <c r="B776" s="2116"/>
      <c r="C776" s="2116"/>
      <c r="D776" s="2116"/>
      <c r="E776" s="2116"/>
      <c r="F776" s="2116"/>
      <c r="G776" s="2116"/>
      <c r="H776" s="2116"/>
      <c r="I776" s="2116"/>
      <c r="J776" s="2116"/>
      <c r="K776" s="2117"/>
      <c r="L776" s="2117"/>
      <c r="M776" s="2116"/>
      <c r="N776" s="2117"/>
      <c r="O776" s="2116"/>
      <c r="P776" s="2116" t="s">
        <v>296</v>
      </c>
      <c r="Q776" s="2116" t="s">
        <v>296</v>
      </c>
      <c r="R776" s="2116" t="s">
        <v>296</v>
      </c>
    </row>
    <row r="777" spans="1:18" s="2265" customFormat="1">
      <c r="A777" s="2116"/>
      <c r="B777" s="2116"/>
      <c r="C777" s="2116"/>
      <c r="D777" s="2116"/>
      <c r="E777" s="2116"/>
      <c r="F777" s="2116"/>
      <c r="G777" s="2116"/>
      <c r="H777" s="2116"/>
      <c r="I777" s="2116"/>
      <c r="J777" s="2116"/>
      <c r="K777" s="2117"/>
      <c r="L777" s="2117"/>
      <c r="M777" s="2116"/>
      <c r="N777" s="2117"/>
      <c r="O777" s="2116"/>
      <c r="P777" s="2116" t="s">
        <v>296</v>
      </c>
      <c r="Q777" s="2116" t="s">
        <v>296</v>
      </c>
      <c r="R777" s="2116" t="s">
        <v>296</v>
      </c>
    </row>
    <row r="778" spans="1:18" s="2265" customFormat="1">
      <c r="A778" s="2116"/>
      <c r="B778" s="2116"/>
      <c r="C778" s="2116"/>
      <c r="D778" s="2116"/>
      <c r="E778" s="2116"/>
      <c r="F778" s="2116"/>
      <c r="G778" s="2116"/>
      <c r="H778" s="2116"/>
      <c r="I778" s="2116"/>
      <c r="J778" s="2116"/>
      <c r="K778" s="2117"/>
      <c r="L778" s="2117"/>
      <c r="M778" s="2116"/>
      <c r="N778" s="2117"/>
      <c r="O778" s="2116"/>
      <c r="P778" s="2116" t="s">
        <v>296</v>
      </c>
      <c r="Q778" s="2116" t="s">
        <v>296</v>
      </c>
      <c r="R778" s="2116" t="s">
        <v>296</v>
      </c>
    </row>
    <row r="779" spans="1:18" s="2265" customFormat="1">
      <c r="A779" s="2116"/>
      <c r="B779" s="2116"/>
      <c r="C779" s="2116"/>
      <c r="D779" s="2116"/>
      <c r="E779" s="2116"/>
      <c r="F779" s="2116"/>
      <c r="G779" s="2116"/>
      <c r="H779" s="2116"/>
      <c r="I779" s="2116"/>
      <c r="J779" s="2116"/>
      <c r="K779" s="2117"/>
      <c r="L779" s="2117"/>
      <c r="M779" s="2116"/>
      <c r="N779" s="2117"/>
      <c r="O779" s="2116"/>
      <c r="P779" s="2116" t="s">
        <v>296</v>
      </c>
      <c r="Q779" s="2116" t="s">
        <v>296</v>
      </c>
      <c r="R779" s="2116" t="s">
        <v>296</v>
      </c>
    </row>
    <row r="780" spans="1:18" s="2265" customFormat="1">
      <c r="A780" s="2116"/>
      <c r="B780" s="2116"/>
      <c r="C780" s="2116"/>
      <c r="D780" s="2116"/>
      <c r="E780" s="2116"/>
      <c r="F780" s="2116"/>
      <c r="G780" s="2116"/>
      <c r="H780" s="2116"/>
      <c r="I780" s="2116"/>
      <c r="J780" s="2116"/>
      <c r="K780" s="2117"/>
      <c r="L780" s="2117"/>
      <c r="M780" s="2116"/>
      <c r="N780" s="2117"/>
      <c r="O780" s="2116"/>
      <c r="P780" s="2116" t="s">
        <v>296</v>
      </c>
      <c r="Q780" s="2116" t="s">
        <v>296</v>
      </c>
      <c r="R780" s="2116" t="s">
        <v>296</v>
      </c>
    </row>
    <row r="781" spans="1:18" s="2265" customFormat="1">
      <c r="A781" s="2116"/>
      <c r="B781" s="2116"/>
      <c r="C781" s="2116"/>
      <c r="D781" s="2116"/>
      <c r="E781" s="2116"/>
      <c r="F781" s="2116"/>
      <c r="G781" s="2116"/>
      <c r="H781" s="2116"/>
      <c r="I781" s="2116"/>
      <c r="J781" s="2116"/>
      <c r="K781" s="2117"/>
      <c r="L781" s="2117"/>
      <c r="M781" s="2116"/>
      <c r="N781" s="2117"/>
      <c r="O781" s="2116"/>
      <c r="P781" s="2116" t="s">
        <v>296</v>
      </c>
      <c r="Q781" s="2116" t="s">
        <v>296</v>
      </c>
      <c r="R781" s="2116" t="s">
        <v>296</v>
      </c>
    </row>
    <row r="782" spans="1:18" s="2265" customFormat="1">
      <c r="A782" s="2116"/>
      <c r="B782" s="2116"/>
      <c r="C782" s="2116"/>
      <c r="D782" s="2116"/>
      <c r="E782" s="2116"/>
      <c r="F782" s="2116"/>
      <c r="G782" s="2116"/>
      <c r="H782" s="2116"/>
      <c r="I782" s="2116"/>
      <c r="J782" s="2116"/>
      <c r="K782" s="2117"/>
      <c r="L782" s="2117"/>
      <c r="M782" s="2116"/>
      <c r="N782" s="2117"/>
      <c r="O782" s="2116"/>
      <c r="P782" s="2116" t="s">
        <v>296</v>
      </c>
      <c r="Q782" s="2116" t="s">
        <v>296</v>
      </c>
      <c r="R782" s="2116" t="s">
        <v>296</v>
      </c>
    </row>
    <row r="783" spans="1:18" s="2265" customFormat="1">
      <c r="A783" s="2116"/>
      <c r="B783" s="2116"/>
      <c r="C783" s="2116"/>
      <c r="D783" s="2116"/>
      <c r="E783" s="2116"/>
      <c r="F783" s="2116"/>
      <c r="G783" s="2116"/>
      <c r="H783" s="2116"/>
      <c r="I783" s="2116"/>
      <c r="J783" s="2116"/>
      <c r="K783" s="2117"/>
      <c r="L783" s="2117"/>
      <c r="M783" s="2116"/>
      <c r="N783" s="2117"/>
      <c r="O783" s="2116"/>
      <c r="P783" s="2116" t="s">
        <v>296</v>
      </c>
      <c r="Q783" s="2116" t="s">
        <v>296</v>
      </c>
      <c r="R783" s="2116" t="s">
        <v>296</v>
      </c>
    </row>
    <row r="784" spans="1:18" s="2265" customFormat="1">
      <c r="A784" s="2116"/>
      <c r="B784" s="2116"/>
      <c r="C784" s="2116"/>
      <c r="D784" s="2116"/>
      <c r="E784" s="2116"/>
      <c r="F784" s="2116"/>
      <c r="G784" s="2116"/>
      <c r="H784" s="2116"/>
      <c r="I784" s="2116"/>
      <c r="J784" s="2116"/>
      <c r="K784" s="2117"/>
      <c r="L784" s="2117"/>
      <c r="M784" s="2116"/>
      <c r="N784" s="2117"/>
      <c r="O784" s="2116"/>
      <c r="P784" s="2116" t="s">
        <v>296</v>
      </c>
      <c r="Q784" s="2116" t="s">
        <v>296</v>
      </c>
      <c r="R784" s="2116" t="s">
        <v>296</v>
      </c>
    </row>
    <row r="785" spans="1:18" s="2265" customFormat="1">
      <c r="A785" s="2116"/>
      <c r="B785" s="2116"/>
      <c r="C785" s="2116"/>
      <c r="D785" s="2116"/>
      <c r="E785" s="2116"/>
      <c r="F785" s="2116"/>
      <c r="G785" s="2116"/>
      <c r="H785" s="2116"/>
      <c r="I785" s="2116"/>
      <c r="J785" s="2116"/>
      <c r="K785" s="2117"/>
      <c r="L785" s="2117"/>
      <c r="M785" s="2116"/>
      <c r="N785" s="2117"/>
      <c r="O785" s="2116"/>
      <c r="P785" s="2116" t="s">
        <v>296</v>
      </c>
      <c r="Q785" s="2116" t="s">
        <v>296</v>
      </c>
      <c r="R785" s="2116" t="s">
        <v>296</v>
      </c>
    </row>
    <row r="786" spans="1:18" s="2265" customFormat="1">
      <c r="A786" s="2116"/>
      <c r="B786" s="2116"/>
      <c r="C786" s="2116"/>
      <c r="D786" s="2116"/>
      <c r="E786" s="2116"/>
      <c r="F786" s="2116"/>
      <c r="G786" s="2116"/>
      <c r="H786" s="2116"/>
      <c r="I786" s="2116"/>
      <c r="J786" s="2116"/>
      <c r="K786" s="2117"/>
      <c r="L786" s="2117"/>
      <c r="M786" s="2116"/>
      <c r="N786" s="2117"/>
      <c r="O786" s="2116"/>
      <c r="P786" s="2116" t="s">
        <v>296</v>
      </c>
      <c r="Q786" s="2116" t="s">
        <v>296</v>
      </c>
      <c r="R786" s="2116" t="s">
        <v>296</v>
      </c>
    </row>
    <row r="787" spans="1:18" s="2265" customFormat="1">
      <c r="A787" s="2116"/>
      <c r="B787" s="2116"/>
      <c r="C787" s="2116"/>
      <c r="D787" s="2116"/>
      <c r="E787" s="2116"/>
      <c r="F787" s="2116"/>
      <c r="G787" s="2116"/>
      <c r="H787" s="2116"/>
      <c r="I787" s="2116"/>
      <c r="J787" s="2116"/>
      <c r="K787" s="2117"/>
      <c r="L787" s="2117"/>
      <c r="M787" s="2116"/>
      <c r="N787" s="2117"/>
      <c r="O787" s="2116"/>
      <c r="P787" s="2116" t="s">
        <v>296</v>
      </c>
      <c r="Q787" s="2116" t="s">
        <v>296</v>
      </c>
      <c r="R787" s="2116" t="s">
        <v>296</v>
      </c>
    </row>
    <row r="788" spans="1:18" s="2265" customFormat="1">
      <c r="A788" s="2116"/>
      <c r="B788" s="2116"/>
      <c r="C788" s="2116"/>
      <c r="D788" s="2116"/>
      <c r="E788" s="2116"/>
      <c r="F788" s="2116"/>
      <c r="G788" s="2116"/>
      <c r="H788" s="2116"/>
      <c r="I788" s="2116"/>
      <c r="J788" s="2116"/>
      <c r="K788" s="2117"/>
      <c r="L788" s="2117"/>
      <c r="M788" s="2116"/>
      <c r="N788" s="2117"/>
      <c r="O788" s="2116"/>
      <c r="P788" s="2116" t="s">
        <v>296</v>
      </c>
      <c r="Q788" s="2116" t="s">
        <v>296</v>
      </c>
      <c r="R788" s="2116" t="s">
        <v>296</v>
      </c>
    </row>
    <row r="789" spans="1:18" s="2265" customFormat="1">
      <c r="A789" s="2116"/>
      <c r="B789" s="2116"/>
      <c r="C789" s="2116"/>
      <c r="D789" s="2116"/>
      <c r="E789" s="2116"/>
      <c r="F789" s="2116"/>
      <c r="G789" s="2116"/>
      <c r="H789" s="2116"/>
      <c r="I789" s="2116"/>
      <c r="J789" s="2116"/>
      <c r="K789" s="2117"/>
      <c r="L789" s="2117"/>
      <c r="M789" s="2116"/>
      <c r="N789" s="2117"/>
      <c r="O789" s="2116"/>
      <c r="P789" s="2116" t="s">
        <v>296</v>
      </c>
      <c r="Q789" s="2116" t="s">
        <v>296</v>
      </c>
      <c r="R789" s="2116" t="s">
        <v>296</v>
      </c>
    </row>
    <row r="790" spans="1:18" s="2265" customFormat="1">
      <c r="A790" s="2116"/>
      <c r="B790" s="2116"/>
      <c r="C790" s="2116"/>
      <c r="D790" s="2116"/>
      <c r="E790" s="2116"/>
      <c r="F790" s="2116"/>
      <c r="G790" s="2116"/>
      <c r="H790" s="2116"/>
      <c r="I790" s="2116"/>
      <c r="J790" s="2116"/>
      <c r="K790" s="2117"/>
      <c r="L790" s="2117"/>
      <c r="M790" s="2116"/>
      <c r="N790" s="2117"/>
      <c r="O790" s="2116"/>
      <c r="P790" s="2116" t="s">
        <v>296</v>
      </c>
      <c r="Q790" s="2116" t="s">
        <v>296</v>
      </c>
      <c r="R790" s="2116" t="s">
        <v>296</v>
      </c>
    </row>
    <row r="791" spans="1:18" s="2265" customFormat="1">
      <c r="A791" s="2116"/>
      <c r="B791" s="2116"/>
      <c r="C791" s="2116"/>
      <c r="D791" s="2116"/>
      <c r="E791" s="2116"/>
      <c r="F791" s="2116"/>
      <c r="G791" s="2116"/>
      <c r="H791" s="2116"/>
      <c r="I791" s="2116"/>
      <c r="J791" s="2116"/>
      <c r="K791" s="2117"/>
      <c r="L791" s="2117"/>
      <c r="M791" s="2116"/>
      <c r="N791" s="2117"/>
      <c r="O791" s="2116"/>
      <c r="P791" s="2116" t="s">
        <v>296</v>
      </c>
      <c r="Q791" s="2116" t="s">
        <v>296</v>
      </c>
      <c r="R791" s="2116" t="s">
        <v>296</v>
      </c>
    </row>
    <row r="792" spans="1:18" s="2265" customFormat="1">
      <c r="A792" s="2116"/>
      <c r="B792" s="2116"/>
      <c r="C792" s="2116"/>
      <c r="D792" s="2116"/>
      <c r="E792" s="2116"/>
      <c r="F792" s="2116"/>
      <c r="G792" s="2116"/>
      <c r="H792" s="2116"/>
      <c r="I792" s="2116"/>
      <c r="J792" s="2116"/>
      <c r="K792" s="2117"/>
      <c r="L792" s="2117"/>
      <c r="M792" s="2116"/>
      <c r="N792" s="2117"/>
      <c r="O792" s="2116"/>
      <c r="P792" s="2116" t="s">
        <v>296</v>
      </c>
      <c r="Q792" s="2116" t="s">
        <v>296</v>
      </c>
      <c r="R792" s="2116" t="s">
        <v>296</v>
      </c>
    </row>
    <row r="793" spans="1:18" s="2265" customFormat="1">
      <c r="A793" s="2116"/>
      <c r="B793" s="2116"/>
      <c r="C793" s="2116"/>
      <c r="D793" s="2116"/>
      <c r="E793" s="2116"/>
      <c r="F793" s="2116"/>
      <c r="G793" s="2116"/>
      <c r="H793" s="2116"/>
      <c r="I793" s="2116"/>
      <c r="J793" s="2116"/>
      <c r="K793" s="2117"/>
      <c r="L793" s="2117"/>
      <c r="M793" s="2116"/>
      <c r="N793" s="2117"/>
      <c r="O793" s="2116"/>
      <c r="P793" s="2116"/>
      <c r="Q793" s="2116"/>
      <c r="R793" s="2116"/>
    </row>
    <row r="794" spans="1:18" s="2265" customFormat="1">
      <c r="A794" s="2116"/>
      <c r="B794" s="2116"/>
      <c r="C794" s="2116"/>
      <c r="D794" s="2116"/>
      <c r="E794" s="2116"/>
      <c r="F794" s="2116"/>
      <c r="G794" s="2116"/>
      <c r="H794" s="2116"/>
      <c r="I794" s="2116"/>
      <c r="J794" s="2116"/>
      <c r="K794" s="2117"/>
      <c r="L794" s="2117"/>
      <c r="M794" s="2116"/>
      <c r="N794" s="2117"/>
      <c r="O794" s="2116"/>
      <c r="P794" s="2116"/>
      <c r="Q794" s="2116"/>
      <c r="R794" s="2116"/>
    </row>
    <row r="795" spans="1:18" s="2265" customFormat="1">
      <c r="A795" s="2116"/>
      <c r="B795" s="2116"/>
      <c r="C795" s="2116"/>
      <c r="D795" s="2116"/>
      <c r="E795" s="2116"/>
      <c r="F795" s="2116"/>
      <c r="G795" s="2116"/>
      <c r="H795" s="2116"/>
      <c r="I795" s="2116"/>
      <c r="J795" s="2116"/>
      <c r="K795" s="2117"/>
      <c r="L795" s="2117"/>
      <c r="M795" s="2116"/>
      <c r="N795" s="2117"/>
      <c r="O795" s="2116"/>
      <c r="P795" s="2116"/>
      <c r="Q795" s="2116"/>
      <c r="R795" s="2116"/>
    </row>
    <row r="796" spans="1:18" s="2265" customFormat="1">
      <c r="A796" s="2116"/>
      <c r="B796" s="2116"/>
      <c r="C796" s="2116"/>
      <c r="D796" s="2116"/>
      <c r="E796" s="2116"/>
      <c r="F796" s="2116"/>
      <c r="G796" s="2116"/>
      <c r="H796" s="2116"/>
      <c r="I796" s="2116"/>
      <c r="J796" s="2116"/>
      <c r="K796" s="2117"/>
      <c r="L796" s="2117"/>
      <c r="M796" s="2116"/>
      <c r="N796" s="2117"/>
      <c r="O796" s="2116"/>
      <c r="P796" s="2116"/>
      <c r="Q796" s="2116"/>
      <c r="R796" s="2116"/>
    </row>
    <row r="797" spans="1:18" s="2265" customFormat="1">
      <c r="A797" s="2116"/>
      <c r="B797" s="2116"/>
      <c r="C797" s="2116"/>
      <c r="D797" s="2116"/>
      <c r="E797" s="2116"/>
      <c r="F797" s="2116"/>
      <c r="G797" s="2116"/>
      <c r="H797" s="2116"/>
      <c r="I797" s="2116"/>
      <c r="J797" s="2116"/>
      <c r="K797" s="2117"/>
      <c r="L797" s="2117"/>
      <c r="M797" s="2116"/>
      <c r="N797" s="2117"/>
      <c r="O797" s="2116"/>
      <c r="P797" s="2116"/>
      <c r="Q797" s="2116"/>
      <c r="R797" s="2116"/>
    </row>
    <row r="798" spans="1:18" s="2265" customFormat="1">
      <c r="A798" s="2116"/>
      <c r="B798" s="2116"/>
      <c r="C798" s="2116"/>
      <c r="D798" s="2116"/>
      <c r="E798" s="2116"/>
      <c r="F798" s="2116"/>
      <c r="G798" s="2116"/>
      <c r="H798" s="2116"/>
      <c r="I798" s="2116"/>
      <c r="J798" s="2116"/>
      <c r="K798" s="2117"/>
      <c r="L798" s="2117"/>
      <c r="M798" s="2116"/>
      <c r="N798" s="2117"/>
      <c r="O798" s="2116"/>
      <c r="P798" s="2116"/>
      <c r="Q798" s="2116"/>
      <c r="R798" s="2116"/>
    </row>
    <row r="799" spans="1:18" s="2265" customFormat="1">
      <c r="A799" s="2116"/>
      <c r="B799" s="2116"/>
      <c r="C799" s="2116"/>
      <c r="D799" s="2116"/>
      <c r="E799" s="2116"/>
      <c r="F799" s="2116"/>
      <c r="G799" s="2116"/>
      <c r="H799" s="2116"/>
      <c r="I799" s="2116"/>
      <c r="J799" s="2116"/>
      <c r="K799" s="2117"/>
      <c r="L799" s="2117"/>
      <c r="M799" s="2116"/>
      <c r="N799" s="2117"/>
      <c r="O799" s="2116"/>
      <c r="P799" s="2116"/>
      <c r="Q799" s="2116"/>
      <c r="R799" s="2116"/>
    </row>
    <row r="800" spans="1:18" s="2265" customFormat="1">
      <c r="A800" s="2116"/>
      <c r="B800" s="2116"/>
      <c r="C800" s="2116"/>
      <c r="D800" s="2116"/>
      <c r="E800" s="2116"/>
      <c r="F800" s="2116"/>
      <c r="G800" s="2116"/>
      <c r="H800" s="2116"/>
      <c r="I800" s="2116"/>
      <c r="J800" s="2116"/>
      <c r="K800" s="2117"/>
      <c r="L800" s="2117"/>
      <c r="M800" s="2116"/>
      <c r="N800" s="2117"/>
      <c r="O800" s="2116"/>
      <c r="P800" s="2116"/>
      <c r="Q800" s="2116"/>
      <c r="R800" s="2116"/>
    </row>
    <row r="801" spans="1:18" s="2265" customFormat="1">
      <c r="A801" s="2116"/>
      <c r="B801" s="2116"/>
      <c r="C801" s="2116"/>
      <c r="D801" s="2116"/>
      <c r="E801" s="2116"/>
      <c r="F801" s="2116"/>
      <c r="G801" s="2116"/>
      <c r="H801" s="2116"/>
      <c r="I801" s="2116"/>
      <c r="J801" s="2116"/>
      <c r="K801" s="2117"/>
      <c r="L801" s="2117"/>
      <c r="M801" s="2116"/>
      <c r="N801" s="2117"/>
      <c r="O801" s="2116"/>
      <c r="P801" s="2116"/>
      <c r="Q801" s="2116"/>
      <c r="R801" s="2116"/>
    </row>
    <row r="802" spans="1:18" s="2265" customFormat="1">
      <c r="A802" s="2116"/>
      <c r="B802" s="2116"/>
      <c r="C802" s="2116"/>
      <c r="D802" s="2116"/>
      <c r="E802" s="2116"/>
      <c r="F802" s="2116"/>
      <c r="G802" s="2116"/>
      <c r="H802" s="2116"/>
      <c r="I802" s="2116"/>
      <c r="J802" s="2116"/>
      <c r="K802" s="2117"/>
      <c r="L802" s="2117"/>
      <c r="M802" s="2116"/>
      <c r="N802" s="2117"/>
      <c r="O802" s="2116"/>
      <c r="P802" s="2116"/>
      <c r="Q802" s="2116"/>
      <c r="R802" s="2116"/>
    </row>
    <row r="803" spans="1:18" s="2265" customFormat="1">
      <c r="A803" s="2116"/>
      <c r="B803" s="2116"/>
      <c r="C803" s="2116"/>
      <c r="D803" s="2116"/>
      <c r="E803" s="2116"/>
      <c r="F803" s="2116"/>
      <c r="G803" s="2116"/>
      <c r="H803" s="2116"/>
      <c r="I803" s="2116"/>
      <c r="J803" s="2116"/>
      <c r="K803" s="2117"/>
      <c r="L803" s="2117"/>
      <c r="M803" s="2116"/>
      <c r="N803" s="2117"/>
      <c r="O803" s="2116"/>
      <c r="P803" s="2116"/>
      <c r="Q803" s="2116"/>
      <c r="R803" s="2116"/>
    </row>
    <row r="804" spans="1:18" s="2265" customFormat="1">
      <c r="A804" s="2116"/>
      <c r="B804" s="2116"/>
      <c r="C804" s="2116"/>
      <c r="D804" s="2116"/>
      <c r="E804" s="2116"/>
      <c r="F804" s="2116"/>
      <c r="G804" s="2116"/>
      <c r="H804" s="2116"/>
      <c r="I804" s="2116"/>
      <c r="J804" s="2116"/>
      <c r="K804" s="2117"/>
      <c r="L804" s="2117"/>
      <c r="M804" s="2116"/>
      <c r="N804" s="2117"/>
      <c r="O804" s="2116"/>
      <c r="P804" s="2116"/>
      <c r="Q804" s="2116"/>
      <c r="R804" s="2116"/>
    </row>
    <row r="805" spans="1:18" s="2265" customFormat="1">
      <c r="A805" s="2116"/>
      <c r="B805" s="2116"/>
      <c r="C805" s="2116"/>
      <c r="D805" s="2116"/>
      <c r="E805" s="2116"/>
      <c r="F805" s="2116"/>
      <c r="G805" s="2116"/>
      <c r="H805" s="2116"/>
      <c r="I805" s="2116"/>
      <c r="J805" s="2116"/>
      <c r="K805" s="2117"/>
      <c r="L805" s="2117"/>
      <c r="M805" s="2116"/>
      <c r="N805" s="2117"/>
      <c r="O805" s="2116"/>
      <c r="P805" s="2116"/>
      <c r="Q805" s="2116"/>
      <c r="R805" s="2116"/>
    </row>
    <row r="806" spans="1:18" s="2265" customFormat="1">
      <c r="A806" s="2116"/>
      <c r="B806" s="2116"/>
      <c r="C806" s="2116"/>
      <c r="D806" s="2116"/>
      <c r="E806" s="2116"/>
      <c r="F806" s="2116"/>
      <c r="G806" s="2116"/>
      <c r="H806" s="2116"/>
      <c r="I806" s="2116"/>
      <c r="J806" s="2116"/>
      <c r="K806" s="2117"/>
      <c r="L806" s="2117"/>
      <c r="M806" s="2116"/>
      <c r="N806" s="2117"/>
      <c r="O806" s="2116"/>
      <c r="P806" s="2116"/>
      <c r="Q806" s="2116"/>
      <c r="R806" s="2116"/>
    </row>
    <row r="807" spans="1:18" s="2265" customFormat="1">
      <c r="A807" s="2116"/>
      <c r="B807" s="2116"/>
      <c r="C807" s="2116"/>
      <c r="D807" s="2116"/>
      <c r="E807" s="2116"/>
      <c r="F807" s="2116"/>
      <c r="G807" s="2116"/>
      <c r="H807" s="2116"/>
      <c r="I807" s="2116"/>
      <c r="J807" s="2116"/>
      <c r="K807" s="2117"/>
      <c r="L807" s="2117"/>
      <c r="M807" s="2116"/>
      <c r="N807" s="2117"/>
      <c r="O807" s="2116"/>
      <c r="P807" s="2116"/>
      <c r="Q807" s="2116"/>
      <c r="R807" s="2116"/>
    </row>
    <row r="808" spans="1:18" s="2265" customFormat="1">
      <c r="A808" s="2116"/>
      <c r="B808" s="2116"/>
      <c r="C808" s="2116"/>
      <c r="D808" s="2116"/>
      <c r="E808" s="2116"/>
      <c r="F808" s="2116"/>
      <c r="G808" s="2116"/>
      <c r="H808" s="2116"/>
      <c r="I808" s="2116"/>
      <c r="J808" s="2116"/>
      <c r="K808" s="2117"/>
      <c r="L808" s="2117"/>
      <c r="M808" s="2116"/>
      <c r="N808" s="2117"/>
      <c r="O808" s="2116"/>
      <c r="P808" s="2116"/>
      <c r="Q808" s="2116"/>
      <c r="R808" s="2116"/>
    </row>
    <row r="809" spans="1:18" s="2265" customFormat="1">
      <c r="A809" s="2116"/>
      <c r="B809" s="2116"/>
      <c r="C809" s="2116"/>
      <c r="D809" s="2116"/>
      <c r="E809" s="2116"/>
      <c r="F809" s="2116"/>
      <c r="G809" s="2116"/>
      <c r="H809" s="2116"/>
      <c r="I809" s="2116"/>
      <c r="J809" s="2116"/>
      <c r="K809" s="2117"/>
      <c r="L809" s="2117"/>
      <c r="M809" s="2116"/>
      <c r="N809" s="2117"/>
      <c r="O809" s="2116"/>
      <c r="P809" s="2116"/>
      <c r="Q809" s="2116"/>
      <c r="R809" s="2116"/>
    </row>
    <row r="810" spans="1:18" s="2265" customFormat="1">
      <c r="A810" s="2116"/>
      <c r="B810" s="2116"/>
      <c r="C810" s="2116"/>
      <c r="D810" s="2116"/>
      <c r="E810" s="2116"/>
      <c r="F810" s="2116"/>
      <c r="G810" s="2116"/>
      <c r="H810" s="2116"/>
      <c r="I810" s="2116"/>
      <c r="J810" s="2116"/>
      <c r="K810" s="2117"/>
      <c r="L810" s="2117"/>
      <c r="M810" s="2116"/>
      <c r="N810" s="2117"/>
      <c r="O810" s="2116"/>
      <c r="P810" s="2116"/>
      <c r="Q810" s="2116"/>
      <c r="R810" s="2116"/>
    </row>
    <row r="811" spans="1:18" s="2265" customFormat="1">
      <c r="A811" s="2116"/>
      <c r="B811" s="2116"/>
      <c r="C811" s="2116"/>
      <c r="D811" s="2116"/>
      <c r="E811" s="2116"/>
      <c r="F811" s="2116"/>
      <c r="G811" s="2116"/>
      <c r="H811" s="2116"/>
      <c r="I811" s="2116"/>
      <c r="J811" s="2116"/>
      <c r="K811" s="2117"/>
      <c r="L811" s="2117"/>
      <c r="M811" s="2116"/>
      <c r="N811" s="2117"/>
      <c r="O811" s="2116"/>
      <c r="P811" s="2116"/>
      <c r="Q811" s="2116"/>
      <c r="R811" s="2116"/>
    </row>
    <row r="812" spans="1:18" s="2265" customFormat="1">
      <c r="A812" s="2116"/>
      <c r="B812" s="2116"/>
      <c r="C812" s="2116"/>
      <c r="D812" s="2116"/>
      <c r="E812" s="2116"/>
      <c r="F812" s="2116"/>
      <c r="G812" s="2116"/>
      <c r="H812" s="2116"/>
      <c r="I812" s="2116"/>
      <c r="J812" s="2116"/>
      <c r="K812" s="2117"/>
      <c r="L812" s="2117"/>
      <c r="M812" s="2116"/>
      <c r="N812" s="2117"/>
      <c r="O812" s="2116"/>
      <c r="P812" s="2116"/>
      <c r="Q812" s="2116"/>
      <c r="R812" s="2116"/>
    </row>
    <row r="813" spans="1:18" s="2265" customFormat="1">
      <c r="A813" s="2116"/>
      <c r="B813" s="2116"/>
      <c r="C813" s="2116"/>
      <c r="D813" s="2116"/>
      <c r="E813" s="2116"/>
      <c r="F813" s="2116"/>
      <c r="G813" s="2116"/>
      <c r="H813" s="2116"/>
      <c r="I813" s="2116"/>
      <c r="J813" s="2116"/>
      <c r="K813" s="2117"/>
      <c r="L813" s="2117"/>
      <c r="M813" s="2116"/>
      <c r="N813" s="2117"/>
      <c r="O813" s="2116"/>
      <c r="P813" s="2116"/>
      <c r="Q813" s="2116"/>
      <c r="R813" s="2116"/>
    </row>
    <row r="814" spans="1:18" s="2265" customFormat="1">
      <c r="A814" s="2116"/>
      <c r="B814" s="2116"/>
      <c r="C814" s="2116"/>
      <c r="D814" s="2116"/>
      <c r="E814" s="2116"/>
      <c r="F814" s="2116"/>
      <c r="G814" s="2116"/>
      <c r="H814" s="2116"/>
      <c r="I814" s="2116"/>
      <c r="J814" s="2116"/>
      <c r="K814" s="2117"/>
      <c r="L814" s="2117"/>
      <c r="M814" s="2116"/>
      <c r="N814" s="2117"/>
      <c r="O814" s="2116"/>
      <c r="P814" s="2116"/>
      <c r="Q814" s="2116"/>
      <c r="R814" s="2116"/>
    </row>
    <row r="815" spans="1:18" s="2265" customFormat="1">
      <c r="A815" s="2116"/>
      <c r="B815" s="2116"/>
      <c r="C815" s="2116"/>
      <c r="D815" s="2116"/>
      <c r="E815" s="2116"/>
      <c r="F815" s="2116"/>
      <c r="G815" s="2116"/>
      <c r="H815" s="2116"/>
      <c r="I815" s="2116"/>
      <c r="J815" s="2116"/>
      <c r="K815" s="2117"/>
      <c r="L815" s="2117"/>
      <c r="M815" s="2116"/>
      <c r="N815" s="2117"/>
      <c r="O815" s="2116"/>
      <c r="P815" s="2116"/>
      <c r="Q815" s="2116"/>
      <c r="R815" s="2116"/>
    </row>
    <row r="816" spans="1:18" s="2265" customFormat="1">
      <c r="A816" s="2116"/>
      <c r="B816" s="2116"/>
      <c r="C816" s="2116"/>
      <c r="D816" s="2116"/>
      <c r="E816" s="2116"/>
      <c r="F816" s="2116"/>
      <c r="G816" s="2116"/>
      <c r="H816" s="2116"/>
      <c r="I816" s="2116"/>
      <c r="J816" s="2116"/>
      <c r="K816" s="2117"/>
      <c r="L816" s="2117"/>
      <c r="M816" s="2116"/>
      <c r="N816" s="2117"/>
      <c r="O816" s="2116"/>
      <c r="P816" s="2116"/>
      <c r="Q816" s="2116"/>
      <c r="R816" s="2116"/>
    </row>
    <row r="817" spans="1:18" s="2265" customFormat="1">
      <c r="A817" s="2116"/>
      <c r="B817" s="2116"/>
      <c r="C817" s="2116"/>
      <c r="D817" s="2116"/>
      <c r="E817" s="2116"/>
      <c r="F817" s="2116"/>
      <c r="G817" s="2116"/>
      <c r="H817" s="2116"/>
      <c r="I817" s="2116"/>
      <c r="J817" s="2116"/>
      <c r="K817" s="2117"/>
      <c r="L817" s="2117"/>
      <c r="M817" s="2116"/>
      <c r="N817" s="2117"/>
      <c r="O817" s="2116"/>
      <c r="P817" s="2116"/>
      <c r="Q817" s="2116"/>
      <c r="R817" s="2116"/>
    </row>
    <row r="818" spans="1:18" s="2265" customFormat="1">
      <c r="A818" s="2116"/>
      <c r="B818" s="2116"/>
      <c r="C818" s="2116"/>
      <c r="D818" s="2116"/>
      <c r="E818" s="2116"/>
      <c r="F818" s="2116"/>
      <c r="G818" s="2116"/>
      <c r="H818" s="2116"/>
      <c r="I818" s="2116"/>
      <c r="J818" s="2116"/>
      <c r="K818" s="2117"/>
      <c r="L818" s="2117"/>
      <c r="M818" s="2116"/>
      <c r="N818" s="2117"/>
      <c r="O818" s="2116"/>
      <c r="P818" s="2116"/>
      <c r="Q818" s="2116"/>
      <c r="R818" s="2116"/>
    </row>
    <row r="819" spans="1:18" s="2265" customFormat="1">
      <c r="A819" s="2116"/>
      <c r="B819" s="2116"/>
      <c r="C819" s="2116"/>
      <c r="D819" s="2116"/>
      <c r="E819" s="2116"/>
      <c r="F819" s="2116"/>
      <c r="G819" s="2116"/>
      <c r="H819" s="2116"/>
      <c r="I819" s="2116"/>
      <c r="J819" s="2116"/>
      <c r="K819" s="2117"/>
      <c r="L819" s="2117"/>
      <c r="M819" s="2116"/>
      <c r="N819" s="2117"/>
      <c r="O819" s="2116"/>
      <c r="P819" s="2116"/>
      <c r="Q819" s="2116"/>
      <c r="R819" s="2116"/>
    </row>
    <row r="820" spans="1:18" s="2265" customFormat="1">
      <c r="A820" s="2116"/>
      <c r="B820" s="2116"/>
      <c r="C820" s="2116"/>
      <c r="D820" s="2116"/>
      <c r="E820" s="2116"/>
      <c r="F820" s="2116"/>
      <c r="G820" s="2116"/>
      <c r="H820" s="2116"/>
      <c r="I820" s="2116"/>
      <c r="J820" s="2116"/>
      <c r="K820" s="2117"/>
      <c r="L820" s="2117"/>
      <c r="M820" s="2116"/>
      <c r="N820" s="2117"/>
      <c r="O820" s="2116"/>
      <c r="P820" s="2116"/>
      <c r="Q820" s="2116"/>
      <c r="R820" s="2116"/>
    </row>
    <row r="821" spans="1:18" s="2265" customFormat="1">
      <c r="A821" s="2116"/>
      <c r="B821" s="2116"/>
      <c r="C821" s="2116"/>
      <c r="D821" s="2116"/>
      <c r="E821" s="2116"/>
      <c r="F821" s="2116"/>
      <c r="G821" s="2116"/>
      <c r="H821" s="2116"/>
      <c r="I821" s="2116"/>
      <c r="J821" s="2116"/>
      <c r="K821" s="2117"/>
      <c r="L821" s="2117"/>
      <c r="M821" s="2116"/>
      <c r="N821" s="2117"/>
      <c r="O821" s="2116"/>
      <c r="P821" s="2116"/>
      <c r="Q821" s="2116"/>
      <c r="R821" s="2116"/>
    </row>
    <row r="822" spans="1:18" s="2265" customFormat="1">
      <c r="A822" s="2116"/>
      <c r="B822" s="2116"/>
      <c r="C822" s="2116"/>
      <c r="D822" s="2116"/>
      <c r="E822" s="2116"/>
      <c r="F822" s="2116"/>
      <c r="G822" s="2116"/>
      <c r="H822" s="2116"/>
      <c r="I822" s="2116"/>
      <c r="J822" s="2116"/>
      <c r="K822" s="2117"/>
      <c r="L822" s="2117"/>
      <c r="M822" s="2116"/>
      <c r="N822" s="2117"/>
      <c r="O822" s="2116"/>
      <c r="P822" s="2116"/>
      <c r="Q822" s="2116"/>
      <c r="R822" s="2116"/>
    </row>
    <row r="823" spans="1:18" s="2265" customFormat="1">
      <c r="A823" s="2116"/>
      <c r="B823" s="2116"/>
      <c r="C823" s="2116"/>
      <c r="D823" s="2116"/>
      <c r="E823" s="2116"/>
      <c r="F823" s="2116"/>
      <c r="G823" s="2116"/>
      <c r="H823" s="2116"/>
      <c r="I823" s="2116"/>
      <c r="J823" s="2116"/>
      <c r="K823" s="2117"/>
      <c r="L823" s="2117"/>
      <c r="M823" s="2116"/>
      <c r="N823" s="2117"/>
      <c r="O823" s="2116"/>
      <c r="P823" s="2116"/>
      <c r="Q823" s="2116"/>
      <c r="R823" s="2116"/>
    </row>
    <row r="824" spans="1:18" s="2265" customFormat="1">
      <c r="A824" s="2116"/>
      <c r="B824" s="2116"/>
      <c r="C824" s="2116"/>
      <c r="D824" s="2116"/>
      <c r="E824" s="2116"/>
      <c r="F824" s="2116"/>
      <c r="G824" s="2116"/>
      <c r="H824" s="2116"/>
      <c r="I824" s="2116"/>
      <c r="J824" s="2116"/>
      <c r="K824" s="2117"/>
      <c r="L824" s="2117"/>
      <c r="M824" s="2116"/>
      <c r="N824" s="2117"/>
      <c r="O824" s="2116"/>
      <c r="P824" s="2116"/>
      <c r="Q824" s="2116"/>
      <c r="R824" s="2116"/>
    </row>
    <row r="825" spans="1:18" s="2265" customFormat="1">
      <c r="A825" s="2116"/>
      <c r="B825" s="2116"/>
      <c r="C825" s="2116"/>
      <c r="D825" s="2116"/>
      <c r="E825" s="2116"/>
      <c r="F825" s="2116"/>
      <c r="G825" s="2116"/>
      <c r="H825" s="2116"/>
      <c r="I825" s="2116"/>
      <c r="J825" s="2116"/>
      <c r="K825" s="2117"/>
      <c r="L825" s="2117"/>
      <c r="M825" s="2116"/>
      <c r="N825" s="2117"/>
      <c r="O825" s="2116"/>
      <c r="P825" s="2116"/>
      <c r="Q825" s="2116"/>
      <c r="R825" s="2116"/>
    </row>
    <row r="826" spans="1:18" s="2265" customFormat="1">
      <c r="A826" s="2116"/>
      <c r="B826" s="2116"/>
      <c r="C826" s="2116"/>
      <c r="D826" s="2116"/>
      <c r="E826" s="2116"/>
      <c r="F826" s="2116"/>
      <c r="G826" s="2116"/>
      <c r="H826" s="2116"/>
      <c r="I826" s="2116"/>
      <c r="J826" s="2116"/>
      <c r="K826" s="2117"/>
      <c r="L826" s="2117"/>
      <c r="M826" s="2116"/>
      <c r="N826" s="2117"/>
      <c r="O826" s="2116"/>
      <c r="P826" s="2116"/>
      <c r="Q826" s="2116"/>
      <c r="R826" s="2116"/>
    </row>
    <row r="827" spans="1:18" s="2265" customFormat="1">
      <c r="A827" s="2116"/>
      <c r="B827" s="2116"/>
      <c r="C827" s="2116"/>
      <c r="D827" s="2116"/>
      <c r="E827" s="2116"/>
      <c r="F827" s="2116"/>
      <c r="G827" s="2116"/>
      <c r="H827" s="2116"/>
      <c r="I827" s="2116"/>
      <c r="J827" s="2116"/>
      <c r="K827" s="2117"/>
      <c r="L827" s="2117"/>
      <c r="M827" s="2116"/>
      <c r="N827" s="2117"/>
      <c r="O827" s="2116"/>
      <c r="P827" s="2116"/>
      <c r="Q827" s="2116"/>
      <c r="R827" s="2116"/>
    </row>
    <row r="828" spans="1:18" s="2265" customFormat="1">
      <c r="A828" s="2116"/>
      <c r="B828" s="2116"/>
      <c r="C828" s="2116"/>
      <c r="D828" s="2116"/>
      <c r="E828" s="2116"/>
      <c r="F828" s="2116"/>
      <c r="G828" s="2116"/>
      <c r="H828" s="2116"/>
      <c r="I828" s="2116"/>
      <c r="J828" s="2116"/>
      <c r="K828" s="2117"/>
      <c r="L828" s="2117"/>
      <c r="M828" s="2116"/>
      <c r="N828" s="2117"/>
      <c r="O828" s="2116"/>
      <c r="P828" s="2116"/>
      <c r="Q828" s="2116"/>
      <c r="R828" s="2116"/>
    </row>
    <row r="829" spans="1:18" s="2265" customFormat="1">
      <c r="A829" s="2116"/>
      <c r="B829" s="2116"/>
      <c r="C829" s="2116"/>
      <c r="D829" s="2116"/>
      <c r="E829" s="2116"/>
      <c r="F829" s="2116"/>
      <c r="G829" s="2116"/>
      <c r="H829" s="2116"/>
      <c r="I829" s="2116"/>
      <c r="J829" s="2116"/>
      <c r="K829" s="2117"/>
      <c r="L829" s="2117"/>
      <c r="M829" s="2116"/>
      <c r="N829" s="2117"/>
      <c r="O829" s="2116"/>
      <c r="P829" s="2116"/>
      <c r="Q829" s="2116"/>
      <c r="R829" s="2116"/>
    </row>
    <row r="830" spans="1:18" s="2265" customFormat="1">
      <c r="A830" s="2116"/>
      <c r="B830" s="2116"/>
      <c r="C830" s="2116"/>
      <c r="D830" s="2116"/>
      <c r="E830" s="2116"/>
      <c r="F830" s="2116"/>
      <c r="G830" s="2116"/>
      <c r="H830" s="2116"/>
      <c r="I830" s="2116"/>
      <c r="J830" s="2116"/>
      <c r="K830" s="2117"/>
      <c r="L830" s="2117"/>
      <c r="M830" s="2116"/>
      <c r="N830" s="2117"/>
      <c r="O830" s="2116"/>
      <c r="P830" s="2116"/>
      <c r="Q830" s="2116"/>
      <c r="R830" s="2116"/>
    </row>
    <row r="831" spans="1:18" s="2265" customFormat="1">
      <c r="A831" s="2116"/>
      <c r="B831" s="2116"/>
      <c r="C831" s="2116"/>
      <c r="D831" s="2116"/>
      <c r="E831" s="2116"/>
      <c r="F831" s="2116"/>
      <c r="G831" s="2116"/>
      <c r="H831" s="2116"/>
      <c r="I831" s="2116"/>
      <c r="J831" s="2116"/>
      <c r="K831" s="2117"/>
      <c r="L831" s="2117"/>
      <c r="M831" s="2116"/>
      <c r="N831" s="2117"/>
      <c r="O831" s="2116"/>
      <c r="P831" s="2116"/>
      <c r="Q831" s="2116"/>
      <c r="R831" s="2116"/>
    </row>
    <row r="832" spans="1:18" s="2265" customFormat="1">
      <c r="A832" s="2116"/>
      <c r="B832" s="2116"/>
      <c r="C832" s="2116"/>
      <c r="D832" s="2116"/>
      <c r="E832" s="2116"/>
      <c r="F832" s="2116"/>
      <c r="G832" s="2116"/>
      <c r="H832" s="2116"/>
      <c r="I832" s="2116"/>
      <c r="J832" s="2116"/>
      <c r="K832" s="2117"/>
      <c r="L832" s="2117"/>
      <c r="M832" s="2116"/>
      <c r="N832" s="2117"/>
      <c r="O832" s="2116"/>
      <c r="P832" s="2116"/>
      <c r="Q832" s="2116"/>
      <c r="R832" s="2116"/>
    </row>
    <row r="833" spans="1:18" s="2265" customFormat="1">
      <c r="A833" s="2116"/>
      <c r="B833" s="2116"/>
      <c r="C833" s="2116"/>
      <c r="D833" s="2116"/>
      <c r="E833" s="2116"/>
      <c r="F833" s="2116"/>
      <c r="G833" s="2116"/>
      <c r="H833" s="2116"/>
      <c r="I833" s="2116"/>
      <c r="J833" s="2116"/>
      <c r="K833" s="2117"/>
      <c r="L833" s="2117"/>
      <c r="M833" s="2116"/>
      <c r="N833" s="2117"/>
      <c r="O833" s="2116"/>
      <c r="P833" s="2116"/>
      <c r="Q833" s="2116"/>
      <c r="R833" s="2116"/>
    </row>
    <row r="834" spans="1:18" s="2265" customFormat="1">
      <c r="A834" s="2116"/>
      <c r="B834" s="2116"/>
      <c r="C834" s="2116"/>
      <c r="D834" s="2116"/>
      <c r="E834" s="2116"/>
      <c r="F834" s="2116"/>
      <c r="G834" s="2116"/>
      <c r="H834" s="2116"/>
      <c r="I834" s="2116"/>
      <c r="J834" s="2116"/>
      <c r="K834" s="2117"/>
      <c r="L834" s="2117"/>
      <c r="M834" s="2116"/>
      <c r="N834" s="2117"/>
      <c r="O834" s="2116"/>
      <c r="P834" s="2116"/>
      <c r="Q834" s="2116"/>
      <c r="R834" s="2116"/>
    </row>
    <row r="835" spans="1:18" s="2265" customFormat="1">
      <c r="A835" s="2116"/>
      <c r="B835" s="2116"/>
      <c r="C835" s="2116"/>
      <c r="D835" s="2116"/>
      <c r="E835" s="2116"/>
      <c r="F835" s="2116"/>
      <c r="G835" s="2116"/>
      <c r="H835" s="2116"/>
      <c r="I835" s="2116"/>
      <c r="J835" s="2116"/>
      <c r="K835" s="2117"/>
      <c r="L835" s="2117"/>
      <c r="M835" s="2116"/>
      <c r="N835" s="2117"/>
      <c r="O835" s="2116"/>
      <c r="P835" s="2116"/>
      <c r="Q835" s="2116"/>
      <c r="R835" s="2116"/>
    </row>
    <row r="836" spans="1:18" s="2265" customFormat="1">
      <c r="A836" s="2116"/>
      <c r="B836" s="2116"/>
      <c r="C836" s="2116"/>
      <c r="D836" s="2116"/>
      <c r="E836" s="2116"/>
      <c r="F836" s="2116"/>
      <c r="G836" s="2116"/>
      <c r="H836" s="2116"/>
      <c r="I836" s="2116"/>
      <c r="J836" s="2116"/>
      <c r="K836" s="2117"/>
      <c r="L836" s="2117"/>
      <c r="M836" s="2116"/>
      <c r="N836" s="2117"/>
      <c r="O836" s="2116"/>
      <c r="P836" s="2116"/>
      <c r="Q836" s="2116"/>
      <c r="R836" s="2116"/>
    </row>
    <row r="837" spans="1:18" s="2265" customFormat="1">
      <c r="A837" s="2116"/>
      <c r="B837" s="2116"/>
      <c r="C837" s="2116"/>
      <c r="D837" s="2116"/>
      <c r="E837" s="2116"/>
      <c r="F837" s="2116"/>
      <c r="G837" s="2116"/>
      <c r="H837" s="2116"/>
      <c r="I837" s="2116"/>
      <c r="J837" s="2116"/>
      <c r="K837" s="2117"/>
      <c r="L837" s="2117"/>
      <c r="M837" s="2116"/>
      <c r="N837" s="2117"/>
      <c r="O837" s="2116"/>
      <c r="P837" s="2116"/>
      <c r="Q837" s="2116"/>
      <c r="R837" s="2116"/>
    </row>
    <row r="838" spans="1:18" s="2265" customFormat="1">
      <c r="A838" s="2116"/>
      <c r="B838" s="2116"/>
      <c r="C838" s="2116"/>
      <c r="D838" s="2116"/>
      <c r="E838" s="2116"/>
      <c r="F838" s="2116"/>
      <c r="G838" s="2116"/>
      <c r="H838" s="2116"/>
      <c r="I838" s="2116"/>
      <c r="J838" s="2116"/>
      <c r="K838" s="2117"/>
      <c r="L838" s="2117"/>
      <c r="M838" s="2116"/>
      <c r="N838" s="2117"/>
      <c r="O838" s="2116"/>
      <c r="P838" s="2116"/>
      <c r="Q838" s="2116"/>
      <c r="R838" s="2116"/>
    </row>
    <row r="839" spans="1:18" s="2265" customFormat="1">
      <c r="A839" s="2116"/>
      <c r="B839" s="2116"/>
      <c r="C839" s="2116"/>
      <c r="D839" s="2116"/>
      <c r="E839" s="2116"/>
      <c r="F839" s="2116"/>
      <c r="G839" s="2116"/>
      <c r="H839" s="2116"/>
      <c r="I839" s="2116"/>
      <c r="J839" s="2116"/>
      <c r="K839" s="2117"/>
      <c r="L839" s="2117"/>
      <c r="M839" s="2116"/>
      <c r="N839" s="2117"/>
      <c r="O839" s="2116"/>
      <c r="P839" s="2116"/>
      <c r="Q839" s="2116"/>
      <c r="R839" s="2116"/>
    </row>
    <row r="840" spans="1:18" s="2265" customFormat="1">
      <c r="A840" s="2116"/>
      <c r="B840" s="2116"/>
      <c r="C840" s="2116"/>
      <c r="D840" s="2116"/>
      <c r="E840" s="2116"/>
      <c r="F840" s="2116"/>
      <c r="G840" s="2116"/>
      <c r="H840" s="2116"/>
      <c r="I840" s="2116"/>
      <c r="J840" s="2116"/>
      <c r="K840" s="2117"/>
      <c r="L840" s="2117"/>
      <c r="M840" s="2116"/>
      <c r="N840" s="2117"/>
      <c r="O840" s="2116"/>
      <c r="P840" s="2116"/>
      <c r="Q840" s="2116"/>
      <c r="R840" s="2116"/>
    </row>
    <row r="841" spans="1:18" s="2265" customFormat="1">
      <c r="A841" s="2116"/>
      <c r="B841" s="2116"/>
      <c r="C841" s="2116"/>
      <c r="D841" s="2116"/>
      <c r="E841" s="2116"/>
      <c r="F841" s="2116"/>
      <c r="G841" s="2116"/>
      <c r="H841" s="2116"/>
      <c r="I841" s="2116"/>
      <c r="J841" s="2116"/>
      <c r="K841" s="2117"/>
      <c r="L841" s="2117"/>
      <c r="M841" s="2116"/>
      <c r="N841" s="2117"/>
      <c r="O841" s="2116"/>
      <c r="P841" s="2116"/>
      <c r="Q841" s="2116"/>
      <c r="R841" s="2116"/>
    </row>
    <row r="842" spans="1:18" s="2265" customFormat="1">
      <c r="A842" s="2116"/>
      <c r="B842" s="2116"/>
      <c r="C842" s="2116"/>
      <c r="D842" s="2116"/>
      <c r="E842" s="2116"/>
      <c r="F842" s="2116"/>
      <c r="G842" s="2116"/>
      <c r="H842" s="2116"/>
      <c r="I842" s="2116"/>
      <c r="J842" s="2116"/>
      <c r="K842" s="2117"/>
      <c r="L842" s="2117"/>
      <c r="M842" s="2116"/>
      <c r="N842" s="2117"/>
      <c r="O842" s="2116"/>
      <c r="P842" s="2116"/>
      <c r="Q842" s="2116"/>
      <c r="R842" s="2116"/>
    </row>
    <row r="843" spans="1:18" s="2265" customFormat="1">
      <c r="A843" s="2116"/>
      <c r="B843" s="2116"/>
      <c r="C843" s="2116"/>
      <c r="D843" s="2116"/>
      <c r="E843" s="2116"/>
      <c r="F843" s="2116"/>
      <c r="G843" s="2116"/>
      <c r="H843" s="2116"/>
      <c r="I843" s="2116"/>
      <c r="J843" s="2116"/>
      <c r="K843" s="2117"/>
      <c r="L843" s="2117"/>
      <c r="M843" s="2116"/>
      <c r="N843" s="2117"/>
      <c r="O843" s="2116"/>
      <c r="P843" s="2116"/>
      <c r="Q843" s="2116"/>
      <c r="R843" s="2116"/>
    </row>
    <row r="844" spans="1:18" s="2265" customFormat="1">
      <c r="A844" s="2116"/>
      <c r="B844" s="2116"/>
      <c r="C844" s="2116"/>
      <c r="D844" s="2116"/>
      <c r="E844" s="2116"/>
      <c r="F844" s="2116"/>
      <c r="G844" s="2116"/>
      <c r="H844" s="2116"/>
      <c r="I844" s="2116"/>
      <c r="J844" s="2116"/>
      <c r="K844" s="2117"/>
      <c r="L844" s="2117"/>
      <c r="M844" s="2116"/>
      <c r="N844" s="2117"/>
      <c r="O844" s="2116"/>
      <c r="P844" s="2116"/>
      <c r="Q844" s="2116"/>
      <c r="R844" s="2116"/>
    </row>
    <row r="845" spans="1:18" s="2265" customFormat="1">
      <c r="A845" s="2116"/>
      <c r="B845" s="2116"/>
      <c r="C845" s="2116"/>
      <c r="D845" s="2116"/>
      <c r="E845" s="2116"/>
      <c r="F845" s="2116"/>
      <c r="G845" s="2116"/>
      <c r="H845" s="2116"/>
      <c r="I845" s="2116"/>
      <c r="J845" s="2116"/>
      <c r="K845" s="2117"/>
      <c r="L845" s="2117"/>
      <c r="M845" s="2116"/>
      <c r="N845" s="2117"/>
      <c r="O845" s="2116"/>
      <c r="P845" s="2116"/>
      <c r="Q845" s="2116"/>
      <c r="R845" s="2116"/>
    </row>
    <row r="846" spans="1:18" s="2265" customFormat="1">
      <c r="A846" s="2116"/>
      <c r="B846" s="2116"/>
      <c r="C846" s="2116"/>
      <c r="D846" s="2116"/>
      <c r="E846" s="2116"/>
      <c r="F846" s="2116"/>
      <c r="G846" s="2116"/>
      <c r="H846" s="2116"/>
      <c r="I846" s="2116"/>
      <c r="J846" s="2116"/>
      <c r="K846" s="2117"/>
      <c r="L846" s="2117"/>
      <c r="M846" s="2116"/>
      <c r="N846" s="2117"/>
      <c r="O846" s="2116"/>
      <c r="P846" s="2116"/>
      <c r="Q846" s="2116"/>
      <c r="R846" s="2116"/>
    </row>
    <row r="855" spans="1:15" s="2442" customFormat="1">
      <c r="A855"/>
      <c r="B855"/>
      <c r="C855"/>
      <c r="D855"/>
      <c r="E855"/>
      <c r="F855"/>
      <c r="G855"/>
      <c r="H855"/>
      <c r="I855"/>
      <c r="J855"/>
      <c r="K855"/>
      <c r="L855"/>
      <c r="M855"/>
      <c r="N855"/>
      <c r="O855"/>
    </row>
    <row r="856" spans="1:15" s="2442" customFormat="1">
      <c r="A856"/>
      <c r="B856"/>
      <c r="C856"/>
      <c r="D856"/>
      <c r="E856"/>
      <c r="F856"/>
      <c r="G856"/>
      <c r="H856"/>
      <c r="I856"/>
      <c r="J856"/>
      <c r="K856"/>
      <c r="L856"/>
      <c r="M856"/>
      <c r="N856"/>
      <c r="O856"/>
    </row>
    <row r="857" spans="1:15" s="2442" customFormat="1">
      <c r="A857"/>
      <c r="B857"/>
      <c r="C857"/>
      <c r="D857"/>
      <c r="E857"/>
      <c r="F857"/>
      <c r="G857"/>
      <c r="H857"/>
      <c r="I857"/>
      <c r="J857"/>
      <c r="K857"/>
      <c r="L857"/>
      <c r="M857"/>
      <c r="N857"/>
      <c r="O857"/>
    </row>
    <row r="858" spans="1:15" s="2442" customFormat="1">
      <c r="A858"/>
      <c r="B858"/>
      <c r="C858"/>
      <c r="D858"/>
      <c r="E858"/>
      <c r="F858"/>
      <c r="G858"/>
      <c r="H858"/>
      <c r="I858"/>
      <c r="J858"/>
      <c r="K858"/>
      <c r="L858"/>
      <c r="M858"/>
      <c r="N858"/>
      <c r="O858"/>
    </row>
    <row r="859" spans="1:15" s="2442" customFormat="1">
      <c r="A859"/>
      <c r="B859"/>
      <c r="C859"/>
      <c r="D859"/>
      <c r="E859"/>
      <c r="F859"/>
      <c r="G859"/>
      <c r="H859"/>
      <c r="I859"/>
      <c r="J859"/>
      <c r="K859"/>
      <c r="L859"/>
      <c r="M859"/>
      <c r="N859"/>
      <c r="O859"/>
    </row>
    <row r="860" spans="1:15" s="2442" customFormat="1">
      <c r="A860"/>
      <c r="B860"/>
      <c r="C860"/>
      <c r="D860"/>
      <c r="E860"/>
      <c r="F860"/>
      <c r="G860"/>
      <c r="H860"/>
      <c r="I860"/>
      <c r="J860"/>
      <c r="K860"/>
      <c r="L860"/>
      <c r="M860"/>
      <c r="N860"/>
      <c r="O860"/>
    </row>
    <row r="861" spans="1:15" s="2442" customFormat="1">
      <c r="A861"/>
      <c r="B861"/>
      <c r="C861"/>
      <c r="D861"/>
      <c r="E861"/>
      <c r="F861"/>
      <c r="G861"/>
      <c r="H861"/>
      <c r="I861"/>
      <c r="J861"/>
      <c r="K861"/>
      <c r="L861"/>
      <c r="M861"/>
      <c r="N861"/>
      <c r="O861"/>
    </row>
    <row r="862" spans="1:15" s="2442" customFormat="1">
      <c r="A862"/>
      <c r="B862"/>
      <c r="C862"/>
      <c r="D862"/>
      <c r="E862"/>
      <c r="F862"/>
      <c r="G862"/>
      <c r="H862"/>
      <c r="I862"/>
      <c r="J862"/>
      <c r="K862"/>
      <c r="L862"/>
      <c r="M862"/>
      <c r="N862"/>
      <c r="O862"/>
    </row>
    <row r="863" spans="1:15" s="2442" customFormat="1">
      <c r="A863"/>
      <c r="B863"/>
      <c r="C863"/>
      <c r="D863"/>
      <c r="E863"/>
      <c r="F863"/>
      <c r="G863"/>
      <c r="H863"/>
      <c r="I863"/>
      <c r="J863"/>
      <c r="K863"/>
      <c r="L863"/>
      <c r="M863"/>
      <c r="N863"/>
      <c r="O863"/>
    </row>
    <row r="864" spans="1:15" s="2442" customFormat="1">
      <c r="A864"/>
      <c r="B864"/>
      <c r="C864"/>
      <c r="D864"/>
      <c r="E864"/>
      <c r="F864"/>
      <c r="G864"/>
      <c r="H864"/>
      <c r="I864"/>
      <c r="J864"/>
      <c r="K864"/>
      <c r="L864"/>
      <c r="M864"/>
      <c r="N864"/>
      <c r="O864"/>
    </row>
    <row r="865" spans="1:15" s="2442" customFormat="1">
      <c r="A865"/>
      <c r="B865"/>
      <c r="C865"/>
      <c r="D865"/>
      <c r="E865"/>
      <c r="F865"/>
      <c r="G865"/>
      <c r="H865"/>
      <c r="I865"/>
      <c r="J865"/>
      <c r="K865"/>
      <c r="L865"/>
      <c r="M865"/>
      <c r="N865"/>
      <c r="O865"/>
    </row>
    <row r="866" spans="1:15" s="2442" customFormat="1">
      <c r="A866"/>
      <c r="B866"/>
      <c r="C866"/>
      <c r="D866"/>
      <c r="E866"/>
      <c r="F866"/>
      <c r="G866"/>
      <c r="H866"/>
      <c r="I866"/>
      <c r="J866"/>
      <c r="K866"/>
      <c r="L866"/>
      <c r="M866"/>
      <c r="N866"/>
      <c r="O866"/>
    </row>
    <row r="867" spans="1:15" s="2442" customFormat="1">
      <c r="A867"/>
      <c r="B867"/>
      <c r="C867"/>
      <c r="D867"/>
      <c r="E867"/>
      <c r="F867"/>
      <c r="G867"/>
      <c r="H867"/>
      <c r="I867"/>
      <c r="J867"/>
      <c r="K867"/>
      <c r="L867"/>
      <c r="M867"/>
      <c r="N867"/>
      <c r="O867"/>
    </row>
    <row r="868" spans="1:15" s="2442" customFormat="1">
      <c r="A868"/>
      <c r="B868"/>
      <c r="C868"/>
      <c r="D868"/>
      <c r="E868"/>
      <c r="F868"/>
      <c r="G868"/>
      <c r="H868"/>
      <c r="I868"/>
      <c r="J868"/>
      <c r="K868"/>
      <c r="L868"/>
      <c r="M868"/>
      <c r="N868"/>
      <c r="O868"/>
    </row>
    <row r="869" spans="1:15" s="2442" customFormat="1">
      <c r="A869"/>
      <c r="B869"/>
      <c r="C869"/>
      <c r="D869"/>
      <c r="E869"/>
      <c r="F869"/>
      <c r="G869"/>
      <c r="H869"/>
      <c r="I869"/>
      <c r="J869"/>
      <c r="K869"/>
      <c r="L869"/>
      <c r="M869"/>
      <c r="N869"/>
      <c r="O869"/>
    </row>
    <row r="870" spans="1:15" s="2442" customFormat="1">
      <c r="A870"/>
      <c r="B870"/>
      <c r="C870"/>
      <c r="D870"/>
      <c r="E870"/>
      <c r="F870"/>
      <c r="G870"/>
      <c r="H870"/>
      <c r="I870"/>
      <c r="J870"/>
      <c r="K870"/>
      <c r="L870"/>
      <c r="M870"/>
      <c r="N870"/>
      <c r="O870"/>
    </row>
    <row r="871" spans="1:15" s="2442" customFormat="1">
      <c r="A871"/>
      <c r="B871"/>
      <c r="C871"/>
      <c r="D871"/>
      <c r="E871"/>
      <c r="F871"/>
      <c r="G871"/>
      <c r="H871"/>
      <c r="I871"/>
      <c r="J871"/>
      <c r="K871"/>
      <c r="L871"/>
      <c r="M871"/>
      <c r="N871"/>
      <c r="O871" s="2116"/>
    </row>
    <row r="872" spans="1:15" s="2442" customFormat="1">
      <c r="A872"/>
      <c r="B872"/>
      <c r="C872"/>
      <c r="D872"/>
      <c r="E872"/>
      <c r="F872"/>
      <c r="G872"/>
      <c r="H872"/>
      <c r="I872"/>
      <c r="J872"/>
      <c r="K872"/>
      <c r="L872"/>
      <c r="M872"/>
      <c r="N872"/>
      <c r="O872" s="2116"/>
    </row>
    <row r="873" spans="1:15" s="2442" customFormat="1">
      <c r="A873"/>
      <c r="B873"/>
      <c r="C873"/>
      <c r="D873"/>
      <c r="E873"/>
      <c r="F873"/>
      <c r="G873"/>
      <c r="H873"/>
      <c r="I873"/>
      <c r="J873"/>
      <c r="K873"/>
      <c r="L873"/>
      <c r="M873"/>
      <c r="N873"/>
      <c r="O873"/>
    </row>
    <row r="874" spans="1:15" s="2442" customFormat="1">
      <c r="A874"/>
      <c r="B874"/>
      <c r="C874"/>
      <c r="D874"/>
      <c r="E874"/>
      <c r="F874"/>
      <c r="G874"/>
      <c r="H874"/>
      <c r="I874"/>
      <c r="J874"/>
      <c r="K874"/>
      <c r="L874"/>
      <c r="M874"/>
      <c r="N874"/>
      <c r="O874"/>
    </row>
    <row r="875" spans="1:15" s="2442" customFormat="1">
      <c r="A875"/>
      <c r="B875"/>
      <c r="C875"/>
      <c r="D875"/>
      <c r="E875"/>
      <c r="F875"/>
      <c r="G875"/>
      <c r="H875"/>
      <c r="I875"/>
      <c r="J875"/>
      <c r="K875"/>
      <c r="L875"/>
      <c r="M875"/>
      <c r="N875"/>
      <c r="O875"/>
    </row>
    <row r="876" spans="1:15" s="2442" customFormat="1">
      <c r="A876"/>
      <c r="B876"/>
      <c r="C876"/>
      <c r="D876"/>
      <c r="E876"/>
      <c r="F876"/>
      <c r="G876"/>
      <c r="H876"/>
      <c r="I876"/>
      <c r="J876"/>
      <c r="K876"/>
      <c r="L876"/>
      <c r="M876"/>
      <c r="N876"/>
      <c r="O876"/>
    </row>
    <row r="877" spans="1:15" s="2442" customFormat="1">
      <c r="A877"/>
      <c r="B877"/>
      <c r="C877"/>
      <c r="D877"/>
      <c r="E877"/>
      <c r="F877"/>
      <c r="G877"/>
      <c r="H877"/>
      <c r="I877"/>
      <c r="J877"/>
      <c r="K877"/>
      <c r="L877"/>
      <c r="M877"/>
      <c r="N877"/>
      <c r="O877"/>
    </row>
    <row r="878" spans="1:15" s="2442" customFormat="1">
      <c r="A878"/>
      <c r="B878"/>
      <c r="C878"/>
      <c r="D878"/>
      <c r="E878"/>
      <c r="F878"/>
      <c r="G878"/>
      <c r="H878"/>
      <c r="I878"/>
      <c r="J878"/>
      <c r="K878"/>
      <c r="L878"/>
      <c r="M878"/>
      <c r="N878"/>
      <c r="O878"/>
    </row>
    <row r="879" spans="1:15" s="2442" customFormat="1">
      <c r="A879"/>
      <c r="B879"/>
      <c r="C879"/>
      <c r="D879"/>
      <c r="E879"/>
      <c r="F879"/>
      <c r="G879"/>
      <c r="H879"/>
      <c r="I879"/>
      <c r="J879"/>
      <c r="K879"/>
      <c r="L879"/>
      <c r="M879"/>
      <c r="N879"/>
      <c r="O879"/>
    </row>
    <row r="880" spans="1:15" s="2442" customFormat="1">
      <c r="A880"/>
      <c r="B880"/>
      <c r="C880"/>
      <c r="D880"/>
      <c r="E880"/>
      <c r="F880"/>
      <c r="G880"/>
      <c r="H880"/>
      <c r="I880"/>
      <c r="J880"/>
      <c r="K880"/>
      <c r="L880"/>
      <c r="M880"/>
      <c r="N880"/>
      <c r="O880"/>
    </row>
    <row r="881" spans="1:15" s="2442" customFormat="1">
      <c r="A881"/>
      <c r="B881"/>
      <c r="C881"/>
      <c r="D881"/>
      <c r="E881"/>
      <c r="F881"/>
      <c r="G881"/>
      <c r="H881"/>
      <c r="I881"/>
      <c r="J881"/>
      <c r="K881"/>
      <c r="L881"/>
      <c r="M881"/>
      <c r="N881"/>
      <c r="O881"/>
    </row>
    <row r="882" spans="1:15" s="2442" customFormat="1">
      <c r="A882"/>
      <c r="B882"/>
      <c r="C882"/>
      <c r="D882"/>
      <c r="E882"/>
      <c r="F882"/>
      <c r="G882"/>
      <c r="H882"/>
      <c r="I882"/>
      <c r="J882"/>
      <c r="K882"/>
      <c r="L882"/>
      <c r="M882"/>
      <c r="N882"/>
      <c r="O882"/>
    </row>
    <row r="883" spans="1:15" s="2442" customFormat="1">
      <c r="A883"/>
      <c r="B883"/>
      <c r="C883"/>
      <c r="D883"/>
      <c r="E883"/>
      <c r="F883"/>
      <c r="G883"/>
      <c r="H883"/>
      <c r="I883"/>
      <c r="J883"/>
      <c r="K883"/>
      <c r="L883"/>
      <c r="M883"/>
      <c r="N883"/>
      <c r="O883"/>
    </row>
    <row r="884" spans="1:15" s="2442" customFormat="1">
      <c r="A884"/>
      <c r="B884"/>
      <c r="C884"/>
      <c r="D884"/>
      <c r="E884"/>
      <c r="F884"/>
      <c r="G884"/>
      <c r="H884"/>
      <c r="I884"/>
      <c r="J884"/>
      <c r="K884"/>
      <c r="L884"/>
      <c r="M884"/>
      <c r="N884"/>
      <c r="O884"/>
    </row>
    <row r="885" spans="1:15" s="2442" customFormat="1">
      <c r="A885"/>
      <c r="B885"/>
      <c r="C885"/>
      <c r="D885"/>
      <c r="E885"/>
      <c r="F885"/>
      <c r="G885"/>
      <c r="H885"/>
      <c r="I885"/>
      <c r="J885"/>
      <c r="K885"/>
      <c r="L885"/>
      <c r="M885"/>
      <c r="N885"/>
      <c r="O885"/>
    </row>
    <row r="886" spans="1:15" s="2442" customFormat="1">
      <c r="A886"/>
      <c r="B886"/>
      <c r="C886"/>
      <c r="D886"/>
      <c r="E886"/>
      <c r="F886"/>
      <c r="G886"/>
      <c r="H886"/>
      <c r="I886"/>
      <c r="J886"/>
      <c r="K886"/>
      <c r="L886"/>
      <c r="M886"/>
      <c r="N886"/>
      <c r="O886"/>
    </row>
    <row r="887" spans="1:15" s="2442" customFormat="1">
      <c r="A887"/>
      <c r="B887"/>
      <c r="C887"/>
      <c r="D887"/>
      <c r="E887"/>
      <c r="F887"/>
      <c r="G887"/>
      <c r="H887"/>
      <c r="I887"/>
      <c r="J887"/>
      <c r="K887"/>
      <c r="L887"/>
      <c r="M887"/>
      <c r="N887"/>
      <c r="O887"/>
    </row>
    <row r="888" spans="1:15" s="2442" customFormat="1">
      <c r="A888"/>
      <c r="B888"/>
      <c r="C888"/>
      <c r="D888"/>
      <c r="E888"/>
      <c r="F888"/>
      <c r="G888"/>
      <c r="H888"/>
      <c r="I888"/>
      <c r="J888"/>
      <c r="K888"/>
      <c r="L888"/>
      <c r="M888"/>
      <c r="N888"/>
      <c r="O888"/>
    </row>
    <row r="889" spans="1:15" s="2442" customFormat="1">
      <c r="A889"/>
      <c r="B889"/>
      <c r="C889"/>
      <c r="D889"/>
      <c r="E889"/>
      <c r="F889"/>
      <c r="G889"/>
      <c r="H889"/>
      <c r="I889"/>
      <c r="J889"/>
      <c r="K889"/>
      <c r="L889"/>
      <c r="M889"/>
      <c r="N889"/>
      <c r="O889"/>
    </row>
    <row r="890" spans="1:15" s="2442" customFormat="1">
      <c r="A890"/>
      <c r="B890"/>
      <c r="C890"/>
      <c r="D890"/>
      <c r="E890"/>
      <c r="F890"/>
      <c r="G890"/>
      <c r="H890"/>
      <c r="I890"/>
      <c r="J890"/>
      <c r="K890"/>
      <c r="L890"/>
      <c r="M890"/>
      <c r="N890"/>
      <c r="O890"/>
    </row>
    <row r="891" spans="1:15" s="2442" customFormat="1">
      <c r="A891"/>
      <c r="B891"/>
      <c r="C891"/>
      <c r="D891"/>
      <c r="E891"/>
      <c r="F891"/>
      <c r="G891"/>
      <c r="H891"/>
      <c r="I891"/>
      <c r="J891"/>
      <c r="K891"/>
      <c r="L891"/>
      <c r="M891"/>
      <c r="N891"/>
      <c r="O891"/>
    </row>
    <row r="892" spans="1:15" s="2442" customFormat="1">
      <c r="A892"/>
      <c r="B892"/>
      <c r="C892"/>
      <c r="D892"/>
      <c r="E892"/>
      <c r="F892"/>
      <c r="G892"/>
      <c r="H892"/>
      <c r="I892"/>
      <c r="J892"/>
      <c r="K892"/>
      <c r="L892"/>
      <c r="M892"/>
      <c r="N892"/>
      <c r="O892"/>
    </row>
    <row r="893" spans="1:15" s="2442" customFormat="1">
      <c r="A893"/>
      <c r="B893"/>
      <c r="C893"/>
      <c r="D893"/>
      <c r="E893"/>
      <c r="F893"/>
      <c r="G893"/>
      <c r="H893"/>
      <c r="I893"/>
      <c r="J893"/>
      <c r="K893"/>
      <c r="L893"/>
      <c r="M893"/>
      <c r="N893"/>
      <c r="O893"/>
    </row>
    <row r="894" spans="1:15" s="2442" customFormat="1">
      <c r="A894"/>
      <c r="B894"/>
      <c r="C894"/>
      <c r="D894"/>
      <c r="E894"/>
      <c r="F894"/>
      <c r="G894"/>
      <c r="H894"/>
      <c r="I894"/>
      <c r="J894"/>
      <c r="K894"/>
      <c r="L894"/>
      <c r="M894"/>
      <c r="N894"/>
      <c r="O894"/>
    </row>
    <row r="903" spans="15:15">
      <c r="O903" s="2116"/>
    </row>
    <row r="904" spans="15:15">
      <c r="O904" s="2116"/>
    </row>
    <row r="963" spans="14:15">
      <c r="N963" s="2484"/>
    </row>
    <row r="969" spans="14:15">
      <c r="O969" s="2116"/>
    </row>
    <row r="970" spans="14:15">
      <c r="O970" s="2116"/>
    </row>
    <row r="1010" spans="15:15">
      <c r="O1010" s="2116"/>
    </row>
    <row r="1011" spans="15:15">
      <c r="O1011" s="2116"/>
    </row>
    <row r="1012" spans="15:15">
      <c r="O1012" s="2116"/>
    </row>
    <row r="1013" spans="15:15">
      <c r="O1013" s="2116"/>
    </row>
    <row r="1050" spans="15:15">
      <c r="O1050" s="2116"/>
    </row>
    <row r="1051" spans="15:15">
      <c r="O1051" s="2116"/>
    </row>
    <row r="1052" spans="15:15">
      <c r="O1052" s="2116"/>
    </row>
    <row r="1064" s="2485" customFormat="1"/>
    <row r="1065" s="2485" customFormat="1"/>
    <row r="1066" s="2485" customFormat="1"/>
    <row r="1067" s="2485" customFormat="1"/>
    <row r="1068" s="2485" customFormat="1"/>
    <row r="1069" s="2485" customFormat="1"/>
    <row r="1070" s="2485" customFormat="1"/>
    <row r="1071" s="2485" customFormat="1"/>
    <row r="1072" s="2485" customFormat="1"/>
    <row r="1073" spans="15:15" s="2485" customFormat="1"/>
    <row r="1074" spans="15:15" s="2485" customFormat="1"/>
    <row r="1075" spans="15:15" s="2485" customFormat="1"/>
    <row r="1076" spans="15:15" s="2485" customFormat="1"/>
    <row r="1077" spans="15:15" s="2485" customFormat="1"/>
    <row r="1078" spans="15:15" s="2485" customFormat="1"/>
    <row r="1079" spans="15:15" s="2485" customFormat="1"/>
    <row r="1080" spans="15:15" s="2485" customFormat="1">
      <c r="O1080" s="2116"/>
    </row>
    <row r="1081" spans="15:15" s="2485" customFormat="1">
      <c r="O1081" s="2116"/>
    </row>
    <row r="1082" spans="15:15" s="2485" customFormat="1">
      <c r="O1082" s="2116"/>
    </row>
    <row r="1083" spans="15:15" s="2485" customFormat="1"/>
    <row r="1084" spans="15:15" s="2485" customFormat="1"/>
    <row r="1085" spans="15:15" s="2485" customFormat="1"/>
    <row r="1086" spans="15:15" s="2485" customFormat="1"/>
    <row r="1087" spans="15:15" s="2485" customFormat="1"/>
    <row r="1088" spans="15:15" s="2485" customFormat="1"/>
    <row r="1089" s="2485" customFormat="1"/>
    <row r="1090" s="2485" customFormat="1"/>
    <row r="1091" s="2485" customFormat="1"/>
    <row r="1092" s="2485" customFormat="1"/>
    <row r="1093" s="2485" customFormat="1"/>
    <row r="1094" s="2485" customFormat="1"/>
    <row r="1095" s="2485" customFormat="1"/>
    <row r="1096" s="2485" customFormat="1"/>
    <row r="1097" s="2485" customFormat="1"/>
  </sheetData>
  <autoFilter ref="A1:O1097"/>
  <pageMargins left="0.7" right="0.7" top="0.75" bottom="0.75" header="0.3" footer="0.3"/>
  <pageSetup paperSize="9"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2544"/>
  </sheetPr>
  <dimension ref="A1:S1220"/>
  <sheetViews>
    <sheetView zoomScaleNormal="100" workbookViewId="0">
      <pane ySplit="1" topLeftCell="A146" activePane="bottomLeft" state="frozen"/>
      <selection pane="bottomLeft" activeCell="A121" sqref="A121:XFD174"/>
    </sheetView>
  </sheetViews>
  <sheetFormatPr defaultRowHeight="14.4"/>
  <cols>
    <col min="1" max="1" width="14.109375" customWidth="1"/>
    <col min="2" max="2" width="24.6640625" customWidth="1"/>
    <col min="3" max="3" width="34.109375" customWidth="1"/>
    <col min="4" max="4" width="14.109375" customWidth="1"/>
    <col min="5" max="5" width="21.33203125" customWidth="1"/>
    <col min="6" max="6" width="11.5546875" customWidth="1"/>
    <col min="7" max="7" width="15.33203125" customWidth="1"/>
    <col min="8" max="8" width="19.44140625" customWidth="1"/>
    <col min="9" max="9" width="18.44140625" bestFit="1" customWidth="1"/>
    <col min="10" max="11" width="11.5546875" customWidth="1"/>
    <col min="12" max="12" width="24.5546875" customWidth="1"/>
    <col min="13" max="14" width="11.5546875" customWidth="1"/>
    <col min="15" max="15" width="23.6640625" customWidth="1"/>
    <col min="16" max="18" width="11.5546875" customWidth="1"/>
  </cols>
  <sheetData>
    <row r="1" spans="1:18">
      <c r="A1" t="s">
        <v>1190</v>
      </c>
      <c r="B1" t="s">
        <v>1191</v>
      </c>
      <c r="C1" t="s">
        <v>1192</v>
      </c>
      <c r="D1" t="s">
        <v>1193</v>
      </c>
      <c r="E1" t="s">
        <v>103</v>
      </c>
      <c r="F1" t="s">
        <v>1194</v>
      </c>
      <c r="G1" t="s">
        <v>1195</v>
      </c>
      <c r="H1" t="s">
        <v>417</v>
      </c>
      <c r="I1" t="s">
        <v>1196</v>
      </c>
      <c r="J1" t="s">
        <v>1197</v>
      </c>
      <c r="K1" t="s">
        <v>1198</v>
      </c>
      <c r="L1" t="s">
        <v>1199</v>
      </c>
      <c r="M1" t="s">
        <v>1200</v>
      </c>
      <c r="N1" t="s">
        <v>7</v>
      </c>
      <c r="O1" t="s">
        <v>1201</v>
      </c>
      <c r="P1" t="s">
        <v>1303</v>
      </c>
      <c r="Q1" t="s">
        <v>1304</v>
      </c>
      <c r="R1" t="s">
        <v>1305</v>
      </c>
    </row>
    <row r="2" spans="1:18" s="2265" customFormat="1">
      <c r="A2" s="2116" t="s">
        <v>1202</v>
      </c>
      <c r="B2" s="2116" t="s">
        <v>1306</v>
      </c>
      <c r="C2" s="2116" t="s">
        <v>1215</v>
      </c>
      <c r="D2" s="2116" t="s">
        <v>1307</v>
      </c>
      <c r="E2" s="2116" t="s">
        <v>1284</v>
      </c>
      <c r="F2" s="2116">
        <v>1</v>
      </c>
      <c r="G2" s="2116" t="s">
        <v>376</v>
      </c>
      <c r="H2" s="2116" t="s">
        <v>244</v>
      </c>
      <c r="I2" s="2116" t="s">
        <v>1308</v>
      </c>
      <c r="J2" s="2116">
        <v>2</v>
      </c>
      <c r="K2" s="2117">
        <v>57</v>
      </c>
      <c r="L2" s="2117">
        <v>57</v>
      </c>
      <c r="M2" s="2116">
        <v>70000</v>
      </c>
      <c r="N2" s="2117">
        <v>135.19999999999999</v>
      </c>
      <c r="O2" s="2116" t="s">
        <v>77</v>
      </c>
      <c r="P2" s="2116" t="s">
        <v>296</v>
      </c>
      <c r="Q2" s="2116" t="s">
        <v>296</v>
      </c>
      <c r="R2" s="2116" t="s">
        <v>296</v>
      </c>
    </row>
    <row r="3" spans="1:18" s="2265" customFormat="1">
      <c r="A3" s="2116" t="s">
        <v>1202</v>
      </c>
      <c r="B3" s="2116" t="s">
        <v>1306</v>
      </c>
      <c r="C3" s="2116" t="s">
        <v>1309</v>
      </c>
      <c r="D3" s="2116" t="s">
        <v>1307</v>
      </c>
      <c r="E3" s="2116" t="s">
        <v>1284</v>
      </c>
      <c r="F3" s="2116">
        <v>1</v>
      </c>
      <c r="G3" s="2116" t="s">
        <v>376</v>
      </c>
      <c r="H3" s="2116" t="s">
        <v>244</v>
      </c>
      <c r="I3" s="2116" t="s">
        <v>1308</v>
      </c>
      <c r="J3" s="2116">
        <v>1</v>
      </c>
      <c r="K3" s="2117">
        <v>57</v>
      </c>
      <c r="L3" s="2117">
        <v>57</v>
      </c>
      <c r="M3" s="2116">
        <v>70000</v>
      </c>
      <c r="N3" s="2117">
        <v>69.2</v>
      </c>
      <c r="O3" s="2116" t="s">
        <v>77</v>
      </c>
      <c r="P3" s="2116" t="s">
        <v>296</v>
      </c>
      <c r="Q3" s="2116" t="s">
        <v>296</v>
      </c>
      <c r="R3" s="2116" t="s">
        <v>296</v>
      </c>
    </row>
    <row r="4" spans="1:18" s="2265" customFormat="1">
      <c r="A4" s="2116" t="s">
        <v>1202</v>
      </c>
      <c r="B4" s="2116" t="s">
        <v>1310</v>
      </c>
      <c r="C4" s="2116" t="s">
        <v>1270</v>
      </c>
      <c r="D4" s="2116" t="s">
        <v>1307</v>
      </c>
      <c r="E4" s="2116" t="s">
        <v>1284</v>
      </c>
      <c r="F4" s="2116">
        <v>1</v>
      </c>
      <c r="G4" s="2116" t="s">
        <v>376</v>
      </c>
      <c r="H4" s="2116" t="s">
        <v>244</v>
      </c>
      <c r="I4" s="2116" t="s">
        <v>1308</v>
      </c>
      <c r="J4" s="2116">
        <v>2</v>
      </c>
      <c r="K4" s="2117">
        <v>77</v>
      </c>
      <c r="L4" s="2117">
        <v>77</v>
      </c>
      <c r="M4" s="2116">
        <v>70000</v>
      </c>
      <c r="N4" s="2117">
        <v>139.1</v>
      </c>
      <c r="O4" s="2116" t="s">
        <v>77</v>
      </c>
      <c r="P4" s="2116" t="s">
        <v>296</v>
      </c>
      <c r="Q4" s="2116" t="s">
        <v>296</v>
      </c>
      <c r="R4" s="2116" t="s">
        <v>296</v>
      </c>
    </row>
    <row r="5" spans="1:18" s="2265" customFormat="1">
      <c r="A5" s="2116" t="s">
        <v>1202</v>
      </c>
      <c r="B5" s="2116" t="s">
        <v>1306</v>
      </c>
      <c r="C5" s="2116" t="s">
        <v>1309</v>
      </c>
      <c r="D5" s="2116" t="s">
        <v>1307</v>
      </c>
      <c r="E5" s="2116" t="s">
        <v>1284</v>
      </c>
      <c r="F5" s="2116">
        <v>1</v>
      </c>
      <c r="G5" s="2116" t="s">
        <v>376</v>
      </c>
      <c r="H5" s="2116" t="s">
        <v>244</v>
      </c>
      <c r="I5" s="2116" t="s">
        <v>1311</v>
      </c>
      <c r="J5" s="2116">
        <v>2</v>
      </c>
      <c r="K5" s="2117">
        <v>57</v>
      </c>
      <c r="L5" s="2117">
        <v>57</v>
      </c>
      <c r="M5" s="2116">
        <v>90000</v>
      </c>
      <c r="N5" s="2117">
        <v>169</v>
      </c>
      <c r="O5" s="2116" t="s">
        <v>77</v>
      </c>
      <c r="P5" s="2116" t="s">
        <v>296</v>
      </c>
      <c r="Q5" s="2116" t="s">
        <v>296</v>
      </c>
      <c r="R5" s="2116" t="s">
        <v>296</v>
      </c>
    </row>
    <row r="6" spans="1:18" s="2265" customFormat="1">
      <c r="A6" s="2116" t="s">
        <v>1202</v>
      </c>
      <c r="B6" s="2116" t="s">
        <v>1310</v>
      </c>
      <c r="C6" s="2116" t="s">
        <v>1270</v>
      </c>
      <c r="D6" s="2116" t="s">
        <v>1307</v>
      </c>
      <c r="E6" s="2116" t="s">
        <v>1284</v>
      </c>
      <c r="F6" s="2116">
        <v>1</v>
      </c>
      <c r="G6" s="2116" t="s">
        <v>376</v>
      </c>
      <c r="H6" s="2116" t="s">
        <v>244</v>
      </c>
      <c r="I6" s="2116" t="s">
        <v>1311</v>
      </c>
      <c r="J6" s="2116">
        <v>1</v>
      </c>
      <c r="K6" s="2117">
        <v>77</v>
      </c>
      <c r="L6" s="2117">
        <v>77</v>
      </c>
      <c r="M6" s="2116">
        <v>90000</v>
      </c>
      <c r="N6" s="2117">
        <v>85.1</v>
      </c>
      <c r="O6" s="2116" t="s">
        <v>77</v>
      </c>
      <c r="P6" s="2116" t="s">
        <v>296</v>
      </c>
      <c r="Q6" s="2116" t="s">
        <v>296</v>
      </c>
      <c r="R6" s="2116" t="s">
        <v>296</v>
      </c>
    </row>
    <row r="7" spans="1:18" s="2265" customFormat="1">
      <c r="A7" s="2116" t="s">
        <v>1202</v>
      </c>
      <c r="B7" s="2116" t="s">
        <v>1312</v>
      </c>
      <c r="C7" s="2116" t="s">
        <v>1313</v>
      </c>
      <c r="D7" s="2116" t="s">
        <v>1307</v>
      </c>
      <c r="E7" s="2116" t="s">
        <v>1284</v>
      </c>
      <c r="F7" s="2116">
        <v>1</v>
      </c>
      <c r="G7" s="2116" t="s">
        <v>376</v>
      </c>
      <c r="H7" s="2116" t="s">
        <v>244</v>
      </c>
      <c r="I7" s="2116" t="s">
        <v>1314</v>
      </c>
      <c r="J7" s="2116">
        <v>1</v>
      </c>
      <c r="K7" s="2117">
        <v>24</v>
      </c>
      <c r="L7" s="2117">
        <v>24</v>
      </c>
      <c r="M7" s="2116">
        <v>76000</v>
      </c>
      <c r="N7" s="2117">
        <v>71.7</v>
      </c>
      <c r="O7" s="2116" t="s">
        <v>77</v>
      </c>
      <c r="P7" s="2116" t="s">
        <v>296</v>
      </c>
      <c r="Q7" s="2116" t="s">
        <v>296</v>
      </c>
      <c r="R7" s="2116" t="s">
        <v>296</v>
      </c>
    </row>
    <row r="8" spans="1:18" s="2265" customFormat="1">
      <c r="A8" s="2116" t="s">
        <v>1202</v>
      </c>
      <c r="B8" s="2116" t="s">
        <v>1306</v>
      </c>
      <c r="C8" s="2116" t="s">
        <v>1215</v>
      </c>
      <c r="D8" s="2116" t="s">
        <v>1307</v>
      </c>
      <c r="E8" s="2116" t="s">
        <v>1284</v>
      </c>
      <c r="F8" s="2116">
        <v>1</v>
      </c>
      <c r="G8" s="2116" t="s">
        <v>376</v>
      </c>
      <c r="H8" s="2116" t="s">
        <v>244</v>
      </c>
      <c r="I8" s="2116" t="s">
        <v>1314</v>
      </c>
      <c r="J8" s="2116">
        <v>1</v>
      </c>
      <c r="K8" s="2117">
        <v>57</v>
      </c>
      <c r="L8" s="2117">
        <v>57</v>
      </c>
      <c r="M8" s="2116">
        <v>76000</v>
      </c>
      <c r="N8" s="2117">
        <v>73.650000000000006</v>
      </c>
      <c r="O8" s="2116" t="s">
        <v>77</v>
      </c>
      <c r="P8" s="2116" t="s">
        <v>296</v>
      </c>
      <c r="Q8" s="2116" t="s">
        <v>296</v>
      </c>
      <c r="R8" s="2116" t="s">
        <v>296</v>
      </c>
    </row>
    <row r="9" spans="1:18" s="2265" customFormat="1">
      <c r="A9" s="2116" t="s">
        <v>1202</v>
      </c>
      <c r="B9" s="2116" t="s">
        <v>1306</v>
      </c>
      <c r="C9" s="2116" t="s">
        <v>1309</v>
      </c>
      <c r="D9" s="2116" t="s">
        <v>1307</v>
      </c>
      <c r="E9" s="2116" t="s">
        <v>1284</v>
      </c>
      <c r="F9" s="2116">
        <v>1</v>
      </c>
      <c r="G9" s="2116" t="s">
        <v>376</v>
      </c>
      <c r="H9" s="2116" t="s">
        <v>244</v>
      </c>
      <c r="I9" s="2116" t="s">
        <v>1314</v>
      </c>
      <c r="J9" s="2116">
        <v>3</v>
      </c>
      <c r="K9" s="2117">
        <v>57</v>
      </c>
      <c r="L9" s="2117">
        <v>57</v>
      </c>
      <c r="M9" s="2116">
        <v>76000</v>
      </c>
      <c r="N9" s="2117">
        <v>203.95</v>
      </c>
      <c r="O9" s="2116" t="s">
        <v>77</v>
      </c>
      <c r="P9" s="2116" t="s">
        <v>296</v>
      </c>
      <c r="Q9" s="2116" t="s">
        <v>296</v>
      </c>
      <c r="R9" s="2116" t="s">
        <v>296</v>
      </c>
    </row>
    <row r="10" spans="1:18" s="2265" customFormat="1">
      <c r="A10" s="2116" t="s">
        <v>1202</v>
      </c>
      <c r="B10" s="2116" t="s">
        <v>1310</v>
      </c>
      <c r="C10" s="2116" t="s">
        <v>1270</v>
      </c>
      <c r="D10" s="2116" t="s">
        <v>1307</v>
      </c>
      <c r="E10" s="2116" t="s">
        <v>1284</v>
      </c>
      <c r="F10" s="2116">
        <v>1</v>
      </c>
      <c r="G10" s="2116" t="s">
        <v>376</v>
      </c>
      <c r="H10" s="2116" t="s">
        <v>244</v>
      </c>
      <c r="I10" s="2116" t="s">
        <v>1314</v>
      </c>
      <c r="J10" s="2116">
        <v>2</v>
      </c>
      <c r="K10" s="2117">
        <v>77</v>
      </c>
      <c r="L10" s="2117">
        <v>77</v>
      </c>
      <c r="M10" s="2116">
        <v>76000</v>
      </c>
      <c r="N10" s="2117">
        <v>149.6</v>
      </c>
      <c r="O10" s="2116" t="s">
        <v>77</v>
      </c>
      <c r="P10" s="2116" t="s">
        <v>296</v>
      </c>
      <c r="Q10" s="2116" t="s">
        <v>296</v>
      </c>
      <c r="R10" s="2116" t="s">
        <v>296</v>
      </c>
    </row>
    <row r="11" spans="1:18" s="2265" customFormat="1" ht="26.4">
      <c r="A11" s="2116" t="s">
        <v>1202</v>
      </c>
      <c r="B11" s="2116" t="s">
        <v>1312</v>
      </c>
      <c r="C11" s="2116" t="s">
        <v>1313</v>
      </c>
      <c r="D11" s="2116" t="s">
        <v>1307</v>
      </c>
      <c r="E11" s="2116" t="s">
        <v>1284</v>
      </c>
      <c r="F11" s="2116">
        <v>1</v>
      </c>
      <c r="G11" s="2116" t="s">
        <v>376</v>
      </c>
      <c r="H11" s="2116" t="s">
        <v>244</v>
      </c>
      <c r="I11" s="2116" t="s">
        <v>1315</v>
      </c>
      <c r="J11" s="2116">
        <v>6</v>
      </c>
      <c r="K11" s="2117">
        <v>24</v>
      </c>
      <c r="L11" s="2117">
        <v>24</v>
      </c>
      <c r="M11" s="2116">
        <v>76000</v>
      </c>
      <c r="N11" s="2117">
        <v>409.23</v>
      </c>
      <c r="O11" s="2116" t="s">
        <v>77</v>
      </c>
      <c r="P11" s="2116" t="s">
        <v>296</v>
      </c>
      <c r="Q11" s="2116" t="s">
        <v>296</v>
      </c>
      <c r="R11" s="2116" t="s">
        <v>296</v>
      </c>
    </row>
    <row r="12" spans="1:18" s="2265" customFormat="1" ht="26.4">
      <c r="A12" s="2116" t="s">
        <v>1202</v>
      </c>
      <c r="B12" s="2116" t="s">
        <v>1306</v>
      </c>
      <c r="C12" s="2116" t="s">
        <v>1215</v>
      </c>
      <c r="D12" s="2116" t="s">
        <v>1307</v>
      </c>
      <c r="E12" s="2116" t="s">
        <v>1284</v>
      </c>
      <c r="F12" s="2116">
        <v>1</v>
      </c>
      <c r="G12" s="2116" t="s">
        <v>376</v>
      </c>
      <c r="H12" s="2116" t="s">
        <v>244</v>
      </c>
      <c r="I12" s="2116" t="s">
        <v>1315</v>
      </c>
      <c r="J12" s="2116">
        <v>3</v>
      </c>
      <c r="K12" s="2117">
        <v>57</v>
      </c>
      <c r="L12" s="2117">
        <v>57</v>
      </c>
      <c r="M12" s="2116">
        <v>76000</v>
      </c>
      <c r="N12" s="2117">
        <v>204.55</v>
      </c>
      <c r="O12" s="2116" t="s">
        <v>77</v>
      </c>
      <c r="P12" s="2116" t="s">
        <v>296</v>
      </c>
      <c r="Q12" s="2116" t="s">
        <v>296</v>
      </c>
      <c r="R12" s="2116" t="s">
        <v>296</v>
      </c>
    </row>
    <row r="13" spans="1:18" s="2265" customFormat="1" ht="26.4">
      <c r="A13" s="2116" t="s">
        <v>1202</v>
      </c>
      <c r="B13" s="2116" t="s">
        <v>1306</v>
      </c>
      <c r="C13" s="2116" t="s">
        <v>1309</v>
      </c>
      <c r="D13" s="2116" t="s">
        <v>1307</v>
      </c>
      <c r="E13" s="2116" t="s">
        <v>1284</v>
      </c>
      <c r="F13" s="2116">
        <v>1</v>
      </c>
      <c r="G13" s="2116" t="s">
        <v>376</v>
      </c>
      <c r="H13" s="2116" t="s">
        <v>244</v>
      </c>
      <c r="I13" s="2116" t="s">
        <v>1315</v>
      </c>
      <c r="J13" s="2116">
        <v>5</v>
      </c>
      <c r="K13" s="2117">
        <v>57</v>
      </c>
      <c r="L13" s="2117">
        <v>57</v>
      </c>
      <c r="M13" s="2116">
        <v>76000</v>
      </c>
      <c r="N13" s="2117">
        <v>340.31</v>
      </c>
      <c r="O13" s="2116" t="s">
        <v>77</v>
      </c>
      <c r="P13" s="2116" t="s">
        <v>296</v>
      </c>
      <c r="Q13" s="2116" t="s">
        <v>296</v>
      </c>
      <c r="R13" s="2116" t="s">
        <v>296</v>
      </c>
    </row>
    <row r="14" spans="1:18" s="2265" customFormat="1" ht="26.4">
      <c r="A14" s="2116" t="s">
        <v>1202</v>
      </c>
      <c r="B14" s="2116" t="s">
        <v>1310</v>
      </c>
      <c r="C14" s="2116" t="s">
        <v>1270</v>
      </c>
      <c r="D14" s="2116" t="s">
        <v>1307</v>
      </c>
      <c r="E14" s="2116" t="s">
        <v>1284</v>
      </c>
      <c r="F14" s="2116">
        <v>1</v>
      </c>
      <c r="G14" s="2116" t="s">
        <v>376</v>
      </c>
      <c r="H14" s="2116" t="s">
        <v>244</v>
      </c>
      <c r="I14" s="2116" t="s">
        <v>1315</v>
      </c>
      <c r="J14" s="2116">
        <v>1</v>
      </c>
      <c r="K14" s="2117">
        <v>77</v>
      </c>
      <c r="L14" s="2117">
        <v>77</v>
      </c>
      <c r="M14" s="2116">
        <v>76000</v>
      </c>
      <c r="N14" s="2117">
        <v>71.05</v>
      </c>
      <c r="O14" s="2116" t="s">
        <v>77</v>
      </c>
      <c r="P14" s="2116" t="s">
        <v>296</v>
      </c>
      <c r="Q14" s="2116" t="s">
        <v>296</v>
      </c>
      <c r="R14" s="2116" t="s">
        <v>296</v>
      </c>
    </row>
    <row r="15" spans="1:18" s="2265" customFormat="1" ht="26.4">
      <c r="A15" s="2116" t="s">
        <v>1202</v>
      </c>
      <c r="B15" s="2116" t="s">
        <v>1312</v>
      </c>
      <c r="C15" s="2116" t="s">
        <v>1313</v>
      </c>
      <c r="D15" s="2116" t="s">
        <v>1307</v>
      </c>
      <c r="E15" s="2116" t="s">
        <v>1284</v>
      </c>
      <c r="F15" s="2116">
        <v>1</v>
      </c>
      <c r="G15" s="2116" t="s">
        <v>376</v>
      </c>
      <c r="H15" s="2116" t="s">
        <v>244</v>
      </c>
      <c r="I15" s="2116" t="s">
        <v>1316</v>
      </c>
      <c r="J15" s="2116">
        <v>3</v>
      </c>
      <c r="K15" s="2117">
        <v>24</v>
      </c>
      <c r="L15" s="2117">
        <v>24</v>
      </c>
      <c r="M15" s="2116">
        <v>85500</v>
      </c>
      <c r="N15" s="2117">
        <v>249.5</v>
      </c>
      <c r="O15" s="2116" t="s">
        <v>77</v>
      </c>
      <c r="P15" s="2116" t="s">
        <v>296</v>
      </c>
      <c r="Q15" s="2116" t="s">
        <v>296</v>
      </c>
      <c r="R15" s="2116" t="s">
        <v>296</v>
      </c>
    </row>
    <row r="16" spans="1:18" s="2265" customFormat="1" ht="26.4">
      <c r="A16" s="2116" t="s">
        <v>1202</v>
      </c>
      <c r="B16" s="2116" t="s">
        <v>1306</v>
      </c>
      <c r="C16" s="2116" t="s">
        <v>1215</v>
      </c>
      <c r="D16" s="2116" t="s">
        <v>1307</v>
      </c>
      <c r="E16" s="2116" t="s">
        <v>1284</v>
      </c>
      <c r="F16" s="2116">
        <v>1</v>
      </c>
      <c r="G16" s="2116" t="s">
        <v>376</v>
      </c>
      <c r="H16" s="2116" t="s">
        <v>244</v>
      </c>
      <c r="I16" s="2116" t="s">
        <v>1316</v>
      </c>
      <c r="J16" s="2116">
        <v>3</v>
      </c>
      <c r="K16" s="2117">
        <v>57</v>
      </c>
      <c r="L16" s="2117">
        <v>57</v>
      </c>
      <c r="M16" s="2116">
        <v>85500</v>
      </c>
      <c r="N16" s="2117">
        <v>247.65</v>
      </c>
      <c r="O16" s="2116" t="s">
        <v>77</v>
      </c>
      <c r="P16" s="2116" t="s">
        <v>296</v>
      </c>
      <c r="Q16" s="2116" t="s">
        <v>296</v>
      </c>
      <c r="R16" s="2116" t="s">
        <v>296</v>
      </c>
    </row>
    <row r="17" spans="1:18" s="2265" customFormat="1" ht="26.4">
      <c r="A17" s="2116" t="s">
        <v>1202</v>
      </c>
      <c r="B17" s="2116" t="s">
        <v>1306</v>
      </c>
      <c r="C17" s="2116" t="s">
        <v>1309</v>
      </c>
      <c r="D17" s="2116" t="s">
        <v>1307</v>
      </c>
      <c r="E17" s="2116" t="s">
        <v>1284</v>
      </c>
      <c r="F17" s="2116">
        <v>1</v>
      </c>
      <c r="G17" s="2116" t="s">
        <v>376</v>
      </c>
      <c r="H17" s="2116" t="s">
        <v>244</v>
      </c>
      <c r="I17" s="2116" t="s">
        <v>1316</v>
      </c>
      <c r="J17" s="2116">
        <v>5</v>
      </c>
      <c r="K17" s="2117">
        <v>57</v>
      </c>
      <c r="L17" s="2117">
        <v>57</v>
      </c>
      <c r="M17" s="2116">
        <v>85500</v>
      </c>
      <c r="N17" s="2117">
        <v>404.55</v>
      </c>
      <c r="O17" s="2116" t="s">
        <v>77</v>
      </c>
      <c r="P17" s="2116" t="s">
        <v>296</v>
      </c>
      <c r="Q17" s="2116" t="s">
        <v>296</v>
      </c>
      <c r="R17" s="2116" t="s">
        <v>296</v>
      </c>
    </row>
    <row r="18" spans="1:18" s="2265" customFormat="1" ht="26.4">
      <c r="A18" s="2116" t="s">
        <v>1202</v>
      </c>
      <c r="B18" s="2116" t="s">
        <v>1310</v>
      </c>
      <c r="C18" s="2116" t="s">
        <v>1270</v>
      </c>
      <c r="D18" s="2116" t="s">
        <v>1307</v>
      </c>
      <c r="E18" s="2116" t="s">
        <v>1284</v>
      </c>
      <c r="F18" s="2116">
        <v>1</v>
      </c>
      <c r="G18" s="2116" t="s">
        <v>376</v>
      </c>
      <c r="H18" s="2116" t="s">
        <v>244</v>
      </c>
      <c r="I18" s="2116" t="s">
        <v>1316</v>
      </c>
      <c r="J18" s="2116">
        <v>3</v>
      </c>
      <c r="K18" s="2117">
        <v>77</v>
      </c>
      <c r="L18" s="2117">
        <v>77</v>
      </c>
      <c r="M18" s="2116">
        <v>85500</v>
      </c>
      <c r="N18" s="2117">
        <v>252.45</v>
      </c>
      <c r="O18" s="2116" t="s">
        <v>77</v>
      </c>
      <c r="P18" s="2116" t="s">
        <v>296</v>
      </c>
      <c r="Q18" s="2116" t="s">
        <v>296</v>
      </c>
      <c r="R18" s="2116" t="s">
        <v>296</v>
      </c>
    </row>
    <row r="19" spans="1:18" s="2265" customFormat="1">
      <c r="A19" s="2116" t="s">
        <v>1202</v>
      </c>
      <c r="B19" s="2116" t="s">
        <v>1312</v>
      </c>
      <c r="C19" s="2116" t="s">
        <v>1313</v>
      </c>
      <c r="D19" s="2116" t="s">
        <v>1307</v>
      </c>
      <c r="E19" s="2116" t="s">
        <v>1284</v>
      </c>
      <c r="F19" s="2116">
        <v>1</v>
      </c>
      <c r="G19" s="2116" t="s">
        <v>376</v>
      </c>
      <c r="H19" s="2116" t="s">
        <v>165</v>
      </c>
      <c r="I19" s="2116" t="s">
        <v>1317</v>
      </c>
      <c r="J19" s="2116">
        <v>1</v>
      </c>
      <c r="K19" s="2117">
        <v>24</v>
      </c>
      <c r="L19" s="2117">
        <v>24</v>
      </c>
      <c r="M19" s="2116">
        <v>85000</v>
      </c>
      <c r="N19" s="2117">
        <v>85.85</v>
      </c>
      <c r="O19" s="2116" t="s">
        <v>77</v>
      </c>
      <c r="P19" s="2116" t="s">
        <v>296</v>
      </c>
      <c r="Q19" s="2116" t="s">
        <v>296</v>
      </c>
      <c r="R19" s="2116" t="s">
        <v>296</v>
      </c>
    </row>
    <row r="20" spans="1:18" s="2265" customFormat="1">
      <c r="A20" s="2116" t="s">
        <v>1202</v>
      </c>
      <c r="B20" s="2116" t="s">
        <v>1306</v>
      </c>
      <c r="C20" s="2116" t="s">
        <v>1215</v>
      </c>
      <c r="D20" s="2116" t="s">
        <v>1307</v>
      </c>
      <c r="E20" s="2116" t="s">
        <v>1284</v>
      </c>
      <c r="F20" s="2116">
        <v>1</v>
      </c>
      <c r="G20" s="2116" t="s">
        <v>376</v>
      </c>
      <c r="H20" s="2116" t="s">
        <v>165</v>
      </c>
      <c r="I20" s="2116" t="s">
        <v>1317</v>
      </c>
      <c r="J20" s="2116">
        <v>2</v>
      </c>
      <c r="K20" s="2117">
        <v>57</v>
      </c>
      <c r="L20" s="2117">
        <v>57</v>
      </c>
      <c r="M20" s="2116">
        <v>85000</v>
      </c>
      <c r="N20" s="2117">
        <v>167.45</v>
      </c>
      <c r="O20" s="2116" t="s">
        <v>77</v>
      </c>
      <c r="P20" s="2116" t="s">
        <v>296</v>
      </c>
      <c r="Q20" s="2116" t="s">
        <v>296</v>
      </c>
      <c r="R20" s="2116" t="s">
        <v>296</v>
      </c>
    </row>
    <row r="21" spans="1:18" s="2265" customFormat="1">
      <c r="A21" s="2116" t="s">
        <v>1202</v>
      </c>
      <c r="B21" s="2116" t="s">
        <v>1306</v>
      </c>
      <c r="C21" s="2116" t="s">
        <v>1309</v>
      </c>
      <c r="D21" s="2116" t="s">
        <v>1307</v>
      </c>
      <c r="E21" s="2116" t="s">
        <v>1284</v>
      </c>
      <c r="F21" s="2116">
        <v>1</v>
      </c>
      <c r="G21" s="2116" t="s">
        <v>376</v>
      </c>
      <c r="H21" s="2116" t="s">
        <v>165</v>
      </c>
      <c r="I21" s="2116" t="s">
        <v>1317</v>
      </c>
      <c r="J21" s="2116">
        <v>7</v>
      </c>
      <c r="K21" s="2117">
        <v>57</v>
      </c>
      <c r="L21" s="2117">
        <v>57</v>
      </c>
      <c r="M21" s="2116">
        <v>85000</v>
      </c>
      <c r="N21" s="2117">
        <v>578.54999999999995</v>
      </c>
      <c r="O21" s="2116" t="s">
        <v>77</v>
      </c>
      <c r="P21" s="2116" t="s">
        <v>296</v>
      </c>
      <c r="Q21" s="2116" t="s">
        <v>296</v>
      </c>
      <c r="R21" s="2116" t="s">
        <v>296</v>
      </c>
    </row>
    <row r="22" spans="1:18" s="2265" customFormat="1">
      <c r="A22" s="2116" t="s">
        <v>1202</v>
      </c>
      <c r="B22" s="2116" t="s">
        <v>1310</v>
      </c>
      <c r="C22" s="2116" t="s">
        <v>1270</v>
      </c>
      <c r="D22" s="2116" t="s">
        <v>1307</v>
      </c>
      <c r="E22" s="2116" t="s">
        <v>1284</v>
      </c>
      <c r="F22" s="2116">
        <v>1</v>
      </c>
      <c r="G22" s="2116" t="s">
        <v>376</v>
      </c>
      <c r="H22" s="2116" t="s">
        <v>165</v>
      </c>
      <c r="I22" s="2116" t="s">
        <v>1317</v>
      </c>
      <c r="J22" s="2116">
        <v>2</v>
      </c>
      <c r="K22" s="2117">
        <v>77</v>
      </c>
      <c r="L22" s="2117">
        <v>77</v>
      </c>
      <c r="M22" s="2116">
        <v>85000</v>
      </c>
      <c r="N22" s="2117">
        <v>169.1</v>
      </c>
      <c r="O22" s="2116" t="s">
        <v>77</v>
      </c>
      <c r="P22" s="2116" t="s">
        <v>296</v>
      </c>
      <c r="Q22" s="2116" t="s">
        <v>296</v>
      </c>
      <c r="R22" s="2116" t="s">
        <v>296</v>
      </c>
    </row>
    <row r="23" spans="1:18" s="2265" customFormat="1">
      <c r="A23" s="2116" t="s">
        <v>1202</v>
      </c>
      <c r="B23" s="2116" t="s">
        <v>1312</v>
      </c>
      <c r="C23" s="2116" t="s">
        <v>1313</v>
      </c>
      <c r="D23" s="2116" t="s">
        <v>1307</v>
      </c>
      <c r="E23" s="2116" t="s">
        <v>1284</v>
      </c>
      <c r="F23" s="2116">
        <v>1</v>
      </c>
      <c r="G23" s="2116" t="s">
        <v>376</v>
      </c>
      <c r="H23" s="2116" t="s">
        <v>165</v>
      </c>
      <c r="I23" s="2116" t="s">
        <v>1318</v>
      </c>
      <c r="J23" s="2116">
        <v>7</v>
      </c>
      <c r="K23" s="2117">
        <v>24</v>
      </c>
      <c r="L23" s="2117">
        <v>24</v>
      </c>
      <c r="M23" s="2116">
        <v>64000</v>
      </c>
      <c r="N23" s="2117">
        <v>456.45</v>
      </c>
      <c r="O23" s="2116" t="s">
        <v>77</v>
      </c>
      <c r="P23" s="2116" t="s">
        <v>296</v>
      </c>
      <c r="Q23" s="2116" t="s">
        <v>296</v>
      </c>
      <c r="R23" s="2116" t="s">
        <v>296</v>
      </c>
    </row>
    <row r="24" spans="1:18" s="2265" customFormat="1">
      <c r="A24" s="2116" t="s">
        <v>1202</v>
      </c>
      <c r="B24" s="2116" t="s">
        <v>1306</v>
      </c>
      <c r="C24" s="2116" t="s">
        <v>1215</v>
      </c>
      <c r="D24" s="2116" t="s">
        <v>1307</v>
      </c>
      <c r="E24" s="2116" t="s">
        <v>1284</v>
      </c>
      <c r="F24" s="2116">
        <v>1</v>
      </c>
      <c r="G24" s="2116" t="s">
        <v>376</v>
      </c>
      <c r="H24" s="2116" t="s">
        <v>165</v>
      </c>
      <c r="I24" s="2116" t="s">
        <v>1318</v>
      </c>
      <c r="J24" s="2116">
        <v>7</v>
      </c>
      <c r="K24" s="2117">
        <v>57</v>
      </c>
      <c r="L24" s="2117">
        <v>57</v>
      </c>
      <c r="M24" s="2116">
        <v>64000</v>
      </c>
      <c r="N24" s="2117">
        <v>450.7</v>
      </c>
      <c r="O24" s="2116" t="s">
        <v>77</v>
      </c>
      <c r="P24" s="2116" t="s">
        <v>296</v>
      </c>
      <c r="Q24" s="2116" t="s">
        <v>296</v>
      </c>
      <c r="R24" s="2116" t="s">
        <v>296</v>
      </c>
    </row>
    <row r="25" spans="1:18" s="2265" customFormat="1">
      <c r="A25" s="2116" t="s">
        <v>1202</v>
      </c>
      <c r="B25" s="2116" t="s">
        <v>1306</v>
      </c>
      <c r="C25" s="2116" t="s">
        <v>1309</v>
      </c>
      <c r="D25" s="2116" t="s">
        <v>1307</v>
      </c>
      <c r="E25" s="2116" t="s">
        <v>1284</v>
      </c>
      <c r="F25" s="2116">
        <v>1</v>
      </c>
      <c r="G25" s="2116" t="s">
        <v>376</v>
      </c>
      <c r="H25" s="2116" t="s">
        <v>165</v>
      </c>
      <c r="I25" s="2116" t="s">
        <v>1318</v>
      </c>
      <c r="J25" s="2116">
        <v>14</v>
      </c>
      <c r="K25" s="2117">
        <v>57</v>
      </c>
      <c r="L25" s="2117">
        <v>57</v>
      </c>
      <c r="M25" s="2116">
        <v>64000</v>
      </c>
      <c r="N25" s="2117">
        <v>905.92</v>
      </c>
      <c r="O25" s="2116" t="s">
        <v>77</v>
      </c>
      <c r="P25" s="2116" t="s">
        <v>296</v>
      </c>
      <c r="Q25" s="2116" t="s">
        <v>296</v>
      </c>
      <c r="R25" s="2116" t="s">
        <v>296</v>
      </c>
    </row>
    <row r="26" spans="1:18" s="2265" customFormat="1">
      <c r="A26" s="2116" t="s">
        <v>1202</v>
      </c>
      <c r="B26" s="2116" t="s">
        <v>1310</v>
      </c>
      <c r="C26" s="2116" t="s">
        <v>1270</v>
      </c>
      <c r="D26" s="2116" t="s">
        <v>1307</v>
      </c>
      <c r="E26" s="2116" t="s">
        <v>1284</v>
      </c>
      <c r="F26" s="2116">
        <v>1</v>
      </c>
      <c r="G26" s="2116" t="s">
        <v>376</v>
      </c>
      <c r="H26" s="2116" t="s">
        <v>165</v>
      </c>
      <c r="I26" s="2116" t="s">
        <v>1318</v>
      </c>
      <c r="J26" s="2116">
        <v>7</v>
      </c>
      <c r="K26" s="2117">
        <v>77</v>
      </c>
      <c r="L26" s="2117">
        <v>77</v>
      </c>
      <c r="M26" s="2116">
        <v>64000</v>
      </c>
      <c r="N26" s="2117">
        <v>462.44</v>
      </c>
      <c r="O26" s="2116" t="s">
        <v>77</v>
      </c>
      <c r="P26" s="2116" t="s">
        <v>296</v>
      </c>
      <c r="Q26" s="2116" t="s">
        <v>296</v>
      </c>
      <c r="R26" s="2116" t="s">
        <v>296</v>
      </c>
    </row>
    <row r="27" spans="1:18" s="2265" customFormat="1" ht="26.4">
      <c r="A27" s="2116" t="s">
        <v>1202</v>
      </c>
      <c r="B27" s="2116" t="s">
        <v>1306</v>
      </c>
      <c r="C27" s="2116" t="s">
        <v>1309</v>
      </c>
      <c r="D27" s="2116" t="s">
        <v>1307</v>
      </c>
      <c r="E27" s="2116" t="s">
        <v>1284</v>
      </c>
      <c r="F27" s="2116">
        <v>1</v>
      </c>
      <c r="G27" s="2116" t="s">
        <v>376</v>
      </c>
      <c r="H27" s="2116" t="s">
        <v>165</v>
      </c>
      <c r="I27" s="2116" t="s">
        <v>1319</v>
      </c>
      <c r="J27" s="2116">
        <v>3</v>
      </c>
      <c r="K27" s="2117">
        <v>57</v>
      </c>
      <c r="L27" s="2117">
        <v>57</v>
      </c>
      <c r="M27" s="2116">
        <v>85500</v>
      </c>
      <c r="N27" s="2117">
        <v>183.96</v>
      </c>
      <c r="O27" s="2116" t="s">
        <v>77</v>
      </c>
      <c r="P27" s="2116" t="s">
        <v>296</v>
      </c>
      <c r="Q27" s="2116" t="s">
        <v>296</v>
      </c>
      <c r="R27" s="2116" t="s">
        <v>296</v>
      </c>
    </row>
    <row r="28" spans="1:18" s="2265" customFormat="1" ht="26.4">
      <c r="A28" s="2116" t="s">
        <v>1202</v>
      </c>
      <c r="B28" s="2116" t="s">
        <v>1312</v>
      </c>
      <c r="C28" s="2116" t="s">
        <v>1313</v>
      </c>
      <c r="D28" s="2116" t="s">
        <v>1307</v>
      </c>
      <c r="E28" s="2116" t="s">
        <v>1284</v>
      </c>
      <c r="F28" s="2116">
        <v>1</v>
      </c>
      <c r="G28" s="2116" t="s">
        <v>376</v>
      </c>
      <c r="H28" s="2116" t="s">
        <v>165</v>
      </c>
      <c r="I28" s="2116" t="s">
        <v>1320</v>
      </c>
      <c r="J28" s="2116">
        <v>2</v>
      </c>
      <c r="K28" s="2117">
        <v>24</v>
      </c>
      <c r="L28" s="2117">
        <v>24</v>
      </c>
      <c r="M28" s="2116">
        <v>85500</v>
      </c>
      <c r="N28" s="2117">
        <v>165.85</v>
      </c>
      <c r="O28" s="2116" t="s">
        <v>77</v>
      </c>
      <c r="P28" s="2116" t="s">
        <v>296</v>
      </c>
      <c r="Q28" s="2116" t="s">
        <v>296</v>
      </c>
      <c r="R28" s="2116" t="s">
        <v>296</v>
      </c>
    </row>
    <row r="29" spans="1:18" s="2265" customFormat="1" ht="26.4">
      <c r="A29" s="2116" t="s">
        <v>1202</v>
      </c>
      <c r="B29" s="2116" t="s">
        <v>1306</v>
      </c>
      <c r="C29" s="2116" t="s">
        <v>1215</v>
      </c>
      <c r="D29" s="2116" t="s">
        <v>1307</v>
      </c>
      <c r="E29" s="2116" t="s">
        <v>1284</v>
      </c>
      <c r="F29" s="2116">
        <v>1</v>
      </c>
      <c r="G29" s="2116" t="s">
        <v>376</v>
      </c>
      <c r="H29" s="2116" t="s">
        <v>165</v>
      </c>
      <c r="I29" s="2116" t="s">
        <v>1320</v>
      </c>
      <c r="J29" s="2116">
        <v>3</v>
      </c>
      <c r="K29" s="2117">
        <v>57</v>
      </c>
      <c r="L29" s="2117">
        <v>57</v>
      </c>
      <c r="M29" s="2116">
        <v>85500</v>
      </c>
      <c r="N29" s="2117">
        <v>241.95</v>
      </c>
      <c r="O29" s="2116" t="s">
        <v>77</v>
      </c>
      <c r="P29" s="2116" t="s">
        <v>296</v>
      </c>
      <c r="Q29" s="2116" t="s">
        <v>296</v>
      </c>
      <c r="R29" s="2116" t="s">
        <v>296</v>
      </c>
    </row>
    <row r="30" spans="1:18" s="2265" customFormat="1" ht="26.4">
      <c r="A30" s="2116" t="s">
        <v>1202</v>
      </c>
      <c r="B30" s="2116" t="s">
        <v>1306</v>
      </c>
      <c r="C30" s="2116" t="s">
        <v>1309</v>
      </c>
      <c r="D30" s="2116" t="s">
        <v>1307</v>
      </c>
      <c r="E30" s="2116" t="s">
        <v>1284</v>
      </c>
      <c r="F30" s="2116">
        <v>1</v>
      </c>
      <c r="G30" s="2116" t="s">
        <v>376</v>
      </c>
      <c r="H30" s="2116" t="s">
        <v>165</v>
      </c>
      <c r="I30" s="2116" t="s">
        <v>1320</v>
      </c>
      <c r="J30" s="2116">
        <v>3</v>
      </c>
      <c r="K30" s="2117">
        <v>57</v>
      </c>
      <c r="L30" s="2117">
        <v>57</v>
      </c>
      <c r="M30" s="2116">
        <v>85500</v>
      </c>
      <c r="N30" s="2117">
        <v>249.8</v>
      </c>
      <c r="O30" s="2116" t="s">
        <v>77</v>
      </c>
      <c r="P30" s="2116" t="s">
        <v>296</v>
      </c>
      <c r="Q30" s="2116" t="s">
        <v>296</v>
      </c>
      <c r="R30" s="2116" t="s">
        <v>296</v>
      </c>
    </row>
    <row r="31" spans="1:18" s="2265" customFormat="1" ht="26.4">
      <c r="A31" s="2116" t="s">
        <v>1202</v>
      </c>
      <c r="B31" s="2116" t="s">
        <v>1310</v>
      </c>
      <c r="C31" s="2116" t="s">
        <v>1270</v>
      </c>
      <c r="D31" s="2116" t="s">
        <v>1307</v>
      </c>
      <c r="E31" s="2116" t="s">
        <v>1284</v>
      </c>
      <c r="F31" s="2116">
        <v>1</v>
      </c>
      <c r="G31" s="2116" t="s">
        <v>376</v>
      </c>
      <c r="H31" s="2116" t="s">
        <v>165</v>
      </c>
      <c r="I31" s="2116" t="s">
        <v>1320</v>
      </c>
      <c r="J31" s="2116">
        <v>2</v>
      </c>
      <c r="K31" s="2117">
        <v>77</v>
      </c>
      <c r="L31" s="2117">
        <v>77</v>
      </c>
      <c r="M31" s="2116">
        <v>85500</v>
      </c>
      <c r="N31" s="2117">
        <v>166.7</v>
      </c>
      <c r="O31" s="2116" t="s">
        <v>77</v>
      </c>
      <c r="P31" s="2116" t="s">
        <v>296</v>
      </c>
      <c r="Q31" s="2116" t="s">
        <v>296</v>
      </c>
      <c r="R31" s="2116" t="s">
        <v>296</v>
      </c>
    </row>
    <row r="32" spans="1:18" s="2265" customFormat="1">
      <c r="A32" s="2116" t="s">
        <v>1202</v>
      </c>
      <c r="B32" s="2116" t="s">
        <v>1321</v>
      </c>
      <c r="C32" s="2116" t="s">
        <v>1322</v>
      </c>
      <c r="D32" s="2116" t="s">
        <v>1307</v>
      </c>
      <c r="E32" s="2116" t="s">
        <v>1284</v>
      </c>
      <c r="F32" s="2116">
        <v>1</v>
      </c>
      <c r="G32" s="2116" t="s">
        <v>376</v>
      </c>
      <c r="H32" s="2116" t="s">
        <v>243</v>
      </c>
      <c r="I32" s="2116" t="s">
        <v>1233</v>
      </c>
      <c r="J32" s="2116">
        <v>3</v>
      </c>
      <c r="K32" s="2117">
        <v>58</v>
      </c>
      <c r="L32" s="2117">
        <v>58</v>
      </c>
      <c r="M32" s="2116">
        <v>45000</v>
      </c>
      <c r="N32" s="2117">
        <v>130.30000000000001</v>
      </c>
      <c r="O32" s="2116" t="s">
        <v>77</v>
      </c>
      <c r="P32" s="2116" t="s">
        <v>296</v>
      </c>
      <c r="Q32" s="2116" t="s">
        <v>296</v>
      </c>
      <c r="R32" s="2116" t="s">
        <v>296</v>
      </c>
    </row>
    <row r="33" spans="1:19" s="2265" customFormat="1">
      <c r="A33" s="2116" t="s">
        <v>1202</v>
      </c>
      <c r="B33" s="2116" t="s">
        <v>1321</v>
      </c>
      <c r="C33" s="2116" t="s">
        <v>1322</v>
      </c>
      <c r="D33" s="2116" t="s">
        <v>1307</v>
      </c>
      <c r="E33" s="2116" t="s">
        <v>1284</v>
      </c>
      <c r="F33" s="2116">
        <v>1</v>
      </c>
      <c r="G33" s="2116" t="s">
        <v>376</v>
      </c>
      <c r="H33" s="2116" t="s">
        <v>243</v>
      </c>
      <c r="I33" s="2116" t="s">
        <v>1223</v>
      </c>
      <c r="J33" s="2116">
        <v>2</v>
      </c>
      <c r="K33" s="2117">
        <v>58</v>
      </c>
      <c r="L33" s="2117">
        <v>58</v>
      </c>
      <c r="M33" s="2116">
        <v>30000</v>
      </c>
      <c r="N33" s="2117">
        <v>64.05</v>
      </c>
      <c r="O33" s="2116" t="s">
        <v>77</v>
      </c>
      <c r="P33" s="2116" t="s">
        <v>296</v>
      </c>
      <c r="Q33" s="2116" t="s">
        <v>296</v>
      </c>
      <c r="R33" s="2116" t="s">
        <v>296</v>
      </c>
    </row>
    <row r="34" spans="1:19" s="2265" customFormat="1">
      <c r="A34" s="2116" t="s">
        <v>1202</v>
      </c>
      <c r="B34" s="2116" t="s">
        <v>1321</v>
      </c>
      <c r="C34" s="2116" t="s">
        <v>1322</v>
      </c>
      <c r="D34" s="2116" t="s">
        <v>1307</v>
      </c>
      <c r="E34" s="2116" t="s">
        <v>1284</v>
      </c>
      <c r="F34" s="2116">
        <v>1</v>
      </c>
      <c r="G34" s="2116" t="s">
        <v>376</v>
      </c>
      <c r="H34" s="2116" t="s">
        <v>243</v>
      </c>
      <c r="I34" s="2116" t="s">
        <v>1225</v>
      </c>
      <c r="J34" s="2116">
        <v>15</v>
      </c>
      <c r="K34" s="2117">
        <v>58</v>
      </c>
      <c r="L34" s="2117">
        <v>58</v>
      </c>
      <c r="M34" s="2116">
        <v>45000</v>
      </c>
      <c r="N34" s="2117">
        <v>692.5</v>
      </c>
      <c r="O34" s="2116" t="s">
        <v>77</v>
      </c>
      <c r="P34" s="2116" t="s">
        <v>296</v>
      </c>
      <c r="Q34" s="2116" t="s">
        <v>296</v>
      </c>
      <c r="R34" s="2116" t="s">
        <v>296</v>
      </c>
    </row>
    <row r="35" spans="1:19" s="2265" customFormat="1" ht="26.4">
      <c r="A35" s="2116" t="s">
        <v>1202</v>
      </c>
      <c r="B35" s="2116" t="s">
        <v>1321</v>
      </c>
      <c r="C35" s="2116" t="s">
        <v>1322</v>
      </c>
      <c r="D35" s="2116" t="s">
        <v>1307</v>
      </c>
      <c r="E35" s="2116" t="s">
        <v>1284</v>
      </c>
      <c r="F35" s="2116">
        <v>1</v>
      </c>
      <c r="G35" s="2116" t="s">
        <v>376</v>
      </c>
      <c r="H35" s="2116" t="s">
        <v>243</v>
      </c>
      <c r="I35" s="2116" t="s">
        <v>1323</v>
      </c>
      <c r="J35" s="2116">
        <v>1</v>
      </c>
      <c r="K35" s="2117">
        <v>58</v>
      </c>
      <c r="L35" s="2117">
        <v>58</v>
      </c>
      <c r="M35" s="2116">
        <v>50000</v>
      </c>
      <c r="N35" s="2117">
        <v>51.4</v>
      </c>
      <c r="O35" s="2116" t="s">
        <v>77</v>
      </c>
      <c r="P35" s="2116" t="s">
        <v>296</v>
      </c>
      <c r="Q35" s="2116" t="s">
        <v>296</v>
      </c>
      <c r="R35" s="2116" t="s">
        <v>296</v>
      </c>
    </row>
    <row r="36" spans="1:19" s="2265" customFormat="1">
      <c r="A36" s="2116" t="s">
        <v>1202</v>
      </c>
      <c r="B36" s="2116" t="s">
        <v>1310</v>
      </c>
      <c r="C36" s="2116" t="s">
        <v>1205</v>
      </c>
      <c r="D36" s="2116" t="s">
        <v>1307</v>
      </c>
      <c r="E36" s="2116" t="s">
        <v>1297</v>
      </c>
      <c r="F36" s="2116">
        <v>2</v>
      </c>
      <c r="G36" s="2116" t="s">
        <v>376</v>
      </c>
      <c r="H36" s="2116" t="s">
        <v>244</v>
      </c>
      <c r="I36" s="2116" t="s">
        <v>1308</v>
      </c>
      <c r="J36" s="2116">
        <v>4</v>
      </c>
      <c r="K36" s="2117">
        <v>77</v>
      </c>
      <c r="L36" s="2117">
        <v>77</v>
      </c>
      <c r="M36" s="2116">
        <v>70000</v>
      </c>
      <c r="N36" s="2117">
        <v>276.89999999999998</v>
      </c>
      <c r="O36" s="2116" t="s">
        <v>76</v>
      </c>
      <c r="P36" s="2116" t="s">
        <v>296</v>
      </c>
      <c r="Q36" s="2116" t="s">
        <v>296</v>
      </c>
      <c r="R36" s="2116" t="s">
        <v>296</v>
      </c>
      <c r="S36" s="2265">
        <f t="shared" ref="S36:S60" si="0">VALUE(N36)</f>
        <v>276.89999999999998</v>
      </c>
    </row>
    <row r="37" spans="1:19" s="2265" customFormat="1">
      <c r="A37" s="2116" t="s">
        <v>1202</v>
      </c>
      <c r="B37" s="2116" t="s">
        <v>1312</v>
      </c>
      <c r="C37" s="2116" t="s">
        <v>1324</v>
      </c>
      <c r="D37" s="2116" t="s">
        <v>1307</v>
      </c>
      <c r="E37" s="2116" t="s">
        <v>1297</v>
      </c>
      <c r="F37" s="2116">
        <v>2</v>
      </c>
      <c r="G37" s="2116" t="s">
        <v>376</v>
      </c>
      <c r="H37" s="2116" t="s">
        <v>244</v>
      </c>
      <c r="I37" s="2116" t="s">
        <v>1311</v>
      </c>
      <c r="J37" s="2116">
        <v>1</v>
      </c>
      <c r="K37" s="2117">
        <v>38</v>
      </c>
      <c r="L37" s="2117">
        <v>38</v>
      </c>
      <c r="M37" s="2116">
        <v>90000</v>
      </c>
      <c r="N37" s="2117">
        <v>81.95</v>
      </c>
      <c r="O37" s="2116" t="s">
        <v>76</v>
      </c>
      <c r="P37" s="2116" t="s">
        <v>296</v>
      </c>
      <c r="Q37" s="2116" t="s">
        <v>296</v>
      </c>
      <c r="R37" s="2116" t="s">
        <v>296</v>
      </c>
      <c r="S37" s="2265">
        <f t="shared" si="0"/>
        <v>81.95</v>
      </c>
    </row>
    <row r="38" spans="1:19" s="2265" customFormat="1">
      <c r="A38" s="2116" t="s">
        <v>1202</v>
      </c>
      <c r="B38" s="2116" t="s">
        <v>1310</v>
      </c>
      <c r="C38" s="2116" t="s">
        <v>1205</v>
      </c>
      <c r="D38" s="2116" t="s">
        <v>1307</v>
      </c>
      <c r="E38" s="2116" t="s">
        <v>1297</v>
      </c>
      <c r="F38" s="2116">
        <v>2</v>
      </c>
      <c r="G38" s="2116" t="s">
        <v>376</v>
      </c>
      <c r="H38" s="2116" t="s">
        <v>244</v>
      </c>
      <c r="I38" s="2116" t="s">
        <v>1311</v>
      </c>
      <c r="J38" s="2116">
        <v>1</v>
      </c>
      <c r="K38" s="2117">
        <v>77</v>
      </c>
      <c r="L38" s="2117">
        <v>77</v>
      </c>
      <c r="M38" s="2116">
        <v>90000</v>
      </c>
      <c r="N38" s="2117">
        <v>87.35</v>
      </c>
      <c r="O38" s="2116" t="s">
        <v>76</v>
      </c>
      <c r="P38" s="2116" t="s">
        <v>296</v>
      </c>
      <c r="Q38" s="2116" t="s">
        <v>296</v>
      </c>
      <c r="R38" s="2116" t="s">
        <v>296</v>
      </c>
      <c r="S38" s="2265">
        <f t="shared" si="0"/>
        <v>87.35</v>
      </c>
    </row>
    <row r="39" spans="1:19" s="2265" customFormat="1">
      <c r="A39" s="2116" t="s">
        <v>1202</v>
      </c>
      <c r="B39" s="2116" t="s">
        <v>1306</v>
      </c>
      <c r="C39" s="2116" t="s">
        <v>1309</v>
      </c>
      <c r="D39" s="2116" t="s">
        <v>1307</v>
      </c>
      <c r="E39" s="2116" t="s">
        <v>1297</v>
      </c>
      <c r="F39" s="2116">
        <v>2</v>
      </c>
      <c r="G39" s="2116" t="s">
        <v>376</v>
      </c>
      <c r="H39" s="2116" t="s">
        <v>244</v>
      </c>
      <c r="I39" s="2116" t="s">
        <v>1314</v>
      </c>
      <c r="J39" s="2116">
        <v>1</v>
      </c>
      <c r="K39" s="2117">
        <v>57</v>
      </c>
      <c r="L39" s="2117">
        <v>57</v>
      </c>
      <c r="M39" s="2116">
        <v>76000</v>
      </c>
      <c r="N39" s="2117">
        <v>73.95</v>
      </c>
      <c r="O39" s="2116" t="s">
        <v>76</v>
      </c>
      <c r="P39" s="2116" t="s">
        <v>296</v>
      </c>
      <c r="Q39" s="2116" t="s">
        <v>296</v>
      </c>
      <c r="R39" s="2116" t="s">
        <v>296</v>
      </c>
      <c r="S39" s="2265">
        <f t="shared" si="0"/>
        <v>73.95</v>
      </c>
    </row>
    <row r="40" spans="1:19" s="2265" customFormat="1">
      <c r="A40" s="2116" t="s">
        <v>1202</v>
      </c>
      <c r="B40" s="2116" t="s">
        <v>1310</v>
      </c>
      <c r="C40" s="2116" t="s">
        <v>1205</v>
      </c>
      <c r="D40" s="2116" t="s">
        <v>1307</v>
      </c>
      <c r="E40" s="2116" t="s">
        <v>1297</v>
      </c>
      <c r="F40" s="2116">
        <v>2</v>
      </c>
      <c r="G40" s="2116" t="s">
        <v>376</v>
      </c>
      <c r="H40" s="2116" t="s">
        <v>244</v>
      </c>
      <c r="I40" s="2116" t="s">
        <v>1314</v>
      </c>
      <c r="J40" s="2116">
        <v>1</v>
      </c>
      <c r="K40" s="2117">
        <v>77</v>
      </c>
      <c r="L40" s="2117">
        <v>77</v>
      </c>
      <c r="M40" s="2116">
        <v>76000</v>
      </c>
      <c r="N40" s="2117">
        <v>73.45</v>
      </c>
      <c r="O40" s="2116" t="s">
        <v>76</v>
      </c>
      <c r="P40" s="2116" t="s">
        <v>296</v>
      </c>
      <c r="Q40" s="2116" t="s">
        <v>296</v>
      </c>
      <c r="R40" s="2116" t="s">
        <v>296</v>
      </c>
      <c r="S40" s="2265">
        <f t="shared" si="0"/>
        <v>73.45</v>
      </c>
    </row>
    <row r="41" spans="1:19" s="2265" customFormat="1">
      <c r="A41" s="2116" t="s">
        <v>1202</v>
      </c>
      <c r="B41" s="2116" t="s">
        <v>1312</v>
      </c>
      <c r="C41" s="2116" t="s">
        <v>1324</v>
      </c>
      <c r="D41" s="2116" t="s">
        <v>1307</v>
      </c>
      <c r="E41" s="2116" t="s">
        <v>1297</v>
      </c>
      <c r="F41" s="2116">
        <v>2</v>
      </c>
      <c r="G41" s="2116" t="s">
        <v>376</v>
      </c>
      <c r="H41" s="2116" t="s">
        <v>244</v>
      </c>
      <c r="I41" s="2116" t="s">
        <v>1325</v>
      </c>
      <c r="J41" s="2116">
        <v>1</v>
      </c>
      <c r="K41" s="2117">
        <v>38</v>
      </c>
      <c r="L41" s="2117">
        <v>38</v>
      </c>
      <c r="M41" s="2116">
        <v>76000</v>
      </c>
      <c r="N41" s="2117">
        <v>75.650000000000006</v>
      </c>
      <c r="O41" s="2116" t="s">
        <v>76</v>
      </c>
      <c r="P41" s="2116" t="s">
        <v>296</v>
      </c>
      <c r="Q41" s="2116" t="s">
        <v>296</v>
      </c>
      <c r="R41" s="2116" t="s">
        <v>296</v>
      </c>
      <c r="S41" s="2265">
        <f t="shared" si="0"/>
        <v>75.650000000000006</v>
      </c>
    </row>
    <row r="42" spans="1:19" s="2265" customFormat="1">
      <c r="A42" s="2116" t="s">
        <v>1202</v>
      </c>
      <c r="B42" s="2116" t="s">
        <v>1310</v>
      </c>
      <c r="C42" s="2116" t="s">
        <v>1205</v>
      </c>
      <c r="D42" s="2116" t="s">
        <v>1307</v>
      </c>
      <c r="E42" s="2116" t="s">
        <v>1297</v>
      </c>
      <c r="F42" s="2116">
        <v>2</v>
      </c>
      <c r="G42" s="2116" t="s">
        <v>376</v>
      </c>
      <c r="H42" s="2116" t="s">
        <v>244</v>
      </c>
      <c r="I42" s="2116" t="s">
        <v>1325</v>
      </c>
      <c r="J42" s="2116">
        <v>2</v>
      </c>
      <c r="K42" s="2117">
        <v>77</v>
      </c>
      <c r="L42" s="2117">
        <v>77</v>
      </c>
      <c r="M42" s="2116">
        <v>76000</v>
      </c>
      <c r="N42" s="2117">
        <v>150.80000000000001</v>
      </c>
      <c r="O42" s="2116" t="s">
        <v>76</v>
      </c>
      <c r="P42" s="2116" t="s">
        <v>296</v>
      </c>
      <c r="Q42" s="2116" t="s">
        <v>296</v>
      </c>
      <c r="R42" s="2116" t="s">
        <v>296</v>
      </c>
      <c r="S42" s="2265">
        <f t="shared" si="0"/>
        <v>150.80000000000001</v>
      </c>
    </row>
    <row r="43" spans="1:19" s="2265" customFormat="1" ht="26.4">
      <c r="A43" s="2116" t="s">
        <v>1202</v>
      </c>
      <c r="B43" s="2116" t="s">
        <v>1310</v>
      </c>
      <c r="C43" s="2116" t="s">
        <v>1205</v>
      </c>
      <c r="D43" s="2116" t="s">
        <v>1307</v>
      </c>
      <c r="E43" s="2116" t="s">
        <v>1297</v>
      </c>
      <c r="F43" s="2116">
        <v>2</v>
      </c>
      <c r="G43" s="2116" t="s">
        <v>376</v>
      </c>
      <c r="H43" s="2116" t="s">
        <v>244</v>
      </c>
      <c r="I43" s="2116" t="s">
        <v>1326</v>
      </c>
      <c r="J43" s="2116">
        <v>1</v>
      </c>
      <c r="K43" s="2117">
        <v>77</v>
      </c>
      <c r="L43" s="2117">
        <v>77</v>
      </c>
      <c r="M43" s="2116">
        <v>65000</v>
      </c>
      <c r="N43" s="2117">
        <v>66.900000000000006</v>
      </c>
      <c r="O43" s="2116" t="s">
        <v>76</v>
      </c>
      <c r="P43" s="2116" t="s">
        <v>296</v>
      </c>
      <c r="Q43" s="2116" t="s">
        <v>296</v>
      </c>
      <c r="R43" s="2116" t="s">
        <v>296</v>
      </c>
      <c r="S43" s="2265">
        <f t="shared" si="0"/>
        <v>66.900000000000006</v>
      </c>
    </row>
    <row r="44" spans="1:19" s="2265" customFormat="1" ht="26.4">
      <c r="A44" s="2116" t="s">
        <v>1202</v>
      </c>
      <c r="B44" s="2116" t="s">
        <v>1312</v>
      </c>
      <c r="C44" s="2116" t="s">
        <v>1324</v>
      </c>
      <c r="D44" s="2116" t="s">
        <v>1307</v>
      </c>
      <c r="E44" s="2116" t="s">
        <v>1297</v>
      </c>
      <c r="F44" s="2116">
        <v>2</v>
      </c>
      <c r="G44" s="2116" t="s">
        <v>376</v>
      </c>
      <c r="H44" s="2116" t="s">
        <v>244</v>
      </c>
      <c r="I44" s="2116" t="s">
        <v>1315</v>
      </c>
      <c r="J44" s="2116">
        <v>2</v>
      </c>
      <c r="K44" s="2117">
        <v>38</v>
      </c>
      <c r="L44" s="2117">
        <v>38</v>
      </c>
      <c r="M44" s="2116">
        <v>76000</v>
      </c>
      <c r="N44" s="2117">
        <v>136.9</v>
      </c>
      <c r="O44" s="2116" t="s">
        <v>76</v>
      </c>
      <c r="P44" s="2116" t="s">
        <v>296</v>
      </c>
      <c r="Q44" s="2116" t="s">
        <v>296</v>
      </c>
      <c r="R44" s="2116" t="s">
        <v>296</v>
      </c>
      <c r="S44" s="2265">
        <f t="shared" si="0"/>
        <v>136.9</v>
      </c>
    </row>
    <row r="45" spans="1:19">
      <c r="A45" t="s">
        <v>1202</v>
      </c>
      <c r="B45" t="s">
        <v>1306</v>
      </c>
      <c r="C45" t="s">
        <v>1309</v>
      </c>
      <c r="D45" t="s">
        <v>1307</v>
      </c>
      <c r="E45" t="s">
        <v>1297</v>
      </c>
      <c r="F45">
        <v>2</v>
      </c>
      <c r="G45" t="s">
        <v>376</v>
      </c>
      <c r="H45" t="s">
        <v>244</v>
      </c>
      <c r="I45" t="s">
        <v>1315</v>
      </c>
      <c r="J45">
        <v>1</v>
      </c>
      <c r="K45">
        <v>57</v>
      </c>
      <c r="L45">
        <v>57</v>
      </c>
      <c r="M45">
        <v>76000</v>
      </c>
      <c r="N45">
        <v>68.599999999999994</v>
      </c>
      <c r="O45" t="s">
        <v>76</v>
      </c>
      <c r="P45" t="s">
        <v>296</v>
      </c>
      <c r="Q45" t="s">
        <v>296</v>
      </c>
      <c r="R45" t="s">
        <v>296</v>
      </c>
      <c r="S45" s="2265">
        <f t="shared" si="0"/>
        <v>68.599999999999994</v>
      </c>
    </row>
    <row r="46" spans="1:19">
      <c r="A46" t="s">
        <v>1202</v>
      </c>
      <c r="B46" t="s">
        <v>1312</v>
      </c>
      <c r="C46" t="s">
        <v>1324</v>
      </c>
      <c r="D46" t="s">
        <v>1307</v>
      </c>
      <c r="E46" t="s">
        <v>1297</v>
      </c>
      <c r="F46">
        <v>2</v>
      </c>
      <c r="G46" t="s">
        <v>376</v>
      </c>
      <c r="H46" t="s">
        <v>244</v>
      </c>
      <c r="I46" t="s">
        <v>1316</v>
      </c>
      <c r="J46">
        <v>12</v>
      </c>
      <c r="K46">
        <v>38</v>
      </c>
      <c r="L46">
        <v>38</v>
      </c>
      <c r="M46">
        <v>85500</v>
      </c>
      <c r="N46">
        <v>973.15</v>
      </c>
      <c r="O46" t="s">
        <v>76</v>
      </c>
      <c r="P46" t="s">
        <v>296</v>
      </c>
      <c r="Q46" t="s">
        <v>296</v>
      </c>
      <c r="R46" t="s">
        <v>296</v>
      </c>
      <c r="S46" s="2265">
        <f t="shared" si="0"/>
        <v>973.15</v>
      </c>
    </row>
    <row r="47" spans="1:19">
      <c r="A47" t="s">
        <v>1202</v>
      </c>
      <c r="B47" t="s">
        <v>1306</v>
      </c>
      <c r="C47" t="s">
        <v>1309</v>
      </c>
      <c r="D47" t="s">
        <v>1307</v>
      </c>
      <c r="E47" t="s">
        <v>1297</v>
      </c>
      <c r="F47">
        <v>2</v>
      </c>
      <c r="G47" t="s">
        <v>376</v>
      </c>
      <c r="H47" t="s">
        <v>244</v>
      </c>
      <c r="I47" t="s">
        <v>1316</v>
      </c>
      <c r="J47">
        <v>4</v>
      </c>
      <c r="K47">
        <v>57</v>
      </c>
      <c r="L47">
        <v>57</v>
      </c>
      <c r="M47">
        <v>85500</v>
      </c>
      <c r="N47">
        <v>322.75</v>
      </c>
      <c r="O47" t="s">
        <v>76</v>
      </c>
      <c r="P47" t="s">
        <v>296</v>
      </c>
      <c r="Q47" t="s">
        <v>296</v>
      </c>
      <c r="R47" t="s">
        <v>296</v>
      </c>
      <c r="S47" s="2265">
        <f t="shared" si="0"/>
        <v>322.75</v>
      </c>
    </row>
    <row r="48" spans="1:19">
      <c r="A48" t="s">
        <v>1202</v>
      </c>
      <c r="B48" t="s">
        <v>1310</v>
      </c>
      <c r="C48" t="s">
        <v>1205</v>
      </c>
      <c r="D48" t="s">
        <v>1307</v>
      </c>
      <c r="E48" t="s">
        <v>1297</v>
      </c>
      <c r="F48">
        <v>2</v>
      </c>
      <c r="G48" t="s">
        <v>376</v>
      </c>
      <c r="H48" t="s">
        <v>244</v>
      </c>
      <c r="I48" t="s">
        <v>1316</v>
      </c>
      <c r="J48">
        <v>2</v>
      </c>
      <c r="K48">
        <v>77</v>
      </c>
      <c r="L48">
        <v>77</v>
      </c>
      <c r="M48">
        <v>85500</v>
      </c>
      <c r="N48">
        <v>164.45</v>
      </c>
      <c r="O48" t="s">
        <v>76</v>
      </c>
      <c r="P48" t="s">
        <v>296</v>
      </c>
      <c r="Q48" t="s">
        <v>296</v>
      </c>
      <c r="R48" t="s">
        <v>296</v>
      </c>
      <c r="S48" s="2265">
        <f t="shared" si="0"/>
        <v>164.45</v>
      </c>
    </row>
    <row r="49" spans="1:19">
      <c r="A49" t="s">
        <v>1202</v>
      </c>
      <c r="B49" t="s">
        <v>1312</v>
      </c>
      <c r="C49" t="s">
        <v>1324</v>
      </c>
      <c r="D49" t="s">
        <v>1307</v>
      </c>
      <c r="E49" t="s">
        <v>1297</v>
      </c>
      <c r="F49">
        <v>2</v>
      </c>
      <c r="G49" t="s">
        <v>376</v>
      </c>
      <c r="H49" t="s">
        <v>165</v>
      </c>
      <c r="I49" t="s">
        <v>1317</v>
      </c>
      <c r="J49">
        <v>1</v>
      </c>
      <c r="K49">
        <v>38</v>
      </c>
      <c r="L49">
        <v>38</v>
      </c>
      <c r="M49">
        <v>85000</v>
      </c>
      <c r="N49">
        <v>86.7</v>
      </c>
      <c r="O49" t="s">
        <v>76</v>
      </c>
      <c r="P49" t="s">
        <v>296</v>
      </c>
      <c r="Q49" t="s">
        <v>296</v>
      </c>
      <c r="R49" t="s">
        <v>296</v>
      </c>
      <c r="S49" s="2265">
        <f t="shared" si="0"/>
        <v>86.7</v>
      </c>
    </row>
    <row r="50" spans="1:19">
      <c r="A50" t="s">
        <v>1202</v>
      </c>
      <c r="B50" t="s">
        <v>1306</v>
      </c>
      <c r="C50" t="s">
        <v>1309</v>
      </c>
      <c r="D50" t="s">
        <v>1307</v>
      </c>
      <c r="E50" t="s">
        <v>1297</v>
      </c>
      <c r="F50">
        <v>2</v>
      </c>
      <c r="G50" t="s">
        <v>376</v>
      </c>
      <c r="H50" t="s">
        <v>165</v>
      </c>
      <c r="I50" t="s">
        <v>1317</v>
      </c>
      <c r="J50">
        <v>6</v>
      </c>
      <c r="K50">
        <v>57</v>
      </c>
      <c r="L50">
        <v>57</v>
      </c>
      <c r="M50">
        <v>85000</v>
      </c>
      <c r="N50">
        <v>505.4</v>
      </c>
      <c r="O50" t="s">
        <v>76</v>
      </c>
      <c r="P50" t="s">
        <v>296</v>
      </c>
      <c r="Q50" t="s">
        <v>296</v>
      </c>
      <c r="R50" t="s">
        <v>296</v>
      </c>
      <c r="S50" s="2265">
        <f t="shared" si="0"/>
        <v>505.4</v>
      </c>
    </row>
    <row r="51" spans="1:19">
      <c r="A51" t="s">
        <v>1202</v>
      </c>
      <c r="B51" t="s">
        <v>1310</v>
      </c>
      <c r="C51" t="s">
        <v>1205</v>
      </c>
      <c r="D51" t="s">
        <v>1307</v>
      </c>
      <c r="E51" t="s">
        <v>1297</v>
      </c>
      <c r="F51">
        <v>2</v>
      </c>
      <c r="G51" t="s">
        <v>376</v>
      </c>
      <c r="H51" t="s">
        <v>165</v>
      </c>
      <c r="I51" t="s">
        <v>1317</v>
      </c>
      <c r="J51">
        <v>7</v>
      </c>
      <c r="K51">
        <v>77</v>
      </c>
      <c r="L51">
        <v>77</v>
      </c>
      <c r="M51">
        <v>85000</v>
      </c>
      <c r="N51">
        <v>605.4</v>
      </c>
      <c r="O51" t="s">
        <v>76</v>
      </c>
      <c r="P51" t="s">
        <v>296</v>
      </c>
      <c r="Q51" t="s">
        <v>296</v>
      </c>
      <c r="R51" t="s">
        <v>296</v>
      </c>
      <c r="S51" s="2265">
        <f t="shared" si="0"/>
        <v>605.4</v>
      </c>
    </row>
    <row r="52" spans="1:19">
      <c r="A52" t="s">
        <v>1202</v>
      </c>
      <c r="B52" t="s">
        <v>1312</v>
      </c>
      <c r="C52" t="s">
        <v>1324</v>
      </c>
      <c r="D52" t="s">
        <v>1307</v>
      </c>
      <c r="E52" t="s">
        <v>1297</v>
      </c>
      <c r="F52">
        <v>2</v>
      </c>
      <c r="G52" t="s">
        <v>376</v>
      </c>
      <c r="H52" t="s">
        <v>165</v>
      </c>
      <c r="I52" t="s">
        <v>1318</v>
      </c>
      <c r="J52">
        <v>12</v>
      </c>
      <c r="K52">
        <v>38</v>
      </c>
      <c r="L52">
        <v>38</v>
      </c>
      <c r="M52">
        <v>64000</v>
      </c>
      <c r="N52">
        <v>802.46</v>
      </c>
      <c r="O52" t="s">
        <v>76</v>
      </c>
      <c r="P52" t="s">
        <v>296</v>
      </c>
      <c r="Q52" t="s">
        <v>296</v>
      </c>
      <c r="R52" t="s">
        <v>296</v>
      </c>
      <c r="S52" s="2265">
        <f t="shared" si="0"/>
        <v>802.46</v>
      </c>
    </row>
    <row r="53" spans="1:19">
      <c r="A53" t="s">
        <v>1202</v>
      </c>
      <c r="B53" t="s">
        <v>1306</v>
      </c>
      <c r="C53" t="s">
        <v>1309</v>
      </c>
      <c r="D53" t="s">
        <v>1307</v>
      </c>
      <c r="E53" t="s">
        <v>1297</v>
      </c>
      <c r="F53">
        <v>2</v>
      </c>
      <c r="G53" t="s">
        <v>376</v>
      </c>
      <c r="H53" t="s">
        <v>165</v>
      </c>
      <c r="I53" t="s">
        <v>1318</v>
      </c>
      <c r="J53">
        <v>19</v>
      </c>
      <c r="K53">
        <v>57</v>
      </c>
      <c r="L53">
        <v>57</v>
      </c>
      <c r="M53">
        <v>64000</v>
      </c>
      <c r="N53">
        <v>1248.05</v>
      </c>
      <c r="O53" t="s">
        <v>76</v>
      </c>
      <c r="P53" t="s">
        <v>296</v>
      </c>
      <c r="Q53" t="s">
        <v>296</v>
      </c>
      <c r="R53" t="s">
        <v>296</v>
      </c>
      <c r="S53" s="2265">
        <f t="shared" si="0"/>
        <v>1248.05</v>
      </c>
    </row>
    <row r="54" spans="1:19">
      <c r="A54" t="s">
        <v>1202</v>
      </c>
      <c r="B54" t="s">
        <v>1310</v>
      </c>
      <c r="C54" t="s">
        <v>1205</v>
      </c>
      <c r="D54" t="s">
        <v>1307</v>
      </c>
      <c r="E54" t="s">
        <v>1297</v>
      </c>
      <c r="F54">
        <v>2</v>
      </c>
      <c r="G54" t="s">
        <v>376</v>
      </c>
      <c r="H54" t="s">
        <v>165</v>
      </c>
      <c r="I54" t="s">
        <v>1318</v>
      </c>
      <c r="J54">
        <v>17</v>
      </c>
      <c r="K54">
        <v>77</v>
      </c>
      <c r="L54">
        <v>77</v>
      </c>
      <c r="M54">
        <v>64000</v>
      </c>
      <c r="N54">
        <v>1108.8499999999999</v>
      </c>
      <c r="O54" t="s">
        <v>76</v>
      </c>
      <c r="P54" t="s">
        <v>296</v>
      </c>
      <c r="Q54" t="s">
        <v>296</v>
      </c>
      <c r="R54" t="s">
        <v>296</v>
      </c>
      <c r="S54" s="2265">
        <f t="shared" si="0"/>
        <v>1108.8499999999999</v>
      </c>
    </row>
    <row r="55" spans="1:19">
      <c r="A55" t="s">
        <v>1202</v>
      </c>
      <c r="B55" t="s">
        <v>1306</v>
      </c>
      <c r="C55" t="s">
        <v>1309</v>
      </c>
      <c r="D55" t="s">
        <v>1307</v>
      </c>
      <c r="E55" t="s">
        <v>1297</v>
      </c>
      <c r="F55">
        <v>2</v>
      </c>
      <c r="G55" t="s">
        <v>376</v>
      </c>
      <c r="H55" t="s">
        <v>165</v>
      </c>
      <c r="I55" t="s">
        <v>1319</v>
      </c>
      <c r="J55">
        <v>1</v>
      </c>
      <c r="K55">
        <v>57</v>
      </c>
      <c r="L55">
        <v>57</v>
      </c>
      <c r="M55">
        <v>85500</v>
      </c>
      <c r="N55">
        <v>63.07</v>
      </c>
      <c r="O55" t="s">
        <v>76</v>
      </c>
      <c r="P55" t="s">
        <v>296</v>
      </c>
      <c r="Q55" t="s">
        <v>296</v>
      </c>
      <c r="R55" t="s">
        <v>296</v>
      </c>
      <c r="S55" s="2265">
        <f t="shared" si="0"/>
        <v>63.07</v>
      </c>
    </row>
    <row r="56" spans="1:19">
      <c r="A56" t="s">
        <v>1202</v>
      </c>
      <c r="B56" t="s">
        <v>1310</v>
      </c>
      <c r="C56" t="s">
        <v>1205</v>
      </c>
      <c r="D56" t="s">
        <v>1307</v>
      </c>
      <c r="E56" t="s">
        <v>1297</v>
      </c>
      <c r="F56">
        <v>2</v>
      </c>
      <c r="G56" t="s">
        <v>376</v>
      </c>
      <c r="H56" t="s">
        <v>165</v>
      </c>
      <c r="I56" t="s">
        <v>1319</v>
      </c>
      <c r="J56">
        <v>1</v>
      </c>
      <c r="K56">
        <v>77</v>
      </c>
      <c r="L56">
        <v>77</v>
      </c>
      <c r="M56">
        <v>85500</v>
      </c>
      <c r="N56">
        <v>62.17</v>
      </c>
      <c r="O56" t="s">
        <v>76</v>
      </c>
      <c r="P56" t="s">
        <v>296</v>
      </c>
      <c r="Q56" t="s">
        <v>296</v>
      </c>
      <c r="R56" t="s">
        <v>296</v>
      </c>
      <c r="S56" s="2265">
        <f t="shared" si="0"/>
        <v>62.17</v>
      </c>
    </row>
    <row r="57" spans="1:19">
      <c r="A57" t="s">
        <v>1202</v>
      </c>
      <c r="B57" t="s">
        <v>1312</v>
      </c>
      <c r="C57" t="s">
        <v>1324</v>
      </c>
      <c r="D57" t="s">
        <v>1307</v>
      </c>
      <c r="E57" t="s">
        <v>1297</v>
      </c>
      <c r="F57">
        <v>2</v>
      </c>
      <c r="G57" t="s">
        <v>376</v>
      </c>
      <c r="H57" t="s">
        <v>165</v>
      </c>
      <c r="I57" t="s">
        <v>1320</v>
      </c>
      <c r="J57">
        <v>1</v>
      </c>
      <c r="K57">
        <v>38</v>
      </c>
      <c r="L57">
        <v>38</v>
      </c>
      <c r="M57">
        <v>85500</v>
      </c>
      <c r="N57">
        <v>87.95</v>
      </c>
      <c r="O57" t="s">
        <v>76</v>
      </c>
      <c r="P57" t="s">
        <v>296</v>
      </c>
      <c r="Q57" t="s">
        <v>296</v>
      </c>
      <c r="R57" t="s">
        <v>296</v>
      </c>
      <c r="S57" s="2265">
        <f t="shared" si="0"/>
        <v>87.95</v>
      </c>
    </row>
    <row r="58" spans="1:19">
      <c r="A58" t="s">
        <v>1202</v>
      </c>
      <c r="B58" t="s">
        <v>1306</v>
      </c>
      <c r="C58" t="s">
        <v>1309</v>
      </c>
      <c r="D58" t="s">
        <v>1307</v>
      </c>
      <c r="E58" t="s">
        <v>1297</v>
      </c>
      <c r="F58">
        <v>2</v>
      </c>
      <c r="G58" t="s">
        <v>376</v>
      </c>
      <c r="H58" t="s">
        <v>165</v>
      </c>
      <c r="I58" t="s">
        <v>1320</v>
      </c>
      <c r="J58">
        <v>4</v>
      </c>
      <c r="K58">
        <v>57</v>
      </c>
      <c r="L58">
        <v>57</v>
      </c>
      <c r="M58">
        <v>85500</v>
      </c>
      <c r="N58">
        <v>336.05</v>
      </c>
      <c r="O58" t="s">
        <v>76</v>
      </c>
      <c r="P58" t="s">
        <v>296</v>
      </c>
      <c r="Q58" t="s">
        <v>296</v>
      </c>
      <c r="R58" t="s">
        <v>296</v>
      </c>
      <c r="S58" s="2265">
        <f t="shared" si="0"/>
        <v>336.05</v>
      </c>
    </row>
    <row r="59" spans="1:19">
      <c r="A59" t="s">
        <v>1202</v>
      </c>
      <c r="B59" t="s">
        <v>1310</v>
      </c>
      <c r="C59" t="s">
        <v>1205</v>
      </c>
      <c r="D59" t="s">
        <v>1307</v>
      </c>
      <c r="E59" t="s">
        <v>1297</v>
      </c>
      <c r="F59">
        <v>2</v>
      </c>
      <c r="G59" t="s">
        <v>376</v>
      </c>
      <c r="H59" t="s">
        <v>165</v>
      </c>
      <c r="I59" t="s">
        <v>1320</v>
      </c>
      <c r="J59">
        <v>9</v>
      </c>
      <c r="K59">
        <v>77</v>
      </c>
      <c r="L59">
        <v>77</v>
      </c>
      <c r="M59">
        <v>85500</v>
      </c>
      <c r="N59">
        <v>779.14</v>
      </c>
      <c r="O59" t="s">
        <v>76</v>
      </c>
      <c r="P59" t="s">
        <v>296</v>
      </c>
      <c r="Q59" t="s">
        <v>296</v>
      </c>
      <c r="R59" t="s">
        <v>296</v>
      </c>
      <c r="S59" s="2265">
        <f t="shared" si="0"/>
        <v>779.14</v>
      </c>
    </row>
    <row r="60" spans="1:19">
      <c r="A60" t="s">
        <v>1202</v>
      </c>
      <c r="B60" t="s">
        <v>1321</v>
      </c>
      <c r="C60" t="s">
        <v>1322</v>
      </c>
      <c r="D60" t="s">
        <v>1307</v>
      </c>
      <c r="E60" t="s">
        <v>1297</v>
      </c>
      <c r="F60">
        <v>2</v>
      </c>
      <c r="G60" t="s">
        <v>376</v>
      </c>
      <c r="H60" t="s">
        <v>243</v>
      </c>
      <c r="I60" t="s">
        <v>1225</v>
      </c>
      <c r="J60">
        <v>1</v>
      </c>
      <c r="K60">
        <v>58</v>
      </c>
      <c r="L60">
        <v>58</v>
      </c>
      <c r="M60">
        <v>45000</v>
      </c>
      <c r="N60">
        <v>47.05</v>
      </c>
      <c r="O60" t="s">
        <v>76</v>
      </c>
      <c r="P60" t="s">
        <v>296</v>
      </c>
      <c r="Q60" t="s">
        <v>296</v>
      </c>
      <c r="R60" t="s">
        <v>296</v>
      </c>
      <c r="S60" s="2265">
        <f t="shared" si="0"/>
        <v>47.05</v>
      </c>
    </row>
    <row r="61" spans="1:19">
      <c r="A61" t="s">
        <v>1202</v>
      </c>
      <c r="B61" t="s">
        <v>1312</v>
      </c>
      <c r="C61" t="s">
        <v>1313</v>
      </c>
      <c r="D61" t="s">
        <v>1307</v>
      </c>
      <c r="E61" t="s">
        <v>1299</v>
      </c>
      <c r="F61">
        <v>1</v>
      </c>
      <c r="G61" t="s">
        <v>376</v>
      </c>
      <c r="H61" t="s">
        <v>244</v>
      </c>
      <c r="I61" t="s">
        <v>1308</v>
      </c>
      <c r="J61">
        <v>1</v>
      </c>
      <c r="K61">
        <v>24</v>
      </c>
      <c r="L61">
        <v>24</v>
      </c>
      <c r="M61">
        <v>70000</v>
      </c>
      <c r="N61">
        <v>67.650000000000006</v>
      </c>
      <c r="O61" t="s">
        <v>77</v>
      </c>
      <c r="P61" t="s">
        <v>296</v>
      </c>
      <c r="Q61" t="s">
        <v>296</v>
      </c>
      <c r="R61" t="s">
        <v>296</v>
      </c>
    </row>
    <row r="62" spans="1:19">
      <c r="A62" t="s">
        <v>1202</v>
      </c>
      <c r="B62" t="s">
        <v>1306</v>
      </c>
      <c r="C62" t="s">
        <v>1215</v>
      </c>
      <c r="D62" t="s">
        <v>1307</v>
      </c>
      <c r="E62" t="s">
        <v>1299</v>
      </c>
      <c r="F62">
        <v>1</v>
      </c>
      <c r="G62" t="s">
        <v>376</v>
      </c>
      <c r="H62" t="s">
        <v>244</v>
      </c>
      <c r="I62" t="s">
        <v>1308</v>
      </c>
      <c r="J62">
        <v>1</v>
      </c>
      <c r="K62">
        <v>57</v>
      </c>
      <c r="L62">
        <v>57</v>
      </c>
      <c r="M62">
        <v>70000</v>
      </c>
      <c r="N62">
        <v>65.95</v>
      </c>
      <c r="O62" t="s">
        <v>77</v>
      </c>
      <c r="P62" t="s">
        <v>296</v>
      </c>
      <c r="Q62" t="s">
        <v>296</v>
      </c>
      <c r="R62" t="s">
        <v>296</v>
      </c>
    </row>
    <row r="63" spans="1:19">
      <c r="A63" t="s">
        <v>1202</v>
      </c>
      <c r="B63" t="s">
        <v>1312</v>
      </c>
      <c r="C63" t="s">
        <v>1313</v>
      </c>
      <c r="D63" t="s">
        <v>1307</v>
      </c>
      <c r="E63" t="s">
        <v>1299</v>
      </c>
      <c r="F63">
        <v>1</v>
      </c>
      <c r="G63" t="s">
        <v>376</v>
      </c>
      <c r="H63" t="s">
        <v>244</v>
      </c>
      <c r="I63" t="s">
        <v>1311</v>
      </c>
      <c r="J63">
        <v>1</v>
      </c>
      <c r="K63">
        <v>24</v>
      </c>
      <c r="L63">
        <v>24</v>
      </c>
      <c r="M63">
        <v>90000</v>
      </c>
      <c r="N63">
        <v>84.45</v>
      </c>
      <c r="O63" t="s">
        <v>77</v>
      </c>
      <c r="P63" t="s">
        <v>296</v>
      </c>
      <c r="Q63" t="s">
        <v>296</v>
      </c>
      <c r="R63" t="s">
        <v>296</v>
      </c>
    </row>
    <row r="64" spans="1:19">
      <c r="A64" t="s">
        <v>1202</v>
      </c>
      <c r="B64" t="s">
        <v>1306</v>
      </c>
      <c r="C64" t="s">
        <v>1215</v>
      </c>
      <c r="D64" t="s">
        <v>1307</v>
      </c>
      <c r="E64" t="s">
        <v>1299</v>
      </c>
      <c r="F64">
        <v>1</v>
      </c>
      <c r="G64" t="s">
        <v>376</v>
      </c>
      <c r="H64" t="s">
        <v>244</v>
      </c>
      <c r="I64" t="s">
        <v>1311</v>
      </c>
      <c r="J64">
        <v>1</v>
      </c>
      <c r="K64">
        <v>57</v>
      </c>
      <c r="L64">
        <v>57</v>
      </c>
      <c r="M64">
        <v>90000</v>
      </c>
      <c r="N64">
        <v>84</v>
      </c>
      <c r="O64" t="s">
        <v>77</v>
      </c>
      <c r="P64" t="s">
        <v>296</v>
      </c>
      <c r="Q64" t="s">
        <v>296</v>
      </c>
      <c r="R64" t="s">
        <v>296</v>
      </c>
    </row>
    <row r="65" spans="1:18">
      <c r="A65" t="s">
        <v>1202</v>
      </c>
      <c r="B65" t="s">
        <v>1306</v>
      </c>
      <c r="C65" t="s">
        <v>1309</v>
      </c>
      <c r="D65" t="s">
        <v>1307</v>
      </c>
      <c r="E65" t="s">
        <v>1299</v>
      </c>
      <c r="F65">
        <v>1</v>
      </c>
      <c r="G65" t="s">
        <v>376</v>
      </c>
      <c r="H65" t="s">
        <v>244</v>
      </c>
      <c r="I65" t="s">
        <v>1311</v>
      </c>
      <c r="J65">
        <v>1</v>
      </c>
      <c r="K65">
        <v>57</v>
      </c>
      <c r="L65">
        <v>57</v>
      </c>
      <c r="M65">
        <v>90000</v>
      </c>
      <c r="N65">
        <v>85.8</v>
      </c>
      <c r="O65" t="s">
        <v>77</v>
      </c>
      <c r="P65" t="s">
        <v>296</v>
      </c>
      <c r="Q65" t="s">
        <v>296</v>
      </c>
      <c r="R65" t="s">
        <v>296</v>
      </c>
    </row>
    <row r="66" spans="1:18">
      <c r="A66" t="s">
        <v>1202</v>
      </c>
      <c r="B66" t="s">
        <v>1312</v>
      </c>
      <c r="C66" t="s">
        <v>1313</v>
      </c>
      <c r="D66" t="s">
        <v>1307</v>
      </c>
      <c r="E66" t="s">
        <v>1299</v>
      </c>
      <c r="F66">
        <v>1</v>
      </c>
      <c r="G66" t="s">
        <v>376</v>
      </c>
      <c r="H66" t="s">
        <v>244</v>
      </c>
      <c r="I66" t="s">
        <v>1314</v>
      </c>
      <c r="J66">
        <v>1</v>
      </c>
      <c r="K66">
        <v>24</v>
      </c>
      <c r="L66">
        <v>24</v>
      </c>
      <c r="M66">
        <v>76000</v>
      </c>
      <c r="N66">
        <v>72.8</v>
      </c>
      <c r="O66" t="s">
        <v>77</v>
      </c>
      <c r="P66" t="s">
        <v>296</v>
      </c>
      <c r="Q66" t="s">
        <v>296</v>
      </c>
      <c r="R66" t="s">
        <v>296</v>
      </c>
    </row>
    <row r="67" spans="1:18">
      <c r="A67" t="s">
        <v>1202</v>
      </c>
      <c r="B67" t="s">
        <v>1310</v>
      </c>
      <c r="C67" t="s">
        <v>1270</v>
      </c>
      <c r="D67" t="s">
        <v>1307</v>
      </c>
      <c r="E67" t="s">
        <v>1299</v>
      </c>
      <c r="F67">
        <v>1</v>
      </c>
      <c r="G67" t="s">
        <v>376</v>
      </c>
      <c r="H67" t="s">
        <v>244</v>
      </c>
      <c r="I67" t="s">
        <v>1314</v>
      </c>
      <c r="J67">
        <v>1</v>
      </c>
      <c r="K67">
        <v>77</v>
      </c>
      <c r="L67">
        <v>77</v>
      </c>
      <c r="M67">
        <v>76000</v>
      </c>
      <c r="N67">
        <v>68.849999999999994</v>
      </c>
      <c r="O67" t="s">
        <v>77</v>
      </c>
      <c r="P67" t="s">
        <v>296</v>
      </c>
      <c r="Q67" t="s">
        <v>296</v>
      </c>
      <c r="R67" t="s">
        <v>296</v>
      </c>
    </row>
    <row r="68" spans="1:18">
      <c r="A68" t="s">
        <v>1202</v>
      </c>
      <c r="B68" t="s">
        <v>1312</v>
      </c>
      <c r="C68" t="s">
        <v>1313</v>
      </c>
      <c r="D68" t="s">
        <v>1307</v>
      </c>
      <c r="E68" t="s">
        <v>1299</v>
      </c>
      <c r="F68">
        <v>1</v>
      </c>
      <c r="G68" t="s">
        <v>376</v>
      </c>
      <c r="H68" t="s">
        <v>244</v>
      </c>
      <c r="I68" t="s">
        <v>1325</v>
      </c>
      <c r="J68">
        <v>1</v>
      </c>
      <c r="K68">
        <v>24</v>
      </c>
      <c r="L68">
        <v>24</v>
      </c>
      <c r="M68">
        <v>76000</v>
      </c>
      <c r="N68">
        <v>74.55</v>
      </c>
      <c r="O68" t="s">
        <v>77</v>
      </c>
      <c r="P68" t="s">
        <v>296</v>
      </c>
      <c r="Q68" t="s">
        <v>296</v>
      </c>
      <c r="R68" t="s">
        <v>296</v>
      </c>
    </row>
    <row r="69" spans="1:18">
      <c r="A69" t="s">
        <v>1202</v>
      </c>
      <c r="B69" t="s">
        <v>1306</v>
      </c>
      <c r="C69" t="s">
        <v>1215</v>
      </c>
      <c r="D69" t="s">
        <v>1307</v>
      </c>
      <c r="E69" t="s">
        <v>1299</v>
      </c>
      <c r="F69">
        <v>1</v>
      </c>
      <c r="G69" t="s">
        <v>376</v>
      </c>
      <c r="H69" t="s">
        <v>244</v>
      </c>
      <c r="I69" t="s">
        <v>1325</v>
      </c>
      <c r="J69">
        <v>1</v>
      </c>
      <c r="K69">
        <v>57</v>
      </c>
      <c r="L69">
        <v>57</v>
      </c>
      <c r="M69">
        <v>76000</v>
      </c>
      <c r="N69">
        <v>72.900000000000006</v>
      </c>
      <c r="O69" t="s">
        <v>77</v>
      </c>
      <c r="P69" t="s">
        <v>296</v>
      </c>
      <c r="Q69" t="s">
        <v>296</v>
      </c>
      <c r="R69" t="s">
        <v>296</v>
      </c>
    </row>
    <row r="70" spans="1:18">
      <c r="A70" t="s">
        <v>1202</v>
      </c>
      <c r="B70" t="s">
        <v>1306</v>
      </c>
      <c r="C70" t="s">
        <v>1309</v>
      </c>
      <c r="D70" t="s">
        <v>1307</v>
      </c>
      <c r="E70" t="s">
        <v>1299</v>
      </c>
      <c r="F70">
        <v>1</v>
      </c>
      <c r="G70" t="s">
        <v>376</v>
      </c>
      <c r="H70" t="s">
        <v>244</v>
      </c>
      <c r="I70" t="s">
        <v>1325</v>
      </c>
      <c r="J70">
        <v>1</v>
      </c>
      <c r="K70">
        <v>57</v>
      </c>
      <c r="L70">
        <v>57</v>
      </c>
      <c r="M70">
        <v>76000</v>
      </c>
      <c r="N70">
        <v>75.55</v>
      </c>
      <c r="O70" t="s">
        <v>77</v>
      </c>
      <c r="P70" t="s">
        <v>296</v>
      </c>
      <c r="Q70" t="s">
        <v>296</v>
      </c>
      <c r="R70" t="s">
        <v>296</v>
      </c>
    </row>
    <row r="71" spans="1:18">
      <c r="A71" t="s">
        <v>1202</v>
      </c>
      <c r="B71" t="s">
        <v>1306</v>
      </c>
      <c r="C71" t="s">
        <v>1309</v>
      </c>
      <c r="D71" t="s">
        <v>1307</v>
      </c>
      <c r="E71" t="s">
        <v>1299</v>
      </c>
      <c r="F71">
        <v>1</v>
      </c>
      <c r="G71" t="s">
        <v>376</v>
      </c>
      <c r="H71" t="s">
        <v>244</v>
      </c>
      <c r="I71" t="s">
        <v>1326</v>
      </c>
      <c r="J71">
        <v>1</v>
      </c>
      <c r="K71">
        <v>57</v>
      </c>
      <c r="L71">
        <v>57</v>
      </c>
      <c r="M71">
        <v>65000</v>
      </c>
      <c r="N71">
        <v>64.7</v>
      </c>
      <c r="O71" t="s">
        <v>77</v>
      </c>
      <c r="P71" t="s">
        <v>296</v>
      </c>
      <c r="Q71" t="s">
        <v>296</v>
      </c>
      <c r="R71" t="s">
        <v>296</v>
      </c>
    </row>
    <row r="72" spans="1:18">
      <c r="A72" t="s">
        <v>1202</v>
      </c>
      <c r="B72" t="s">
        <v>1312</v>
      </c>
      <c r="C72" t="s">
        <v>1313</v>
      </c>
      <c r="D72" t="s">
        <v>1307</v>
      </c>
      <c r="E72" t="s">
        <v>1299</v>
      </c>
      <c r="F72">
        <v>1</v>
      </c>
      <c r="G72" t="s">
        <v>376</v>
      </c>
      <c r="H72" t="s">
        <v>244</v>
      </c>
      <c r="I72" t="s">
        <v>1315</v>
      </c>
      <c r="J72">
        <v>1</v>
      </c>
      <c r="K72">
        <v>24</v>
      </c>
      <c r="L72">
        <v>24</v>
      </c>
      <c r="M72">
        <v>76000</v>
      </c>
      <c r="N72">
        <v>66.83</v>
      </c>
      <c r="O72" t="s">
        <v>77</v>
      </c>
      <c r="P72" t="s">
        <v>296</v>
      </c>
      <c r="Q72" t="s">
        <v>296</v>
      </c>
      <c r="R72" t="s">
        <v>296</v>
      </c>
    </row>
    <row r="73" spans="1:18">
      <c r="A73" t="s">
        <v>1202</v>
      </c>
      <c r="B73" t="s">
        <v>1306</v>
      </c>
      <c r="C73" t="s">
        <v>1215</v>
      </c>
      <c r="D73" t="s">
        <v>1307</v>
      </c>
      <c r="E73" t="s">
        <v>1299</v>
      </c>
      <c r="F73">
        <v>1</v>
      </c>
      <c r="G73" t="s">
        <v>376</v>
      </c>
      <c r="H73" t="s">
        <v>244</v>
      </c>
      <c r="I73" t="s">
        <v>1315</v>
      </c>
      <c r="J73">
        <v>5</v>
      </c>
      <c r="K73">
        <v>57</v>
      </c>
      <c r="L73">
        <v>57</v>
      </c>
      <c r="M73">
        <v>76000</v>
      </c>
      <c r="N73">
        <v>329.25</v>
      </c>
      <c r="O73" t="s">
        <v>77</v>
      </c>
      <c r="P73" t="s">
        <v>296</v>
      </c>
      <c r="Q73" t="s">
        <v>296</v>
      </c>
      <c r="R73" t="s">
        <v>296</v>
      </c>
    </row>
    <row r="74" spans="1:18">
      <c r="A74" t="s">
        <v>1202</v>
      </c>
      <c r="B74" t="s">
        <v>1306</v>
      </c>
      <c r="C74" t="s">
        <v>1309</v>
      </c>
      <c r="D74" t="s">
        <v>1307</v>
      </c>
      <c r="E74" t="s">
        <v>1299</v>
      </c>
      <c r="F74">
        <v>1</v>
      </c>
      <c r="G74" t="s">
        <v>376</v>
      </c>
      <c r="H74" t="s">
        <v>244</v>
      </c>
      <c r="I74" t="s">
        <v>1315</v>
      </c>
      <c r="J74">
        <v>5</v>
      </c>
      <c r="K74">
        <v>57</v>
      </c>
      <c r="L74">
        <v>57</v>
      </c>
      <c r="M74">
        <v>76000</v>
      </c>
      <c r="N74">
        <v>338.76</v>
      </c>
      <c r="O74" t="s">
        <v>77</v>
      </c>
      <c r="P74" t="s">
        <v>296</v>
      </c>
      <c r="Q74" t="s">
        <v>296</v>
      </c>
      <c r="R74" t="s">
        <v>296</v>
      </c>
    </row>
    <row r="75" spans="1:18">
      <c r="A75" t="s">
        <v>1202</v>
      </c>
      <c r="B75" t="s">
        <v>1310</v>
      </c>
      <c r="C75" t="s">
        <v>1270</v>
      </c>
      <c r="D75" t="s">
        <v>1307</v>
      </c>
      <c r="E75" t="s">
        <v>1299</v>
      </c>
      <c r="F75">
        <v>1</v>
      </c>
      <c r="G75" t="s">
        <v>376</v>
      </c>
      <c r="H75" t="s">
        <v>244</v>
      </c>
      <c r="I75" t="s">
        <v>1315</v>
      </c>
      <c r="J75">
        <v>4</v>
      </c>
      <c r="K75">
        <v>77</v>
      </c>
      <c r="L75">
        <v>77</v>
      </c>
      <c r="M75">
        <v>76000</v>
      </c>
      <c r="N75">
        <v>273.77999999999997</v>
      </c>
      <c r="O75" t="s">
        <v>77</v>
      </c>
      <c r="P75" t="s">
        <v>296</v>
      </c>
      <c r="Q75" t="s">
        <v>296</v>
      </c>
      <c r="R75" t="s">
        <v>296</v>
      </c>
    </row>
    <row r="76" spans="1:18">
      <c r="A76" t="s">
        <v>1202</v>
      </c>
      <c r="B76" t="s">
        <v>1312</v>
      </c>
      <c r="C76" t="s">
        <v>1313</v>
      </c>
      <c r="D76" t="s">
        <v>1307</v>
      </c>
      <c r="E76" t="s">
        <v>1299</v>
      </c>
      <c r="F76">
        <v>1</v>
      </c>
      <c r="G76" t="s">
        <v>376</v>
      </c>
      <c r="H76" t="s">
        <v>244</v>
      </c>
      <c r="I76" t="s">
        <v>1316</v>
      </c>
      <c r="J76">
        <v>6</v>
      </c>
      <c r="K76">
        <v>24</v>
      </c>
      <c r="L76">
        <v>24</v>
      </c>
      <c r="M76">
        <v>85500</v>
      </c>
      <c r="N76">
        <v>504</v>
      </c>
      <c r="O76" t="s">
        <v>77</v>
      </c>
      <c r="P76" t="s">
        <v>296</v>
      </c>
      <c r="Q76" t="s">
        <v>296</v>
      </c>
      <c r="R76" t="s">
        <v>296</v>
      </c>
    </row>
    <row r="77" spans="1:18">
      <c r="A77" t="s">
        <v>1202</v>
      </c>
      <c r="B77" t="s">
        <v>1306</v>
      </c>
      <c r="C77" t="s">
        <v>1215</v>
      </c>
      <c r="D77" t="s">
        <v>1307</v>
      </c>
      <c r="E77" t="s">
        <v>1299</v>
      </c>
      <c r="F77">
        <v>1</v>
      </c>
      <c r="G77" t="s">
        <v>376</v>
      </c>
      <c r="H77" t="s">
        <v>244</v>
      </c>
      <c r="I77" t="s">
        <v>1316</v>
      </c>
      <c r="J77">
        <v>6</v>
      </c>
      <c r="K77">
        <v>57</v>
      </c>
      <c r="L77">
        <v>57</v>
      </c>
      <c r="M77">
        <v>85500</v>
      </c>
      <c r="N77">
        <v>484.65</v>
      </c>
      <c r="O77" t="s">
        <v>77</v>
      </c>
      <c r="P77" t="s">
        <v>296</v>
      </c>
      <c r="Q77" t="s">
        <v>296</v>
      </c>
      <c r="R77" t="s">
        <v>296</v>
      </c>
    </row>
    <row r="78" spans="1:18">
      <c r="A78" t="s">
        <v>1202</v>
      </c>
      <c r="B78" t="s">
        <v>1306</v>
      </c>
      <c r="C78" t="s">
        <v>1309</v>
      </c>
      <c r="D78" t="s">
        <v>1307</v>
      </c>
      <c r="E78" t="s">
        <v>1299</v>
      </c>
      <c r="F78">
        <v>1</v>
      </c>
      <c r="G78" t="s">
        <v>376</v>
      </c>
      <c r="H78" t="s">
        <v>244</v>
      </c>
      <c r="I78" t="s">
        <v>1316</v>
      </c>
      <c r="J78">
        <v>4</v>
      </c>
      <c r="K78">
        <v>57</v>
      </c>
      <c r="L78">
        <v>57</v>
      </c>
      <c r="M78">
        <v>85500</v>
      </c>
      <c r="N78">
        <v>327.55</v>
      </c>
      <c r="O78" t="s">
        <v>77</v>
      </c>
      <c r="P78" t="s">
        <v>296</v>
      </c>
      <c r="Q78" t="s">
        <v>296</v>
      </c>
      <c r="R78" t="s">
        <v>296</v>
      </c>
    </row>
    <row r="79" spans="1:18">
      <c r="A79" t="s">
        <v>1202</v>
      </c>
      <c r="B79" t="s">
        <v>1310</v>
      </c>
      <c r="C79" t="s">
        <v>1270</v>
      </c>
      <c r="D79" t="s">
        <v>1307</v>
      </c>
      <c r="E79" t="s">
        <v>1299</v>
      </c>
      <c r="F79">
        <v>1</v>
      </c>
      <c r="G79" t="s">
        <v>376</v>
      </c>
      <c r="H79" t="s">
        <v>244</v>
      </c>
      <c r="I79" t="s">
        <v>1316</v>
      </c>
      <c r="J79">
        <v>2</v>
      </c>
      <c r="K79">
        <v>77</v>
      </c>
      <c r="L79">
        <v>77</v>
      </c>
      <c r="M79">
        <v>85500</v>
      </c>
      <c r="N79">
        <v>166.8</v>
      </c>
      <c r="O79" t="s">
        <v>77</v>
      </c>
      <c r="P79" t="s">
        <v>296</v>
      </c>
      <c r="Q79" t="s">
        <v>296</v>
      </c>
      <c r="R79" t="s">
        <v>296</v>
      </c>
    </row>
    <row r="80" spans="1:18">
      <c r="A80" t="s">
        <v>1202</v>
      </c>
      <c r="B80" t="s">
        <v>1312</v>
      </c>
      <c r="C80" t="s">
        <v>1313</v>
      </c>
      <c r="D80" t="s">
        <v>1307</v>
      </c>
      <c r="E80" t="s">
        <v>1299</v>
      </c>
      <c r="F80">
        <v>1</v>
      </c>
      <c r="G80" t="s">
        <v>376</v>
      </c>
      <c r="H80" t="s">
        <v>165</v>
      </c>
      <c r="I80" t="s">
        <v>1317</v>
      </c>
      <c r="J80">
        <v>2</v>
      </c>
      <c r="K80">
        <v>24</v>
      </c>
      <c r="L80">
        <v>24</v>
      </c>
      <c r="M80">
        <v>85000</v>
      </c>
      <c r="N80">
        <v>171.25</v>
      </c>
      <c r="O80" t="s">
        <v>77</v>
      </c>
      <c r="P80" t="s">
        <v>296</v>
      </c>
      <c r="Q80" t="s">
        <v>296</v>
      </c>
      <c r="R80" t="s">
        <v>296</v>
      </c>
    </row>
    <row r="81" spans="1:18">
      <c r="A81" t="s">
        <v>1202</v>
      </c>
      <c r="B81" t="s">
        <v>1306</v>
      </c>
      <c r="C81" t="s">
        <v>1215</v>
      </c>
      <c r="D81" t="s">
        <v>1307</v>
      </c>
      <c r="E81" t="s">
        <v>1299</v>
      </c>
      <c r="F81">
        <v>1</v>
      </c>
      <c r="G81" t="s">
        <v>376</v>
      </c>
      <c r="H81" t="s">
        <v>165</v>
      </c>
      <c r="I81" t="s">
        <v>1317</v>
      </c>
      <c r="J81">
        <v>1</v>
      </c>
      <c r="K81">
        <v>57</v>
      </c>
      <c r="L81">
        <v>57</v>
      </c>
      <c r="M81">
        <v>85000</v>
      </c>
      <c r="N81">
        <v>81.2</v>
      </c>
      <c r="O81" t="s">
        <v>77</v>
      </c>
      <c r="P81" t="s">
        <v>296</v>
      </c>
      <c r="Q81" t="s">
        <v>296</v>
      </c>
      <c r="R81" t="s">
        <v>296</v>
      </c>
    </row>
    <row r="82" spans="1:18">
      <c r="A82" t="s">
        <v>1202</v>
      </c>
      <c r="B82" t="s">
        <v>1306</v>
      </c>
      <c r="C82" t="s">
        <v>1309</v>
      </c>
      <c r="D82" t="s">
        <v>1307</v>
      </c>
      <c r="E82" t="s">
        <v>1299</v>
      </c>
      <c r="F82">
        <v>1</v>
      </c>
      <c r="G82" t="s">
        <v>376</v>
      </c>
      <c r="H82" t="s">
        <v>165</v>
      </c>
      <c r="I82" t="s">
        <v>1317</v>
      </c>
      <c r="J82">
        <v>4</v>
      </c>
      <c r="K82">
        <v>57</v>
      </c>
      <c r="L82">
        <v>57</v>
      </c>
      <c r="M82">
        <v>85000</v>
      </c>
      <c r="N82">
        <v>332</v>
      </c>
      <c r="O82" t="s">
        <v>77</v>
      </c>
      <c r="P82" t="s">
        <v>296</v>
      </c>
      <c r="Q82" t="s">
        <v>296</v>
      </c>
      <c r="R82" t="s">
        <v>296</v>
      </c>
    </row>
    <row r="83" spans="1:18">
      <c r="A83" t="s">
        <v>1202</v>
      </c>
      <c r="B83" t="s">
        <v>1310</v>
      </c>
      <c r="C83" t="s">
        <v>1270</v>
      </c>
      <c r="D83" t="s">
        <v>1307</v>
      </c>
      <c r="E83" t="s">
        <v>1299</v>
      </c>
      <c r="F83">
        <v>1</v>
      </c>
      <c r="G83" t="s">
        <v>376</v>
      </c>
      <c r="H83" t="s">
        <v>165</v>
      </c>
      <c r="I83" t="s">
        <v>1317</v>
      </c>
      <c r="J83">
        <v>2</v>
      </c>
      <c r="K83">
        <v>77</v>
      </c>
      <c r="L83">
        <v>77</v>
      </c>
      <c r="M83">
        <v>85000</v>
      </c>
      <c r="N83">
        <v>170.5</v>
      </c>
      <c r="O83" t="s">
        <v>77</v>
      </c>
      <c r="P83" t="s">
        <v>296</v>
      </c>
      <c r="Q83" t="s">
        <v>296</v>
      </c>
      <c r="R83" t="s">
        <v>296</v>
      </c>
    </row>
    <row r="84" spans="1:18">
      <c r="A84" t="s">
        <v>1202</v>
      </c>
      <c r="B84" t="s">
        <v>1312</v>
      </c>
      <c r="C84" t="s">
        <v>1313</v>
      </c>
      <c r="D84" t="s">
        <v>1307</v>
      </c>
      <c r="E84" t="s">
        <v>1299</v>
      </c>
      <c r="F84">
        <v>1</v>
      </c>
      <c r="G84" t="s">
        <v>376</v>
      </c>
      <c r="H84" t="s">
        <v>165</v>
      </c>
      <c r="I84" t="s">
        <v>1318</v>
      </c>
      <c r="J84">
        <v>5</v>
      </c>
      <c r="K84">
        <v>24</v>
      </c>
      <c r="L84">
        <v>24</v>
      </c>
      <c r="M84">
        <v>64000</v>
      </c>
      <c r="N84">
        <v>322.7</v>
      </c>
      <c r="O84" t="s">
        <v>77</v>
      </c>
      <c r="P84" t="s">
        <v>296</v>
      </c>
      <c r="Q84" t="s">
        <v>296</v>
      </c>
      <c r="R84" t="s">
        <v>296</v>
      </c>
    </row>
    <row r="85" spans="1:18">
      <c r="A85" t="s">
        <v>1202</v>
      </c>
      <c r="B85" t="s">
        <v>1306</v>
      </c>
      <c r="C85" t="s">
        <v>1215</v>
      </c>
      <c r="D85" t="s">
        <v>1307</v>
      </c>
      <c r="E85" t="s">
        <v>1299</v>
      </c>
      <c r="F85">
        <v>1</v>
      </c>
      <c r="G85" t="s">
        <v>376</v>
      </c>
      <c r="H85" t="s">
        <v>165</v>
      </c>
      <c r="I85" t="s">
        <v>1318</v>
      </c>
      <c r="J85">
        <v>10</v>
      </c>
      <c r="K85">
        <v>57</v>
      </c>
      <c r="L85">
        <v>57</v>
      </c>
      <c r="M85">
        <v>64000</v>
      </c>
      <c r="N85">
        <v>639.29999999999995</v>
      </c>
      <c r="O85" t="s">
        <v>77</v>
      </c>
      <c r="P85" t="s">
        <v>296</v>
      </c>
      <c r="Q85" t="s">
        <v>296</v>
      </c>
      <c r="R85" t="s">
        <v>296</v>
      </c>
    </row>
    <row r="86" spans="1:18">
      <c r="A86" t="s">
        <v>1202</v>
      </c>
      <c r="B86" t="s">
        <v>1306</v>
      </c>
      <c r="C86" t="s">
        <v>1309</v>
      </c>
      <c r="D86" t="s">
        <v>1307</v>
      </c>
      <c r="E86" t="s">
        <v>1299</v>
      </c>
      <c r="F86">
        <v>1</v>
      </c>
      <c r="G86" t="s">
        <v>376</v>
      </c>
      <c r="H86" t="s">
        <v>165</v>
      </c>
      <c r="I86" t="s">
        <v>1318</v>
      </c>
      <c r="J86">
        <v>12</v>
      </c>
      <c r="K86">
        <v>57</v>
      </c>
      <c r="L86">
        <v>57</v>
      </c>
      <c r="M86">
        <v>64000</v>
      </c>
      <c r="N86">
        <v>778.55</v>
      </c>
      <c r="O86" t="s">
        <v>77</v>
      </c>
      <c r="P86" t="s">
        <v>296</v>
      </c>
      <c r="Q86" t="s">
        <v>296</v>
      </c>
      <c r="R86" t="s">
        <v>296</v>
      </c>
    </row>
    <row r="87" spans="1:18">
      <c r="A87" t="s">
        <v>1202</v>
      </c>
      <c r="B87" t="s">
        <v>1310</v>
      </c>
      <c r="C87" t="s">
        <v>1270</v>
      </c>
      <c r="D87" t="s">
        <v>1307</v>
      </c>
      <c r="E87" t="s">
        <v>1299</v>
      </c>
      <c r="F87">
        <v>1</v>
      </c>
      <c r="G87" t="s">
        <v>376</v>
      </c>
      <c r="H87" t="s">
        <v>165</v>
      </c>
      <c r="I87" t="s">
        <v>1318</v>
      </c>
      <c r="J87">
        <v>10</v>
      </c>
      <c r="K87">
        <v>77</v>
      </c>
      <c r="L87">
        <v>77</v>
      </c>
      <c r="M87">
        <v>64000</v>
      </c>
      <c r="N87">
        <v>657.73</v>
      </c>
      <c r="O87" t="s">
        <v>77</v>
      </c>
      <c r="P87" t="s">
        <v>296</v>
      </c>
      <c r="Q87" t="s">
        <v>296</v>
      </c>
      <c r="R87" t="s">
        <v>296</v>
      </c>
    </row>
    <row r="88" spans="1:18">
      <c r="A88" t="s">
        <v>1202</v>
      </c>
      <c r="B88" t="s">
        <v>1306</v>
      </c>
      <c r="C88" t="s">
        <v>1215</v>
      </c>
      <c r="D88" t="s">
        <v>1307</v>
      </c>
      <c r="E88" t="s">
        <v>1299</v>
      </c>
      <c r="F88">
        <v>1</v>
      </c>
      <c r="G88" t="s">
        <v>376</v>
      </c>
      <c r="H88" t="s">
        <v>165</v>
      </c>
      <c r="I88" t="s">
        <v>1319</v>
      </c>
      <c r="J88">
        <v>1</v>
      </c>
      <c r="K88">
        <v>57</v>
      </c>
      <c r="L88">
        <v>57</v>
      </c>
      <c r="M88">
        <v>85500</v>
      </c>
      <c r="N88">
        <v>60.17</v>
      </c>
      <c r="O88" t="s">
        <v>77</v>
      </c>
      <c r="P88" t="s">
        <v>296</v>
      </c>
      <c r="Q88" t="s">
        <v>296</v>
      </c>
      <c r="R88" t="s">
        <v>296</v>
      </c>
    </row>
    <row r="89" spans="1:18">
      <c r="A89" t="s">
        <v>1202</v>
      </c>
      <c r="B89" t="s">
        <v>1306</v>
      </c>
      <c r="C89" t="s">
        <v>1309</v>
      </c>
      <c r="D89" t="s">
        <v>1307</v>
      </c>
      <c r="E89" t="s">
        <v>1299</v>
      </c>
      <c r="F89">
        <v>1</v>
      </c>
      <c r="G89" t="s">
        <v>376</v>
      </c>
      <c r="H89" t="s">
        <v>165</v>
      </c>
      <c r="I89" t="s">
        <v>1319</v>
      </c>
      <c r="J89">
        <v>1</v>
      </c>
      <c r="K89">
        <v>57</v>
      </c>
      <c r="L89">
        <v>57</v>
      </c>
      <c r="M89">
        <v>85500</v>
      </c>
      <c r="N89">
        <v>59.62</v>
      </c>
      <c r="O89" t="s">
        <v>77</v>
      </c>
      <c r="P89" t="s">
        <v>296</v>
      </c>
      <c r="Q89" t="s">
        <v>296</v>
      </c>
      <c r="R89" t="s">
        <v>296</v>
      </c>
    </row>
    <row r="90" spans="1:18">
      <c r="A90" t="s">
        <v>1202</v>
      </c>
      <c r="B90" t="s">
        <v>1312</v>
      </c>
      <c r="C90" t="s">
        <v>1313</v>
      </c>
      <c r="D90" t="s">
        <v>1307</v>
      </c>
      <c r="E90" t="s">
        <v>1299</v>
      </c>
      <c r="F90">
        <v>1</v>
      </c>
      <c r="G90" t="s">
        <v>376</v>
      </c>
      <c r="H90" t="s">
        <v>165</v>
      </c>
      <c r="I90" t="s">
        <v>1320</v>
      </c>
      <c r="J90">
        <v>2</v>
      </c>
      <c r="K90">
        <v>24</v>
      </c>
      <c r="L90">
        <v>24</v>
      </c>
      <c r="M90">
        <v>85500</v>
      </c>
      <c r="N90">
        <v>166.75</v>
      </c>
      <c r="O90" t="s">
        <v>77</v>
      </c>
      <c r="P90" t="s">
        <v>296</v>
      </c>
      <c r="Q90" t="s">
        <v>296</v>
      </c>
      <c r="R90" t="s">
        <v>296</v>
      </c>
    </row>
    <row r="91" spans="1:18">
      <c r="A91" t="s">
        <v>1202</v>
      </c>
      <c r="B91" t="s">
        <v>1306</v>
      </c>
      <c r="C91" t="s">
        <v>1215</v>
      </c>
      <c r="D91" t="s">
        <v>1307</v>
      </c>
      <c r="E91" t="s">
        <v>1299</v>
      </c>
      <c r="F91">
        <v>1</v>
      </c>
      <c r="G91" t="s">
        <v>376</v>
      </c>
      <c r="H91" t="s">
        <v>165</v>
      </c>
      <c r="I91" t="s">
        <v>1320</v>
      </c>
      <c r="J91">
        <v>1</v>
      </c>
      <c r="K91">
        <v>57</v>
      </c>
      <c r="L91">
        <v>57</v>
      </c>
      <c r="M91">
        <v>85500</v>
      </c>
      <c r="N91">
        <v>82.4</v>
      </c>
      <c r="O91" t="s">
        <v>77</v>
      </c>
      <c r="P91" t="s">
        <v>296</v>
      </c>
      <c r="Q91" t="s">
        <v>296</v>
      </c>
      <c r="R91" t="s">
        <v>296</v>
      </c>
    </row>
    <row r="92" spans="1:18">
      <c r="A92" t="s">
        <v>1202</v>
      </c>
      <c r="B92" t="s">
        <v>1306</v>
      </c>
      <c r="C92" t="s">
        <v>1309</v>
      </c>
      <c r="D92" t="s">
        <v>1307</v>
      </c>
      <c r="E92" t="s">
        <v>1299</v>
      </c>
      <c r="F92">
        <v>1</v>
      </c>
      <c r="G92" t="s">
        <v>376</v>
      </c>
      <c r="H92" t="s">
        <v>165</v>
      </c>
      <c r="I92" t="s">
        <v>1320</v>
      </c>
      <c r="J92">
        <v>5</v>
      </c>
      <c r="K92">
        <v>57</v>
      </c>
      <c r="L92">
        <v>57</v>
      </c>
      <c r="M92">
        <v>85500</v>
      </c>
      <c r="N92">
        <v>420.8</v>
      </c>
      <c r="O92" t="s">
        <v>77</v>
      </c>
      <c r="P92" t="s">
        <v>296</v>
      </c>
      <c r="Q92" t="s">
        <v>296</v>
      </c>
      <c r="R92" t="s">
        <v>296</v>
      </c>
    </row>
    <row r="93" spans="1:18">
      <c r="A93" t="s">
        <v>1202</v>
      </c>
      <c r="B93" t="s">
        <v>1310</v>
      </c>
      <c r="C93" t="s">
        <v>1205</v>
      </c>
      <c r="D93" t="s">
        <v>1307</v>
      </c>
      <c r="E93" t="s">
        <v>1299</v>
      </c>
      <c r="F93">
        <v>1</v>
      </c>
      <c r="G93" t="s">
        <v>376</v>
      </c>
      <c r="H93" t="s">
        <v>165</v>
      </c>
      <c r="I93" t="s">
        <v>1320</v>
      </c>
      <c r="J93">
        <v>1</v>
      </c>
      <c r="K93">
        <v>77</v>
      </c>
      <c r="L93">
        <v>77</v>
      </c>
      <c r="M93">
        <v>85500</v>
      </c>
      <c r="N93">
        <v>78.25</v>
      </c>
      <c r="O93" t="s">
        <v>77</v>
      </c>
      <c r="P93" t="s">
        <v>296</v>
      </c>
      <c r="Q93" t="s">
        <v>296</v>
      </c>
      <c r="R93" t="s">
        <v>296</v>
      </c>
    </row>
    <row r="94" spans="1:18">
      <c r="A94" t="s">
        <v>1202</v>
      </c>
      <c r="B94" t="s">
        <v>1310</v>
      </c>
      <c r="C94" t="s">
        <v>1270</v>
      </c>
      <c r="D94" t="s">
        <v>1307</v>
      </c>
      <c r="E94" t="s">
        <v>1299</v>
      </c>
      <c r="F94">
        <v>1</v>
      </c>
      <c r="G94" t="s">
        <v>376</v>
      </c>
      <c r="H94" t="s">
        <v>165</v>
      </c>
      <c r="I94" t="s">
        <v>1320</v>
      </c>
      <c r="J94">
        <v>1</v>
      </c>
      <c r="K94">
        <v>77</v>
      </c>
      <c r="L94">
        <v>77</v>
      </c>
      <c r="M94">
        <v>85500</v>
      </c>
      <c r="N94">
        <v>83.6</v>
      </c>
      <c r="O94" t="s">
        <v>77</v>
      </c>
      <c r="P94" t="s">
        <v>296</v>
      </c>
      <c r="Q94" t="s">
        <v>296</v>
      </c>
      <c r="R94" t="s">
        <v>296</v>
      </c>
    </row>
    <row r="95" spans="1:18">
      <c r="A95" t="s">
        <v>1202</v>
      </c>
      <c r="B95" t="s">
        <v>1321</v>
      </c>
      <c r="C95" t="s">
        <v>1322</v>
      </c>
      <c r="D95" t="s">
        <v>1307</v>
      </c>
      <c r="E95" t="s">
        <v>1299</v>
      </c>
      <c r="F95">
        <v>1</v>
      </c>
      <c r="G95" t="s">
        <v>376</v>
      </c>
      <c r="H95" t="s">
        <v>243</v>
      </c>
      <c r="I95" t="s">
        <v>1225</v>
      </c>
      <c r="J95">
        <v>8</v>
      </c>
      <c r="K95">
        <v>58</v>
      </c>
      <c r="L95">
        <v>58</v>
      </c>
      <c r="M95">
        <v>45000</v>
      </c>
      <c r="N95">
        <v>357.9</v>
      </c>
      <c r="O95" t="s">
        <v>77</v>
      </c>
      <c r="P95" t="s">
        <v>296</v>
      </c>
      <c r="Q95" t="s">
        <v>296</v>
      </c>
      <c r="R95" t="s">
        <v>296</v>
      </c>
    </row>
    <row r="96" spans="1:18">
      <c r="A96" t="s">
        <v>1202</v>
      </c>
      <c r="B96" t="s">
        <v>1321</v>
      </c>
      <c r="C96" t="s">
        <v>1322</v>
      </c>
      <c r="D96" t="s">
        <v>1307</v>
      </c>
      <c r="E96" t="s">
        <v>1299</v>
      </c>
      <c r="F96">
        <v>1</v>
      </c>
      <c r="G96" t="s">
        <v>376</v>
      </c>
      <c r="H96" t="s">
        <v>243</v>
      </c>
      <c r="I96" t="s">
        <v>1323</v>
      </c>
      <c r="J96">
        <v>6</v>
      </c>
      <c r="K96">
        <v>58</v>
      </c>
      <c r="L96">
        <v>58</v>
      </c>
      <c r="M96">
        <v>50000</v>
      </c>
      <c r="N96">
        <v>308.60000000000002</v>
      </c>
      <c r="O96" t="s">
        <v>77</v>
      </c>
      <c r="Q96" t="s">
        <v>296</v>
      </c>
      <c r="R96" t="s">
        <v>296</v>
      </c>
    </row>
    <row r="97" spans="1:18">
      <c r="A97" t="s">
        <v>1202</v>
      </c>
      <c r="B97" t="s">
        <v>1306</v>
      </c>
      <c r="C97" t="s">
        <v>1215</v>
      </c>
      <c r="D97" t="s">
        <v>1307</v>
      </c>
      <c r="E97" t="s">
        <v>1302</v>
      </c>
      <c r="F97">
        <v>2</v>
      </c>
      <c r="G97" t="s">
        <v>376</v>
      </c>
      <c r="H97" t="s">
        <v>244</v>
      </c>
      <c r="I97" t="s">
        <v>1308</v>
      </c>
      <c r="J97">
        <v>1</v>
      </c>
      <c r="K97">
        <v>57</v>
      </c>
      <c r="L97">
        <v>57</v>
      </c>
      <c r="M97">
        <v>70000</v>
      </c>
      <c r="N97">
        <v>68.05</v>
      </c>
      <c r="O97" t="s">
        <v>76</v>
      </c>
      <c r="Q97" t="s">
        <v>296</v>
      </c>
      <c r="R97" t="s">
        <v>296</v>
      </c>
    </row>
    <row r="98" spans="1:18">
      <c r="A98" t="s">
        <v>1202</v>
      </c>
      <c r="B98" t="s">
        <v>1310</v>
      </c>
      <c r="C98" t="s">
        <v>1205</v>
      </c>
      <c r="D98" t="s">
        <v>1307</v>
      </c>
      <c r="E98" t="s">
        <v>1302</v>
      </c>
      <c r="F98">
        <v>2</v>
      </c>
      <c r="G98" t="s">
        <v>376</v>
      </c>
      <c r="H98" t="s">
        <v>244</v>
      </c>
      <c r="I98" t="s">
        <v>1308</v>
      </c>
      <c r="J98">
        <v>1</v>
      </c>
      <c r="K98">
        <v>77</v>
      </c>
      <c r="L98">
        <v>77</v>
      </c>
      <c r="M98">
        <v>70000</v>
      </c>
      <c r="N98">
        <v>69.8</v>
      </c>
      <c r="O98" t="s">
        <v>76</v>
      </c>
      <c r="Q98" t="s">
        <v>296</v>
      </c>
      <c r="R98" t="s">
        <v>296</v>
      </c>
    </row>
    <row r="99" spans="1:18">
      <c r="A99" t="s">
        <v>1202</v>
      </c>
      <c r="B99" t="s">
        <v>1312</v>
      </c>
      <c r="C99" t="s">
        <v>1324</v>
      </c>
      <c r="D99" t="s">
        <v>1307</v>
      </c>
      <c r="E99" t="s">
        <v>1302</v>
      </c>
      <c r="F99">
        <v>2</v>
      </c>
      <c r="G99" t="s">
        <v>376</v>
      </c>
      <c r="H99" t="s">
        <v>244</v>
      </c>
      <c r="I99" t="s">
        <v>1311</v>
      </c>
      <c r="J99">
        <v>2</v>
      </c>
      <c r="K99">
        <v>38</v>
      </c>
      <c r="L99">
        <v>38</v>
      </c>
      <c r="M99">
        <v>90000</v>
      </c>
      <c r="N99">
        <v>164.5</v>
      </c>
      <c r="O99" t="s">
        <v>76</v>
      </c>
      <c r="Q99" t="s">
        <v>296</v>
      </c>
      <c r="R99" t="s">
        <v>296</v>
      </c>
    </row>
    <row r="100" spans="1:18">
      <c r="A100" t="s">
        <v>1202</v>
      </c>
      <c r="B100" t="s">
        <v>1306</v>
      </c>
      <c r="C100" t="s">
        <v>1309</v>
      </c>
      <c r="D100" t="s">
        <v>1307</v>
      </c>
      <c r="E100" t="s">
        <v>1302</v>
      </c>
      <c r="F100">
        <v>2</v>
      </c>
      <c r="G100" t="s">
        <v>376</v>
      </c>
      <c r="H100" t="s">
        <v>244</v>
      </c>
      <c r="I100" t="s">
        <v>1311</v>
      </c>
      <c r="J100">
        <v>1</v>
      </c>
      <c r="K100">
        <v>57</v>
      </c>
      <c r="L100">
        <v>57</v>
      </c>
      <c r="M100">
        <v>90000</v>
      </c>
      <c r="N100">
        <v>83.35</v>
      </c>
      <c r="O100" t="s">
        <v>76</v>
      </c>
      <c r="P100" t="s">
        <v>296</v>
      </c>
      <c r="Q100" t="s">
        <v>296</v>
      </c>
      <c r="R100" t="s">
        <v>296</v>
      </c>
    </row>
    <row r="101" spans="1:18">
      <c r="A101" t="s">
        <v>1202</v>
      </c>
      <c r="B101" t="s">
        <v>1310</v>
      </c>
      <c r="C101" t="s">
        <v>1205</v>
      </c>
      <c r="D101" t="s">
        <v>1307</v>
      </c>
      <c r="E101" t="s">
        <v>1302</v>
      </c>
      <c r="F101">
        <v>2</v>
      </c>
      <c r="G101" t="s">
        <v>376</v>
      </c>
      <c r="H101" t="s">
        <v>244</v>
      </c>
      <c r="I101" t="s">
        <v>1314</v>
      </c>
      <c r="J101">
        <v>2</v>
      </c>
      <c r="K101">
        <v>77</v>
      </c>
      <c r="L101">
        <v>77</v>
      </c>
      <c r="M101">
        <v>76000</v>
      </c>
      <c r="N101">
        <v>136.9</v>
      </c>
      <c r="O101" t="s">
        <v>76</v>
      </c>
      <c r="P101" t="s">
        <v>296</v>
      </c>
      <c r="Q101" t="s">
        <v>296</v>
      </c>
      <c r="R101" t="s">
        <v>296</v>
      </c>
    </row>
    <row r="102" spans="1:18">
      <c r="A102" t="s">
        <v>1202</v>
      </c>
      <c r="B102" t="s">
        <v>1312</v>
      </c>
      <c r="C102" t="s">
        <v>1324</v>
      </c>
      <c r="D102" t="s">
        <v>1307</v>
      </c>
      <c r="E102" t="s">
        <v>1302</v>
      </c>
      <c r="F102">
        <v>2</v>
      </c>
      <c r="G102" t="s">
        <v>376</v>
      </c>
      <c r="H102" t="s">
        <v>244</v>
      </c>
      <c r="I102" t="s">
        <v>1325</v>
      </c>
      <c r="J102">
        <v>6</v>
      </c>
      <c r="K102">
        <v>38</v>
      </c>
      <c r="L102">
        <v>38</v>
      </c>
      <c r="M102">
        <v>76000</v>
      </c>
      <c r="N102">
        <v>437.15</v>
      </c>
      <c r="O102" t="s">
        <v>76</v>
      </c>
      <c r="P102" t="s">
        <v>296</v>
      </c>
      <c r="Q102" t="s">
        <v>296</v>
      </c>
      <c r="R102" t="s">
        <v>296</v>
      </c>
    </row>
    <row r="103" spans="1:18">
      <c r="A103" t="s">
        <v>1202</v>
      </c>
      <c r="B103" t="s">
        <v>1306</v>
      </c>
      <c r="C103" t="s">
        <v>1309</v>
      </c>
      <c r="D103" t="s">
        <v>1307</v>
      </c>
      <c r="E103" t="s">
        <v>1302</v>
      </c>
      <c r="F103">
        <v>2</v>
      </c>
      <c r="G103" t="s">
        <v>376</v>
      </c>
      <c r="H103" t="s">
        <v>244</v>
      </c>
      <c r="I103" t="s">
        <v>1325</v>
      </c>
      <c r="J103">
        <v>1</v>
      </c>
      <c r="K103">
        <v>57</v>
      </c>
      <c r="L103">
        <v>57</v>
      </c>
      <c r="M103">
        <v>76000</v>
      </c>
      <c r="N103">
        <v>71.95</v>
      </c>
      <c r="O103" t="s">
        <v>76</v>
      </c>
      <c r="P103" t="s">
        <v>296</v>
      </c>
      <c r="Q103" t="s">
        <v>296</v>
      </c>
      <c r="R103" t="s">
        <v>296</v>
      </c>
    </row>
    <row r="104" spans="1:18">
      <c r="A104" t="s">
        <v>1202</v>
      </c>
      <c r="B104" t="s">
        <v>1312</v>
      </c>
      <c r="C104" t="s">
        <v>1324</v>
      </c>
      <c r="D104" t="s">
        <v>1307</v>
      </c>
      <c r="E104" t="s">
        <v>1302</v>
      </c>
      <c r="F104">
        <v>2</v>
      </c>
      <c r="G104" t="s">
        <v>376</v>
      </c>
      <c r="H104" t="s">
        <v>244</v>
      </c>
      <c r="I104" t="s">
        <v>1326</v>
      </c>
      <c r="J104">
        <v>1</v>
      </c>
      <c r="K104">
        <v>38</v>
      </c>
      <c r="L104">
        <v>38</v>
      </c>
      <c r="M104">
        <v>65000</v>
      </c>
      <c r="N104">
        <v>64.75</v>
      </c>
      <c r="O104" t="s">
        <v>76</v>
      </c>
      <c r="P104" t="s">
        <v>296</v>
      </c>
      <c r="Q104" t="s">
        <v>296</v>
      </c>
      <c r="R104" t="s">
        <v>296</v>
      </c>
    </row>
    <row r="105" spans="1:18">
      <c r="A105" t="s">
        <v>1202</v>
      </c>
      <c r="B105" t="s">
        <v>1312</v>
      </c>
      <c r="C105" t="s">
        <v>1324</v>
      </c>
      <c r="D105" t="s">
        <v>1307</v>
      </c>
      <c r="E105" t="s">
        <v>1302</v>
      </c>
      <c r="F105">
        <v>2</v>
      </c>
      <c r="G105" t="s">
        <v>376</v>
      </c>
      <c r="H105" t="s">
        <v>244</v>
      </c>
      <c r="I105" t="s">
        <v>1315</v>
      </c>
      <c r="J105">
        <v>6</v>
      </c>
      <c r="K105">
        <v>38</v>
      </c>
      <c r="L105">
        <v>38</v>
      </c>
      <c r="M105">
        <v>76000</v>
      </c>
      <c r="N105">
        <v>409.19</v>
      </c>
      <c r="O105" t="s">
        <v>76</v>
      </c>
      <c r="P105" t="s">
        <v>296</v>
      </c>
      <c r="Q105" t="s">
        <v>296</v>
      </c>
      <c r="R105" t="s">
        <v>296</v>
      </c>
    </row>
    <row r="106" spans="1:18">
      <c r="A106" t="s">
        <v>1202</v>
      </c>
      <c r="B106" t="s">
        <v>1306</v>
      </c>
      <c r="C106" t="s">
        <v>1309</v>
      </c>
      <c r="D106" t="s">
        <v>1307</v>
      </c>
      <c r="E106" t="s">
        <v>1302</v>
      </c>
      <c r="F106">
        <v>2</v>
      </c>
      <c r="G106" t="s">
        <v>376</v>
      </c>
      <c r="H106" t="s">
        <v>244</v>
      </c>
      <c r="I106" t="s">
        <v>1315</v>
      </c>
      <c r="J106">
        <v>2</v>
      </c>
      <c r="K106">
        <v>57</v>
      </c>
      <c r="L106">
        <v>57</v>
      </c>
      <c r="M106">
        <v>76000</v>
      </c>
      <c r="N106">
        <v>134.47999999999999</v>
      </c>
      <c r="O106" t="s">
        <v>76</v>
      </c>
      <c r="P106" t="s">
        <v>296</v>
      </c>
      <c r="Q106" t="s">
        <v>296</v>
      </c>
      <c r="R106" t="s">
        <v>296</v>
      </c>
    </row>
    <row r="107" spans="1:18">
      <c r="A107" t="s">
        <v>1202</v>
      </c>
      <c r="B107" t="s">
        <v>1310</v>
      </c>
      <c r="C107" t="s">
        <v>1205</v>
      </c>
      <c r="D107" t="s">
        <v>1307</v>
      </c>
      <c r="E107" t="s">
        <v>1302</v>
      </c>
      <c r="F107">
        <v>2</v>
      </c>
      <c r="G107" t="s">
        <v>376</v>
      </c>
      <c r="H107" t="s">
        <v>244</v>
      </c>
      <c r="I107" t="s">
        <v>1315</v>
      </c>
      <c r="J107">
        <v>3</v>
      </c>
      <c r="K107">
        <v>77</v>
      </c>
      <c r="L107">
        <v>77</v>
      </c>
      <c r="M107">
        <v>76000</v>
      </c>
      <c r="N107">
        <v>194.56</v>
      </c>
      <c r="O107" t="s">
        <v>76</v>
      </c>
      <c r="P107" t="s">
        <v>296</v>
      </c>
      <c r="Q107" t="s">
        <v>296</v>
      </c>
      <c r="R107" t="s">
        <v>296</v>
      </c>
    </row>
    <row r="108" spans="1:18">
      <c r="A108" t="s">
        <v>1202</v>
      </c>
      <c r="B108" t="s">
        <v>1312</v>
      </c>
      <c r="C108" t="s">
        <v>1324</v>
      </c>
      <c r="D108" t="s">
        <v>1307</v>
      </c>
      <c r="E108" t="s">
        <v>1302</v>
      </c>
      <c r="F108">
        <v>2</v>
      </c>
      <c r="G108" t="s">
        <v>376</v>
      </c>
      <c r="H108" t="s">
        <v>244</v>
      </c>
      <c r="I108" t="s">
        <v>1316</v>
      </c>
      <c r="J108">
        <v>6</v>
      </c>
      <c r="K108">
        <v>38</v>
      </c>
      <c r="L108">
        <v>38</v>
      </c>
      <c r="M108">
        <v>85500</v>
      </c>
      <c r="N108">
        <v>488.25</v>
      </c>
      <c r="O108" t="s">
        <v>76</v>
      </c>
      <c r="P108" t="s">
        <v>296</v>
      </c>
      <c r="Q108" t="s">
        <v>296</v>
      </c>
      <c r="R108" t="s">
        <v>296</v>
      </c>
    </row>
    <row r="109" spans="1:18">
      <c r="A109" t="s">
        <v>1202</v>
      </c>
      <c r="B109" t="s">
        <v>1306</v>
      </c>
      <c r="C109" t="s">
        <v>1309</v>
      </c>
      <c r="D109" t="s">
        <v>1307</v>
      </c>
      <c r="E109" t="s">
        <v>1302</v>
      </c>
      <c r="F109">
        <v>2</v>
      </c>
      <c r="G109" t="s">
        <v>376</v>
      </c>
      <c r="H109" t="s">
        <v>244</v>
      </c>
      <c r="I109" t="s">
        <v>1316</v>
      </c>
      <c r="J109">
        <v>2</v>
      </c>
      <c r="K109">
        <v>57</v>
      </c>
      <c r="L109">
        <v>57</v>
      </c>
      <c r="M109">
        <v>85500</v>
      </c>
      <c r="N109">
        <v>160.5</v>
      </c>
      <c r="O109" t="s">
        <v>76</v>
      </c>
      <c r="P109" t="s">
        <v>296</v>
      </c>
      <c r="Q109" t="s">
        <v>296</v>
      </c>
      <c r="R109" t="s">
        <v>296</v>
      </c>
    </row>
    <row r="110" spans="1:18">
      <c r="A110" t="s">
        <v>1202</v>
      </c>
      <c r="B110" t="s">
        <v>1310</v>
      </c>
      <c r="C110" t="s">
        <v>1205</v>
      </c>
      <c r="D110" t="s">
        <v>1307</v>
      </c>
      <c r="E110" t="s">
        <v>1302</v>
      </c>
      <c r="F110">
        <v>2</v>
      </c>
      <c r="G110" t="s">
        <v>376</v>
      </c>
      <c r="H110" t="s">
        <v>244</v>
      </c>
      <c r="I110" t="s">
        <v>1316</v>
      </c>
      <c r="J110">
        <v>3</v>
      </c>
      <c r="K110">
        <v>77</v>
      </c>
      <c r="L110">
        <v>77</v>
      </c>
      <c r="M110">
        <v>85500</v>
      </c>
      <c r="N110">
        <v>239.2</v>
      </c>
      <c r="O110" t="s">
        <v>76</v>
      </c>
      <c r="P110" t="s">
        <v>296</v>
      </c>
      <c r="Q110" t="s">
        <v>296</v>
      </c>
      <c r="R110" t="s">
        <v>296</v>
      </c>
    </row>
    <row r="111" spans="1:18">
      <c r="A111" t="s">
        <v>1202</v>
      </c>
      <c r="B111" t="s">
        <v>1306</v>
      </c>
      <c r="C111" t="s">
        <v>1309</v>
      </c>
      <c r="D111" t="s">
        <v>1307</v>
      </c>
      <c r="E111" t="s">
        <v>1302</v>
      </c>
      <c r="F111">
        <v>2</v>
      </c>
      <c r="G111" t="s">
        <v>376</v>
      </c>
      <c r="H111" t="s">
        <v>165</v>
      </c>
      <c r="I111" t="s">
        <v>1317</v>
      </c>
      <c r="J111">
        <v>6</v>
      </c>
      <c r="K111">
        <v>57</v>
      </c>
      <c r="L111">
        <v>57</v>
      </c>
      <c r="M111">
        <v>85000</v>
      </c>
      <c r="N111">
        <v>511.85</v>
      </c>
      <c r="O111" t="s">
        <v>76</v>
      </c>
      <c r="P111" t="s">
        <v>296</v>
      </c>
      <c r="Q111" t="s">
        <v>296</v>
      </c>
      <c r="R111" t="s">
        <v>296</v>
      </c>
    </row>
    <row r="112" spans="1:18">
      <c r="A112" t="s">
        <v>1202</v>
      </c>
      <c r="B112" t="s">
        <v>1310</v>
      </c>
      <c r="C112" t="s">
        <v>1205</v>
      </c>
      <c r="D112" t="s">
        <v>1307</v>
      </c>
      <c r="E112" t="s">
        <v>1302</v>
      </c>
      <c r="F112">
        <v>2</v>
      </c>
      <c r="G112" t="s">
        <v>376</v>
      </c>
      <c r="H112" t="s">
        <v>165</v>
      </c>
      <c r="I112" t="s">
        <v>1317</v>
      </c>
      <c r="J112">
        <v>8</v>
      </c>
      <c r="K112">
        <v>77</v>
      </c>
      <c r="L112">
        <v>77</v>
      </c>
      <c r="M112">
        <v>85000</v>
      </c>
      <c r="N112">
        <v>682.15</v>
      </c>
      <c r="O112" t="s">
        <v>76</v>
      </c>
      <c r="P112" t="s">
        <v>296</v>
      </c>
      <c r="Q112" t="s">
        <v>296</v>
      </c>
      <c r="R112" t="s">
        <v>296</v>
      </c>
    </row>
    <row r="113" spans="1:18">
      <c r="A113" t="s">
        <v>1202</v>
      </c>
      <c r="B113" t="s">
        <v>1310</v>
      </c>
      <c r="C113" t="s">
        <v>1270</v>
      </c>
      <c r="D113" t="s">
        <v>1307</v>
      </c>
      <c r="E113" t="s">
        <v>1302</v>
      </c>
      <c r="F113">
        <v>2</v>
      </c>
      <c r="G113" t="s">
        <v>376</v>
      </c>
      <c r="H113" t="s">
        <v>165</v>
      </c>
      <c r="I113" t="s">
        <v>1317</v>
      </c>
      <c r="J113">
        <v>1</v>
      </c>
      <c r="K113">
        <v>77</v>
      </c>
      <c r="L113">
        <v>77</v>
      </c>
      <c r="M113">
        <v>85000</v>
      </c>
      <c r="N113">
        <v>83.35</v>
      </c>
      <c r="O113" t="s">
        <v>76</v>
      </c>
      <c r="P113" t="s">
        <v>296</v>
      </c>
      <c r="Q113" t="s">
        <v>296</v>
      </c>
      <c r="R113" t="s">
        <v>296</v>
      </c>
    </row>
    <row r="114" spans="1:18">
      <c r="A114" t="s">
        <v>1202</v>
      </c>
      <c r="B114" t="s">
        <v>1312</v>
      </c>
      <c r="C114" t="s">
        <v>1324</v>
      </c>
      <c r="D114" t="s">
        <v>1307</v>
      </c>
      <c r="E114" t="s">
        <v>1302</v>
      </c>
      <c r="F114">
        <v>2</v>
      </c>
      <c r="G114" t="s">
        <v>376</v>
      </c>
      <c r="H114" t="s">
        <v>165</v>
      </c>
      <c r="I114" t="s">
        <v>1318</v>
      </c>
      <c r="J114">
        <v>11</v>
      </c>
      <c r="K114">
        <v>38</v>
      </c>
      <c r="L114">
        <v>38</v>
      </c>
      <c r="M114">
        <v>64000</v>
      </c>
      <c r="N114">
        <v>722.38</v>
      </c>
      <c r="O114" t="s">
        <v>76</v>
      </c>
      <c r="P114" t="s">
        <v>296</v>
      </c>
      <c r="Q114" t="s">
        <v>296</v>
      </c>
      <c r="R114" t="s">
        <v>296</v>
      </c>
    </row>
    <row r="115" spans="1:18">
      <c r="A115" t="s">
        <v>1202</v>
      </c>
      <c r="B115" t="s">
        <v>1306</v>
      </c>
      <c r="C115" t="s">
        <v>1309</v>
      </c>
      <c r="D115" t="s">
        <v>1307</v>
      </c>
      <c r="E115" t="s">
        <v>1302</v>
      </c>
      <c r="F115">
        <v>2</v>
      </c>
      <c r="G115" t="s">
        <v>376</v>
      </c>
      <c r="H115" t="s">
        <v>165</v>
      </c>
      <c r="I115" t="s">
        <v>1318</v>
      </c>
      <c r="J115">
        <v>18</v>
      </c>
      <c r="K115">
        <v>57</v>
      </c>
      <c r="L115">
        <v>57</v>
      </c>
      <c r="M115">
        <v>64000</v>
      </c>
      <c r="N115">
        <v>1184.5</v>
      </c>
      <c r="O115" t="s">
        <v>76</v>
      </c>
      <c r="P115" t="s">
        <v>296</v>
      </c>
      <c r="Q115" t="s">
        <v>296</v>
      </c>
      <c r="R115" t="s">
        <v>296</v>
      </c>
    </row>
    <row r="116" spans="1:18">
      <c r="A116" t="s">
        <v>1202</v>
      </c>
      <c r="B116" t="s">
        <v>1310</v>
      </c>
      <c r="C116" t="s">
        <v>1205</v>
      </c>
      <c r="D116" t="s">
        <v>1307</v>
      </c>
      <c r="E116" t="s">
        <v>1302</v>
      </c>
      <c r="F116">
        <v>2</v>
      </c>
      <c r="G116" t="s">
        <v>376</v>
      </c>
      <c r="H116" t="s">
        <v>165</v>
      </c>
      <c r="I116" t="s">
        <v>1318</v>
      </c>
      <c r="J116">
        <v>13</v>
      </c>
      <c r="K116">
        <v>77</v>
      </c>
      <c r="L116">
        <v>77</v>
      </c>
      <c r="M116">
        <v>64000</v>
      </c>
      <c r="N116">
        <v>854.21</v>
      </c>
      <c r="O116" t="s">
        <v>76</v>
      </c>
      <c r="P116" t="s">
        <v>296</v>
      </c>
      <c r="Q116" t="s">
        <v>296</v>
      </c>
      <c r="R116" t="s">
        <v>296</v>
      </c>
    </row>
    <row r="117" spans="1:18">
      <c r="A117" t="s">
        <v>1202</v>
      </c>
      <c r="B117" t="s">
        <v>1306</v>
      </c>
      <c r="C117" t="s">
        <v>1309</v>
      </c>
      <c r="D117" t="s">
        <v>1307</v>
      </c>
      <c r="E117" t="s">
        <v>1302</v>
      </c>
      <c r="F117">
        <v>2</v>
      </c>
      <c r="G117" t="s">
        <v>376</v>
      </c>
      <c r="H117" t="s">
        <v>165</v>
      </c>
      <c r="I117" t="s">
        <v>1319</v>
      </c>
      <c r="J117">
        <v>1</v>
      </c>
      <c r="K117">
        <v>57</v>
      </c>
      <c r="L117">
        <v>57</v>
      </c>
      <c r="M117">
        <v>85500</v>
      </c>
      <c r="N117">
        <v>63.07</v>
      </c>
      <c r="O117" t="s">
        <v>76</v>
      </c>
      <c r="P117" t="s">
        <v>296</v>
      </c>
      <c r="Q117" t="s">
        <v>296</v>
      </c>
      <c r="R117" t="s">
        <v>296</v>
      </c>
    </row>
    <row r="118" spans="1:18">
      <c r="A118" t="s">
        <v>1202</v>
      </c>
      <c r="B118" t="s">
        <v>1310</v>
      </c>
      <c r="C118" t="s">
        <v>1205</v>
      </c>
      <c r="D118" t="s">
        <v>1307</v>
      </c>
      <c r="E118" t="s">
        <v>1302</v>
      </c>
      <c r="F118">
        <v>2</v>
      </c>
      <c r="G118" t="s">
        <v>376</v>
      </c>
      <c r="H118" t="s">
        <v>165</v>
      </c>
      <c r="I118" t="s">
        <v>1319</v>
      </c>
      <c r="J118">
        <v>1</v>
      </c>
      <c r="K118">
        <v>77</v>
      </c>
      <c r="L118">
        <v>77</v>
      </c>
      <c r="M118">
        <v>85500</v>
      </c>
      <c r="N118">
        <v>62.72</v>
      </c>
      <c r="O118" t="s">
        <v>76</v>
      </c>
      <c r="P118" t="s">
        <v>296</v>
      </c>
      <c r="Q118" t="s">
        <v>296</v>
      </c>
      <c r="R118" t="s">
        <v>296</v>
      </c>
    </row>
    <row r="119" spans="1:18">
      <c r="A119" t="s">
        <v>1202</v>
      </c>
      <c r="B119" t="s">
        <v>1306</v>
      </c>
      <c r="C119" t="s">
        <v>1309</v>
      </c>
      <c r="D119" t="s">
        <v>1307</v>
      </c>
      <c r="E119" t="s">
        <v>1302</v>
      </c>
      <c r="F119">
        <v>2</v>
      </c>
      <c r="G119" t="s">
        <v>376</v>
      </c>
      <c r="H119" t="s">
        <v>165</v>
      </c>
      <c r="I119" t="s">
        <v>1320</v>
      </c>
      <c r="J119">
        <v>6</v>
      </c>
      <c r="K119">
        <v>57</v>
      </c>
      <c r="L119">
        <v>57</v>
      </c>
      <c r="M119">
        <v>85500</v>
      </c>
      <c r="N119">
        <v>500.25</v>
      </c>
      <c r="O119" t="s">
        <v>76</v>
      </c>
      <c r="P119" t="s">
        <v>296</v>
      </c>
      <c r="Q119" t="s">
        <v>296</v>
      </c>
      <c r="R119" t="s">
        <v>296</v>
      </c>
    </row>
    <row r="120" spans="1:18">
      <c r="A120" t="s">
        <v>1202</v>
      </c>
      <c r="B120" t="s">
        <v>1310</v>
      </c>
      <c r="C120" t="s">
        <v>1205</v>
      </c>
      <c r="D120" t="s">
        <v>1307</v>
      </c>
      <c r="E120" t="s">
        <v>1302</v>
      </c>
      <c r="F120">
        <v>2</v>
      </c>
      <c r="G120" t="s">
        <v>376</v>
      </c>
      <c r="H120" t="s">
        <v>165</v>
      </c>
      <c r="I120" t="s">
        <v>1320</v>
      </c>
      <c r="J120">
        <v>6</v>
      </c>
      <c r="K120">
        <v>77</v>
      </c>
      <c r="L120">
        <v>77</v>
      </c>
      <c r="M120">
        <v>85500</v>
      </c>
      <c r="N120">
        <v>503.75</v>
      </c>
      <c r="O120" t="s">
        <v>76</v>
      </c>
      <c r="P120" t="s">
        <v>296</v>
      </c>
      <c r="Q120" t="s">
        <v>296</v>
      </c>
      <c r="R120" t="s">
        <v>296</v>
      </c>
    </row>
    <row r="121" spans="1:18" s="2509" customFormat="1">
      <c r="A121" s="2509" t="s">
        <v>1202</v>
      </c>
      <c r="B121" s="2509" t="s">
        <v>1306</v>
      </c>
      <c r="C121" s="2509" t="s">
        <v>1309</v>
      </c>
      <c r="D121" s="2509" t="s">
        <v>1307</v>
      </c>
      <c r="E121" s="2509" t="s">
        <v>1719</v>
      </c>
      <c r="F121" s="2509" t="s">
        <v>1246</v>
      </c>
      <c r="G121" s="2509" t="s">
        <v>376</v>
      </c>
      <c r="H121" s="2509" t="s">
        <v>244</v>
      </c>
      <c r="I121" s="2509" t="s">
        <v>1308</v>
      </c>
      <c r="J121" s="2509" t="s">
        <v>1272</v>
      </c>
      <c r="K121" s="2509" t="s">
        <v>1335</v>
      </c>
      <c r="L121" s="2509" t="s">
        <v>1335</v>
      </c>
      <c r="M121" s="2509" t="s">
        <v>1336</v>
      </c>
      <c r="N121" s="2509" t="s">
        <v>1749</v>
      </c>
      <c r="O121" s="2509" t="s">
        <v>77</v>
      </c>
      <c r="P121" s="2509" t="s">
        <v>296</v>
      </c>
      <c r="Q121" s="2509" t="s">
        <v>296</v>
      </c>
      <c r="R121" s="2509" t="s">
        <v>296</v>
      </c>
    </row>
    <row r="122" spans="1:18" s="2509" customFormat="1">
      <c r="A122" s="2509" t="s">
        <v>1202</v>
      </c>
      <c r="B122" s="2509" t="s">
        <v>1310</v>
      </c>
      <c r="C122" s="2509" t="s">
        <v>1270</v>
      </c>
      <c r="D122" s="2509" t="s">
        <v>1307</v>
      </c>
      <c r="E122" s="2509" t="s">
        <v>1719</v>
      </c>
      <c r="F122" s="2509" t="s">
        <v>1246</v>
      </c>
      <c r="G122" s="2509" t="s">
        <v>376</v>
      </c>
      <c r="H122" s="2509" t="s">
        <v>244</v>
      </c>
      <c r="I122" s="2509" t="s">
        <v>1308</v>
      </c>
      <c r="J122" s="2509" t="s">
        <v>1246</v>
      </c>
      <c r="K122" s="2509" t="s">
        <v>1750</v>
      </c>
      <c r="L122" s="2509" t="s">
        <v>1750</v>
      </c>
      <c r="M122" s="2509" t="s">
        <v>1336</v>
      </c>
      <c r="N122" s="2509" t="s">
        <v>1751</v>
      </c>
      <c r="O122" s="2509" t="s">
        <v>77</v>
      </c>
      <c r="P122" s="2509" t="s">
        <v>296</v>
      </c>
      <c r="Q122" s="2509" t="s">
        <v>296</v>
      </c>
      <c r="R122" s="2509" t="s">
        <v>296</v>
      </c>
    </row>
    <row r="123" spans="1:18" s="2509" customFormat="1">
      <c r="A123" s="2509" t="s">
        <v>1202</v>
      </c>
      <c r="B123" s="2509" t="s">
        <v>1312</v>
      </c>
      <c r="C123" s="2509" t="s">
        <v>1313</v>
      </c>
      <c r="D123" s="2509" t="s">
        <v>1307</v>
      </c>
      <c r="E123" s="2509" t="s">
        <v>1719</v>
      </c>
      <c r="F123" s="2509" t="s">
        <v>1246</v>
      </c>
      <c r="G123" s="2509" t="s">
        <v>376</v>
      </c>
      <c r="H123" s="2509" t="s">
        <v>244</v>
      </c>
      <c r="I123" s="2509" t="s">
        <v>1314</v>
      </c>
      <c r="J123" s="2509" t="s">
        <v>1272</v>
      </c>
      <c r="K123" s="2509" t="s">
        <v>1752</v>
      </c>
      <c r="L123" s="2509" t="s">
        <v>1752</v>
      </c>
      <c r="M123" s="2509" t="s">
        <v>1340</v>
      </c>
      <c r="N123" s="2509" t="s">
        <v>1753</v>
      </c>
      <c r="O123" s="2509" t="s">
        <v>77</v>
      </c>
      <c r="P123" s="2509" t="s">
        <v>296</v>
      </c>
      <c r="Q123" s="2509" t="s">
        <v>296</v>
      </c>
      <c r="R123" s="2509" t="s">
        <v>296</v>
      </c>
    </row>
    <row r="124" spans="1:18" s="2509" customFormat="1">
      <c r="A124" s="2509" t="s">
        <v>1202</v>
      </c>
      <c r="B124" s="2509" t="s">
        <v>1306</v>
      </c>
      <c r="C124" s="2509" t="s">
        <v>1215</v>
      </c>
      <c r="D124" s="2509" t="s">
        <v>1307</v>
      </c>
      <c r="E124" s="2509" t="s">
        <v>1719</v>
      </c>
      <c r="F124" s="2509" t="s">
        <v>1246</v>
      </c>
      <c r="G124" s="2509" t="s">
        <v>376</v>
      </c>
      <c r="H124" s="2509" t="s">
        <v>244</v>
      </c>
      <c r="I124" s="2509" t="s">
        <v>1314</v>
      </c>
      <c r="J124" s="2509" t="s">
        <v>1272</v>
      </c>
      <c r="K124" s="2509" t="s">
        <v>1335</v>
      </c>
      <c r="L124" s="2509" t="s">
        <v>1335</v>
      </c>
      <c r="M124" s="2509" t="s">
        <v>1340</v>
      </c>
      <c r="N124" s="2509" t="s">
        <v>1754</v>
      </c>
      <c r="O124" s="2509" t="s">
        <v>77</v>
      </c>
      <c r="P124" s="2509" t="s">
        <v>296</v>
      </c>
      <c r="Q124" s="2509" t="s">
        <v>296</v>
      </c>
      <c r="R124" s="2509" t="s">
        <v>296</v>
      </c>
    </row>
    <row r="125" spans="1:18" s="2509" customFormat="1">
      <c r="A125" s="2509" t="s">
        <v>1202</v>
      </c>
      <c r="B125" s="2509" t="s">
        <v>1306</v>
      </c>
      <c r="C125" s="2509" t="s">
        <v>1309</v>
      </c>
      <c r="D125" s="2509" t="s">
        <v>1307</v>
      </c>
      <c r="E125" s="2509" t="s">
        <v>1719</v>
      </c>
      <c r="F125" s="2509" t="s">
        <v>1246</v>
      </c>
      <c r="G125" s="2509" t="s">
        <v>376</v>
      </c>
      <c r="H125" s="2509" t="s">
        <v>244</v>
      </c>
      <c r="I125" s="2509" t="s">
        <v>1314</v>
      </c>
      <c r="J125" s="2509" t="s">
        <v>1246</v>
      </c>
      <c r="K125" s="2509" t="s">
        <v>1335</v>
      </c>
      <c r="L125" s="2509" t="s">
        <v>1335</v>
      </c>
      <c r="M125" s="2509" t="s">
        <v>1340</v>
      </c>
      <c r="N125" s="2509" t="s">
        <v>1755</v>
      </c>
      <c r="O125" s="2509" t="s">
        <v>77</v>
      </c>
      <c r="P125" s="2509" t="s">
        <v>296</v>
      </c>
      <c r="Q125" s="2509" t="s">
        <v>296</v>
      </c>
      <c r="R125" s="2509" t="s">
        <v>296</v>
      </c>
    </row>
    <row r="126" spans="1:18" s="2509" customFormat="1">
      <c r="A126" s="2509" t="s">
        <v>1202</v>
      </c>
      <c r="B126" s="2509" t="s">
        <v>1310</v>
      </c>
      <c r="C126" s="2509" t="s">
        <v>1270</v>
      </c>
      <c r="D126" s="2509" t="s">
        <v>1307</v>
      </c>
      <c r="E126" s="2509" t="s">
        <v>1719</v>
      </c>
      <c r="F126" s="2509" t="s">
        <v>1246</v>
      </c>
      <c r="G126" s="2509" t="s">
        <v>376</v>
      </c>
      <c r="H126" s="2509" t="s">
        <v>244</v>
      </c>
      <c r="I126" s="2509" t="s">
        <v>1314</v>
      </c>
      <c r="J126" s="2509" t="s">
        <v>1246</v>
      </c>
      <c r="K126" s="2509" t="s">
        <v>1750</v>
      </c>
      <c r="L126" s="2509" t="s">
        <v>1750</v>
      </c>
      <c r="M126" s="2509" t="s">
        <v>1340</v>
      </c>
      <c r="N126" s="2509" t="s">
        <v>1756</v>
      </c>
      <c r="O126" s="2509" t="s">
        <v>77</v>
      </c>
      <c r="P126" s="2509" t="s">
        <v>296</v>
      </c>
      <c r="Q126" s="2509" t="s">
        <v>296</v>
      </c>
      <c r="R126" s="2509" t="s">
        <v>296</v>
      </c>
    </row>
    <row r="127" spans="1:18" s="2509" customFormat="1">
      <c r="A127" s="2509" t="s">
        <v>1202</v>
      </c>
      <c r="B127" s="2509" t="s">
        <v>1306</v>
      </c>
      <c r="C127" s="2509" t="s">
        <v>1309</v>
      </c>
      <c r="D127" s="2509" t="s">
        <v>1307</v>
      </c>
      <c r="E127" s="2509" t="s">
        <v>1719</v>
      </c>
      <c r="F127" s="2509" t="s">
        <v>1246</v>
      </c>
      <c r="G127" s="2509" t="s">
        <v>376</v>
      </c>
      <c r="H127" s="2509" t="s">
        <v>244</v>
      </c>
      <c r="I127" s="2509" t="s">
        <v>1325</v>
      </c>
      <c r="J127" s="2509" t="s">
        <v>1246</v>
      </c>
      <c r="K127" s="2509" t="s">
        <v>1335</v>
      </c>
      <c r="L127" s="2509" t="s">
        <v>1335</v>
      </c>
      <c r="M127" s="2509" t="s">
        <v>1340</v>
      </c>
      <c r="N127" s="2509" t="s">
        <v>1757</v>
      </c>
      <c r="O127" s="2509" t="s">
        <v>77</v>
      </c>
      <c r="P127" s="2509" t="s">
        <v>296</v>
      </c>
      <c r="Q127" s="2509" t="s">
        <v>296</v>
      </c>
      <c r="R127" s="2509" t="s">
        <v>296</v>
      </c>
    </row>
    <row r="128" spans="1:18" s="2509" customFormat="1">
      <c r="A128" s="2509" t="s">
        <v>1202</v>
      </c>
      <c r="B128" s="2509" t="s">
        <v>1310</v>
      </c>
      <c r="C128" s="2509" t="s">
        <v>1270</v>
      </c>
      <c r="D128" s="2509" t="s">
        <v>1307</v>
      </c>
      <c r="E128" s="2509" t="s">
        <v>1719</v>
      </c>
      <c r="F128" s="2509" t="s">
        <v>1246</v>
      </c>
      <c r="G128" s="2509" t="s">
        <v>376</v>
      </c>
      <c r="H128" s="2509" t="s">
        <v>244</v>
      </c>
      <c r="I128" s="2509" t="s">
        <v>1325</v>
      </c>
      <c r="J128" s="2509" t="s">
        <v>1246</v>
      </c>
      <c r="K128" s="2509" t="s">
        <v>1750</v>
      </c>
      <c r="L128" s="2509" t="s">
        <v>1750</v>
      </c>
      <c r="M128" s="2509" t="s">
        <v>1340</v>
      </c>
      <c r="N128" s="2509" t="s">
        <v>1758</v>
      </c>
      <c r="O128" s="2509" t="s">
        <v>77</v>
      </c>
      <c r="P128" s="2509" t="s">
        <v>296</v>
      </c>
      <c r="Q128" s="2509" t="s">
        <v>296</v>
      </c>
      <c r="R128" s="2509" t="s">
        <v>296</v>
      </c>
    </row>
    <row r="129" spans="1:18" s="2509" customFormat="1">
      <c r="A129" s="2509" t="s">
        <v>1202</v>
      </c>
      <c r="B129" s="2509" t="s">
        <v>1312</v>
      </c>
      <c r="C129" s="2509" t="s">
        <v>1313</v>
      </c>
      <c r="D129" s="2509" t="s">
        <v>1307</v>
      </c>
      <c r="E129" s="2509" t="s">
        <v>1719</v>
      </c>
      <c r="F129" s="2509" t="s">
        <v>1246</v>
      </c>
      <c r="G129" s="2509" t="s">
        <v>376</v>
      </c>
      <c r="H129" s="2509" t="s">
        <v>244</v>
      </c>
      <c r="I129" s="2509" t="s">
        <v>1315</v>
      </c>
      <c r="J129" s="2509" t="s">
        <v>1261</v>
      </c>
      <c r="K129" s="2509" t="s">
        <v>1752</v>
      </c>
      <c r="L129" s="2509" t="s">
        <v>1752</v>
      </c>
      <c r="M129" s="2509" t="s">
        <v>1340</v>
      </c>
      <c r="N129" s="2509" t="s">
        <v>1759</v>
      </c>
      <c r="O129" s="2509" t="s">
        <v>77</v>
      </c>
      <c r="P129" s="2509" t="s">
        <v>296</v>
      </c>
      <c r="Q129" s="2509" t="s">
        <v>296</v>
      </c>
      <c r="R129" s="2509" t="s">
        <v>296</v>
      </c>
    </row>
    <row r="130" spans="1:18" s="2509" customFormat="1">
      <c r="A130" s="2509" t="s">
        <v>1202</v>
      </c>
      <c r="B130" s="2509" t="s">
        <v>1306</v>
      </c>
      <c r="C130" s="2509" t="s">
        <v>1215</v>
      </c>
      <c r="D130" s="2509" t="s">
        <v>1307</v>
      </c>
      <c r="E130" s="2509" t="s">
        <v>1719</v>
      </c>
      <c r="F130" s="2509" t="s">
        <v>1246</v>
      </c>
      <c r="G130" s="2509" t="s">
        <v>376</v>
      </c>
      <c r="H130" s="2509" t="s">
        <v>244</v>
      </c>
      <c r="I130" s="2509" t="s">
        <v>1315</v>
      </c>
      <c r="J130" s="2509" t="s">
        <v>1272</v>
      </c>
      <c r="K130" s="2509" t="s">
        <v>1335</v>
      </c>
      <c r="L130" s="2509" t="s">
        <v>1335</v>
      </c>
      <c r="M130" s="2509" t="s">
        <v>1340</v>
      </c>
      <c r="N130" s="2509" t="s">
        <v>1760</v>
      </c>
      <c r="O130" s="2509" t="s">
        <v>77</v>
      </c>
      <c r="P130" s="2509" t="s">
        <v>296</v>
      </c>
      <c r="Q130" s="2509" t="s">
        <v>296</v>
      </c>
      <c r="R130" s="2509" t="s">
        <v>296</v>
      </c>
    </row>
    <row r="131" spans="1:18" s="2509" customFormat="1">
      <c r="A131" s="2509" t="s">
        <v>1202</v>
      </c>
      <c r="B131" s="2509" t="s">
        <v>1306</v>
      </c>
      <c r="C131" s="2509" t="s">
        <v>1309</v>
      </c>
      <c r="D131" s="2509" t="s">
        <v>1307</v>
      </c>
      <c r="E131" s="2509" t="s">
        <v>1719</v>
      </c>
      <c r="F131" s="2509" t="s">
        <v>1246</v>
      </c>
      <c r="G131" s="2509" t="s">
        <v>376</v>
      </c>
      <c r="H131" s="2509" t="s">
        <v>244</v>
      </c>
      <c r="I131" s="2509" t="s">
        <v>1315</v>
      </c>
      <c r="J131" s="2509" t="s">
        <v>1279</v>
      </c>
      <c r="K131" s="2509" t="s">
        <v>1335</v>
      </c>
      <c r="L131" s="2509" t="s">
        <v>1335</v>
      </c>
      <c r="M131" s="2509" t="s">
        <v>1340</v>
      </c>
      <c r="N131" s="2509" t="s">
        <v>1761</v>
      </c>
      <c r="O131" s="2509" t="s">
        <v>77</v>
      </c>
      <c r="P131" s="2509" t="s">
        <v>296</v>
      </c>
      <c r="Q131" s="2509" t="s">
        <v>296</v>
      </c>
      <c r="R131" s="2509" t="s">
        <v>296</v>
      </c>
    </row>
    <row r="132" spans="1:18" s="2509" customFormat="1">
      <c r="A132" s="2509" t="s">
        <v>1202</v>
      </c>
      <c r="B132" s="2509" t="s">
        <v>1310</v>
      </c>
      <c r="C132" s="2509" t="s">
        <v>1270</v>
      </c>
      <c r="D132" s="2509" t="s">
        <v>1307</v>
      </c>
      <c r="E132" s="2509" t="s">
        <v>1719</v>
      </c>
      <c r="F132" s="2509" t="s">
        <v>1246</v>
      </c>
      <c r="G132" s="2509" t="s">
        <v>376</v>
      </c>
      <c r="H132" s="2509" t="s">
        <v>244</v>
      </c>
      <c r="I132" s="2509" t="s">
        <v>1315</v>
      </c>
      <c r="J132" s="2509" t="s">
        <v>1251</v>
      </c>
      <c r="K132" s="2509" t="s">
        <v>1750</v>
      </c>
      <c r="L132" s="2509" t="s">
        <v>1750</v>
      </c>
      <c r="M132" s="2509" t="s">
        <v>1340</v>
      </c>
      <c r="N132" s="2509" t="s">
        <v>1762</v>
      </c>
      <c r="O132" s="2509" t="s">
        <v>77</v>
      </c>
      <c r="P132" s="2509" t="s">
        <v>296</v>
      </c>
      <c r="Q132" s="2509" t="s">
        <v>296</v>
      </c>
      <c r="R132" s="2509" t="s">
        <v>296</v>
      </c>
    </row>
    <row r="133" spans="1:18" s="2509" customFormat="1">
      <c r="A133" s="2509" t="s">
        <v>1202</v>
      </c>
      <c r="B133" s="2509" t="s">
        <v>1312</v>
      </c>
      <c r="C133" s="2509" t="s">
        <v>1313</v>
      </c>
      <c r="D133" s="2509" t="s">
        <v>1307</v>
      </c>
      <c r="E133" s="2509" t="s">
        <v>1719</v>
      </c>
      <c r="F133" s="2509" t="s">
        <v>1246</v>
      </c>
      <c r="G133" s="2509" t="s">
        <v>376</v>
      </c>
      <c r="H133" s="2509" t="s">
        <v>244</v>
      </c>
      <c r="I133" s="2509" t="s">
        <v>1316</v>
      </c>
      <c r="J133" s="2509" t="s">
        <v>1277</v>
      </c>
      <c r="K133" s="2509" t="s">
        <v>1752</v>
      </c>
      <c r="L133" s="2509" t="s">
        <v>1752</v>
      </c>
      <c r="M133" s="2509" t="s">
        <v>1345</v>
      </c>
      <c r="N133" s="2509" t="s">
        <v>1763</v>
      </c>
      <c r="O133" s="2509" t="s">
        <v>77</v>
      </c>
      <c r="P133" s="2509" t="s">
        <v>296</v>
      </c>
      <c r="Q133" s="2509" t="s">
        <v>296</v>
      </c>
      <c r="R133" s="2509" t="s">
        <v>296</v>
      </c>
    </row>
    <row r="134" spans="1:18" s="2509" customFormat="1">
      <c r="A134" s="2509" t="s">
        <v>1202</v>
      </c>
      <c r="B134" s="2509" t="s">
        <v>1306</v>
      </c>
      <c r="C134" s="2509" t="s">
        <v>1215</v>
      </c>
      <c r="D134" s="2509" t="s">
        <v>1307</v>
      </c>
      <c r="E134" s="2509" t="s">
        <v>1719</v>
      </c>
      <c r="F134" s="2509" t="s">
        <v>1246</v>
      </c>
      <c r="G134" s="2509" t="s">
        <v>376</v>
      </c>
      <c r="H134" s="2509" t="s">
        <v>244</v>
      </c>
      <c r="I134" s="2509" t="s">
        <v>1316</v>
      </c>
      <c r="J134" s="2509" t="s">
        <v>1281</v>
      </c>
      <c r="K134" s="2509" t="s">
        <v>1335</v>
      </c>
      <c r="L134" s="2509" t="s">
        <v>1335</v>
      </c>
      <c r="M134" s="2509" t="s">
        <v>1345</v>
      </c>
      <c r="N134" s="2509" t="s">
        <v>1764</v>
      </c>
      <c r="O134" s="2509" t="s">
        <v>77</v>
      </c>
      <c r="P134" s="2509" t="s">
        <v>296</v>
      </c>
      <c r="Q134" s="2509" t="s">
        <v>296</v>
      </c>
      <c r="R134" s="2509" t="s">
        <v>296</v>
      </c>
    </row>
    <row r="135" spans="1:18" s="2509" customFormat="1">
      <c r="A135" s="2509" t="s">
        <v>1202</v>
      </c>
      <c r="B135" s="2509" t="s">
        <v>1306</v>
      </c>
      <c r="C135" s="2509" t="s">
        <v>1309</v>
      </c>
      <c r="D135" s="2509" t="s">
        <v>1307</v>
      </c>
      <c r="E135" s="2509" t="s">
        <v>1719</v>
      </c>
      <c r="F135" s="2509" t="s">
        <v>1246</v>
      </c>
      <c r="G135" s="2509" t="s">
        <v>376</v>
      </c>
      <c r="H135" s="2509" t="s">
        <v>244</v>
      </c>
      <c r="I135" s="2509" t="s">
        <v>1316</v>
      </c>
      <c r="J135" s="2509" t="s">
        <v>1251</v>
      </c>
      <c r="K135" s="2509" t="s">
        <v>1335</v>
      </c>
      <c r="L135" s="2509" t="s">
        <v>1335</v>
      </c>
      <c r="M135" s="2509" t="s">
        <v>1345</v>
      </c>
      <c r="N135" s="2509" t="s">
        <v>1765</v>
      </c>
      <c r="O135" s="2509" t="s">
        <v>77</v>
      </c>
      <c r="P135" s="2509" t="s">
        <v>296</v>
      </c>
      <c r="Q135" s="2509" t="s">
        <v>296</v>
      </c>
      <c r="R135" s="2509" t="s">
        <v>296</v>
      </c>
    </row>
    <row r="136" spans="1:18" s="2509" customFormat="1">
      <c r="A136" s="2509" t="s">
        <v>1202</v>
      </c>
      <c r="B136" s="2509" t="s">
        <v>1310</v>
      </c>
      <c r="C136" s="2509" t="s">
        <v>1270</v>
      </c>
      <c r="D136" s="2509" t="s">
        <v>1307</v>
      </c>
      <c r="E136" s="2509" t="s">
        <v>1719</v>
      </c>
      <c r="F136" s="2509" t="s">
        <v>1246</v>
      </c>
      <c r="G136" s="2509" t="s">
        <v>376</v>
      </c>
      <c r="H136" s="2509" t="s">
        <v>244</v>
      </c>
      <c r="I136" s="2509" t="s">
        <v>1316</v>
      </c>
      <c r="J136" s="2509" t="s">
        <v>1272</v>
      </c>
      <c r="K136" s="2509" t="s">
        <v>1750</v>
      </c>
      <c r="L136" s="2509" t="s">
        <v>1750</v>
      </c>
      <c r="M136" s="2509" t="s">
        <v>1345</v>
      </c>
      <c r="N136" s="2509" t="s">
        <v>1766</v>
      </c>
      <c r="O136" s="2509" t="s">
        <v>77</v>
      </c>
      <c r="P136" s="2509" t="s">
        <v>296</v>
      </c>
      <c r="Q136" s="2509" t="s">
        <v>296</v>
      </c>
      <c r="R136" s="2509" t="s">
        <v>296</v>
      </c>
    </row>
    <row r="137" spans="1:18" s="2509" customFormat="1">
      <c r="A137" s="2509" t="s">
        <v>1202</v>
      </c>
      <c r="B137" s="2509" t="s">
        <v>1312</v>
      </c>
      <c r="C137" s="2509" t="s">
        <v>1313</v>
      </c>
      <c r="D137" s="2509" t="s">
        <v>1307</v>
      </c>
      <c r="E137" s="2509" t="s">
        <v>1719</v>
      </c>
      <c r="F137" s="2509" t="s">
        <v>1246</v>
      </c>
      <c r="G137" s="2509" t="s">
        <v>376</v>
      </c>
      <c r="H137" s="2509" t="s">
        <v>165</v>
      </c>
      <c r="I137" s="2509" t="s">
        <v>1317</v>
      </c>
      <c r="J137" s="2509" t="s">
        <v>1246</v>
      </c>
      <c r="K137" s="2509" t="s">
        <v>1752</v>
      </c>
      <c r="L137" s="2509" t="s">
        <v>1752</v>
      </c>
      <c r="M137" s="2509" t="s">
        <v>1348</v>
      </c>
      <c r="N137" s="2509" t="s">
        <v>1767</v>
      </c>
      <c r="O137" s="2509" t="s">
        <v>77</v>
      </c>
      <c r="P137" s="2509" t="s">
        <v>296</v>
      </c>
      <c r="Q137" s="2509" t="s">
        <v>296</v>
      </c>
      <c r="R137" s="2509" t="s">
        <v>296</v>
      </c>
    </row>
    <row r="138" spans="1:18" s="2509" customFormat="1">
      <c r="A138" s="2509" t="s">
        <v>1202</v>
      </c>
      <c r="B138" s="2509" t="s">
        <v>1306</v>
      </c>
      <c r="C138" s="2509" t="s">
        <v>1215</v>
      </c>
      <c r="D138" s="2509" t="s">
        <v>1307</v>
      </c>
      <c r="E138" s="2509" t="s">
        <v>1719</v>
      </c>
      <c r="F138" s="2509" t="s">
        <v>1246</v>
      </c>
      <c r="G138" s="2509" t="s">
        <v>376</v>
      </c>
      <c r="H138" s="2509" t="s">
        <v>165</v>
      </c>
      <c r="I138" s="2509" t="s">
        <v>1317</v>
      </c>
      <c r="J138" s="2509" t="s">
        <v>1261</v>
      </c>
      <c r="K138" s="2509" t="s">
        <v>1335</v>
      </c>
      <c r="L138" s="2509" t="s">
        <v>1335</v>
      </c>
      <c r="M138" s="2509" t="s">
        <v>1348</v>
      </c>
      <c r="N138" s="2509" t="s">
        <v>1768</v>
      </c>
      <c r="O138" s="2509" t="s">
        <v>77</v>
      </c>
      <c r="P138" s="2509" t="s">
        <v>296</v>
      </c>
      <c r="Q138" s="2509" t="s">
        <v>296</v>
      </c>
      <c r="R138" s="2509" t="s">
        <v>296</v>
      </c>
    </row>
    <row r="139" spans="1:18" s="2509" customFormat="1">
      <c r="A139" s="2509" t="s">
        <v>1202</v>
      </c>
      <c r="B139" s="2509" t="s">
        <v>1306</v>
      </c>
      <c r="C139" s="2509" t="s">
        <v>1309</v>
      </c>
      <c r="D139" s="2509" t="s">
        <v>1307</v>
      </c>
      <c r="E139" s="2509" t="s">
        <v>1719</v>
      </c>
      <c r="F139" s="2509" t="s">
        <v>1246</v>
      </c>
      <c r="G139" s="2509" t="s">
        <v>376</v>
      </c>
      <c r="H139" s="2509" t="s">
        <v>165</v>
      </c>
      <c r="I139" s="2509" t="s">
        <v>1317</v>
      </c>
      <c r="J139" s="2509" t="s">
        <v>1251</v>
      </c>
      <c r="K139" s="2509" t="s">
        <v>1335</v>
      </c>
      <c r="L139" s="2509" t="s">
        <v>1335</v>
      </c>
      <c r="M139" s="2509" t="s">
        <v>1348</v>
      </c>
      <c r="N139" s="2509" t="s">
        <v>1769</v>
      </c>
      <c r="O139" s="2509" t="s">
        <v>77</v>
      </c>
      <c r="P139" s="2509" t="s">
        <v>296</v>
      </c>
      <c r="Q139" s="2509" t="s">
        <v>296</v>
      </c>
      <c r="R139" s="2509" t="s">
        <v>296</v>
      </c>
    </row>
    <row r="140" spans="1:18" s="2509" customFormat="1">
      <c r="A140" s="2509" t="s">
        <v>1202</v>
      </c>
      <c r="B140" s="2509" t="s">
        <v>1312</v>
      </c>
      <c r="C140" s="2509" t="s">
        <v>1313</v>
      </c>
      <c r="D140" s="2509" t="s">
        <v>1307</v>
      </c>
      <c r="E140" s="2509" t="s">
        <v>1719</v>
      </c>
      <c r="F140" s="2509" t="s">
        <v>1246</v>
      </c>
      <c r="G140" s="2509" t="s">
        <v>376</v>
      </c>
      <c r="H140" s="2509" t="s">
        <v>165</v>
      </c>
      <c r="I140" s="2509" t="s">
        <v>1318</v>
      </c>
      <c r="J140" s="2509" t="s">
        <v>1273</v>
      </c>
      <c r="K140" s="2509" t="s">
        <v>1752</v>
      </c>
      <c r="L140" s="2509" t="s">
        <v>1752</v>
      </c>
      <c r="M140" s="2509" t="s">
        <v>1351</v>
      </c>
      <c r="N140" s="2509" t="s">
        <v>1770</v>
      </c>
      <c r="O140" s="2509" t="s">
        <v>77</v>
      </c>
      <c r="P140" s="2509" t="s">
        <v>296</v>
      </c>
      <c r="Q140" s="2509" t="s">
        <v>296</v>
      </c>
      <c r="R140" s="2509" t="s">
        <v>296</v>
      </c>
    </row>
    <row r="141" spans="1:18" s="2509" customFormat="1">
      <c r="A141" s="2509" t="s">
        <v>1202</v>
      </c>
      <c r="B141" s="2509" t="s">
        <v>1306</v>
      </c>
      <c r="C141" s="2509" t="s">
        <v>1215</v>
      </c>
      <c r="D141" s="2509" t="s">
        <v>1307</v>
      </c>
      <c r="E141" s="2509" t="s">
        <v>1719</v>
      </c>
      <c r="F141" s="2509" t="s">
        <v>1246</v>
      </c>
      <c r="G141" s="2509" t="s">
        <v>376</v>
      </c>
      <c r="H141" s="2509" t="s">
        <v>165</v>
      </c>
      <c r="I141" s="2509" t="s">
        <v>1318</v>
      </c>
      <c r="J141" s="2509" t="s">
        <v>1347</v>
      </c>
      <c r="K141" s="2509" t="s">
        <v>1335</v>
      </c>
      <c r="L141" s="2509" t="s">
        <v>1335</v>
      </c>
      <c r="M141" s="2509" t="s">
        <v>1351</v>
      </c>
      <c r="N141" s="2509" t="s">
        <v>1771</v>
      </c>
      <c r="O141" s="2509" t="s">
        <v>77</v>
      </c>
      <c r="P141" s="2509" t="s">
        <v>296</v>
      </c>
      <c r="Q141" s="2509" t="s">
        <v>296</v>
      </c>
      <c r="R141" s="2509" t="s">
        <v>296</v>
      </c>
    </row>
    <row r="142" spans="1:18" s="2509" customFormat="1">
      <c r="A142" s="2509" t="s">
        <v>1202</v>
      </c>
      <c r="B142" s="2509" t="s">
        <v>1306</v>
      </c>
      <c r="C142" s="2509" t="s">
        <v>1309</v>
      </c>
      <c r="D142" s="2509" t="s">
        <v>1307</v>
      </c>
      <c r="E142" s="2509" t="s">
        <v>1719</v>
      </c>
      <c r="F142" s="2509" t="s">
        <v>1246</v>
      </c>
      <c r="G142" s="2509" t="s">
        <v>376</v>
      </c>
      <c r="H142" s="2509" t="s">
        <v>165</v>
      </c>
      <c r="I142" s="2509" t="s">
        <v>1318</v>
      </c>
      <c r="J142" s="2509" t="s">
        <v>1772</v>
      </c>
      <c r="K142" s="2509" t="s">
        <v>1335</v>
      </c>
      <c r="L142" s="2509" t="s">
        <v>1335</v>
      </c>
      <c r="M142" s="2509" t="s">
        <v>1351</v>
      </c>
      <c r="N142" s="2509" t="s">
        <v>1773</v>
      </c>
      <c r="O142" s="2509" t="s">
        <v>77</v>
      </c>
      <c r="P142" s="2509" t="s">
        <v>296</v>
      </c>
      <c r="Q142" s="2509" t="s">
        <v>296</v>
      </c>
      <c r="R142" s="2509" t="s">
        <v>296</v>
      </c>
    </row>
    <row r="143" spans="1:18" s="2509" customFormat="1">
      <c r="A143" s="2509" t="s">
        <v>1202</v>
      </c>
      <c r="B143" s="2509" t="s">
        <v>1310</v>
      </c>
      <c r="C143" s="2509" t="s">
        <v>1270</v>
      </c>
      <c r="D143" s="2509" t="s">
        <v>1307</v>
      </c>
      <c r="E143" s="2509" t="s">
        <v>1719</v>
      </c>
      <c r="F143" s="2509" t="s">
        <v>1246</v>
      </c>
      <c r="G143" s="2509" t="s">
        <v>376</v>
      </c>
      <c r="H143" s="2509" t="s">
        <v>165</v>
      </c>
      <c r="I143" s="2509" t="s">
        <v>1318</v>
      </c>
      <c r="J143" s="2509" t="s">
        <v>1347</v>
      </c>
      <c r="K143" s="2509" t="s">
        <v>1750</v>
      </c>
      <c r="L143" s="2509" t="s">
        <v>1750</v>
      </c>
      <c r="M143" s="2509" t="s">
        <v>1351</v>
      </c>
      <c r="N143" s="2509" t="s">
        <v>1774</v>
      </c>
      <c r="O143" s="2509" t="s">
        <v>77</v>
      </c>
      <c r="P143" s="2509" t="s">
        <v>296</v>
      </c>
      <c r="Q143" s="2509" t="s">
        <v>296</v>
      </c>
      <c r="R143" s="2509" t="s">
        <v>296</v>
      </c>
    </row>
    <row r="144" spans="1:18" s="2509" customFormat="1">
      <c r="A144" s="2509" t="s">
        <v>1202</v>
      </c>
      <c r="B144" s="2509" t="s">
        <v>1312</v>
      </c>
      <c r="C144" s="2509" t="s">
        <v>1313</v>
      </c>
      <c r="D144" s="2509" t="s">
        <v>1307</v>
      </c>
      <c r="E144" s="2509" t="s">
        <v>1719</v>
      </c>
      <c r="F144" s="2509" t="s">
        <v>1246</v>
      </c>
      <c r="G144" s="2509" t="s">
        <v>376</v>
      </c>
      <c r="H144" s="2509" t="s">
        <v>165</v>
      </c>
      <c r="I144" s="2509" t="s">
        <v>1319</v>
      </c>
      <c r="J144" s="2509" t="s">
        <v>1246</v>
      </c>
      <c r="K144" s="2509" t="s">
        <v>1752</v>
      </c>
      <c r="L144" s="2509" t="s">
        <v>1752</v>
      </c>
      <c r="M144" s="2509" t="s">
        <v>1345</v>
      </c>
      <c r="N144" s="2509" t="s">
        <v>1775</v>
      </c>
      <c r="O144" s="2509" t="s">
        <v>77</v>
      </c>
      <c r="P144" s="2509" t="s">
        <v>296</v>
      </c>
      <c r="Q144" s="2509" t="s">
        <v>296</v>
      </c>
      <c r="R144" s="2509" t="s">
        <v>296</v>
      </c>
    </row>
    <row r="145" spans="1:18" s="2509" customFormat="1">
      <c r="A145" s="2509" t="s">
        <v>1202</v>
      </c>
      <c r="B145" s="2509" t="s">
        <v>1306</v>
      </c>
      <c r="C145" s="2509" t="s">
        <v>1215</v>
      </c>
      <c r="D145" s="2509" t="s">
        <v>1307</v>
      </c>
      <c r="E145" s="2509" t="s">
        <v>1719</v>
      </c>
      <c r="F145" s="2509" t="s">
        <v>1246</v>
      </c>
      <c r="G145" s="2509" t="s">
        <v>376</v>
      </c>
      <c r="H145" s="2509" t="s">
        <v>165</v>
      </c>
      <c r="I145" s="2509" t="s">
        <v>1319</v>
      </c>
      <c r="J145" s="2509" t="s">
        <v>1246</v>
      </c>
      <c r="K145" s="2509" t="s">
        <v>1335</v>
      </c>
      <c r="L145" s="2509" t="s">
        <v>1335</v>
      </c>
      <c r="M145" s="2509" t="s">
        <v>1345</v>
      </c>
      <c r="N145" s="2509" t="s">
        <v>1776</v>
      </c>
      <c r="O145" s="2509" t="s">
        <v>77</v>
      </c>
      <c r="P145" s="2509" t="s">
        <v>296</v>
      </c>
      <c r="Q145" s="2509" t="s">
        <v>296</v>
      </c>
      <c r="R145" s="2509" t="s">
        <v>296</v>
      </c>
    </row>
    <row r="146" spans="1:18" s="2509" customFormat="1">
      <c r="A146" s="2509" t="s">
        <v>1202</v>
      </c>
      <c r="B146" s="2509" t="s">
        <v>1310</v>
      </c>
      <c r="C146" s="2509" t="s">
        <v>1270</v>
      </c>
      <c r="D146" s="2509" t="s">
        <v>1307</v>
      </c>
      <c r="E146" s="2509" t="s">
        <v>1719</v>
      </c>
      <c r="F146" s="2509" t="s">
        <v>1246</v>
      </c>
      <c r="G146" s="2509" t="s">
        <v>376</v>
      </c>
      <c r="H146" s="2509" t="s">
        <v>165</v>
      </c>
      <c r="I146" s="2509" t="s">
        <v>1319</v>
      </c>
      <c r="J146" s="2509" t="s">
        <v>1246</v>
      </c>
      <c r="K146" s="2509" t="s">
        <v>1750</v>
      </c>
      <c r="L146" s="2509" t="s">
        <v>1750</v>
      </c>
      <c r="M146" s="2509" t="s">
        <v>1345</v>
      </c>
      <c r="N146" s="2509" t="s">
        <v>1777</v>
      </c>
      <c r="O146" s="2509" t="s">
        <v>77</v>
      </c>
      <c r="P146" s="2509" t="s">
        <v>296</v>
      </c>
      <c r="Q146" s="2509" t="s">
        <v>296</v>
      </c>
      <c r="R146" s="2509" t="s">
        <v>296</v>
      </c>
    </row>
    <row r="147" spans="1:18" s="2509" customFormat="1">
      <c r="A147" s="2509" t="s">
        <v>1202</v>
      </c>
      <c r="B147" s="2509" t="s">
        <v>1312</v>
      </c>
      <c r="C147" s="2509" t="s">
        <v>1313</v>
      </c>
      <c r="D147" s="2509" t="s">
        <v>1307</v>
      </c>
      <c r="E147" s="2509" t="s">
        <v>1719</v>
      </c>
      <c r="F147" s="2509" t="s">
        <v>1246</v>
      </c>
      <c r="G147" s="2509" t="s">
        <v>376</v>
      </c>
      <c r="H147" s="2509" t="s">
        <v>165</v>
      </c>
      <c r="I147" s="2509" t="s">
        <v>1320</v>
      </c>
      <c r="J147" s="2509" t="s">
        <v>1246</v>
      </c>
      <c r="K147" s="2509" t="s">
        <v>1752</v>
      </c>
      <c r="L147" s="2509" t="s">
        <v>1752</v>
      </c>
      <c r="M147" s="2509" t="s">
        <v>1345</v>
      </c>
      <c r="N147" s="2509" t="s">
        <v>1778</v>
      </c>
      <c r="O147" s="2509" t="s">
        <v>77</v>
      </c>
      <c r="P147" s="2509" t="s">
        <v>296</v>
      </c>
      <c r="Q147" s="2509" t="s">
        <v>296</v>
      </c>
      <c r="R147" s="2509" t="s">
        <v>296</v>
      </c>
    </row>
    <row r="148" spans="1:18" s="2509" customFormat="1">
      <c r="A148" s="2509" t="s">
        <v>1202</v>
      </c>
      <c r="B148" s="2509" t="s">
        <v>1306</v>
      </c>
      <c r="C148" s="2509" t="s">
        <v>1215</v>
      </c>
      <c r="D148" s="2509" t="s">
        <v>1307</v>
      </c>
      <c r="E148" s="2509" t="s">
        <v>1719</v>
      </c>
      <c r="F148" s="2509" t="s">
        <v>1246</v>
      </c>
      <c r="G148" s="2509" t="s">
        <v>376</v>
      </c>
      <c r="H148" s="2509" t="s">
        <v>165</v>
      </c>
      <c r="I148" s="2509" t="s">
        <v>1320</v>
      </c>
      <c r="J148" s="2509" t="s">
        <v>1277</v>
      </c>
      <c r="K148" s="2509" t="s">
        <v>1335</v>
      </c>
      <c r="L148" s="2509" t="s">
        <v>1335</v>
      </c>
      <c r="M148" s="2509" t="s">
        <v>1345</v>
      </c>
      <c r="N148" s="2509" t="s">
        <v>1779</v>
      </c>
      <c r="O148" s="2509" t="s">
        <v>77</v>
      </c>
      <c r="P148" s="2509" t="s">
        <v>296</v>
      </c>
      <c r="Q148" s="2509" t="s">
        <v>296</v>
      </c>
      <c r="R148" s="2509" t="s">
        <v>296</v>
      </c>
    </row>
    <row r="149" spans="1:18" s="2509" customFormat="1">
      <c r="A149" s="2509" t="s">
        <v>1202</v>
      </c>
      <c r="B149" s="2509" t="s">
        <v>1306</v>
      </c>
      <c r="C149" s="2509" t="s">
        <v>1309</v>
      </c>
      <c r="D149" s="2509" t="s">
        <v>1307</v>
      </c>
      <c r="E149" s="2509" t="s">
        <v>1719</v>
      </c>
      <c r="F149" s="2509" t="s">
        <v>1246</v>
      </c>
      <c r="G149" s="2509" t="s">
        <v>376</v>
      </c>
      <c r="H149" s="2509" t="s">
        <v>165</v>
      </c>
      <c r="I149" s="2509" t="s">
        <v>1320</v>
      </c>
      <c r="J149" s="2509" t="s">
        <v>1251</v>
      </c>
      <c r="K149" s="2509" t="s">
        <v>1335</v>
      </c>
      <c r="L149" s="2509" t="s">
        <v>1335</v>
      </c>
      <c r="M149" s="2509" t="s">
        <v>1345</v>
      </c>
      <c r="N149" s="2509" t="s">
        <v>1780</v>
      </c>
      <c r="O149" s="2509" t="s">
        <v>77</v>
      </c>
      <c r="P149" s="2509" t="s">
        <v>296</v>
      </c>
      <c r="Q149" s="2509" t="s">
        <v>296</v>
      </c>
      <c r="R149" s="2509" t="s">
        <v>296</v>
      </c>
    </row>
    <row r="150" spans="1:18" s="2509" customFormat="1">
      <c r="A150" s="2509" t="s">
        <v>1202</v>
      </c>
      <c r="B150" s="2509" t="s">
        <v>1310</v>
      </c>
      <c r="C150" s="2509" t="s">
        <v>1270</v>
      </c>
      <c r="D150" s="2509" t="s">
        <v>1307</v>
      </c>
      <c r="E150" s="2509" t="s">
        <v>1719</v>
      </c>
      <c r="F150" s="2509" t="s">
        <v>1246</v>
      </c>
      <c r="G150" s="2509" t="s">
        <v>376</v>
      </c>
      <c r="H150" s="2509" t="s">
        <v>165</v>
      </c>
      <c r="I150" s="2509" t="s">
        <v>1320</v>
      </c>
      <c r="J150" s="2509" t="s">
        <v>1251</v>
      </c>
      <c r="K150" s="2509" t="s">
        <v>1750</v>
      </c>
      <c r="L150" s="2509" t="s">
        <v>1750</v>
      </c>
      <c r="M150" s="2509" t="s">
        <v>1345</v>
      </c>
      <c r="N150" s="2509" t="s">
        <v>1781</v>
      </c>
      <c r="O150" s="2509" t="s">
        <v>77</v>
      </c>
      <c r="P150" s="2509" t="s">
        <v>296</v>
      </c>
      <c r="Q150" s="2509" t="s">
        <v>296</v>
      </c>
      <c r="R150" s="2509" t="s">
        <v>296</v>
      </c>
    </row>
    <row r="151" spans="1:18" s="2509" customFormat="1">
      <c r="A151" s="2509" t="s">
        <v>1202</v>
      </c>
      <c r="B151" s="2509" t="s">
        <v>1312</v>
      </c>
      <c r="C151" s="2509" t="s">
        <v>1782</v>
      </c>
      <c r="D151" s="2509" t="s">
        <v>1307</v>
      </c>
      <c r="E151" s="2509" t="s">
        <v>1719</v>
      </c>
      <c r="F151" s="2509" t="s">
        <v>1246</v>
      </c>
      <c r="G151" s="2509" t="s">
        <v>376</v>
      </c>
      <c r="H151" s="2509" t="s">
        <v>243</v>
      </c>
      <c r="I151" s="2509" t="s">
        <v>1225</v>
      </c>
      <c r="J151" s="2509" t="s">
        <v>1251</v>
      </c>
      <c r="K151" s="2509" t="s">
        <v>1752</v>
      </c>
      <c r="L151" s="2509" t="s">
        <v>1752</v>
      </c>
      <c r="M151" s="2509" t="s">
        <v>1249</v>
      </c>
      <c r="N151" s="2509" t="s">
        <v>1783</v>
      </c>
      <c r="O151" s="2509" t="s">
        <v>77</v>
      </c>
      <c r="P151" s="2509" t="s">
        <v>296</v>
      </c>
      <c r="Q151" s="2509" t="s">
        <v>296</v>
      </c>
      <c r="R151" s="2509" t="s">
        <v>296</v>
      </c>
    </row>
    <row r="152" spans="1:18" s="2509" customFormat="1">
      <c r="A152" s="2509" t="s">
        <v>1202</v>
      </c>
      <c r="B152" s="2509" t="s">
        <v>1321</v>
      </c>
      <c r="C152" s="2509" t="s">
        <v>1322</v>
      </c>
      <c r="D152" s="2509" t="s">
        <v>1307</v>
      </c>
      <c r="E152" s="2509" t="s">
        <v>1719</v>
      </c>
      <c r="F152" s="2509" t="s">
        <v>1246</v>
      </c>
      <c r="G152" s="2509" t="s">
        <v>376</v>
      </c>
      <c r="H152" s="2509" t="s">
        <v>243</v>
      </c>
      <c r="I152" s="2509" t="s">
        <v>1225</v>
      </c>
      <c r="J152" s="2509" t="s">
        <v>1272</v>
      </c>
      <c r="K152" s="2509" t="s">
        <v>1784</v>
      </c>
      <c r="L152" s="2509" t="s">
        <v>1784</v>
      </c>
      <c r="M152" s="2509" t="s">
        <v>1249</v>
      </c>
      <c r="N152" s="2509" t="s">
        <v>1785</v>
      </c>
      <c r="O152" s="2509" t="s">
        <v>77</v>
      </c>
      <c r="P152" s="2509" t="s">
        <v>296</v>
      </c>
      <c r="Q152" s="2509" t="s">
        <v>296</v>
      </c>
      <c r="R152" s="2509" t="s">
        <v>296</v>
      </c>
    </row>
    <row r="153" spans="1:18" s="2509" customFormat="1">
      <c r="A153" s="2509" t="s">
        <v>1202</v>
      </c>
      <c r="B153" s="2509" t="s">
        <v>1312</v>
      </c>
      <c r="C153" s="2509" t="s">
        <v>1782</v>
      </c>
      <c r="D153" s="2509" t="s">
        <v>1307</v>
      </c>
      <c r="E153" s="2509" t="s">
        <v>1719</v>
      </c>
      <c r="F153" s="2509" t="s">
        <v>1246</v>
      </c>
      <c r="G153" s="2509" t="s">
        <v>376</v>
      </c>
      <c r="H153" s="2509" t="s">
        <v>243</v>
      </c>
      <c r="I153" s="2509" t="s">
        <v>1323</v>
      </c>
      <c r="J153" s="2509" t="s">
        <v>1277</v>
      </c>
      <c r="K153" s="2509" t="s">
        <v>1752</v>
      </c>
      <c r="L153" s="2509" t="s">
        <v>1752</v>
      </c>
      <c r="M153" s="2509" t="s">
        <v>1786</v>
      </c>
      <c r="N153" s="2509" t="s">
        <v>1787</v>
      </c>
      <c r="O153" s="2509" t="s">
        <v>77</v>
      </c>
      <c r="P153" s="2509" t="s">
        <v>296</v>
      </c>
      <c r="Q153" s="2509" t="s">
        <v>296</v>
      </c>
      <c r="R153" s="2509" t="s">
        <v>296</v>
      </c>
    </row>
    <row r="154" spans="1:18" s="2509" customFormat="1">
      <c r="A154" s="2509" t="s">
        <v>1202</v>
      </c>
      <c r="B154" s="2509" t="s">
        <v>1321</v>
      </c>
      <c r="C154" s="2509" t="s">
        <v>1322</v>
      </c>
      <c r="D154" s="2509" t="s">
        <v>1307</v>
      </c>
      <c r="E154" s="2509" t="s">
        <v>1719</v>
      </c>
      <c r="F154" s="2509" t="s">
        <v>1246</v>
      </c>
      <c r="G154" s="2509" t="s">
        <v>376</v>
      </c>
      <c r="H154" s="2509" t="s">
        <v>243</v>
      </c>
      <c r="I154" s="2509" t="s">
        <v>1323</v>
      </c>
      <c r="J154" s="2509" t="s">
        <v>1277</v>
      </c>
      <c r="K154" s="2509" t="s">
        <v>1784</v>
      </c>
      <c r="L154" s="2509" t="s">
        <v>1784</v>
      </c>
      <c r="M154" s="2509" t="s">
        <v>1786</v>
      </c>
      <c r="N154" s="2509" t="s">
        <v>1788</v>
      </c>
      <c r="O154" s="2509" t="s">
        <v>77</v>
      </c>
      <c r="P154" s="2509" t="s">
        <v>296</v>
      </c>
      <c r="Q154" s="2509" t="s">
        <v>296</v>
      </c>
      <c r="R154" s="2509" t="s">
        <v>296</v>
      </c>
    </row>
    <row r="155" spans="1:18" s="2509" customFormat="1">
      <c r="A155" s="2509" t="s">
        <v>1202</v>
      </c>
      <c r="B155" s="2509" t="s">
        <v>1789</v>
      </c>
      <c r="C155" s="2509" t="s">
        <v>1205</v>
      </c>
      <c r="D155" s="2509" t="s">
        <v>1790</v>
      </c>
      <c r="E155" s="2509" t="s">
        <v>1734</v>
      </c>
      <c r="F155" s="2509" t="s">
        <v>1272</v>
      </c>
      <c r="G155" s="2509" t="s">
        <v>376</v>
      </c>
      <c r="H155" s="2509" t="s">
        <v>244</v>
      </c>
      <c r="I155" s="2509" t="s">
        <v>1308</v>
      </c>
      <c r="J155" s="2509" t="s">
        <v>1272</v>
      </c>
      <c r="K155" s="2509" t="s">
        <v>1750</v>
      </c>
      <c r="L155" s="2509" t="s">
        <v>1750</v>
      </c>
      <c r="M155" s="2509" t="s">
        <v>1336</v>
      </c>
      <c r="N155" s="2509" t="s">
        <v>1791</v>
      </c>
      <c r="O155" s="2509" t="s">
        <v>76</v>
      </c>
      <c r="P155" s="2509" t="s">
        <v>296</v>
      </c>
      <c r="Q155" s="2509" t="s">
        <v>296</v>
      </c>
      <c r="R155" s="2509" t="s">
        <v>296</v>
      </c>
    </row>
    <row r="156" spans="1:18" s="2509" customFormat="1">
      <c r="A156" s="2509" t="s">
        <v>1202</v>
      </c>
      <c r="B156" s="2509" t="s">
        <v>1792</v>
      </c>
      <c r="C156" s="2509" t="s">
        <v>1324</v>
      </c>
      <c r="D156" s="2509" t="s">
        <v>1790</v>
      </c>
      <c r="E156" s="2509" t="s">
        <v>1734</v>
      </c>
      <c r="F156" s="2509" t="s">
        <v>1272</v>
      </c>
      <c r="G156" s="2509" t="s">
        <v>376</v>
      </c>
      <c r="H156" s="2509" t="s">
        <v>244</v>
      </c>
      <c r="I156" s="2509" t="s">
        <v>1311</v>
      </c>
      <c r="J156" s="2509" t="s">
        <v>1251</v>
      </c>
      <c r="K156" s="2509" t="s">
        <v>1793</v>
      </c>
      <c r="L156" s="2509" t="s">
        <v>1793</v>
      </c>
      <c r="M156" s="2509" t="s">
        <v>1338</v>
      </c>
      <c r="N156" s="2509" t="s">
        <v>1794</v>
      </c>
      <c r="O156" s="2509" t="s">
        <v>76</v>
      </c>
      <c r="P156" s="2509" t="s">
        <v>296</v>
      </c>
      <c r="Q156" s="2509" t="s">
        <v>296</v>
      </c>
      <c r="R156" s="2509" t="s">
        <v>296</v>
      </c>
    </row>
    <row r="157" spans="1:18" s="2509" customFormat="1">
      <c r="A157" s="2509" t="s">
        <v>1202</v>
      </c>
      <c r="B157" s="2509" t="s">
        <v>1789</v>
      </c>
      <c r="C157" s="2509" t="s">
        <v>1205</v>
      </c>
      <c r="D157" s="2509" t="s">
        <v>1790</v>
      </c>
      <c r="E157" s="2509" t="s">
        <v>1734</v>
      </c>
      <c r="F157" s="2509" t="s">
        <v>1272</v>
      </c>
      <c r="G157" s="2509" t="s">
        <v>376</v>
      </c>
      <c r="H157" s="2509" t="s">
        <v>244</v>
      </c>
      <c r="I157" s="2509" t="s">
        <v>1311</v>
      </c>
      <c r="J157" s="2509" t="s">
        <v>1246</v>
      </c>
      <c r="K157" s="2509" t="s">
        <v>1750</v>
      </c>
      <c r="L157" s="2509" t="s">
        <v>1750</v>
      </c>
      <c r="M157" s="2509" t="s">
        <v>1338</v>
      </c>
      <c r="N157" s="2509" t="s">
        <v>1795</v>
      </c>
      <c r="O157" s="2509" t="s">
        <v>76</v>
      </c>
      <c r="P157" s="2509" t="s">
        <v>296</v>
      </c>
      <c r="Q157" s="2509" t="s">
        <v>296</v>
      </c>
      <c r="R157" s="2509" t="s">
        <v>296</v>
      </c>
    </row>
    <row r="158" spans="1:18" s="2509" customFormat="1">
      <c r="A158" s="2509" t="s">
        <v>1202</v>
      </c>
      <c r="B158" s="2509" t="s">
        <v>1792</v>
      </c>
      <c r="C158" s="2509" t="s">
        <v>1324</v>
      </c>
      <c r="D158" s="2509" t="s">
        <v>1790</v>
      </c>
      <c r="E158" s="2509" t="s">
        <v>1734</v>
      </c>
      <c r="F158" s="2509" t="s">
        <v>1272</v>
      </c>
      <c r="G158" s="2509" t="s">
        <v>376</v>
      </c>
      <c r="H158" s="2509" t="s">
        <v>244</v>
      </c>
      <c r="I158" s="2509" t="s">
        <v>1314</v>
      </c>
      <c r="J158" s="2509" t="s">
        <v>1246</v>
      </c>
      <c r="K158" s="2509" t="s">
        <v>1793</v>
      </c>
      <c r="L158" s="2509" t="s">
        <v>1793</v>
      </c>
      <c r="M158" s="2509" t="s">
        <v>1340</v>
      </c>
      <c r="N158" s="2509" t="s">
        <v>1796</v>
      </c>
      <c r="O158" s="2509" t="s">
        <v>76</v>
      </c>
      <c r="P158" s="2509" t="s">
        <v>296</v>
      </c>
      <c r="Q158" s="2509" t="s">
        <v>296</v>
      </c>
      <c r="R158" s="2509" t="s">
        <v>296</v>
      </c>
    </row>
    <row r="159" spans="1:18" s="2509" customFormat="1">
      <c r="A159" s="2509" t="s">
        <v>1202</v>
      </c>
      <c r="B159" s="2509" t="s">
        <v>1792</v>
      </c>
      <c r="C159" s="2509" t="s">
        <v>1324</v>
      </c>
      <c r="D159" s="2509" t="s">
        <v>1790</v>
      </c>
      <c r="E159" s="2509" t="s">
        <v>1734</v>
      </c>
      <c r="F159" s="2509" t="s">
        <v>1272</v>
      </c>
      <c r="G159" s="2509" t="s">
        <v>376</v>
      </c>
      <c r="H159" s="2509" t="s">
        <v>244</v>
      </c>
      <c r="I159" s="2509" t="s">
        <v>1315</v>
      </c>
      <c r="J159" s="2509" t="s">
        <v>1277</v>
      </c>
      <c r="K159" s="2509" t="s">
        <v>1793</v>
      </c>
      <c r="L159" s="2509" t="s">
        <v>1793</v>
      </c>
      <c r="M159" s="2509" t="s">
        <v>1340</v>
      </c>
      <c r="N159" s="2509" t="s">
        <v>1797</v>
      </c>
      <c r="O159" s="2509" t="s">
        <v>76</v>
      </c>
      <c r="P159" s="2509" t="s">
        <v>296</v>
      </c>
      <c r="Q159" s="2509" t="s">
        <v>296</v>
      </c>
      <c r="R159" s="2509" t="s">
        <v>296</v>
      </c>
    </row>
    <row r="160" spans="1:18" s="2509" customFormat="1">
      <c r="A160" s="2509" t="s">
        <v>1202</v>
      </c>
      <c r="B160" s="2509" t="s">
        <v>1332</v>
      </c>
      <c r="C160" s="2509" t="s">
        <v>1309</v>
      </c>
      <c r="D160" s="2509" t="s">
        <v>1790</v>
      </c>
      <c r="E160" s="2509" t="s">
        <v>1734</v>
      </c>
      <c r="F160" s="2509" t="s">
        <v>1272</v>
      </c>
      <c r="G160" s="2509" t="s">
        <v>376</v>
      </c>
      <c r="H160" s="2509" t="s">
        <v>244</v>
      </c>
      <c r="I160" s="2509" t="s">
        <v>1315</v>
      </c>
      <c r="J160" s="2509" t="s">
        <v>1251</v>
      </c>
      <c r="K160" s="2509" t="s">
        <v>1335</v>
      </c>
      <c r="L160" s="2509" t="s">
        <v>1335</v>
      </c>
      <c r="M160" s="2509" t="s">
        <v>1340</v>
      </c>
      <c r="N160" s="2509" t="s">
        <v>1798</v>
      </c>
      <c r="O160" s="2509" t="s">
        <v>76</v>
      </c>
      <c r="P160" s="2509" t="s">
        <v>296</v>
      </c>
      <c r="Q160" s="2509" t="s">
        <v>296</v>
      </c>
      <c r="R160" s="2509" t="s">
        <v>296</v>
      </c>
    </row>
    <row r="161" spans="1:18" s="2509" customFormat="1">
      <c r="A161" s="2509" t="s">
        <v>1202</v>
      </c>
      <c r="B161" s="2509" t="s">
        <v>1789</v>
      </c>
      <c r="C161" s="2509" t="s">
        <v>1205</v>
      </c>
      <c r="D161" s="2509" t="s">
        <v>1790</v>
      </c>
      <c r="E161" s="2509" t="s">
        <v>1734</v>
      </c>
      <c r="F161" s="2509" t="s">
        <v>1272</v>
      </c>
      <c r="G161" s="2509" t="s">
        <v>376</v>
      </c>
      <c r="H161" s="2509" t="s">
        <v>244</v>
      </c>
      <c r="I161" s="2509" t="s">
        <v>1315</v>
      </c>
      <c r="J161" s="2509" t="s">
        <v>1261</v>
      </c>
      <c r="K161" s="2509" t="s">
        <v>1750</v>
      </c>
      <c r="L161" s="2509" t="s">
        <v>1750</v>
      </c>
      <c r="M161" s="2509" t="s">
        <v>1340</v>
      </c>
      <c r="N161" s="2509" t="s">
        <v>1799</v>
      </c>
      <c r="O161" s="2509" t="s">
        <v>76</v>
      </c>
      <c r="P161" s="2509" t="s">
        <v>296</v>
      </c>
      <c r="Q161" s="2509" t="s">
        <v>296</v>
      </c>
      <c r="R161" s="2509" t="s">
        <v>296</v>
      </c>
    </row>
    <row r="162" spans="1:18" s="2509" customFormat="1">
      <c r="A162" s="2509" t="s">
        <v>1202</v>
      </c>
      <c r="B162" s="2509" t="s">
        <v>1792</v>
      </c>
      <c r="C162" s="2509" t="s">
        <v>1324</v>
      </c>
      <c r="D162" s="2509" t="s">
        <v>1790</v>
      </c>
      <c r="E162" s="2509" t="s">
        <v>1734</v>
      </c>
      <c r="F162" s="2509" t="s">
        <v>1272</v>
      </c>
      <c r="G162" s="2509" t="s">
        <v>376</v>
      </c>
      <c r="H162" s="2509" t="s">
        <v>244</v>
      </c>
      <c r="I162" s="2509" t="s">
        <v>1316</v>
      </c>
      <c r="J162" s="2509" t="s">
        <v>1800</v>
      </c>
      <c r="K162" s="2509" t="s">
        <v>1793</v>
      </c>
      <c r="L162" s="2509" t="s">
        <v>1793</v>
      </c>
      <c r="M162" s="2509" t="s">
        <v>1345</v>
      </c>
      <c r="N162" s="2509" t="s">
        <v>1801</v>
      </c>
      <c r="O162" s="2509" t="s">
        <v>76</v>
      </c>
      <c r="P162" s="2509" t="s">
        <v>296</v>
      </c>
      <c r="Q162" s="2509" t="s">
        <v>296</v>
      </c>
      <c r="R162" s="2509" t="s">
        <v>296</v>
      </c>
    </row>
    <row r="163" spans="1:18" s="2509" customFormat="1">
      <c r="A163" s="2509" t="s">
        <v>1202</v>
      </c>
      <c r="B163" s="2509" t="s">
        <v>1332</v>
      </c>
      <c r="C163" s="2509" t="s">
        <v>1309</v>
      </c>
      <c r="D163" s="2509" t="s">
        <v>1790</v>
      </c>
      <c r="E163" s="2509" t="s">
        <v>1734</v>
      </c>
      <c r="F163" s="2509" t="s">
        <v>1272</v>
      </c>
      <c r="G163" s="2509" t="s">
        <v>376</v>
      </c>
      <c r="H163" s="2509" t="s">
        <v>244</v>
      </c>
      <c r="I163" s="2509" t="s">
        <v>1316</v>
      </c>
      <c r="J163" s="2509" t="s">
        <v>1261</v>
      </c>
      <c r="K163" s="2509" t="s">
        <v>1335</v>
      </c>
      <c r="L163" s="2509" t="s">
        <v>1335</v>
      </c>
      <c r="M163" s="2509" t="s">
        <v>1345</v>
      </c>
      <c r="N163" s="2509" t="s">
        <v>1802</v>
      </c>
      <c r="O163" s="2509" t="s">
        <v>76</v>
      </c>
      <c r="P163" s="2509" t="s">
        <v>296</v>
      </c>
      <c r="Q163" s="2509" t="s">
        <v>296</v>
      </c>
      <c r="R163" s="2509" t="s">
        <v>296</v>
      </c>
    </row>
    <row r="164" spans="1:18" s="2509" customFormat="1">
      <c r="A164" s="2509" t="s">
        <v>1202</v>
      </c>
      <c r="B164" s="2509" t="s">
        <v>1789</v>
      </c>
      <c r="C164" s="2509" t="s">
        <v>1205</v>
      </c>
      <c r="D164" s="2509" t="s">
        <v>1790</v>
      </c>
      <c r="E164" s="2509" t="s">
        <v>1734</v>
      </c>
      <c r="F164" s="2509" t="s">
        <v>1272</v>
      </c>
      <c r="G164" s="2509" t="s">
        <v>376</v>
      </c>
      <c r="H164" s="2509" t="s">
        <v>244</v>
      </c>
      <c r="I164" s="2509" t="s">
        <v>1316</v>
      </c>
      <c r="J164" s="2509" t="s">
        <v>1251</v>
      </c>
      <c r="K164" s="2509" t="s">
        <v>1750</v>
      </c>
      <c r="L164" s="2509" t="s">
        <v>1750</v>
      </c>
      <c r="M164" s="2509" t="s">
        <v>1345</v>
      </c>
      <c r="N164" s="2509" t="s">
        <v>1803</v>
      </c>
      <c r="O164" s="2509" t="s">
        <v>76</v>
      </c>
      <c r="P164" s="2509" t="s">
        <v>296</v>
      </c>
      <c r="Q164" s="2509" t="s">
        <v>296</v>
      </c>
      <c r="R164" s="2509" t="s">
        <v>296</v>
      </c>
    </row>
    <row r="165" spans="1:18" s="2509" customFormat="1">
      <c r="A165" s="2509" t="s">
        <v>1202</v>
      </c>
      <c r="B165" s="2509" t="s">
        <v>1332</v>
      </c>
      <c r="C165" s="2509" t="s">
        <v>1215</v>
      </c>
      <c r="D165" s="2509" t="s">
        <v>1790</v>
      </c>
      <c r="E165" s="2509" t="s">
        <v>1734</v>
      </c>
      <c r="F165" s="2509" t="s">
        <v>1272</v>
      </c>
      <c r="G165" s="2509" t="s">
        <v>376</v>
      </c>
      <c r="H165" s="2509" t="s">
        <v>165</v>
      </c>
      <c r="I165" s="2509" t="s">
        <v>1317</v>
      </c>
      <c r="J165" s="2509" t="s">
        <v>1246</v>
      </c>
      <c r="K165" s="2509" t="s">
        <v>1335</v>
      </c>
      <c r="L165" s="2509" t="s">
        <v>1335</v>
      </c>
      <c r="M165" s="2509" t="s">
        <v>1348</v>
      </c>
      <c r="N165" s="2509" t="s">
        <v>1767</v>
      </c>
      <c r="O165" s="2509" t="s">
        <v>76</v>
      </c>
      <c r="P165" s="2509" t="s">
        <v>296</v>
      </c>
      <c r="Q165" s="2509" t="s">
        <v>296</v>
      </c>
      <c r="R165" s="2509" t="s">
        <v>296</v>
      </c>
    </row>
    <row r="166" spans="1:18" s="2509" customFormat="1">
      <c r="A166" s="2509" t="s">
        <v>1202</v>
      </c>
      <c r="B166" s="2509" t="s">
        <v>1332</v>
      </c>
      <c r="C166" s="2509" t="s">
        <v>1309</v>
      </c>
      <c r="D166" s="2509" t="s">
        <v>1790</v>
      </c>
      <c r="E166" s="2509" t="s">
        <v>1734</v>
      </c>
      <c r="F166" s="2509" t="s">
        <v>1272</v>
      </c>
      <c r="G166" s="2509" t="s">
        <v>376</v>
      </c>
      <c r="H166" s="2509" t="s">
        <v>165</v>
      </c>
      <c r="I166" s="2509" t="s">
        <v>1317</v>
      </c>
      <c r="J166" s="2509" t="s">
        <v>1251</v>
      </c>
      <c r="K166" s="2509" t="s">
        <v>1335</v>
      </c>
      <c r="L166" s="2509" t="s">
        <v>1335</v>
      </c>
      <c r="M166" s="2509" t="s">
        <v>1348</v>
      </c>
      <c r="N166" s="2509" t="s">
        <v>1804</v>
      </c>
      <c r="O166" s="2509" t="s">
        <v>76</v>
      </c>
      <c r="P166" s="2509" t="s">
        <v>296</v>
      </c>
      <c r="Q166" s="2509" t="s">
        <v>296</v>
      </c>
      <c r="R166" s="2509" t="s">
        <v>296</v>
      </c>
    </row>
    <row r="167" spans="1:18" s="2509" customFormat="1">
      <c r="A167" s="2509" t="s">
        <v>1202</v>
      </c>
      <c r="B167" s="2509" t="s">
        <v>1789</v>
      </c>
      <c r="C167" s="2509" t="s">
        <v>1205</v>
      </c>
      <c r="D167" s="2509" t="s">
        <v>1790</v>
      </c>
      <c r="E167" s="2509" t="s">
        <v>1734</v>
      </c>
      <c r="F167" s="2509" t="s">
        <v>1272</v>
      </c>
      <c r="G167" s="2509" t="s">
        <v>376</v>
      </c>
      <c r="H167" s="2509" t="s">
        <v>165</v>
      </c>
      <c r="I167" s="2509" t="s">
        <v>1317</v>
      </c>
      <c r="J167" s="2509" t="s">
        <v>1279</v>
      </c>
      <c r="K167" s="2509" t="s">
        <v>1750</v>
      </c>
      <c r="L167" s="2509" t="s">
        <v>1750</v>
      </c>
      <c r="M167" s="2509" t="s">
        <v>1348</v>
      </c>
      <c r="N167" s="2509" t="s">
        <v>1805</v>
      </c>
      <c r="O167" s="2509" t="s">
        <v>76</v>
      </c>
      <c r="P167" s="2509" t="s">
        <v>296</v>
      </c>
      <c r="Q167" s="2509" t="s">
        <v>296</v>
      </c>
      <c r="R167" s="2509" t="s">
        <v>296</v>
      </c>
    </row>
    <row r="168" spans="1:18" s="2509" customFormat="1">
      <c r="A168" s="2509" t="s">
        <v>1202</v>
      </c>
      <c r="B168" s="2509" t="s">
        <v>1792</v>
      </c>
      <c r="C168" s="2509" t="s">
        <v>1324</v>
      </c>
      <c r="D168" s="2509" t="s">
        <v>1790</v>
      </c>
      <c r="E168" s="2509" t="s">
        <v>1734</v>
      </c>
      <c r="F168" s="2509" t="s">
        <v>1272</v>
      </c>
      <c r="G168" s="2509" t="s">
        <v>376</v>
      </c>
      <c r="H168" s="2509" t="s">
        <v>165</v>
      </c>
      <c r="I168" s="2509" t="s">
        <v>1318</v>
      </c>
      <c r="J168" s="2509" t="s">
        <v>1344</v>
      </c>
      <c r="K168" s="2509" t="s">
        <v>1793</v>
      </c>
      <c r="L168" s="2509" t="s">
        <v>1793</v>
      </c>
      <c r="M168" s="2509" t="s">
        <v>1351</v>
      </c>
      <c r="N168" s="2509" t="s">
        <v>1806</v>
      </c>
      <c r="O168" s="2509" t="s">
        <v>76</v>
      </c>
      <c r="P168" s="2509" t="s">
        <v>296</v>
      </c>
      <c r="Q168" s="2509" t="s">
        <v>296</v>
      </c>
      <c r="R168" s="2509" t="s">
        <v>296</v>
      </c>
    </row>
    <row r="169" spans="1:18" s="2509" customFormat="1">
      <c r="A169" s="2509" t="s">
        <v>1202</v>
      </c>
      <c r="B169" s="2509" t="s">
        <v>1332</v>
      </c>
      <c r="C169" s="2509" t="s">
        <v>1309</v>
      </c>
      <c r="D169" s="2509" t="s">
        <v>1790</v>
      </c>
      <c r="E169" s="2509" t="s">
        <v>1734</v>
      </c>
      <c r="F169" s="2509" t="s">
        <v>1272</v>
      </c>
      <c r="G169" s="2509" t="s">
        <v>376</v>
      </c>
      <c r="H169" s="2509" t="s">
        <v>165</v>
      </c>
      <c r="I169" s="2509" t="s">
        <v>1318</v>
      </c>
      <c r="J169" s="2509" t="s">
        <v>1344</v>
      </c>
      <c r="K169" s="2509" t="s">
        <v>1335</v>
      </c>
      <c r="L169" s="2509" t="s">
        <v>1335</v>
      </c>
      <c r="M169" s="2509" t="s">
        <v>1351</v>
      </c>
      <c r="N169" s="2509" t="s">
        <v>1807</v>
      </c>
      <c r="O169" s="2509" t="s">
        <v>76</v>
      </c>
      <c r="P169" s="2509" t="s">
        <v>296</v>
      </c>
      <c r="Q169" s="2509" t="s">
        <v>296</v>
      </c>
      <c r="R169" s="2509" t="s">
        <v>296</v>
      </c>
    </row>
    <row r="170" spans="1:18" s="2509" customFormat="1">
      <c r="A170" s="2509" t="s">
        <v>1202</v>
      </c>
      <c r="B170" s="2509" t="s">
        <v>1789</v>
      </c>
      <c r="C170" s="2509" t="s">
        <v>1205</v>
      </c>
      <c r="D170" s="2509" t="s">
        <v>1790</v>
      </c>
      <c r="E170" s="2509" t="s">
        <v>1734</v>
      </c>
      <c r="F170" s="2509" t="s">
        <v>1272</v>
      </c>
      <c r="G170" s="2509" t="s">
        <v>376</v>
      </c>
      <c r="H170" s="2509" t="s">
        <v>165</v>
      </c>
      <c r="I170" s="2509" t="s">
        <v>1318</v>
      </c>
      <c r="J170" s="2509" t="s">
        <v>1772</v>
      </c>
      <c r="K170" s="2509" t="s">
        <v>1750</v>
      </c>
      <c r="L170" s="2509" t="s">
        <v>1750</v>
      </c>
      <c r="M170" s="2509" t="s">
        <v>1351</v>
      </c>
      <c r="N170" s="2509" t="s">
        <v>1808</v>
      </c>
      <c r="O170" s="2509" t="s">
        <v>76</v>
      </c>
      <c r="P170" s="2509" t="s">
        <v>296</v>
      </c>
      <c r="Q170" s="2509" t="s">
        <v>296</v>
      </c>
      <c r="R170" s="2509" t="s">
        <v>296</v>
      </c>
    </row>
    <row r="171" spans="1:18" s="2509" customFormat="1">
      <c r="A171" s="2509" t="s">
        <v>1202</v>
      </c>
      <c r="B171" s="2509" t="s">
        <v>1332</v>
      </c>
      <c r="C171" s="2509" t="s">
        <v>1309</v>
      </c>
      <c r="D171" s="2509" t="s">
        <v>1790</v>
      </c>
      <c r="E171" s="2509" t="s">
        <v>1734</v>
      </c>
      <c r="F171" s="2509" t="s">
        <v>1272</v>
      </c>
      <c r="G171" s="2509" t="s">
        <v>376</v>
      </c>
      <c r="H171" s="2509" t="s">
        <v>165</v>
      </c>
      <c r="I171" s="2509" t="s">
        <v>1319</v>
      </c>
      <c r="J171" s="2509" t="s">
        <v>1272</v>
      </c>
      <c r="K171" s="2509" t="s">
        <v>1335</v>
      </c>
      <c r="L171" s="2509" t="s">
        <v>1335</v>
      </c>
      <c r="M171" s="2509" t="s">
        <v>1345</v>
      </c>
      <c r="N171" s="2509" t="s">
        <v>1809</v>
      </c>
      <c r="O171" s="2509" t="s">
        <v>76</v>
      </c>
      <c r="P171" s="2509" t="s">
        <v>296</v>
      </c>
      <c r="Q171" s="2509" t="s">
        <v>296</v>
      </c>
      <c r="R171" s="2509" t="s">
        <v>296</v>
      </c>
    </row>
    <row r="172" spans="1:18" s="2509" customFormat="1">
      <c r="A172" s="2509" t="s">
        <v>1202</v>
      </c>
      <c r="B172" s="2509" t="s">
        <v>1792</v>
      </c>
      <c r="C172" s="2509" t="s">
        <v>1324</v>
      </c>
      <c r="D172" s="2509" t="s">
        <v>1790</v>
      </c>
      <c r="E172" s="2509" t="s">
        <v>1734</v>
      </c>
      <c r="F172" s="2509" t="s">
        <v>1272</v>
      </c>
      <c r="G172" s="2509" t="s">
        <v>376</v>
      </c>
      <c r="H172" s="2509" t="s">
        <v>165</v>
      </c>
      <c r="I172" s="2509" t="s">
        <v>1320</v>
      </c>
      <c r="J172" s="2509" t="s">
        <v>1246</v>
      </c>
      <c r="K172" s="2509" t="s">
        <v>1793</v>
      </c>
      <c r="L172" s="2509" t="s">
        <v>1793</v>
      </c>
      <c r="M172" s="2509" t="s">
        <v>1345</v>
      </c>
      <c r="N172" s="2509" t="s">
        <v>1810</v>
      </c>
      <c r="O172" s="2509" t="s">
        <v>76</v>
      </c>
      <c r="P172" s="2509" t="s">
        <v>296</v>
      </c>
      <c r="Q172" s="2509" t="s">
        <v>296</v>
      </c>
      <c r="R172" s="2509" t="s">
        <v>296</v>
      </c>
    </row>
    <row r="173" spans="1:18" s="2509" customFormat="1">
      <c r="A173" s="2509" t="s">
        <v>1202</v>
      </c>
      <c r="B173" s="2509" t="s">
        <v>1332</v>
      </c>
      <c r="C173" s="2509" t="s">
        <v>1309</v>
      </c>
      <c r="D173" s="2509" t="s">
        <v>1790</v>
      </c>
      <c r="E173" s="2509" t="s">
        <v>1734</v>
      </c>
      <c r="F173" s="2509" t="s">
        <v>1272</v>
      </c>
      <c r="G173" s="2509" t="s">
        <v>376</v>
      </c>
      <c r="H173" s="2509" t="s">
        <v>165</v>
      </c>
      <c r="I173" s="2509" t="s">
        <v>1320</v>
      </c>
      <c r="J173" s="2509" t="s">
        <v>1261</v>
      </c>
      <c r="K173" s="2509" t="s">
        <v>1335</v>
      </c>
      <c r="L173" s="2509" t="s">
        <v>1335</v>
      </c>
      <c r="M173" s="2509" t="s">
        <v>1345</v>
      </c>
      <c r="N173" s="2509" t="s">
        <v>1811</v>
      </c>
      <c r="O173" s="2509" t="s">
        <v>76</v>
      </c>
      <c r="P173" s="2509" t="s">
        <v>296</v>
      </c>
      <c r="Q173" s="2509" t="s">
        <v>296</v>
      </c>
      <c r="R173" s="2509" t="s">
        <v>296</v>
      </c>
    </row>
    <row r="174" spans="1:18" s="2509" customFormat="1">
      <c r="A174" s="2509" t="s">
        <v>1202</v>
      </c>
      <c r="B174" s="2509" t="s">
        <v>1789</v>
      </c>
      <c r="C174" s="2509" t="s">
        <v>1205</v>
      </c>
      <c r="D174" s="2509" t="s">
        <v>1790</v>
      </c>
      <c r="E174" s="2509" t="s">
        <v>1734</v>
      </c>
      <c r="F174" s="2509" t="s">
        <v>1272</v>
      </c>
      <c r="G174" s="2509" t="s">
        <v>376</v>
      </c>
      <c r="H174" s="2509" t="s">
        <v>165</v>
      </c>
      <c r="I174" s="2509" t="s">
        <v>1320</v>
      </c>
      <c r="J174" s="2509" t="s">
        <v>1800</v>
      </c>
      <c r="K174" s="2509" t="s">
        <v>1750</v>
      </c>
      <c r="L174" s="2509" t="s">
        <v>1750</v>
      </c>
      <c r="M174" s="2509" t="s">
        <v>1345</v>
      </c>
      <c r="N174" s="2509" t="s">
        <v>1812</v>
      </c>
      <c r="O174" s="2509" t="s">
        <v>76</v>
      </c>
      <c r="P174" s="2509" t="s">
        <v>296</v>
      </c>
      <c r="Q174" s="2509" t="s">
        <v>296</v>
      </c>
      <c r="R174" s="2509" t="s">
        <v>296</v>
      </c>
    </row>
    <row r="175" spans="1:18">
      <c r="P175" t="s">
        <v>296</v>
      </c>
      <c r="Q175" t="s">
        <v>296</v>
      </c>
      <c r="R175" t="s">
        <v>296</v>
      </c>
    </row>
    <row r="176" spans="1:18">
      <c r="P176" t="s">
        <v>296</v>
      </c>
      <c r="Q176" t="s">
        <v>296</v>
      </c>
      <c r="R176" t="s">
        <v>296</v>
      </c>
    </row>
    <row r="177" spans="16:18">
      <c r="P177" t="s">
        <v>296</v>
      </c>
      <c r="Q177" t="s">
        <v>296</v>
      </c>
      <c r="R177" t="s">
        <v>296</v>
      </c>
    </row>
    <row r="178" spans="16:18">
      <c r="P178" t="s">
        <v>296</v>
      </c>
      <c r="Q178" t="s">
        <v>296</v>
      </c>
      <c r="R178" t="s">
        <v>296</v>
      </c>
    </row>
    <row r="179" spans="16:18">
      <c r="P179" t="s">
        <v>296</v>
      </c>
      <c r="Q179" t="s">
        <v>296</v>
      </c>
      <c r="R179" t="s">
        <v>296</v>
      </c>
    </row>
    <row r="180" spans="16:18">
      <c r="P180" t="s">
        <v>296</v>
      </c>
      <c r="Q180" t="s">
        <v>296</v>
      </c>
      <c r="R180" t="s">
        <v>296</v>
      </c>
    </row>
    <row r="181" spans="16:18">
      <c r="P181" t="s">
        <v>296</v>
      </c>
      <c r="Q181" t="s">
        <v>296</v>
      </c>
      <c r="R181" t="s">
        <v>296</v>
      </c>
    </row>
    <row r="182" spans="16:18">
      <c r="P182" t="s">
        <v>296</v>
      </c>
      <c r="Q182" t="s">
        <v>296</v>
      </c>
      <c r="R182" t="s">
        <v>296</v>
      </c>
    </row>
    <row r="183" spans="16:18">
      <c r="P183" t="s">
        <v>296</v>
      </c>
      <c r="Q183" t="s">
        <v>296</v>
      </c>
      <c r="R183" t="s">
        <v>296</v>
      </c>
    </row>
    <row r="184" spans="16:18">
      <c r="P184" t="s">
        <v>296</v>
      </c>
      <c r="Q184" t="s">
        <v>296</v>
      </c>
      <c r="R184" t="s">
        <v>296</v>
      </c>
    </row>
    <row r="185" spans="16:18">
      <c r="P185" t="s">
        <v>296</v>
      </c>
      <c r="Q185" t="s">
        <v>296</v>
      </c>
      <c r="R185" t="s">
        <v>296</v>
      </c>
    </row>
    <row r="186" spans="16:18">
      <c r="P186" t="s">
        <v>296</v>
      </c>
      <c r="Q186" t="s">
        <v>296</v>
      </c>
      <c r="R186" t="s">
        <v>296</v>
      </c>
    </row>
    <row r="187" spans="16:18">
      <c r="P187" t="s">
        <v>296</v>
      </c>
      <c r="Q187" t="s">
        <v>296</v>
      </c>
      <c r="R187" t="s">
        <v>296</v>
      </c>
    </row>
    <row r="188" spans="16:18">
      <c r="P188" t="s">
        <v>296</v>
      </c>
      <c r="Q188" t="s">
        <v>296</v>
      </c>
      <c r="R188" t="s">
        <v>296</v>
      </c>
    </row>
    <row r="189" spans="16:18">
      <c r="P189" t="s">
        <v>296</v>
      </c>
      <c r="Q189" t="s">
        <v>296</v>
      </c>
      <c r="R189" t="s">
        <v>296</v>
      </c>
    </row>
    <row r="190" spans="16:18">
      <c r="P190" t="s">
        <v>296</v>
      </c>
      <c r="Q190" t="s">
        <v>296</v>
      </c>
      <c r="R190" t="s">
        <v>296</v>
      </c>
    </row>
    <row r="191" spans="16:18">
      <c r="P191" t="s">
        <v>296</v>
      </c>
      <c r="Q191" t="s">
        <v>296</v>
      </c>
      <c r="R191" t="s">
        <v>296</v>
      </c>
    </row>
    <row r="192" spans="16:18">
      <c r="P192" t="s">
        <v>296</v>
      </c>
      <c r="Q192" t="s">
        <v>296</v>
      </c>
      <c r="R192" t="s">
        <v>296</v>
      </c>
    </row>
    <row r="193" spans="16:18">
      <c r="P193" t="s">
        <v>296</v>
      </c>
      <c r="Q193" t="s">
        <v>296</v>
      </c>
      <c r="R193" t="s">
        <v>296</v>
      </c>
    </row>
    <row r="194" spans="16:18">
      <c r="P194" t="s">
        <v>296</v>
      </c>
      <c r="Q194" t="s">
        <v>296</v>
      </c>
      <c r="R194" t="s">
        <v>296</v>
      </c>
    </row>
    <row r="195" spans="16:18">
      <c r="P195" t="s">
        <v>296</v>
      </c>
      <c r="Q195" t="s">
        <v>296</v>
      </c>
      <c r="R195" t="s">
        <v>296</v>
      </c>
    </row>
    <row r="196" spans="16:18">
      <c r="P196" t="s">
        <v>296</v>
      </c>
      <c r="Q196" t="s">
        <v>296</v>
      </c>
      <c r="R196" t="s">
        <v>296</v>
      </c>
    </row>
    <row r="197" spans="16:18">
      <c r="P197" t="s">
        <v>296</v>
      </c>
      <c r="Q197" t="s">
        <v>296</v>
      </c>
      <c r="R197" t="s">
        <v>296</v>
      </c>
    </row>
    <row r="198" spans="16:18">
      <c r="P198" t="s">
        <v>296</v>
      </c>
      <c r="Q198" t="s">
        <v>296</v>
      </c>
      <c r="R198" t="s">
        <v>296</v>
      </c>
    </row>
    <row r="199" spans="16:18">
      <c r="P199" t="s">
        <v>296</v>
      </c>
      <c r="Q199" t="s">
        <v>296</v>
      </c>
      <c r="R199" t="s">
        <v>296</v>
      </c>
    </row>
    <row r="200" spans="16:18">
      <c r="P200" t="s">
        <v>296</v>
      </c>
      <c r="Q200" t="s">
        <v>296</v>
      </c>
      <c r="R200" t="s">
        <v>296</v>
      </c>
    </row>
    <row r="201" spans="16:18">
      <c r="P201" t="s">
        <v>296</v>
      </c>
      <c r="Q201" t="s">
        <v>296</v>
      </c>
      <c r="R201" t="s">
        <v>296</v>
      </c>
    </row>
    <row r="202" spans="16:18">
      <c r="P202" t="s">
        <v>296</v>
      </c>
      <c r="Q202" t="s">
        <v>296</v>
      </c>
      <c r="R202" t="s">
        <v>296</v>
      </c>
    </row>
    <row r="203" spans="16:18">
      <c r="P203" t="s">
        <v>296</v>
      </c>
      <c r="Q203" t="s">
        <v>296</v>
      </c>
      <c r="R203" t="s">
        <v>296</v>
      </c>
    </row>
    <row r="204" spans="16:18">
      <c r="P204" t="s">
        <v>296</v>
      </c>
      <c r="Q204" t="s">
        <v>296</v>
      </c>
      <c r="R204" t="s">
        <v>296</v>
      </c>
    </row>
    <row r="205" spans="16:18">
      <c r="P205" t="s">
        <v>296</v>
      </c>
      <c r="Q205" t="s">
        <v>296</v>
      </c>
      <c r="R205" t="s">
        <v>296</v>
      </c>
    </row>
    <row r="206" spans="16:18">
      <c r="P206" t="s">
        <v>296</v>
      </c>
      <c r="Q206" t="s">
        <v>296</v>
      </c>
      <c r="R206" t="s">
        <v>296</v>
      </c>
    </row>
    <row r="207" spans="16:18">
      <c r="P207" t="s">
        <v>296</v>
      </c>
      <c r="Q207" t="s">
        <v>296</v>
      </c>
      <c r="R207" t="s">
        <v>296</v>
      </c>
    </row>
    <row r="208" spans="16:18">
      <c r="P208" t="s">
        <v>296</v>
      </c>
      <c r="Q208" t="s">
        <v>296</v>
      </c>
      <c r="R208" t="s">
        <v>296</v>
      </c>
    </row>
    <row r="209" spans="16:18">
      <c r="P209" t="s">
        <v>296</v>
      </c>
      <c r="Q209" t="s">
        <v>296</v>
      </c>
      <c r="R209" t="s">
        <v>296</v>
      </c>
    </row>
    <row r="210" spans="16:18">
      <c r="P210" t="s">
        <v>296</v>
      </c>
      <c r="Q210" t="s">
        <v>296</v>
      </c>
      <c r="R210" t="s">
        <v>296</v>
      </c>
    </row>
    <row r="211" spans="16:18">
      <c r="P211" t="s">
        <v>296</v>
      </c>
      <c r="Q211" t="s">
        <v>296</v>
      </c>
      <c r="R211" t="s">
        <v>296</v>
      </c>
    </row>
    <row r="212" spans="16:18">
      <c r="P212" t="s">
        <v>296</v>
      </c>
      <c r="Q212" t="s">
        <v>296</v>
      </c>
      <c r="R212" t="s">
        <v>296</v>
      </c>
    </row>
    <row r="213" spans="16:18">
      <c r="P213" t="s">
        <v>296</v>
      </c>
      <c r="Q213" t="s">
        <v>296</v>
      </c>
      <c r="R213" t="s">
        <v>296</v>
      </c>
    </row>
    <row r="214" spans="16:18">
      <c r="P214" t="s">
        <v>296</v>
      </c>
      <c r="Q214" t="s">
        <v>296</v>
      </c>
      <c r="R214" t="s">
        <v>296</v>
      </c>
    </row>
    <row r="215" spans="16:18">
      <c r="P215" t="s">
        <v>296</v>
      </c>
      <c r="Q215" t="s">
        <v>296</v>
      </c>
      <c r="R215" t="s">
        <v>296</v>
      </c>
    </row>
    <row r="216" spans="16:18">
      <c r="P216" t="s">
        <v>296</v>
      </c>
      <c r="Q216" t="s">
        <v>296</v>
      </c>
      <c r="R216" t="s">
        <v>296</v>
      </c>
    </row>
    <row r="217" spans="16:18">
      <c r="P217" t="s">
        <v>296</v>
      </c>
      <c r="Q217" t="s">
        <v>296</v>
      </c>
      <c r="R217" t="s">
        <v>296</v>
      </c>
    </row>
    <row r="218" spans="16:18">
      <c r="P218" t="s">
        <v>296</v>
      </c>
      <c r="Q218" t="s">
        <v>296</v>
      </c>
      <c r="R218" t="s">
        <v>296</v>
      </c>
    </row>
    <row r="219" spans="16:18">
      <c r="P219" t="s">
        <v>296</v>
      </c>
      <c r="Q219" t="s">
        <v>296</v>
      </c>
      <c r="R219" t="s">
        <v>296</v>
      </c>
    </row>
    <row r="220" spans="16:18">
      <c r="P220" t="s">
        <v>296</v>
      </c>
      <c r="Q220" t="s">
        <v>296</v>
      </c>
      <c r="R220" t="s">
        <v>296</v>
      </c>
    </row>
    <row r="221" spans="16:18">
      <c r="P221" t="s">
        <v>296</v>
      </c>
      <c r="Q221" t="s">
        <v>296</v>
      </c>
      <c r="R221" t="s">
        <v>296</v>
      </c>
    </row>
    <row r="222" spans="16:18">
      <c r="P222" t="s">
        <v>296</v>
      </c>
      <c r="Q222" t="s">
        <v>296</v>
      </c>
      <c r="R222" t="s">
        <v>296</v>
      </c>
    </row>
    <row r="223" spans="16:18">
      <c r="P223" t="s">
        <v>296</v>
      </c>
      <c r="Q223" t="s">
        <v>296</v>
      </c>
      <c r="R223" t="s">
        <v>296</v>
      </c>
    </row>
    <row r="224" spans="16:18">
      <c r="P224" t="s">
        <v>296</v>
      </c>
      <c r="Q224" t="s">
        <v>296</v>
      </c>
      <c r="R224" t="s">
        <v>296</v>
      </c>
    </row>
    <row r="225" spans="16:18">
      <c r="P225" t="s">
        <v>296</v>
      </c>
      <c r="Q225" t="s">
        <v>296</v>
      </c>
      <c r="R225" t="s">
        <v>296</v>
      </c>
    </row>
    <row r="226" spans="16:18">
      <c r="P226" t="s">
        <v>296</v>
      </c>
      <c r="Q226" t="s">
        <v>296</v>
      </c>
      <c r="R226" t="s">
        <v>296</v>
      </c>
    </row>
    <row r="227" spans="16:18">
      <c r="P227" t="s">
        <v>296</v>
      </c>
      <c r="Q227" t="s">
        <v>296</v>
      </c>
      <c r="R227" t="s">
        <v>296</v>
      </c>
    </row>
    <row r="228" spans="16:18">
      <c r="P228" t="s">
        <v>296</v>
      </c>
      <c r="Q228" t="s">
        <v>296</v>
      </c>
      <c r="R228" t="s">
        <v>296</v>
      </c>
    </row>
    <row r="229" spans="16:18">
      <c r="P229" t="s">
        <v>296</v>
      </c>
      <c r="Q229" t="s">
        <v>296</v>
      </c>
      <c r="R229" t="s">
        <v>296</v>
      </c>
    </row>
    <row r="230" spans="16:18">
      <c r="P230" t="s">
        <v>296</v>
      </c>
      <c r="Q230" t="s">
        <v>296</v>
      </c>
      <c r="R230" t="s">
        <v>296</v>
      </c>
    </row>
    <row r="231" spans="16:18">
      <c r="P231" t="s">
        <v>296</v>
      </c>
      <c r="Q231" t="s">
        <v>296</v>
      </c>
      <c r="R231" t="s">
        <v>296</v>
      </c>
    </row>
    <row r="232" spans="16:18">
      <c r="P232" t="s">
        <v>296</v>
      </c>
      <c r="Q232" t="s">
        <v>296</v>
      </c>
      <c r="R232" t="s">
        <v>296</v>
      </c>
    </row>
    <row r="233" spans="16:18">
      <c r="P233" t="s">
        <v>296</v>
      </c>
      <c r="Q233" t="s">
        <v>296</v>
      </c>
      <c r="R233" t="s">
        <v>296</v>
      </c>
    </row>
    <row r="234" spans="16:18">
      <c r="P234" t="s">
        <v>296</v>
      </c>
      <c r="Q234" t="s">
        <v>296</v>
      </c>
      <c r="R234" t="s">
        <v>296</v>
      </c>
    </row>
    <row r="235" spans="16:18">
      <c r="P235" t="s">
        <v>296</v>
      </c>
      <c r="Q235" t="s">
        <v>296</v>
      </c>
      <c r="R235" t="s">
        <v>296</v>
      </c>
    </row>
    <row r="236" spans="16:18">
      <c r="P236" t="s">
        <v>296</v>
      </c>
      <c r="Q236" t="s">
        <v>296</v>
      </c>
      <c r="R236" t="s">
        <v>296</v>
      </c>
    </row>
    <row r="237" spans="16:18">
      <c r="P237" t="s">
        <v>296</v>
      </c>
      <c r="Q237" t="s">
        <v>296</v>
      </c>
      <c r="R237" t="s">
        <v>296</v>
      </c>
    </row>
    <row r="238" spans="16:18">
      <c r="P238" t="s">
        <v>296</v>
      </c>
      <c r="Q238" t="s">
        <v>296</v>
      </c>
      <c r="R238" t="s">
        <v>296</v>
      </c>
    </row>
    <row r="239" spans="16:18">
      <c r="P239" t="s">
        <v>296</v>
      </c>
      <c r="Q239" t="s">
        <v>296</v>
      </c>
      <c r="R239" t="s">
        <v>296</v>
      </c>
    </row>
    <row r="240" spans="16:18">
      <c r="P240" t="s">
        <v>296</v>
      </c>
      <c r="Q240" t="s">
        <v>296</v>
      </c>
      <c r="R240" t="s">
        <v>296</v>
      </c>
    </row>
    <row r="241" spans="16:18">
      <c r="P241" t="s">
        <v>296</v>
      </c>
      <c r="Q241" t="s">
        <v>296</v>
      </c>
      <c r="R241" t="s">
        <v>296</v>
      </c>
    </row>
    <row r="242" spans="16:18">
      <c r="P242" t="s">
        <v>296</v>
      </c>
      <c r="Q242" t="s">
        <v>296</v>
      </c>
      <c r="R242" t="s">
        <v>296</v>
      </c>
    </row>
    <row r="243" spans="16:18">
      <c r="P243" t="s">
        <v>296</v>
      </c>
      <c r="Q243" t="s">
        <v>296</v>
      </c>
      <c r="R243" t="s">
        <v>296</v>
      </c>
    </row>
    <row r="244" spans="16:18">
      <c r="P244" t="s">
        <v>296</v>
      </c>
      <c r="Q244" t="s">
        <v>296</v>
      </c>
      <c r="R244" t="s">
        <v>296</v>
      </c>
    </row>
    <row r="245" spans="16:18">
      <c r="P245" t="s">
        <v>296</v>
      </c>
      <c r="Q245" t="s">
        <v>296</v>
      </c>
      <c r="R245" t="s">
        <v>296</v>
      </c>
    </row>
    <row r="246" spans="16:18">
      <c r="P246" t="s">
        <v>296</v>
      </c>
      <c r="Q246" t="s">
        <v>296</v>
      </c>
      <c r="R246" t="s">
        <v>296</v>
      </c>
    </row>
    <row r="247" spans="16:18">
      <c r="P247" t="s">
        <v>296</v>
      </c>
      <c r="Q247" t="s">
        <v>296</v>
      </c>
      <c r="R247" t="s">
        <v>296</v>
      </c>
    </row>
    <row r="248" spans="16:18">
      <c r="P248" t="s">
        <v>296</v>
      </c>
      <c r="Q248" t="s">
        <v>296</v>
      </c>
      <c r="R248" t="s">
        <v>296</v>
      </c>
    </row>
    <row r="249" spans="16:18">
      <c r="P249" t="s">
        <v>296</v>
      </c>
      <c r="Q249" t="s">
        <v>296</v>
      </c>
      <c r="R249" t="s">
        <v>296</v>
      </c>
    </row>
    <row r="250" spans="16:18">
      <c r="P250" t="s">
        <v>296</v>
      </c>
      <c r="Q250" t="s">
        <v>296</v>
      </c>
      <c r="R250" t="s">
        <v>296</v>
      </c>
    </row>
    <row r="251" spans="16:18">
      <c r="P251" t="s">
        <v>296</v>
      </c>
      <c r="Q251" t="s">
        <v>296</v>
      </c>
      <c r="R251" t="s">
        <v>296</v>
      </c>
    </row>
    <row r="252" spans="16:18">
      <c r="P252" t="s">
        <v>296</v>
      </c>
      <c r="Q252" t="s">
        <v>296</v>
      </c>
      <c r="R252" t="s">
        <v>296</v>
      </c>
    </row>
    <row r="253" spans="16:18">
      <c r="P253" t="s">
        <v>296</v>
      </c>
      <c r="Q253" t="s">
        <v>296</v>
      </c>
      <c r="R253" t="s">
        <v>296</v>
      </c>
    </row>
    <row r="254" spans="16:18">
      <c r="P254" t="s">
        <v>296</v>
      </c>
      <c r="Q254" t="s">
        <v>296</v>
      </c>
      <c r="R254" t="s">
        <v>296</v>
      </c>
    </row>
    <row r="255" spans="16:18">
      <c r="P255" t="s">
        <v>296</v>
      </c>
      <c r="Q255" t="s">
        <v>296</v>
      </c>
      <c r="R255" t="s">
        <v>296</v>
      </c>
    </row>
    <row r="256" spans="16:18">
      <c r="P256" t="s">
        <v>296</v>
      </c>
      <c r="Q256" t="s">
        <v>296</v>
      </c>
      <c r="R256" t="s">
        <v>296</v>
      </c>
    </row>
    <row r="257" spans="16:18">
      <c r="P257" t="s">
        <v>296</v>
      </c>
      <c r="Q257" t="s">
        <v>296</v>
      </c>
      <c r="R257" t="s">
        <v>296</v>
      </c>
    </row>
    <row r="258" spans="16:18">
      <c r="P258" t="s">
        <v>296</v>
      </c>
      <c r="Q258" t="s">
        <v>296</v>
      </c>
      <c r="R258" t="s">
        <v>296</v>
      </c>
    </row>
    <row r="259" spans="16:18">
      <c r="P259" t="s">
        <v>296</v>
      </c>
      <c r="Q259" t="s">
        <v>296</v>
      </c>
      <c r="R259" t="s">
        <v>296</v>
      </c>
    </row>
    <row r="260" spans="16:18">
      <c r="P260" t="s">
        <v>296</v>
      </c>
      <c r="Q260" t="s">
        <v>296</v>
      </c>
      <c r="R260" t="s">
        <v>296</v>
      </c>
    </row>
    <row r="261" spans="16:18">
      <c r="P261" t="s">
        <v>296</v>
      </c>
      <c r="Q261" t="s">
        <v>296</v>
      </c>
      <c r="R261" t="s">
        <v>296</v>
      </c>
    </row>
    <row r="262" spans="16:18">
      <c r="P262" t="s">
        <v>296</v>
      </c>
      <c r="Q262" t="s">
        <v>296</v>
      </c>
      <c r="R262" t="s">
        <v>296</v>
      </c>
    </row>
    <row r="263" spans="16:18">
      <c r="P263" t="s">
        <v>296</v>
      </c>
      <c r="Q263" t="s">
        <v>296</v>
      </c>
      <c r="R263" t="s">
        <v>296</v>
      </c>
    </row>
    <row r="264" spans="16:18">
      <c r="P264" t="s">
        <v>296</v>
      </c>
      <c r="Q264" t="s">
        <v>296</v>
      </c>
      <c r="R264" t="s">
        <v>296</v>
      </c>
    </row>
    <row r="265" spans="16:18">
      <c r="P265" t="s">
        <v>296</v>
      </c>
      <c r="Q265" t="s">
        <v>296</v>
      </c>
      <c r="R265" t="s">
        <v>296</v>
      </c>
    </row>
    <row r="266" spans="16:18">
      <c r="P266" t="s">
        <v>296</v>
      </c>
      <c r="Q266" t="s">
        <v>296</v>
      </c>
      <c r="R266" t="s">
        <v>296</v>
      </c>
    </row>
    <row r="267" spans="16:18">
      <c r="P267" t="s">
        <v>296</v>
      </c>
      <c r="Q267" t="s">
        <v>296</v>
      </c>
      <c r="R267" t="s">
        <v>296</v>
      </c>
    </row>
    <row r="268" spans="16:18">
      <c r="P268" t="s">
        <v>296</v>
      </c>
      <c r="Q268" t="s">
        <v>296</v>
      </c>
      <c r="R268" t="s">
        <v>296</v>
      </c>
    </row>
    <row r="269" spans="16:18">
      <c r="P269" t="s">
        <v>296</v>
      </c>
      <c r="Q269" t="s">
        <v>296</v>
      </c>
      <c r="R269" t="s">
        <v>296</v>
      </c>
    </row>
    <row r="270" spans="16:18">
      <c r="P270" t="s">
        <v>296</v>
      </c>
      <c r="Q270" t="s">
        <v>296</v>
      </c>
      <c r="R270" t="s">
        <v>296</v>
      </c>
    </row>
    <row r="271" spans="16:18">
      <c r="P271" t="s">
        <v>296</v>
      </c>
      <c r="Q271" t="s">
        <v>296</v>
      </c>
      <c r="R271" t="s">
        <v>296</v>
      </c>
    </row>
    <row r="272" spans="16:18">
      <c r="P272" t="s">
        <v>296</v>
      </c>
      <c r="Q272" t="s">
        <v>296</v>
      </c>
      <c r="R272" t="s">
        <v>296</v>
      </c>
    </row>
    <row r="273" spans="16:18">
      <c r="P273" t="s">
        <v>296</v>
      </c>
      <c r="Q273" t="s">
        <v>296</v>
      </c>
      <c r="R273" t="s">
        <v>296</v>
      </c>
    </row>
    <row r="274" spans="16:18">
      <c r="P274" t="s">
        <v>296</v>
      </c>
      <c r="Q274" t="s">
        <v>296</v>
      </c>
      <c r="R274" t="s">
        <v>296</v>
      </c>
    </row>
    <row r="275" spans="16:18">
      <c r="P275" t="s">
        <v>296</v>
      </c>
      <c r="Q275" t="s">
        <v>296</v>
      </c>
      <c r="R275" t="s">
        <v>296</v>
      </c>
    </row>
    <row r="276" spans="16:18">
      <c r="P276" t="s">
        <v>296</v>
      </c>
      <c r="Q276" t="s">
        <v>296</v>
      </c>
      <c r="R276" t="s">
        <v>296</v>
      </c>
    </row>
    <row r="277" spans="16:18">
      <c r="P277" t="s">
        <v>296</v>
      </c>
      <c r="Q277" t="s">
        <v>296</v>
      </c>
      <c r="R277" t="s">
        <v>296</v>
      </c>
    </row>
    <row r="278" spans="16:18">
      <c r="P278" t="s">
        <v>296</v>
      </c>
      <c r="Q278" t="s">
        <v>296</v>
      </c>
      <c r="R278" t="s">
        <v>296</v>
      </c>
    </row>
    <row r="279" spans="16:18">
      <c r="P279" t="s">
        <v>296</v>
      </c>
      <c r="Q279" t="s">
        <v>296</v>
      </c>
      <c r="R279" t="s">
        <v>296</v>
      </c>
    </row>
    <row r="280" spans="16:18">
      <c r="P280" t="s">
        <v>296</v>
      </c>
      <c r="Q280" t="s">
        <v>296</v>
      </c>
      <c r="R280" t="s">
        <v>296</v>
      </c>
    </row>
    <row r="281" spans="16:18">
      <c r="P281" t="s">
        <v>296</v>
      </c>
      <c r="Q281" t="s">
        <v>296</v>
      </c>
      <c r="R281" t="s">
        <v>296</v>
      </c>
    </row>
    <row r="282" spans="16:18">
      <c r="P282" t="s">
        <v>296</v>
      </c>
      <c r="Q282" t="s">
        <v>296</v>
      </c>
      <c r="R282" t="s">
        <v>296</v>
      </c>
    </row>
    <row r="283" spans="16:18">
      <c r="P283" t="s">
        <v>296</v>
      </c>
      <c r="Q283" t="s">
        <v>296</v>
      </c>
      <c r="R283" t="s">
        <v>296</v>
      </c>
    </row>
    <row r="284" spans="16:18">
      <c r="P284" t="s">
        <v>296</v>
      </c>
      <c r="Q284" t="s">
        <v>296</v>
      </c>
      <c r="R284" t="s">
        <v>296</v>
      </c>
    </row>
    <row r="285" spans="16:18">
      <c r="P285" t="s">
        <v>296</v>
      </c>
      <c r="Q285" t="s">
        <v>296</v>
      </c>
      <c r="R285" t="s">
        <v>296</v>
      </c>
    </row>
    <row r="286" spans="16:18">
      <c r="P286" t="s">
        <v>296</v>
      </c>
      <c r="Q286" t="s">
        <v>296</v>
      </c>
      <c r="R286" t="s">
        <v>296</v>
      </c>
    </row>
    <row r="287" spans="16:18">
      <c r="P287" t="s">
        <v>296</v>
      </c>
      <c r="Q287" t="s">
        <v>296</v>
      </c>
      <c r="R287" t="s">
        <v>296</v>
      </c>
    </row>
    <row r="288" spans="16:18">
      <c r="P288" t="s">
        <v>296</v>
      </c>
      <c r="Q288" t="s">
        <v>296</v>
      </c>
      <c r="R288" t="s">
        <v>296</v>
      </c>
    </row>
    <row r="289" spans="16:18">
      <c r="P289" t="s">
        <v>296</v>
      </c>
      <c r="Q289" t="s">
        <v>296</v>
      </c>
      <c r="R289" t="s">
        <v>296</v>
      </c>
    </row>
    <row r="290" spans="16:18">
      <c r="P290" t="s">
        <v>296</v>
      </c>
      <c r="Q290" t="s">
        <v>296</v>
      </c>
      <c r="R290" t="s">
        <v>296</v>
      </c>
    </row>
    <row r="291" spans="16:18">
      <c r="P291" t="s">
        <v>296</v>
      </c>
      <c r="Q291" t="s">
        <v>296</v>
      </c>
      <c r="R291" t="s">
        <v>296</v>
      </c>
    </row>
    <row r="292" spans="16:18">
      <c r="P292" t="s">
        <v>296</v>
      </c>
      <c r="Q292" t="s">
        <v>296</v>
      </c>
      <c r="R292" t="s">
        <v>296</v>
      </c>
    </row>
    <row r="293" spans="16:18">
      <c r="P293" t="s">
        <v>296</v>
      </c>
      <c r="Q293" t="s">
        <v>296</v>
      </c>
      <c r="R293" t="s">
        <v>296</v>
      </c>
    </row>
    <row r="294" spans="16:18">
      <c r="P294" t="s">
        <v>296</v>
      </c>
      <c r="Q294" t="s">
        <v>296</v>
      </c>
      <c r="R294" t="s">
        <v>296</v>
      </c>
    </row>
    <row r="295" spans="16:18">
      <c r="P295" t="s">
        <v>296</v>
      </c>
      <c r="Q295" t="s">
        <v>296</v>
      </c>
      <c r="R295" t="s">
        <v>296</v>
      </c>
    </row>
    <row r="296" spans="16:18">
      <c r="P296" t="s">
        <v>296</v>
      </c>
      <c r="Q296" t="s">
        <v>296</v>
      </c>
      <c r="R296" t="s">
        <v>296</v>
      </c>
    </row>
    <row r="297" spans="16:18">
      <c r="P297" t="s">
        <v>296</v>
      </c>
      <c r="Q297" t="s">
        <v>296</v>
      </c>
      <c r="R297" t="s">
        <v>296</v>
      </c>
    </row>
    <row r="298" spans="16:18">
      <c r="P298" t="s">
        <v>296</v>
      </c>
      <c r="Q298" t="s">
        <v>296</v>
      </c>
      <c r="R298" t="s">
        <v>296</v>
      </c>
    </row>
    <row r="299" spans="16:18">
      <c r="P299" t="s">
        <v>296</v>
      </c>
      <c r="Q299" t="s">
        <v>296</v>
      </c>
      <c r="R299" t="s">
        <v>296</v>
      </c>
    </row>
    <row r="300" spans="16:18">
      <c r="P300" t="s">
        <v>296</v>
      </c>
      <c r="Q300" t="s">
        <v>296</v>
      </c>
      <c r="R300" t="s">
        <v>296</v>
      </c>
    </row>
    <row r="301" spans="16:18">
      <c r="P301" t="s">
        <v>296</v>
      </c>
      <c r="Q301" t="s">
        <v>296</v>
      </c>
      <c r="R301" t="s">
        <v>296</v>
      </c>
    </row>
    <row r="302" spans="16:18">
      <c r="P302" t="s">
        <v>296</v>
      </c>
      <c r="Q302" t="s">
        <v>296</v>
      </c>
      <c r="R302" t="s">
        <v>296</v>
      </c>
    </row>
    <row r="593" spans="1:15" s="2443" customFormat="1">
      <c r="A593" s="39"/>
      <c r="B593" s="39"/>
      <c r="C593" s="39"/>
      <c r="D593" s="39"/>
      <c r="E593" s="39"/>
      <c r="F593" s="39"/>
      <c r="G593" s="39"/>
      <c r="H593" s="39"/>
      <c r="I593" s="39"/>
      <c r="J593" s="39"/>
      <c r="K593" s="39"/>
      <c r="L593" s="39"/>
      <c r="M593" s="39"/>
      <c r="N593" s="39"/>
      <c r="O593" s="39"/>
    </row>
    <row r="594" spans="1:15" s="2443" customFormat="1">
      <c r="A594" s="39"/>
      <c r="B594" s="39"/>
      <c r="C594" s="39"/>
      <c r="D594" s="39"/>
      <c r="E594" s="39"/>
      <c r="F594" s="39"/>
      <c r="G594" s="39"/>
      <c r="H594" s="39"/>
      <c r="I594" s="39"/>
      <c r="J594" s="39"/>
      <c r="K594" s="39"/>
      <c r="L594" s="39"/>
      <c r="M594" s="39"/>
      <c r="N594" s="39"/>
      <c r="O594" s="39"/>
    </row>
    <row r="595" spans="1:15" s="2443" customFormat="1">
      <c r="A595" s="39"/>
      <c r="B595" s="39"/>
      <c r="C595" s="39"/>
      <c r="D595" s="39"/>
      <c r="E595" s="39"/>
      <c r="F595" s="39"/>
      <c r="G595" s="39"/>
      <c r="H595" s="39"/>
      <c r="I595" s="39"/>
      <c r="J595" s="39"/>
      <c r="K595" s="39"/>
      <c r="L595" s="39"/>
      <c r="M595" s="39"/>
      <c r="N595" s="39"/>
      <c r="O595" s="39"/>
    </row>
    <row r="596" spans="1:15" s="2443" customFormat="1">
      <c r="A596" s="39"/>
      <c r="B596" s="39"/>
      <c r="C596" s="39"/>
      <c r="D596" s="39"/>
      <c r="E596" s="39"/>
      <c r="F596" s="39"/>
      <c r="G596" s="39"/>
      <c r="H596" s="39"/>
      <c r="I596" s="39"/>
      <c r="J596" s="39"/>
      <c r="K596" s="39"/>
      <c r="L596" s="39"/>
      <c r="M596" s="39"/>
      <c r="N596" s="39"/>
      <c r="O596" s="39"/>
    </row>
    <row r="597" spans="1:15" s="2443" customFormat="1">
      <c r="A597" s="39"/>
      <c r="B597" s="39"/>
      <c r="C597" s="39"/>
      <c r="D597" s="39"/>
      <c r="E597" s="39"/>
      <c r="F597" s="39"/>
      <c r="G597" s="39"/>
      <c r="H597" s="39"/>
      <c r="I597" s="39"/>
      <c r="J597" s="39"/>
      <c r="K597" s="39"/>
      <c r="L597" s="39"/>
      <c r="M597" s="39"/>
      <c r="N597" s="39"/>
      <c r="O597" s="39"/>
    </row>
    <row r="598" spans="1:15" s="2443" customFormat="1">
      <c r="A598" s="39"/>
      <c r="B598" s="39"/>
      <c r="C598" s="39"/>
      <c r="D598" s="39"/>
      <c r="E598" s="39"/>
      <c r="F598" s="39"/>
      <c r="G598" s="39"/>
      <c r="H598" s="39"/>
      <c r="I598" s="39"/>
      <c r="J598" s="39"/>
      <c r="K598" s="39"/>
      <c r="L598" s="39"/>
      <c r="M598" s="39"/>
      <c r="N598" s="39"/>
      <c r="O598" s="39"/>
    </row>
    <row r="599" spans="1:15" s="2443" customFormat="1">
      <c r="A599" s="39"/>
      <c r="B599" s="39"/>
      <c r="C599" s="39"/>
      <c r="D599" s="39"/>
      <c r="E599" s="39"/>
      <c r="F599" s="39"/>
      <c r="G599" s="39"/>
      <c r="H599" s="39"/>
      <c r="I599" s="39"/>
      <c r="J599" s="39"/>
      <c r="K599" s="39"/>
      <c r="L599" s="39"/>
      <c r="M599" s="39"/>
      <c r="N599" s="39"/>
      <c r="O599" s="39"/>
    </row>
    <row r="600" spans="1:15" s="2443" customFormat="1">
      <c r="A600" s="39"/>
      <c r="B600" s="39"/>
      <c r="C600" s="39"/>
      <c r="D600" s="39"/>
      <c r="E600" s="39"/>
      <c r="F600" s="39"/>
      <c r="G600" s="39"/>
      <c r="H600" s="39"/>
      <c r="I600" s="39"/>
      <c r="J600" s="39"/>
      <c r="K600" s="39"/>
      <c r="L600" s="39"/>
      <c r="M600" s="39"/>
      <c r="N600" s="39"/>
      <c r="O600" s="39"/>
    </row>
    <row r="601" spans="1:15" s="2443" customFormat="1">
      <c r="A601" s="39"/>
      <c r="B601" s="39"/>
      <c r="C601" s="39"/>
      <c r="D601" s="39"/>
      <c r="E601" s="39"/>
      <c r="F601" s="39"/>
      <c r="G601" s="39"/>
      <c r="H601" s="39"/>
      <c r="I601" s="39"/>
      <c r="J601" s="39"/>
      <c r="K601" s="39"/>
      <c r="L601" s="39"/>
      <c r="M601" s="39"/>
      <c r="N601" s="39"/>
      <c r="O601" s="39"/>
    </row>
    <row r="602" spans="1:15" s="2443" customFormat="1">
      <c r="A602" s="39"/>
      <c r="B602" s="39"/>
      <c r="C602" s="39"/>
      <c r="D602" s="39"/>
      <c r="E602" s="39"/>
      <c r="F602" s="39"/>
      <c r="G602" s="39"/>
      <c r="H602" s="39"/>
      <c r="I602" s="39"/>
      <c r="J602" s="39"/>
      <c r="K602" s="39"/>
      <c r="L602" s="39"/>
      <c r="M602" s="39"/>
      <c r="N602" s="39"/>
      <c r="O602" s="39"/>
    </row>
    <row r="603" spans="1:15" s="2443" customFormat="1">
      <c r="A603" s="39"/>
      <c r="B603" s="39"/>
      <c r="C603" s="39"/>
      <c r="D603" s="39"/>
      <c r="E603" s="39"/>
      <c r="F603" s="39"/>
      <c r="G603" s="39"/>
      <c r="H603" s="39"/>
      <c r="I603" s="39"/>
      <c r="J603" s="39"/>
      <c r="K603" s="39"/>
      <c r="L603" s="39"/>
      <c r="M603" s="39"/>
      <c r="N603" s="39"/>
      <c r="O603" s="39"/>
    </row>
    <row r="604" spans="1:15" s="2443" customFormat="1">
      <c r="A604" s="39"/>
      <c r="B604" s="39"/>
      <c r="C604" s="39"/>
      <c r="D604" s="39"/>
      <c r="E604" s="39"/>
      <c r="F604" s="39"/>
      <c r="G604" s="39"/>
      <c r="H604" s="39"/>
      <c r="I604" s="39"/>
      <c r="J604" s="39"/>
      <c r="K604" s="39"/>
      <c r="L604" s="39"/>
      <c r="M604" s="39"/>
      <c r="N604" s="39"/>
      <c r="O604" s="39"/>
    </row>
    <row r="605" spans="1:15" s="2443" customFormat="1">
      <c r="A605" s="39"/>
      <c r="B605" s="39"/>
      <c r="C605" s="39"/>
      <c r="D605" s="39"/>
      <c r="E605" s="39"/>
      <c r="F605" s="39"/>
      <c r="G605" s="39"/>
      <c r="H605" s="39"/>
      <c r="I605" s="39"/>
      <c r="J605" s="39"/>
      <c r="K605" s="39"/>
      <c r="L605" s="39"/>
      <c r="M605" s="39"/>
      <c r="N605" s="39"/>
      <c r="O605" s="39"/>
    </row>
    <row r="606" spans="1:15" s="2443" customFormat="1">
      <c r="A606" s="39"/>
      <c r="B606" s="39"/>
      <c r="C606" s="39"/>
      <c r="D606" s="39"/>
      <c r="E606" s="39"/>
      <c r="F606" s="39"/>
      <c r="G606" s="39"/>
      <c r="H606" s="39"/>
      <c r="I606" s="39"/>
      <c r="J606" s="39"/>
      <c r="K606" s="39"/>
      <c r="L606" s="39"/>
      <c r="M606" s="39"/>
      <c r="N606" s="39"/>
      <c r="O606" s="39"/>
    </row>
    <row r="607" spans="1:15" s="2443" customFormat="1">
      <c r="A607" s="39"/>
      <c r="B607" s="39"/>
      <c r="C607" s="39"/>
      <c r="D607" s="39"/>
      <c r="E607" s="39"/>
      <c r="F607" s="39"/>
      <c r="G607" s="39"/>
      <c r="H607" s="39"/>
      <c r="I607" s="39"/>
      <c r="J607" s="39"/>
      <c r="K607" s="39"/>
      <c r="L607" s="39"/>
      <c r="M607" s="39"/>
      <c r="N607" s="39"/>
      <c r="O607" s="39"/>
    </row>
    <row r="608" spans="1:15" s="2443" customFormat="1">
      <c r="A608" s="39"/>
      <c r="B608" s="39"/>
      <c r="C608" s="39"/>
      <c r="D608" s="39"/>
      <c r="E608" s="39"/>
      <c r="F608" s="39"/>
      <c r="G608" s="39"/>
      <c r="H608" s="39"/>
      <c r="I608" s="39"/>
      <c r="J608" s="39"/>
      <c r="K608" s="39"/>
      <c r="L608" s="39"/>
      <c r="M608" s="39"/>
      <c r="N608" s="39"/>
      <c r="O608" s="39"/>
    </row>
    <row r="609" spans="1:15" s="2443" customFormat="1">
      <c r="A609" s="39"/>
      <c r="B609" s="39"/>
      <c r="C609" s="39"/>
      <c r="D609" s="39"/>
      <c r="E609" s="39"/>
      <c r="F609" s="39"/>
      <c r="G609" s="39"/>
      <c r="H609" s="39"/>
      <c r="I609" s="39"/>
      <c r="J609" s="39"/>
      <c r="K609" s="39"/>
      <c r="L609" s="39"/>
      <c r="M609" s="39"/>
      <c r="N609" s="39"/>
      <c r="O609" s="39"/>
    </row>
    <row r="610" spans="1:15" s="2443" customFormat="1">
      <c r="A610" s="39"/>
      <c r="B610" s="39"/>
      <c r="C610" s="39"/>
      <c r="D610" s="39"/>
      <c r="E610" s="39"/>
      <c r="F610" s="39"/>
      <c r="G610" s="39"/>
      <c r="H610" s="39"/>
      <c r="I610" s="39"/>
      <c r="J610" s="39"/>
      <c r="K610" s="39"/>
      <c r="L610" s="39"/>
      <c r="M610" s="39"/>
      <c r="N610" s="39"/>
      <c r="O610" s="39"/>
    </row>
    <row r="611" spans="1:15" s="2443" customFormat="1">
      <c r="A611" s="39"/>
      <c r="B611" s="39"/>
      <c r="C611" s="39"/>
      <c r="D611" s="39"/>
      <c r="E611" s="39"/>
      <c r="F611" s="39"/>
      <c r="G611" s="39"/>
      <c r="H611" s="39"/>
      <c r="I611" s="39"/>
      <c r="J611" s="39"/>
      <c r="K611" s="39"/>
      <c r="L611" s="39"/>
      <c r="M611" s="39"/>
      <c r="N611" s="39"/>
      <c r="O611" s="39"/>
    </row>
    <row r="612" spans="1:15" s="2443" customFormat="1">
      <c r="A612" s="39"/>
      <c r="B612" s="39"/>
      <c r="C612" s="39"/>
      <c r="D612" s="39"/>
      <c r="E612" s="39"/>
      <c r="F612" s="39"/>
      <c r="G612" s="39"/>
      <c r="H612" s="39"/>
      <c r="I612" s="39"/>
      <c r="J612" s="39"/>
      <c r="K612" s="39"/>
      <c r="L612" s="39"/>
      <c r="M612" s="39"/>
      <c r="N612" s="39"/>
      <c r="O612" s="39"/>
    </row>
    <row r="613" spans="1:15" s="2444" customFormat="1">
      <c r="A613" s="39"/>
      <c r="B613" s="39"/>
      <c r="C613" s="39"/>
      <c r="D613" s="39"/>
      <c r="E613" s="39"/>
      <c r="F613" s="39"/>
      <c r="G613" s="39"/>
      <c r="H613" s="39"/>
      <c r="I613" s="39"/>
      <c r="J613" s="39"/>
      <c r="K613" s="39"/>
      <c r="L613" s="39"/>
      <c r="M613" s="39"/>
      <c r="N613" s="39"/>
      <c r="O613" s="39"/>
    </row>
    <row r="614" spans="1:15" s="2444" customFormat="1">
      <c r="A614" s="39"/>
      <c r="B614" s="39"/>
      <c r="C614" s="39"/>
      <c r="D614" s="39"/>
      <c r="E614" s="39"/>
      <c r="F614" s="39"/>
      <c r="G614" s="39"/>
      <c r="H614" s="39"/>
      <c r="I614" s="39"/>
      <c r="J614" s="39"/>
      <c r="K614" s="39"/>
      <c r="L614" s="39"/>
      <c r="M614" s="39"/>
      <c r="N614" s="39"/>
      <c r="O614" s="39"/>
    </row>
    <row r="615" spans="1:15" s="2444" customFormat="1">
      <c r="A615" s="39"/>
      <c r="B615" s="39"/>
      <c r="C615" s="39"/>
      <c r="D615" s="39"/>
      <c r="E615" s="39"/>
      <c r="F615" s="39"/>
      <c r="G615" s="39"/>
      <c r="H615" s="39"/>
      <c r="I615" s="39"/>
      <c r="J615" s="39"/>
      <c r="K615" s="39"/>
      <c r="L615" s="39"/>
      <c r="M615" s="39"/>
      <c r="N615" s="39"/>
      <c r="O615" s="39"/>
    </row>
    <row r="616" spans="1:15" s="2442" customFormat="1">
      <c r="A616"/>
      <c r="B616"/>
      <c r="C616"/>
      <c r="D616"/>
      <c r="E616"/>
      <c r="F616"/>
      <c r="G616"/>
      <c r="H616"/>
      <c r="I616"/>
      <c r="J616"/>
      <c r="K616"/>
      <c r="L616"/>
      <c r="M616"/>
      <c r="N616"/>
      <c r="O616"/>
    </row>
    <row r="617" spans="1:15" s="2442" customFormat="1">
      <c r="A617"/>
      <c r="B617"/>
      <c r="C617"/>
      <c r="D617"/>
      <c r="E617"/>
      <c r="F617"/>
      <c r="G617"/>
      <c r="H617"/>
      <c r="I617"/>
      <c r="J617"/>
      <c r="K617"/>
      <c r="L617"/>
      <c r="M617"/>
      <c r="N617"/>
      <c r="O617"/>
    </row>
    <row r="618" spans="1:15" s="2442" customFormat="1">
      <c r="A618"/>
      <c r="B618"/>
      <c r="C618"/>
      <c r="D618"/>
      <c r="E618"/>
      <c r="F618"/>
      <c r="G618"/>
      <c r="H618"/>
      <c r="I618"/>
      <c r="J618"/>
      <c r="K618"/>
      <c r="L618"/>
      <c r="M618"/>
      <c r="N618"/>
      <c r="O618"/>
    </row>
    <row r="619" spans="1:15" s="2442" customFormat="1">
      <c r="A619"/>
      <c r="B619"/>
      <c r="C619"/>
      <c r="D619"/>
      <c r="E619"/>
      <c r="F619"/>
      <c r="G619"/>
      <c r="H619"/>
      <c r="I619"/>
      <c r="J619"/>
      <c r="K619"/>
      <c r="L619"/>
      <c r="M619"/>
      <c r="N619"/>
      <c r="O619"/>
    </row>
    <row r="620" spans="1:15" s="2442" customFormat="1">
      <c r="A620"/>
      <c r="B620"/>
      <c r="C620"/>
      <c r="D620"/>
      <c r="E620"/>
      <c r="F620"/>
      <c r="G620"/>
      <c r="H620"/>
      <c r="I620"/>
      <c r="J620"/>
      <c r="K620"/>
      <c r="L620"/>
      <c r="M620"/>
      <c r="N620"/>
      <c r="O620"/>
    </row>
    <row r="621" spans="1:15" s="2442" customFormat="1">
      <c r="A621"/>
      <c r="B621"/>
      <c r="C621"/>
      <c r="D621"/>
      <c r="E621"/>
      <c r="F621"/>
      <c r="G621"/>
      <c r="H621"/>
      <c r="I621"/>
      <c r="J621"/>
      <c r="K621"/>
      <c r="L621"/>
      <c r="M621"/>
      <c r="N621"/>
      <c r="O621"/>
    </row>
    <row r="622" spans="1:15" s="2442" customFormat="1">
      <c r="A622"/>
      <c r="B622"/>
      <c r="C622"/>
      <c r="D622"/>
      <c r="E622"/>
      <c r="F622"/>
      <c r="G622"/>
      <c r="H622"/>
      <c r="I622"/>
      <c r="J622"/>
      <c r="K622"/>
      <c r="L622"/>
      <c r="M622"/>
      <c r="N622"/>
      <c r="O622"/>
    </row>
    <row r="623" spans="1:15" s="2442" customFormat="1">
      <c r="A623"/>
      <c r="B623"/>
      <c r="C623"/>
      <c r="D623"/>
      <c r="E623"/>
      <c r="F623"/>
      <c r="G623"/>
      <c r="H623"/>
      <c r="I623"/>
      <c r="J623"/>
      <c r="K623"/>
      <c r="L623"/>
      <c r="M623"/>
      <c r="N623"/>
      <c r="O623"/>
    </row>
    <row r="624" spans="1:15" s="2442" customFormat="1">
      <c r="A624"/>
      <c r="B624"/>
      <c r="C624"/>
      <c r="D624"/>
      <c r="E624"/>
      <c r="F624"/>
      <c r="G624"/>
      <c r="H624"/>
      <c r="I624"/>
      <c r="J624"/>
      <c r="K624"/>
      <c r="L624"/>
      <c r="M624"/>
      <c r="N624"/>
      <c r="O624"/>
    </row>
    <row r="625" spans="1:15" s="2442" customFormat="1">
      <c r="A625"/>
      <c r="B625"/>
      <c r="C625"/>
      <c r="D625"/>
      <c r="E625"/>
      <c r="F625"/>
      <c r="G625"/>
      <c r="H625"/>
      <c r="I625"/>
      <c r="J625"/>
      <c r="K625"/>
      <c r="L625"/>
      <c r="M625"/>
      <c r="N625"/>
      <c r="O625"/>
    </row>
    <row r="626" spans="1:15" s="2442" customFormat="1">
      <c r="A626"/>
      <c r="B626"/>
      <c r="C626"/>
      <c r="D626"/>
      <c r="E626"/>
      <c r="F626"/>
      <c r="G626"/>
      <c r="H626"/>
      <c r="I626"/>
      <c r="J626"/>
      <c r="K626"/>
      <c r="L626"/>
      <c r="M626"/>
      <c r="N626"/>
      <c r="O626"/>
    </row>
    <row r="627" spans="1:15" s="2442" customFormat="1">
      <c r="A627"/>
      <c r="B627"/>
      <c r="C627"/>
      <c r="D627"/>
      <c r="E627"/>
      <c r="F627"/>
      <c r="G627"/>
      <c r="H627"/>
      <c r="I627"/>
      <c r="J627"/>
      <c r="K627"/>
      <c r="L627"/>
      <c r="M627"/>
      <c r="N627"/>
      <c r="O627"/>
    </row>
    <row r="628" spans="1:15" s="2442" customFormat="1">
      <c r="A628"/>
      <c r="B628"/>
      <c r="C628"/>
      <c r="D628"/>
      <c r="E628"/>
      <c r="F628"/>
      <c r="G628"/>
      <c r="H628"/>
      <c r="I628"/>
      <c r="J628"/>
      <c r="K628"/>
      <c r="L628"/>
      <c r="M628"/>
      <c r="N628"/>
      <c r="O628"/>
    </row>
    <row r="629" spans="1:15" s="2442" customFormat="1">
      <c r="A629"/>
      <c r="B629"/>
      <c r="C629"/>
      <c r="D629"/>
      <c r="E629"/>
      <c r="F629"/>
      <c r="G629"/>
      <c r="H629"/>
      <c r="I629"/>
      <c r="J629"/>
      <c r="K629"/>
      <c r="L629"/>
      <c r="M629"/>
      <c r="N629"/>
      <c r="O629"/>
    </row>
    <row r="630" spans="1:15" s="2442" customFormat="1">
      <c r="A630"/>
      <c r="B630"/>
      <c r="C630"/>
      <c r="D630"/>
      <c r="E630"/>
      <c r="F630"/>
      <c r="G630"/>
      <c r="H630"/>
      <c r="I630"/>
      <c r="J630"/>
      <c r="K630"/>
      <c r="L630"/>
      <c r="M630"/>
      <c r="N630"/>
      <c r="O630"/>
    </row>
    <row r="631" spans="1:15" s="2442" customFormat="1">
      <c r="A631"/>
      <c r="B631"/>
      <c r="C631"/>
      <c r="D631"/>
      <c r="E631"/>
      <c r="F631"/>
      <c r="G631"/>
      <c r="H631"/>
      <c r="I631"/>
      <c r="J631"/>
      <c r="K631"/>
      <c r="L631"/>
      <c r="M631"/>
      <c r="N631"/>
      <c r="O631"/>
    </row>
    <row r="632" spans="1:15" s="2442" customFormat="1">
      <c r="A632"/>
      <c r="B632"/>
      <c r="C632"/>
      <c r="D632"/>
      <c r="E632"/>
      <c r="F632"/>
      <c r="G632"/>
      <c r="H632"/>
      <c r="I632"/>
      <c r="J632"/>
      <c r="K632"/>
      <c r="L632"/>
      <c r="M632"/>
      <c r="N632"/>
      <c r="O632"/>
    </row>
    <row r="633" spans="1:15" s="2442" customFormat="1">
      <c r="A633"/>
      <c r="B633"/>
      <c r="C633"/>
      <c r="D633"/>
      <c r="E633"/>
      <c r="F633"/>
      <c r="G633"/>
      <c r="H633"/>
      <c r="I633"/>
      <c r="J633"/>
      <c r="K633"/>
      <c r="L633"/>
      <c r="M633"/>
      <c r="N633"/>
      <c r="O633"/>
    </row>
    <row r="634" spans="1:15" s="2442" customFormat="1">
      <c r="A634"/>
      <c r="B634"/>
      <c r="C634"/>
      <c r="D634"/>
      <c r="E634"/>
      <c r="F634"/>
      <c r="G634"/>
      <c r="H634"/>
      <c r="I634"/>
      <c r="J634"/>
      <c r="K634"/>
      <c r="L634"/>
      <c r="M634"/>
      <c r="N634"/>
      <c r="O634"/>
    </row>
    <row r="635" spans="1:15" s="2442" customFormat="1">
      <c r="A635"/>
      <c r="B635"/>
      <c r="C635"/>
      <c r="D635"/>
      <c r="E635"/>
      <c r="F635"/>
      <c r="G635"/>
      <c r="H635"/>
      <c r="I635"/>
      <c r="J635"/>
      <c r="K635"/>
      <c r="L635"/>
      <c r="M635"/>
      <c r="N635"/>
      <c r="O635"/>
    </row>
    <row r="636" spans="1:15" s="2442" customFormat="1">
      <c r="A636"/>
      <c r="B636"/>
      <c r="C636"/>
      <c r="D636"/>
      <c r="E636"/>
      <c r="F636"/>
      <c r="G636"/>
      <c r="H636"/>
      <c r="I636"/>
      <c r="J636"/>
      <c r="K636"/>
      <c r="L636"/>
      <c r="M636"/>
      <c r="N636"/>
      <c r="O636"/>
    </row>
    <row r="637" spans="1:15" s="2442" customFormat="1">
      <c r="A637"/>
      <c r="B637"/>
      <c r="C637"/>
      <c r="D637"/>
      <c r="E637"/>
      <c r="F637"/>
      <c r="G637"/>
      <c r="H637"/>
      <c r="I637"/>
      <c r="J637"/>
      <c r="K637"/>
      <c r="L637"/>
      <c r="M637"/>
      <c r="N637"/>
      <c r="O637"/>
    </row>
    <row r="638" spans="1:15" s="2442" customFormat="1">
      <c r="A638"/>
      <c r="B638"/>
      <c r="C638"/>
      <c r="D638"/>
      <c r="E638"/>
      <c r="F638"/>
      <c r="G638"/>
      <c r="H638"/>
      <c r="I638"/>
      <c r="J638"/>
      <c r="K638"/>
      <c r="L638"/>
      <c r="M638"/>
      <c r="N638"/>
      <c r="O638"/>
    </row>
    <row r="639" spans="1:15" s="2442" customFormat="1">
      <c r="A639"/>
      <c r="B639"/>
      <c r="C639"/>
      <c r="D639"/>
      <c r="E639"/>
      <c r="F639"/>
      <c r="G639"/>
      <c r="H639"/>
      <c r="I639"/>
      <c r="J639"/>
      <c r="K639"/>
      <c r="L639"/>
      <c r="M639"/>
      <c r="N639"/>
      <c r="O639"/>
    </row>
    <row r="640" spans="1:15" s="2442" customFormat="1">
      <c r="A640"/>
      <c r="B640"/>
      <c r="C640"/>
      <c r="D640"/>
      <c r="E640"/>
      <c r="F640"/>
      <c r="G640"/>
      <c r="H640"/>
      <c r="I640"/>
      <c r="J640"/>
      <c r="K640"/>
      <c r="L640"/>
      <c r="M640"/>
      <c r="N640"/>
      <c r="O640"/>
    </row>
    <row r="641" spans="1:15" s="2442" customFormat="1">
      <c r="A641"/>
      <c r="B641"/>
      <c r="C641"/>
      <c r="D641"/>
      <c r="E641"/>
      <c r="F641"/>
      <c r="G641"/>
      <c r="H641"/>
      <c r="I641"/>
      <c r="J641"/>
      <c r="K641"/>
      <c r="L641"/>
      <c r="M641"/>
      <c r="N641"/>
      <c r="O641"/>
    </row>
    <row r="991" spans="16:18">
      <c r="P991" t="s">
        <v>296</v>
      </c>
      <c r="Q991" t="s">
        <v>296</v>
      </c>
      <c r="R991" t="s">
        <v>296</v>
      </c>
    </row>
    <row r="992" spans="16:18">
      <c r="P992" t="s">
        <v>296</v>
      </c>
      <c r="Q992" t="s">
        <v>296</v>
      </c>
      <c r="R992" t="s">
        <v>296</v>
      </c>
    </row>
    <row r="993" spans="16:18">
      <c r="P993" t="s">
        <v>296</v>
      </c>
      <c r="Q993" t="s">
        <v>296</v>
      </c>
      <c r="R993" t="s">
        <v>296</v>
      </c>
    </row>
    <row r="994" spans="16:18">
      <c r="P994" t="s">
        <v>296</v>
      </c>
      <c r="Q994" t="s">
        <v>296</v>
      </c>
      <c r="R994" t="s">
        <v>296</v>
      </c>
    </row>
    <row r="995" spans="16:18">
      <c r="P995" t="s">
        <v>296</v>
      </c>
      <c r="Q995" t="s">
        <v>296</v>
      </c>
      <c r="R995" t="s">
        <v>296</v>
      </c>
    </row>
    <row r="996" spans="16:18">
      <c r="P996" t="s">
        <v>296</v>
      </c>
      <c r="Q996" t="s">
        <v>296</v>
      </c>
      <c r="R996" t="s">
        <v>296</v>
      </c>
    </row>
    <row r="997" spans="16:18">
      <c r="P997" t="s">
        <v>296</v>
      </c>
      <c r="Q997" t="s">
        <v>296</v>
      </c>
      <c r="R997" t="s">
        <v>296</v>
      </c>
    </row>
    <row r="998" spans="16:18">
      <c r="P998" t="s">
        <v>296</v>
      </c>
      <c r="Q998" t="s">
        <v>296</v>
      </c>
      <c r="R998" t="s">
        <v>296</v>
      </c>
    </row>
    <row r="999" spans="16:18">
      <c r="P999" t="s">
        <v>296</v>
      </c>
      <c r="Q999" t="s">
        <v>296</v>
      </c>
      <c r="R999" t="s">
        <v>296</v>
      </c>
    </row>
    <row r="1000" spans="16:18">
      <c r="P1000" t="s">
        <v>296</v>
      </c>
      <c r="Q1000" t="s">
        <v>296</v>
      </c>
      <c r="R1000" t="s">
        <v>296</v>
      </c>
    </row>
    <row r="1001" spans="16:18">
      <c r="P1001" t="s">
        <v>296</v>
      </c>
      <c r="Q1001" t="s">
        <v>296</v>
      </c>
      <c r="R1001" t="s">
        <v>296</v>
      </c>
    </row>
    <row r="1002" spans="16:18">
      <c r="P1002" t="s">
        <v>296</v>
      </c>
      <c r="Q1002" t="s">
        <v>296</v>
      </c>
      <c r="R1002" t="s">
        <v>296</v>
      </c>
    </row>
    <row r="1003" spans="16:18">
      <c r="P1003" t="s">
        <v>296</v>
      </c>
      <c r="Q1003" t="s">
        <v>296</v>
      </c>
      <c r="R1003" t="s">
        <v>296</v>
      </c>
    </row>
    <row r="1004" spans="16:18">
      <c r="P1004" t="s">
        <v>296</v>
      </c>
      <c r="Q1004" t="s">
        <v>296</v>
      </c>
      <c r="R1004" t="s">
        <v>296</v>
      </c>
    </row>
    <row r="1005" spans="16:18">
      <c r="P1005" t="s">
        <v>296</v>
      </c>
      <c r="Q1005" t="s">
        <v>296</v>
      </c>
      <c r="R1005" t="s">
        <v>296</v>
      </c>
    </row>
    <row r="1006" spans="16:18">
      <c r="P1006" t="s">
        <v>296</v>
      </c>
      <c r="Q1006" t="s">
        <v>296</v>
      </c>
      <c r="R1006" t="s">
        <v>296</v>
      </c>
    </row>
    <row r="1007" spans="16:18">
      <c r="P1007" t="s">
        <v>296</v>
      </c>
      <c r="Q1007" t="s">
        <v>296</v>
      </c>
      <c r="R1007" t="s">
        <v>296</v>
      </c>
    </row>
    <row r="1008" spans="16:18">
      <c r="P1008" t="s">
        <v>296</v>
      </c>
      <c r="Q1008" t="s">
        <v>296</v>
      </c>
      <c r="R1008" t="s">
        <v>296</v>
      </c>
    </row>
    <row r="1009" spans="16:18">
      <c r="P1009" t="s">
        <v>296</v>
      </c>
      <c r="Q1009" t="s">
        <v>296</v>
      </c>
      <c r="R1009" t="s">
        <v>296</v>
      </c>
    </row>
    <row r="1010" spans="16:18">
      <c r="P1010" t="s">
        <v>296</v>
      </c>
      <c r="Q1010" t="s">
        <v>296</v>
      </c>
      <c r="R1010" t="s">
        <v>296</v>
      </c>
    </row>
    <row r="1011" spans="16:18">
      <c r="P1011" t="s">
        <v>296</v>
      </c>
      <c r="Q1011" t="s">
        <v>296</v>
      </c>
      <c r="R1011" t="s">
        <v>296</v>
      </c>
    </row>
    <row r="1012" spans="16:18">
      <c r="P1012" t="s">
        <v>296</v>
      </c>
      <c r="Q1012" t="s">
        <v>296</v>
      </c>
      <c r="R1012" t="s">
        <v>296</v>
      </c>
    </row>
    <row r="1013" spans="16:18">
      <c r="P1013" t="s">
        <v>296</v>
      </c>
      <c r="Q1013" t="s">
        <v>296</v>
      </c>
      <c r="R1013" t="s">
        <v>296</v>
      </c>
    </row>
    <row r="1014" spans="16:18">
      <c r="P1014" t="s">
        <v>296</v>
      </c>
      <c r="Q1014" t="s">
        <v>296</v>
      </c>
      <c r="R1014" t="s">
        <v>296</v>
      </c>
    </row>
    <row r="1015" spans="16:18">
      <c r="P1015" t="s">
        <v>296</v>
      </c>
      <c r="Q1015" t="s">
        <v>296</v>
      </c>
      <c r="R1015" t="s">
        <v>296</v>
      </c>
    </row>
    <row r="1016" spans="16:18">
      <c r="P1016" t="s">
        <v>296</v>
      </c>
      <c r="Q1016" t="s">
        <v>296</v>
      </c>
      <c r="R1016" t="s">
        <v>296</v>
      </c>
    </row>
    <row r="1017" spans="16:18">
      <c r="P1017" t="s">
        <v>296</v>
      </c>
      <c r="Q1017" t="s">
        <v>296</v>
      </c>
      <c r="R1017" t="s">
        <v>296</v>
      </c>
    </row>
    <row r="1018" spans="16:18">
      <c r="P1018" t="s">
        <v>296</v>
      </c>
      <c r="Q1018" t="s">
        <v>296</v>
      </c>
      <c r="R1018" t="s">
        <v>296</v>
      </c>
    </row>
    <row r="1019" spans="16:18">
      <c r="P1019" t="s">
        <v>296</v>
      </c>
      <c r="Q1019" t="s">
        <v>296</v>
      </c>
      <c r="R1019" t="s">
        <v>296</v>
      </c>
    </row>
    <row r="1020" spans="16:18">
      <c r="P1020" t="s">
        <v>296</v>
      </c>
      <c r="Q1020" t="s">
        <v>296</v>
      </c>
      <c r="R1020" t="s">
        <v>296</v>
      </c>
    </row>
    <row r="1021" spans="16:18">
      <c r="P1021" t="s">
        <v>296</v>
      </c>
      <c r="Q1021" t="s">
        <v>296</v>
      </c>
      <c r="R1021" t="s">
        <v>296</v>
      </c>
    </row>
    <row r="1022" spans="16:18">
      <c r="P1022" t="s">
        <v>296</v>
      </c>
      <c r="Q1022" t="s">
        <v>296</v>
      </c>
      <c r="R1022" t="s">
        <v>296</v>
      </c>
    </row>
    <row r="1023" spans="16:18">
      <c r="P1023" t="s">
        <v>296</v>
      </c>
      <c r="Q1023" t="s">
        <v>296</v>
      </c>
      <c r="R1023" t="s">
        <v>296</v>
      </c>
    </row>
    <row r="1024" spans="16:18">
      <c r="P1024" t="s">
        <v>296</v>
      </c>
      <c r="Q1024" t="s">
        <v>296</v>
      </c>
      <c r="R1024" t="s">
        <v>296</v>
      </c>
    </row>
    <row r="1025" spans="16:18">
      <c r="P1025" t="s">
        <v>296</v>
      </c>
      <c r="Q1025" t="s">
        <v>296</v>
      </c>
      <c r="R1025" t="s">
        <v>296</v>
      </c>
    </row>
    <row r="1026" spans="16:18">
      <c r="P1026" t="s">
        <v>296</v>
      </c>
      <c r="Q1026" t="s">
        <v>296</v>
      </c>
      <c r="R1026" t="s">
        <v>296</v>
      </c>
    </row>
    <row r="1027" spans="16:18">
      <c r="P1027" t="s">
        <v>296</v>
      </c>
      <c r="Q1027" t="s">
        <v>296</v>
      </c>
      <c r="R1027" t="s">
        <v>296</v>
      </c>
    </row>
    <row r="1028" spans="16:18">
      <c r="P1028" t="s">
        <v>296</v>
      </c>
      <c r="Q1028" t="s">
        <v>296</v>
      </c>
      <c r="R1028" t="s">
        <v>296</v>
      </c>
    </row>
    <row r="1029" spans="16:18">
      <c r="P1029" t="s">
        <v>296</v>
      </c>
      <c r="Q1029" t="s">
        <v>296</v>
      </c>
      <c r="R1029" t="s">
        <v>296</v>
      </c>
    </row>
    <row r="1030" spans="16:18">
      <c r="P1030" t="s">
        <v>296</v>
      </c>
      <c r="Q1030" t="s">
        <v>296</v>
      </c>
      <c r="R1030" t="s">
        <v>296</v>
      </c>
    </row>
    <row r="1031" spans="16:18">
      <c r="P1031" t="s">
        <v>296</v>
      </c>
      <c r="Q1031" t="s">
        <v>296</v>
      </c>
      <c r="R1031" t="s">
        <v>296</v>
      </c>
    </row>
    <row r="1032" spans="16:18">
      <c r="P1032" t="s">
        <v>296</v>
      </c>
      <c r="Q1032" t="s">
        <v>296</v>
      </c>
      <c r="R1032" t="s">
        <v>296</v>
      </c>
    </row>
    <row r="1033" spans="16:18">
      <c r="P1033" t="s">
        <v>296</v>
      </c>
      <c r="Q1033" t="s">
        <v>296</v>
      </c>
      <c r="R1033" t="s">
        <v>296</v>
      </c>
    </row>
    <row r="1034" spans="16:18">
      <c r="P1034" t="s">
        <v>296</v>
      </c>
      <c r="Q1034" t="s">
        <v>296</v>
      </c>
      <c r="R1034" t="s">
        <v>296</v>
      </c>
    </row>
    <row r="1035" spans="16:18">
      <c r="P1035" t="s">
        <v>296</v>
      </c>
      <c r="Q1035" t="s">
        <v>296</v>
      </c>
      <c r="R1035" t="s">
        <v>296</v>
      </c>
    </row>
    <row r="1036" spans="16:18">
      <c r="P1036" t="s">
        <v>296</v>
      </c>
      <c r="Q1036" t="s">
        <v>296</v>
      </c>
      <c r="R1036" t="s">
        <v>296</v>
      </c>
    </row>
    <row r="1037" spans="16:18">
      <c r="P1037" t="s">
        <v>296</v>
      </c>
      <c r="Q1037" t="s">
        <v>296</v>
      </c>
      <c r="R1037" t="s">
        <v>296</v>
      </c>
    </row>
    <row r="1038" spans="16:18">
      <c r="P1038" t="s">
        <v>296</v>
      </c>
      <c r="Q1038" t="s">
        <v>296</v>
      </c>
      <c r="R1038" t="s">
        <v>296</v>
      </c>
    </row>
    <row r="1039" spans="16:18">
      <c r="P1039" t="s">
        <v>296</v>
      </c>
      <c r="Q1039" t="s">
        <v>296</v>
      </c>
      <c r="R1039" t="s">
        <v>296</v>
      </c>
    </row>
    <row r="1040" spans="16:18">
      <c r="P1040" t="s">
        <v>296</v>
      </c>
      <c r="Q1040" t="s">
        <v>296</v>
      </c>
      <c r="R1040" t="s">
        <v>296</v>
      </c>
    </row>
    <row r="1041" spans="16:18">
      <c r="P1041" t="s">
        <v>296</v>
      </c>
      <c r="Q1041" t="s">
        <v>296</v>
      </c>
      <c r="R1041" t="s">
        <v>296</v>
      </c>
    </row>
    <row r="1042" spans="16:18">
      <c r="P1042" t="s">
        <v>296</v>
      </c>
      <c r="Q1042" t="s">
        <v>296</v>
      </c>
      <c r="R1042" t="s">
        <v>296</v>
      </c>
    </row>
    <row r="1043" spans="16:18">
      <c r="P1043" t="s">
        <v>296</v>
      </c>
      <c r="Q1043" t="s">
        <v>296</v>
      </c>
      <c r="R1043" t="s">
        <v>296</v>
      </c>
    </row>
    <row r="1044" spans="16:18">
      <c r="P1044" t="s">
        <v>296</v>
      </c>
      <c r="Q1044" t="s">
        <v>296</v>
      </c>
      <c r="R1044" t="s">
        <v>296</v>
      </c>
    </row>
    <row r="1045" spans="16:18">
      <c r="P1045" t="s">
        <v>296</v>
      </c>
      <c r="Q1045" t="s">
        <v>296</v>
      </c>
      <c r="R1045" t="s">
        <v>296</v>
      </c>
    </row>
    <row r="1046" spans="16:18">
      <c r="P1046" t="s">
        <v>296</v>
      </c>
      <c r="Q1046" t="s">
        <v>296</v>
      </c>
      <c r="R1046" t="s">
        <v>296</v>
      </c>
    </row>
    <row r="1047" spans="16:18">
      <c r="P1047" t="s">
        <v>296</v>
      </c>
      <c r="Q1047" t="s">
        <v>296</v>
      </c>
      <c r="R1047" t="s">
        <v>296</v>
      </c>
    </row>
    <row r="1048" spans="16:18">
      <c r="P1048" t="s">
        <v>296</v>
      </c>
      <c r="Q1048" t="s">
        <v>296</v>
      </c>
      <c r="R1048" t="s">
        <v>296</v>
      </c>
    </row>
    <row r="1049" spans="16:18">
      <c r="P1049" t="s">
        <v>296</v>
      </c>
      <c r="Q1049" t="s">
        <v>296</v>
      </c>
      <c r="R1049" t="s">
        <v>296</v>
      </c>
    </row>
    <row r="1050" spans="16:18">
      <c r="P1050" t="s">
        <v>296</v>
      </c>
      <c r="Q1050" t="s">
        <v>296</v>
      </c>
      <c r="R1050" t="s">
        <v>296</v>
      </c>
    </row>
    <row r="1051" spans="16:18">
      <c r="P1051" t="s">
        <v>296</v>
      </c>
      <c r="Q1051" t="s">
        <v>296</v>
      </c>
      <c r="R1051" t="s">
        <v>296</v>
      </c>
    </row>
    <row r="1078" hidden="1"/>
    <row r="1079" hidden="1"/>
    <row r="1080" hidden="1"/>
    <row r="1081" hidden="1"/>
    <row r="1082" hidden="1"/>
    <row r="1083" hidden="1"/>
    <row r="1084" hidden="1"/>
    <row r="1085" ht="15" customHeight="1"/>
    <row r="1171" spans="1:12" s="2485" customFormat="1">
      <c r="A1171"/>
      <c r="B1171"/>
      <c r="C1171"/>
      <c r="D1171"/>
      <c r="E1171"/>
      <c r="F1171"/>
      <c r="G1171"/>
      <c r="H1171"/>
      <c r="I1171"/>
      <c r="J1171"/>
      <c r="K1171"/>
      <c r="L1171"/>
    </row>
    <row r="1172" spans="1:12" s="2485" customFormat="1">
      <c r="A1172"/>
      <c r="B1172"/>
      <c r="C1172"/>
      <c r="D1172"/>
      <c r="E1172"/>
      <c r="F1172"/>
      <c r="G1172"/>
      <c r="H1172"/>
      <c r="I1172"/>
      <c r="J1172"/>
      <c r="K1172"/>
      <c r="L1172"/>
    </row>
    <row r="1173" spans="1:12" s="2485" customFormat="1">
      <c r="A1173"/>
      <c r="B1173"/>
      <c r="C1173"/>
      <c r="D1173"/>
      <c r="E1173"/>
      <c r="F1173"/>
      <c r="G1173"/>
      <c r="H1173"/>
      <c r="I1173"/>
      <c r="J1173"/>
      <c r="K1173"/>
      <c r="L1173"/>
    </row>
    <row r="1174" spans="1:12" s="2485" customFormat="1">
      <c r="A1174"/>
      <c r="B1174"/>
      <c r="C1174"/>
      <c r="D1174"/>
      <c r="E1174"/>
      <c r="F1174"/>
      <c r="G1174"/>
      <c r="H1174"/>
      <c r="I1174"/>
      <c r="J1174"/>
      <c r="K1174"/>
      <c r="L1174"/>
    </row>
    <row r="1175" spans="1:12" s="2485" customFormat="1">
      <c r="A1175"/>
      <c r="B1175"/>
      <c r="C1175"/>
      <c r="D1175"/>
      <c r="E1175"/>
      <c r="F1175"/>
      <c r="G1175"/>
      <c r="H1175"/>
      <c r="I1175"/>
      <c r="J1175"/>
      <c r="K1175"/>
      <c r="L1175"/>
    </row>
    <row r="1176" spans="1:12" s="2485" customFormat="1">
      <c r="A1176"/>
      <c r="B1176"/>
      <c r="C1176"/>
      <c r="D1176"/>
      <c r="E1176"/>
      <c r="F1176"/>
      <c r="G1176"/>
      <c r="H1176"/>
      <c r="I1176"/>
      <c r="J1176"/>
      <c r="K1176"/>
      <c r="L1176"/>
    </row>
    <row r="1177" spans="1:12" s="2485" customFormat="1">
      <c r="A1177"/>
      <c r="B1177"/>
      <c r="C1177"/>
      <c r="D1177"/>
      <c r="E1177"/>
      <c r="F1177"/>
      <c r="G1177"/>
      <c r="H1177"/>
      <c r="I1177"/>
      <c r="J1177"/>
      <c r="K1177"/>
      <c r="L1177"/>
    </row>
    <row r="1178" spans="1:12" s="2485" customFormat="1">
      <c r="A1178"/>
      <c r="B1178"/>
      <c r="C1178"/>
      <c r="D1178"/>
      <c r="E1178"/>
      <c r="F1178"/>
      <c r="G1178"/>
      <c r="H1178"/>
      <c r="I1178"/>
      <c r="J1178"/>
      <c r="K1178"/>
      <c r="L1178"/>
    </row>
    <row r="1179" spans="1:12" s="2485" customFormat="1">
      <c r="A1179"/>
      <c r="B1179"/>
      <c r="C1179"/>
      <c r="D1179"/>
      <c r="E1179"/>
      <c r="F1179"/>
      <c r="G1179"/>
      <c r="H1179"/>
      <c r="I1179"/>
      <c r="J1179"/>
      <c r="K1179"/>
      <c r="L1179"/>
    </row>
    <row r="1180" spans="1:12" s="2485" customFormat="1">
      <c r="A1180"/>
      <c r="B1180"/>
      <c r="C1180"/>
      <c r="D1180"/>
      <c r="E1180"/>
      <c r="F1180"/>
      <c r="G1180"/>
      <c r="H1180"/>
      <c r="I1180"/>
      <c r="J1180"/>
      <c r="K1180"/>
      <c r="L1180"/>
    </row>
    <row r="1181" spans="1:12" s="2485" customFormat="1">
      <c r="A1181"/>
      <c r="B1181"/>
      <c r="C1181"/>
      <c r="D1181"/>
      <c r="E1181"/>
      <c r="F1181"/>
      <c r="G1181"/>
      <c r="H1181"/>
      <c r="I1181"/>
      <c r="J1181"/>
      <c r="K1181"/>
      <c r="L1181"/>
    </row>
    <row r="1182" spans="1:12" s="2485" customFormat="1">
      <c r="A1182"/>
      <c r="B1182"/>
      <c r="C1182"/>
      <c r="D1182"/>
      <c r="E1182"/>
      <c r="F1182"/>
      <c r="G1182"/>
      <c r="H1182"/>
      <c r="I1182"/>
      <c r="J1182"/>
      <c r="K1182"/>
      <c r="L1182"/>
    </row>
    <row r="1183" spans="1:12" s="2485" customFormat="1">
      <c r="A1183"/>
      <c r="B1183"/>
      <c r="C1183"/>
      <c r="D1183"/>
      <c r="E1183"/>
      <c r="F1183"/>
      <c r="G1183"/>
      <c r="H1183"/>
      <c r="I1183"/>
      <c r="J1183"/>
      <c r="K1183"/>
      <c r="L1183"/>
    </row>
    <row r="1184" spans="1:12" s="2485" customFormat="1">
      <c r="A1184"/>
      <c r="B1184"/>
      <c r="C1184"/>
      <c r="D1184"/>
      <c r="E1184"/>
      <c r="F1184"/>
      <c r="G1184"/>
      <c r="H1184"/>
      <c r="I1184"/>
      <c r="J1184"/>
      <c r="K1184"/>
      <c r="L1184"/>
    </row>
    <row r="1185" spans="1:12" s="2485" customFormat="1">
      <c r="A1185"/>
      <c r="B1185"/>
      <c r="C1185"/>
      <c r="D1185"/>
      <c r="E1185"/>
      <c r="F1185"/>
      <c r="G1185"/>
      <c r="H1185"/>
      <c r="I1185"/>
      <c r="J1185"/>
      <c r="K1185"/>
      <c r="L1185"/>
    </row>
    <row r="1186" spans="1:12" s="2485" customFormat="1">
      <c r="A1186"/>
      <c r="B1186"/>
      <c r="C1186"/>
      <c r="D1186"/>
      <c r="E1186"/>
      <c r="F1186"/>
      <c r="G1186"/>
      <c r="H1186"/>
      <c r="I1186"/>
      <c r="J1186"/>
      <c r="K1186"/>
      <c r="L1186"/>
    </row>
    <row r="1187" spans="1:12" s="2485" customFormat="1">
      <c r="A1187"/>
      <c r="B1187"/>
      <c r="C1187"/>
      <c r="D1187"/>
      <c r="E1187"/>
      <c r="F1187"/>
      <c r="G1187"/>
      <c r="H1187"/>
      <c r="I1187"/>
      <c r="J1187"/>
      <c r="K1187"/>
      <c r="L1187"/>
    </row>
    <row r="1188" spans="1:12" s="2485" customFormat="1">
      <c r="A1188"/>
      <c r="B1188"/>
      <c r="C1188"/>
      <c r="D1188"/>
      <c r="E1188"/>
      <c r="F1188"/>
      <c r="G1188"/>
      <c r="H1188"/>
      <c r="I1188"/>
      <c r="J1188"/>
      <c r="K1188"/>
      <c r="L1188"/>
    </row>
    <row r="1189" spans="1:12" s="2485" customFormat="1">
      <c r="A1189"/>
      <c r="B1189"/>
      <c r="C1189"/>
      <c r="D1189"/>
      <c r="E1189"/>
      <c r="F1189"/>
      <c r="G1189"/>
      <c r="H1189"/>
      <c r="I1189"/>
      <c r="J1189"/>
      <c r="K1189"/>
      <c r="L1189"/>
    </row>
    <row r="1190" spans="1:12" s="2485" customFormat="1">
      <c r="A1190"/>
      <c r="B1190"/>
      <c r="C1190"/>
      <c r="D1190"/>
      <c r="E1190"/>
      <c r="F1190"/>
      <c r="G1190"/>
      <c r="H1190"/>
      <c r="I1190"/>
      <c r="J1190"/>
      <c r="K1190"/>
      <c r="L1190"/>
    </row>
    <row r="1191" spans="1:12" s="2485" customFormat="1">
      <c r="A1191"/>
      <c r="B1191"/>
      <c r="C1191"/>
      <c r="D1191"/>
      <c r="E1191"/>
      <c r="F1191"/>
      <c r="G1191"/>
      <c r="H1191"/>
      <c r="I1191"/>
      <c r="J1191"/>
      <c r="K1191"/>
      <c r="L1191"/>
    </row>
    <row r="1192" spans="1:12" s="2485" customFormat="1">
      <c r="A1192"/>
      <c r="B1192"/>
      <c r="C1192"/>
      <c r="D1192"/>
      <c r="E1192"/>
      <c r="F1192"/>
      <c r="G1192"/>
      <c r="H1192"/>
      <c r="I1192"/>
      <c r="J1192"/>
      <c r="K1192"/>
      <c r="L1192"/>
    </row>
    <row r="1193" spans="1:12" s="2485" customFormat="1">
      <c r="A1193"/>
      <c r="B1193"/>
      <c r="C1193"/>
      <c r="D1193"/>
      <c r="E1193"/>
      <c r="F1193"/>
      <c r="G1193"/>
      <c r="H1193"/>
      <c r="I1193"/>
      <c r="J1193"/>
      <c r="K1193"/>
      <c r="L1193"/>
    </row>
    <row r="1194" spans="1:12" s="2485" customFormat="1">
      <c r="A1194"/>
      <c r="B1194"/>
      <c r="C1194"/>
      <c r="D1194"/>
      <c r="E1194"/>
      <c r="F1194"/>
      <c r="G1194"/>
      <c r="H1194"/>
      <c r="I1194"/>
      <c r="J1194"/>
      <c r="K1194"/>
      <c r="L1194"/>
    </row>
    <row r="1195" spans="1:12" s="2485" customFormat="1">
      <c r="A1195"/>
      <c r="B1195"/>
      <c r="C1195"/>
      <c r="D1195"/>
      <c r="E1195"/>
      <c r="F1195"/>
      <c r="G1195"/>
      <c r="H1195"/>
      <c r="I1195"/>
      <c r="J1195"/>
      <c r="K1195"/>
      <c r="L1195"/>
    </row>
    <row r="1196" spans="1:12" s="2485" customFormat="1">
      <c r="A1196"/>
      <c r="B1196"/>
      <c r="C1196"/>
      <c r="D1196"/>
      <c r="E1196"/>
      <c r="F1196"/>
      <c r="G1196"/>
      <c r="H1196"/>
      <c r="I1196"/>
      <c r="J1196"/>
      <c r="K1196"/>
      <c r="L1196"/>
    </row>
    <row r="1197" spans="1:12" s="2485" customFormat="1">
      <c r="A1197"/>
      <c r="B1197"/>
      <c r="C1197"/>
      <c r="D1197"/>
      <c r="E1197"/>
      <c r="F1197"/>
      <c r="G1197"/>
      <c r="H1197"/>
      <c r="I1197"/>
      <c r="J1197"/>
      <c r="K1197"/>
      <c r="L1197"/>
    </row>
    <row r="1198" spans="1:12" s="2485" customFormat="1">
      <c r="A1198"/>
      <c r="B1198"/>
      <c r="C1198"/>
      <c r="D1198"/>
      <c r="E1198"/>
      <c r="F1198"/>
      <c r="G1198"/>
      <c r="H1198"/>
      <c r="I1198"/>
      <c r="J1198"/>
      <c r="K1198"/>
      <c r="L1198"/>
    </row>
    <row r="1199" spans="1:12" s="2485" customFormat="1">
      <c r="A1199"/>
      <c r="B1199"/>
      <c r="C1199"/>
      <c r="D1199"/>
      <c r="E1199"/>
      <c r="F1199"/>
      <c r="G1199"/>
      <c r="H1199"/>
      <c r="I1199"/>
      <c r="J1199"/>
      <c r="K1199"/>
      <c r="L1199"/>
    </row>
    <row r="1200" spans="1:12" s="2485" customFormat="1">
      <c r="A1200"/>
      <c r="B1200"/>
      <c r="C1200"/>
      <c r="D1200"/>
      <c r="E1200"/>
      <c r="F1200"/>
      <c r="G1200"/>
      <c r="H1200"/>
      <c r="I1200"/>
      <c r="J1200"/>
      <c r="K1200"/>
      <c r="L1200"/>
    </row>
    <row r="1201" spans="1:12" s="2485" customFormat="1">
      <c r="A1201"/>
      <c r="B1201"/>
      <c r="C1201"/>
      <c r="D1201"/>
      <c r="E1201"/>
      <c r="F1201"/>
      <c r="G1201"/>
      <c r="H1201"/>
      <c r="I1201"/>
      <c r="J1201"/>
      <c r="K1201"/>
      <c r="L1201"/>
    </row>
    <row r="1202" spans="1:12" s="2485" customFormat="1">
      <c r="A1202"/>
      <c r="B1202"/>
      <c r="C1202"/>
      <c r="D1202"/>
      <c r="E1202"/>
      <c r="F1202"/>
      <c r="G1202"/>
      <c r="H1202"/>
      <c r="I1202"/>
      <c r="J1202"/>
      <c r="K1202"/>
      <c r="L1202"/>
    </row>
    <row r="1203" spans="1:12" s="2485" customFormat="1">
      <c r="A1203"/>
      <c r="B1203"/>
      <c r="C1203"/>
      <c r="D1203"/>
      <c r="E1203"/>
      <c r="F1203"/>
      <c r="G1203"/>
      <c r="H1203"/>
      <c r="I1203"/>
      <c r="J1203"/>
      <c r="K1203"/>
      <c r="L1203"/>
    </row>
    <row r="1204" spans="1:12" s="2485" customFormat="1">
      <c r="A1204"/>
      <c r="B1204"/>
      <c r="C1204"/>
      <c r="D1204"/>
      <c r="E1204"/>
      <c r="F1204"/>
      <c r="G1204"/>
      <c r="H1204"/>
      <c r="I1204"/>
      <c r="J1204"/>
      <c r="K1204"/>
      <c r="L1204"/>
    </row>
    <row r="1205" spans="1:12" s="2485" customFormat="1">
      <c r="A1205"/>
      <c r="B1205"/>
      <c r="C1205"/>
      <c r="D1205"/>
      <c r="E1205"/>
      <c r="F1205"/>
      <c r="G1205"/>
      <c r="H1205"/>
      <c r="I1205"/>
      <c r="J1205"/>
      <c r="K1205"/>
      <c r="L1205"/>
    </row>
    <row r="1206" spans="1:12" s="2485" customFormat="1">
      <c r="A1206"/>
      <c r="B1206"/>
      <c r="C1206"/>
      <c r="D1206"/>
      <c r="E1206"/>
      <c r="F1206"/>
      <c r="G1206"/>
      <c r="H1206"/>
      <c r="I1206"/>
      <c r="J1206"/>
      <c r="K1206"/>
      <c r="L1206"/>
    </row>
    <row r="1207" spans="1:12" s="2485" customFormat="1">
      <c r="A1207"/>
      <c r="B1207"/>
      <c r="C1207"/>
      <c r="D1207"/>
      <c r="E1207"/>
      <c r="F1207"/>
      <c r="G1207"/>
      <c r="H1207"/>
      <c r="I1207"/>
      <c r="J1207"/>
      <c r="K1207"/>
      <c r="L1207"/>
    </row>
    <row r="1208" spans="1:12" s="2485" customFormat="1">
      <c r="A1208"/>
      <c r="B1208"/>
      <c r="C1208"/>
      <c r="D1208"/>
      <c r="E1208"/>
      <c r="F1208"/>
      <c r="G1208"/>
      <c r="H1208"/>
      <c r="I1208"/>
      <c r="J1208"/>
      <c r="K1208"/>
      <c r="L1208"/>
    </row>
    <row r="1209" spans="1:12" s="2485" customFormat="1">
      <c r="A1209"/>
      <c r="B1209"/>
      <c r="C1209"/>
      <c r="D1209"/>
      <c r="E1209"/>
      <c r="F1209"/>
      <c r="G1209"/>
      <c r="H1209"/>
      <c r="I1209"/>
      <c r="J1209"/>
      <c r="K1209"/>
      <c r="L1209"/>
    </row>
    <row r="1210" spans="1:12" s="2485" customFormat="1">
      <c r="A1210"/>
      <c r="B1210"/>
      <c r="C1210"/>
      <c r="D1210"/>
      <c r="E1210"/>
      <c r="F1210"/>
      <c r="G1210"/>
      <c r="H1210"/>
      <c r="I1210"/>
      <c r="J1210"/>
      <c r="K1210"/>
      <c r="L1210"/>
    </row>
    <row r="1211" spans="1:12" s="2485" customFormat="1">
      <c r="A1211"/>
      <c r="B1211"/>
      <c r="C1211"/>
      <c r="D1211"/>
      <c r="E1211"/>
      <c r="F1211"/>
      <c r="G1211"/>
      <c r="H1211"/>
      <c r="I1211"/>
      <c r="J1211"/>
      <c r="K1211"/>
      <c r="L1211"/>
    </row>
    <row r="1212" spans="1:12" s="2485" customFormat="1">
      <c r="A1212"/>
      <c r="B1212"/>
      <c r="C1212"/>
      <c r="D1212"/>
      <c r="E1212"/>
      <c r="F1212"/>
      <c r="G1212"/>
      <c r="H1212"/>
      <c r="I1212"/>
      <c r="J1212"/>
      <c r="K1212"/>
      <c r="L1212"/>
    </row>
    <row r="1213" spans="1:12" s="2485" customFormat="1">
      <c r="A1213"/>
      <c r="B1213"/>
      <c r="C1213"/>
      <c r="D1213"/>
      <c r="E1213"/>
      <c r="F1213"/>
      <c r="G1213"/>
      <c r="H1213"/>
      <c r="I1213"/>
      <c r="J1213"/>
      <c r="K1213"/>
      <c r="L1213"/>
    </row>
    <row r="1214" spans="1:12" s="2485" customFormat="1">
      <c r="A1214"/>
      <c r="B1214"/>
      <c r="C1214"/>
      <c r="D1214"/>
      <c r="E1214"/>
      <c r="F1214"/>
      <c r="G1214"/>
      <c r="H1214"/>
      <c r="I1214"/>
      <c r="J1214"/>
      <c r="K1214"/>
      <c r="L1214"/>
    </row>
    <row r="1215" spans="1:12" s="2485" customFormat="1">
      <c r="A1215"/>
      <c r="B1215"/>
      <c r="C1215"/>
      <c r="D1215"/>
      <c r="E1215"/>
      <c r="F1215"/>
      <c r="G1215"/>
      <c r="H1215"/>
      <c r="I1215"/>
      <c r="J1215"/>
      <c r="K1215"/>
      <c r="L1215"/>
    </row>
    <row r="1216" spans="1:12" s="2485" customFormat="1">
      <c r="A1216"/>
      <c r="B1216"/>
      <c r="C1216"/>
      <c r="D1216"/>
      <c r="E1216"/>
      <c r="F1216"/>
      <c r="G1216"/>
      <c r="H1216"/>
      <c r="I1216"/>
      <c r="J1216"/>
      <c r="K1216"/>
      <c r="L1216"/>
    </row>
    <row r="1217" spans="1:12" s="2485" customFormat="1">
      <c r="A1217"/>
      <c r="B1217"/>
      <c r="C1217"/>
      <c r="D1217"/>
      <c r="E1217"/>
      <c r="F1217"/>
      <c r="G1217"/>
      <c r="H1217"/>
      <c r="I1217"/>
      <c r="J1217"/>
      <c r="K1217"/>
      <c r="L1217"/>
    </row>
    <row r="1218" spans="1:12" s="2485" customFormat="1">
      <c r="A1218"/>
      <c r="B1218"/>
      <c r="C1218"/>
      <c r="D1218"/>
      <c r="E1218"/>
      <c r="F1218"/>
      <c r="G1218"/>
      <c r="H1218"/>
      <c r="I1218"/>
      <c r="J1218"/>
      <c r="K1218"/>
      <c r="L1218"/>
    </row>
    <row r="1219" spans="1:12" s="2485" customFormat="1">
      <c r="A1219"/>
      <c r="B1219"/>
      <c r="C1219"/>
      <c r="D1219"/>
      <c r="E1219"/>
      <c r="F1219"/>
      <c r="G1219"/>
      <c r="H1219"/>
      <c r="I1219"/>
      <c r="J1219"/>
      <c r="K1219"/>
      <c r="L1219"/>
    </row>
    <row r="1220" spans="1:12" s="2485" customFormat="1">
      <c r="A1220"/>
      <c r="B1220"/>
      <c r="C1220"/>
      <c r="D1220"/>
      <c r="E1220"/>
      <c r="F1220"/>
      <c r="G1220"/>
      <c r="H1220"/>
      <c r="I1220"/>
      <c r="J1220"/>
      <c r="K1220"/>
      <c r="L1220"/>
    </row>
  </sheetData>
  <autoFilter ref="A1:R1077"/>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9"/>
  <sheetViews>
    <sheetView workbookViewId="0">
      <pane ySplit="1" topLeftCell="A8" activePane="bottomLeft" state="frozen"/>
      <selection pane="bottomLeft" activeCell="A29" sqref="A29:XFD35"/>
    </sheetView>
  </sheetViews>
  <sheetFormatPr defaultRowHeight="14.4"/>
  <cols>
    <col min="3" max="3" width="40.44140625" customWidth="1"/>
    <col min="4" max="4" width="30.88671875" customWidth="1"/>
    <col min="15" max="15" width="14.5546875" customWidth="1"/>
  </cols>
  <sheetData>
    <row r="1" spans="1:18">
      <c r="A1" t="s">
        <v>1190</v>
      </c>
      <c r="B1" t="s">
        <v>1191</v>
      </c>
      <c r="C1" t="s">
        <v>1192</v>
      </c>
      <c r="D1" t="s">
        <v>1193</v>
      </c>
      <c r="E1" t="s">
        <v>103</v>
      </c>
      <c r="F1" t="s">
        <v>1194</v>
      </c>
      <c r="G1" t="s">
        <v>1195</v>
      </c>
      <c r="H1" t="s">
        <v>417</v>
      </c>
      <c r="I1" t="s">
        <v>1196</v>
      </c>
      <c r="J1" t="s">
        <v>1197</v>
      </c>
      <c r="K1" t="s">
        <v>1198</v>
      </c>
      <c r="L1" t="s">
        <v>1199</v>
      </c>
      <c r="M1" t="s">
        <v>1200</v>
      </c>
      <c r="N1" t="s">
        <v>7</v>
      </c>
      <c r="O1" t="s">
        <v>1201</v>
      </c>
      <c r="P1" t="s">
        <v>1303</v>
      </c>
      <c r="Q1" t="s">
        <v>1304</v>
      </c>
      <c r="R1" t="s">
        <v>1305</v>
      </c>
    </row>
    <row r="2" spans="1:18">
      <c r="A2" t="s">
        <v>739</v>
      </c>
      <c r="B2" t="s">
        <v>1213</v>
      </c>
      <c r="C2" t="s">
        <v>1327</v>
      </c>
      <c r="D2" t="s">
        <v>1328</v>
      </c>
      <c r="E2" t="s">
        <v>1206</v>
      </c>
      <c r="F2">
        <v>1</v>
      </c>
      <c r="G2" t="s">
        <v>105</v>
      </c>
      <c r="H2" t="s">
        <v>18</v>
      </c>
      <c r="I2" t="s">
        <v>1329</v>
      </c>
      <c r="J2">
        <v>19</v>
      </c>
      <c r="K2">
        <v>14</v>
      </c>
      <c r="L2">
        <v>14</v>
      </c>
      <c r="M2">
        <v>25</v>
      </c>
      <c r="N2">
        <v>417.29</v>
      </c>
      <c r="O2" t="s">
        <v>1330</v>
      </c>
      <c r="P2" t="s">
        <v>296</v>
      </c>
      <c r="Q2" t="s">
        <v>296</v>
      </c>
      <c r="R2" t="s">
        <v>296</v>
      </c>
    </row>
    <row r="3" spans="1:18">
      <c r="A3" t="s">
        <v>739</v>
      </c>
      <c r="B3" t="s">
        <v>1213</v>
      </c>
      <c r="C3" t="s">
        <v>1327</v>
      </c>
      <c r="D3" t="s">
        <v>1328</v>
      </c>
      <c r="E3" t="s">
        <v>1206</v>
      </c>
      <c r="F3">
        <v>1</v>
      </c>
      <c r="G3" t="s">
        <v>105</v>
      </c>
      <c r="H3" t="s">
        <v>18</v>
      </c>
      <c r="I3" t="s">
        <v>1230</v>
      </c>
      <c r="J3">
        <v>3</v>
      </c>
      <c r="K3">
        <v>14</v>
      </c>
      <c r="L3">
        <v>14</v>
      </c>
      <c r="M3">
        <v>25</v>
      </c>
      <c r="N3">
        <v>65.319999999999993</v>
      </c>
      <c r="O3" t="s">
        <v>1330</v>
      </c>
      <c r="P3" t="s">
        <v>296</v>
      </c>
      <c r="Q3" t="s">
        <v>296</v>
      </c>
      <c r="R3" t="s">
        <v>296</v>
      </c>
    </row>
    <row r="4" spans="1:18">
      <c r="A4" t="s">
        <v>739</v>
      </c>
      <c r="B4" t="s">
        <v>1213</v>
      </c>
      <c r="C4" t="s">
        <v>1327</v>
      </c>
      <c r="D4" t="s">
        <v>1328</v>
      </c>
      <c r="E4" t="s">
        <v>1227</v>
      </c>
      <c r="F4">
        <v>2</v>
      </c>
      <c r="G4" t="s">
        <v>105</v>
      </c>
      <c r="H4" t="s">
        <v>18</v>
      </c>
      <c r="I4" t="s">
        <v>1329</v>
      </c>
      <c r="J4">
        <v>53</v>
      </c>
      <c r="K4">
        <v>14</v>
      </c>
      <c r="L4">
        <v>14</v>
      </c>
      <c r="M4">
        <v>25</v>
      </c>
      <c r="N4">
        <v>1223.98</v>
      </c>
      <c r="O4" t="s">
        <v>1330</v>
      </c>
      <c r="P4" t="s">
        <v>296</v>
      </c>
      <c r="Q4" t="s">
        <v>296</v>
      </c>
      <c r="R4" t="s">
        <v>296</v>
      </c>
    </row>
    <row r="5" spans="1:18">
      <c r="A5" t="s">
        <v>739</v>
      </c>
      <c r="B5" t="s">
        <v>1213</v>
      </c>
      <c r="C5" t="s">
        <v>1327</v>
      </c>
      <c r="D5" t="s">
        <v>1328</v>
      </c>
      <c r="E5" t="s">
        <v>1227</v>
      </c>
      <c r="F5">
        <v>2</v>
      </c>
      <c r="G5" t="s">
        <v>105</v>
      </c>
      <c r="H5" t="s">
        <v>18</v>
      </c>
      <c r="I5" t="s">
        <v>1230</v>
      </c>
      <c r="J5">
        <v>6</v>
      </c>
      <c r="K5">
        <v>14</v>
      </c>
      <c r="L5">
        <v>14</v>
      </c>
      <c r="M5">
        <v>25</v>
      </c>
      <c r="N5">
        <v>138.19999999999999</v>
      </c>
      <c r="O5" t="s">
        <v>1330</v>
      </c>
      <c r="P5" t="s">
        <v>296</v>
      </c>
      <c r="Q5" t="s">
        <v>296</v>
      </c>
      <c r="R5" t="s">
        <v>296</v>
      </c>
    </row>
    <row r="6" spans="1:18">
      <c r="A6" t="s">
        <v>739</v>
      </c>
      <c r="B6" t="s">
        <v>1213</v>
      </c>
      <c r="C6" t="s">
        <v>1327</v>
      </c>
      <c r="D6" t="s">
        <v>1328</v>
      </c>
      <c r="E6" t="s">
        <v>1232</v>
      </c>
      <c r="F6">
        <v>1</v>
      </c>
      <c r="G6" t="s">
        <v>105</v>
      </c>
      <c r="H6" t="s">
        <v>18</v>
      </c>
      <c r="I6" t="s">
        <v>1329</v>
      </c>
      <c r="J6">
        <v>44</v>
      </c>
      <c r="K6">
        <v>14</v>
      </c>
      <c r="L6">
        <v>14</v>
      </c>
      <c r="M6">
        <v>25</v>
      </c>
      <c r="N6">
        <v>1002.64</v>
      </c>
      <c r="O6" t="s">
        <v>1330</v>
      </c>
      <c r="P6" t="s">
        <v>296</v>
      </c>
      <c r="Q6" t="s">
        <v>296</v>
      </c>
      <c r="R6" t="s">
        <v>296</v>
      </c>
    </row>
    <row r="7" spans="1:18">
      <c r="A7" t="s">
        <v>739</v>
      </c>
      <c r="B7" t="s">
        <v>1213</v>
      </c>
      <c r="C7" t="s">
        <v>1327</v>
      </c>
      <c r="D7" t="s">
        <v>1328</v>
      </c>
      <c r="E7" t="s">
        <v>1232</v>
      </c>
      <c r="F7">
        <v>1</v>
      </c>
      <c r="G7" t="s">
        <v>105</v>
      </c>
      <c r="H7" t="s">
        <v>18</v>
      </c>
      <c r="I7" t="s">
        <v>1230</v>
      </c>
      <c r="J7">
        <v>11</v>
      </c>
      <c r="K7">
        <v>14</v>
      </c>
      <c r="L7">
        <v>14</v>
      </c>
      <c r="M7">
        <v>25</v>
      </c>
      <c r="N7">
        <v>250.78</v>
      </c>
      <c r="O7" t="s">
        <v>1330</v>
      </c>
      <c r="P7" t="s">
        <v>296</v>
      </c>
      <c r="Q7" t="s">
        <v>296</v>
      </c>
      <c r="R7" t="s">
        <v>296</v>
      </c>
    </row>
    <row r="8" spans="1:18">
      <c r="A8" t="s">
        <v>739</v>
      </c>
      <c r="B8" t="s">
        <v>1213</v>
      </c>
      <c r="C8" t="s">
        <v>1327</v>
      </c>
      <c r="D8" t="s">
        <v>1328</v>
      </c>
      <c r="E8" t="s">
        <v>1234</v>
      </c>
      <c r="F8">
        <v>2</v>
      </c>
      <c r="G8" t="s">
        <v>105</v>
      </c>
      <c r="H8" t="s">
        <v>18</v>
      </c>
      <c r="I8" t="s">
        <v>1329</v>
      </c>
      <c r="J8">
        <v>47</v>
      </c>
      <c r="K8">
        <v>14</v>
      </c>
      <c r="L8">
        <v>14</v>
      </c>
      <c r="M8">
        <v>25</v>
      </c>
      <c r="N8">
        <v>1059.3599999999999</v>
      </c>
      <c r="O8" t="s">
        <v>1330</v>
      </c>
      <c r="P8" t="s">
        <v>296</v>
      </c>
      <c r="Q8" t="s">
        <v>296</v>
      </c>
      <c r="R8" t="s">
        <v>296</v>
      </c>
    </row>
    <row r="9" spans="1:18">
      <c r="A9" t="s">
        <v>739</v>
      </c>
      <c r="B9" t="s">
        <v>1213</v>
      </c>
      <c r="C9" t="s">
        <v>1327</v>
      </c>
      <c r="D9" t="s">
        <v>1328</v>
      </c>
      <c r="E9" t="s">
        <v>1238</v>
      </c>
      <c r="F9">
        <v>1</v>
      </c>
      <c r="G9" t="s">
        <v>105</v>
      </c>
      <c r="H9" t="s">
        <v>18</v>
      </c>
      <c r="I9" t="s">
        <v>1329</v>
      </c>
      <c r="J9">
        <v>39</v>
      </c>
      <c r="K9">
        <v>14</v>
      </c>
      <c r="L9">
        <v>14</v>
      </c>
      <c r="M9">
        <v>25</v>
      </c>
      <c r="N9">
        <v>862.34</v>
      </c>
      <c r="O9" t="s">
        <v>1330</v>
      </c>
      <c r="P9" t="s">
        <v>296</v>
      </c>
      <c r="Q9" t="s">
        <v>296</v>
      </c>
      <c r="R9" t="s">
        <v>296</v>
      </c>
    </row>
    <row r="10" spans="1:18">
      <c r="A10" t="s">
        <v>739</v>
      </c>
      <c r="B10" t="s">
        <v>1213</v>
      </c>
      <c r="C10" t="s">
        <v>1327</v>
      </c>
      <c r="D10" t="s">
        <v>1328</v>
      </c>
      <c r="E10" t="s">
        <v>1238</v>
      </c>
      <c r="F10">
        <v>1</v>
      </c>
      <c r="G10" t="s">
        <v>105</v>
      </c>
      <c r="H10" t="s">
        <v>18</v>
      </c>
      <c r="I10" t="s">
        <v>1230</v>
      </c>
      <c r="J10">
        <v>16</v>
      </c>
      <c r="K10">
        <v>14</v>
      </c>
      <c r="L10">
        <v>14</v>
      </c>
      <c r="M10">
        <v>25</v>
      </c>
      <c r="N10">
        <v>351.42</v>
      </c>
      <c r="O10" t="s">
        <v>1330</v>
      </c>
      <c r="P10" t="s">
        <v>296</v>
      </c>
      <c r="Q10" t="s">
        <v>296</v>
      </c>
      <c r="R10" t="s">
        <v>296</v>
      </c>
    </row>
    <row r="11" spans="1:18">
      <c r="A11" t="s">
        <v>739</v>
      </c>
      <c r="B11" t="s">
        <v>1213</v>
      </c>
      <c r="C11" t="s">
        <v>1327</v>
      </c>
      <c r="D11" t="s">
        <v>1328</v>
      </c>
      <c r="E11" t="s">
        <v>1242</v>
      </c>
      <c r="F11">
        <v>2</v>
      </c>
      <c r="G11" t="s">
        <v>105</v>
      </c>
      <c r="H11" t="s">
        <v>18</v>
      </c>
      <c r="I11" t="s">
        <v>1329</v>
      </c>
      <c r="J11">
        <v>55</v>
      </c>
      <c r="K11">
        <v>14</v>
      </c>
      <c r="L11">
        <v>14</v>
      </c>
      <c r="M11">
        <v>25</v>
      </c>
      <c r="N11">
        <v>1220.44</v>
      </c>
      <c r="O11" t="s">
        <v>1330</v>
      </c>
      <c r="P11" t="s">
        <v>296</v>
      </c>
      <c r="Q11" t="s">
        <v>296</v>
      </c>
      <c r="R11" t="s">
        <v>296</v>
      </c>
    </row>
    <row r="12" spans="1:18">
      <c r="A12" t="s">
        <v>739</v>
      </c>
      <c r="B12" t="s">
        <v>1213</v>
      </c>
      <c r="C12" t="s">
        <v>1327</v>
      </c>
      <c r="D12" t="s">
        <v>1328</v>
      </c>
      <c r="E12" t="s">
        <v>1242</v>
      </c>
      <c r="F12">
        <v>2</v>
      </c>
      <c r="G12" t="s">
        <v>105</v>
      </c>
      <c r="H12" t="s">
        <v>18</v>
      </c>
      <c r="I12" t="s">
        <v>1230</v>
      </c>
      <c r="J12">
        <v>4</v>
      </c>
      <c r="K12">
        <v>14</v>
      </c>
      <c r="L12">
        <v>14</v>
      </c>
      <c r="M12">
        <v>25</v>
      </c>
      <c r="N12">
        <v>88.08</v>
      </c>
      <c r="O12" t="s">
        <v>1330</v>
      </c>
      <c r="P12" t="s">
        <v>296</v>
      </c>
      <c r="Q12" t="s">
        <v>296</v>
      </c>
      <c r="R12" t="s">
        <v>296</v>
      </c>
    </row>
    <row r="13" spans="1:18">
      <c r="A13" t="s">
        <v>739</v>
      </c>
      <c r="B13" t="s">
        <v>1213</v>
      </c>
      <c r="C13" t="s">
        <v>1327</v>
      </c>
      <c r="D13" t="s">
        <v>1328</v>
      </c>
      <c r="E13" t="s">
        <v>1245</v>
      </c>
      <c r="F13">
        <v>1</v>
      </c>
      <c r="G13" t="s">
        <v>105</v>
      </c>
      <c r="H13" t="s">
        <v>18</v>
      </c>
      <c r="I13" t="s">
        <v>1329</v>
      </c>
      <c r="J13">
        <v>22</v>
      </c>
      <c r="K13">
        <v>14</v>
      </c>
      <c r="L13">
        <v>14</v>
      </c>
      <c r="M13">
        <v>25</v>
      </c>
      <c r="N13">
        <v>501.26</v>
      </c>
      <c r="O13" t="s">
        <v>1330</v>
      </c>
      <c r="P13" t="s">
        <v>296</v>
      </c>
      <c r="Q13" t="s">
        <v>296</v>
      </c>
      <c r="R13" t="s">
        <v>296</v>
      </c>
    </row>
    <row r="14" spans="1:18">
      <c r="A14" t="s">
        <v>739</v>
      </c>
      <c r="B14" t="s">
        <v>1213</v>
      </c>
      <c r="C14" t="s">
        <v>1327</v>
      </c>
      <c r="D14" t="s">
        <v>1328</v>
      </c>
      <c r="E14" t="s">
        <v>1245</v>
      </c>
      <c r="F14">
        <v>1</v>
      </c>
      <c r="G14" t="s">
        <v>105</v>
      </c>
      <c r="H14" t="s">
        <v>18</v>
      </c>
      <c r="I14" t="s">
        <v>1230</v>
      </c>
      <c r="J14">
        <v>10</v>
      </c>
      <c r="K14">
        <v>14</v>
      </c>
      <c r="L14">
        <v>14</v>
      </c>
      <c r="M14">
        <v>25</v>
      </c>
      <c r="N14">
        <v>230.66</v>
      </c>
      <c r="O14" t="s">
        <v>1330</v>
      </c>
      <c r="P14" t="s">
        <v>296</v>
      </c>
      <c r="Q14" t="s">
        <v>296</v>
      </c>
      <c r="R14" t="s">
        <v>296</v>
      </c>
    </row>
    <row r="15" spans="1:18" s="2553" customFormat="1">
      <c r="A15" s="2553" t="s">
        <v>739</v>
      </c>
      <c r="B15" s="2553" t="s">
        <v>1213</v>
      </c>
      <c r="C15" s="2553" t="s">
        <v>1331</v>
      </c>
      <c r="D15" s="2553" t="s">
        <v>1328</v>
      </c>
      <c r="E15" s="2553" t="s">
        <v>1284</v>
      </c>
      <c r="F15" s="2553">
        <v>1</v>
      </c>
      <c r="G15" s="2553" t="s">
        <v>105</v>
      </c>
      <c r="H15" s="2553" t="s">
        <v>18</v>
      </c>
      <c r="I15" s="2553" t="s">
        <v>1329</v>
      </c>
      <c r="J15" s="2553">
        <v>19</v>
      </c>
      <c r="K15" s="2553">
        <v>14</v>
      </c>
      <c r="L15" s="2553">
        <v>14</v>
      </c>
      <c r="M15" s="2553">
        <v>25</v>
      </c>
      <c r="N15" s="2553">
        <v>428.42</v>
      </c>
      <c r="O15" s="2553" t="s">
        <v>1330</v>
      </c>
      <c r="P15" s="2553" t="s">
        <v>296</v>
      </c>
      <c r="Q15" s="2553" t="s">
        <v>296</v>
      </c>
      <c r="R15" s="2553" t="s">
        <v>296</v>
      </c>
    </row>
    <row r="16" spans="1:18" s="2553" customFormat="1">
      <c r="A16" s="2553" t="s">
        <v>739</v>
      </c>
      <c r="B16" s="2553" t="s">
        <v>1213</v>
      </c>
      <c r="C16" s="2553" t="s">
        <v>1327</v>
      </c>
      <c r="D16" s="2553" t="s">
        <v>1328</v>
      </c>
      <c r="E16" s="2553" t="s">
        <v>1284</v>
      </c>
      <c r="F16" s="2553">
        <v>1</v>
      </c>
      <c r="G16" s="2553" t="s">
        <v>105</v>
      </c>
      <c r="H16" s="2553" t="s">
        <v>18</v>
      </c>
      <c r="I16" s="2553" t="s">
        <v>1329</v>
      </c>
      <c r="J16" s="2553">
        <v>16</v>
      </c>
      <c r="K16" s="2553">
        <v>14</v>
      </c>
      <c r="L16" s="2553">
        <v>14</v>
      </c>
      <c r="M16" s="2553">
        <v>25</v>
      </c>
      <c r="N16" s="2553">
        <v>379</v>
      </c>
      <c r="O16" s="2553" t="s">
        <v>1330</v>
      </c>
      <c r="P16" s="2553" t="s">
        <v>296</v>
      </c>
      <c r="Q16" s="2553" t="s">
        <v>296</v>
      </c>
      <c r="R16" s="2553" t="s">
        <v>296</v>
      </c>
    </row>
    <row r="17" spans="1:18" s="2553" customFormat="1">
      <c r="A17" s="2553" t="s">
        <v>739</v>
      </c>
      <c r="B17" s="2553" t="s">
        <v>1213</v>
      </c>
      <c r="C17" s="2553" t="s">
        <v>1331</v>
      </c>
      <c r="D17" s="2553" t="s">
        <v>1328</v>
      </c>
      <c r="E17" s="2553" t="s">
        <v>1284</v>
      </c>
      <c r="F17" s="2553">
        <v>1</v>
      </c>
      <c r="G17" s="2553" t="s">
        <v>105</v>
      </c>
      <c r="H17" s="2553" t="s">
        <v>18</v>
      </c>
      <c r="I17" s="2553" t="s">
        <v>1230</v>
      </c>
      <c r="J17" s="2553">
        <v>14</v>
      </c>
      <c r="K17" s="2553">
        <v>14</v>
      </c>
      <c r="L17" s="2553">
        <v>14</v>
      </c>
      <c r="M17" s="2553">
        <v>25</v>
      </c>
      <c r="N17" s="2553">
        <v>312.74</v>
      </c>
      <c r="O17" s="2553" t="s">
        <v>1330</v>
      </c>
      <c r="P17" s="2553" t="s">
        <v>296</v>
      </c>
      <c r="Q17" s="2553" t="s">
        <v>296</v>
      </c>
      <c r="R17" s="2553" t="s">
        <v>296</v>
      </c>
    </row>
    <row r="18" spans="1:18" s="2553" customFormat="1">
      <c r="A18" s="2553" t="s">
        <v>739</v>
      </c>
      <c r="B18" s="2553" t="s">
        <v>1213</v>
      </c>
      <c r="C18" s="2553" t="s">
        <v>1331</v>
      </c>
      <c r="D18" s="2553" t="s">
        <v>1328</v>
      </c>
      <c r="E18" s="2553" t="s">
        <v>1297</v>
      </c>
      <c r="F18" s="2553">
        <v>2</v>
      </c>
      <c r="G18" s="2553" t="s">
        <v>105</v>
      </c>
      <c r="H18" s="2553" t="s">
        <v>18</v>
      </c>
      <c r="I18" s="2553" t="s">
        <v>1329</v>
      </c>
      <c r="J18" s="2553">
        <v>28</v>
      </c>
      <c r="K18" s="2553">
        <v>14</v>
      </c>
      <c r="L18" s="2553">
        <v>14</v>
      </c>
      <c r="M18" s="2553">
        <v>25</v>
      </c>
      <c r="N18" s="2553">
        <v>671.52</v>
      </c>
      <c r="O18" s="2553" t="s">
        <v>1330</v>
      </c>
      <c r="P18" s="2553" t="s">
        <v>296</v>
      </c>
      <c r="Q18" s="2553" t="s">
        <v>296</v>
      </c>
      <c r="R18" s="2553" t="s">
        <v>296</v>
      </c>
    </row>
    <row r="19" spans="1:18" s="2553" customFormat="1">
      <c r="A19" s="2553" t="s">
        <v>739</v>
      </c>
      <c r="B19" s="2553" t="s">
        <v>1213</v>
      </c>
      <c r="C19" s="2553" t="s">
        <v>1327</v>
      </c>
      <c r="D19" s="2553" t="s">
        <v>1328</v>
      </c>
      <c r="E19" s="2553" t="s">
        <v>1297</v>
      </c>
      <c r="F19" s="2553">
        <v>2</v>
      </c>
      <c r="G19" s="2553" t="s">
        <v>105</v>
      </c>
      <c r="H19" s="2553" t="s">
        <v>18</v>
      </c>
      <c r="I19" s="2553" t="s">
        <v>1329</v>
      </c>
      <c r="J19" s="2553">
        <v>22</v>
      </c>
      <c r="K19" s="2553">
        <v>14</v>
      </c>
      <c r="L19" s="2553">
        <v>14</v>
      </c>
      <c r="M19" s="2553">
        <v>25</v>
      </c>
      <c r="N19" s="2553">
        <v>512.82000000000005</v>
      </c>
      <c r="O19" s="2553" t="s">
        <v>1330</v>
      </c>
      <c r="P19" s="2553" t="s">
        <v>296</v>
      </c>
      <c r="Q19" s="2553" t="s">
        <v>296</v>
      </c>
      <c r="R19" s="2553" t="s">
        <v>296</v>
      </c>
    </row>
    <row r="20" spans="1:18" s="2553" customFormat="1">
      <c r="A20" s="2553" t="s">
        <v>739</v>
      </c>
      <c r="B20" s="2553" t="s">
        <v>1213</v>
      </c>
      <c r="C20" s="2553" t="s">
        <v>1331</v>
      </c>
      <c r="D20" s="2553" t="s">
        <v>1328</v>
      </c>
      <c r="E20" s="2553" t="s">
        <v>1297</v>
      </c>
      <c r="F20" s="2553">
        <v>2</v>
      </c>
      <c r="G20" s="2553" t="s">
        <v>105</v>
      </c>
      <c r="H20" s="2553" t="s">
        <v>18</v>
      </c>
      <c r="I20" s="2553" t="s">
        <v>1230</v>
      </c>
      <c r="J20" s="2553">
        <v>9</v>
      </c>
      <c r="K20" s="2553">
        <v>14</v>
      </c>
      <c r="L20" s="2553">
        <v>14</v>
      </c>
      <c r="M20" s="2553">
        <v>25</v>
      </c>
      <c r="N20" s="2553">
        <v>212.66</v>
      </c>
      <c r="O20" s="2553" t="s">
        <v>1330</v>
      </c>
      <c r="P20" s="2553" t="s">
        <v>296</v>
      </c>
      <c r="Q20" s="2553" t="s">
        <v>296</v>
      </c>
      <c r="R20" s="2553" t="s">
        <v>296</v>
      </c>
    </row>
    <row r="21" spans="1:18" s="2553" customFormat="1">
      <c r="A21" s="2553" t="s">
        <v>739</v>
      </c>
      <c r="B21" s="2553" t="s">
        <v>1213</v>
      </c>
      <c r="C21" s="2553" t="s">
        <v>1327</v>
      </c>
      <c r="D21" s="2553" t="s">
        <v>1328</v>
      </c>
      <c r="E21" s="2553" t="s">
        <v>1297</v>
      </c>
      <c r="F21" s="2553">
        <v>2</v>
      </c>
      <c r="G21" s="2553" t="s">
        <v>105</v>
      </c>
      <c r="H21" s="2553" t="s">
        <v>18</v>
      </c>
      <c r="I21" s="2553" t="s">
        <v>1230</v>
      </c>
      <c r="J21" s="2553">
        <v>2</v>
      </c>
      <c r="K21" s="2553">
        <v>14</v>
      </c>
      <c r="L21" s="2553">
        <v>14</v>
      </c>
      <c r="M21" s="2553">
        <v>25</v>
      </c>
      <c r="N21" s="2553">
        <v>46.26</v>
      </c>
      <c r="O21" s="2553" t="s">
        <v>1330</v>
      </c>
      <c r="P21" s="2553" t="s">
        <v>296</v>
      </c>
      <c r="Q21" s="2553" t="s">
        <v>296</v>
      </c>
      <c r="R21" s="2553" t="s">
        <v>296</v>
      </c>
    </row>
    <row r="22" spans="1:18">
      <c r="A22" t="s">
        <v>739</v>
      </c>
      <c r="B22" t="s">
        <v>1213</v>
      </c>
      <c r="C22" t="s">
        <v>1331</v>
      </c>
      <c r="D22" t="s">
        <v>1328</v>
      </c>
      <c r="E22" t="s">
        <v>1299</v>
      </c>
      <c r="F22">
        <v>1</v>
      </c>
      <c r="G22" t="s">
        <v>105</v>
      </c>
      <c r="H22" t="s">
        <v>18</v>
      </c>
      <c r="I22" t="s">
        <v>1329</v>
      </c>
      <c r="J22">
        <v>31</v>
      </c>
      <c r="K22">
        <v>14</v>
      </c>
      <c r="L22">
        <v>14</v>
      </c>
      <c r="M22">
        <v>25</v>
      </c>
      <c r="N22">
        <v>706.56</v>
      </c>
      <c r="O22" t="s">
        <v>1330</v>
      </c>
      <c r="P22" t="s">
        <v>296</v>
      </c>
      <c r="Q22" t="s">
        <v>296</v>
      </c>
      <c r="R22" t="s">
        <v>296</v>
      </c>
    </row>
    <row r="23" spans="1:18">
      <c r="A23" t="s">
        <v>739</v>
      </c>
      <c r="B23" t="s">
        <v>1213</v>
      </c>
      <c r="C23" t="s">
        <v>1327</v>
      </c>
      <c r="D23" t="s">
        <v>1328</v>
      </c>
      <c r="E23" t="s">
        <v>1299</v>
      </c>
      <c r="F23">
        <v>1</v>
      </c>
      <c r="G23" t="s">
        <v>105</v>
      </c>
      <c r="H23" t="s">
        <v>18</v>
      </c>
      <c r="I23" t="s">
        <v>1329</v>
      </c>
      <c r="J23">
        <v>22</v>
      </c>
      <c r="K23">
        <v>14</v>
      </c>
      <c r="L23">
        <v>14</v>
      </c>
      <c r="M23">
        <v>25</v>
      </c>
      <c r="N23">
        <v>507.16</v>
      </c>
      <c r="O23" t="s">
        <v>1330</v>
      </c>
      <c r="P23" t="s">
        <v>296</v>
      </c>
      <c r="Q23" t="s">
        <v>296</v>
      </c>
      <c r="R23" t="s">
        <v>296</v>
      </c>
    </row>
    <row r="24" spans="1:18">
      <c r="A24" t="s">
        <v>739</v>
      </c>
      <c r="B24" t="s">
        <v>1213</v>
      </c>
      <c r="C24" t="s">
        <v>1331</v>
      </c>
      <c r="D24" t="s">
        <v>1328</v>
      </c>
      <c r="E24" t="s">
        <v>1299</v>
      </c>
      <c r="F24">
        <v>1</v>
      </c>
      <c r="G24" t="s">
        <v>105</v>
      </c>
      <c r="H24" t="s">
        <v>18</v>
      </c>
      <c r="I24" t="s">
        <v>1230</v>
      </c>
      <c r="J24">
        <v>15</v>
      </c>
      <c r="K24">
        <v>14</v>
      </c>
      <c r="L24">
        <v>14</v>
      </c>
      <c r="M24">
        <v>25</v>
      </c>
      <c r="N24">
        <v>344.02</v>
      </c>
      <c r="O24" t="s">
        <v>1330</v>
      </c>
      <c r="P24" t="s">
        <v>296</v>
      </c>
      <c r="Q24" t="s">
        <v>296</v>
      </c>
      <c r="R24" t="s">
        <v>296</v>
      </c>
    </row>
    <row r="25" spans="1:18">
      <c r="A25" t="s">
        <v>739</v>
      </c>
      <c r="B25" t="s">
        <v>1213</v>
      </c>
      <c r="C25" t="s">
        <v>1331</v>
      </c>
      <c r="D25" t="s">
        <v>1328</v>
      </c>
      <c r="E25" t="s">
        <v>1302</v>
      </c>
      <c r="F25">
        <v>2</v>
      </c>
      <c r="G25" t="s">
        <v>105</v>
      </c>
      <c r="H25" t="s">
        <v>18</v>
      </c>
      <c r="I25" t="s">
        <v>1329</v>
      </c>
      <c r="J25">
        <v>32</v>
      </c>
      <c r="K25">
        <v>14</v>
      </c>
      <c r="L25">
        <v>14</v>
      </c>
      <c r="M25">
        <v>25</v>
      </c>
      <c r="N25">
        <v>753.18</v>
      </c>
      <c r="O25" t="s">
        <v>1330</v>
      </c>
      <c r="P25" t="s">
        <v>296</v>
      </c>
      <c r="Q25" t="s">
        <v>296</v>
      </c>
      <c r="R25" t="s">
        <v>296</v>
      </c>
    </row>
    <row r="26" spans="1:18">
      <c r="A26" t="s">
        <v>739</v>
      </c>
      <c r="B26" t="s">
        <v>1213</v>
      </c>
      <c r="C26" t="s">
        <v>1327</v>
      </c>
      <c r="D26" t="s">
        <v>1328</v>
      </c>
      <c r="E26" t="s">
        <v>1302</v>
      </c>
      <c r="F26">
        <v>2</v>
      </c>
      <c r="G26" t="s">
        <v>105</v>
      </c>
      <c r="H26" t="s">
        <v>18</v>
      </c>
      <c r="I26" t="s">
        <v>1329</v>
      </c>
      <c r="J26">
        <v>25</v>
      </c>
      <c r="K26">
        <v>14</v>
      </c>
      <c r="L26">
        <v>14</v>
      </c>
      <c r="M26">
        <v>25</v>
      </c>
      <c r="N26">
        <v>560.04</v>
      </c>
      <c r="O26" t="s">
        <v>1330</v>
      </c>
      <c r="P26" t="s">
        <v>296</v>
      </c>
      <c r="Q26" t="s">
        <v>296</v>
      </c>
      <c r="R26" t="s">
        <v>296</v>
      </c>
    </row>
    <row r="27" spans="1:18">
      <c r="A27" t="s">
        <v>739</v>
      </c>
      <c r="B27" t="s">
        <v>1213</v>
      </c>
      <c r="C27" t="s">
        <v>1331</v>
      </c>
      <c r="D27" t="s">
        <v>1328</v>
      </c>
      <c r="E27" t="s">
        <v>1302</v>
      </c>
      <c r="F27">
        <v>2</v>
      </c>
      <c r="G27" t="s">
        <v>105</v>
      </c>
      <c r="H27" t="s">
        <v>18</v>
      </c>
      <c r="I27" t="s">
        <v>1230</v>
      </c>
      <c r="J27">
        <v>6</v>
      </c>
      <c r="K27">
        <v>14</v>
      </c>
      <c r="L27">
        <v>14</v>
      </c>
      <c r="M27">
        <v>25</v>
      </c>
      <c r="N27">
        <v>148.63999999999999</v>
      </c>
      <c r="O27" t="s">
        <v>1330</v>
      </c>
      <c r="P27" t="s">
        <v>296</v>
      </c>
      <c r="Q27" t="s">
        <v>296</v>
      </c>
      <c r="R27" t="s">
        <v>296</v>
      </c>
    </row>
    <row r="28" spans="1:18">
      <c r="A28" t="s">
        <v>739</v>
      </c>
      <c r="B28" t="s">
        <v>1213</v>
      </c>
      <c r="C28" t="s">
        <v>1327</v>
      </c>
      <c r="D28" t="s">
        <v>1328</v>
      </c>
      <c r="E28" t="s">
        <v>1302</v>
      </c>
      <c r="F28">
        <v>2</v>
      </c>
      <c r="G28" t="s">
        <v>105</v>
      </c>
      <c r="H28" t="s">
        <v>18</v>
      </c>
      <c r="I28" t="s">
        <v>1230</v>
      </c>
      <c r="J28">
        <v>3</v>
      </c>
      <c r="K28">
        <v>14</v>
      </c>
      <c r="L28">
        <v>14</v>
      </c>
      <c r="M28">
        <v>25</v>
      </c>
      <c r="N28">
        <v>71.739999999999995</v>
      </c>
      <c r="O28" t="s">
        <v>1330</v>
      </c>
      <c r="P28" t="s">
        <v>296</v>
      </c>
      <c r="Q28" t="s">
        <v>296</v>
      </c>
      <c r="R28" t="s">
        <v>296</v>
      </c>
    </row>
    <row r="29" spans="1:18" s="2509" customFormat="1">
      <c r="A29" s="2509" t="s">
        <v>739</v>
      </c>
      <c r="B29" s="2509" t="s">
        <v>1213</v>
      </c>
      <c r="C29" s="2509" t="s">
        <v>1331</v>
      </c>
      <c r="D29" s="2509" t="s">
        <v>1328</v>
      </c>
      <c r="E29" s="2509" t="s">
        <v>1719</v>
      </c>
      <c r="F29" s="2509" t="s">
        <v>1246</v>
      </c>
      <c r="G29" s="2509" t="s">
        <v>105</v>
      </c>
      <c r="H29" s="2509" t="s">
        <v>18</v>
      </c>
      <c r="I29" s="2509" t="s">
        <v>1329</v>
      </c>
      <c r="J29" s="2509" t="s">
        <v>1257</v>
      </c>
      <c r="K29" s="2509" t="s">
        <v>1274</v>
      </c>
      <c r="L29" s="2509" t="s">
        <v>1274</v>
      </c>
      <c r="M29" s="2509" t="s">
        <v>1813</v>
      </c>
      <c r="N29" s="2509" t="s">
        <v>1814</v>
      </c>
      <c r="O29" s="2509" t="s">
        <v>1330</v>
      </c>
      <c r="P29" s="2509" t="s">
        <v>296</v>
      </c>
      <c r="Q29" s="2509" t="s">
        <v>296</v>
      </c>
      <c r="R29" s="2509" t="s">
        <v>296</v>
      </c>
    </row>
    <row r="30" spans="1:18" s="2509" customFormat="1">
      <c r="A30" s="2509" t="s">
        <v>739</v>
      </c>
      <c r="B30" s="2509" t="s">
        <v>1213</v>
      </c>
      <c r="C30" s="2509" t="s">
        <v>1327</v>
      </c>
      <c r="D30" s="2509" t="s">
        <v>1328</v>
      </c>
      <c r="E30" s="2509" t="s">
        <v>1719</v>
      </c>
      <c r="F30" s="2509" t="s">
        <v>1246</v>
      </c>
      <c r="G30" s="2509" t="s">
        <v>105</v>
      </c>
      <c r="H30" s="2509" t="s">
        <v>18</v>
      </c>
      <c r="I30" s="2509" t="s">
        <v>1329</v>
      </c>
      <c r="J30" s="2509" t="s">
        <v>1815</v>
      </c>
      <c r="K30" s="2509" t="s">
        <v>1274</v>
      </c>
      <c r="L30" s="2509" t="s">
        <v>1274</v>
      </c>
      <c r="M30" s="2509" t="s">
        <v>1813</v>
      </c>
      <c r="N30" s="2509" t="s">
        <v>1816</v>
      </c>
      <c r="O30" s="2509" t="s">
        <v>1330</v>
      </c>
      <c r="P30" s="2509" t="s">
        <v>296</v>
      </c>
      <c r="Q30" s="2509" t="s">
        <v>296</v>
      </c>
      <c r="R30" s="2509" t="s">
        <v>296</v>
      </c>
    </row>
    <row r="31" spans="1:18" s="2509" customFormat="1">
      <c r="A31" s="2509" t="s">
        <v>739</v>
      </c>
      <c r="B31" s="2509" t="s">
        <v>1213</v>
      </c>
      <c r="C31" s="2509" t="s">
        <v>1331</v>
      </c>
      <c r="D31" s="2509" t="s">
        <v>1328</v>
      </c>
      <c r="E31" s="2509" t="s">
        <v>1719</v>
      </c>
      <c r="F31" s="2509" t="s">
        <v>1246</v>
      </c>
      <c r="G31" s="2509" t="s">
        <v>105</v>
      </c>
      <c r="H31" s="2509" t="s">
        <v>18</v>
      </c>
      <c r="I31" s="2509" t="s">
        <v>1230</v>
      </c>
      <c r="J31" s="2509" t="s">
        <v>1800</v>
      </c>
      <c r="K31" s="2509" t="s">
        <v>1274</v>
      </c>
      <c r="L31" s="2509" t="s">
        <v>1274</v>
      </c>
      <c r="M31" s="2509" t="s">
        <v>1813</v>
      </c>
      <c r="N31" s="2509" t="s">
        <v>1817</v>
      </c>
      <c r="O31" s="2509" t="s">
        <v>1330</v>
      </c>
      <c r="P31" s="2509" t="s">
        <v>296</v>
      </c>
      <c r="Q31" s="2509" t="s">
        <v>296</v>
      </c>
      <c r="R31" s="2509" t="s">
        <v>296</v>
      </c>
    </row>
    <row r="32" spans="1:18" s="2509" customFormat="1">
      <c r="A32" s="2509" t="s">
        <v>739</v>
      </c>
      <c r="B32" s="2509" t="s">
        <v>1213</v>
      </c>
      <c r="C32" s="2509" t="s">
        <v>1327</v>
      </c>
      <c r="D32" s="2509" t="s">
        <v>1328</v>
      </c>
      <c r="E32" s="2509" t="s">
        <v>1719</v>
      </c>
      <c r="F32" s="2509" t="s">
        <v>1246</v>
      </c>
      <c r="G32" s="2509" t="s">
        <v>105</v>
      </c>
      <c r="H32" s="2509" t="s">
        <v>18</v>
      </c>
      <c r="I32" s="2509" t="s">
        <v>1230</v>
      </c>
      <c r="J32" s="2509" t="s">
        <v>1251</v>
      </c>
      <c r="K32" s="2509" t="s">
        <v>1274</v>
      </c>
      <c r="L32" s="2509" t="s">
        <v>1274</v>
      </c>
      <c r="M32" s="2509" t="s">
        <v>1813</v>
      </c>
      <c r="N32" s="2509" t="s">
        <v>1818</v>
      </c>
      <c r="O32" s="2509" t="s">
        <v>1330</v>
      </c>
      <c r="P32" s="2509" t="s">
        <v>296</v>
      </c>
      <c r="Q32" s="2509" t="s">
        <v>296</v>
      </c>
      <c r="R32" s="2509" t="s">
        <v>296</v>
      </c>
    </row>
    <row r="33" spans="1:18" s="2509" customFormat="1">
      <c r="A33" s="2509" t="s">
        <v>739</v>
      </c>
      <c r="B33" s="2509" t="s">
        <v>1213</v>
      </c>
      <c r="C33" s="2509" t="s">
        <v>1331</v>
      </c>
      <c r="D33" s="2509" t="s">
        <v>1328</v>
      </c>
      <c r="E33" s="2509" t="s">
        <v>1734</v>
      </c>
      <c r="F33" s="2509" t="s">
        <v>1272</v>
      </c>
      <c r="G33" s="2509" t="s">
        <v>105</v>
      </c>
      <c r="H33" s="2509" t="s">
        <v>18</v>
      </c>
      <c r="I33" s="2509" t="s">
        <v>1329</v>
      </c>
      <c r="J33" s="2509" t="s">
        <v>1819</v>
      </c>
      <c r="K33" s="2509" t="s">
        <v>1274</v>
      </c>
      <c r="L33" s="2509" t="s">
        <v>1274</v>
      </c>
      <c r="M33" s="2509" t="s">
        <v>1813</v>
      </c>
      <c r="N33" s="2509" t="s">
        <v>1820</v>
      </c>
      <c r="O33" s="2509" t="s">
        <v>1330</v>
      </c>
      <c r="P33" s="2509" t="s">
        <v>296</v>
      </c>
      <c r="Q33" s="2509" t="s">
        <v>296</v>
      </c>
      <c r="R33" s="2509" t="s">
        <v>296</v>
      </c>
    </row>
    <row r="34" spans="1:18" s="2509" customFormat="1">
      <c r="A34" s="2509" t="s">
        <v>739</v>
      </c>
      <c r="B34" s="2509" t="s">
        <v>1213</v>
      </c>
      <c r="C34" s="2509" t="s">
        <v>1327</v>
      </c>
      <c r="D34" s="2509" t="s">
        <v>1328</v>
      </c>
      <c r="E34" s="2509" t="s">
        <v>1734</v>
      </c>
      <c r="F34" s="2509" t="s">
        <v>1272</v>
      </c>
      <c r="G34" s="2509" t="s">
        <v>105</v>
      </c>
      <c r="H34" s="2509" t="s">
        <v>18</v>
      </c>
      <c r="I34" s="2509" t="s">
        <v>1329</v>
      </c>
      <c r="J34" s="2509" t="s">
        <v>1281</v>
      </c>
      <c r="K34" s="2509" t="s">
        <v>1274</v>
      </c>
      <c r="L34" s="2509" t="s">
        <v>1274</v>
      </c>
      <c r="M34" s="2509" t="s">
        <v>1813</v>
      </c>
      <c r="N34" s="2509" t="s">
        <v>1821</v>
      </c>
      <c r="O34" s="2509" t="s">
        <v>1330</v>
      </c>
      <c r="P34" s="2509" t="s">
        <v>296</v>
      </c>
      <c r="Q34" s="2509" t="s">
        <v>296</v>
      </c>
      <c r="R34" s="2509" t="s">
        <v>296</v>
      </c>
    </row>
    <row r="35" spans="1:18" s="2509" customFormat="1">
      <c r="A35" s="2509" t="s">
        <v>739</v>
      </c>
      <c r="B35" s="2509" t="s">
        <v>1213</v>
      </c>
      <c r="C35" s="2509" t="s">
        <v>1331</v>
      </c>
      <c r="D35" s="2509" t="s">
        <v>1328</v>
      </c>
      <c r="E35" s="2509" t="s">
        <v>1734</v>
      </c>
      <c r="F35" s="2509" t="s">
        <v>1272</v>
      </c>
      <c r="G35" s="2509" t="s">
        <v>105</v>
      </c>
      <c r="H35" s="2509" t="s">
        <v>18</v>
      </c>
      <c r="I35" s="2509" t="s">
        <v>1230</v>
      </c>
      <c r="J35" s="2509" t="s">
        <v>1279</v>
      </c>
      <c r="K35" s="2509" t="s">
        <v>1274</v>
      </c>
      <c r="L35" s="2509" t="s">
        <v>1274</v>
      </c>
      <c r="M35" s="2509" t="s">
        <v>1813</v>
      </c>
      <c r="N35" s="2509" t="s">
        <v>1822</v>
      </c>
      <c r="O35" s="2509" t="s">
        <v>1330</v>
      </c>
      <c r="P35" s="2509" t="s">
        <v>296</v>
      </c>
      <c r="Q35" s="2509" t="s">
        <v>296</v>
      </c>
      <c r="R35" s="2509" t="s">
        <v>296</v>
      </c>
    </row>
    <row r="36" spans="1:18">
      <c r="P36" t="s">
        <v>296</v>
      </c>
      <c r="Q36" t="s">
        <v>296</v>
      </c>
      <c r="R36" t="s">
        <v>296</v>
      </c>
    </row>
    <row r="37" spans="1:18">
      <c r="P37" t="s">
        <v>296</v>
      </c>
      <c r="Q37" t="s">
        <v>296</v>
      </c>
      <c r="R37" t="s">
        <v>296</v>
      </c>
    </row>
    <row r="38" spans="1:18">
      <c r="P38" t="s">
        <v>296</v>
      </c>
      <c r="Q38" t="s">
        <v>296</v>
      </c>
      <c r="R38" t="s">
        <v>296</v>
      </c>
    </row>
    <row r="39" spans="1:18">
      <c r="P39" t="s">
        <v>296</v>
      </c>
      <c r="Q39" t="s">
        <v>296</v>
      </c>
      <c r="R39" t="s">
        <v>296</v>
      </c>
    </row>
    <row r="40" spans="1:18">
      <c r="P40" t="s">
        <v>296</v>
      </c>
      <c r="Q40" t="s">
        <v>296</v>
      </c>
      <c r="R40" t="s">
        <v>296</v>
      </c>
    </row>
    <row r="41" spans="1:18">
      <c r="P41" t="s">
        <v>296</v>
      </c>
      <c r="Q41" t="s">
        <v>296</v>
      </c>
      <c r="R41" t="s">
        <v>296</v>
      </c>
    </row>
    <row r="42" spans="1:18">
      <c r="P42" t="s">
        <v>296</v>
      </c>
      <c r="Q42" t="s">
        <v>296</v>
      </c>
      <c r="R42" t="s">
        <v>296</v>
      </c>
    </row>
    <row r="43" spans="1:18">
      <c r="P43" t="s">
        <v>296</v>
      </c>
      <c r="Q43" t="s">
        <v>296</v>
      </c>
      <c r="R43" t="s">
        <v>296</v>
      </c>
    </row>
    <row r="44" spans="1:18">
      <c r="P44" t="s">
        <v>296</v>
      </c>
      <c r="Q44" t="s">
        <v>296</v>
      </c>
      <c r="R44" t="s">
        <v>296</v>
      </c>
    </row>
    <row r="45" spans="1:18">
      <c r="P45" t="s">
        <v>296</v>
      </c>
      <c r="Q45" t="s">
        <v>296</v>
      </c>
      <c r="R45" t="s">
        <v>296</v>
      </c>
    </row>
    <row r="46" spans="1:18">
      <c r="P46" t="s">
        <v>296</v>
      </c>
      <c r="Q46" t="s">
        <v>296</v>
      </c>
      <c r="R46" t="s">
        <v>296</v>
      </c>
    </row>
    <row r="47" spans="1:18">
      <c r="P47" t="s">
        <v>296</v>
      </c>
      <c r="Q47" t="s">
        <v>296</v>
      </c>
      <c r="R47" t="s">
        <v>296</v>
      </c>
    </row>
    <row r="48" spans="1:18">
      <c r="P48" t="s">
        <v>296</v>
      </c>
      <c r="Q48" t="s">
        <v>296</v>
      </c>
      <c r="R48" t="s">
        <v>296</v>
      </c>
    </row>
    <row r="49" spans="16:18">
      <c r="P49" t="s">
        <v>296</v>
      </c>
      <c r="Q49" t="s">
        <v>296</v>
      </c>
      <c r="R49" t="s">
        <v>296</v>
      </c>
    </row>
    <row r="50" spans="16:18">
      <c r="P50" t="s">
        <v>296</v>
      </c>
      <c r="Q50" t="s">
        <v>296</v>
      </c>
      <c r="R50" t="s">
        <v>296</v>
      </c>
    </row>
    <row r="51" spans="16:18">
      <c r="P51" t="s">
        <v>296</v>
      </c>
      <c r="Q51" t="s">
        <v>296</v>
      </c>
      <c r="R51" t="s">
        <v>296</v>
      </c>
    </row>
    <row r="52" spans="16:18">
      <c r="P52" t="s">
        <v>296</v>
      </c>
      <c r="Q52" t="s">
        <v>296</v>
      </c>
      <c r="R52" t="s">
        <v>296</v>
      </c>
    </row>
    <row r="53" spans="16:18">
      <c r="P53" t="s">
        <v>296</v>
      </c>
      <c r="Q53" t="s">
        <v>296</v>
      </c>
      <c r="R53" t="s">
        <v>296</v>
      </c>
    </row>
    <row r="54" spans="16:18">
      <c r="P54" t="s">
        <v>296</v>
      </c>
      <c r="Q54" t="s">
        <v>296</v>
      </c>
      <c r="R54" t="s">
        <v>296</v>
      </c>
    </row>
    <row r="55" spans="16:18">
      <c r="P55" t="s">
        <v>296</v>
      </c>
      <c r="Q55" t="s">
        <v>296</v>
      </c>
      <c r="R55" t="s">
        <v>296</v>
      </c>
    </row>
    <row r="56" spans="16:18">
      <c r="P56" t="s">
        <v>296</v>
      </c>
      <c r="Q56" t="s">
        <v>296</v>
      </c>
      <c r="R56" t="s">
        <v>296</v>
      </c>
    </row>
    <row r="57" spans="16:18">
      <c r="P57" t="s">
        <v>296</v>
      </c>
      <c r="Q57" t="s">
        <v>296</v>
      </c>
      <c r="R57" t="s">
        <v>296</v>
      </c>
    </row>
    <row r="58" spans="16:18">
      <c r="P58" t="s">
        <v>296</v>
      </c>
      <c r="Q58" t="s">
        <v>296</v>
      </c>
      <c r="R58" t="s">
        <v>296</v>
      </c>
    </row>
    <row r="59" spans="16:18">
      <c r="P59" t="s">
        <v>296</v>
      </c>
      <c r="Q59" t="s">
        <v>296</v>
      </c>
      <c r="R59" t="s">
        <v>296</v>
      </c>
    </row>
    <row r="60" spans="16:18">
      <c r="P60" t="s">
        <v>296</v>
      </c>
      <c r="Q60" t="s">
        <v>296</v>
      </c>
      <c r="R60" t="s">
        <v>296</v>
      </c>
    </row>
    <row r="61" spans="16:18">
      <c r="P61" t="s">
        <v>296</v>
      </c>
      <c r="Q61" t="s">
        <v>296</v>
      </c>
      <c r="R61" t="s">
        <v>296</v>
      </c>
    </row>
    <row r="62" spans="16:18">
      <c r="P62" t="s">
        <v>296</v>
      </c>
      <c r="Q62" t="s">
        <v>296</v>
      </c>
      <c r="R62" t="s">
        <v>296</v>
      </c>
    </row>
    <row r="63" spans="16:18">
      <c r="P63" t="s">
        <v>296</v>
      </c>
      <c r="Q63" t="s">
        <v>296</v>
      </c>
      <c r="R63" t="s">
        <v>296</v>
      </c>
    </row>
    <row r="64" spans="16:18">
      <c r="P64" t="s">
        <v>296</v>
      </c>
      <c r="Q64" t="s">
        <v>296</v>
      </c>
      <c r="R64" t="s">
        <v>296</v>
      </c>
    </row>
    <row r="65" spans="1:18">
      <c r="P65" t="s">
        <v>296</v>
      </c>
      <c r="Q65" t="s">
        <v>296</v>
      </c>
      <c r="R65" t="s">
        <v>296</v>
      </c>
    </row>
    <row r="66" spans="1:18">
      <c r="P66" t="s">
        <v>296</v>
      </c>
      <c r="Q66" t="s">
        <v>296</v>
      </c>
      <c r="R66" t="s">
        <v>296</v>
      </c>
    </row>
    <row r="67" spans="1:18">
      <c r="P67" t="s">
        <v>296</v>
      </c>
      <c r="Q67" t="s">
        <v>296</v>
      </c>
      <c r="R67" t="s">
        <v>296</v>
      </c>
    </row>
    <row r="68" spans="1:18">
      <c r="P68" t="s">
        <v>296</v>
      </c>
      <c r="Q68" t="s">
        <v>296</v>
      </c>
      <c r="R68" t="s">
        <v>296</v>
      </c>
    </row>
    <row r="69" spans="1:18">
      <c r="P69" t="s">
        <v>296</v>
      </c>
      <c r="Q69" t="s">
        <v>296</v>
      </c>
      <c r="R69" t="s">
        <v>296</v>
      </c>
    </row>
    <row r="70" spans="1:18">
      <c r="P70" t="s">
        <v>296</v>
      </c>
      <c r="Q70" t="s">
        <v>296</v>
      </c>
      <c r="R70" t="s">
        <v>296</v>
      </c>
    </row>
    <row r="71" spans="1:18">
      <c r="P71" t="s">
        <v>296</v>
      </c>
      <c r="Q71" t="s">
        <v>296</v>
      </c>
      <c r="R71" t="s">
        <v>296</v>
      </c>
    </row>
    <row r="72" spans="1:18" s="2509" customFormat="1">
      <c r="A72"/>
      <c r="B72"/>
      <c r="C72"/>
      <c r="D72"/>
      <c r="E72"/>
      <c r="F72"/>
      <c r="G72"/>
      <c r="H72"/>
      <c r="I72"/>
      <c r="J72"/>
      <c r="K72"/>
      <c r="L72"/>
      <c r="M72"/>
      <c r="N72"/>
      <c r="O72"/>
      <c r="P72" s="2509" t="s">
        <v>296</v>
      </c>
      <c r="Q72" s="2509" t="s">
        <v>296</v>
      </c>
      <c r="R72" s="2509" t="s">
        <v>296</v>
      </c>
    </row>
    <row r="73" spans="1:18" s="2509" customFormat="1">
      <c r="A73"/>
      <c r="B73"/>
      <c r="C73"/>
      <c r="D73"/>
      <c r="E73"/>
      <c r="F73"/>
      <c r="G73"/>
      <c r="H73"/>
      <c r="I73"/>
      <c r="J73"/>
      <c r="K73"/>
      <c r="L73"/>
      <c r="M73"/>
      <c r="N73"/>
      <c r="O73"/>
      <c r="P73" s="2509" t="s">
        <v>296</v>
      </c>
      <c r="Q73" s="2509" t="s">
        <v>296</v>
      </c>
      <c r="R73" s="2509" t="s">
        <v>296</v>
      </c>
    </row>
    <row r="74" spans="1:18" s="2509" customFormat="1">
      <c r="A74"/>
      <c r="B74"/>
      <c r="C74"/>
      <c r="D74"/>
      <c r="E74"/>
      <c r="F74"/>
      <c r="G74"/>
      <c r="H74"/>
      <c r="I74"/>
      <c r="J74"/>
      <c r="K74"/>
      <c r="L74"/>
      <c r="M74"/>
      <c r="N74"/>
      <c r="O74"/>
      <c r="P74" s="2509" t="s">
        <v>296</v>
      </c>
      <c r="Q74" s="2509" t="s">
        <v>296</v>
      </c>
      <c r="R74" s="2509" t="s">
        <v>296</v>
      </c>
    </row>
    <row r="75" spans="1:18" s="2509" customFormat="1">
      <c r="A75"/>
      <c r="B75"/>
      <c r="C75"/>
      <c r="D75"/>
      <c r="E75"/>
      <c r="F75"/>
      <c r="G75"/>
      <c r="H75"/>
      <c r="I75"/>
      <c r="J75"/>
      <c r="K75"/>
      <c r="L75"/>
      <c r="M75"/>
      <c r="N75"/>
      <c r="O75"/>
      <c r="P75" s="2509" t="s">
        <v>296</v>
      </c>
      <c r="Q75" s="2509" t="s">
        <v>296</v>
      </c>
      <c r="R75" s="2509" t="s">
        <v>296</v>
      </c>
    </row>
    <row r="105" spans="1:15" s="2442" customFormat="1">
      <c r="A105"/>
      <c r="B105"/>
      <c r="C105"/>
      <c r="D105"/>
      <c r="E105"/>
      <c r="F105"/>
      <c r="G105"/>
      <c r="H105"/>
      <c r="I105"/>
      <c r="J105"/>
      <c r="K105"/>
      <c r="L105"/>
      <c r="M105"/>
      <c r="N105"/>
      <c r="O105"/>
    </row>
    <row r="106" spans="1:15" s="2442" customFormat="1">
      <c r="A106"/>
      <c r="B106"/>
      <c r="C106"/>
      <c r="D106"/>
      <c r="E106"/>
      <c r="F106"/>
      <c r="G106"/>
      <c r="H106"/>
      <c r="I106"/>
      <c r="J106"/>
      <c r="K106"/>
      <c r="L106"/>
      <c r="M106"/>
      <c r="N106"/>
      <c r="O106"/>
    </row>
    <row r="177" spans="16:18">
      <c r="P177" t="s">
        <v>296</v>
      </c>
      <c r="Q177" t="s">
        <v>296</v>
      </c>
      <c r="R177" t="s">
        <v>296</v>
      </c>
    </row>
    <row r="178" spans="16:18">
      <c r="P178" t="s">
        <v>296</v>
      </c>
      <c r="Q178" t="s">
        <v>296</v>
      </c>
      <c r="R178" t="s">
        <v>296</v>
      </c>
    </row>
    <row r="179" spans="16:18">
      <c r="P179" t="s">
        <v>296</v>
      </c>
      <c r="Q179" t="s">
        <v>296</v>
      </c>
      <c r="R179" t="s">
        <v>296</v>
      </c>
    </row>
  </sheetData>
  <autoFilter ref="A1:R165"/>
  <pageMargins left="0.7" right="0.7" top="0.75" bottom="0.75" header="0.3" footer="0.3"/>
  <pageSetup orientation="portrait" horizontalDpi="4294967295" verticalDpi="4294967295"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4"/>
  <sheetViews>
    <sheetView workbookViewId="0">
      <pane ySplit="1" topLeftCell="A59" activePane="bottomLeft" state="frozen"/>
      <selection pane="bottomLeft" activeCell="A72" sqref="A72:XFD72"/>
    </sheetView>
  </sheetViews>
  <sheetFormatPr defaultRowHeight="14.4"/>
  <cols>
    <col min="1" max="1" width="13.44140625" customWidth="1"/>
    <col min="2" max="2" width="19.6640625" customWidth="1"/>
    <col min="3" max="3" width="24.88671875" customWidth="1"/>
    <col min="4" max="4" width="13.44140625" customWidth="1"/>
    <col min="5" max="5" width="19.109375" customWidth="1"/>
    <col min="6" max="8" width="13.44140625" customWidth="1"/>
    <col min="9" max="9" width="24.6640625" customWidth="1"/>
    <col min="10" max="15" width="13.44140625" customWidth="1"/>
  </cols>
  <sheetData>
    <row r="1" spans="1:18">
      <c r="A1" t="s">
        <v>1190</v>
      </c>
      <c r="B1" t="s">
        <v>1191</v>
      </c>
      <c r="C1" t="s">
        <v>1192</v>
      </c>
      <c r="D1" t="s">
        <v>1193</v>
      </c>
      <c r="E1" t="s">
        <v>103</v>
      </c>
      <c r="F1" t="s">
        <v>1194</v>
      </c>
      <c r="G1" t="s">
        <v>1195</v>
      </c>
      <c r="H1" t="s">
        <v>417</v>
      </c>
      <c r="I1" t="s">
        <v>1196</v>
      </c>
      <c r="J1" t="s">
        <v>1197</v>
      </c>
      <c r="K1" t="s">
        <v>1198</v>
      </c>
      <c r="L1" t="s">
        <v>1199</v>
      </c>
      <c r="M1" t="s">
        <v>1200</v>
      </c>
      <c r="N1" t="s">
        <v>7</v>
      </c>
      <c r="O1" t="s">
        <v>1201</v>
      </c>
    </row>
    <row r="2" spans="1:18">
      <c r="A2" s="38" t="s">
        <v>739</v>
      </c>
      <c r="B2" s="38" t="s">
        <v>1332</v>
      </c>
      <c r="C2" s="38" t="s">
        <v>1328</v>
      </c>
      <c r="D2" s="38" t="s">
        <v>1333</v>
      </c>
      <c r="E2" s="38" t="s">
        <v>1227</v>
      </c>
      <c r="F2" s="38">
        <v>2</v>
      </c>
      <c r="G2" s="38" t="s">
        <v>376</v>
      </c>
      <c r="H2" s="38" t="s">
        <v>244</v>
      </c>
      <c r="I2" s="38" t="s">
        <v>1308</v>
      </c>
      <c r="J2" s="38">
        <v>3</v>
      </c>
      <c r="K2" s="38">
        <v>57</v>
      </c>
      <c r="L2" s="38">
        <v>57</v>
      </c>
      <c r="M2" s="38">
        <v>70000</v>
      </c>
      <c r="N2" s="38">
        <v>206</v>
      </c>
      <c r="O2" s="38" t="s">
        <v>656</v>
      </c>
      <c r="P2" t="s">
        <v>296</v>
      </c>
      <c r="Q2" t="s">
        <v>296</v>
      </c>
      <c r="R2" t="s">
        <v>296</v>
      </c>
    </row>
    <row r="3" spans="1:18">
      <c r="A3" s="38" t="s">
        <v>739</v>
      </c>
      <c r="B3" s="38" t="s">
        <v>1332</v>
      </c>
      <c r="C3" s="38" t="s">
        <v>1328</v>
      </c>
      <c r="D3" s="38" t="s">
        <v>1333</v>
      </c>
      <c r="E3" s="38" t="s">
        <v>1227</v>
      </c>
      <c r="F3" s="38">
        <v>2</v>
      </c>
      <c r="G3" s="38" t="s">
        <v>376</v>
      </c>
      <c r="H3" s="38" t="s">
        <v>244</v>
      </c>
      <c r="I3" s="38" t="s">
        <v>1311</v>
      </c>
      <c r="J3" s="38">
        <v>6</v>
      </c>
      <c r="K3" s="38">
        <v>57</v>
      </c>
      <c r="L3" s="38">
        <v>57</v>
      </c>
      <c r="M3" s="38">
        <v>90000</v>
      </c>
      <c r="N3" s="38">
        <v>504.6</v>
      </c>
      <c r="O3" s="38" t="s">
        <v>656</v>
      </c>
      <c r="P3" t="s">
        <v>296</v>
      </c>
      <c r="Q3" t="s">
        <v>296</v>
      </c>
      <c r="R3" t="s">
        <v>296</v>
      </c>
    </row>
    <row r="4" spans="1:18">
      <c r="A4" s="38" t="s">
        <v>739</v>
      </c>
      <c r="B4" s="38" t="s">
        <v>1332</v>
      </c>
      <c r="C4" s="38" t="s">
        <v>1328</v>
      </c>
      <c r="D4" s="38" t="s">
        <v>1333</v>
      </c>
      <c r="E4" s="38" t="s">
        <v>1227</v>
      </c>
      <c r="F4" s="38">
        <v>2</v>
      </c>
      <c r="G4" s="38" t="s">
        <v>376</v>
      </c>
      <c r="H4" s="38" t="s">
        <v>244</v>
      </c>
      <c r="I4" s="38" t="s">
        <v>1314</v>
      </c>
      <c r="J4" s="38">
        <v>8</v>
      </c>
      <c r="K4" s="38">
        <v>57</v>
      </c>
      <c r="L4" s="38">
        <v>57</v>
      </c>
      <c r="M4" s="38">
        <v>76000</v>
      </c>
      <c r="N4" s="38">
        <v>584.54999999999995</v>
      </c>
      <c r="O4" s="38" t="s">
        <v>656</v>
      </c>
      <c r="P4" t="s">
        <v>296</v>
      </c>
      <c r="Q4" t="s">
        <v>296</v>
      </c>
      <c r="R4" t="s">
        <v>296</v>
      </c>
    </row>
    <row r="5" spans="1:18">
      <c r="A5" s="38" t="s">
        <v>739</v>
      </c>
      <c r="B5" s="38" t="s">
        <v>1332</v>
      </c>
      <c r="C5" s="38" t="s">
        <v>1328</v>
      </c>
      <c r="D5" s="38" t="s">
        <v>1333</v>
      </c>
      <c r="E5" s="38" t="s">
        <v>1227</v>
      </c>
      <c r="F5" s="38">
        <v>2</v>
      </c>
      <c r="G5" s="38" t="s">
        <v>376</v>
      </c>
      <c r="H5" s="38" t="s">
        <v>244</v>
      </c>
      <c r="I5" s="38" t="s">
        <v>1325</v>
      </c>
      <c r="J5" s="38">
        <v>1</v>
      </c>
      <c r="K5" s="38">
        <v>57</v>
      </c>
      <c r="L5" s="38">
        <v>57</v>
      </c>
      <c r="M5" s="38">
        <v>76000</v>
      </c>
      <c r="N5" s="38">
        <v>71.45</v>
      </c>
      <c r="O5" s="38" t="s">
        <v>656</v>
      </c>
      <c r="P5" t="s">
        <v>296</v>
      </c>
      <c r="Q5" t="s">
        <v>296</v>
      </c>
      <c r="R5" t="s">
        <v>296</v>
      </c>
    </row>
    <row r="6" spans="1:18">
      <c r="A6" s="38" t="s">
        <v>739</v>
      </c>
      <c r="B6" s="38" t="s">
        <v>1332</v>
      </c>
      <c r="C6" s="38" t="s">
        <v>1328</v>
      </c>
      <c r="D6" s="38" t="s">
        <v>1333</v>
      </c>
      <c r="E6" s="38" t="s">
        <v>1227</v>
      </c>
      <c r="F6" s="38">
        <v>2</v>
      </c>
      <c r="G6" s="38" t="s">
        <v>376</v>
      </c>
      <c r="H6" s="38" t="s">
        <v>244</v>
      </c>
      <c r="I6" s="38" t="s">
        <v>1326</v>
      </c>
      <c r="J6" s="38">
        <v>3</v>
      </c>
      <c r="K6" s="38">
        <v>57</v>
      </c>
      <c r="L6" s="38">
        <v>57</v>
      </c>
      <c r="M6" s="38">
        <v>65000</v>
      </c>
      <c r="N6" s="38">
        <v>199.7</v>
      </c>
      <c r="O6" s="38" t="s">
        <v>656</v>
      </c>
      <c r="P6" t="s">
        <v>296</v>
      </c>
      <c r="Q6" t="s">
        <v>296</v>
      </c>
      <c r="R6" t="s">
        <v>296</v>
      </c>
    </row>
    <row r="7" spans="1:18">
      <c r="A7" s="38" t="s">
        <v>739</v>
      </c>
      <c r="B7" s="38" t="s">
        <v>1332</v>
      </c>
      <c r="C7" s="38" t="s">
        <v>1328</v>
      </c>
      <c r="D7" s="38" t="s">
        <v>1333</v>
      </c>
      <c r="E7" s="38" t="s">
        <v>1227</v>
      </c>
      <c r="F7" s="38">
        <v>2</v>
      </c>
      <c r="G7" s="38" t="s">
        <v>376</v>
      </c>
      <c r="H7" s="38" t="s">
        <v>244</v>
      </c>
      <c r="I7" s="38" t="s">
        <v>1315</v>
      </c>
      <c r="J7" s="38">
        <v>18</v>
      </c>
      <c r="K7" s="38">
        <v>57</v>
      </c>
      <c r="L7" s="38">
        <v>57</v>
      </c>
      <c r="M7" s="38">
        <v>76000</v>
      </c>
      <c r="N7" s="38">
        <v>1212.8900000000001</v>
      </c>
      <c r="O7" s="38" t="s">
        <v>656</v>
      </c>
      <c r="P7" t="s">
        <v>296</v>
      </c>
      <c r="Q7" t="s">
        <v>296</v>
      </c>
      <c r="R7" t="s">
        <v>296</v>
      </c>
    </row>
    <row r="8" spans="1:18">
      <c r="A8" s="38" t="s">
        <v>739</v>
      </c>
      <c r="B8" s="38" t="s">
        <v>1332</v>
      </c>
      <c r="C8" s="38" t="s">
        <v>1328</v>
      </c>
      <c r="D8" s="38" t="s">
        <v>1333</v>
      </c>
      <c r="E8" s="38" t="s">
        <v>1227</v>
      </c>
      <c r="F8" s="38">
        <v>2</v>
      </c>
      <c r="G8" s="38" t="s">
        <v>376</v>
      </c>
      <c r="H8" s="38" t="s">
        <v>244</v>
      </c>
      <c r="I8" s="38" t="s">
        <v>1316</v>
      </c>
      <c r="J8" s="38">
        <v>20</v>
      </c>
      <c r="K8" s="38">
        <v>57</v>
      </c>
      <c r="L8" s="38">
        <v>57</v>
      </c>
      <c r="M8" s="38">
        <v>85500</v>
      </c>
      <c r="N8" s="38">
        <v>1648.95</v>
      </c>
      <c r="O8" s="38" t="s">
        <v>656</v>
      </c>
      <c r="P8" t="s">
        <v>296</v>
      </c>
      <c r="Q8" t="s">
        <v>296</v>
      </c>
      <c r="R8" t="s">
        <v>296</v>
      </c>
    </row>
    <row r="9" spans="1:18">
      <c r="A9" s="38" t="s">
        <v>739</v>
      </c>
      <c r="B9" s="38" t="s">
        <v>1332</v>
      </c>
      <c r="C9" s="38" t="s">
        <v>1328</v>
      </c>
      <c r="D9" s="38" t="s">
        <v>1333</v>
      </c>
      <c r="E9" s="38" t="s">
        <v>1227</v>
      </c>
      <c r="F9" s="38">
        <v>2</v>
      </c>
      <c r="G9" s="38" t="s">
        <v>376</v>
      </c>
      <c r="H9" s="38" t="s">
        <v>165</v>
      </c>
      <c r="I9" s="38" t="s">
        <v>1317</v>
      </c>
      <c r="J9" s="38">
        <v>12</v>
      </c>
      <c r="K9" s="38">
        <v>57</v>
      </c>
      <c r="L9" s="38">
        <v>57</v>
      </c>
      <c r="M9" s="38">
        <v>85000</v>
      </c>
      <c r="N9" s="38">
        <v>1009.9</v>
      </c>
      <c r="O9" s="38" t="s">
        <v>656</v>
      </c>
      <c r="P9" t="s">
        <v>296</v>
      </c>
      <c r="Q9" t="s">
        <v>296</v>
      </c>
      <c r="R9" t="s">
        <v>296</v>
      </c>
    </row>
    <row r="10" spans="1:18">
      <c r="A10" s="38" t="s">
        <v>739</v>
      </c>
      <c r="B10" s="38" t="s">
        <v>1332</v>
      </c>
      <c r="C10" s="38" t="s">
        <v>1328</v>
      </c>
      <c r="D10" s="38" t="s">
        <v>1333</v>
      </c>
      <c r="E10" s="38" t="s">
        <v>1227</v>
      </c>
      <c r="F10" s="38">
        <v>2</v>
      </c>
      <c r="G10" s="38" t="s">
        <v>376</v>
      </c>
      <c r="H10" s="38" t="s">
        <v>165</v>
      </c>
      <c r="I10" s="38" t="s">
        <v>1318</v>
      </c>
      <c r="J10" s="38">
        <v>40</v>
      </c>
      <c r="K10" s="38">
        <v>57</v>
      </c>
      <c r="L10" s="38">
        <v>57</v>
      </c>
      <c r="M10" s="38">
        <v>64000</v>
      </c>
      <c r="N10" s="38">
        <v>2611.52</v>
      </c>
      <c r="O10" s="38" t="s">
        <v>656</v>
      </c>
      <c r="P10" t="s">
        <v>296</v>
      </c>
      <c r="Q10" t="s">
        <v>296</v>
      </c>
      <c r="R10" t="s">
        <v>296</v>
      </c>
    </row>
    <row r="11" spans="1:18">
      <c r="A11" s="38" t="s">
        <v>739</v>
      </c>
      <c r="B11" s="38" t="s">
        <v>1332</v>
      </c>
      <c r="C11" s="38" t="s">
        <v>1328</v>
      </c>
      <c r="D11" s="38" t="s">
        <v>1333</v>
      </c>
      <c r="E11" s="38" t="s">
        <v>1227</v>
      </c>
      <c r="F11" s="38">
        <v>2</v>
      </c>
      <c r="G11" s="38" t="s">
        <v>376</v>
      </c>
      <c r="H11" s="38" t="s">
        <v>165</v>
      </c>
      <c r="I11" s="38" t="s">
        <v>1319</v>
      </c>
      <c r="J11" s="38">
        <v>2</v>
      </c>
      <c r="K11" s="38">
        <v>57</v>
      </c>
      <c r="L11" s="38">
        <v>57</v>
      </c>
      <c r="M11" s="38">
        <v>85500</v>
      </c>
      <c r="N11" s="38">
        <v>122.59</v>
      </c>
      <c r="O11" s="38" t="s">
        <v>656</v>
      </c>
      <c r="P11" t="s">
        <v>296</v>
      </c>
      <c r="Q11" t="s">
        <v>296</v>
      </c>
      <c r="R11" t="s">
        <v>296</v>
      </c>
    </row>
    <row r="12" spans="1:18">
      <c r="A12" s="38" t="s">
        <v>739</v>
      </c>
      <c r="B12" s="38" t="s">
        <v>1332</v>
      </c>
      <c r="C12" s="38" t="s">
        <v>1328</v>
      </c>
      <c r="D12" s="38" t="s">
        <v>1333</v>
      </c>
      <c r="E12" s="38" t="s">
        <v>1227</v>
      </c>
      <c r="F12" s="38">
        <v>2</v>
      </c>
      <c r="G12" s="38" t="s">
        <v>376</v>
      </c>
      <c r="H12" s="38" t="s">
        <v>165</v>
      </c>
      <c r="I12" s="38" t="s">
        <v>1320</v>
      </c>
      <c r="J12" s="38">
        <v>12</v>
      </c>
      <c r="K12" s="38">
        <v>57</v>
      </c>
      <c r="L12" s="38">
        <v>57</v>
      </c>
      <c r="M12" s="38">
        <v>85500</v>
      </c>
      <c r="N12" s="38">
        <v>988.66</v>
      </c>
      <c r="O12" s="38" t="s">
        <v>656</v>
      </c>
      <c r="P12" t="s">
        <v>296</v>
      </c>
      <c r="Q12" t="s">
        <v>296</v>
      </c>
      <c r="R12" t="s">
        <v>296</v>
      </c>
    </row>
    <row r="13" spans="1:18">
      <c r="A13" s="38" t="s">
        <v>739</v>
      </c>
      <c r="B13" s="38" t="s">
        <v>1332</v>
      </c>
      <c r="C13" s="38" t="s">
        <v>1328</v>
      </c>
      <c r="D13" s="38" t="s">
        <v>1333</v>
      </c>
      <c r="E13" s="38" t="s">
        <v>1232</v>
      </c>
      <c r="F13" s="38">
        <v>1</v>
      </c>
      <c r="G13" s="38" t="s">
        <v>376</v>
      </c>
      <c r="H13" s="38" t="s">
        <v>244</v>
      </c>
      <c r="I13" s="38" t="s">
        <v>1308</v>
      </c>
      <c r="J13" s="38">
        <v>5</v>
      </c>
      <c r="K13" s="38">
        <v>57</v>
      </c>
      <c r="L13" s="38">
        <v>57</v>
      </c>
      <c r="M13" s="38">
        <v>70000</v>
      </c>
      <c r="N13" s="38">
        <v>340.95</v>
      </c>
      <c r="O13" s="38" t="s">
        <v>656</v>
      </c>
      <c r="P13" t="s">
        <v>296</v>
      </c>
      <c r="Q13" t="s">
        <v>296</v>
      </c>
      <c r="R13" t="s">
        <v>296</v>
      </c>
    </row>
    <row r="14" spans="1:18">
      <c r="A14" s="38" t="s">
        <v>739</v>
      </c>
      <c r="B14" s="38" t="s">
        <v>1332</v>
      </c>
      <c r="C14" s="38" t="s">
        <v>1328</v>
      </c>
      <c r="D14" s="38" t="s">
        <v>1333</v>
      </c>
      <c r="E14" s="38" t="s">
        <v>1232</v>
      </c>
      <c r="F14" s="38">
        <v>1</v>
      </c>
      <c r="G14" s="38" t="s">
        <v>376</v>
      </c>
      <c r="H14" s="38" t="s">
        <v>244</v>
      </c>
      <c r="I14" s="38" t="s">
        <v>1311</v>
      </c>
      <c r="J14" s="38">
        <v>2</v>
      </c>
      <c r="K14" s="38">
        <v>57</v>
      </c>
      <c r="L14" s="38">
        <v>57</v>
      </c>
      <c r="M14" s="38">
        <v>90000</v>
      </c>
      <c r="N14" s="38">
        <v>166.85</v>
      </c>
      <c r="O14" s="38" t="s">
        <v>656</v>
      </c>
      <c r="P14" t="s">
        <v>296</v>
      </c>
      <c r="Q14" t="s">
        <v>296</v>
      </c>
      <c r="R14" t="s">
        <v>296</v>
      </c>
    </row>
    <row r="15" spans="1:18">
      <c r="A15" s="38" t="s">
        <v>739</v>
      </c>
      <c r="B15" s="38" t="s">
        <v>1332</v>
      </c>
      <c r="C15" s="38" t="s">
        <v>1328</v>
      </c>
      <c r="D15" s="38" t="s">
        <v>1333</v>
      </c>
      <c r="E15" s="38" t="s">
        <v>1232</v>
      </c>
      <c r="F15" s="38">
        <v>1</v>
      </c>
      <c r="G15" s="38" t="s">
        <v>376</v>
      </c>
      <c r="H15" s="38" t="s">
        <v>244</v>
      </c>
      <c r="I15" s="38" t="s">
        <v>1314</v>
      </c>
      <c r="J15" s="38">
        <v>4</v>
      </c>
      <c r="K15" s="38">
        <v>57</v>
      </c>
      <c r="L15" s="38">
        <v>57</v>
      </c>
      <c r="M15" s="38">
        <v>76000</v>
      </c>
      <c r="N15" s="38">
        <v>290.55</v>
      </c>
      <c r="O15" s="38" t="s">
        <v>656</v>
      </c>
      <c r="P15" t="s">
        <v>296</v>
      </c>
      <c r="Q15" t="s">
        <v>296</v>
      </c>
      <c r="R15" t="s">
        <v>296</v>
      </c>
    </row>
    <row r="16" spans="1:18">
      <c r="A16" s="38" t="s">
        <v>739</v>
      </c>
      <c r="B16" s="38" t="s">
        <v>1332</v>
      </c>
      <c r="C16" s="38" t="s">
        <v>1328</v>
      </c>
      <c r="D16" s="38" t="s">
        <v>1333</v>
      </c>
      <c r="E16" s="38" t="s">
        <v>1232</v>
      </c>
      <c r="F16" s="38">
        <v>1</v>
      </c>
      <c r="G16" s="38" t="s">
        <v>376</v>
      </c>
      <c r="H16" s="38" t="s">
        <v>244</v>
      </c>
      <c r="I16" s="38" t="s">
        <v>1325</v>
      </c>
      <c r="J16" s="38">
        <v>5</v>
      </c>
      <c r="K16" s="38">
        <v>57</v>
      </c>
      <c r="L16" s="38">
        <v>57</v>
      </c>
      <c r="M16" s="38">
        <v>76000</v>
      </c>
      <c r="N16" s="38">
        <v>369.95</v>
      </c>
      <c r="O16" s="38" t="s">
        <v>656</v>
      </c>
      <c r="P16" t="s">
        <v>296</v>
      </c>
      <c r="Q16" t="s">
        <v>296</v>
      </c>
      <c r="R16" t="s">
        <v>296</v>
      </c>
    </row>
    <row r="17" spans="1:18">
      <c r="A17" s="38" t="s">
        <v>739</v>
      </c>
      <c r="B17" s="38" t="s">
        <v>1332</v>
      </c>
      <c r="C17" s="38" t="s">
        <v>1328</v>
      </c>
      <c r="D17" s="38" t="s">
        <v>1333</v>
      </c>
      <c r="E17" s="38" t="s">
        <v>1232</v>
      </c>
      <c r="F17" s="38">
        <v>1</v>
      </c>
      <c r="G17" s="38" t="s">
        <v>376</v>
      </c>
      <c r="H17" s="38" t="s">
        <v>244</v>
      </c>
      <c r="I17" s="38" t="s">
        <v>1326</v>
      </c>
      <c r="J17" s="38">
        <v>2</v>
      </c>
      <c r="K17" s="38">
        <v>57</v>
      </c>
      <c r="L17" s="38">
        <v>57</v>
      </c>
      <c r="M17" s="38">
        <v>65000</v>
      </c>
      <c r="N17" s="38">
        <v>130.35</v>
      </c>
      <c r="O17" s="38" t="s">
        <v>656</v>
      </c>
      <c r="P17" t="s">
        <v>296</v>
      </c>
      <c r="Q17" t="s">
        <v>296</v>
      </c>
      <c r="R17" t="s">
        <v>296</v>
      </c>
    </row>
    <row r="18" spans="1:18">
      <c r="A18" s="38" t="s">
        <v>739</v>
      </c>
      <c r="B18" s="38" t="s">
        <v>1332</v>
      </c>
      <c r="C18" s="38" t="s">
        <v>1328</v>
      </c>
      <c r="D18" s="38" t="s">
        <v>1333</v>
      </c>
      <c r="E18" s="38" t="s">
        <v>1232</v>
      </c>
      <c r="F18" s="38">
        <v>1</v>
      </c>
      <c r="G18" s="38" t="s">
        <v>376</v>
      </c>
      <c r="H18" s="38" t="s">
        <v>244</v>
      </c>
      <c r="I18" s="38" t="s">
        <v>1315</v>
      </c>
      <c r="J18" s="38">
        <v>14</v>
      </c>
      <c r="K18" s="38">
        <v>57</v>
      </c>
      <c r="L18" s="38">
        <v>57</v>
      </c>
      <c r="M18" s="38">
        <v>76000</v>
      </c>
      <c r="N18" s="38">
        <v>929.75</v>
      </c>
      <c r="O18" s="38" t="s">
        <v>656</v>
      </c>
      <c r="P18" t="s">
        <v>296</v>
      </c>
      <c r="Q18" t="s">
        <v>296</v>
      </c>
      <c r="R18" t="s">
        <v>296</v>
      </c>
    </row>
    <row r="19" spans="1:18">
      <c r="A19" s="38" t="s">
        <v>739</v>
      </c>
      <c r="B19" s="38" t="s">
        <v>1332</v>
      </c>
      <c r="C19" s="38" t="s">
        <v>1328</v>
      </c>
      <c r="D19" s="38" t="s">
        <v>1333</v>
      </c>
      <c r="E19" s="38" t="s">
        <v>1232</v>
      </c>
      <c r="F19" s="38">
        <v>1</v>
      </c>
      <c r="G19" s="38" t="s">
        <v>376</v>
      </c>
      <c r="H19" s="38" t="s">
        <v>244</v>
      </c>
      <c r="I19" s="38" t="s">
        <v>1316</v>
      </c>
      <c r="J19" s="38">
        <v>11</v>
      </c>
      <c r="K19" s="38">
        <v>57</v>
      </c>
      <c r="L19" s="38">
        <v>57</v>
      </c>
      <c r="M19" s="38">
        <v>85500</v>
      </c>
      <c r="N19" s="38">
        <v>886.45</v>
      </c>
      <c r="O19" s="38" t="s">
        <v>656</v>
      </c>
      <c r="P19" t="s">
        <v>296</v>
      </c>
      <c r="Q19" t="s">
        <v>296</v>
      </c>
      <c r="R19" t="s">
        <v>296</v>
      </c>
    </row>
    <row r="20" spans="1:18">
      <c r="A20" s="38" t="s">
        <v>739</v>
      </c>
      <c r="B20" s="38" t="s">
        <v>1332</v>
      </c>
      <c r="C20" s="38" t="s">
        <v>1328</v>
      </c>
      <c r="D20" s="38" t="s">
        <v>1333</v>
      </c>
      <c r="E20" s="38" t="s">
        <v>1232</v>
      </c>
      <c r="F20" s="38">
        <v>1</v>
      </c>
      <c r="G20" s="38" t="s">
        <v>376</v>
      </c>
      <c r="H20" s="38" t="s">
        <v>165</v>
      </c>
      <c r="I20" s="38" t="s">
        <v>1317</v>
      </c>
      <c r="J20" s="38">
        <v>13</v>
      </c>
      <c r="K20" s="38">
        <v>57</v>
      </c>
      <c r="L20" s="38">
        <v>57</v>
      </c>
      <c r="M20" s="38">
        <v>85000</v>
      </c>
      <c r="N20" s="38">
        <v>1096.75</v>
      </c>
      <c r="O20" s="38" t="s">
        <v>656</v>
      </c>
      <c r="P20" t="s">
        <v>296</v>
      </c>
      <c r="Q20" t="s">
        <v>296</v>
      </c>
      <c r="R20" t="s">
        <v>296</v>
      </c>
    </row>
    <row r="21" spans="1:18">
      <c r="A21" s="38" t="s">
        <v>739</v>
      </c>
      <c r="B21" s="38" t="s">
        <v>1332</v>
      </c>
      <c r="C21" s="38" t="s">
        <v>1328</v>
      </c>
      <c r="D21" s="38" t="s">
        <v>1333</v>
      </c>
      <c r="E21" s="38" t="s">
        <v>1232</v>
      </c>
      <c r="F21" s="38">
        <v>1</v>
      </c>
      <c r="G21" s="38" t="s">
        <v>376</v>
      </c>
      <c r="H21" s="38" t="s">
        <v>165</v>
      </c>
      <c r="I21" s="38" t="s">
        <v>1318</v>
      </c>
      <c r="J21" s="38">
        <v>34</v>
      </c>
      <c r="K21" s="38">
        <v>57</v>
      </c>
      <c r="L21" s="38">
        <v>57</v>
      </c>
      <c r="M21" s="38">
        <v>64000</v>
      </c>
      <c r="N21" s="38">
        <v>2178.25</v>
      </c>
      <c r="O21" s="38" t="s">
        <v>656</v>
      </c>
      <c r="P21" t="s">
        <v>296</v>
      </c>
      <c r="Q21" t="s">
        <v>296</v>
      </c>
      <c r="R21" t="s">
        <v>296</v>
      </c>
    </row>
    <row r="22" spans="1:18">
      <c r="A22" s="38" t="s">
        <v>739</v>
      </c>
      <c r="B22" s="38" t="s">
        <v>1332</v>
      </c>
      <c r="C22" s="38" t="s">
        <v>1328</v>
      </c>
      <c r="D22" s="38" t="s">
        <v>1333</v>
      </c>
      <c r="E22" s="38" t="s">
        <v>1232</v>
      </c>
      <c r="F22" s="38">
        <v>1</v>
      </c>
      <c r="G22" s="38" t="s">
        <v>376</v>
      </c>
      <c r="H22" s="38" t="s">
        <v>165</v>
      </c>
      <c r="I22" s="38" t="s">
        <v>1319</v>
      </c>
      <c r="J22" s="38">
        <v>1</v>
      </c>
      <c r="K22" s="38">
        <v>57</v>
      </c>
      <c r="L22" s="38">
        <v>57</v>
      </c>
      <c r="M22" s="38">
        <v>85500</v>
      </c>
      <c r="N22" s="38">
        <v>59.37</v>
      </c>
      <c r="O22" s="38" t="s">
        <v>656</v>
      </c>
      <c r="P22" t="s">
        <v>296</v>
      </c>
      <c r="Q22" t="s">
        <v>296</v>
      </c>
      <c r="R22" t="s">
        <v>296</v>
      </c>
    </row>
    <row r="23" spans="1:18" s="2492" customFormat="1">
      <c r="A23" s="38" t="s">
        <v>739</v>
      </c>
      <c r="B23" s="38" t="s">
        <v>1332</v>
      </c>
      <c r="C23" s="38" t="s">
        <v>1328</v>
      </c>
      <c r="D23" s="38" t="s">
        <v>1333</v>
      </c>
      <c r="E23" s="38" t="s">
        <v>1232</v>
      </c>
      <c r="F23" s="38">
        <v>1</v>
      </c>
      <c r="G23" s="38" t="s">
        <v>376</v>
      </c>
      <c r="H23" s="38" t="s">
        <v>165</v>
      </c>
      <c r="I23" s="38" t="s">
        <v>1320</v>
      </c>
      <c r="J23" s="38">
        <v>10</v>
      </c>
      <c r="K23" s="38">
        <v>57</v>
      </c>
      <c r="L23" s="38">
        <v>57</v>
      </c>
      <c r="M23" s="38">
        <v>85500</v>
      </c>
      <c r="N23" s="38">
        <v>839.3</v>
      </c>
      <c r="O23" s="38" t="s">
        <v>656</v>
      </c>
      <c r="P23" s="2492" t="s">
        <v>296</v>
      </c>
      <c r="Q23" s="2492" t="s">
        <v>296</v>
      </c>
      <c r="R23" s="2492" t="s">
        <v>296</v>
      </c>
    </row>
    <row r="24" spans="1:18" s="2492" customFormat="1">
      <c r="A24" s="38" t="s">
        <v>739</v>
      </c>
      <c r="B24" s="38" t="s">
        <v>1332</v>
      </c>
      <c r="C24" s="38" t="s">
        <v>1328</v>
      </c>
      <c r="D24" s="38" t="s">
        <v>1333</v>
      </c>
      <c r="E24" s="38" t="s">
        <v>1234</v>
      </c>
      <c r="F24" s="38">
        <v>2</v>
      </c>
      <c r="G24" s="38" t="s">
        <v>376</v>
      </c>
      <c r="H24" s="38" t="s">
        <v>244</v>
      </c>
      <c r="I24" s="38" t="s">
        <v>1308</v>
      </c>
      <c r="J24" s="38">
        <v>3</v>
      </c>
      <c r="K24" s="38">
        <v>57</v>
      </c>
      <c r="L24" s="38">
        <v>57</v>
      </c>
      <c r="M24" s="38">
        <v>70000</v>
      </c>
      <c r="N24" s="38">
        <v>209.4</v>
      </c>
      <c r="O24" s="38" t="s">
        <v>656</v>
      </c>
      <c r="P24" s="2492" t="s">
        <v>296</v>
      </c>
      <c r="Q24" s="2492" t="s">
        <v>296</v>
      </c>
      <c r="R24" s="2492" t="s">
        <v>296</v>
      </c>
    </row>
    <row r="25" spans="1:18" s="2492" customFormat="1">
      <c r="A25" s="38" t="s">
        <v>739</v>
      </c>
      <c r="B25" s="38" t="s">
        <v>1332</v>
      </c>
      <c r="C25" s="38" t="s">
        <v>1328</v>
      </c>
      <c r="D25" s="38" t="s">
        <v>1333</v>
      </c>
      <c r="E25" s="38" t="s">
        <v>1234</v>
      </c>
      <c r="F25" s="38">
        <v>2</v>
      </c>
      <c r="G25" s="38" t="s">
        <v>376</v>
      </c>
      <c r="H25" s="38" t="s">
        <v>244</v>
      </c>
      <c r="I25" s="38" t="s">
        <v>1311</v>
      </c>
      <c r="J25" s="38">
        <v>3</v>
      </c>
      <c r="K25" s="38">
        <v>57</v>
      </c>
      <c r="L25" s="38">
        <v>57</v>
      </c>
      <c r="M25" s="38">
        <v>90000</v>
      </c>
      <c r="N25" s="38">
        <v>247</v>
      </c>
      <c r="O25" s="38" t="s">
        <v>656</v>
      </c>
      <c r="P25" s="2492" t="s">
        <v>296</v>
      </c>
      <c r="Q25" s="2492" t="s">
        <v>296</v>
      </c>
      <c r="R25" s="2492" t="s">
        <v>296</v>
      </c>
    </row>
    <row r="26" spans="1:18" s="2492" customFormat="1">
      <c r="A26" s="38" t="s">
        <v>739</v>
      </c>
      <c r="B26" s="38" t="s">
        <v>1332</v>
      </c>
      <c r="C26" s="38" t="s">
        <v>1328</v>
      </c>
      <c r="D26" s="38" t="s">
        <v>1333</v>
      </c>
      <c r="E26" s="38" t="s">
        <v>1234</v>
      </c>
      <c r="F26" s="38">
        <v>2</v>
      </c>
      <c r="G26" s="38" t="s">
        <v>376</v>
      </c>
      <c r="H26" s="38" t="s">
        <v>244</v>
      </c>
      <c r="I26" s="38" t="s">
        <v>1314</v>
      </c>
      <c r="J26" s="38">
        <v>1</v>
      </c>
      <c r="K26" s="38">
        <v>57</v>
      </c>
      <c r="L26" s="38">
        <v>57</v>
      </c>
      <c r="M26" s="38">
        <v>76000</v>
      </c>
      <c r="N26" s="38">
        <v>72.2</v>
      </c>
      <c r="O26" s="38" t="s">
        <v>656</v>
      </c>
      <c r="P26" s="2492" t="s">
        <v>296</v>
      </c>
      <c r="Q26" s="2492" t="s">
        <v>296</v>
      </c>
      <c r="R26" s="2492" t="s">
        <v>296</v>
      </c>
    </row>
    <row r="27" spans="1:18" s="2492" customFormat="1">
      <c r="A27" s="38" t="s">
        <v>739</v>
      </c>
      <c r="B27" s="38" t="s">
        <v>1332</v>
      </c>
      <c r="C27" s="38" t="s">
        <v>1328</v>
      </c>
      <c r="D27" s="38" t="s">
        <v>1333</v>
      </c>
      <c r="E27" s="38" t="s">
        <v>1234</v>
      </c>
      <c r="F27" s="38">
        <v>2</v>
      </c>
      <c r="G27" s="38" t="s">
        <v>376</v>
      </c>
      <c r="H27" s="38" t="s">
        <v>244</v>
      </c>
      <c r="I27" s="38" t="s">
        <v>1325</v>
      </c>
      <c r="J27" s="38">
        <v>2</v>
      </c>
      <c r="K27" s="38">
        <v>57</v>
      </c>
      <c r="L27" s="38">
        <v>57</v>
      </c>
      <c r="M27" s="38">
        <v>76000</v>
      </c>
      <c r="N27" s="38">
        <v>150.65</v>
      </c>
      <c r="O27" s="38" t="s">
        <v>656</v>
      </c>
      <c r="P27" s="2492" t="s">
        <v>296</v>
      </c>
      <c r="Q27" s="2492" t="s">
        <v>296</v>
      </c>
      <c r="R27" s="2492" t="s">
        <v>296</v>
      </c>
    </row>
    <row r="28" spans="1:18" s="2492" customFormat="1">
      <c r="A28" s="38" t="s">
        <v>739</v>
      </c>
      <c r="B28" s="38" t="s">
        <v>1332</v>
      </c>
      <c r="C28" s="38" t="s">
        <v>1328</v>
      </c>
      <c r="D28" s="38" t="s">
        <v>1333</v>
      </c>
      <c r="E28" s="38" t="s">
        <v>1234</v>
      </c>
      <c r="F28" s="38">
        <v>2</v>
      </c>
      <c r="G28" s="38" t="s">
        <v>376</v>
      </c>
      <c r="H28" s="38" t="s">
        <v>244</v>
      </c>
      <c r="I28" s="38" t="s">
        <v>1326</v>
      </c>
      <c r="J28" s="38">
        <v>2</v>
      </c>
      <c r="K28" s="38">
        <v>57</v>
      </c>
      <c r="L28" s="38">
        <v>57</v>
      </c>
      <c r="M28" s="38">
        <v>65000</v>
      </c>
      <c r="N28" s="38">
        <v>134.5</v>
      </c>
      <c r="O28" s="38" t="s">
        <v>656</v>
      </c>
      <c r="P28" s="2492" t="s">
        <v>296</v>
      </c>
      <c r="Q28" s="2492" t="s">
        <v>296</v>
      </c>
      <c r="R28" s="2492" t="s">
        <v>296</v>
      </c>
    </row>
    <row r="29" spans="1:18" s="2492" customFormat="1">
      <c r="A29" s="38" t="s">
        <v>739</v>
      </c>
      <c r="B29" s="38" t="s">
        <v>1332</v>
      </c>
      <c r="C29" s="38" t="s">
        <v>1328</v>
      </c>
      <c r="D29" s="38" t="s">
        <v>1333</v>
      </c>
      <c r="E29" s="38" t="s">
        <v>1234</v>
      </c>
      <c r="F29" s="38">
        <v>2</v>
      </c>
      <c r="G29" s="38" t="s">
        <v>376</v>
      </c>
      <c r="H29" s="38" t="s">
        <v>244</v>
      </c>
      <c r="I29" s="38" t="s">
        <v>1315</v>
      </c>
      <c r="J29" s="38">
        <v>6</v>
      </c>
      <c r="K29" s="38">
        <v>57</v>
      </c>
      <c r="L29" s="38">
        <v>57</v>
      </c>
      <c r="M29" s="38">
        <v>76000</v>
      </c>
      <c r="N29" s="38">
        <v>404.63</v>
      </c>
      <c r="O29" s="38" t="s">
        <v>656</v>
      </c>
      <c r="P29" s="2492" t="s">
        <v>296</v>
      </c>
      <c r="Q29" s="2492" t="s">
        <v>296</v>
      </c>
      <c r="R29" s="2492" t="s">
        <v>296</v>
      </c>
    </row>
    <row r="30" spans="1:18" s="2492" customFormat="1">
      <c r="A30" s="38" t="s">
        <v>739</v>
      </c>
      <c r="B30" s="38" t="s">
        <v>1332</v>
      </c>
      <c r="C30" s="38" t="s">
        <v>1328</v>
      </c>
      <c r="D30" s="38" t="s">
        <v>1333</v>
      </c>
      <c r="E30" s="38" t="s">
        <v>1234</v>
      </c>
      <c r="F30" s="38">
        <v>2</v>
      </c>
      <c r="G30" s="38" t="s">
        <v>376</v>
      </c>
      <c r="H30" s="38" t="s">
        <v>244</v>
      </c>
      <c r="I30" s="38" t="s">
        <v>1316</v>
      </c>
      <c r="J30" s="38">
        <v>12</v>
      </c>
      <c r="K30" s="38">
        <v>57</v>
      </c>
      <c r="L30" s="38">
        <v>57</v>
      </c>
      <c r="M30" s="38">
        <v>85500</v>
      </c>
      <c r="N30" s="38">
        <v>970.5</v>
      </c>
      <c r="O30" s="38" t="s">
        <v>656</v>
      </c>
      <c r="P30" s="2492" t="s">
        <v>296</v>
      </c>
      <c r="Q30" s="2492" t="s">
        <v>296</v>
      </c>
      <c r="R30" s="2492" t="s">
        <v>296</v>
      </c>
    </row>
    <row r="31" spans="1:18" s="2492" customFormat="1">
      <c r="A31" s="38" t="s">
        <v>739</v>
      </c>
      <c r="B31" s="38" t="s">
        <v>1332</v>
      </c>
      <c r="C31" s="38" t="s">
        <v>1328</v>
      </c>
      <c r="D31" s="38" t="s">
        <v>1333</v>
      </c>
      <c r="E31" s="38" t="s">
        <v>1234</v>
      </c>
      <c r="F31" s="38">
        <v>2</v>
      </c>
      <c r="G31" s="38" t="s">
        <v>376</v>
      </c>
      <c r="H31" s="38" t="s">
        <v>165</v>
      </c>
      <c r="I31" s="38" t="s">
        <v>1317</v>
      </c>
      <c r="J31" s="38">
        <v>5</v>
      </c>
      <c r="K31" s="38">
        <v>57</v>
      </c>
      <c r="L31" s="38">
        <v>57</v>
      </c>
      <c r="M31" s="38">
        <v>85000</v>
      </c>
      <c r="N31" s="38">
        <v>417</v>
      </c>
      <c r="O31" s="38" t="s">
        <v>656</v>
      </c>
      <c r="P31" s="2492" t="s">
        <v>296</v>
      </c>
      <c r="Q31" s="2492" t="s">
        <v>296</v>
      </c>
      <c r="R31" s="2492" t="s">
        <v>296</v>
      </c>
    </row>
    <row r="32" spans="1:18">
      <c r="A32" s="38" t="s">
        <v>739</v>
      </c>
      <c r="B32" s="38" t="s">
        <v>1332</v>
      </c>
      <c r="C32" s="38" t="s">
        <v>1328</v>
      </c>
      <c r="D32" s="38" t="s">
        <v>1333</v>
      </c>
      <c r="E32" s="38" t="s">
        <v>1234</v>
      </c>
      <c r="F32" s="38">
        <v>2</v>
      </c>
      <c r="G32" s="38" t="s">
        <v>376</v>
      </c>
      <c r="H32" s="38" t="s">
        <v>165</v>
      </c>
      <c r="I32" s="38" t="s">
        <v>1318</v>
      </c>
      <c r="J32" s="38">
        <v>27</v>
      </c>
      <c r="K32" s="38">
        <v>57</v>
      </c>
      <c r="L32" s="38">
        <v>57</v>
      </c>
      <c r="M32" s="38">
        <v>64000</v>
      </c>
      <c r="N32" s="38">
        <v>1743.65</v>
      </c>
      <c r="O32" s="38" t="s">
        <v>656</v>
      </c>
      <c r="P32" t="s">
        <v>296</v>
      </c>
      <c r="Q32" t="s">
        <v>296</v>
      </c>
      <c r="R32" t="s">
        <v>296</v>
      </c>
    </row>
    <row r="33" spans="1:18">
      <c r="A33" s="38" t="s">
        <v>739</v>
      </c>
      <c r="B33" s="38" t="s">
        <v>1332</v>
      </c>
      <c r="C33" s="38" t="s">
        <v>1328</v>
      </c>
      <c r="D33" s="38" t="s">
        <v>1333</v>
      </c>
      <c r="E33" s="38" t="s">
        <v>1234</v>
      </c>
      <c r="F33" s="38">
        <v>2</v>
      </c>
      <c r="G33" s="38" t="s">
        <v>376</v>
      </c>
      <c r="H33" s="38" t="s">
        <v>165</v>
      </c>
      <c r="I33" s="38" t="s">
        <v>1320</v>
      </c>
      <c r="J33" s="38">
        <v>11</v>
      </c>
      <c r="K33" s="38">
        <v>57</v>
      </c>
      <c r="L33" s="38">
        <v>57</v>
      </c>
      <c r="M33" s="38">
        <v>85500</v>
      </c>
      <c r="N33" s="38">
        <v>928.12</v>
      </c>
      <c r="O33" s="38" t="s">
        <v>656</v>
      </c>
      <c r="P33" t="s">
        <v>296</v>
      </c>
      <c r="Q33" t="s">
        <v>296</v>
      </c>
      <c r="R33" t="s">
        <v>296</v>
      </c>
    </row>
    <row r="34" spans="1:18">
      <c r="A34" s="38" t="s">
        <v>739</v>
      </c>
      <c r="B34" s="38" t="s">
        <v>1332</v>
      </c>
      <c r="C34" s="38" t="s">
        <v>1328</v>
      </c>
      <c r="D34" s="38" t="s">
        <v>1333</v>
      </c>
      <c r="E34" s="38" t="s">
        <v>1238</v>
      </c>
      <c r="F34" s="38">
        <v>1</v>
      </c>
      <c r="G34" s="38" t="s">
        <v>376</v>
      </c>
      <c r="H34" s="38" t="s">
        <v>244</v>
      </c>
      <c r="I34" s="38" t="s">
        <v>1308</v>
      </c>
      <c r="J34" s="38">
        <v>5</v>
      </c>
      <c r="K34" s="38">
        <v>57</v>
      </c>
      <c r="L34" s="38">
        <v>57</v>
      </c>
      <c r="M34" s="38">
        <v>70000</v>
      </c>
      <c r="N34" s="38">
        <v>338.05</v>
      </c>
      <c r="O34" s="38" t="s">
        <v>656</v>
      </c>
      <c r="P34" t="s">
        <v>296</v>
      </c>
      <c r="Q34" t="s">
        <v>296</v>
      </c>
      <c r="R34" t="s">
        <v>296</v>
      </c>
    </row>
    <row r="35" spans="1:18">
      <c r="A35" s="38" t="s">
        <v>739</v>
      </c>
      <c r="B35" s="38" t="s">
        <v>1332</v>
      </c>
      <c r="C35" s="38" t="s">
        <v>1328</v>
      </c>
      <c r="D35" s="38" t="s">
        <v>1333</v>
      </c>
      <c r="E35" s="38" t="s">
        <v>1238</v>
      </c>
      <c r="F35" s="38">
        <v>1</v>
      </c>
      <c r="G35" s="38" t="s">
        <v>376</v>
      </c>
      <c r="H35" s="38" t="s">
        <v>244</v>
      </c>
      <c r="I35" s="38" t="s">
        <v>1311</v>
      </c>
      <c r="J35" s="38">
        <v>1</v>
      </c>
      <c r="K35" s="38">
        <v>57</v>
      </c>
      <c r="L35" s="38">
        <v>57</v>
      </c>
      <c r="M35" s="38">
        <v>90000</v>
      </c>
      <c r="N35" s="38">
        <v>83.5</v>
      </c>
      <c r="O35" s="38" t="s">
        <v>656</v>
      </c>
      <c r="P35" t="s">
        <v>296</v>
      </c>
      <c r="Q35" t="s">
        <v>296</v>
      </c>
      <c r="R35" t="s">
        <v>296</v>
      </c>
    </row>
    <row r="36" spans="1:18">
      <c r="A36" s="38" t="s">
        <v>739</v>
      </c>
      <c r="B36" s="38" t="s">
        <v>1332</v>
      </c>
      <c r="C36" s="38" t="s">
        <v>1328</v>
      </c>
      <c r="D36" s="38" t="s">
        <v>1333</v>
      </c>
      <c r="E36" s="38" t="s">
        <v>1238</v>
      </c>
      <c r="F36" s="38">
        <v>1</v>
      </c>
      <c r="G36" s="38" t="s">
        <v>376</v>
      </c>
      <c r="H36" s="38" t="s">
        <v>244</v>
      </c>
      <c r="I36" s="38" t="s">
        <v>1314</v>
      </c>
      <c r="J36" s="38">
        <v>5</v>
      </c>
      <c r="K36" s="38">
        <v>57</v>
      </c>
      <c r="L36" s="38">
        <v>57</v>
      </c>
      <c r="M36" s="38">
        <v>76000</v>
      </c>
      <c r="N36" s="38">
        <v>354.8</v>
      </c>
      <c r="O36" s="38" t="s">
        <v>656</v>
      </c>
      <c r="P36" t="s">
        <v>296</v>
      </c>
      <c r="Q36" t="s">
        <v>296</v>
      </c>
      <c r="R36" t="s">
        <v>296</v>
      </c>
    </row>
    <row r="37" spans="1:18">
      <c r="A37" s="38" t="s">
        <v>739</v>
      </c>
      <c r="B37" s="38" t="s">
        <v>1332</v>
      </c>
      <c r="C37" s="38" t="s">
        <v>1328</v>
      </c>
      <c r="D37" s="38" t="s">
        <v>1333</v>
      </c>
      <c r="E37" s="38" t="s">
        <v>1238</v>
      </c>
      <c r="F37" s="38">
        <v>1</v>
      </c>
      <c r="G37" s="38" t="s">
        <v>376</v>
      </c>
      <c r="H37" s="38" t="s">
        <v>244</v>
      </c>
      <c r="I37" s="38" t="s">
        <v>1325</v>
      </c>
      <c r="J37" s="38">
        <v>5</v>
      </c>
      <c r="K37" s="38">
        <v>57</v>
      </c>
      <c r="L37" s="38">
        <v>57</v>
      </c>
      <c r="M37" s="38">
        <v>76000</v>
      </c>
      <c r="N37" s="38">
        <v>363.55</v>
      </c>
      <c r="O37" s="38" t="s">
        <v>656</v>
      </c>
      <c r="P37" t="s">
        <v>296</v>
      </c>
      <c r="Q37" t="s">
        <v>296</v>
      </c>
      <c r="R37" t="s">
        <v>296</v>
      </c>
    </row>
    <row r="38" spans="1:18">
      <c r="A38" s="38" t="s">
        <v>739</v>
      </c>
      <c r="B38" s="38" t="s">
        <v>1332</v>
      </c>
      <c r="C38" s="38" t="s">
        <v>1328</v>
      </c>
      <c r="D38" s="38" t="s">
        <v>1333</v>
      </c>
      <c r="E38" s="38" t="s">
        <v>1238</v>
      </c>
      <c r="F38" s="38">
        <v>1</v>
      </c>
      <c r="G38" s="38" t="s">
        <v>376</v>
      </c>
      <c r="H38" s="38" t="s">
        <v>244</v>
      </c>
      <c r="I38" s="38" t="s">
        <v>1334</v>
      </c>
      <c r="J38" s="38">
        <v>2</v>
      </c>
      <c r="K38" s="38">
        <v>57</v>
      </c>
      <c r="L38" s="38">
        <v>57</v>
      </c>
      <c r="M38" s="38">
        <v>61750</v>
      </c>
      <c r="N38" s="38">
        <v>126.2</v>
      </c>
      <c r="O38" s="38" t="s">
        <v>656</v>
      </c>
      <c r="P38" t="s">
        <v>296</v>
      </c>
      <c r="Q38" t="s">
        <v>296</v>
      </c>
      <c r="R38" t="s">
        <v>296</v>
      </c>
    </row>
    <row r="39" spans="1:18">
      <c r="A39" s="38" t="s">
        <v>739</v>
      </c>
      <c r="B39" s="38" t="s">
        <v>1332</v>
      </c>
      <c r="C39" s="38" t="s">
        <v>1328</v>
      </c>
      <c r="D39" s="38" t="s">
        <v>1333</v>
      </c>
      <c r="E39" s="38" t="s">
        <v>1238</v>
      </c>
      <c r="F39" s="38">
        <v>1</v>
      </c>
      <c r="G39" s="38" t="s">
        <v>376</v>
      </c>
      <c r="H39" s="38" t="s">
        <v>244</v>
      </c>
      <c r="I39" s="38" t="s">
        <v>1326</v>
      </c>
      <c r="J39" s="38">
        <v>1</v>
      </c>
      <c r="K39" s="38">
        <v>57</v>
      </c>
      <c r="L39" s="38">
        <v>57</v>
      </c>
      <c r="M39" s="38">
        <v>65000</v>
      </c>
      <c r="N39" s="38">
        <v>67.5</v>
      </c>
      <c r="O39" s="38" t="s">
        <v>656</v>
      </c>
      <c r="P39" t="s">
        <v>296</v>
      </c>
      <c r="Q39" t="s">
        <v>296</v>
      </c>
      <c r="R39" t="s">
        <v>296</v>
      </c>
    </row>
    <row r="40" spans="1:18">
      <c r="A40" s="38" t="s">
        <v>739</v>
      </c>
      <c r="B40" s="38" t="s">
        <v>1332</v>
      </c>
      <c r="C40" s="38" t="s">
        <v>1328</v>
      </c>
      <c r="D40" s="38" t="s">
        <v>1333</v>
      </c>
      <c r="E40" s="38" t="s">
        <v>1238</v>
      </c>
      <c r="F40" s="38">
        <v>1</v>
      </c>
      <c r="G40" s="38" t="s">
        <v>376</v>
      </c>
      <c r="H40" s="38" t="s">
        <v>244</v>
      </c>
      <c r="I40" s="38" t="s">
        <v>1315</v>
      </c>
      <c r="J40" s="38">
        <v>14</v>
      </c>
      <c r="K40" s="38">
        <v>57</v>
      </c>
      <c r="L40" s="38">
        <v>57</v>
      </c>
      <c r="M40" s="38">
        <v>76000</v>
      </c>
      <c r="N40" s="38">
        <v>933.06</v>
      </c>
      <c r="O40" s="38" t="s">
        <v>656</v>
      </c>
      <c r="P40" t="s">
        <v>296</v>
      </c>
      <c r="Q40" t="s">
        <v>296</v>
      </c>
      <c r="R40" t="s">
        <v>296</v>
      </c>
    </row>
    <row r="41" spans="1:18">
      <c r="A41" s="38" t="s">
        <v>739</v>
      </c>
      <c r="B41" s="38" t="s">
        <v>1332</v>
      </c>
      <c r="C41" s="38" t="s">
        <v>1328</v>
      </c>
      <c r="D41" s="38" t="s">
        <v>1333</v>
      </c>
      <c r="E41" s="38" t="s">
        <v>1238</v>
      </c>
      <c r="F41" s="38">
        <v>1</v>
      </c>
      <c r="G41" s="38" t="s">
        <v>376</v>
      </c>
      <c r="H41" s="38" t="s">
        <v>244</v>
      </c>
      <c r="I41" s="38" t="s">
        <v>1316</v>
      </c>
      <c r="J41" s="38">
        <v>16</v>
      </c>
      <c r="K41" s="38">
        <v>57</v>
      </c>
      <c r="L41" s="38">
        <v>57</v>
      </c>
      <c r="M41" s="38">
        <v>85500</v>
      </c>
      <c r="N41" s="38">
        <v>1309.5</v>
      </c>
      <c r="O41" s="38" t="s">
        <v>656</v>
      </c>
      <c r="P41" t="s">
        <v>296</v>
      </c>
      <c r="Q41" t="s">
        <v>296</v>
      </c>
      <c r="R41" t="s">
        <v>296</v>
      </c>
    </row>
    <row r="42" spans="1:18">
      <c r="A42" s="38" t="s">
        <v>739</v>
      </c>
      <c r="B42" s="38" t="s">
        <v>1332</v>
      </c>
      <c r="C42" s="38" t="s">
        <v>1328</v>
      </c>
      <c r="D42" s="38" t="s">
        <v>1333</v>
      </c>
      <c r="E42" s="38" t="s">
        <v>1238</v>
      </c>
      <c r="F42" s="38">
        <v>1</v>
      </c>
      <c r="G42" s="38" t="s">
        <v>376</v>
      </c>
      <c r="H42" s="38" t="s">
        <v>165</v>
      </c>
      <c r="I42" s="38" t="s">
        <v>1317</v>
      </c>
      <c r="J42" s="38">
        <v>1</v>
      </c>
      <c r="K42" s="38">
        <v>57</v>
      </c>
      <c r="L42" s="38">
        <v>57</v>
      </c>
      <c r="M42" s="38">
        <v>85000</v>
      </c>
      <c r="N42" s="38">
        <v>83.3</v>
      </c>
      <c r="O42" s="38" t="s">
        <v>656</v>
      </c>
      <c r="P42" t="s">
        <v>296</v>
      </c>
      <c r="Q42" t="s">
        <v>296</v>
      </c>
      <c r="R42" t="s">
        <v>296</v>
      </c>
    </row>
    <row r="43" spans="1:18">
      <c r="A43" s="38" t="s">
        <v>739</v>
      </c>
      <c r="B43" s="38" t="s">
        <v>1332</v>
      </c>
      <c r="C43" s="38" t="s">
        <v>1328</v>
      </c>
      <c r="D43" s="38" t="s">
        <v>1333</v>
      </c>
      <c r="E43" s="38" t="s">
        <v>1238</v>
      </c>
      <c r="F43" s="38">
        <v>1</v>
      </c>
      <c r="G43" s="38" t="s">
        <v>376</v>
      </c>
      <c r="H43" s="38" t="s">
        <v>165</v>
      </c>
      <c r="I43" s="38" t="s">
        <v>1320</v>
      </c>
      <c r="J43" s="38">
        <v>2</v>
      </c>
      <c r="K43" s="38">
        <v>57</v>
      </c>
      <c r="L43" s="38">
        <v>57</v>
      </c>
      <c r="M43" s="38">
        <v>85500</v>
      </c>
      <c r="N43" s="38">
        <v>160.85</v>
      </c>
      <c r="O43" s="38" t="s">
        <v>656</v>
      </c>
      <c r="P43" t="s">
        <v>296</v>
      </c>
      <c r="Q43" t="s">
        <v>296</v>
      </c>
      <c r="R43" t="s">
        <v>296</v>
      </c>
    </row>
    <row r="44" spans="1:18">
      <c r="A44" s="38" t="s">
        <v>739</v>
      </c>
      <c r="B44" s="38" t="s">
        <v>1332</v>
      </c>
      <c r="C44" s="38" t="s">
        <v>1328</v>
      </c>
      <c r="D44" s="38" t="s">
        <v>1333</v>
      </c>
      <c r="E44" s="38" t="s">
        <v>1242</v>
      </c>
      <c r="F44" s="38">
        <v>2</v>
      </c>
      <c r="G44" s="38" t="s">
        <v>376</v>
      </c>
      <c r="H44" s="38" t="s">
        <v>244</v>
      </c>
      <c r="I44" s="38" t="s">
        <v>1308</v>
      </c>
      <c r="J44" s="38">
        <v>5</v>
      </c>
      <c r="K44" s="38">
        <v>57</v>
      </c>
      <c r="L44" s="38">
        <v>57</v>
      </c>
      <c r="M44" s="38">
        <v>70000</v>
      </c>
      <c r="N44" s="38">
        <v>336.4</v>
      </c>
      <c r="O44" s="38" t="s">
        <v>656</v>
      </c>
      <c r="P44" t="s">
        <v>296</v>
      </c>
      <c r="Q44" t="s">
        <v>296</v>
      </c>
      <c r="R44" t="s">
        <v>296</v>
      </c>
    </row>
    <row r="45" spans="1:18">
      <c r="A45" s="38" t="s">
        <v>739</v>
      </c>
      <c r="B45" s="38" t="s">
        <v>1332</v>
      </c>
      <c r="C45" s="38" t="s">
        <v>1328</v>
      </c>
      <c r="D45" s="38" t="s">
        <v>1333</v>
      </c>
      <c r="E45" s="38" t="s">
        <v>1242</v>
      </c>
      <c r="F45" s="38">
        <v>2</v>
      </c>
      <c r="G45" s="38" t="s">
        <v>376</v>
      </c>
      <c r="H45" s="38" t="s">
        <v>244</v>
      </c>
      <c r="I45" s="38" t="s">
        <v>1311</v>
      </c>
      <c r="J45" s="38">
        <v>1</v>
      </c>
      <c r="K45" s="38">
        <v>57</v>
      </c>
      <c r="L45" s="38">
        <v>57</v>
      </c>
      <c r="M45" s="38">
        <v>90000</v>
      </c>
      <c r="N45" s="38">
        <v>83.1</v>
      </c>
      <c r="O45" s="38" t="s">
        <v>656</v>
      </c>
      <c r="P45" t="s">
        <v>296</v>
      </c>
      <c r="Q45" t="s">
        <v>296</v>
      </c>
      <c r="R45" t="s">
        <v>296</v>
      </c>
    </row>
    <row r="46" spans="1:18">
      <c r="A46" s="38" t="s">
        <v>739</v>
      </c>
      <c r="B46" s="38" t="s">
        <v>1332</v>
      </c>
      <c r="C46" s="38" t="s">
        <v>1328</v>
      </c>
      <c r="D46" s="38" t="s">
        <v>1333</v>
      </c>
      <c r="E46" s="38" t="s">
        <v>1242</v>
      </c>
      <c r="F46" s="38">
        <v>2</v>
      </c>
      <c r="G46" s="38" t="s">
        <v>376</v>
      </c>
      <c r="H46" s="38" t="s">
        <v>244</v>
      </c>
      <c r="I46" s="38" t="s">
        <v>1314</v>
      </c>
      <c r="J46" s="38">
        <v>5</v>
      </c>
      <c r="K46" s="38">
        <v>57</v>
      </c>
      <c r="L46" s="38">
        <v>57</v>
      </c>
      <c r="M46" s="38">
        <v>76000</v>
      </c>
      <c r="N46" s="38">
        <v>365.3</v>
      </c>
      <c r="O46" s="38" t="s">
        <v>656</v>
      </c>
      <c r="P46" t="s">
        <v>296</v>
      </c>
      <c r="Q46" t="s">
        <v>296</v>
      </c>
      <c r="R46" t="s">
        <v>296</v>
      </c>
    </row>
    <row r="47" spans="1:18">
      <c r="A47" s="38" t="s">
        <v>739</v>
      </c>
      <c r="B47" s="38" t="s">
        <v>1332</v>
      </c>
      <c r="C47" s="38" t="s">
        <v>1328</v>
      </c>
      <c r="D47" s="38" t="s">
        <v>1333</v>
      </c>
      <c r="E47" s="38" t="s">
        <v>1242</v>
      </c>
      <c r="F47" s="38">
        <v>2</v>
      </c>
      <c r="G47" s="38" t="s">
        <v>376</v>
      </c>
      <c r="H47" s="38" t="s">
        <v>244</v>
      </c>
      <c r="I47" s="38" t="s">
        <v>1325</v>
      </c>
      <c r="J47" s="38">
        <v>4</v>
      </c>
      <c r="K47" s="38">
        <v>57</v>
      </c>
      <c r="L47" s="38">
        <v>57</v>
      </c>
      <c r="M47" s="38">
        <v>76000</v>
      </c>
      <c r="N47" s="38">
        <v>289.95</v>
      </c>
      <c r="O47" s="38" t="s">
        <v>656</v>
      </c>
      <c r="P47" t="s">
        <v>296</v>
      </c>
      <c r="Q47" t="s">
        <v>296</v>
      </c>
      <c r="R47" t="s">
        <v>296</v>
      </c>
    </row>
    <row r="48" spans="1:18">
      <c r="A48" s="38" t="s">
        <v>739</v>
      </c>
      <c r="B48" s="38" t="s">
        <v>1332</v>
      </c>
      <c r="C48" s="38" t="s">
        <v>1328</v>
      </c>
      <c r="D48" s="38" t="s">
        <v>1333</v>
      </c>
      <c r="E48" s="38" t="s">
        <v>1242</v>
      </c>
      <c r="F48" s="38">
        <v>2</v>
      </c>
      <c r="G48" s="38" t="s">
        <v>376</v>
      </c>
      <c r="H48" s="38" t="s">
        <v>244</v>
      </c>
      <c r="I48" s="38" t="s">
        <v>1315</v>
      </c>
      <c r="J48" s="38">
        <v>11</v>
      </c>
      <c r="K48" s="38">
        <v>57</v>
      </c>
      <c r="L48" s="38">
        <v>57</v>
      </c>
      <c r="M48" s="38">
        <v>76000</v>
      </c>
      <c r="N48" s="38">
        <v>751.6</v>
      </c>
      <c r="O48" s="38" t="s">
        <v>656</v>
      </c>
      <c r="P48" t="s">
        <v>296</v>
      </c>
      <c r="Q48" t="s">
        <v>296</v>
      </c>
      <c r="R48" t="s">
        <v>296</v>
      </c>
    </row>
    <row r="49" spans="1:19">
      <c r="A49" s="38" t="s">
        <v>739</v>
      </c>
      <c r="B49" s="38" t="s">
        <v>1332</v>
      </c>
      <c r="C49" s="38" t="s">
        <v>1328</v>
      </c>
      <c r="D49" s="38" t="s">
        <v>1333</v>
      </c>
      <c r="E49" s="38" t="s">
        <v>1242</v>
      </c>
      <c r="F49" s="38">
        <v>2</v>
      </c>
      <c r="G49" s="38" t="s">
        <v>376</v>
      </c>
      <c r="H49" s="38" t="s">
        <v>244</v>
      </c>
      <c r="I49" s="38" t="s">
        <v>1316</v>
      </c>
      <c r="J49" s="38">
        <v>9</v>
      </c>
      <c r="K49" s="38">
        <v>57</v>
      </c>
      <c r="L49" s="38">
        <v>57</v>
      </c>
      <c r="M49" s="38">
        <v>85500</v>
      </c>
      <c r="N49" s="38">
        <v>747.2</v>
      </c>
      <c r="O49" s="38" t="s">
        <v>656</v>
      </c>
      <c r="P49" t="s">
        <v>296</v>
      </c>
      <c r="Q49" t="s">
        <v>296</v>
      </c>
      <c r="R49" t="s">
        <v>296</v>
      </c>
    </row>
    <row r="50" spans="1:19">
      <c r="A50" s="38" t="s">
        <v>739</v>
      </c>
      <c r="B50" s="38" t="s">
        <v>1332</v>
      </c>
      <c r="C50" s="38" t="s">
        <v>1328</v>
      </c>
      <c r="D50" s="38" t="s">
        <v>1333</v>
      </c>
      <c r="E50" s="38" t="s">
        <v>1242</v>
      </c>
      <c r="F50" s="38">
        <v>2</v>
      </c>
      <c r="G50" s="38" t="s">
        <v>376</v>
      </c>
      <c r="H50" s="38" t="s">
        <v>165</v>
      </c>
      <c r="I50" s="38" t="s">
        <v>1317</v>
      </c>
      <c r="J50" s="38">
        <v>7</v>
      </c>
      <c r="K50" s="38">
        <v>57</v>
      </c>
      <c r="L50" s="38">
        <v>57</v>
      </c>
      <c r="M50" s="38">
        <v>85000</v>
      </c>
      <c r="N50" s="38">
        <v>587.5</v>
      </c>
      <c r="O50" s="38" t="s">
        <v>656</v>
      </c>
      <c r="P50" t="s">
        <v>296</v>
      </c>
      <c r="Q50" t="s">
        <v>296</v>
      </c>
      <c r="R50" t="s">
        <v>296</v>
      </c>
    </row>
    <row r="51" spans="1:19">
      <c r="A51" s="38" t="s">
        <v>739</v>
      </c>
      <c r="B51" s="38" t="s">
        <v>1332</v>
      </c>
      <c r="C51" s="38" t="s">
        <v>1328</v>
      </c>
      <c r="D51" s="38" t="s">
        <v>1333</v>
      </c>
      <c r="E51" s="38" t="s">
        <v>1242</v>
      </c>
      <c r="F51" s="38">
        <v>2</v>
      </c>
      <c r="G51" s="38" t="s">
        <v>376</v>
      </c>
      <c r="H51" s="38" t="s">
        <v>165</v>
      </c>
      <c r="I51" s="38" t="s">
        <v>1318</v>
      </c>
      <c r="J51" s="38">
        <v>47</v>
      </c>
      <c r="K51" s="38">
        <v>57</v>
      </c>
      <c r="L51" s="38">
        <v>57</v>
      </c>
      <c r="M51" s="38">
        <v>64000</v>
      </c>
      <c r="N51" s="38">
        <v>3016.1</v>
      </c>
      <c r="O51" s="38" t="s">
        <v>656</v>
      </c>
      <c r="P51" t="s">
        <v>296</v>
      </c>
      <c r="Q51" t="s">
        <v>296</v>
      </c>
      <c r="R51" t="s">
        <v>296</v>
      </c>
    </row>
    <row r="52" spans="1:19">
      <c r="A52" s="38" t="s">
        <v>739</v>
      </c>
      <c r="B52" s="38" t="s">
        <v>1332</v>
      </c>
      <c r="C52" s="38" t="s">
        <v>1328</v>
      </c>
      <c r="D52" s="38" t="s">
        <v>1333</v>
      </c>
      <c r="E52" s="38" t="s">
        <v>1242</v>
      </c>
      <c r="F52" s="38">
        <v>2</v>
      </c>
      <c r="G52" s="38" t="s">
        <v>376</v>
      </c>
      <c r="H52" s="38" t="s">
        <v>165</v>
      </c>
      <c r="I52" s="38" t="s">
        <v>1319</v>
      </c>
      <c r="J52" s="38">
        <v>2</v>
      </c>
      <c r="K52" s="38">
        <v>57</v>
      </c>
      <c r="L52" s="38">
        <v>57</v>
      </c>
      <c r="M52" s="38">
        <v>85500</v>
      </c>
      <c r="N52" s="38">
        <v>120.34</v>
      </c>
      <c r="O52" s="38" t="s">
        <v>656</v>
      </c>
      <c r="P52" t="s">
        <v>296</v>
      </c>
      <c r="Q52" t="s">
        <v>296</v>
      </c>
      <c r="R52" t="s">
        <v>296</v>
      </c>
    </row>
    <row r="53" spans="1:19">
      <c r="A53" s="38" t="s">
        <v>739</v>
      </c>
      <c r="B53" s="38" t="s">
        <v>1332</v>
      </c>
      <c r="C53" s="38" t="s">
        <v>1328</v>
      </c>
      <c r="D53" s="38" t="s">
        <v>1333</v>
      </c>
      <c r="E53" s="38" t="s">
        <v>1242</v>
      </c>
      <c r="F53" s="38">
        <v>2</v>
      </c>
      <c r="G53" s="38" t="s">
        <v>376</v>
      </c>
      <c r="H53" s="38" t="s">
        <v>165</v>
      </c>
      <c r="I53" s="38" t="s">
        <v>1320</v>
      </c>
      <c r="J53" s="38">
        <v>12</v>
      </c>
      <c r="K53" s="38">
        <v>57</v>
      </c>
      <c r="L53" s="38">
        <v>57</v>
      </c>
      <c r="M53" s="38">
        <v>85500</v>
      </c>
      <c r="N53" s="38">
        <v>995.6</v>
      </c>
      <c r="O53" s="38" t="s">
        <v>656</v>
      </c>
      <c r="P53" t="s">
        <v>296</v>
      </c>
      <c r="Q53" t="s">
        <v>296</v>
      </c>
      <c r="R53" t="s">
        <v>296</v>
      </c>
    </row>
    <row r="54" spans="1:19">
      <c r="A54" t="s">
        <v>739</v>
      </c>
      <c r="B54" t="s">
        <v>1332</v>
      </c>
      <c r="C54" t="s">
        <v>1328</v>
      </c>
      <c r="D54" t="s">
        <v>1333</v>
      </c>
      <c r="E54" t="s">
        <v>1245</v>
      </c>
      <c r="F54" t="s">
        <v>1246</v>
      </c>
      <c r="G54" t="s">
        <v>376</v>
      </c>
      <c r="H54" t="s">
        <v>244</v>
      </c>
      <c r="I54" t="s">
        <v>1308</v>
      </c>
      <c r="J54" t="s">
        <v>1251</v>
      </c>
      <c r="K54" t="s">
        <v>1335</v>
      </c>
      <c r="L54" t="s">
        <v>1335</v>
      </c>
      <c r="M54" t="s">
        <v>1336</v>
      </c>
      <c r="N54" t="s">
        <v>1337</v>
      </c>
      <c r="O54" t="s">
        <v>656</v>
      </c>
      <c r="P54" t="s">
        <v>296</v>
      </c>
      <c r="Q54" t="s">
        <v>296</v>
      </c>
      <c r="R54" t="s">
        <v>296</v>
      </c>
      <c r="S54">
        <f>VALUE(N54)</f>
        <v>199.8</v>
      </c>
    </row>
    <row r="55" spans="1:19">
      <c r="A55" t="s">
        <v>739</v>
      </c>
      <c r="B55" t="s">
        <v>1332</v>
      </c>
      <c r="C55" t="s">
        <v>1328</v>
      </c>
      <c r="D55" t="s">
        <v>1333</v>
      </c>
      <c r="E55" t="s">
        <v>1245</v>
      </c>
      <c r="F55" t="s">
        <v>1246</v>
      </c>
      <c r="G55" t="s">
        <v>376</v>
      </c>
      <c r="H55" t="s">
        <v>244</v>
      </c>
      <c r="I55" t="s">
        <v>1311</v>
      </c>
      <c r="J55" t="s">
        <v>1251</v>
      </c>
      <c r="K55" t="s">
        <v>1335</v>
      </c>
      <c r="L55" t="s">
        <v>1335</v>
      </c>
      <c r="M55" t="s">
        <v>1338</v>
      </c>
      <c r="N55" t="s">
        <v>1339</v>
      </c>
      <c r="O55" t="s">
        <v>656</v>
      </c>
      <c r="P55" t="s">
        <v>296</v>
      </c>
      <c r="Q55" t="s">
        <v>296</v>
      </c>
      <c r="R55" t="s">
        <v>296</v>
      </c>
      <c r="S55">
        <f t="shared" ref="S55:S71" si="0">VALUE(N55)</f>
        <v>252.1</v>
      </c>
    </row>
    <row r="56" spans="1:19">
      <c r="A56" t="s">
        <v>739</v>
      </c>
      <c r="B56" t="s">
        <v>1332</v>
      </c>
      <c r="C56" t="s">
        <v>1328</v>
      </c>
      <c r="D56" t="s">
        <v>1333</v>
      </c>
      <c r="E56" t="s">
        <v>1245</v>
      </c>
      <c r="F56" t="s">
        <v>1246</v>
      </c>
      <c r="G56" t="s">
        <v>376</v>
      </c>
      <c r="H56" t="s">
        <v>244</v>
      </c>
      <c r="I56" t="s">
        <v>1314</v>
      </c>
      <c r="J56" t="s">
        <v>1261</v>
      </c>
      <c r="K56" t="s">
        <v>1335</v>
      </c>
      <c r="L56" t="s">
        <v>1335</v>
      </c>
      <c r="M56" t="s">
        <v>1340</v>
      </c>
      <c r="N56" t="s">
        <v>1341</v>
      </c>
      <c r="O56" t="s">
        <v>656</v>
      </c>
      <c r="P56" t="s">
        <v>296</v>
      </c>
      <c r="Q56" t="s">
        <v>296</v>
      </c>
      <c r="R56" t="s">
        <v>296</v>
      </c>
      <c r="S56">
        <f t="shared" si="0"/>
        <v>350.05</v>
      </c>
    </row>
    <row r="57" spans="1:19">
      <c r="A57" t="s">
        <v>739</v>
      </c>
      <c r="B57" t="s">
        <v>1332</v>
      </c>
      <c r="C57" t="s">
        <v>1328</v>
      </c>
      <c r="D57" t="s">
        <v>1333</v>
      </c>
      <c r="E57" t="s">
        <v>1245</v>
      </c>
      <c r="F57" t="s">
        <v>1246</v>
      </c>
      <c r="G57" t="s">
        <v>376</v>
      </c>
      <c r="H57" t="s">
        <v>244</v>
      </c>
      <c r="I57" t="s">
        <v>1325</v>
      </c>
      <c r="J57" t="s">
        <v>1251</v>
      </c>
      <c r="K57" t="s">
        <v>1335</v>
      </c>
      <c r="L57" t="s">
        <v>1335</v>
      </c>
      <c r="M57" t="s">
        <v>1340</v>
      </c>
      <c r="N57" t="s">
        <v>1342</v>
      </c>
      <c r="O57" t="s">
        <v>656</v>
      </c>
      <c r="P57" t="s">
        <v>296</v>
      </c>
      <c r="Q57" t="s">
        <v>296</v>
      </c>
      <c r="R57" t="s">
        <v>296</v>
      </c>
      <c r="S57">
        <f t="shared" si="0"/>
        <v>218.7</v>
      </c>
    </row>
    <row r="58" spans="1:19">
      <c r="A58" t="s">
        <v>739</v>
      </c>
      <c r="B58" t="s">
        <v>1332</v>
      </c>
      <c r="C58" t="s">
        <v>1328</v>
      </c>
      <c r="D58" t="s">
        <v>1333</v>
      </c>
      <c r="E58" t="s">
        <v>1245</v>
      </c>
      <c r="F58" t="s">
        <v>1246</v>
      </c>
      <c r="G58" t="s">
        <v>376</v>
      </c>
      <c r="H58" t="s">
        <v>244</v>
      </c>
      <c r="I58" t="s">
        <v>1315</v>
      </c>
      <c r="J58" t="s">
        <v>1273</v>
      </c>
      <c r="K58" t="s">
        <v>1335</v>
      </c>
      <c r="L58" t="s">
        <v>1335</v>
      </c>
      <c r="M58" t="s">
        <v>1340</v>
      </c>
      <c r="N58" t="s">
        <v>1343</v>
      </c>
      <c r="O58" t="s">
        <v>656</v>
      </c>
      <c r="P58" t="s">
        <v>296</v>
      </c>
      <c r="Q58" t="s">
        <v>296</v>
      </c>
      <c r="R58" t="s">
        <v>296</v>
      </c>
      <c r="S58">
        <f t="shared" si="0"/>
        <v>466.85</v>
      </c>
    </row>
    <row r="59" spans="1:19">
      <c r="A59" t="s">
        <v>739</v>
      </c>
      <c r="B59" t="s">
        <v>1332</v>
      </c>
      <c r="C59" t="s">
        <v>1328</v>
      </c>
      <c r="D59" t="s">
        <v>1333</v>
      </c>
      <c r="E59" t="s">
        <v>1245</v>
      </c>
      <c r="F59" t="s">
        <v>1246</v>
      </c>
      <c r="G59" t="s">
        <v>376</v>
      </c>
      <c r="H59" t="s">
        <v>244</v>
      </c>
      <c r="I59" t="s">
        <v>1316</v>
      </c>
      <c r="J59" t="s">
        <v>1344</v>
      </c>
      <c r="K59" t="s">
        <v>1335</v>
      </c>
      <c r="L59" t="s">
        <v>1335</v>
      </c>
      <c r="M59" t="s">
        <v>1345</v>
      </c>
      <c r="N59" t="s">
        <v>1346</v>
      </c>
      <c r="O59" t="s">
        <v>656</v>
      </c>
      <c r="P59" t="s">
        <v>296</v>
      </c>
      <c r="Q59" t="s">
        <v>296</v>
      </c>
      <c r="R59" t="s">
        <v>296</v>
      </c>
      <c r="S59">
        <f t="shared" si="0"/>
        <v>1131.7</v>
      </c>
    </row>
    <row r="60" spans="1:19">
      <c r="A60" t="s">
        <v>739</v>
      </c>
      <c r="B60" t="s">
        <v>1332</v>
      </c>
      <c r="C60" t="s">
        <v>1328</v>
      </c>
      <c r="D60" t="s">
        <v>1333</v>
      </c>
      <c r="E60" t="s">
        <v>1245</v>
      </c>
      <c r="F60" t="s">
        <v>1246</v>
      </c>
      <c r="G60" t="s">
        <v>376</v>
      </c>
      <c r="H60" t="s">
        <v>165</v>
      </c>
      <c r="I60" t="s">
        <v>1317</v>
      </c>
      <c r="J60" t="s">
        <v>1347</v>
      </c>
      <c r="K60" t="s">
        <v>1335</v>
      </c>
      <c r="L60" t="s">
        <v>1335</v>
      </c>
      <c r="M60" t="s">
        <v>1348</v>
      </c>
      <c r="N60" t="s">
        <v>1349</v>
      </c>
      <c r="O60" t="s">
        <v>656</v>
      </c>
      <c r="P60" t="s">
        <v>296</v>
      </c>
      <c r="Q60" t="s">
        <v>296</v>
      </c>
      <c r="R60" t="s">
        <v>296</v>
      </c>
      <c r="S60">
        <f t="shared" si="0"/>
        <v>650.35</v>
      </c>
    </row>
    <row r="61" spans="1:19">
      <c r="A61" t="s">
        <v>739</v>
      </c>
      <c r="B61" t="s">
        <v>1332</v>
      </c>
      <c r="C61" t="s">
        <v>1328</v>
      </c>
      <c r="D61" t="s">
        <v>1333</v>
      </c>
      <c r="E61" t="s">
        <v>1245</v>
      </c>
      <c r="F61" t="s">
        <v>1246</v>
      </c>
      <c r="G61" t="s">
        <v>376</v>
      </c>
      <c r="H61" t="s">
        <v>165</v>
      </c>
      <c r="I61" t="s">
        <v>1318</v>
      </c>
      <c r="J61" t="s">
        <v>1350</v>
      </c>
      <c r="K61" t="s">
        <v>1335</v>
      </c>
      <c r="L61" t="s">
        <v>1335</v>
      </c>
      <c r="M61" t="s">
        <v>1351</v>
      </c>
      <c r="N61" t="s">
        <v>1352</v>
      </c>
      <c r="O61" t="s">
        <v>656</v>
      </c>
      <c r="P61" t="s">
        <v>296</v>
      </c>
      <c r="Q61" t="s">
        <v>296</v>
      </c>
      <c r="R61" t="s">
        <v>296</v>
      </c>
      <c r="S61">
        <f t="shared" si="0"/>
        <v>2167.34</v>
      </c>
    </row>
    <row r="62" spans="1:19">
      <c r="A62" t="s">
        <v>739</v>
      </c>
      <c r="B62" t="s">
        <v>1332</v>
      </c>
      <c r="C62" t="s">
        <v>1328</v>
      </c>
      <c r="D62" t="s">
        <v>1333</v>
      </c>
      <c r="E62" t="s">
        <v>1245</v>
      </c>
      <c r="F62" t="s">
        <v>1246</v>
      </c>
      <c r="G62" t="s">
        <v>376</v>
      </c>
      <c r="H62" t="s">
        <v>165</v>
      </c>
      <c r="I62" t="s">
        <v>1319</v>
      </c>
      <c r="J62" t="s">
        <v>1272</v>
      </c>
      <c r="K62" t="s">
        <v>1335</v>
      </c>
      <c r="L62" t="s">
        <v>1335</v>
      </c>
      <c r="M62" t="s">
        <v>1345</v>
      </c>
      <c r="N62" t="s">
        <v>1353</v>
      </c>
      <c r="O62" t="s">
        <v>656</v>
      </c>
      <c r="P62" t="s">
        <v>296</v>
      </c>
      <c r="Q62" t="s">
        <v>296</v>
      </c>
      <c r="R62" t="s">
        <v>296</v>
      </c>
      <c r="S62">
        <f t="shared" si="0"/>
        <v>116.69</v>
      </c>
    </row>
    <row r="63" spans="1:19">
      <c r="A63" t="s">
        <v>739</v>
      </c>
      <c r="B63" t="s">
        <v>1332</v>
      </c>
      <c r="C63" t="s">
        <v>1328</v>
      </c>
      <c r="D63" t="s">
        <v>1333</v>
      </c>
      <c r="E63" t="s">
        <v>1245</v>
      </c>
      <c r="F63" t="s">
        <v>1246</v>
      </c>
      <c r="G63" t="s">
        <v>376</v>
      </c>
      <c r="H63" t="s">
        <v>165</v>
      </c>
      <c r="I63" t="s">
        <v>1320</v>
      </c>
      <c r="J63" t="s">
        <v>1347</v>
      </c>
      <c r="K63" t="s">
        <v>1335</v>
      </c>
      <c r="L63" t="s">
        <v>1335</v>
      </c>
      <c r="M63" t="s">
        <v>1345</v>
      </c>
      <c r="N63" t="s">
        <v>1354</v>
      </c>
      <c r="O63" t="s">
        <v>656</v>
      </c>
      <c r="P63" t="s">
        <v>296</v>
      </c>
      <c r="Q63" t="s">
        <v>296</v>
      </c>
      <c r="R63" t="s">
        <v>296</v>
      </c>
      <c r="S63">
        <f t="shared" si="0"/>
        <v>649.45000000000005</v>
      </c>
    </row>
    <row r="64" spans="1:19">
      <c r="A64" t="s">
        <v>739</v>
      </c>
      <c r="B64" t="s">
        <v>1332</v>
      </c>
      <c r="C64" t="s">
        <v>1328</v>
      </c>
      <c r="D64" t="s">
        <v>1333</v>
      </c>
      <c r="E64" t="s">
        <v>1271</v>
      </c>
      <c r="F64" t="s">
        <v>1272</v>
      </c>
      <c r="G64" t="s">
        <v>376</v>
      </c>
      <c r="H64" t="s">
        <v>244</v>
      </c>
      <c r="I64" t="s">
        <v>1308</v>
      </c>
      <c r="J64" t="s">
        <v>1272</v>
      </c>
      <c r="K64" t="s">
        <v>1335</v>
      </c>
      <c r="L64" t="s">
        <v>1335</v>
      </c>
      <c r="M64" t="s">
        <v>1336</v>
      </c>
      <c r="N64" t="s">
        <v>1355</v>
      </c>
      <c r="O64" t="s">
        <v>656</v>
      </c>
      <c r="P64" t="s">
        <v>296</v>
      </c>
      <c r="Q64" t="s">
        <v>296</v>
      </c>
      <c r="R64" t="s">
        <v>296</v>
      </c>
      <c r="S64">
        <f t="shared" si="0"/>
        <v>129.9</v>
      </c>
    </row>
    <row r="65" spans="1:19">
      <c r="A65" t="s">
        <v>739</v>
      </c>
      <c r="B65" t="s">
        <v>1332</v>
      </c>
      <c r="C65" t="s">
        <v>1328</v>
      </c>
      <c r="D65" t="s">
        <v>1333</v>
      </c>
      <c r="E65" t="s">
        <v>1271</v>
      </c>
      <c r="F65" t="s">
        <v>1272</v>
      </c>
      <c r="G65" t="s">
        <v>376</v>
      </c>
      <c r="H65" t="s">
        <v>244</v>
      </c>
      <c r="I65" t="s">
        <v>1314</v>
      </c>
      <c r="J65" t="s">
        <v>1272</v>
      </c>
      <c r="K65" t="s">
        <v>1335</v>
      </c>
      <c r="L65" t="s">
        <v>1335</v>
      </c>
      <c r="M65" t="s">
        <v>1340</v>
      </c>
      <c r="N65" t="s">
        <v>1356</v>
      </c>
      <c r="O65" t="s">
        <v>656</v>
      </c>
      <c r="P65" t="s">
        <v>296</v>
      </c>
      <c r="Q65" t="s">
        <v>296</v>
      </c>
      <c r="R65" t="s">
        <v>296</v>
      </c>
      <c r="S65">
        <f t="shared" si="0"/>
        <v>149.5</v>
      </c>
    </row>
    <row r="66" spans="1:19">
      <c r="A66" t="s">
        <v>739</v>
      </c>
      <c r="B66" t="s">
        <v>1332</v>
      </c>
      <c r="C66" t="s">
        <v>1328</v>
      </c>
      <c r="D66" t="s">
        <v>1333</v>
      </c>
      <c r="E66" t="s">
        <v>1271</v>
      </c>
      <c r="F66" t="s">
        <v>1272</v>
      </c>
      <c r="G66" t="s">
        <v>376</v>
      </c>
      <c r="H66" t="s">
        <v>244</v>
      </c>
      <c r="I66" t="s">
        <v>1325</v>
      </c>
      <c r="J66" t="s">
        <v>1272</v>
      </c>
      <c r="K66" t="s">
        <v>1335</v>
      </c>
      <c r="L66" t="s">
        <v>1335</v>
      </c>
      <c r="M66" t="s">
        <v>1340</v>
      </c>
      <c r="N66" t="s">
        <v>1357</v>
      </c>
      <c r="O66" t="s">
        <v>656</v>
      </c>
      <c r="P66" t="s">
        <v>296</v>
      </c>
      <c r="Q66" t="s">
        <v>296</v>
      </c>
      <c r="R66" t="s">
        <v>296</v>
      </c>
      <c r="S66">
        <f t="shared" si="0"/>
        <v>151.85</v>
      </c>
    </row>
    <row r="67" spans="1:19">
      <c r="A67" t="s">
        <v>739</v>
      </c>
      <c r="B67" t="s">
        <v>1332</v>
      </c>
      <c r="C67" t="s">
        <v>1328</v>
      </c>
      <c r="D67" t="s">
        <v>1333</v>
      </c>
      <c r="E67" t="s">
        <v>1271</v>
      </c>
      <c r="F67" t="s">
        <v>1272</v>
      </c>
      <c r="G67" t="s">
        <v>376</v>
      </c>
      <c r="H67" t="s">
        <v>244</v>
      </c>
      <c r="I67" t="s">
        <v>1315</v>
      </c>
      <c r="J67" t="s">
        <v>1246</v>
      </c>
      <c r="K67" t="s">
        <v>1335</v>
      </c>
      <c r="L67" t="s">
        <v>1335</v>
      </c>
      <c r="M67" t="s">
        <v>1340</v>
      </c>
      <c r="N67" t="s">
        <v>1358</v>
      </c>
      <c r="O67" t="s">
        <v>656</v>
      </c>
      <c r="P67" t="s">
        <v>296</v>
      </c>
      <c r="Q67" t="s">
        <v>296</v>
      </c>
      <c r="R67" t="s">
        <v>296</v>
      </c>
      <c r="S67">
        <f t="shared" si="0"/>
        <v>66.349999999999994</v>
      </c>
    </row>
    <row r="68" spans="1:19">
      <c r="A68" t="s">
        <v>739</v>
      </c>
      <c r="B68" t="s">
        <v>1332</v>
      </c>
      <c r="C68" t="s">
        <v>1328</v>
      </c>
      <c r="D68" t="s">
        <v>1333</v>
      </c>
      <c r="E68" t="s">
        <v>1271</v>
      </c>
      <c r="F68" t="s">
        <v>1272</v>
      </c>
      <c r="G68" t="s">
        <v>376</v>
      </c>
      <c r="H68" t="s">
        <v>244</v>
      </c>
      <c r="I68" t="s">
        <v>1316</v>
      </c>
      <c r="J68" t="s">
        <v>1273</v>
      </c>
      <c r="K68" t="s">
        <v>1335</v>
      </c>
      <c r="L68" t="s">
        <v>1335</v>
      </c>
      <c r="M68" t="s">
        <v>1345</v>
      </c>
      <c r="N68" t="s">
        <v>1359</v>
      </c>
      <c r="O68" t="s">
        <v>656</v>
      </c>
      <c r="P68" t="s">
        <v>296</v>
      </c>
      <c r="Q68" t="s">
        <v>296</v>
      </c>
      <c r="R68" t="s">
        <v>296</v>
      </c>
      <c r="S68">
        <f t="shared" si="0"/>
        <v>568.1</v>
      </c>
    </row>
    <row r="69" spans="1:19">
      <c r="A69" t="s">
        <v>739</v>
      </c>
      <c r="B69" t="s">
        <v>1332</v>
      </c>
      <c r="C69" t="s">
        <v>1328</v>
      </c>
      <c r="D69" t="s">
        <v>1333</v>
      </c>
      <c r="E69" t="s">
        <v>1271</v>
      </c>
      <c r="F69" t="s">
        <v>1272</v>
      </c>
      <c r="G69" t="s">
        <v>376</v>
      </c>
      <c r="H69" t="s">
        <v>165</v>
      </c>
      <c r="I69" t="s">
        <v>1317</v>
      </c>
      <c r="J69" t="s">
        <v>1273</v>
      </c>
      <c r="K69" t="s">
        <v>1335</v>
      </c>
      <c r="L69" t="s">
        <v>1335</v>
      </c>
      <c r="M69" t="s">
        <v>1348</v>
      </c>
      <c r="N69" t="s">
        <v>1360</v>
      </c>
      <c r="O69" t="s">
        <v>656</v>
      </c>
      <c r="P69" t="s">
        <v>296</v>
      </c>
      <c r="Q69" t="s">
        <v>296</v>
      </c>
      <c r="R69" t="s">
        <v>296</v>
      </c>
      <c r="S69">
        <f t="shared" si="0"/>
        <v>589.15</v>
      </c>
    </row>
    <row r="70" spans="1:19">
      <c r="A70" t="s">
        <v>739</v>
      </c>
      <c r="B70" t="s">
        <v>1332</v>
      </c>
      <c r="C70" t="s">
        <v>1328</v>
      </c>
      <c r="D70" t="s">
        <v>1333</v>
      </c>
      <c r="E70" t="s">
        <v>1271</v>
      </c>
      <c r="F70" t="s">
        <v>1272</v>
      </c>
      <c r="G70" t="s">
        <v>376</v>
      </c>
      <c r="H70" t="s">
        <v>165</v>
      </c>
      <c r="I70" t="s">
        <v>1318</v>
      </c>
      <c r="J70" t="s">
        <v>1361</v>
      </c>
      <c r="K70" t="s">
        <v>1335</v>
      </c>
      <c r="L70" t="s">
        <v>1335</v>
      </c>
      <c r="M70" t="s">
        <v>1351</v>
      </c>
      <c r="N70" t="s">
        <v>1362</v>
      </c>
      <c r="O70" t="s">
        <v>656</v>
      </c>
      <c r="P70" t="s">
        <v>296</v>
      </c>
      <c r="Q70" t="s">
        <v>296</v>
      </c>
      <c r="R70" t="s">
        <v>296</v>
      </c>
      <c r="S70">
        <f t="shared" si="0"/>
        <v>1688.28</v>
      </c>
    </row>
    <row r="71" spans="1:19">
      <c r="A71" t="s">
        <v>739</v>
      </c>
      <c r="B71" t="s">
        <v>1332</v>
      </c>
      <c r="C71" t="s">
        <v>1328</v>
      </c>
      <c r="D71" t="s">
        <v>1333</v>
      </c>
      <c r="E71" t="s">
        <v>1271</v>
      </c>
      <c r="F71" t="s">
        <v>1272</v>
      </c>
      <c r="G71" t="s">
        <v>376</v>
      </c>
      <c r="H71" t="s">
        <v>165</v>
      </c>
      <c r="I71" t="s">
        <v>1320</v>
      </c>
      <c r="J71" t="s">
        <v>1273</v>
      </c>
      <c r="K71" t="s">
        <v>1335</v>
      </c>
      <c r="L71" t="s">
        <v>1335</v>
      </c>
      <c r="M71" t="s">
        <v>1345</v>
      </c>
      <c r="N71" t="s">
        <v>1363</v>
      </c>
      <c r="O71" t="s">
        <v>656</v>
      </c>
      <c r="P71" t="s">
        <v>296</v>
      </c>
      <c r="Q71" t="s">
        <v>296</v>
      </c>
      <c r="R71" t="s">
        <v>296</v>
      </c>
      <c r="S71">
        <f t="shared" si="0"/>
        <v>591.52</v>
      </c>
    </row>
    <row r="72" spans="1:19">
      <c r="P72" t="s">
        <v>296</v>
      </c>
      <c r="Q72" t="s">
        <v>296</v>
      </c>
      <c r="R72" t="s">
        <v>296</v>
      </c>
    </row>
    <row r="73" spans="1:19">
      <c r="P73" t="s">
        <v>296</v>
      </c>
      <c r="Q73" t="s">
        <v>296</v>
      </c>
      <c r="R73" t="s">
        <v>296</v>
      </c>
    </row>
    <row r="74" spans="1:19">
      <c r="P74" t="s">
        <v>296</v>
      </c>
      <c r="Q74" t="s">
        <v>296</v>
      </c>
      <c r="R74" t="s">
        <v>296</v>
      </c>
    </row>
    <row r="75" spans="1:19">
      <c r="P75" t="s">
        <v>296</v>
      </c>
      <c r="Q75" t="s">
        <v>296</v>
      </c>
      <c r="R75" t="s">
        <v>296</v>
      </c>
    </row>
    <row r="76" spans="1:19">
      <c r="P76" t="s">
        <v>296</v>
      </c>
      <c r="Q76" t="s">
        <v>296</v>
      </c>
      <c r="R76" t="s">
        <v>296</v>
      </c>
    </row>
    <row r="77" spans="1:19">
      <c r="P77" t="s">
        <v>296</v>
      </c>
      <c r="Q77" t="s">
        <v>296</v>
      </c>
      <c r="R77" t="s">
        <v>296</v>
      </c>
    </row>
    <row r="78" spans="1:19">
      <c r="P78" t="s">
        <v>296</v>
      </c>
      <c r="Q78" t="s">
        <v>296</v>
      </c>
      <c r="R78" t="s">
        <v>296</v>
      </c>
    </row>
    <row r="79" spans="1:19">
      <c r="P79" t="s">
        <v>296</v>
      </c>
      <c r="Q79" t="s">
        <v>296</v>
      </c>
      <c r="R79" t="s">
        <v>296</v>
      </c>
    </row>
    <row r="80" spans="1:19">
      <c r="P80" t="s">
        <v>296</v>
      </c>
      <c r="Q80" t="s">
        <v>296</v>
      </c>
      <c r="R80" t="s">
        <v>296</v>
      </c>
    </row>
    <row r="81" spans="16:18">
      <c r="P81" t="s">
        <v>296</v>
      </c>
      <c r="Q81" t="s">
        <v>296</v>
      </c>
      <c r="R81" t="s">
        <v>296</v>
      </c>
    </row>
    <row r="82" spans="16:18">
      <c r="P82" t="s">
        <v>296</v>
      </c>
      <c r="Q82" t="s">
        <v>296</v>
      </c>
      <c r="R82" t="s">
        <v>296</v>
      </c>
    </row>
    <row r="83" spans="16:18">
      <c r="P83" t="s">
        <v>296</v>
      </c>
      <c r="Q83" t="s">
        <v>296</v>
      </c>
      <c r="R83" t="s">
        <v>296</v>
      </c>
    </row>
    <row r="84" spans="16:18">
      <c r="P84" t="s">
        <v>296</v>
      </c>
      <c r="Q84" t="s">
        <v>296</v>
      </c>
      <c r="R84" t="s">
        <v>296</v>
      </c>
    </row>
    <row r="85" spans="16:18">
      <c r="P85" t="s">
        <v>296</v>
      </c>
      <c r="Q85" t="s">
        <v>296</v>
      </c>
      <c r="R85" t="s">
        <v>296</v>
      </c>
    </row>
    <row r="86" spans="16:18">
      <c r="P86" t="s">
        <v>296</v>
      </c>
      <c r="Q86" t="s">
        <v>296</v>
      </c>
      <c r="R86" t="s">
        <v>296</v>
      </c>
    </row>
    <row r="87" spans="16:18">
      <c r="P87" t="s">
        <v>296</v>
      </c>
      <c r="Q87" t="s">
        <v>296</v>
      </c>
      <c r="R87" t="s">
        <v>296</v>
      </c>
    </row>
    <row r="88" spans="16:18">
      <c r="P88" t="s">
        <v>296</v>
      </c>
      <c r="Q88" t="s">
        <v>296</v>
      </c>
      <c r="R88" t="s">
        <v>296</v>
      </c>
    </row>
    <row r="89" spans="16:18">
      <c r="P89" t="s">
        <v>296</v>
      </c>
      <c r="Q89" t="s">
        <v>296</v>
      </c>
      <c r="R89" t="s">
        <v>296</v>
      </c>
    </row>
    <row r="93" spans="16:18" s="2488" customFormat="1">
      <c r="R93" s="2489"/>
    </row>
    <row r="94" spans="16:18" s="2488" customFormat="1"/>
    <row r="95" spans="16:18" s="2488" customFormat="1"/>
    <row r="96" spans="16:18" s="2488" customFormat="1"/>
    <row r="97" s="2488" customFormat="1"/>
    <row r="98" s="2488" customFormat="1"/>
    <row r="99" s="2488" customFormat="1"/>
    <row r="100" s="2488" customFormat="1"/>
    <row r="101" s="2488" customFormat="1"/>
    <row r="102" s="2488" customFormat="1"/>
    <row r="103" s="39" customFormat="1"/>
    <row r="104" s="39" customFormat="1"/>
    <row r="105" s="39" customFormat="1"/>
    <row r="106" s="39" customFormat="1"/>
    <row r="107" s="39" customFormat="1"/>
    <row r="108" s="39" customFormat="1"/>
    <row r="109" s="39" customFormat="1"/>
    <row r="110" s="39" customFormat="1"/>
    <row r="111" s="39" customFormat="1"/>
    <row r="112" s="39" customFormat="1"/>
    <row r="113" spans="1:15" s="39" customFormat="1"/>
    <row r="114" spans="1:15" s="39" customFormat="1"/>
    <row r="115" spans="1:15">
      <c r="A115" s="2116"/>
      <c r="B115" s="2116"/>
      <c r="C115" s="2116"/>
      <c r="D115" s="2116"/>
      <c r="E115" s="2116"/>
      <c r="F115" s="2116"/>
      <c r="G115" s="2116"/>
      <c r="H115" s="2116"/>
      <c r="I115" s="2116"/>
      <c r="J115" s="2116"/>
      <c r="K115" s="2117"/>
      <c r="L115" s="2117"/>
      <c r="M115" s="2116"/>
      <c r="N115" s="2117"/>
      <c r="O115" s="2116"/>
    </row>
    <row r="116" spans="1:15">
      <c r="A116" s="2116"/>
      <c r="B116" s="2116"/>
      <c r="C116" s="2116"/>
      <c r="D116" s="2116"/>
      <c r="E116" s="2116"/>
      <c r="F116" s="2116"/>
      <c r="G116" s="2116"/>
      <c r="H116" s="2116"/>
      <c r="I116" s="2116"/>
      <c r="J116" s="2116"/>
      <c r="K116" s="2117"/>
      <c r="L116" s="2117"/>
      <c r="M116" s="2116"/>
      <c r="N116" s="2117"/>
      <c r="O116" s="2116"/>
    </row>
    <row r="117" spans="1:15">
      <c r="A117" s="2116"/>
      <c r="B117" s="2116"/>
      <c r="C117" s="2116"/>
      <c r="D117" s="2116"/>
      <c r="E117" s="2116"/>
      <c r="F117" s="2116"/>
      <c r="G117" s="2116"/>
      <c r="H117" s="2116"/>
      <c r="I117" s="2116"/>
      <c r="J117" s="2116"/>
      <c r="K117" s="2117"/>
      <c r="L117" s="2117"/>
      <c r="M117" s="2116"/>
      <c r="N117" s="2117"/>
      <c r="O117" s="2116"/>
    </row>
    <row r="118" spans="1:15">
      <c r="A118" s="2116"/>
      <c r="B118" s="2116"/>
      <c r="C118" s="2116"/>
      <c r="D118" s="2116"/>
      <c r="E118" s="2116"/>
      <c r="F118" s="2116"/>
      <c r="G118" s="2116"/>
      <c r="H118" s="2116"/>
      <c r="I118" s="2116"/>
      <c r="J118" s="2116"/>
      <c r="K118" s="2117"/>
      <c r="L118" s="2117"/>
      <c r="M118" s="2116"/>
      <c r="N118" s="2117"/>
      <c r="O118" s="2116"/>
    </row>
    <row r="119" spans="1:15">
      <c r="A119" s="2116"/>
      <c r="B119" s="2116"/>
      <c r="C119" s="2116"/>
      <c r="D119" s="2116"/>
      <c r="E119" s="2116"/>
      <c r="F119" s="2116"/>
      <c r="G119" s="2116"/>
      <c r="H119" s="2116"/>
      <c r="I119" s="2116"/>
      <c r="J119" s="2116"/>
      <c r="K119" s="2117"/>
      <c r="L119" s="2117"/>
      <c r="M119" s="2116"/>
      <c r="N119" s="2117"/>
      <c r="O119" s="2116"/>
    </row>
    <row r="120" spans="1:15">
      <c r="A120" s="2116"/>
      <c r="B120" s="2116"/>
      <c r="C120" s="2116"/>
      <c r="D120" s="2116"/>
      <c r="E120" s="2116"/>
      <c r="F120" s="2116"/>
      <c r="G120" s="2116"/>
      <c r="H120" s="2116"/>
      <c r="I120" s="2116"/>
      <c r="J120" s="2116"/>
      <c r="K120" s="2117"/>
      <c r="L120" s="2117"/>
      <c r="M120" s="2116"/>
      <c r="N120" s="2117"/>
      <c r="O120" s="2116"/>
    </row>
    <row r="121" spans="1:15">
      <c r="A121" s="2116"/>
      <c r="B121" s="2116"/>
      <c r="C121" s="2116"/>
      <c r="D121" s="2116"/>
      <c r="E121" s="2116"/>
      <c r="F121" s="2116"/>
      <c r="G121" s="2116"/>
      <c r="H121" s="2116"/>
      <c r="I121" s="2116"/>
      <c r="J121" s="2116"/>
      <c r="K121" s="2117"/>
      <c r="L121" s="2117"/>
      <c r="M121" s="2116"/>
      <c r="N121" s="2117"/>
      <c r="O121" s="2116"/>
    </row>
    <row r="122" spans="1:15">
      <c r="A122" s="2116"/>
      <c r="B122" s="2116"/>
      <c r="C122" s="2116"/>
      <c r="D122" s="2116"/>
      <c r="E122" s="2116"/>
      <c r="F122" s="2116"/>
      <c r="G122" s="2116"/>
      <c r="H122" s="2116"/>
      <c r="I122" s="2116"/>
      <c r="J122" s="2116"/>
      <c r="K122" s="2117"/>
      <c r="L122" s="2117"/>
      <c r="M122" s="2116"/>
      <c r="N122" s="2117"/>
      <c r="O122" s="2116"/>
    </row>
    <row r="123" spans="1:15">
      <c r="A123" s="2116"/>
      <c r="B123" s="2116"/>
      <c r="C123" s="2116"/>
      <c r="D123" s="2116"/>
      <c r="E123" s="2116"/>
      <c r="F123" s="2116"/>
      <c r="G123" s="2116"/>
      <c r="H123" s="2116"/>
      <c r="I123" s="2116"/>
      <c r="J123" s="2116"/>
      <c r="K123" s="2117"/>
      <c r="L123" s="2117"/>
      <c r="M123" s="2116"/>
      <c r="N123" s="2117"/>
      <c r="O123" s="2116"/>
    </row>
    <row r="124" spans="1:15">
      <c r="A124" s="2116"/>
      <c r="B124" s="2116"/>
      <c r="C124" s="2116"/>
      <c r="D124" s="2116"/>
      <c r="E124" s="2116"/>
      <c r="F124" s="2116"/>
      <c r="G124" s="2116"/>
      <c r="H124" s="2116"/>
      <c r="I124" s="2116"/>
      <c r="J124" s="2116"/>
      <c r="K124" s="2117"/>
      <c r="L124" s="2117"/>
      <c r="M124" s="2116"/>
      <c r="N124" s="2117"/>
      <c r="O124" s="2116"/>
    </row>
    <row r="125" spans="1:15">
      <c r="A125" s="2116"/>
      <c r="B125" s="2116"/>
      <c r="C125" s="2116"/>
      <c r="D125" s="2116"/>
      <c r="E125" s="2116"/>
      <c r="F125" s="2116"/>
      <c r="G125" s="2116"/>
      <c r="H125" s="2116"/>
      <c r="I125" s="2116"/>
      <c r="J125" s="2116"/>
      <c r="K125" s="2117"/>
      <c r="L125" s="2117"/>
      <c r="M125" s="2116"/>
      <c r="N125" s="2117"/>
      <c r="O125" s="2116"/>
    </row>
    <row r="126" spans="1:15">
      <c r="A126" s="2116"/>
      <c r="B126" s="2116"/>
      <c r="C126" s="2116"/>
      <c r="D126" s="2116"/>
      <c r="E126" s="2116"/>
      <c r="F126" s="2116"/>
      <c r="G126" s="2116"/>
      <c r="H126" s="2116"/>
      <c r="I126" s="2116"/>
      <c r="J126" s="2116"/>
      <c r="K126" s="2117"/>
      <c r="L126" s="2117"/>
      <c r="M126" s="2116"/>
      <c r="N126" s="2117"/>
      <c r="O126" s="2116"/>
    </row>
    <row r="166" s="1080" customFormat="1"/>
    <row r="167" s="1080" customFormat="1"/>
    <row r="168" s="1080" customFormat="1"/>
    <row r="169" s="1080" customFormat="1"/>
    <row r="170" s="1080" customFormat="1"/>
    <row r="171" s="1080" customFormat="1"/>
    <row r="172" s="1080" customFormat="1"/>
    <row r="173" s="1080" customFormat="1"/>
    <row r="174" s="1080" customFormat="1"/>
  </sheetData>
  <autoFilter ref="A1:R114"/>
  <pageMargins left="0.7" right="0.7" top="0.75" bottom="0.75" header="0.3" footer="0.3"/>
  <pageSetup paperSize="9" orientation="portrait" horizontalDpi="0"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BM48"/>
  <sheetViews>
    <sheetView zoomScale="89" zoomScaleNormal="89" workbookViewId="0">
      <selection activeCell="B25" sqref="B25"/>
    </sheetView>
  </sheetViews>
  <sheetFormatPr defaultRowHeight="14.4"/>
  <cols>
    <col min="1" max="1" width="24.88671875" customWidth="1"/>
    <col min="2" max="2" width="15.109375" customWidth="1"/>
    <col min="3" max="3" width="17" customWidth="1"/>
    <col min="4" max="4" width="15.109375" customWidth="1"/>
  </cols>
  <sheetData>
    <row r="1" spans="1:5">
      <c r="A1">
        <f ca="1">'Summary TIS'!B4</f>
        <v>7</v>
      </c>
    </row>
    <row r="2" spans="1:5">
      <c r="A2" t="s">
        <v>79</v>
      </c>
      <c r="B2" s="466" t="s">
        <v>94</v>
      </c>
      <c r="C2" s="466" t="s">
        <v>8</v>
      </c>
      <c r="D2" s="466" t="s">
        <v>541</v>
      </c>
    </row>
    <row r="3" spans="1:5">
      <c r="A3" t="s">
        <v>1364</v>
      </c>
      <c r="B3" t="str">
        <f ca="1">'Summary TIS'!D6</f>
        <v>0mm/0h/0%</v>
      </c>
      <c r="C3" t="str">
        <f ca="1">'Summary TIS'!G6</f>
        <v>67mm/10h/6%</v>
      </c>
    </row>
    <row r="6" spans="1:5">
      <c r="A6" s="39" t="s">
        <v>1365</v>
      </c>
      <c r="B6" s="39">
        <f ca="1">'Summary TIS'!D12</f>
        <v>3414.7</v>
      </c>
      <c r="C6" s="1946">
        <f>'Summary TIS'!G12</f>
        <v>10343.490000000002</v>
      </c>
      <c r="D6" s="1946">
        <f ca="1">'Summary TIS'!F12</f>
        <v>63975.750000000007</v>
      </c>
      <c r="E6">
        <f ca="1">C6/D6</f>
        <v>0.16167829216539079</v>
      </c>
    </row>
    <row r="8" spans="1:5">
      <c r="A8" s="39" t="s">
        <v>1366</v>
      </c>
      <c r="B8" s="39">
        <f ca="1">'Summary TIS'!D21</f>
        <v>0</v>
      </c>
      <c r="C8" s="1946">
        <f>'Summary TIS'!G21</f>
        <v>42978.06</v>
      </c>
      <c r="D8" s="1946">
        <f ca="1">'Summary TIS'!F17</f>
        <v>53385.369999999966</v>
      </c>
      <c r="E8" s="165">
        <f ca="1">C8/D8</f>
        <v>0.80505314470987133</v>
      </c>
    </row>
    <row r="9" spans="1:5">
      <c r="A9" s="39" t="s">
        <v>1367</v>
      </c>
      <c r="B9" s="39">
        <f ca="1">'Summary TIS'!D18</f>
        <v>0</v>
      </c>
      <c r="C9" s="1946">
        <f>'Summary TIS'!G21</f>
        <v>42978.06</v>
      </c>
      <c r="D9" s="1946">
        <f ca="1">'Summary TIS'!F22</f>
        <v>53385.369999999966</v>
      </c>
      <c r="E9" s="165">
        <f ca="1">C9/D9</f>
        <v>0.80505314470987133</v>
      </c>
    </row>
    <row r="10" spans="1:5">
      <c r="A10" s="39"/>
      <c r="B10" s="39"/>
      <c r="C10" s="39"/>
      <c r="D10" s="39"/>
      <c r="E10" s="165"/>
    </row>
    <row r="11" spans="1:5">
      <c r="A11" s="39" t="s">
        <v>1368</v>
      </c>
      <c r="B11" s="1705">
        <f ca="1">SUM(B12:B14)</f>
        <v>0</v>
      </c>
      <c r="C11" s="1705">
        <f>SUM(C12:C14)</f>
        <v>42978.06</v>
      </c>
      <c r="D11">
        <f ca="1">'Summary TIS'!F17</f>
        <v>53385.369999999966</v>
      </c>
      <c r="E11" s="165">
        <f ca="1">C11/D11</f>
        <v>0.80505314470987133</v>
      </c>
    </row>
    <row r="12" spans="1:5">
      <c r="A12" t="s">
        <v>130</v>
      </c>
      <c r="B12" s="1705">
        <f ca="1">LOOKUP('Summary TIS'!B4,'September TIS'!B10:B40,'September TIS'!AC10:AC40)</f>
        <v>0</v>
      </c>
      <c r="C12" s="1705">
        <f>'September TIS'!AC44</f>
        <v>0</v>
      </c>
    </row>
    <row r="13" spans="1:5">
      <c r="A13" t="s">
        <v>244</v>
      </c>
      <c r="B13" s="1705">
        <f ca="1">LOOKUP('Summary TIS'!B4,'September TIS'!B10:B40,'September TIS'!AE10:AE40)</f>
        <v>0</v>
      </c>
      <c r="C13" s="1705">
        <f>'September TIS'!AE44</f>
        <v>19566.479999999996</v>
      </c>
    </row>
    <row r="14" spans="1:5">
      <c r="A14" t="s">
        <v>434</v>
      </c>
      <c r="B14" s="1705">
        <f ca="1">LOOKUP('Summary TIS'!B4,'September TIS'!B10:B40,'September TIS'!AF10:AF40)</f>
        <v>0</v>
      </c>
      <c r="C14" s="1705">
        <f>'September TIS'!AF44</f>
        <v>23411.58</v>
      </c>
    </row>
    <row r="15" spans="1:5" hidden="1">
      <c r="A15" s="39"/>
      <c r="B15" s="39"/>
      <c r="C15" s="39"/>
      <c r="D15" s="39"/>
      <c r="E15" s="165"/>
    </row>
    <row r="17" spans="1:65">
      <c r="A17" s="39" t="s">
        <v>1369</v>
      </c>
      <c r="B17" s="39">
        <f ca="1">'Summary TIS'!D30</f>
        <v>0</v>
      </c>
      <c r="C17" s="1946">
        <f>C18+C19</f>
        <v>0</v>
      </c>
      <c r="D17" s="1946">
        <f ca="1">'Summary TIS'!F31</f>
        <v>40000</v>
      </c>
      <c r="E17">
        <f ca="1">C17/D17</f>
        <v>0</v>
      </c>
      <c r="BM17">
        <v>20041.644545422801</v>
      </c>
    </row>
    <row r="18" spans="1:65">
      <c r="A18" t="s">
        <v>1367</v>
      </c>
      <c r="B18" s="1353">
        <f ca="1">LOOKUP('Summary TIS'!B4,'September TIS'!B10:B40,'September TIS'!BK10:BK40)</f>
        <v>0</v>
      </c>
      <c r="C18" s="1947">
        <f>'September TIS'!BK43</f>
        <v>0</v>
      </c>
      <c r="D18" s="1947">
        <f ca="1">'Summary TIS'!F31</f>
        <v>40000</v>
      </c>
    </row>
    <row r="19" spans="1:65">
      <c r="A19" t="s">
        <v>1370</v>
      </c>
      <c r="B19" s="1903"/>
      <c r="D19">
        <f>'Summary TIS'!F23</f>
        <v>0</v>
      </c>
    </row>
    <row r="21" spans="1:65">
      <c r="A21" s="39" t="s">
        <v>1371</v>
      </c>
      <c r="B21" s="39">
        <f ca="1">'Summary TIS'!D10</f>
        <v>43157</v>
      </c>
      <c r="C21" s="1946">
        <f>'Summary TIS'!G10</f>
        <v>260301</v>
      </c>
      <c r="D21" s="1946">
        <f ca="1">'Summary TIS'!F10</f>
        <v>1155000.00000001</v>
      </c>
      <c r="E21">
        <f ca="1">C21/D21</f>
        <v>0.22536883116882922</v>
      </c>
    </row>
    <row r="22" spans="1:65">
      <c r="A22" t="s">
        <v>1372</v>
      </c>
      <c r="B22" s="1229">
        <f ca="1">'Summary TIS'!D15</f>
        <v>12.638591970012008</v>
      </c>
      <c r="C22" s="1229">
        <f>'Summary TIS'!G15</f>
        <v>25.16568392293123</v>
      </c>
      <c r="D22" s="1229">
        <f ca="1">'Summary TIS'!F16</f>
        <v>18.053715665701613</v>
      </c>
    </row>
    <row r="23" spans="1:65">
      <c r="A23" t="s">
        <v>1373</v>
      </c>
      <c r="B23" s="1229" t="e">
        <f ca="1">B21/B8</f>
        <v>#DIV/0!</v>
      </c>
      <c r="C23" s="1229">
        <f>C21/C8</f>
        <v>6.056601903389776</v>
      </c>
      <c r="D23" s="1229">
        <f ca="1">D21/D8</f>
        <v>21.635140863498947</v>
      </c>
    </row>
    <row r="24" spans="1:65">
      <c r="A24" s="39"/>
    </row>
    <row r="25" spans="1:65">
      <c r="A25" t="s">
        <v>1374</v>
      </c>
      <c r="B25" s="281">
        <v>4681</v>
      </c>
    </row>
    <row r="26" spans="1:65">
      <c r="B26" s="1705"/>
    </row>
    <row r="27" spans="1:65">
      <c r="A27" t="s">
        <v>1375</v>
      </c>
      <c r="B27" s="1705">
        <v>0</v>
      </c>
    </row>
    <row r="28" spans="1:65">
      <c r="A28" s="39" t="s">
        <v>1376</v>
      </c>
      <c r="B28" s="1946">
        <f ca="1">'Summary TIS'!D43</f>
        <v>41431</v>
      </c>
    </row>
    <row r="29" spans="1:65">
      <c r="A29" t="s">
        <v>656</v>
      </c>
      <c r="B29" s="1705">
        <f ca="1">B28</f>
        <v>41431</v>
      </c>
    </row>
    <row r="30" spans="1:65">
      <c r="B30" s="1705"/>
    </row>
    <row r="31" spans="1:65">
      <c r="A31" s="39" t="s">
        <v>1377</v>
      </c>
      <c r="B31" s="1946">
        <f>'September TIS'!BS44</f>
        <v>56506.317900130001</v>
      </c>
    </row>
    <row r="32" spans="1:65">
      <c r="A32" t="s">
        <v>656</v>
      </c>
      <c r="B32" s="1705">
        <f>'September TIS'!BS44</f>
        <v>56506.317900130001</v>
      </c>
    </row>
    <row r="33" spans="1:3">
      <c r="B33" s="1"/>
    </row>
    <row r="34" spans="1:3">
      <c r="A34" s="39" t="s">
        <v>1378</v>
      </c>
      <c r="B34" s="1068">
        <f ca="1">LOOKUP(A1, 'August TIS'!$B$12:$B$42, 'August TIS'!$AK$12:$AK$42)</f>
        <v>11376.619481599984</v>
      </c>
      <c r="C34">
        <f>'January TIS'!AK43</f>
        <v>0</v>
      </c>
    </row>
    <row r="35" spans="1:3" hidden="1">
      <c r="A35" t="s">
        <v>1379</v>
      </c>
      <c r="B35" s="1095" t="e">
        <f ca="1">LOOKUP(A1,#REF!,#REF!)</f>
        <v>#REF!</v>
      </c>
      <c r="C35" t="e">
        <f>#REF!</f>
        <v>#REF!</v>
      </c>
    </row>
    <row r="36" spans="1:3">
      <c r="A36" t="s">
        <v>1380</v>
      </c>
      <c r="B36" s="1095">
        <f ca="1">LOOKUP(A1, 'August TIS'!$B$12:$B$42, 'August TIS'!$AO$12:$AO$42)</f>
        <v>0</v>
      </c>
    </row>
    <row r="37" spans="1:3">
      <c r="B37" s="1095"/>
    </row>
    <row r="38" spans="1:3">
      <c r="A38" s="39" t="s">
        <v>1381</v>
      </c>
      <c r="B38" s="1068">
        <f>B40</f>
        <v>3655.7888670000002</v>
      </c>
    </row>
    <row r="39" spans="1:3" hidden="1">
      <c r="A39" t="s">
        <v>69</v>
      </c>
      <c r="B39" t="e">
        <f>#REF!</f>
        <v>#REF!</v>
      </c>
    </row>
    <row r="40" spans="1:3">
      <c r="A40" t="s">
        <v>71</v>
      </c>
      <c r="B40" s="1">
        <f>'September TIS'!AR43+'September TIS'!AS43</f>
        <v>3655.7888670000002</v>
      </c>
    </row>
    <row r="42" spans="1:3">
      <c r="A42" s="39" t="s">
        <v>1382</v>
      </c>
    </row>
    <row r="43" spans="1:3">
      <c r="B43">
        <f>'To Date Sumary TCM &amp; TIS'!S38</f>
        <v>0</v>
      </c>
    </row>
    <row r="44" spans="1:3">
      <c r="B44" s="106">
        <f>'To Date Sumary TCM &amp; TIS'!S39</f>
        <v>0</v>
      </c>
    </row>
    <row r="45" spans="1:3">
      <c r="B45">
        <f>'To Date Sumary TCM &amp; TIS'!S40</f>
        <v>0</v>
      </c>
    </row>
    <row r="46" spans="1:3">
      <c r="B46">
        <f>'To Date Sumary TCM &amp; TIS'!S41</f>
        <v>0</v>
      </c>
    </row>
    <row r="47" spans="1:3">
      <c r="A47" s="39" t="s">
        <v>1383</v>
      </c>
    </row>
    <row r="48" spans="1:3">
      <c r="B48" t="s">
        <v>1384</v>
      </c>
    </row>
  </sheetData>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3:M78"/>
  <sheetViews>
    <sheetView topLeftCell="A25" workbookViewId="0">
      <selection activeCell="B31" sqref="B31"/>
    </sheetView>
  </sheetViews>
  <sheetFormatPr defaultRowHeight="14.4"/>
  <cols>
    <col min="1" max="1" width="23.44140625" customWidth="1"/>
    <col min="2" max="2" width="16.6640625" customWidth="1"/>
    <col min="3" max="3" width="14.88671875" customWidth="1"/>
    <col min="4" max="4" width="17" customWidth="1"/>
    <col min="5" max="5" width="9.6640625" customWidth="1"/>
    <col min="6" max="6" width="4.6640625" customWidth="1"/>
  </cols>
  <sheetData>
    <row r="3" spans="1:5">
      <c r="A3" t="s">
        <v>79</v>
      </c>
      <c r="B3" s="466" t="s">
        <v>2</v>
      </c>
      <c r="C3" s="466" t="s">
        <v>8</v>
      </c>
      <c r="D3" s="466" t="s">
        <v>40</v>
      </c>
      <c r="E3" s="466" t="s">
        <v>208</v>
      </c>
    </row>
    <row r="4" spans="1:5">
      <c r="A4" t="s">
        <v>1364</v>
      </c>
      <c r="D4" s="94"/>
    </row>
    <row r="5" spans="1:5">
      <c r="A5" t="s">
        <v>1385</v>
      </c>
      <c r="B5" t="str">
        <f ca="1">'Summary TCM'!E7</f>
        <v>0mm/0h/0%</v>
      </c>
      <c r="C5" t="str">
        <f ca="1">'Summary TCM'!H7</f>
        <v>73mm/10h/6%</v>
      </c>
      <c r="D5" s="94"/>
    </row>
    <row r="6" spans="1:5">
      <c r="A6" t="s">
        <v>1386</v>
      </c>
      <c r="B6" t="str">
        <f ca="1">'Summary TCM'!E8</f>
        <v>0mm/0h/0%</v>
      </c>
      <c r="C6" t="str">
        <f ca="1">'Summary TCM'!H8</f>
        <v>0mm/0h/0%</v>
      </c>
      <c r="D6" s="94"/>
    </row>
    <row r="7" spans="1:5">
      <c r="A7" t="s">
        <v>1387</v>
      </c>
      <c r="B7" t="str">
        <f ca="1">'Summary TCM'!E9</f>
        <v>0mm/0h/0%</v>
      </c>
      <c r="C7" t="str">
        <f ca="1">'Summary TCM'!H9</f>
        <v>42mm/7h/4%</v>
      </c>
      <c r="D7" s="94"/>
    </row>
    <row r="8" spans="1:5">
      <c r="A8" t="s">
        <v>1388</v>
      </c>
      <c r="D8" s="89" t="str">
        <f ca="1">'Summary TCM'!H9</f>
        <v>42mm/7h/4%</v>
      </c>
    </row>
    <row r="9" spans="1:5">
      <c r="A9" t="s">
        <v>172</v>
      </c>
      <c r="B9">
        <f>'April TCM'!LN36</f>
        <v>4.2</v>
      </c>
    </row>
    <row r="10" spans="1:5">
      <c r="A10" s="39" t="s">
        <v>1389</v>
      </c>
      <c r="B10" s="1946">
        <f ca="1">'Summary TCM'!E22</f>
        <v>7646.78</v>
      </c>
      <c r="C10" s="1946">
        <f>'Summary TCM'!H22</f>
        <v>58487.26</v>
      </c>
      <c r="D10" s="1946">
        <f ca="1">'Summary TCM'!G22</f>
        <v>325000</v>
      </c>
      <c r="E10" s="1946">
        <f ca="1">C10/D10</f>
        <v>0.1799608</v>
      </c>
    </row>
    <row r="11" spans="1:5">
      <c r="A11" t="s">
        <v>1390</v>
      </c>
      <c r="B11" s="1705">
        <f ca="1">'Summary TCM'!E17</f>
        <v>3374.08</v>
      </c>
      <c r="C11" s="1705">
        <f>'Summary TCM'!H17</f>
        <v>28083.880000000005</v>
      </c>
      <c r="D11" s="1705">
        <f ca="1">'Summary TCM'!G17</f>
        <v>205000</v>
      </c>
      <c r="E11" s="1705">
        <f ca="1">C11/D11</f>
        <v>0.13699453658536587</v>
      </c>
    </row>
    <row r="12" spans="1:5">
      <c r="A12" t="s">
        <v>17</v>
      </c>
      <c r="B12" s="1705">
        <f ca="1">'Summary TCM'!E18</f>
        <v>1472.7</v>
      </c>
      <c r="C12" s="1705">
        <f>'Summary TCM'!H18</f>
        <v>15151.42</v>
      </c>
      <c r="D12" s="1705">
        <f ca="1">'Summary TCM'!G18</f>
        <v>55000</v>
      </c>
      <c r="E12" s="1705">
        <f ca="1">C12/D12</f>
        <v>0.27548036363636363</v>
      </c>
    </row>
    <row r="13" spans="1:5">
      <c r="A13" t="s">
        <v>18</v>
      </c>
      <c r="B13" s="1705">
        <f ca="1">'Summary TCM'!E19+'Summary TCM'!E21</f>
        <v>2800</v>
      </c>
      <c r="C13" s="1705">
        <f>'Summary TCM'!H19+'Summary TCM'!H21</f>
        <v>15251.96</v>
      </c>
      <c r="D13" s="1705">
        <f ca="1">'Summary TCM'!G19+'Summary TCM'!G21</f>
        <v>65000</v>
      </c>
      <c r="E13" s="1705">
        <f ca="1">C13/D13</f>
        <v>0.23464553846153846</v>
      </c>
    </row>
    <row r="14" spans="1:5">
      <c r="A14" t="s">
        <v>83</v>
      </c>
      <c r="B14" s="1705">
        <f>'Summary TCM'!E20</f>
        <v>0</v>
      </c>
      <c r="C14" s="1705">
        <f>'Summary TCM'!H20</f>
        <v>0</v>
      </c>
      <c r="D14" s="1705">
        <v>0</v>
      </c>
      <c r="E14" s="1705"/>
    </row>
    <row r="15" spans="1:5">
      <c r="B15" s="1705"/>
      <c r="C15" s="1705"/>
      <c r="D15" s="1705"/>
      <c r="E15" s="1705"/>
    </row>
    <row r="16" spans="1:5">
      <c r="A16" s="39" t="s">
        <v>3</v>
      </c>
      <c r="B16" s="1946">
        <f ca="1">'Summary TCM'!E15</f>
        <v>153766</v>
      </c>
      <c r="C16" s="1946">
        <f>'Summary TCM'!H15</f>
        <v>1092502</v>
      </c>
      <c r="D16" s="1946">
        <f ca="1">'Summary TCM'!G15</f>
        <v>4030000</v>
      </c>
      <c r="E16" s="1946">
        <f ca="1">C16/D16</f>
        <v>0.27109230769230769</v>
      </c>
    </row>
    <row r="17" spans="1:13">
      <c r="A17" t="s">
        <v>1390</v>
      </c>
      <c r="B17" s="1705">
        <f ca="1">'Summary TCM'!E11</f>
        <v>88536</v>
      </c>
      <c r="C17" s="1705">
        <f>'Summary TCM'!H11</f>
        <v>648396</v>
      </c>
      <c r="D17" s="1705">
        <f ca="1">'Summary TCM'!G11</f>
        <v>2450000</v>
      </c>
      <c r="E17" s="1705">
        <f ca="1">C17/D17</f>
        <v>0.26465142857142859</v>
      </c>
    </row>
    <row r="18" spans="1:13">
      <c r="A18" t="s">
        <v>17</v>
      </c>
      <c r="B18" s="1705">
        <f ca="1">'Summary TCM'!E12</f>
        <v>35470</v>
      </c>
      <c r="C18" s="1705">
        <f>'Summary TCM'!H12</f>
        <v>239715</v>
      </c>
      <c r="D18" s="1705">
        <f ca="1">'Summary TCM'!G12</f>
        <v>900000</v>
      </c>
      <c r="E18" s="1705">
        <f ca="1">C18/D18</f>
        <v>0.26634999999999998</v>
      </c>
    </row>
    <row r="19" spans="1:13" ht="13.95" customHeight="1">
      <c r="A19" t="s">
        <v>18</v>
      </c>
      <c r="B19" s="1705">
        <f ca="1">'Summary TCM'!E13+'Summary TCM'!E14</f>
        <v>29760</v>
      </c>
      <c r="C19" s="1705">
        <f>'Summary TCM'!H13+'Summary TCM'!H14</f>
        <v>204391</v>
      </c>
      <c r="D19" s="1705">
        <f ca="1">'Summary TCM'!G13+'Summary TCM'!G14</f>
        <v>680000</v>
      </c>
      <c r="E19" s="1705">
        <f ca="1">C19/D19</f>
        <v>0.30057499999999998</v>
      </c>
    </row>
    <row r="20" spans="1:13">
      <c r="B20" s="1705"/>
      <c r="C20" s="1705"/>
      <c r="D20" s="1705"/>
      <c r="E20" s="1705"/>
    </row>
    <row r="21" spans="1:13">
      <c r="A21" s="39" t="s">
        <v>1371</v>
      </c>
      <c r="B21" s="1946">
        <f ca="1">'Summary TCM'!E15</f>
        <v>153766</v>
      </c>
      <c r="C21" s="1946">
        <f>'Summary TCM'!H15</f>
        <v>1092502</v>
      </c>
      <c r="D21" s="1946">
        <f ca="1">'Summary TCM'!G15</f>
        <v>4030000</v>
      </c>
      <c r="E21" s="1946">
        <f ca="1">C21/D21</f>
        <v>0.27109230769230769</v>
      </c>
    </row>
    <row r="22" spans="1:13">
      <c r="A22" t="s">
        <v>1372</v>
      </c>
      <c r="B22" s="1705">
        <f ca="1">'Summary TCM'!E28</f>
        <v>20.108594728761648</v>
      </c>
      <c r="C22" s="1705">
        <f>'Summary TCM'!H28</f>
        <v>18.679315803133878</v>
      </c>
      <c r="D22" s="1705">
        <f ca="1">'Summary TCM'!G28</f>
        <v>12.4</v>
      </c>
      <c r="E22" s="1705">
        <f ca="1">C22/D22</f>
        <v>1.5063964357366031</v>
      </c>
    </row>
    <row r="23" spans="1:13">
      <c r="A23" t="s">
        <v>1373</v>
      </c>
      <c r="B23" s="1705">
        <f ca="1">B21/B51</f>
        <v>9.1467981209821474</v>
      </c>
      <c r="C23" s="1705">
        <f>C21/C51</f>
        <v>22.041465721498067</v>
      </c>
      <c r="D23" s="1705">
        <f ca="1">D21/D51</f>
        <v>14.925925925925926</v>
      </c>
      <c r="E23" s="1705">
        <f ca="1">C23/D23</f>
        <v>1.4767235098770417</v>
      </c>
    </row>
    <row r="24" spans="1:13">
      <c r="B24" s="1705"/>
      <c r="C24" s="1705"/>
      <c r="D24" s="1705"/>
      <c r="E24" s="1705"/>
    </row>
    <row r="25" spans="1:13">
      <c r="A25" s="39" t="s">
        <v>1391</v>
      </c>
      <c r="B25" s="1946">
        <f ca="1">'Summary TCM'!E136</f>
        <v>3657</v>
      </c>
      <c r="C25" s="1946">
        <f>'Summary TCM'!H136</f>
        <v>57057</v>
      </c>
      <c r="D25" s="1946">
        <f>'Summary TCM'!G136</f>
        <v>654000</v>
      </c>
      <c r="E25" s="1946">
        <f>C25/D25</f>
        <v>8.7243119266055047E-2</v>
      </c>
    </row>
    <row r="26" spans="1:13">
      <c r="A26" t="s">
        <v>16</v>
      </c>
      <c r="B26" s="1705">
        <f ca="1">'Summary TCM'!E137</f>
        <v>0</v>
      </c>
      <c r="C26" s="1705">
        <f>'Summary TCM'!H137</f>
        <v>0</v>
      </c>
      <c r="D26" s="1705">
        <f>'Summary TCM'!G137</f>
        <v>172000</v>
      </c>
      <c r="E26" s="1705">
        <f>C26/D26</f>
        <v>0</v>
      </c>
    </row>
    <row r="27" spans="1:13">
      <c r="A27" t="s">
        <v>17</v>
      </c>
      <c r="B27" s="1705">
        <f ca="1">'Summary TCM'!E138</f>
        <v>3657</v>
      </c>
      <c r="C27" s="1705">
        <f>'Summary TCM'!H138</f>
        <v>0</v>
      </c>
      <c r="D27" s="1705">
        <f>'Summary TCM'!G138</f>
        <v>50000</v>
      </c>
      <c r="E27" s="1705">
        <f>C27/D27</f>
        <v>0</v>
      </c>
    </row>
    <row r="28" spans="1:13">
      <c r="A28" t="s">
        <v>18</v>
      </c>
      <c r="B28" s="1705">
        <f ca="1">'Summary TCM'!E139</f>
        <v>0</v>
      </c>
      <c r="C28" s="1705">
        <f>'Summary TCM'!H139</f>
        <v>57057</v>
      </c>
      <c r="D28" s="1705">
        <f>'Summary TCM'!G139</f>
        <v>432000</v>
      </c>
      <c r="E28" s="1705">
        <f>C28/D28</f>
        <v>0.1320763888888889</v>
      </c>
    </row>
    <row r="29" spans="1:13">
      <c r="A29" t="s">
        <v>83</v>
      </c>
      <c r="B29" s="1705">
        <f ca="1">'Summary TCM'!E140</f>
        <v>0</v>
      </c>
      <c r="C29" s="1705">
        <f>'Summary TCM'!H140</f>
        <v>0</v>
      </c>
      <c r="D29" s="1705">
        <f>'Summary TCM'!G140</f>
        <v>0</v>
      </c>
      <c r="E29" s="1705" t="e">
        <f>C29/D29</f>
        <v>#DIV/0!</v>
      </c>
      <c r="M29" s="987"/>
    </row>
    <row r="31" spans="1:13">
      <c r="A31" t="s">
        <v>1374</v>
      </c>
      <c r="B31" s="1705">
        <v>11592</v>
      </c>
    </row>
    <row r="33" spans="1:12">
      <c r="A33" t="s">
        <v>1375</v>
      </c>
    </row>
    <row r="34" spans="1:12">
      <c r="A34" t="s">
        <v>1376</v>
      </c>
      <c r="B34" s="1946">
        <f ca="1">'Summary TCM'!E76</f>
        <v>191595.15302645115</v>
      </c>
      <c r="C34" s="165">
        <f ca="1">'Summary TCM'!F76/'Summary TCM'!E76</f>
        <v>0.78037724639885153</v>
      </c>
      <c r="D34" t="s">
        <v>1392</v>
      </c>
    </row>
    <row r="35" spans="1:12">
      <c r="A35" t="s">
        <v>1393</v>
      </c>
      <c r="B35" s="1705">
        <f ca="1">B38+B41+B44+B47</f>
        <v>106522.22536154294</v>
      </c>
      <c r="C35" s="165"/>
      <c r="L35" s="987"/>
    </row>
    <row r="36" spans="1:12">
      <c r="A36" t="s">
        <v>1394</v>
      </c>
      <c r="B36" s="1705">
        <f ca="1">B39+B42+B45</f>
        <v>85072.927664908217</v>
      </c>
      <c r="C36" s="165"/>
    </row>
    <row r="37" spans="1:12">
      <c r="A37" s="39" t="s">
        <v>1395</v>
      </c>
      <c r="B37" s="1946">
        <f ca="1">'Dashboard TCM'!R40</f>
        <v>61599.908758681253</v>
      </c>
    </row>
    <row r="38" spans="1:12">
      <c r="A38" t="s">
        <v>124</v>
      </c>
      <c r="B38" s="1705"/>
    </row>
    <row r="39" spans="1:12">
      <c r="A39" t="s">
        <v>125</v>
      </c>
      <c r="B39" s="1705">
        <f ca="1">SUM('Summary TCM'!E84)</f>
        <v>61599.908758681253</v>
      </c>
    </row>
    <row r="40" spans="1:12">
      <c r="A40" s="39" t="s">
        <v>1396</v>
      </c>
      <c r="B40" s="1946">
        <f ca="1">'Dashboard TCM'!R56</f>
        <v>67631.898514423272</v>
      </c>
    </row>
    <row r="41" spans="1:12">
      <c r="A41" t="s">
        <v>124</v>
      </c>
      <c r="B41" s="1705">
        <f ca="1">'Summary TCM'!E89</f>
        <v>54054.217649249818</v>
      </c>
    </row>
    <row r="42" spans="1:12">
      <c r="A42" t="s">
        <v>125</v>
      </c>
      <c r="B42" s="1705">
        <f ca="1">'Summary TCM'!E90</f>
        <v>13577.680865173457</v>
      </c>
    </row>
    <row r="43" spans="1:12">
      <c r="A43" s="39" t="s">
        <v>1397</v>
      </c>
      <c r="B43" s="1946">
        <f ca="1">'Summary TCM'!E77</f>
        <v>62363.345753346628</v>
      </c>
    </row>
    <row r="44" spans="1:12">
      <c r="A44" t="s">
        <v>124</v>
      </c>
      <c r="B44" s="1705">
        <f ca="1">'Summary TCM'!E81+'Summary TCM'!E79</f>
        <v>30109.068368498403</v>
      </c>
    </row>
    <row r="45" spans="1:12">
      <c r="A45" t="s">
        <v>125</v>
      </c>
      <c r="B45" s="281">
        <f ca="1">'Summary TCM'!E83</f>
        <v>9895.3380410535083</v>
      </c>
    </row>
    <row r="46" spans="1:12">
      <c r="B46" s="2520">
        <f ca="1">B45+B44</f>
        <v>40004.406409551913</v>
      </c>
    </row>
    <row r="47" spans="1:12">
      <c r="A47" t="s">
        <v>1398</v>
      </c>
      <c r="B47" s="281">
        <f ca="1">'Summary TCM'!E82</f>
        <v>22358.939343794715</v>
      </c>
    </row>
    <row r="48" spans="1:12">
      <c r="A48" s="39" t="s">
        <v>1399</v>
      </c>
      <c r="B48" s="2527">
        <f ca="1">'Summary TCM'!E105</f>
        <v>27294.683787707359</v>
      </c>
    </row>
    <row r="49" spans="1:5">
      <c r="A49" t="s">
        <v>454</v>
      </c>
      <c r="B49" s="1353">
        <v>5355.31</v>
      </c>
      <c r="C49">
        <f>'January TCM'!PK41</f>
        <v>5364.9</v>
      </c>
    </row>
    <row r="51" spans="1:5">
      <c r="A51" s="39" t="s">
        <v>1366</v>
      </c>
      <c r="B51" s="1946">
        <f ca="1">B52+B53</f>
        <v>16810.91</v>
      </c>
      <c r="C51" s="1946">
        <f>'Summary TCM'!H50</f>
        <v>49565.759999999995</v>
      </c>
      <c r="D51" s="1946">
        <f ca="1">'Summary TCM'!G50</f>
        <v>270000</v>
      </c>
      <c r="E51" s="1946">
        <f ca="1">C51/D51</f>
        <v>0.18357688888888887</v>
      </c>
    </row>
    <row r="52" spans="1:5">
      <c r="A52" t="s">
        <v>1400</v>
      </c>
      <c r="B52" s="1705">
        <f ca="1">'Summary TCM'!E51</f>
        <v>8295.73</v>
      </c>
      <c r="C52" s="1705">
        <f>'Summary TCM'!H51</f>
        <v>24471.679999999997</v>
      </c>
      <c r="D52" s="1705">
        <f ca="1">'Summary TCM'!G51</f>
        <v>150000</v>
      </c>
      <c r="E52" s="1705">
        <f ca="1">C52/D52</f>
        <v>0.16314453333333331</v>
      </c>
    </row>
    <row r="53" spans="1:5">
      <c r="A53" t="s">
        <v>1401</v>
      </c>
      <c r="B53" s="1705">
        <f ca="1">'Summary TCM'!E55</f>
        <v>8515.18</v>
      </c>
      <c r="C53" s="1705">
        <f>'Summary TCM'!H55</f>
        <v>25094.080000000002</v>
      </c>
      <c r="D53" s="1705">
        <f ca="1">'Summary TCM'!G55</f>
        <v>120000</v>
      </c>
      <c r="E53" s="1705">
        <f ca="1">C53/D53</f>
        <v>0.20911733333333335</v>
      </c>
    </row>
    <row r="54" spans="1:5">
      <c r="B54" s="1705"/>
      <c r="C54" s="1705"/>
      <c r="D54" s="1705"/>
      <c r="E54" s="1705"/>
    </row>
    <row r="55" spans="1:5">
      <c r="A55" s="39" t="s">
        <v>1368</v>
      </c>
      <c r="B55" s="1705">
        <f ca="1">SUM(B56:B59)</f>
        <v>16810.91</v>
      </c>
      <c r="C55" s="1705">
        <f>SUM(C56:C59)</f>
        <v>49565.759999999995</v>
      </c>
      <c r="D55" s="1705">
        <f ca="1">D51</f>
        <v>270000</v>
      </c>
      <c r="E55" s="1705"/>
    </row>
    <row r="56" spans="1:5">
      <c r="A56" t="s">
        <v>130</v>
      </c>
      <c r="B56" s="1705">
        <f ca="1">LOOKUP('Summary TCM'!B4,'September TCM'!B10:B40,'September TCM'!GT10:GT40)</f>
        <v>0</v>
      </c>
      <c r="C56" s="1705">
        <f>'September TCM'!GT42</f>
        <v>0</v>
      </c>
      <c r="D56" s="1705"/>
      <c r="E56" s="1705"/>
    </row>
    <row r="57" spans="1:5">
      <c r="A57" t="s">
        <v>164</v>
      </c>
      <c r="B57" s="1705">
        <f ca="1">LOOKUP('Summary TCM'!B4,'September TCM'!B10:B40,'September TCM'!GU10:GU40)</f>
        <v>610.70000000000005</v>
      </c>
      <c r="C57" s="1705">
        <f>'September TCM'!GU42</f>
        <v>2262.5</v>
      </c>
      <c r="D57" s="1705"/>
      <c r="E57" s="1705"/>
    </row>
    <row r="58" spans="1:5">
      <c r="A58" t="s">
        <v>244</v>
      </c>
      <c r="B58" s="1705">
        <f ca="1">LOOKUP('Summary TCM'!B4,'September TCM'!B10:B40,'September TCM'!GV10:GV40)</f>
        <v>6176.09</v>
      </c>
      <c r="C58" s="1705">
        <f>'September TCM'!GV42</f>
        <v>18036.129999999997</v>
      </c>
      <c r="D58" s="1705"/>
      <c r="E58" s="1705"/>
    </row>
    <row r="59" spans="1:5">
      <c r="A59" t="s">
        <v>434</v>
      </c>
      <c r="B59" s="1705">
        <f ca="1">LOOKUP('Summary TCM'!B4,'September TCM'!B10:B40,'September TCM'!GW10:GW40)</f>
        <v>10024.119999999999</v>
      </c>
      <c r="C59" s="1705">
        <f>'September TCM'!GW42</f>
        <v>29267.129999999997</v>
      </c>
      <c r="D59" s="1705"/>
      <c r="E59" s="1705"/>
    </row>
    <row r="61" spans="1:5">
      <c r="A61" s="39" t="s">
        <v>1369</v>
      </c>
      <c r="B61" s="1946">
        <f ca="1">'Summary TCM'!E63</f>
        <v>18242.48</v>
      </c>
      <c r="C61" s="1946">
        <f>'Summary TCM'!H63</f>
        <v>27981.43</v>
      </c>
      <c r="D61" s="1946">
        <f ca="1">'Summary TCM'!G63</f>
        <v>370000</v>
      </c>
      <c r="E61" s="1946">
        <f ca="1">C61/D61</f>
        <v>7.5625486486486482E-2</v>
      </c>
    </row>
    <row r="62" spans="1:5">
      <c r="A62" t="s">
        <v>1400</v>
      </c>
      <c r="B62" s="1705">
        <f ca="1">'Summary TCM'!E64</f>
        <v>11864.444</v>
      </c>
      <c r="C62" s="1705">
        <f>'Summary TCM'!H64</f>
        <v>11864.444</v>
      </c>
      <c r="D62" s="1705">
        <f ca="1">'Summary TCM'!G64</f>
        <v>230000</v>
      </c>
      <c r="E62" s="1705">
        <f ca="1">C62/D62</f>
        <v>5.158453913043478E-2</v>
      </c>
    </row>
    <row r="63" spans="1:5">
      <c r="A63" t="s">
        <v>1401</v>
      </c>
      <c r="B63" s="1705">
        <f ca="1">'Summary TCM'!E65</f>
        <v>6378.0360000000001</v>
      </c>
      <c r="C63" s="1705">
        <f>'Summary TCM'!H65</f>
        <v>16116.986000000001</v>
      </c>
      <c r="D63" s="1705">
        <f ca="1">'Summary TCM'!G65</f>
        <v>140000</v>
      </c>
      <c r="E63" s="1705">
        <f ca="1">C63/D63</f>
        <v>0.11512132857142858</v>
      </c>
    </row>
    <row r="66" spans="1:6">
      <c r="A66" s="39" t="s">
        <v>1402</v>
      </c>
      <c r="B66" s="1944">
        <f ca="1">B67+B68</f>
        <v>377341.84766611259</v>
      </c>
    </row>
    <row r="67" spans="1:6">
      <c r="A67" t="s">
        <v>1400</v>
      </c>
      <c r="B67" s="1945">
        <f ca="1">'Summary TCM'!E100</f>
        <v>207724.34280113198</v>
      </c>
    </row>
    <row r="68" spans="1:6">
      <c r="A68" t="s">
        <v>1401</v>
      </c>
      <c r="B68" s="1945">
        <f ca="1">'Summary TCM'!E101</f>
        <v>169617.50486498058</v>
      </c>
      <c r="E68" s="2962"/>
      <c r="F68" s="2962"/>
    </row>
    <row r="69" spans="1:6">
      <c r="A69" t="s">
        <v>1403</v>
      </c>
      <c r="B69">
        <f>'[3]Summary TCM'!D131</f>
        <v>0</v>
      </c>
    </row>
    <row r="71" spans="1:6">
      <c r="A71" s="39" t="s">
        <v>1404</v>
      </c>
    </row>
    <row r="72" spans="1:6">
      <c r="A72" t="s">
        <v>16</v>
      </c>
      <c r="B72" t="str">
        <f>'To Date Sumary TCM &amp; TIS'!S15</f>
        <v>Coal winning PAMA stop units Subcont SNUJ problem waiting approval permit IUJP</v>
      </c>
    </row>
    <row r="73" spans="1:6">
      <c r="A73" t="s">
        <v>17</v>
      </c>
      <c r="B73" s="281">
        <f>'To Date Sumary TCM &amp; TIS'!S16</f>
        <v>0</v>
      </c>
    </row>
    <row r="74" spans="1:6">
      <c r="A74" t="s">
        <v>18</v>
      </c>
      <c r="B74" s="281" t="str">
        <f>'To Date Sumary TCM &amp; TIS'!S18</f>
        <v>6 unit Exavator  breakdown</v>
      </c>
    </row>
    <row r="76" spans="1:6">
      <c r="A76" s="39" t="s">
        <v>1405</v>
      </c>
    </row>
    <row r="78" spans="1:6">
      <c r="B78" s="281">
        <f>'To Date Sumary TCM &amp; TIS'!S22</f>
        <v>0</v>
      </c>
    </row>
  </sheetData>
  <mergeCells count="1">
    <mergeCell ref="E68:F68"/>
  </mergeCells>
  <pageMargins left="0.7" right="0.7" top="0.75" bottom="0.75" header="0.3" footer="0.3"/>
  <pageSetup orientation="portrait" horizontalDpi="203" verticalDpi="203"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8"/>
  <sheetViews>
    <sheetView workbookViewId="0">
      <selection activeCell="C10" sqref="C10"/>
    </sheetView>
  </sheetViews>
  <sheetFormatPr defaultRowHeight="14.4"/>
  <cols>
    <col min="1" max="1" width="6.33203125" bestFit="1" customWidth="1"/>
    <col min="2" max="2" width="10.5546875" bestFit="1" customWidth="1"/>
    <col min="3" max="3" width="179.5546875" bestFit="1" customWidth="1"/>
    <col min="4" max="5" width="255.6640625" bestFit="1" customWidth="1"/>
    <col min="6" max="6" width="194.6640625" bestFit="1" customWidth="1"/>
  </cols>
  <sheetData>
    <row r="1" spans="1:6">
      <c r="A1" s="39" t="s">
        <v>1406</v>
      </c>
      <c r="B1" s="39" t="s">
        <v>99</v>
      </c>
      <c r="C1" s="39" t="s">
        <v>1407</v>
      </c>
      <c r="D1" s="39" t="s">
        <v>1408</v>
      </c>
      <c r="E1" s="39" t="s">
        <v>1409</v>
      </c>
      <c r="F1" s="39" t="s">
        <v>1410</v>
      </c>
    </row>
    <row r="2" spans="1:6">
      <c r="A2">
        <v>1</v>
      </c>
      <c r="B2" s="1485">
        <v>46085</v>
      </c>
      <c r="C2" t="s">
        <v>1411</v>
      </c>
      <c r="D2" t="s">
        <v>1412</v>
      </c>
      <c r="E2" t="s">
        <v>1413</v>
      </c>
      <c r="F2" t="s">
        <v>1414</v>
      </c>
    </row>
    <row r="3" spans="1:6">
      <c r="A3">
        <v>2</v>
      </c>
      <c r="B3" s="1485">
        <v>46085</v>
      </c>
      <c r="C3" t="s">
        <v>1415</v>
      </c>
      <c r="D3" t="s">
        <v>1416</v>
      </c>
      <c r="E3" t="s">
        <v>1417</v>
      </c>
      <c r="F3" t="s">
        <v>1418</v>
      </c>
    </row>
    <row r="4" spans="1:6">
      <c r="A4">
        <v>3</v>
      </c>
      <c r="B4" s="1485">
        <v>46085</v>
      </c>
      <c r="C4" t="s">
        <v>1419</v>
      </c>
      <c r="D4" t="s">
        <v>1420</v>
      </c>
      <c r="E4" t="s">
        <v>1421</v>
      </c>
      <c r="F4" t="s">
        <v>1422</v>
      </c>
    </row>
    <row r="5" spans="1:6">
      <c r="A5">
        <v>4</v>
      </c>
      <c r="B5" s="1485">
        <v>46085</v>
      </c>
      <c r="C5" t="s">
        <v>1423</v>
      </c>
      <c r="D5" t="s">
        <v>1424</v>
      </c>
      <c r="E5" t="s">
        <v>1425</v>
      </c>
      <c r="F5" t="s">
        <v>1426</v>
      </c>
    </row>
    <row r="6" spans="1:6">
      <c r="A6">
        <v>5</v>
      </c>
      <c r="B6" s="1485">
        <v>46085</v>
      </c>
      <c r="C6" t="s">
        <v>1427</v>
      </c>
      <c r="D6" t="s">
        <v>1428</v>
      </c>
      <c r="E6" t="s">
        <v>1429</v>
      </c>
      <c r="F6" t="s">
        <v>1430</v>
      </c>
    </row>
    <row r="7" spans="1:6">
      <c r="A7">
        <v>6</v>
      </c>
      <c r="B7" s="1485">
        <v>46085</v>
      </c>
      <c r="C7" t="s">
        <v>1431</v>
      </c>
      <c r="D7" t="s">
        <v>1432</v>
      </c>
      <c r="E7" t="s">
        <v>1433</v>
      </c>
      <c r="F7" t="s">
        <v>1434</v>
      </c>
    </row>
    <row r="8" spans="1:6">
      <c r="A8">
        <v>7</v>
      </c>
      <c r="B8" s="1485">
        <v>46085</v>
      </c>
      <c r="C8" t="s">
        <v>1435</v>
      </c>
      <c r="D8" t="s">
        <v>1436</v>
      </c>
      <c r="E8" t="s">
        <v>1437</v>
      </c>
      <c r="F8" t="s">
        <v>1438</v>
      </c>
    </row>
    <row r="9" spans="1:6">
      <c r="A9">
        <v>8</v>
      </c>
      <c r="B9" s="1485">
        <v>46085</v>
      </c>
      <c r="C9" t="s">
        <v>1439</v>
      </c>
      <c r="D9" t="s">
        <v>1440</v>
      </c>
      <c r="E9" t="s">
        <v>1441</v>
      </c>
      <c r="F9" t="s">
        <v>1442</v>
      </c>
    </row>
    <row r="10" spans="1:6">
      <c r="A10">
        <v>9</v>
      </c>
      <c r="B10">
        <v>46084</v>
      </c>
      <c r="C10" t="s">
        <v>1443</v>
      </c>
      <c r="D10" t="s">
        <v>1444</v>
      </c>
      <c r="E10" t="s">
        <v>1445</v>
      </c>
      <c r="F10" t="s">
        <v>1446</v>
      </c>
    </row>
    <row r="11" spans="1:6">
      <c r="A11">
        <v>10</v>
      </c>
      <c r="B11">
        <v>46084</v>
      </c>
      <c r="C11" t="s">
        <v>1447</v>
      </c>
      <c r="D11" t="s">
        <v>1448</v>
      </c>
      <c r="E11" t="s">
        <v>1449</v>
      </c>
      <c r="F11" t="s">
        <v>1450</v>
      </c>
    </row>
    <row r="12" spans="1:6">
      <c r="A12">
        <v>11</v>
      </c>
      <c r="B12">
        <v>46084</v>
      </c>
      <c r="C12" t="s">
        <v>1451</v>
      </c>
      <c r="D12" t="s">
        <v>1452</v>
      </c>
      <c r="E12" t="s">
        <v>1453</v>
      </c>
      <c r="F12" t="s">
        <v>1454</v>
      </c>
    </row>
    <row r="13" spans="1:6">
      <c r="A13">
        <v>5</v>
      </c>
      <c r="B13" s="1485">
        <v>46090</v>
      </c>
      <c r="C13" t="s">
        <v>1455</v>
      </c>
      <c r="D13" t="s">
        <v>1456</v>
      </c>
      <c r="E13" t="s">
        <v>1457</v>
      </c>
      <c r="F13" t="s">
        <v>1458</v>
      </c>
    </row>
    <row r="14" spans="1:6">
      <c r="A14">
        <v>6</v>
      </c>
      <c r="B14" s="1485">
        <v>46090</v>
      </c>
      <c r="C14" t="s">
        <v>1459</v>
      </c>
      <c r="D14" t="s">
        <v>1460</v>
      </c>
      <c r="E14" t="s">
        <v>1461</v>
      </c>
      <c r="F14" t="s">
        <v>1462</v>
      </c>
    </row>
    <row r="15" spans="1:6">
      <c r="A15">
        <v>7</v>
      </c>
      <c r="B15" s="1485">
        <v>46090</v>
      </c>
      <c r="C15" t="s">
        <v>1463</v>
      </c>
      <c r="D15" t="s">
        <v>1464</v>
      </c>
      <c r="E15" t="s">
        <v>1465</v>
      </c>
      <c r="F15" t="s">
        <v>1466</v>
      </c>
    </row>
    <row r="16" spans="1:6">
      <c r="A16">
        <v>1</v>
      </c>
      <c r="B16" s="1485">
        <v>46091</v>
      </c>
      <c r="C16" t="s">
        <v>1467</v>
      </c>
      <c r="D16" t="s">
        <v>1468</v>
      </c>
      <c r="E16" t="s">
        <v>1469</v>
      </c>
      <c r="F16" t="s">
        <v>1470</v>
      </c>
    </row>
    <row r="17" spans="1:6">
      <c r="A17">
        <v>1</v>
      </c>
      <c r="B17" s="1485">
        <v>46091</v>
      </c>
      <c r="C17" t="s">
        <v>1471</v>
      </c>
      <c r="D17" t="s">
        <v>1472</v>
      </c>
      <c r="E17" t="s">
        <v>1473</v>
      </c>
      <c r="F17" t="s">
        <v>1474</v>
      </c>
    </row>
    <row r="18" spans="1:6">
      <c r="A18">
        <v>2</v>
      </c>
      <c r="B18" s="1485">
        <v>46091</v>
      </c>
      <c r="C18" t="s">
        <v>1475</v>
      </c>
      <c r="D18" t="s">
        <v>1476</v>
      </c>
      <c r="E18" t="s">
        <v>1477</v>
      </c>
      <c r="F18" t="s">
        <v>1478</v>
      </c>
    </row>
    <row r="19" spans="1:6">
      <c r="A19">
        <v>3</v>
      </c>
      <c r="B19" s="1485">
        <v>46091</v>
      </c>
      <c r="C19" t="s">
        <v>1479</v>
      </c>
      <c r="D19" t="s">
        <v>1480</v>
      </c>
      <c r="E19" t="s">
        <v>1481</v>
      </c>
      <c r="F19" t="s">
        <v>1482</v>
      </c>
    </row>
    <row r="20" spans="1:6">
      <c r="A20">
        <v>4</v>
      </c>
      <c r="B20" s="1485">
        <v>46091</v>
      </c>
      <c r="C20" t="s">
        <v>1483</v>
      </c>
      <c r="D20" t="s">
        <v>1484</v>
      </c>
      <c r="E20" t="s">
        <v>1485</v>
      </c>
      <c r="F20" t="s">
        <v>1486</v>
      </c>
    </row>
    <row r="21" spans="1:6">
      <c r="A21">
        <v>5</v>
      </c>
      <c r="B21" s="1485">
        <v>46091</v>
      </c>
      <c r="C21" t="s">
        <v>1487</v>
      </c>
      <c r="D21" t="s">
        <v>1488</v>
      </c>
      <c r="E21" t="s">
        <v>1489</v>
      </c>
      <c r="F21" t="s">
        <v>1490</v>
      </c>
    </row>
    <row r="22" spans="1:6">
      <c r="A22">
        <v>6</v>
      </c>
      <c r="B22" s="1485">
        <v>46091</v>
      </c>
      <c r="C22" t="s">
        <v>1491</v>
      </c>
      <c r="D22" t="s">
        <v>1492</v>
      </c>
      <c r="E22" t="s">
        <v>1493</v>
      </c>
      <c r="F22" t="s">
        <v>1494</v>
      </c>
    </row>
    <row r="23" spans="1:6">
      <c r="A23">
        <v>7</v>
      </c>
      <c r="B23" s="1485">
        <v>46091</v>
      </c>
      <c r="C23" t="s">
        <v>1495</v>
      </c>
      <c r="D23" t="s">
        <v>1496</v>
      </c>
      <c r="E23" t="s">
        <v>1497</v>
      </c>
      <c r="F23" t="s">
        <v>1498</v>
      </c>
    </row>
    <row r="24" spans="1:6">
      <c r="A24">
        <v>8</v>
      </c>
      <c r="B24" s="1485">
        <v>46091</v>
      </c>
      <c r="C24" t="s">
        <v>1499</v>
      </c>
      <c r="D24" t="s">
        <v>1500</v>
      </c>
      <c r="E24" t="s">
        <v>1501</v>
      </c>
      <c r="F24" t="s">
        <v>1502</v>
      </c>
    </row>
    <row r="25" spans="1:6">
      <c r="A25">
        <v>10</v>
      </c>
      <c r="B25" s="1485">
        <v>46091</v>
      </c>
      <c r="C25" t="s">
        <v>1503</v>
      </c>
      <c r="D25" t="s">
        <v>1504</v>
      </c>
      <c r="E25" t="s">
        <v>1505</v>
      </c>
      <c r="F25" t="s">
        <v>1506</v>
      </c>
    </row>
    <row r="26" spans="1:6">
      <c r="A26">
        <v>11</v>
      </c>
      <c r="B26" s="1485">
        <v>46091</v>
      </c>
      <c r="C26" t="s">
        <v>1507</v>
      </c>
      <c r="D26" t="s">
        <v>1508</v>
      </c>
      <c r="E26" t="s">
        <v>1509</v>
      </c>
      <c r="F26" t="s">
        <v>1510</v>
      </c>
    </row>
    <row r="27" spans="1:6">
      <c r="A27">
        <v>12</v>
      </c>
      <c r="B27" s="1485">
        <v>46091</v>
      </c>
      <c r="C27" t="s">
        <v>1511</v>
      </c>
      <c r="D27" t="s">
        <v>1512</v>
      </c>
      <c r="E27" t="s">
        <v>1513</v>
      </c>
      <c r="F27" t="s">
        <v>1514</v>
      </c>
    </row>
    <row r="28" spans="1:6">
      <c r="A28">
        <v>13</v>
      </c>
      <c r="B28" s="1485">
        <v>46091</v>
      </c>
      <c r="C28" t="s">
        <v>1515</v>
      </c>
      <c r="D28" t="s">
        <v>1516</v>
      </c>
      <c r="E28" t="s">
        <v>1517</v>
      </c>
      <c r="F28" t="s">
        <v>1518</v>
      </c>
    </row>
    <row r="29" spans="1:6">
      <c r="A29">
        <v>14</v>
      </c>
      <c r="B29" s="1485">
        <v>46091</v>
      </c>
      <c r="C29" t="s">
        <v>1519</v>
      </c>
      <c r="D29" t="s">
        <v>1520</v>
      </c>
      <c r="E29" t="s">
        <v>1521</v>
      </c>
    </row>
    <row r="30" spans="1:6">
      <c r="A30">
        <v>15</v>
      </c>
      <c r="B30" s="1485">
        <v>46091</v>
      </c>
      <c r="C30" t="s">
        <v>1522</v>
      </c>
      <c r="D30" t="s">
        <v>1523</v>
      </c>
      <c r="E30" t="s">
        <v>1524</v>
      </c>
      <c r="F30" t="s">
        <v>1525</v>
      </c>
    </row>
    <row r="31" spans="1:6">
      <c r="A31">
        <v>16</v>
      </c>
      <c r="B31" s="1485">
        <v>46091</v>
      </c>
      <c r="C31" t="s">
        <v>1526</v>
      </c>
      <c r="D31" t="s">
        <v>1527</v>
      </c>
      <c r="E31" t="s">
        <v>1528</v>
      </c>
      <c r="F31" t="s">
        <v>1529</v>
      </c>
    </row>
    <row r="32" spans="1:6">
      <c r="A32">
        <v>1</v>
      </c>
      <c r="B32" s="1485">
        <v>46092</v>
      </c>
      <c r="C32" t="s">
        <v>1530</v>
      </c>
      <c r="D32" t="s">
        <v>1531</v>
      </c>
      <c r="E32" t="s">
        <v>1532</v>
      </c>
      <c r="F32" t="s">
        <v>1533</v>
      </c>
    </row>
    <row r="33" spans="1:6">
      <c r="A33">
        <v>2</v>
      </c>
      <c r="B33" s="1485">
        <v>46092</v>
      </c>
      <c r="C33" t="s">
        <v>1534</v>
      </c>
      <c r="D33" t="s">
        <v>1535</v>
      </c>
      <c r="E33" t="s">
        <v>1536</v>
      </c>
      <c r="F33" t="s">
        <v>1537</v>
      </c>
    </row>
    <row r="34" spans="1:6">
      <c r="A34">
        <v>3</v>
      </c>
      <c r="B34" s="1485">
        <v>46092</v>
      </c>
      <c r="C34" t="s">
        <v>1538</v>
      </c>
      <c r="D34" t="s">
        <v>1539</v>
      </c>
      <c r="E34" t="s">
        <v>1540</v>
      </c>
      <c r="F34" t="s">
        <v>1541</v>
      </c>
    </row>
    <row r="35" spans="1:6">
      <c r="A35">
        <v>4</v>
      </c>
      <c r="B35" s="1485">
        <v>46092</v>
      </c>
      <c r="C35" t="s">
        <v>1542</v>
      </c>
      <c r="D35" t="s">
        <v>1543</v>
      </c>
      <c r="E35" t="s">
        <v>1544</v>
      </c>
      <c r="F35" t="s">
        <v>1545</v>
      </c>
    </row>
    <row r="36" spans="1:6">
      <c r="A36">
        <v>5</v>
      </c>
      <c r="B36" s="1485">
        <v>46092</v>
      </c>
      <c r="C36" t="s">
        <v>1546</v>
      </c>
      <c r="D36" t="s">
        <v>1547</v>
      </c>
      <c r="E36" t="s">
        <v>1548</v>
      </c>
      <c r="F36" t="s">
        <v>1549</v>
      </c>
    </row>
    <row r="37" spans="1:6">
      <c r="A37">
        <v>6</v>
      </c>
      <c r="B37" s="1485">
        <v>46092</v>
      </c>
      <c r="C37" t="s">
        <v>1550</v>
      </c>
      <c r="D37" t="s">
        <v>1551</v>
      </c>
      <c r="E37" t="s">
        <v>1552</v>
      </c>
      <c r="F37" t="s">
        <v>1553</v>
      </c>
    </row>
    <row r="38" spans="1:6">
      <c r="A38">
        <v>7</v>
      </c>
      <c r="B38" s="1485">
        <v>46092</v>
      </c>
      <c r="C38" t="s">
        <v>1554</v>
      </c>
      <c r="D38" t="s">
        <v>1555</v>
      </c>
      <c r="E38" t="s">
        <v>1556</v>
      </c>
      <c r="F38" t="s">
        <v>1557</v>
      </c>
    </row>
    <row r="39" spans="1:6">
      <c r="A39">
        <v>8</v>
      </c>
      <c r="B39" s="1485">
        <v>46092</v>
      </c>
      <c r="C39" t="s">
        <v>1558</v>
      </c>
      <c r="D39" t="s">
        <v>1559</v>
      </c>
      <c r="E39" t="s">
        <v>1560</v>
      </c>
      <c r="F39" t="s">
        <v>1561</v>
      </c>
    </row>
    <row r="40" spans="1:6">
      <c r="A40">
        <v>9</v>
      </c>
      <c r="B40" s="1485">
        <v>46092</v>
      </c>
      <c r="C40" t="s">
        <v>1562</v>
      </c>
      <c r="D40" t="s">
        <v>1563</v>
      </c>
      <c r="E40" t="s">
        <v>1564</v>
      </c>
      <c r="F40" t="s">
        <v>1565</v>
      </c>
    </row>
    <row r="41" spans="1:6">
      <c r="A41">
        <v>10</v>
      </c>
      <c r="B41" s="1485">
        <v>46092</v>
      </c>
      <c r="C41" t="s">
        <v>1566</v>
      </c>
      <c r="D41" t="s">
        <v>1567</v>
      </c>
      <c r="E41" t="s">
        <v>1568</v>
      </c>
      <c r="F41" t="s">
        <v>1569</v>
      </c>
    </row>
    <row r="42" spans="1:6">
      <c r="A42">
        <v>11</v>
      </c>
      <c r="B42" s="1485">
        <v>46092</v>
      </c>
      <c r="C42" t="s">
        <v>1570</v>
      </c>
      <c r="D42" t="s">
        <v>1571</v>
      </c>
      <c r="E42" t="s">
        <v>1572</v>
      </c>
      <c r="F42" t="s">
        <v>1573</v>
      </c>
    </row>
    <row r="43" spans="1:6">
      <c r="A43">
        <v>42</v>
      </c>
      <c r="B43" s="1485">
        <v>46094</v>
      </c>
      <c r="C43" t="s">
        <v>1574</v>
      </c>
      <c r="D43" t="s">
        <v>1575</v>
      </c>
      <c r="E43" t="s">
        <v>1576</v>
      </c>
      <c r="F43" t="s">
        <v>1577</v>
      </c>
    </row>
    <row r="44" spans="1:6">
      <c r="A44">
        <v>43</v>
      </c>
      <c r="B44" s="1485">
        <v>46094</v>
      </c>
      <c r="C44" t="s">
        <v>1578</v>
      </c>
      <c r="D44" t="s">
        <v>1579</v>
      </c>
      <c r="E44" t="s">
        <v>1580</v>
      </c>
      <c r="F44" t="s">
        <v>1581</v>
      </c>
    </row>
    <row r="45" spans="1:6">
      <c r="A45">
        <v>3</v>
      </c>
      <c r="B45" s="1485">
        <v>46094</v>
      </c>
      <c r="C45" t="s">
        <v>1582</v>
      </c>
      <c r="D45" t="s">
        <v>1583</v>
      </c>
      <c r="E45" t="s">
        <v>1584</v>
      </c>
      <c r="F45" t="s">
        <v>1585</v>
      </c>
    </row>
    <row r="46" spans="1:6">
      <c r="A46">
        <v>4</v>
      </c>
      <c r="B46" s="1485">
        <v>46094</v>
      </c>
      <c r="C46" t="s">
        <v>1586</v>
      </c>
      <c r="D46" t="s">
        <v>1587</v>
      </c>
      <c r="E46" t="s">
        <v>1588</v>
      </c>
      <c r="F46" t="s">
        <v>1589</v>
      </c>
    </row>
    <row r="47" spans="1:6">
      <c r="A47">
        <v>5</v>
      </c>
      <c r="B47" s="1485">
        <v>46094</v>
      </c>
      <c r="C47" t="s">
        <v>1590</v>
      </c>
      <c r="D47" t="s">
        <v>1591</v>
      </c>
      <c r="E47" t="s">
        <v>1592</v>
      </c>
      <c r="F47" t="s">
        <v>1593</v>
      </c>
    </row>
    <row r="48" spans="1:6">
      <c r="A48">
        <v>6</v>
      </c>
      <c r="B48" s="1485">
        <v>46094</v>
      </c>
      <c r="C48" t="s">
        <v>1594</v>
      </c>
      <c r="D48" t="s">
        <v>1595</v>
      </c>
      <c r="E48" t="s">
        <v>1596</v>
      </c>
      <c r="F48" t="s">
        <v>1597</v>
      </c>
    </row>
    <row r="49" spans="1:6">
      <c r="A49">
        <v>7</v>
      </c>
      <c r="B49" s="1485">
        <v>46094</v>
      </c>
      <c r="C49" t="s">
        <v>1598</v>
      </c>
      <c r="D49" t="s">
        <v>1599</v>
      </c>
      <c r="E49" t="s">
        <v>1600</v>
      </c>
      <c r="F49" t="s">
        <v>1601</v>
      </c>
    </row>
    <row r="50" spans="1:6">
      <c r="A50">
        <v>9</v>
      </c>
      <c r="B50" s="1485">
        <v>46094</v>
      </c>
      <c r="C50" t="s">
        <v>1602</v>
      </c>
      <c r="D50" t="s">
        <v>1603</v>
      </c>
      <c r="E50" t="s">
        <v>1604</v>
      </c>
      <c r="F50" t="s">
        <v>1605</v>
      </c>
    </row>
    <row r="51" spans="1:6">
      <c r="A51">
        <v>10</v>
      </c>
      <c r="B51" s="1485">
        <v>46094</v>
      </c>
      <c r="C51" t="s">
        <v>1606</v>
      </c>
      <c r="D51" t="s">
        <v>1607</v>
      </c>
      <c r="E51" t="s">
        <v>1608</v>
      </c>
      <c r="F51" t="s">
        <v>1609</v>
      </c>
    </row>
    <row r="52" spans="1:6">
      <c r="A52">
        <v>11</v>
      </c>
      <c r="B52" s="1485">
        <v>46094</v>
      </c>
      <c r="C52" t="s">
        <v>1610</v>
      </c>
      <c r="D52" t="s">
        <v>1611</v>
      </c>
      <c r="E52" t="s">
        <v>1612</v>
      </c>
      <c r="F52" t="s">
        <v>1613</v>
      </c>
    </row>
    <row r="53" spans="1:6">
      <c r="A53">
        <v>12</v>
      </c>
      <c r="B53" s="1485">
        <v>46094</v>
      </c>
      <c r="C53" t="s">
        <v>1614</v>
      </c>
      <c r="D53" t="s">
        <v>1615</v>
      </c>
      <c r="E53" t="s">
        <v>1616</v>
      </c>
      <c r="F53" t="s">
        <v>1617</v>
      </c>
    </row>
    <row r="54" spans="1:6">
      <c r="A54">
        <v>13</v>
      </c>
      <c r="B54" s="1485">
        <v>46094</v>
      </c>
      <c r="C54" t="s">
        <v>1618</v>
      </c>
      <c r="D54" t="s">
        <v>1619</v>
      </c>
      <c r="E54" t="s">
        <v>1620</v>
      </c>
      <c r="F54" t="s">
        <v>1621</v>
      </c>
    </row>
    <row r="55" spans="1:6">
      <c r="A55">
        <v>14</v>
      </c>
      <c r="B55" s="1485">
        <v>46094</v>
      </c>
      <c r="C55" t="s">
        <v>1622</v>
      </c>
      <c r="D55" t="s">
        <v>1623</v>
      </c>
      <c r="E55" t="s">
        <v>1624</v>
      </c>
      <c r="F55" t="s">
        <v>1625</v>
      </c>
    </row>
    <row r="56" spans="1:6">
      <c r="A56">
        <v>15</v>
      </c>
      <c r="B56" s="1485">
        <v>46094</v>
      </c>
      <c r="C56" t="s">
        <v>1626</v>
      </c>
      <c r="D56" t="s">
        <v>1627</v>
      </c>
      <c r="E56" t="s">
        <v>1628</v>
      </c>
      <c r="F56" t="s">
        <v>1629</v>
      </c>
    </row>
    <row r="57" spans="1:6">
      <c r="A57">
        <v>16</v>
      </c>
      <c r="B57" s="1485">
        <v>46094</v>
      </c>
      <c r="C57" t="s">
        <v>1630</v>
      </c>
      <c r="D57" t="s">
        <v>1631</v>
      </c>
      <c r="E57" t="s">
        <v>1632</v>
      </c>
      <c r="F57" t="s">
        <v>1633</v>
      </c>
    </row>
    <row r="58" spans="1:6">
      <c r="A58">
        <v>17</v>
      </c>
      <c r="B58" t="s">
        <v>1634</v>
      </c>
      <c r="C58" t="s">
        <v>1635</v>
      </c>
      <c r="D58" t="s">
        <v>1636</v>
      </c>
      <c r="E58" t="s">
        <v>1637</v>
      </c>
      <c r="F58" t="s">
        <v>1638</v>
      </c>
    </row>
    <row r="59" spans="1:6">
      <c r="A59">
        <v>18</v>
      </c>
      <c r="B59" t="s">
        <v>1634</v>
      </c>
      <c r="C59" t="s">
        <v>1639</v>
      </c>
      <c r="D59" t="s">
        <v>1640</v>
      </c>
      <c r="E59" t="s">
        <v>1641</v>
      </c>
      <c r="F59" t="s">
        <v>1642</v>
      </c>
    </row>
    <row r="60" spans="1:6">
      <c r="A60">
        <v>19</v>
      </c>
      <c r="B60" t="s">
        <v>1634</v>
      </c>
      <c r="C60" t="s">
        <v>1643</v>
      </c>
      <c r="D60" t="s">
        <v>1644</v>
      </c>
      <c r="E60" t="s">
        <v>1645</v>
      </c>
      <c r="F60" t="s">
        <v>1646</v>
      </c>
    </row>
    <row r="61" spans="1:6">
      <c r="A61">
        <v>20</v>
      </c>
      <c r="B61" t="s">
        <v>1634</v>
      </c>
      <c r="C61" t="s">
        <v>1647</v>
      </c>
      <c r="D61" t="s">
        <v>1648</v>
      </c>
      <c r="E61" t="s">
        <v>1649</v>
      </c>
      <c r="F61" t="s">
        <v>1650</v>
      </c>
    </row>
    <row r="62" spans="1:6">
      <c r="A62">
        <v>21</v>
      </c>
      <c r="B62" t="s">
        <v>1634</v>
      </c>
      <c r="C62" t="s">
        <v>1651</v>
      </c>
      <c r="D62" t="s">
        <v>1652</v>
      </c>
      <c r="E62" t="s">
        <v>1653</v>
      </c>
      <c r="F62" t="s">
        <v>1654</v>
      </c>
    </row>
    <row r="63" spans="1:6">
      <c r="A63">
        <v>22</v>
      </c>
      <c r="B63" t="s">
        <v>1634</v>
      </c>
      <c r="C63" t="s">
        <v>1655</v>
      </c>
      <c r="D63" t="s">
        <v>1656</v>
      </c>
      <c r="E63" t="s">
        <v>1657</v>
      </c>
      <c r="F63" t="s">
        <v>1658</v>
      </c>
    </row>
    <row r="64" spans="1:6">
      <c r="A64">
        <v>23</v>
      </c>
      <c r="B64" t="s">
        <v>1634</v>
      </c>
      <c r="C64" t="s">
        <v>1659</v>
      </c>
      <c r="D64" t="s">
        <v>1660</v>
      </c>
      <c r="E64" t="s">
        <v>1661</v>
      </c>
      <c r="F64" t="s">
        <v>1662</v>
      </c>
    </row>
    <row r="65" spans="1:6">
      <c r="A65">
        <v>1</v>
      </c>
      <c r="B65" s="1485">
        <v>46095</v>
      </c>
      <c r="C65" t="s">
        <v>1663</v>
      </c>
      <c r="D65" t="s">
        <v>1664</v>
      </c>
      <c r="E65" t="s">
        <v>1665</v>
      </c>
      <c r="F65" t="s">
        <v>1666</v>
      </c>
    </row>
    <row r="66" spans="1:6">
      <c r="A66">
        <v>2</v>
      </c>
      <c r="B66" s="1485">
        <v>46115</v>
      </c>
      <c r="C66" t="s">
        <v>1667</v>
      </c>
      <c r="D66" t="s">
        <v>1668</v>
      </c>
      <c r="E66" t="s">
        <v>1669</v>
      </c>
      <c r="F66" t="s">
        <v>1670</v>
      </c>
    </row>
    <row r="67" spans="1:6">
      <c r="A67">
        <v>3</v>
      </c>
      <c r="B67" s="1485">
        <v>46115</v>
      </c>
      <c r="C67" t="s">
        <v>1671</v>
      </c>
      <c r="D67" t="s">
        <v>1672</v>
      </c>
      <c r="E67" t="s">
        <v>1673</v>
      </c>
      <c r="F67" t="s">
        <v>1674</v>
      </c>
    </row>
    <row r="68" spans="1:6">
      <c r="A68">
        <v>2</v>
      </c>
      <c r="B68" s="1485">
        <v>46115</v>
      </c>
      <c r="C68" t="s">
        <v>1675</v>
      </c>
      <c r="D68" t="s">
        <v>1676</v>
      </c>
      <c r="E68" t="s">
        <v>1677</v>
      </c>
      <c r="F68" t="s">
        <v>1678</v>
      </c>
    </row>
    <row r="69" spans="1:6">
      <c r="A69">
        <v>2</v>
      </c>
      <c r="B69" s="1485">
        <v>46126</v>
      </c>
      <c r="C69" t="s">
        <v>1679</v>
      </c>
      <c r="D69" t="s">
        <v>1680</v>
      </c>
      <c r="E69" t="s">
        <v>1681</v>
      </c>
      <c r="F69" t="s">
        <v>1682</v>
      </c>
    </row>
    <row r="70" spans="1:6">
      <c r="A70">
        <v>3</v>
      </c>
      <c r="B70" s="1485">
        <v>46126</v>
      </c>
      <c r="C70" t="s">
        <v>1683</v>
      </c>
      <c r="D70" t="s">
        <v>1684</v>
      </c>
      <c r="E70" t="s">
        <v>1685</v>
      </c>
      <c r="F70" t="s">
        <v>1686</v>
      </c>
    </row>
    <row r="71" spans="1:6">
      <c r="A71">
        <v>1</v>
      </c>
      <c r="B71" s="1485">
        <v>46126</v>
      </c>
      <c r="C71" t="s">
        <v>1687</v>
      </c>
      <c r="D71" t="s">
        <v>1688</v>
      </c>
      <c r="E71" t="s">
        <v>1689</v>
      </c>
      <c r="F71" t="s">
        <v>1690</v>
      </c>
    </row>
    <row r="72" spans="1:6">
      <c r="A72">
        <v>2</v>
      </c>
      <c r="B72" s="1485">
        <v>46126</v>
      </c>
      <c r="C72" t="s">
        <v>1691</v>
      </c>
      <c r="D72" t="s">
        <v>1692</v>
      </c>
      <c r="E72" t="s">
        <v>1693</v>
      </c>
      <c r="F72" t="s">
        <v>1694</v>
      </c>
    </row>
    <row r="73" spans="1:6">
      <c r="A73">
        <v>3</v>
      </c>
      <c r="B73" s="1485">
        <v>46126</v>
      </c>
      <c r="C73" t="s">
        <v>1695</v>
      </c>
      <c r="D73" t="s">
        <v>1696</v>
      </c>
      <c r="E73" t="s">
        <v>1697</v>
      </c>
      <c r="F73" t="s">
        <v>1698</v>
      </c>
    </row>
    <row r="74" spans="1:6">
      <c r="A74">
        <v>4</v>
      </c>
      <c r="B74" s="1485">
        <v>46126</v>
      </c>
      <c r="C74" t="s">
        <v>1699</v>
      </c>
      <c r="D74" t="s">
        <v>1700</v>
      </c>
      <c r="E74" t="s">
        <v>1701</v>
      </c>
      <c r="F74" t="s">
        <v>1702</v>
      </c>
    </row>
    <row r="75" spans="1:6">
      <c r="A75">
        <v>74</v>
      </c>
      <c r="B75" s="1485">
        <v>46138</v>
      </c>
      <c r="C75" t="s">
        <v>1703</v>
      </c>
      <c r="D75" t="s">
        <v>1704</v>
      </c>
      <c r="E75" t="s">
        <v>1705</v>
      </c>
      <c r="F75" t="s">
        <v>1706</v>
      </c>
    </row>
    <row r="76" spans="1:6">
      <c r="A76">
        <v>75</v>
      </c>
      <c r="B76" s="1485">
        <v>46138</v>
      </c>
      <c r="C76" t="s">
        <v>1707</v>
      </c>
      <c r="D76" t="s">
        <v>1708</v>
      </c>
      <c r="E76" t="s">
        <v>1709</v>
      </c>
      <c r="F76" t="s">
        <v>1710</v>
      </c>
    </row>
    <row r="77" spans="1:6">
      <c r="A77">
        <v>76</v>
      </c>
      <c r="B77" s="1485">
        <v>46139</v>
      </c>
      <c r="C77" t="s">
        <v>1711</v>
      </c>
      <c r="D77" t="s">
        <v>1712</v>
      </c>
      <c r="E77" t="s">
        <v>1713</v>
      </c>
      <c r="F77" t="s">
        <v>1714</v>
      </c>
    </row>
    <row r="78" spans="1:6">
      <c r="A78">
        <v>2</v>
      </c>
      <c r="B78" s="1485">
        <v>46162</v>
      </c>
      <c r="C78" t="s">
        <v>1715</v>
      </c>
      <c r="D78" t="s">
        <v>1716</v>
      </c>
      <c r="E78" t="s">
        <v>1717</v>
      </c>
      <c r="F78" t="s">
        <v>1718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Sheet1</vt:lpstr>
      <vt:lpstr>Sheet2</vt:lpstr>
      <vt:lpstr>Dashboard TCM</vt:lpstr>
      <vt:lpstr>YTD</vt:lpstr>
      <vt:lpstr>June TCM</vt:lpstr>
      <vt:lpstr>June TIS</vt:lpstr>
      <vt:lpstr>To Date Sumary TCM &amp; TIS</vt:lpstr>
      <vt:lpstr>TCM Dashboard</vt:lpstr>
      <vt:lpstr>TIS Dashboard</vt:lpstr>
      <vt:lpstr>Summary TCM</vt:lpstr>
      <vt:lpstr>Summary TIS</vt:lpstr>
      <vt:lpstr>January TCM</vt:lpstr>
      <vt:lpstr>February TCM</vt:lpstr>
      <vt:lpstr>Sheet3</vt:lpstr>
      <vt:lpstr>January TIS</vt:lpstr>
      <vt:lpstr>March TCM</vt:lpstr>
      <vt:lpstr>Sheet4</vt:lpstr>
      <vt:lpstr>February TIS</vt:lpstr>
      <vt:lpstr>March TIS</vt:lpstr>
      <vt:lpstr>April TCM</vt:lpstr>
      <vt:lpstr>April TIS</vt:lpstr>
      <vt:lpstr>May TCM</vt:lpstr>
      <vt:lpstr>May TIS</vt:lpstr>
      <vt:lpstr>July TCM</vt:lpstr>
      <vt:lpstr>August TCM</vt:lpstr>
      <vt:lpstr>July TIS</vt:lpstr>
      <vt:lpstr>September TCM</vt:lpstr>
      <vt:lpstr>August TIS</vt:lpstr>
      <vt:lpstr>September TIS</vt:lpstr>
      <vt:lpstr>TCM.HCV.LS</vt:lpstr>
      <vt:lpstr>TCM.HCV.HS</vt:lpstr>
      <vt:lpstr>TIS.HCV.MS</vt:lpstr>
      <vt:lpstr>Simulation Daily</vt:lpstr>
      <vt:lpstr>Data Base Coal Wining</vt:lpstr>
      <vt:lpstr>Data Base hauling</vt:lpstr>
      <vt:lpstr>Data Base CW TIS</vt:lpstr>
      <vt:lpstr>DB Hauling TIS</vt:lpstr>
      <vt:lpstr>TIS.</vt:lpstr>
      <vt:lpstr>TCM.</vt:lpstr>
      <vt:lpstr>Claude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Uswatun Khasanah</dc:creator>
  <cp:keywords/>
  <dc:description/>
  <cp:lastModifiedBy>Agus Irawan</cp:lastModifiedBy>
  <cp:revision/>
  <dcterms:created xsi:type="dcterms:W3CDTF">2022-07-19T02:46:18Z</dcterms:created>
  <dcterms:modified xsi:type="dcterms:W3CDTF">2026-09-08T03:28:58Z</dcterms:modified>
  <cp:category/>
  <cp:contentStatus/>
</cp:coreProperties>
</file>